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6.xml" ContentType="application/vnd.openxmlformats-officedocument.spreadsheetml.comments+xml"/>
  <Override PartName="/xl/worksheets/sheet16.xml" ContentType="application/vnd.openxmlformats-officedocument.spreadsheetml.worksheet+xml"/>
  <Override PartName="/xl/comments/comment7.xml" ContentType="application/vnd.openxmlformats-officedocument.spreadsheetml.comments+xml"/>
  <Override PartName="/xl/worksheets/sheet17.xml" ContentType="application/vnd.openxmlformats-officedocument.spreadsheetml.worksheet+xml"/>
  <Override PartName="/xl/comments/comment8.xml" ContentType="application/vnd.openxmlformats-officedocument.spreadsheetml.comments+xml"/>
  <Override PartName="/xl/worksheets/sheet18.xml" ContentType="application/vnd.openxmlformats-officedocument.spreadsheetml.worksheet+xml"/>
  <Override PartName="/xl/comments/comment9.xml" ContentType="application/vnd.openxmlformats-officedocument.spreadsheetml.comments+xml"/>
  <Override PartName="/xl/worksheets/sheet19.xml" ContentType="application/vnd.openxmlformats-officedocument.spreadsheetml.worksheet+xml"/>
  <Override PartName="/xl/comments/comment10.xml" ContentType="application/vnd.openxmlformats-officedocument.spreadsheetml.comments+xml"/>
  <Override PartName="/xl/worksheets/sheet20.xml" ContentType="application/vnd.openxmlformats-officedocument.spreadsheetml.worksheet+xml"/>
  <Override PartName="/xl/comments/comment11.xml" ContentType="application/vnd.openxmlformats-officedocument.spreadsheetml.comments+xml"/>
  <Override PartName="/xl/worksheets/sheet21.xml" ContentType="application/vnd.openxmlformats-officedocument.spreadsheetml.worksheet+xml"/>
  <Override PartName="/xl/comments/comment12.xml" ContentType="application/vnd.openxmlformats-officedocument.spreadsheetml.comments+xml"/>
  <Override PartName="/xl/worksheets/sheet22.xml" ContentType="application/vnd.openxmlformats-officedocument.spreadsheetml.worksheet+xml"/>
  <Override PartName="/xl/comments/comment13.xml" ContentType="application/vnd.openxmlformats-officedocument.spreadsheetml.comments+xml"/>
  <Override PartName="/xl/worksheets/sheet23.xml" ContentType="application/vnd.openxmlformats-officedocument.spreadsheetml.worksheet+xml"/>
  <Override PartName="/xl/comments/comment14.xml" ContentType="application/vnd.openxmlformats-officedocument.spreadsheetml.comments+xml"/>
  <Override PartName="/xl/worksheets/sheet24.xml" ContentType="application/vnd.openxmlformats-officedocument.spreadsheetml.worksheet+xml"/>
  <Override PartName="/xl/comments/comment15.xml" ContentType="application/vnd.openxmlformats-officedocument.spreadsheetml.comments+xml"/>
  <Override PartName="/xl/worksheets/sheet25.xml" ContentType="application/vnd.openxmlformats-officedocument.spreadsheetml.worksheet+xml"/>
  <Override PartName="/xl/comments/comment16.xml" ContentType="application/vnd.openxmlformats-officedocument.spreadsheetml.comments+xml"/>
  <Override PartName="/xl/worksheets/sheet26.xml" ContentType="application/vnd.openxmlformats-officedocument.spreadsheetml.worksheet+xml"/>
  <Override PartName="/xl/comments/comment17.xml" ContentType="application/vnd.openxmlformats-officedocument.spreadsheetml.comments+xml"/>
  <Override PartName="/xl/worksheets/sheet27.xml" ContentType="application/vnd.openxmlformats-officedocument.spreadsheetml.worksheet+xml"/>
  <Override PartName="/xl/comments/comment18.xml" ContentType="application/vnd.openxmlformats-officedocument.spreadsheetml.comments+xml"/>
  <Override PartName="/xl/worksheets/sheet28.xml" ContentType="application/vnd.openxmlformats-officedocument.spreadsheetml.worksheet+xml"/>
  <Override PartName="/xl/comments/comment19.xml" ContentType="application/vnd.openxmlformats-officedocument.spreadsheetml.comments+xml"/>
  <Override PartName="/xl/worksheets/sheet29.xml" ContentType="application/vnd.openxmlformats-officedocument.spreadsheetml.worksheet+xml"/>
  <Override PartName="/xl/comments/comment20.xml" ContentType="application/vnd.openxmlformats-officedocument.spreadsheetml.comments+xml"/>
  <Override PartName="/xl/worksheets/sheet30.xml" ContentType="application/vnd.openxmlformats-officedocument.spreadsheetml.worksheet+xml"/>
  <Override PartName="/xl/comments/comment21.xml" ContentType="application/vnd.openxmlformats-officedocument.spreadsheetml.comments+xml"/>
  <Override PartName="/xl/worksheets/sheet31.xml" ContentType="application/vnd.openxmlformats-officedocument.spreadsheetml.worksheet+xml"/>
  <Override PartName="/xl/comments/comment22.xml" ContentType="application/vnd.openxmlformats-officedocument.spreadsheetml.comments+xml"/>
  <Override PartName="/xl/worksheets/sheet32.xml" ContentType="application/vnd.openxmlformats-officedocument.spreadsheetml.worksheet+xml"/>
  <Override PartName="/xl/comments/comment23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/comment24.xml" ContentType="application/vnd.openxmlformats-officedocument.spreadsheetml.comments+xml"/>
  <Override PartName="/xl/worksheets/sheet35.xml" ContentType="application/vnd.openxmlformats-officedocument.spreadsheetml.worksheet+xml"/>
  <Override PartName="/xl/comments/comment25.xml" ContentType="application/vnd.openxmlformats-officedocument.spreadsheetml.comments+xml"/>
  <Override PartName="/xl/worksheets/sheet36.xml" ContentType="application/vnd.openxmlformats-officedocument.spreadsheetml.worksheet+xml"/>
  <Override PartName="/xl/comments/comment26.xml" ContentType="application/vnd.openxmlformats-officedocument.spreadsheetml.comments+xml"/>
  <Override PartName="/xl/worksheets/sheet37.xml" ContentType="application/vnd.openxmlformats-officedocument.spreadsheetml.worksheet+xml"/>
  <Override PartName="/xl/comments/comment27.xml" ContentType="application/vnd.openxmlformats-officedocument.spreadsheetml.comments+xml"/>
  <Override PartName="/xl/worksheets/sheet38.xml" ContentType="application/vnd.openxmlformats-officedocument.spreadsheetml.worksheet+xml"/>
  <Override PartName="/xl/comments/comment28.xml" ContentType="application/vnd.openxmlformats-officedocument.spreadsheetml.comments+xml"/>
  <Override PartName="/xl/worksheets/sheet39.xml" ContentType="application/vnd.openxmlformats-officedocument.spreadsheetml.worksheet+xml"/>
  <Override PartName="/xl/comments/comment29.xml" ContentType="application/vnd.openxmlformats-officedocument.spreadsheetml.comments+xml"/>
  <Override PartName="/xl/worksheets/sheet40.xml" ContentType="application/vnd.openxmlformats-officedocument.spreadsheetml.worksheet+xml"/>
  <Override PartName="/xl/comments/comment30.xml" ContentType="application/vnd.openxmlformats-officedocument.spreadsheetml.comments+xml"/>
  <Override PartName="/xl/worksheets/sheet41.xml" ContentType="application/vnd.openxmlformats-officedocument.spreadsheetml.worksheet+xml"/>
  <Override PartName="/xl/comments/comment31.xml" ContentType="application/vnd.openxmlformats-officedocument.spreadsheetml.comments+xml"/>
  <Override PartName="/xl/worksheets/sheet42.xml" ContentType="application/vnd.openxmlformats-officedocument.spreadsheetml.worksheet+xml"/>
  <Override PartName="/xl/comments/comment32.xml" ContentType="application/vnd.openxmlformats-officedocument.spreadsheetml.comments+xml"/>
  <Override PartName="/xl/worksheets/sheet43.xml" ContentType="application/vnd.openxmlformats-officedocument.spreadsheetml.worksheet+xml"/>
  <Override PartName="/xl/comments/comment33.xml" ContentType="application/vnd.openxmlformats-officedocument.spreadsheetml.comments+xml"/>
  <Override PartName="/xl/worksheets/sheet44.xml" ContentType="application/vnd.openxmlformats-officedocument.spreadsheetml.worksheet+xml"/>
  <Override PartName="/xl/comments/comment34.xml" ContentType="application/vnd.openxmlformats-officedocument.spreadsheetml.comments+xml"/>
  <Override PartName="/xl/worksheets/sheet45.xml" ContentType="application/vnd.openxmlformats-officedocument.spreadsheetml.worksheet+xml"/>
  <Override PartName="/xl/comments/comment35.xml" ContentType="application/vnd.openxmlformats-officedocument.spreadsheetml.comments+xml"/>
  <Override PartName="/xl/worksheets/sheet46.xml" ContentType="application/vnd.openxmlformats-officedocument.spreadsheetml.worksheet+xml"/>
  <Override PartName="/xl/comments/comment36.xml" ContentType="application/vnd.openxmlformats-officedocument.spreadsheetml.comments+xml"/>
  <Override PartName="/xl/worksheets/sheet47.xml" ContentType="application/vnd.openxmlformats-officedocument.spreadsheetml.worksheet+xml"/>
  <Override PartName="/xl/comments/comment37.xml" ContentType="application/vnd.openxmlformats-officedocument.spreadsheetml.comments+xml"/>
  <Override PartName="/xl/worksheets/sheet48.xml" ContentType="application/vnd.openxmlformats-officedocument.spreadsheetml.worksheet+xml"/>
  <Override PartName="/xl/comments/comment38.xml" ContentType="application/vnd.openxmlformats-officedocument.spreadsheetml.comments+xml"/>
  <Override PartName="/xl/worksheets/sheet49.xml" ContentType="application/vnd.openxmlformats-officedocument.spreadsheetml.worksheet+xml"/>
  <Override PartName="/xl/comments/comment39.xml" ContentType="application/vnd.openxmlformats-officedocument.spreadsheetml.comments+xml"/>
  <Override PartName="/xl/worksheets/sheet50.xml" ContentType="application/vnd.openxmlformats-officedocument.spreadsheetml.worksheet+xml"/>
  <Override PartName="/xl/comments/comment40.xml" ContentType="application/vnd.openxmlformats-officedocument.spreadsheetml.comments+xml"/>
  <Override PartName="/xl/worksheets/sheet51.xml" ContentType="application/vnd.openxmlformats-officedocument.spreadsheetml.worksheet+xml"/>
  <Override PartName="/xl/comments/comment41.xml" ContentType="application/vnd.openxmlformats-officedocument.spreadsheetml.comments+xml"/>
  <Override PartName="/xl/worksheets/sheet52.xml" ContentType="application/vnd.openxmlformats-officedocument.spreadsheetml.worksheet+xml"/>
  <Override PartName="/xl/comments/comment42.xml" ContentType="application/vnd.openxmlformats-officedocument.spreadsheetml.comments+xml"/>
  <Override PartName="/xl/worksheets/sheet53.xml" ContentType="application/vnd.openxmlformats-officedocument.spreadsheetml.worksheet+xml"/>
  <Override PartName="/xl/comments/comment4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IA-ME" sheetId="1" state="visible" r:id="rId1"/>
    <sheet name="DASHBOARD" sheetId="2" state="visible" r:id="rId2"/>
    <sheet name="Tabela" sheetId="3" state="hidden" r:id="rId3"/>
    <sheet name="VALOR POR PL" sheetId="4" state="visible" r:id="rId4"/>
    <sheet name="RETRATO 2027" sheetId="5" state="visible" r:id="rId5"/>
    <sheet name="MODELO PARA BI" sheetId="6" state="visible" r:id="rId6"/>
    <sheet name="AUX. CURVA" sheetId="7" state="visible" r:id="rId7"/>
    <sheet name="&quot;INCC-FGV&quot;" sheetId="8" state="visible" r:id="rId8"/>
    <sheet name="CURVA PREVISION" sheetId="9" state="visible" r:id="rId9"/>
    <sheet name="CRONOGRAMA ATIVIDADES" sheetId="10" state="visible" r:id="rId10"/>
    <sheet name="CP RESUMO" sheetId="11" state="visible" r:id="rId11"/>
    <sheet name="DADOS HISTORICOS" sheetId="12" state="visible" r:id="rId12"/>
    <sheet name="DADOS BRUTOS" sheetId="13" state="visible" r:id="rId13"/>
    <sheet name="PREMISSAS" sheetId="14" state="hidden" r:id="rId14"/>
    <sheet name="PROJETO" sheetId="15" state="visible" r:id="rId15"/>
    <sheet name="TAX. ADM" sheetId="16" state="visible" r:id="rId16"/>
    <sheet name="SEGUROS" sheetId="17" state="visible" r:id="rId17"/>
    <sheet name="TAX. DIVERSAS" sheetId="18" state="visible" r:id="rId18"/>
    <sheet name="BARRACÃO DE OBRA" sheetId="19" state="visible" r:id="rId19"/>
    <sheet name="LIG. PROVISÓRIAS" sheetId="20" state="visible" r:id="rId20"/>
    <sheet name="CONSUMOS" sheetId="21" state="visible" r:id="rId21"/>
    <sheet name="DIVERSOS" sheetId="22" state="visible" r:id="rId22"/>
    <sheet name="TRANSPORTES" sheetId="23" state="visible" r:id="rId23"/>
    <sheet name="CONSULTORIAS" sheetId="24" state="visible" r:id="rId24"/>
    <sheet name="MDO" sheetId="25" state="visible" r:id="rId25"/>
    <sheet name="EQUIP E FER" sheetId="26" state="visible" r:id="rId26"/>
    <sheet name="SERV. INICIAIS" sheetId="27" state="visible" r:id="rId27"/>
    <sheet name="CONTENÇÃO" sheetId="28" state="visible" r:id="rId28"/>
    <sheet name="TERRAPLENAGEM" sheetId="29" state="visible" r:id="rId29"/>
    <sheet name="FUND. PROF" sheetId="30" state="visible" r:id="rId30"/>
    <sheet name="FUND. SUP" sheetId="31" state="visible" r:id="rId31"/>
    <sheet name="ESTRUTURA" sheetId="32" state="visible" r:id="rId32"/>
    <sheet name="AUX.ESTRUTURA" sheetId="33" state="visible" r:id="rId33"/>
    <sheet name="ALVENARIA" sheetId="34" state="visible" r:id="rId34"/>
    <sheet name="IMPERMEABILIZAÇÃO" sheetId="35" state="visible" r:id="rId35"/>
    <sheet name="INST. ELÉTRICA" sheetId="36" state="visible" r:id="rId36"/>
    <sheet name="INST. HIDRO" sheetId="37" state="visible" r:id="rId37"/>
    <sheet name="INST. INC" sheetId="38" state="visible" r:id="rId38"/>
    <sheet name="INST. ESP" sheetId="39" state="visible" r:id="rId39"/>
    <sheet name="ELEVADORES " sheetId="40" state="visible" r:id="rId40"/>
    <sheet name="ESQUADRIAS" sheetId="41" state="visible" r:id="rId41"/>
    <sheet name="SERRALHERIA" sheetId="42" state="visible" r:id="rId42"/>
    <sheet name="MARCENARIA" sheetId="43" state="visible" r:id="rId43"/>
    <sheet name="REV. PISOS" sheetId="44" state="visible" r:id="rId44"/>
    <sheet name="REV. PAREDE" sheetId="45" state="visible" r:id="rId45"/>
    <sheet name="REV. ACAB" sheetId="46" state="visible" r:id="rId46"/>
    <sheet name="PAVIMENTAÇÃO" sheetId="47" state="visible" r:id="rId47"/>
    <sheet name="REV. FACHADA" sheetId="48" state="visible" r:id="rId48"/>
    <sheet name="FORRO" sheetId="49" state="visible" r:id="rId49"/>
    <sheet name="LOUÇAS" sheetId="50" state="visible" r:id="rId50"/>
    <sheet name="PINTURA" sheetId="51" state="visible" r:id="rId51"/>
    <sheet name="PAISAGISMO" sheetId="52" state="visible" r:id="rId52"/>
    <sheet name="LIMPEZA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,##0.00;[Red](#,##0.00);&quot;-&quot;"/>
    <numFmt numFmtId="165" formatCode="#,##0;[Red](#,##0);&quot;-&quot;"/>
    <numFmt numFmtId="166" formatCode="yyyy-mm-dd"/>
    <numFmt numFmtId="167" formatCode="dd/mm/yyyy"/>
    <numFmt numFmtId="168" formatCode="0.0000"/>
    <numFmt numFmtId="169" formatCode="0.0%"/>
    <numFmt numFmtId="170" formatCode="mmm/yy"/>
    <numFmt numFmtId="171" formatCode="0.0%;[Red]-0.0%;&quot;-&quot;"/>
    <numFmt numFmtId="172" formatCode="mm/yyyy"/>
    <numFmt numFmtId="173" formatCode="&quot;R$&quot; #,##0"/>
    <numFmt numFmtId="174" formatCode="yyyy-mm-dd h:mm:ss"/>
    <numFmt numFmtId="175" formatCode="0.0"/>
    <numFmt numFmtId="176" formatCode="0.000000"/>
    <numFmt numFmtId="177" formatCode="&quot;R$&quot; #,##0;[Red]-&quot;R$&quot; #,##0;&quot;-&quot;"/>
    <numFmt numFmtId="178" formatCode="&quot;R$&quot; #,##0.00;[Red]-&quot;R$&quot; #,##0.00;&quot;-&quot;"/>
  </numFmts>
  <fonts count="2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  <font>
      <name val="Arial"/>
      <color rgb="00008000"/>
    </font>
    <font>
      <name val="Arial"/>
      <b val="1"/>
      <sz val="13"/>
    </font>
    <font>
      <name val="Arial"/>
      <b val="1"/>
      <color rgb="00FFFFFF"/>
    </font>
    <font>
      <name val="Arial"/>
      <b val="1"/>
      <color rgb="007030A0"/>
    </font>
    <font>
      <name val="Arial"/>
      <b val="1"/>
      <color rgb="00C65911"/>
    </font>
    <font>
      <name val="Arial"/>
      <b val="1"/>
      <color rgb="00FFFFFF"/>
      <sz val="18"/>
    </font>
    <font>
      <name val="Arial"/>
      <color rgb="00DCE6F0"/>
      <sz val="10"/>
    </font>
    <font>
      <name val="Arial"/>
      <b val="1"/>
      <color rgb="0055606B"/>
      <sz val="9"/>
    </font>
    <font>
      <name val="Arial"/>
      <b val="1"/>
      <color rgb="000000FF"/>
      <sz val="12"/>
    </font>
    <font>
      <name val="Arial"/>
      <b val="1"/>
      <color rgb="00008000"/>
    </font>
    <font>
      <name val="Arial"/>
      <b val="1"/>
      <color rgb="001F4E78"/>
    </font>
    <font>
      <name val="Arial"/>
      <b val="1"/>
      <color rgb="0055606B"/>
      <sz val="8"/>
    </font>
    <font>
      <name val="Arial"/>
      <b val="1"/>
      <color rgb="001F4E78"/>
      <sz val="15"/>
    </font>
    <font>
      <name val="Arial"/>
      <color rgb="0055606B"/>
      <sz val="8"/>
    </font>
    <font>
      <name val="Arial"/>
      <b val="1"/>
      <color rgb="001F4E78"/>
      <sz val="12"/>
    </font>
    <font>
      <name val="Arial"/>
      <b val="1"/>
      <color rgb="00FFFFFF"/>
      <sz val="9"/>
    </font>
    <font>
      <name val="Arial"/>
      <color rgb="000000FF"/>
      <sz val="8"/>
    </font>
    <font>
      <name val="Arial"/>
      <i val="1"/>
      <color rgb="0055606B"/>
      <sz val="8"/>
    </font>
    <font>
      <name val="Arial"/>
      <b val="1"/>
      <color rgb="00008000"/>
      <sz val="13"/>
    </font>
    <font>
      <name val="Arial"/>
      <i val="1"/>
      <color rgb="00595959"/>
      <sz val="9"/>
    </font>
    <font>
      <name val="Arial"/>
      <b val="1"/>
      <color rgb="001F4E78"/>
      <sz val="13"/>
    </font>
    <font>
      <name val="Arial"/>
      <b val="1"/>
      <color rgb="001F4E78"/>
      <sz val="10"/>
    </font>
    <font>
      <name val="Arial"/>
      <b val="1"/>
      <color rgb="0016202B"/>
    </font>
  </fonts>
  <fills count="1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DEDED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5F8FB"/>
      </patternFill>
    </fill>
    <fill>
      <patternFill patternType="solid">
        <fgColor rgb="00EEF8F9"/>
      </patternFill>
    </fill>
    <fill>
      <patternFill patternType="solid">
        <fgColor rgb="00FFFFFF"/>
      </patternFill>
    </fill>
    <fill>
      <patternFill patternType="solid">
        <fgColor rgb="00D9E6F2"/>
      </patternFill>
    </fill>
    <fill>
      <patternFill patternType="solid">
        <fgColor rgb="00C65911"/>
      </patternFill>
    </fill>
    <fill>
      <patternFill patternType="solid">
        <fgColor rgb="00FFF2CC"/>
      </patternFill>
    </fill>
    <fill>
      <patternFill patternType="solid">
        <fgColor rgb="00CDEBEF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top style="thick">
        <color rgb="001F4E78"/>
      </top>
    </border>
    <border/>
    <border>
      <bottom style="thin">
        <color rgb="00D5DEE8"/>
      </bottom>
    </border>
    <border>
      <left/>
      <right/>
      <top style="thick">
        <color rgb="001F4E78"/>
      </top>
      <bottom/>
      <diagonal/>
    </border>
    <border>
      <left/>
      <right/>
      <top/>
      <bottom style="thin">
        <color rgb="00D5DEE8"/>
      </bottom>
      <diagonal/>
    </border>
    <border>
      <bottom style="thin">
        <color rgb="00C9DDE3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10" fillId="4" borderId="0" applyAlignment="1" pivotButton="0" quotePrefix="0" xfId="0">
      <alignment vertical="center"/>
    </xf>
    <xf numFmtId="0" fontId="0" fillId="4" borderId="0" pivotButton="0" quotePrefix="0" xfId="0"/>
    <xf numFmtId="0" fontId="11" fillId="4" borderId="0" applyAlignment="1" pivotButton="0" quotePrefix="0" xfId="0">
      <alignment vertical="top"/>
    </xf>
    <xf numFmtId="0" fontId="16" fillId="6" borderId="6" applyAlignment="1" pivotButton="0" quotePrefix="0" xfId="0">
      <alignment horizontal="left" vertical="center" indent="1"/>
    </xf>
    <xf numFmtId="0" fontId="0" fillId="0" borderId="9" pivotButton="0" quotePrefix="0" xfId="0"/>
    <xf numFmtId="177" fontId="17" fillId="6" borderId="7" applyAlignment="1" pivotButton="0" quotePrefix="0" xfId="0">
      <alignment horizontal="left" vertical="center" indent="1"/>
    </xf>
    <xf numFmtId="169" fontId="17" fillId="6" borderId="7" applyAlignment="1" pivotButton="0" quotePrefix="0" xfId="0">
      <alignment horizontal="left" vertical="center" indent="1"/>
    </xf>
    <xf numFmtId="0" fontId="17" fillId="6" borderId="7" applyAlignment="1" pivotButton="0" quotePrefix="0" xfId="0">
      <alignment horizontal="left" vertical="center" indent="1"/>
    </xf>
    <xf numFmtId="0" fontId="18" fillId="6" borderId="8" applyAlignment="1" pivotButton="0" quotePrefix="0" xfId="0">
      <alignment horizontal="left" vertical="center" indent="1"/>
    </xf>
    <xf numFmtId="0" fontId="0" fillId="0" borderId="10" pivotButton="0" quotePrefix="0" xfId="0"/>
    <xf numFmtId="0" fontId="25" fillId="12" borderId="0" applyAlignment="1" pivotButton="0" quotePrefix="0" xfId="0">
      <alignment horizontal="center" vertical="center"/>
    </xf>
    <xf numFmtId="0" fontId="26" fillId="1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right" vertical="center" wrapText="1"/>
    </xf>
    <xf numFmtId="0" fontId="7" fillId="13" borderId="0" applyAlignment="1" pivotButton="0" quotePrefix="0" xfId="0">
      <alignment horizontal="right" vertical="center" wrapText="1"/>
    </xf>
    <xf numFmtId="0" fontId="7" fillId="14" borderId="0" applyAlignment="1" pivotButton="0" quotePrefix="0" xfId="0">
      <alignment horizontal="right" vertical="center" wrapText="1"/>
    </xf>
    <xf numFmtId="1" fontId="27" fillId="7" borderId="11" applyAlignment="1" pivotButton="0" quotePrefix="0" xfId="0">
      <alignment horizontal="center"/>
    </xf>
    <xf numFmtId="178" fontId="2" fillId="7" borderId="11" pivotButton="0" quotePrefix="0" xfId="0"/>
    <xf numFmtId="10" fontId="2" fillId="7" borderId="11" pivotButton="0" quotePrefix="0" xfId="0"/>
    <xf numFmtId="1" fontId="27" fillId="8" borderId="11" applyAlignment="1" pivotButton="0" quotePrefix="0" xfId="0">
      <alignment horizontal="center"/>
    </xf>
    <xf numFmtId="178" fontId="2" fillId="8" borderId="11" pivotButton="0" quotePrefix="0" xfId="0"/>
    <xf numFmtId="10" fontId="2" fillId="8" borderId="11" pivotButton="0" quotePrefix="0" xfId="0"/>
    <xf numFmtId="0" fontId="7" fillId="4" borderId="0" applyAlignment="1" pivotButton="0" quotePrefix="0" xfId="0">
      <alignment horizontal="center"/>
    </xf>
    <xf numFmtId="178" fontId="7" fillId="4" borderId="0" pivotButton="0" quotePrefix="0" xfId="0"/>
    <xf numFmtId="0" fontId="7" fillId="4" borderId="0" pivotButton="0" quotePrefix="0" xfId="0"/>
    <xf numFmtId="10" fontId="7" fillId="4" borderId="0" pivotButton="0" quotePrefix="0" xfId="0"/>
    <xf numFmtId="0" fontId="22" fillId="0" borderId="0" pivotButton="0" quotePrefix="0" xfId="0"/>
    <xf numFmtId="0" fontId="25" fillId="0" borderId="0" pivotButton="0" quotePrefix="0" xfId="0"/>
    <xf numFmtId="0" fontId="7" fillId="4" borderId="0" applyAlignment="1" pivotButton="0" quotePrefix="0" xfId="0">
      <alignment horizontal="left" vertical="center" wrapText="1" indent="1"/>
    </xf>
    <xf numFmtId="0" fontId="2" fillId="7" borderId="11" applyAlignment="1" pivotButton="0" quotePrefix="0" xfId="0">
      <alignment indent="1"/>
    </xf>
    <xf numFmtId="0" fontId="0" fillId="0" borderId="11" pivotButton="0" quotePrefix="0" xfId="0"/>
    <xf numFmtId="169" fontId="2" fillId="7" borderId="11" pivotButton="0" quotePrefix="0" xfId="0"/>
    <xf numFmtId="0" fontId="2" fillId="8" borderId="11" applyAlignment="1" pivotButton="0" quotePrefix="0" xfId="0">
      <alignment indent="1"/>
    </xf>
    <xf numFmtId="169" fontId="2" fillId="8" borderId="11" pivotButton="0" quotePrefix="0" xfId="0"/>
    <xf numFmtId="0" fontId="7" fillId="4" borderId="0" applyAlignment="1" pivotButton="0" quotePrefix="0" xfId="0">
      <alignment indent="1"/>
    </xf>
    <xf numFmtId="169" fontId="7" fillId="4" borderId="0" pivotButton="0" quotePrefix="0" xfId="0"/>
    <xf numFmtId="0" fontId="6" fillId="0" borderId="0" pivotButton="0" quotePrefix="0" xfId="0"/>
    <xf numFmtId="0" fontId="3" fillId="0" borderId="1" pivotButton="0" quotePrefix="0" xfId="0"/>
    <xf numFmtId="4" fontId="4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167" fontId="4" fillId="2" borderId="1" pivotButton="0" quotePrefix="0" xfId="0"/>
    <xf numFmtId="0" fontId="2" fillId="0" borderId="1" pivotButton="0" quotePrefix="0" xfId="0"/>
    <xf numFmtId="167" fontId="2" fillId="0" borderId="1" pivotButton="0" quotePrefix="0" xfId="0"/>
    <xf numFmtId="164" fontId="4" fillId="0" borderId="1" pivotButton="0" quotePrefix="0" xfId="0"/>
    <xf numFmtId="165" fontId="2" fillId="0" borderId="1" pivotButton="0" quotePrefix="0" xfId="0"/>
    <xf numFmtId="9" fontId="4" fillId="2" borderId="1" pivotButton="0" quotePrefix="0" xfId="0"/>
    <xf numFmtId="4" fontId="5" fillId="0" borderId="1" pivotButton="0" quotePrefix="0" xfId="0"/>
    <xf numFmtId="0" fontId="4" fillId="2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169" fontId="5" fillId="0" borderId="1" pivotButton="0" quotePrefix="0" xfId="0"/>
    <xf numFmtId="168" fontId="4" fillId="0" borderId="1" pivotButton="0" quotePrefix="0" xfId="0"/>
    <xf numFmtId="10" fontId="3" fillId="5" borderId="1" pivotButton="0" quotePrefix="0" xfId="0"/>
    <xf numFmtId="164" fontId="3" fillId="5" borderId="1" pivotButton="0" quotePrefix="0" xfId="0"/>
    <xf numFmtId="0" fontId="7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1" fontId="2" fillId="0" borderId="1" pivotButton="0" quotePrefix="0" xfId="0"/>
    <xf numFmtId="1" fontId="5" fillId="0" borderId="1" pivotButton="0" quotePrefix="0" xfId="0"/>
    <xf numFmtId="165" fontId="5" fillId="0" borderId="1" pivotButton="0" quotePrefix="0" xfId="0"/>
    <xf numFmtId="4" fontId="2" fillId="0" borderId="1" pivotButton="0" quotePrefix="0" xfId="0"/>
    <xf numFmtId="164" fontId="4" fillId="2" borderId="1" pivotButton="0" quotePrefix="0" xfId="0"/>
    <xf numFmtId="164" fontId="3" fillId="0" borderId="1" pivotButton="0" quotePrefix="0" xfId="0"/>
    <xf numFmtId="4" fontId="4" fillId="2" borderId="1" pivotButton="0" quotePrefix="0" xfId="0"/>
    <xf numFmtId="4" fontId="3" fillId="0" borderId="1" pivotButton="0" quotePrefix="0" xfId="0"/>
    <xf numFmtId="0" fontId="11" fillId="4" borderId="0" pivotButton="0" quotePrefix="0" xfId="0"/>
    <xf numFmtId="0" fontId="12" fillId="0" borderId="0" applyAlignment="1" pivotButton="0" quotePrefix="0" xfId="0">
      <alignment horizontal="right"/>
    </xf>
    <xf numFmtId="1" fontId="13" fillId="2" borderId="1" pivotButton="0" quotePrefix="0" xfId="0"/>
    <xf numFmtId="172" fontId="14" fillId="2" borderId="1" pivotButton="0" quotePrefix="0" xfId="0"/>
    <xf numFmtId="167" fontId="15" fillId="0" borderId="0" applyAlignment="1" pivotButton="0" quotePrefix="0" xfId="0">
      <alignment horizontal="left"/>
    </xf>
    <xf numFmtId="173" fontId="17" fillId="6" borderId="7" applyAlignment="1" pivotButton="0" quotePrefix="0" xfId="0">
      <alignment horizontal="left" vertical="center" indent="1"/>
    </xf>
    <xf numFmtId="4" fontId="17" fillId="6" borderId="7" applyAlignment="1" pivotButton="0" quotePrefix="0" xfId="0">
      <alignment horizontal="left" vertical="center" indent="1"/>
    </xf>
    <xf numFmtId="0" fontId="19" fillId="6" borderId="7" applyAlignment="1" pivotButton="0" quotePrefix="0" xfId="0">
      <alignment horizontal="left" vertical="center" indent="1"/>
    </xf>
    <xf numFmtId="0" fontId="20" fillId="4" borderId="0" applyAlignment="1" pivotButton="0" quotePrefix="0" xfId="0">
      <alignment horizontal="left" vertical="center" wrapText="1"/>
    </xf>
    <xf numFmtId="0" fontId="20" fillId="4" borderId="0" applyAlignment="1" pivotButton="0" quotePrefix="0" xfId="0">
      <alignment horizontal="right" vertical="center" wrapText="1"/>
    </xf>
    <xf numFmtId="0" fontId="5" fillId="7" borderId="11" applyAlignment="1" pivotButton="0" quotePrefix="0" xfId="0">
      <alignment horizontal="left" vertical="top"/>
    </xf>
    <xf numFmtId="0" fontId="5" fillId="7" borderId="11" applyAlignment="1" pivotButton="0" quotePrefix="0" xfId="0">
      <alignment vertical="top" wrapText="1"/>
    </xf>
    <xf numFmtId="169" fontId="2" fillId="7" borderId="11" applyAlignment="1" pivotButton="0" quotePrefix="0" xfId="0">
      <alignment horizontal="right" vertical="top"/>
    </xf>
    <xf numFmtId="169" fontId="5" fillId="7" borderId="11" applyAlignment="1" pivotButton="0" quotePrefix="0" xfId="0">
      <alignment horizontal="right" vertical="top"/>
    </xf>
    <xf numFmtId="164" fontId="2" fillId="7" borderId="11" applyAlignment="1" pivotButton="0" quotePrefix="0" xfId="0">
      <alignment horizontal="right" vertical="top"/>
    </xf>
    <xf numFmtId="0" fontId="2" fillId="7" borderId="11" applyAlignment="1" pivotButton="0" quotePrefix="0" xfId="0">
      <alignment vertical="top" wrapText="1"/>
    </xf>
    <xf numFmtId="0" fontId="21" fillId="7" borderId="11" applyAlignment="1" pivotButton="0" quotePrefix="0" xfId="0">
      <alignment vertical="top" wrapText="1"/>
    </xf>
    <xf numFmtId="164" fontId="5" fillId="0" borderId="0" pivotButton="0" quotePrefix="0" xfId="0"/>
    <xf numFmtId="0" fontId="5" fillId="8" borderId="11" applyAlignment="1" pivotButton="0" quotePrefix="0" xfId="0">
      <alignment horizontal="left" vertical="top"/>
    </xf>
    <xf numFmtId="0" fontId="5" fillId="8" borderId="11" applyAlignment="1" pivotButton="0" quotePrefix="0" xfId="0">
      <alignment vertical="top" wrapText="1"/>
    </xf>
    <xf numFmtId="169" fontId="2" fillId="8" borderId="11" applyAlignment="1" pivotButton="0" quotePrefix="0" xfId="0">
      <alignment horizontal="right" vertical="top"/>
    </xf>
    <xf numFmtId="169" fontId="5" fillId="8" borderId="11" applyAlignment="1" pivotButton="0" quotePrefix="0" xfId="0">
      <alignment horizontal="right" vertical="top"/>
    </xf>
    <xf numFmtId="164" fontId="2" fillId="8" borderId="11" applyAlignment="1" pivotButton="0" quotePrefix="0" xfId="0">
      <alignment horizontal="right" vertical="top"/>
    </xf>
    <xf numFmtId="0" fontId="2" fillId="8" borderId="11" applyAlignment="1" pivotButton="0" quotePrefix="0" xfId="0">
      <alignment vertical="top" wrapText="1"/>
    </xf>
    <xf numFmtId="0" fontId="21" fillId="8" borderId="11" applyAlignment="1" pivotButton="0" quotePrefix="0" xfId="0">
      <alignment vertical="top" wrapText="1"/>
    </xf>
    <xf numFmtId="0" fontId="15" fillId="9" borderId="11" applyAlignment="1" pivotButton="0" quotePrefix="0" xfId="0">
      <alignment horizontal="left" vertical="top"/>
    </xf>
    <xf numFmtId="0" fontId="15" fillId="9" borderId="11" applyAlignment="1" pivotButton="0" quotePrefix="0" xfId="0">
      <alignment vertical="top" wrapText="1"/>
    </xf>
    <xf numFmtId="169" fontId="15" fillId="9" borderId="11" applyAlignment="1" pivotButton="0" quotePrefix="0" xfId="0">
      <alignment horizontal="right" vertical="top"/>
    </xf>
    <xf numFmtId="164" fontId="15" fillId="9" borderId="11" applyAlignment="1" pivotButton="0" quotePrefix="0" xfId="0">
      <alignment horizontal="right" vertical="top"/>
    </xf>
    <xf numFmtId="0" fontId="15" fillId="9" borderId="11" pivotButton="0" quotePrefix="0" xfId="0"/>
    <xf numFmtId="164" fontId="7" fillId="4" borderId="0" applyAlignment="1" pivotButton="0" quotePrefix="0" xfId="0">
      <alignment horizontal="right"/>
    </xf>
    <xf numFmtId="169" fontId="7" fillId="4" borderId="0" applyAlignment="1" pivotButton="0" quotePrefix="0" xfId="0">
      <alignment horizontal="right"/>
    </xf>
    <xf numFmtId="0" fontId="2" fillId="0" borderId="11" pivotButton="0" quotePrefix="0" xfId="0"/>
    <xf numFmtId="164" fontId="2" fillId="0" borderId="11" applyAlignment="1" pivotButton="0" quotePrefix="0" xfId="0">
      <alignment horizontal="right"/>
    </xf>
    <xf numFmtId="169" fontId="2" fillId="0" borderId="11" applyAlignment="1" pivotButton="0" quotePrefix="0" xfId="0">
      <alignment horizontal="right"/>
    </xf>
    <xf numFmtId="170" fontId="7" fillId="4" borderId="0" applyAlignment="1" pivotButton="0" quotePrefix="0" xfId="0">
      <alignment horizontal="center" vertical="center" wrapText="1"/>
    </xf>
    <xf numFmtId="0" fontId="8" fillId="0" borderId="1" pivotButton="0" quotePrefix="0" xfId="0"/>
    <xf numFmtId="164" fontId="2" fillId="0" borderId="0" pivotButton="0" quotePrefix="0" xfId="0"/>
    <xf numFmtId="0" fontId="9" fillId="0" borderId="1" pivotButton="0" quotePrefix="0" xfId="0"/>
    <xf numFmtId="165" fontId="3" fillId="0" borderId="1" pivotButton="0" quotePrefix="0" xfId="0"/>
    <xf numFmtId="171" fontId="2" fillId="0" borderId="1" pivotButton="0" quotePrefix="0" xfId="0"/>
    <xf numFmtId="0" fontId="23" fillId="0" borderId="0" pivotButton="0" quotePrefix="0" xfId="0"/>
    <xf numFmtId="170" fontId="5" fillId="0" borderId="1" pivotButton="0" quotePrefix="0" xfId="0"/>
    <xf numFmtId="10" fontId="4" fillId="0" borderId="1" pivotButton="0" quotePrefix="0" xfId="0"/>
    <xf numFmtId="172" fontId="4" fillId="0" borderId="1" pivotButton="0" quotePrefix="0" xfId="0"/>
    <xf numFmtId="10" fontId="2" fillId="0" borderId="0" pivotButton="0" quotePrefix="0" xfId="0"/>
    <xf numFmtId="0" fontId="24" fillId="0" borderId="0" pivotButton="0" quotePrefix="0" xfId="0"/>
    <xf numFmtId="172" fontId="4" fillId="0" borderId="0" pivotButton="0" quotePrefix="0" xfId="0"/>
    <xf numFmtId="4" fontId="4" fillId="0" borderId="0" pivotButton="0" quotePrefix="0" xfId="0"/>
    <xf numFmtId="167" fontId="4" fillId="0" borderId="0" pivotButton="0" quotePrefix="0" xfId="0"/>
    <xf numFmtId="172" fontId="5" fillId="0" borderId="1" pivotButton="0" quotePrefix="0" xfId="0"/>
    <xf numFmtId="1" fontId="24" fillId="0" borderId="0" pivotButton="0" quotePrefix="0" xfId="0"/>
    <xf numFmtId="170" fontId="7" fillId="4" borderId="1" pivotButton="0" quotePrefix="0" xfId="0"/>
    <xf numFmtId="175" fontId="2" fillId="0" borderId="1" pivotButton="0" quotePrefix="0" xfId="0"/>
    <xf numFmtId="176" fontId="2" fillId="0" borderId="0" pivotButton="0" quotePrefix="0" xfId="0"/>
    <xf numFmtId="165" fontId="2" fillId="0" borderId="0" pivotButton="0" quotePrefix="0" xfId="0"/>
    <xf numFmtId="165" fontId="3" fillId="5" borderId="1" pivotButton="0" quotePrefix="0" xfId="0"/>
    <xf numFmtId="170" fontId="4" fillId="0" borderId="0" pivotButton="0" quotePrefix="0" xfId="0"/>
    <xf numFmtId="164" fontId="4" fillId="0" borderId="0" pivotButton="0" quotePrefix="0" xfId="0"/>
    <xf numFmtId="0" fontId="7" fillId="10" borderId="1" applyAlignment="1" pivotButton="0" quotePrefix="0" xfId="0">
      <alignment horizontal="center" vertical="center" wrapText="1"/>
    </xf>
    <xf numFmtId="164" fontId="4" fillId="11" borderId="1" pivotButton="0" quotePrefix="0" xfId="0"/>
    <xf numFmtId="2" fontId="5" fillId="0" borderId="1" pivotButton="0" quotePrefix="0" xfId="0"/>
    <xf numFmtId="2" fontId="2" fillId="0" borderId="1" pivotButton="0" quotePrefix="0" xfId="0"/>
    <xf numFmtId="170" fontId="2" fillId="0" borderId="1" pivotButton="0" quotePrefix="0" xfId="0"/>
    <xf numFmtId="169" fontId="2" fillId="0" borderId="1" pivotButton="0" quotePrefix="0" xfId="0"/>
    <xf numFmtId="164" fontId="5" fillId="0" borderId="1" applyAlignment="1" pivotButton="0" quotePrefix="0" xfId="0">
      <alignment vertical="top" wrapText="1"/>
    </xf>
    <xf numFmtId="0" fontId="0" fillId="0" borderId="14" pivotButton="0" quotePrefix="0" xfId="0"/>
    <xf numFmtId="0" fontId="4" fillId="0" borderId="0" applyAlignment="1" pivotButton="0" quotePrefix="0" xfId="0">
      <alignment vertical="top" wrapText="1"/>
    </xf>
    <xf numFmtId="171" fontId="3" fillId="5" borderId="1" pivotButton="0" quotePrefix="0" xfId="0"/>
    <xf numFmtId="9" fontId="2" fillId="0" borderId="1" pivotButton="0" quotePrefix="0" xfId="0"/>
    <xf numFmtId="1" fontId="4" fillId="2" borderId="1" pivotButton="0" quotePrefix="0" xfId="0"/>
  </cellXfs>
  <cellStyles count="1">
    <cellStyle name="Normal" xfId="0" builtinId="0" hidden="0"/>
  </cellStyles>
  <dxfs count="12">
    <dxf>
      <font>
        <name val="Arial"/>
        <b val="1"/>
        <color rgb="002E7D32"/>
        <sz val="14"/>
      </font>
    </dxf>
    <dxf>
      <font>
        <name val="Arial"/>
        <b val="1"/>
        <color rgb="00C00000"/>
        <sz val="14"/>
      </font>
    </dxf>
    <dxf>
      <font>
        <name val="Arial"/>
        <b val="1"/>
        <color rgb="001F4E78"/>
      </font>
      <fill>
        <patternFill patternType="solid">
          <fgColor rgb="00D6E9F8"/>
        </patternFill>
      </fill>
      <border>
        <top style="medium">
          <color rgb="001F4E78"/>
        </top>
        <bottom style="medium">
          <color rgb="001F4E78"/>
        </bottom>
      </border>
    </dxf>
    <dxf>
      <font>
        <name val="Arial"/>
        <b val="1"/>
        <color rgb="00C00000"/>
      </font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ont>
        <name val="Arial"/>
        <b val="1"/>
        <color rgb="001F4E78"/>
      </font>
      <fill>
        <patternFill patternType="solid">
          <fgColor rgb="00DDEBF7"/>
        </patternFill>
      </fill>
    </dxf>
    <dxf>
      <font>
        <name val="Arial"/>
        <b val="1"/>
        <color rgb="00C00000"/>
      </font>
    </dxf>
    <dxf>
      <fill>
        <patternFill patternType="solid">
          <fgColor rgb="00EDEDED"/>
        </patternFill>
      </fill>
    </dxf>
    <dxf>
      <font>
        <name val="Arial"/>
        <color rgb="00BFBFBF"/>
      </font>
    </dxf>
    <dxf>
      <font>
        <name val="Arial"/>
        <strike val="1"/>
        <color rgb="00A6A6A6"/>
      </font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Desembolso anual</a:t>
            </a:r>
          </a:p>
        </rich>
      </tx>
    </title>
    <plotArea>
      <barChart>
        <barDir val="col"/>
        <grouping val="stacked"/>
        <ser>
          <idx val="0"/>
          <order val="0"/>
          <tx>
            <v>Realizado</v>
          </tx>
          <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'DASHBOARD'!$B$13:$B$19</f>
            </numRef>
          </cat>
          <val>
            <numRef>
              <f>'DASHBOARD'!$H$13:$H$19</f>
            </numRef>
          </val>
        </ser>
        <ser>
          <idx val="1"/>
          <order val="1"/>
          <tx>
            <v>A realizar</v>
          </tx>
          <spPr>
            <a:solidFill>
              <a:srgbClr val="EB6834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'DASHBOARD'!$B$13:$B$19</f>
            </numRef>
          </cat>
          <val>
            <numRef>
              <f>'DASHBOARD'!$I$13:$I$19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,,&quot;M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Desembolso do ano por grupo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'DASHBOARD'!$B$26:$B$31</f>
            </numRef>
          </cat>
          <val>
            <numRef>
              <f>'DASHBOARD'!$D$26:$D$31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spPr>
            <a:ln w="2857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 PARA BI'!$H$1:$CA$1</f>
            </numRef>
          </cat>
          <val>
            <numRef>
              <f>'MODELO PARA BI'!$H$67:$CA$67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/yy" sourceLinked="0"/>
        <majorTickMark val="none"/>
        <minorTickMark val="none"/>
        <crossAx val="100"/>
        <lblOffset val="100"/>
        <tickLblSkip val="6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Execução física prevista no fim do ano (Prevision)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A78D6"/>
            </a:solidFill>
            <a:ln>
              <a:prstDash val="solid"/>
            </a:ln>
          </spPr>
          <cat>
            <numRef>
              <f>'RETRATO 2027'!$C$30:$C$50</f>
            </numRef>
          </cat>
          <val>
            <numRef>
              <f>'RETRATO 2027'!$D$30:$D$50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Desembolso no ano por PL (R$)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B6834"/>
            </a:solidFill>
            <a:ln>
              <a:prstDash val="solid"/>
            </a:ln>
          </spPr>
          <cat>
            <numRef>
              <f>'RETRATO 2027'!$C$30:$C$50</f>
            </numRef>
          </cat>
          <val>
            <numRef>
              <f>'RETRATO 2027'!$F$30:$F$50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S — acumulado (R$)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'MODELO PARA BI'!$H$1:$CA$1</f>
            </numRef>
          </cat>
          <val>
            <numRef>
              <f>'MODELO PARA BI'!$H$66:$CA$66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S — inicial × atual (% acumulado)</a:t>
            </a:r>
          </a:p>
        </rich>
      </tx>
    </title>
    <plotArea>
      <lineChart>
        <grouping val="standard"/>
        <ser>
          <idx val="0"/>
          <order val="0"/>
          <tx>
            <strRef>
              <f>'AUX. CURVA'!C3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'AUX. CURVA'!$A$4:$A$75</f>
            </numRef>
          </cat>
          <val>
            <numRef>
              <f>'AUX. CURVA'!$C$4:$C$75</f>
            </numRef>
          </val>
        </ser>
        <ser>
          <idx val="1"/>
          <order val="1"/>
          <tx>
            <strRef>
              <f>'AUX. CURVA'!G3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'AUX. CURVA'!$A$4:$A$75</f>
            </numRef>
          </cat>
          <val>
            <numRef>
              <f>'AUX. CURVA'!$G$4:$G$75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Ferramenta</author>
  </authors>
  <commentList>
    <comment ref="B11" authorId="0" shapeId="0">
      <text>
        <t>Mês do relatório = mês seguinte à data de corte.</t>
      </text>
    </comment>
  </commentList>
</comments>
</file>

<file path=xl/comments/comment2.xml><?xml version="1.0" encoding="utf-8"?>
<comments xmlns="http://schemas.openxmlformats.org/spreadsheetml/2006/main">
  <authors>
    <author>Ferramenta</author>
  </authors>
  <commentList>
    <comment ref="K5" authorId="0" shapeId="0">
      <text>
        <t>Último mês com realizado fechado. Meses até aqui = INCORRIDO; depois = PREVISÃO calculada. Original: 'INCORRIDO ATÉ -&gt; AGO/2026'.</t>
      </text>
    </comment>
    <comment ref="H6" authorId="0" shapeId="0">
      <text>
        <t>Índice usado para converter o orçamento (coluna F) em INCC (coluna G). Valor do arquivo original.</t>
      </text>
    </comment>
    <comment ref="K6" authorId="0" shapeId="0">
      <text>
        <t>1º mês do horizonte (72 meses). Todo o realizado anterior entra acumulado neste mês ('Acu até').</t>
      </text>
    </comment>
    <comment ref="K7" authorId="0" shapeId="0">
      <text>
        <t>Itens DIRETOS com avanço físico realizado (Prevision, no mês de corte) abaixo deste limite usam a curva do Prevision para distribuir o saldo. Regra definida pelo usuário.</t>
      </text>
    </comment>
    <comment ref="K8" authorId="0" shapeId="0">
      <text>
        <t>PREVISION: itens diretos com avanço físico abaixo do limite (K7) seguem a curva do Prevision; os demais, a curva digitada. PADRÃO: todos seguem a curva digitada (coluna H das abas), como na versão original. Nos dois cenários ficam as premissas especiais (elevadores, esquadrias, louças).</t>
      </text>
    </comment>
    <comment ref="G10" authorId="0" shapeId="0">
      <text>
        <t>Valor em INCC do orçamento, copiado da aba VALOR POR PL da planilha original da obra (nas obras novas: orçamento em R$ ÷ INCC base).</t>
      </text>
    </comment>
    <comment ref="H10" authorId="0" shapeId="0">
      <text>
        <t>Meta da distribuição em INCC = INCC do orçamento (G) × fator da projeção (S) — nunca abaixo do incorrido em INCC (a PL fecha no que foi efetivamente gasto). A soma do fluxo em INCC de cada PL é igual a este valor. Taxa de administração 'somente incorrido': meta = incorrido em INCC.</t>
      </text>
    </comment>
    <comment ref="L10" authorId="0" shapeId="0">
      <text>
        <t>Calculada: incorrido em R$ + (meta em INCC − incorrido em INCC) × INCC do corte. O controle da obra é em INCC: a distribuição de cada PL soma a coluna H.</t>
      </text>
    </comment>
    <comment ref="Q10" authorId="0" shapeId="0">
      <text>
        <t>Código do PL no cronograma do Prevision (coluna B da aba CURVA PREVISION). Normalmente igual ao código do orçamento; mude quando o Prevision numerar diferente.</t>
      </text>
    </comment>
    <comment ref="R10" authorId="0" shapeId="0">
      <text>
        <t>Opcional. Código de outro item do Prevision cuja curva PREVISTA este PL deve seguir (ex.: hidráulica com o andamento da elétrica). Vazio = usa a própria linha. O realizado continua o do próprio PL.</t>
      </text>
    </comment>
    <comment ref="S10" authorId="0" shapeId="0">
      <text>
        <t>Reorçamento (projeção) da PL: meta em INCC = INCC do orçamento × fator. Fator = projeção ÷ orçamento, os dois na mesma base de reajuste (planilha de medição financeira, aba ANÁLISE IEC: coluna W ÷ coluna H). Vazio = 1 (sem reorçamento).</t>
      </text>
    </comment>
    <comment ref="E63" authorId="0" shapeId="0">
      <text>
        <t>Fonte: Ed. Botânico - Medição Financeira - Prep Set.26 (PAINEL D95/D97). O ajuste (coluna G) entra no mês de corte na aba MODELO PARA BI (linha AJUSTE DE CONCILIAÇÃO): R$ na curva em R$ e INCC no total em INCC.</t>
      </text>
    </comment>
  </commentList>
</comments>
</file>

<file path=xl/comments/comment3.xml><?xml version="1.0" encoding="utf-8"?>
<comments xmlns="http://schemas.openxmlformats.org/spreadsheetml/2006/main">
  <authors>
    <author>Ferramenta</author>
  </authors>
  <commentList>
    <comment ref="F5" authorId="0" shapeId="0">
      <text>
        <t>Mês do INCC usado para converter INCC em R$. Por padrão acompanha a data de corte; pode digitar outro mês. Se o índice do mês não estiver cadastrado, usa o último disponível.</t>
      </text>
    </comment>
  </commentList>
</comments>
</file>

<file path=xl/comments/comment4.xml><?xml version="1.0" encoding="utf-8"?>
<comments xmlns="http://schemas.openxmlformats.org/spreadsheetml/2006/main">
  <authors>
    <author>Ferramenta</author>
  </authors>
  <commentList>
    <comment ref="C58" authorId="0" shapeId="0">
      <text>
        <t>Incorrido informado pela medição financeira − incorrido do ERP (VALOR POR PL, linhas 63-64), lançado no mês de corte.</t>
      </text>
    </comment>
    <comment ref="C59" authorId="0" shapeId="0">
      <text>
        <t>Orçamento em INCC (VALOR POR PL!G50) − soma distribuída nas PLs (projeções). Lançada em 06/2030; no fluxo em R$ entra pelo INCC do corte. Variação negativa (projeções acima do orçamento) não gera contingência: fica zero.</t>
      </text>
    </comment>
  </commentList>
</comments>
</file>

<file path=xl/comments/comment5.xml><?xml version="1.0" encoding="utf-8"?>
<comments xmlns="http://schemas.openxmlformats.org/spreadsheetml/2006/main">
  <authors>
    <author>Ferramenta</author>
  </authors>
  <commentList>
    <comment ref="BZ4" authorId="0" shapeId="0">
      <text>
        <t>Realizado até o 1º mês do horizonte (coluna D, 'Acu até'), convertido em INCC pelo índice de CADA mês em que foi pago (aba INCC-FGV). É o valor usado na linha 'Acu até' das abas de disciplina.</t>
      </text>
    </comment>
  </commentList>
</comments>
</file>

<file path=xl/comments/comment6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7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8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9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0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1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2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3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4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5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6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7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8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19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0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1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2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3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4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5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6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7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8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29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0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1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2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3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4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5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6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7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8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39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40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  <comment ref="K28" authorId="0" shapeId="0">
      <text>
        <t>Premissa: 'Louças e metais: 40 a 180 dias no pedido'. Usado o prazo máximo (180 dias), cenário mais conservador para o caixa. Altere se o fornecedor tiver outro prazo.</t>
      </text>
    </comment>
    <comment ref="K29" authorId="0" shapeId="0">
      <text>
        <t>Premissa: 'pagto - 28/56/84' (3 parcelas iguais contadas da data do pedido).</t>
      </text>
    </comment>
  </commentList>
</comments>
</file>

<file path=xl/comments/comment41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42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comments/comment43.xml><?xml version="1.0" encoding="utf-8"?>
<comments xmlns="http://schemas.openxmlformats.org/spreadsheetml/2006/main">
  <authors>
    <author>Ferramenta</author>
  </authors>
  <commentList>
    <comment ref="K15" authorId="0" shapeId="0">
      <text>
        <t>AUTOMÁTICO aplica a regra (item direto com avanço físico abaixo do limite de VALOR POR PL!K7 usa o Prevision). Escolha CURVA PREVISION ou PREVISÃO INFORMADA para forçar a fonte nesta aba.</t>
      </text>
    </comment>
    <comment ref="K22" authorId="0" shapeId="0">
      <text>
        <t>SIM: valores do ERP com data depois do corte entram no fluxo como estão (compromissos) e só o restante é distribuído. NÃO: vale só o realizado até o corte; todo o saldo até a projeção é distribuído pela curva.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8</row>
      <rowOff>0</rowOff>
    </from>
    <ext cx="612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612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36</row>
      <rowOff>0</rowOff>
    </from>
    <ext cx="118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55</row>
      <rowOff>0</rowOff>
    </from>
    <ext cx="61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61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69</row>
      <rowOff>0</rowOff>
    </from>
    <ext cx="93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50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51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52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_rels/sheet53.xml.rels><Relationships xmlns="http://schemas.openxmlformats.org/package/2006/relationships"><Relationship Type="http://schemas.openxmlformats.org/officeDocument/2006/relationships/comments" Target="/xl/comments/comment43.xml" Id="comments" /><Relationship Type="http://schemas.openxmlformats.org/officeDocument/2006/relationships/vmlDrawing" Target="/xl/drawings/commentsDrawing4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tabSelected="0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Fluxo de caixa da obra — mesmas abas do MODELO 05, agora com cálculo automático</t>
        </is>
      </c>
    </row>
    <row r="2">
      <c r="A2" s="2" t="inlineStr"/>
    </row>
    <row r="3">
      <c r="A3" s="3" t="inlineStr">
        <is>
          <t>O que mudou em relação ao modelo original</t>
        </is>
      </c>
    </row>
    <row r="4">
      <c r="A4" s="2" t="inlineStr">
        <is>
          <t>• As abas são as mesmas. A diferença é que nada precisa de ajuste manual: em cada aba de disciplina, o saldo</t>
        </is>
      </c>
    </row>
    <row r="5">
      <c r="A5" s="2" t="inlineStr">
        <is>
          <t xml:space="preserve">  (META EM INCC − INCORRIDO EM INCC) é distribuído nos meses futuros e convertido em R$ pelo INCC do corte; a linha DIFERENÇA fica zerada.</t>
        </is>
      </c>
    </row>
    <row r="6">
      <c r="A6" s="2" t="inlineStr">
        <is>
          <t>• A coluna PREVISÃO (R$) agora é calculada. O que você digitava nela vai na coluna H 'PREVISÃO INFORMADA' e vira o peso</t>
        </is>
      </c>
    </row>
    <row r="7">
      <c r="A7" s="2" t="inlineStr">
        <is>
          <t xml:space="preserve">  de cada mês. Se a soma do que você digitou não fechar com o saldo, a ferramenta reescala (mostra o % de ajuste em K15).</t>
        </is>
      </c>
    </row>
    <row r="8">
      <c r="A8" s="2" t="inlineStr">
        <is>
          <t>• Regra da curva (célula K16 de cada aba): itens DIRETOS com avanço físico realizado no Prevision abaixo do limite</t>
        </is>
      </c>
    </row>
    <row r="9">
      <c r="A9" s="2" t="inlineStr">
        <is>
          <t xml:space="preserve">  (VALOR POR PL!K7, hoje 10%) seguem a CURVA DO PREVISION (colunas M a O da aba). Os demais usam a coluna H;</t>
        </is>
      </c>
    </row>
    <row r="10">
      <c r="A10" s="2" t="inlineStr">
        <is>
          <t xml:space="preserve">  sem coluna H, também usam o Prevision. Para forçar uma fonte numa aba, use a célula K15.</t>
        </is>
      </c>
    </row>
    <row r="11">
      <c r="A11" s="2" t="inlineStr">
        <is>
          <t>• DADOS HISTORICOS localiza cada grupo do ERP pelo NOME e cada mês pela DATA do cabeçalho (antes era por posição).</t>
        </is>
      </c>
    </row>
    <row r="12">
      <c r="A12" s="2" t="inlineStr"/>
    </row>
    <row r="13">
      <c r="A13" s="3" t="inlineStr">
        <is>
          <t>Atualização mensal</t>
        </is>
      </c>
    </row>
    <row r="14">
      <c r="A14" s="2" t="inlineStr">
        <is>
          <t>1. "INCC-FGV": acrescente o índice do mês (mês no formato 01/mm/aaaa).</t>
        </is>
      </c>
    </row>
    <row r="15">
      <c r="A15" s="2" t="inlineStr">
        <is>
          <t>2. VALOR POR PL: mude a DATA DE CORTE (K5) para o último mês com realizado fechado. A meta de cada PL é em INCC (coluna H); a projeção em R$ (coluna L) é calculada.</t>
        </is>
      </c>
    </row>
    <row r="16">
      <c r="A16" s="2" t="inlineStr">
        <is>
          <t>3. DADOS BRUTOS: cole a tabela dinâmica do ERP a partir da célula A1 (mesmo formato de sempre: grupos nas linhas, meses nas colunas).</t>
        </is>
      </c>
    </row>
    <row r="17">
      <c r="A17" s="2" t="inlineStr">
        <is>
          <t xml:space="preserve">   Grupo destacado em vermelho = nome que não existe em DADOS HISTORICOS (colunas B/C). Cadastre-o ou coloque na lista de ignorados.</t>
        </is>
      </c>
    </row>
    <row r="18">
      <c r="A18" s="2" t="inlineStr">
        <is>
          <t>4. CURVA PREVISION: cole o export do Prevision a partir da célula A1 (opcional — só é usado quando a coluna H da disciplina está vazia).</t>
        </is>
      </c>
    </row>
    <row r="19">
      <c r="A19" s="2" t="inlineStr">
        <is>
          <t>5. Abas de disciplina: se quiser, digite a previsão por mês na coluna H (meses futuros).</t>
        </is>
      </c>
    </row>
    <row r="20">
      <c r="A20" s="2" t="inlineStr">
        <is>
          <t>6. VALOR POR PL, coluna N e bloco CONFERÊNCIA GERAL: tudo deve estar 'OK'.</t>
        </is>
      </c>
    </row>
    <row r="21">
      <c r="A21" s="2" t="inlineStr">
        <is>
          <t>7. RETRATO 2027: escolha o ano em D5 e o INCC em F5. As observações vêm da aba CRONOGRAMA ATIVIDADES (cole ali o export de atividades do Prevision).</t>
        </is>
      </c>
    </row>
    <row r="22">
      <c r="A22" s="2" t="inlineStr"/>
    </row>
    <row r="23">
      <c r="A23" s="3" t="inlineStr">
        <is>
          <t>Convenção de cores</t>
        </is>
      </c>
    </row>
    <row r="24">
      <c r="A24" s="4" t="inlineStr">
        <is>
          <t>Texto azul = entrada (editar)</t>
        </is>
      </c>
    </row>
    <row r="25">
      <c r="A25" s="2" t="inlineStr">
        <is>
          <t>Texto preto = fórmula (não editar)</t>
        </is>
      </c>
    </row>
    <row r="26">
      <c r="A26" s="5" t="inlineStr">
        <is>
          <t>Texto verde = puxa de outra aba (não editar)</t>
        </is>
      </c>
    </row>
    <row r="27">
      <c r="A27" s="6" t="inlineStr">
        <is>
          <t>Fundo amarelo = parâmetro principal</t>
        </is>
      </c>
    </row>
    <row r="28">
      <c r="A28" s="7" t="inlineStr">
        <is>
          <t>Linhas cinza nas abas de disciplina = meses já realizados (até a data de corte)</t>
        </is>
      </c>
    </row>
    <row r="29">
      <c r="A29" s="2" t="inlineStr"/>
    </row>
    <row r="30">
      <c r="A30" s="3" t="inlineStr">
        <is>
          <t>Diferenças de abas em relação ao original</t>
        </is>
      </c>
    </row>
    <row r="31">
      <c r="A31" s="2" t="inlineStr">
        <is>
          <t>• Novas: LEIA-ME, SEGUROS e LIG. PROVISÓRIAS (essas duas disciplinas tinham projeção e realizado no ERP, mas nenhuma aba de distribuição).</t>
        </is>
      </c>
    </row>
    <row r="32">
      <c r="A32" s="2" t="inlineStr">
        <is>
          <t>• Removida: Planilha1 (era uma cópia com valores fixos do MODELO PARA BI).</t>
        </is>
      </c>
    </row>
    <row r="33">
      <c r="A33" s="2" t="inlineStr">
        <is>
          <t>• Tabela, PREMISSAS e AUX.ESTRUTURA foram copiadas como estavam (somente valores), para consulta.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A0"/>
    <outlinePr summaryBelow="1" summaryRight="1"/>
    <pageSetUpPr fitToPage="1"/>
  </sheetPr>
  <dimension ref="B2:I36"/>
  <sheetViews>
    <sheetView showGridLines="0" tabSelected="1" zoomScale="9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5" customWidth="1" min="3" max="3"/>
    <col width="19" customWidth="1" min="4" max="4"/>
    <col width="11" customWidth="1" min="5" max="5"/>
    <col width="19" customWidth="1" min="6" max="6"/>
    <col width="2" customWidth="1" min="7" max="7"/>
    <col width="19" customWidth="1" min="8" max="8"/>
    <col width="19" customWidth="1" min="9" max="9"/>
    <col width="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2" ht="34" customHeight="1">
      <c r="B2" s="8">
        <f>'VALOR POR PL'!$P$9&amp;"  ·  FLUXO DE CAIXA DA OBRA"</f>
        <v/>
      </c>
      <c r="C2" s="9" t="n"/>
      <c r="D2" s="9" t="n"/>
      <c r="E2" s="9" t="n"/>
      <c r="F2" s="9" t="n"/>
      <c r="G2" s="9" t="n"/>
      <c r="H2" s="9" t="n"/>
      <c r="I2" s="9" t="n"/>
    </row>
    <row r="3" ht="20" customHeight="1">
      <c r="B3" s="10">
        <f>"Data de corte: "&amp;CHOOSE(MONTH('VALOR POR PL'!$P$5),"Janeiro","Fevereiro","Março","Abril","Maio","Junho","Julho","Agosto","Setembro","Outubro","Novembro","Dezembro")&amp;"/"&amp;YEAR('VALOR POR PL'!$P$5)&amp;"     ·     Ano do retrato: "&amp;'RETRATO 2027'!$D$5&amp;"     ·     Cenário: "&amp;IF('VALOR POR PL'!$K$8="PADRÃO","padrão (curvas digitadas)","Prevision")&amp;"     ·     R$ nominais, com taxa de adm."</f>
        <v/>
      </c>
      <c r="C3" s="9" t="n"/>
      <c r="D3" s="9" t="n"/>
      <c r="E3" s="9" t="n"/>
      <c r="F3" s="9" t="n"/>
      <c r="G3" s="9" t="n"/>
      <c r="H3" s="9" t="n"/>
      <c r="I3" s="9" t="n"/>
    </row>
    <row r="5" ht="22" customHeight="1">
      <c r="B5" s="11" t="inlineStr">
        <is>
          <t>PROJEÇÃO TOTAL</t>
        </is>
      </c>
      <c r="C5" s="12" t="n"/>
      <c r="D5" s="11" t="inlineStr">
        <is>
          <t>REALIZADO ATÉ O CORTE</t>
        </is>
      </c>
      <c r="E5" s="11" t="inlineStr">
        <is>
          <t>% REALIZADO</t>
        </is>
      </c>
      <c r="F5" s="11">
        <f>"DESEMBOLSO EM "&amp;'RETRATO 2027'!$D$5</f>
        <v/>
      </c>
      <c r="H5" s="11" t="inlineStr">
        <is>
          <t>SALDO A REALIZAR</t>
        </is>
      </c>
      <c r="I5" s="11" t="inlineStr">
        <is>
          <t>CONFERÊNCIA</t>
        </is>
      </c>
    </row>
    <row r="6" ht="30" customHeight="1">
      <c r="B6" s="13">
        <f>'MODELO PARA BI'!E66</f>
        <v/>
      </c>
      <c r="D6" s="13">
        <f>SUMPRODUCT(('MODELO PARA BI'!$H$1:$CA$1&lt;='VALOR POR PL'!$P$5)*'MODELO PARA BI'!$H$65:$CA$65)</f>
        <v/>
      </c>
      <c r="E6" s="14">
        <f>IF(B6=0,0,D6/B6)</f>
        <v/>
      </c>
      <c r="F6" s="13">
        <f>SUMPRODUCT((YEAR('MODELO PARA BI'!$H$1:$CA$1)='RETRATO 2027'!$D$5)*'MODELO PARA BI'!$H$65:$CA$65)</f>
        <v/>
      </c>
      <c r="H6" s="13">
        <f>SUM('MODELO PARA BI'!$H$65:$CA$65)-D6</f>
        <v/>
      </c>
      <c r="I6" s="15">
        <f>IF(COUNTIF('VALOR POR PL'!$F$54:$F$59,"⚠*")=0,"✓ Tudo OK","⚠ "&amp;COUNTIF('VALOR POR PL'!$F$54:$F$59,"⚠*")&amp;" pendência(s)")</f>
        <v/>
      </c>
    </row>
    <row r="7" ht="18" customHeight="1">
      <c r="B7" s="16" t="inlineStr">
        <is>
          <t>com contingência</t>
        </is>
      </c>
      <c r="C7" s="17" t="n"/>
      <c r="D7" s="16" t="inlineStr">
        <is>
          <t>incorrido no ERP</t>
        </is>
      </c>
      <c r="E7" s="16" t="inlineStr">
        <is>
          <t>da projeção</t>
        </is>
      </c>
      <c r="F7" s="16" t="inlineStr">
        <is>
          <t>realizado + previsto</t>
        </is>
      </c>
      <c r="H7" s="16" t="inlineStr">
        <is>
          <t>após a data de corte</t>
        </is>
      </c>
      <c r="I7" s="16" t="inlineStr">
        <is>
          <t>detalhes em VALOR POR PL</t>
        </is>
      </c>
    </row>
    <row r="10" ht="22" customHeight="1">
      <c r="B10" s="18" t="inlineStr">
        <is>
          <t>REALIZADO (ATUAL)</t>
        </is>
      </c>
    </row>
    <row r="11">
      <c r="B11" s="19">
        <f>CHOOSE(MONTH(DATE(YEAR('VALOR POR PL'!$P$5),MONTH('VALOR POR PL'!$P$5)+1,1)),"Janeiro","Fevereiro","Março","Abril","Maio","Junho","Julho","Agosto","Setembro","Outubro","Novembro","Dezembro")&amp;"/"&amp;YEAR(DATE(YEAR('VALOR POR PL'!$P$5),MONTH('VALOR POR PL'!$P$5)+1,1))</f>
        <v/>
      </c>
      <c r="H11" s="20" t="inlineStr">
        <is>
          <t>COMPOSIÇÃO DO ANO</t>
        </is>
      </c>
    </row>
    <row r="12" ht="32" customHeight="1">
      <c r="B12" s="21" t="inlineStr">
        <is>
          <t>Ano</t>
        </is>
      </c>
      <c r="C12" s="22" t="inlineStr">
        <is>
          <t>Anual
R$</t>
        </is>
      </c>
      <c r="D12" s="22" t="inlineStr">
        <is>
          <t>Acumulado
R$</t>
        </is>
      </c>
      <c r="E12" s="22" t="inlineStr">
        <is>
          <t>Anual
%</t>
        </is>
      </c>
      <c r="F12" s="22" t="inlineStr">
        <is>
          <t>Acumulado
%</t>
        </is>
      </c>
      <c r="H12" s="23" t="inlineStr">
        <is>
          <t>Realizado
R$</t>
        </is>
      </c>
      <c r="I12" s="24" t="inlineStr">
        <is>
          <t>A realizar
R$</t>
        </is>
      </c>
    </row>
    <row r="13" ht="19" customHeight="1">
      <c r="B13" s="25">
        <f>YEAR('VALOR POR PL'!$P$6)+0</f>
        <v/>
      </c>
      <c r="C13" s="26">
        <f>SUMPRODUCT((YEAR('MODELO PARA BI'!$H$1:$CA$1)=B13)*'MODELO PARA BI'!$H$65:$CA$65)</f>
        <v/>
      </c>
      <c r="D13" s="26">
        <f>C13</f>
        <v/>
      </c>
      <c r="E13" s="27">
        <f>IF($C$20=0,0,C13/$C$20)</f>
        <v/>
      </c>
      <c r="F13" s="27">
        <f>IF($C$20=0,0,D13/$C$20)</f>
        <v/>
      </c>
      <c r="H13" s="26">
        <f>SUMPRODUCT((YEAR('MODELO PARA BI'!$H$1:$CA$1)=B13)*('MODELO PARA BI'!$H$1:$CA$1&lt;='VALOR POR PL'!$P$5)*'MODELO PARA BI'!$H$65:$CA$65)</f>
        <v/>
      </c>
      <c r="I13" s="26">
        <f>C13-H13</f>
        <v/>
      </c>
    </row>
    <row r="14" ht="19" customHeight="1">
      <c r="B14" s="28">
        <f>YEAR('VALOR POR PL'!$P$6)+1</f>
        <v/>
      </c>
      <c r="C14" s="29">
        <f>SUMPRODUCT((YEAR('MODELO PARA BI'!$H$1:$CA$1)=B14)*'MODELO PARA BI'!$H$65:$CA$65)</f>
        <v/>
      </c>
      <c r="D14" s="29">
        <f>D13+C14</f>
        <v/>
      </c>
      <c r="E14" s="30">
        <f>IF($C$20=0,0,C14/$C$20)</f>
        <v/>
      </c>
      <c r="F14" s="30">
        <f>IF($C$20=0,0,D14/$C$20)</f>
        <v/>
      </c>
      <c r="H14" s="29">
        <f>SUMPRODUCT((YEAR('MODELO PARA BI'!$H$1:$CA$1)=B14)*('MODELO PARA BI'!$H$1:$CA$1&lt;='VALOR POR PL'!$P$5)*'MODELO PARA BI'!$H$65:$CA$65)</f>
        <v/>
      </c>
      <c r="I14" s="29">
        <f>C14-H14</f>
        <v/>
      </c>
    </row>
    <row r="15" ht="19" customHeight="1">
      <c r="B15" s="25">
        <f>YEAR('VALOR POR PL'!$P$6)+2</f>
        <v/>
      </c>
      <c r="C15" s="26">
        <f>SUMPRODUCT((YEAR('MODELO PARA BI'!$H$1:$CA$1)=B15)*'MODELO PARA BI'!$H$65:$CA$65)</f>
        <v/>
      </c>
      <c r="D15" s="26">
        <f>D14+C15</f>
        <v/>
      </c>
      <c r="E15" s="27">
        <f>IF($C$20=0,0,C15/$C$20)</f>
        <v/>
      </c>
      <c r="F15" s="27">
        <f>IF($C$20=0,0,D15/$C$20)</f>
        <v/>
      </c>
      <c r="H15" s="26">
        <f>SUMPRODUCT((YEAR('MODELO PARA BI'!$H$1:$CA$1)=B15)*('MODELO PARA BI'!$H$1:$CA$1&lt;='VALOR POR PL'!$P$5)*'MODELO PARA BI'!$H$65:$CA$65)</f>
        <v/>
      </c>
      <c r="I15" s="26">
        <f>C15-H15</f>
        <v/>
      </c>
    </row>
    <row r="16" ht="19" customHeight="1">
      <c r="B16" s="28">
        <f>YEAR('VALOR POR PL'!$P$6)+3</f>
        <v/>
      </c>
      <c r="C16" s="29">
        <f>SUMPRODUCT((YEAR('MODELO PARA BI'!$H$1:$CA$1)=B16)*'MODELO PARA BI'!$H$65:$CA$65)</f>
        <v/>
      </c>
      <c r="D16" s="29">
        <f>D15+C16</f>
        <v/>
      </c>
      <c r="E16" s="30">
        <f>IF($C$20=0,0,C16/$C$20)</f>
        <v/>
      </c>
      <c r="F16" s="30">
        <f>IF($C$20=0,0,D16/$C$20)</f>
        <v/>
      </c>
      <c r="H16" s="29">
        <f>SUMPRODUCT((YEAR('MODELO PARA BI'!$H$1:$CA$1)=B16)*('MODELO PARA BI'!$H$1:$CA$1&lt;='VALOR POR PL'!$P$5)*'MODELO PARA BI'!$H$65:$CA$65)</f>
        <v/>
      </c>
      <c r="I16" s="29">
        <f>C16-H16</f>
        <v/>
      </c>
    </row>
    <row r="17" ht="19" customHeight="1">
      <c r="B17" s="25">
        <f>YEAR('VALOR POR PL'!$P$6)+4</f>
        <v/>
      </c>
      <c r="C17" s="26">
        <f>SUMPRODUCT((YEAR('MODELO PARA BI'!$H$1:$CA$1)=B17)*'MODELO PARA BI'!$H$65:$CA$65)</f>
        <v/>
      </c>
      <c r="D17" s="26">
        <f>D16+C17</f>
        <v/>
      </c>
      <c r="E17" s="27">
        <f>IF($C$20=0,0,C17/$C$20)</f>
        <v/>
      </c>
      <c r="F17" s="27">
        <f>IF($C$20=0,0,D17/$C$20)</f>
        <v/>
      </c>
      <c r="H17" s="26">
        <f>SUMPRODUCT((YEAR('MODELO PARA BI'!$H$1:$CA$1)=B17)*('MODELO PARA BI'!$H$1:$CA$1&lt;='VALOR POR PL'!$P$5)*'MODELO PARA BI'!$H$65:$CA$65)</f>
        <v/>
      </c>
      <c r="I17" s="26">
        <f>C17-H17</f>
        <v/>
      </c>
    </row>
    <row r="18" ht="19" customHeight="1">
      <c r="B18" s="28">
        <f>YEAR('VALOR POR PL'!$P$6)+5</f>
        <v/>
      </c>
      <c r="C18" s="29">
        <f>SUMPRODUCT((YEAR('MODELO PARA BI'!$H$1:$CA$1)=B18)*'MODELO PARA BI'!$H$65:$CA$65)</f>
        <v/>
      </c>
      <c r="D18" s="29">
        <f>D17+C18</f>
        <v/>
      </c>
      <c r="E18" s="30">
        <f>IF($C$20=0,0,C18/$C$20)</f>
        <v/>
      </c>
      <c r="F18" s="30">
        <f>IF($C$20=0,0,D18/$C$20)</f>
        <v/>
      </c>
      <c r="H18" s="29">
        <f>SUMPRODUCT((YEAR('MODELO PARA BI'!$H$1:$CA$1)=B18)*('MODELO PARA BI'!$H$1:$CA$1&lt;='VALOR POR PL'!$P$5)*'MODELO PARA BI'!$H$65:$CA$65)</f>
        <v/>
      </c>
      <c r="I18" s="29">
        <f>C18-H18</f>
        <v/>
      </c>
    </row>
    <row r="19" ht="19" customHeight="1">
      <c r="B19" s="25">
        <f>YEAR('VALOR POR PL'!$P$6)+6</f>
        <v/>
      </c>
      <c r="C19" s="26">
        <f>SUMPRODUCT((YEAR('MODELO PARA BI'!$H$1:$CA$1)=B19)*'MODELO PARA BI'!$H$65:$CA$65)</f>
        <v/>
      </c>
      <c r="D19" s="26">
        <f>D18+C19</f>
        <v/>
      </c>
      <c r="E19" s="27">
        <f>IF($C$20=0,0,C19/$C$20)</f>
        <v/>
      </c>
      <c r="F19" s="27">
        <f>IF($C$20=0,0,D19/$C$20)</f>
        <v/>
      </c>
      <c r="H19" s="26">
        <f>SUMPRODUCT((YEAR('MODELO PARA BI'!$H$1:$CA$1)=B19)*('MODELO PARA BI'!$H$1:$CA$1&lt;='VALOR POR PL'!$P$5)*'MODELO PARA BI'!$H$65:$CA$65)</f>
        <v/>
      </c>
      <c r="I19" s="26">
        <f>C19-H19</f>
        <v/>
      </c>
    </row>
    <row r="20" ht="22" customHeight="1">
      <c r="B20" s="31" t="inlineStr">
        <is>
          <t>TOTAL</t>
        </is>
      </c>
      <c r="C20" s="32">
        <f>SUM(C13:C19)</f>
        <v/>
      </c>
      <c r="D20" s="33" t="n"/>
      <c r="E20" s="34">
        <f>SUM(E13:E19)</f>
        <v/>
      </c>
      <c r="F20" s="33" t="n"/>
      <c r="H20" s="32">
        <f>SUM(H13:H19)</f>
        <v/>
      </c>
      <c r="I20" s="32">
        <f>SUM(I13:I19)</f>
        <v/>
      </c>
    </row>
    <row r="21">
      <c r="B21" s="35" t="inlineStr">
        <is>
          <t>Linha destacada = ano do retrato (RETRATO 2027!D5).  Realizado = até a data de corte; a realizar = previsto depois dela.</t>
        </is>
      </c>
    </row>
    <row r="24">
      <c r="B24" s="36">
        <f>"DESEMBOLSO EM "&amp;'RETRATO 2027'!$D$5&amp;" POR GRUPO"</f>
        <v/>
      </c>
    </row>
    <row r="25" ht="30" customHeight="1">
      <c r="B25" s="37" t="inlineStr">
        <is>
          <t>Grupo</t>
        </is>
      </c>
      <c r="D25" s="22" t="inlineStr">
        <is>
          <t>R$</t>
        </is>
      </c>
      <c r="E25" s="22" t="inlineStr">
        <is>
          <t>% do ano</t>
        </is>
      </c>
      <c r="F25" s="22" t="inlineStr">
        <is>
          <t>Avanço
financeiro</t>
        </is>
      </c>
    </row>
    <row r="26" ht="19" customHeight="1">
      <c r="B26" s="38" t="inlineStr">
        <is>
          <t>Indiretos (01 a 11)</t>
        </is>
      </c>
      <c r="C26" s="39" t="n"/>
      <c r="D26" s="26">
        <f>SUM('RETRATO 2027'!F12:F22)</f>
        <v/>
      </c>
      <c r="E26" s="40">
        <f>IF($D$32=0,0,D26/$D$32)</f>
        <v/>
      </c>
      <c r="F26" s="40">
        <f>IFERROR(SUMPRODUCT('RETRATO 2027'!J12:J22,'RETRATO 2027'!M12:M22)/SUM('RETRATO 2027'!M12:M22),0)</f>
        <v/>
      </c>
    </row>
    <row r="27" ht="19" customHeight="1">
      <c r="B27" s="41" t="inlineStr">
        <is>
          <t>Infraestrutura (12 a 16)</t>
        </is>
      </c>
      <c r="C27" s="39" t="n"/>
      <c r="D27" s="29">
        <f>SUM('RETRATO 2027'!F24:F28)</f>
        <v/>
      </c>
      <c r="E27" s="42">
        <f>IF($D$32=0,0,D27/$D$32)</f>
        <v/>
      </c>
      <c r="F27" s="42">
        <f>IFERROR(SUMPRODUCT('RETRATO 2027'!J24:J28,'RETRATO 2027'!M24:M28)/SUM('RETRATO 2027'!M24:M28),0)</f>
        <v/>
      </c>
    </row>
    <row r="28" ht="19" customHeight="1">
      <c r="B28" s="38" t="inlineStr">
        <is>
          <t>Estrutura (17)</t>
        </is>
      </c>
      <c r="C28" s="39" t="n"/>
      <c r="D28" s="26">
        <f>SUM('RETRATO 2027'!F30:F30)</f>
        <v/>
      </c>
      <c r="E28" s="40">
        <f>IF($D$32=0,0,D28/$D$32)</f>
        <v/>
      </c>
      <c r="F28" s="40">
        <f>IFERROR(SUMPRODUCT('RETRATO 2027'!J30:J30,'RETRATO 2027'!M30:M30)/SUM('RETRATO 2027'!M30:M30),0)</f>
        <v/>
      </c>
    </row>
    <row r="29" ht="19" customHeight="1">
      <c r="B29" s="41" t="inlineStr">
        <is>
          <t>Vedações, instalações e elevadores (18 a 24)</t>
        </is>
      </c>
      <c r="C29" s="39" t="n"/>
      <c r="D29" s="29">
        <f>SUM('RETRATO 2027'!F31:F37)</f>
        <v/>
      </c>
      <c r="E29" s="42">
        <f>IF($D$32=0,0,D29/$D$32)</f>
        <v/>
      </c>
      <c r="F29" s="42">
        <f>IFERROR(SUMPRODUCT('RETRATO 2027'!J31:J37,'RETRATO 2027'!M31:M37)/SUM('RETRATO 2027'!M31:M37),0)</f>
        <v/>
      </c>
    </row>
    <row r="30" ht="19" customHeight="1">
      <c r="B30" s="38" t="inlineStr">
        <is>
          <t>Acabamentos (25 a 37)</t>
        </is>
      </c>
      <c r="C30" s="39" t="n"/>
      <c r="D30" s="26">
        <f>SUM('RETRATO 2027'!F38:F50)</f>
        <v/>
      </c>
      <c r="E30" s="40">
        <f>IF($D$32=0,0,D30/$D$32)</f>
        <v/>
      </c>
      <c r="F30" s="40">
        <f>IFERROR(SUMPRODUCT('RETRATO 2027'!J38:J50,'RETRATO 2027'!M38:M50)/SUM('RETRATO 2027'!M38:M50),0)</f>
        <v/>
      </c>
    </row>
    <row r="31" ht="19" customHeight="1">
      <c r="B31" s="41" t="inlineStr">
        <is>
          <t>Taxa de administração</t>
        </is>
      </c>
      <c r="C31" s="39" t="n"/>
      <c r="D31" s="29">
        <f>SUM('RETRATO 2027'!F52:F52)</f>
        <v/>
      </c>
      <c r="E31" s="42">
        <f>IF($D$32=0,0,D31/$D$32)</f>
        <v/>
      </c>
      <c r="F31" s="42" t="n"/>
    </row>
    <row r="32" ht="22" customHeight="1">
      <c r="B32" s="43" t="inlineStr">
        <is>
          <t>TOTAL</t>
        </is>
      </c>
      <c r="D32" s="32">
        <f>SUM(D26:D31)</f>
        <v/>
      </c>
      <c r="E32" s="44">
        <f>SUM(E26:E31)</f>
        <v/>
      </c>
      <c r="F32" s="33" t="n"/>
    </row>
    <row r="33">
      <c r="B33" s="35" t="inlineStr">
        <is>
          <t>Avanço financeiro = acumulado até dezembro do ano ÷ projeção.</t>
        </is>
      </c>
      <c r="F33" s="35">
        <f>IF(ABS(D32-F6)&lt;1,"✓ confere com o cartão","⚠ diferente do cartão")</f>
        <v/>
      </c>
    </row>
    <row r="36">
      <c r="B36" s="36" t="inlineStr">
        <is>
          <t>CURVA S — % ACUMULADO DA PROJEÇÃO</t>
        </is>
      </c>
    </row>
  </sheetData>
  <mergeCells count="14">
    <mergeCell ref="B6:C6"/>
    <mergeCell ref="H11:I11"/>
    <mergeCell ref="B30:C30"/>
    <mergeCell ref="B29:C29"/>
    <mergeCell ref="B7:C7"/>
    <mergeCell ref="B25:C25"/>
    <mergeCell ref="B5:C5"/>
    <mergeCell ref="B11:F11"/>
    <mergeCell ref="B10:F10"/>
    <mergeCell ref="B28:C28"/>
    <mergeCell ref="B32:C32"/>
    <mergeCell ref="B31:C31"/>
    <mergeCell ref="B26:C26"/>
    <mergeCell ref="B27:C27"/>
  </mergeCells>
  <conditionalFormatting sqref="I6">
    <cfRule type="expression" priority="1" dxfId="0">
      <formula>LEFT(I6,1)="✓"</formula>
    </cfRule>
    <cfRule type="expression" priority="2" dxfId="1">
      <formula>LEFT(I6,1)="⚠"</formula>
    </cfRule>
  </conditionalFormatting>
  <conditionalFormatting sqref="B13:I19">
    <cfRule type="expression" priority="3" dxfId="2">
      <formula>$B13='RETRATO 2027'!$D$5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tabSelected="0" workbookViewId="0">
      <selection activeCell="A1" sqref="A1"/>
    </sheetView>
  </sheetViews>
  <sheetFormatPr baseColWidth="8" defaultRowHeight="15"/>
  <sheetData>
    <row r="1">
      <c r="A1" s="2" t="inlineStr">
        <is>
          <t>ITEM</t>
        </is>
      </c>
      <c r="B1" s="2" t="inlineStr">
        <is>
          <t>Acu até Dez/24</t>
        </is>
      </c>
      <c r="C1" s="2" t="n">
        <v>45658</v>
      </c>
      <c r="D1" s="2" t="n">
        <v>45689</v>
      </c>
      <c r="E1" s="2" t="n">
        <v>45717</v>
      </c>
      <c r="F1" s="2" t="n">
        <v>45748</v>
      </c>
      <c r="G1" s="2" t="n">
        <v>45778</v>
      </c>
      <c r="H1" s="2" t="n">
        <v>45809</v>
      </c>
      <c r="I1" s="2" t="n">
        <v>45839</v>
      </c>
      <c r="J1" s="2" t="n">
        <v>45870</v>
      </c>
      <c r="K1" s="2" t="n">
        <v>45901</v>
      </c>
      <c r="L1" s="2" t="n">
        <v>45931</v>
      </c>
      <c r="M1" s="2" t="n">
        <v>45962</v>
      </c>
      <c r="N1" s="2" t="inlineStr">
        <is>
          <t>TOTAL</t>
        </is>
      </c>
    </row>
    <row r="2">
      <c r="A2" s="2" t="inlineStr">
        <is>
          <t>PROJETOS</t>
        </is>
      </c>
      <c r="B2" s="2" t="n">
        <v>936634</v>
      </c>
      <c r="C2" s="2" t="n">
        <v>104300</v>
      </c>
      <c r="D2" s="2" t="n">
        <v>109039</v>
      </c>
      <c r="E2" s="2" t="n">
        <v>96905</v>
      </c>
      <c r="F2" s="2" t="n">
        <v>52758</v>
      </c>
      <c r="G2" s="2" t="n">
        <v>118597</v>
      </c>
      <c r="H2" s="2" t="n">
        <v>174356</v>
      </c>
      <c r="I2" s="2" t="n">
        <v>81554</v>
      </c>
      <c r="J2" s="2" t="n">
        <v>117154</v>
      </c>
      <c r="K2" s="2" t="n">
        <v>51128</v>
      </c>
      <c r="L2" s="2" t="n">
        <v>22630</v>
      </c>
      <c r="M2" s="2" t="n">
        <v>85313</v>
      </c>
      <c r="N2" s="2" t="n">
        <v>1950368</v>
      </c>
      <c r="O2" s="2" t="n">
        <v>1950368</v>
      </c>
    </row>
    <row r="3">
      <c r="A3" s="2" t="inlineStr">
        <is>
          <t>SEGUROS</t>
        </is>
      </c>
      <c r="C3" s="2" t="inlineStr">
        <is>
          <t> </t>
        </is>
      </c>
      <c r="D3" s="2" t="inlineStr">
        <is>
          <t> </t>
        </is>
      </c>
      <c r="E3" s="2" t="n">
        <v>13813</v>
      </c>
      <c r="F3" s="2" t="n">
        <v>13812.5</v>
      </c>
      <c r="G3" s="2" t="n">
        <v>13812.5</v>
      </c>
      <c r="H3" s="2" t="n">
        <v>13812.5</v>
      </c>
      <c r="I3" s="2" t="n">
        <v>13812.5</v>
      </c>
      <c r="J3" s="2" t="n">
        <v>13812.5</v>
      </c>
      <c r="K3" s="2" t="n">
        <v>13812.5</v>
      </c>
      <c r="L3" s="2" t="inlineStr">
        <is>
          <t> </t>
        </is>
      </c>
      <c r="M3" s="2" t="inlineStr">
        <is>
          <t> </t>
        </is>
      </c>
      <c r="N3" s="2" t="n">
        <v>96688</v>
      </c>
      <c r="O3" s="2" t="n">
        <v>96688</v>
      </c>
    </row>
    <row r="4">
      <c r="A4" s="2" t="inlineStr">
        <is>
          <t>TAXAS DIVERSAS</t>
        </is>
      </c>
      <c r="B4" s="2" t="n">
        <v>1283</v>
      </c>
      <c r="C4" s="2" t="n">
        <v>543</v>
      </c>
      <c r="D4" s="2" t="inlineStr">
        <is>
          <t> </t>
        </is>
      </c>
      <c r="E4" s="2" t="n">
        <v>18</v>
      </c>
      <c r="F4" s="2" t="n">
        <v>927</v>
      </c>
      <c r="G4" s="2" t="inlineStr">
        <is>
          <t> </t>
        </is>
      </c>
      <c r="H4" s="2" t="n">
        <v>597</v>
      </c>
      <c r="I4" s="2" t="n">
        <v>927</v>
      </c>
      <c r="J4" s="2" t="n">
        <v>68</v>
      </c>
      <c r="K4" s="2" t="n">
        <v>70</v>
      </c>
      <c r="L4" s="2" t="n">
        <v>927</v>
      </c>
      <c r="M4" s="2" t="inlineStr">
        <is>
          <t> </t>
        </is>
      </c>
      <c r="N4" s="2" t="n">
        <v>5360</v>
      </c>
      <c r="O4" s="2" t="n">
        <v>5362</v>
      </c>
    </row>
    <row r="5">
      <c r="A5" s="2" t="inlineStr">
        <is>
          <t>BARRACAO DE OBRA</t>
        </is>
      </c>
      <c r="B5" s="2" t="n">
        <v>75504</v>
      </c>
      <c r="C5" s="2" t="inlineStr">
        <is>
          <t> </t>
        </is>
      </c>
      <c r="D5" s="2" t="n">
        <v>21458</v>
      </c>
      <c r="E5" s="2" t="n">
        <v>12780</v>
      </c>
      <c r="F5" s="2" t="n">
        <v>28138</v>
      </c>
      <c r="G5" s="2" t="n">
        <v>22900</v>
      </c>
      <c r="H5" s="2" t="n">
        <v>36417</v>
      </c>
      <c r="I5" s="2" t="n">
        <v>45821</v>
      </c>
      <c r="J5" s="2" t="n">
        <v>20358</v>
      </c>
      <c r="K5" s="2" t="n">
        <v>55545</v>
      </c>
      <c r="L5" s="2" t="n">
        <v>50343</v>
      </c>
      <c r="M5" s="2" t="n">
        <v>48899</v>
      </c>
      <c r="N5" s="2" t="n">
        <v>418163</v>
      </c>
      <c r="O5" s="2" t="n">
        <v>418163</v>
      </c>
    </row>
    <row r="6">
      <c r="A6" s="2" t="inlineStr">
        <is>
          <t>LIGAÇÕES PROVISÓRIAS ÁGUA, ENERGIA</t>
        </is>
      </c>
      <c r="B6" s="2" t="inlineStr">
        <is>
          <t> </t>
        </is>
      </c>
      <c r="C6" s="2" t="inlineStr">
        <is>
          <t> </t>
        </is>
      </c>
      <c r="D6" s="2" t="inlineStr">
        <is>
          <t> </t>
        </is>
      </c>
      <c r="E6" s="2" t="inlineStr">
        <is>
          <t> </t>
        </is>
      </c>
      <c r="F6" s="2" t="n">
        <v>5620</v>
      </c>
      <c r="G6" s="2" t="n">
        <v>2137</v>
      </c>
      <c r="H6" s="2" t="inlineStr">
        <is>
          <t> </t>
        </is>
      </c>
      <c r="I6" s="2" t="n">
        <v>1976</v>
      </c>
      <c r="J6" s="2" t="n">
        <v>5083</v>
      </c>
      <c r="K6" s="2" t="n">
        <v>1918</v>
      </c>
      <c r="L6" s="2" t="inlineStr">
        <is>
          <t> </t>
        </is>
      </c>
      <c r="M6" s="2" t="n">
        <v>2616</v>
      </c>
      <c r="N6" s="2" t="n">
        <v>19350</v>
      </c>
      <c r="O6" s="2" t="n">
        <v>19350</v>
      </c>
    </row>
    <row r="7">
      <c r="A7" s="2" t="inlineStr">
        <is>
          <t>CONSULTORIAS (OBRAS)</t>
        </is>
      </c>
      <c r="B7" s="2" t="n">
        <v>25881</v>
      </c>
      <c r="C7" s="2" t="n">
        <v>2679</v>
      </c>
      <c r="D7" s="2" t="n">
        <v>126910</v>
      </c>
      <c r="E7" s="2" t="n">
        <v>146680</v>
      </c>
      <c r="F7" s="2" t="n">
        <v>21272</v>
      </c>
      <c r="G7" s="2" t="n">
        <v>12379</v>
      </c>
      <c r="H7" s="2" t="n">
        <v>10621</v>
      </c>
      <c r="I7" s="2" t="n">
        <v>25742</v>
      </c>
      <c r="J7" s="2" t="n">
        <v>143973</v>
      </c>
      <c r="K7" s="2" t="n">
        <v>131293</v>
      </c>
      <c r="L7" s="2" t="n">
        <v>26251</v>
      </c>
      <c r="M7" s="2" t="n">
        <v>40013</v>
      </c>
      <c r="N7" s="2" t="n">
        <v>713694</v>
      </c>
      <c r="O7" s="2" t="n">
        <v>713695</v>
      </c>
    </row>
    <row r="8">
      <c r="A8" s="2" t="inlineStr">
        <is>
          <t>CONSUMO DE ÁGUA, ENERGIA, ETC.</t>
        </is>
      </c>
      <c r="B8" s="2" t="n">
        <v>2973</v>
      </c>
      <c r="C8" s="2" t="n">
        <v>880</v>
      </c>
      <c r="D8" s="2" t="n">
        <v>300</v>
      </c>
      <c r="E8" s="2" t="n">
        <v>96</v>
      </c>
      <c r="F8" s="2" t="n">
        <v>160</v>
      </c>
      <c r="G8" s="2" t="n">
        <v>160</v>
      </c>
      <c r="H8" s="2" t="n">
        <v>163</v>
      </c>
      <c r="I8" s="2" t="n">
        <v>1728</v>
      </c>
      <c r="J8" s="2" t="n">
        <v>3979</v>
      </c>
      <c r="K8" s="2" t="n">
        <v>5970</v>
      </c>
      <c r="L8" s="2" t="n">
        <v>5640</v>
      </c>
      <c r="M8" s="2" t="n">
        <v>10037</v>
      </c>
      <c r="N8" s="2" t="n">
        <v>32086</v>
      </c>
      <c r="O8" s="2" t="n">
        <v>32085</v>
      </c>
    </row>
    <row r="9">
      <c r="A9" s="2" t="inlineStr">
        <is>
          <t>TERRAPLENAGEM</t>
        </is>
      </c>
      <c r="B9" s="2" t="n">
        <v>59521</v>
      </c>
      <c r="C9" s="2" t="n">
        <v>1300</v>
      </c>
      <c r="D9" s="2" t="inlineStr">
        <is>
          <t> </t>
        </is>
      </c>
      <c r="E9" s="2" t="inlineStr">
        <is>
          <t> </t>
        </is>
      </c>
      <c r="F9" s="2" t="inlineStr">
        <is>
          <t> </t>
        </is>
      </c>
      <c r="G9" s="2" t="n">
        <v>58031</v>
      </c>
      <c r="H9" s="2" t="n">
        <v>244429</v>
      </c>
      <c r="I9" s="2" t="n">
        <v>369032</v>
      </c>
      <c r="J9" s="2" t="n">
        <v>540522</v>
      </c>
      <c r="K9" s="2" t="n">
        <v>262425</v>
      </c>
      <c r="L9" s="2" t="n">
        <v>144549</v>
      </c>
      <c r="M9" s="2" t="n">
        <v>234349</v>
      </c>
      <c r="N9" s="2" t="n">
        <v>1914158</v>
      </c>
      <c r="O9" s="2" t="n">
        <v>1914158</v>
      </c>
    </row>
    <row r="10">
      <c r="A10" s="2" t="inlineStr">
        <is>
          <t>CONTENÇÃO</t>
        </is>
      </c>
      <c r="B10" s="2" t="n">
        <v>41467</v>
      </c>
      <c r="C10" s="2" t="inlineStr">
        <is>
          <t> </t>
        </is>
      </c>
      <c r="D10" s="2" t="n">
        <v>34632</v>
      </c>
      <c r="E10" s="2" t="n">
        <v>70993</v>
      </c>
      <c r="F10" s="2" t="n">
        <v>294474</v>
      </c>
      <c r="G10" s="2" t="n">
        <v>451172</v>
      </c>
      <c r="H10" s="2" t="n">
        <v>303678</v>
      </c>
      <c r="I10" s="2" t="n">
        <v>216204</v>
      </c>
      <c r="J10" s="2" t="n">
        <v>539903</v>
      </c>
      <c r="K10" s="2" t="n">
        <v>234452</v>
      </c>
      <c r="L10" s="2" t="n">
        <v>410934</v>
      </c>
      <c r="M10" s="2" t="n">
        <v>83339</v>
      </c>
      <c r="N10" s="2" t="n">
        <v>2681248</v>
      </c>
      <c r="O10" s="2" t="n">
        <v>2681248</v>
      </c>
    </row>
    <row r="11">
      <c r="A11" s="2" t="inlineStr">
        <is>
          <t>FUNDAÇÃO PROFUNDA</t>
        </is>
      </c>
      <c r="B11" s="2" t="n">
        <v>232037</v>
      </c>
      <c r="C11" s="2" t="inlineStr">
        <is>
          <t> </t>
        </is>
      </c>
      <c r="D11" s="2" t="inlineStr">
        <is>
          <t> </t>
        </is>
      </c>
      <c r="E11" s="2" t="n">
        <v>1220</v>
      </c>
      <c r="F11" s="2" t="n">
        <v>17384</v>
      </c>
      <c r="G11" s="2" t="n">
        <v>291871</v>
      </c>
      <c r="H11" s="2" t="n">
        <v>265890</v>
      </c>
      <c r="I11" s="2" t="n">
        <v>772437</v>
      </c>
      <c r="J11" s="2" t="n">
        <v>672253</v>
      </c>
      <c r="K11" s="2" t="n">
        <v>1280306</v>
      </c>
      <c r="L11" s="2" t="n">
        <v>1153766</v>
      </c>
      <c r="M11" s="2" t="n">
        <v>515821</v>
      </c>
      <c r="N11" s="2" t="n">
        <v>5202985</v>
      </c>
      <c r="O11" s="2" t="n">
        <v>5202985</v>
      </c>
    </row>
    <row r="12">
      <c r="A12" s="2" t="inlineStr">
        <is>
          <t>FUNDAÇÃO SUPERFICIAL</t>
        </is>
      </c>
      <c r="B12" s="2" t="n">
        <v>37306</v>
      </c>
      <c r="C12" s="2" t="inlineStr">
        <is>
          <t> </t>
        </is>
      </c>
      <c r="D12" s="2" t="inlineStr">
        <is>
          <t> </t>
        </is>
      </c>
      <c r="E12" s="2" t="inlineStr">
        <is>
          <t> </t>
        </is>
      </c>
      <c r="F12" s="2" t="inlineStr">
        <is>
          <t> </t>
        </is>
      </c>
      <c r="H12" s="2" t="n">
        <v>1240</v>
      </c>
      <c r="I12" s="2" t="n">
        <v>94581</v>
      </c>
      <c r="J12" s="2" t="n">
        <v>105480</v>
      </c>
      <c r="K12" s="2" t="n">
        <v>159567</v>
      </c>
      <c r="L12" s="2" t="n">
        <v>265168</v>
      </c>
      <c r="M12" s="2" t="n">
        <v>794617</v>
      </c>
      <c r="N12" s="2" t="n">
        <v>1457959</v>
      </c>
      <c r="O12" s="2" t="n">
        <v>1457958</v>
      </c>
    </row>
    <row r="13">
      <c r="A13" s="2" t="inlineStr">
        <is>
          <t>EQUIPAMENTOS DE PROTEÇÃO COLETIVA</t>
        </is>
      </c>
      <c r="B13" s="2" t="inlineStr">
        <is>
          <t> </t>
        </is>
      </c>
      <c r="C13" s="2" t="inlineStr">
        <is>
          <t> </t>
        </is>
      </c>
      <c r="D13" s="2" t="inlineStr">
        <is>
          <t> </t>
        </is>
      </c>
      <c r="E13" s="2" t="inlineStr">
        <is>
          <t> </t>
        </is>
      </c>
      <c r="F13" s="2" t="inlineStr">
        <is>
          <t> </t>
        </is>
      </c>
      <c r="G13" s="2" t="inlineStr">
        <is>
          <t> </t>
        </is>
      </c>
      <c r="J13" s="2" t="n">
        <v>79</v>
      </c>
      <c r="K13" s="2" t="n">
        <v>79</v>
      </c>
      <c r="L13" s="2" t="inlineStr">
        <is>
          <t> </t>
        </is>
      </c>
      <c r="M13" s="2" t="n">
        <v>158</v>
      </c>
      <c r="N13" s="2" t="n">
        <v>316</v>
      </c>
      <c r="O13" s="2" t="n">
        <v>158</v>
      </c>
    </row>
    <row r="14">
      <c r="A14" s="2" t="inlineStr">
        <is>
          <t>ESTRUTURA EM CONCRETO ARMADO</t>
        </is>
      </c>
      <c r="B14" s="2" t="n">
        <v>136163</v>
      </c>
      <c r="C14" s="2" t="inlineStr">
        <is>
          <t> </t>
        </is>
      </c>
      <c r="D14" s="2" t="inlineStr">
        <is>
          <t> </t>
        </is>
      </c>
      <c r="E14" s="2" t="n">
        <v>3590</v>
      </c>
      <c r="F14" s="2" t="inlineStr">
        <is>
          <t> </t>
        </is>
      </c>
      <c r="G14" s="2" t="n">
        <v>220</v>
      </c>
      <c r="H14" s="2" t="n">
        <v>12968</v>
      </c>
      <c r="I14" s="2" t="n">
        <v>46305</v>
      </c>
      <c r="J14" s="2" t="n">
        <v>177220</v>
      </c>
      <c r="K14" s="2" t="n">
        <v>230173</v>
      </c>
      <c r="L14" s="2" t="n">
        <v>450721</v>
      </c>
      <c r="M14" s="2" t="n">
        <v>1318942</v>
      </c>
      <c r="N14" s="2" t="n">
        <v>2376302</v>
      </c>
      <c r="O14" s="2" t="n">
        <v>2376302</v>
      </c>
    </row>
    <row r="15">
      <c r="A15" s="2" t="inlineStr">
        <is>
          <t>INSTALAÇÕES ELÉTRICAS</t>
        </is>
      </c>
      <c r="B15" s="2" t="n">
        <v>870</v>
      </c>
      <c r="C15" s="2" t="inlineStr">
        <is>
          <t> </t>
        </is>
      </c>
      <c r="D15" s="2" t="inlineStr">
        <is>
          <t> </t>
        </is>
      </c>
      <c r="E15" s="2" t="inlineStr">
        <is>
          <t> </t>
        </is>
      </c>
      <c r="F15" s="2" t="inlineStr">
        <is>
          <t> </t>
        </is>
      </c>
      <c r="G15" s="2" t="inlineStr">
        <is>
          <t> </t>
        </is>
      </c>
      <c r="H15" s="2" t="inlineStr">
        <is>
          <t> </t>
        </is>
      </c>
      <c r="I15" s="2" t="inlineStr">
        <is>
          <t> </t>
        </is>
      </c>
      <c r="L15" s="2" t="n">
        <v>269924</v>
      </c>
      <c r="M15" s="2" t="n">
        <v>29963</v>
      </c>
      <c r="N15" s="2" t="n">
        <v>300757</v>
      </c>
      <c r="O15" s="2" t="n">
        <v>300775</v>
      </c>
    </row>
    <row r="16">
      <c r="A16" s="2" t="inlineStr">
        <is>
          <t>EQUIPAMENTOS E FERRAMENTAS</t>
        </is>
      </c>
      <c r="B16" s="2" t="n">
        <v>12559</v>
      </c>
      <c r="C16" s="2" t="inlineStr">
        <is>
          <t> </t>
        </is>
      </c>
      <c r="D16" s="2" t="n">
        <v>6150</v>
      </c>
      <c r="E16" s="2" t="n">
        <v>41488</v>
      </c>
      <c r="F16" s="2" t="n">
        <v>24534</v>
      </c>
      <c r="G16" s="2" t="n">
        <v>68934</v>
      </c>
      <c r="H16" s="2" t="n">
        <v>23694</v>
      </c>
      <c r="I16" s="2" t="n">
        <v>39162</v>
      </c>
      <c r="J16" s="2" t="n">
        <v>25432</v>
      </c>
      <c r="K16" s="2" t="n">
        <v>22326</v>
      </c>
      <c r="L16" s="2" t="n">
        <v>46948</v>
      </c>
      <c r="M16" s="2" t="n">
        <v>69797</v>
      </c>
      <c r="N16" s="2" t="n">
        <v>381024</v>
      </c>
      <c r="O16" s="2" t="n">
        <v>381022</v>
      </c>
    </row>
    <row r="17">
      <c r="A17" s="2" t="inlineStr">
        <is>
          <t>TRANSPORTES</t>
        </is>
      </c>
      <c r="B17" s="2" t="n">
        <v>15137</v>
      </c>
      <c r="C17" s="2" t="n">
        <v>4469</v>
      </c>
      <c r="D17" s="2" t="n">
        <v>1472</v>
      </c>
      <c r="E17" s="2" t="n">
        <v>72</v>
      </c>
      <c r="F17" s="2" t="n">
        <v>3294</v>
      </c>
      <c r="G17" s="2" t="n">
        <v>5791</v>
      </c>
      <c r="H17" s="2" t="n">
        <v>2577</v>
      </c>
      <c r="I17" s="2" t="n">
        <v>6010</v>
      </c>
      <c r="J17" s="2" t="n">
        <v>5623</v>
      </c>
      <c r="K17" s="2" t="n">
        <v>9962</v>
      </c>
      <c r="L17" s="2" t="n">
        <v>6569</v>
      </c>
      <c r="M17" s="2" t="n">
        <v>19254</v>
      </c>
      <c r="N17" s="2" t="n">
        <v>80230</v>
      </c>
      <c r="O17" s="2" t="n">
        <v>80230</v>
      </c>
    </row>
    <row r="18">
      <c r="A18" s="2" t="inlineStr">
        <is>
          <t>TAXA DE ADMINISTRAÇÃO</t>
        </is>
      </c>
      <c r="B18" s="2" t="n">
        <v>834265</v>
      </c>
      <c r="C18" s="2" t="n">
        <v>18060</v>
      </c>
      <c r="D18" s="2" t="n">
        <v>16699</v>
      </c>
      <c r="E18" s="2" t="n">
        <v>64178</v>
      </c>
      <c r="F18" s="2" t="n">
        <v>48428</v>
      </c>
      <c r="G18" s="2" t="n">
        <v>64629</v>
      </c>
      <c r="H18" s="2" t="n">
        <v>48665</v>
      </c>
      <c r="I18" s="2" t="n">
        <v>124956</v>
      </c>
      <c r="J18" s="2" t="n">
        <v>98792</v>
      </c>
      <c r="K18" s="2" t="n">
        <v>169239</v>
      </c>
      <c r="L18" s="2" t="n">
        <v>177088</v>
      </c>
      <c r="M18" s="2" t="n">
        <v>229852</v>
      </c>
      <c r="N18" s="2" t="n">
        <v>1894851</v>
      </c>
      <c r="O18" s="2" t="n">
        <v>1858731</v>
      </c>
    </row>
    <row r="19">
      <c r="A19" s="2" t="inlineStr">
        <is>
          <t>SERVIÇOS INICIAIS</t>
        </is>
      </c>
      <c r="B19" s="2" t="n">
        <v>4200</v>
      </c>
      <c r="C19" s="2" t="n">
        <v>29638</v>
      </c>
      <c r="D19" s="2" t="n">
        <v>12869</v>
      </c>
      <c r="E19" s="2" t="n">
        <v>797</v>
      </c>
      <c r="G19" s="2" t="inlineStr">
        <is>
          <t> </t>
        </is>
      </c>
      <c r="H19" s="2" t="n">
        <v>4350</v>
      </c>
      <c r="I19" s="2" t="inlineStr">
        <is>
          <t> </t>
        </is>
      </c>
      <c r="M19" s="2" t="inlineStr">
        <is>
          <t> </t>
        </is>
      </c>
      <c r="N19" s="2" t="n">
        <v>51854</v>
      </c>
      <c r="O19" s="2" t="n">
        <v>51854</v>
      </c>
    </row>
    <row r="20">
      <c r="A20" s="2" t="inlineStr">
        <is>
          <t>MÃO DE OBRA PRÓPRIA</t>
        </is>
      </c>
      <c r="B20" s="2" t="n">
        <v>89151</v>
      </c>
      <c r="C20" s="2" t="n">
        <v>10175</v>
      </c>
      <c r="D20" s="2" t="n">
        <v>44808</v>
      </c>
      <c r="E20" s="2" t="n">
        <v>70531</v>
      </c>
      <c r="F20" s="2" t="n">
        <v>163898</v>
      </c>
      <c r="G20" s="2" t="n">
        <v>192088</v>
      </c>
      <c r="H20" s="2" t="n">
        <v>260145</v>
      </c>
      <c r="I20" s="2" t="n">
        <v>275348</v>
      </c>
      <c r="J20" s="2" t="n">
        <v>267685</v>
      </c>
      <c r="K20" s="2" t="n">
        <v>267117</v>
      </c>
      <c r="L20" s="2" t="n">
        <v>373831</v>
      </c>
      <c r="M20" s="2" t="n">
        <v>351776</v>
      </c>
      <c r="N20" s="2" t="n">
        <v>2366553</v>
      </c>
      <c r="O20" s="2" t="n">
        <v>2366553</v>
      </c>
    </row>
    <row r="21">
      <c r="A21" s="2" t="inlineStr">
        <is>
          <t>DIVERSOS</t>
        </is>
      </c>
      <c r="B21" s="2" t="n">
        <v>6730</v>
      </c>
      <c r="C21" s="2" t="n">
        <v>532</v>
      </c>
      <c r="D21" s="2" t="n">
        <v>1150</v>
      </c>
      <c r="E21" s="2" t="n">
        <v>1077</v>
      </c>
      <c r="F21" s="2" t="n">
        <v>7674</v>
      </c>
      <c r="G21" s="2" t="n">
        <v>2821</v>
      </c>
      <c r="H21" s="2" t="n">
        <v>4689</v>
      </c>
      <c r="I21" s="2" t="n">
        <v>4207</v>
      </c>
      <c r="J21" s="2" t="n">
        <v>7357</v>
      </c>
      <c r="K21" s="2" t="n">
        <v>3942</v>
      </c>
      <c r="L21" s="2" t="n">
        <v>4591</v>
      </c>
      <c r="M21" s="2" t="n">
        <v>20147</v>
      </c>
      <c r="N21" s="2" t="n">
        <v>64917</v>
      </c>
      <c r="O21" s="2" t="n">
        <v>64917</v>
      </c>
    </row>
    <row r="22">
      <c r="A22" s="2" t="inlineStr">
        <is>
          <t>REEMBOLSO MATERIAIS E SERVIÇOS</t>
        </is>
      </c>
      <c r="B22" s="2" t="n">
        <v>30425</v>
      </c>
      <c r="C22" s="2" t="n">
        <v>38447</v>
      </c>
      <c r="D22" s="2" t="n">
        <v>24240</v>
      </c>
      <c r="E22" s="2" t="n">
        <v>633</v>
      </c>
      <c r="F22" s="2" t="n">
        <v>628</v>
      </c>
      <c r="G22" s="2" t="n">
        <v>2227</v>
      </c>
      <c r="H22" s="2" t="n">
        <v>3004</v>
      </c>
      <c r="I22" s="2" t="n">
        <v>4132</v>
      </c>
      <c r="J22" s="2" t="n">
        <v>3238</v>
      </c>
      <c r="K22" s="2" t="n">
        <v>4766</v>
      </c>
      <c r="L22" s="2" t="inlineStr">
        <is>
          <t> </t>
        </is>
      </c>
      <c r="M22" s="2" t="inlineStr">
        <is>
          <t> </t>
        </is>
      </c>
      <c r="N22" s="2" t="n">
        <v>111740</v>
      </c>
      <c r="O22" s="2" t="n">
        <v>111741</v>
      </c>
    </row>
    <row r="23">
      <c r="A23" s="2" t="inlineStr">
        <is>
          <t>SEGURANÇA DO TRABALHO</t>
        </is>
      </c>
      <c r="B23" s="2" t="inlineStr">
        <is>
          <t> </t>
        </is>
      </c>
      <c r="C23" s="2" t="inlineStr">
        <is>
          <t> </t>
        </is>
      </c>
      <c r="D23" s="2" t="inlineStr">
        <is>
          <t> </t>
        </is>
      </c>
      <c r="E23" s="2" t="inlineStr">
        <is>
          <t> </t>
        </is>
      </c>
      <c r="F23" s="2" t="inlineStr">
        <is>
          <t> </t>
        </is>
      </c>
      <c r="G23" s="2" t="inlineStr">
        <is>
          <t> </t>
        </is>
      </c>
      <c r="H23" s="2" t="inlineStr">
        <is>
          <t> </t>
        </is>
      </c>
      <c r="I23" s="2" t="inlineStr">
        <is>
          <t> </t>
        </is>
      </c>
      <c r="J23" s="2" t="inlineStr">
        <is>
          <t> </t>
        </is>
      </c>
      <c r="K23" s="2" t="inlineStr">
        <is>
          <t> </t>
        </is>
      </c>
      <c r="L23" s="2" t="inlineStr">
        <is>
          <t> </t>
        </is>
      </c>
      <c r="M23" s="2" t="n">
        <v>10781</v>
      </c>
      <c r="N23" s="2" t="n">
        <v>10781</v>
      </c>
      <c r="O23" s="2" t="n">
        <v>10781</v>
      </c>
    </row>
    <row r="24">
      <c r="A24" s="2" t="inlineStr">
        <is>
          <t>TOPOGRAFIA</t>
        </is>
      </c>
      <c r="B24" s="2" t="inlineStr">
        <is>
          <t> </t>
        </is>
      </c>
      <c r="C24" s="2" t="inlineStr">
        <is>
          <t> </t>
        </is>
      </c>
      <c r="D24" s="2" t="inlineStr">
        <is>
          <t> </t>
        </is>
      </c>
      <c r="E24" s="2" t="inlineStr">
        <is>
          <t> </t>
        </is>
      </c>
      <c r="F24" s="2" t="inlineStr">
        <is>
          <t> </t>
        </is>
      </c>
      <c r="G24" s="2" t="inlineStr">
        <is>
          <t> </t>
        </is>
      </c>
      <c r="H24" s="2" t="inlineStr">
        <is>
          <t> </t>
        </is>
      </c>
      <c r="J24" s="2" t="n">
        <v>9300</v>
      </c>
      <c r="K24" s="2" t="n">
        <v>9300</v>
      </c>
      <c r="L24" s="2" t="inlineStr">
        <is>
          <t> </t>
        </is>
      </c>
      <c r="M24" s="2" t="inlineStr">
        <is>
          <t> </t>
        </is>
      </c>
      <c r="N24" s="2" t="n">
        <v>18600</v>
      </c>
      <c r="O24" s="2" t="n">
        <v>18600</v>
      </c>
    </row>
    <row r="25">
      <c r="A25" s="2" t="inlineStr">
        <is>
          <t>CONDICIONANTES AMBIENTAIS</t>
        </is>
      </c>
      <c r="B25" s="2" t="inlineStr">
        <is>
          <t> </t>
        </is>
      </c>
      <c r="C25" s="2" t="inlineStr">
        <is>
          <t> </t>
        </is>
      </c>
      <c r="D25" s="2" t="inlineStr">
        <is>
          <t> </t>
        </is>
      </c>
      <c r="E25" s="2" t="inlineStr">
        <is>
          <t> </t>
        </is>
      </c>
      <c r="F25" s="2" t="inlineStr">
        <is>
          <t> </t>
        </is>
      </c>
      <c r="G25" s="2" t="inlineStr">
        <is>
          <t> </t>
        </is>
      </c>
      <c r="H25" s="2" t="inlineStr">
        <is>
          <t> </t>
        </is>
      </c>
      <c r="I25" s="2" t="inlineStr">
        <is>
          <t> </t>
        </is>
      </c>
      <c r="J25" s="2" t="inlineStr">
        <is>
          <t> </t>
        </is>
      </c>
      <c r="K25" s="2" t="inlineStr">
        <is>
          <t> </t>
        </is>
      </c>
      <c r="L25" s="2" t="inlineStr">
        <is>
          <t> </t>
        </is>
      </c>
      <c r="M25" s="2" t="n">
        <v>1863</v>
      </c>
      <c r="N25" s="2" t="n">
        <v>1863</v>
      </c>
      <c r="O25" s="2" t="n">
        <v>1863</v>
      </c>
    </row>
    <row r="27">
      <c r="A27" s="2" t="inlineStr">
        <is>
          <t>TOTAL</t>
        </is>
      </c>
      <c r="B27" s="2" t="n">
        <v>2542106</v>
      </c>
      <c r="C27" s="2" t="n">
        <v>211023</v>
      </c>
      <c r="D27" s="2" t="n">
        <v>399727</v>
      </c>
      <c r="E27" s="2" t="n">
        <v>524871</v>
      </c>
      <c r="F27" s="2" t="n">
        <v>683001.5</v>
      </c>
      <c r="G27" s="2" t="n">
        <v>1307769.5</v>
      </c>
      <c r="H27" s="2" t="n">
        <v>1411295.5</v>
      </c>
      <c r="I27" s="2" t="n">
        <v>2123934.5</v>
      </c>
      <c r="J27" s="2" t="n">
        <v>2757311.5</v>
      </c>
      <c r="K27" s="2" t="n">
        <v>2913390.5</v>
      </c>
      <c r="L27" s="2" t="n">
        <v>3409880</v>
      </c>
      <c r="M27" s="2" t="n">
        <v>3867537</v>
      </c>
      <c r="N27" s="2" t="n">
        <v>22151847</v>
      </c>
      <c r="O27" s="2" t="n">
        <v>22115587</v>
      </c>
    </row>
    <row r="28">
      <c r="M28" s="2" t="n">
        <v>22151847</v>
      </c>
    </row>
    <row r="29">
      <c r="A29" s="2" t="inlineStr">
        <is>
          <t>Total do BI</t>
        </is>
      </c>
      <c r="B29" s="2" t="n">
        <v>2542106</v>
      </c>
      <c r="C29" s="2" t="n">
        <v>174903</v>
      </c>
      <c r="D29" s="2" t="n">
        <v>399725</v>
      </c>
      <c r="E29" s="2" t="n">
        <v>524870</v>
      </c>
      <c r="F29" s="2" t="n">
        <v>683003</v>
      </c>
      <c r="G29" s="2" t="n">
        <v>1307768</v>
      </c>
      <c r="H29" s="2" t="n">
        <v>1411297</v>
      </c>
      <c r="I29" s="2" t="n">
        <v>2123934</v>
      </c>
      <c r="J29" s="2" t="n">
        <v>2757310</v>
      </c>
      <c r="K29" s="2" t="n">
        <v>2913390</v>
      </c>
      <c r="L29" s="2" t="n">
        <v>3409900</v>
      </c>
      <c r="M29" s="2" t="n">
        <v>3867378</v>
      </c>
    </row>
    <row r="30">
      <c r="M30" s="2" t="n">
        <v>22115584</v>
      </c>
    </row>
    <row r="31">
      <c r="C31" s="2" t="n">
        <v>-36120</v>
      </c>
      <c r="M31" s="2" t="n">
        <v>-36263</v>
      </c>
      <c r="O31" s="2" t="n">
        <v>-36260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B3:S64"/>
  <sheetViews>
    <sheetView tabSelected="0"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8" customWidth="1" min="3" max="3"/>
    <col width="46" customWidth="1" min="4" max="4"/>
    <col width="11" customWidth="1" min="5" max="5"/>
    <col width="17" customWidth="1" min="6" max="6"/>
    <col width="15" customWidth="1" min="7" max="7"/>
    <col width="13" customWidth="1" min="8" max="8"/>
    <col width="11" customWidth="1" min="9" max="9"/>
    <col width="40" customWidth="1" min="10" max="10"/>
    <col width="18" customWidth="1" min="11" max="11"/>
    <col width="17" customWidth="1" min="12" max="12"/>
    <col width="15" customWidth="1" min="13" max="13"/>
    <col width="44" customWidth="1" min="14" max="14"/>
    <col width="24" customWidth="1" min="15" max="15"/>
    <col width="14" customWidth="1" min="16" max="16"/>
    <col width="10" customWidth="1" min="17" max="17"/>
    <col width="14" customWidth="1" min="18" max="18"/>
    <col width="12" customWidth="1" min="19" max="19"/>
  </cols>
  <sheetData>
    <row r="3">
      <c r="B3" s="45" t="inlineStr">
        <is>
          <t>ORÇAMENTO SET/25 - BOTÂNICO</t>
        </is>
      </c>
      <c r="J3" s="3" t="inlineStr">
        <is>
          <t>ACOMPANHAMENTO IEC</t>
        </is>
      </c>
    </row>
    <row r="5">
      <c r="B5" s="46" t="inlineStr">
        <is>
          <t>INCC 10-25</t>
        </is>
      </c>
      <c r="C5" s="47" t="n">
        <v>1216.76</v>
      </c>
      <c r="D5" s="46" t="inlineStr">
        <is>
          <t>TOTAL</t>
        </is>
      </c>
      <c r="E5" s="48">
        <f>E50</f>
        <v/>
      </c>
      <c r="F5" s="49">
        <f>F50</f>
        <v/>
      </c>
      <c r="G5" s="49">
        <f>G50</f>
        <v/>
      </c>
      <c r="H5" s="46" t="inlineStr">
        <is>
          <t>INCC BASE DO ORÇAMENTO</t>
        </is>
      </c>
      <c r="J5" s="46" t="inlineStr">
        <is>
          <t>DATA DE CORTE -&gt;</t>
        </is>
      </c>
      <c r="K5" s="50" t="n">
        <v>46235</v>
      </c>
      <c r="O5" s="51" t="inlineStr">
        <is>
          <t>Corte (1º dia do mês)</t>
        </is>
      </c>
      <c r="P5" s="52">
        <f>DATE(YEAR(K5),MONTH(K5),1)</f>
        <v/>
      </c>
    </row>
    <row r="6">
      <c r="B6" s="46" t="inlineStr">
        <is>
          <t>ORÇ EM INCC</t>
        </is>
      </c>
      <c r="C6" s="53" t="n">
        <v>143557.19</v>
      </c>
      <c r="H6" s="47" t="n">
        <v>1216.706</v>
      </c>
      <c r="J6" s="46" t="inlineStr">
        <is>
          <t>INÍCIO DO FLUXO -&gt;</t>
        </is>
      </c>
      <c r="K6" s="50" t="n">
        <v>45627</v>
      </c>
      <c r="O6" s="51" t="inlineStr">
        <is>
          <t>Início (1º dia do mês)</t>
        </is>
      </c>
      <c r="P6" s="52">
        <f>DATE(YEAR(K6),MONTH(K6),1)</f>
        <v/>
      </c>
    </row>
    <row r="7">
      <c r="B7" s="46" t="inlineStr">
        <is>
          <t>ORÇ 10-25</t>
        </is>
      </c>
      <c r="C7" s="54">
        <f>C6*C5</f>
        <v/>
      </c>
      <c r="D7" s="46" t="inlineStr">
        <is>
          <t>TAXA DE ADMINISTRAÇÃO</t>
        </is>
      </c>
      <c r="E7" s="48">
        <f>IF(F49=0,0,F48/F49)</f>
        <v/>
      </c>
      <c r="F7" s="49">
        <f>F48</f>
        <v/>
      </c>
      <c r="G7" s="49">
        <f>G48</f>
        <v/>
      </c>
      <c r="J7" s="46" t="inlineStr">
        <is>
          <t>LIMITE DE AVANÇO FÍSICO P/ USAR PREVISION -&gt;</t>
        </is>
      </c>
      <c r="K7" s="55" t="n">
        <v>1</v>
      </c>
      <c r="O7" s="51" t="inlineStr">
        <is>
          <t>INCC no mês de corte</t>
        </is>
      </c>
      <c r="P7" s="56">
        <f>IFERROR(INDEX('"INCC-FGV"'!$B$2:$B$800,MATCH(P5,'"INCC-FGV"'!$A$2:$A$800,0)),IFERROR(INDEX('"INCC-FGV"'!$B$2:$B$800,MATCH(P5,'"INCC-FGV"'!$A$2:$A$800,1)),"FALTA INCC"))</f>
        <v/>
      </c>
    </row>
    <row r="8">
      <c r="D8" s="46" t="inlineStr">
        <is>
          <t>SUBTOTAL</t>
        </is>
      </c>
      <c r="E8" s="48">
        <f>IF(F50=0,0,F49/F50)</f>
        <v/>
      </c>
      <c r="F8" s="49">
        <f>F49</f>
        <v/>
      </c>
      <c r="G8" s="49">
        <f>G49</f>
        <v/>
      </c>
      <c r="J8" s="46" t="inlineStr">
        <is>
          <t>CENÁRIO DAS CURVAS -&gt;</t>
        </is>
      </c>
      <c r="K8" s="57" t="inlineStr">
        <is>
          <t>PADRÃO</t>
        </is>
      </c>
      <c r="O8" s="51" t="inlineStr">
        <is>
          <t>Último mês do horizonte</t>
        </is>
      </c>
      <c r="P8" s="52">
        <f>DATE(YEAR(P6),MONTH(P6)+71,1)</f>
        <v/>
      </c>
    </row>
    <row r="9">
      <c r="O9" s="51" t="inlineStr">
        <is>
          <t>Obra</t>
        </is>
      </c>
      <c r="P9" s="57" t="inlineStr">
        <is>
          <t>BOTÂNICO</t>
        </is>
      </c>
    </row>
    <row r="10" ht="45" customHeight="1">
      <c r="B10" s="58" t="inlineStr">
        <is>
          <t>CPU</t>
        </is>
      </c>
      <c r="C10" s="58" t="inlineStr">
        <is>
          <t>CÓDIGO</t>
        </is>
      </c>
      <c r="D10" s="58" t="inlineStr">
        <is>
          <t>DESCRIÇÃO / SERVIÇO</t>
        </is>
      </c>
      <c r="E10" s="58" t="inlineStr">
        <is>
          <t>PESO DO ORÇAMENTO</t>
        </is>
      </c>
      <c r="F10" s="58" t="inlineStr">
        <is>
          <t>VALOR EM R$
(orçamento base)</t>
        </is>
      </c>
      <c r="G10" s="58" t="inlineStr">
        <is>
          <t>VALOR EM INCC
(orçamento)</t>
        </is>
      </c>
      <c r="H10" s="58" t="inlineStr">
        <is>
          <t>META EM INCC
(soma da
distribuição)</t>
        </is>
      </c>
      <c r="I10" s="58" t="inlineStr">
        <is>
          <t>TIPO</t>
        </is>
      </c>
      <c r="J10" s="58" t="inlineStr">
        <is>
          <t>PL</t>
        </is>
      </c>
      <c r="K10" s="58" t="inlineStr">
        <is>
          <t>ORÇAMENTO REAJUSTADO
(INCC do corte)</t>
        </is>
      </c>
      <c r="L10" s="58" t="inlineStr">
        <is>
          <t>PROJEÇÃO (R$)</t>
        </is>
      </c>
      <c r="M10" s="58" t="inlineStr">
        <is>
          <t>VARIAÇÃO</t>
        </is>
      </c>
      <c r="N10" s="58" t="inlineStr">
        <is>
          <t>CONFERÊNCIA</t>
        </is>
      </c>
      <c r="O10" s="58" t="inlineStr">
        <is>
          <t>FONTE DA CURVA</t>
        </is>
      </c>
      <c r="P10" s="58" t="inlineStr">
        <is>
          <t>AVANÇO FÍSICO
(Prevision, corte)</t>
        </is>
      </c>
      <c r="Q10" s="58" t="inlineStr">
        <is>
          <t>CÓD. NO
PREVISION</t>
        </is>
      </c>
      <c r="R10" s="58" t="inlineStr">
        <is>
          <t>CURVA PREVISTA
DE OUTRO PL
(cód. Prevision)</t>
        </is>
      </c>
      <c r="S10" s="58" t="inlineStr">
        <is>
          <t>FATOR DA
PROJEÇÃO
(reorçamento)</t>
        </is>
      </c>
    </row>
    <row r="11">
      <c r="B11" s="59" t="inlineStr">
        <is>
          <t>PL001.001</t>
        </is>
      </c>
      <c r="C11" s="59" t="inlineStr">
        <is>
          <t>01</t>
        </is>
      </c>
      <c r="D11" s="59" t="inlineStr">
        <is>
          <t>PROJETOS</t>
        </is>
      </c>
      <c r="E11" s="48">
        <f>IF($F$50=0,0,F11/$F$50)</f>
        <v/>
      </c>
      <c r="F11" s="53" t="n">
        <v>2400000</v>
      </c>
      <c r="G11" s="53" t="n">
        <v>1972.53897</v>
      </c>
      <c r="H11" s="49">
        <f>MAX(G11*IF(S11="",1,S11),'PROJETO'!$K$8)</f>
        <v/>
      </c>
      <c r="I11" s="59" t="inlineStr">
        <is>
          <t>INDIRETO</t>
        </is>
      </c>
      <c r="J11" s="59" t="inlineStr">
        <is>
          <t>PROJETOS</t>
        </is>
      </c>
      <c r="K11" s="49">
        <f>IF(ISNUMBER($P$7),G11*$P$7,0)</f>
        <v/>
      </c>
      <c r="L11" s="60">
        <f>'PROJETO'!$J$7</f>
        <v/>
      </c>
      <c r="M11" s="49">
        <f>L11-K11</f>
        <v/>
      </c>
      <c r="N11" s="51">
        <f>IF(D11="","",IF('PROJETO'!$K$8&gt;'PROJETO'!$K$6+0.01,"⚠ Incorrido acima da meta em INCC",IF(AND('PROJETO'!$K$18&gt;1,'PROJETO'!$K$17=0),"⚠ Saldo sem curva (preencha a coluna H da aba)",IF(ABS('PROJETO'!$D$80)&gt;0.01,"⚠ Verificar","OK"))))</f>
        <v/>
      </c>
      <c r="O11" s="61">
        <f>'PROJETO'!$K$16</f>
        <v/>
      </c>
      <c r="P11" s="62">
        <f>'PROJETO'!$K$14</f>
        <v/>
      </c>
      <c r="Q11" s="59" t="inlineStr">
        <is>
          <t>01</t>
        </is>
      </c>
      <c r="R11" s="59" t="n"/>
      <c r="S11" s="63" t="n">
        <v>1.03786211</v>
      </c>
    </row>
    <row r="12">
      <c r="B12" s="59" t="inlineStr">
        <is>
          <t>PL350.001</t>
        </is>
      </c>
      <c r="C12" s="59" t="inlineStr">
        <is>
          <t>02</t>
        </is>
      </c>
      <c r="D12" s="59" t="inlineStr">
        <is>
          <t>SEGUROS</t>
        </is>
      </c>
      <c r="E12" s="48">
        <f>IF($F$50=0,0,F12/$F$50)</f>
        <v/>
      </c>
      <c r="F12" s="53" t="n">
        <v>126154.98</v>
      </c>
      <c r="G12" s="53" t="n">
        <v>103.685673</v>
      </c>
      <c r="H12" s="49">
        <f>MAX(G12*IF(S12="",1,S12),'SEGUROS'!$K$8)</f>
        <v/>
      </c>
      <c r="I12" s="59" t="inlineStr">
        <is>
          <t>INDIRETO</t>
        </is>
      </c>
      <c r="J12" s="59" t="inlineStr">
        <is>
          <t xml:space="preserve">SEGURO DE OBRA </t>
        </is>
      </c>
      <c r="K12" s="49">
        <f>IF(ISNUMBER($P$7),G12*$P$7,0)</f>
        <v/>
      </c>
      <c r="L12" s="60">
        <f>'SEGUROS'!$J$7</f>
        <v/>
      </c>
      <c r="M12" s="49">
        <f>L12-K12</f>
        <v/>
      </c>
      <c r="N12" s="51">
        <f>IF(D12="","",IF('SEGUROS'!$K$8&gt;'SEGUROS'!$K$6+0.01,"⚠ Incorrido acima da meta em INCC",IF(AND('SEGUROS'!$K$18&gt;1,'SEGUROS'!$K$17=0),"⚠ Saldo sem curva (preencha a coluna H da aba)",IF(ABS('SEGUROS'!$D$80)&gt;0.01,"⚠ Verificar","OK"))))</f>
        <v/>
      </c>
      <c r="O12" s="61">
        <f>'SEGUROS'!$K$16</f>
        <v/>
      </c>
      <c r="P12" s="62">
        <f>'SEGUROS'!$K$14</f>
        <v/>
      </c>
      <c r="Q12" s="59" t="inlineStr">
        <is>
          <t>02</t>
        </is>
      </c>
      <c r="R12" s="59" t="n"/>
      <c r="S12" s="63" t="n">
        <v>0.95674951</v>
      </c>
    </row>
    <row r="13">
      <c r="B13" s="59" t="inlineStr">
        <is>
          <t>PL001.016</t>
        </is>
      </c>
      <c r="C13" s="59" t="inlineStr">
        <is>
          <t>03</t>
        </is>
      </c>
      <c r="D13" s="59" t="inlineStr">
        <is>
          <t>TAXAS DIVERSAS</t>
        </is>
      </c>
      <c r="E13" s="48">
        <f>IF($F$50=0,0,F13/$F$50)</f>
        <v/>
      </c>
      <c r="F13" s="53" t="n">
        <v>150000</v>
      </c>
      <c r="G13" s="53" t="n">
        <v>123.283686</v>
      </c>
      <c r="H13" s="49">
        <f>MAX(G13*IF(S13="",1,S13),'TAX. DIVERSAS'!$K$8)</f>
        <v/>
      </c>
      <c r="I13" s="59" t="inlineStr">
        <is>
          <t>INDIRETO</t>
        </is>
      </c>
      <c r="J13" s="59" t="inlineStr">
        <is>
          <t>TAXAS DIVERSAS</t>
        </is>
      </c>
      <c r="K13" s="49">
        <f>IF(ISNUMBER($P$7),G13*$P$7,0)</f>
        <v/>
      </c>
      <c r="L13" s="60">
        <f>'TAX. DIVERSAS'!$J$7</f>
        <v/>
      </c>
      <c r="M13" s="49">
        <f>L13-K13</f>
        <v/>
      </c>
      <c r="N13" s="51">
        <f>IF(D13="","",IF('TAX. DIVERSAS'!$K$8&gt;'TAX. DIVERSAS'!$K$6+0.01,"⚠ Incorrido acima da meta em INCC",IF(AND('TAX. DIVERSAS'!$K$18&gt;1,'TAX. DIVERSAS'!$K$17=0),"⚠ Saldo sem curva (preencha a coluna H da aba)",IF(ABS('TAX. DIVERSAS'!$D$80)&gt;0.01,"⚠ Verificar","OK"))))</f>
        <v/>
      </c>
      <c r="O13" s="61">
        <f>'TAX. DIVERSAS'!$K$16</f>
        <v/>
      </c>
      <c r="P13" s="62">
        <f>'TAX. DIVERSAS'!$K$14</f>
        <v/>
      </c>
      <c r="Q13" s="59" t="inlineStr">
        <is>
          <t>03</t>
        </is>
      </c>
      <c r="R13" s="59" t="n"/>
      <c r="S13" s="63" t="n"/>
    </row>
    <row r="14">
      <c r="B14" s="59" t="inlineStr">
        <is>
          <t>PL010.005</t>
        </is>
      </c>
      <c r="C14" s="59" t="inlineStr">
        <is>
          <t>04</t>
        </is>
      </c>
      <c r="D14" s="59" t="inlineStr">
        <is>
          <t>BARRACAO DE OBRA</t>
        </is>
      </c>
      <c r="E14" s="48">
        <f>IF($F$50=0,0,F14/$F$50)</f>
        <v/>
      </c>
      <c r="F14" s="53" t="n">
        <v>934513.13</v>
      </c>
      <c r="G14" s="53" t="n">
        <v>768.0681530000001</v>
      </c>
      <c r="H14" s="49">
        <f>MAX(G14*IF(S14="",1,S14),'BARRACÃO DE OBRA'!$K$8)</f>
        <v/>
      </c>
      <c r="I14" s="59" t="inlineStr">
        <is>
          <t>INDIRETO</t>
        </is>
      </c>
      <c r="J14" s="59" t="inlineStr">
        <is>
          <t>BARRACAO DE OBRA</t>
        </is>
      </c>
      <c r="K14" s="49">
        <f>IF(ISNUMBER($P$7),G14*$P$7,0)</f>
        <v/>
      </c>
      <c r="L14" s="60">
        <f>'BARRACÃO DE OBRA'!$J$7</f>
        <v/>
      </c>
      <c r="M14" s="49">
        <f>L14-K14</f>
        <v/>
      </c>
      <c r="N14" s="51">
        <f>IF(D14="","",IF('BARRACÃO DE OBRA'!$K$8&gt;'BARRACÃO DE OBRA'!$K$6+0.01,"⚠ Incorrido acima da meta em INCC",IF(AND('BARRACÃO DE OBRA'!$K$18&gt;1,'BARRACÃO DE OBRA'!$K$17=0),"⚠ Saldo sem curva (preencha a coluna H da aba)",IF(ABS('BARRACÃO DE OBRA'!$D$80)&gt;0.01,"⚠ Verificar","OK"))))</f>
        <v/>
      </c>
      <c r="O14" s="61">
        <f>'BARRACÃO DE OBRA'!$K$16</f>
        <v/>
      </c>
      <c r="P14" s="62">
        <f>'BARRACÃO DE OBRA'!$K$14</f>
        <v/>
      </c>
      <c r="Q14" s="59" t="inlineStr">
        <is>
          <t>04</t>
        </is>
      </c>
      <c r="R14" s="59" t="n"/>
      <c r="S14" s="63" t="n">
        <v>1.26644317</v>
      </c>
    </row>
    <row r="15">
      <c r="B15" s="59" t="inlineStr">
        <is>
          <t>PL020.004</t>
        </is>
      </c>
      <c r="C15" s="59" t="inlineStr">
        <is>
          <t>05</t>
        </is>
      </c>
      <c r="D15" s="59" t="inlineStr">
        <is>
          <t>LIGAÇÕES PROVISÓRIAS AGUA, ENERGIA,TELEFONIA, ESGOTO</t>
        </is>
      </c>
      <c r="E15" s="48">
        <f>IF($F$50=0,0,F15/$F$50)</f>
        <v/>
      </c>
      <c r="F15" s="53" t="n">
        <v>50000</v>
      </c>
      <c r="G15" s="53" t="n">
        <v>41.094562</v>
      </c>
      <c r="H15" s="49">
        <f>MAX(G15*IF(S15="",1,S15),'LIG. PROVISÓRIAS'!$K$8)</f>
        <v/>
      </c>
      <c r="I15" s="59" t="inlineStr">
        <is>
          <t>INDIRETO</t>
        </is>
      </c>
      <c r="J15" s="59" t="inlineStr">
        <is>
          <t>LIGAÇÕES PROVISÓRIAS AGUA, ESGOTO, ENERGIA,TELEFONE, INTERNET</t>
        </is>
      </c>
      <c r="K15" s="49">
        <f>IF(ISNUMBER($P$7),G15*$P$7,0)</f>
        <v/>
      </c>
      <c r="L15" s="60">
        <f>'LIG. PROVISÓRIAS'!$J$7</f>
        <v/>
      </c>
      <c r="M15" s="49">
        <f>L15-K15</f>
        <v/>
      </c>
      <c r="N15" s="51">
        <f>IF(D15="","",IF('LIG. PROVISÓRIAS'!$K$8&gt;'LIG. PROVISÓRIAS'!$K$6+0.01,"⚠ Incorrido acima da meta em INCC",IF(AND('LIG. PROVISÓRIAS'!$K$18&gt;1,'LIG. PROVISÓRIAS'!$K$17=0),"⚠ Saldo sem curva (preencha a coluna H da aba)",IF(ABS('LIG. PROVISÓRIAS'!$D$80)&gt;0.01,"⚠ Verificar","OK"))))</f>
        <v/>
      </c>
      <c r="O15" s="61">
        <f>'LIG. PROVISÓRIAS'!$K$16</f>
        <v/>
      </c>
      <c r="P15" s="62">
        <f>'LIG. PROVISÓRIAS'!$K$14</f>
        <v/>
      </c>
      <c r="Q15" s="59" t="inlineStr">
        <is>
          <t>05</t>
        </is>
      </c>
      <c r="R15" s="59" t="n"/>
      <c r="S15" s="63" t="n">
        <v>1.68848185</v>
      </c>
    </row>
    <row r="16">
      <c r="B16" s="59" t="inlineStr">
        <is>
          <t>PL020.005</t>
        </is>
      </c>
      <c r="C16" s="59" t="inlineStr">
        <is>
          <t>06</t>
        </is>
      </c>
      <c r="D16" s="59" t="inlineStr">
        <is>
          <t>CONSUMO DE ÁGUA, ENERGIA, ETC.</t>
        </is>
      </c>
      <c r="E16" s="48">
        <f>IF($F$50=0,0,F16/$F$50)</f>
        <v/>
      </c>
      <c r="F16" s="53" t="n">
        <v>521400</v>
      </c>
      <c r="G16" s="53" t="n">
        <v>428.534091</v>
      </c>
      <c r="H16" s="49">
        <f>MAX(G16*IF(S16="",1,S16),'CONSUMOS'!$K$8)</f>
        <v/>
      </c>
      <c r="I16" s="59" t="inlineStr">
        <is>
          <t>INDIRETO</t>
        </is>
      </c>
      <c r="J16" s="59" t="inlineStr">
        <is>
          <t>CONSUMO DE ÁGUA, ENERGIA, TELEFONE, INTERNET</t>
        </is>
      </c>
      <c r="K16" s="49">
        <f>IF(ISNUMBER($P$7),G16*$P$7,0)</f>
        <v/>
      </c>
      <c r="L16" s="60">
        <f>'CONSUMOS'!$J$7</f>
        <v/>
      </c>
      <c r="M16" s="49">
        <f>L16-K16</f>
        <v/>
      </c>
      <c r="N16" s="51">
        <f>IF(D16="","",IF('CONSUMOS'!$K$8&gt;'CONSUMOS'!$K$6+0.01,"⚠ Incorrido acima da meta em INCC",IF(AND('CONSUMOS'!$K$18&gt;1,'CONSUMOS'!$K$17=0),"⚠ Saldo sem curva (preencha a coluna H da aba)",IF(ABS('CONSUMOS'!$D$80)&gt;0.01,"⚠ Verificar","OK"))))</f>
        <v/>
      </c>
      <c r="O16" s="61">
        <f>'CONSUMOS'!$K$16</f>
        <v/>
      </c>
      <c r="P16" s="62">
        <f>'CONSUMOS'!$K$14</f>
        <v/>
      </c>
      <c r="Q16" s="59" t="inlineStr">
        <is>
          <t>06</t>
        </is>
      </c>
      <c r="R16" s="59" t="n"/>
      <c r="S16" s="63" t="n">
        <v>1.04468596</v>
      </c>
    </row>
    <row r="17">
      <c r="B17" s="59" t="inlineStr">
        <is>
          <t>PL310.007</t>
        </is>
      </c>
      <c r="C17" s="59" t="inlineStr">
        <is>
          <t>07</t>
        </is>
      </c>
      <c r="D17" s="59" t="inlineStr">
        <is>
          <t>DIVERSOS</t>
        </is>
      </c>
      <c r="E17" s="48">
        <f>IF($F$50=0,0,F17/$F$50)</f>
        <v/>
      </c>
      <c r="F17" s="53" t="n">
        <v>158400</v>
      </c>
      <c r="G17" s="53" t="n">
        <v>130.187572</v>
      </c>
      <c r="H17" s="49">
        <f>MAX(G17*IF(S17="",1,S17),'DIVERSOS'!$K$8)</f>
        <v/>
      </c>
      <c r="I17" s="59" t="inlineStr">
        <is>
          <t>INDIRETO</t>
        </is>
      </c>
      <c r="J17" s="59" t="inlineStr">
        <is>
          <t>DIVERSOS</t>
        </is>
      </c>
      <c r="K17" s="49">
        <f>IF(ISNUMBER($P$7),G17*$P$7,0)</f>
        <v/>
      </c>
      <c r="L17" s="60">
        <f>'DIVERSOS'!$J$7</f>
        <v/>
      </c>
      <c r="M17" s="49">
        <f>L17-K17</f>
        <v/>
      </c>
      <c r="N17" s="51">
        <f>IF(D17="","",IF('DIVERSOS'!$K$8&gt;'DIVERSOS'!$K$6+0.01,"⚠ Incorrido acima da meta em INCC",IF(AND('DIVERSOS'!$K$18&gt;1,'DIVERSOS'!$K$17=0),"⚠ Saldo sem curva (preencha a coluna H da aba)",IF(ABS('DIVERSOS'!$D$80)&gt;0.01,"⚠ Verificar","OK"))))</f>
        <v/>
      </c>
      <c r="O17" s="61">
        <f>'DIVERSOS'!$K$16</f>
        <v/>
      </c>
      <c r="P17" s="62">
        <f>'DIVERSOS'!$K$14</f>
        <v/>
      </c>
      <c r="Q17" s="59" t="inlineStr">
        <is>
          <t>07</t>
        </is>
      </c>
      <c r="R17" s="59" t="n"/>
      <c r="S17" s="63" t="n">
        <v>1.171028</v>
      </c>
    </row>
    <row r="18">
      <c r="B18" s="59" t="inlineStr">
        <is>
          <t>PL570.001</t>
        </is>
      </c>
      <c r="C18" s="59" t="inlineStr">
        <is>
          <t>08</t>
        </is>
      </c>
      <c r="D18" s="59" t="inlineStr">
        <is>
          <t>TRANSPORTES</t>
        </is>
      </c>
      <c r="E18" s="48">
        <f>IF($F$50=0,0,F18/$F$50)</f>
        <v/>
      </c>
      <c r="F18" s="53" t="n">
        <v>779592</v>
      </c>
      <c r="G18" s="53" t="n">
        <v>640.739834</v>
      </c>
      <c r="H18" s="49">
        <f>MAX(G18*IF(S18="",1,S18),'TRANSPORTES'!$K$8)</f>
        <v/>
      </c>
      <c r="I18" s="59" t="inlineStr">
        <is>
          <t>INDIRETO</t>
        </is>
      </c>
      <c r="J18" s="59" t="inlineStr">
        <is>
          <t>FRETES E TRANSPORTES</t>
        </is>
      </c>
      <c r="K18" s="49">
        <f>IF(ISNUMBER($P$7),G18*$P$7,0)</f>
        <v/>
      </c>
      <c r="L18" s="60">
        <f>'TRANSPORTES'!$J$7</f>
        <v/>
      </c>
      <c r="M18" s="49">
        <f>L18-K18</f>
        <v/>
      </c>
      <c r="N18" s="51">
        <f>IF(D18="","",IF('TRANSPORTES'!$K$8&gt;'TRANSPORTES'!$K$6+0.01,"⚠ Incorrido acima da meta em INCC",IF(AND('TRANSPORTES'!$K$18&gt;1,'TRANSPORTES'!$K$17=0),"⚠ Saldo sem curva (preencha a coluna H da aba)",IF(ABS('TRANSPORTES'!$D$80)&gt;0.01,"⚠ Verificar","OK"))))</f>
        <v/>
      </c>
      <c r="O18" s="61">
        <f>'TRANSPORTES'!$K$16</f>
        <v/>
      </c>
      <c r="P18" s="62">
        <f>'TRANSPORTES'!$K$14</f>
        <v/>
      </c>
      <c r="Q18" s="59" t="inlineStr">
        <is>
          <t>08</t>
        </is>
      </c>
      <c r="R18" s="59" t="n"/>
      <c r="S18" s="63" t="n">
        <v>1.00921062</v>
      </c>
    </row>
    <row r="19">
      <c r="B19" s="59" t="inlineStr">
        <is>
          <t>PL001.051</t>
        </is>
      </c>
      <c r="C19" s="59" t="inlineStr">
        <is>
          <t>09</t>
        </is>
      </c>
      <c r="D19" s="59" t="inlineStr">
        <is>
          <t>CONSULTORIAS (OBRAS)</t>
        </is>
      </c>
      <c r="E19" s="48">
        <f>IF($F$50=0,0,F19/$F$50)</f>
        <v/>
      </c>
      <c r="F19" s="53" t="n">
        <v>1322660.98</v>
      </c>
      <c r="G19" s="53" t="n">
        <v>1087.08347</v>
      </c>
      <c r="H19" s="49">
        <f>MAX(G19*IF(S19="",1,S19),'CONSULTORIAS'!$K$8)</f>
        <v/>
      </c>
      <c r="I19" s="59" t="inlineStr">
        <is>
          <t>INDIRETO</t>
        </is>
      </c>
      <c r="J19" s="59" t="inlineStr">
        <is>
          <t>CONSULTORIAS (OBRAS)</t>
        </is>
      </c>
      <c r="K19" s="49">
        <f>IF(ISNUMBER($P$7),G19*$P$7,0)</f>
        <v/>
      </c>
      <c r="L19" s="60">
        <f>'CONSULTORIAS'!$J$7</f>
        <v/>
      </c>
      <c r="M19" s="49">
        <f>L19-K19</f>
        <v/>
      </c>
      <c r="N19" s="51">
        <f>IF(D19="","",IF('CONSULTORIAS'!$K$8&gt;'CONSULTORIAS'!$K$6+0.01,"⚠ Incorrido acima da meta em INCC",IF(AND('CONSULTORIAS'!$K$18&gt;1,'CONSULTORIAS'!$K$17=0),"⚠ Saldo sem curva (preencha a coluna H da aba)",IF(ABS('CONSULTORIAS'!$D$80)&gt;0.01,"⚠ Verificar","OK"))))</f>
        <v/>
      </c>
      <c r="O19" s="61">
        <f>'CONSULTORIAS'!$K$16</f>
        <v/>
      </c>
      <c r="P19" s="62">
        <f>'CONSULTORIAS'!$K$14</f>
        <v/>
      </c>
      <c r="Q19" s="59" t="inlineStr">
        <is>
          <t>09</t>
        </is>
      </c>
      <c r="R19" s="59" t="n"/>
      <c r="S19" s="63" t="n">
        <v>0.98533299</v>
      </c>
    </row>
    <row r="20">
      <c r="B20" s="59" t="inlineStr">
        <is>
          <t>PL700.001</t>
        </is>
      </c>
      <c r="C20" s="59" t="inlineStr">
        <is>
          <t>10</t>
        </is>
      </c>
      <c r="D20" s="59" t="inlineStr">
        <is>
          <t>MÃO DE OBRA PRÓPRIA</t>
        </is>
      </c>
      <c r="E20" s="48">
        <f>IF($F$50=0,0,F20/$F$50)</f>
        <v/>
      </c>
      <c r="F20" s="53" t="n">
        <v>20188024.55</v>
      </c>
      <c r="G20" s="53" t="n">
        <v>16592.360482</v>
      </c>
      <c r="H20" s="49">
        <f>MAX(G20*IF(S20="",1,S20),'MDO'!$K$8)</f>
        <v/>
      </c>
      <c r="I20" s="59" t="inlineStr">
        <is>
          <t>INDIRETO</t>
        </is>
      </c>
      <c r="J20" s="59" t="inlineStr">
        <is>
          <t>MÃO DE OBRA PRÓPRIA</t>
        </is>
      </c>
      <c r="K20" s="49">
        <f>IF(ISNUMBER($P$7),G20*$P$7,0)</f>
        <v/>
      </c>
      <c r="L20" s="60">
        <f>'MDO'!$J$7</f>
        <v/>
      </c>
      <c r="M20" s="49">
        <f>L20-K20</f>
        <v/>
      </c>
      <c r="N20" s="51">
        <f>IF(D20="","",IF('MDO'!$K$8&gt;'MDO'!$K$6+0.01,"⚠ Incorrido acima da meta em INCC",IF(AND('MDO'!$K$18&gt;1,'MDO'!$K$17=0),"⚠ Saldo sem curva (preencha a coluna H da aba)",IF(ABS('MDO'!$D$80)&gt;0.01,"⚠ Verificar","OK"))))</f>
        <v/>
      </c>
      <c r="O20" s="61">
        <f>'MDO'!$K$16</f>
        <v/>
      </c>
      <c r="P20" s="62">
        <f>'MDO'!$K$14</f>
        <v/>
      </c>
      <c r="Q20" s="59" t="inlineStr">
        <is>
          <t>10</t>
        </is>
      </c>
      <c r="R20" s="59" t="n"/>
      <c r="S20" s="63" t="n"/>
    </row>
    <row r="21">
      <c r="B21" s="59" t="inlineStr">
        <is>
          <t>PL530.001</t>
        </is>
      </c>
      <c r="C21" s="59" t="inlineStr">
        <is>
          <t>11</t>
        </is>
      </c>
      <c r="D21" s="59" t="inlineStr">
        <is>
          <t>EQUIPAMENTOS E FERRAMENTAS</t>
        </is>
      </c>
      <c r="E21" s="48">
        <f>IF($F$50=0,0,F21/$F$50)</f>
        <v/>
      </c>
      <c r="F21" s="53" t="n">
        <v>6467911.66</v>
      </c>
      <c r="G21" s="53" t="n">
        <v>5315.919921</v>
      </c>
      <c r="H21" s="49">
        <f>MAX(G21*IF(S21="",1,S21),'EQUIP E FER'!$K$8)</f>
        <v/>
      </c>
      <c r="I21" s="59" t="inlineStr">
        <is>
          <t>INDIRETO</t>
        </is>
      </c>
      <c r="J21" s="59" t="inlineStr">
        <is>
          <t>EQUIPAMENTOS E FERRAMENTAS</t>
        </is>
      </c>
      <c r="K21" s="49">
        <f>IF(ISNUMBER($P$7),G21*$P$7,0)</f>
        <v/>
      </c>
      <c r="L21" s="60">
        <f>'EQUIP E FER'!$J$7</f>
        <v/>
      </c>
      <c r="M21" s="49">
        <f>L21-K21</f>
        <v/>
      </c>
      <c r="N21" s="51">
        <f>IF(D21="","",IF('EQUIP E FER'!$K$8&gt;'EQUIP E FER'!$K$6+0.01,"⚠ Incorrido acima da meta em INCC",IF(AND('EQUIP E FER'!$K$18&gt;1,'EQUIP E FER'!$K$17=0),"⚠ Saldo sem curva (preencha a coluna H da aba)",IF(ABS('EQUIP E FER'!$D$80)&gt;0.01,"⚠ Verificar","OK"))))</f>
        <v/>
      </c>
      <c r="O21" s="61">
        <f>'EQUIP E FER'!$K$16</f>
        <v/>
      </c>
      <c r="P21" s="62">
        <f>'EQUIP E FER'!$K$14</f>
        <v/>
      </c>
      <c r="Q21" s="59" t="inlineStr">
        <is>
          <t>11</t>
        </is>
      </c>
      <c r="R21" s="59" t="n"/>
      <c r="S21" s="63" t="n">
        <v>0.99703491</v>
      </c>
    </row>
    <row r="22">
      <c r="B22" s="59" t="inlineStr">
        <is>
          <t>PL010.022</t>
        </is>
      </c>
      <c r="C22" s="59" t="inlineStr">
        <is>
          <t>12</t>
        </is>
      </c>
      <c r="D22" s="59" t="inlineStr">
        <is>
          <t>SERVIÇOS INICIAIS</t>
        </is>
      </c>
      <c r="E22" s="48">
        <f>IF($F$50=0,0,F22/$F$50)</f>
        <v/>
      </c>
      <c r="F22" s="53" t="n">
        <v>175350.93</v>
      </c>
      <c r="G22" s="53" t="n">
        <v>144.119392</v>
      </c>
      <c r="H22" s="49">
        <f>MAX(G22*IF(S22="",1,S22),'SERV. INICIAIS'!$K$8)</f>
        <v/>
      </c>
      <c r="I22" s="59" t="inlineStr">
        <is>
          <t>DIRETO</t>
        </is>
      </c>
      <c r="J22" s="59" t="inlineStr">
        <is>
          <t>SERVIÇOS INICIAIS</t>
        </is>
      </c>
      <c r="K22" s="49">
        <f>IF(ISNUMBER($P$7),G22*$P$7,0)</f>
        <v/>
      </c>
      <c r="L22" s="60">
        <f>'SERV. INICIAIS'!$J$7</f>
        <v/>
      </c>
      <c r="M22" s="49">
        <f>L22-K22</f>
        <v/>
      </c>
      <c r="N22" s="51">
        <f>IF(D22="","",IF('SERV. INICIAIS'!$K$8&gt;'SERV. INICIAIS'!$K$6+0.01,"⚠ Incorrido acima da meta em INCC",IF(AND('SERV. INICIAIS'!$K$18&gt;1,'SERV. INICIAIS'!$K$17=0),"⚠ Saldo sem curva (preencha a coluna H da aba)",IF(ABS('SERV. INICIAIS'!$D$80)&gt;0.01,"⚠ Verificar","OK"))))</f>
        <v/>
      </c>
      <c r="O22" s="61">
        <f>'SERV. INICIAIS'!$K$16</f>
        <v/>
      </c>
      <c r="P22" s="62">
        <f>'SERV. INICIAIS'!$K$14</f>
        <v/>
      </c>
      <c r="Q22" s="59" t="inlineStr">
        <is>
          <t>12</t>
        </is>
      </c>
      <c r="R22" s="59" t="n"/>
      <c r="S22" s="63" t="n">
        <v>0.94870607</v>
      </c>
    </row>
    <row r="23">
      <c r="B23" s="59" t="inlineStr">
        <is>
          <t>PL001.023</t>
        </is>
      </c>
      <c r="C23" s="59" t="inlineStr">
        <is>
          <t>13</t>
        </is>
      </c>
      <c r="D23" s="59" t="inlineStr">
        <is>
          <t>CONTENÇÃO</t>
        </is>
      </c>
      <c r="E23" s="48">
        <f>IF($F$50=0,0,F23/$F$50)</f>
        <v/>
      </c>
      <c r="F23" s="53" t="n">
        <v>1644553.52</v>
      </c>
      <c r="G23" s="53" t="n">
        <v>1351.644127</v>
      </c>
      <c r="H23" s="49">
        <f>MAX(G23*IF(S23="",1,S23),'CONTENÇÃO'!$K$8)</f>
        <v/>
      </c>
      <c r="I23" s="59" t="inlineStr">
        <is>
          <t>DIRETO</t>
        </is>
      </c>
      <c r="J23" s="59" t="inlineStr">
        <is>
          <t xml:space="preserve">CONTENÇÕES </t>
        </is>
      </c>
      <c r="K23" s="49">
        <f>IF(ISNUMBER($P$7),G23*$P$7,0)</f>
        <v/>
      </c>
      <c r="L23" s="60">
        <f>'CONTENÇÃO'!$J$7</f>
        <v/>
      </c>
      <c r="M23" s="49">
        <f>L23-K23</f>
        <v/>
      </c>
      <c r="N23" s="51">
        <f>IF(D23="","",IF('CONTENÇÃO'!$K$8&gt;'CONTENÇÃO'!$K$6+0.01,"⚠ Incorrido acima da meta em INCC",IF(AND('CONTENÇÃO'!$K$18&gt;1,'CONTENÇÃO'!$K$17=0),"⚠ Saldo sem curva (preencha a coluna H da aba)",IF(ABS('CONTENÇÃO'!$D$80)&gt;0.01,"⚠ Verificar","OK"))))</f>
        <v/>
      </c>
      <c r="O23" s="61">
        <f>'CONTENÇÃO'!$K$16</f>
        <v/>
      </c>
      <c r="P23" s="62">
        <f>'CONTENÇÃO'!$K$14</f>
        <v/>
      </c>
      <c r="Q23" s="59" t="inlineStr">
        <is>
          <t>13</t>
        </is>
      </c>
      <c r="R23" s="59" t="n"/>
      <c r="S23" s="63" t="n">
        <v>0.8468431199999999</v>
      </c>
    </row>
    <row r="24">
      <c r="B24" s="59" t="inlineStr">
        <is>
          <t>PL040.001</t>
        </is>
      </c>
      <c r="C24" s="59" t="inlineStr">
        <is>
          <t>14</t>
        </is>
      </c>
      <c r="D24" s="59" t="inlineStr">
        <is>
          <t>TERRAPLENAGEM</t>
        </is>
      </c>
      <c r="E24" s="48">
        <f>IF($F$50=0,0,F24/$F$50)</f>
        <v/>
      </c>
      <c r="F24" s="53" t="n">
        <v>1259784.46</v>
      </c>
      <c r="G24" s="53" t="n">
        <v>1035.405812</v>
      </c>
      <c r="H24" s="49">
        <f>MAX(G24*IF(S24="",1,S24),'TERRAPLENAGEM'!$K$8)</f>
        <v/>
      </c>
      <c r="I24" s="59" t="inlineStr">
        <is>
          <t>DIRETO</t>
        </is>
      </c>
      <c r="J24" s="59" t="inlineStr">
        <is>
          <t>TERRAPLENAGEM</t>
        </is>
      </c>
      <c r="K24" s="49">
        <f>IF(ISNUMBER($P$7),G24*$P$7,0)</f>
        <v/>
      </c>
      <c r="L24" s="60">
        <f>'TERRAPLENAGEM'!$J$7</f>
        <v/>
      </c>
      <c r="M24" s="49">
        <f>L24-K24</f>
        <v/>
      </c>
      <c r="N24" s="51">
        <f>IF(D24="","",IF('TERRAPLENAGEM'!$K$8&gt;'TERRAPLENAGEM'!$K$6+0.01,"⚠ Incorrido acima da meta em INCC",IF(AND('TERRAPLENAGEM'!$K$18&gt;1,'TERRAPLENAGEM'!$K$17=0),"⚠ Saldo sem curva (preencha a coluna H da aba)",IF(ABS('TERRAPLENAGEM'!$D$80)&gt;0.01,"⚠ Verificar","OK"))))</f>
        <v/>
      </c>
      <c r="O24" s="61">
        <f>'TERRAPLENAGEM'!$K$16</f>
        <v/>
      </c>
      <c r="P24" s="62">
        <f>'TERRAPLENAGEM'!$K$14</f>
        <v/>
      </c>
      <c r="Q24" s="59" t="inlineStr">
        <is>
          <t>14</t>
        </is>
      </c>
      <c r="R24" s="59" t="n"/>
      <c r="S24" s="63" t="n">
        <v>0.96743828</v>
      </c>
    </row>
    <row r="25">
      <c r="B25" s="59" t="inlineStr">
        <is>
          <t>PL050.004</t>
        </is>
      </c>
      <c r="C25" s="59" t="inlineStr">
        <is>
          <t>15</t>
        </is>
      </c>
      <c r="D25" s="59" t="inlineStr">
        <is>
          <t>FUNDAÇÃO PROFUNDA</t>
        </is>
      </c>
      <c r="E25" s="48">
        <f>IF($F$50=0,0,F25/$F$50)</f>
        <v/>
      </c>
      <c r="F25" s="53" t="n">
        <v>6226579.22</v>
      </c>
      <c r="G25" s="53" t="n">
        <v>5117.570899</v>
      </c>
      <c r="H25" s="49">
        <f>MAX(G25*IF(S25="",1,S25),'FUND. PROF'!$K$8)</f>
        <v/>
      </c>
      <c r="I25" s="59" t="inlineStr">
        <is>
          <t>DIRETO</t>
        </is>
      </c>
      <c r="J25" s="59" t="inlineStr">
        <is>
          <t>FUNDAÇÃO PROFUNDA</t>
        </is>
      </c>
      <c r="K25" s="49">
        <f>IF(ISNUMBER($P$7),G25*$P$7,0)</f>
        <v/>
      </c>
      <c r="L25" s="60">
        <f>'FUND. PROF'!$J$7</f>
        <v/>
      </c>
      <c r="M25" s="49">
        <f>L25-K25</f>
        <v/>
      </c>
      <c r="N25" s="51">
        <f>IF(D25="","",IF('FUND. PROF'!$K$8&gt;'FUND. PROF'!$K$6+0.01,"⚠ Incorrido acima da meta em INCC",IF(AND('FUND. PROF'!$K$18&gt;1,'FUND. PROF'!$K$17=0),"⚠ Saldo sem curva (preencha a coluna H da aba)",IF(ABS('FUND. PROF'!$D$80)&gt;0.01,"⚠ Verificar","OK"))))</f>
        <v/>
      </c>
      <c r="O25" s="61">
        <f>'FUND. PROF'!$K$16</f>
        <v/>
      </c>
      <c r="P25" s="62">
        <f>'FUND. PROF'!$K$14</f>
        <v/>
      </c>
      <c r="Q25" s="59" t="inlineStr">
        <is>
          <t>15</t>
        </is>
      </c>
      <c r="R25" s="59" t="n"/>
      <c r="S25" s="63" t="n">
        <v>1.06257434</v>
      </c>
    </row>
    <row r="26">
      <c r="B26" s="59" t="inlineStr">
        <is>
          <t>PL060.004</t>
        </is>
      </c>
      <c r="C26" s="59" t="inlineStr">
        <is>
          <t>16</t>
        </is>
      </c>
      <c r="D26" s="59" t="inlineStr">
        <is>
          <t>FUNDAÇÃO SUPERFICIAL</t>
        </is>
      </c>
      <c r="E26" s="48">
        <f>IF($F$50=0,0,F26/$F$50)</f>
        <v/>
      </c>
      <c r="F26" s="53" t="n">
        <v>4057797.91</v>
      </c>
      <c r="G26" s="53" t="n">
        <v>3335.068547</v>
      </c>
      <c r="H26" s="49">
        <f>MAX(G26*IF(S26="",1,S26),'FUND. SUP'!$K$8)</f>
        <v/>
      </c>
      <c r="I26" s="59" t="inlineStr">
        <is>
          <t>DIRETO</t>
        </is>
      </c>
      <c r="J26" s="59" t="inlineStr">
        <is>
          <t>FUNDAÇÃO SUPERFICIAL</t>
        </is>
      </c>
      <c r="K26" s="49">
        <f>IF(ISNUMBER($P$7),G26*$P$7,0)</f>
        <v/>
      </c>
      <c r="L26" s="60">
        <f>'FUND. SUP'!$J$7</f>
        <v/>
      </c>
      <c r="M26" s="49">
        <f>L26-K26</f>
        <v/>
      </c>
      <c r="N26" s="51">
        <f>IF(D26="","",IF('FUND. SUP'!$K$8&gt;'FUND. SUP'!$K$6+0.01,"⚠ Incorrido acima da meta em INCC",IF(AND('FUND. SUP'!$K$18&gt;1,'FUND. SUP'!$K$17=0),"⚠ Saldo sem curva (preencha a coluna H da aba)",IF(ABS('FUND. SUP'!$D$80)&gt;0.01,"⚠ Verificar","OK"))))</f>
        <v/>
      </c>
      <c r="O26" s="61">
        <f>'FUND. SUP'!$K$16</f>
        <v/>
      </c>
      <c r="P26" s="62">
        <f>'FUND. SUP'!$K$14</f>
        <v/>
      </c>
      <c r="Q26" s="59" t="inlineStr">
        <is>
          <t>16</t>
        </is>
      </c>
      <c r="R26" s="59" t="n"/>
      <c r="S26" s="63" t="n">
        <v>1.01074288</v>
      </c>
    </row>
    <row r="27">
      <c r="B27" s="59" t="inlineStr">
        <is>
          <t>PL100.011</t>
        </is>
      </c>
      <c r="C27" s="59" t="inlineStr">
        <is>
          <t>17</t>
        </is>
      </c>
      <c r="D27" s="59" t="inlineStr">
        <is>
          <t>ESTRUTURA EM CONCRETO ARMADO</t>
        </is>
      </c>
      <c r="E27" s="48">
        <f>IF($F$50=0,0,F27/$F$50)</f>
        <v/>
      </c>
      <c r="F27" s="53" t="n">
        <v>25651081.59</v>
      </c>
      <c r="G27" s="53" t="n">
        <v>21082.399193</v>
      </c>
      <c r="H27" s="49">
        <f>MAX(G27*IF(S27="",1,S27),'ESTRUTURA'!$K$8)</f>
        <v/>
      </c>
      <c r="I27" s="59" t="inlineStr">
        <is>
          <t>DIRETO</t>
        </is>
      </c>
      <c r="J27" s="59" t="inlineStr">
        <is>
          <t>ESTRUTURA EM CONCRETO ARMADO</t>
        </is>
      </c>
      <c r="K27" s="49">
        <f>IF(ISNUMBER($P$7),G27*$P$7,0)</f>
        <v/>
      </c>
      <c r="L27" s="60">
        <f>'ESTRUTURA'!$J$7</f>
        <v/>
      </c>
      <c r="M27" s="49">
        <f>L27-K27</f>
        <v/>
      </c>
      <c r="N27" s="51">
        <f>IF(D27="","",IF('ESTRUTURA'!$K$8&gt;'ESTRUTURA'!$K$6+0.01,"⚠ Incorrido acima da meta em INCC",IF(AND('ESTRUTURA'!$K$18&gt;1,'ESTRUTURA'!$K$17=0),"⚠ Saldo sem curva (preencha a coluna H da aba)",IF(ABS('ESTRUTURA'!$D$80)&gt;0.01,"⚠ Verificar","OK"))))</f>
        <v/>
      </c>
      <c r="O27" s="61">
        <f>'ESTRUTURA'!$K$16</f>
        <v/>
      </c>
      <c r="P27" s="62">
        <f>'ESTRUTURA'!$K$14</f>
        <v/>
      </c>
      <c r="Q27" s="59" t="inlineStr">
        <is>
          <t>17</t>
        </is>
      </c>
      <c r="R27" s="59" t="n"/>
      <c r="S27" s="63" t="n">
        <v>0.9942872699999999</v>
      </c>
    </row>
    <row r="28">
      <c r="B28" s="59" t="inlineStr">
        <is>
          <t>PL120.001</t>
        </is>
      </c>
      <c r="C28" s="59" t="inlineStr">
        <is>
          <t>18</t>
        </is>
      </c>
      <c r="D28" s="59" t="inlineStr">
        <is>
          <t>ALVENARIA</t>
        </is>
      </c>
      <c r="E28" s="48">
        <f>IF($F$50=0,0,F28/$F$50)</f>
        <v/>
      </c>
      <c r="F28" s="53" t="n">
        <v>5927475.67</v>
      </c>
      <c r="G28" s="53" t="n">
        <v>4871.740311</v>
      </c>
      <c r="H28" s="49">
        <f>MAX(G28*IF(S28="",1,S28),'ALVENARIA'!$K$8)</f>
        <v/>
      </c>
      <c r="I28" s="59" t="inlineStr">
        <is>
          <t>DIRETO</t>
        </is>
      </c>
      <c r="J28" s="59" t="inlineStr">
        <is>
          <t>ALVENARIA</t>
        </is>
      </c>
      <c r="K28" s="49">
        <f>IF(ISNUMBER($P$7),G28*$P$7,0)</f>
        <v/>
      </c>
      <c r="L28" s="60">
        <f>'ALVENARIA'!$J$7</f>
        <v/>
      </c>
      <c r="M28" s="49">
        <f>L28-K28</f>
        <v/>
      </c>
      <c r="N28" s="51">
        <f>IF(D28="","",IF('ALVENARIA'!$K$8&gt;'ALVENARIA'!$K$6+0.01,"⚠ Incorrido acima da meta em INCC",IF(AND('ALVENARIA'!$K$18&gt;1,'ALVENARIA'!$K$17=0),"⚠ Saldo sem curva (preencha a coluna H da aba)",IF(ABS('ALVENARIA'!$D$80)&gt;0.01,"⚠ Verificar","OK"))))</f>
        <v/>
      </c>
      <c r="O28" s="61">
        <f>'ALVENARIA'!$K$16</f>
        <v/>
      </c>
      <c r="P28" s="62">
        <f>'ALVENARIA'!$K$14</f>
        <v/>
      </c>
      <c r="Q28" s="59" t="inlineStr">
        <is>
          <t>18</t>
        </is>
      </c>
      <c r="R28" s="59" t="n"/>
      <c r="S28" s="63" t="n"/>
    </row>
    <row r="29">
      <c r="B29" s="59" t="inlineStr">
        <is>
          <t>PL140.004</t>
        </is>
      </c>
      <c r="C29" s="59" t="inlineStr">
        <is>
          <t>19</t>
        </is>
      </c>
      <c r="D29" s="59" t="inlineStr">
        <is>
          <t>IMPERMEABILIZAÇÃO</t>
        </is>
      </c>
      <c r="E29" s="48">
        <f>IF($F$50=0,0,F29/$F$50)</f>
        <v/>
      </c>
      <c r="F29" s="53" t="n">
        <v>3928343.29</v>
      </c>
      <c r="G29" s="53" t="n">
        <v>3228.670926</v>
      </c>
      <c r="H29" s="49">
        <f>MAX(G29*IF(S29="",1,S29),'IMPERMEABILIZAÇÃO'!$K$8)</f>
        <v/>
      </c>
      <c r="I29" s="59" t="inlineStr">
        <is>
          <t>DIRETO</t>
        </is>
      </c>
      <c r="J29" s="59" t="inlineStr">
        <is>
          <t>IMPERMEABILIZAÇÃO</t>
        </is>
      </c>
      <c r="K29" s="49">
        <f>IF(ISNUMBER($P$7),G29*$P$7,0)</f>
        <v/>
      </c>
      <c r="L29" s="60">
        <f>'IMPERMEABILIZAÇÃO'!$J$7</f>
        <v/>
      </c>
      <c r="M29" s="49">
        <f>L29-K29</f>
        <v/>
      </c>
      <c r="N29" s="51">
        <f>IF(D29="","",IF('IMPERMEABILIZAÇÃO'!$K$8&gt;'IMPERMEABILIZAÇÃO'!$K$6+0.01,"⚠ Incorrido acima da meta em INCC",IF(AND('IMPERMEABILIZAÇÃO'!$K$18&gt;1,'IMPERMEABILIZAÇÃO'!$K$17=0),"⚠ Saldo sem curva (preencha a coluna H da aba)",IF(ABS('IMPERMEABILIZAÇÃO'!$D$80)&gt;0.01,"⚠ Verificar","OK"))))</f>
        <v/>
      </c>
      <c r="O29" s="61">
        <f>'IMPERMEABILIZAÇÃO'!$K$16</f>
        <v/>
      </c>
      <c r="P29" s="62">
        <f>'IMPERMEABILIZAÇÃO'!$K$14</f>
        <v/>
      </c>
      <c r="Q29" s="59" t="inlineStr">
        <is>
          <t>19</t>
        </is>
      </c>
      <c r="R29" s="59" t="n"/>
      <c r="S29" s="63" t="n"/>
    </row>
    <row r="30">
      <c r="B30" s="59" t="inlineStr">
        <is>
          <t>PL110.018</t>
        </is>
      </c>
      <c r="C30" s="59" t="inlineStr">
        <is>
          <t>20</t>
        </is>
      </c>
      <c r="D30" s="59" t="inlineStr">
        <is>
          <t>INSTALAÇÕES ELÉTRICAS</t>
        </is>
      </c>
      <c r="E30" s="48">
        <f>IF($F$50=0,0,F30/$F$50)</f>
        <v/>
      </c>
      <c r="F30" s="53" t="n">
        <v>11262626.67</v>
      </c>
      <c r="G30" s="53" t="n">
        <v>9256.654171</v>
      </c>
      <c r="H30" s="49">
        <f>MAX(G30*IF(S30="",1,S30),'INST. ELÉTRICA'!$K$8)</f>
        <v/>
      </c>
      <c r="I30" s="59" t="inlineStr">
        <is>
          <t>DIRETO</t>
        </is>
      </c>
      <c r="J30" s="59" t="inlineStr">
        <is>
          <t xml:space="preserve">INSTALAÇÕES ELÉTRICAS </t>
        </is>
      </c>
      <c r="K30" s="49">
        <f>IF(ISNUMBER($P$7),G30*$P$7,0)</f>
        <v/>
      </c>
      <c r="L30" s="60">
        <f>'INST. ELÉTRICA'!$J$7</f>
        <v/>
      </c>
      <c r="M30" s="49">
        <f>L30-K30</f>
        <v/>
      </c>
      <c r="N30" s="51">
        <f>IF(D30="","",IF('INST. ELÉTRICA'!$K$8&gt;'INST. ELÉTRICA'!$K$6+0.01,"⚠ Incorrido acima da meta em INCC",IF(AND('INST. ELÉTRICA'!$K$18&gt;1,'INST. ELÉTRICA'!$K$17=0),"⚠ Saldo sem curva (preencha a coluna H da aba)",IF(ABS('INST. ELÉTRICA'!$D$80)&gt;0.01,"⚠ Verificar","OK"))))</f>
        <v/>
      </c>
      <c r="O30" s="61">
        <f>'INST. ELÉTRICA'!$K$16</f>
        <v/>
      </c>
      <c r="P30" s="62">
        <f>'INST. ELÉTRICA'!$K$14</f>
        <v/>
      </c>
      <c r="Q30" s="59" t="inlineStr">
        <is>
          <t>20</t>
        </is>
      </c>
      <c r="R30" s="59" t="n"/>
      <c r="S30" s="63" t="n">
        <v>0.97146252</v>
      </c>
    </row>
    <row r="31">
      <c r="B31" s="59" t="inlineStr">
        <is>
          <t>PL110.007</t>
        </is>
      </c>
      <c r="C31" s="59" t="inlineStr">
        <is>
          <t>21</t>
        </is>
      </c>
      <c r="D31" s="59" t="inlineStr">
        <is>
          <t>INSTALAÇÕES HIDROSANITÁRIAS</t>
        </is>
      </c>
      <c r="E31" s="48">
        <f>IF($F$50=0,0,F31/$F$50)</f>
        <v/>
      </c>
      <c r="F31" s="53" t="n">
        <v>7374040</v>
      </c>
      <c r="G31" s="53" t="n">
        <v>6060.658861</v>
      </c>
      <c r="H31" s="49">
        <f>MAX(G31*IF(S31="",1,S31),'INST. HIDRO'!$K$8)</f>
        <v/>
      </c>
      <c r="I31" s="59" t="inlineStr">
        <is>
          <t>DIRETO</t>
        </is>
      </c>
      <c r="J31" s="59" t="inlineStr">
        <is>
          <t>INSTALAÇÕES HIDROSANITÁRIAS</t>
        </is>
      </c>
      <c r="K31" s="49">
        <f>IF(ISNUMBER($P$7),G31*$P$7,0)</f>
        <v/>
      </c>
      <c r="L31" s="60">
        <f>'INST. HIDRO'!$J$7</f>
        <v/>
      </c>
      <c r="M31" s="49">
        <f>L31-K31</f>
        <v/>
      </c>
      <c r="N31" s="51">
        <f>IF(D31="","",IF('INST. HIDRO'!$K$8&gt;'INST. HIDRO'!$K$6+0.01,"⚠ Incorrido acima da meta em INCC",IF(AND('INST. HIDRO'!$K$18&gt;1,'INST. HIDRO'!$K$17=0),"⚠ Saldo sem curva (preencha a coluna H da aba)",IF(ABS('INST. HIDRO'!$D$80)&gt;0.01,"⚠ Verificar","OK"))))</f>
        <v/>
      </c>
      <c r="O31" s="61">
        <f>'INST. HIDRO'!$K$16</f>
        <v/>
      </c>
      <c r="P31" s="62">
        <f>'INST. HIDRO'!$K$14</f>
        <v/>
      </c>
      <c r="Q31" s="59" t="inlineStr">
        <is>
          <t>21</t>
        </is>
      </c>
      <c r="R31" s="59" t="n"/>
      <c r="S31" s="63" t="n"/>
    </row>
    <row r="32">
      <c r="B32" s="59" t="inlineStr">
        <is>
          <t>PL110.017</t>
        </is>
      </c>
      <c r="C32" s="59" t="inlineStr">
        <is>
          <t>22</t>
        </is>
      </c>
      <c r="D32" s="59" t="inlineStr">
        <is>
          <t>INSTALAÇÕES COMBATE INCÊNDIO</t>
        </is>
      </c>
      <c r="E32" s="48">
        <f>IF($F$50=0,0,F32/$F$50)</f>
        <v/>
      </c>
      <c r="F32" s="53" t="n">
        <v>781560</v>
      </c>
      <c r="G32" s="53" t="n">
        <v>642.357316</v>
      </c>
      <c r="H32" s="49">
        <f>MAX(G32*IF(S32="",1,S32),'INST. INC'!$K$8)</f>
        <v/>
      </c>
      <c r="I32" s="59" t="inlineStr">
        <is>
          <t>DIRETO</t>
        </is>
      </c>
      <c r="J32" s="59" t="inlineStr">
        <is>
          <t>INSTALAÇÕES COMBATE INCÊNDIO</t>
        </is>
      </c>
      <c r="K32" s="49">
        <f>IF(ISNUMBER($P$7),G32*$P$7,0)</f>
        <v/>
      </c>
      <c r="L32" s="60">
        <f>'INST. INC'!$J$7</f>
        <v/>
      </c>
      <c r="M32" s="49">
        <f>L32-K32</f>
        <v/>
      </c>
      <c r="N32" s="51">
        <f>IF(D32="","",IF('INST. INC'!$K$8&gt;'INST. INC'!$K$6+0.01,"⚠ Incorrido acima da meta em INCC",IF(AND('INST. INC'!$K$18&gt;1,'INST. INC'!$K$17=0),"⚠ Saldo sem curva (preencha a coluna H da aba)",IF(ABS('INST. INC'!$D$80)&gt;0.01,"⚠ Verificar","OK"))))</f>
        <v/>
      </c>
      <c r="O32" s="61">
        <f>'INST. INC'!$K$16</f>
        <v/>
      </c>
      <c r="P32" s="62">
        <f>'INST. INC'!$K$14</f>
        <v/>
      </c>
      <c r="Q32" s="59" t="inlineStr">
        <is>
          <t>22</t>
        </is>
      </c>
      <c r="R32" s="59" t="n"/>
      <c r="S32" s="63" t="n"/>
    </row>
    <row r="33">
      <c r="B33" s="59" t="inlineStr">
        <is>
          <t>PL110.027</t>
        </is>
      </c>
      <c r="C33" s="59" t="inlineStr">
        <is>
          <t>23</t>
        </is>
      </c>
      <c r="D33" s="59" t="inlineStr">
        <is>
          <t>INSTALAÇÕES ESPECIAIS</t>
        </is>
      </c>
      <c r="E33" s="48">
        <f>IF($F$50=0,0,F33/$F$50)</f>
        <v/>
      </c>
      <c r="F33" s="53" t="n">
        <v>2684762.92</v>
      </c>
      <c r="G33" s="53" t="n">
        <v>2206.583122</v>
      </c>
      <c r="H33" s="49">
        <f>MAX(G33*IF(S33="",1,S33),'INST. ESP'!$K$8)</f>
        <v/>
      </c>
      <c r="I33" s="59" t="inlineStr">
        <is>
          <t>DIRETO</t>
        </is>
      </c>
      <c r="J33" s="59" t="inlineStr">
        <is>
          <t>INSTALAÇÕES ESPECIAIS</t>
        </is>
      </c>
      <c r="K33" s="49">
        <f>IF(ISNUMBER($P$7),G33*$P$7,0)</f>
        <v/>
      </c>
      <c r="L33" s="60">
        <f>'INST. ESP'!$J$7</f>
        <v/>
      </c>
      <c r="M33" s="49">
        <f>L33-K33</f>
        <v/>
      </c>
      <c r="N33" s="51">
        <f>IF(D33="","",IF('INST. ESP'!$K$8&gt;'INST. ESP'!$K$6+0.01,"⚠ Incorrido acima da meta em INCC",IF(AND('INST. ESP'!$K$18&gt;1,'INST. ESP'!$K$17=0),"⚠ Saldo sem curva (preencha a coluna H da aba)",IF(ABS('INST. ESP'!$D$80)&gt;0.01,"⚠ Verificar","OK"))))</f>
        <v/>
      </c>
      <c r="O33" s="61">
        <f>'INST. ESP'!$K$16</f>
        <v/>
      </c>
      <c r="P33" s="62">
        <f>'INST. ESP'!$K$14</f>
        <v/>
      </c>
      <c r="Q33" s="59" t="inlineStr">
        <is>
          <t>23</t>
        </is>
      </c>
      <c r="R33" s="59" t="n"/>
      <c r="S33" s="63" t="n"/>
    </row>
    <row r="34">
      <c r="B34" s="59" t="inlineStr">
        <is>
          <t>PL220.002</t>
        </is>
      </c>
      <c r="C34" s="59" t="inlineStr">
        <is>
          <t>24</t>
        </is>
      </c>
      <c r="D34" s="59" t="inlineStr">
        <is>
          <t>ELEVADORES</t>
        </is>
      </c>
      <c r="E34" s="48">
        <f>IF($F$50=0,0,F34/$F$50)</f>
        <v/>
      </c>
      <c r="F34" s="53" t="n">
        <v>3236182.09</v>
      </c>
      <c r="G34" s="53" t="n">
        <v>2659.789702</v>
      </c>
      <c r="H34" s="49">
        <f>MAX(G34*IF(S34="",1,S34),'ELEVADORES '!$K$8)</f>
        <v/>
      </c>
      <c r="I34" s="59" t="inlineStr">
        <is>
          <t>DIRETO</t>
        </is>
      </c>
      <c r="J34" s="59" t="inlineStr">
        <is>
          <t xml:space="preserve">ELEVADORES </t>
        </is>
      </c>
      <c r="K34" s="49">
        <f>IF(ISNUMBER($P$7),G34*$P$7,0)</f>
        <v/>
      </c>
      <c r="L34" s="60">
        <f>'ELEVADORES '!$J$7</f>
        <v/>
      </c>
      <c r="M34" s="49">
        <f>L34-K34</f>
        <v/>
      </c>
      <c r="N34" s="51">
        <f>IF(D34="","",IF('ELEVADORES '!$K$8&gt;'ELEVADORES '!$K$6+0.01,"⚠ Incorrido acima da meta em INCC",IF(AND('ELEVADORES '!$K$18&gt;1,'ELEVADORES '!$K$17=0),"⚠ Saldo sem curva (preencha a coluna H da aba)",IF(ABS('ELEVADORES '!$D$80)&gt;0.01,"⚠ Verificar","OK"))))</f>
        <v/>
      </c>
      <c r="O34" s="61">
        <f>'ELEVADORES '!$K$16</f>
        <v/>
      </c>
      <c r="P34" s="62">
        <f>'ELEVADORES '!$K$14</f>
        <v/>
      </c>
      <c r="Q34" s="59" t="inlineStr">
        <is>
          <t>24</t>
        </is>
      </c>
      <c r="R34" s="59" t="n"/>
      <c r="S34" s="63" t="n"/>
    </row>
    <row r="35">
      <c r="B35" s="59" t="inlineStr">
        <is>
          <t>PL250.001</t>
        </is>
      </c>
      <c r="C35" s="59" t="inlineStr">
        <is>
          <t>25</t>
        </is>
      </c>
      <c r="D35" s="59" t="inlineStr">
        <is>
          <t>ESQUADRIAS</t>
        </is>
      </c>
      <c r="E35" s="48">
        <f>IF($F$50=0,0,F35/$F$50)</f>
        <v/>
      </c>
      <c r="F35" s="53" t="n">
        <v>11181479.74</v>
      </c>
      <c r="G35" s="53" t="n">
        <v>9189.960224</v>
      </c>
      <c r="H35" s="49">
        <f>MAX(G35*IF(S35="",1,S35),'ESQUADRIAS'!$K$8)</f>
        <v/>
      </c>
      <c r="I35" s="59" t="inlineStr">
        <is>
          <t>DIRETO</t>
        </is>
      </c>
      <c r="J35" s="59" t="inlineStr">
        <is>
          <t xml:space="preserve">ESQUADRIAS </t>
        </is>
      </c>
      <c r="K35" s="49">
        <f>IF(ISNUMBER($P$7),G35*$P$7,0)</f>
        <v/>
      </c>
      <c r="L35" s="60">
        <f>'ESQUADRIAS'!$J$7</f>
        <v/>
      </c>
      <c r="M35" s="49">
        <f>L35-K35</f>
        <v/>
      </c>
      <c r="N35" s="51">
        <f>IF(D35="","",IF('ESQUADRIAS'!$K$8&gt;'ESQUADRIAS'!$K$6+0.01,"⚠ Incorrido acima da meta em INCC",IF(AND('ESQUADRIAS'!$K$18&gt;1,'ESQUADRIAS'!$K$17=0),"⚠ Saldo sem curva (preencha a coluna H da aba)",IF(ABS('ESQUADRIAS'!$D$80)&gt;0.01,"⚠ Verificar","OK"))))</f>
        <v/>
      </c>
      <c r="O35" s="61">
        <f>'ESQUADRIAS'!$K$16</f>
        <v/>
      </c>
      <c r="P35" s="62">
        <f>'ESQUADRIAS'!$K$14</f>
        <v/>
      </c>
      <c r="Q35" s="59" t="inlineStr">
        <is>
          <t>25</t>
        </is>
      </c>
      <c r="R35" s="59" t="n"/>
      <c r="S35" s="63" t="n"/>
    </row>
    <row r="36">
      <c r="B36" s="59" t="inlineStr">
        <is>
          <t>PL240.000</t>
        </is>
      </c>
      <c r="C36" s="59" t="inlineStr">
        <is>
          <t>26</t>
        </is>
      </c>
      <c r="D36" s="59" t="inlineStr">
        <is>
          <t>SERRALHERIA</t>
        </is>
      </c>
      <c r="E36" s="48">
        <f>IF($F$50=0,0,F36/$F$50)</f>
        <v/>
      </c>
      <c r="F36" s="53" t="n">
        <v>482766.76</v>
      </c>
      <c r="G36" s="53" t="n">
        <v>396.781767</v>
      </c>
      <c r="H36" s="49">
        <f>MAX(G36*IF(S36="",1,S36),'SERRALHERIA'!$K$8)</f>
        <v/>
      </c>
      <c r="I36" s="59" t="inlineStr">
        <is>
          <t>DIRETO</t>
        </is>
      </c>
      <c r="J36" s="59" t="inlineStr">
        <is>
          <t>SERRALHERIA</t>
        </is>
      </c>
      <c r="K36" s="49">
        <f>IF(ISNUMBER($P$7),G36*$P$7,0)</f>
        <v/>
      </c>
      <c r="L36" s="60">
        <f>'SERRALHERIA'!$J$7</f>
        <v/>
      </c>
      <c r="M36" s="49">
        <f>L36-K36</f>
        <v/>
      </c>
      <c r="N36" s="51">
        <f>IF(D36="","",IF('SERRALHERIA'!$K$8&gt;'SERRALHERIA'!$K$6+0.01,"⚠ Incorrido acima da meta em INCC",IF(AND('SERRALHERIA'!$K$18&gt;1,'SERRALHERIA'!$K$17=0),"⚠ Saldo sem curva (preencha a coluna H da aba)",IF(ABS('SERRALHERIA'!$D$80)&gt;0.01,"⚠ Verificar","OK"))))</f>
        <v/>
      </c>
      <c r="O36" s="61">
        <f>'SERRALHERIA'!$K$16</f>
        <v/>
      </c>
      <c r="P36" s="62">
        <f>'SERRALHERIA'!$K$14</f>
        <v/>
      </c>
      <c r="Q36" s="59" t="inlineStr">
        <is>
          <t>26</t>
        </is>
      </c>
      <c r="R36" s="59" t="n"/>
      <c r="S36" s="63" t="n"/>
    </row>
    <row r="37">
      <c r="B37" s="59" t="inlineStr">
        <is>
          <t>PL240.020</t>
        </is>
      </c>
      <c r="C37" s="59" t="inlineStr">
        <is>
          <t>27</t>
        </is>
      </c>
      <c r="D37" s="59" t="inlineStr">
        <is>
          <t>MARCENARIA</t>
        </is>
      </c>
      <c r="E37" s="48">
        <f>IF($F$50=0,0,F37/$F$50)</f>
        <v/>
      </c>
      <c r="F37" s="53" t="n">
        <v>2977368.36</v>
      </c>
      <c r="G37" s="53" t="n">
        <v>2447.072966</v>
      </c>
      <c r="H37" s="49">
        <f>MAX(G37*IF(S37="",1,S37),'MARCENARIA'!$K$8)</f>
        <v/>
      </c>
      <c r="I37" s="59" t="inlineStr">
        <is>
          <t>DIRETO</t>
        </is>
      </c>
      <c r="J37" s="59" t="inlineStr">
        <is>
          <t>MARCENARIA</t>
        </is>
      </c>
      <c r="K37" s="49">
        <f>IF(ISNUMBER($P$7),G37*$P$7,0)</f>
        <v/>
      </c>
      <c r="L37" s="60">
        <f>'MARCENARIA'!$J$7</f>
        <v/>
      </c>
      <c r="M37" s="49">
        <f>L37-K37</f>
        <v/>
      </c>
      <c r="N37" s="51">
        <f>IF(D37="","",IF('MARCENARIA'!$K$8&gt;'MARCENARIA'!$K$6+0.01,"⚠ Incorrido acima da meta em INCC",IF(AND('MARCENARIA'!$K$18&gt;1,'MARCENARIA'!$K$17=0),"⚠ Saldo sem curva (preencha a coluna H da aba)",IF(ABS('MARCENARIA'!$D$80)&gt;0.01,"⚠ Verificar","OK"))))</f>
        <v/>
      </c>
      <c r="O37" s="61">
        <f>'MARCENARIA'!$K$16</f>
        <v/>
      </c>
      <c r="P37" s="62">
        <f>'MARCENARIA'!$K$14</f>
        <v/>
      </c>
      <c r="Q37" s="59" t="inlineStr">
        <is>
          <t>27</t>
        </is>
      </c>
      <c r="R37" s="59" t="n"/>
      <c r="S37" s="63" t="n"/>
    </row>
    <row r="38">
      <c r="B38" s="59" t="inlineStr">
        <is>
          <t>PL160.001</t>
        </is>
      </c>
      <c r="C38" s="59" t="inlineStr">
        <is>
          <t>28</t>
        </is>
      </c>
      <c r="D38" s="59" t="inlineStr">
        <is>
          <t>REVESTIMENTOS DE MASSA EM PISOS</t>
        </is>
      </c>
      <c r="E38" s="48">
        <f>IF($F$50=0,0,F38/$F$50)</f>
        <v/>
      </c>
      <c r="F38" s="53" t="n">
        <v>1096073.33</v>
      </c>
      <c r="G38" s="53" t="n">
        <v>900.853067</v>
      </c>
      <c r="H38" s="49">
        <f>MAX(G38*IF(S38="",1,S38),'REV. PISOS'!$K$8)</f>
        <v/>
      </c>
      <c r="I38" s="59" t="inlineStr">
        <is>
          <t>DIRETO</t>
        </is>
      </c>
      <c r="J38" s="59" t="inlineStr">
        <is>
          <t>REVESTIMENTOS DE MASSA EM PISOS</t>
        </is>
      </c>
      <c r="K38" s="49">
        <f>IF(ISNUMBER($P$7),G38*$P$7,0)</f>
        <v/>
      </c>
      <c r="L38" s="60">
        <f>'REV. PISOS'!$J$7</f>
        <v/>
      </c>
      <c r="M38" s="49">
        <f>L38-K38</f>
        <v/>
      </c>
      <c r="N38" s="51">
        <f>IF(D38="","",IF('REV. PISOS'!$K$8&gt;'REV. PISOS'!$K$6+0.01,"⚠ Incorrido acima da meta em INCC",IF(AND('REV. PISOS'!$K$18&gt;1,'REV. PISOS'!$K$17=0),"⚠ Saldo sem curva (preencha a coluna H da aba)",IF(ABS('REV. PISOS'!$D$80)&gt;0.01,"⚠ Verificar","OK"))))</f>
        <v/>
      </c>
      <c r="O38" s="61">
        <f>'REV. PISOS'!$K$16</f>
        <v/>
      </c>
      <c r="P38" s="62">
        <f>'REV. PISOS'!$K$14</f>
        <v/>
      </c>
      <c r="Q38" s="59" t="inlineStr">
        <is>
          <t>28</t>
        </is>
      </c>
      <c r="R38" s="59" t="n"/>
      <c r="S38" s="63" t="n"/>
    </row>
    <row r="39">
      <c r="B39" s="59" t="inlineStr">
        <is>
          <t>PL150.001</t>
        </is>
      </c>
      <c r="C39" s="59" t="inlineStr">
        <is>
          <t>29</t>
        </is>
      </c>
      <c r="D39" s="59" t="inlineStr">
        <is>
          <t>REVESTIMENTOS DE MASSA EM PAREDES</t>
        </is>
      </c>
      <c r="E39" s="48">
        <f>IF($F$50=0,0,F39/$F$50)</f>
        <v/>
      </c>
      <c r="F39" s="53" t="n">
        <v>2518191.19</v>
      </c>
      <c r="G39" s="53" t="n">
        <v>2069.679275</v>
      </c>
      <c r="H39" s="49">
        <f>MAX(G39*IF(S39="",1,S39),'REV. PAREDE'!$K$8)</f>
        <v/>
      </c>
      <c r="I39" s="59" t="inlineStr">
        <is>
          <t>DIRETO</t>
        </is>
      </c>
      <c r="J39" s="59" t="inlineStr">
        <is>
          <t>REVESTIMENTOS DE MASSA EM PAREDES</t>
        </is>
      </c>
      <c r="K39" s="49">
        <f>IF(ISNUMBER($P$7),G39*$P$7,0)</f>
        <v/>
      </c>
      <c r="L39" s="60">
        <f>'REV. PAREDE'!$J$7</f>
        <v/>
      </c>
      <c r="M39" s="49">
        <f>L39-K39</f>
        <v/>
      </c>
      <c r="N39" s="51">
        <f>IF(D39="","",IF('REV. PAREDE'!$K$8&gt;'REV. PAREDE'!$K$6+0.01,"⚠ Incorrido acima da meta em INCC",IF(AND('REV. PAREDE'!$K$18&gt;1,'REV. PAREDE'!$K$17=0),"⚠ Saldo sem curva (preencha a coluna H da aba)",IF(ABS('REV. PAREDE'!$D$80)&gt;0.01,"⚠ Verificar","OK"))))</f>
        <v/>
      </c>
      <c r="O39" s="61">
        <f>'REV. PAREDE'!$K$16</f>
        <v/>
      </c>
      <c r="P39" s="62">
        <f>'REV. PAREDE'!$K$14</f>
        <v/>
      </c>
      <c r="Q39" s="59" t="inlineStr">
        <is>
          <t>29</t>
        </is>
      </c>
      <c r="R39" s="59" t="n"/>
      <c r="S39" s="63" t="n"/>
    </row>
    <row r="40">
      <c r="B40" s="59" t="inlineStr">
        <is>
          <t>PL170.004</t>
        </is>
      </c>
      <c r="C40" s="59" t="inlineStr">
        <is>
          <t>30</t>
        </is>
      </c>
      <c r="D40" s="59" t="inlineStr">
        <is>
          <t>REVESTIMENTOS DE ACABAMENTO</t>
        </is>
      </c>
      <c r="E40" s="48">
        <f>IF($F$50=0,0,F40/$F$50)</f>
        <v/>
      </c>
      <c r="F40" s="53" t="n">
        <v>10402356.25</v>
      </c>
      <c r="G40" s="53" t="n">
        <v>8549.605448</v>
      </c>
      <c r="H40" s="49">
        <f>MAX(G40*IF(S40="",1,S40),'REV. ACAB'!$K$8)</f>
        <v/>
      </c>
      <c r="I40" s="59" t="inlineStr">
        <is>
          <t>DIRETO</t>
        </is>
      </c>
      <c r="J40" s="59" t="inlineStr">
        <is>
          <t>REVESTIMENTOS DE ACABAMENTO</t>
        </is>
      </c>
      <c r="K40" s="49">
        <f>IF(ISNUMBER($P$7),G40*$P$7,0)</f>
        <v/>
      </c>
      <c r="L40" s="60">
        <f>'REV. ACAB'!$J$7</f>
        <v/>
      </c>
      <c r="M40" s="49">
        <f>L40-K40</f>
        <v/>
      </c>
      <c r="N40" s="51">
        <f>IF(D40="","",IF('REV. ACAB'!$K$8&gt;'REV. ACAB'!$K$6+0.01,"⚠ Incorrido acima da meta em INCC",IF(AND('REV. ACAB'!$K$18&gt;1,'REV. ACAB'!$K$17=0),"⚠ Saldo sem curva (preencha a coluna H da aba)",IF(ABS('REV. ACAB'!$D$80)&gt;0.01,"⚠ Verificar","OK"))))</f>
        <v/>
      </c>
      <c r="O40" s="61">
        <f>'REV. ACAB'!$K$16</f>
        <v/>
      </c>
      <c r="P40" s="62">
        <f>'REV. ACAB'!$K$14</f>
        <v/>
      </c>
      <c r="Q40" s="59" t="inlineStr">
        <is>
          <t>30</t>
        </is>
      </c>
      <c r="R40" s="59" t="n"/>
      <c r="S40" s="63" t="n"/>
    </row>
    <row r="41">
      <c r="B41" s="59" t="inlineStr">
        <is>
          <t>PL320.001</t>
        </is>
      </c>
      <c r="C41" s="59" t="inlineStr">
        <is>
          <t>31</t>
        </is>
      </c>
      <c r="D41" s="59" t="inlineStr">
        <is>
          <t>PAVIMENTAÇÃO</t>
        </is>
      </c>
      <c r="E41" s="48">
        <f>IF($F$50=0,0,F41/$F$50)</f>
        <v/>
      </c>
      <c r="F41" s="53" t="n">
        <v>106895.67</v>
      </c>
      <c r="G41" s="53" t="n">
        <v>87.85661399999999</v>
      </c>
      <c r="H41" s="49">
        <f>MAX(G41*IF(S41="",1,S41),'PAVIMENTAÇÃO'!$K$8)</f>
        <v/>
      </c>
      <c r="I41" s="59" t="inlineStr">
        <is>
          <t>DIRETO</t>
        </is>
      </c>
      <c r="J41" s="59" t="inlineStr">
        <is>
          <t>PAVIMENTÇÃO</t>
        </is>
      </c>
      <c r="K41" s="49">
        <f>IF(ISNUMBER($P$7),G41*$P$7,0)</f>
        <v/>
      </c>
      <c r="L41" s="60">
        <f>'PAVIMENTAÇÃO'!$J$7</f>
        <v/>
      </c>
      <c r="M41" s="49">
        <f>L41-K41</f>
        <v/>
      </c>
      <c r="N41" s="51">
        <f>IF(D41="","",IF('PAVIMENTAÇÃO'!$K$8&gt;'PAVIMENTAÇÃO'!$K$6+0.01,"⚠ Incorrido acima da meta em INCC",IF(AND('PAVIMENTAÇÃO'!$K$18&gt;1,'PAVIMENTAÇÃO'!$K$17=0),"⚠ Saldo sem curva (preencha a coluna H da aba)",IF(ABS('PAVIMENTAÇÃO'!$D$80)&gt;0.01,"⚠ Verificar","OK"))))</f>
        <v/>
      </c>
      <c r="O41" s="61">
        <f>'PAVIMENTAÇÃO'!$K$16</f>
        <v/>
      </c>
      <c r="P41" s="62">
        <f>'PAVIMENTAÇÃO'!$K$14</f>
        <v/>
      </c>
      <c r="Q41" s="59" t="inlineStr">
        <is>
          <t>31</t>
        </is>
      </c>
      <c r="R41" s="59" t="n"/>
      <c r="S41" s="63" t="n"/>
    </row>
    <row r="42">
      <c r="B42" s="59" t="inlineStr">
        <is>
          <t>PL190.003</t>
        </is>
      </c>
      <c r="C42" s="59" t="inlineStr">
        <is>
          <t>32</t>
        </is>
      </c>
      <c r="D42" s="59" t="inlineStr">
        <is>
          <t>REVESTIMENTO DIVERSOS - FACHADA</t>
        </is>
      </c>
      <c r="E42" s="48">
        <f>IF($F$50=0,0,F42/$F$50)</f>
        <v/>
      </c>
      <c r="F42" s="53" t="n">
        <v>5055622.3</v>
      </c>
      <c r="G42" s="53" t="n">
        <v>4155.171665</v>
      </c>
      <c r="H42" s="49">
        <f>MAX(G42*IF(S42="",1,S42),'REV. FACHADA'!$K$8)</f>
        <v/>
      </c>
      <c r="I42" s="59" t="inlineStr">
        <is>
          <t>DIRETO</t>
        </is>
      </c>
      <c r="J42" s="59" t="inlineStr">
        <is>
          <t>REVESTIMENTO DIVERSOS - FACHADA</t>
        </is>
      </c>
      <c r="K42" s="49">
        <f>IF(ISNUMBER($P$7),G42*$P$7,0)</f>
        <v/>
      </c>
      <c r="L42" s="60">
        <f>'REV. FACHADA'!$J$7</f>
        <v/>
      </c>
      <c r="M42" s="49">
        <f>L42-K42</f>
        <v/>
      </c>
      <c r="N42" s="51">
        <f>IF(D42="","",IF('REV. FACHADA'!$K$8&gt;'REV. FACHADA'!$K$6+0.01,"⚠ Incorrido acima da meta em INCC",IF(AND('REV. FACHADA'!$K$18&gt;1,'REV. FACHADA'!$K$17=0),"⚠ Saldo sem curva (preencha a coluna H da aba)",IF(ABS('REV. FACHADA'!$D$80)&gt;0.01,"⚠ Verificar","OK"))))</f>
        <v/>
      </c>
      <c r="O42" s="61">
        <f>'REV. FACHADA'!$K$16</f>
        <v/>
      </c>
      <c r="P42" s="62">
        <f>'REV. FACHADA'!$K$14</f>
        <v/>
      </c>
      <c r="Q42" s="59" t="inlineStr">
        <is>
          <t>32</t>
        </is>
      </c>
      <c r="R42" s="59" t="n"/>
      <c r="S42" s="63" t="n"/>
    </row>
    <row r="43">
      <c r="B43" s="59" t="inlineStr">
        <is>
          <t>PL180.001</t>
        </is>
      </c>
      <c r="C43" s="59" t="inlineStr">
        <is>
          <t>33</t>
        </is>
      </c>
      <c r="D43" s="59" t="inlineStr">
        <is>
          <t>FORRO</t>
        </is>
      </c>
      <c r="E43" s="48">
        <f>IF($F$50=0,0,F43/$F$50)</f>
        <v/>
      </c>
      <c r="F43" s="53" t="n">
        <v>1690544.88</v>
      </c>
      <c r="G43" s="53" t="n">
        <v>1389.444021</v>
      </c>
      <c r="H43" s="49">
        <f>MAX(G43*IF(S43="",1,S43),'FORRO'!$K$8)</f>
        <v/>
      </c>
      <c r="I43" s="59" t="inlineStr">
        <is>
          <t>DIRETO</t>
        </is>
      </c>
      <c r="J43" s="59" t="inlineStr">
        <is>
          <t>FORROS DIVERSOS</t>
        </is>
      </c>
      <c r="K43" s="49">
        <f>IF(ISNUMBER($P$7),G43*$P$7,0)</f>
        <v/>
      </c>
      <c r="L43" s="60">
        <f>'FORRO'!$J$7</f>
        <v/>
      </c>
      <c r="M43" s="49">
        <f>L43-K43</f>
        <v/>
      </c>
      <c r="N43" s="51">
        <f>IF(D43="","",IF('FORRO'!$K$8&gt;'FORRO'!$K$6+0.01,"⚠ Incorrido acima da meta em INCC",IF(AND('FORRO'!$K$18&gt;1,'FORRO'!$K$17=0),"⚠ Saldo sem curva (preencha a coluna H da aba)",IF(ABS('FORRO'!$D$80)&gt;0.01,"⚠ Verificar","OK"))))</f>
        <v/>
      </c>
      <c r="O43" s="61">
        <f>'FORRO'!$K$16</f>
        <v/>
      </c>
      <c r="P43" s="62">
        <f>'FORRO'!$K$14</f>
        <v/>
      </c>
      <c r="Q43" s="59" t="inlineStr">
        <is>
          <t>33</t>
        </is>
      </c>
      <c r="R43" s="59" t="n"/>
      <c r="S43" s="63" t="n"/>
    </row>
    <row r="44">
      <c r="B44" s="59" t="inlineStr">
        <is>
          <t>PL290.002</t>
        </is>
      </c>
      <c r="C44" s="59" t="inlineStr">
        <is>
          <t>34</t>
        </is>
      </c>
      <c r="D44" s="59" t="inlineStr">
        <is>
          <t>LOUÇAS SANITÁRIAS</t>
        </is>
      </c>
      <c r="E44" s="48">
        <f>IF($F$50=0,0,F44/$F$50)</f>
        <v/>
      </c>
      <c r="F44" s="53" t="n">
        <v>2050613.5</v>
      </c>
      <c r="G44" s="53" t="n">
        <v>1685.381265</v>
      </c>
      <c r="H44" s="49">
        <f>MAX(G44*IF(S44="",1,S44),'LOUÇAS'!$K$8)</f>
        <v/>
      </c>
      <c r="I44" s="59" t="inlineStr">
        <is>
          <t>DIRETO</t>
        </is>
      </c>
      <c r="J44" s="59" t="inlineStr">
        <is>
          <t>LOUÇAS E METAIS</t>
        </is>
      </c>
      <c r="K44" s="49">
        <f>IF(ISNUMBER($P$7),G44*$P$7,0)</f>
        <v/>
      </c>
      <c r="L44" s="60">
        <f>'LOUÇAS'!$J$7</f>
        <v/>
      </c>
      <c r="M44" s="49">
        <f>L44-K44</f>
        <v/>
      </c>
      <c r="N44" s="51">
        <f>IF(D44="","",IF('LOUÇAS'!$K$8&gt;'LOUÇAS'!$K$6+0.01,"⚠ Incorrido acima da meta em INCC",IF(AND('LOUÇAS'!$K$18&gt;1,'LOUÇAS'!$K$17=0),"⚠ Saldo sem curva (preencha a coluna H da aba)",IF(ABS('LOUÇAS'!$D$80)&gt;0.01,"⚠ Verificar","OK"))))</f>
        <v/>
      </c>
      <c r="O44" s="61">
        <f>'LOUÇAS'!$K$16</f>
        <v/>
      </c>
      <c r="P44" s="62">
        <f>'LOUÇAS'!$K$14</f>
        <v/>
      </c>
      <c r="Q44" s="59" t="inlineStr">
        <is>
          <t>34</t>
        </is>
      </c>
      <c r="R44" s="59" t="n"/>
      <c r="S44" s="63" t="n"/>
    </row>
    <row r="45">
      <c r="B45" s="59" t="inlineStr">
        <is>
          <t>PL280.003</t>
        </is>
      </c>
      <c r="C45" s="59" t="inlineStr">
        <is>
          <t>35</t>
        </is>
      </c>
      <c r="D45" s="59" t="inlineStr">
        <is>
          <t>PINTURA</t>
        </is>
      </c>
      <c r="E45" s="48">
        <f>IF($F$50=0,0,F45/$F$50)</f>
        <v/>
      </c>
      <c r="F45" s="53" t="n">
        <v>3676746.93</v>
      </c>
      <c r="G45" s="53" t="n">
        <v>3021.886086</v>
      </c>
      <c r="H45" s="49">
        <f>MAX(G45*IF(S45="",1,S45),'PINTURA'!$K$8)</f>
        <v/>
      </c>
      <c r="I45" s="59" t="inlineStr">
        <is>
          <t>DIRETO</t>
        </is>
      </c>
      <c r="J45" s="59" t="inlineStr">
        <is>
          <t>PINTURAS</t>
        </is>
      </c>
      <c r="K45" s="49">
        <f>IF(ISNUMBER($P$7),G45*$P$7,0)</f>
        <v/>
      </c>
      <c r="L45" s="60">
        <f>'PINTURA'!$J$7</f>
        <v/>
      </c>
      <c r="M45" s="49">
        <f>L45-K45</f>
        <v/>
      </c>
      <c r="N45" s="51">
        <f>IF(D45="","",IF('PINTURA'!$K$8&gt;'PINTURA'!$K$6+0.01,"⚠ Incorrido acima da meta em INCC",IF(AND('PINTURA'!$K$18&gt;1,'PINTURA'!$K$17=0),"⚠ Saldo sem curva (preencha a coluna H da aba)",IF(ABS('PINTURA'!$D$80)&gt;0.01,"⚠ Verificar","OK"))))</f>
        <v/>
      </c>
      <c r="O45" s="61">
        <f>'PINTURA'!$K$16</f>
        <v/>
      </c>
      <c r="P45" s="62">
        <f>'PINTURA'!$K$14</f>
        <v/>
      </c>
      <c r="Q45" s="59" t="inlineStr">
        <is>
          <t>35</t>
        </is>
      </c>
      <c r="R45" s="59" t="n"/>
      <c r="S45" s="63" t="n"/>
    </row>
    <row r="46">
      <c r="B46" s="59" t="inlineStr">
        <is>
          <t>PL330.002</t>
        </is>
      </c>
      <c r="C46" s="59" t="inlineStr">
        <is>
          <t>36</t>
        </is>
      </c>
      <c r="D46" s="59" t="inlineStr">
        <is>
          <t>PAISAGISMO</t>
        </is>
      </c>
      <c r="E46" s="48">
        <f>IF($F$50=0,0,F46/$F$50)</f>
        <v/>
      </c>
      <c r="F46" s="53" t="n">
        <v>1116999.6</v>
      </c>
      <c r="G46" s="53" t="n">
        <v>918.052182</v>
      </c>
      <c r="H46" s="49">
        <f>MAX(G46*IF(S46="",1,S46),'PAISAGISMO'!$K$8)</f>
        <v/>
      </c>
      <c r="I46" s="59" t="inlineStr">
        <is>
          <t>DIRETO</t>
        </is>
      </c>
      <c r="J46" s="59" t="inlineStr">
        <is>
          <t>PAISAGISMO</t>
        </is>
      </c>
      <c r="K46" s="49">
        <f>IF(ISNUMBER($P$7),G46*$P$7,0)</f>
        <v/>
      </c>
      <c r="L46" s="60">
        <f>'PAISAGISMO'!$J$7</f>
        <v/>
      </c>
      <c r="M46" s="49">
        <f>L46-K46</f>
        <v/>
      </c>
      <c r="N46" s="51">
        <f>IF(D46="","",IF('PAISAGISMO'!$K$8&gt;'PAISAGISMO'!$K$6+0.01,"⚠ Incorrido acima da meta em INCC",IF(AND('PAISAGISMO'!$K$18&gt;1,'PAISAGISMO'!$K$17=0),"⚠ Saldo sem curva (preencha a coluna H da aba)",IF(ABS('PAISAGISMO'!$D$80)&gt;0.01,"⚠ Verificar","OK"))))</f>
        <v/>
      </c>
      <c r="O46" s="61">
        <f>'PAISAGISMO'!$K$16</f>
        <v/>
      </c>
      <c r="P46" s="62">
        <f>'PAISAGISMO'!$K$14</f>
        <v/>
      </c>
      <c r="Q46" s="59" t="inlineStr">
        <is>
          <t>36</t>
        </is>
      </c>
      <c r="R46" s="59" t="n"/>
      <c r="S46" s="63" t="n"/>
    </row>
    <row r="47">
      <c r="B47" s="59" t="inlineStr">
        <is>
          <t>PL360.001</t>
        </is>
      </c>
      <c r="C47" s="59" t="inlineStr">
        <is>
          <t>37</t>
        </is>
      </c>
      <c r="D47" s="59" t="inlineStr">
        <is>
          <t>LIMPEZA FINAL DE OBRA</t>
        </is>
      </c>
      <c r="E47" s="48">
        <f>IF($F$50=0,0,F47/$F$50)</f>
        <v/>
      </c>
      <c r="F47" s="53" t="n">
        <v>887766.61</v>
      </c>
      <c r="G47" s="53" t="n">
        <v>729.647598</v>
      </c>
      <c r="H47" s="49">
        <f>MAX(G47*IF(S47="",1,S47),'LIMPEZA'!$K$8)</f>
        <v/>
      </c>
      <c r="I47" s="59" t="inlineStr">
        <is>
          <t>DIRETO</t>
        </is>
      </c>
      <c r="J47" s="59" t="inlineStr">
        <is>
          <t>LIMPEZA FINAL DE OBRA</t>
        </is>
      </c>
      <c r="K47" s="49">
        <f>IF(ISNUMBER($P$7),G47*$P$7,0)</f>
        <v/>
      </c>
      <c r="L47" s="60">
        <f>'LIMPEZA'!$J$7</f>
        <v/>
      </c>
      <c r="M47" s="49">
        <f>L47-K47</f>
        <v/>
      </c>
      <c r="N47" s="51">
        <f>IF(D47="","",IF('LIMPEZA'!$K$8&gt;'LIMPEZA'!$K$6+0.01,"⚠ Incorrido acima da meta em INCC",IF(AND('LIMPEZA'!$K$18&gt;1,'LIMPEZA'!$K$17=0),"⚠ Saldo sem curva (preencha a coluna H da aba)",IF(ABS('LIMPEZA'!$D$80)&gt;0.01,"⚠ Verificar","OK"))))</f>
        <v/>
      </c>
      <c r="O47" s="61">
        <f>'LIMPEZA'!$K$16</f>
        <v/>
      </c>
      <c r="P47" s="62">
        <f>'LIMPEZA'!$K$14</f>
        <v/>
      </c>
      <c r="Q47" s="59" t="inlineStr">
        <is>
          <t>37</t>
        </is>
      </c>
      <c r="R47" s="59" t="n"/>
      <c r="S47" s="63" t="n"/>
    </row>
    <row r="48">
      <c r="B48" s="59" t="n"/>
      <c r="C48" s="59" t="inlineStr">
        <is>
          <t>38</t>
        </is>
      </c>
      <c r="D48" s="59" t="inlineStr">
        <is>
          <t>TAXA DE ADMINISTRAÇÃO</t>
        </is>
      </c>
      <c r="E48" s="48">
        <f>IF($F$50=0,0,F48/$F$50)</f>
        <v/>
      </c>
      <c r="F48" s="53" t="n">
        <v>566105.29</v>
      </c>
      <c r="G48" s="53" t="n">
        <v>477</v>
      </c>
      <c r="H48" s="60">
        <f>'TAX. ADM'!$K$8</f>
        <v/>
      </c>
      <c r="I48" s="59" t="inlineStr">
        <is>
          <t>INDIRETO</t>
        </is>
      </c>
      <c r="J48" s="59" t="inlineStr">
        <is>
          <t>TAXA DE ADMINISTRAÇÃO</t>
        </is>
      </c>
      <c r="K48" s="49">
        <f>IF(ISNUMBER($P$7),G48*$P$7,0)</f>
        <v/>
      </c>
      <c r="L48" s="60">
        <f>'TAX. ADM'!$J$7</f>
        <v/>
      </c>
      <c r="M48" s="49">
        <f>L48-K48</f>
        <v/>
      </c>
      <c r="N48" s="51">
        <f>IF(D48="","",IF('TAX. ADM'!$K$8&gt;'TAX. ADM'!$K$6+0.01,"⚠ Incorrido acima da meta em INCC",IF(AND('TAX. ADM'!$K$18&gt;1,'TAX. ADM'!$K$17=0),"⚠ Saldo sem curva (preencha a coluna H da aba)",IF(ABS('TAX. ADM'!$D$80)&gt;0.01,"⚠ Verificar","OK"))))</f>
        <v/>
      </c>
      <c r="O48" s="61">
        <f>'TAX. ADM'!$K$16</f>
        <v/>
      </c>
      <c r="P48" s="62">
        <f>'TAX. ADM'!$K$14</f>
        <v/>
      </c>
      <c r="Q48" s="59" t="inlineStr">
        <is>
          <t>00</t>
        </is>
      </c>
      <c r="R48" s="59" t="n"/>
      <c r="S48" s="63" t="n"/>
    </row>
    <row r="49">
      <c r="D49" s="46" t="inlineStr">
        <is>
          <t>TOTAIS (sem taxa de adm.)</t>
        </is>
      </c>
      <c r="E49" s="64">
        <f>SUM(E11:E47)</f>
        <v/>
      </c>
      <c r="F49" s="65">
        <f>SUM(F11:F47)</f>
        <v/>
      </c>
      <c r="G49" s="65">
        <f>SUM(G11:G47)</f>
        <v/>
      </c>
      <c r="H49" s="65">
        <f>SUM(H11:H47)</f>
        <v/>
      </c>
      <c r="K49" s="65">
        <f>SUM(K11:K47)</f>
        <v/>
      </c>
      <c r="L49" s="65">
        <f>SUM(L11:L47)</f>
        <v/>
      </c>
      <c r="M49" s="65">
        <f>SUM(M11:M47)</f>
        <v/>
      </c>
    </row>
    <row r="50">
      <c r="D50" s="46" t="inlineStr">
        <is>
          <t>TOTAL COM TAXA DE ADMINISTRAÇÃO</t>
        </is>
      </c>
      <c r="E50" s="64">
        <f>SUM(E11:E48)</f>
        <v/>
      </c>
      <c r="F50" s="65">
        <f>SUM(F11:F48)</f>
        <v/>
      </c>
      <c r="G50" s="65">
        <f>SUM(G11:G48)</f>
        <v/>
      </c>
      <c r="H50" s="65">
        <f>SUM(H11:H48)</f>
        <v/>
      </c>
      <c r="K50" s="65">
        <f>SUM(K11:K48)</f>
        <v/>
      </c>
      <c r="L50" s="65">
        <f>SUM(L11:L48)</f>
        <v/>
      </c>
      <c r="M50" s="65">
        <f>SUM(M11:M48)</f>
        <v/>
      </c>
    </row>
    <row r="53">
      <c r="D53" s="66" t="inlineStr">
        <is>
          <t>CONFERÊNCIA GERAL</t>
        </is>
      </c>
      <c r="E53" s="66" t="inlineStr">
        <is>
          <t>RESULTADO</t>
        </is>
      </c>
      <c r="F53" s="66" t="inlineStr">
        <is>
          <t>STATUS</t>
        </is>
      </c>
      <c r="G53" s="67" t="n"/>
      <c r="H53" s="68" t="n"/>
    </row>
    <row r="54">
      <c r="D54" s="51" t="inlineStr">
        <is>
          <t>Disciplinas com pendência (coluna N)</t>
        </is>
      </c>
      <c r="E54" s="69">
        <f>COUNTIF(N11:N48,"⚠*")</f>
        <v/>
      </c>
      <c r="F54" s="51">
        <f>IF(E54=0,"OK","⚠ Veja a coluna N")</f>
        <v/>
      </c>
      <c r="G54" s="67" t="n"/>
      <c r="H54" s="68" t="n"/>
    </row>
    <row r="55">
      <c r="D55" s="51" t="inlineStr">
        <is>
          <t>Grupos do ERP sem correspondência</t>
        </is>
      </c>
      <c r="E55" s="70">
        <f>'DADOS HISTORICOS'!C2</f>
        <v/>
      </c>
      <c r="F55" s="51">
        <f>IF(E55=0,"OK","⚠ Veja nomes em vermelho em DADOS BRUTOS")</f>
        <v/>
      </c>
      <c r="G55" s="67" t="n"/>
      <c r="H55" s="68" t="n"/>
    </row>
    <row r="56">
      <c r="D56" s="51" t="inlineStr">
        <is>
          <t>Valores do ERP fora do horizonte (R$)</t>
        </is>
      </c>
      <c r="E56" s="71">
        <f>'DADOS HISTORICOS'!BX44</f>
        <v/>
      </c>
      <c r="F56" s="51">
        <f>IF(ABS(E56)&lt;1,"OK","⚠ Aumente o horizonte ou revise datas")</f>
        <v/>
      </c>
      <c r="G56" s="67" t="n"/>
      <c r="H56" s="68" t="n"/>
    </row>
    <row r="57">
      <c r="D57" s="51" t="inlineStr">
        <is>
          <t>INCC do mês de corte</t>
        </is>
      </c>
      <c r="E57" s="72">
        <f>IF(ISNUMBER(P7),P7,0)</f>
        <v/>
      </c>
      <c r="F57" s="51">
        <f>IF(COUNTIF('"INCC-FGV"'!$A$2:$A$800,P5)&gt;0,"OK",IF(E57&gt;0,"⚠ INCC do mês de corte não cadastrado: usando o último índice disponível","⚠ Inclua o índice na aba INCC-FGV"))</f>
        <v/>
      </c>
      <c r="G57" s="67" t="n"/>
      <c r="H57" s="68" t="n"/>
    </row>
    <row r="58">
      <c r="D58" s="51" t="inlineStr">
        <is>
          <t>Meses realizados sem INCC</t>
        </is>
      </c>
      <c r="E58" s="70">
        <f>SUMPRODUCT(('MODELO PARA BI'!$H$1:$CA$1&lt;=P5)*(COUNTIF('"INCC-FGV"'!$A$2:$A$800,'MODELO PARA BI'!$H$1:$CA$1)=0))+SUMPRODUCT(('DADOS HISTORICOS'!$CB$1:$JS$1=0)*('DADOS HISTORICOS'!$CB$4:$JS$4&lt;&gt;"")*('DADOS HISTORICOS'!$CB$4:$JS$4&lt;=P5)*(ABS('DADOS HISTORICOS'!$CB$44:$JS$44)&gt;0.5))</f>
        <v/>
      </c>
      <c r="F58" s="51">
        <f>IF(E58=0,"OK","⚠ Complete a aba INCC-FGV (há mês com desembolso sem índice)")</f>
        <v/>
      </c>
      <c r="G58" s="67" t="n"/>
      <c r="H58" s="68" t="n"/>
    </row>
    <row r="59">
      <c r="D59" s="51" t="inlineStr">
        <is>
          <t>Fluxo total − meta total (INCC)</t>
        </is>
      </c>
      <c r="E59" s="56">
        <f>'MODELO PARA BI'!E63-'MODELO PARA BI'!E59-'MODELO PARA BI'!E58-H50</f>
        <v/>
      </c>
      <c r="F59" s="51">
        <f>IF(H50=0,"⚠ Preencha o orçamento (coluna F)",IF(ABS(E59)&lt;0.01,"OK","⚠ Distribuição em INCC diferente da meta"))</f>
        <v/>
      </c>
      <c r="G59" s="67" t="n"/>
      <c r="H59" s="68" t="n"/>
    </row>
    <row r="62" ht="30" customHeight="1">
      <c r="D62" s="66" t="inlineStr">
        <is>
          <t>CONCILIAÇÃO COM A MEDIÇÃO FINANCEIRA (incorrido até o corte)</t>
        </is>
      </c>
      <c r="E62" s="58" t="inlineStr">
        <is>
          <t>INFORMADO
(medição)</t>
        </is>
      </c>
      <c r="F62" s="58" t="inlineStr">
        <is>
          <t>ERP
(ferramenta)</t>
        </is>
      </c>
      <c r="G62" s="58" t="inlineStr">
        <is>
          <t>AJUSTE
(informado − ERP)</t>
        </is>
      </c>
    </row>
    <row r="63">
      <c r="D63" s="51" t="inlineStr">
        <is>
          <t>Incorrido (R$)</t>
        </is>
      </c>
      <c r="E63" s="73" t="n">
        <v>21284340.81001301</v>
      </c>
      <c r="F63" s="60">
        <f>SUMPRODUCT(('PROJETO'!$B$5:$B$76&lt;=$P$5)*'PROJETO'!$C$5:$C$76)+SUMPRODUCT(('SEGUROS'!$B$5:$B$76&lt;=$P$5)*'SEGUROS'!$C$5:$C$76)+SUMPRODUCT(('TAX. DIVERSAS'!$B$5:$B$76&lt;=$P$5)*'TAX. DIVERSAS'!$C$5:$C$76)+SUMPRODUCT(('BARRACÃO DE OBRA'!$B$5:$B$76&lt;=$P$5)*'BARRACÃO DE OBRA'!$C$5:$C$76)+SUMPRODUCT(('LIG. PROVISÓRIAS'!$B$5:$B$76&lt;=$P$5)*'LIG. PROVISÓRIAS'!$C$5:$C$76)+SUMPRODUCT(('CONSUMOS'!$B$5:$B$76&lt;=$P$5)*'CONSUMOS'!$C$5:$C$76)+SUMPRODUCT(('DIVERSOS'!$B$5:$B$76&lt;=$P$5)*'DIVERSOS'!$C$5:$C$76)+SUMPRODUCT(('TRANSPORTES'!$B$5:$B$76&lt;=$P$5)*'TRANSPORTES'!$C$5:$C$76)+SUMPRODUCT(('CONSULTORIAS'!$B$5:$B$76&lt;=$P$5)*'CONSULTORIAS'!$C$5:$C$76)+SUMPRODUCT(('MDO'!$B$5:$B$76&lt;=$P$5)*'MDO'!$C$5:$C$76)+SUMPRODUCT(('EQUIP E FER'!$B$5:$B$76&lt;=$P$5)*'EQUIP E FER'!$C$5:$C$76)+SUMPRODUCT(('SERV. INICIAIS'!$B$5:$B$76&lt;=$P$5)*'SERV. INICIAIS'!$C$5:$C$76)+SUMPRODUCT(('CONTENÇÃO'!$B$5:$B$76&lt;=$P$5)*'CONTENÇÃO'!$C$5:$C$76)+SUMPRODUCT(('TERRAPLENAGEM'!$B$5:$B$76&lt;=$P$5)*'TERRAPLENAGEM'!$C$5:$C$76)+SUMPRODUCT(('FUND. PROF'!$B$5:$B$76&lt;=$P$5)*'FUND. PROF'!$C$5:$C$76)+SUMPRODUCT(('FUND. SUP'!$B$5:$B$76&lt;=$P$5)*'FUND. SUP'!$C$5:$C$76)+SUMPRODUCT(('ESTRUTURA'!$B$5:$B$76&lt;=$P$5)*'ESTRUTURA'!$C$5:$C$76)+SUMPRODUCT(('ALVENARIA'!$B$5:$B$76&lt;=$P$5)*'ALVENARIA'!$C$5:$C$76)+SUMPRODUCT(('IMPERMEABILIZAÇÃO'!$B$5:$B$76&lt;=$P$5)*'IMPERMEABILIZAÇÃO'!$C$5:$C$76)+SUMPRODUCT(('INST. ELÉTRICA'!$B$5:$B$76&lt;=$P$5)*'INST. ELÉTRICA'!$C$5:$C$76)+SUMPRODUCT(('INST. HIDRO'!$B$5:$B$76&lt;=$P$5)*'INST. HIDRO'!$C$5:$C$76)+SUMPRODUCT(('INST. INC'!$B$5:$B$76&lt;=$P$5)*'INST. INC'!$C$5:$C$76)+SUMPRODUCT(('INST. ESP'!$B$5:$B$76&lt;=$P$5)*'INST. ESP'!$C$5:$C$76)+SUMPRODUCT(('ELEVADORES '!$B$5:$B$76&lt;=$P$5)*'ELEVADORES '!$C$5:$C$76)+SUMPRODUCT(('ESQUADRIAS'!$B$5:$B$76&lt;=$P$5)*'ESQUADRIAS'!$C$5:$C$76)+SUMPRODUCT(('SERRALHERIA'!$B$5:$B$76&lt;=$P$5)*'SERRALHERIA'!$C$5:$C$76)+SUMPRODUCT(('MARCENARIA'!$B$5:$B$76&lt;=$P$5)*'MARCENARIA'!$C$5:$C$76)+SUMPRODUCT(('REV. PISOS'!$B$5:$B$76&lt;=$P$5)*'REV. PISOS'!$C$5:$C$76)+SUMPRODUCT(('REV. PAREDE'!$B$5:$B$76&lt;=$P$5)*'REV. PAREDE'!$C$5:$C$76)+SUMPRODUCT(('REV. ACAB'!$B$5:$B$76&lt;=$P$5)*'REV. ACAB'!$C$5:$C$76)+SUMPRODUCT(('PAVIMENTAÇÃO'!$B$5:$B$76&lt;=$P$5)*'PAVIMENTAÇÃO'!$C$5:$C$76)+SUMPRODUCT(('REV. FACHADA'!$B$5:$B$76&lt;=$P$5)*'REV. FACHADA'!$C$5:$C$76)+SUMPRODUCT(('FORRO'!$B$5:$B$76&lt;=$P$5)*'FORRO'!$C$5:$C$76)+SUMPRODUCT(('LOUÇAS'!$B$5:$B$76&lt;=$P$5)*'LOUÇAS'!$C$5:$C$76)+SUMPRODUCT(('PINTURA'!$B$5:$B$76&lt;=$P$5)*'PINTURA'!$C$5:$C$76)+SUMPRODUCT(('PAISAGISMO'!$B$5:$B$76&lt;=$P$5)*'PAISAGISMO'!$C$5:$C$76)+SUMPRODUCT(('LIMPEZA'!$B$5:$B$76&lt;=$P$5)*'LIMPEZA'!$C$5:$C$76)+SUMPRODUCT(('TAX. ADM'!$B$5:$B$76&lt;=$P$5)*'TAX. ADM'!$C$5:$C$76)</f>
        <v/>
      </c>
      <c r="G63" s="74">
        <f>E63-F63</f>
        <v/>
      </c>
    </row>
    <row r="64">
      <c r="D64" s="51" t="inlineStr">
        <is>
          <t>Incorrido (INCC)</t>
        </is>
      </c>
      <c r="E64" s="75" t="n">
        <v>17165</v>
      </c>
      <c r="F64" s="56">
        <f>SUMPRODUCT(('PROJETO'!$B$5:$B$76&lt;=$P$5)*'PROJETO'!$L$5:$L$76)+SUMPRODUCT(('SEGUROS'!$B$5:$B$76&lt;=$P$5)*'SEGUROS'!$L$5:$L$76)+SUMPRODUCT(('TAX. DIVERSAS'!$B$5:$B$76&lt;=$P$5)*'TAX. DIVERSAS'!$L$5:$L$76)+SUMPRODUCT(('BARRACÃO DE OBRA'!$B$5:$B$76&lt;=$P$5)*'BARRACÃO DE OBRA'!$L$5:$L$76)+SUMPRODUCT(('LIG. PROVISÓRIAS'!$B$5:$B$76&lt;=$P$5)*'LIG. PROVISÓRIAS'!$L$5:$L$76)+SUMPRODUCT(('CONSUMOS'!$B$5:$B$76&lt;=$P$5)*'CONSUMOS'!$L$5:$L$76)+SUMPRODUCT(('DIVERSOS'!$B$5:$B$76&lt;=$P$5)*'DIVERSOS'!$L$5:$L$76)+SUMPRODUCT(('TRANSPORTES'!$B$5:$B$76&lt;=$P$5)*'TRANSPORTES'!$L$5:$L$76)+SUMPRODUCT(('CONSULTORIAS'!$B$5:$B$76&lt;=$P$5)*'CONSULTORIAS'!$L$5:$L$76)+SUMPRODUCT(('MDO'!$B$5:$B$76&lt;=$P$5)*'MDO'!$L$5:$L$76)+SUMPRODUCT(('EQUIP E FER'!$B$5:$B$76&lt;=$P$5)*'EQUIP E FER'!$L$5:$L$76)+SUMPRODUCT(('SERV. INICIAIS'!$B$5:$B$76&lt;=$P$5)*'SERV. INICIAIS'!$L$5:$L$76)+SUMPRODUCT(('CONTENÇÃO'!$B$5:$B$76&lt;=$P$5)*'CONTENÇÃO'!$L$5:$L$76)+SUMPRODUCT(('TERRAPLENAGEM'!$B$5:$B$76&lt;=$P$5)*'TERRAPLENAGEM'!$L$5:$L$76)+SUMPRODUCT(('FUND. PROF'!$B$5:$B$76&lt;=$P$5)*'FUND. PROF'!$L$5:$L$76)+SUMPRODUCT(('FUND. SUP'!$B$5:$B$76&lt;=$P$5)*'FUND. SUP'!$L$5:$L$76)+SUMPRODUCT(('ESTRUTURA'!$B$5:$B$76&lt;=$P$5)*'ESTRUTURA'!$L$5:$L$76)+SUMPRODUCT(('ALVENARIA'!$B$5:$B$76&lt;=$P$5)*'ALVENARIA'!$L$5:$L$76)+SUMPRODUCT(('IMPERMEABILIZAÇÃO'!$B$5:$B$76&lt;=$P$5)*'IMPERMEABILIZAÇÃO'!$L$5:$L$76)+SUMPRODUCT(('INST. ELÉTRICA'!$B$5:$B$76&lt;=$P$5)*'INST. ELÉTRICA'!$L$5:$L$76)+SUMPRODUCT(('INST. HIDRO'!$B$5:$B$76&lt;=$P$5)*'INST. HIDRO'!$L$5:$L$76)+SUMPRODUCT(('INST. INC'!$B$5:$B$76&lt;=$P$5)*'INST. INC'!$L$5:$L$76)+SUMPRODUCT(('INST. ESP'!$B$5:$B$76&lt;=$P$5)*'INST. ESP'!$L$5:$L$76)+SUMPRODUCT(('ELEVADORES '!$B$5:$B$76&lt;=$P$5)*'ELEVADORES '!$L$5:$L$76)+SUMPRODUCT(('ESQUADRIAS'!$B$5:$B$76&lt;=$P$5)*'ESQUADRIAS'!$L$5:$L$76)+SUMPRODUCT(('SERRALHERIA'!$B$5:$B$76&lt;=$P$5)*'SERRALHERIA'!$L$5:$L$76)+SUMPRODUCT(('MARCENARIA'!$B$5:$B$76&lt;=$P$5)*'MARCENARIA'!$L$5:$L$76)+SUMPRODUCT(('REV. PISOS'!$B$5:$B$76&lt;=$P$5)*'REV. PISOS'!$L$5:$L$76)+SUMPRODUCT(('REV. PAREDE'!$B$5:$B$76&lt;=$P$5)*'REV. PAREDE'!$L$5:$L$76)+SUMPRODUCT(('REV. ACAB'!$B$5:$B$76&lt;=$P$5)*'REV. ACAB'!$L$5:$L$76)+SUMPRODUCT(('PAVIMENTAÇÃO'!$B$5:$B$76&lt;=$P$5)*'PAVIMENTAÇÃO'!$L$5:$L$76)+SUMPRODUCT(('REV. FACHADA'!$B$5:$B$76&lt;=$P$5)*'REV. FACHADA'!$L$5:$L$76)+SUMPRODUCT(('FORRO'!$B$5:$B$76&lt;=$P$5)*'FORRO'!$L$5:$L$76)+SUMPRODUCT(('LOUÇAS'!$B$5:$B$76&lt;=$P$5)*'LOUÇAS'!$L$5:$L$76)+SUMPRODUCT(('PINTURA'!$B$5:$B$76&lt;=$P$5)*'PINTURA'!$L$5:$L$76)+SUMPRODUCT(('PAISAGISMO'!$B$5:$B$76&lt;=$P$5)*'PAISAGISMO'!$L$5:$L$76)+SUMPRODUCT(('LIMPEZA'!$B$5:$B$76&lt;=$P$5)*'LIMPEZA'!$L$5:$L$76)+SUMPRODUCT(('TAX. ADM'!$B$5:$B$76&lt;=$P$5)*'TAX. ADM'!$L$5:$L$76)</f>
        <v/>
      </c>
      <c r="G64" s="76">
        <f>E64-F64</f>
        <v/>
      </c>
    </row>
  </sheetData>
  <mergeCells count="7">
    <mergeCell ref="F54:H54"/>
    <mergeCell ref="F57:H57"/>
    <mergeCell ref="F56:H56"/>
    <mergeCell ref="F58:H58"/>
    <mergeCell ref="F53:H53"/>
    <mergeCell ref="F59:H59"/>
    <mergeCell ref="F55:H55"/>
  </mergeCells>
  <conditionalFormatting sqref="N11:N48">
    <cfRule type="expression" priority="1" dxfId="3">
      <formula>LEFT(N11,1)="⚠"</formula>
    </cfRule>
    <cfRule type="cellIs" priority="2" operator="equal" dxfId="4">
      <formula>"OK"</formula>
    </cfRule>
  </conditionalFormatting>
  <conditionalFormatting sqref="F54:F59">
    <cfRule type="expression" priority="3" dxfId="3">
      <formula>LEFT(F54,1)="⚠"</formula>
    </cfRule>
    <cfRule type="cellIs" priority="4" operator="equal" dxfId="4">
      <formula>"OK"</formula>
    </cfRule>
  </conditionalFormatting>
  <conditionalFormatting sqref="O11:O48">
    <cfRule type="cellIs" priority="5" operator="equal" dxfId="5">
      <formula>"CURVA PREVISION"</formula>
    </cfRule>
  </conditionalFormatting>
  <dataValidations count="2">
    <dataValidation sqref="K8" showDropDown="0" showInputMessage="0" showErrorMessage="0" allowBlank="0" type="list">
      <formula1>"PREVISION,PADRÃO"</formula1>
    </dataValidation>
    <dataValidation sqref="I11:I48" showDropDown="0" showInputMessage="0" showErrorMessage="0" allowBlank="1" type="list">
      <formula1>"DIRETO,INDIRETO"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N54"/>
  <sheetViews>
    <sheetView showGridLines="0" tabSelected="0" zoomScale="9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40" customWidth="1" min="3" max="3"/>
    <col width="13" customWidth="1" min="4" max="4"/>
    <col width="13" customWidth="1" min="5" max="5"/>
    <col width="17" customWidth="1" min="6" max="6"/>
    <col width="13" customWidth="1" min="7" max="7"/>
    <col width="17" customWidth="1" min="8" max="8"/>
    <col width="9" customWidth="1" min="9" max="9"/>
    <col width="14" customWidth="1" min="10" max="10"/>
    <col width="78" customWidth="1" min="11" max="11"/>
    <col width="34" customWidth="1" min="12" max="12"/>
    <col hidden="1" width="2" customWidth="1" min="13" max="13"/>
    <col hidden="1" width="2" customWidth="1" min="14" max="14"/>
  </cols>
  <sheetData>
    <row r="2" ht="34" customHeight="1">
      <c r="B2" s="8">
        <f>'VALOR POR PL'!$P$9&amp;"  ·  RETRATO DE "&amp;D5</f>
        <v/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20" customHeight="1">
      <c r="B3" s="77">
        <f>"Execução física (Prevision), desembolso do ano (fluxo financeiro) e situação da obra em 31/12/"&amp;D5&amp;"     ·     Corte: "&amp;CHOOSE(MONTH('VALOR POR PL'!$P$5),"jan","fev","mar","abr","mai","jun","jul","ago","set","out","nov","dez")&amp;"/"&amp;YEAR('VALOR POR PL'!$P$5)&amp;"     ·     Cenário: "&amp;IF('VALOR POR PL'!$K$8="PADRÃO","padrão","Prevision")</f>
        <v/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5">
      <c r="B5" s="78" t="inlineStr">
        <is>
          <t>ANO DO RETRATO →</t>
        </is>
      </c>
      <c r="D5" s="79" t="n">
        <v>2027</v>
      </c>
      <c r="E5" s="78" t="inlineStr">
        <is>
          <t>INCC →</t>
        </is>
      </c>
      <c r="F5" s="80">
        <f>'VALOR POR PL'!$P$5</f>
        <v/>
      </c>
      <c r="G5" s="56">
        <f>IFERROR(INDEX('"INCC-FGV"'!$B$2:$B$800,MATCH(DATE(YEAR(F5),MONTH(F5),1),'"INCC-FGV"'!$A$2:$A$800,0)),IFERROR(INDEX('"INCC-FGV"'!$B$2:$B$800,MATCH(DATE(YEAR(F5),MONTH(F5),1),'"INCC-FGV"'!$A$2:$A$800,1)),"FALTA INCC"))</f>
        <v/>
      </c>
      <c r="J5" s="78" t="inlineStr">
        <is>
          <t>SITUAÇÃO EM →</t>
        </is>
      </c>
      <c r="K5" s="81">
        <f>DATE(D5,12,31)</f>
        <v/>
      </c>
    </row>
    <row r="7" ht="22" customHeight="1">
      <c r="B7" s="11" t="inlineStr">
        <is>
          <t>DESEMBOLSO NO ANO (R$ NOMINAL)</t>
        </is>
      </c>
      <c r="C7" s="12" t="n"/>
      <c r="D7" s="11" t="inlineStr">
        <is>
          <t>DESEMBOLSO NO ANO (INCC)</t>
        </is>
      </c>
      <c r="E7" s="12" t="n"/>
      <c r="F7" s="11" t="inlineStr">
        <is>
          <t>EM R$ DO INCC SELECIONADO</t>
        </is>
      </c>
      <c r="G7" s="12" t="n"/>
      <c r="H7" s="11" t="inlineStr">
        <is>
          <t>EXECUÇÃO FÍSICA NO FIM DO ANO</t>
        </is>
      </c>
      <c r="I7" s="12" t="n"/>
      <c r="J7" s="11" t="inlineStr">
        <is>
          <t>AVANÇO FINANCEIRO</t>
        </is>
      </c>
      <c r="K7" s="11" t="inlineStr">
        <is>
          <t>MAIOR DESEMBOLSO DO ANO</t>
        </is>
      </c>
    </row>
    <row r="8" ht="28" customHeight="1">
      <c r="B8" s="82">
        <f>F53</f>
        <v/>
      </c>
      <c r="D8" s="83">
        <f>G53</f>
        <v/>
      </c>
      <c r="F8" s="82">
        <f>H53</f>
        <v/>
      </c>
      <c r="H8" s="14">
        <f>IFERROR(SUMPRODUCT(D12:D50,N12:N50)/SUMPRODUCT(ISNUMBER(D12:D50)*N12:N50),0)</f>
        <v/>
      </c>
      <c r="J8" s="14">
        <f>IFERROR(SUMPRODUCT(J12:J50,M12:M50)/SUM(M12:M50),0)</f>
        <v/>
      </c>
      <c r="K8" s="84">
        <f t="array" ref="K8">INDEX(C12:C50,MATCH(MAX(IF(LEN(B12:B50)=2,F12:F50)),IF(LEN(B12:B50)=2,F12:F50),0))</f>
        <v/>
      </c>
    </row>
    <row r="9" ht="18" customHeight="1">
      <c r="B9" s="16" t="inlineStr">
        <is>
          <t>com taxa de administração</t>
        </is>
      </c>
      <c r="C9" s="17" t="n"/>
      <c r="D9" s="16" t="inlineStr">
        <is>
          <t>pontos de índice</t>
        </is>
      </c>
      <c r="E9" s="17" t="n"/>
      <c r="F9" s="16" t="inlineStr">
        <is>
          <t>INCC × índice do mês escolhido</t>
        </is>
      </c>
      <c r="G9" s="17" t="n"/>
      <c r="H9" s="16" t="inlineStr">
        <is>
          <t>itens diretos, ponderado pela projeção</t>
        </is>
      </c>
      <c r="I9" s="17" t="n"/>
      <c r="J9" s="16" t="inlineStr">
        <is>
          <t>acumulado no fim do ano</t>
        </is>
      </c>
      <c r="K9" s="16">
        <f t="array" ref="K9">"R$ "&amp;TEXT(MAX(IF(LEN(B12:B50)=2,F12:F50))/1000000,"0.0")&amp;" mi no ano"</f>
        <v/>
      </c>
    </row>
    <row r="11" ht="44" customHeight="1">
      <c r="B11" s="85" t="inlineStr">
        <is>
          <t>Cód.</t>
        </is>
      </c>
      <c r="C11" s="85" t="inlineStr">
        <is>
          <t>PL / serviço</t>
        </is>
      </c>
      <c r="D11" s="86" t="inlineStr">
        <is>
          <t>Execução física
fim do ano
(Prevision)</t>
        </is>
      </c>
      <c r="E11" s="86" t="inlineStr">
        <is>
          <t>Execução física
no corte
(Prevision)</t>
        </is>
      </c>
      <c r="F11" s="86" t="inlineStr">
        <is>
          <t>Desembolso
no ano
R$ nominal</t>
        </is>
      </c>
      <c r="G11" s="86" t="inlineStr">
        <is>
          <t>Desembolso
no ano
INCC</t>
        </is>
      </c>
      <c r="H11" s="86" t="inlineStr">
        <is>
          <t>Desembolso no ano
R$ do INCC
selecionado</t>
        </is>
      </c>
      <c r="I11" s="86" t="inlineStr">
        <is>
          <t>% do
ano</t>
        </is>
      </c>
      <c r="J11" s="86" t="inlineStr">
        <is>
          <t>Avanço
financeiro
fim do ano</t>
        </is>
      </c>
      <c r="K11" s="85">
        <f>"Situação em 31/12/"&amp;D5&amp;" (cronograma de atividades do Prevision)"</f>
        <v/>
      </c>
      <c r="L11" s="85" t="inlineStr">
        <is>
          <t>Anotação do modelo anterior / justificativa</t>
        </is>
      </c>
    </row>
    <row r="12" ht="16.2" customHeight="1">
      <c r="B12" s="87">
        <f>'VALOR POR PL'!C11</f>
        <v/>
      </c>
      <c r="C12" s="88">
        <f>'VALOR POR PL'!D11</f>
        <v/>
      </c>
      <c r="D12" s="89">
        <f>IF(OR('VALOR POR PL'!I11&lt;&gt;"DIRETO",'CP RESUMO'!$C$5=""),"",IFERROR(INDEX('CP RESUMO'!$D$5:$BW$5,MATCH(DATE($D$5,12,1),'CP RESUMO'!$D$4:$BW$4,0))/100,""))</f>
        <v/>
      </c>
      <c r="E12" s="90">
        <f>IF('VALOR POR PL'!I11&lt;&gt;"DIRETO","",'PROJETO'!$K$14)</f>
        <v/>
      </c>
      <c r="F12" s="91">
        <f>SUMPRODUCT((YEAR('PROJETO'!$B$5:$B$76)=$D$5)*('PROJETO'!$C$5:$C$76+'PROJETO'!$D$5:$D$76))</f>
        <v/>
      </c>
      <c r="G12" s="91">
        <f>SUMPRODUCT((YEAR('MODELO PARA BI'!$H$1:$CA$1)=$D$5)*'MODELO PARA BI'!$H$29:$CA$29)</f>
        <v/>
      </c>
      <c r="H12" s="91">
        <f>IF(ISNUMBER($G$5),G12*$G$5,0)</f>
        <v/>
      </c>
      <c r="I12" s="89">
        <f>IF($F$53=0,0,F12/$F$53)</f>
        <v/>
      </c>
      <c r="J12" s="89">
        <f>IF('VALOR POR PL'!L11=0,0,SUMPRODUCT(('PROJETO'!$B$5:$B$76&lt;=DATE($D$5,12,1))*('PROJETO'!$C$5:$C$76+'PROJETO'!$D$5:$D$76))/'VALOR POR PL'!L11)</f>
        <v/>
      </c>
      <c r="K12" s="92">
        <f t="array" ref="K12">IF(COUNTIF('CRONOGRAMA ATIVIDADES'!$M$5:$M$6004,B12)=0,"",IF(COUNTIFS('CRONOGRAMA ATIVIDADES'!$M$5:$M$6004,B12,'CRONOGRAMA ATIVIDADES'!$O$5:$O$6004,"CONCLUÍDA")=COUNTIF('CRONOGRAMA ATIVIDADES'!$M$5:$M$6004,B12),"Concluído (todas as "&amp;COUNTIF('CRONOGRAMA ATIVIDADES'!$M$5:$M$6004,B12)&amp;" atividades)",IF(COUNTIFS('CRONOGRAMA ATIVIDADES'!$M$5:$M$6004,B12,'CRONOGRAMA ATIVIDADES'!$O$5:$O$6004,"A INICIAR")=COUNTIF('CRONOGRAMA ATIVIDADES'!$M$5:$M$6004,B12),"Não iniciado · início previsto em "&amp;CHOOSE(MONTH(_xlfn.MINIFS('CRONOGRAMA ATIVIDADES'!$F$5:$F$6004,'CRONOGRAMA ATIVIDADES'!$M$5:$M$6004,B12)),"jan","fev","mar","abr","mai","jun","jul","ago","set","out","nov","dez")&amp;"/"&amp;YEAR(_xlfn.MINIFS('CRONOGRAMA ATIVIDADES'!$F$5:$F$6004,'CRONOGRAMA ATIVIDADES'!$M$5:$M$6004,B12)),_xlfn.TEXTJOIN(" / ",TRUE,IF(('CRONOGRAMA ATIVIDADES'!$S$5:$S$304=B12)*('CRONOGRAMA ATIVIDADES'!$AA$5:$AA$304&lt;&gt;""),'CRONOGRAMA ATIVIDADES'!$AA$5:$AA$304,"")))))</f>
        <v/>
      </c>
      <c r="L12" s="93" t="n"/>
      <c r="M12" s="94">
        <f>'VALOR POR PL'!L11</f>
        <v/>
      </c>
      <c r="N12" s="94">
        <f>IF('VALOR POR PL'!I11="DIRETO",'VALOR POR PL'!L11,0)</f>
        <v/>
      </c>
    </row>
    <row r="13" ht="16.2" customHeight="1">
      <c r="B13" s="95">
        <f>'VALOR POR PL'!C12</f>
        <v/>
      </c>
      <c r="C13" s="96">
        <f>'VALOR POR PL'!D12</f>
        <v/>
      </c>
      <c r="D13" s="97">
        <f>IF(OR('VALOR POR PL'!I12&lt;&gt;"DIRETO",'CP RESUMO'!$C$6=""),"",IFERROR(INDEX('CP RESUMO'!$D$6:$BW$6,MATCH(DATE($D$5,12,1),'CP RESUMO'!$D$4:$BW$4,0))/100,""))</f>
        <v/>
      </c>
      <c r="E13" s="98">
        <f>IF('VALOR POR PL'!I12&lt;&gt;"DIRETO","",'SEGUROS'!$K$14)</f>
        <v/>
      </c>
      <c r="F13" s="99">
        <f>SUMPRODUCT((YEAR('SEGUROS'!$B$5:$B$76)=$D$5)*('SEGUROS'!$C$5:$C$76+'SEGUROS'!$D$5:$D$76))</f>
        <v/>
      </c>
      <c r="G13" s="99">
        <f>SUMPRODUCT((YEAR('MODELO PARA BI'!$H$1:$CA$1)=$D$5)*'MODELO PARA BI'!$H$40:$CA$40)</f>
        <v/>
      </c>
      <c r="H13" s="99">
        <f>IF(ISNUMBER($G$5),G13*$G$5,0)</f>
        <v/>
      </c>
      <c r="I13" s="97">
        <f>IF($F$53=0,0,F13/$F$53)</f>
        <v/>
      </c>
      <c r="J13" s="97">
        <f>IF('VALOR POR PL'!L12=0,0,SUMPRODUCT(('SEGUROS'!$B$5:$B$76&lt;=DATE($D$5,12,1))*('SEGUROS'!$C$5:$C$76+'SEGUROS'!$D$5:$D$76))/'VALOR POR PL'!L12)</f>
        <v/>
      </c>
      <c r="K13" s="100">
        <f t="array" ref="K13">IF(COUNTIF('CRONOGRAMA ATIVIDADES'!$M$5:$M$6004,B13)=0,"",IF(COUNTIFS('CRONOGRAMA ATIVIDADES'!$M$5:$M$6004,B13,'CRONOGRAMA ATIVIDADES'!$O$5:$O$6004,"CONCLUÍDA")=COUNTIF('CRONOGRAMA ATIVIDADES'!$M$5:$M$6004,B13),"Concluído (todas as "&amp;COUNTIF('CRONOGRAMA ATIVIDADES'!$M$5:$M$6004,B13)&amp;" atividades)",IF(COUNTIFS('CRONOGRAMA ATIVIDADES'!$M$5:$M$6004,B13,'CRONOGRAMA ATIVIDADES'!$O$5:$O$6004,"A INICIAR")=COUNTIF('CRONOGRAMA ATIVIDADES'!$M$5:$M$6004,B13),"Não iniciado · início previsto em "&amp;CHOOSE(MONTH(_xlfn.MINIFS('CRONOGRAMA ATIVIDADES'!$F$5:$F$6004,'CRONOGRAMA ATIVIDADES'!$M$5:$M$6004,B13)),"jan","fev","mar","abr","mai","jun","jul","ago","set","out","nov","dez")&amp;"/"&amp;YEAR(_xlfn.MINIFS('CRONOGRAMA ATIVIDADES'!$F$5:$F$6004,'CRONOGRAMA ATIVIDADES'!$M$5:$M$6004,B13)),_xlfn.TEXTJOIN(" / ",TRUE,IF(('CRONOGRAMA ATIVIDADES'!$S$5:$S$304=B13)*('CRONOGRAMA ATIVIDADES'!$AA$5:$AA$304&lt;&gt;""),'CRONOGRAMA ATIVIDADES'!$AA$5:$AA$304,"")))))</f>
        <v/>
      </c>
      <c r="L13" s="101" t="n"/>
      <c r="M13" s="94">
        <f>'VALOR POR PL'!L12</f>
        <v/>
      </c>
      <c r="N13" s="94">
        <f>IF('VALOR POR PL'!I12="DIRETO",'VALOR POR PL'!L12,0)</f>
        <v/>
      </c>
    </row>
    <row r="14" ht="16.2" customHeight="1">
      <c r="B14" s="87">
        <f>'VALOR POR PL'!C13</f>
        <v/>
      </c>
      <c r="C14" s="88">
        <f>'VALOR POR PL'!D13</f>
        <v/>
      </c>
      <c r="D14" s="89">
        <f>IF(OR('VALOR POR PL'!I13&lt;&gt;"DIRETO",'CP RESUMO'!$C$7=""),"",IFERROR(INDEX('CP RESUMO'!$D$7:$BW$7,MATCH(DATE($D$5,12,1),'CP RESUMO'!$D$4:$BW$4,0))/100,""))</f>
        <v/>
      </c>
      <c r="E14" s="90">
        <f>IF('VALOR POR PL'!I13&lt;&gt;"DIRETO","",'TAX. DIVERSAS'!$K$14)</f>
        <v/>
      </c>
      <c r="F14" s="91">
        <f>SUMPRODUCT((YEAR('TAX. DIVERSAS'!$B$5:$B$76)=$D$5)*('TAX. DIVERSAS'!$C$5:$C$76+'TAX. DIVERSAS'!$D$5:$D$76))</f>
        <v/>
      </c>
      <c r="G14" s="91">
        <f>SUMPRODUCT((YEAR('MODELO PARA BI'!$H$1:$CA$1)=$D$5)*'MODELO PARA BI'!$H$50:$CA$50)</f>
        <v/>
      </c>
      <c r="H14" s="91">
        <f>IF(ISNUMBER($G$5),G14*$G$5,0)</f>
        <v/>
      </c>
      <c r="I14" s="89">
        <f>IF($F$53=0,0,F14/$F$53)</f>
        <v/>
      </c>
      <c r="J14" s="89">
        <f>IF('VALOR POR PL'!L13=0,0,SUMPRODUCT(('TAX. DIVERSAS'!$B$5:$B$76&lt;=DATE($D$5,12,1))*('TAX. DIVERSAS'!$C$5:$C$76+'TAX. DIVERSAS'!$D$5:$D$76))/'VALOR POR PL'!L13)</f>
        <v/>
      </c>
      <c r="K14" s="92">
        <f t="array" ref="K14">IF(COUNTIF('CRONOGRAMA ATIVIDADES'!$M$5:$M$6004,B14)=0,"",IF(COUNTIFS('CRONOGRAMA ATIVIDADES'!$M$5:$M$6004,B14,'CRONOGRAMA ATIVIDADES'!$O$5:$O$6004,"CONCLUÍDA")=COUNTIF('CRONOGRAMA ATIVIDADES'!$M$5:$M$6004,B14),"Concluído (todas as "&amp;COUNTIF('CRONOGRAMA ATIVIDADES'!$M$5:$M$6004,B14)&amp;" atividades)",IF(COUNTIFS('CRONOGRAMA ATIVIDADES'!$M$5:$M$6004,B14,'CRONOGRAMA ATIVIDADES'!$O$5:$O$6004,"A INICIAR")=COUNTIF('CRONOGRAMA ATIVIDADES'!$M$5:$M$6004,B14),"Não iniciado · início previsto em "&amp;CHOOSE(MONTH(_xlfn.MINIFS('CRONOGRAMA ATIVIDADES'!$F$5:$F$6004,'CRONOGRAMA ATIVIDADES'!$M$5:$M$6004,B14)),"jan","fev","mar","abr","mai","jun","jul","ago","set","out","nov","dez")&amp;"/"&amp;YEAR(_xlfn.MINIFS('CRONOGRAMA ATIVIDADES'!$F$5:$F$6004,'CRONOGRAMA ATIVIDADES'!$M$5:$M$6004,B14)),_xlfn.TEXTJOIN(" / ",TRUE,IF(('CRONOGRAMA ATIVIDADES'!$S$5:$S$304=B14)*('CRONOGRAMA ATIVIDADES'!$AA$5:$AA$304&lt;&gt;""),'CRONOGRAMA ATIVIDADES'!$AA$5:$AA$304,"")))))</f>
        <v/>
      </c>
      <c r="L14" s="93" t="n"/>
      <c r="M14" s="94">
        <f>'VALOR POR PL'!L13</f>
        <v/>
      </c>
      <c r="N14" s="94">
        <f>IF('VALOR POR PL'!I13="DIRETO",'VALOR POR PL'!L13,0)</f>
        <v/>
      </c>
    </row>
    <row r="15" ht="16.2" customHeight="1">
      <c r="B15" s="95">
        <f>'VALOR POR PL'!C14</f>
        <v/>
      </c>
      <c r="C15" s="96">
        <f>'VALOR POR PL'!D14</f>
        <v/>
      </c>
      <c r="D15" s="97">
        <f>IF(OR('VALOR POR PL'!I14&lt;&gt;"DIRETO",'CP RESUMO'!$C$8=""),"",IFERROR(INDEX('CP RESUMO'!$D$8:$BW$8,MATCH(DATE($D$5,12,1),'CP RESUMO'!$D$4:$BW$4,0))/100,""))</f>
        <v/>
      </c>
      <c r="E15" s="98">
        <f>IF('VALOR POR PL'!I14&lt;&gt;"DIRETO","",'BARRACÃO DE OBRA'!$K$14)</f>
        <v/>
      </c>
      <c r="F15" s="99">
        <f>SUMPRODUCT((YEAR('BARRACÃO DE OBRA'!$B$5:$B$76)=$D$5)*('BARRACÃO DE OBRA'!$C$5:$C$76+'BARRACÃO DE OBRA'!$D$5:$D$76))</f>
        <v/>
      </c>
      <c r="G15" s="99">
        <f>SUMPRODUCT((YEAR('MODELO PARA BI'!$H$1:$CA$1)=$D$5)*'MODELO PARA BI'!$H$3:$CA$3)</f>
        <v/>
      </c>
      <c r="H15" s="99">
        <f>IF(ISNUMBER($G$5),G15*$G$5,0)</f>
        <v/>
      </c>
      <c r="I15" s="97">
        <f>IF($F$53=0,0,F15/$F$53)</f>
        <v/>
      </c>
      <c r="J15" s="97">
        <f>IF('VALOR POR PL'!L14=0,0,SUMPRODUCT(('BARRACÃO DE OBRA'!$B$5:$B$76&lt;=DATE($D$5,12,1))*('BARRACÃO DE OBRA'!$C$5:$C$76+'BARRACÃO DE OBRA'!$D$5:$D$76))/'VALOR POR PL'!L14)</f>
        <v/>
      </c>
      <c r="K15" s="100">
        <f t="array" ref="K15">IF(COUNTIF('CRONOGRAMA ATIVIDADES'!$M$5:$M$6004,B15)=0,"",IF(COUNTIFS('CRONOGRAMA ATIVIDADES'!$M$5:$M$6004,B15,'CRONOGRAMA ATIVIDADES'!$O$5:$O$6004,"CONCLUÍDA")=COUNTIF('CRONOGRAMA ATIVIDADES'!$M$5:$M$6004,B15),"Concluído (todas as "&amp;COUNTIF('CRONOGRAMA ATIVIDADES'!$M$5:$M$6004,B15)&amp;" atividades)",IF(COUNTIFS('CRONOGRAMA ATIVIDADES'!$M$5:$M$6004,B15,'CRONOGRAMA ATIVIDADES'!$O$5:$O$6004,"A INICIAR")=COUNTIF('CRONOGRAMA ATIVIDADES'!$M$5:$M$6004,B15),"Não iniciado · início previsto em "&amp;CHOOSE(MONTH(_xlfn.MINIFS('CRONOGRAMA ATIVIDADES'!$F$5:$F$6004,'CRONOGRAMA ATIVIDADES'!$M$5:$M$6004,B15)),"jan","fev","mar","abr","mai","jun","jul","ago","set","out","nov","dez")&amp;"/"&amp;YEAR(_xlfn.MINIFS('CRONOGRAMA ATIVIDADES'!$F$5:$F$6004,'CRONOGRAMA ATIVIDADES'!$M$5:$M$6004,B15)),_xlfn.TEXTJOIN(" / ",TRUE,IF(('CRONOGRAMA ATIVIDADES'!$S$5:$S$304=B15)*('CRONOGRAMA ATIVIDADES'!$AA$5:$AA$304&lt;&gt;""),'CRONOGRAMA ATIVIDADES'!$AA$5:$AA$304,"")))))</f>
        <v/>
      </c>
      <c r="L15" s="101" t="n"/>
      <c r="M15" s="94">
        <f>'VALOR POR PL'!L14</f>
        <v/>
      </c>
      <c r="N15" s="94">
        <f>IF('VALOR POR PL'!I14="DIRETO",'VALOR POR PL'!L14,0)</f>
        <v/>
      </c>
    </row>
    <row r="16" ht="29.4" customHeight="1">
      <c r="B16" s="87">
        <f>'VALOR POR PL'!C15</f>
        <v/>
      </c>
      <c r="C16" s="88">
        <f>'VALOR POR PL'!D15</f>
        <v/>
      </c>
      <c r="D16" s="89">
        <f>IF(OR('VALOR POR PL'!I15&lt;&gt;"DIRETO",'CP RESUMO'!$C$9=""),"",IFERROR(INDEX('CP RESUMO'!$D$9:$BW$9,MATCH(DATE($D$5,12,1),'CP RESUMO'!$D$4:$BW$4,0))/100,""))</f>
        <v/>
      </c>
      <c r="E16" s="90">
        <f>IF('VALOR POR PL'!I15&lt;&gt;"DIRETO","",'LIG. PROVISÓRIAS'!$K$14)</f>
        <v/>
      </c>
      <c r="F16" s="91">
        <f>SUMPRODUCT((YEAR('LIG. PROVISÓRIAS'!$B$5:$B$76)=$D$5)*('LIG. PROVISÓRIAS'!$C$5:$C$76+'LIG. PROVISÓRIAS'!$D$5:$D$76))</f>
        <v/>
      </c>
      <c r="G16" s="91">
        <f>SUMPRODUCT((YEAR('MODELO PARA BI'!$H$1:$CA$1)=$D$5)*'MODELO PARA BI'!$H$42:$CA$42)</f>
        <v/>
      </c>
      <c r="H16" s="91">
        <f>IF(ISNUMBER($G$5),G16*$G$5,0)</f>
        <v/>
      </c>
      <c r="I16" s="89">
        <f>IF($F$53=0,0,F16/$F$53)</f>
        <v/>
      </c>
      <c r="J16" s="89">
        <f>IF('VALOR POR PL'!L15=0,0,SUMPRODUCT(('LIG. PROVISÓRIAS'!$B$5:$B$76&lt;=DATE($D$5,12,1))*('LIG. PROVISÓRIAS'!$C$5:$C$76+'LIG. PROVISÓRIAS'!$D$5:$D$76))/'VALOR POR PL'!L15)</f>
        <v/>
      </c>
      <c r="K16" s="92">
        <f t="array" ref="K16">IF(COUNTIF('CRONOGRAMA ATIVIDADES'!$M$5:$M$6004,B16)=0,"",IF(COUNTIFS('CRONOGRAMA ATIVIDADES'!$M$5:$M$6004,B16,'CRONOGRAMA ATIVIDADES'!$O$5:$O$6004,"CONCLUÍDA")=COUNTIF('CRONOGRAMA ATIVIDADES'!$M$5:$M$6004,B16),"Concluído (todas as "&amp;COUNTIF('CRONOGRAMA ATIVIDADES'!$M$5:$M$6004,B16)&amp;" atividades)",IF(COUNTIFS('CRONOGRAMA ATIVIDADES'!$M$5:$M$6004,B16,'CRONOGRAMA ATIVIDADES'!$O$5:$O$6004,"A INICIAR")=COUNTIF('CRONOGRAMA ATIVIDADES'!$M$5:$M$6004,B16),"Não iniciado · início previsto em "&amp;CHOOSE(MONTH(_xlfn.MINIFS('CRONOGRAMA ATIVIDADES'!$F$5:$F$6004,'CRONOGRAMA ATIVIDADES'!$M$5:$M$6004,B16)),"jan","fev","mar","abr","mai","jun","jul","ago","set","out","nov","dez")&amp;"/"&amp;YEAR(_xlfn.MINIFS('CRONOGRAMA ATIVIDADES'!$F$5:$F$6004,'CRONOGRAMA ATIVIDADES'!$M$5:$M$6004,B16)),_xlfn.TEXTJOIN(" / ",TRUE,IF(('CRONOGRAMA ATIVIDADES'!$S$5:$S$304=B16)*('CRONOGRAMA ATIVIDADES'!$AA$5:$AA$304&lt;&gt;""),'CRONOGRAMA ATIVIDADES'!$AA$5:$AA$304,"")))))</f>
        <v/>
      </c>
      <c r="L16" s="93" t="n"/>
      <c r="M16" s="94">
        <f>'VALOR POR PL'!L15</f>
        <v/>
      </c>
      <c r="N16" s="94">
        <f>IF('VALOR POR PL'!I15="DIRETO",'VALOR POR PL'!L15,0)</f>
        <v/>
      </c>
    </row>
    <row r="17" ht="16.2" customHeight="1">
      <c r="B17" s="95">
        <f>'VALOR POR PL'!C16</f>
        <v/>
      </c>
      <c r="C17" s="96">
        <f>'VALOR POR PL'!D16</f>
        <v/>
      </c>
      <c r="D17" s="97">
        <f>IF(OR('VALOR POR PL'!I16&lt;&gt;"DIRETO",'CP RESUMO'!$C$10=""),"",IFERROR(INDEX('CP RESUMO'!$D$10:$BW$10,MATCH(DATE($D$5,12,1),'CP RESUMO'!$D$4:$BW$4,0))/100,""))</f>
        <v/>
      </c>
      <c r="E17" s="98">
        <f>IF('VALOR POR PL'!I16&lt;&gt;"DIRETO","",'CONSUMOS'!$K$14)</f>
        <v/>
      </c>
      <c r="F17" s="99">
        <f>SUMPRODUCT((YEAR('CONSUMOS'!$B$5:$B$76)=$D$5)*('CONSUMOS'!$C$5:$C$76+'CONSUMOS'!$D$5:$D$76))</f>
        <v/>
      </c>
      <c r="G17" s="99">
        <f>SUMPRODUCT((YEAR('MODELO PARA BI'!$H$1:$CA$1)=$D$5)*'MODELO PARA BI'!$H$5:$CA$5)</f>
        <v/>
      </c>
      <c r="H17" s="99">
        <f>IF(ISNUMBER($G$5),G17*$G$5,0)</f>
        <v/>
      </c>
      <c r="I17" s="97">
        <f>IF($F$53=0,0,F17/$F$53)</f>
        <v/>
      </c>
      <c r="J17" s="97">
        <f>IF('VALOR POR PL'!L16=0,0,SUMPRODUCT(('CONSUMOS'!$B$5:$B$76&lt;=DATE($D$5,12,1))*('CONSUMOS'!$C$5:$C$76+'CONSUMOS'!$D$5:$D$76))/'VALOR POR PL'!L16)</f>
        <v/>
      </c>
      <c r="K17" s="100">
        <f t="array" ref="K17">IF(COUNTIF('CRONOGRAMA ATIVIDADES'!$M$5:$M$6004,B17)=0,"",IF(COUNTIFS('CRONOGRAMA ATIVIDADES'!$M$5:$M$6004,B17,'CRONOGRAMA ATIVIDADES'!$O$5:$O$6004,"CONCLUÍDA")=COUNTIF('CRONOGRAMA ATIVIDADES'!$M$5:$M$6004,B17),"Concluído (todas as "&amp;COUNTIF('CRONOGRAMA ATIVIDADES'!$M$5:$M$6004,B17)&amp;" atividades)",IF(COUNTIFS('CRONOGRAMA ATIVIDADES'!$M$5:$M$6004,B17,'CRONOGRAMA ATIVIDADES'!$O$5:$O$6004,"A INICIAR")=COUNTIF('CRONOGRAMA ATIVIDADES'!$M$5:$M$6004,B17),"Não iniciado · início previsto em "&amp;CHOOSE(MONTH(_xlfn.MINIFS('CRONOGRAMA ATIVIDADES'!$F$5:$F$6004,'CRONOGRAMA ATIVIDADES'!$M$5:$M$6004,B17)),"jan","fev","mar","abr","mai","jun","jul","ago","set","out","nov","dez")&amp;"/"&amp;YEAR(_xlfn.MINIFS('CRONOGRAMA ATIVIDADES'!$F$5:$F$6004,'CRONOGRAMA ATIVIDADES'!$M$5:$M$6004,B17)),_xlfn.TEXTJOIN(" / ",TRUE,IF(('CRONOGRAMA ATIVIDADES'!$S$5:$S$304=B17)*('CRONOGRAMA ATIVIDADES'!$AA$5:$AA$304&lt;&gt;""),'CRONOGRAMA ATIVIDADES'!$AA$5:$AA$304,"")))))</f>
        <v/>
      </c>
      <c r="L17" s="101" t="n"/>
      <c r="M17" s="94">
        <f>'VALOR POR PL'!L16</f>
        <v/>
      </c>
      <c r="N17" s="94">
        <f>IF('VALOR POR PL'!I16="DIRETO",'VALOR POR PL'!L16,0)</f>
        <v/>
      </c>
    </row>
    <row r="18" ht="16.2" customHeight="1">
      <c r="B18" s="87">
        <f>'VALOR POR PL'!C17</f>
        <v/>
      </c>
      <c r="C18" s="88">
        <f>'VALOR POR PL'!D17</f>
        <v/>
      </c>
      <c r="D18" s="89">
        <f>IF(OR('VALOR POR PL'!I17&lt;&gt;"DIRETO",'CP RESUMO'!$C$11=""),"",IFERROR(INDEX('CP RESUMO'!$D$11:$BW$11,MATCH(DATE($D$5,12,1),'CP RESUMO'!$D$4:$BW$4,0))/100,""))</f>
        <v/>
      </c>
      <c r="E18" s="90">
        <f>IF('VALOR POR PL'!I17&lt;&gt;"DIRETO","",'DIVERSOS'!$K$14)</f>
        <v/>
      </c>
      <c r="F18" s="91">
        <f>SUMPRODUCT((YEAR('DIVERSOS'!$B$5:$B$76)=$D$5)*('DIVERSOS'!$C$5:$C$76+'DIVERSOS'!$D$5:$D$76))</f>
        <v/>
      </c>
      <c r="G18" s="91">
        <f>SUMPRODUCT((YEAR('MODELO PARA BI'!$H$1:$CA$1)=$D$5)*'MODELO PARA BI'!$H$9:$CA$9)</f>
        <v/>
      </c>
      <c r="H18" s="91">
        <f>IF(ISNUMBER($G$5),G18*$G$5,0)</f>
        <v/>
      </c>
      <c r="I18" s="89">
        <f>IF($F$53=0,0,F18/$F$53)</f>
        <v/>
      </c>
      <c r="J18" s="89">
        <f>IF('VALOR POR PL'!L17=0,0,SUMPRODUCT(('DIVERSOS'!$B$5:$B$76&lt;=DATE($D$5,12,1))*('DIVERSOS'!$C$5:$C$76+'DIVERSOS'!$D$5:$D$76))/'VALOR POR PL'!L17)</f>
        <v/>
      </c>
      <c r="K18" s="92">
        <f t="array" ref="K18">IF(COUNTIF('CRONOGRAMA ATIVIDADES'!$M$5:$M$6004,B18)=0,"",IF(COUNTIFS('CRONOGRAMA ATIVIDADES'!$M$5:$M$6004,B18,'CRONOGRAMA ATIVIDADES'!$O$5:$O$6004,"CONCLUÍDA")=COUNTIF('CRONOGRAMA ATIVIDADES'!$M$5:$M$6004,B18),"Concluído (todas as "&amp;COUNTIF('CRONOGRAMA ATIVIDADES'!$M$5:$M$6004,B18)&amp;" atividades)",IF(COUNTIFS('CRONOGRAMA ATIVIDADES'!$M$5:$M$6004,B18,'CRONOGRAMA ATIVIDADES'!$O$5:$O$6004,"A INICIAR")=COUNTIF('CRONOGRAMA ATIVIDADES'!$M$5:$M$6004,B18),"Não iniciado · início previsto em "&amp;CHOOSE(MONTH(_xlfn.MINIFS('CRONOGRAMA ATIVIDADES'!$F$5:$F$6004,'CRONOGRAMA ATIVIDADES'!$M$5:$M$6004,B18)),"jan","fev","mar","abr","mai","jun","jul","ago","set","out","nov","dez")&amp;"/"&amp;YEAR(_xlfn.MINIFS('CRONOGRAMA ATIVIDADES'!$F$5:$F$6004,'CRONOGRAMA ATIVIDADES'!$M$5:$M$6004,B18)),_xlfn.TEXTJOIN(" / ",TRUE,IF(('CRONOGRAMA ATIVIDADES'!$S$5:$S$304=B18)*('CRONOGRAMA ATIVIDADES'!$AA$5:$AA$304&lt;&gt;""),'CRONOGRAMA ATIVIDADES'!$AA$5:$AA$304,"")))))</f>
        <v/>
      </c>
      <c r="L18" s="93" t="n"/>
      <c r="M18" s="94">
        <f>'VALOR POR PL'!L17</f>
        <v/>
      </c>
      <c r="N18" s="94">
        <f>IF('VALOR POR PL'!I17="DIRETO",'VALOR POR PL'!L17,0)</f>
        <v/>
      </c>
    </row>
    <row r="19" ht="16.2" customHeight="1">
      <c r="B19" s="95">
        <f>'VALOR POR PL'!C18</f>
        <v/>
      </c>
      <c r="C19" s="96">
        <f>'VALOR POR PL'!D18</f>
        <v/>
      </c>
      <c r="D19" s="97">
        <f>IF(OR('VALOR POR PL'!I18&lt;&gt;"DIRETO",'CP RESUMO'!$C$12=""),"",IFERROR(INDEX('CP RESUMO'!$D$12:$BW$12,MATCH(DATE($D$5,12,1),'CP RESUMO'!$D$4:$BW$4,0))/100,""))</f>
        <v/>
      </c>
      <c r="E19" s="98">
        <f>IF('VALOR POR PL'!I18&lt;&gt;"DIRETO","",'TRANSPORTES'!$K$14)</f>
        <v/>
      </c>
      <c r="F19" s="99">
        <f>SUMPRODUCT((YEAR('TRANSPORTES'!$B$5:$B$76)=$D$5)*('TRANSPORTES'!$C$5:$C$76+'TRANSPORTES'!$D$5:$D$76))</f>
        <v/>
      </c>
      <c r="G19" s="99">
        <f>SUMPRODUCT((YEAR('MODELO PARA BI'!$H$1:$CA$1)=$D$5)*'MODELO PARA BI'!$H$46:$CA$46)</f>
        <v/>
      </c>
      <c r="H19" s="99">
        <f>IF(ISNUMBER($G$5),G19*$G$5,0)</f>
        <v/>
      </c>
      <c r="I19" s="97">
        <f>IF($F$53=0,0,F19/$F$53)</f>
        <v/>
      </c>
      <c r="J19" s="97">
        <f>IF('VALOR POR PL'!L18=0,0,SUMPRODUCT(('TRANSPORTES'!$B$5:$B$76&lt;=DATE($D$5,12,1))*('TRANSPORTES'!$C$5:$C$76+'TRANSPORTES'!$D$5:$D$76))/'VALOR POR PL'!L18)</f>
        <v/>
      </c>
      <c r="K19" s="100">
        <f t="array" ref="K19">IF(COUNTIF('CRONOGRAMA ATIVIDADES'!$M$5:$M$6004,B19)=0,"",IF(COUNTIFS('CRONOGRAMA ATIVIDADES'!$M$5:$M$6004,B19,'CRONOGRAMA ATIVIDADES'!$O$5:$O$6004,"CONCLUÍDA")=COUNTIF('CRONOGRAMA ATIVIDADES'!$M$5:$M$6004,B19),"Concluído (todas as "&amp;COUNTIF('CRONOGRAMA ATIVIDADES'!$M$5:$M$6004,B19)&amp;" atividades)",IF(COUNTIFS('CRONOGRAMA ATIVIDADES'!$M$5:$M$6004,B19,'CRONOGRAMA ATIVIDADES'!$O$5:$O$6004,"A INICIAR")=COUNTIF('CRONOGRAMA ATIVIDADES'!$M$5:$M$6004,B19),"Não iniciado · início previsto em "&amp;CHOOSE(MONTH(_xlfn.MINIFS('CRONOGRAMA ATIVIDADES'!$F$5:$F$6004,'CRONOGRAMA ATIVIDADES'!$M$5:$M$6004,B19)),"jan","fev","mar","abr","mai","jun","jul","ago","set","out","nov","dez")&amp;"/"&amp;YEAR(_xlfn.MINIFS('CRONOGRAMA ATIVIDADES'!$F$5:$F$6004,'CRONOGRAMA ATIVIDADES'!$M$5:$M$6004,B19)),_xlfn.TEXTJOIN(" / ",TRUE,IF(('CRONOGRAMA ATIVIDADES'!$S$5:$S$304=B19)*('CRONOGRAMA ATIVIDADES'!$AA$5:$AA$304&lt;&gt;""),'CRONOGRAMA ATIVIDADES'!$AA$5:$AA$304,"")))))</f>
        <v/>
      </c>
      <c r="L19" s="101" t="n"/>
      <c r="M19" s="94">
        <f>'VALOR POR PL'!L18</f>
        <v/>
      </c>
      <c r="N19" s="94">
        <f>IF('VALOR POR PL'!I18="DIRETO",'VALOR POR PL'!L18,0)</f>
        <v/>
      </c>
    </row>
    <row r="20" ht="16.2" customHeight="1">
      <c r="B20" s="87">
        <f>'VALOR POR PL'!C19</f>
        <v/>
      </c>
      <c r="C20" s="88">
        <f>'VALOR POR PL'!D19</f>
        <v/>
      </c>
      <c r="D20" s="89">
        <f>IF(OR('VALOR POR PL'!I19&lt;&gt;"DIRETO",'CP RESUMO'!$C$13=""),"",IFERROR(INDEX('CP RESUMO'!$D$13:$BW$13,MATCH(DATE($D$5,12,1),'CP RESUMO'!$D$4:$BW$4,0))/100,""))</f>
        <v/>
      </c>
      <c r="E20" s="90">
        <f>IF('VALOR POR PL'!I19&lt;&gt;"DIRETO","",'CONSULTORIAS'!$K$14)</f>
        <v/>
      </c>
      <c r="F20" s="91">
        <f>SUMPRODUCT((YEAR('CONSULTORIAS'!$B$5:$B$76)=$D$5)*('CONSULTORIAS'!$C$5:$C$76+'CONSULTORIAS'!$D$5:$D$76))</f>
        <v/>
      </c>
      <c r="G20" s="91">
        <f>SUMPRODUCT((YEAR('MODELO PARA BI'!$H$1:$CA$1)=$D$5)*'MODELO PARA BI'!$H$4:$CA$4)</f>
        <v/>
      </c>
      <c r="H20" s="91">
        <f>IF(ISNUMBER($G$5),G20*$G$5,0)</f>
        <v/>
      </c>
      <c r="I20" s="89">
        <f>IF($F$53=0,0,F20/$F$53)</f>
        <v/>
      </c>
      <c r="J20" s="89">
        <f>IF('VALOR POR PL'!L19=0,0,SUMPRODUCT(('CONSULTORIAS'!$B$5:$B$76&lt;=DATE($D$5,12,1))*('CONSULTORIAS'!$C$5:$C$76+'CONSULTORIAS'!$D$5:$D$76))/'VALOR POR PL'!L19)</f>
        <v/>
      </c>
      <c r="K20" s="92">
        <f t="array" ref="K20">IF(COUNTIF('CRONOGRAMA ATIVIDADES'!$M$5:$M$6004,B20)=0,"",IF(COUNTIFS('CRONOGRAMA ATIVIDADES'!$M$5:$M$6004,B20,'CRONOGRAMA ATIVIDADES'!$O$5:$O$6004,"CONCLUÍDA")=COUNTIF('CRONOGRAMA ATIVIDADES'!$M$5:$M$6004,B20),"Concluído (todas as "&amp;COUNTIF('CRONOGRAMA ATIVIDADES'!$M$5:$M$6004,B20)&amp;" atividades)",IF(COUNTIFS('CRONOGRAMA ATIVIDADES'!$M$5:$M$6004,B20,'CRONOGRAMA ATIVIDADES'!$O$5:$O$6004,"A INICIAR")=COUNTIF('CRONOGRAMA ATIVIDADES'!$M$5:$M$6004,B20),"Não iniciado · início previsto em "&amp;CHOOSE(MONTH(_xlfn.MINIFS('CRONOGRAMA ATIVIDADES'!$F$5:$F$6004,'CRONOGRAMA ATIVIDADES'!$M$5:$M$6004,B20)),"jan","fev","mar","abr","mai","jun","jul","ago","set","out","nov","dez")&amp;"/"&amp;YEAR(_xlfn.MINIFS('CRONOGRAMA ATIVIDADES'!$F$5:$F$6004,'CRONOGRAMA ATIVIDADES'!$M$5:$M$6004,B20)),_xlfn.TEXTJOIN(" / ",TRUE,IF(('CRONOGRAMA ATIVIDADES'!$S$5:$S$304=B20)*('CRONOGRAMA ATIVIDADES'!$AA$5:$AA$304&lt;&gt;""),'CRONOGRAMA ATIVIDADES'!$AA$5:$AA$304,"")))))</f>
        <v/>
      </c>
      <c r="L20" s="93" t="n"/>
      <c r="M20" s="94">
        <f>'VALOR POR PL'!L19</f>
        <v/>
      </c>
      <c r="N20" s="94">
        <f>IF('VALOR POR PL'!I19="DIRETO",'VALOR POR PL'!L19,0)</f>
        <v/>
      </c>
    </row>
    <row r="21" ht="16.2" customHeight="1">
      <c r="B21" s="95">
        <f>'VALOR POR PL'!C20</f>
        <v/>
      </c>
      <c r="C21" s="96">
        <f>'VALOR POR PL'!D20</f>
        <v/>
      </c>
      <c r="D21" s="97">
        <f>IF(OR('VALOR POR PL'!I20&lt;&gt;"DIRETO",'CP RESUMO'!$C$14=""),"",IFERROR(INDEX('CP RESUMO'!$D$14:$BW$14,MATCH(DATE($D$5,12,1),'CP RESUMO'!$D$4:$BW$4,0))/100,""))</f>
        <v/>
      </c>
      <c r="E21" s="98">
        <f>IF('VALOR POR PL'!I20&lt;&gt;"DIRETO","",'MDO'!$K$14)</f>
        <v/>
      </c>
      <c r="F21" s="99">
        <f>SUMPRODUCT((YEAR('MDO'!$B$5:$B$76)=$D$5)*('MDO'!$C$5:$C$76+'MDO'!$D$5:$D$76))</f>
        <v/>
      </c>
      <c r="G21" s="99">
        <f>SUMPRODUCT((YEAR('MODELO PARA BI'!$H$1:$CA$1)=$D$5)*'MODELO PARA BI'!$H$49:$CA$49)</f>
        <v/>
      </c>
      <c r="H21" s="99">
        <f>IF(ISNUMBER($G$5),G21*$G$5,0)</f>
        <v/>
      </c>
      <c r="I21" s="97">
        <f>IF($F$53=0,0,F21/$F$53)</f>
        <v/>
      </c>
      <c r="J21" s="97">
        <f>IF('VALOR POR PL'!L20=0,0,SUMPRODUCT(('MDO'!$B$5:$B$76&lt;=DATE($D$5,12,1))*('MDO'!$C$5:$C$76+'MDO'!$D$5:$D$76))/'VALOR POR PL'!L20)</f>
        <v/>
      </c>
      <c r="K21" s="100">
        <f t="array" ref="K21">IF(COUNTIF('CRONOGRAMA ATIVIDADES'!$M$5:$M$6004,B21)=0,"",IF(COUNTIFS('CRONOGRAMA ATIVIDADES'!$M$5:$M$6004,B21,'CRONOGRAMA ATIVIDADES'!$O$5:$O$6004,"CONCLUÍDA")=COUNTIF('CRONOGRAMA ATIVIDADES'!$M$5:$M$6004,B21),"Concluído (todas as "&amp;COUNTIF('CRONOGRAMA ATIVIDADES'!$M$5:$M$6004,B21)&amp;" atividades)",IF(COUNTIFS('CRONOGRAMA ATIVIDADES'!$M$5:$M$6004,B21,'CRONOGRAMA ATIVIDADES'!$O$5:$O$6004,"A INICIAR")=COUNTIF('CRONOGRAMA ATIVIDADES'!$M$5:$M$6004,B21),"Não iniciado · início previsto em "&amp;CHOOSE(MONTH(_xlfn.MINIFS('CRONOGRAMA ATIVIDADES'!$F$5:$F$6004,'CRONOGRAMA ATIVIDADES'!$M$5:$M$6004,B21)),"jan","fev","mar","abr","mai","jun","jul","ago","set","out","nov","dez")&amp;"/"&amp;YEAR(_xlfn.MINIFS('CRONOGRAMA ATIVIDADES'!$F$5:$F$6004,'CRONOGRAMA ATIVIDADES'!$M$5:$M$6004,B21)),_xlfn.TEXTJOIN(" / ",TRUE,IF(('CRONOGRAMA ATIVIDADES'!$S$5:$S$304=B21)*('CRONOGRAMA ATIVIDADES'!$AA$5:$AA$304&lt;&gt;""),'CRONOGRAMA ATIVIDADES'!$AA$5:$AA$304,"")))))</f>
        <v/>
      </c>
      <c r="L21" s="101" t="n"/>
      <c r="M21" s="94">
        <f>'VALOR POR PL'!L20</f>
        <v/>
      </c>
      <c r="N21" s="94">
        <f>IF('VALOR POR PL'!I20="DIRETO",'VALOR POR PL'!L20,0)</f>
        <v/>
      </c>
    </row>
    <row r="22" ht="16.2" customHeight="1">
      <c r="B22" s="87">
        <f>'VALOR POR PL'!C21</f>
        <v/>
      </c>
      <c r="C22" s="88">
        <f>'VALOR POR PL'!D21</f>
        <v/>
      </c>
      <c r="D22" s="89">
        <f>IF(OR('VALOR POR PL'!I21&lt;&gt;"DIRETO",'CP RESUMO'!$C$15=""),"",IFERROR(INDEX('CP RESUMO'!$D$15:$BW$15,MATCH(DATE($D$5,12,1),'CP RESUMO'!$D$4:$BW$4,0))/100,""))</f>
        <v/>
      </c>
      <c r="E22" s="90">
        <f>IF('VALOR POR PL'!I21&lt;&gt;"DIRETO","",'EQUIP E FER'!$K$14)</f>
        <v/>
      </c>
      <c r="F22" s="91">
        <f>SUMPRODUCT((YEAR('EQUIP E FER'!$B$5:$B$76)=$D$5)*('EQUIP E FER'!$C$5:$C$76+'EQUIP E FER'!$D$5:$D$76))</f>
        <v/>
      </c>
      <c r="G22" s="91">
        <f>SUMPRODUCT((YEAR('MODELO PARA BI'!$H$1:$CA$1)=$D$5)*'MODELO PARA BI'!$H$11:$CA$11)</f>
        <v/>
      </c>
      <c r="H22" s="91">
        <f>IF(ISNUMBER($G$5),G22*$G$5,0)</f>
        <v/>
      </c>
      <c r="I22" s="89">
        <f>IF($F$53=0,0,F22/$F$53)</f>
        <v/>
      </c>
      <c r="J22" s="89">
        <f>IF('VALOR POR PL'!L21=0,0,SUMPRODUCT(('EQUIP E FER'!$B$5:$B$76&lt;=DATE($D$5,12,1))*('EQUIP E FER'!$C$5:$C$76+'EQUIP E FER'!$D$5:$D$76))/'VALOR POR PL'!L21)</f>
        <v/>
      </c>
      <c r="K22" s="92">
        <f t="array" ref="K22">IF(COUNTIF('CRONOGRAMA ATIVIDADES'!$M$5:$M$6004,B22)=0,"",IF(COUNTIFS('CRONOGRAMA ATIVIDADES'!$M$5:$M$6004,B22,'CRONOGRAMA ATIVIDADES'!$O$5:$O$6004,"CONCLUÍDA")=COUNTIF('CRONOGRAMA ATIVIDADES'!$M$5:$M$6004,B22),"Concluído (todas as "&amp;COUNTIF('CRONOGRAMA ATIVIDADES'!$M$5:$M$6004,B22)&amp;" atividades)",IF(COUNTIFS('CRONOGRAMA ATIVIDADES'!$M$5:$M$6004,B22,'CRONOGRAMA ATIVIDADES'!$O$5:$O$6004,"A INICIAR")=COUNTIF('CRONOGRAMA ATIVIDADES'!$M$5:$M$6004,B22),"Não iniciado · início previsto em "&amp;CHOOSE(MONTH(_xlfn.MINIFS('CRONOGRAMA ATIVIDADES'!$F$5:$F$6004,'CRONOGRAMA ATIVIDADES'!$M$5:$M$6004,B22)),"jan","fev","mar","abr","mai","jun","jul","ago","set","out","nov","dez")&amp;"/"&amp;YEAR(_xlfn.MINIFS('CRONOGRAMA ATIVIDADES'!$F$5:$F$6004,'CRONOGRAMA ATIVIDADES'!$M$5:$M$6004,B22)),_xlfn.TEXTJOIN(" / ",TRUE,IF(('CRONOGRAMA ATIVIDADES'!$S$5:$S$304=B22)*('CRONOGRAMA ATIVIDADES'!$AA$5:$AA$304&lt;&gt;""),'CRONOGRAMA ATIVIDADES'!$AA$5:$AA$304,"")))))</f>
        <v/>
      </c>
      <c r="L22" s="93" t="n"/>
      <c r="M22" s="94">
        <f>'VALOR POR PL'!L21</f>
        <v/>
      </c>
      <c r="N22" s="94">
        <f>IF('VALOR POR PL'!I21="DIRETO",'VALOR POR PL'!L21,0)</f>
        <v/>
      </c>
    </row>
    <row r="23" ht="16.2" customHeight="1">
      <c r="B23" s="102" t="inlineStr">
        <is>
          <t>01 a 11</t>
        </is>
      </c>
      <c r="C23" s="103" t="inlineStr">
        <is>
          <t>INDIRETOS</t>
        </is>
      </c>
      <c r="D23" s="104">
        <f>IFERROR(SUMPRODUCT(D12:D22,N12:N22)/SUMPRODUCT(ISNUMBER(D12:D22)*N12:N22),"")</f>
        <v/>
      </c>
      <c r="E23" s="104">
        <f>IFERROR(SUMPRODUCT(E12:E22,N12:N22)/SUMPRODUCT(ISNUMBER(E12:E22)*N12:N22),"")</f>
        <v/>
      </c>
      <c r="F23" s="105">
        <f>SUM(F12:F22)</f>
        <v/>
      </c>
      <c r="G23" s="105">
        <f>SUM(G12:G22)</f>
        <v/>
      </c>
      <c r="H23" s="105">
        <f>SUM(H12:H22)</f>
        <v/>
      </c>
      <c r="I23" s="104">
        <f>IF($F$53=0,0,F23/$F$53)</f>
        <v/>
      </c>
      <c r="J23" s="104">
        <f>IFERROR(SUMPRODUCT(J12:J22,M12:M22)/SUM(M12:M22),0)</f>
        <v/>
      </c>
      <c r="K23" s="106" t="n"/>
      <c r="L23" s="106" t="n"/>
      <c r="M23">
        <f>SUM(M12:M22)</f>
        <v/>
      </c>
      <c r="N23">
        <f>SUM(N12:N22)</f>
        <v/>
      </c>
    </row>
    <row r="24" ht="16.2" customHeight="1">
      <c r="B24" s="87">
        <f>'VALOR POR PL'!C22</f>
        <v/>
      </c>
      <c r="C24" s="88">
        <f>'VALOR POR PL'!D22</f>
        <v/>
      </c>
      <c r="D24" s="89">
        <f>IF(OR('VALOR POR PL'!I22&lt;&gt;"DIRETO",'CP RESUMO'!$C$16=""),"",IFERROR(INDEX('CP RESUMO'!$D$16:$BW$16,MATCH(DATE($D$5,12,1),'CP RESUMO'!$D$4:$BW$4,0))/100,""))</f>
        <v/>
      </c>
      <c r="E24" s="90">
        <f>IF('VALOR POR PL'!I22&lt;&gt;"DIRETO","",'SERV. INICIAIS'!$K$14)</f>
        <v/>
      </c>
      <c r="F24" s="91">
        <f>SUMPRODUCT((YEAR('SERV. INICIAIS'!$B$5:$B$76)=$D$5)*('SERV. INICIAIS'!$C$5:$C$76+'SERV. INICIAIS'!$D$5:$D$76))</f>
        <v/>
      </c>
      <c r="G24" s="91">
        <f>SUMPRODUCT((YEAR('MODELO PARA BI'!$H$1:$CA$1)=$D$5)*'MODELO PARA BI'!$H$52:$CA$52)</f>
        <v/>
      </c>
      <c r="H24" s="91">
        <f>IF(ISNUMBER($G$5),G24*$G$5,0)</f>
        <v/>
      </c>
      <c r="I24" s="89">
        <f>IF($F$53=0,0,F24/$F$53)</f>
        <v/>
      </c>
      <c r="J24" s="89">
        <f>IF('VALOR POR PL'!L22=0,0,SUMPRODUCT(('SERV. INICIAIS'!$B$5:$B$76&lt;=DATE($D$5,12,1))*('SERV. INICIAIS'!$C$5:$C$76+'SERV. INICIAIS'!$D$5:$D$76))/'VALOR POR PL'!L22)</f>
        <v/>
      </c>
      <c r="K24" s="92">
        <f t="array" ref="K24">IF(COUNTIF('CRONOGRAMA ATIVIDADES'!$M$5:$M$6004,B24)=0,"",IF(COUNTIFS('CRONOGRAMA ATIVIDADES'!$M$5:$M$6004,B24,'CRONOGRAMA ATIVIDADES'!$O$5:$O$6004,"CONCLUÍDA")=COUNTIF('CRONOGRAMA ATIVIDADES'!$M$5:$M$6004,B24),"Concluído (todas as "&amp;COUNTIF('CRONOGRAMA ATIVIDADES'!$M$5:$M$6004,B24)&amp;" atividades)",IF(COUNTIFS('CRONOGRAMA ATIVIDADES'!$M$5:$M$6004,B24,'CRONOGRAMA ATIVIDADES'!$O$5:$O$6004,"A INICIAR")=COUNTIF('CRONOGRAMA ATIVIDADES'!$M$5:$M$6004,B24),"Não iniciado · início previsto em "&amp;CHOOSE(MONTH(_xlfn.MINIFS('CRONOGRAMA ATIVIDADES'!$F$5:$F$6004,'CRONOGRAMA ATIVIDADES'!$M$5:$M$6004,B24)),"jan","fev","mar","abr","mai","jun","jul","ago","set","out","nov","dez")&amp;"/"&amp;YEAR(_xlfn.MINIFS('CRONOGRAMA ATIVIDADES'!$F$5:$F$6004,'CRONOGRAMA ATIVIDADES'!$M$5:$M$6004,B24)),_xlfn.TEXTJOIN(" / ",TRUE,IF(('CRONOGRAMA ATIVIDADES'!$S$5:$S$304=B24)*('CRONOGRAMA ATIVIDADES'!$AA$5:$AA$304&lt;&gt;""),'CRONOGRAMA ATIVIDADES'!$AA$5:$AA$304,"")))))</f>
        <v/>
      </c>
      <c r="L24" s="93" t="n"/>
      <c r="M24" s="94">
        <f>'VALOR POR PL'!L22</f>
        <v/>
      </c>
      <c r="N24" s="94">
        <f>IF('VALOR POR PL'!I22="DIRETO",'VALOR POR PL'!L22,0)</f>
        <v/>
      </c>
    </row>
    <row r="25" ht="16.2" customHeight="1">
      <c r="B25" s="95">
        <f>'VALOR POR PL'!C23</f>
        <v/>
      </c>
      <c r="C25" s="96">
        <f>'VALOR POR PL'!D23</f>
        <v/>
      </c>
      <c r="D25" s="97">
        <f>IF(OR('VALOR POR PL'!I23&lt;&gt;"DIRETO",'CP RESUMO'!$C$17=""),"",IFERROR(INDEX('CP RESUMO'!$D$17:$BW$17,MATCH(DATE($D$5,12,1),'CP RESUMO'!$D$4:$BW$4,0))/100,""))</f>
        <v/>
      </c>
      <c r="E25" s="98">
        <f>IF('VALOR POR PL'!I23&lt;&gt;"DIRETO","",'CONTENÇÃO'!$K$14)</f>
        <v/>
      </c>
      <c r="F25" s="99">
        <f>SUMPRODUCT((YEAR('CONTENÇÃO'!$B$5:$B$76)=$D$5)*('CONTENÇÃO'!$C$5:$C$76+'CONTENÇÃO'!$D$5:$D$76))</f>
        <v/>
      </c>
      <c r="G25" s="99">
        <f>SUMPRODUCT((YEAR('MODELO PARA BI'!$H$1:$CA$1)=$D$5)*'MODELO PARA BI'!$H$6:$CA$6)</f>
        <v/>
      </c>
      <c r="H25" s="99">
        <f>IF(ISNUMBER($G$5),G25*$G$5,0)</f>
        <v/>
      </c>
      <c r="I25" s="97">
        <f>IF($F$53=0,0,F25/$F$53)</f>
        <v/>
      </c>
      <c r="J25" s="97">
        <f>IF('VALOR POR PL'!L23=0,0,SUMPRODUCT(('CONTENÇÃO'!$B$5:$B$76&lt;=DATE($D$5,12,1))*('CONTENÇÃO'!$C$5:$C$76+'CONTENÇÃO'!$D$5:$D$76))/'VALOR POR PL'!L23)</f>
        <v/>
      </c>
      <c r="K25" s="100">
        <f t="array" ref="K25">IF(COUNTIF('CRONOGRAMA ATIVIDADES'!$M$5:$M$6004,B25)=0,"",IF(COUNTIFS('CRONOGRAMA ATIVIDADES'!$M$5:$M$6004,B25,'CRONOGRAMA ATIVIDADES'!$O$5:$O$6004,"CONCLUÍDA")=COUNTIF('CRONOGRAMA ATIVIDADES'!$M$5:$M$6004,B25),"Concluído (todas as "&amp;COUNTIF('CRONOGRAMA ATIVIDADES'!$M$5:$M$6004,B25)&amp;" atividades)",IF(COUNTIFS('CRONOGRAMA ATIVIDADES'!$M$5:$M$6004,B25,'CRONOGRAMA ATIVIDADES'!$O$5:$O$6004,"A INICIAR")=COUNTIF('CRONOGRAMA ATIVIDADES'!$M$5:$M$6004,B25),"Não iniciado · início previsto em "&amp;CHOOSE(MONTH(_xlfn.MINIFS('CRONOGRAMA ATIVIDADES'!$F$5:$F$6004,'CRONOGRAMA ATIVIDADES'!$M$5:$M$6004,B25)),"jan","fev","mar","abr","mai","jun","jul","ago","set","out","nov","dez")&amp;"/"&amp;YEAR(_xlfn.MINIFS('CRONOGRAMA ATIVIDADES'!$F$5:$F$6004,'CRONOGRAMA ATIVIDADES'!$M$5:$M$6004,B25)),_xlfn.TEXTJOIN(" / ",TRUE,IF(('CRONOGRAMA ATIVIDADES'!$S$5:$S$304=B25)*('CRONOGRAMA ATIVIDADES'!$AA$5:$AA$304&lt;&gt;""),'CRONOGRAMA ATIVIDADES'!$AA$5:$AA$304,"")))))</f>
        <v/>
      </c>
      <c r="L25" s="101" t="n"/>
      <c r="M25" s="94">
        <f>'VALOR POR PL'!L23</f>
        <v/>
      </c>
      <c r="N25" s="94">
        <f>IF('VALOR POR PL'!I23="DIRETO",'VALOR POR PL'!L23,0)</f>
        <v/>
      </c>
    </row>
    <row r="26" ht="16.2" customHeight="1">
      <c r="B26" s="87">
        <f>'VALOR POR PL'!C24</f>
        <v/>
      </c>
      <c r="C26" s="88">
        <f>'VALOR POR PL'!D24</f>
        <v/>
      </c>
      <c r="D26" s="89">
        <f>IF(OR('VALOR POR PL'!I24&lt;&gt;"DIRETO",'CP RESUMO'!$C$18=""),"",IFERROR(INDEX('CP RESUMO'!$D$18:$BW$18,MATCH(DATE($D$5,12,1),'CP RESUMO'!$D$4:$BW$4,0))/100,""))</f>
        <v/>
      </c>
      <c r="E26" s="90">
        <f>IF('VALOR POR PL'!I24&lt;&gt;"DIRETO","",'TERRAPLENAGEM'!$K$14)</f>
        <v/>
      </c>
      <c r="F26" s="91">
        <f>SUMPRODUCT((YEAR('TERRAPLENAGEM'!$B$5:$B$76)=$D$5)*('TERRAPLENAGEM'!$C$5:$C$76+'TERRAPLENAGEM'!$D$5:$D$76))</f>
        <v/>
      </c>
      <c r="G26" s="91">
        <f>SUMPRODUCT((YEAR('MODELO PARA BI'!$H$1:$CA$1)=$D$5)*'MODELO PARA BI'!$H$44:$CA$44)</f>
        <v/>
      </c>
      <c r="H26" s="91">
        <f>IF(ISNUMBER($G$5),G26*$G$5,0)</f>
        <v/>
      </c>
      <c r="I26" s="89">
        <f>IF($F$53=0,0,F26/$F$53)</f>
        <v/>
      </c>
      <c r="J26" s="89">
        <f>IF('VALOR POR PL'!L24=0,0,SUMPRODUCT(('TERRAPLENAGEM'!$B$5:$B$76&lt;=DATE($D$5,12,1))*('TERRAPLENAGEM'!$C$5:$C$76+'TERRAPLENAGEM'!$D$5:$D$76))/'VALOR POR PL'!L24)</f>
        <v/>
      </c>
      <c r="K26" s="92">
        <f t="array" ref="K26">IF(COUNTIF('CRONOGRAMA ATIVIDADES'!$M$5:$M$6004,B26)=0,"",IF(COUNTIFS('CRONOGRAMA ATIVIDADES'!$M$5:$M$6004,B26,'CRONOGRAMA ATIVIDADES'!$O$5:$O$6004,"CONCLUÍDA")=COUNTIF('CRONOGRAMA ATIVIDADES'!$M$5:$M$6004,B26),"Concluído (todas as "&amp;COUNTIF('CRONOGRAMA ATIVIDADES'!$M$5:$M$6004,B26)&amp;" atividades)",IF(COUNTIFS('CRONOGRAMA ATIVIDADES'!$M$5:$M$6004,B26,'CRONOGRAMA ATIVIDADES'!$O$5:$O$6004,"A INICIAR")=COUNTIF('CRONOGRAMA ATIVIDADES'!$M$5:$M$6004,B26),"Não iniciado · início previsto em "&amp;CHOOSE(MONTH(_xlfn.MINIFS('CRONOGRAMA ATIVIDADES'!$F$5:$F$6004,'CRONOGRAMA ATIVIDADES'!$M$5:$M$6004,B26)),"jan","fev","mar","abr","mai","jun","jul","ago","set","out","nov","dez")&amp;"/"&amp;YEAR(_xlfn.MINIFS('CRONOGRAMA ATIVIDADES'!$F$5:$F$6004,'CRONOGRAMA ATIVIDADES'!$M$5:$M$6004,B26)),_xlfn.TEXTJOIN(" / ",TRUE,IF(('CRONOGRAMA ATIVIDADES'!$S$5:$S$304=B26)*('CRONOGRAMA ATIVIDADES'!$AA$5:$AA$304&lt;&gt;""),'CRONOGRAMA ATIVIDADES'!$AA$5:$AA$304,"")))))</f>
        <v/>
      </c>
      <c r="L26" s="93" t="n"/>
      <c r="M26" s="94">
        <f>'VALOR POR PL'!L24</f>
        <v/>
      </c>
      <c r="N26" s="94">
        <f>IF('VALOR POR PL'!I24="DIRETO",'VALOR POR PL'!L24,0)</f>
        <v/>
      </c>
    </row>
    <row r="27" ht="16.2" customHeight="1">
      <c r="B27" s="95">
        <f>'VALOR POR PL'!C25</f>
        <v/>
      </c>
      <c r="C27" s="96">
        <f>'VALOR POR PL'!D25</f>
        <v/>
      </c>
      <c r="D27" s="97">
        <f>IF(OR('VALOR POR PL'!I25&lt;&gt;"DIRETO",'CP RESUMO'!$C$19=""),"",IFERROR(INDEX('CP RESUMO'!$D$19:$BW$19,MATCH(DATE($D$5,12,1),'CP RESUMO'!$D$4:$BW$4,0))/100,""))</f>
        <v/>
      </c>
      <c r="E27" s="98">
        <f>IF('VALOR POR PL'!I25&lt;&gt;"DIRETO","",'FUND. PROF'!$K$14)</f>
        <v/>
      </c>
      <c r="F27" s="99">
        <f>SUMPRODUCT((YEAR('FUND. PROF'!$B$5:$B$76)=$D$5)*('FUND. PROF'!$C$5:$C$76+'FUND. PROF'!$D$5:$D$76))</f>
        <v/>
      </c>
      <c r="G27" s="99">
        <f>SUMPRODUCT((YEAR('MODELO PARA BI'!$H$1:$CA$1)=$D$5)*'MODELO PARA BI'!$H$15:$CA$15)</f>
        <v/>
      </c>
      <c r="H27" s="99">
        <f>IF(ISNUMBER($G$5),G27*$G$5,0)</f>
        <v/>
      </c>
      <c r="I27" s="97">
        <f>IF($F$53=0,0,F27/$F$53)</f>
        <v/>
      </c>
      <c r="J27" s="97">
        <f>IF('VALOR POR PL'!L25=0,0,SUMPRODUCT(('FUND. PROF'!$B$5:$B$76&lt;=DATE($D$5,12,1))*('FUND. PROF'!$C$5:$C$76+'FUND. PROF'!$D$5:$D$76))/'VALOR POR PL'!L25)</f>
        <v/>
      </c>
      <c r="K27" s="100">
        <f t="array" ref="K27">IF(COUNTIF('CRONOGRAMA ATIVIDADES'!$M$5:$M$6004,B27)=0,"",IF(COUNTIFS('CRONOGRAMA ATIVIDADES'!$M$5:$M$6004,B27,'CRONOGRAMA ATIVIDADES'!$O$5:$O$6004,"CONCLUÍDA")=COUNTIF('CRONOGRAMA ATIVIDADES'!$M$5:$M$6004,B27),"Concluído (todas as "&amp;COUNTIF('CRONOGRAMA ATIVIDADES'!$M$5:$M$6004,B27)&amp;" atividades)",IF(COUNTIFS('CRONOGRAMA ATIVIDADES'!$M$5:$M$6004,B27,'CRONOGRAMA ATIVIDADES'!$O$5:$O$6004,"A INICIAR")=COUNTIF('CRONOGRAMA ATIVIDADES'!$M$5:$M$6004,B27),"Não iniciado · início previsto em "&amp;CHOOSE(MONTH(_xlfn.MINIFS('CRONOGRAMA ATIVIDADES'!$F$5:$F$6004,'CRONOGRAMA ATIVIDADES'!$M$5:$M$6004,B27)),"jan","fev","mar","abr","mai","jun","jul","ago","set","out","nov","dez")&amp;"/"&amp;YEAR(_xlfn.MINIFS('CRONOGRAMA ATIVIDADES'!$F$5:$F$6004,'CRONOGRAMA ATIVIDADES'!$M$5:$M$6004,B27)),_xlfn.TEXTJOIN(" / ",TRUE,IF(('CRONOGRAMA ATIVIDADES'!$S$5:$S$304=B27)*('CRONOGRAMA ATIVIDADES'!$AA$5:$AA$304&lt;&gt;""),'CRONOGRAMA ATIVIDADES'!$AA$5:$AA$304,"")))))</f>
        <v/>
      </c>
      <c r="L27" s="101" t="n"/>
      <c r="M27" s="94">
        <f>'VALOR POR PL'!L25</f>
        <v/>
      </c>
      <c r="N27" s="94">
        <f>IF('VALOR POR PL'!I25="DIRETO",'VALOR POR PL'!L25,0)</f>
        <v/>
      </c>
    </row>
    <row r="28" ht="16.2" customHeight="1">
      <c r="B28" s="87">
        <f>'VALOR POR PL'!C26</f>
        <v/>
      </c>
      <c r="C28" s="88">
        <f>'VALOR POR PL'!D26</f>
        <v/>
      </c>
      <c r="D28" s="89">
        <f>IF(OR('VALOR POR PL'!I26&lt;&gt;"DIRETO",'CP RESUMO'!$C$20=""),"",IFERROR(INDEX('CP RESUMO'!$D$20:$BW$20,MATCH(DATE($D$5,12,1),'CP RESUMO'!$D$4:$BW$4,0))/100,""))</f>
        <v/>
      </c>
      <c r="E28" s="90">
        <f>IF('VALOR POR PL'!I26&lt;&gt;"DIRETO","",'FUND. SUP'!$K$14)</f>
        <v/>
      </c>
      <c r="F28" s="91">
        <f>SUMPRODUCT((YEAR('FUND. SUP'!$B$5:$B$76)=$D$5)*('FUND. SUP'!$C$5:$C$76+'FUND. SUP'!$D$5:$D$76))</f>
        <v/>
      </c>
      <c r="G28" s="91">
        <f>SUMPRODUCT((YEAR('MODELO PARA BI'!$H$1:$CA$1)=$D$5)*'MODELO PARA BI'!$H$16:$CA$16)</f>
        <v/>
      </c>
      <c r="H28" s="91">
        <f>IF(ISNUMBER($G$5),G28*$G$5,0)</f>
        <v/>
      </c>
      <c r="I28" s="89">
        <f>IF($F$53=0,0,F28/$F$53)</f>
        <v/>
      </c>
      <c r="J28" s="89">
        <f>IF('VALOR POR PL'!L26=0,0,SUMPRODUCT(('FUND. SUP'!$B$5:$B$76&lt;=DATE($D$5,12,1))*('FUND. SUP'!$C$5:$C$76+'FUND. SUP'!$D$5:$D$76))/'VALOR POR PL'!L26)</f>
        <v/>
      </c>
      <c r="K28" s="92">
        <f t="array" ref="K28">IF(COUNTIF('CRONOGRAMA ATIVIDADES'!$M$5:$M$6004,B28)=0,"",IF(COUNTIFS('CRONOGRAMA ATIVIDADES'!$M$5:$M$6004,B28,'CRONOGRAMA ATIVIDADES'!$O$5:$O$6004,"CONCLUÍDA")=COUNTIF('CRONOGRAMA ATIVIDADES'!$M$5:$M$6004,B28),"Concluído (todas as "&amp;COUNTIF('CRONOGRAMA ATIVIDADES'!$M$5:$M$6004,B28)&amp;" atividades)",IF(COUNTIFS('CRONOGRAMA ATIVIDADES'!$M$5:$M$6004,B28,'CRONOGRAMA ATIVIDADES'!$O$5:$O$6004,"A INICIAR")=COUNTIF('CRONOGRAMA ATIVIDADES'!$M$5:$M$6004,B28),"Não iniciado · início previsto em "&amp;CHOOSE(MONTH(_xlfn.MINIFS('CRONOGRAMA ATIVIDADES'!$F$5:$F$6004,'CRONOGRAMA ATIVIDADES'!$M$5:$M$6004,B28)),"jan","fev","mar","abr","mai","jun","jul","ago","set","out","nov","dez")&amp;"/"&amp;YEAR(_xlfn.MINIFS('CRONOGRAMA ATIVIDADES'!$F$5:$F$6004,'CRONOGRAMA ATIVIDADES'!$M$5:$M$6004,B28)),_xlfn.TEXTJOIN(" / ",TRUE,IF(('CRONOGRAMA ATIVIDADES'!$S$5:$S$304=B28)*('CRONOGRAMA ATIVIDADES'!$AA$5:$AA$304&lt;&gt;""),'CRONOGRAMA ATIVIDADES'!$AA$5:$AA$304,"")))))</f>
        <v/>
      </c>
      <c r="L28" s="93" t="n"/>
      <c r="M28" s="94">
        <f>'VALOR POR PL'!L26</f>
        <v/>
      </c>
      <c r="N28" s="94">
        <f>IF('VALOR POR PL'!I26="DIRETO",'VALOR POR PL'!L26,0)</f>
        <v/>
      </c>
    </row>
    <row r="29" ht="29.4" customHeight="1">
      <c r="B29" s="102" t="inlineStr">
        <is>
          <t>12 a 16</t>
        </is>
      </c>
      <c r="C29" s="103" t="inlineStr">
        <is>
          <t>SERVIÇOS INICIAIS, CONTENÇÃO, TERRAPLENAGEM E FUNDAÇÕES</t>
        </is>
      </c>
      <c r="D29" s="104">
        <f>IFERROR(SUMPRODUCT(D24:D28,N24:N28)/SUMPRODUCT(ISNUMBER(D24:D28)*N24:N28),"")</f>
        <v/>
      </c>
      <c r="E29" s="104">
        <f>IFERROR(SUMPRODUCT(E24:E28,N24:N28)/SUMPRODUCT(ISNUMBER(E24:E28)*N24:N28),"")</f>
        <v/>
      </c>
      <c r="F29" s="105">
        <f>SUM(F24:F28)</f>
        <v/>
      </c>
      <c r="G29" s="105">
        <f>SUM(G24:G28)</f>
        <v/>
      </c>
      <c r="H29" s="105">
        <f>SUM(H24:H28)</f>
        <v/>
      </c>
      <c r="I29" s="104">
        <f>IF($F$53=0,0,F29/$F$53)</f>
        <v/>
      </c>
      <c r="J29" s="104">
        <f>IFERROR(SUMPRODUCT(J24:J28,M24:M28)/SUM(M24:M28),0)</f>
        <v/>
      </c>
      <c r="K29" s="106" t="n"/>
      <c r="L29" s="106" t="n"/>
      <c r="M29">
        <f>SUM(M24:M28)</f>
        <v/>
      </c>
      <c r="N29">
        <f>SUM(N24:N28)</f>
        <v/>
      </c>
    </row>
    <row r="30" ht="16.2" customHeight="1">
      <c r="B30" s="87">
        <f>'VALOR POR PL'!C27</f>
        <v/>
      </c>
      <c r="C30" s="88">
        <f>'VALOR POR PL'!D27</f>
        <v/>
      </c>
      <c r="D30" s="89">
        <f>IF(OR('VALOR POR PL'!I27&lt;&gt;"DIRETO",'CP RESUMO'!$C$21=""),"",IFERROR(INDEX('CP RESUMO'!$D$21:$BW$21,MATCH(DATE($D$5,12,1),'CP RESUMO'!$D$4:$BW$4,0))/100,""))</f>
        <v/>
      </c>
      <c r="E30" s="90">
        <f>IF('VALOR POR PL'!I27&lt;&gt;"DIRETO","",'ESTRUTURA'!$K$14)</f>
        <v/>
      </c>
      <c r="F30" s="91">
        <f>SUMPRODUCT((YEAR('ESTRUTURA'!$B$5:$B$76)=$D$5)*('ESTRUTURA'!$C$5:$C$76+'ESTRUTURA'!$D$5:$D$76))</f>
        <v/>
      </c>
      <c r="G30" s="91">
        <f>SUMPRODUCT((YEAR('MODELO PARA BI'!$H$1:$CA$1)=$D$5)*'MODELO PARA BI'!$H$13:$CA$13)</f>
        <v/>
      </c>
      <c r="H30" s="91">
        <f>IF(ISNUMBER($G$5),G30*$G$5,0)</f>
        <v/>
      </c>
      <c r="I30" s="89">
        <f>IF($F$53=0,0,F30/$F$53)</f>
        <v/>
      </c>
      <c r="J30" s="89">
        <f>IF('VALOR POR PL'!L27=0,0,SUMPRODUCT(('ESTRUTURA'!$B$5:$B$76&lt;=DATE($D$5,12,1))*('ESTRUTURA'!$C$5:$C$76+'ESTRUTURA'!$D$5:$D$76))/'VALOR POR PL'!L27)</f>
        <v/>
      </c>
      <c r="K30" s="92">
        <f t="array" ref="K30">IF(COUNTIF('CRONOGRAMA ATIVIDADES'!$M$5:$M$6004,B30)=0,"",IF(COUNTIFS('CRONOGRAMA ATIVIDADES'!$M$5:$M$6004,B30,'CRONOGRAMA ATIVIDADES'!$O$5:$O$6004,"CONCLUÍDA")=COUNTIF('CRONOGRAMA ATIVIDADES'!$M$5:$M$6004,B30),"Concluído (todas as "&amp;COUNTIF('CRONOGRAMA ATIVIDADES'!$M$5:$M$6004,B30)&amp;" atividades)",IF(COUNTIFS('CRONOGRAMA ATIVIDADES'!$M$5:$M$6004,B30,'CRONOGRAMA ATIVIDADES'!$O$5:$O$6004,"A INICIAR")=COUNTIF('CRONOGRAMA ATIVIDADES'!$M$5:$M$6004,B30),"Não iniciado · início previsto em "&amp;CHOOSE(MONTH(_xlfn.MINIFS('CRONOGRAMA ATIVIDADES'!$F$5:$F$6004,'CRONOGRAMA ATIVIDADES'!$M$5:$M$6004,B30)),"jan","fev","mar","abr","mai","jun","jul","ago","set","out","nov","dez")&amp;"/"&amp;YEAR(_xlfn.MINIFS('CRONOGRAMA ATIVIDADES'!$F$5:$F$6004,'CRONOGRAMA ATIVIDADES'!$M$5:$M$6004,B30)),_xlfn.TEXTJOIN(" / ",TRUE,IF(('CRONOGRAMA ATIVIDADES'!$S$5:$S$304=B30)*('CRONOGRAMA ATIVIDADES'!$AA$5:$AA$304&lt;&gt;""),'CRONOGRAMA ATIVIDADES'!$AA$5:$AA$304,"")))))</f>
        <v/>
      </c>
      <c r="L30" s="93" t="inlineStr">
        <is>
          <t>ATÉ O COBERTURA - 32º PAVIMENTO</t>
        </is>
      </c>
      <c r="M30" s="94">
        <f>'VALOR POR PL'!L27</f>
        <v/>
      </c>
      <c r="N30" s="94">
        <f>IF('VALOR POR PL'!I27="DIRETO",'VALOR POR PL'!L27,0)</f>
        <v/>
      </c>
    </row>
    <row r="31" ht="42.59999999999999" customHeight="1">
      <c r="B31" s="95">
        <f>'VALOR POR PL'!C28</f>
        <v/>
      </c>
      <c r="C31" s="96">
        <f>'VALOR POR PL'!D28</f>
        <v/>
      </c>
      <c r="D31" s="97">
        <f>IF(OR('VALOR POR PL'!I28&lt;&gt;"DIRETO",'CP RESUMO'!$C$22=""),"",IFERROR(INDEX('CP RESUMO'!$D$22:$BW$22,MATCH(DATE($D$5,12,1),'CP RESUMO'!$D$4:$BW$4,0))/100,""))</f>
        <v/>
      </c>
      <c r="E31" s="98">
        <f>IF('VALOR POR PL'!I28&lt;&gt;"DIRETO","",'ALVENARIA'!$K$14)</f>
        <v/>
      </c>
      <c r="F31" s="99">
        <f>SUMPRODUCT((YEAR('ALVENARIA'!$B$5:$B$76)=$D$5)*('ALVENARIA'!$C$5:$C$76+'ALVENARIA'!$D$5:$D$76))</f>
        <v/>
      </c>
      <c r="G31" s="99">
        <f>SUMPRODUCT((YEAR('MODELO PARA BI'!$H$1:$CA$1)=$D$5)*'MODELO PARA BI'!$H$2:$CA$2)</f>
        <v/>
      </c>
      <c r="H31" s="99">
        <f>IF(ISNUMBER($G$5),G31*$G$5,0)</f>
        <v/>
      </c>
      <c r="I31" s="97">
        <f>IF($F$53=0,0,F31/$F$53)</f>
        <v/>
      </c>
      <c r="J31" s="97">
        <f>IF('VALOR POR PL'!L28=0,0,SUMPRODUCT(('ALVENARIA'!$B$5:$B$76&lt;=DATE($D$5,12,1))*('ALVENARIA'!$C$5:$C$76+'ALVENARIA'!$D$5:$D$76))/'VALOR POR PL'!L28)</f>
        <v/>
      </c>
      <c r="K31" s="100">
        <f t="array" ref="K31">IF(COUNTIF('CRONOGRAMA ATIVIDADES'!$M$5:$M$6004,B31)=0,"",IF(COUNTIFS('CRONOGRAMA ATIVIDADES'!$M$5:$M$6004,B31,'CRONOGRAMA ATIVIDADES'!$O$5:$O$6004,"CONCLUÍDA")=COUNTIF('CRONOGRAMA ATIVIDADES'!$M$5:$M$6004,B31),"Concluído (todas as "&amp;COUNTIF('CRONOGRAMA ATIVIDADES'!$M$5:$M$6004,B31)&amp;" atividades)",IF(COUNTIFS('CRONOGRAMA ATIVIDADES'!$M$5:$M$6004,B31,'CRONOGRAMA ATIVIDADES'!$O$5:$O$6004,"A INICIAR")=COUNTIF('CRONOGRAMA ATIVIDADES'!$M$5:$M$6004,B31),"Não iniciado · início previsto em "&amp;CHOOSE(MONTH(_xlfn.MINIFS('CRONOGRAMA ATIVIDADES'!$F$5:$F$6004,'CRONOGRAMA ATIVIDADES'!$M$5:$M$6004,B31)),"jan","fev","mar","abr","mai","jun","jul","ago","set","out","nov","dez")&amp;"/"&amp;YEAR(_xlfn.MINIFS('CRONOGRAMA ATIVIDADES'!$F$5:$F$6004,'CRONOGRAMA ATIVIDADES'!$M$5:$M$6004,B31)),_xlfn.TEXTJOIN(" / ",TRUE,IF(('CRONOGRAMA ATIVIDADES'!$S$5:$S$304=B31)*('CRONOGRAMA ATIVIDADES'!$AA$5:$AA$304&lt;&gt;""),'CRONOGRAMA ATIVIDADES'!$AA$5:$AA$304,"")))))</f>
        <v/>
      </c>
      <c r="L31" s="101" t="inlineStr">
        <is>
          <t>ALVENARIA - ATÉ 27º PAVIMENTO / GESSO ACARTONADO - 2ª FACE - ATÉ 16º PAVIMENTO</t>
        </is>
      </c>
      <c r="M31" s="94">
        <f>'VALOR POR PL'!L28</f>
        <v/>
      </c>
      <c r="N31" s="94">
        <f>IF('VALOR POR PL'!I28="DIRETO",'VALOR POR PL'!L28,0)</f>
        <v/>
      </c>
    </row>
    <row r="32" ht="16.2" customHeight="1">
      <c r="B32" s="87">
        <f>'VALOR POR PL'!C29</f>
        <v/>
      </c>
      <c r="C32" s="88">
        <f>'VALOR POR PL'!D29</f>
        <v/>
      </c>
      <c r="D32" s="89">
        <f>IF(OR('VALOR POR PL'!I29&lt;&gt;"DIRETO",'CP RESUMO'!$C$23=""),"",IFERROR(INDEX('CP RESUMO'!$D$23:$BW$23,MATCH(DATE($D$5,12,1),'CP RESUMO'!$D$4:$BW$4,0))/100,""))</f>
        <v/>
      </c>
      <c r="E32" s="90">
        <f>IF('VALOR POR PL'!I29&lt;&gt;"DIRETO","",'IMPERMEABILIZAÇÃO'!$K$14)</f>
        <v/>
      </c>
      <c r="F32" s="91">
        <f>SUMPRODUCT((YEAR('IMPERMEABILIZAÇÃO'!$B$5:$B$76)=$D$5)*('IMPERMEABILIZAÇÃO'!$C$5:$C$76+'IMPERMEABILIZAÇÃO'!$D$5:$D$76))</f>
        <v/>
      </c>
      <c r="G32" s="91">
        <f>SUMPRODUCT((YEAR('MODELO PARA BI'!$H$1:$CA$1)=$D$5)*'MODELO PARA BI'!$H$17:$CA$17)</f>
        <v/>
      </c>
      <c r="H32" s="91">
        <f>IF(ISNUMBER($G$5),G32*$G$5,0)</f>
        <v/>
      </c>
      <c r="I32" s="89">
        <f>IF($F$53=0,0,F32/$F$53)</f>
        <v/>
      </c>
      <c r="J32" s="89">
        <f>IF('VALOR POR PL'!L29=0,0,SUMPRODUCT(('IMPERMEABILIZAÇÃO'!$B$5:$B$76&lt;=DATE($D$5,12,1))*('IMPERMEABILIZAÇÃO'!$C$5:$C$76+'IMPERMEABILIZAÇÃO'!$D$5:$D$76))/'VALOR POR PL'!L29)</f>
        <v/>
      </c>
      <c r="K32" s="92">
        <f t="array" ref="K32">IF(COUNTIF('CRONOGRAMA ATIVIDADES'!$M$5:$M$6004,B32)=0,"",IF(COUNTIFS('CRONOGRAMA ATIVIDADES'!$M$5:$M$6004,B32,'CRONOGRAMA ATIVIDADES'!$O$5:$O$6004,"CONCLUÍDA")=COUNTIF('CRONOGRAMA ATIVIDADES'!$M$5:$M$6004,B32),"Concluído (todas as "&amp;COUNTIF('CRONOGRAMA ATIVIDADES'!$M$5:$M$6004,B32)&amp;" atividades)",IF(COUNTIFS('CRONOGRAMA ATIVIDADES'!$M$5:$M$6004,B32,'CRONOGRAMA ATIVIDADES'!$O$5:$O$6004,"A INICIAR")=COUNTIF('CRONOGRAMA ATIVIDADES'!$M$5:$M$6004,B32),"Não iniciado · início previsto em "&amp;CHOOSE(MONTH(_xlfn.MINIFS('CRONOGRAMA ATIVIDADES'!$F$5:$F$6004,'CRONOGRAMA ATIVIDADES'!$M$5:$M$6004,B32)),"jan","fev","mar","abr","mai","jun","jul","ago","set","out","nov","dez")&amp;"/"&amp;YEAR(_xlfn.MINIFS('CRONOGRAMA ATIVIDADES'!$F$5:$F$6004,'CRONOGRAMA ATIVIDADES'!$M$5:$M$6004,B32)),_xlfn.TEXTJOIN(" / ",TRUE,IF(('CRONOGRAMA ATIVIDADES'!$S$5:$S$304=B32)*('CRONOGRAMA ATIVIDADES'!$AA$5:$AA$304&lt;&gt;""),'CRONOGRAMA ATIVIDADES'!$AA$5:$AA$304,"")))))</f>
        <v/>
      </c>
      <c r="L32" s="93" t="inlineStr">
        <is>
          <t>ATÉ O 15º PAVIMENTO</t>
        </is>
      </c>
      <c r="M32" s="94">
        <f>'VALOR POR PL'!L29</f>
        <v/>
      </c>
      <c r="N32" s="94">
        <f>IF('VALOR POR PL'!I29="DIRETO",'VALOR POR PL'!L29,0)</f>
        <v/>
      </c>
    </row>
    <row r="33" ht="69" customHeight="1">
      <c r="B33" s="95">
        <f>'VALOR POR PL'!C30</f>
        <v/>
      </c>
      <c r="C33" s="96">
        <f>'VALOR POR PL'!D30</f>
        <v/>
      </c>
      <c r="D33" s="97">
        <f>IF(OR('VALOR POR PL'!I30&lt;&gt;"DIRETO",'CP RESUMO'!$C$24=""),"",IFERROR(INDEX('CP RESUMO'!$D$24:$BW$24,MATCH(DATE($D$5,12,1),'CP RESUMO'!$D$4:$BW$4,0))/100,""))</f>
        <v/>
      </c>
      <c r="E33" s="98">
        <f>IF('VALOR POR PL'!I30&lt;&gt;"DIRETO","",'INST. ELÉTRICA'!$K$14)</f>
        <v/>
      </c>
      <c r="F33" s="99">
        <f>SUMPRODUCT((YEAR('INST. ELÉTRICA'!$B$5:$B$76)=$D$5)*('INST. ELÉTRICA'!$C$5:$C$76+'INST. ELÉTRICA'!$D$5:$D$76))</f>
        <v/>
      </c>
      <c r="G33" s="99">
        <f>SUMPRODUCT((YEAR('MODELO PARA BI'!$H$1:$CA$1)=$D$5)*'MODELO PARA BI'!$H$19:$CA$19)</f>
        <v/>
      </c>
      <c r="H33" s="99">
        <f>IF(ISNUMBER($G$5),G33*$G$5,0)</f>
        <v/>
      </c>
      <c r="I33" s="97">
        <f>IF($F$53=0,0,F33/$F$53)</f>
        <v/>
      </c>
      <c r="J33" s="97">
        <f>IF('VALOR POR PL'!L30=0,0,SUMPRODUCT(('INST. ELÉTRICA'!$B$5:$B$76&lt;=DATE($D$5,12,1))*('INST. ELÉTRICA'!$C$5:$C$76+'INST. ELÉTRICA'!$D$5:$D$76))/'VALOR POR PL'!L30)</f>
        <v/>
      </c>
      <c r="K33" s="100">
        <f t="array" ref="K33">IF(COUNTIF('CRONOGRAMA ATIVIDADES'!$M$5:$M$6004,B33)=0,"",IF(COUNTIFS('CRONOGRAMA ATIVIDADES'!$M$5:$M$6004,B33,'CRONOGRAMA ATIVIDADES'!$O$5:$O$6004,"CONCLUÍDA")=COUNTIF('CRONOGRAMA ATIVIDADES'!$M$5:$M$6004,B33),"Concluído (todas as "&amp;COUNTIF('CRONOGRAMA ATIVIDADES'!$M$5:$M$6004,B33)&amp;" atividades)",IF(COUNTIFS('CRONOGRAMA ATIVIDADES'!$M$5:$M$6004,B33,'CRONOGRAMA ATIVIDADES'!$O$5:$O$6004,"A INICIAR")=COUNTIF('CRONOGRAMA ATIVIDADES'!$M$5:$M$6004,B33),"Não iniciado · início previsto em "&amp;CHOOSE(MONTH(_xlfn.MINIFS('CRONOGRAMA ATIVIDADES'!$F$5:$F$6004,'CRONOGRAMA ATIVIDADES'!$M$5:$M$6004,B33)),"jan","fev","mar","abr","mai","jun","jul","ago","set","out","nov","dez")&amp;"/"&amp;YEAR(_xlfn.MINIFS('CRONOGRAMA ATIVIDADES'!$F$5:$F$6004,'CRONOGRAMA ATIVIDADES'!$M$5:$M$6004,B33)),_xlfn.TEXTJOIN(" / ",TRUE,IF(('CRONOGRAMA ATIVIDADES'!$S$5:$S$304=B33)*('CRONOGRAMA ATIVIDADES'!$AA$5:$AA$304&lt;&gt;""),'CRONOGRAMA ATIVIDADES'!$AA$5:$AA$304,"")))))</f>
        <v/>
      </c>
      <c r="L33" s="101" t="inlineStr">
        <is>
          <t>INFRAESTRUTURA - ATÉ O 14º PAVIMENTO / FIAÇÃO - ATÉ O 10º PAVIMENTO</t>
        </is>
      </c>
      <c r="M33" s="94">
        <f>'VALOR POR PL'!L30</f>
        <v/>
      </c>
      <c r="N33" s="94">
        <f>IF('VALOR POR PL'!I30="DIRETO",'VALOR POR PL'!L30,0)</f>
        <v/>
      </c>
    </row>
    <row r="34" ht="69" customHeight="1">
      <c r="B34" s="87">
        <f>'VALOR POR PL'!C31</f>
        <v/>
      </c>
      <c r="C34" s="88">
        <f>'VALOR POR PL'!D31</f>
        <v/>
      </c>
      <c r="D34" s="89">
        <f>IF(OR('VALOR POR PL'!I31&lt;&gt;"DIRETO",'CP RESUMO'!$C$25=""),"",IFERROR(INDEX('CP RESUMO'!$D$25:$BW$25,MATCH(DATE($D$5,12,1),'CP RESUMO'!$D$4:$BW$4,0))/100,""))</f>
        <v/>
      </c>
      <c r="E34" s="90">
        <f>IF('VALOR POR PL'!I31&lt;&gt;"DIRETO","",'INST. HIDRO'!$K$14)</f>
        <v/>
      </c>
      <c r="F34" s="91">
        <f>SUMPRODUCT((YEAR('INST. HIDRO'!$B$5:$B$76)=$D$5)*('INST. HIDRO'!$C$5:$C$76+'INST. HIDRO'!$D$5:$D$76))</f>
        <v/>
      </c>
      <c r="G34" s="91">
        <f>SUMPRODUCT((YEAR('MODELO PARA BI'!$H$1:$CA$1)=$D$5)*'MODELO PARA BI'!$H$21:$CA$21)</f>
        <v/>
      </c>
      <c r="H34" s="91">
        <f>IF(ISNUMBER($G$5),G34*$G$5,0)</f>
        <v/>
      </c>
      <c r="I34" s="89">
        <f>IF($F$53=0,0,F34/$F$53)</f>
        <v/>
      </c>
      <c r="J34" s="89">
        <f>IF('VALOR POR PL'!L31=0,0,SUMPRODUCT(('INST. HIDRO'!$B$5:$B$76&lt;=DATE($D$5,12,1))*('INST. HIDRO'!$C$5:$C$76+'INST. HIDRO'!$D$5:$D$76))/'VALOR POR PL'!L31)</f>
        <v/>
      </c>
      <c r="K34" s="92">
        <f t="array" ref="K34">IF(COUNTIF('CRONOGRAMA ATIVIDADES'!$M$5:$M$6004,B34)=0,"",IF(COUNTIFS('CRONOGRAMA ATIVIDADES'!$M$5:$M$6004,B34,'CRONOGRAMA ATIVIDADES'!$O$5:$O$6004,"CONCLUÍDA")=COUNTIF('CRONOGRAMA ATIVIDADES'!$M$5:$M$6004,B34),"Concluído (todas as "&amp;COUNTIF('CRONOGRAMA ATIVIDADES'!$M$5:$M$6004,B34)&amp;" atividades)",IF(COUNTIFS('CRONOGRAMA ATIVIDADES'!$M$5:$M$6004,B34,'CRONOGRAMA ATIVIDADES'!$O$5:$O$6004,"A INICIAR")=COUNTIF('CRONOGRAMA ATIVIDADES'!$M$5:$M$6004,B34),"Não iniciado · início previsto em "&amp;CHOOSE(MONTH(_xlfn.MINIFS('CRONOGRAMA ATIVIDADES'!$F$5:$F$6004,'CRONOGRAMA ATIVIDADES'!$M$5:$M$6004,B34)),"jan","fev","mar","abr","mai","jun","jul","ago","set","out","nov","dez")&amp;"/"&amp;YEAR(_xlfn.MINIFS('CRONOGRAMA ATIVIDADES'!$F$5:$F$6004,'CRONOGRAMA ATIVIDADES'!$M$5:$M$6004,B34)),_xlfn.TEXTJOIN(" / ",TRUE,IF(('CRONOGRAMA ATIVIDADES'!$S$5:$S$304=B34)*('CRONOGRAMA ATIVIDADES'!$AA$5:$AA$304&lt;&gt;""),'CRONOGRAMA ATIVIDADES'!$AA$5:$AA$304,"")))))</f>
        <v/>
      </c>
      <c r="L34" s="93" t="inlineStr">
        <is>
          <t xml:space="preserve">INFRAESTRUTURA - ATÉ O 15º PAVIMENTO </t>
        </is>
      </c>
      <c r="M34" s="94">
        <f>'VALOR POR PL'!L31</f>
        <v/>
      </c>
      <c r="N34" s="94">
        <f>IF('VALOR POR PL'!I31="DIRETO",'VALOR POR PL'!L31,0)</f>
        <v/>
      </c>
    </row>
    <row r="35" ht="16.2" customHeight="1">
      <c r="B35" s="95">
        <f>'VALOR POR PL'!C32</f>
        <v/>
      </c>
      <c r="C35" s="96">
        <f>'VALOR POR PL'!D32</f>
        <v/>
      </c>
      <c r="D35" s="97">
        <f>IF(OR('VALOR POR PL'!I32&lt;&gt;"DIRETO",'CP RESUMO'!$C$26=""),"",IFERROR(INDEX('CP RESUMO'!$D$26:$BW$26,MATCH(DATE($D$5,12,1),'CP RESUMO'!$D$4:$BW$4,0))/100,""))</f>
        <v/>
      </c>
      <c r="E35" s="98">
        <f>IF('VALOR POR PL'!I32&lt;&gt;"DIRETO","",'INST. INC'!$K$14)</f>
        <v/>
      </c>
      <c r="F35" s="99">
        <f>SUMPRODUCT((YEAR('INST. INC'!$B$5:$B$76)=$D$5)*('INST. INC'!$C$5:$C$76+'INST. INC'!$D$5:$D$76))</f>
        <v/>
      </c>
      <c r="G35" s="99">
        <f>SUMPRODUCT((YEAR('MODELO PARA BI'!$H$1:$CA$1)=$D$5)*'MODELO PARA BI'!$H$18:$CA$18)</f>
        <v/>
      </c>
      <c r="H35" s="99">
        <f>IF(ISNUMBER($G$5),G35*$G$5,0)</f>
        <v/>
      </c>
      <c r="I35" s="97">
        <f>IF($F$53=0,0,F35/$F$53)</f>
        <v/>
      </c>
      <c r="J35" s="97">
        <f>IF('VALOR POR PL'!L32=0,0,SUMPRODUCT(('INST. INC'!$B$5:$B$76&lt;=DATE($D$5,12,1))*('INST. INC'!$C$5:$C$76+'INST. INC'!$D$5:$D$76))/'VALOR POR PL'!L32)</f>
        <v/>
      </c>
      <c r="K35" s="100">
        <f t="array" ref="K35">IF(COUNTIF('CRONOGRAMA ATIVIDADES'!$M$5:$M$6004,B35)=0,"",IF(COUNTIFS('CRONOGRAMA ATIVIDADES'!$M$5:$M$6004,B35,'CRONOGRAMA ATIVIDADES'!$O$5:$O$6004,"CONCLUÍDA")=COUNTIF('CRONOGRAMA ATIVIDADES'!$M$5:$M$6004,B35),"Concluído (todas as "&amp;COUNTIF('CRONOGRAMA ATIVIDADES'!$M$5:$M$6004,B35)&amp;" atividades)",IF(COUNTIFS('CRONOGRAMA ATIVIDADES'!$M$5:$M$6004,B35,'CRONOGRAMA ATIVIDADES'!$O$5:$O$6004,"A INICIAR")=COUNTIF('CRONOGRAMA ATIVIDADES'!$M$5:$M$6004,B35),"Não iniciado · início previsto em "&amp;CHOOSE(MONTH(_xlfn.MINIFS('CRONOGRAMA ATIVIDADES'!$F$5:$F$6004,'CRONOGRAMA ATIVIDADES'!$M$5:$M$6004,B35)),"jan","fev","mar","abr","mai","jun","jul","ago","set","out","nov","dez")&amp;"/"&amp;YEAR(_xlfn.MINIFS('CRONOGRAMA ATIVIDADES'!$F$5:$F$6004,'CRONOGRAMA ATIVIDADES'!$M$5:$M$6004,B35)),_xlfn.TEXTJOIN(" / ",TRUE,IF(('CRONOGRAMA ATIVIDADES'!$S$5:$S$304=B35)*('CRONOGRAMA ATIVIDADES'!$AA$5:$AA$304&lt;&gt;""),'CRONOGRAMA ATIVIDADES'!$AA$5:$AA$304,"")))))</f>
        <v/>
      </c>
      <c r="L35" s="101" t="inlineStr">
        <is>
          <t>PRUMADA - ATÉ 28º PAVIMENTO</t>
        </is>
      </c>
      <c r="M35" s="94">
        <f>'VALOR POR PL'!L32</f>
        <v/>
      </c>
      <c r="N35" s="94">
        <f>IF('VALOR POR PL'!I32="DIRETO",'VALOR POR PL'!L32,0)</f>
        <v/>
      </c>
    </row>
    <row r="36" ht="16.2" customHeight="1">
      <c r="B36" s="87">
        <f>'VALOR POR PL'!C33</f>
        <v/>
      </c>
      <c r="C36" s="88">
        <f>'VALOR POR PL'!D33</f>
        <v/>
      </c>
      <c r="D36" s="89">
        <f>IF(OR('VALOR POR PL'!I33&lt;&gt;"DIRETO",'CP RESUMO'!$C$27=""),"",IFERROR(INDEX('CP RESUMO'!$D$27:$BW$27,MATCH(DATE($D$5,12,1),'CP RESUMO'!$D$4:$BW$4,0))/100,""))</f>
        <v/>
      </c>
      <c r="E36" s="90">
        <f>IF('VALOR POR PL'!I33&lt;&gt;"DIRETO","",'INST. ESP'!$K$14)</f>
        <v/>
      </c>
      <c r="F36" s="91">
        <f>SUMPRODUCT((YEAR('INST. ESP'!$B$5:$B$76)=$D$5)*('INST. ESP'!$C$5:$C$76+'INST. ESP'!$D$5:$D$76))</f>
        <v/>
      </c>
      <c r="G36" s="91">
        <f>SUMPRODUCT((YEAR('MODELO PARA BI'!$H$1:$CA$1)=$D$5)*'MODELO PARA BI'!$H$20:$CA$20)</f>
        <v/>
      </c>
      <c r="H36" s="91">
        <f>IF(ISNUMBER($G$5),G36*$G$5,0)</f>
        <v/>
      </c>
      <c r="I36" s="89">
        <f>IF($F$53=0,0,F36/$F$53)</f>
        <v/>
      </c>
      <c r="J36" s="89">
        <f>IF('VALOR POR PL'!L33=0,0,SUMPRODUCT(('INST. ESP'!$B$5:$B$76&lt;=DATE($D$5,12,1))*('INST. ESP'!$C$5:$C$76+'INST. ESP'!$D$5:$D$76))/'VALOR POR PL'!L33)</f>
        <v/>
      </c>
      <c r="K36" s="92">
        <f t="array" ref="K36">IF(COUNTIF('CRONOGRAMA ATIVIDADES'!$M$5:$M$6004,B36)=0,"",IF(COUNTIFS('CRONOGRAMA ATIVIDADES'!$M$5:$M$6004,B36,'CRONOGRAMA ATIVIDADES'!$O$5:$O$6004,"CONCLUÍDA")=COUNTIF('CRONOGRAMA ATIVIDADES'!$M$5:$M$6004,B36),"Concluído (todas as "&amp;COUNTIF('CRONOGRAMA ATIVIDADES'!$M$5:$M$6004,B36)&amp;" atividades)",IF(COUNTIFS('CRONOGRAMA ATIVIDADES'!$M$5:$M$6004,B36,'CRONOGRAMA ATIVIDADES'!$O$5:$O$6004,"A INICIAR")=COUNTIF('CRONOGRAMA ATIVIDADES'!$M$5:$M$6004,B36),"Não iniciado · início previsto em "&amp;CHOOSE(MONTH(_xlfn.MINIFS('CRONOGRAMA ATIVIDADES'!$F$5:$F$6004,'CRONOGRAMA ATIVIDADES'!$M$5:$M$6004,B36)),"jan","fev","mar","abr","mai","jun","jul","ago","set","out","nov","dez")&amp;"/"&amp;YEAR(_xlfn.MINIFS('CRONOGRAMA ATIVIDADES'!$F$5:$F$6004,'CRONOGRAMA ATIVIDADES'!$M$5:$M$6004,B36)),_xlfn.TEXTJOIN(" / ",TRUE,IF(('CRONOGRAMA ATIVIDADES'!$S$5:$S$304=B36)*('CRONOGRAMA ATIVIDADES'!$AA$5:$AA$304&lt;&gt;""),'CRONOGRAMA ATIVIDADES'!$AA$5:$AA$304,"")))))</f>
        <v/>
      </c>
      <c r="L36" s="93" t="inlineStr">
        <is>
          <t>RENOVAÇÃO DE AR - SUBSOLO</t>
        </is>
      </c>
      <c r="M36" s="94">
        <f>'VALOR POR PL'!L33</f>
        <v/>
      </c>
      <c r="N36" s="94">
        <f>IF('VALOR POR PL'!I33="DIRETO",'VALOR POR PL'!L33,0)</f>
        <v/>
      </c>
    </row>
    <row r="37" ht="16.2" customHeight="1">
      <c r="B37" s="95">
        <f>'VALOR POR PL'!C34</f>
        <v/>
      </c>
      <c r="C37" s="96">
        <f>'VALOR POR PL'!D34</f>
        <v/>
      </c>
      <c r="D37" s="97">
        <f>IF(OR('VALOR POR PL'!I34&lt;&gt;"DIRETO",'CP RESUMO'!$C$28=""),"",IFERROR(INDEX('CP RESUMO'!$D$28:$BW$28,MATCH(DATE($D$5,12,1),'CP RESUMO'!$D$4:$BW$4,0))/100,""))</f>
        <v/>
      </c>
      <c r="E37" s="98">
        <f>IF('VALOR POR PL'!I34&lt;&gt;"DIRETO","",'ELEVADORES '!$K$14)</f>
        <v/>
      </c>
      <c r="F37" s="99">
        <f>SUMPRODUCT((YEAR('ELEVADORES '!$B$5:$B$76)=$D$5)*('ELEVADORES '!$C$5:$C$76+'ELEVADORES '!$D$5:$D$76))</f>
        <v/>
      </c>
      <c r="G37" s="99">
        <f>SUMPRODUCT((YEAR('MODELO PARA BI'!$H$1:$CA$1)=$D$5)*'MODELO PARA BI'!$H$10:$CA$10)</f>
        <v/>
      </c>
      <c r="H37" s="99">
        <f>IF(ISNUMBER($G$5),G37*$G$5,0)</f>
        <v/>
      </c>
      <c r="I37" s="97">
        <f>IF($F$53=0,0,F37/$F$53)</f>
        <v/>
      </c>
      <c r="J37" s="97">
        <f>IF('VALOR POR PL'!L34=0,0,SUMPRODUCT(('ELEVADORES '!$B$5:$B$76&lt;=DATE($D$5,12,1))*('ELEVADORES '!$C$5:$C$76+'ELEVADORES '!$D$5:$D$76))/'VALOR POR PL'!L34)</f>
        <v/>
      </c>
      <c r="K37" s="100">
        <f t="array" ref="K37">IF(COUNTIF('CRONOGRAMA ATIVIDADES'!$M$5:$M$6004,B37)=0,"",IF(COUNTIFS('CRONOGRAMA ATIVIDADES'!$M$5:$M$6004,B37,'CRONOGRAMA ATIVIDADES'!$O$5:$O$6004,"CONCLUÍDA")=COUNTIF('CRONOGRAMA ATIVIDADES'!$M$5:$M$6004,B37),"Concluído (todas as "&amp;COUNTIF('CRONOGRAMA ATIVIDADES'!$M$5:$M$6004,B37)&amp;" atividades)",IF(COUNTIFS('CRONOGRAMA ATIVIDADES'!$M$5:$M$6004,B37,'CRONOGRAMA ATIVIDADES'!$O$5:$O$6004,"A INICIAR")=COUNTIF('CRONOGRAMA ATIVIDADES'!$M$5:$M$6004,B37),"Não iniciado · início previsto em "&amp;CHOOSE(MONTH(_xlfn.MINIFS('CRONOGRAMA ATIVIDADES'!$F$5:$F$6004,'CRONOGRAMA ATIVIDADES'!$M$5:$M$6004,B37)),"jan","fev","mar","abr","mai","jun","jul","ago","set","out","nov","dez")&amp;"/"&amp;YEAR(_xlfn.MINIFS('CRONOGRAMA ATIVIDADES'!$F$5:$F$6004,'CRONOGRAMA ATIVIDADES'!$M$5:$M$6004,B37)),_xlfn.TEXTJOIN(" / ",TRUE,IF(('CRONOGRAMA ATIVIDADES'!$S$5:$S$304=B37)*('CRONOGRAMA ATIVIDADES'!$AA$5:$AA$304&lt;&gt;""),'CRONOGRAMA ATIVIDADES'!$AA$5:$AA$304,"")))))</f>
        <v/>
      </c>
      <c r="L37" s="101" t="inlineStr">
        <is>
          <t>APENAS DESEMBOLSO FINANCEIRO - MONTAGEM PARA 2028</t>
        </is>
      </c>
      <c r="M37" s="94">
        <f>'VALOR POR PL'!L34</f>
        <v/>
      </c>
      <c r="N37" s="94">
        <f>IF('VALOR POR PL'!I34="DIRETO",'VALOR POR PL'!L34,0)</f>
        <v/>
      </c>
    </row>
    <row r="38" ht="29.4" customHeight="1">
      <c r="B38" s="87">
        <f>'VALOR POR PL'!C35</f>
        <v/>
      </c>
      <c r="C38" s="88">
        <f>'VALOR POR PL'!D35</f>
        <v/>
      </c>
      <c r="D38" s="89">
        <f>IF(OR('VALOR POR PL'!I35&lt;&gt;"DIRETO",'CP RESUMO'!$C$29=""),"",IFERROR(INDEX('CP RESUMO'!$D$29:$BW$29,MATCH(DATE($D$5,12,1),'CP RESUMO'!$D$4:$BW$4,0))/100,""))</f>
        <v/>
      </c>
      <c r="E38" s="90">
        <f>IF('VALOR POR PL'!I35&lt;&gt;"DIRETO","",'ESQUADRIAS'!$K$14)</f>
        <v/>
      </c>
      <c r="F38" s="91">
        <f>SUMPRODUCT((YEAR('ESQUADRIAS'!$B$5:$B$76)=$D$5)*('ESQUADRIAS'!$C$5:$C$76+'ESQUADRIAS'!$D$5:$D$76))</f>
        <v/>
      </c>
      <c r="G38" s="91">
        <f>SUMPRODUCT((YEAR('MODELO PARA BI'!$H$1:$CA$1)=$D$5)*'MODELO PARA BI'!$H$12:$CA$12)</f>
        <v/>
      </c>
      <c r="H38" s="91">
        <f>IF(ISNUMBER($G$5),G38*$G$5,0)</f>
        <v/>
      </c>
      <c r="I38" s="89">
        <f>IF($F$53=0,0,F38/$F$53)</f>
        <v/>
      </c>
      <c r="J38" s="89">
        <f>IF('VALOR POR PL'!L35=0,0,SUMPRODUCT(('ESQUADRIAS'!$B$5:$B$76&lt;=DATE($D$5,12,1))*('ESQUADRIAS'!$C$5:$C$76+'ESQUADRIAS'!$D$5:$D$76))/'VALOR POR PL'!L35)</f>
        <v/>
      </c>
      <c r="K38" s="92">
        <f t="array" ref="K38">IF(COUNTIF('CRONOGRAMA ATIVIDADES'!$M$5:$M$6004,B38)=0,"",IF(COUNTIFS('CRONOGRAMA ATIVIDADES'!$M$5:$M$6004,B38,'CRONOGRAMA ATIVIDADES'!$O$5:$O$6004,"CONCLUÍDA")=COUNTIF('CRONOGRAMA ATIVIDADES'!$M$5:$M$6004,B38),"Concluído (todas as "&amp;COUNTIF('CRONOGRAMA ATIVIDADES'!$M$5:$M$6004,B38)&amp;" atividades)",IF(COUNTIFS('CRONOGRAMA ATIVIDADES'!$M$5:$M$6004,B38,'CRONOGRAMA ATIVIDADES'!$O$5:$O$6004,"A INICIAR")=COUNTIF('CRONOGRAMA ATIVIDADES'!$M$5:$M$6004,B38),"Não iniciado · início previsto em "&amp;CHOOSE(MONTH(_xlfn.MINIFS('CRONOGRAMA ATIVIDADES'!$F$5:$F$6004,'CRONOGRAMA ATIVIDADES'!$M$5:$M$6004,B38)),"jan","fev","mar","abr","mai","jun","jul","ago","set","out","nov","dez")&amp;"/"&amp;YEAR(_xlfn.MINIFS('CRONOGRAMA ATIVIDADES'!$F$5:$F$6004,'CRONOGRAMA ATIVIDADES'!$M$5:$M$6004,B38)),_xlfn.TEXTJOIN(" / ",TRUE,IF(('CRONOGRAMA ATIVIDADES'!$S$5:$S$304=B38)*('CRONOGRAMA ATIVIDADES'!$AA$5:$AA$304&lt;&gt;""),'CRONOGRAMA ATIVIDADES'!$AA$5:$AA$304,"")))))</f>
        <v/>
      </c>
      <c r="L38" s="93" t="inlineStr">
        <is>
          <t>APENAS DESEMBOLSO FINANCEIRO - MONTAGEM PARA 2028</t>
        </is>
      </c>
      <c r="M38" s="94">
        <f>'VALOR POR PL'!L35</f>
        <v/>
      </c>
      <c r="N38" s="94">
        <f>IF('VALOR POR PL'!I35="DIRETO",'VALOR POR PL'!L35,0)</f>
        <v/>
      </c>
    </row>
    <row r="39" ht="29.4" customHeight="1">
      <c r="B39" s="95">
        <f>'VALOR POR PL'!C36</f>
        <v/>
      </c>
      <c r="C39" s="96">
        <f>'VALOR POR PL'!D36</f>
        <v/>
      </c>
      <c r="D39" s="97">
        <f>IF(OR('VALOR POR PL'!I36&lt;&gt;"DIRETO",'CP RESUMO'!$C$30=""),"",IFERROR(INDEX('CP RESUMO'!$D$30:$BW$30,MATCH(DATE($D$5,12,1),'CP RESUMO'!$D$4:$BW$4,0))/100,""))</f>
        <v/>
      </c>
      <c r="E39" s="98">
        <f>IF('VALOR POR PL'!I36&lt;&gt;"DIRETO","",'SERRALHERIA'!$K$14)</f>
        <v/>
      </c>
      <c r="F39" s="99">
        <f>SUMPRODUCT((YEAR('SERRALHERIA'!$B$5:$B$76)=$D$5)*('SERRALHERIA'!$C$5:$C$76+'SERRALHERIA'!$D$5:$D$76))</f>
        <v/>
      </c>
      <c r="G39" s="99">
        <f>SUMPRODUCT((YEAR('MODELO PARA BI'!$H$1:$CA$1)=$D$5)*'MODELO PARA BI'!$H$41:$CA$41)</f>
        <v/>
      </c>
      <c r="H39" s="99">
        <f>IF(ISNUMBER($G$5),G39*$G$5,0)</f>
        <v/>
      </c>
      <c r="I39" s="97">
        <f>IF($F$53=0,0,F39/$F$53)</f>
        <v/>
      </c>
      <c r="J39" s="97">
        <f>IF('VALOR POR PL'!L36=0,0,SUMPRODUCT(('SERRALHERIA'!$B$5:$B$76&lt;=DATE($D$5,12,1))*('SERRALHERIA'!$C$5:$C$76+'SERRALHERIA'!$D$5:$D$76))/'VALOR POR PL'!L36)</f>
        <v/>
      </c>
      <c r="K39" s="100">
        <f t="array" ref="K39">IF(COUNTIF('CRONOGRAMA ATIVIDADES'!$M$5:$M$6004,B39)=0,"",IF(COUNTIFS('CRONOGRAMA ATIVIDADES'!$M$5:$M$6004,B39,'CRONOGRAMA ATIVIDADES'!$O$5:$O$6004,"CONCLUÍDA")=COUNTIF('CRONOGRAMA ATIVIDADES'!$M$5:$M$6004,B39),"Concluído (todas as "&amp;COUNTIF('CRONOGRAMA ATIVIDADES'!$M$5:$M$6004,B39)&amp;" atividades)",IF(COUNTIFS('CRONOGRAMA ATIVIDADES'!$M$5:$M$6004,B39,'CRONOGRAMA ATIVIDADES'!$O$5:$O$6004,"A INICIAR")=COUNTIF('CRONOGRAMA ATIVIDADES'!$M$5:$M$6004,B39),"Não iniciado · início previsto em "&amp;CHOOSE(MONTH(_xlfn.MINIFS('CRONOGRAMA ATIVIDADES'!$F$5:$F$6004,'CRONOGRAMA ATIVIDADES'!$M$5:$M$6004,B39)),"jan","fev","mar","abr","mai","jun","jul","ago","set","out","nov","dez")&amp;"/"&amp;YEAR(_xlfn.MINIFS('CRONOGRAMA ATIVIDADES'!$F$5:$F$6004,'CRONOGRAMA ATIVIDADES'!$M$5:$M$6004,B39)),_xlfn.TEXTJOIN(" / ",TRUE,IF(('CRONOGRAMA ATIVIDADES'!$S$5:$S$304=B39)*('CRONOGRAMA ATIVIDADES'!$AA$5:$AA$304&lt;&gt;""),'CRONOGRAMA ATIVIDADES'!$AA$5:$AA$304,"")))))</f>
        <v/>
      </c>
      <c r="L39" s="101" t="n"/>
      <c r="M39" s="94">
        <f>'VALOR POR PL'!L36</f>
        <v/>
      </c>
      <c r="N39" s="94">
        <f>IF('VALOR POR PL'!I36="DIRETO",'VALOR POR PL'!L36,0)</f>
        <v/>
      </c>
    </row>
    <row r="40" ht="16.2" customHeight="1">
      <c r="B40" s="87">
        <f>'VALOR POR PL'!C37</f>
        <v/>
      </c>
      <c r="C40" s="88">
        <f>'VALOR POR PL'!D37</f>
        <v/>
      </c>
      <c r="D40" s="89">
        <f>IF(OR('VALOR POR PL'!I37&lt;&gt;"DIRETO",'CP RESUMO'!$C$31=""),"",IFERROR(INDEX('CP RESUMO'!$D$31:$BW$31,MATCH(DATE($D$5,12,1),'CP RESUMO'!$D$4:$BW$4,0))/100,""))</f>
        <v/>
      </c>
      <c r="E40" s="90">
        <f>IF('VALOR POR PL'!I37&lt;&gt;"DIRETO","",'MARCENARIA'!$K$14)</f>
        <v/>
      </c>
      <c r="F40" s="91">
        <f>SUMPRODUCT((YEAR('MARCENARIA'!$B$5:$B$76)=$D$5)*('MARCENARIA'!$C$5:$C$76+'MARCENARIA'!$D$5:$D$76))</f>
        <v/>
      </c>
      <c r="G40" s="91">
        <f>SUMPRODUCT((YEAR('MODELO PARA BI'!$H$1:$CA$1)=$D$5)*'MODELO PARA BI'!$H$25:$CA$25)</f>
        <v/>
      </c>
      <c r="H40" s="91">
        <f>IF(ISNUMBER($G$5),G40*$G$5,0)</f>
        <v/>
      </c>
      <c r="I40" s="89">
        <f>IF($F$53=0,0,F40/$F$53)</f>
        <v/>
      </c>
      <c r="J40" s="89">
        <f>IF('VALOR POR PL'!L37=0,0,SUMPRODUCT(('MARCENARIA'!$B$5:$B$76&lt;=DATE($D$5,12,1))*('MARCENARIA'!$C$5:$C$76+'MARCENARIA'!$D$5:$D$76))/'VALOR POR PL'!L37)</f>
        <v/>
      </c>
      <c r="K40" s="92">
        <f t="array" ref="K40">IF(COUNTIF('CRONOGRAMA ATIVIDADES'!$M$5:$M$6004,B40)=0,"",IF(COUNTIFS('CRONOGRAMA ATIVIDADES'!$M$5:$M$6004,B40,'CRONOGRAMA ATIVIDADES'!$O$5:$O$6004,"CONCLUÍDA")=COUNTIF('CRONOGRAMA ATIVIDADES'!$M$5:$M$6004,B40),"Concluído (todas as "&amp;COUNTIF('CRONOGRAMA ATIVIDADES'!$M$5:$M$6004,B40)&amp;" atividades)",IF(COUNTIFS('CRONOGRAMA ATIVIDADES'!$M$5:$M$6004,B40,'CRONOGRAMA ATIVIDADES'!$O$5:$O$6004,"A INICIAR")=COUNTIF('CRONOGRAMA ATIVIDADES'!$M$5:$M$6004,B40),"Não iniciado · início previsto em "&amp;CHOOSE(MONTH(_xlfn.MINIFS('CRONOGRAMA ATIVIDADES'!$F$5:$F$6004,'CRONOGRAMA ATIVIDADES'!$M$5:$M$6004,B40)),"jan","fev","mar","abr","mai","jun","jul","ago","set","out","nov","dez")&amp;"/"&amp;YEAR(_xlfn.MINIFS('CRONOGRAMA ATIVIDADES'!$F$5:$F$6004,'CRONOGRAMA ATIVIDADES'!$M$5:$M$6004,B40)),_xlfn.TEXTJOIN(" / ",TRUE,IF(('CRONOGRAMA ATIVIDADES'!$S$5:$S$304=B40)*('CRONOGRAMA ATIVIDADES'!$AA$5:$AA$304&lt;&gt;""),'CRONOGRAMA ATIVIDADES'!$AA$5:$AA$304,"")))))</f>
        <v/>
      </c>
      <c r="L40" s="93" t="n"/>
      <c r="M40" s="94">
        <f>'VALOR POR PL'!L37</f>
        <v/>
      </c>
      <c r="N40" s="94">
        <f>IF('VALOR POR PL'!I37="DIRETO",'VALOR POR PL'!L37,0)</f>
        <v/>
      </c>
    </row>
    <row r="41" ht="16.2" customHeight="1">
      <c r="B41" s="95">
        <f>'VALOR POR PL'!C38</f>
        <v/>
      </c>
      <c r="C41" s="96">
        <f>'VALOR POR PL'!D38</f>
        <v/>
      </c>
      <c r="D41" s="97">
        <f>IF(OR('VALOR POR PL'!I38&lt;&gt;"DIRETO",'CP RESUMO'!$C$32=""),"",IFERROR(INDEX('CP RESUMO'!$D$32:$BW$32,MATCH(DATE($D$5,12,1),'CP RESUMO'!$D$4:$BW$4,0))/100,""))</f>
        <v/>
      </c>
      <c r="E41" s="98">
        <f>IF('VALOR POR PL'!I38&lt;&gt;"DIRETO","",'REV. PISOS'!$K$14)</f>
        <v/>
      </c>
      <c r="F41" s="99">
        <f>SUMPRODUCT((YEAR('REV. PISOS'!$B$5:$B$76)=$D$5)*('REV. PISOS'!$C$5:$C$76+'REV. PISOS'!$D$5:$D$76))</f>
        <v/>
      </c>
      <c r="G41" s="99">
        <f>SUMPRODUCT((YEAR('MODELO PARA BI'!$H$1:$CA$1)=$D$5)*'MODELO PARA BI'!$H$33:$CA$33)</f>
        <v/>
      </c>
      <c r="H41" s="99">
        <f>IF(ISNUMBER($G$5),G41*$G$5,0)</f>
        <v/>
      </c>
      <c r="I41" s="97">
        <f>IF($F$53=0,0,F41/$F$53)</f>
        <v/>
      </c>
      <c r="J41" s="97">
        <f>IF('VALOR POR PL'!L38=0,0,SUMPRODUCT(('REV. PISOS'!$B$5:$B$76&lt;=DATE($D$5,12,1))*('REV. PISOS'!$C$5:$C$76+'REV. PISOS'!$D$5:$D$76))/'VALOR POR PL'!L38)</f>
        <v/>
      </c>
      <c r="K41" s="100">
        <f t="array" ref="K41">IF(COUNTIF('CRONOGRAMA ATIVIDADES'!$M$5:$M$6004,B41)=0,"",IF(COUNTIFS('CRONOGRAMA ATIVIDADES'!$M$5:$M$6004,B41,'CRONOGRAMA ATIVIDADES'!$O$5:$O$6004,"CONCLUÍDA")=COUNTIF('CRONOGRAMA ATIVIDADES'!$M$5:$M$6004,B41),"Concluído (todas as "&amp;COUNTIF('CRONOGRAMA ATIVIDADES'!$M$5:$M$6004,B41)&amp;" atividades)",IF(COUNTIFS('CRONOGRAMA ATIVIDADES'!$M$5:$M$6004,B41,'CRONOGRAMA ATIVIDADES'!$O$5:$O$6004,"A INICIAR")=COUNTIF('CRONOGRAMA ATIVIDADES'!$M$5:$M$6004,B41),"Não iniciado · início previsto em "&amp;CHOOSE(MONTH(_xlfn.MINIFS('CRONOGRAMA ATIVIDADES'!$F$5:$F$6004,'CRONOGRAMA ATIVIDADES'!$M$5:$M$6004,B41)),"jan","fev","mar","abr","mai","jun","jul","ago","set","out","nov","dez")&amp;"/"&amp;YEAR(_xlfn.MINIFS('CRONOGRAMA ATIVIDADES'!$F$5:$F$6004,'CRONOGRAMA ATIVIDADES'!$M$5:$M$6004,B41)),_xlfn.TEXTJOIN(" / ",TRUE,IF(('CRONOGRAMA ATIVIDADES'!$S$5:$S$304=B41)*('CRONOGRAMA ATIVIDADES'!$AA$5:$AA$304&lt;&gt;""),'CRONOGRAMA ATIVIDADES'!$AA$5:$AA$304,"")))))</f>
        <v/>
      </c>
      <c r="L41" s="101" t="inlineStr">
        <is>
          <t>ATÉ O 21º PAVIMENTO</t>
        </is>
      </c>
      <c r="M41" s="94">
        <f>'VALOR POR PL'!L38</f>
        <v/>
      </c>
      <c r="N41" s="94">
        <f>IF('VALOR POR PL'!I38="DIRETO",'VALOR POR PL'!L38,0)</f>
        <v/>
      </c>
    </row>
    <row r="42" ht="29.4" customHeight="1">
      <c r="B42" s="87">
        <f>'VALOR POR PL'!C39</f>
        <v/>
      </c>
      <c r="C42" s="88">
        <f>'VALOR POR PL'!D39</f>
        <v/>
      </c>
      <c r="D42" s="89">
        <f>IF(OR('VALOR POR PL'!I39&lt;&gt;"DIRETO",'CP RESUMO'!$C$33=""),"",IFERROR(INDEX('CP RESUMO'!$D$33:$BW$33,MATCH(DATE($D$5,12,1),'CP RESUMO'!$D$4:$BW$4,0))/100,""))</f>
        <v/>
      </c>
      <c r="E42" s="90">
        <f>IF('VALOR POR PL'!I39&lt;&gt;"DIRETO","",'REV. PAREDE'!$K$14)</f>
        <v/>
      </c>
      <c r="F42" s="91">
        <f>SUMPRODUCT((YEAR('REV. PAREDE'!$B$5:$B$76)=$D$5)*('REV. PAREDE'!$C$5:$C$76+'REV. PAREDE'!$D$5:$D$76))</f>
        <v/>
      </c>
      <c r="G42" s="91">
        <f>SUMPRODUCT((YEAR('MODELO PARA BI'!$H$1:$CA$1)=$D$5)*'MODELO PARA BI'!$H$34:$CA$34)</f>
        <v/>
      </c>
      <c r="H42" s="91">
        <f>IF(ISNUMBER($G$5),G42*$G$5,0)</f>
        <v/>
      </c>
      <c r="I42" s="89">
        <f>IF($F$53=0,0,F42/$F$53)</f>
        <v/>
      </c>
      <c r="J42" s="89">
        <f>IF('VALOR POR PL'!L39=0,0,SUMPRODUCT(('REV. PAREDE'!$B$5:$B$76&lt;=DATE($D$5,12,1))*('REV. PAREDE'!$C$5:$C$76+'REV. PAREDE'!$D$5:$D$76))/'VALOR POR PL'!L39)</f>
        <v/>
      </c>
      <c r="K42" s="92">
        <f t="array" ref="K42">IF(COUNTIF('CRONOGRAMA ATIVIDADES'!$M$5:$M$6004,B42)=0,"",IF(COUNTIFS('CRONOGRAMA ATIVIDADES'!$M$5:$M$6004,B42,'CRONOGRAMA ATIVIDADES'!$O$5:$O$6004,"CONCLUÍDA")=COUNTIF('CRONOGRAMA ATIVIDADES'!$M$5:$M$6004,B42),"Concluído (todas as "&amp;COUNTIF('CRONOGRAMA ATIVIDADES'!$M$5:$M$6004,B42)&amp;" atividades)",IF(COUNTIFS('CRONOGRAMA ATIVIDADES'!$M$5:$M$6004,B42,'CRONOGRAMA ATIVIDADES'!$O$5:$O$6004,"A INICIAR")=COUNTIF('CRONOGRAMA ATIVIDADES'!$M$5:$M$6004,B42),"Não iniciado · início previsto em "&amp;CHOOSE(MONTH(_xlfn.MINIFS('CRONOGRAMA ATIVIDADES'!$F$5:$F$6004,'CRONOGRAMA ATIVIDADES'!$M$5:$M$6004,B42)),"jan","fev","mar","abr","mai","jun","jul","ago","set","out","nov","dez")&amp;"/"&amp;YEAR(_xlfn.MINIFS('CRONOGRAMA ATIVIDADES'!$F$5:$F$6004,'CRONOGRAMA ATIVIDADES'!$M$5:$M$6004,B42)),_xlfn.TEXTJOIN(" / ",TRUE,IF(('CRONOGRAMA ATIVIDADES'!$S$5:$S$304=B42)*('CRONOGRAMA ATIVIDADES'!$AA$5:$AA$304&lt;&gt;""),'CRONOGRAMA ATIVIDADES'!$AA$5:$AA$304,"")))))</f>
        <v/>
      </c>
      <c r="L42" s="93" t="inlineStr">
        <is>
          <t>ATÉ O 23º PAVIMENTO</t>
        </is>
      </c>
      <c r="M42" s="94">
        <f>'VALOR POR PL'!L39</f>
        <v/>
      </c>
      <c r="N42" s="94">
        <f>IF('VALOR POR PL'!I39="DIRETO",'VALOR POR PL'!L39,0)</f>
        <v/>
      </c>
    </row>
    <row r="43" ht="29.4" customHeight="1">
      <c r="B43" s="95">
        <f>'VALOR POR PL'!C40</f>
        <v/>
      </c>
      <c r="C43" s="96">
        <f>'VALOR POR PL'!D40</f>
        <v/>
      </c>
      <c r="D43" s="97">
        <f>IF(OR('VALOR POR PL'!I40&lt;&gt;"DIRETO",'CP RESUMO'!$C$34=""),"",IFERROR(INDEX('CP RESUMO'!$D$34:$BW$34,MATCH(DATE($D$5,12,1),'CP RESUMO'!$D$4:$BW$4,0))/100,""))</f>
        <v/>
      </c>
      <c r="E43" s="98">
        <f>IF('VALOR POR PL'!I40&lt;&gt;"DIRETO","",'REV. ACAB'!$K$14)</f>
        <v/>
      </c>
      <c r="F43" s="99">
        <f>SUMPRODUCT((YEAR('REV. ACAB'!$B$5:$B$76)=$D$5)*('REV. ACAB'!$C$5:$C$76+'REV. ACAB'!$D$5:$D$76))</f>
        <v/>
      </c>
      <c r="G43" s="99">
        <f>SUMPRODUCT((YEAR('MODELO PARA BI'!$H$1:$CA$1)=$D$5)*'MODELO PARA BI'!$H$32:$CA$32)</f>
        <v/>
      </c>
      <c r="H43" s="99">
        <f>IF(ISNUMBER($G$5),G43*$G$5,0)</f>
        <v/>
      </c>
      <c r="I43" s="97">
        <f>IF($F$53=0,0,F43/$F$53)</f>
        <v/>
      </c>
      <c r="J43" s="97">
        <f>IF('VALOR POR PL'!L40=0,0,SUMPRODUCT(('REV. ACAB'!$B$5:$B$76&lt;=DATE($D$5,12,1))*('REV. ACAB'!$C$5:$C$76+'REV. ACAB'!$D$5:$D$76))/'VALOR POR PL'!L40)</f>
        <v/>
      </c>
      <c r="K43" s="100">
        <f t="array" ref="K43">IF(COUNTIF('CRONOGRAMA ATIVIDADES'!$M$5:$M$6004,B43)=0,"",IF(COUNTIFS('CRONOGRAMA ATIVIDADES'!$M$5:$M$6004,B43,'CRONOGRAMA ATIVIDADES'!$O$5:$O$6004,"CONCLUÍDA")=COUNTIF('CRONOGRAMA ATIVIDADES'!$M$5:$M$6004,B43),"Concluído (todas as "&amp;COUNTIF('CRONOGRAMA ATIVIDADES'!$M$5:$M$6004,B43)&amp;" atividades)",IF(COUNTIFS('CRONOGRAMA ATIVIDADES'!$M$5:$M$6004,B43,'CRONOGRAMA ATIVIDADES'!$O$5:$O$6004,"A INICIAR")=COUNTIF('CRONOGRAMA ATIVIDADES'!$M$5:$M$6004,B43),"Não iniciado · início previsto em "&amp;CHOOSE(MONTH(_xlfn.MINIFS('CRONOGRAMA ATIVIDADES'!$F$5:$F$6004,'CRONOGRAMA ATIVIDADES'!$M$5:$M$6004,B43)),"jan","fev","mar","abr","mai","jun","jul","ago","set","out","nov","dez")&amp;"/"&amp;YEAR(_xlfn.MINIFS('CRONOGRAMA ATIVIDADES'!$F$5:$F$6004,'CRONOGRAMA ATIVIDADES'!$M$5:$M$6004,B43)),_xlfn.TEXTJOIN(" / ",TRUE,IF(('CRONOGRAMA ATIVIDADES'!$S$5:$S$304=B43)*('CRONOGRAMA ATIVIDADES'!$AA$5:$AA$304&lt;&gt;""),'CRONOGRAMA ATIVIDADES'!$AA$5:$AA$304,"")))))</f>
        <v/>
      </c>
      <c r="L43" s="101" t="inlineStr">
        <is>
          <t>PAREDES - ATÉ O 15º PAVIMENTO / PISOS - ATÉ O 14º PAVIMENTO</t>
        </is>
      </c>
      <c r="M43" s="94">
        <f>'VALOR POR PL'!L40</f>
        <v/>
      </c>
      <c r="N43" s="94">
        <f>IF('VALOR POR PL'!I40="DIRETO",'VALOR POR PL'!L40,0)</f>
        <v/>
      </c>
    </row>
    <row r="44" ht="16.2" customHeight="1">
      <c r="B44" s="87">
        <f>'VALOR POR PL'!C41</f>
        <v/>
      </c>
      <c r="C44" s="88">
        <f>'VALOR POR PL'!D41</f>
        <v/>
      </c>
      <c r="D44" s="89">
        <f>IF(OR('VALOR POR PL'!I41&lt;&gt;"DIRETO",'CP RESUMO'!$C$35=""),"",IFERROR(INDEX('CP RESUMO'!$D$35:$BW$35,MATCH(DATE($D$5,12,1),'CP RESUMO'!$D$4:$BW$4,0))/100,""))</f>
        <v/>
      </c>
      <c r="E44" s="90">
        <f>IF('VALOR POR PL'!I41&lt;&gt;"DIRETO","",'PAVIMENTAÇÃO'!$K$14)</f>
        <v/>
      </c>
      <c r="F44" s="91">
        <f>SUMPRODUCT((YEAR('PAVIMENTAÇÃO'!$B$5:$B$76)=$D$5)*('PAVIMENTAÇÃO'!$C$5:$C$76+'PAVIMENTAÇÃO'!$D$5:$D$76))</f>
        <v/>
      </c>
      <c r="G44" s="91">
        <f>SUMPRODUCT((YEAR('MODELO PARA BI'!$H$1:$CA$1)=$D$5)*'MODELO PARA BI'!$H$27:$CA$27)</f>
        <v/>
      </c>
      <c r="H44" s="91">
        <f>IF(ISNUMBER($G$5),G44*$G$5,0)</f>
        <v/>
      </c>
      <c r="I44" s="89">
        <f>IF($F$53=0,0,F44/$F$53)</f>
        <v/>
      </c>
      <c r="J44" s="89">
        <f>IF('VALOR POR PL'!L41=0,0,SUMPRODUCT(('PAVIMENTAÇÃO'!$B$5:$B$76&lt;=DATE($D$5,12,1))*('PAVIMENTAÇÃO'!$C$5:$C$76+'PAVIMENTAÇÃO'!$D$5:$D$76))/'VALOR POR PL'!L41)</f>
        <v/>
      </c>
      <c r="K44" s="92">
        <f t="array" ref="K44">IF(COUNTIF('CRONOGRAMA ATIVIDADES'!$M$5:$M$6004,B44)=0,"",IF(COUNTIFS('CRONOGRAMA ATIVIDADES'!$M$5:$M$6004,B44,'CRONOGRAMA ATIVIDADES'!$O$5:$O$6004,"CONCLUÍDA")=COUNTIF('CRONOGRAMA ATIVIDADES'!$M$5:$M$6004,B44),"Concluído (todas as "&amp;COUNTIF('CRONOGRAMA ATIVIDADES'!$M$5:$M$6004,B44)&amp;" atividades)",IF(COUNTIFS('CRONOGRAMA ATIVIDADES'!$M$5:$M$6004,B44,'CRONOGRAMA ATIVIDADES'!$O$5:$O$6004,"A INICIAR")=COUNTIF('CRONOGRAMA ATIVIDADES'!$M$5:$M$6004,B44),"Não iniciado · início previsto em "&amp;CHOOSE(MONTH(_xlfn.MINIFS('CRONOGRAMA ATIVIDADES'!$F$5:$F$6004,'CRONOGRAMA ATIVIDADES'!$M$5:$M$6004,B44)),"jan","fev","mar","abr","mai","jun","jul","ago","set","out","nov","dez")&amp;"/"&amp;YEAR(_xlfn.MINIFS('CRONOGRAMA ATIVIDADES'!$F$5:$F$6004,'CRONOGRAMA ATIVIDADES'!$M$5:$M$6004,B44)),_xlfn.TEXTJOIN(" / ",TRUE,IF(('CRONOGRAMA ATIVIDADES'!$S$5:$S$304=B44)*('CRONOGRAMA ATIVIDADES'!$AA$5:$AA$304&lt;&gt;""),'CRONOGRAMA ATIVIDADES'!$AA$5:$AA$304,"")))))</f>
        <v/>
      </c>
      <c r="L44" s="93" t="n"/>
      <c r="M44" s="94">
        <f>'VALOR POR PL'!L41</f>
        <v/>
      </c>
      <c r="N44" s="94">
        <f>IF('VALOR POR PL'!I41="DIRETO",'VALOR POR PL'!L41,0)</f>
        <v/>
      </c>
    </row>
    <row r="45" ht="69" customHeight="1">
      <c r="B45" s="95">
        <f>'VALOR POR PL'!C42</f>
        <v/>
      </c>
      <c r="C45" s="96">
        <f>'VALOR POR PL'!D42</f>
        <v/>
      </c>
      <c r="D45" s="97">
        <f>IF(OR('VALOR POR PL'!I42&lt;&gt;"DIRETO",'CP RESUMO'!$C$36=""),"",IFERROR(INDEX('CP RESUMO'!$D$36:$BW$36,MATCH(DATE($D$5,12,1),'CP RESUMO'!$D$4:$BW$4,0))/100,""))</f>
        <v/>
      </c>
      <c r="E45" s="98">
        <f>IF('VALOR POR PL'!I42&lt;&gt;"DIRETO","",'REV. FACHADA'!$K$14)</f>
        <v/>
      </c>
      <c r="F45" s="99">
        <f>SUMPRODUCT((YEAR('REV. FACHADA'!$B$5:$B$76)=$D$5)*('REV. FACHADA'!$C$5:$C$76+'REV. FACHADA'!$D$5:$D$76))</f>
        <v/>
      </c>
      <c r="G45" s="99">
        <f>SUMPRODUCT((YEAR('MODELO PARA BI'!$H$1:$CA$1)=$D$5)*'MODELO PARA BI'!$H$31:$CA$31)</f>
        <v/>
      </c>
      <c r="H45" s="99">
        <f>IF(ISNUMBER($G$5),G45*$G$5,0)</f>
        <v/>
      </c>
      <c r="I45" s="97">
        <f>IF($F$53=0,0,F45/$F$53)</f>
        <v/>
      </c>
      <c r="J45" s="97">
        <f>IF('VALOR POR PL'!L42=0,0,SUMPRODUCT(('REV. FACHADA'!$B$5:$B$76&lt;=DATE($D$5,12,1))*('REV. FACHADA'!$C$5:$C$76+'REV. FACHADA'!$D$5:$D$76))/'VALOR POR PL'!L42)</f>
        <v/>
      </c>
      <c r="K45" s="100">
        <f t="array" ref="K45">IF(COUNTIF('CRONOGRAMA ATIVIDADES'!$M$5:$M$6004,B45)=0,"",IF(COUNTIFS('CRONOGRAMA ATIVIDADES'!$M$5:$M$6004,B45,'CRONOGRAMA ATIVIDADES'!$O$5:$O$6004,"CONCLUÍDA")=COUNTIF('CRONOGRAMA ATIVIDADES'!$M$5:$M$6004,B45),"Concluído (todas as "&amp;COUNTIF('CRONOGRAMA ATIVIDADES'!$M$5:$M$6004,B45)&amp;" atividades)",IF(COUNTIFS('CRONOGRAMA ATIVIDADES'!$M$5:$M$6004,B45,'CRONOGRAMA ATIVIDADES'!$O$5:$O$6004,"A INICIAR")=COUNTIF('CRONOGRAMA ATIVIDADES'!$M$5:$M$6004,B45),"Não iniciado · início previsto em "&amp;CHOOSE(MONTH(_xlfn.MINIFS('CRONOGRAMA ATIVIDADES'!$F$5:$F$6004,'CRONOGRAMA ATIVIDADES'!$M$5:$M$6004,B45)),"jan","fev","mar","abr","mai","jun","jul","ago","set","out","nov","dez")&amp;"/"&amp;YEAR(_xlfn.MINIFS('CRONOGRAMA ATIVIDADES'!$F$5:$F$6004,'CRONOGRAMA ATIVIDADES'!$M$5:$M$6004,B45)),_xlfn.TEXTJOIN(" / ",TRUE,IF(('CRONOGRAMA ATIVIDADES'!$S$5:$S$304=B45)*('CRONOGRAMA ATIVIDADES'!$AA$5:$AA$304&lt;&gt;""),'CRONOGRAMA ATIVIDADES'!$AA$5:$AA$304,"")))))</f>
        <v/>
      </c>
      <c r="L45" s="101" t="inlineStr">
        <is>
          <t>1ª ETAPA DE FACHADA - 70 % FINAIZADA</t>
        </is>
      </c>
      <c r="M45" s="94">
        <f>'VALOR POR PL'!L42</f>
        <v/>
      </c>
      <c r="N45" s="94">
        <f>IF('VALOR POR PL'!I42="DIRETO",'VALOR POR PL'!L42,0)</f>
        <v/>
      </c>
    </row>
    <row r="46" ht="16.2" customHeight="1">
      <c r="B46" s="87">
        <f>'VALOR POR PL'!C43</f>
        <v/>
      </c>
      <c r="C46" s="88">
        <f>'VALOR POR PL'!D43</f>
        <v/>
      </c>
      <c r="D46" s="89">
        <f>IF(OR('VALOR POR PL'!I43&lt;&gt;"DIRETO",'CP RESUMO'!$C$37=""),"",IFERROR(INDEX('CP RESUMO'!$D$37:$BW$37,MATCH(DATE($D$5,12,1),'CP RESUMO'!$D$4:$BW$4,0))/100,""))</f>
        <v/>
      </c>
      <c r="E46" s="90">
        <f>IF('VALOR POR PL'!I43&lt;&gt;"DIRETO","",'FORRO'!$K$14)</f>
        <v/>
      </c>
      <c r="F46" s="91">
        <f>SUMPRODUCT((YEAR('FORRO'!$B$5:$B$76)=$D$5)*('FORRO'!$C$5:$C$76+'FORRO'!$D$5:$D$76))</f>
        <v/>
      </c>
      <c r="G46" s="91">
        <f>SUMPRODUCT((YEAR('MODELO PARA BI'!$H$1:$CA$1)=$D$5)*'MODELO PARA BI'!$H$14:$CA$14)</f>
        <v/>
      </c>
      <c r="H46" s="91">
        <f>IF(ISNUMBER($G$5),G46*$G$5,0)</f>
        <v/>
      </c>
      <c r="I46" s="89">
        <f>IF($F$53=0,0,F46/$F$53)</f>
        <v/>
      </c>
      <c r="J46" s="89">
        <f>IF('VALOR POR PL'!L43=0,0,SUMPRODUCT(('FORRO'!$B$5:$B$76&lt;=DATE($D$5,12,1))*('FORRO'!$C$5:$C$76+'FORRO'!$D$5:$D$76))/'VALOR POR PL'!L43)</f>
        <v/>
      </c>
      <c r="K46" s="92">
        <f t="array" ref="K46">IF(COUNTIF('CRONOGRAMA ATIVIDADES'!$M$5:$M$6004,B46)=0,"",IF(COUNTIFS('CRONOGRAMA ATIVIDADES'!$M$5:$M$6004,B46,'CRONOGRAMA ATIVIDADES'!$O$5:$O$6004,"CONCLUÍDA")=COUNTIF('CRONOGRAMA ATIVIDADES'!$M$5:$M$6004,B46),"Concluído (todas as "&amp;COUNTIF('CRONOGRAMA ATIVIDADES'!$M$5:$M$6004,B46)&amp;" atividades)",IF(COUNTIFS('CRONOGRAMA ATIVIDADES'!$M$5:$M$6004,B46,'CRONOGRAMA ATIVIDADES'!$O$5:$O$6004,"A INICIAR")=COUNTIF('CRONOGRAMA ATIVIDADES'!$M$5:$M$6004,B46),"Não iniciado · início previsto em "&amp;CHOOSE(MONTH(_xlfn.MINIFS('CRONOGRAMA ATIVIDADES'!$F$5:$F$6004,'CRONOGRAMA ATIVIDADES'!$M$5:$M$6004,B46)),"jan","fev","mar","abr","mai","jun","jul","ago","set","out","nov","dez")&amp;"/"&amp;YEAR(_xlfn.MINIFS('CRONOGRAMA ATIVIDADES'!$F$5:$F$6004,'CRONOGRAMA ATIVIDADES'!$M$5:$M$6004,B46)),_xlfn.TEXTJOIN(" / ",TRUE,IF(('CRONOGRAMA ATIVIDADES'!$S$5:$S$304=B46)*('CRONOGRAMA ATIVIDADES'!$AA$5:$AA$304&lt;&gt;""),'CRONOGRAMA ATIVIDADES'!$AA$5:$AA$304,"")))))</f>
        <v/>
      </c>
      <c r="L46" s="93" t="inlineStr">
        <is>
          <t>ATÉ O 11º PAVIMENTO</t>
        </is>
      </c>
      <c r="M46" s="94">
        <f>'VALOR POR PL'!L43</f>
        <v/>
      </c>
      <c r="N46" s="94">
        <f>IF('VALOR POR PL'!I43="DIRETO",'VALOR POR PL'!L43,0)</f>
        <v/>
      </c>
    </row>
    <row r="47" ht="16.2" customHeight="1">
      <c r="B47" s="95">
        <f>'VALOR POR PL'!C44</f>
        <v/>
      </c>
      <c r="C47" s="96">
        <f>'VALOR POR PL'!D44</f>
        <v/>
      </c>
      <c r="D47" s="97">
        <f>IF(OR('VALOR POR PL'!I44&lt;&gt;"DIRETO",'CP RESUMO'!$C$38=""),"",IFERROR(INDEX('CP RESUMO'!$D$38:$BW$38,MATCH(DATE($D$5,12,1),'CP RESUMO'!$D$4:$BW$4,0))/100,""))</f>
        <v/>
      </c>
      <c r="E47" s="98">
        <f>IF('VALOR POR PL'!I44&lt;&gt;"DIRETO","",'LOUÇAS'!$K$14)</f>
        <v/>
      </c>
      <c r="F47" s="99">
        <f>SUMPRODUCT((YEAR('LOUÇAS'!$B$5:$B$76)=$D$5)*('LOUÇAS'!$C$5:$C$76+'LOUÇAS'!$D$5:$D$76))</f>
        <v/>
      </c>
      <c r="G47" s="99">
        <f>SUMPRODUCT((YEAR('MODELO PARA BI'!$H$1:$CA$1)=$D$5)*'MODELO PARA BI'!$H$23:$CA$23)</f>
        <v/>
      </c>
      <c r="H47" s="99">
        <f>IF(ISNUMBER($G$5),G47*$G$5,0)</f>
        <v/>
      </c>
      <c r="I47" s="97">
        <f>IF($F$53=0,0,F47/$F$53)</f>
        <v/>
      </c>
      <c r="J47" s="97">
        <f>IF('VALOR POR PL'!L44=0,0,SUMPRODUCT(('LOUÇAS'!$B$5:$B$76&lt;=DATE($D$5,12,1))*('LOUÇAS'!$C$5:$C$76+'LOUÇAS'!$D$5:$D$76))/'VALOR POR PL'!L44)</f>
        <v/>
      </c>
      <c r="K47" s="100">
        <f t="array" ref="K47">IF(COUNTIF('CRONOGRAMA ATIVIDADES'!$M$5:$M$6004,B47)=0,"",IF(COUNTIFS('CRONOGRAMA ATIVIDADES'!$M$5:$M$6004,B47,'CRONOGRAMA ATIVIDADES'!$O$5:$O$6004,"CONCLUÍDA")=COUNTIF('CRONOGRAMA ATIVIDADES'!$M$5:$M$6004,B47),"Concluído (todas as "&amp;COUNTIF('CRONOGRAMA ATIVIDADES'!$M$5:$M$6004,B47)&amp;" atividades)",IF(COUNTIFS('CRONOGRAMA ATIVIDADES'!$M$5:$M$6004,B47,'CRONOGRAMA ATIVIDADES'!$O$5:$O$6004,"A INICIAR")=COUNTIF('CRONOGRAMA ATIVIDADES'!$M$5:$M$6004,B47),"Não iniciado · início previsto em "&amp;CHOOSE(MONTH(_xlfn.MINIFS('CRONOGRAMA ATIVIDADES'!$F$5:$F$6004,'CRONOGRAMA ATIVIDADES'!$M$5:$M$6004,B47)),"jan","fev","mar","abr","mai","jun","jul","ago","set","out","nov","dez")&amp;"/"&amp;YEAR(_xlfn.MINIFS('CRONOGRAMA ATIVIDADES'!$F$5:$F$6004,'CRONOGRAMA ATIVIDADES'!$M$5:$M$6004,B47)),_xlfn.TEXTJOIN(" / ",TRUE,IF(('CRONOGRAMA ATIVIDADES'!$S$5:$S$304=B47)*('CRONOGRAMA ATIVIDADES'!$AA$5:$AA$304&lt;&gt;""),'CRONOGRAMA ATIVIDADES'!$AA$5:$AA$304,"")))))</f>
        <v/>
      </c>
      <c r="L47" s="101" t="n"/>
      <c r="M47" s="94">
        <f>'VALOR POR PL'!L44</f>
        <v/>
      </c>
      <c r="N47" s="94">
        <f>IF('VALOR POR PL'!I44="DIRETO",'VALOR POR PL'!L44,0)</f>
        <v/>
      </c>
    </row>
    <row r="48" ht="16.2" customHeight="1">
      <c r="B48" s="87">
        <f>'VALOR POR PL'!C45</f>
        <v/>
      </c>
      <c r="C48" s="88">
        <f>'VALOR POR PL'!D45</f>
        <v/>
      </c>
      <c r="D48" s="89">
        <f>IF(OR('VALOR POR PL'!I45&lt;&gt;"DIRETO",'CP RESUMO'!$C$39=""),"",IFERROR(INDEX('CP RESUMO'!$D$39:$BW$39,MATCH(DATE($D$5,12,1),'CP RESUMO'!$D$4:$BW$4,0))/100,""))</f>
        <v/>
      </c>
      <c r="E48" s="90">
        <f>IF('VALOR POR PL'!I45&lt;&gt;"DIRETO","",'PINTURA'!$K$14)</f>
        <v/>
      </c>
      <c r="F48" s="91">
        <f>SUMPRODUCT((YEAR('PINTURA'!$B$5:$B$76)=$D$5)*('PINTURA'!$C$5:$C$76+'PINTURA'!$D$5:$D$76))</f>
        <v/>
      </c>
      <c r="G48" s="91">
        <f>SUMPRODUCT((YEAR('MODELO PARA BI'!$H$1:$CA$1)=$D$5)*'MODELO PARA BI'!$H$28:$CA$28)</f>
        <v/>
      </c>
      <c r="H48" s="91">
        <f>IF(ISNUMBER($G$5),G48*$G$5,0)</f>
        <v/>
      </c>
      <c r="I48" s="89">
        <f>IF($F$53=0,0,F48/$F$53)</f>
        <v/>
      </c>
      <c r="J48" s="89">
        <f>IF('VALOR POR PL'!L45=0,0,SUMPRODUCT(('PINTURA'!$B$5:$B$76&lt;=DATE($D$5,12,1))*('PINTURA'!$C$5:$C$76+'PINTURA'!$D$5:$D$76))/'VALOR POR PL'!L45)</f>
        <v/>
      </c>
      <c r="K48" s="92">
        <f t="array" ref="K48">IF(COUNTIF('CRONOGRAMA ATIVIDADES'!$M$5:$M$6004,B48)=0,"",IF(COUNTIFS('CRONOGRAMA ATIVIDADES'!$M$5:$M$6004,B48,'CRONOGRAMA ATIVIDADES'!$O$5:$O$6004,"CONCLUÍDA")=COUNTIF('CRONOGRAMA ATIVIDADES'!$M$5:$M$6004,B48),"Concluído (todas as "&amp;COUNTIF('CRONOGRAMA ATIVIDADES'!$M$5:$M$6004,B48)&amp;" atividades)",IF(COUNTIFS('CRONOGRAMA ATIVIDADES'!$M$5:$M$6004,B48,'CRONOGRAMA ATIVIDADES'!$O$5:$O$6004,"A INICIAR")=COUNTIF('CRONOGRAMA ATIVIDADES'!$M$5:$M$6004,B48),"Não iniciado · início previsto em "&amp;CHOOSE(MONTH(_xlfn.MINIFS('CRONOGRAMA ATIVIDADES'!$F$5:$F$6004,'CRONOGRAMA ATIVIDADES'!$M$5:$M$6004,B48)),"jan","fev","mar","abr","mai","jun","jul","ago","set","out","nov","dez")&amp;"/"&amp;YEAR(_xlfn.MINIFS('CRONOGRAMA ATIVIDADES'!$F$5:$F$6004,'CRONOGRAMA ATIVIDADES'!$M$5:$M$6004,B48)),_xlfn.TEXTJOIN(" / ",TRUE,IF(('CRONOGRAMA ATIVIDADES'!$S$5:$S$304=B48)*('CRONOGRAMA ATIVIDADES'!$AA$5:$AA$304&lt;&gt;""),'CRONOGRAMA ATIVIDADES'!$AA$5:$AA$304,"")))))</f>
        <v/>
      </c>
      <c r="L48" s="93" t="inlineStr">
        <is>
          <t>TRATAMENTO DE CONCRETO APARENTE</t>
        </is>
      </c>
      <c r="M48" s="94">
        <f>'VALOR POR PL'!L45</f>
        <v/>
      </c>
      <c r="N48" s="94">
        <f>IF('VALOR POR PL'!I45="DIRETO",'VALOR POR PL'!L45,0)</f>
        <v/>
      </c>
    </row>
    <row r="49" ht="16.2" customHeight="1">
      <c r="B49" s="95">
        <f>'VALOR POR PL'!C46</f>
        <v/>
      </c>
      <c r="C49" s="96">
        <f>'VALOR POR PL'!D46</f>
        <v/>
      </c>
      <c r="D49" s="97">
        <f>IF(OR('VALOR POR PL'!I46&lt;&gt;"DIRETO",'CP RESUMO'!$C$40=""),"",IFERROR(INDEX('CP RESUMO'!$D$40:$BW$40,MATCH(DATE($D$5,12,1),'CP RESUMO'!$D$4:$BW$4,0))/100,""))</f>
        <v/>
      </c>
      <c r="E49" s="98">
        <f>IF('VALOR POR PL'!I46&lt;&gt;"DIRETO","",'PAISAGISMO'!$K$14)</f>
        <v/>
      </c>
      <c r="F49" s="99">
        <f>SUMPRODUCT((YEAR('PAISAGISMO'!$B$5:$B$76)=$D$5)*('PAISAGISMO'!$C$5:$C$76+'PAISAGISMO'!$D$5:$D$76))</f>
        <v/>
      </c>
      <c r="G49" s="99">
        <f>SUMPRODUCT((YEAR('MODELO PARA BI'!$H$1:$CA$1)=$D$5)*'MODELO PARA BI'!$H$26:$CA$26)</f>
        <v/>
      </c>
      <c r="H49" s="99">
        <f>IF(ISNUMBER($G$5),G49*$G$5,0)</f>
        <v/>
      </c>
      <c r="I49" s="97">
        <f>IF($F$53=0,0,F49/$F$53)</f>
        <v/>
      </c>
      <c r="J49" s="97">
        <f>IF('VALOR POR PL'!L46=0,0,SUMPRODUCT(('PAISAGISMO'!$B$5:$B$76&lt;=DATE($D$5,12,1))*('PAISAGISMO'!$C$5:$C$76+'PAISAGISMO'!$D$5:$D$76))/'VALOR POR PL'!L46)</f>
        <v/>
      </c>
      <c r="K49" s="100">
        <f t="array" ref="K49">IF(COUNTIF('CRONOGRAMA ATIVIDADES'!$M$5:$M$6004,B49)=0,"",IF(COUNTIFS('CRONOGRAMA ATIVIDADES'!$M$5:$M$6004,B49,'CRONOGRAMA ATIVIDADES'!$O$5:$O$6004,"CONCLUÍDA")=COUNTIF('CRONOGRAMA ATIVIDADES'!$M$5:$M$6004,B49),"Concluído (todas as "&amp;COUNTIF('CRONOGRAMA ATIVIDADES'!$M$5:$M$6004,B49)&amp;" atividades)",IF(COUNTIFS('CRONOGRAMA ATIVIDADES'!$M$5:$M$6004,B49,'CRONOGRAMA ATIVIDADES'!$O$5:$O$6004,"A INICIAR")=COUNTIF('CRONOGRAMA ATIVIDADES'!$M$5:$M$6004,B49),"Não iniciado · início previsto em "&amp;CHOOSE(MONTH(_xlfn.MINIFS('CRONOGRAMA ATIVIDADES'!$F$5:$F$6004,'CRONOGRAMA ATIVIDADES'!$M$5:$M$6004,B49)),"jan","fev","mar","abr","mai","jun","jul","ago","set","out","nov","dez")&amp;"/"&amp;YEAR(_xlfn.MINIFS('CRONOGRAMA ATIVIDADES'!$F$5:$F$6004,'CRONOGRAMA ATIVIDADES'!$M$5:$M$6004,B49)),_xlfn.TEXTJOIN(" / ",TRUE,IF(('CRONOGRAMA ATIVIDADES'!$S$5:$S$304=B49)*('CRONOGRAMA ATIVIDADES'!$AA$5:$AA$304&lt;&gt;""),'CRONOGRAMA ATIVIDADES'!$AA$5:$AA$304,"")))))</f>
        <v/>
      </c>
      <c r="L49" s="101" t="n"/>
      <c r="M49" s="94">
        <f>'VALOR POR PL'!L46</f>
        <v/>
      </c>
      <c r="N49" s="94">
        <f>IF('VALOR POR PL'!I46="DIRETO",'VALOR POR PL'!L46,0)</f>
        <v/>
      </c>
    </row>
    <row r="50" ht="16.2" customHeight="1">
      <c r="B50" s="87">
        <f>'VALOR POR PL'!C47</f>
        <v/>
      </c>
      <c r="C50" s="88">
        <f>'VALOR POR PL'!D47</f>
        <v/>
      </c>
      <c r="D50" s="89">
        <f>IF(OR('VALOR POR PL'!I47&lt;&gt;"DIRETO",'CP RESUMO'!$C$41=""),"",IFERROR(INDEX('CP RESUMO'!$D$41:$BW$41,MATCH(DATE($D$5,12,1),'CP RESUMO'!$D$4:$BW$4,0))/100,""))</f>
        <v/>
      </c>
      <c r="E50" s="90">
        <f>IF('VALOR POR PL'!I47&lt;&gt;"DIRETO","",'LIMPEZA'!$K$14)</f>
        <v/>
      </c>
      <c r="F50" s="91">
        <f>SUMPRODUCT((YEAR('LIMPEZA'!$B$5:$B$76)=$D$5)*('LIMPEZA'!$C$5:$C$76+'LIMPEZA'!$D$5:$D$76))</f>
        <v/>
      </c>
      <c r="G50" s="91">
        <f>SUMPRODUCT((YEAR('MODELO PARA BI'!$H$1:$CA$1)=$D$5)*'MODELO PARA BI'!$H$24:$CA$24)</f>
        <v/>
      </c>
      <c r="H50" s="91">
        <f>IF(ISNUMBER($G$5),G50*$G$5,0)</f>
        <v/>
      </c>
      <c r="I50" s="89">
        <f>IF($F$53=0,0,F50/$F$53)</f>
        <v/>
      </c>
      <c r="J50" s="89">
        <f>IF('VALOR POR PL'!L47=0,0,SUMPRODUCT(('LIMPEZA'!$B$5:$B$76&lt;=DATE($D$5,12,1))*('LIMPEZA'!$C$5:$C$76+'LIMPEZA'!$D$5:$D$76))/'VALOR POR PL'!L47)</f>
        <v/>
      </c>
      <c r="K50" s="92">
        <f t="array" ref="K50">IF(COUNTIF('CRONOGRAMA ATIVIDADES'!$M$5:$M$6004,B50)=0,"",IF(COUNTIFS('CRONOGRAMA ATIVIDADES'!$M$5:$M$6004,B50,'CRONOGRAMA ATIVIDADES'!$O$5:$O$6004,"CONCLUÍDA")=COUNTIF('CRONOGRAMA ATIVIDADES'!$M$5:$M$6004,B50),"Concluído (todas as "&amp;COUNTIF('CRONOGRAMA ATIVIDADES'!$M$5:$M$6004,B50)&amp;" atividades)",IF(COUNTIFS('CRONOGRAMA ATIVIDADES'!$M$5:$M$6004,B50,'CRONOGRAMA ATIVIDADES'!$O$5:$O$6004,"A INICIAR")=COUNTIF('CRONOGRAMA ATIVIDADES'!$M$5:$M$6004,B50),"Não iniciado · início previsto em "&amp;CHOOSE(MONTH(_xlfn.MINIFS('CRONOGRAMA ATIVIDADES'!$F$5:$F$6004,'CRONOGRAMA ATIVIDADES'!$M$5:$M$6004,B50)),"jan","fev","mar","abr","mai","jun","jul","ago","set","out","nov","dez")&amp;"/"&amp;YEAR(_xlfn.MINIFS('CRONOGRAMA ATIVIDADES'!$F$5:$F$6004,'CRONOGRAMA ATIVIDADES'!$M$5:$M$6004,B50)),_xlfn.TEXTJOIN(" / ",TRUE,IF(('CRONOGRAMA ATIVIDADES'!$S$5:$S$304=B50)*('CRONOGRAMA ATIVIDADES'!$AA$5:$AA$304&lt;&gt;""),'CRONOGRAMA ATIVIDADES'!$AA$5:$AA$304,"")))))</f>
        <v/>
      </c>
      <c r="L50" s="93" t="n"/>
      <c r="M50" s="94">
        <f>'VALOR POR PL'!L47</f>
        <v/>
      </c>
      <c r="N50" s="94">
        <f>IF('VALOR POR PL'!I47="DIRETO",'VALOR POR PL'!L47,0)</f>
        <v/>
      </c>
    </row>
    <row r="51" ht="20" customHeight="1">
      <c r="B51" s="33" t="n"/>
      <c r="C51" s="33" t="inlineStr">
        <is>
          <t>DESEMBOLSO DO ANO (sem taxa de administração)</t>
        </is>
      </c>
      <c r="D51" s="33" t="n"/>
      <c r="E51" s="33" t="n"/>
      <c r="F51" s="107">
        <f>F23+F29+SUM(F30:F50)</f>
        <v/>
      </c>
      <c r="G51" s="107">
        <f>G23+G29+SUM(G30:G50)</f>
        <v/>
      </c>
      <c r="H51" s="107">
        <f>H23+H29+SUM(H30:H50)</f>
        <v/>
      </c>
      <c r="I51" s="108">
        <f>IF($F$53=0,0,F51/$F$53)</f>
        <v/>
      </c>
      <c r="J51" s="33" t="n"/>
      <c r="K51" s="33" t="n"/>
      <c r="L51" s="33" t="n"/>
    </row>
    <row r="52" ht="20" customHeight="1">
      <c r="B52" s="109">
        <f>'VALOR POR PL'!C48</f>
        <v/>
      </c>
      <c r="C52" s="109">
        <f>'VALOR POR PL'!D48</f>
        <v/>
      </c>
      <c r="D52" s="109" t="n"/>
      <c r="E52" s="109" t="n"/>
      <c r="F52" s="110">
        <f>SUMPRODUCT((YEAR('TAX. ADM'!$B$5:$B$76)=$D$5)*('TAX. ADM'!$C$5:$C$76+'TAX. ADM'!$D$5:$D$76))</f>
        <v/>
      </c>
      <c r="G52" s="110">
        <f>SUMPRODUCT((YEAR('MODELO PARA BI'!$H$1:$CA$1)=$D$5)*'MODELO PARA BI'!$H$43:$CA$43)</f>
        <v/>
      </c>
      <c r="H52" s="110">
        <f>IF(ISNUMBER($G$5),G52*$G$5,0)</f>
        <v/>
      </c>
      <c r="I52" s="111">
        <f>IF($F$53=0,0,F52/$F$53)</f>
        <v/>
      </c>
      <c r="J52" s="109" t="n"/>
      <c r="K52" s="109" t="n"/>
      <c r="L52" s="109" t="n"/>
      <c r="M52">
        <f>'VALOR POR PL'!L48</f>
        <v/>
      </c>
    </row>
    <row r="53" ht="20" customHeight="1">
      <c r="B53" s="33" t="n"/>
      <c r="C53" s="33" t="inlineStr">
        <is>
          <t>DESEMBOLSO DO ANO COM TAXA DE ADMINISTRAÇÃO</t>
        </is>
      </c>
      <c r="D53" s="33" t="n"/>
      <c r="E53" s="33" t="n"/>
      <c r="F53" s="107">
        <f>F51+F52</f>
        <v/>
      </c>
      <c r="G53" s="107">
        <f>G51+G52</f>
        <v/>
      </c>
      <c r="H53" s="107">
        <f>H51+H52</f>
        <v/>
      </c>
      <c r="I53" s="108">
        <f>IF($F$53=0,0,F53/$F$53)</f>
        <v/>
      </c>
      <c r="J53" s="33" t="n"/>
      <c r="K53" s="33" t="n"/>
      <c r="L53" s="33" t="n"/>
    </row>
    <row r="54">
      <c r="B54" s="35" t="inlineStr">
        <is>
          <t>Execução física = % acumulado 'Previsto' do cronograma físico-financeiro do Prevision (aba CP RESUMO) em dezembro do ano; no corte = % 'Realizado'. Situação em 31/12 = atividades do cronograma (aba CRONOGRAMA ATIVIDADES) concluídas ou em execução nessa data, pelo andar mais alto.</t>
        </is>
      </c>
    </row>
  </sheetData>
  <mergeCells count="13">
    <mergeCell ref="D8:E8"/>
    <mergeCell ref="D7:E7"/>
    <mergeCell ref="B7:C7"/>
    <mergeCell ref="B5:C5"/>
    <mergeCell ref="H7:I7"/>
    <mergeCell ref="H8:I8"/>
    <mergeCell ref="B9:C9"/>
    <mergeCell ref="D9:E9"/>
    <mergeCell ref="B8:C8"/>
    <mergeCell ref="H9:I9"/>
    <mergeCell ref="F9:G9"/>
    <mergeCell ref="F7:G7"/>
    <mergeCell ref="F8:G8"/>
  </mergeCells>
  <conditionalFormatting sqref="F12:H53">
    <cfRule type="cellIs" priority="1" operator="lessThan" dxfId="6">
      <formula>-0.5</formula>
    </cfRule>
  </conditionalFormatting>
  <conditionalFormatting sqref="D12:D50">
    <cfRule type="dataBar" priority="2">
      <dataBar showValue="1">
        <cfvo type="num" val="0"/>
        <cfvo type="num" val="1"/>
        <color rgb="002A78D6"/>
      </dataBar>
    </cfRule>
  </conditionalFormatting>
  <conditionalFormatting sqref="I12:I50">
    <cfRule type="dataBar" priority="3">
      <dataBar showValue="1">
        <cfvo type="num" val="0"/>
        <cfvo type="max"/>
        <color rgb="00EB6834"/>
      </dataBar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CA67"/>
  <sheetViews>
    <sheetView tabSelected="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4" customWidth="1" min="4" max="4"/>
    <col width="14" customWidth="1" min="5" max="5"/>
    <col width="16" customWidth="1" min="6" max="6"/>
    <col width="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</cols>
  <sheetData>
    <row r="1" ht="45" customHeight="1">
      <c r="A1" s="58" t="inlineStr">
        <is>
          <t>COD EMPREENDIMENTO</t>
        </is>
      </c>
      <c r="B1" s="58" t="inlineStr">
        <is>
          <t>COD GRUPO 1</t>
        </is>
      </c>
      <c r="C1" s="58" t="inlineStr">
        <is>
          <t>GRUPO 1</t>
        </is>
      </c>
      <c r="D1" s="58" t="inlineStr">
        <is>
          <t>VALOR ORÇADO
(INCC)</t>
        </is>
      </c>
      <c r="E1" s="58" t="inlineStr">
        <is>
          <t>SOMA DA DISTRIBUIÇÃO
(INCC)</t>
        </is>
      </c>
      <c r="F1" s="58" t="inlineStr">
        <is>
          <t>VARIAÇÃO
(ORÇADO − DISTRIBUÍDO)</t>
        </is>
      </c>
      <c r="H1" s="112">
        <f>'VALOR POR PL'!$P$6</f>
        <v/>
      </c>
      <c r="I1" s="112">
        <f>DATE(YEAR(H1),MONTH(H1)+1,1)</f>
        <v/>
      </c>
      <c r="J1" s="112">
        <f>DATE(YEAR(I1),MONTH(I1)+1,1)</f>
        <v/>
      </c>
      <c r="K1" s="112">
        <f>DATE(YEAR(J1),MONTH(J1)+1,1)</f>
        <v/>
      </c>
      <c r="L1" s="112">
        <f>DATE(YEAR(K1),MONTH(K1)+1,1)</f>
        <v/>
      </c>
      <c r="M1" s="112">
        <f>DATE(YEAR(L1),MONTH(L1)+1,1)</f>
        <v/>
      </c>
      <c r="N1" s="112">
        <f>DATE(YEAR(M1),MONTH(M1)+1,1)</f>
        <v/>
      </c>
      <c r="O1" s="112">
        <f>DATE(YEAR(N1),MONTH(N1)+1,1)</f>
        <v/>
      </c>
      <c r="P1" s="112">
        <f>DATE(YEAR(O1),MONTH(O1)+1,1)</f>
        <v/>
      </c>
      <c r="Q1" s="112">
        <f>DATE(YEAR(P1),MONTH(P1)+1,1)</f>
        <v/>
      </c>
      <c r="R1" s="112">
        <f>DATE(YEAR(Q1),MONTH(Q1)+1,1)</f>
        <v/>
      </c>
      <c r="S1" s="112">
        <f>DATE(YEAR(R1),MONTH(R1)+1,1)</f>
        <v/>
      </c>
      <c r="T1" s="112">
        <f>DATE(YEAR(S1),MONTH(S1)+1,1)</f>
        <v/>
      </c>
      <c r="U1" s="112">
        <f>DATE(YEAR(T1),MONTH(T1)+1,1)</f>
        <v/>
      </c>
      <c r="V1" s="112">
        <f>DATE(YEAR(U1),MONTH(U1)+1,1)</f>
        <v/>
      </c>
      <c r="W1" s="112">
        <f>DATE(YEAR(V1),MONTH(V1)+1,1)</f>
        <v/>
      </c>
      <c r="X1" s="112">
        <f>DATE(YEAR(W1),MONTH(W1)+1,1)</f>
        <v/>
      </c>
      <c r="Y1" s="112">
        <f>DATE(YEAR(X1),MONTH(X1)+1,1)</f>
        <v/>
      </c>
      <c r="Z1" s="112">
        <f>DATE(YEAR(Y1),MONTH(Y1)+1,1)</f>
        <v/>
      </c>
      <c r="AA1" s="112">
        <f>DATE(YEAR(Z1),MONTH(Z1)+1,1)</f>
        <v/>
      </c>
      <c r="AB1" s="112">
        <f>DATE(YEAR(AA1),MONTH(AA1)+1,1)</f>
        <v/>
      </c>
      <c r="AC1" s="112">
        <f>DATE(YEAR(AB1),MONTH(AB1)+1,1)</f>
        <v/>
      </c>
      <c r="AD1" s="112">
        <f>DATE(YEAR(AC1),MONTH(AC1)+1,1)</f>
        <v/>
      </c>
      <c r="AE1" s="112">
        <f>DATE(YEAR(AD1),MONTH(AD1)+1,1)</f>
        <v/>
      </c>
      <c r="AF1" s="112">
        <f>DATE(YEAR(AE1),MONTH(AE1)+1,1)</f>
        <v/>
      </c>
      <c r="AG1" s="112">
        <f>DATE(YEAR(AF1),MONTH(AF1)+1,1)</f>
        <v/>
      </c>
      <c r="AH1" s="112">
        <f>DATE(YEAR(AG1),MONTH(AG1)+1,1)</f>
        <v/>
      </c>
      <c r="AI1" s="112">
        <f>DATE(YEAR(AH1),MONTH(AH1)+1,1)</f>
        <v/>
      </c>
      <c r="AJ1" s="112">
        <f>DATE(YEAR(AI1),MONTH(AI1)+1,1)</f>
        <v/>
      </c>
      <c r="AK1" s="112">
        <f>DATE(YEAR(AJ1),MONTH(AJ1)+1,1)</f>
        <v/>
      </c>
      <c r="AL1" s="112">
        <f>DATE(YEAR(AK1),MONTH(AK1)+1,1)</f>
        <v/>
      </c>
      <c r="AM1" s="112">
        <f>DATE(YEAR(AL1),MONTH(AL1)+1,1)</f>
        <v/>
      </c>
      <c r="AN1" s="112">
        <f>DATE(YEAR(AM1),MONTH(AM1)+1,1)</f>
        <v/>
      </c>
      <c r="AO1" s="112">
        <f>DATE(YEAR(AN1),MONTH(AN1)+1,1)</f>
        <v/>
      </c>
      <c r="AP1" s="112">
        <f>DATE(YEAR(AO1),MONTH(AO1)+1,1)</f>
        <v/>
      </c>
      <c r="AQ1" s="112">
        <f>DATE(YEAR(AP1),MONTH(AP1)+1,1)</f>
        <v/>
      </c>
      <c r="AR1" s="112">
        <f>DATE(YEAR(AQ1),MONTH(AQ1)+1,1)</f>
        <v/>
      </c>
      <c r="AS1" s="112">
        <f>DATE(YEAR(AR1),MONTH(AR1)+1,1)</f>
        <v/>
      </c>
      <c r="AT1" s="112">
        <f>DATE(YEAR(AS1),MONTH(AS1)+1,1)</f>
        <v/>
      </c>
      <c r="AU1" s="112">
        <f>DATE(YEAR(AT1),MONTH(AT1)+1,1)</f>
        <v/>
      </c>
      <c r="AV1" s="112">
        <f>DATE(YEAR(AU1),MONTH(AU1)+1,1)</f>
        <v/>
      </c>
      <c r="AW1" s="112">
        <f>DATE(YEAR(AV1),MONTH(AV1)+1,1)</f>
        <v/>
      </c>
      <c r="AX1" s="112">
        <f>DATE(YEAR(AW1),MONTH(AW1)+1,1)</f>
        <v/>
      </c>
      <c r="AY1" s="112">
        <f>DATE(YEAR(AX1),MONTH(AX1)+1,1)</f>
        <v/>
      </c>
      <c r="AZ1" s="112">
        <f>DATE(YEAR(AY1),MONTH(AY1)+1,1)</f>
        <v/>
      </c>
      <c r="BA1" s="112">
        <f>DATE(YEAR(AZ1),MONTH(AZ1)+1,1)</f>
        <v/>
      </c>
      <c r="BB1" s="112">
        <f>DATE(YEAR(BA1),MONTH(BA1)+1,1)</f>
        <v/>
      </c>
      <c r="BC1" s="112">
        <f>DATE(YEAR(BB1),MONTH(BB1)+1,1)</f>
        <v/>
      </c>
      <c r="BD1" s="112">
        <f>DATE(YEAR(BC1),MONTH(BC1)+1,1)</f>
        <v/>
      </c>
      <c r="BE1" s="112">
        <f>DATE(YEAR(BD1),MONTH(BD1)+1,1)</f>
        <v/>
      </c>
      <c r="BF1" s="112">
        <f>DATE(YEAR(BE1),MONTH(BE1)+1,1)</f>
        <v/>
      </c>
      <c r="BG1" s="112">
        <f>DATE(YEAR(BF1),MONTH(BF1)+1,1)</f>
        <v/>
      </c>
      <c r="BH1" s="112">
        <f>DATE(YEAR(BG1),MONTH(BG1)+1,1)</f>
        <v/>
      </c>
      <c r="BI1" s="112">
        <f>DATE(YEAR(BH1),MONTH(BH1)+1,1)</f>
        <v/>
      </c>
      <c r="BJ1" s="112">
        <f>DATE(YEAR(BI1),MONTH(BI1)+1,1)</f>
        <v/>
      </c>
      <c r="BK1" s="112">
        <f>DATE(YEAR(BJ1),MONTH(BJ1)+1,1)</f>
        <v/>
      </c>
      <c r="BL1" s="112">
        <f>DATE(YEAR(BK1),MONTH(BK1)+1,1)</f>
        <v/>
      </c>
      <c r="BM1" s="112">
        <f>DATE(YEAR(BL1),MONTH(BL1)+1,1)</f>
        <v/>
      </c>
      <c r="BN1" s="112">
        <f>DATE(YEAR(BM1),MONTH(BM1)+1,1)</f>
        <v/>
      </c>
      <c r="BO1" s="112">
        <f>DATE(YEAR(BN1),MONTH(BN1)+1,1)</f>
        <v/>
      </c>
      <c r="BP1" s="112">
        <f>DATE(YEAR(BO1),MONTH(BO1)+1,1)</f>
        <v/>
      </c>
      <c r="BQ1" s="112">
        <f>DATE(YEAR(BP1),MONTH(BP1)+1,1)</f>
        <v/>
      </c>
      <c r="BR1" s="112">
        <f>DATE(YEAR(BQ1),MONTH(BQ1)+1,1)</f>
        <v/>
      </c>
      <c r="BS1" s="112">
        <f>DATE(YEAR(BR1),MONTH(BR1)+1,1)</f>
        <v/>
      </c>
      <c r="BT1" s="112">
        <f>DATE(YEAR(BS1),MONTH(BS1)+1,1)</f>
        <v/>
      </c>
      <c r="BU1" s="112">
        <f>DATE(YEAR(BT1),MONTH(BT1)+1,1)</f>
        <v/>
      </c>
      <c r="BV1" s="112">
        <f>DATE(YEAR(BU1),MONTH(BU1)+1,1)</f>
        <v/>
      </c>
      <c r="BW1" s="112">
        <f>DATE(YEAR(BV1),MONTH(BV1)+1,1)</f>
        <v/>
      </c>
      <c r="BX1" s="112">
        <f>DATE(YEAR(BW1),MONTH(BW1)+1,1)</f>
        <v/>
      </c>
      <c r="BY1" s="112">
        <f>DATE(YEAR(BX1),MONTH(BX1)+1,1)</f>
        <v/>
      </c>
      <c r="BZ1" s="112">
        <f>DATE(YEAR(BY1),MONTH(BY1)+1,1)</f>
        <v/>
      </c>
      <c r="CA1" s="112">
        <f>DATE(YEAR(BZ1),MONTH(BZ1)+1,1)</f>
        <v/>
      </c>
    </row>
    <row r="2">
      <c r="A2" s="59" t="inlineStr">
        <is>
          <t>G041.002</t>
        </is>
      </c>
      <c r="B2" s="59" t="inlineStr">
        <is>
          <t>1030-1070-280</t>
        </is>
      </c>
      <c r="C2" s="59" t="inlineStr">
        <is>
          <t>ALVENARIA</t>
        </is>
      </c>
      <c r="D2" s="60">
        <f>'ALVENARIA'!$K$5</f>
        <v/>
      </c>
      <c r="E2" s="49">
        <f>SUM(H2:CA2)</f>
        <v/>
      </c>
      <c r="F2" s="49">
        <f>IF(D2="","",D2-E2)</f>
        <v/>
      </c>
      <c r="H2" s="94">
        <f>'ALVENARIA'!E5</f>
        <v/>
      </c>
      <c r="I2" s="94">
        <f>'ALVENARIA'!E6</f>
        <v/>
      </c>
      <c r="J2" s="94">
        <f>'ALVENARIA'!E7</f>
        <v/>
      </c>
      <c r="K2" s="94">
        <f>'ALVENARIA'!E8</f>
        <v/>
      </c>
      <c r="L2" s="94">
        <f>'ALVENARIA'!E9</f>
        <v/>
      </c>
      <c r="M2" s="94">
        <f>'ALVENARIA'!E10</f>
        <v/>
      </c>
      <c r="N2" s="94">
        <f>'ALVENARIA'!E11</f>
        <v/>
      </c>
      <c r="O2" s="94">
        <f>'ALVENARIA'!E12</f>
        <v/>
      </c>
      <c r="P2" s="94">
        <f>'ALVENARIA'!E13</f>
        <v/>
      </c>
      <c r="Q2" s="94">
        <f>'ALVENARIA'!E14</f>
        <v/>
      </c>
      <c r="R2" s="94">
        <f>'ALVENARIA'!E15</f>
        <v/>
      </c>
      <c r="S2" s="94">
        <f>'ALVENARIA'!E16</f>
        <v/>
      </c>
      <c r="T2" s="94">
        <f>'ALVENARIA'!E17</f>
        <v/>
      </c>
      <c r="U2" s="94">
        <f>'ALVENARIA'!E18</f>
        <v/>
      </c>
      <c r="V2" s="94">
        <f>'ALVENARIA'!E19</f>
        <v/>
      </c>
      <c r="W2" s="94">
        <f>'ALVENARIA'!E20</f>
        <v/>
      </c>
      <c r="X2" s="94">
        <f>'ALVENARIA'!E21</f>
        <v/>
      </c>
      <c r="Y2" s="94">
        <f>'ALVENARIA'!E22</f>
        <v/>
      </c>
      <c r="Z2" s="94">
        <f>'ALVENARIA'!E23</f>
        <v/>
      </c>
      <c r="AA2" s="94">
        <f>'ALVENARIA'!E24</f>
        <v/>
      </c>
      <c r="AB2" s="94">
        <f>'ALVENARIA'!E25</f>
        <v/>
      </c>
      <c r="AC2" s="94">
        <f>'ALVENARIA'!E26</f>
        <v/>
      </c>
      <c r="AD2" s="94">
        <f>'ALVENARIA'!E27</f>
        <v/>
      </c>
      <c r="AE2" s="94">
        <f>'ALVENARIA'!E28</f>
        <v/>
      </c>
      <c r="AF2" s="94">
        <f>'ALVENARIA'!E29</f>
        <v/>
      </c>
      <c r="AG2" s="94">
        <f>'ALVENARIA'!E30</f>
        <v/>
      </c>
      <c r="AH2" s="94">
        <f>'ALVENARIA'!E31</f>
        <v/>
      </c>
      <c r="AI2" s="94">
        <f>'ALVENARIA'!E32</f>
        <v/>
      </c>
      <c r="AJ2" s="94">
        <f>'ALVENARIA'!E33</f>
        <v/>
      </c>
      <c r="AK2" s="94">
        <f>'ALVENARIA'!E34</f>
        <v/>
      </c>
      <c r="AL2" s="94">
        <f>'ALVENARIA'!E35</f>
        <v/>
      </c>
      <c r="AM2" s="94">
        <f>'ALVENARIA'!E36</f>
        <v/>
      </c>
      <c r="AN2" s="94">
        <f>'ALVENARIA'!E37</f>
        <v/>
      </c>
      <c r="AO2" s="94">
        <f>'ALVENARIA'!E38</f>
        <v/>
      </c>
      <c r="AP2" s="94">
        <f>'ALVENARIA'!E39</f>
        <v/>
      </c>
      <c r="AQ2" s="94">
        <f>'ALVENARIA'!E40</f>
        <v/>
      </c>
      <c r="AR2" s="94">
        <f>'ALVENARIA'!E41</f>
        <v/>
      </c>
      <c r="AS2" s="94">
        <f>'ALVENARIA'!E42</f>
        <v/>
      </c>
      <c r="AT2" s="94">
        <f>'ALVENARIA'!E43</f>
        <v/>
      </c>
      <c r="AU2" s="94">
        <f>'ALVENARIA'!E44</f>
        <v/>
      </c>
      <c r="AV2" s="94">
        <f>'ALVENARIA'!E45</f>
        <v/>
      </c>
      <c r="AW2" s="94">
        <f>'ALVENARIA'!E46</f>
        <v/>
      </c>
      <c r="AX2" s="94">
        <f>'ALVENARIA'!E47</f>
        <v/>
      </c>
      <c r="AY2" s="94">
        <f>'ALVENARIA'!E48</f>
        <v/>
      </c>
      <c r="AZ2" s="94">
        <f>'ALVENARIA'!E49</f>
        <v/>
      </c>
      <c r="BA2" s="94">
        <f>'ALVENARIA'!E50</f>
        <v/>
      </c>
      <c r="BB2" s="94">
        <f>'ALVENARIA'!E51</f>
        <v/>
      </c>
      <c r="BC2" s="94">
        <f>'ALVENARIA'!E52</f>
        <v/>
      </c>
      <c r="BD2" s="94">
        <f>'ALVENARIA'!E53</f>
        <v/>
      </c>
      <c r="BE2" s="94">
        <f>'ALVENARIA'!E54</f>
        <v/>
      </c>
      <c r="BF2" s="94">
        <f>'ALVENARIA'!E55</f>
        <v/>
      </c>
      <c r="BG2" s="94">
        <f>'ALVENARIA'!E56</f>
        <v/>
      </c>
      <c r="BH2" s="94">
        <f>'ALVENARIA'!E57</f>
        <v/>
      </c>
      <c r="BI2" s="94">
        <f>'ALVENARIA'!E58</f>
        <v/>
      </c>
      <c r="BJ2" s="94">
        <f>'ALVENARIA'!E59</f>
        <v/>
      </c>
      <c r="BK2" s="94">
        <f>'ALVENARIA'!E60</f>
        <v/>
      </c>
      <c r="BL2" s="94">
        <f>'ALVENARIA'!E61</f>
        <v/>
      </c>
      <c r="BM2" s="94">
        <f>'ALVENARIA'!E62</f>
        <v/>
      </c>
      <c r="BN2" s="94">
        <f>'ALVENARIA'!E63</f>
        <v/>
      </c>
      <c r="BO2" s="94">
        <f>'ALVENARIA'!E64</f>
        <v/>
      </c>
      <c r="BP2" s="94">
        <f>'ALVENARIA'!E65</f>
        <v/>
      </c>
      <c r="BQ2" s="94">
        <f>'ALVENARIA'!E66</f>
        <v/>
      </c>
      <c r="BR2" s="94">
        <f>'ALVENARIA'!E67</f>
        <v/>
      </c>
      <c r="BS2" s="94">
        <f>'ALVENARIA'!E68</f>
        <v/>
      </c>
      <c r="BT2" s="94">
        <f>'ALVENARIA'!E69</f>
        <v/>
      </c>
      <c r="BU2" s="94">
        <f>'ALVENARIA'!E70</f>
        <v/>
      </c>
      <c r="BV2" s="94">
        <f>'ALVENARIA'!E71</f>
        <v/>
      </c>
      <c r="BW2" s="94">
        <f>'ALVENARIA'!E72</f>
        <v/>
      </c>
      <c r="BX2" s="94">
        <f>'ALVENARIA'!E73</f>
        <v/>
      </c>
      <c r="BY2" s="94">
        <f>'ALVENARIA'!E74</f>
        <v/>
      </c>
      <c r="BZ2" s="94">
        <f>'ALVENARIA'!E75</f>
        <v/>
      </c>
      <c r="CA2" s="94">
        <f>'ALVENARIA'!E76</f>
        <v/>
      </c>
    </row>
    <row r="3">
      <c r="A3" s="59" t="inlineStr">
        <is>
          <t>G041.002</t>
        </is>
      </c>
      <c r="B3" s="59" t="inlineStr">
        <is>
          <t>1030-1070-140</t>
        </is>
      </c>
      <c r="C3" s="59" t="inlineStr">
        <is>
          <t>BARRACAO DE OBRA</t>
        </is>
      </c>
      <c r="D3" s="60">
        <f>'BARRACÃO DE OBRA'!$K$5</f>
        <v/>
      </c>
      <c r="E3" s="49">
        <f>SUM(H3:CA3)</f>
        <v/>
      </c>
      <c r="F3" s="49">
        <f>IF(D3="","",D3-E3)</f>
        <v/>
      </c>
      <c r="H3" s="94">
        <f>'BARRACÃO DE OBRA'!E5</f>
        <v/>
      </c>
      <c r="I3" s="94">
        <f>'BARRACÃO DE OBRA'!E6</f>
        <v/>
      </c>
      <c r="J3" s="94">
        <f>'BARRACÃO DE OBRA'!E7</f>
        <v/>
      </c>
      <c r="K3" s="94">
        <f>'BARRACÃO DE OBRA'!E8</f>
        <v/>
      </c>
      <c r="L3" s="94">
        <f>'BARRACÃO DE OBRA'!E9</f>
        <v/>
      </c>
      <c r="M3" s="94">
        <f>'BARRACÃO DE OBRA'!E10</f>
        <v/>
      </c>
      <c r="N3" s="94">
        <f>'BARRACÃO DE OBRA'!E11</f>
        <v/>
      </c>
      <c r="O3" s="94">
        <f>'BARRACÃO DE OBRA'!E12</f>
        <v/>
      </c>
      <c r="P3" s="94">
        <f>'BARRACÃO DE OBRA'!E13</f>
        <v/>
      </c>
      <c r="Q3" s="94">
        <f>'BARRACÃO DE OBRA'!E14</f>
        <v/>
      </c>
      <c r="R3" s="94">
        <f>'BARRACÃO DE OBRA'!E15</f>
        <v/>
      </c>
      <c r="S3" s="94">
        <f>'BARRACÃO DE OBRA'!E16</f>
        <v/>
      </c>
      <c r="T3" s="94">
        <f>'BARRACÃO DE OBRA'!E17</f>
        <v/>
      </c>
      <c r="U3" s="94">
        <f>'BARRACÃO DE OBRA'!E18</f>
        <v/>
      </c>
      <c r="V3" s="94">
        <f>'BARRACÃO DE OBRA'!E19</f>
        <v/>
      </c>
      <c r="W3" s="94">
        <f>'BARRACÃO DE OBRA'!E20</f>
        <v/>
      </c>
      <c r="X3" s="94">
        <f>'BARRACÃO DE OBRA'!E21</f>
        <v/>
      </c>
      <c r="Y3" s="94">
        <f>'BARRACÃO DE OBRA'!E22</f>
        <v/>
      </c>
      <c r="Z3" s="94">
        <f>'BARRACÃO DE OBRA'!E23</f>
        <v/>
      </c>
      <c r="AA3" s="94">
        <f>'BARRACÃO DE OBRA'!E24</f>
        <v/>
      </c>
      <c r="AB3" s="94">
        <f>'BARRACÃO DE OBRA'!E25</f>
        <v/>
      </c>
      <c r="AC3" s="94">
        <f>'BARRACÃO DE OBRA'!E26</f>
        <v/>
      </c>
      <c r="AD3" s="94">
        <f>'BARRACÃO DE OBRA'!E27</f>
        <v/>
      </c>
      <c r="AE3" s="94">
        <f>'BARRACÃO DE OBRA'!E28</f>
        <v/>
      </c>
      <c r="AF3" s="94">
        <f>'BARRACÃO DE OBRA'!E29</f>
        <v/>
      </c>
      <c r="AG3" s="94">
        <f>'BARRACÃO DE OBRA'!E30</f>
        <v/>
      </c>
      <c r="AH3" s="94">
        <f>'BARRACÃO DE OBRA'!E31</f>
        <v/>
      </c>
      <c r="AI3" s="94">
        <f>'BARRACÃO DE OBRA'!E32</f>
        <v/>
      </c>
      <c r="AJ3" s="94">
        <f>'BARRACÃO DE OBRA'!E33</f>
        <v/>
      </c>
      <c r="AK3" s="94">
        <f>'BARRACÃO DE OBRA'!E34</f>
        <v/>
      </c>
      <c r="AL3" s="94">
        <f>'BARRACÃO DE OBRA'!E35</f>
        <v/>
      </c>
      <c r="AM3" s="94">
        <f>'BARRACÃO DE OBRA'!E36</f>
        <v/>
      </c>
      <c r="AN3" s="94">
        <f>'BARRACÃO DE OBRA'!E37</f>
        <v/>
      </c>
      <c r="AO3" s="94">
        <f>'BARRACÃO DE OBRA'!E38</f>
        <v/>
      </c>
      <c r="AP3" s="94">
        <f>'BARRACÃO DE OBRA'!E39</f>
        <v/>
      </c>
      <c r="AQ3" s="94">
        <f>'BARRACÃO DE OBRA'!E40</f>
        <v/>
      </c>
      <c r="AR3" s="94">
        <f>'BARRACÃO DE OBRA'!E41</f>
        <v/>
      </c>
      <c r="AS3" s="94">
        <f>'BARRACÃO DE OBRA'!E42</f>
        <v/>
      </c>
      <c r="AT3" s="94">
        <f>'BARRACÃO DE OBRA'!E43</f>
        <v/>
      </c>
      <c r="AU3" s="94">
        <f>'BARRACÃO DE OBRA'!E44</f>
        <v/>
      </c>
      <c r="AV3" s="94">
        <f>'BARRACÃO DE OBRA'!E45</f>
        <v/>
      </c>
      <c r="AW3" s="94">
        <f>'BARRACÃO DE OBRA'!E46</f>
        <v/>
      </c>
      <c r="AX3" s="94">
        <f>'BARRACÃO DE OBRA'!E47</f>
        <v/>
      </c>
      <c r="AY3" s="94">
        <f>'BARRACÃO DE OBRA'!E48</f>
        <v/>
      </c>
      <c r="AZ3" s="94">
        <f>'BARRACÃO DE OBRA'!E49</f>
        <v/>
      </c>
      <c r="BA3" s="94">
        <f>'BARRACÃO DE OBRA'!E50</f>
        <v/>
      </c>
      <c r="BB3" s="94">
        <f>'BARRACÃO DE OBRA'!E51</f>
        <v/>
      </c>
      <c r="BC3" s="94">
        <f>'BARRACÃO DE OBRA'!E52</f>
        <v/>
      </c>
      <c r="BD3" s="94">
        <f>'BARRACÃO DE OBRA'!E53</f>
        <v/>
      </c>
      <c r="BE3" s="94">
        <f>'BARRACÃO DE OBRA'!E54</f>
        <v/>
      </c>
      <c r="BF3" s="94">
        <f>'BARRACÃO DE OBRA'!E55</f>
        <v/>
      </c>
      <c r="BG3" s="94">
        <f>'BARRACÃO DE OBRA'!E56</f>
        <v/>
      </c>
      <c r="BH3" s="94">
        <f>'BARRACÃO DE OBRA'!E57</f>
        <v/>
      </c>
      <c r="BI3" s="94">
        <f>'BARRACÃO DE OBRA'!E58</f>
        <v/>
      </c>
      <c r="BJ3" s="94">
        <f>'BARRACÃO DE OBRA'!E59</f>
        <v/>
      </c>
      <c r="BK3" s="94">
        <f>'BARRACÃO DE OBRA'!E60</f>
        <v/>
      </c>
      <c r="BL3" s="94">
        <f>'BARRACÃO DE OBRA'!E61</f>
        <v/>
      </c>
      <c r="BM3" s="94">
        <f>'BARRACÃO DE OBRA'!E62</f>
        <v/>
      </c>
      <c r="BN3" s="94">
        <f>'BARRACÃO DE OBRA'!E63</f>
        <v/>
      </c>
      <c r="BO3" s="94">
        <f>'BARRACÃO DE OBRA'!E64</f>
        <v/>
      </c>
      <c r="BP3" s="94">
        <f>'BARRACÃO DE OBRA'!E65</f>
        <v/>
      </c>
      <c r="BQ3" s="94">
        <f>'BARRACÃO DE OBRA'!E66</f>
        <v/>
      </c>
      <c r="BR3" s="94">
        <f>'BARRACÃO DE OBRA'!E67</f>
        <v/>
      </c>
      <c r="BS3" s="94">
        <f>'BARRACÃO DE OBRA'!E68</f>
        <v/>
      </c>
      <c r="BT3" s="94">
        <f>'BARRACÃO DE OBRA'!E69</f>
        <v/>
      </c>
      <c r="BU3" s="94">
        <f>'BARRACÃO DE OBRA'!E70</f>
        <v/>
      </c>
      <c r="BV3" s="94">
        <f>'BARRACÃO DE OBRA'!E71</f>
        <v/>
      </c>
      <c r="BW3" s="94">
        <f>'BARRACÃO DE OBRA'!E72</f>
        <v/>
      </c>
      <c r="BX3" s="94">
        <f>'BARRACÃO DE OBRA'!E73</f>
        <v/>
      </c>
      <c r="BY3" s="94">
        <f>'BARRACÃO DE OBRA'!E74</f>
        <v/>
      </c>
      <c r="BZ3" s="94">
        <f>'BARRACÃO DE OBRA'!E75</f>
        <v/>
      </c>
      <c r="CA3" s="94">
        <f>'BARRACÃO DE OBRA'!E76</f>
        <v/>
      </c>
    </row>
    <row r="4">
      <c r="A4" s="59" t="inlineStr">
        <is>
          <t>G041.002</t>
        </is>
      </c>
      <c r="B4" s="59" t="inlineStr">
        <is>
          <t>1030-1070-160</t>
        </is>
      </c>
      <c r="C4" s="59" t="inlineStr">
        <is>
          <t>CONSULTORIAS (OBRAS)</t>
        </is>
      </c>
      <c r="D4" s="60">
        <f>'CONSULTORIAS'!$K$5</f>
        <v/>
      </c>
      <c r="E4" s="49">
        <f>SUM(H4:CA4)</f>
        <v/>
      </c>
      <c r="F4" s="49">
        <f>IF(D4="","",D4-E4)</f>
        <v/>
      </c>
      <c r="H4" s="94">
        <f>'CONSULTORIAS'!E5</f>
        <v/>
      </c>
      <c r="I4" s="94">
        <f>'CONSULTORIAS'!E6</f>
        <v/>
      </c>
      <c r="J4" s="94">
        <f>'CONSULTORIAS'!E7</f>
        <v/>
      </c>
      <c r="K4" s="94">
        <f>'CONSULTORIAS'!E8</f>
        <v/>
      </c>
      <c r="L4" s="94">
        <f>'CONSULTORIAS'!E9</f>
        <v/>
      </c>
      <c r="M4" s="94">
        <f>'CONSULTORIAS'!E10</f>
        <v/>
      </c>
      <c r="N4" s="94">
        <f>'CONSULTORIAS'!E11</f>
        <v/>
      </c>
      <c r="O4" s="94">
        <f>'CONSULTORIAS'!E12</f>
        <v/>
      </c>
      <c r="P4" s="94">
        <f>'CONSULTORIAS'!E13</f>
        <v/>
      </c>
      <c r="Q4" s="94">
        <f>'CONSULTORIAS'!E14</f>
        <v/>
      </c>
      <c r="R4" s="94">
        <f>'CONSULTORIAS'!E15</f>
        <v/>
      </c>
      <c r="S4" s="94">
        <f>'CONSULTORIAS'!E16</f>
        <v/>
      </c>
      <c r="T4" s="94">
        <f>'CONSULTORIAS'!E17</f>
        <v/>
      </c>
      <c r="U4" s="94">
        <f>'CONSULTORIAS'!E18</f>
        <v/>
      </c>
      <c r="V4" s="94">
        <f>'CONSULTORIAS'!E19</f>
        <v/>
      </c>
      <c r="W4" s="94">
        <f>'CONSULTORIAS'!E20</f>
        <v/>
      </c>
      <c r="X4" s="94">
        <f>'CONSULTORIAS'!E21</f>
        <v/>
      </c>
      <c r="Y4" s="94">
        <f>'CONSULTORIAS'!E22</f>
        <v/>
      </c>
      <c r="Z4" s="94">
        <f>'CONSULTORIAS'!E23</f>
        <v/>
      </c>
      <c r="AA4" s="94">
        <f>'CONSULTORIAS'!E24</f>
        <v/>
      </c>
      <c r="AB4" s="94">
        <f>'CONSULTORIAS'!E25</f>
        <v/>
      </c>
      <c r="AC4" s="94">
        <f>'CONSULTORIAS'!E26</f>
        <v/>
      </c>
      <c r="AD4" s="94">
        <f>'CONSULTORIAS'!E27</f>
        <v/>
      </c>
      <c r="AE4" s="94">
        <f>'CONSULTORIAS'!E28</f>
        <v/>
      </c>
      <c r="AF4" s="94">
        <f>'CONSULTORIAS'!E29</f>
        <v/>
      </c>
      <c r="AG4" s="94">
        <f>'CONSULTORIAS'!E30</f>
        <v/>
      </c>
      <c r="AH4" s="94">
        <f>'CONSULTORIAS'!E31</f>
        <v/>
      </c>
      <c r="AI4" s="94">
        <f>'CONSULTORIAS'!E32</f>
        <v/>
      </c>
      <c r="AJ4" s="94">
        <f>'CONSULTORIAS'!E33</f>
        <v/>
      </c>
      <c r="AK4" s="94">
        <f>'CONSULTORIAS'!E34</f>
        <v/>
      </c>
      <c r="AL4" s="94">
        <f>'CONSULTORIAS'!E35</f>
        <v/>
      </c>
      <c r="AM4" s="94">
        <f>'CONSULTORIAS'!E36</f>
        <v/>
      </c>
      <c r="AN4" s="94">
        <f>'CONSULTORIAS'!E37</f>
        <v/>
      </c>
      <c r="AO4" s="94">
        <f>'CONSULTORIAS'!E38</f>
        <v/>
      </c>
      <c r="AP4" s="94">
        <f>'CONSULTORIAS'!E39</f>
        <v/>
      </c>
      <c r="AQ4" s="94">
        <f>'CONSULTORIAS'!E40</f>
        <v/>
      </c>
      <c r="AR4" s="94">
        <f>'CONSULTORIAS'!E41</f>
        <v/>
      </c>
      <c r="AS4" s="94">
        <f>'CONSULTORIAS'!E42</f>
        <v/>
      </c>
      <c r="AT4" s="94">
        <f>'CONSULTORIAS'!E43</f>
        <v/>
      </c>
      <c r="AU4" s="94">
        <f>'CONSULTORIAS'!E44</f>
        <v/>
      </c>
      <c r="AV4" s="94">
        <f>'CONSULTORIAS'!E45</f>
        <v/>
      </c>
      <c r="AW4" s="94">
        <f>'CONSULTORIAS'!E46</f>
        <v/>
      </c>
      <c r="AX4" s="94">
        <f>'CONSULTORIAS'!E47</f>
        <v/>
      </c>
      <c r="AY4" s="94">
        <f>'CONSULTORIAS'!E48</f>
        <v/>
      </c>
      <c r="AZ4" s="94">
        <f>'CONSULTORIAS'!E49</f>
        <v/>
      </c>
      <c r="BA4" s="94">
        <f>'CONSULTORIAS'!E50</f>
        <v/>
      </c>
      <c r="BB4" s="94">
        <f>'CONSULTORIAS'!E51</f>
        <v/>
      </c>
      <c r="BC4" s="94">
        <f>'CONSULTORIAS'!E52</f>
        <v/>
      </c>
      <c r="BD4" s="94">
        <f>'CONSULTORIAS'!E53</f>
        <v/>
      </c>
      <c r="BE4" s="94">
        <f>'CONSULTORIAS'!E54</f>
        <v/>
      </c>
      <c r="BF4" s="94">
        <f>'CONSULTORIAS'!E55</f>
        <v/>
      </c>
      <c r="BG4" s="94">
        <f>'CONSULTORIAS'!E56</f>
        <v/>
      </c>
      <c r="BH4" s="94">
        <f>'CONSULTORIAS'!E57</f>
        <v/>
      </c>
      <c r="BI4" s="94">
        <f>'CONSULTORIAS'!E58</f>
        <v/>
      </c>
      <c r="BJ4" s="94">
        <f>'CONSULTORIAS'!E59</f>
        <v/>
      </c>
      <c r="BK4" s="94">
        <f>'CONSULTORIAS'!E60</f>
        <v/>
      </c>
      <c r="BL4" s="94">
        <f>'CONSULTORIAS'!E61</f>
        <v/>
      </c>
      <c r="BM4" s="94">
        <f>'CONSULTORIAS'!E62</f>
        <v/>
      </c>
      <c r="BN4" s="94">
        <f>'CONSULTORIAS'!E63</f>
        <v/>
      </c>
      <c r="BO4" s="94">
        <f>'CONSULTORIAS'!E64</f>
        <v/>
      </c>
      <c r="BP4" s="94">
        <f>'CONSULTORIAS'!E65</f>
        <v/>
      </c>
      <c r="BQ4" s="94">
        <f>'CONSULTORIAS'!E66</f>
        <v/>
      </c>
      <c r="BR4" s="94">
        <f>'CONSULTORIAS'!E67</f>
        <v/>
      </c>
      <c r="BS4" s="94">
        <f>'CONSULTORIAS'!E68</f>
        <v/>
      </c>
      <c r="BT4" s="94">
        <f>'CONSULTORIAS'!E69</f>
        <v/>
      </c>
      <c r="BU4" s="94">
        <f>'CONSULTORIAS'!E70</f>
        <v/>
      </c>
      <c r="BV4" s="94">
        <f>'CONSULTORIAS'!E71</f>
        <v/>
      </c>
      <c r="BW4" s="94">
        <f>'CONSULTORIAS'!E72</f>
        <v/>
      </c>
      <c r="BX4" s="94">
        <f>'CONSULTORIAS'!E73</f>
        <v/>
      </c>
      <c r="BY4" s="94">
        <f>'CONSULTORIAS'!E74</f>
        <v/>
      </c>
      <c r="BZ4" s="94">
        <f>'CONSULTORIAS'!E75</f>
        <v/>
      </c>
      <c r="CA4" s="94">
        <f>'CONSULTORIAS'!E76</f>
        <v/>
      </c>
    </row>
    <row r="5">
      <c r="A5" s="59" t="inlineStr">
        <is>
          <t>G041.002</t>
        </is>
      </c>
      <c r="B5" s="59" t="inlineStr">
        <is>
          <t>1030-1070-170</t>
        </is>
      </c>
      <c r="C5" s="59" t="inlineStr">
        <is>
          <t>CONSUMO DE ÁGUA, ENERGIA, ETC.</t>
        </is>
      </c>
      <c r="D5" s="60">
        <f>'CONSUMOS'!$K$5</f>
        <v/>
      </c>
      <c r="E5" s="49">
        <f>SUM(H5:CA5)</f>
        <v/>
      </c>
      <c r="F5" s="49">
        <f>IF(D5="","",D5-E5)</f>
        <v/>
      </c>
      <c r="H5" s="94">
        <f>'CONSUMOS'!E5</f>
        <v/>
      </c>
      <c r="I5" s="94">
        <f>'CONSUMOS'!E6</f>
        <v/>
      </c>
      <c r="J5" s="94">
        <f>'CONSUMOS'!E7</f>
        <v/>
      </c>
      <c r="K5" s="94">
        <f>'CONSUMOS'!E8</f>
        <v/>
      </c>
      <c r="L5" s="94">
        <f>'CONSUMOS'!E9</f>
        <v/>
      </c>
      <c r="M5" s="94">
        <f>'CONSUMOS'!E10</f>
        <v/>
      </c>
      <c r="N5" s="94">
        <f>'CONSUMOS'!E11</f>
        <v/>
      </c>
      <c r="O5" s="94">
        <f>'CONSUMOS'!E12</f>
        <v/>
      </c>
      <c r="P5" s="94">
        <f>'CONSUMOS'!E13</f>
        <v/>
      </c>
      <c r="Q5" s="94">
        <f>'CONSUMOS'!E14</f>
        <v/>
      </c>
      <c r="R5" s="94">
        <f>'CONSUMOS'!E15</f>
        <v/>
      </c>
      <c r="S5" s="94">
        <f>'CONSUMOS'!E16</f>
        <v/>
      </c>
      <c r="T5" s="94">
        <f>'CONSUMOS'!E17</f>
        <v/>
      </c>
      <c r="U5" s="94">
        <f>'CONSUMOS'!E18</f>
        <v/>
      </c>
      <c r="V5" s="94">
        <f>'CONSUMOS'!E19</f>
        <v/>
      </c>
      <c r="W5" s="94">
        <f>'CONSUMOS'!E20</f>
        <v/>
      </c>
      <c r="X5" s="94">
        <f>'CONSUMOS'!E21</f>
        <v/>
      </c>
      <c r="Y5" s="94">
        <f>'CONSUMOS'!E22</f>
        <v/>
      </c>
      <c r="Z5" s="94">
        <f>'CONSUMOS'!E23</f>
        <v/>
      </c>
      <c r="AA5" s="94">
        <f>'CONSUMOS'!E24</f>
        <v/>
      </c>
      <c r="AB5" s="94">
        <f>'CONSUMOS'!E25</f>
        <v/>
      </c>
      <c r="AC5" s="94">
        <f>'CONSUMOS'!E26</f>
        <v/>
      </c>
      <c r="AD5" s="94">
        <f>'CONSUMOS'!E27</f>
        <v/>
      </c>
      <c r="AE5" s="94">
        <f>'CONSUMOS'!E28</f>
        <v/>
      </c>
      <c r="AF5" s="94">
        <f>'CONSUMOS'!E29</f>
        <v/>
      </c>
      <c r="AG5" s="94">
        <f>'CONSUMOS'!E30</f>
        <v/>
      </c>
      <c r="AH5" s="94">
        <f>'CONSUMOS'!E31</f>
        <v/>
      </c>
      <c r="AI5" s="94">
        <f>'CONSUMOS'!E32</f>
        <v/>
      </c>
      <c r="AJ5" s="94">
        <f>'CONSUMOS'!E33</f>
        <v/>
      </c>
      <c r="AK5" s="94">
        <f>'CONSUMOS'!E34</f>
        <v/>
      </c>
      <c r="AL5" s="94">
        <f>'CONSUMOS'!E35</f>
        <v/>
      </c>
      <c r="AM5" s="94">
        <f>'CONSUMOS'!E36</f>
        <v/>
      </c>
      <c r="AN5" s="94">
        <f>'CONSUMOS'!E37</f>
        <v/>
      </c>
      <c r="AO5" s="94">
        <f>'CONSUMOS'!E38</f>
        <v/>
      </c>
      <c r="AP5" s="94">
        <f>'CONSUMOS'!E39</f>
        <v/>
      </c>
      <c r="AQ5" s="94">
        <f>'CONSUMOS'!E40</f>
        <v/>
      </c>
      <c r="AR5" s="94">
        <f>'CONSUMOS'!E41</f>
        <v/>
      </c>
      <c r="AS5" s="94">
        <f>'CONSUMOS'!E42</f>
        <v/>
      </c>
      <c r="AT5" s="94">
        <f>'CONSUMOS'!E43</f>
        <v/>
      </c>
      <c r="AU5" s="94">
        <f>'CONSUMOS'!E44</f>
        <v/>
      </c>
      <c r="AV5" s="94">
        <f>'CONSUMOS'!E45</f>
        <v/>
      </c>
      <c r="AW5" s="94">
        <f>'CONSUMOS'!E46</f>
        <v/>
      </c>
      <c r="AX5" s="94">
        <f>'CONSUMOS'!E47</f>
        <v/>
      </c>
      <c r="AY5" s="94">
        <f>'CONSUMOS'!E48</f>
        <v/>
      </c>
      <c r="AZ5" s="94">
        <f>'CONSUMOS'!E49</f>
        <v/>
      </c>
      <c r="BA5" s="94">
        <f>'CONSUMOS'!E50</f>
        <v/>
      </c>
      <c r="BB5" s="94">
        <f>'CONSUMOS'!E51</f>
        <v/>
      </c>
      <c r="BC5" s="94">
        <f>'CONSUMOS'!E52</f>
        <v/>
      </c>
      <c r="BD5" s="94">
        <f>'CONSUMOS'!E53</f>
        <v/>
      </c>
      <c r="BE5" s="94">
        <f>'CONSUMOS'!E54</f>
        <v/>
      </c>
      <c r="BF5" s="94">
        <f>'CONSUMOS'!E55</f>
        <v/>
      </c>
      <c r="BG5" s="94">
        <f>'CONSUMOS'!E56</f>
        <v/>
      </c>
      <c r="BH5" s="94">
        <f>'CONSUMOS'!E57</f>
        <v/>
      </c>
      <c r="BI5" s="94">
        <f>'CONSUMOS'!E58</f>
        <v/>
      </c>
      <c r="BJ5" s="94">
        <f>'CONSUMOS'!E59</f>
        <v/>
      </c>
      <c r="BK5" s="94">
        <f>'CONSUMOS'!E60</f>
        <v/>
      </c>
      <c r="BL5" s="94">
        <f>'CONSUMOS'!E61</f>
        <v/>
      </c>
      <c r="BM5" s="94">
        <f>'CONSUMOS'!E62</f>
        <v/>
      </c>
      <c r="BN5" s="94">
        <f>'CONSUMOS'!E63</f>
        <v/>
      </c>
      <c r="BO5" s="94">
        <f>'CONSUMOS'!E64</f>
        <v/>
      </c>
      <c r="BP5" s="94">
        <f>'CONSUMOS'!E65</f>
        <v/>
      </c>
      <c r="BQ5" s="94">
        <f>'CONSUMOS'!E66</f>
        <v/>
      </c>
      <c r="BR5" s="94">
        <f>'CONSUMOS'!E67</f>
        <v/>
      </c>
      <c r="BS5" s="94">
        <f>'CONSUMOS'!E68</f>
        <v/>
      </c>
      <c r="BT5" s="94">
        <f>'CONSUMOS'!E69</f>
        <v/>
      </c>
      <c r="BU5" s="94">
        <f>'CONSUMOS'!E70</f>
        <v/>
      </c>
      <c r="BV5" s="94">
        <f>'CONSUMOS'!E71</f>
        <v/>
      </c>
      <c r="BW5" s="94">
        <f>'CONSUMOS'!E72</f>
        <v/>
      </c>
      <c r="BX5" s="94">
        <f>'CONSUMOS'!E73</f>
        <v/>
      </c>
      <c r="BY5" s="94">
        <f>'CONSUMOS'!E74</f>
        <v/>
      </c>
      <c r="BZ5" s="94">
        <f>'CONSUMOS'!E75</f>
        <v/>
      </c>
      <c r="CA5" s="94">
        <f>'CONSUMOS'!E76</f>
        <v/>
      </c>
    </row>
    <row r="6">
      <c r="A6" s="59" t="inlineStr">
        <is>
          <t>G041.002</t>
        </is>
      </c>
      <c r="B6" s="59" t="inlineStr">
        <is>
          <t>1030-1070-190</t>
        </is>
      </c>
      <c r="C6" s="59" t="inlineStr">
        <is>
          <t>CONTENÇÃO</t>
        </is>
      </c>
      <c r="D6" s="60">
        <f>'CONTENÇÃO'!$K$5</f>
        <v/>
      </c>
      <c r="E6" s="49">
        <f>SUM(H6:CA6)</f>
        <v/>
      </c>
      <c r="F6" s="49">
        <f>IF(D6="","",D6-E6)</f>
        <v/>
      </c>
      <c r="H6" s="94">
        <f>'CONTENÇÃO'!E5</f>
        <v/>
      </c>
      <c r="I6" s="94">
        <f>'CONTENÇÃO'!E6</f>
        <v/>
      </c>
      <c r="J6" s="94">
        <f>'CONTENÇÃO'!E7</f>
        <v/>
      </c>
      <c r="K6" s="94">
        <f>'CONTENÇÃO'!E8</f>
        <v/>
      </c>
      <c r="L6" s="94">
        <f>'CONTENÇÃO'!E9</f>
        <v/>
      </c>
      <c r="M6" s="94">
        <f>'CONTENÇÃO'!E10</f>
        <v/>
      </c>
      <c r="N6" s="94">
        <f>'CONTENÇÃO'!E11</f>
        <v/>
      </c>
      <c r="O6" s="94">
        <f>'CONTENÇÃO'!E12</f>
        <v/>
      </c>
      <c r="P6" s="94">
        <f>'CONTENÇÃO'!E13</f>
        <v/>
      </c>
      <c r="Q6" s="94">
        <f>'CONTENÇÃO'!E14</f>
        <v/>
      </c>
      <c r="R6" s="94">
        <f>'CONTENÇÃO'!E15</f>
        <v/>
      </c>
      <c r="S6" s="94">
        <f>'CONTENÇÃO'!E16</f>
        <v/>
      </c>
      <c r="T6" s="94">
        <f>'CONTENÇÃO'!E17</f>
        <v/>
      </c>
      <c r="U6" s="94">
        <f>'CONTENÇÃO'!E18</f>
        <v/>
      </c>
      <c r="V6" s="94">
        <f>'CONTENÇÃO'!E19</f>
        <v/>
      </c>
      <c r="W6" s="94">
        <f>'CONTENÇÃO'!E20</f>
        <v/>
      </c>
      <c r="X6" s="94">
        <f>'CONTENÇÃO'!E21</f>
        <v/>
      </c>
      <c r="Y6" s="94">
        <f>'CONTENÇÃO'!E22</f>
        <v/>
      </c>
      <c r="Z6" s="94">
        <f>'CONTENÇÃO'!E23</f>
        <v/>
      </c>
      <c r="AA6" s="94">
        <f>'CONTENÇÃO'!E24</f>
        <v/>
      </c>
      <c r="AB6" s="94">
        <f>'CONTENÇÃO'!E25</f>
        <v/>
      </c>
      <c r="AC6" s="94">
        <f>'CONTENÇÃO'!E26</f>
        <v/>
      </c>
      <c r="AD6" s="94">
        <f>'CONTENÇÃO'!E27</f>
        <v/>
      </c>
      <c r="AE6" s="94">
        <f>'CONTENÇÃO'!E28</f>
        <v/>
      </c>
      <c r="AF6" s="94">
        <f>'CONTENÇÃO'!E29</f>
        <v/>
      </c>
      <c r="AG6" s="94">
        <f>'CONTENÇÃO'!E30</f>
        <v/>
      </c>
      <c r="AH6" s="94">
        <f>'CONTENÇÃO'!E31</f>
        <v/>
      </c>
      <c r="AI6" s="94">
        <f>'CONTENÇÃO'!E32</f>
        <v/>
      </c>
      <c r="AJ6" s="94">
        <f>'CONTENÇÃO'!E33</f>
        <v/>
      </c>
      <c r="AK6" s="94">
        <f>'CONTENÇÃO'!E34</f>
        <v/>
      </c>
      <c r="AL6" s="94">
        <f>'CONTENÇÃO'!E35</f>
        <v/>
      </c>
      <c r="AM6" s="94">
        <f>'CONTENÇÃO'!E36</f>
        <v/>
      </c>
      <c r="AN6" s="94">
        <f>'CONTENÇÃO'!E37</f>
        <v/>
      </c>
      <c r="AO6" s="94">
        <f>'CONTENÇÃO'!E38</f>
        <v/>
      </c>
      <c r="AP6" s="94">
        <f>'CONTENÇÃO'!E39</f>
        <v/>
      </c>
      <c r="AQ6" s="94">
        <f>'CONTENÇÃO'!E40</f>
        <v/>
      </c>
      <c r="AR6" s="94">
        <f>'CONTENÇÃO'!E41</f>
        <v/>
      </c>
      <c r="AS6" s="94">
        <f>'CONTENÇÃO'!E42</f>
        <v/>
      </c>
      <c r="AT6" s="94">
        <f>'CONTENÇÃO'!E43</f>
        <v/>
      </c>
      <c r="AU6" s="94">
        <f>'CONTENÇÃO'!E44</f>
        <v/>
      </c>
      <c r="AV6" s="94">
        <f>'CONTENÇÃO'!E45</f>
        <v/>
      </c>
      <c r="AW6" s="94">
        <f>'CONTENÇÃO'!E46</f>
        <v/>
      </c>
      <c r="AX6" s="94">
        <f>'CONTENÇÃO'!E47</f>
        <v/>
      </c>
      <c r="AY6" s="94">
        <f>'CONTENÇÃO'!E48</f>
        <v/>
      </c>
      <c r="AZ6" s="94">
        <f>'CONTENÇÃO'!E49</f>
        <v/>
      </c>
      <c r="BA6" s="94">
        <f>'CONTENÇÃO'!E50</f>
        <v/>
      </c>
      <c r="BB6" s="94">
        <f>'CONTENÇÃO'!E51</f>
        <v/>
      </c>
      <c r="BC6" s="94">
        <f>'CONTENÇÃO'!E52</f>
        <v/>
      </c>
      <c r="BD6" s="94">
        <f>'CONTENÇÃO'!E53</f>
        <v/>
      </c>
      <c r="BE6" s="94">
        <f>'CONTENÇÃO'!E54</f>
        <v/>
      </c>
      <c r="BF6" s="94">
        <f>'CONTENÇÃO'!E55</f>
        <v/>
      </c>
      <c r="BG6" s="94">
        <f>'CONTENÇÃO'!E56</f>
        <v/>
      </c>
      <c r="BH6" s="94">
        <f>'CONTENÇÃO'!E57</f>
        <v/>
      </c>
      <c r="BI6" s="94">
        <f>'CONTENÇÃO'!E58</f>
        <v/>
      </c>
      <c r="BJ6" s="94">
        <f>'CONTENÇÃO'!E59</f>
        <v/>
      </c>
      <c r="BK6" s="94">
        <f>'CONTENÇÃO'!E60</f>
        <v/>
      </c>
      <c r="BL6" s="94">
        <f>'CONTENÇÃO'!E61</f>
        <v/>
      </c>
      <c r="BM6" s="94">
        <f>'CONTENÇÃO'!E62</f>
        <v/>
      </c>
      <c r="BN6" s="94">
        <f>'CONTENÇÃO'!E63</f>
        <v/>
      </c>
      <c r="BO6" s="94">
        <f>'CONTENÇÃO'!E64</f>
        <v/>
      </c>
      <c r="BP6" s="94">
        <f>'CONTENÇÃO'!E65</f>
        <v/>
      </c>
      <c r="BQ6" s="94">
        <f>'CONTENÇÃO'!E66</f>
        <v/>
      </c>
      <c r="BR6" s="94">
        <f>'CONTENÇÃO'!E67</f>
        <v/>
      </c>
      <c r="BS6" s="94">
        <f>'CONTENÇÃO'!E68</f>
        <v/>
      </c>
      <c r="BT6" s="94">
        <f>'CONTENÇÃO'!E69</f>
        <v/>
      </c>
      <c r="BU6" s="94">
        <f>'CONTENÇÃO'!E70</f>
        <v/>
      </c>
      <c r="BV6" s="94">
        <f>'CONTENÇÃO'!E71</f>
        <v/>
      </c>
      <c r="BW6" s="94">
        <f>'CONTENÇÃO'!E72</f>
        <v/>
      </c>
      <c r="BX6" s="94">
        <f>'CONTENÇÃO'!E73</f>
        <v/>
      </c>
      <c r="BY6" s="94">
        <f>'CONTENÇÃO'!E74</f>
        <v/>
      </c>
      <c r="BZ6" s="94">
        <f>'CONTENÇÃO'!E75</f>
        <v/>
      </c>
      <c r="CA6" s="94">
        <f>'CONTENÇÃO'!E76</f>
        <v/>
      </c>
    </row>
    <row r="7">
      <c r="A7" s="59" t="inlineStr">
        <is>
          <t>G041.002</t>
        </is>
      </c>
      <c r="B7" s="59" t="inlineStr">
        <is>
          <t>1030-1070-510</t>
        </is>
      </c>
      <c r="C7" s="59" t="inlineStr">
        <is>
          <t>DEMOLIÇÃO</t>
        </is>
      </c>
      <c r="E7" s="49">
        <f>SUM(H7:CA7)</f>
        <v/>
      </c>
      <c r="F7" s="49">
        <f>IF(D7="","",D7-E7)</f>
        <v/>
      </c>
    </row>
    <row r="8">
      <c r="A8" s="59" t="inlineStr">
        <is>
          <t>G041.002</t>
        </is>
      </c>
      <c r="B8" s="59" t="inlineStr">
        <is>
          <t>1030-1070-550</t>
        </is>
      </c>
      <c r="C8" s="59" t="inlineStr">
        <is>
          <t>DEVOLUÇÃO DE CAIXA DE OBRA</t>
        </is>
      </c>
      <c r="E8" s="49">
        <f>SUM(H8:CA8)</f>
        <v/>
      </c>
      <c r="F8" s="49">
        <f>IF(D8="","",D8-E8)</f>
        <v/>
      </c>
    </row>
    <row r="9">
      <c r="A9" s="59" t="inlineStr">
        <is>
          <t>G041.002</t>
        </is>
      </c>
      <c r="B9" s="59" t="inlineStr">
        <is>
          <t>1030-1070-560</t>
        </is>
      </c>
      <c r="C9" s="59" t="inlineStr">
        <is>
          <t>DIVERSOS</t>
        </is>
      </c>
      <c r="D9" s="60">
        <f>'DIVERSOS'!$K$5</f>
        <v/>
      </c>
      <c r="E9" s="49">
        <f>SUM(H9:CA9)</f>
        <v/>
      </c>
      <c r="F9" s="49">
        <f>IF(D9="","",D9-E9)</f>
        <v/>
      </c>
      <c r="H9" s="94">
        <f>'DIVERSOS'!E5</f>
        <v/>
      </c>
      <c r="I9" s="94">
        <f>'DIVERSOS'!E6</f>
        <v/>
      </c>
      <c r="J9" s="94">
        <f>'DIVERSOS'!E7</f>
        <v/>
      </c>
      <c r="K9" s="94">
        <f>'DIVERSOS'!E8</f>
        <v/>
      </c>
      <c r="L9" s="94">
        <f>'DIVERSOS'!E9</f>
        <v/>
      </c>
      <c r="M9" s="94">
        <f>'DIVERSOS'!E10</f>
        <v/>
      </c>
      <c r="N9" s="94">
        <f>'DIVERSOS'!E11</f>
        <v/>
      </c>
      <c r="O9" s="94">
        <f>'DIVERSOS'!E12</f>
        <v/>
      </c>
      <c r="P9" s="94">
        <f>'DIVERSOS'!E13</f>
        <v/>
      </c>
      <c r="Q9" s="94">
        <f>'DIVERSOS'!E14</f>
        <v/>
      </c>
      <c r="R9" s="94">
        <f>'DIVERSOS'!E15</f>
        <v/>
      </c>
      <c r="S9" s="94">
        <f>'DIVERSOS'!E16</f>
        <v/>
      </c>
      <c r="T9" s="94">
        <f>'DIVERSOS'!E17</f>
        <v/>
      </c>
      <c r="U9" s="94">
        <f>'DIVERSOS'!E18</f>
        <v/>
      </c>
      <c r="V9" s="94">
        <f>'DIVERSOS'!E19</f>
        <v/>
      </c>
      <c r="W9" s="94">
        <f>'DIVERSOS'!E20</f>
        <v/>
      </c>
      <c r="X9" s="94">
        <f>'DIVERSOS'!E21</f>
        <v/>
      </c>
      <c r="Y9" s="94">
        <f>'DIVERSOS'!E22</f>
        <v/>
      </c>
      <c r="Z9" s="94">
        <f>'DIVERSOS'!E23</f>
        <v/>
      </c>
      <c r="AA9" s="94">
        <f>'DIVERSOS'!E24</f>
        <v/>
      </c>
      <c r="AB9" s="94">
        <f>'DIVERSOS'!E25</f>
        <v/>
      </c>
      <c r="AC9" s="94">
        <f>'DIVERSOS'!E26</f>
        <v/>
      </c>
      <c r="AD9" s="94">
        <f>'DIVERSOS'!E27</f>
        <v/>
      </c>
      <c r="AE9" s="94">
        <f>'DIVERSOS'!E28</f>
        <v/>
      </c>
      <c r="AF9" s="94">
        <f>'DIVERSOS'!E29</f>
        <v/>
      </c>
      <c r="AG9" s="94">
        <f>'DIVERSOS'!E30</f>
        <v/>
      </c>
      <c r="AH9" s="94">
        <f>'DIVERSOS'!E31</f>
        <v/>
      </c>
      <c r="AI9" s="94">
        <f>'DIVERSOS'!E32</f>
        <v/>
      </c>
      <c r="AJ9" s="94">
        <f>'DIVERSOS'!E33</f>
        <v/>
      </c>
      <c r="AK9" s="94">
        <f>'DIVERSOS'!E34</f>
        <v/>
      </c>
      <c r="AL9" s="94">
        <f>'DIVERSOS'!E35</f>
        <v/>
      </c>
      <c r="AM9" s="94">
        <f>'DIVERSOS'!E36</f>
        <v/>
      </c>
      <c r="AN9" s="94">
        <f>'DIVERSOS'!E37</f>
        <v/>
      </c>
      <c r="AO9" s="94">
        <f>'DIVERSOS'!E38</f>
        <v/>
      </c>
      <c r="AP9" s="94">
        <f>'DIVERSOS'!E39</f>
        <v/>
      </c>
      <c r="AQ9" s="94">
        <f>'DIVERSOS'!E40</f>
        <v/>
      </c>
      <c r="AR9" s="94">
        <f>'DIVERSOS'!E41</f>
        <v/>
      </c>
      <c r="AS9" s="94">
        <f>'DIVERSOS'!E42</f>
        <v/>
      </c>
      <c r="AT9" s="94">
        <f>'DIVERSOS'!E43</f>
        <v/>
      </c>
      <c r="AU9" s="94">
        <f>'DIVERSOS'!E44</f>
        <v/>
      </c>
      <c r="AV9" s="94">
        <f>'DIVERSOS'!E45</f>
        <v/>
      </c>
      <c r="AW9" s="94">
        <f>'DIVERSOS'!E46</f>
        <v/>
      </c>
      <c r="AX9" s="94">
        <f>'DIVERSOS'!E47</f>
        <v/>
      </c>
      <c r="AY9" s="94">
        <f>'DIVERSOS'!E48</f>
        <v/>
      </c>
      <c r="AZ9" s="94">
        <f>'DIVERSOS'!E49</f>
        <v/>
      </c>
      <c r="BA9" s="94">
        <f>'DIVERSOS'!E50</f>
        <v/>
      </c>
      <c r="BB9" s="94">
        <f>'DIVERSOS'!E51</f>
        <v/>
      </c>
      <c r="BC9" s="94">
        <f>'DIVERSOS'!E52</f>
        <v/>
      </c>
      <c r="BD9" s="94">
        <f>'DIVERSOS'!E53</f>
        <v/>
      </c>
      <c r="BE9" s="94">
        <f>'DIVERSOS'!E54</f>
        <v/>
      </c>
      <c r="BF9" s="94">
        <f>'DIVERSOS'!E55</f>
        <v/>
      </c>
      <c r="BG9" s="94">
        <f>'DIVERSOS'!E56</f>
        <v/>
      </c>
      <c r="BH9" s="94">
        <f>'DIVERSOS'!E57</f>
        <v/>
      </c>
      <c r="BI9" s="94">
        <f>'DIVERSOS'!E58</f>
        <v/>
      </c>
      <c r="BJ9" s="94">
        <f>'DIVERSOS'!E59</f>
        <v/>
      </c>
      <c r="BK9" s="94">
        <f>'DIVERSOS'!E60</f>
        <v/>
      </c>
      <c r="BL9" s="94">
        <f>'DIVERSOS'!E61</f>
        <v/>
      </c>
      <c r="BM9" s="94">
        <f>'DIVERSOS'!E62</f>
        <v/>
      </c>
      <c r="BN9" s="94">
        <f>'DIVERSOS'!E63</f>
        <v/>
      </c>
      <c r="BO9" s="94">
        <f>'DIVERSOS'!E64</f>
        <v/>
      </c>
      <c r="BP9" s="94">
        <f>'DIVERSOS'!E65</f>
        <v/>
      </c>
      <c r="BQ9" s="94">
        <f>'DIVERSOS'!E66</f>
        <v/>
      </c>
      <c r="BR9" s="94">
        <f>'DIVERSOS'!E67</f>
        <v/>
      </c>
      <c r="BS9" s="94">
        <f>'DIVERSOS'!E68</f>
        <v/>
      </c>
      <c r="BT9" s="94">
        <f>'DIVERSOS'!E69</f>
        <v/>
      </c>
      <c r="BU9" s="94">
        <f>'DIVERSOS'!E70</f>
        <v/>
      </c>
      <c r="BV9" s="94">
        <f>'DIVERSOS'!E71</f>
        <v/>
      </c>
      <c r="BW9" s="94">
        <f>'DIVERSOS'!E72</f>
        <v/>
      </c>
      <c r="BX9" s="94">
        <f>'DIVERSOS'!E73</f>
        <v/>
      </c>
      <c r="BY9" s="94">
        <f>'DIVERSOS'!E74</f>
        <v/>
      </c>
      <c r="BZ9" s="94">
        <f>'DIVERSOS'!E75</f>
        <v/>
      </c>
      <c r="CA9" s="94">
        <f>'DIVERSOS'!E76</f>
        <v/>
      </c>
    </row>
    <row r="10">
      <c r="A10" s="59" t="inlineStr">
        <is>
          <t>G041.002</t>
        </is>
      </c>
      <c r="B10" s="59" t="inlineStr">
        <is>
          <t>1030-1070-400</t>
        </is>
      </c>
      <c r="C10" s="59" t="inlineStr">
        <is>
          <t xml:space="preserve">ELEVADORES </t>
        </is>
      </c>
      <c r="D10" s="60">
        <f>'ELEVADORES '!$K$5</f>
        <v/>
      </c>
      <c r="E10" s="49">
        <f>SUM(H10:CA10)</f>
        <v/>
      </c>
      <c r="F10" s="49">
        <f>IF(D10="","",D10-E10)</f>
        <v/>
      </c>
      <c r="H10" s="94">
        <f>'ELEVADORES '!E5</f>
        <v/>
      </c>
      <c r="I10" s="94">
        <f>'ELEVADORES '!E6</f>
        <v/>
      </c>
      <c r="J10" s="94">
        <f>'ELEVADORES '!E7</f>
        <v/>
      </c>
      <c r="K10" s="94">
        <f>'ELEVADORES '!E8</f>
        <v/>
      </c>
      <c r="L10" s="94">
        <f>'ELEVADORES '!E9</f>
        <v/>
      </c>
      <c r="M10" s="94">
        <f>'ELEVADORES '!E10</f>
        <v/>
      </c>
      <c r="N10" s="94">
        <f>'ELEVADORES '!E11</f>
        <v/>
      </c>
      <c r="O10" s="94">
        <f>'ELEVADORES '!E12</f>
        <v/>
      </c>
      <c r="P10" s="94">
        <f>'ELEVADORES '!E13</f>
        <v/>
      </c>
      <c r="Q10" s="94">
        <f>'ELEVADORES '!E14</f>
        <v/>
      </c>
      <c r="R10" s="94">
        <f>'ELEVADORES '!E15</f>
        <v/>
      </c>
      <c r="S10" s="94">
        <f>'ELEVADORES '!E16</f>
        <v/>
      </c>
      <c r="T10" s="94">
        <f>'ELEVADORES '!E17</f>
        <v/>
      </c>
      <c r="U10" s="94">
        <f>'ELEVADORES '!E18</f>
        <v/>
      </c>
      <c r="V10" s="94">
        <f>'ELEVADORES '!E19</f>
        <v/>
      </c>
      <c r="W10" s="94">
        <f>'ELEVADORES '!E20</f>
        <v/>
      </c>
      <c r="X10" s="94">
        <f>'ELEVADORES '!E21</f>
        <v/>
      </c>
      <c r="Y10" s="94">
        <f>'ELEVADORES '!E22</f>
        <v/>
      </c>
      <c r="Z10" s="94">
        <f>'ELEVADORES '!E23</f>
        <v/>
      </c>
      <c r="AA10" s="94">
        <f>'ELEVADORES '!E24</f>
        <v/>
      </c>
      <c r="AB10" s="94">
        <f>'ELEVADORES '!E25</f>
        <v/>
      </c>
      <c r="AC10" s="94">
        <f>'ELEVADORES '!E26</f>
        <v/>
      </c>
      <c r="AD10" s="94">
        <f>'ELEVADORES '!E27</f>
        <v/>
      </c>
      <c r="AE10" s="94">
        <f>'ELEVADORES '!E28</f>
        <v/>
      </c>
      <c r="AF10" s="94">
        <f>'ELEVADORES '!E29</f>
        <v/>
      </c>
      <c r="AG10" s="94">
        <f>'ELEVADORES '!E30</f>
        <v/>
      </c>
      <c r="AH10" s="94">
        <f>'ELEVADORES '!E31</f>
        <v/>
      </c>
      <c r="AI10" s="94">
        <f>'ELEVADORES '!E32</f>
        <v/>
      </c>
      <c r="AJ10" s="94">
        <f>'ELEVADORES '!E33</f>
        <v/>
      </c>
      <c r="AK10" s="94">
        <f>'ELEVADORES '!E34</f>
        <v/>
      </c>
      <c r="AL10" s="94">
        <f>'ELEVADORES '!E35</f>
        <v/>
      </c>
      <c r="AM10" s="94">
        <f>'ELEVADORES '!E36</f>
        <v/>
      </c>
      <c r="AN10" s="94">
        <f>'ELEVADORES '!E37</f>
        <v/>
      </c>
      <c r="AO10" s="94">
        <f>'ELEVADORES '!E38</f>
        <v/>
      </c>
      <c r="AP10" s="94">
        <f>'ELEVADORES '!E39</f>
        <v/>
      </c>
      <c r="AQ10" s="94">
        <f>'ELEVADORES '!E40</f>
        <v/>
      </c>
      <c r="AR10" s="94">
        <f>'ELEVADORES '!E41</f>
        <v/>
      </c>
      <c r="AS10" s="94">
        <f>'ELEVADORES '!E42</f>
        <v/>
      </c>
      <c r="AT10" s="94">
        <f>'ELEVADORES '!E43</f>
        <v/>
      </c>
      <c r="AU10" s="94">
        <f>'ELEVADORES '!E44</f>
        <v/>
      </c>
      <c r="AV10" s="94">
        <f>'ELEVADORES '!E45</f>
        <v/>
      </c>
      <c r="AW10" s="94">
        <f>'ELEVADORES '!E46</f>
        <v/>
      </c>
      <c r="AX10" s="94">
        <f>'ELEVADORES '!E47</f>
        <v/>
      </c>
      <c r="AY10" s="94">
        <f>'ELEVADORES '!E48</f>
        <v/>
      </c>
      <c r="AZ10" s="94">
        <f>'ELEVADORES '!E49</f>
        <v/>
      </c>
      <c r="BA10" s="94">
        <f>'ELEVADORES '!E50</f>
        <v/>
      </c>
      <c r="BB10" s="94">
        <f>'ELEVADORES '!E51</f>
        <v/>
      </c>
      <c r="BC10" s="94">
        <f>'ELEVADORES '!E52</f>
        <v/>
      </c>
      <c r="BD10" s="94">
        <f>'ELEVADORES '!E53</f>
        <v/>
      </c>
      <c r="BE10" s="94">
        <f>'ELEVADORES '!E54</f>
        <v/>
      </c>
      <c r="BF10" s="94">
        <f>'ELEVADORES '!E55</f>
        <v/>
      </c>
      <c r="BG10" s="94">
        <f>'ELEVADORES '!E56</f>
        <v/>
      </c>
      <c r="BH10" s="94">
        <f>'ELEVADORES '!E57</f>
        <v/>
      </c>
      <c r="BI10" s="94">
        <f>'ELEVADORES '!E58</f>
        <v/>
      </c>
      <c r="BJ10" s="94">
        <f>'ELEVADORES '!E59</f>
        <v/>
      </c>
      <c r="BK10" s="94">
        <f>'ELEVADORES '!E60</f>
        <v/>
      </c>
      <c r="BL10" s="94">
        <f>'ELEVADORES '!E61</f>
        <v/>
      </c>
      <c r="BM10" s="94">
        <f>'ELEVADORES '!E62</f>
        <v/>
      </c>
      <c r="BN10" s="94">
        <f>'ELEVADORES '!E63</f>
        <v/>
      </c>
      <c r="BO10" s="94">
        <f>'ELEVADORES '!E64</f>
        <v/>
      </c>
      <c r="BP10" s="94">
        <f>'ELEVADORES '!E65</f>
        <v/>
      </c>
      <c r="BQ10" s="94">
        <f>'ELEVADORES '!E66</f>
        <v/>
      </c>
      <c r="BR10" s="94">
        <f>'ELEVADORES '!E67</f>
        <v/>
      </c>
      <c r="BS10" s="94">
        <f>'ELEVADORES '!E68</f>
        <v/>
      </c>
      <c r="BT10" s="94">
        <f>'ELEVADORES '!E69</f>
        <v/>
      </c>
      <c r="BU10" s="94">
        <f>'ELEVADORES '!E70</f>
        <v/>
      </c>
      <c r="BV10" s="94">
        <f>'ELEVADORES '!E71</f>
        <v/>
      </c>
      <c r="BW10" s="94">
        <f>'ELEVADORES '!E72</f>
        <v/>
      </c>
      <c r="BX10" s="94">
        <f>'ELEVADORES '!E73</f>
        <v/>
      </c>
      <c r="BY10" s="94">
        <f>'ELEVADORES '!E74</f>
        <v/>
      </c>
      <c r="BZ10" s="94">
        <f>'ELEVADORES '!E75</f>
        <v/>
      </c>
      <c r="CA10" s="94">
        <f>'ELEVADORES '!E76</f>
        <v/>
      </c>
    </row>
    <row r="11">
      <c r="A11" s="59" t="inlineStr">
        <is>
          <t>G041.002</t>
        </is>
      </c>
      <c r="B11" s="59" t="inlineStr">
        <is>
          <t>1030-1070-450</t>
        </is>
      </c>
      <c r="C11" s="59" t="inlineStr">
        <is>
          <t>EQUIPAMENTOS E FERRAMENTAS</t>
        </is>
      </c>
      <c r="D11" s="60">
        <f>'EQUIP E FER'!$K$5</f>
        <v/>
      </c>
      <c r="E11" s="49">
        <f>SUM(H11:CA11)</f>
        <v/>
      </c>
      <c r="F11" s="49">
        <f>IF(D11="","",D11-E11)</f>
        <v/>
      </c>
      <c r="H11" s="94">
        <f>'EQUIP E FER'!E5</f>
        <v/>
      </c>
      <c r="I11" s="94">
        <f>'EQUIP E FER'!E6</f>
        <v/>
      </c>
      <c r="J11" s="94">
        <f>'EQUIP E FER'!E7</f>
        <v/>
      </c>
      <c r="K11" s="94">
        <f>'EQUIP E FER'!E8</f>
        <v/>
      </c>
      <c r="L11" s="94">
        <f>'EQUIP E FER'!E9</f>
        <v/>
      </c>
      <c r="M11" s="94">
        <f>'EQUIP E FER'!E10</f>
        <v/>
      </c>
      <c r="N11" s="94">
        <f>'EQUIP E FER'!E11</f>
        <v/>
      </c>
      <c r="O11" s="94">
        <f>'EQUIP E FER'!E12</f>
        <v/>
      </c>
      <c r="P11" s="94">
        <f>'EQUIP E FER'!E13</f>
        <v/>
      </c>
      <c r="Q11" s="94">
        <f>'EQUIP E FER'!E14</f>
        <v/>
      </c>
      <c r="R11" s="94">
        <f>'EQUIP E FER'!E15</f>
        <v/>
      </c>
      <c r="S11" s="94">
        <f>'EQUIP E FER'!E16</f>
        <v/>
      </c>
      <c r="T11" s="94">
        <f>'EQUIP E FER'!E17</f>
        <v/>
      </c>
      <c r="U11" s="94">
        <f>'EQUIP E FER'!E18</f>
        <v/>
      </c>
      <c r="V11" s="94">
        <f>'EQUIP E FER'!E19</f>
        <v/>
      </c>
      <c r="W11" s="94">
        <f>'EQUIP E FER'!E20</f>
        <v/>
      </c>
      <c r="X11" s="94">
        <f>'EQUIP E FER'!E21</f>
        <v/>
      </c>
      <c r="Y11" s="94">
        <f>'EQUIP E FER'!E22</f>
        <v/>
      </c>
      <c r="Z11" s="94">
        <f>'EQUIP E FER'!E23</f>
        <v/>
      </c>
      <c r="AA11" s="94">
        <f>'EQUIP E FER'!E24</f>
        <v/>
      </c>
      <c r="AB11" s="94">
        <f>'EQUIP E FER'!E25</f>
        <v/>
      </c>
      <c r="AC11" s="94">
        <f>'EQUIP E FER'!E26</f>
        <v/>
      </c>
      <c r="AD11" s="94">
        <f>'EQUIP E FER'!E27</f>
        <v/>
      </c>
      <c r="AE11" s="94">
        <f>'EQUIP E FER'!E28</f>
        <v/>
      </c>
      <c r="AF11" s="94">
        <f>'EQUIP E FER'!E29</f>
        <v/>
      </c>
      <c r="AG11" s="94">
        <f>'EQUIP E FER'!E30</f>
        <v/>
      </c>
      <c r="AH11" s="94">
        <f>'EQUIP E FER'!E31</f>
        <v/>
      </c>
      <c r="AI11" s="94">
        <f>'EQUIP E FER'!E32</f>
        <v/>
      </c>
      <c r="AJ11" s="94">
        <f>'EQUIP E FER'!E33</f>
        <v/>
      </c>
      <c r="AK11" s="94">
        <f>'EQUIP E FER'!E34</f>
        <v/>
      </c>
      <c r="AL11" s="94">
        <f>'EQUIP E FER'!E35</f>
        <v/>
      </c>
      <c r="AM11" s="94">
        <f>'EQUIP E FER'!E36</f>
        <v/>
      </c>
      <c r="AN11" s="94">
        <f>'EQUIP E FER'!E37</f>
        <v/>
      </c>
      <c r="AO11" s="94">
        <f>'EQUIP E FER'!E38</f>
        <v/>
      </c>
      <c r="AP11" s="94">
        <f>'EQUIP E FER'!E39</f>
        <v/>
      </c>
      <c r="AQ11" s="94">
        <f>'EQUIP E FER'!E40</f>
        <v/>
      </c>
      <c r="AR11" s="94">
        <f>'EQUIP E FER'!E41</f>
        <v/>
      </c>
      <c r="AS11" s="94">
        <f>'EQUIP E FER'!E42</f>
        <v/>
      </c>
      <c r="AT11" s="94">
        <f>'EQUIP E FER'!E43</f>
        <v/>
      </c>
      <c r="AU11" s="94">
        <f>'EQUIP E FER'!E44</f>
        <v/>
      </c>
      <c r="AV11" s="94">
        <f>'EQUIP E FER'!E45</f>
        <v/>
      </c>
      <c r="AW11" s="94">
        <f>'EQUIP E FER'!E46</f>
        <v/>
      </c>
      <c r="AX11" s="94">
        <f>'EQUIP E FER'!E47</f>
        <v/>
      </c>
      <c r="AY11" s="94">
        <f>'EQUIP E FER'!E48</f>
        <v/>
      </c>
      <c r="AZ11" s="94">
        <f>'EQUIP E FER'!E49</f>
        <v/>
      </c>
      <c r="BA11" s="94">
        <f>'EQUIP E FER'!E50</f>
        <v/>
      </c>
      <c r="BB11" s="94">
        <f>'EQUIP E FER'!E51</f>
        <v/>
      </c>
      <c r="BC11" s="94">
        <f>'EQUIP E FER'!E52</f>
        <v/>
      </c>
      <c r="BD11" s="94">
        <f>'EQUIP E FER'!E53</f>
        <v/>
      </c>
      <c r="BE11" s="94">
        <f>'EQUIP E FER'!E54</f>
        <v/>
      </c>
      <c r="BF11" s="94">
        <f>'EQUIP E FER'!E55</f>
        <v/>
      </c>
      <c r="BG11" s="94">
        <f>'EQUIP E FER'!E56</f>
        <v/>
      </c>
      <c r="BH11" s="94">
        <f>'EQUIP E FER'!E57</f>
        <v/>
      </c>
      <c r="BI11" s="94">
        <f>'EQUIP E FER'!E58</f>
        <v/>
      </c>
      <c r="BJ11" s="94">
        <f>'EQUIP E FER'!E59</f>
        <v/>
      </c>
      <c r="BK11" s="94">
        <f>'EQUIP E FER'!E60</f>
        <v/>
      </c>
      <c r="BL11" s="94">
        <f>'EQUIP E FER'!E61</f>
        <v/>
      </c>
      <c r="BM11" s="94">
        <f>'EQUIP E FER'!E62</f>
        <v/>
      </c>
      <c r="BN11" s="94">
        <f>'EQUIP E FER'!E63</f>
        <v/>
      </c>
      <c r="BO11" s="94">
        <f>'EQUIP E FER'!E64</f>
        <v/>
      </c>
      <c r="BP11" s="94">
        <f>'EQUIP E FER'!E65</f>
        <v/>
      </c>
      <c r="BQ11" s="94">
        <f>'EQUIP E FER'!E66</f>
        <v/>
      </c>
      <c r="BR11" s="94">
        <f>'EQUIP E FER'!E67</f>
        <v/>
      </c>
      <c r="BS11" s="94">
        <f>'EQUIP E FER'!E68</f>
        <v/>
      </c>
      <c r="BT11" s="94">
        <f>'EQUIP E FER'!E69</f>
        <v/>
      </c>
      <c r="BU11" s="94">
        <f>'EQUIP E FER'!E70</f>
        <v/>
      </c>
      <c r="BV11" s="94">
        <f>'EQUIP E FER'!E71</f>
        <v/>
      </c>
      <c r="BW11" s="94">
        <f>'EQUIP E FER'!E72</f>
        <v/>
      </c>
      <c r="BX11" s="94">
        <f>'EQUIP E FER'!E73</f>
        <v/>
      </c>
      <c r="BY11" s="94">
        <f>'EQUIP E FER'!E74</f>
        <v/>
      </c>
      <c r="BZ11" s="94">
        <f>'EQUIP E FER'!E75</f>
        <v/>
      </c>
      <c r="CA11" s="94">
        <f>'EQUIP E FER'!E76</f>
        <v/>
      </c>
    </row>
    <row r="12">
      <c r="A12" s="59" t="inlineStr">
        <is>
          <t>G041.002</t>
        </is>
      </c>
      <c r="B12" s="59" t="inlineStr">
        <is>
          <t>1030-1070-370</t>
        </is>
      </c>
      <c r="C12" s="59" t="inlineStr">
        <is>
          <t>ESQUADRIAS</t>
        </is>
      </c>
      <c r="D12" s="60">
        <f>'ESQUADRIAS'!$K$5</f>
        <v/>
      </c>
      <c r="E12" s="49">
        <f>SUM(H12:CA12)</f>
        <v/>
      </c>
      <c r="F12" s="49">
        <f>IF(D12="","",D12-E12)</f>
        <v/>
      </c>
      <c r="H12" s="94">
        <f>'ESQUADRIAS'!E5</f>
        <v/>
      </c>
      <c r="I12" s="94">
        <f>'ESQUADRIAS'!E6</f>
        <v/>
      </c>
      <c r="J12" s="94">
        <f>'ESQUADRIAS'!E7</f>
        <v/>
      </c>
      <c r="K12" s="94">
        <f>'ESQUADRIAS'!E8</f>
        <v/>
      </c>
      <c r="L12" s="94">
        <f>'ESQUADRIAS'!E9</f>
        <v/>
      </c>
      <c r="M12" s="94">
        <f>'ESQUADRIAS'!E10</f>
        <v/>
      </c>
      <c r="N12" s="94">
        <f>'ESQUADRIAS'!E11</f>
        <v/>
      </c>
      <c r="O12" s="94">
        <f>'ESQUADRIAS'!E12</f>
        <v/>
      </c>
      <c r="P12" s="94">
        <f>'ESQUADRIAS'!E13</f>
        <v/>
      </c>
      <c r="Q12" s="94">
        <f>'ESQUADRIAS'!E14</f>
        <v/>
      </c>
      <c r="R12" s="94">
        <f>'ESQUADRIAS'!E15</f>
        <v/>
      </c>
      <c r="S12" s="94">
        <f>'ESQUADRIAS'!E16</f>
        <v/>
      </c>
      <c r="T12" s="94">
        <f>'ESQUADRIAS'!E17</f>
        <v/>
      </c>
      <c r="U12" s="94">
        <f>'ESQUADRIAS'!E18</f>
        <v/>
      </c>
      <c r="V12" s="94">
        <f>'ESQUADRIAS'!E19</f>
        <v/>
      </c>
      <c r="W12" s="94">
        <f>'ESQUADRIAS'!E20</f>
        <v/>
      </c>
      <c r="X12" s="94">
        <f>'ESQUADRIAS'!E21</f>
        <v/>
      </c>
      <c r="Y12" s="94">
        <f>'ESQUADRIAS'!E22</f>
        <v/>
      </c>
      <c r="Z12" s="94">
        <f>'ESQUADRIAS'!E23</f>
        <v/>
      </c>
      <c r="AA12" s="94">
        <f>'ESQUADRIAS'!E24</f>
        <v/>
      </c>
      <c r="AB12" s="94">
        <f>'ESQUADRIAS'!E25</f>
        <v/>
      </c>
      <c r="AC12" s="94">
        <f>'ESQUADRIAS'!E26</f>
        <v/>
      </c>
      <c r="AD12" s="94">
        <f>'ESQUADRIAS'!E27</f>
        <v/>
      </c>
      <c r="AE12" s="94">
        <f>'ESQUADRIAS'!E28</f>
        <v/>
      </c>
      <c r="AF12" s="94">
        <f>'ESQUADRIAS'!E29</f>
        <v/>
      </c>
      <c r="AG12" s="94">
        <f>'ESQUADRIAS'!E30</f>
        <v/>
      </c>
      <c r="AH12" s="94">
        <f>'ESQUADRIAS'!E31</f>
        <v/>
      </c>
      <c r="AI12" s="94">
        <f>'ESQUADRIAS'!E32</f>
        <v/>
      </c>
      <c r="AJ12" s="94">
        <f>'ESQUADRIAS'!E33</f>
        <v/>
      </c>
      <c r="AK12" s="94">
        <f>'ESQUADRIAS'!E34</f>
        <v/>
      </c>
      <c r="AL12" s="94">
        <f>'ESQUADRIAS'!E35</f>
        <v/>
      </c>
      <c r="AM12" s="94">
        <f>'ESQUADRIAS'!E36</f>
        <v/>
      </c>
      <c r="AN12" s="94">
        <f>'ESQUADRIAS'!E37</f>
        <v/>
      </c>
      <c r="AO12" s="94">
        <f>'ESQUADRIAS'!E38</f>
        <v/>
      </c>
      <c r="AP12" s="94">
        <f>'ESQUADRIAS'!E39</f>
        <v/>
      </c>
      <c r="AQ12" s="94">
        <f>'ESQUADRIAS'!E40</f>
        <v/>
      </c>
      <c r="AR12" s="94">
        <f>'ESQUADRIAS'!E41</f>
        <v/>
      </c>
      <c r="AS12" s="94">
        <f>'ESQUADRIAS'!E42</f>
        <v/>
      </c>
      <c r="AT12" s="94">
        <f>'ESQUADRIAS'!E43</f>
        <v/>
      </c>
      <c r="AU12" s="94">
        <f>'ESQUADRIAS'!E44</f>
        <v/>
      </c>
      <c r="AV12" s="94">
        <f>'ESQUADRIAS'!E45</f>
        <v/>
      </c>
      <c r="AW12" s="94">
        <f>'ESQUADRIAS'!E46</f>
        <v/>
      </c>
      <c r="AX12" s="94">
        <f>'ESQUADRIAS'!E47</f>
        <v/>
      </c>
      <c r="AY12" s="94">
        <f>'ESQUADRIAS'!E48</f>
        <v/>
      </c>
      <c r="AZ12" s="94">
        <f>'ESQUADRIAS'!E49</f>
        <v/>
      </c>
      <c r="BA12" s="94">
        <f>'ESQUADRIAS'!E50</f>
        <v/>
      </c>
      <c r="BB12" s="94">
        <f>'ESQUADRIAS'!E51</f>
        <v/>
      </c>
      <c r="BC12" s="94">
        <f>'ESQUADRIAS'!E52</f>
        <v/>
      </c>
      <c r="BD12" s="94">
        <f>'ESQUADRIAS'!E53</f>
        <v/>
      </c>
      <c r="BE12" s="94">
        <f>'ESQUADRIAS'!E54</f>
        <v/>
      </c>
      <c r="BF12" s="94">
        <f>'ESQUADRIAS'!E55</f>
        <v/>
      </c>
      <c r="BG12" s="94">
        <f>'ESQUADRIAS'!E56</f>
        <v/>
      </c>
      <c r="BH12" s="94">
        <f>'ESQUADRIAS'!E57</f>
        <v/>
      </c>
      <c r="BI12" s="94">
        <f>'ESQUADRIAS'!E58</f>
        <v/>
      </c>
      <c r="BJ12" s="94">
        <f>'ESQUADRIAS'!E59</f>
        <v/>
      </c>
      <c r="BK12" s="94">
        <f>'ESQUADRIAS'!E60</f>
        <v/>
      </c>
      <c r="BL12" s="94">
        <f>'ESQUADRIAS'!E61</f>
        <v/>
      </c>
      <c r="BM12" s="94">
        <f>'ESQUADRIAS'!E62</f>
        <v/>
      </c>
      <c r="BN12" s="94">
        <f>'ESQUADRIAS'!E63</f>
        <v/>
      </c>
      <c r="BO12" s="94">
        <f>'ESQUADRIAS'!E64</f>
        <v/>
      </c>
      <c r="BP12" s="94">
        <f>'ESQUADRIAS'!E65</f>
        <v/>
      </c>
      <c r="BQ12" s="94">
        <f>'ESQUADRIAS'!E66</f>
        <v/>
      </c>
      <c r="BR12" s="94">
        <f>'ESQUADRIAS'!E67</f>
        <v/>
      </c>
      <c r="BS12" s="94">
        <f>'ESQUADRIAS'!E68</f>
        <v/>
      </c>
      <c r="BT12" s="94">
        <f>'ESQUADRIAS'!E69</f>
        <v/>
      </c>
      <c r="BU12" s="94">
        <f>'ESQUADRIAS'!E70</f>
        <v/>
      </c>
      <c r="BV12" s="94">
        <f>'ESQUADRIAS'!E71</f>
        <v/>
      </c>
      <c r="BW12" s="94">
        <f>'ESQUADRIAS'!E72</f>
        <v/>
      </c>
      <c r="BX12" s="94">
        <f>'ESQUADRIAS'!E73</f>
        <v/>
      </c>
      <c r="BY12" s="94">
        <f>'ESQUADRIAS'!E74</f>
        <v/>
      </c>
      <c r="BZ12" s="94">
        <f>'ESQUADRIAS'!E75</f>
        <v/>
      </c>
      <c r="CA12" s="94">
        <f>'ESQUADRIAS'!E76</f>
        <v/>
      </c>
    </row>
    <row r="13">
      <c r="A13" s="59" t="inlineStr">
        <is>
          <t>G041.002</t>
        </is>
      </c>
      <c r="B13" s="59" t="inlineStr">
        <is>
          <t>1030-1070-230</t>
        </is>
      </c>
      <c r="C13" s="59" t="inlineStr">
        <is>
          <t>ESTRUTURA EM CONCRETO ARMADO</t>
        </is>
      </c>
      <c r="D13" s="60">
        <f>'ESTRUTURA'!$K$5</f>
        <v/>
      </c>
      <c r="E13" s="49">
        <f>SUM(H13:CA13)</f>
        <v/>
      </c>
      <c r="F13" s="49">
        <f>IF(D13="","",D13-E13)</f>
        <v/>
      </c>
      <c r="H13" s="94">
        <f>'ESTRUTURA'!E5</f>
        <v/>
      </c>
      <c r="I13" s="94">
        <f>'ESTRUTURA'!E6</f>
        <v/>
      </c>
      <c r="J13" s="94">
        <f>'ESTRUTURA'!E7</f>
        <v/>
      </c>
      <c r="K13" s="94">
        <f>'ESTRUTURA'!E8</f>
        <v/>
      </c>
      <c r="L13" s="94">
        <f>'ESTRUTURA'!E9</f>
        <v/>
      </c>
      <c r="M13" s="94">
        <f>'ESTRUTURA'!E10</f>
        <v/>
      </c>
      <c r="N13" s="94">
        <f>'ESTRUTURA'!E11</f>
        <v/>
      </c>
      <c r="O13" s="94">
        <f>'ESTRUTURA'!E12</f>
        <v/>
      </c>
      <c r="P13" s="94">
        <f>'ESTRUTURA'!E13</f>
        <v/>
      </c>
      <c r="Q13" s="94">
        <f>'ESTRUTURA'!E14</f>
        <v/>
      </c>
      <c r="R13" s="94">
        <f>'ESTRUTURA'!E15</f>
        <v/>
      </c>
      <c r="S13" s="94">
        <f>'ESTRUTURA'!E16</f>
        <v/>
      </c>
      <c r="T13" s="94">
        <f>'ESTRUTURA'!E17</f>
        <v/>
      </c>
      <c r="U13" s="94">
        <f>'ESTRUTURA'!E18</f>
        <v/>
      </c>
      <c r="V13" s="94">
        <f>'ESTRUTURA'!E19</f>
        <v/>
      </c>
      <c r="W13" s="94">
        <f>'ESTRUTURA'!E20</f>
        <v/>
      </c>
      <c r="X13" s="94">
        <f>'ESTRUTURA'!E21</f>
        <v/>
      </c>
      <c r="Y13" s="94">
        <f>'ESTRUTURA'!E22</f>
        <v/>
      </c>
      <c r="Z13" s="94">
        <f>'ESTRUTURA'!E23</f>
        <v/>
      </c>
      <c r="AA13" s="94">
        <f>'ESTRUTURA'!E24</f>
        <v/>
      </c>
      <c r="AB13" s="94">
        <f>'ESTRUTURA'!E25</f>
        <v/>
      </c>
      <c r="AC13" s="94">
        <f>'ESTRUTURA'!E26</f>
        <v/>
      </c>
      <c r="AD13" s="94">
        <f>'ESTRUTURA'!E27</f>
        <v/>
      </c>
      <c r="AE13" s="94">
        <f>'ESTRUTURA'!E28</f>
        <v/>
      </c>
      <c r="AF13" s="94">
        <f>'ESTRUTURA'!E29</f>
        <v/>
      </c>
      <c r="AG13" s="94">
        <f>'ESTRUTURA'!E30</f>
        <v/>
      </c>
      <c r="AH13" s="94">
        <f>'ESTRUTURA'!E31</f>
        <v/>
      </c>
      <c r="AI13" s="94">
        <f>'ESTRUTURA'!E32</f>
        <v/>
      </c>
      <c r="AJ13" s="94">
        <f>'ESTRUTURA'!E33</f>
        <v/>
      </c>
      <c r="AK13" s="94">
        <f>'ESTRUTURA'!E34</f>
        <v/>
      </c>
      <c r="AL13" s="94">
        <f>'ESTRUTURA'!E35</f>
        <v/>
      </c>
      <c r="AM13" s="94">
        <f>'ESTRUTURA'!E36</f>
        <v/>
      </c>
      <c r="AN13" s="94">
        <f>'ESTRUTURA'!E37</f>
        <v/>
      </c>
      <c r="AO13" s="94">
        <f>'ESTRUTURA'!E38</f>
        <v/>
      </c>
      <c r="AP13" s="94">
        <f>'ESTRUTURA'!E39</f>
        <v/>
      </c>
      <c r="AQ13" s="94">
        <f>'ESTRUTURA'!E40</f>
        <v/>
      </c>
      <c r="AR13" s="94">
        <f>'ESTRUTURA'!E41</f>
        <v/>
      </c>
      <c r="AS13" s="94">
        <f>'ESTRUTURA'!E42</f>
        <v/>
      </c>
      <c r="AT13" s="94">
        <f>'ESTRUTURA'!E43</f>
        <v/>
      </c>
      <c r="AU13" s="94">
        <f>'ESTRUTURA'!E44</f>
        <v/>
      </c>
      <c r="AV13" s="94">
        <f>'ESTRUTURA'!E45</f>
        <v/>
      </c>
      <c r="AW13" s="94">
        <f>'ESTRUTURA'!E46</f>
        <v/>
      </c>
      <c r="AX13" s="94">
        <f>'ESTRUTURA'!E47</f>
        <v/>
      </c>
      <c r="AY13" s="94">
        <f>'ESTRUTURA'!E48</f>
        <v/>
      </c>
      <c r="AZ13" s="94">
        <f>'ESTRUTURA'!E49</f>
        <v/>
      </c>
      <c r="BA13" s="94">
        <f>'ESTRUTURA'!E50</f>
        <v/>
      </c>
      <c r="BB13" s="94">
        <f>'ESTRUTURA'!E51</f>
        <v/>
      </c>
      <c r="BC13" s="94">
        <f>'ESTRUTURA'!E52</f>
        <v/>
      </c>
      <c r="BD13" s="94">
        <f>'ESTRUTURA'!E53</f>
        <v/>
      </c>
      <c r="BE13" s="94">
        <f>'ESTRUTURA'!E54</f>
        <v/>
      </c>
      <c r="BF13" s="94">
        <f>'ESTRUTURA'!E55</f>
        <v/>
      </c>
      <c r="BG13" s="94">
        <f>'ESTRUTURA'!E56</f>
        <v/>
      </c>
      <c r="BH13" s="94">
        <f>'ESTRUTURA'!E57</f>
        <v/>
      </c>
      <c r="BI13" s="94">
        <f>'ESTRUTURA'!E58</f>
        <v/>
      </c>
      <c r="BJ13" s="94">
        <f>'ESTRUTURA'!E59</f>
        <v/>
      </c>
      <c r="BK13" s="94">
        <f>'ESTRUTURA'!E60</f>
        <v/>
      </c>
      <c r="BL13" s="94">
        <f>'ESTRUTURA'!E61</f>
        <v/>
      </c>
      <c r="BM13" s="94">
        <f>'ESTRUTURA'!E62</f>
        <v/>
      </c>
      <c r="BN13" s="94">
        <f>'ESTRUTURA'!E63</f>
        <v/>
      </c>
      <c r="BO13" s="94">
        <f>'ESTRUTURA'!E64</f>
        <v/>
      </c>
      <c r="BP13" s="94">
        <f>'ESTRUTURA'!E65</f>
        <v/>
      </c>
      <c r="BQ13" s="94">
        <f>'ESTRUTURA'!E66</f>
        <v/>
      </c>
      <c r="BR13" s="94">
        <f>'ESTRUTURA'!E67</f>
        <v/>
      </c>
      <c r="BS13" s="94">
        <f>'ESTRUTURA'!E68</f>
        <v/>
      </c>
      <c r="BT13" s="94">
        <f>'ESTRUTURA'!E69</f>
        <v/>
      </c>
      <c r="BU13" s="94">
        <f>'ESTRUTURA'!E70</f>
        <v/>
      </c>
      <c r="BV13" s="94">
        <f>'ESTRUTURA'!E71</f>
        <v/>
      </c>
      <c r="BW13" s="94">
        <f>'ESTRUTURA'!E72</f>
        <v/>
      </c>
      <c r="BX13" s="94">
        <f>'ESTRUTURA'!E73</f>
        <v/>
      </c>
      <c r="BY13" s="94">
        <f>'ESTRUTURA'!E74</f>
        <v/>
      </c>
      <c r="BZ13" s="94">
        <f>'ESTRUTURA'!E75</f>
        <v/>
      </c>
      <c r="CA13" s="94">
        <f>'ESTRUTURA'!E76</f>
        <v/>
      </c>
    </row>
    <row r="14">
      <c r="A14" s="59" t="inlineStr">
        <is>
          <t>G041.002</t>
        </is>
      </c>
      <c r="B14" s="59" t="inlineStr">
        <is>
          <t>1030-1070-350</t>
        </is>
      </c>
      <c r="C14" s="59" t="inlineStr">
        <is>
          <t>FORRO</t>
        </is>
      </c>
      <c r="D14" s="60">
        <f>'FORRO'!$K$5</f>
        <v/>
      </c>
      <c r="E14" s="49">
        <f>SUM(H14:CA14)</f>
        <v/>
      </c>
      <c r="F14" s="49">
        <f>IF(D14="","",D14-E14)</f>
        <v/>
      </c>
      <c r="H14" s="94">
        <f>'FORRO'!E5</f>
        <v/>
      </c>
      <c r="I14" s="94">
        <f>'FORRO'!E6</f>
        <v/>
      </c>
      <c r="J14" s="94">
        <f>'FORRO'!E7</f>
        <v/>
      </c>
      <c r="K14" s="94">
        <f>'FORRO'!E8</f>
        <v/>
      </c>
      <c r="L14" s="94">
        <f>'FORRO'!E9</f>
        <v/>
      </c>
      <c r="M14" s="94">
        <f>'FORRO'!E10</f>
        <v/>
      </c>
      <c r="N14" s="94">
        <f>'FORRO'!E11</f>
        <v/>
      </c>
      <c r="O14" s="94">
        <f>'FORRO'!E12</f>
        <v/>
      </c>
      <c r="P14" s="94">
        <f>'FORRO'!E13</f>
        <v/>
      </c>
      <c r="Q14" s="94">
        <f>'FORRO'!E14</f>
        <v/>
      </c>
      <c r="R14" s="94">
        <f>'FORRO'!E15</f>
        <v/>
      </c>
      <c r="S14" s="94">
        <f>'FORRO'!E16</f>
        <v/>
      </c>
      <c r="T14" s="94">
        <f>'FORRO'!E17</f>
        <v/>
      </c>
      <c r="U14" s="94">
        <f>'FORRO'!E18</f>
        <v/>
      </c>
      <c r="V14" s="94">
        <f>'FORRO'!E19</f>
        <v/>
      </c>
      <c r="W14" s="94">
        <f>'FORRO'!E20</f>
        <v/>
      </c>
      <c r="X14" s="94">
        <f>'FORRO'!E21</f>
        <v/>
      </c>
      <c r="Y14" s="94">
        <f>'FORRO'!E22</f>
        <v/>
      </c>
      <c r="Z14" s="94">
        <f>'FORRO'!E23</f>
        <v/>
      </c>
      <c r="AA14" s="94">
        <f>'FORRO'!E24</f>
        <v/>
      </c>
      <c r="AB14" s="94">
        <f>'FORRO'!E25</f>
        <v/>
      </c>
      <c r="AC14" s="94">
        <f>'FORRO'!E26</f>
        <v/>
      </c>
      <c r="AD14" s="94">
        <f>'FORRO'!E27</f>
        <v/>
      </c>
      <c r="AE14" s="94">
        <f>'FORRO'!E28</f>
        <v/>
      </c>
      <c r="AF14" s="94">
        <f>'FORRO'!E29</f>
        <v/>
      </c>
      <c r="AG14" s="94">
        <f>'FORRO'!E30</f>
        <v/>
      </c>
      <c r="AH14" s="94">
        <f>'FORRO'!E31</f>
        <v/>
      </c>
      <c r="AI14" s="94">
        <f>'FORRO'!E32</f>
        <v/>
      </c>
      <c r="AJ14" s="94">
        <f>'FORRO'!E33</f>
        <v/>
      </c>
      <c r="AK14" s="94">
        <f>'FORRO'!E34</f>
        <v/>
      </c>
      <c r="AL14" s="94">
        <f>'FORRO'!E35</f>
        <v/>
      </c>
      <c r="AM14" s="94">
        <f>'FORRO'!E36</f>
        <v/>
      </c>
      <c r="AN14" s="94">
        <f>'FORRO'!E37</f>
        <v/>
      </c>
      <c r="AO14" s="94">
        <f>'FORRO'!E38</f>
        <v/>
      </c>
      <c r="AP14" s="94">
        <f>'FORRO'!E39</f>
        <v/>
      </c>
      <c r="AQ14" s="94">
        <f>'FORRO'!E40</f>
        <v/>
      </c>
      <c r="AR14" s="94">
        <f>'FORRO'!E41</f>
        <v/>
      </c>
      <c r="AS14" s="94">
        <f>'FORRO'!E42</f>
        <v/>
      </c>
      <c r="AT14" s="94">
        <f>'FORRO'!E43</f>
        <v/>
      </c>
      <c r="AU14" s="94">
        <f>'FORRO'!E44</f>
        <v/>
      </c>
      <c r="AV14" s="94">
        <f>'FORRO'!E45</f>
        <v/>
      </c>
      <c r="AW14" s="94">
        <f>'FORRO'!E46</f>
        <v/>
      </c>
      <c r="AX14" s="94">
        <f>'FORRO'!E47</f>
        <v/>
      </c>
      <c r="AY14" s="94">
        <f>'FORRO'!E48</f>
        <v/>
      </c>
      <c r="AZ14" s="94">
        <f>'FORRO'!E49</f>
        <v/>
      </c>
      <c r="BA14" s="94">
        <f>'FORRO'!E50</f>
        <v/>
      </c>
      <c r="BB14" s="94">
        <f>'FORRO'!E51</f>
        <v/>
      </c>
      <c r="BC14" s="94">
        <f>'FORRO'!E52</f>
        <v/>
      </c>
      <c r="BD14" s="94">
        <f>'FORRO'!E53</f>
        <v/>
      </c>
      <c r="BE14" s="94">
        <f>'FORRO'!E54</f>
        <v/>
      </c>
      <c r="BF14" s="94">
        <f>'FORRO'!E55</f>
        <v/>
      </c>
      <c r="BG14" s="94">
        <f>'FORRO'!E56</f>
        <v/>
      </c>
      <c r="BH14" s="94">
        <f>'FORRO'!E57</f>
        <v/>
      </c>
      <c r="BI14" s="94">
        <f>'FORRO'!E58</f>
        <v/>
      </c>
      <c r="BJ14" s="94">
        <f>'FORRO'!E59</f>
        <v/>
      </c>
      <c r="BK14" s="94">
        <f>'FORRO'!E60</f>
        <v/>
      </c>
      <c r="BL14" s="94">
        <f>'FORRO'!E61</f>
        <v/>
      </c>
      <c r="BM14" s="94">
        <f>'FORRO'!E62</f>
        <v/>
      </c>
      <c r="BN14" s="94">
        <f>'FORRO'!E63</f>
        <v/>
      </c>
      <c r="BO14" s="94">
        <f>'FORRO'!E64</f>
        <v/>
      </c>
      <c r="BP14" s="94">
        <f>'FORRO'!E65</f>
        <v/>
      </c>
      <c r="BQ14" s="94">
        <f>'FORRO'!E66</f>
        <v/>
      </c>
      <c r="BR14" s="94">
        <f>'FORRO'!E67</f>
        <v/>
      </c>
      <c r="BS14" s="94">
        <f>'FORRO'!E68</f>
        <v/>
      </c>
      <c r="BT14" s="94">
        <f>'FORRO'!E69</f>
        <v/>
      </c>
      <c r="BU14" s="94">
        <f>'FORRO'!E70</f>
        <v/>
      </c>
      <c r="BV14" s="94">
        <f>'FORRO'!E71</f>
        <v/>
      </c>
      <c r="BW14" s="94">
        <f>'FORRO'!E72</f>
        <v/>
      </c>
      <c r="BX14" s="94">
        <f>'FORRO'!E73</f>
        <v/>
      </c>
      <c r="BY14" s="94">
        <f>'FORRO'!E74</f>
        <v/>
      </c>
      <c r="BZ14" s="94">
        <f>'FORRO'!E75</f>
        <v/>
      </c>
      <c r="CA14" s="94">
        <f>'FORRO'!E76</f>
        <v/>
      </c>
    </row>
    <row r="15">
      <c r="A15" s="59" t="inlineStr">
        <is>
          <t>G041.002</t>
        </is>
      </c>
      <c r="B15" s="59" t="inlineStr">
        <is>
          <t>1030-1070-200</t>
        </is>
      </c>
      <c r="C15" s="59" t="inlineStr">
        <is>
          <t>FUNDAÇÃO PROFUNDA</t>
        </is>
      </c>
      <c r="D15" s="60">
        <f>'FUND. PROF'!$K$5</f>
        <v/>
      </c>
      <c r="E15" s="49">
        <f>SUM(H15:CA15)</f>
        <v/>
      </c>
      <c r="F15" s="49">
        <f>IF(D15="","",D15-E15)</f>
        <v/>
      </c>
      <c r="H15" s="94">
        <f>'FUND. PROF'!E5</f>
        <v/>
      </c>
      <c r="I15" s="94">
        <f>'FUND. PROF'!E6</f>
        <v/>
      </c>
      <c r="J15" s="94">
        <f>'FUND. PROF'!E7</f>
        <v/>
      </c>
      <c r="K15" s="94">
        <f>'FUND. PROF'!E8</f>
        <v/>
      </c>
      <c r="L15" s="94">
        <f>'FUND. PROF'!E9</f>
        <v/>
      </c>
      <c r="M15" s="94">
        <f>'FUND. PROF'!E10</f>
        <v/>
      </c>
      <c r="N15" s="94">
        <f>'FUND. PROF'!E11</f>
        <v/>
      </c>
      <c r="O15" s="94">
        <f>'FUND. PROF'!E12</f>
        <v/>
      </c>
      <c r="P15" s="94">
        <f>'FUND. PROF'!E13</f>
        <v/>
      </c>
      <c r="Q15" s="94">
        <f>'FUND. PROF'!E14</f>
        <v/>
      </c>
      <c r="R15" s="94">
        <f>'FUND. PROF'!E15</f>
        <v/>
      </c>
      <c r="S15" s="94">
        <f>'FUND. PROF'!E16</f>
        <v/>
      </c>
      <c r="T15" s="94">
        <f>'FUND. PROF'!E17</f>
        <v/>
      </c>
      <c r="U15" s="94">
        <f>'FUND. PROF'!E18</f>
        <v/>
      </c>
      <c r="V15" s="94">
        <f>'FUND. PROF'!E19</f>
        <v/>
      </c>
      <c r="W15" s="94">
        <f>'FUND. PROF'!E20</f>
        <v/>
      </c>
      <c r="X15" s="94">
        <f>'FUND. PROF'!E21</f>
        <v/>
      </c>
      <c r="Y15" s="94">
        <f>'FUND. PROF'!E22</f>
        <v/>
      </c>
      <c r="Z15" s="94">
        <f>'FUND. PROF'!E23</f>
        <v/>
      </c>
      <c r="AA15" s="94">
        <f>'FUND. PROF'!E24</f>
        <v/>
      </c>
      <c r="AB15" s="94">
        <f>'FUND. PROF'!E25</f>
        <v/>
      </c>
      <c r="AC15" s="94">
        <f>'FUND. PROF'!E26</f>
        <v/>
      </c>
      <c r="AD15" s="94">
        <f>'FUND. PROF'!E27</f>
        <v/>
      </c>
      <c r="AE15" s="94">
        <f>'FUND. PROF'!E28</f>
        <v/>
      </c>
      <c r="AF15" s="94">
        <f>'FUND. PROF'!E29</f>
        <v/>
      </c>
      <c r="AG15" s="94">
        <f>'FUND. PROF'!E30</f>
        <v/>
      </c>
      <c r="AH15" s="94">
        <f>'FUND. PROF'!E31</f>
        <v/>
      </c>
      <c r="AI15" s="94">
        <f>'FUND. PROF'!E32</f>
        <v/>
      </c>
      <c r="AJ15" s="94">
        <f>'FUND. PROF'!E33</f>
        <v/>
      </c>
      <c r="AK15" s="94">
        <f>'FUND. PROF'!E34</f>
        <v/>
      </c>
      <c r="AL15" s="94">
        <f>'FUND. PROF'!E35</f>
        <v/>
      </c>
      <c r="AM15" s="94">
        <f>'FUND. PROF'!E36</f>
        <v/>
      </c>
      <c r="AN15" s="94">
        <f>'FUND. PROF'!E37</f>
        <v/>
      </c>
      <c r="AO15" s="94">
        <f>'FUND. PROF'!E38</f>
        <v/>
      </c>
      <c r="AP15" s="94">
        <f>'FUND. PROF'!E39</f>
        <v/>
      </c>
      <c r="AQ15" s="94">
        <f>'FUND. PROF'!E40</f>
        <v/>
      </c>
      <c r="AR15" s="94">
        <f>'FUND. PROF'!E41</f>
        <v/>
      </c>
      <c r="AS15" s="94">
        <f>'FUND. PROF'!E42</f>
        <v/>
      </c>
      <c r="AT15" s="94">
        <f>'FUND. PROF'!E43</f>
        <v/>
      </c>
      <c r="AU15" s="94">
        <f>'FUND. PROF'!E44</f>
        <v/>
      </c>
      <c r="AV15" s="94">
        <f>'FUND. PROF'!E45</f>
        <v/>
      </c>
      <c r="AW15" s="94">
        <f>'FUND. PROF'!E46</f>
        <v/>
      </c>
      <c r="AX15" s="94">
        <f>'FUND. PROF'!E47</f>
        <v/>
      </c>
      <c r="AY15" s="94">
        <f>'FUND. PROF'!E48</f>
        <v/>
      </c>
      <c r="AZ15" s="94">
        <f>'FUND. PROF'!E49</f>
        <v/>
      </c>
      <c r="BA15" s="94">
        <f>'FUND. PROF'!E50</f>
        <v/>
      </c>
      <c r="BB15" s="94">
        <f>'FUND. PROF'!E51</f>
        <v/>
      </c>
      <c r="BC15" s="94">
        <f>'FUND. PROF'!E52</f>
        <v/>
      </c>
      <c r="BD15" s="94">
        <f>'FUND. PROF'!E53</f>
        <v/>
      </c>
      <c r="BE15" s="94">
        <f>'FUND. PROF'!E54</f>
        <v/>
      </c>
      <c r="BF15" s="94">
        <f>'FUND. PROF'!E55</f>
        <v/>
      </c>
      <c r="BG15" s="94">
        <f>'FUND. PROF'!E56</f>
        <v/>
      </c>
      <c r="BH15" s="94">
        <f>'FUND. PROF'!E57</f>
        <v/>
      </c>
      <c r="BI15" s="94">
        <f>'FUND. PROF'!E58</f>
        <v/>
      </c>
      <c r="BJ15" s="94">
        <f>'FUND. PROF'!E59</f>
        <v/>
      </c>
      <c r="BK15" s="94">
        <f>'FUND. PROF'!E60</f>
        <v/>
      </c>
      <c r="BL15" s="94">
        <f>'FUND. PROF'!E61</f>
        <v/>
      </c>
      <c r="BM15" s="94">
        <f>'FUND. PROF'!E62</f>
        <v/>
      </c>
      <c r="BN15" s="94">
        <f>'FUND. PROF'!E63</f>
        <v/>
      </c>
      <c r="BO15" s="94">
        <f>'FUND. PROF'!E64</f>
        <v/>
      </c>
      <c r="BP15" s="94">
        <f>'FUND. PROF'!E65</f>
        <v/>
      </c>
      <c r="BQ15" s="94">
        <f>'FUND. PROF'!E66</f>
        <v/>
      </c>
      <c r="BR15" s="94">
        <f>'FUND. PROF'!E67</f>
        <v/>
      </c>
      <c r="BS15" s="94">
        <f>'FUND. PROF'!E68</f>
        <v/>
      </c>
      <c r="BT15" s="94">
        <f>'FUND. PROF'!E69</f>
        <v/>
      </c>
      <c r="BU15" s="94">
        <f>'FUND. PROF'!E70</f>
        <v/>
      </c>
      <c r="BV15" s="94">
        <f>'FUND. PROF'!E71</f>
        <v/>
      </c>
      <c r="BW15" s="94">
        <f>'FUND. PROF'!E72</f>
        <v/>
      </c>
      <c r="BX15" s="94">
        <f>'FUND. PROF'!E73</f>
        <v/>
      </c>
      <c r="BY15" s="94">
        <f>'FUND. PROF'!E74</f>
        <v/>
      </c>
      <c r="BZ15" s="94">
        <f>'FUND. PROF'!E75</f>
        <v/>
      </c>
      <c r="CA15" s="94">
        <f>'FUND. PROF'!E76</f>
        <v/>
      </c>
    </row>
    <row r="16">
      <c r="A16" s="59" t="inlineStr">
        <is>
          <t>G041.002</t>
        </is>
      </c>
      <c r="B16" s="59" t="inlineStr">
        <is>
          <t>1030-1070-210</t>
        </is>
      </c>
      <c r="C16" s="59" t="inlineStr">
        <is>
          <t>FUNDAÇÃO SUPERFICIAL</t>
        </is>
      </c>
      <c r="D16" s="60">
        <f>'FUND. SUP'!$K$5</f>
        <v/>
      </c>
      <c r="E16" s="49">
        <f>SUM(H16:CA16)</f>
        <v/>
      </c>
      <c r="F16" s="49">
        <f>IF(D16="","",D16-E16)</f>
        <v/>
      </c>
      <c r="H16" s="94">
        <f>'FUND. SUP'!E5</f>
        <v/>
      </c>
      <c r="I16" s="94">
        <f>'FUND. SUP'!E6</f>
        <v/>
      </c>
      <c r="J16" s="94">
        <f>'FUND. SUP'!E7</f>
        <v/>
      </c>
      <c r="K16" s="94">
        <f>'FUND. SUP'!E8</f>
        <v/>
      </c>
      <c r="L16" s="94">
        <f>'FUND. SUP'!E9</f>
        <v/>
      </c>
      <c r="M16" s="94">
        <f>'FUND. SUP'!E10</f>
        <v/>
      </c>
      <c r="N16" s="94">
        <f>'FUND. SUP'!E11</f>
        <v/>
      </c>
      <c r="O16" s="94">
        <f>'FUND. SUP'!E12</f>
        <v/>
      </c>
      <c r="P16" s="94">
        <f>'FUND. SUP'!E13</f>
        <v/>
      </c>
      <c r="Q16" s="94">
        <f>'FUND. SUP'!E14</f>
        <v/>
      </c>
      <c r="R16" s="94">
        <f>'FUND. SUP'!E15</f>
        <v/>
      </c>
      <c r="S16" s="94">
        <f>'FUND. SUP'!E16</f>
        <v/>
      </c>
      <c r="T16" s="94">
        <f>'FUND. SUP'!E17</f>
        <v/>
      </c>
      <c r="U16" s="94">
        <f>'FUND. SUP'!E18</f>
        <v/>
      </c>
      <c r="V16" s="94">
        <f>'FUND. SUP'!E19</f>
        <v/>
      </c>
      <c r="W16" s="94">
        <f>'FUND. SUP'!E20</f>
        <v/>
      </c>
      <c r="X16" s="94">
        <f>'FUND. SUP'!E21</f>
        <v/>
      </c>
      <c r="Y16" s="94">
        <f>'FUND. SUP'!E22</f>
        <v/>
      </c>
      <c r="Z16" s="94">
        <f>'FUND. SUP'!E23</f>
        <v/>
      </c>
      <c r="AA16" s="94">
        <f>'FUND. SUP'!E24</f>
        <v/>
      </c>
      <c r="AB16" s="94">
        <f>'FUND. SUP'!E25</f>
        <v/>
      </c>
      <c r="AC16" s="94">
        <f>'FUND. SUP'!E26</f>
        <v/>
      </c>
      <c r="AD16" s="94">
        <f>'FUND. SUP'!E27</f>
        <v/>
      </c>
      <c r="AE16" s="94">
        <f>'FUND. SUP'!E28</f>
        <v/>
      </c>
      <c r="AF16" s="94">
        <f>'FUND. SUP'!E29</f>
        <v/>
      </c>
      <c r="AG16" s="94">
        <f>'FUND. SUP'!E30</f>
        <v/>
      </c>
      <c r="AH16" s="94">
        <f>'FUND. SUP'!E31</f>
        <v/>
      </c>
      <c r="AI16" s="94">
        <f>'FUND. SUP'!E32</f>
        <v/>
      </c>
      <c r="AJ16" s="94">
        <f>'FUND. SUP'!E33</f>
        <v/>
      </c>
      <c r="AK16" s="94">
        <f>'FUND. SUP'!E34</f>
        <v/>
      </c>
      <c r="AL16" s="94">
        <f>'FUND. SUP'!E35</f>
        <v/>
      </c>
      <c r="AM16" s="94">
        <f>'FUND. SUP'!E36</f>
        <v/>
      </c>
      <c r="AN16" s="94">
        <f>'FUND. SUP'!E37</f>
        <v/>
      </c>
      <c r="AO16" s="94">
        <f>'FUND. SUP'!E38</f>
        <v/>
      </c>
      <c r="AP16" s="94">
        <f>'FUND. SUP'!E39</f>
        <v/>
      </c>
      <c r="AQ16" s="94">
        <f>'FUND. SUP'!E40</f>
        <v/>
      </c>
      <c r="AR16" s="94">
        <f>'FUND. SUP'!E41</f>
        <v/>
      </c>
      <c r="AS16" s="94">
        <f>'FUND. SUP'!E42</f>
        <v/>
      </c>
      <c r="AT16" s="94">
        <f>'FUND. SUP'!E43</f>
        <v/>
      </c>
      <c r="AU16" s="94">
        <f>'FUND. SUP'!E44</f>
        <v/>
      </c>
      <c r="AV16" s="94">
        <f>'FUND. SUP'!E45</f>
        <v/>
      </c>
      <c r="AW16" s="94">
        <f>'FUND. SUP'!E46</f>
        <v/>
      </c>
      <c r="AX16" s="94">
        <f>'FUND. SUP'!E47</f>
        <v/>
      </c>
      <c r="AY16" s="94">
        <f>'FUND. SUP'!E48</f>
        <v/>
      </c>
      <c r="AZ16" s="94">
        <f>'FUND. SUP'!E49</f>
        <v/>
      </c>
      <c r="BA16" s="94">
        <f>'FUND. SUP'!E50</f>
        <v/>
      </c>
      <c r="BB16" s="94">
        <f>'FUND. SUP'!E51</f>
        <v/>
      </c>
      <c r="BC16" s="94">
        <f>'FUND. SUP'!E52</f>
        <v/>
      </c>
      <c r="BD16" s="94">
        <f>'FUND. SUP'!E53</f>
        <v/>
      </c>
      <c r="BE16" s="94">
        <f>'FUND. SUP'!E54</f>
        <v/>
      </c>
      <c r="BF16" s="94">
        <f>'FUND. SUP'!E55</f>
        <v/>
      </c>
      <c r="BG16" s="94">
        <f>'FUND. SUP'!E56</f>
        <v/>
      </c>
      <c r="BH16" s="94">
        <f>'FUND. SUP'!E57</f>
        <v/>
      </c>
      <c r="BI16" s="94">
        <f>'FUND. SUP'!E58</f>
        <v/>
      </c>
      <c r="BJ16" s="94">
        <f>'FUND. SUP'!E59</f>
        <v/>
      </c>
      <c r="BK16" s="94">
        <f>'FUND. SUP'!E60</f>
        <v/>
      </c>
      <c r="BL16" s="94">
        <f>'FUND. SUP'!E61</f>
        <v/>
      </c>
      <c r="BM16" s="94">
        <f>'FUND. SUP'!E62</f>
        <v/>
      </c>
      <c r="BN16" s="94">
        <f>'FUND. SUP'!E63</f>
        <v/>
      </c>
      <c r="BO16" s="94">
        <f>'FUND. SUP'!E64</f>
        <v/>
      </c>
      <c r="BP16" s="94">
        <f>'FUND. SUP'!E65</f>
        <v/>
      </c>
      <c r="BQ16" s="94">
        <f>'FUND. SUP'!E66</f>
        <v/>
      </c>
      <c r="BR16" s="94">
        <f>'FUND. SUP'!E67</f>
        <v/>
      </c>
      <c r="BS16" s="94">
        <f>'FUND. SUP'!E68</f>
        <v/>
      </c>
      <c r="BT16" s="94">
        <f>'FUND. SUP'!E69</f>
        <v/>
      </c>
      <c r="BU16" s="94">
        <f>'FUND. SUP'!E70</f>
        <v/>
      </c>
      <c r="BV16" s="94">
        <f>'FUND. SUP'!E71</f>
        <v/>
      </c>
      <c r="BW16" s="94">
        <f>'FUND. SUP'!E72</f>
        <v/>
      </c>
      <c r="BX16" s="94">
        <f>'FUND. SUP'!E73</f>
        <v/>
      </c>
      <c r="BY16" s="94">
        <f>'FUND. SUP'!E74</f>
        <v/>
      </c>
      <c r="BZ16" s="94">
        <f>'FUND. SUP'!E75</f>
        <v/>
      </c>
      <c r="CA16" s="94">
        <f>'FUND. SUP'!E76</f>
        <v/>
      </c>
    </row>
    <row r="17">
      <c r="A17" s="59" t="inlineStr">
        <is>
          <t>G041.002</t>
        </is>
      </c>
      <c r="B17" s="59" t="inlineStr">
        <is>
          <t>1030-1070-290</t>
        </is>
      </c>
      <c r="C17" s="59" t="inlineStr">
        <is>
          <t>IMPERMEABILIZAÇÃO</t>
        </is>
      </c>
      <c r="D17" s="60">
        <f>'IMPERMEABILIZAÇÃO'!$K$5</f>
        <v/>
      </c>
      <c r="E17" s="49">
        <f>SUM(H17:CA17)</f>
        <v/>
      </c>
      <c r="F17" s="49">
        <f>IF(D17="","",D17-E17)</f>
        <v/>
      </c>
      <c r="H17" s="94">
        <f>'IMPERMEABILIZAÇÃO'!E5</f>
        <v/>
      </c>
      <c r="I17" s="94">
        <f>'IMPERMEABILIZAÇÃO'!E6</f>
        <v/>
      </c>
      <c r="J17" s="94">
        <f>'IMPERMEABILIZAÇÃO'!E7</f>
        <v/>
      </c>
      <c r="K17" s="94">
        <f>'IMPERMEABILIZAÇÃO'!E8</f>
        <v/>
      </c>
      <c r="L17" s="94">
        <f>'IMPERMEABILIZAÇÃO'!E9</f>
        <v/>
      </c>
      <c r="M17" s="94">
        <f>'IMPERMEABILIZAÇÃO'!E10</f>
        <v/>
      </c>
      <c r="N17" s="94">
        <f>'IMPERMEABILIZAÇÃO'!E11</f>
        <v/>
      </c>
      <c r="O17" s="94">
        <f>'IMPERMEABILIZAÇÃO'!E12</f>
        <v/>
      </c>
      <c r="P17" s="94">
        <f>'IMPERMEABILIZAÇÃO'!E13</f>
        <v/>
      </c>
      <c r="Q17" s="94">
        <f>'IMPERMEABILIZAÇÃO'!E14</f>
        <v/>
      </c>
      <c r="R17" s="94">
        <f>'IMPERMEABILIZAÇÃO'!E15</f>
        <v/>
      </c>
      <c r="S17" s="94">
        <f>'IMPERMEABILIZAÇÃO'!E16</f>
        <v/>
      </c>
      <c r="T17" s="94">
        <f>'IMPERMEABILIZAÇÃO'!E17</f>
        <v/>
      </c>
      <c r="U17" s="94">
        <f>'IMPERMEABILIZAÇÃO'!E18</f>
        <v/>
      </c>
      <c r="V17" s="94">
        <f>'IMPERMEABILIZAÇÃO'!E19</f>
        <v/>
      </c>
      <c r="W17" s="94">
        <f>'IMPERMEABILIZAÇÃO'!E20</f>
        <v/>
      </c>
      <c r="X17" s="94">
        <f>'IMPERMEABILIZAÇÃO'!E21</f>
        <v/>
      </c>
      <c r="Y17" s="94">
        <f>'IMPERMEABILIZAÇÃO'!E22</f>
        <v/>
      </c>
      <c r="Z17" s="94">
        <f>'IMPERMEABILIZAÇÃO'!E23</f>
        <v/>
      </c>
      <c r="AA17" s="94">
        <f>'IMPERMEABILIZAÇÃO'!E24</f>
        <v/>
      </c>
      <c r="AB17" s="94">
        <f>'IMPERMEABILIZAÇÃO'!E25</f>
        <v/>
      </c>
      <c r="AC17" s="94">
        <f>'IMPERMEABILIZAÇÃO'!E26</f>
        <v/>
      </c>
      <c r="AD17" s="94">
        <f>'IMPERMEABILIZAÇÃO'!E27</f>
        <v/>
      </c>
      <c r="AE17" s="94">
        <f>'IMPERMEABILIZAÇÃO'!E28</f>
        <v/>
      </c>
      <c r="AF17" s="94">
        <f>'IMPERMEABILIZAÇÃO'!E29</f>
        <v/>
      </c>
      <c r="AG17" s="94">
        <f>'IMPERMEABILIZAÇÃO'!E30</f>
        <v/>
      </c>
      <c r="AH17" s="94">
        <f>'IMPERMEABILIZAÇÃO'!E31</f>
        <v/>
      </c>
      <c r="AI17" s="94">
        <f>'IMPERMEABILIZAÇÃO'!E32</f>
        <v/>
      </c>
      <c r="AJ17" s="94">
        <f>'IMPERMEABILIZAÇÃO'!E33</f>
        <v/>
      </c>
      <c r="AK17" s="94">
        <f>'IMPERMEABILIZAÇÃO'!E34</f>
        <v/>
      </c>
      <c r="AL17" s="94">
        <f>'IMPERMEABILIZAÇÃO'!E35</f>
        <v/>
      </c>
      <c r="AM17" s="94">
        <f>'IMPERMEABILIZAÇÃO'!E36</f>
        <v/>
      </c>
      <c r="AN17" s="94">
        <f>'IMPERMEABILIZAÇÃO'!E37</f>
        <v/>
      </c>
      <c r="AO17" s="94">
        <f>'IMPERMEABILIZAÇÃO'!E38</f>
        <v/>
      </c>
      <c r="AP17" s="94">
        <f>'IMPERMEABILIZAÇÃO'!E39</f>
        <v/>
      </c>
      <c r="AQ17" s="94">
        <f>'IMPERMEABILIZAÇÃO'!E40</f>
        <v/>
      </c>
      <c r="AR17" s="94">
        <f>'IMPERMEABILIZAÇÃO'!E41</f>
        <v/>
      </c>
      <c r="AS17" s="94">
        <f>'IMPERMEABILIZAÇÃO'!E42</f>
        <v/>
      </c>
      <c r="AT17" s="94">
        <f>'IMPERMEABILIZAÇÃO'!E43</f>
        <v/>
      </c>
      <c r="AU17" s="94">
        <f>'IMPERMEABILIZAÇÃO'!E44</f>
        <v/>
      </c>
      <c r="AV17" s="94">
        <f>'IMPERMEABILIZAÇÃO'!E45</f>
        <v/>
      </c>
      <c r="AW17" s="94">
        <f>'IMPERMEABILIZAÇÃO'!E46</f>
        <v/>
      </c>
      <c r="AX17" s="94">
        <f>'IMPERMEABILIZAÇÃO'!E47</f>
        <v/>
      </c>
      <c r="AY17" s="94">
        <f>'IMPERMEABILIZAÇÃO'!E48</f>
        <v/>
      </c>
      <c r="AZ17" s="94">
        <f>'IMPERMEABILIZAÇÃO'!E49</f>
        <v/>
      </c>
      <c r="BA17" s="94">
        <f>'IMPERMEABILIZAÇÃO'!E50</f>
        <v/>
      </c>
      <c r="BB17" s="94">
        <f>'IMPERMEABILIZAÇÃO'!E51</f>
        <v/>
      </c>
      <c r="BC17" s="94">
        <f>'IMPERMEABILIZAÇÃO'!E52</f>
        <v/>
      </c>
      <c r="BD17" s="94">
        <f>'IMPERMEABILIZAÇÃO'!E53</f>
        <v/>
      </c>
      <c r="BE17" s="94">
        <f>'IMPERMEABILIZAÇÃO'!E54</f>
        <v/>
      </c>
      <c r="BF17" s="94">
        <f>'IMPERMEABILIZAÇÃO'!E55</f>
        <v/>
      </c>
      <c r="BG17" s="94">
        <f>'IMPERMEABILIZAÇÃO'!E56</f>
        <v/>
      </c>
      <c r="BH17" s="94">
        <f>'IMPERMEABILIZAÇÃO'!E57</f>
        <v/>
      </c>
      <c r="BI17" s="94">
        <f>'IMPERMEABILIZAÇÃO'!E58</f>
        <v/>
      </c>
      <c r="BJ17" s="94">
        <f>'IMPERMEABILIZAÇÃO'!E59</f>
        <v/>
      </c>
      <c r="BK17" s="94">
        <f>'IMPERMEABILIZAÇÃO'!E60</f>
        <v/>
      </c>
      <c r="BL17" s="94">
        <f>'IMPERMEABILIZAÇÃO'!E61</f>
        <v/>
      </c>
      <c r="BM17" s="94">
        <f>'IMPERMEABILIZAÇÃO'!E62</f>
        <v/>
      </c>
      <c r="BN17" s="94">
        <f>'IMPERMEABILIZAÇÃO'!E63</f>
        <v/>
      </c>
      <c r="BO17" s="94">
        <f>'IMPERMEABILIZAÇÃO'!E64</f>
        <v/>
      </c>
      <c r="BP17" s="94">
        <f>'IMPERMEABILIZAÇÃO'!E65</f>
        <v/>
      </c>
      <c r="BQ17" s="94">
        <f>'IMPERMEABILIZAÇÃO'!E66</f>
        <v/>
      </c>
      <c r="BR17" s="94">
        <f>'IMPERMEABILIZAÇÃO'!E67</f>
        <v/>
      </c>
      <c r="BS17" s="94">
        <f>'IMPERMEABILIZAÇÃO'!E68</f>
        <v/>
      </c>
      <c r="BT17" s="94">
        <f>'IMPERMEABILIZAÇÃO'!E69</f>
        <v/>
      </c>
      <c r="BU17" s="94">
        <f>'IMPERMEABILIZAÇÃO'!E70</f>
        <v/>
      </c>
      <c r="BV17" s="94">
        <f>'IMPERMEABILIZAÇÃO'!E71</f>
        <v/>
      </c>
      <c r="BW17" s="94">
        <f>'IMPERMEABILIZAÇÃO'!E72</f>
        <v/>
      </c>
      <c r="BX17" s="94">
        <f>'IMPERMEABILIZAÇÃO'!E73</f>
        <v/>
      </c>
      <c r="BY17" s="94">
        <f>'IMPERMEABILIZAÇÃO'!E74</f>
        <v/>
      </c>
      <c r="BZ17" s="94">
        <f>'IMPERMEABILIZAÇÃO'!E75</f>
        <v/>
      </c>
      <c r="CA17" s="94">
        <f>'IMPERMEABILIZAÇÃO'!E76</f>
        <v/>
      </c>
    </row>
    <row r="18">
      <c r="A18" s="59" t="inlineStr">
        <is>
          <t>G041.002</t>
        </is>
      </c>
      <c r="B18" s="59" t="inlineStr">
        <is>
          <t>1030-1070-260</t>
        </is>
      </c>
      <c r="C18" s="59" t="inlineStr">
        <is>
          <t>INSTALAÇÕES COMBATE INCÊNDIO</t>
        </is>
      </c>
      <c r="D18" s="60">
        <f>'INST. INC'!$K$5</f>
        <v/>
      </c>
      <c r="E18" s="49">
        <f>SUM(H18:CA18)</f>
        <v/>
      </c>
      <c r="F18" s="49">
        <f>IF(D18="","",D18-E18)</f>
        <v/>
      </c>
      <c r="H18" s="94">
        <f>'INST. INC'!E5</f>
        <v/>
      </c>
      <c r="I18" s="94">
        <f>'INST. INC'!E6</f>
        <v/>
      </c>
      <c r="J18" s="94">
        <f>'INST. INC'!E7</f>
        <v/>
      </c>
      <c r="K18" s="94">
        <f>'INST. INC'!E8</f>
        <v/>
      </c>
      <c r="L18" s="94">
        <f>'INST. INC'!E9</f>
        <v/>
      </c>
      <c r="M18" s="94">
        <f>'INST. INC'!E10</f>
        <v/>
      </c>
      <c r="N18" s="94">
        <f>'INST. INC'!E11</f>
        <v/>
      </c>
      <c r="O18" s="94">
        <f>'INST. INC'!E12</f>
        <v/>
      </c>
      <c r="P18" s="94">
        <f>'INST. INC'!E13</f>
        <v/>
      </c>
      <c r="Q18" s="94">
        <f>'INST. INC'!E14</f>
        <v/>
      </c>
      <c r="R18" s="94">
        <f>'INST. INC'!E15</f>
        <v/>
      </c>
      <c r="S18" s="94">
        <f>'INST. INC'!E16</f>
        <v/>
      </c>
      <c r="T18" s="94">
        <f>'INST. INC'!E17</f>
        <v/>
      </c>
      <c r="U18" s="94">
        <f>'INST. INC'!E18</f>
        <v/>
      </c>
      <c r="V18" s="94">
        <f>'INST. INC'!E19</f>
        <v/>
      </c>
      <c r="W18" s="94">
        <f>'INST. INC'!E20</f>
        <v/>
      </c>
      <c r="X18" s="94">
        <f>'INST. INC'!E21</f>
        <v/>
      </c>
      <c r="Y18" s="94">
        <f>'INST. INC'!E22</f>
        <v/>
      </c>
      <c r="Z18" s="94">
        <f>'INST. INC'!E23</f>
        <v/>
      </c>
      <c r="AA18" s="94">
        <f>'INST. INC'!E24</f>
        <v/>
      </c>
      <c r="AB18" s="94">
        <f>'INST. INC'!E25</f>
        <v/>
      </c>
      <c r="AC18" s="94">
        <f>'INST. INC'!E26</f>
        <v/>
      </c>
      <c r="AD18" s="94">
        <f>'INST. INC'!E27</f>
        <v/>
      </c>
      <c r="AE18" s="94">
        <f>'INST. INC'!E28</f>
        <v/>
      </c>
      <c r="AF18" s="94">
        <f>'INST. INC'!E29</f>
        <v/>
      </c>
      <c r="AG18" s="94">
        <f>'INST. INC'!E30</f>
        <v/>
      </c>
      <c r="AH18" s="94">
        <f>'INST. INC'!E31</f>
        <v/>
      </c>
      <c r="AI18" s="94">
        <f>'INST. INC'!E32</f>
        <v/>
      </c>
      <c r="AJ18" s="94">
        <f>'INST. INC'!E33</f>
        <v/>
      </c>
      <c r="AK18" s="94">
        <f>'INST. INC'!E34</f>
        <v/>
      </c>
      <c r="AL18" s="94">
        <f>'INST. INC'!E35</f>
        <v/>
      </c>
      <c r="AM18" s="94">
        <f>'INST. INC'!E36</f>
        <v/>
      </c>
      <c r="AN18" s="94">
        <f>'INST. INC'!E37</f>
        <v/>
      </c>
      <c r="AO18" s="94">
        <f>'INST. INC'!E38</f>
        <v/>
      </c>
      <c r="AP18" s="94">
        <f>'INST. INC'!E39</f>
        <v/>
      </c>
      <c r="AQ18" s="94">
        <f>'INST. INC'!E40</f>
        <v/>
      </c>
      <c r="AR18" s="94">
        <f>'INST. INC'!E41</f>
        <v/>
      </c>
      <c r="AS18" s="94">
        <f>'INST. INC'!E42</f>
        <v/>
      </c>
      <c r="AT18" s="94">
        <f>'INST. INC'!E43</f>
        <v/>
      </c>
      <c r="AU18" s="94">
        <f>'INST. INC'!E44</f>
        <v/>
      </c>
      <c r="AV18" s="94">
        <f>'INST. INC'!E45</f>
        <v/>
      </c>
      <c r="AW18" s="94">
        <f>'INST. INC'!E46</f>
        <v/>
      </c>
      <c r="AX18" s="94">
        <f>'INST. INC'!E47</f>
        <v/>
      </c>
      <c r="AY18" s="94">
        <f>'INST. INC'!E48</f>
        <v/>
      </c>
      <c r="AZ18" s="94">
        <f>'INST. INC'!E49</f>
        <v/>
      </c>
      <c r="BA18" s="94">
        <f>'INST. INC'!E50</f>
        <v/>
      </c>
      <c r="BB18" s="94">
        <f>'INST. INC'!E51</f>
        <v/>
      </c>
      <c r="BC18" s="94">
        <f>'INST. INC'!E52</f>
        <v/>
      </c>
      <c r="BD18" s="94">
        <f>'INST. INC'!E53</f>
        <v/>
      </c>
      <c r="BE18" s="94">
        <f>'INST. INC'!E54</f>
        <v/>
      </c>
      <c r="BF18" s="94">
        <f>'INST. INC'!E55</f>
        <v/>
      </c>
      <c r="BG18" s="94">
        <f>'INST. INC'!E56</f>
        <v/>
      </c>
      <c r="BH18" s="94">
        <f>'INST. INC'!E57</f>
        <v/>
      </c>
      <c r="BI18" s="94">
        <f>'INST. INC'!E58</f>
        <v/>
      </c>
      <c r="BJ18" s="94">
        <f>'INST. INC'!E59</f>
        <v/>
      </c>
      <c r="BK18" s="94">
        <f>'INST. INC'!E60</f>
        <v/>
      </c>
      <c r="BL18" s="94">
        <f>'INST. INC'!E61</f>
        <v/>
      </c>
      <c r="BM18" s="94">
        <f>'INST. INC'!E62</f>
        <v/>
      </c>
      <c r="BN18" s="94">
        <f>'INST. INC'!E63</f>
        <v/>
      </c>
      <c r="BO18" s="94">
        <f>'INST. INC'!E64</f>
        <v/>
      </c>
      <c r="BP18" s="94">
        <f>'INST. INC'!E65</f>
        <v/>
      </c>
      <c r="BQ18" s="94">
        <f>'INST. INC'!E66</f>
        <v/>
      </c>
      <c r="BR18" s="94">
        <f>'INST. INC'!E67</f>
        <v/>
      </c>
      <c r="BS18" s="94">
        <f>'INST. INC'!E68</f>
        <v/>
      </c>
      <c r="BT18" s="94">
        <f>'INST. INC'!E69</f>
        <v/>
      </c>
      <c r="BU18" s="94">
        <f>'INST. INC'!E70</f>
        <v/>
      </c>
      <c r="BV18" s="94">
        <f>'INST. INC'!E71</f>
        <v/>
      </c>
      <c r="BW18" s="94">
        <f>'INST. INC'!E72</f>
        <v/>
      </c>
      <c r="BX18" s="94">
        <f>'INST. INC'!E73</f>
        <v/>
      </c>
      <c r="BY18" s="94">
        <f>'INST. INC'!E74</f>
        <v/>
      </c>
      <c r="BZ18" s="94">
        <f>'INST. INC'!E75</f>
        <v/>
      </c>
      <c r="CA18" s="94">
        <f>'INST. INC'!E76</f>
        <v/>
      </c>
    </row>
    <row r="19">
      <c r="A19" s="59" t="inlineStr">
        <is>
          <t>G041.002</t>
        </is>
      </c>
      <c r="B19" s="59" t="inlineStr">
        <is>
          <t>1030-1070-240</t>
        </is>
      </c>
      <c r="C19" s="59" t="inlineStr">
        <is>
          <t>INSTALAÇÕES ELÉTRICAS</t>
        </is>
      </c>
      <c r="D19" s="60">
        <f>'INST. ELÉTRICA'!$K$5</f>
        <v/>
      </c>
      <c r="E19" s="49">
        <f>SUM(H19:CA19)</f>
        <v/>
      </c>
      <c r="F19" s="49">
        <f>IF(D19="","",D19-E19)</f>
        <v/>
      </c>
      <c r="H19" s="94">
        <f>'INST. ELÉTRICA'!E5</f>
        <v/>
      </c>
      <c r="I19" s="94">
        <f>'INST. ELÉTRICA'!E6</f>
        <v/>
      </c>
      <c r="J19" s="94">
        <f>'INST. ELÉTRICA'!E7</f>
        <v/>
      </c>
      <c r="K19" s="94">
        <f>'INST. ELÉTRICA'!E8</f>
        <v/>
      </c>
      <c r="L19" s="94">
        <f>'INST. ELÉTRICA'!E9</f>
        <v/>
      </c>
      <c r="M19" s="94">
        <f>'INST. ELÉTRICA'!E10</f>
        <v/>
      </c>
      <c r="N19" s="94">
        <f>'INST. ELÉTRICA'!E11</f>
        <v/>
      </c>
      <c r="O19" s="94">
        <f>'INST. ELÉTRICA'!E12</f>
        <v/>
      </c>
      <c r="P19" s="94">
        <f>'INST. ELÉTRICA'!E13</f>
        <v/>
      </c>
      <c r="Q19" s="94">
        <f>'INST. ELÉTRICA'!E14</f>
        <v/>
      </c>
      <c r="R19" s="94">
        <f>'INST. ELÉTRICA'!E15</f>
        <v/>
      </c>
      <c r="S19" s="94">
        <f>'INST. ELÉTRICA'!E16</f>
        <v/>
      </c>
      <c r="T19" s="94">
        <f>'INST. ELÉTRICA'!E17</f>
        <v/>
      </c>
      <c r="U19" s="94">
        <f>'INST. ELÉTRICA'!E18</f>
        <v/>
      </c>
      <c r="V19" s="94">
        <f>'INST. ELÉTRICA'!E19</f>
        <v/>
      </c>
      <c r="W19" s="94">
        <f>'INST. ELÉTRICA'!E20</f>
        <v/>
      </c>
      <c r="X19" s="94">
        <f>'INST. ELÉTRICA'!E21</f>
        <v/>
      </c>
      <c r="Y19" s="94">
        <f>'INST. ELÉTRICA'!E22</f>
        <v/>
      </c>
      <c r="Z19" s="94">
        <f>'INST. ELÉTRICA'!E23</f>
        <v/>
      </c>
      <c r="AA19" s="94">
        <f>'INST. ELÉTRICA'!E24</f>
        <v/>
      </c>
      <c r="AB19" s="94">
        <f>'INST. ELÉTRICA'!E25</f>
        <v/>
      </c>
      <c r="AC19" s="94">
        <f>'INST. ELÉTRICA'!E26</f>
        <v/>
      </c>
      <c r="AD19" s="94">
        <f>'INST. ELÉTRICA'!E27</f>
        <v/>
      </c>
      <c r="AE19" s="94">
        <f>'INST. ELÉTRICA'!E28</f>
        <v/>
      </c>
      <c r="AF19" s="94">
        <f>'INST. ELÉTRICA'!E29</f>
        <v/>
      </c>
      <c r="AG19" s="94">
        <f>'INST. ELÉTRICA'!E30</f>
        <v/>
      </c>
      <c r="AH19" s="94">
        <f>'INST. ELÉTRICA'!E31</f>
        <v/>
      </c>
      <c r="AI19" s="94">
        <f>'INST. ELÉTRICA'!E32</f>
        <v/>
      </c>
      <c r="AJ19" s="94">
        <f>'INST. ELÉTRICA'!E33</f>
        <v/>
      </c>
      <c r="AK19" s="94">
        <f>'INST. ELÉTRICA'!E34</f>
        <v/>
      </c>
      <c r="AL19" s="94">
        <f>'INST. ELÉTRICA'!E35</f>
        <v/>
      </c>
      <c r="AM19" s="94">
        <f>'INST. ELÉTRICA'!E36</f>
        <v/>
      </c>
      <c r="AN19" s="94">
        <f>'INST. ELÉTRICA'!E37</f>
        <v/>
      </c>
      <c r="AO19" s="94">
        <f>'INST. ELÉTRICA'!E38</f>
        <v/>
      </c>
      <c r="AP19" s="94">
        <f>'INST. ELÉTRICA'!E39</f>
        <v/>
      </c>
      <c r="AQ19" s="94">
        <f>'INST. ELÉTRICA'!E40</f>
        <v/>
      </c>
      <c r="AR19" s="94">
        <f>'INST. ELÉTRICA'!E41</f>
        <v/>
      </c>
      <c r="AS19" s="94">
        <f>'INST. ELÉTRICA'!E42</f>
        <v/>
      </c>
      <c r="AT19" s="94">
        <f>'INST. ELÉTRICA'!E43</f>
        <v/>
      </c>
      <c r="AU19" s="94">
        <f>'INST. ELÉTRICA'!E44</f>
        <v/>
      </c>
      <c r="AV19" s="94">
        <f>'INST. ELÉTRICA'!E45</f>
        <v/>
      </c>
      <c r="AW19" s="94">
        <f>'INST. ELÉTRICA'!E46</f>
        <v/>
      </c>
      <c r="AX19" s="94">
        <f>'INST. ELÉTRICA'!E47</f>
        <v/>
      </c>
      <c r="AY19" s="94">
        <f>'INST. ELÉTRICA'!E48</f>
        <v/>
      </c>
      <c r="AZ19" s="94">
        <f>'INST. ELÉTRICA'!E49</f>
        <v/>
      </c>
      <c r="BA19" s="94">
        <f>'INST. ELÉTRICA'!E50</f>
        <v/>
      </c>
      <c r="BB19" s="94">
        <f>'INST. ELÉTRICA'!E51</f>
        <v/>
      </c>
      <c r="BC19" s="94">
        <f>'INST. ELÉTRICA'!E52</f>
        <v/>
      </c>
      <c r="BD19" s="94">
        <f>'INST. ELÉTRICA'!E53</f>
        <v/>
      </c>
      <c r="BE19" s="94">
        <f>'INST. ELÉTRICA'!E54</f>
        <v/>
      </c>
      <c r="BF19" s="94">
        <f>'INST. ELÉTRICA'!E55</f>
        <v/>
      </c>
      <c r="BG19" s="94">
        <f>'INST. ELÉTRICA'!E56</f>
        <v/>
      </c>
      <c r="BH19" s="94">
        <f>'INST. ELÉTRICA'!E57</f>
        <v/>
      </c>
      <c r="BI19" s="94">
        <f>'INST. ELÉTRICA'!E58</f>
        <v/>
      </c>
      <c r="BJ19" s="94">
        <f>'INST. ELÉTRICA'!E59</f>
        <v/>
      </c>
      <c r="BK19" s="94">
        <f>'INST. ELÉTRICA'!E60</f>
        <v/>
      </c>
      <c r="BL19" s="94">
        <f>'INST. ELÉTRICA'!E61</f>
        <v/>
      </c>
      <c r="BM19" s="94">
        <f>'INST. ELÉTRICA'!E62</f>
        <v/>
      </c>
      <c r="BN19" s="94">
        <f>'INST. ELÉTRICA'!E63</f>
        <v/>
      </c>
      <c r="BO19" s="94">
        <f>'INST. ELÉTRICA'!E64</f>
        <v/>
      </c>
      <c r="BP19" s="94">
        <f>'INST. ELÉTRICA'!E65</f>
        <v/>
      </c>
      <c r="BQ19" s="94">
        <f>'INST. ELÉTRICA'!E66</f>
        <v/>
      </c>
      <c r="BR19" s="94">
        <f>'INST. ELÉTRICA'!E67</f>
        <v/>
      </c>
      <c r="BS19" s="94">
        <f>'INST. ELÉTRICA'!E68</f>
        <v/>
      </c>
      <c r="BT19" s="94">
        <f>'INST. ELÉTRICA'!E69</f>
        <v/>
      </c>
      <c r="BU19" s="94">
        <f>'INST. ELÉTRICA'!E70</f>
        <v/>
      </c>
      <c r="BV19" s="94">
        <f>'INST. ELÉTRICA'!E71</f>
        <v/>
      </c>
      <c r="BW19" s="94">
        <f>'INST. ELÉTRICA'!E72</f>
        <v/>
      </c>
      <c r="BX19" s="94">
        <f>'INST. ELÉTRICA'!E73</f>
        <v/>
      </c>
      <c r="BY19" s="94">
        <f>'INST. ELÉTRICA'!E74</f>
        <v/>
      </c>
      <c r="BZ19" s="94">
        <f>'INST. ELÉTRICA'!E75</f>
        <v/>
      </c>
      <c r="CA19" s="94">
        <f>'INST. ELÉTRICA'!E76</f>
        <v/>
      </c>
    </row>
    <row r="20">
      <c r="A20" s="59" t="inlineStr">
        <is>
          <t>G041.002</t>
        </is>
      </c>
      <c r="B20" s="59" t="inlineStr">
        <is>
          <t>1030-1070-270</t>
        </is>
      </c>
      <c r="C20" s="59" t="inlineStr">
        <is>
          <t>INSTALAÇÕES ESPECIAIS</t>
        </is>
      </c>
      <c r="D20" s="60">
        <f>'INST. ESP'!$K$5</f>
        <v/>
      </c>
      <c r="E20" s="49">
        <f>SUM(H20:CA20)</f>
        <v/>
      </c>
      <c r="F20" s="49">
        <f>IF(D20="","",D20-E20)</f>
        <v/>
      </c>
      <c r="H20" s="94">
        <f>'INST. ESP'!E5</f>
        <v/>
      </c>
      <c r="I20" s="94">
        <f>'INST. ESP'!E6</f>
        <v/>
      </c>
      <c r="J20" s="94">
        <f>'INST. ESP'!E7</f>
        <v/>
      </c>
      <c r="K20" s="94">
        <f>'INST. ESP'!E8</f>
        <v/>
      </c>
      <c r="L20" s="94">
        <f>'INST. ESP'!E9</f>
        <v/>
      </c>
      <c r="M20" s="94">
        <f>'INST. ESP'!E10</f>
        <v/>
      </c>
      <c r="N20" s="94">
        <f>'INST. ESP'!E11</f>
        <v/>
      </c>
      <c r="O20" s="94">
        <f>'INST. ESP'!E12</f>
        <v/>
      </c>
      <c r="P20" s="94">
        <f>'INST. ESP'!E13</f>
        <v/>
      </c>
      <c r="Q20" s="94">
        <f>'INST. ESP'!E14</f>
        <v/>
      </c>
      <c r="R20" s="94">
        <f>'INST. ESP'!E15</f>
        <v/>
      </c>
      <c r="S20" s="94">
        <f>'INST. ESP'!E16</f>
        <v/>
      </c>
      <c r="T20" s="94">
        <f>'INST. ESP'!E17</f>
        <v/>
      </c>
      <c r="U20" s="94">
        <f>'INST. ESP'!E18</f>
        <v/>
      </c>
      <c r="V20" s="94">
        <f>'INST. ESP'!E19</f>
        <v/>
      </c>
      <c r="W20" s="94">
        <f>'INST. ESP'!E20</f>
        <v/>
      </c>
      <c r="X20" s="94">
        <f>'INST. ESP'!E21</f>
        <v/>
      </c>
      <c r="Y20" s="94">
        <f>'INST. ESP'!E22</f>
        <v/>
      </c>
      <c r="Z20" s="94">
        <f>'INST. ESP'!E23</f>
        <v/>
      </c>
      <c r="AA20" s="94">
        <f>'INST. ESP'!E24</f>
        <v/>
      </c>
      <c r="AB20" s="94">
        <f>'INST. ESP'!E25</f>
        <v/>
      </c>
      <c r="AC20" s="94">
        <f>'INST. ESP'!E26</f>
        <v/>
      </c>
      <c r="AD20" s="94">
        <f>'INST. ESP'!E27</f>
        <v/>
      </c>
      <c r="AE20" s="94">
        <f>'INST. ESP'!E28</f>
        <v/>
      </c>
      <c r="AF20" s="94">
        <f>'INST. ESP'!E29</f>
        <v/>
      </c>
      <c r="AG20" s="94">
        <f>'INST. ESP'!E30</f>
        <v/>
      </c>
      <c r="AH20" s="94">
        <f>'INST. ESP'!E31</f>
        <v/>
      </c>
      <c r="AI20" s="94">
        <f>'INST. ESP'!E32</f>
        <v/>
      </c>
      <c r="AJ20" s="94">
        <f>'INST. ESP'!E33</f>
        <v/>
      </c>
      <c r="AK20" s="94">
        <f>'INST. ESP'!E34</f>
        <v/>
      </c>
      <c r="AL20" s="94">
        <f>'INST. ESP'!E35</f>
        <v/>
      </c>
      <c r="AM20" s="94">
        <f>'INST. ESP'!E36</f>
        <v/>
      </c>
      <c r="AN20" s="94">
        <f>'INST. ESP'!E37</f>
        <v/>
      </c>
      <c r="AO20" s="94">
        <f>'INST. ESP'!E38</f>
        <v/>
      </c>
      <c r="AP20" s="94">
        <f>'INST. ESP'!E39</f>
        <v/>
      </c>
      <c r="AQ20" s="94">
        <f>'INST. ESP'!E40</f>
        <v/>
      </c>
      <c r="AR20" s="94">
        <f>'INST. ESP'!E41</f>
        <v/>
      </c>
      <c r="AS20" s="94">
        <f>'INST. ESP'!E42</f>
        <v/>
      </c>
      <c r="AT20" s="94">
        <f>'INST. ESP'!E43</f>
        <v/>
      </c>
      <c r="AU20" s="94">
        <f>'INST. ESP'!E44</f>
        <v/>
      </c>
      <c r="AV20" s="94">
        <f>'INST. ESP'!E45</f>
        <v/>
      </c>
      <c r="AW20" s="94">
        <f>'INST. ESP'!E46</f>
        <v/>
      </c>
      <c r="AX20" s="94">
        <f>'INST. ESP'!E47</f>
        <v/>
      </c>
      <c r="AY20" s="94">
        <f>'INST. ESP'!E48</f>
        <v/>
      </c>
      <c r="AZ20" s="94">
        <f>'INST. ESP'!E49</f>
        <v/>
      </c>
      <c r="BA20" s="94">
        <f>'INST. ESP'!E50</f>
        <v/>
      </c>
      <c r="BB20" s="94">
        <f>'INST. ESP'!E51</f>
        <v/>
      </c>
      <c r="BC20" s="94">
        <f>'INST. ESP'!E52</f>
        <v/>
      </c>
      <c r="BD20" s="94">
        <f>'INST. ESP'!E53</f>
        <v/>
      </c>
      <c r="BE20" s="94">
        <f>'INST. ESP'!E54</f>
        <v/>
      </c>
      <c r="BF20" s="94">
        <f>'INST. ESP'!E55</f>
        <v/>
      </c>
      <c r="BG20" s="94">
        <f>'INST. ESP'!E56</f>
        <v/>
      </c>
      <c r="BH20" s="94">
        <f>'INST. ESP'!E57</f>
        <v/>
      </c>
      <c r="BI20" s="94">
        <f>'INST. ESP'!E58</f>
        <v/>
      </c>
      <c r="BJ20" s="94">
        <f>'INST. ESP'!E59</f>
        <v/>
      </c>
      <c r="BK20" s="94">
        <f>'INST. ESP'!E60</f>
        <v/>
      </c>
      <c r="BL20" s="94">
        <f>'INST. ESP'!E61</f>
        <v/>
      </c>
      <c r="BM20" s="94">
        <f>'INST. ESP'!E62</f>
        <v/>
      </c>
      <c r="BN20" s="94">
        <f>'INST. ESP'!E63</f>
        <v/>
      </c>
      <c r="BO20" s="94">
        <f>'INST. ESP'!E64</f>
        <v/>
      </c>
      <c r="BP20" s="94">
        <f>'INST. ESP'!E65</f>
        <v/>
      </c>
      <c r="BQ20" s="94">
        <f>'INST. ESP'!E66</f>
        <v/>
      </c>
      <c r="BR20" s="94">
        <f>'INST. ESP'!E67</f>
        <v/>
      </c>
      <c r="BS20" s="94">
        <f>'INST. ESP'!E68</f>
        <v/>
      </c>
      <c r="BT20" s="94">
        <f>'INST. ESP'!E69</f>
        <v/>
      </c>
      <c r="BU20" s="94">
        <f>'INST. ESP'!E70</f>
        <v/>
      </c>
      <c r="BV20" s="94">
        <f>'INST. ESP'!E71</f>
        <v/>
      </c>
      <c r="BW20" s="94">
        <f>'INST. ESP'!E72</f>
        <v/>
      </c>
      <c r="BX20" s="94">
        <f>'INST. ESP'!E73</f>
        <v/>
      </c>
      <c r="BY20" s="94">
        <f>'INST. ESP'!E74</f>
        <v/>
      </c>
      <c r="BZ20" s="94">
        <f>'INST. ESP'!E75</f>
        <v/>
      </c>
      <c r="CA20" s="94">
        <f>'INST. ESP'!E76</f>
        <v/>
      </c>
    </row>
    <row r="21">
      <c r="A21" s="59" t="inlineStr">
        <is>
          <t>G041.002</t>
        </is>
      </c>
      <c r="B21" s="59" t="inlineStr">
        <is>
          <t>1030-1070-250</t>
        </is>
      </c>
      <c r="C21" s="59" t="inlineStr">
        <is>
          <t>INSTALAÇÕES HIDROSANITÁRIAS</t>
        </is>
      </c>
      <c r="D21" s="60">
        <f>'INST. HIDRO'!$K$5</f>
        <v/>
      </c>
      <c r="E21" s="49">
        <f>SUM(H21:CA21)</f>
        <v/>
      </c>
      <c r="F21" s="49">
        <f>IF(D21="","",D21-E21)</f>
        <v/>
      </c>
      <c r="H21" s="94">
        <f>'INST. HIDRO'!E5</f>
        <v/>
      </c>
      <c r="I21" s="94">
        <f>'INST. HIDRO'!E6</f>
        <v/>
      </c>
      <c r="J21" s="94">
        <f>'INST. HIDRO'!E7</f>
        <v/>
      </c>
      <c r="K21" s="94">
        <f>'INST. HIDRO'!E8</f>
        <v/>
      </c>
      <c r="L21" s="94">
        <f>'INST. HIDRO'!E9</f>
        <v/>
      </c>
      <c r="M21" s="94">
        <f>'INST. HIDRO'!E10</f>
        <v/>
      </c>
      <c r="N21" s="94">
        <f>'INST. HIDRO'!E11</f>
        <v/>
      </c>
      <c r="O21" s="94">
        <f>'INST. HIDRO'!E12</f>
        <v/>
      </c>
      <c r="P21" s="94">
        <f>'INST. HIDRO'!E13</f>
        <v/>
      </c>
      <c r="Q21" s="94">
        <f>'INST. HIDRO'!E14</f>
        <v/>
      </c>
      <c r="R21" s="94">
        <f>'INST. HIDRO'!E15</f>
        <v/>
      </c>
      <c r="S21" s="94">
        <f>'INST. HIDRO'!E16</f>
        <v/>
      </c>
      <c r="T21" s="94">
        <f>'INST. HIDRO'!E17</f>
        <v/>
      </c>
      <c r="U21" s="94">
        <f>'INST. HIDRO'!E18</f>
        <v/>
      </c>
      <c r="V21" s="94">
        <f>'INST. HIDRO'!E19</f>
        <v/>
      </c>
      <c r="W21" s="94">
        <f>'INST. HIDRO'!E20</f>
        <v/>
      </c>
      <c r="X21" s="94">
        <f>'INST. HIDRO'!E21</f>
        <v/>
      </c>
      <c r="Y21" s="94">
        <f>'INST. HIDRO'!E22</f>
        <v/>
      </c>
      <c r="Z21" s="94">
        <f>'INST. HIDRO'!E23</f>
        <v/>
      </c>
      <c r="AA21" s="94">
        <f>'INST. HIDRO'!E24</f>
        <v/>
      </c>
      <c r="AB21" s="94">
        <f>'INST. HIDRO'!E25</f>
        <v/>
      </c>
      <c r="AC21" s="94">
        <f>'INST. HIDRO'!E26</f>
        <v/>
      </c>
      <c r="AD21" s="94">
        <f>'INST. HIDRO'!E27</f>
        <v/>
      </c>
      <c r="AE21" s="94">
        <f>'INST. HIDRO'!E28</f>
        <v/>
      </c>
      <c r="AF21" s="94">
        <f>'INST. HIDRO'!E29</f>
        <v/>
      </c>
      <c r="AG21" s="94">
        <f>'INST. HIDRO'!E30</f>
        <v/>
      </c>
      <c r="AH21" s="94">
        <f>'INST. HIDRO'!E31</f>
        <v/>
      </c>
      <c r="AI21" s="94">
        <f>'INST. HIDRO'!E32</f>
        <v/>
      </c>
      <c r="AJ21" s="94">
        <f>'INST. HIDRO'!E33</f>
        <v/>
      </c>
      <c r="AK21" s="94">
        <f>'INST. HIDRO'!E34</f>
        <v/>
      </c>
      <c r="AL21" s="94">
        <f>'INST. HIDRO'!E35</f>
        <v/>
      </c>
      <c r="AM21" s="94">
        <f>'INST. HIDRO'!E36</f>
        <v/>
      </c>
      <c r="AN21" s="94">
        <f>'INST. HIDRO'!E37</f>
        <v/>
      </c>
      <c r="AO21" s="94">
        <f>'INST. HIDRO'!E38</f>
        <v/>
      </c>
      <c r="AP21" s="94">
        <f>'INST. HIDRO'!E39</f>
        <v/>
      </c>
      <c r="AQ21" s="94">
        <f>'INST. HIDRO'!E40</f>
        <v/>
      </c>
      <c r="AR21" s="94">
        <f>'INST. HIDRO'!E41</f>
        <v/>
      </c>
      <c r="AS21" s="94">
        <f>'INST. HIDRO'!E42</f>
        <v/>
      </c>
      <c r="AT21" s="94">
        <f>'INST. HIDRO'!E43</f>
        <v/>
      </c>
      <c r="AU21" s="94">
        <f>'INST. HIDRO'!E44</f>
        <v/>
      </c>
      <c r="AV21" s="94">
        <f>'INST. HIDRO'!E45</f>
        <v/>
      </c>
      <c r="AW21" s="94">
        <f>'INST. HIDRO'!E46</f>
        <v/>
      </c>
      <c r="AX21" s="94">
        <f>'INST. HIDRO'!E47</f>
        <v/>
      </c>
      <c r="AY21" s="94">
        <f>'INST. HIDRO'!E48</f>
        <v/>
      </c>
      <c r="AZ21" s="94">
        <f>'INST. HIDRO'!E49</f>
        <v/>
      </c>
      <c r="BA21" s="94">
        <f>'INST. HIDRO'!E50</f>
        <v/>
      </c>
      <c r="BB21" s="94">
        <f>'INST. HIDRO'!E51</f>
        <v/>
      </c>
      <c r="BC21" s="94">
        <f>'INST. HIDRO'!E52</f>
        <v/>
      </c>
      <c r="BD21" s="94">
        <f>'INST. HIDRO'!E53</f>
        <v/>
      </c>
      <c r="BE21" s="94">
        <f>'INST. HIDRO'!E54</f>
        <v/>
      </c>
      <c r="BF21" s="94">
        <f>'INST. HIDRO'!E55</f>
        <v/>
      </c>
      <c r="BG21" s="94">
        <f>'INST. HIDRO'!E56</f>
        <v/>
      </c>
      <c r="BH21" s="94">
        <f>'INST. HIDRO'!E57</f>
        <v/>
      </c>
      <c r="BI21" s="94">
        <f>'INST. HIDRO'!E58</f>
        <v/>
      </c>
      <c r="BJ21" s="94">
        <f>'INST. HIDRO'!E59</f>
        <v/>
      </c>
      <c r="BK21" s="94">
        <f>'INST. HIDRO'!E60</f>
        <v/>
      </c>
      <c r="BL21" s="94">
        <f>'INST. HIDRO'!E61</f>
        <v/>
      </c>
      <c r="BM21" s="94">
        <f>'INST. HIDRO'!E62</f>
        <v/>
      </c>
      <c r="BN21" s="94">
        <f>'INST. HIDRO'!E63</f>
        <v/>
      </c>
      <c r="BO21" s="94">
        <f>'INST. HIDRO'!E64</f>
        <v/>
      </c>
      <c r="BP21" s="94">
        <f>'INST. HIDRO'!E65</f>
        <v/>
      </c>
      <c r="BQ21" s="94">
        <f>'INST. HIDRO'!E66</f>
        <v/>
      </c>
      <c r="BR21" s="94">
        <f>'INST. HIDRO'!E67</f>
        <v/>
      </c>
      <c r="BS21" s="94">
        <f>'INST. HIDRO'!E68</f>
        <v/>
      </c>
      <c r="BT21" s="94">
        <f>'INST. HIDRO'!E69</f>
        <v/>
      </c>
      <c r="BU21" s="94">
        <f>'INST. HIDRO'!E70</f>
        <v/>
      </c>
      <c r="BV21" s="94">
        <f>'INST. HIDRO'!E71</f>
        <v/>
      </c>
      <c r="BW21" s="94">
        <f>'INST. HIDRO'!E72</f>
        <v/>
      </c>
      <c r="BX21" s="94">
        <f>'INST. HIDRO'!E73</f>
        <v/>
      </c>
      <c r="BY21" s="94">
        <f>'INST. HIDRO'!E74</f>
        <v/>
      </c>
      <c r="BZ21" s="94">
        <f>'INST. HIDRO'!E75</f>
        <v/>
      </c>
      <c r="CA21" s="94">
        <f>'INST. HIDRO'!E76</f>
        <v/>
      </c>
    </row>
    <row r="22">
      <c r="A22" s="59" t="inlineStr">
        <is>
          <t>G041.002</t>
        </is>
      </c>
      <c r="B22" s="59" t="inlineStr">
        <is>
          <t>1030-1070-130</t>
        </is>
      </c>
      <c r="C22" s="59" t="inlineStr">
        <is>
          <t>LEVANTAMENTO TOPOGRÁFICO</t>
        </is>
      </c>
      <c r="E22" s="49">
        <f>SUM(H22:CA22)</f>
        <v/>
      </c>
      <c r="F22" s="49">
        <f>IF(D22="","",D22-E22)</f>
        <v/>
      </c>
    </row>
    <row r="23">
      <c r="A23" s="59" t="inlineStr">
        <is>
          <t>G041.002</t>
        </is>
      </c>
      <c r="B23" s="59" t="inlineStr">
        <is>
          <t>1030-1070-410</t>
        </is>
      </c>
      <c r="C23" s="59" t="inlineStr">
        <is>
          <t>LOUÇAS SANITÁRIAS</t>
        </is>
      </c>
      <c r="D23" s="60">
        <f>'LOUÇAS'!$K$5</f>
        <v/>
      </c>
      <c r="E23" s="49">
        <f>SUM(H23:CA23)</f>
        <v/>
      </c>
      <c r="F23" s="49">
        <f>IF(D23="","",D23-E23)</f>
        <v/>
      </c>
      <c r="H23" s="94">
        <f>'LOUÇAS'!E5</f>
        <v/>
      </c>
      <c r="I23" s="94">
        <f>'LOUÇAS'!E6</f>
        <v/>
      </c>
      <c r="J23" s="94">
        <f>'LOUÇAS'!E7</f>
        <v/>
      </c>
      <c r="K23" s="94">
        <f>'LOUÇAS'!E8</f>
        <v/>
      </c>
      <c r="L23" s="94">
        <f>'LOUÇAS'!E9</f>
        <v/>
      </c>
      <c r="M23" s="94">
        <f>'LOUÇAS'!E10</f>
        <v/>
      </c>
      <c r="N23" s="94">
        <f>'LOUÇAS'!E11</f>
        <v/>
      </c>
      <c r="O23" s="94">
        <f>'LOUÇAS'!E12</f>
        <v/>
      </c>
      <c r="P23" s="94">
        <f>'LOUÇAS'!E13</f>
        <v/>
      </c>
      <c r="Q23" s="94">
        <f>'LOUÇAS'!E14</f>
        <v/>
      </c>
      <c r="R23" s="94">
        <f>'LOUÇAS'!E15</f>
        <v/>
      </c>
      <c r="S23" s="94">
        <f>'LOUÇAS'!E16</f>
        <v/>
      </c>
      <c r="T23" s="94">
        <f>'LOUÇAS'!E17</f>
        <v/>
      </c>
      <c r="U23" s="94">
        <f>'LOUÇAS'!E18</f>
        <v/>
      </c>
      <c r="V23" s="94">
        <f>'LOUÇAS'!E19</f>
        <v/>
      </c>
      <c r="W23" s="94">
        <f>'LOUÇAS'!E20</f>
        <v/>
      </c>
      <c r="X23" s="94">
        <f>'LOUÇAS'!E21</f>
        <v/>
      </c>
      <c r="Y23" s="94">
        <f>'LOUÇAS'!E22</f>
        <v/>
      </c>
      <c r="Z23" s="94">
        <f>'LOUÇAS'!E23</f>
        <v/>
      </c>
      <c r="AA23" s="94">
        <f>'LOUÇAS'!E24</f>
        <v/>
      </c>
      <c r="AB23" s="94">
        <f>'LOUÇAS'!E25</f>
        <v/>
      </c>
      <c r="AC23" s="94">
        <f>'LOUÇAS'!E26</f>
        <v/>
      </c>
      <c r="AD23" s="94">
        <f>'LOUÇAS'!E27</f>
        <v/>
      </c>
      <c r="AE23" s="94">
        <f>'LOUÇAS'!E28</f>
        <v/>
      </c>
      <c r="AF23" s="94">
        <f>'LOUÇAS'!E29</f>
        <v/>
      </c>
      <c r="AG23" s="94">
        <f>'LOUÇAS'!E30</f>
        <v/>
      </c>
      <c r="AH23" s="94">
        <f>'LOUÇAS'!E31</f>
        <v/>
      </c>
      <c r="AI23" s="94">
        <f>'LOUÇAS'!E32</f>
        <v/>
      </c>
      <c r="AJ23" s="94">
        <f>'LOUÇAS'!E33</f>
        <v/>
      </c>
      <c r="AK23" s="94">
        <f>'LOUÇAS'!E34</f>
        <v/>
      </c>
      <c r="AL23" s="94">
        <f>'LOUÇAS'!E35</f>
        <v/>
      </c>
      <c r="AM23" s="94">
        <f>'LOUÇAS'!E36</f>
        <v/>
      </c>
      <c r="AN23" s="94">
        <f>'LOUÇAS'!E37</f>
        <v/>
      </c>
      <c r="AO23" s="94">
        <f>'LOUÇAS'!E38</f>
        <v/>
      </c>
      <c r="AP23" s="94">
        <f>'LOUÇAS'!E39</f>
        <v/>
      </c>
      <c r="AQ23" s="94">
        <f>'LOUÇAS'!E40</f>
        <v/>
      </c>
      <c r="AR23" s="94">
        <f>'LOUÇAS'!E41</f>
        <v/>
      </c>
      <c r="AS23" s="94">
        <f>'LOUÇAS'!E42</f>
        <v/>
      </c>
      <c r="AT23" s="94">
        <f>'LOUÇAS'!E43</f>
        <v/>
      </c>
      <c r="AU23" s="94">
        <f>'LOUÇAS'!E44</f>
        <v/>
      </c>
      <c r="AV23" s="94">
        <f>'LOUÇAS'!E45</f>
        <v/>
      </c>
      <c r="AW23" s="94">
        <f>'LOUÇAS'!E46</f>
        <v/>
      </c>
      <c r="AX23" s="94">
        <f>'LOUÇAS'!E47</f>
        <v/>
      </c>
      <c r="AY23" s="94">
        <f>'LOUÇAS'!E48</f>
        <v/>
      </c>
      <c r="AZ23" s="94">
        <f>'LOUÇAS'!E49</f>
        <v/>
      </c>
      <c r="BA23" s="94">
        <f>'LOUÇAS'!E50</f>
        <v/>
      </c>
      <c r="BB23" s="94">
        <f>'LOUÇAS'!E51</f>
        <v/>
      </c>
      <c r="BC23" s="94">
        <f>'LOUÇAS'!E52</f>
        <v/>
      </c>
      <c r="BD23" s="94">
        <f>'LOUÇAS'!E53</f>
        <v/>
      </c>
      <c r="BE23" s="94">
        <f>'LOUÇAS'!E54</f>
        <v/>
      </c>
      <c r="BF23" s="94">
        <f>'LOUÇAS'!E55</f>
        <v/>
      </c>
      <c r="BG23" s="94">
        <f>'LOUÇAS'!E56</f>
        <v/>
      </c>
      <c r="BH23" s="94">
        <f>'LOUÇAS'!E57</f>
        <v/>
      </c>
      <c r="BI23" s="94">
        <f>'LOUÇAS'!E58</f>
        <v/>
      </c>
      <c r="BJ23" s="94">
        <f>'LOUÇAS'!E59</f>
        <v/>
      </c>
      <c r="BK23" s="94">
        <f>'LOUÇAS'!E60</f>
        <v/>
      </c>
      <c r="BL23" s="94">
        <f>'LOUÇAS'!E61</f>
        <v/>
      </c>
      <c r="BM23" s="94">
        <f>'LOUÇAS'!E62</f>
        <v/>
      </c>
      <c r="BN23" s="94">
        <f>'LOUÇAS'!E63</f>
        <v/>
      </c>
      <c r="BO23" s="94">
        <f>'LOUÇAS'!E64</f>
        <v/>
      </c>
      <c r="BP23" s="94">
        <f>'LOUÇAS'!E65</f>
        <v/>
      </c>
      <c r="BQ23" s="94">
        <f>'LOUÇAS'!E66</f>
        <v/>
      </c>
      <c r="BR23" s="94">
        <f>'LOUÇAS'!E67</f>
        <v/>
      </c>
      <c r="BS23" s="94">
        <f>'LOUÇAS'!E68</f>
        <v/>
      </c>
      <c r="BT23" s="94">
        <f>'LOUÇAS'!E69</f>
        <v/>
      </c>
      <c r="BU23" s="94">
        <f>'LOUÇAS'!E70</f>
        <v/>
      </c>
      <c r="BV23" s="94">
        <f>'LOUÇAS'!E71</f>
        <v/>
      </c>
      <c r="BW23" s="94">
        <f>'LOUÇAS'!E72</f>
        <v/>
      </c>
      <c r="BX23" s="94">
        <f>'LOUÇAS'!E73</f>
        <v/>
      </c>
      <c r="BY23" s="94">
        <f>'LOUÇAS'!E74</f>
        <v/>
      </c>
      <c r="BZ23" s="94">
        <f>'LOUÇAS'!E75</f>
        <v/>
      </c>
      <c r="CA23" s="94">
        <f>'LOUÇAS'!E76</f>
        <v/>
      </c>
    </row>
    <row r="24">
      <c r="A24" s="59" t="inlineStr">
        <is>
          <t>G041.002</t>
        </is>
      </c>
      <c r="B24" s="59" t="inlineStr">
        <is>
          <t>1030-1070-440</t>
        </is>
      </c>
      <c r="C24" s="59" t="inlineStr">
        <is>
          <t>LIMPEZA FINAL DE OBRA</t>
        </is>
      </c>
      <c r="D24" s="60">
        <f>'LIMPEZA'!$K$5</f>
        <v/>
      </c>
      <c r="E24" s="49">
        <f>SUM(H24:CA24)</f>
        <v/>
      </c>
      <c r="F24" s="49">
        <f>IF(D24="","",D24-E24)</f>
        <v/>
      </c>
      <c r="H24" s="94">
        <f>'LIMPEZA'!E5</f>
        <v/>
      </c>
      <c r="I24" s="94">
        <f>'LIMPEZA'!E6</f>
        <v/>
      </c>
      <c r="J24" s="94">
        <f>'LIMPEZA'!E7</f>
        <v/>
      </c>
      <c r="K24" s="94">
        <f>'LIMPEZA'!E8</f>
        <v/>
      </c>
      <c r="L24" s="94">
        <f>'LIMPEZA'!E9</f>
        <v/>
      </c>
      <c r="M24" s="94">
        <f>'LIMPEZA'!E10</f>
        <v/>
      </c>
      <c r="N24" s="94">
        <f>'LIMPEZA'!E11</f>
        <v/>
      </c>
      <c r="O24" s="94">
        <f>'LIMPEZA'!E12</f>
        <v/>
      </c>
      <c r="P24" s="94">
        <f>'LIMPEZA'!E13</f>
        <v/>
      </c>
      <c r="Q24" s="94">
        <f>'LIMPEZA'!E14</f>
        <v/>
      </c>
      <c r="R24" s="94">
        <f>'LIMPEZA'!E15</f>
        <v/>
      </c>
      <c r="S24" s="94">
        <f>'LIMPEZA'!E16</f>
        <v/>
      </c>
      <c r="T24" s="94">
        <f>'LIMPEZA'!E17</f>
        <v/>
      </c>
      <c r="U24" s="94">
        <f>'LIMPEZA'!E18</f>
        <v/>
      </c>
      <c r="V24" s="94">
        <f>'LIMPEZA'!E19</f>
        <v/>
      </c>
      <c r="W24" s="94">
        <f>'LIMPEZA'!E20</f>
        <v/>
      </c>
      <c r="X24" s="94">
        <f>'LIMPEZA'!E21</f>
        <v/>
      </c>
      <c r="Y24" s="94">
        <f>'LIMPEZA'!E22</f>
        <v/>
      </c>
      <c r="Z24" s="94">
        <f>'LIMPEZA'!E23</f>
        <v/>
      </c>
      <c r="AA24" s="94">
        <f>'LIMPEZA'!E24</f>
        <v/>
      </c>
      <c r="AB24" s="94">
        <f>'LIMPEZA'!E25</f>
        <v/>
      </c>
      <c r="AC24" s="94">
        <f>'LIMPEZA'!E26</f>
        <v/>
      </c>
      <c r="AD24" s="94">
        <f>'LIMPEZA'!E27</f>
        <v/>
      </c>
      <c r="AE24" s="94">
        <f>'LIMPEZA'!E28</f>
        <v/>
      </c>
      <c r="AF24" s="94">
        <f>'LIMPEZA'!E29</f>
        <v/>
      </c>
      <c r="AG24" s="94">
        <f>'LIMPEZA'!E30</f>
        <v/>
      </c>
      <c r="AH24" s="94">
        <f>'LIMPEZA'!E31</f>
        <v/>
      </c>
      <c r="AI24" s="94">
        <f>'LIMPEZA'!E32</f>
        <v/>
      </c>
      <c r="AJ24" s="94">
        <f>'LIMPEZA'!E33</f>
        <v/>
      </c>
      <c r="AK24" s="94">
        <f>'LIMPEZA'!E34</f>
        <v/>
      </c>
      <c r="AL24" s="94">
        <f>'LIMPEZA'!E35</f>
        <v/>
      </c>
      <c r="AM24" s="94">
        <f>'LIMPEZA'!E36</f>
        <v/>
      </c>
      <c r="AN24" s="94">
        <f>'LIMPEZA'!E37</f>
        <v/>
      </c>
      <c r="AO24" s="94">
        <f>'LIMPEZA'!E38</f>
        <v/>
      </c>
      <c r="AP24" s="94">
        <f>'LIMPEZA'!E39</f>
        <v/>
      </c>
      <c r="AQ24" s="94">
        <f>'LIMPEZA'!E40</f>
        <v/>
      </c>
      <c r="AR24" s="94">
        <f>'LIMPEZA'!E41</f>
        <v/>
      </c>
      <c r="AS24" s="94">
        <f>'LIMPEZA'!E42</f>
        <v/>
      </c>
      <c r="AT24" s="94">
        <f>'LIMPEZA'!E43</f>
        <v/>
      </c>
      <c r="AU24" s="94">
        <f>'LIMPEZA'!E44</f>
        <v/>
      </c>
      <c r="AV24" s="94">
        <f>'LIMPEZA'!E45</f>
        <v/>
      </c>
      <c r="AW24" s="94">
        <f>'LIMPEZA'!E46</f>
        <v/>
      </c>
      <c r="AX24" s="94">
        <f>'LIMPEZA'!E47</f>
        <v/>
      </c>
      <c r="AY24" s="94">
        <f>'LIMPEZA'!E48</f>
        <v/>
      </c>
      <c r="AZ24" s="94">
        <f>'LIMPEZA'!E49</f>
        <v/>
      </c>
      <c r="BA24" s="94">
        <f>'LIMPEZA'!E50</f>
        <v/>
      </c>
      <c r="BB24" s="94">
        <f>'LIMPEZA'!E51</f>
        <v/>
      </c>
      <c r="BC24" s="94">
        <f>'LIMPEZA'!E52</f>
        <v/>
      </c>
      <c r="BD24" s="94">
        <f>'LIMPEZA'!E53</f>
        <v/>
      </c>
      <c r="BE24" s="94">
        <f>'LIMPEZA'!E54</f>
        <v/>
      </c>
      <c r="BF24" s="94">
        <f>'LIMPEZA'!E55</f>
        <v/>
      </c>
      <c r="BG24" s="94">
        <f>'LIMPEZA'!E56</f>
        <v/>
      </c>
      <c r="BH24" s="94">
        <f>'LIMPEZA'!E57</f>
        <v/>
      </c>
      <c r="BI24" s="94">
        <f>'LIMPEZA'!E58</f>
        <v/>
      </c>
      <c r="BJ24" s="94">
        <f>'LIMPEZA'!E59</f>
        <v/>
      </c>
      <c r="BK24" s="94">
        <f>'LIMPEZA'!E60</f>
        <v/>
      </c>
      <c r="BL24" s="94">
        <f>'LIMPEZA'!E61</f>
        <v/>
      </c>
      <c r="BM24" s="94">
        <f>'LIMPEZA'!E62</f>
        <v/>
      </c>
      <c r="BN24" s="94">
        <f>'LIMPEZA'!E63</f>
        <v/>
      </c>
      <c r="BO24" s="94">
        <f>'LIMPEZA'!E64</f>
        <v/>
      </c>
      <c r="BP24" s="94">
        <f>'LIMPEZA'!E65</f>
        <v/>
      </c>
      <c r="BQ24" s="94">
        <f>'LIMPEZA'!E66</f>
        <v/>
      </c>
      <c r="BR24" s="94">
        <f>'LIMPEZA'!E67</f>
        <v/>
      </c>
      <c r="BS24" s="94">
        <f>'LIMPEZA'!E68</f>
        <v/>
      </c>
      <c r="BT24" s="94">
        <f>'LIMPEZA'!E69</f>
        <v/>
      </c>
      <c r="BU24" s="94">
        <f>'LIMPEZA'!E70</f>
        <v/>
      </c>
      <c r="BV24" s="94">
        <f>'LIMPEZA'!E71</f>
        <v/>
      </c>
      <c r="BW24" s="94">
        <f>'LIMPEZA'!E72</f>
        <v/>
      </c>
      <c r="BX24" s="94">
        <f>'LIMPEZA'!E73</f>
        <v/>
      </c>
      <c r="BY24" s="94">
        <f>'LIMPEZA'!E74</f>
        <v/>
      </c>
      <c r="BZ24" s="94">
        <f>'LIMPEZA'!E75</f>
        <v/>
      </c>
      <c r="CA24" s="94">
        <f>'LIMPEZA'!E76</f>
        <v/>
      </c>
    </row>
    <row r="25">
      <c r="A25" s="59" t="inlineStr">
        <is>
          <t>G041.002</t>
        </is>
      </c>
      <c r="B25" s="59" t="inlineStr">
        <is>
          <t>1030-1070-540</t>
        </is>
      </c>
      <c r="C25" s="59" t="inlineStr">
        <is>
          <t>MARCENARIA</t>
        </is>
      </c>
      <c r="D25" s="60">
        <f>'MARCENARIA'!$K$5</f>
        <v/>
      </c>
      <c r="E25" s="49">
        <f>SUM(H25:CA25)</f>
        <v/>
      </c>
      <c r="F25" s="49">
        <f>IF(D25="","",D25-E25)</f>
        <v/>
      </c>
      <c r="H25" s="94">
        <f>'MARCENARIA'!E5</f>
        <v/>
      </c>
      <c r="I25" s="94">
        <f>'MARCENARIA'!E6</f>
        <v/>
      </c>
      <c r="J25" s="94">
        <f>'MARCENARIA'!E7</f>
        <v/>
      </c>
      <c r="K25" s="94">
        <f>'MARCENARIA'!E8</f>
        <v/>
      </c>
      <c r="L25" s="94">
        <f>'MARCENARIA'!E9</f>
        <v/>
      </c>
      <c r="M25" s="94">
        <f>'MARCENARIA'!E10</f>
        <v/>
      </c>
      <c r="N25" s="94">
        <f>'MARCENARIA'!E11</f>
        <v/>
      </c>
      <c r="O25" s="94">
        <f>'MARCENARIA'!E12</f>
        <v/>
      </c>
      <c r="P25" s="94">
        <f>'MARCENARIA'!E13</f>
        <v/>
      </c>
      <c r="Q25" s="94">
        <f>'MARCENARIA'!E14</f>
        <v/>
      </c>
      <c r="R25" s="94">
        <f>'MARCENARIA'!E15</f>
        <v/>
      </c>
      <c r="S25" s="94">
        <f>'MARCENARIA'!E16</f>
        <v/>
      </c>
      <c r="T25" s="94">
        <f>'MARCENARIA'!E17</f>
        <v/>
      </c>
      <c r="U25" s="94">
        <f>'MARCENARIA'!E18</f>
        <v/>
      </c>
      <c r="V25" s="94">
        <f>'MARCENARIA'!E19</f>
        <v/>
      </c>
      <c r="W25" s="94">
        <f>'MARCENARIA'!E20</f>
        <v/>
      </c>
      <c r="X25" s="94">
        <f>'MARCENARIA'!E21</f>
        <v/>
      </c>
      <c r="Y25" s="94">
        <f>'MARCENARIA'!E22</f>
        <v/>
      </c>
      <c r="Z25" s="94">
        <f>'MARCENARIA'!E23</f>
        <v/>
      </c>
      <c r="AA25" s="94">
        <f>'MARCENARIA'!E24</f>
        <v/>
      </c>
      <c r="AB25" s="94">
        <f>'MARCENARIA'!E25</f>
        <v/>
      </c>
      <c r="AC25" s="94">
        <f>'MARCENARIA'!E26</f>
        <v/>
      </c>
      <c r="AD25" s="94">
        <f>'MARCENARIA'!E27</f>
        <v/>
      </c>
      <c r="AE25" s="94">
        <f>'MARCENARIA'!E28</f>
        <v/>
      </c>
      <c r="AF25" s="94">
        <f>'MARCENARIA'!E29</f>
        <v/>
      </c>
      <c r="AG25" s="94">
        <f>'MARCENARIA'!E30</f>
        <v/>
      </c>
      <c r="AH25" s="94">
        <f>'MARCENARIA'!E31</f>
        <v/>
      </c>
      <c r="AI25" s="94">
        <f>'MARCENARIA'!E32</f>
        <v/>
      </c>
      <c r="AJ25" s="94">
        <f>'MARCENARIA'!E33</f>
        <v/>
      </c>
      <c r="AK25" s="94">
        <f>'MARCENARIA'!E34</f>
        <v/>
      </c>
      <c r="AL25" s="94">
        <f>'MARCENARIA'!E35</f>
        <v/>
      </c>
      <c r="AM25" s="94">
        <f>'MARCENARIA'!E36</f>
        <v/>
      </c>
      <c r="AN25" s="94">
        <f>'MARCENARIA'!E37</f>
        <v/>
      </c>
      <c r="AO25" s="94">
        <f>'MARCENARIA'!E38</f>
        <v/>
      </c>
      <c r="AP25" s="94">
        <f>'MARCENARIA'!E39</f>
        <v/>
      </c>
      <c r="AQ25" s="94">
        <f>'MARCENARIA'!E40</f>
        <v/>
      </c>
      <c r="AR25" s="94">
        <f>'MARCENARIA'!E41</f>
        <v/>
      </c>
      <c r="AS25" s="94">
        <f>'MARCENARIA'!E42</f>
        <v/>
      </c>
      <c r="AT25" s="94">
        <f>'MARCENARIA'!E43</f>
        <v/>
      </c>
      <c r="AU25" s="94">
        <f>'MARCENARIA'!E44</f>
        <v/>
      </c>
      <c r="AV25" s="94">
        <f>'MARCENARIA'!E45</f>
        <v/>
      </c>
      <c r="AW25" s="94">
        <f>'MARCENARIA'!E46</f>
        <v/>
      </c>
      <c r="AX25" s="94">
        <f>'MARCENARIA'!E47</f>
        <v/>
      </c>
      <c r="AY25" s="94">
        <f>'MARCENARIA'!E48</f>
        <v/>
      </c>
      <c r="AZ25" s="94">
        <f>'MARCENARIA'!E49</f>
        <v/>
      </c>
      <c r="BA25" s="94">
        <f>'MARCENARIA'!E50</f>
        <v/>
      </c>
      <c r="BB25" s="94">
        <f>'MARCENARIA'!E51</f>
        <v/>
      </c>
      <c r="BC25" s="94">
        <f>'MARCENARIA'!E52</f>
        <v/>
      </c>
      <c r="BD25" s="94">
        <f>'MARCENARIA'!E53</f>
        <v/>
      </c>
      <c r="BE25" s="94">
        <f>'MARCENARIA'!E54</f>
        <v/>
      </c>
      <c r="BF25" s="94">
        <f>'MARCENARIA'!E55</f>
        <v/>
      </c>
      <c r="BG25" s="94">
        <f>'MARCENARIA'!E56</f>
        <v/>
      </c>
      <c r="BH25" s="94">
        <f>'MARCENARIA'!E57</f>
        <v/>
      </c>
      <c r="BI25" s="94">
        <f>'MARCENARIA'!E58</f>
        <v/>
      </c>
      <c r="BJ25" s="94">
        <f>'MARCENARIA'!E59</f>
        <v/>
      </c>
      <c r="BK25" s="94">
        <f>'MARCENARIA'!E60</f>
        <v/>
      </c>
      <c r="BL25" s="94">
        <f>'MARCENARIA'!E61</f>
        <v/>
      </c>
      <c r="BM25" s="94">
        <f>'MARCENARIA'!E62</f>
        <v/>
      </c>
      <c r="BN25" s="94">
        <f>'MARCENARIA'!E63</f>
        <v/>
      </c>
      <c r="BO25" s="94">
        <f>'MARCENARIA'!E64</f>
        <v/>
      </c>
      <c r="BP25" s="94">
        <f>'MARCENARIA'!E65</f>
        <v/>
      </c>
      <c r="BQ25" s="94">
        <f>'MARCENARIA'!E66</f>
        <v/>
      </c>
      <c r="BR25" s="94">
        <f>'MARCENARIA'!E67</f>
        <v/>
      </c>
      <c r="BS25" s="94">
        <f>'MARCENARIA'!E68</f>
        <v/>
      </c>
      <c r="BT25" s="94">
        <f>'MARCENARIA'!E69</f>
        <v/>
      </c>
      <c r="BU25" s="94">
        <f>'MARCENARIA'!E70</f>
        <v/>
      </c>
      <c r="BV25" s="94">
        <f>'MARCENARIA'!E71</f>
        <v/>
      </c>
      <c r="BW25" s="94">
        <f>'MARCENARIA'!E72</f>
        <v/>
      </c>
      <c r="BX25" s="94">
        <f>'MARCENARIA'!E73</f>
        <v/>
      </c>
      <c r="BY25" s="94">
        <f>'MARCENARIA'!E74</f>
        <v/>
      </c>
      <c r="BZ25" s="94">
        <f>'MARCENARIA'!E75</f>
        <v/>
      </c>
      <c r="CA25" s="94">
        <f>'MARCENARIA'!E76</f>
        <v/>
      </c>
    </row>
    <row r="26">
      <c r="A26" s="59" t="inlineStr">
        <is>
          <t>G041.002</t>
        </is>
      </c>
      <c r="B26" s="59" t="inlineStr">
        <is>
          <t>1030-1070-430</t>
        </is>
      </c>
      <c r="C26" s="59" t="inlineStr">
        <is>
          <t>PAISAGISMO</t>
        </is>
      </c>
      <c r="D26" s="60">
        <f>'PAISAGISMO'!$K$5</f>
        <v/>
      </c>
      <c r="E26" s="49">
        <f>SUM(H26:CA26)</f>
        <v/>
      </c>
      <c r="F26" s="49">
        <f>IF(D26="","",D26-E26)</f>
        <v/>
      </c>
      <c r="H26" s="94">
        <f>'PAISAGISMO'!E5</f>
        <v/>
      </c>
      <c r="I26" s="94">
        <f>'PAISAGISMO'!E6</f>
        <v/>
      </c>
      <c r="J26" s="94">
        <f>'PAISAGISMO'!E7</f>
        <v/>
      </c>
      <c r="K26" s="94">
        <f>'PAISAGISMO'!E8</f>
        <v/>
      </c>
      <c r="L26" s="94">
        <f>'PAISAGISMO'!E9</f>
        <v/>
      </c>
      <c r="M26" s="94">
        <f>'PAISAGISMO'!E10</f>
        <v/>
      </c>
      <c r="N26" s="94">
        <f>'PAISAGISMO'!E11</f>
        <v/>
      </c>
      <c r="O26" s="94">
        <f>'PAISAGISMO'!E12</f>
        <v/>
      </c>
      <c r="P26" s="94">
        <f>'PAISAGISMO'!E13</f>
        <v/>
      </c>
      <c r="Q26" s="94">
        <f>'PAISAGISMO'!E14</f>
        <v/>
      </c>
      <c r="R26" s="94">
        <f>'PAISAGISMO'!E15</f>
        <v/>
      </c>
      <c r="S26" s="94">
        <f>'PAISAGISMO'!E16</f>
        <v/>
      </c>
      <c r="T26" s="94">
        <f>'PAISAGISMO'!E17</f>
        <v/>
      </c>
      <c r="U26" s="94">
        <f>'PAISAGISMO'!E18</f>
        <v/>
      </c>
      <c r="V26" s="94">
        <f>'PAISAGISMO'!E19</f>
        <v/>
      </c>
      <c r="W26" s="94">
        <f>'PAISAGISMO'!E20</f>
        <v/>
      </c>
      <c r="X26" s="94">
        <f>'PAISAGISMO'!E21</f>
        <v/>
      </c>
      <c r="Y26" s="94">
        <f>'PAISAGISMO'!E22</f>
        <v/>
      </c>
      <c r="Z26" s="94">
        <f>'PAISAGISMO'!E23</f>
        <v/>
      </c>
      <c r="AA26" s="94">
        <f>'PAISAGISMO'!E24</f>
        <v/>
      </c>
      <c r="AB26" s="94">
        <f>'PAISAGISMO'!E25</f>
        <v/>
      </c>
      <c r="AC26" s="94">
        <f>'PAISAGISMO'!E26</f>
        <v/>
      </c>
      <c r="AD26" s="94">
        <f>'PAISAGISMO'!E27</f>
        <v/>
      </c>
      <c r="AE26" s="94">
        <f>'PAISAGISMO'!E28</f>
        <v/>
      </c>
      <c r="AF26" s="94">
        <f>'PAISAGISMO'!E29</f>
        <v/>
      </c>
      <c r="AG26" s="94">
        <f>'PAISAGISMO'!E30</f>
        <v/>
      </c>
      <c r="AH26" s="94">
        <f>'PAISAGISMO'!E31</f>
        <v/>
      </c>
      <c r="AI26" s="94">
        <f>'PAISAGISMO'!E32</f>
        <v/>
      </c>
      <c r="AJ26" s="94">
        <f>'PAISAGISMO'!E33</f>
        <v/>
      </c>
      <c r="AK26" s="94">
        <f>'PAISAGISMO'!E34</f>
        <v/>
      </c>
      <c r="AL26" s="94">
        <f>'PAISAGISMO'!E35</f>
        <v/>
      </c>
      <c r="AM26" s="94">
        <f>'PAISAGISMO'!E36</f>
        <v/>
      </c>
      <c r="AN26" s="94">
        <f>'PAISAGISMO'!E37</f>
        <v/>
      </c>
      <c r="AO26" s="94">
        <f>'PAISAGISMO'!E38</f>
        <v/>
      </c>
      <c r="AP26" s="94">
        <f>'PAISAGISMO'!E39</f>
        <v/>
      </c>
      <c r="AQ26" s="94">
        <f>'PAISAGISMO'!E40</f>
        <v/>
      </c>
      <c r="AR26" s="94">
        <f>'PAISAGISMO'!E41</f>
        <v/>
      </c>
      <c r="AS26" s="94">
        <f>'PAISAGISMO'!E42</f>
        <v/>
      </c>
      <c r="AT26" s="94">
        <f>'PAISAGISMO'!E43</f>
        <v/>
      </c>
      <c r="AU26" s="94">
        <f>'PAISAGISMO'!E44</f>
        <v/>
      </c>
      <c r="AV26" s="94">
        <f>'PAISAGISMO'!E45</f>
        <v/>
      </c>
      <c r="AW26" s="94">
        <f>'PAISAGISMO'!E46</f>
        <v/>
      </c>
      <c r="AX26" s="94">
        <f>'PAISAGISMO'!E47</f>
        <v/>
      </c>
      <c r="AY26" s="94">
        <f>'PAISAGISMO'!E48</f>
        <v/>
      </c>
      <c r="AZ26" s="94">
        <f>'PAISAGISMO'!E49</f>
        <v/>
      </c>
      <c r="BA26" s="94">
        <f>'PAISAGISMO'!E50</f>
        <v/>
      </c>
      <c r="BB26" s="94">
        <f>'PAISAGISMO'!E51</f>
        <v/>
      </c>
      <c r="BC26" s="94">
        <f>'PAISAGISMO'!E52</f>
        <v/>
      </c>
      <c r="BD26" s="94">
        <f>'PAISAGISMO'!E53</f>
        <v/>
      </c>
      <c r="BE26" s="94">
        <f>'PAISAGISMO'!E54</f>
        <v/>
      </c>
      <c r="BF26" s="94">
        <f>'PAISAGISMO'!E55</f>
        <v/>
      </c>
      <c r="BG26" s="94">
        <f>'PAISAGISMO'!E56</f>
        <v/>
      </c>
      <c r="BH26" s="94">
        <f>'PAISAGISMO'!E57</f>
        <v/>
      </c>
      <c r="BI26" s="94">
        <f>'PAISAGISMO'!E58</f>
        <v/>
      </c>
      <c r="BJ26" s="94">
        <f>'PAISAGISMO'!E59</f>
        <v/>
      </c>
      <c r="BK26" s="94">
        <f>'PAISAGISMO'!E60</f>
        <v/>
      </c>
      <c r="BL26" s="94">
        <f>'PAISAGISMO'!E61</f>
        <v/>
      </c>
      <c r="BM26" s="94">
        <f>'PAISAGISMO'!E62</f>
        <v/>
      </c>
      <c r="BN26" s="94">
        <f>'PAISAGISMO'!E63</f>
        <v/>
      </c>
      <c r="BO26" s="94">
        <f>'PAISAGISMO'!E64</f>
        <v/>
      </c>
      <c r="BP26" s="94">
        <f>'PAISAGISMO'!E65</f>
        <v/>
      </c>
      <c r="BQ26" s="94">
        <f>'PAISAGISMO'!E66</f>
        <v/>
      </c>
      <c r="BR26" s="94">
        <f>'PAISAGISMO'!E67</f>
        <v/>
      </c>
      <c r="BS26" s="94">
        <f>'PAISAGISMO'!E68</f>
        <v/>
      </c>
      <c r="BT26" s="94">
        <f>'PAISAGISMO'!E69</f>
        <v/>
      </c>
      <c r="BU26" s="94">
        <f>'PAISAGISMO'!E70</f>
        <v/>
      </c>
      <c r="BV26" s="94">
        <f>'PAISAGISMO'!E71</f>
        <v/>
      </c>
      <c r="BW26" s="94">
        <f>'PAISAGISMO'!E72</f>
        <v/>
      </c>
      <c r="BX26" s="94">
        <f>'PAISAGISMO'!E73</f>
        <v/>
      </c>
      <c r="BY26" s="94">
        <f>'PAISAGISMO'!E74</f>
        <v/>
      </c>
      <c r="BZ26" s="94">
        <f>'PAISAGISMO'!E75</f>
        <v/>
      </c>
      <c r="CA26" s="94">
        <f>'PAISAGISMO'!E76</f>
        <v/>
      </c>
    </row>
    <row r="27">
      <c r="A27" s="59" t="inlineStr">
        <is>
          <t>G041.002</t>
        </is>
      </c>
      <c r="B27" s="59" t="inlineStr">
        <is>
          <t>1030-1070-420</t>
        </is>
      </c>
      <c r="C27" s="59" t="inlineStr">
        <is>
          <t>PAVIMENTAÇÃO</t>
        </is>
      </c>
      <c r="D27" s="60">
        <f>'PAVIMENTAÇÃO'!$K$5</f>
        <v/>
      </c>
      <c r="E27" s="49">
        <f>SUM(H27:CA27)</f>
        <v/>
      </c>
      <c r="F27" s="49">
        <f>IF(D27="","",D27-E27)</f>
        <v/>
      </c>
      <c r="H27" s="94">
        <f>'PAVIMENTAÇÃO'!E5</f>
        <v/>
      </c>
      <c r="I27" s="94">
        <f>'PAVIMENTAÇÃO'!E6</f>
        <v/>
      </c>
      <c r="J27" s="94">
        <f>'PAVIMENTAÇÃO'!E7</f>
        <v/>
      </c>
      <c r="K27" s="94">
        <f>'PAVIMENTAÇÃO'!E8</f>
        <v/>
      </c>
      <c r="L27" s="94">
        <f>'PAVIMENTAÇÃO'!E9</f>
        <v/>
      </c>
      <c r="M27" s="94">
        <f>'PAVIMENTAÇÃO'!E10</f>
        <v/>
      </c>
      <c r="N27" s="94">
        <f>'PAVIMENTAÇÃO'!E11</f>
        <v/>
      </c>
      <c r="O27" s="94">
        <f>'PAVIMENTAÇÃO'!E12</f>
        <v/>
      </c>
      <c r="P27" s="94">
        <f>'PAVIMENTAÇÃO'!E13</f>
        <v/>
      </c>
      <c r="Q27" s="94">
        <f>'PAVIMENTAÇÃO'!E14</f>
        <v/>
      </c>
      <c r="R27" s="94">
        <f>'PAVIMENTAÇÃO'!E15</f>
        <v/>
      </c>
      <c r="S27" s="94">
        <f>'PAVIMENTAÇÃO'!E16</f>
        <v/>
      </c>
      <c r="T27" s="94">
        <f>'PAVIMENTAÇÃO'!E17</f>
        <v/>
      </c>
      <c r="U27" s="94">
        <f>'PAVIMENTAÇÃO'!E18</f>
        <v/>
      </c>
      <c r="V27" s="94">
        <f>'PAVIMENTAÇÃO'!E19</f>
        <v/>
      </c>
      <c r="W27" s="94">
        <f>'PAVIMENTAÇÃO'!E20</f>
        <v/>
      </c>
      <c r="X27" s="94">
        <f>'PAVIMENTAÇÃO'!E21</f>
        <v/>
      </c>
      <c r="Y27" s="94">
        <f>'PAVIMENTAÇÃO'!E22</f>
        <v/>
      </c>
      <c r="Z27" s="94">
        <f>'PAVIMENTAÇÃO'!E23</f>
        <v/>
      </c>
      <c r="AA27" s="94">
        <f>'PAVIMENTAÇÃO'!E24</f>
        <v/>
      </c>
      <c r="AB27" s="94">
        <f>'PAVIMENTAÇÃO'!E25</f>
        <v/>
      </c>
      <c r="AC27" s="94">
        <f>'PAVIMENTAÇÃO'!E26</f>
        <v/>
      </c>
      <c r="AD27" s="94">
        <f>'PAVIMENTAÇÃO'!E27</f>
        <v/>
      </c>
      <c r="AE27" s="94">
        <f>'PAVIMENTAÇÃO'!E28</f>
        <v/>
      </c>
      <c r="AF27" s="94">
        <f>'PAVIMENTAÇÃO'!E29</f>
        <v/>
      </c>
      <c r="AG27" s="94">
        <f>'PAVIMENTAÇÃO'!E30</f>
        <v/>
      </c>
      <c r="AH27" s="94">
        <f>'PAVIMENTAÇÃO'!E31</f>
        <v/>
      </c>
      <c r="AI27" s="94">
        <f>'PAVIMENTAÇÃO'!E32</f>
        <v/>
      </c>
      <c r="AJ27" s="94">
        <f>'PAVIMENTAÇÃO'!E33</f>
        <v/>
      </c>
      <c r="AK27" s="94">
        <f>'PAVIMENTAÇÃO'!E34</f>
        <v/>
      </c>
      <c r="AL27" s="94">
        <f>'PAVIMENTAÇÃO'!E35</f>
        <v/>
      </c>
      <c r="AM27" s="94">
        <f>'PAVIMENTAÇÃO'!E36</f>
        <v/>
      </c>
      <c r="AN27" s="94">
        <f>'PAVIMENTAÇÃO'!E37</f>
        <v/>
      </c>
      <c r="AO27" s="94">
        <f>'PAVIMENTAÇÃO'!E38</f>
        <v/>
      </c>
      <c r="AP27" s="94">
        <f>'PAVIMENTAÇÃO'!E39</f>
        <v/>
      </c>
      <c r="AQ27" s="94">
        <f>'PAVIMENTAÇÃO'!E40</f>
        <v/>
      </c>
      <c r="AR27" s="94">
        <f>'PAVIMENTAÇÃO'!E41</f>
        <v/>
      </c>
      <c r="AS27" s="94">
        <f>'PAVIMENTAÇÃO'!E42</f>
        <v/>
      </c>
      <c r="AT27" s="94">
        <f>'PAVIMENTAÇÃO'!E43</f>
        <v/>
      </c>
      <c r="AU27" s="94">
        <f>'PAVIMENTAÇÃO'!E44</f>
        <v/>
      </c>
      <c r="AV27" s="94">
        <f>'PAVIMENTAÇÃO'!E45</f>
        <v/>
      </c>
      <c r="AW27" s="94">
        <f>'PAVIMENTAÇÃO'!E46</f>
        <v/>
      </c>
      <c r="AX27" s="94">
        <f>'PAVIMENTAÇÃO'!E47</f>
        <v/>
      </c>
      <c r="AY27" s="94">
        <f>'PAVIMENTAÇÃO'!E48</f>
        <v/>
      </c>
      <c r="AZ27" s="94">
        <f>'PAVIMENTAÇÃO'!E49</f>
        <v/>
      </c>
      <c r="BA27" s="94">
        <f>'PAVIMENTAÇÃO'!E50</f>
        <v/>
      </c>
      <c r="BB27" s="94">
        <f>'PAVIMENTAÇÃO'!E51</f>
        <v/>
      </c>
      <c r="BC27" s="94">
        <f>'PAVIMENTAÇÃO'!E52</f>
        <v/>
      </c>
      <c r="BD27" s="94">
        <f>'PAVIMENTAÇÃO'!E53</f>
        <v/>
      </c>
      <c r="BE27" s="94">
        <f>'PAVIMENTAÇÃO'!E54</f>
        <v/>
      </c>
      <c r="BF27" s="94">
        <f>'PAVIMENTAÇÃO'!E55</f>
        <v/>
      </c>
      <c r="BG27" s="94">
        <f>'PAVIMENTAÇÃO'!E56</f>
        <v/>
      </c>
      <c r="BH27" s="94">
        <f>'PAVIMENTAÇÃO'!E57</f>
        <v/>
      </c>
      <c r="BI27" s="94">
        <f>'PAVIMENTAÇÃO'!E58</f>
        <v/>
      </c>
      <c r="BJ27" s="94">
        <f>'PAVIMENTAÇÃO'!E59</f>
        <v/>
      </c>
      <c r="BK27" s="94">
        <f>'PAVIMENTAÇÃO'!E60</f>
        <v/>
      </c>
      <c r="BL27" s="94">
        <f>'PAVIMENTAÇÃO'!E61</f>
        <v/>
      </c>
      <c r="BM27" s="94">
        <f>'PAVIMENTAÇÃO'!E62</f>
        <v/>
      </c>
      <c r="BN27" s="94">
        <f>'PAVIMENTAÇÃO'!E63</f>
        <v/>
      </c>
      <c r="BO27" s="94">
        <f>'PAVIMENTAÇÃO'!E64</f>
        <v/>
      </c>
      <c r="BP27" s="94">
        <f>'PAVIMENTAÇÃO'!E65</f>
        <v/>
      </c>
      <c r="BQ27" s="94">
        <f>'PAVIMENTAÇÃO'!E66</f>
        <v/>
      </c>
      <c r="BR27" s="94">
        <f>'PAVIMENTAÇÃO'!E67</f>
        <v/>
      </c>
      <c r="BS27" s="94">
        <f>'PAVIMENTAÇÃO'!E68</f>
        <v/>
      </c>
      <c r="BT27" s="94">
        <f>'PAVIMENTAÇÃO'!E69</f>
        <v/>
      </c>
      <c r="BU27" s="94">
        <f>'PAVIMENTAÇÃO'!E70</f>
        <v/>
      </c>
      <c r="BV27" s="94">
        <f>'PAVIMENTAÇÃO'!E71</f>
        <v/>
      </c>
      <c r="BW27" s="94">
        <f>'PAVIMENTAÇÃO'!E72</f>
        <v/>
      </c>
      <c r="BX27" s="94">
        <f>'PAVIMENTAÇÃO'!E73</f>
        <v/>
      </c>
      <c r="BY27" s="94">
        <f>'PAVIMENTAÇÃO'!E74</f>
        <v/>
      </c>
      <c r="BZ27" s="94">
        <f>'PAVIMENTAÇÃO'!E75</f>
        <v/>
      </c>
      <c r="CA27" s="94">
        <f>'PAVIMENTAÇÃO'!E76</f>
        <v/>
      </c>
    </row>
    <row r="28">
      <c r="A28" s="59" t="inlineStr">
        <is>
          <t>G041.002</t>
        </is>
      </c>
      <c r="B28" s="59" t="inlineStr">
        <is>
          <t>1030-1070-390</t>
        </is>
      </c>
      <c r="C28" s="59" t="inlineStr">
        <is>
          <t>PINTURA</t>
        </is>
      </c>
      <c r="D28" s="60">
        <f>'PINTURA'!$K$5</f>
        <v/>
      </c>
      <c r="E28" s="49">
        <f>SUM(H28:CA28)</f>
        <v/>
      </c>
      <c r="F28" s="49">
        <f>IF(D28="","",D28-E28)</f>
        <v/>
      </c>
      <c r="H28" s="94">
        <f>'PINTURA'!E5</f>
        <v/>
      </c>
      <c r="I28" s="94">
        <f>'PINTURA'!E6</f>
        <v/>
      </c>
      <c r="J28" s="94">
        <f>'PINTURA'!E7</f>
        <v/>
      </c>
      <c r="K28" s="94">
        <f>'PINTURA'!E8</f>
        <v/>
      </c>
      <c r="L28" s="94">
        <f>'PINTURA'!E9</f>
        <v/>
      </c>
      <c r="M28" s="94">
        <f>'PINTURA'!E10</f>
        <v/>
      </c>
      <c r="N28" s="94">
        <f>'PINTURA'!E11</f>
        <v/>
      </c>
      <c r="O28" s="94">
        <f>'PINTURA'!E12</f>
        <v/>
      </c>
      <c r="P28" s="94">
        <f>'PINTURA'!E13</f>
        <v/>
      </c>
      <c r="Q28" s="94">
        <f>'PINTURA'!E14</f>
        <v/>
      </c>
      <c r="R28" s="94">
        <f>'PINTURA'!E15</f>
        <v/>
      </c>
      <c r="S28" s="94">
        <f>'PINTURA'!E16</f>
        <v/>
      </c>
      <c r="T28" s="94">
        <f>'PINTURA'!E17</f>
        <v/>
      </c>
      <c r="U28" s="94">
        <f>'PINTURA'!E18</f>
        <v/>
      </c>
      <c r="V28" s="94">
        <f>'PINTURA'!E19</f>
        <v/>
      </c>
      <c r="W28" s="94">
        <f>'PINTURA'!E20</f>
        <v/>
      </c>
      <c r="X28" s="94">
        <f>'PINTURA'!E21</f>
        <v/>
      </c>
      <c r="Y28" s="94">
        <f>'PINTURA'!E22</f>
        <v/>
      </c>
      <c r="Z28" s="94">
        <f>'PINTURA'!E23</f>
        <v/>
      </c>
      <c r="AA28" s="94">
        <f>'PINTURA'!E24</f>
        <v/>
      </c>
      <c r="AB28" s="94">
        <f>'PINTURA'!E25</f>
        <v/>
      </c>
      <c r="AC28" s="94">
        <f>'PINTURA'!E26</f>
        <v/>
      </c>
      <c r="AD28" s="94">
        <f>'PINTURA'!E27</f>
        <v/>
      </c>
      <c r="AE28" s="94">
        <f>'PINTURA'!E28</f>
        <v/>
      </c>
      <c r="AF28" s="94">
        <f>'PINTURA'!E29</f>
        <v/>
      </c>
      <c r="AG28" s="94">
        <f>'PINTURA'!E30</f>
        <v/>
      </c>
      <c r="AH28" s="94">
        <f>'PINTURA'!E31</f>
        <v/>
      </c>
      <c r="AI28" s="94">
        <f>'PINTURA'!E32</f>
        <v/>
      </c>
      <c r="AJ28" s="94">
        <f>'PINTURA'!E33</f>
        <v/>
      </c>
      <c r="AK28" s="94">
        <f>'PINTURA'!E34</f>
        <v/>
      </c>
      <c r="AL28" s="94">
        <f>'PINTURA'!E35</f>
        <v/>
      </c>
      <c r="AM28" s="94">
        <f>'PINTURA'!E36</f>
        <v/>
      </c>
      <c r="AN28" s="94">
        <f>'PINTURA'!E37</f>
        <v/>
      </c>
      <c r="AO28" s="94">
        <f>'PINTURA'!E38</f>
        <v/>
      </c>
      <c r="AP28" s="94">
        <f>'PINTURA'!E39</f>
        <v/>
      </c>
      <c r="AQ28" s="94">
        <f>'PINTURA'!E40</f>
        <v/>
      </c>
      <c r="AR28" s="94">
        <f>'PINTURA'!E41</f>
        <v/>
      </c>
      <c r="AS28" s="94">
        <f>'PINTURA'!E42</f>
        <v/>
      </c>
      <c r="AT28" s="94">
        <f>'PINTURA'!E43</f>
        <v/>
      </c>
      <c r="AU28" s="94">
        <f>'PINTURA'!E44</f>
        <v/>
      </c>
      <c r="AV28" s="94">
        <f>'PINTURA'!E45</f>
        <v/>
      </c>
      <c r="AW28" s="94">
        <f>'PINTURA'!E46</f>
        <v/>
      </c>
      <c r="AX28" s="94">
        <f>'PINTURA'!E47</f>
        <v/>
      </c>
      <c r="AY28" s="94">
        <f>'PINTURA'!E48</f>
        <v/>
      </c>
      <c r="AZ28" s="94">
        <f>'PINTURA'!E49</f>
        <v/>
      </c>
      <c r="BA28" s="94">
        <f>'PINTURA'!E50</f>
        <v/>
      </c>
      <c r="BB28" s="94">
        <f>'PINTURA'!E51</f>
        <v/>
      </c>
      <c r="BC28" s="94">
        <f>'PINTURA'!E52</f>
        <v/>
      </c>
      <c r="BD28" s="94">
        <f>'PINTURA'!E53</f>
        <v/>
      </c>
      <c r="BE28" s="94">
        <f>'PINTURA'!E54</f>
        <v/>
      </c>
      <c r="BF28" s="94">
        <f>'PINTURA'!E55</f>
        <v/>
      </c>
      <c r="BG28" s="94">
        <f>'PINTURA'!E56</f>
        <v/>
      </c>
      <c r="BH28" s="94">
        <f>'PINTURA'!E57</f>
        <v/>
      </c>
      <c r="BI28" s="94">
        <f>'PINTURA'!E58</f>
        <v/>
      </c>
      <c r="BJ28" s="94">
        <f>'PINTURA'!E59</f>
        <v/>
      </c>
      <c r="BK28" s="94">
        <f>'PINTURA'!E60</f>
        <v/>
      </c>
      <c r="BL28" s="94">
        <f>'PINTURA'!E61</f>
        <v/>
      </c>
      <c r="BM28" s="94">
        <f>'PINTURA'!E62</f>
        <v/>
      </c>
      <c r="BN28" s="94">
        <f>'PINTURA'!E63</f>
        <v/>
      </c>
      <c r="BO28" s="94">
        <f>'PINTURA'!E64</f>
        <v/>
      </c>
      <c r="BP28" s="94">
        <f>'PINTURA'!E65</f>
        <v/>
      </c>
      <c r="BQ28" s="94">
        <f>'PINTURA'!E66</f>
        <v/>
      </c>
      <c r="BR28" s="94">
        <f>'PINTURA'!E67</f>
        <v/>
      </c>
      <c r="BS28" s="94">
        <f>'PINTURA'!E68</f>
        <v/>
      </c>
      <c r="BT28" s="94">
        <f>'PINTURA'!E69</f>
        <v/>
      </c>
      <c r="BU28" s="94">
        <f>'PINTURA'!E70</f>
        <v/>
      </c>
      <c r="BV28" s="94">
        <f>'PINTURA'!E71</f>
        <v/>
      </c>
      <c r="BW28" s="94">
        <f>'PINTURA'!E72</f>
        <v/>
      </c>
      <c r="BX28" s="94">
        <f>'PINTURA'!E73</f>
        <v/>
      </c>
      <c r="BY28" s="94">
        <f>'PINTURA'!E74</f>
        <v/>
      </c>
      <c r="BZ28" s="94">
        <f>'PINTURA'!E75</f>
        <v/>
      </c>
      <c r="CA28" s="94">
        <f>'PINTURA'!E76</f>
        <v/>
      </c>
    </row>
    <row r="29">
      <c r="A29" s="59" t="inlineStr">
        <is>
          <t>G041.002</t>
        </is>
      </c>
      <c r="B29" s="59" t="inlineStr">
        <is>
          <t>1030-1070-100</t>
        </is>
      </c>
      <c r="C29" s="59" t="inlineStr">
        <is>
          <t>PROJETOS</t>
        </is>
      </c>
      <c r="D29" s="60">
        <f>'PROJETO'!$K$5</f>
        <v/>
      </c>
      <c r="E29" s="49">
        <f>SUM(H29:CA29)</f>
        <v/>
      </c>
      <c r="F29" s="49">
        <f>IF(D29="","",D29-E29)</f>
        <v/>
      </c>
      <c r="H29" s="94">
        <f>'PROJETO'!E5</f>
        <v/>
      </c>
      <c r="I29" s="94">
        <f>'PROJETO'!E6</f>
        <v/>
      </c>
      <c r="J29" s="94">
        <f>'PROJETO'!E7</f>
        <v/>
      </c>
      <c r="K29" s="94">
        <f>'PROJETO'!E8</f>
        <v/>
      </c>
      <c r="L29" s="94">
        <f>'PROJETO'!E9</f>
        <v/>
      </c>
      <c r="M29" s="94">
        <f>'PROJETO'!E10</f>
        <v/>
      </c>
      <c r="N29" s="94">
        <f>'PROJETO'!E11</f>
        <v/>
      </c>
      <c r="O29" s="94">
        <f>'PROJETO'!E12</f>
        <v/>
      </c>
      <c r="P29" s="94">
        <f>'PROJETO'!E13</f>
        <v/>
      </c>
      <c r="Q29" s="94">
        <f>'PROJETO'!E14</f>
        <v/>
      </c>
      <c r="R29" s="94">
        <f>'PROJETO'!E15</f>
        <v/>
      </c>
      <c r="S29" s="94">
        <f>'PROJETO'!E16</f>
        <v/>
      </c>
      <c r="T29" s="94">
        <f>'PROJETO'!E17</f>
        <v/>
      </c>
      <c r="U29" s="94">
        <f>'PROJETO'!E18</f>
        <v/>
      </c>
      <c r="V29" s="94">
        <f>'PROJETO'!E19</f>
        <v/>
      </c>
      <c r="W29" s="94">
        <f>'PROJETO'!E20</f>
        <v/>
      </c>
      <c r="X29" s="94">
        <f>'PROJETO'!E21</f>
        <v/>
      </c>
      <c r="Y29" s="94">
        <f>'PROJETO'!E22</f>
        <v/>
      </c>
      <c r="Z29" s="94">
        <f>'PROJETO'!E23</f>
        <v/>
      </c>
      <c r="AA29" s="94">
        <f>'PROJETO'!E24</f>
        <v/>
      </c>
      <c r="AB29" s="94">
        <f>'PROJETO'!E25</f>
        <v/>
      </c>
      <c r="AC29" s="94">
        <f>'PROJETO'!E26</f>
        <v/>
      </c>
      <c r="AD29" s="94">
        <f>'PROJETO'!E27</f>
        <v/>
      </c>
      <c r="AE29" s="94">
        <f>'PROJETO'!E28</f>
        <v/>
      </c>
      <c r="AF29" s="94">
        <f>'PROJETO'!E29</f>
        <v/>
      </c>
      <c r="AG29" s="94">
        <f>'PROJETO'!E30</f>
        <v/>
      </c>
      <c r="AH29" s="94">
        <f>'PROJETO'!E31</f>
        <v/>
      </c>
      <c r="AI29" s="94">
        <f>'PROJETO'!E32</f>
        <v/>
      </c>
      <c r="AJ29" s="94">
        <f>'PROJETO'!E33</f>
        <v/>
      </c>
      <c r="AK29" s="94">
        <f>'PROJETO'!E34</f>
        <v/>
      </c>
      <c r="AL29" s="94">
        <f>'PROJETO'!E35</f>
        <v/>
      </c>
      <c r="AM29" s="94">
        <f>'PROJETO'!E36</f>
        <v/>
      </c>
      <c r="AN29" s="94">
        <f>'PROJETO'!E37</f>
        <v/>
      </c>
      <c r="AO29" s="94">
        <f>'PROJETO'!E38</f>
        <v/>
      </c>
      <c r="AP29" s="94">
        <f>'PROJETO'!E39</f>
        <v/>
      </c>
      <c r="AQ29" s="94">
        <f>'PROJETO'!E40</f>
        <v/>
      </c>
      <c r="AR29" s="94">
        <f>'PROJETO'!E41</f>
        <v/>
      </c>
      <c r="AS29" s="94">
        <f>'PROJETO'!E42</f>
        <v/>
      </c>
      <c r="AT29" s="94">
        <f>'PROJETO'!E43</f>
        <v/>
      </c>
      <c r="AU29" s="94">
        <f>'PROJETO'!E44</f>
        <v/>
      </c>
      <c r="AV29" s="94">
        <f>'PROJETO'!E45</f>
        <v/>
      </c>
      <c r="AW29" s="94">
        <f>'PROJETO'!E46</f>
        <v/>
      </c>
      <c r="AX29" s="94">
        <f>'PROJETO'!E47</f>
        <v/>
      </c>
      <c r="AY29" s="94">
        <f>'PROJETO'!E48</f>
        <v/>
      </c>
      <c r="AZ29" s="94">
        <f>'PROJETO'!E49</f>
        <v/>
      </c>
      <c r="BA29" s="94">
        <f>'PROJETO'!E50</f>
        <v/>
      </c>
      <c r="BB29" s="94">
        <f>'PROJETO'!E51</f>
        <v/>
      </c>
      <c r="BC29" s="94">
        <f>'PROJETO'!E52</f>
        <v/>
      </c>
      <c r="BD29" s="94">
        <f>'PROJETO'!E53</f>
        <v/>
      </c>
      <c r="BE29" s="94">
        <f>'PROJETO'!E54</f>
        <v/>
      </c>
      <c r="BF29" s="94">
        <f>'PROJETO'!E55</f>
        <v/>
      </c>
      <c r="BG29" s="94">
        <f>'PROJETO'!E56</f>
        <v/>
      </c>
      <c r="BH29" s="94">
        <f>'PROJETO'!E57</f>
        <v/>
      </c>
      <c r="BI29" s="94">
        <f>'PROJETO'!E58</f>
        <v/>
      </c>
      <c r="BJ29" s="94">
        <f>'PROJETO'!E59</f>
        <v/>
      </c>
      <c r="BK29" s="94">
        <f>'PROJETO'!E60</f>
        <v/>
      </c>
      <c r="BL29" s="94">
        <f>'PROJETO'!E61</f>
        <v/>
      </c>
      <c r="BM29" s="94">
        <f>'PROJETO'!E62</f>
        <v/>
      </c>
      <c r="BN29" s="94">
        <f>'PROJETO'!E63</f>
        <v/>
      </c>
      <c r="BO29" s="94">
        <f>'PROJETO'!E64</f>
        <v/>
      </c>
      <c r="BP29" s="94">
        <f>'PROJETO'!E65</f>
        <v/>
      </c>
      <c r="BQ29" s="94">
        <f>'PROJETO'!E66</f>
        <v/>
      </c>
      <c r="BR29" s="94">
        <f>'PROJETO'!E67</f>
        <v/>
      </c>
      <c r="BS29" s="94">
        <f>'PROJETO'!E68</f>
        <v/>
      </c>
      <c r="BT29" s="94">
        <f>'PROJETO'!E69</f>
        <v/>
      </c>
      <c r="BU29" s="94">
        <f>'PROJETO'!E70</f>
        <v/>
      </c>
      <c r="BV29" s="94">
        <f>'PROJETO'!E71</f>
        <v/>
      </c>
      <c r="BW29" s="94">
        <f>'PROJETO'!E72</f>
        <v/>
      </c>
      <c r="BX29" s="94">
        <f>'PROJETO'!E73</f>
        <v/>
      </c>
      <c r="BY29" s="94">
        <f>'PROJETO'!E74</f>
        <v/>
      </c>
      <c r="BZ29" s="94">
        <f>'PROJETO'!E75</f>
        <v/>
      </c>
      <c r="CA29" s="94">
        <f>'PROJETO'!E76</f>
        <v/>
      </c>
    </row>
    <row r="30">
      <c r="A30" s="59" t="inlineStr">
        <is>
          <t>G041.002</t>
        </is>
      </c>
      <c r="B30" s="59" t="inlineStr">
        <is>
          <t>1030-1070-570</t>
        </is>
      </c>
      <c r="C30" s="59" t="inlineStr">
        <is>
          <t>REEMBOLSO MATERIAIS E SERVIÇOS</t>
        </is>
      </c>
      <c r="E30" s="49">
        <f>SUM(H30:CA30)</f>
        <v/>
      </c>
      <c r="F30" s="49">
        <f>IF(D30="","",D30-E30)</f>
        <v/>
      </c>
    </row>
    <row r="31">
      <c r="A31" s="59" t="inlineStr">
        <is>
          <t>G041.002</t>
        </is>
      </c>
      <c r="B31" s="59" t="inlineStr">
        <is>
          <t>1030-1070-360</t>
        </is>
      </c>
      <c r="C31" s="59" t="inlineStr">
        <is>
          <t>REVESTIMENTO DIVERSOS - FACHADA</t>
        </is>
      </c>
      <c r="D31" s="60">
        <f>'REV. FACHADA'!$K$5</f>
        <v/>
      </c>
      <c r="E31" s="49">
        <f>SUM(H31:CA31)</f>
        <v/>
      </c>
      <c r="F31" s="49">
        <f>IF(D31="","",D31-E31)</f>
        <v/>
      </c>
      <c r="H31" s="94">
        <f>'REV. FACHADA'!E5</f>
        <v/>
      </c>
      <c r="I31" s="94">
        <f>'REV. FACHADA'!E6</f>
        <v/>
      </c>
      <c r="J31" s="94">
        <f>'REV. FACHADA'!E7</f>
        <v/>
      </c>
      <c r="K31" s="94">
        <f>'REV. FACHADA'!E8</f>
        <v/>
      </c>
      <c r="L31" s="94">
        <f>'REV. FACHADA'!E9</f>
        <v/>
      </c>
      <c r="M31" s="94">
        <f>'REV. FACHADA'!E10</f>
        <v/>
      </c>
      <c r="N31" s="94">
        <f>'REV. FACHADA'!E11</f>
        <v/>
      </c>
      <c r="O31" s="94">
        <f>'REV. FACHADA'!E12</f>
        <v/>
      </c>
      <c r="P31" s="94">
        <f>'REV. FACHADA'!E13</f>
        <v/>
      </c>
      <c r="Q31" s="94">
        <f>'REV. FACHADA'!E14</f>
        <v/>
      </c>
      <c r="R31" s="94">
        <f>'REV. FACHADA'!E15</f>
        <v/>
      </c>
      <c r="S31" s="94">
        <f>'REV. FACHADA'!E16</f>
        <v/>
      </c>
      <c r="T31" s="94">
        <f>'REV. FACHADA'!E17</f>
        <v/>
      </c>
      <c r="U31" s="94">
        <f>'REV. FACHADA'!E18</f>
        <v/>
      </c>
      <c r="V31" s="94">
        <f>'REV. FACHADA'!E19</f>
        <v/>
      </c>
      <c r="W31" s="94">
        <f>'REV. FACHADA'!E20</f>
        <v/>
      </c>
      <c r="X31" s="94">
        <f>'REV. FACHADA'!E21</f>
        <v/>
      </c>
      <c r="Y31" s="94">
        <f>'REV. FACHADA'!E22</f>
        <v/>
      </c>
      <c r="Z31" s="94">
        <f>'REV. FACHADA'!E23</f>
        <v/>
      </c>
      <c r="AA31" s="94">
        <f>'REV. FACHADA'!E24</f>
        <v/>
      </c>
      <c r="AB31" s="94">
        <f>'REV. FACHADA'!E25</f>
        <v/>
      </c>
      <c r="AC31" s="94">
        <f>'REV. FACHADA'!E26</f>
        <v/>
      </c>
      <c r="AD31" s="94">
        <f>'REV. FACHADA'!E27</f>
        <v/>
      </c>
      <c r="AE31" s="94">
        <f>'REV. FACHADA'!E28</f>
        <v/>
      </c>
      <c r="AF31" s="94">
        <f>'REV. FACHADA'!E29</f>
        <v/>
      </c>
      <c r="AG31" s="94">
        <f>'REV. FACHADA'!E30</f>
        <v/>
      </c>
      <c r="AH31" s="94">
        <f>'REV. FACHADA'!E31</f>
        <v/>
      </c>
      <c r="AI31" s="94">
        <f>'REV. FACHADA'!E32</f>
        <v/>
      </c>
      <c r="AJ31" s="94">
        <f>'REV. FACHADA'!E33</f>
        <v/>
      </c>
      <c r="AK31" s="94">
        <f>'REV. FACHADA'!E34</f>
        <v/>
      </c>
      <c r="AL31" s="94">
        <f>'REV. FACHADA'!E35</f>
        <v/>
      </c>
      <c r="AM31" s="94">
        <f>'REV. FACHADA'!E36</f>
        <v/>
      </c>
      <c r="AN31" s="94">
        <f>'REV. FACHADA'!E37</f>
        <v/>
      </c>
      <c r="AO31" s="94">
        <f>'REV. FACHADA'!E38</f>
        <v/>
      </c>
      <c r="AP31" s="94">
        <f>'REV. FACHADA'!E39</f>
        <v/>
      </c>
      <c r="AQ31" s="94">
        <f>'REV. FACHADA'!E40</f>
        <v/>
      </c>
      <c r="AR31" s="94">
        <f>'REV. FACHADA'!E41</f>
        <v/>
      </c>
      <c r="AS31" s="94">
        <f>'REV. FACHADA'!E42</f>
        <v/>
      </c>
      <c r="AT31" s="94">
        <f>'REV. FACHADA'!E43</f>
        <v/>
      </c>
      <c r="AU31" s="94">
        <f>'REV. FACHADA'!E44</f>
        <v/>
      </c>
      <c r="AV31" s="94">
        <f>'REV. FACHADA'!E45</f>
        <v/>
      </c>
      <c r="AW31" s="94">
        <f>'REV. FACHADA'!E46</f>
        <v/>
      </c>
      <c r="AX31" s="94">
        <f>'REV. FACHADA'!E47</f>
        <v/>
      </c>
      <c r="AY31" s="94">
        <f>'REV. FACHADA'!E48</f>
        <v/>
      </c>
      <c r="AZ31" s="94">
        <f>'REV. FACHADA'!E49</f>
        <v/>
      </c>
      <c r="BA31" s="94">
        <f>'REV. FACHADA'!E50</f>
        <v/>
      </c>
      <c r="BB31" s="94">
        <f>'REV. FACHADA'!E51</f>
        <v/>
      </c>
      <c r="BC31" s="94">
        <f>'REV. FACHADA'!E52</f>
        <v/>
      </c>
      <c r="BD31" s="94">
        <f>'REV. FACHADA'!E53</f>
        <v/>
      </c>
      <c r="BE31" s="94">
        <f>'REV. FACHADA'!E54</f>
        <v/>
      </c>
      <c r="BF31" s="94">
        <f>'REV. FACHADA'!E55</f>
        <v/>
      </c>
      <c r="BG31" s="94">
        <f>'REV. FACHADA'!E56</f>
        <v/>
      </c>
      <c r="BH31" s="94">
        <f>'REV. FACHADA'!E57</f>
        <v/>
      </c>
      <c r="BI31" s="94">
        <f>'REV. FACHADA'!E58</f>
        <v/>
      </c>
      <c r="BJ31" s="94">
        <f>'REV. FACHADA'!E59</f>
        <v/>
      </c>
      <c r="BK31" s="94">
        <f>'REV. FACHADA'!E60</f>
        <v/>
      </c>
      <c r="BL31" s="94">
        <f>'REV. FACHADA'!E61</f>
        <v/>
      </c>
      <c r="BM31" s="94">
        <f>'REV. FACHADA'!E62</f>
        <v/>
      </c>
      <c r="BN31" s="94">
        <f>'REV. FACHADA'!E63</f>
        <v/>
      </c>
      <c r="BO31" s="94">
        <f>'REV. FACHADA'!E64</f>
        <v/>
      </c>
      <c r="BP31" s="94">
        <f>'REV. FACHADA'!E65</f>
        <v/>
      </c>
      <c r="BQ31" s="94">
        <f>'REV. FACHADA'!E66</f>
        <v/>
      </c>
      <c r="BR31" s="94">
        <f>'REV. FACHADA'!E67</f>
        <v/>
      </c>
      <c r="BS31" s="94">
        <f>'REV. FACHADA'!E68</f>
        <v/>
      </c>
      <c r="BT31" s="94">
        <f>'REV. FACHADA'!E69</f>
        <v/>
      </c>
      <c r="BU31" s="94">
        <f>'REV. FACHADA'!E70</f>
        <v/>
      </c>
      <c r="BV31" s="94">
        <f>'REV. FACHADA'!E71</f>
        <v/>
      </c>
      <c r="BW31" s="94">
        <f>'REV. FACHADA'!E72</f>
        <v/>
      </c>
      <c r="BX31" s="94">
        <f>'REV. FACHADA'!E73</f>
        <v/>
      </c>
      <c r="BY31" s="94">
        <f>'REV. FACHADA'!E74</f>
        <v/>
      </c>
      <c r="BZ31" s="94">
        <f>'REV. FACHADA'!E75</f>
        <v/>
      </c>
      <c r="CA31" s="94">
        <f>'REV. FACHADA'!E76</f>
        <v/>
      </c>
    </row>
    <row r="32">
      <c r="A32" s="59" t="inlineStr">
        <is>
          <t>G041.002</t>
        </is>
      </c>
      <c r="B32" s="59" t="inlineStr">
        <is>
          <t>1030-1070-490</t>
        </is>
      </c>
      <c r="C32" s="59" t="inlineStr">
        <is>
          <t>REVESTIMENTOS DE ACABAMENTO</t>
        </is>
      </c>
      <c r="D32" s="60">
        <f>'REV. ACAB'!$K$5</f>
        <v/>
      </c>
      <c r="E32" s="49">
        <f>SUM(H32:CA32)</f>
        <v/>
      </c>
      <c r="F32" s="49">
        <f>IF(D32="","",D32-E32)</f>
        <v/>
      </c>
      <c r="H32" s="94">
        <f>'REV. ACAB'!E5</f>
        <v/>
      </c>
      <c r="I32" s="94">
        <f>'REV. ACAB'!E6</f>
        <v/>
      </c>
      <c r="J32" s="94">
        <f>'REV. ACAB'!E7</f>
        <v/>
      </c>
      <c r="K32" s="94">
        <f>'REV. ACAB'!E8</f>
        <v/>
      </c>
      <c r="L32" s="94">
        <f>'REV. ACAB'!E9</f>
        <v/>
      </c>
      <c r="M32" s="94">
        <f>'REV. ACAB'!E10</f>
        <v/>
      </c>
      <c r="N32" s="94">
        <f>'REV. ACAB'!E11</f>
        <v/>
      </c>
      <c r="O32" s="94">
        <f>'REV. ACAB'!E12</f>
        <v/>
      </c>
      <c r="P32" s="94">
        <f>'REV. ACAB'!E13</f>
        <v/>
      </c>
      <c r="Q32" s="94">
        <f>'REV. ACAB'!E14</f>
        <v/>
      </c>
      <c r="R32" s="94">
        <f>'REV. ACAB'!E15</f>
        <v/>
      </c>
      <c r="S32" s="94">
        <f>'REV. ACAB'!E16</f>
        <v/>
      </c>
      <c r="T32" s="94">
        <f>'REV. ACAB'!E17</f>
        <v/>
      </c>
      <c r="U32" s="94">
        <f>'REV. ACAB'!E18</f>
        <v/>
      </c>
      <c r="V32" s="94">
        <f>'REV. ACAB'!E19</f>
        <v/>
      </c>
      <c r="W32" s="94">
        <f>'REV. ACAB'!E20</f>
        <v/>
      </c>
      <c r="X32" s="94">
        <f>'REV. ACAB'!E21</f>
        <v/>
      </c>
      <c r="Y32" s="94">
        <f>'REV. ACAB'!E22</f>
        <v/>
      </c>
      <c r="Z32" s="94">
        <f>'REV. ACAB'!E23</f>
        <v/>
      </c>
      <c r="AA32" s="94">
        <f>'REV. ACAB'!E24</f>
        <v/>
      </c>
      <c r="AB32" s="94">
        <f>'REV. ACAB'!E25</f>
        <v/>
      </c>
      <c r="AC32" s="94">
        <f>'REV. ACAB'!E26</f>
        <v/>
      </c>
      <c r="AD32" s="94">
        <f>'REV. ACAB'!E27</f>
        <v/>
      </c>
      <c r="AE32" s="94">
        <f>'REV. ACAB'!E28</f>
        <v/>
      </c>
      <c r="AF32" s="94">
        <f>'REV. ACAB'!E29</f>
        <v/>
      </c>
      <c r="AG32" s="94">
        <f>'REV. ACAB'!E30</f>
        <v/>
      </c>
      <c r="AH32" s="94">
        <f>'REV. ACAB'!E31</f>
        <v/>
      </c>
      <c r="AI32" s="94">
        <f>'REV. ACAB'!E32</f>
        <v/>
      </c>
      <c r="AJ32" s="94">
        <f>'REV. ACAB'!E33</f>
        <v/>
      </c>
      <c r="AK32" s="94">
        <f>'REV. ACAB'!E34</f>
        <v/>
      </c>
      <c r="AL32" s="94">
        <f>'REV. ACAB'!E35</f>
        <v/>
      </c>
      <c r="AM32" s="94">
        <f>'REV. ACAB'!E36</f>
        <v/>
      </c>
      <c r="AN32" s="94">
        <f>'REV. ACAB'!E37</f>
        <v/>
      </c>
      <c r="AO32" s="94">
        <f>'REV. ACAB'!E38</f>
        <v/>
      </c>
      <c r="AP32" s="94">
        <f>'REV. ACAB'!E39</f>
        <v/>
      </c>
      <c r="AQ32" s="94">
        <f>'REV. ACAB'!E40</f>
        <v/>
      </c>
      <c r="AR32" s="94">
        <f>'REV. ACAB'!E41</f>
        <v/>
      </c>
      <c r="AS32" s="94">
        <f>'REV. ACAB'!E42</f>
        <v/>
      </c>
      <c r="AT32" s="94">
        <f>'REV. ACAB'!E43</f>
        <v/>
      </c>
      <c r="AU32" s="94">
        <f>'REV. ACAB'!E44</f>
        <v/>
      </c>
      <c r="AV32" s="94">
        <f>'REV. ACAB'!E45</f>
        <v/>
      </c>
      <c r="AW32" s="94">
        <f>'REV. ACAB'!E46</f>
        <v/>
      </c>
      <c r="AX32" s="94">
        <f>'REV. ACAB'!E47</f>
        <v/>
      </c>
      <c r="AY32" s="94">
        <f>'REV. ACAB'!E48</f>
        <v/>
      </c>
      <c r="AZ32" s="94">
        <f>'REV. ACAB'!E49</f>
        <v/>
      </c>
      <c r="BA32" s="94">
        <f>'REV. ACAB'!E50</f>
        <v/>
      </c>
      <c r="BB32" s="94">
        <f>'REV. ACAB'!E51</f>
        <v/>
      </c>
      <c r="BC32" s="94">
        <f>'REV. ACAB'!E52</f>
        <v/>
      </c>
      <c r="BD32" s="94">
        <f>'REV. ACAB'!E53</f>
        <v/>
      </c>
      <c r="BE32" s="94">
        <f>'REV. ACAB'!E54</f>
        <v/>
      </c>
      <c r="BF32" s="94">
        <f>'REV. ACAB'!E55</f>
        <v/>
      </c>
      <c r="BG32" s="94">
        <f>'REV. ACAB'!E56</f>
        <v/>
      </c>
      <c r="BH32" s="94">
        <f>'REV. ACAB'!E57</f>
        <v/>
      </c>
      <c r="BI32" s="94">
        <f>'REV. ACAB'!E58</f>
        <v/>
      </c>
      <c r="BJ32" s="94">
        <f>'REV. ACAB'!E59</f>
        <v/>
      </c>
      <c r="BK32" s="94">
        <f>'REV. ACAB'!E60</f>
        <v/>
      </c>
      <c r="BL32" s="94">
        <f>'REV. ACAB'!E61</f>
        <v/>
      </c>
      <c r="BM32" s="94">
        <f>'REV. ACAB'!E62</f>
        <v/>
      </c>
      <c r="BN32" s="94">
        <f>'REV. ACAB'!E63</f>
        <v/>
      </c>
      <c r="BO32" s="94">
        <f>'REV. ACAB'!E64</f>
        <v/>
      </c>
      <c r="BP32" s="94">
        <f>'REV. ACAB'!E65</f>
        <v/>
      </c>
      <c r="BQ32" s="94">
        <f>'REV. ACAB'!E66</f>
        <v/>
      </c>
      <c r="BR32" s="94">
        <f>'REV. ACAB'!E67</f>
        <v/>
      </c>
      <c r="BS32" s="94">
        <f>'REV. ACAB'!E68</f>
        <v/>
      </c>
      <c r="BT32" s="94">
        <f>'REV. ACAB'!E69</f>
        <v/>
      </c>
      <c r="BU32" s="94">
        <f>'REV. ACAB'!E70</f>
        <v/>
      </c>
      <c r="BV32" s="94">
        <f>'REV. ACAB'!E71</f>
        <v/>
      </c>
      <c r="BW32" s="94">
        <f>'REV. ACAB'!E72</f>
        <v/>
      </c>
      <c r="BX32" s="94">
        <f>'REV. ACAB'!E73</f>
        <v/>
      </c>
      <c r="BY32" s="94">
        <f>'REV. ACAB'!E74</f>
        <v/>
      </c>
      <c r="BZ32" s="94">
        <f>'REV. ACAB'!E75</f>
        <v/>
      </c>
      <c r="CA32" s="94">
        <f>'REV. ACAB'!E76</f>
        <v/>
      </c>
    </row>
    <row r="33">
      <c r="A33" s="59" t="inlineStr">
        <is>
          <t>G041.002</t>
        </is>
      </c>
      <c r="B33" s="59" t="inlineStr">
        <is>
          <t>1030-1070-320</t>
        </is>
      </c>
      <c r="C33" s="59" t="inlineStr">
        <is>
          <t>REVESTIMENTOS DE MASSA EM PISOS</t>
        </is>
      </c>
      <c r="D33" s="60">
        <f>'REV. PISOS'!$K$5</f>
        <v/>
      </c>
      <c r="E33" s="49">
        <f>SUM(H33:CA33)</f>
        <v/>
      </c>
      <c r="F33" s="49">
        <f>IF(D33="","",D33-E33)</f>
        <v/>
      </c>
      <c r="H33" s="94">
        <f>'REV. PISOS'!E5</f>
        <v/>
      </c>
      <c r="I33" s="94">
        <f>'REV. PISOS'!E6</f>
        <v/>
      </c>
      <c r="J33" s="94">
        <f>'REV. PISOS'!E7</f>
        <v/>
      </c>
      <c r="K33" s="94">
        <f>'REV. PISOS'!E8</f>
        <v/>
      </c>
      <c r="L33" s="94">
        <f>'REV. PISOS'!E9</f>
        <v/>
      </c>
      <c r="M33" s="94">
        <f>'REV. PISOS'!E10</f>
        <v/>
      </c>
      <c r="N33" s="94">
        <f>'REV. PISOS'!E11</f>
        <v/>
      </c>
      <c r="O33" s="94">
        <f>'REV. PISOS'!E12</f>
        <v/>
      </c>
      <c r="P33" s="94">
        <f>'REV. PISOS'!E13</f>
        <v/>
      </c>
      <c r="Q33" s="94">
        <f>'REV. PISOS'!E14</f>
        <v/>
      </c>
      <c r="R33" s="94">
        <f>'REV. PISOS'!E15</f>
        <v/>
      </c>
      <c r="S33" s="94">
        <f>'REV. PISOS'!E16</f>
        <v/>
      </c>
      <c r="T33" s="94">
        <f>'REV. PISOS'!E17</f>
        <v/>
      </c>
      <c r="U33" s="94">
        <f>'REV. PISOS'!E18</f>
        <v/>
      </c>
      <c r="V33" s="94">
        <f>'REV. PISOS'!E19</f>
        <v/>
      </c>
      <c r="W33" s="94">
        <f>'REV. PISOS'!E20</f>
        <v/>
      </c>
      <c r="X33" s="94">
        <f>'REV. PISOS'!E21</f>
        <v/>
      </c>
      <c r="Y33" s="94">
        <f>'REV. PISOS'!E22</f>
        <v/>
      </c>
      <c r="Z33" s="94">
        <f>'REV. PISOS'!E23</f>
        <v/>
      </c>
      <c r="AA33" s="94">
        <f>'REV. PISOS'!E24</f>
        <v/>
      </c>
      <c r="AB33" s="94">
        <f>'REV. PISOS'!E25</f>
        <v/>
      </c>
      <c r="AC33" s="94">
        <f>'REV. PISOS'!E26</f>
        <v/>
      </c>
      <c r="AD33" s="94">
        <f>'REV. PISOS'!E27</f>
        <v/>
      </c>
      <c r="AE33" s="94">
        <f>'REV. PISOS'!E28</f>
        <v/>
      </c>
      <c r="AF33" s="94">
        <f>'REV. PISOS'!E29</f>
        <v/>
      </c>
      <c r="AG33" s="94">
        <f>'REV. PISOS'!E30</f>
        <v/>
      </c>
      <c r="AH33" s="94">
        <f>'REV. PISOS'!E31</f>
        <v/>
      </c>
      <c r="AI33" s="94">
        <f>'REV. PISOS'!E32</f>
        <v/>
      </c>
      <c r="AJ33" s="94">
        <f>'REV. PISOS'!E33</f>
        <v/>
      </c>
      <c r="AK33" s="94">
        <f>'REV. PISOS'!E34</f>
        <v/>
      </c>
      <c r="AL33" s="94">
        <f>'REV. PISOS'!E35</f>
        <v/>
      </c>
      <c r="AM33" s="94">
        <f>'REV. PISOS'!E36</f>
        <v/>
      </c>
      <c r="AN33" s="94">
        <f>'REV. PISOS'!E37</f>
        <v/>
      </c>
      <c r="AO33" s="94">
        <f>'REV. PISOS'!E38</f>
        <v/>
      </c>
      <c r="AP33" s="94">
        <f>'REV. PISOS'!E39</f>
        <v/>
      </c>
      <c r="AQ33" s="94">
        <f>'REV. PISOS'!E40</f>
        <v/>
      </c>
      <c r="AR33" s="94">
        <f>'REV. PISOS'!E41</f>
        <v/>
      </c>
      <c r="AS33" s="94">
        <f>'REV. PISOS'!E42</f>
        <v/>
      </c>
      <c r="AT33" s="94">
        <f>'REV. PISOS'!E43</f>
        <v/>
      </c>
      <c r="AU33" s="94">
        <f>'REV. PISOS'!E44</f>
        <v/>
      </c>
      <c r="AV33" s="94">
        <f>'REV. PISOS'!E45</f>
        <v/>
      </c>
      <c r="AW33" s="94">
        <f>'REV. PISOS'!E46</f>
        <v/>
      </c>
      <c r="AX33" s="94">
        <f>'REV. PISOS'!E47</f>
        <v/>
      </c>
      <c r="AY33" s="94">
        <f>'REV. PISOS'!E48</f>
        <v/>
      </c>
      <c r="AZ33" s="94">
        <f>'REV. PISOS'!E49</f>
        <v/>
      </c>
      <c r="BA33" s="94">
        <f>'REV. PISOS'!E50</f>
        <v/>
      </c>
      <c r="BB33" s="94">
        <f>'REV. PISOS'!E51</f>
        <v/>
      </c>
      <c r="BC33" s="94">
        <f>'REV. PISOS'!E52</f>
        <v/>
      </c>
      <c r="BD33" s="94">
        <f>'REV. PISOS'!E53</f>
        <v/>
      </c>
      <c r="BE33" s="94">
        <f>'REV. PISOS'!E54</f>
        <v/>
      </c>
      <c r="BF33" s="94">
        <f>'REV. PISOS'!E55</f>
        <v/>
      </c>
      <c r="BG33" s="94">
        <f>'REV. PISOS'!E56</f>
        <v/>
      </c>
      <c r="BH33" s="94">
        <f>'REV. PISOS'!E57</f>
        <v/>
      </c>
      <c r="BI33" s="94">
        <f>'REV. PISOS'!E58</f>
        <v/>
      </c>
      <c r="BJ33" s="94">
        <f>'REV. PISOS'!E59</f>
        <v/>
      </c>
      <c r="BK33" s="94">
        <f>'REV. PISOS'!E60</f>
        <v/>
      </c>
      <c r="BL33" s="94">
        <f>'REV. PISOS'!E61</f>
        <v/>
      </c>
      <c r="BM33" s="94">
        <f>'REV. PISOS'!E62</f>
        <v/>
      </c>
      <c r="BN33" s="94">
        <f>'REV. PISOS'!E63</f>
        <v/>
      </c>
      <c r="BO33" s="94">
        <f>'REV. PISOS'!E64</f>
        <v/>
      </c>
      <c r="BP33" s="94">
        <f>'REV. PISOS'!E65</f>
        <v/>
      </c>
      <c r="BQ33" s="94">
        <f>'REV. PISOS'!E66</f>
        <v/>
      </c>
      <c r="BR33" s="94">
        <f>'REV. PISOS'!E67</f>
        <v/>
      </c>
      <c r="BS33" s="94">
        <f>'REV. PISOS'!E68</f>
        <v/>
      </c>
      <c r="BT33" s="94">
        <f>'REV. PISOS'!E69</f>
        <v/>
      </c>
      <c r="BU33" s="94">
        <f>'REV. PISOS'!E70</f>
        <v/>
      </c>
      <c r="BV33" s="94">
        <f>'REV. PISOS'!E71</f>
        <v/>
      </c>
      <c r="BW33" s="94">
        <f>'REV. PISOS'!E72</f>
        <v/>
      </c>
      <c r="BX33" s="94">
        <f>'REV. PISOS'!E73</f>
        <v/>
      </c>
      <c r="BY33" s="94">
        <f>'REV. PISOS'!E74</f>
        <v/>
      </c>
      <c r="BZ33" s="94">
        <f>'REV. PISOS'!E75</f>
        <v/>
      </c>
      <c r="CA33" s="94">
        <f>'REV. PISOS'!E76</f>
        <v/>
      </c>
    </row>
    <row r="34">
      <c r="A34" s="59" t="inlineStr">
        <is>
          <t>G041.002</t>
        </is>
      </c>
      <c r="B34" s="59" t="inlineStr">
        <is>
          <t>1030-1070-300</t>
        </is>
      </c>
      <c r="C34" s="59" t="inlineStr">
        <is>
          <t>REVESTIMENTOS DE MASSA EM PAREDES</t>
        </is>
      </c>
      <c r="D34" s="60">
        <f>'REV. PAREDE'!$K$5</f>
        <v/>
      </c>
      <c r="E34" s="49">
        <f>SUM(H34:CA34)</f>
        <v/>
      </c>
      <c r="F34" s="49">
        <f>IF(D34="","",D34-E34)</f>
        <v/>
      </c>
      <c r="H34" s="94">
        <f>'REV. PAREDE'!E5</f>
        <v/>
      </c>
      <c r="I34" s="94">
        <f>'REV. PAREDE'!E6</f>
        <v/>
      </c>
      <c r="J34" s="94">
        <f>'REV. PAREDE'!E7</f>
        <v/>
      </c>
      <c r="K34" s="94">
        <f>'REV. PAREDE'!E8</f>
        <v/>
      </c>
      <c r="L34" s="94">
        <f>'REV. PAREDE'!E9</f>
        <v/>
      </c>
      <c r="M34" s="94">
        <f>'REV. PAREDE'!E10</f>
        <v/>
      </c>
      <c r="N34" s="94">
        <f>'REV. PAREDE'!E11</f>
        <v/>
      </c>
      <c r="O34" s="94">
        <f>'REV. PAREDE'!E12</f>
        <v/>
      </c>
      <c r="P34" s="94">
        <f>'REV. PAREDE'!E13</f>
        <v/>
      </c>
      <c r="Q34" s="94">
        <f>'REV. PAREDE'!E14</f>
        <v/>
      </c>
      <c r="R34" s="94">
        <f>'REV. PAREDE'!E15</f>
        <v/>
      </c>
      <c r="S34" s="94">
        <f>'REV. PAREDE'!E16</f>
        <v/>
      </c>
      <c r="T34" s="94">
        <f>'REV. PAREDE'!E17</f>
        <v/>
      </c>
      <c r="U34" s="94">
        <f>'REV. PAREDE'!E18</f>
        <v/>
      </c>
      <c r="V34" s="94">
        <f>'REV. PAREDE'!E19</f>
        <v/>
      </c>
      <c r="W34" s="94">
        <f>'REV. PAREDE'!E20</f>
        <v/>
      </c>
      <c r="X34" s="94">
        <f>'REV. PAREDE'!E21</f>
        <v/>
      </c>
      <c r="Y34" s="94">
        <f>'REV. PAREDE'!E22</f>
        <v/>
      </c>
      <c r="Z34" s="94">
        <f>'REV. PAREDE'!E23</f>
        <v/>
      </c>
      <c r="AA34" s="94">
        <f>'REV. PAREDE'!E24</f>
        <v/>
      </c>
      <c r="AB34" s="94">
        <f>'REV. PAREDE'!E25</f>
        <v/>
      </c>
      <c r="AC34" s="94">
        <f>'REV. PAREDE'!E26</f>
        <v/>
      </c>
      <c r="AD34" s="94">
        <f>'REV. PAREDE'!E27</f>
        <v/>
      </c>
      <c r="AE34" s="94">
        <f>'REV. PAREDE'!E28</f>
        <v/>
      </c>
      <c r="AF34" s="94">
        <f>'REV. PAREDE'!E29</f>
        <v/>
      </c>
      <c r="AG34" s="94">
        <f>'REV. PAREDE'!E30</f>
        <v/>
      </c>
      <c r="AH34" s="94">
        <f>'REV. PAREDE'!E31</f>
        <v/>
      </c>
      <c r="AI34" s="94">
        <f>'REV. PAREDE'!E32</f>
        <v/>
      </c>
      <c r="AJ34" s="94">
        <f>'REV. PAREDE'!E33</f>
        <v/>
      </c>
      <c r="AK34" s="94">
        <f>'REV. PAREDE'!E34</f>
        <v/>
      </c>
      <c r="AL34" s="94">
        <f>'REV. PAREDE'!E35</f>
        <v/>
      </c>
      <c r="AM34" s="94">
        <f>'REV. PAREDE'!E36</f>
        <v/>
      </c>
      <c r="AN34" s="94">
        <f>'REV. PAREDE'!E37</f>
        <v/>
      </c>
      <c r="AO34" s="94">
        <f>'REV. PAREDE'!E38</f>
        <v/>
      </c>
      <c r="AP34" s="94">
        <f>'REV. PAREDE'!E39</f>
        <v/>
      </c>
      <c r="AQ34" s="94">
        <f>'REV. PAREDE'!E40</f>
        <v/>
      </c>
      <c r="AR34" s="94">
        <f>'REV. PAREDE'!E41</f>
        <v/>
      </c>
      <c r="AS34" s="94">
        <f>'REV. PAREDE'!E42</f>
        <v/>
      </c>
      <c r="AT34" s="94">
        <f>'REV. PAREDE'!E43</f>
        <v/>
      </c>
      <c r="AU34" s="94">
        <f>'REV. PAREDE'!E44</f>
        <v/>
      </c>
      <c r="AV34" s="94">
        <f>'REV. PAREDE'!E45</f>
        <v/>
      </c>
      <c r="AW34" s="94">
        <f>'REV. PAREDE'!E46</f>
        <v/>
      </c>
      <c r="AX34" s="94">
        <f>'REV. PAREDE'!E47</f>
        <v/>
      </c>
      <c r="AY34" s="94">
        <f>'REV. PAREDE'!E48</f>
        <v/>
      </c>
      <c r="AZ34" s="94">
        <f>'REV. PAREDE'!E49</f>
        <v/>
      </c>
      <c r="BA34" s="94">
        <f>'REV. PAREDE'!E50</f>
        <v/>
      </c>
      <c r="BB34" s="94">
        <f>'REV. PAREDE'!E51</f>
        <v/>
      </c>
      <c r="BC34" s="94">
        <f>'REV. PAREDE'!E52</f>
        <v/>
      </c>
      <c r="BD34" s="94">
        <f>'REV. PAREDE'!E53</f>
        <v/>
      </c>
      <c r="BE34" s="94">
        <f>'REV. PAREDE'!E54</f>
        <v/>
      </c>
      <c r="BF34" s="94">
        <f>'REV. PAREDE'!E55</f>
        <v/>
      </c>
      <c r="BG34" s="94">
        <f>'REV. PAREDE'!E56</f>
        <v/>
      </c>
      <c r="BH34" s="94">
        <f>'REV. PAREDE'!E57</f>
        <v/>
      </c>
      <c r="BI34" s="94">
        <f>'REV. PAREDE'!E58</f>
        <v/>
      </c>
      <c r="BJ34" s="94">
        <f>'REV. PAREDE'!E59</f>
        <v/>
      </c>
      <c r="BK34" s="94">
        <f>'REV. PAREDE'!E60</f>
        <v/>
      </c>
      <c r="BL34" s="94">
        <f>'REV. PAREDE'!E61</f>
        <v/>
      </c>
      <c r="BM34" s="94">
        <f>'REV. PAREDE'!E62</f>
        <v/>
      </c>
      <c r="BN34" s="94">
        <f>'REV. PAREDE'!E63</f>
        <v/>
      </c>
      <c r="BO34" s="94">
        <f>'REV. PAREDE'!E64</f>
        <v/>
      </c>
      <c r="BP34" s="94">
        <f>'REV. PAREDE'!E65</f>
        <v/>
      </c>
      <c r="BQ34" s="94">
        <f>'REV. PAREDE'!E66</f>
        <v/>
      </c>
      <c r="BR34" s="94">
        <f>'REV. PAREDE'!E67</f>
        <v/>
      </c>
      <c r="BS34" s="94">
        <f>'REV. PAREDE'!E68</f>
        <v/>
      </c>
      <c r="BT34" s="94">
        <f>'REV. PAREDE'!E69</f>
        <v/>
      </c>
      <c r="BU34" s="94">
        <f>'REV. PAREDE'!E70</f>
        <v/>
      </c>
      <c r="BV34" s="94">
        <f>'REV. PAREDE'!E71</f>
        <v/>
      </c>
      <c r="BW34" s="94">
        <f>'REV. PAREDE'!E72</f>
        <v/>
      </c>
      <c r="BX34" s="94">
        <f>'REV. PAREDE'!E73</f>
        <v/>
      </c>
      <c r="BY34" s="94">
        <f>'REV. PAREDE'!E74</f>
        <v/>
      </c>
      <c r="BZ34" s="94">
        <f>'REV. PAREDE'!E75</f>
        <v/>
      </c>
      <c r="CA34" s="94">
        <f>'REV. PAREDE'!E76</f>
        <v/>
      </c>
    </row>
    <row r="35">
      <c r="A35" s="59" t="inlineStr">
        <is>
          <t>G041.002</t>
        </is>
      </c>
      <c r="B35" s="59" t="inlineStr">
        <is>
          <t>1030-1070-580</t>
        </is>
      </c>
      <c r="C35" s="59" t="inlineStr">
        <is>
          <t>REVESTIMENTOS DIVERSOS-FACHADA</t>
        </is>
      </c>
      <c r="E35" s="49">
        <f>SUM(H35:CA35)</f>
        <v/>
      </c>
      <c r="F35" s="49">
        <f>IF(D35="","",D35-E35)</f>
        <v/>
      </c>
    </row>
    <row r="36">
      <c r="A36" s="59" t="inlineStr">
        <is>
          <t>G041.002</t>
        </is>
      </c>
      <c r="B36" s="59" t="inlineStr">
        <is>
          <t>1030-1070-310</t>
        </is>
      </c>
      <c r="C36" s="59" t="inlineStr">
        <is>
          <t>REVESTIMENTOS DIVERSOS-PAREDE</t>
        </is>
      </c>
      <c r="E36" s="49">
        <f>SUM(H36:CA36)</f>
        <v/>
      </c>
      <c r="F36" s="49">
        <f>IF(D36="","",D36-E36)</f>
        <v/>
      </c>
    </row>
    <row r="37">
      <c r="A37" s="59" t="inlineStr">
        <is>
          <t>G041.002</t>
        </is>
      </c>
      <c r="B37" s="59" t="inlineStr">
        <is>
          <t>1030-1070-330</t>
        </is>
      </c>
      <c r="C37" s="59" t="inlineStr">
        <is>
          <t>REVESTIMENTOS DIVERSOS-PISOS</t>
        </is>
      </c>
      <c r="E37" s="49">
        <f>SUM(H37:CA37)</f>
        <v/>
      </c>
      <c r="F37" s="49">
        <f>IF(D37="","",D37-E37)</f>
        <v/>
      </c>
    </row>
    <row r="38">
      <c r="A38" s="59" t="inlineStr">
        <is>
          <t>G041.002</t>
        </is>
      </c>
      <c r="B38" s="59" t="inlineStr">
        <is>
          <t>1030-1070-340</t>
        </is>
      </c>
      <c r="C38" s="59" t="inlineStr">
        <is>
          <t>RODAPÉS/SOLEIRAS/PEITORIL/ADUELAS</t>
        </is>
      </c>
      <c r="E38" s="49">
        <f>SUM(H38:CA38)</f>
        <v/>
      </c>
      <c r="F38" s="49">
        <f>IF(D38="","",D38-E38)</f>
        <v/>
      </c>
    </row>
    <row r="39">
      <c r="A39" s="59" t="inlineStr">
        <is>
          <t>G041.002</t>
        </is>
      </c>
      <c r="B39" s="59" t="inlineStr">
        <is>
          <t>1030-1070-220</t>
        </is>
      </c>
      <c r="C39" s="59" t="inlineStr">
        <is>
          <t>EQUIPAMENTOS DE PROTEÇÃO COLETIVA</t>
        </is>
      </c>
      <c r="E39" s="49">
        <f>SUM(H39:CA39)</f>
        <v/>
      </c>
      <c r="F39" s="49">
        <f>IF(D39="","",D39-E39)</f>
        <v/>
      </c>
    </row>
    <row r="40">
      <c r="A40" s="59" t="inlineStr">
        <is>
          <t>G041.002</t>
        </is>
      </c>
      <c r="B40" s="59" t="inlineStr">
        <is>
          <t>1030-1070-110</t>
        </is>
      </c>
      <c r="C40" s="59" t="inlineStr">
        <is>
          <t>SEGUROS</t>
        </is>
      </c>
      <c r="D40" s="60">
        <f>'SEGUROS'!$K$5</f>
        <v/>
      </c>
      <c r="E40" s="49">
        <f>SUM(H40:CA40)</f>
        <v/>
      </c>
      <c r="F40" s="49">
        <f>IF(D40="","",D40-E40)</f>
        <v/>
      </c>
      <c r="H40" s="94">
        <f>'SEGUROS'!E5</f>
        <v/>
      </c>
      <c r="I40" s="94">
        <f>'SEGUROS'!E6</f>
        <v/>
      </c>
      <c r="J40" s="94">
        <f>'SEGUROS'!E7</f>
        <v/>
      </c>
      <c r="K40" s="94">
        <f>'SEGUROS'!E8</f>
        <v/>
      </c>
      <c r="L40" s="94">
        <f>'SEGUROS'!E9</f>
        <v/>
      </c>
      <c r="M40" s="94">
        <f>'SEGUROS'!E10</f>
        <v/>
      </c>
      <c r="N40" s="94">
        <f>'SEGUROS'!E11</f>
        <v/>
      </c>
      <c r="O40" s="94">
        <f>'SEGUROS'!E12</f>
        <v/>
      </c>
      <c r="P40" s="94">
        <f>'SEGUROS'!E13</f>
        <v/>
      </c>
      <c r="Q40" s="94">
        <f>'SEGUROS'!E14</f>
        <v/>
      </c>
      <c r="R40" s="94">
        <f>'SEGUROS'!E15</f>
        <v/>
      </c>
      <c r="S40" s="94">
        <f>'SEGUROS'!E16</f>
        <v/>
      </c>
      <c r="T40" s="94">
        <f>'SEGUROS'!E17</f>
        <v/>
      </c>
      <c r="U40" s="94">
        <f>'SEGUROS'!E18</f>
        <v/>
      </c>
      <c r="V40" s="94">
        <f>'SEGUROS'!E19</f>
        <v/>
      </c>
      <c r="W40" s="94">
        <f>'SEGUROS'!E20</f>
        <v/>
      </c>
      <c r="X40" s="94">
        <f>'SEGUROS'!E21</f>
        <v/>
      </c>
      <c r="Y40" s="94">
        <f>'SEGUROS'!E22</f>
        <v/>
      </c>
      <c r="Z40" s="94">
        <f>'SEGUROS'!E23</f>
        <v/>
      </c>
      <c r="AA40" s="94">
        <f>'SEGUROS'!E24</f>
        <v/>
      </c>
      <c r="AB40" s="94">
        <f>'SEGUROS'!E25</f>
        <v/>
      </c>
      <c r="AC40" s="94">
        <f>'SEGUROS'!E26</f>
        <v/>
      </c>
      <c r="AD40" s="94">
        <f>'SEGUROS'!E27</f>
        <v/>
      </c>
      <c r="AE40" s="94">
        <f>'SEGUROS'!E28</f>
        <v/>
      </c>
      <c r="AF40" s="94">
        <f>'SEGUROS'!E29</f>
        <v/>
      </c>
      <c r="AG40" s="94">
        <f>'SEGUROS'!E30</f>
        <v/>
      </c>
      <c r="AH40" s="94">
        <f>'SEGUROS'!E31</f>
        <v/>
      </c>
      <c r="AI40" s="94">
        <f>'SEGUROS'!E32</f>
        <v/>
      </c>
      <c r="AJ40" s="94">
        <f>'SEGUROS'!E33</f>
        <v/>
      </c>
      <c r="AK40" s="94">
        <f>'SEGUROS'!E34</f>
        <v/>
      </c>
      <c r="AL40" s="94">
        <f>'SEGUROS'!E35</f>
        <v/>
      </c>
      <c r="AM40" s="94">
        <f>'SEGUROS'!E36</f>
        <v/>
      </c>
      <c r="AN40" s="94">
        <f>'SEGUROS'!E37</f>
        <v/>
      </c>
      <c r="AO40" s="94">
        <f>'SEGUROS'!E38</f>
        <v/>
      </c>
      <c r="AP40" s="94">
        <f>'SEGUROS'!E39</f>
        <v/>
      </c>
      <c r="AQ40" s="94">
        <f>'SEGUROS'!E40</f>
        <v/>
      </c>
      <c r="AR40" s="94">
        <f>'SEGUROS'!E41</f>
        <v/>
      </c>
      <c r="AS40" s="94">
        <f>'SEGUROS'!E42</f>
        <v/>
      </c>
      <c r="AT40" s="94">
        <f>'SEGUROS'!E43</f>
        <v/>
      </c>
      <c r="AU40" s="94">
        <f>'SEGUROS'!E44</f>
        <v/>
      </c>
      <c r="AV40" s="94">
        <f>'SEGUROS'!E45</f>
        <v/>
      </c>
      <c r="AW40" s="94">
        <f>'SEGUROS'!E46</f>
        <v/>
      </c>
      <c r="AX40" s="94">
        <f>'SEGUROS'!E47</f>
        <v/>
      </c>
      <c r="AY40" s="94">
        <f>'SEGUROS'!E48</f>
        <v/>
      </c>
      <c r="AZ40" s="94">
        <f>'SEGUROS'!E49</f>
        <v/>
      </c>
      <c r="BA40" s="94">
        <f>'SEGUROS'!E50</f>
        <v/>
      </c>
      <c r="BB40" s="94">
        <f>'SEGUROS'!E51</f>
        <v/>
      </c>
      <c r="BC40" s="94">
        <f>'SEGUROS'!E52</f>
        <v/>
      </c>
      <c r="BD40" s="94">
        <f>'SEGUROS'!E53</f>
        <v/>
      </c>
      <c r="BE40" s="94">
        <f>'SEGUROS'!E54</f>
        <v/>
      </c>
      <c r="BF40" s="94">
        <f>'SEGUROS'!E55</f>
        <v/>
      </c>
      <c r="BG40" s="94">
        <f>'SEGUROS'!E56</f>
        <v/>
      </c>
      <c r="BH40" s="94">
        <f>'SEGUROS'!E57</f>
        <v/>
      </c>
      <c r="BI40" s="94">
        <f>'SEGUROS'!E58</f>
        <v/>
      </c>
      <c r="BJ40" s="94">
        <f>'SEGUROS'!E59</f>
        <v/>
      </c>
      <c r="BK40" s="94">
        <f>'SEGUROS'!E60</f>
        <v/>
      </c>
      <c r="BL40" s="94">
        <f>'SEGUROS'!E61</f>
        <v/>
      </c>
      <c r="BM40" s="94">
        <f>'SEGUROS'!E62</f>
        <v/>
      </c>
      <c r="BN40" s="94">
        <f>'SEGUROS'!E63</f>
        <v/>
      </c>
      <c r="BO40" s="94">
        <f>'SEGUROS'!E64</f>
        <v/>
      </c>
      <c r="BP40" s="94">
        <f>'SEGUROS'!E65</f>
        <v/>
      </c>
      <c r="BQ40" s="94">
        <f>'SEGUROS'!E66</f>
        <v/>
      </c>
      <c r="BR40" s="94">
        <f>'SEGUROS'!E67</f>
        <v/>
      </c>
      <c r="BS40" s="94">
        <f>'SEGUROS'!E68</f>
        <v/>
      </c>
      <c r="BT40" s="94">
        <f>'SEGUROS'!E69</f>
        <v/>
      </c>
      <c r="BU40" s="94">
        <f>'SEGUROS'!E70</f>
        <v/>
      </c>
      <c r="BV40" s="94">
        <f>'SEGUROS'!E71</f>
        <v/>
      </c>
      <c r="BW40" s="94">
        <f>'SEGUROS'!E72</f>
        <v/>
      </c>
      <c r="BX40" s="94">
        <f>'SEGUROS'!E73</f>
        <v/>
      </c>
      <c r="BY40" s="94">
        <f>'SEGUROS'!E74</f>
        <v/>
      </c>
      <c r="BZ40" s="94">
        <f>'SEGUROS'!E75</f>
        <v/>
      </c>
      <c r="CA40" s="94">
        <f>'SEGUROS'!E76</f>
        <v/>
      </c>
    </row>
    <row r="41">
      <c r="A41" s="59" t="inlineStr">
        <is>
          <t>G041.002</t>
        </is>
      </c>
      <c r="B41" s="59" t="inlineStr">
        <is>
          <t>1030-1070-380</t>
        </is>
      </c>
      <c r="C41" s="59" t="inlineStr">
        <is>
          <t>SERRALHERIA</t>
        </is>
      </c>
      <c r="D41" s="60">
        <f>'SERRALHERIA'!$K$5</f>
        <v/>
      </c>
      <c r="E41" s="49">
        <f>SUM(H41:CA41)</f>
        <v/>
      </c>
      <c r="F41" s="49">
        <f>IF(D41="","",D41-E41)</f>
        <v/>
      </c>
      <c r="H41" s="94">
        <f>'SERRALHERIA'!E5</f>
        <v/>
      </c>
      <c r="I41" s="94">
        <f>'SERRALHERIA'!E6</f>
        <v/>
      </c>
      <c r="J41" s="94">
        <f>'SERRALHERIA'!E7</f>
        <v/>
      </c>
      <c r="K41" s="94">
        <f>'SERRALHERIA'!E8</f>
        <v/>
      </c>
      <c r="L41" s="94">
        <f>'SERRALHERIA'!E9</f>
        <v/>
      </c>
      <c r="M41" s="94">
        <f>'SERRALHERIA'!E10</f>
        <v/>
      </c>
      <c r="N41" s="94">
        <f>'SERRALHERIA'!E11</f>
        <v/>
      </c>
      <c r="O41" s="94">
        <f>'SERRALHERIA'!E12</f>
        <v/>
      </c>
      <c r="P41" s="94">
        <f>'SERRALHERIA'!E13</f>
        <v/>
      </c>
      <c r="Q41" s="94">
        <f>'SERRALHERIA'!E14</f>
        <v/>
      </c>
      <c r="R41" s="94">
        <f>'SERRALHERIA'!E15</f>
        <v/>
      </c>
      <c r="S41" s="94">
        <f>'SERRALHERIA'!E16</f>
        <v/>
      </c>
      <c r="T41" s="94">
        <f>'SERRALHERIA'!E17</f>
        <v/>
      </c>
      <c r="U41" s="94">
        <f>'SERRALHERIA'!E18</f>
        <v/>
      </c>
      <c r="V41" s="94">
        <f>'SERRALHERIA'!E19</f>
        <v/>
      </c>
      <c r="W41" s="94">
        <f>'SERRALHERIA'!E20</f>
        <v/>
      </c>
      <c r="X41" s="94">
        <f>'SERRALHERIA'!E21</f>
        <v/>
      </c>
      <c r="Y41" s="94">
        <f>'SERRALHERIA'!E22</f>
        <v/>
      </c>
      <c r="Z41" s="94">
        <f>'SERRALHERIA'!E23</f>
        <v/>
      </c>
      <c r="AA41" s="94">
        <f>'SERRALHERIA'!E24</f>
        <v/>
      </c>
      <c r="AB41" s="94">
        <f>'SERRALHERIA'!E25</f>
        <v/>
      </c>
      <c r="AC41" s="94">
        <f>'SERRALHERIA'!E26</f>
        <v/>
      </c>
      <c r="AD41" s="94">
        <f>'SERRALHERIA'!E27</f>
        <v/>
      </c>
      <c r="AE41" s="94">
        <f>'SERRALHERIA'!E28</f>
        <v/>
      </c>
      <c r="AF41" s="94">
        <f>'SERRALHERIA'!E29</f>
        <v/>
      </c>
      <c r="AG41" s="94">
        <f>'SERRALHERIA'!E30</f>
        <v/>
      </c>
      <c r="AH41" s="94">
        <f>'SERRALHERIA'!E31</f>
        <v/>
      </c>
      <c r="AI41" s="94">
        <f>'SERRALHERIA'!E32</f>
        <v/>
      </c>
      <c r="AJ41" s="94">
        <f>'SERRALHERIA'!E33</f>
        <v/>
      </c>
      <c r="AK41" s="94">
        <f>'SERRALHERIA'!E34</f>
        <v/>
      </c>
      <c r="AL41" s="94">
        <f>'SERRALHERIA'!E35</f>
        <v/>
      </c>
      <c r="AM41" s="94">
        <f>'SERRALHERIA'!E36</f>
        <v/>
      </c>
      <c r="AN41" s="94">
        <f>'SERRALHERIA'!E37</f>
        <v/>
      </c>
      <c r="AO41" s="94">
        <f>'SERRALHERIA'!E38</f>
        <v/>
      </c>
      <c r="AP41" s="94">
        <f>'SERRALHERIA'!E39</f>
        <v/>
      </c>
      <c r="AQ41" s="94">
        <f>'SERRALHERIA'!E40</f>
        <v/>
      </c>
      <c r="AR41" s="94">
        <f>'SERRALHERIA'!E41</f>
        <v/>
      </c>
      <c r="AS41" s="94">
        <f>'SERRALHERIA'!E42</f>
        <v/>
      </c>
      <c r="AT41" s="94">
        <f>'SERRALHERIA'!E43</f>
        <v/>
      </c>
      <c r="AU41" s="94">
        <f>'SERRALHERIA'!E44</f>
        <v/>
      </c>
      <c r="AV41" s="94">
        <f>'SERRALHERIA'!E45</f>
        <v/>
      </c>
      <c r="AW41" s="94">
        <f>'SERRALHERIA'!E46</f>
        <v/>
      </c>
      <c r="AX41" s="94">
        <f>'SERRALHERIA'!E47</f>
        <v/>
      </c>
      <c r="AY41" s="94">
        <f>'SERRALHERIA'!E48</f>
        <v/>
      </c>
      <c r="AZ41" s="94">
        <f>'SERRALHERIA'!E49</f>
        <v/>
      </c>
      <c r="BA41" s="94">
        <f>'SERRALHERIA'!E50</f>
        <v/>
      </c>
      <c r="BB41" s="94">
        <f>'SERRALHERIA'!E51</f>
        <v/>
      </c>
      <c r="BC41" s="94">
        <f>'SERRALHERIA'!E52</f>
        <v/>
      </c>
      <c r="BD41" s="94">
        <f>'SERRALHERIA'!E53</f>
        <v/>
      </c>
      <c r="BE41" s="94">
        <f>'SERRALHERIA'!E54</f>
        <v/>
      </c>
      <c r="BF41" s="94">
        <f>'SERRALHERIA'!E55</f>
        <v/>
      </c>
      <c r="BG41" s="94">
        <f>'SERRALHERIA'!E56</f>
        <v/>
      </c>
      <c r="BH41" s="94">
        <f>'SERRALHERIA'!E57</f>
        <v/>
      </c>
      <c r="BI41" s="94">
        <f>'SERRALHERIA'!E58</f>
        <v/>
      </c>
      <c r="BJ41" s="94">
        <f>'SERRALHERIA'!E59</f>
        <v/>
      </c>
      <c r="BK41" s="94">
        <f>'SERRALHERIA'!E60</f>
        <v/>
      </c>
      <c r="BL41" s="94">
        <f>'SERRALHERIA'!E61</f>
        <v/>
      </c>
      <c r="BM41" s="94">
        <f>'SERRALHERIA'!E62</f>
        <v/>
      </c>
      <c r="BN41" s="94">
        <f>'SERRALHERIA'!E63</f>
        <v/>
      </c>
      <c r="BO41" s="94">
        <f>'SERRALHERIA'!E64</f>
        <v/>
      </c>
      <c r="BP41" s="94">
        <f>'SERRALHERIA'!E65</f>
        <v/>
      </c>
      <c r="BQ41" s="94">
        <f>'SERRALHERIA'!E66</f>
        <v/>
      </c>
      <c r="BR41" s="94">
        <f>'SERRALHERIA'!E67</f>
        <v/>
      </c>
      <c r="BS41" s="94">
        <f>'SERRALHERIA'!E68</f>
        <v/>
      </c>
      <c r="BT41" s="94">
        <f>'SERRALHERIA'!E69</f>
        <v/>
      </c>
      <c r="BU41" s="94">
        <f>'SERRALHERIA'!E70</f>
        <v/>
      </c>
      <c r="BV41" s="94">
        <f>'SERRALHERIA'!E71</f>
        <v/>
      </c>
      <c r="BW41" s="94">
        <f>'SERRALHERIA'!E72</f>
        <v/>
      </c>
      <c r="BX41" s="94">
        <f>'SERRALHERIA'!E73</f>
        <v/>
      </c>
      <c r="BY41" s="94">
        <f>'SERRALHERIA'!E74</f>
        <v/>
      </c>
      <c r="BZ41" s="94">
        <f>'SERRALHERIA'!E75</f>
        <v/>
      </c>
      <c r="CA41" s="94">
        <f>'SERRALHERIA'!E76</f>
        <v/>
      </c>
    </row>
    <row r="42">
      <c r="A42" s="59" t="inlineStr">
        <is>
          <t>G041.002</t>
        </is>
      </c>
      <c r="B42" s="59" t="inlineStr">
        <is>
          <t>1030-1070-150</t>
        </is>
      </c>
      <c r="C42" s="59" t="inlineStr">
        <is>
          <t>LIGAÇÕES PROVISÓRIAS AGUA, ENERGIA,TELEFONIA, ESGOTO</t>
        </is>
      </c>
      <c r="D42" s="60">
        <f>'LIG. PROVISÓRIAS'!$K$5</f>
        <v/>
      </c>
      <c r="E42" s="49">
        <f>SUM(H42:CA42)</f>
        <v/>
      </c>
      <c r="F42" s="49">
        <f>IF(D42="","",D42-E42)</f>
        <v/>
      </c>
      <c r="H42" s="94">
        <f>'LIG. PROVISÓRIAS'!E5</f>
        <v/>
      </c>
      <c r="I42" s="94">
        <f>'LIG. PROVISÓRIAS'!E6</f>
        <v/>
      </c>
      <c r="J42" s="94">
        <f>'LIG. PROVISÓRIAS'!E7</f>
        <v/>
      </c>
      <c r="K42" s="94">
        <f>'LIG. PROVISÓRIAS'!E8</f>
        <v/>
      </c>
      <c r="L42" s="94">
        <f>'LIG. PROVISÓRIAS'!E9</f>
        <v/>
      </c>
      <c r="M42" s="94">
        <f>'LIG. PROVISÓRIAS'!E10</f>
        <v/>
      </c>
      <c r="N42" s="94">
        <f>'LIG. PROVISÓRIAS'!E11</f>
        <v/>
      </c>
      <c r="O42" s="94">
        <f>'LIG. PROVISÓRIAS'!E12</f>
        <v/>
      </c>
      <c r="P42" s="94">
        <f>'LIG. PROVISÓRIAS'!E13</f>
        <v/>
      </c>
      <c r="Q42" s="94">
        <f>'LIG. PROVISÓRIAS'!E14</f>
        <v/>
      </c>
      <c r="R42" s="94">
        <f>'LIG. PROVISÓRIAS'!E15</f>
        <v/>
      </c>
      <c r="S42" s="94">
        <f>'LIG. PROVISÓRIAS'!E16</f>
        <v/>
      </c>
      <c r="T42" s="94">
        <f>'LIG. PROVISÓRIAS'!E17</f>
        <v/>
      </c>
      <c r="U42" s="94">
        <f>'LIG. PROVISÓRIAS'!E18</f>
        <v/>
      </c>
      <c r="V42" s="94">
        <f>'LIG. PROVISÓRIAS'!E19</f>
        <v/>
      </c>
      <c r="W42" s="94">
        <f>'LIG. PROVISÓRIAS'!E20</f>
        <v/>
      </c>
      <c r="X42" s="94">
        <f>'LIG. PROVISÓRIAS'!E21</f>
        <v/>
      </c>
      <c r="Y42" s="94">
        <f>'LIG. PROVISÓRIAS'!E22</f>
        <v/>
      </c>
      <c r="Z42" s="94">
        <f>'LIG. PROVISÓRIAS'!E23</f>
        <v/>
      </c>
      <c r="AA42" s="94">
        <f>'LIG. PROVISÓRIAS'!E24</f>
        <v/>
      </c>
      <c r="AB42" s="94">
        <f>'LIG. PROVISÓRIAS'!E25</f>
        <v/>
      </c>
      <c r="AC42" s="94">
        <f>'LIG. PROVISÓRIAS'!E26</f>
        <v/>
      </c>
      <c r="AD42" s="94">
        <f>'LIG. PROVISÓRIAS'!E27</f>
        <v/>
      </c>
      <c r="AE42" s="94">
        <f>'LIG. PROVISÓRIAS'!E28</f>
        <v/>
      </c>
      <c r="AF42" s="94">
        <f>'LIG. PROVISÓRIAS'!E29</f>
        <v/>
      </c>
      <c r="AG42" s="94">
        <f>'LIG. PROVISÓRIAS'!E30</f>
        <v/>
      </c>
      <c r="AH42" s="94">
        <f>'LIG. PROVISÓRIAS'!E31</f>
        <v/>
      </c>
      <c r="AI42" s="94">
        <f>'LIG. PROVISÓRIAS'!E32</f>
        <v/>
      </c>
      <c r="AJ42" s="94">
        <f>'LIG. PROVISÓRIAS'!E33</f>
        <v/>
      </c>
      <c r="AK42" s="94">
        <f>'LIG. PROVISÓRIAS'!E34</f>
        <v/>
      </c>
      <c r="AL42" s="94">
        <f>'LIG. PROVISÓRIAS'!E35</f>
        <v/>
      </c>
      <c r="AM42" s="94">
        <f>'LIG. PROVISÓRIAS'!E36</f>
        <v/>
      </c>
      <c r="AN42" s="94">
        <f>'LIG. PROVISÓRIAS'!E37</f>
        <v/>
      </c>
      <c r="AO42" s="94">
        <f>'LIG. PROVISÓRIAS'!E38</f>
        <v/>
      </c>
      <c r="AP42" s="94">
        <f>'LIG. PROVISÓRIAS'!E39</f>
        <v/>
      </c>
      <c r="AQ42" s="94">
        <f>'LIG. PROVISÓRIAS'!E40</f>
        <v/>
      </c>
      <c r="AR42" s="94">
        <f>'LIG. PROVISÓRIAS'!E41</f>
        <v/>
      </c>
      <c r="AS42" s="94">
        <f>'LIG. PROVISÓRIAS'!E42</f>
        <v/>
      </c>
      <c r="AT42" s="94">
        <f>'LIG. PROVISÓRIAS'!E43</f>
        <v/>
      </c>
      <c r="AU42" s="94">
        <f>'LIG. PROVISÓRIAS'!E44</f>
        <v/>
      </c>
      <c r="AV42" s="94">
        <f>'LIG. PROVISÓRIAS'!E45</f>
        <v/>
      </c>
      <c r="AW42" s="94">
        <f>'LIG. PROVISÓRIAS'!E46</f>
        <v/>
      </c>
      <c r="AX42" s="94">
        <f>'LIG. PROVISÓRIAS'!E47</f>
        <v/>
      </c>
      <c r="AY42" s="94">
        <f>'LIG. PROVISÓRIAS'!E48</f>
        <v/>
      </c>
      <c r="AZ42" s="94">
        <f>'LIG. PROVISÓRIAS'!E49</f>
        <v/>
      </c>
      <c r="BA42" s="94">
        <f>'LIG. PROVISÓRIAS'!E50</f>
        <v/>
      </c>
      <c r="BB42" s="94">
        <f>'LIG. PROVISÓRIAS'!E51</f>
        <v/>
      </c>
      <c r="BC42" s="94">
        <f>'LIG. PROVISÓRIAS'!E52</f>
        <v/>
      </c>
      <c r="BD42" s="94">
        <f>'LIG. PROVISÓRIAS'!E53</f>
        <v/>
      </c>
      <c r="BE42" s="94">
        <f>'LIG. PROVISÓRIAS'!E54</f>
        <v/>
      </c>
      <c r="BF42" s="94">
        <f>'LIG. PROVISÓRIAS'!E55</f>
        <v/>
      </c>
      <c r="BG42" s="94">
        <f>'LIG. PROVISÓRIAS'!E56</f>
        <v/>
      </c>
      <c r="BH42" s="94">
        <f>'LIG. PROVISÓRIAS'!E57</f>
        <v/>
      </c>
      <c r="BI42" s="94">
        <f>'LIG. PROVISÓRIAS'!E58</f>
        <v/>
      </c>
      <c r="BJ42" s="94">
        <f>'LIG. PROVISÓRIAS'!E59</f>
        <v/>
      </c>
      <c r="BK42" s="94">
        <f>'LIG. PROVISÓRIAS'!E60</f>
        <v/>
      </c>
      <c r="BL42" s="94">
        <f>'LIG. PROVISÓRIAS'!E61</f>
        <v/>
      </c>
      <c r="BM42" s="94">
        <f>'LIG. PROVISÓRIAS'!E62</f>
        <v/>
      </c>
      <c r="BN42" s="94">
        <f>'LIG. PROVISÓRIAS'!E63</f>
        <v/>
      </c>
      <c r="BO42" s="94">
        <f>'LIG. PROVISÓRIAS'!E64</f>
        <v/>
      </c>
      <c r="BP42" s="94">
        <f>'LIG. PROVISÓRIAS'!E65</f>
        <v/>
      </c>
      <c r="BQ42" s="94">
        <f>'LIG. PROVISÓRIAS'!E66</f>
        <v/>
      </c>
      <c r="BR42" s="94">
        <f>'LIG. PROVISÓRIAS'!E67</f>
        <v/>
      </c>
      <c r="BS42" s="94">
        <f>'LIG. PROVISÓRIAS'!E68</f>
        <v/>
      </c>
      <c r="BT42" s="94">
        <f>'LIG. PROVISÓRIAS'!E69</f>
        <v/>
      </c>
      <c r="BU42" s="94">
        <f>'LIG. PROVISÓRIAS'!E70</f>
        <v/>
      </c>
      <c r="BV42" s="94">
        <f>'LIG. PROVISÓRIAS'!E71</f>
        <v/>
      </c>
      <c r="BW42" s="94">
        <f>'LIG. PROVISÓRIAS'!E72</f>
        <v/>
      </c>
      <c r="BX42" s="94">
        <f>'LIG. PROVISÓRIAS'!E73</f>
        <v/>
      </c>
      <c r="BY42" s="94">
        <f>'LIG. PROVISÓRIAS'!E74</f>
        <v/>
      </c>
      <c r="BZ42" s="94">
        <f>'LIG. PROVISÓRIAS'!E75</f>
        <v/>
      </c>
      <c r="CA42" s="94">
        <f>'LIG. PROVISÓRIAS'!E76</f>
        <v/>
      </c>
    </row>
    <row r="43">
      <c r="A43" s="59" t="inlineStr">
        <is>
          <t>G041.002</t>
        </is>
      </c>
      <c r="B43" s="59" t="inlineStr">
        <is>
          <t>1030-1070-470</t>
        </is>
      </c>
      <c r="C43" s="59" t="inlineStr">
        <is>
          <t>TAXA DE ADMINISTRAÇÃO</t>
        </is>
      </c>
      <c r="D43" s="60">
        <f>'TAX. ADM'!$K$5</f>
        <v/>
      </c>
      <c r="E43" s="49">
        <f>SUM(H43:CA43)</f>
        <v/>
      </c>
      <c r="F43" s="49">
        <f>IF(D43="","",D43-E43)</f>
        <v/>
      </c>
      <c r="H43" s="94">
        <f>'TAX. ADM'!E5</f>
        <v/>
      </c>
      <c r="I43" s="94">
        <f>'TAX. ADM'!E6</f>
        <v/>
      </c>
      <c r="J43" s="94">
        <f>'TAX. ADM'!E7</f>
        <v/>
      </c>
      <c r="K43" s="94">
        <f>'TAX. ADM'!E8</f>
        <v/>
      </c>
      <c r="L43" s="94">
        <f>'TAX. ADM'!E9</f>
        <v/>
      </c>
      <c r="M43" s="94">
        <f>'TAX. ADM'!E10</f>
        <v/>
      </c>
      <c r="N43" s="94">
        <f>'TAX. ADM'!E11</f>
        <v/>
      </c>
      <c r="O43" s="94">
        <f>'TAX. ADM'!E12</f>
        <v/>
      </c>
      <c r="P43" s="94">
        <f>'TAX. ADM'!E13</f>
        <v/>
      </c>
      <c r="Q43" s="94">
        <f>'TAX. ADM'!E14</f>
        <v/>
      </c>
      <c r="R43" s="94">
        <f>'TAX. ADM'!E15</f>
        <v/>
      </c>
      <c r="S43" s="94">
        <f>'TAX. ADM'!E16</f>
        <v/>
      </c>
      <c r="T43" s="94">
        <f>'TAX. ADM'!E17</f>
        <v/>
      </c>
      <c r="U43" s="94">
        <f>'TAX. ADM'!E18</f>
        <v/>
      </c>
      <c r="V43" s="94">
        <f>'TAX. ADM'!E19</f>
        <v/>
      </c>
      <c r="W43" s="94">
        <f>'TAX. ADM'!E20</f>
        <v/>
      </c>
      <c r="X43" s="94">
        <f>'TAX. ADM'!E21</f>
        <v/>
      </c>
      <c r="Y43" s="94">
        <f>'TAX. ADM'!E22</f>
        <v/>
      </c>
      <c r="Z43" s="94">
        <f>'TAX. ADM'!E23</f>
        <v/>
      </c>
      <c r="AA43" s="94">
        <f>'TAX. ADM'!E24</f>
        <v/>
      </c>
      <c r="AB43" s="94">
        <f>'TAX. ADM'!E25</f>
        <v/>
      </c>
      <c r="AC43" s="94">
        <f>'TAX. ADM'!E26</f>
        <v/>
      </c>
      <c r="AD43" s="94">
        <f>'TAX. ADM'!E27</f>
        <v/>
      </c>
      <c r="AE43" s="94">
        <f>'TAX. ADM'!E28</f>
        <v/>
      </c>
      <c r="AF43" s="94">
        <f>'TAX. ADM'!E29</f>
        <v/>
      </c>
      <c r="AG43" s="94">
        <f>'TAX. ADM'!E30</f>
        <v/>
      </c>
      <c r="AH43" s="94">
        <f>'TAX. ADM'!E31</f>
        <v/>
      </c>
      <c r="AI43" s="94">
        <f>'TAX. ADM'!E32</f>
        <v/>
      </c>
      <c r="AJ43" s="94">
        <f>'TAX. ADM'!E33</f>
        <v/>
      </c>
      <c r="AK43" s="94">
        <f>'TAX. ADM'!E34</f>
        <v/>
      </c>
      <c r="AL43" s="94">
        <f>'TAX. ADM'!E35</f>
        <v/>
      </c>
      <c r="AM43" s="94">
        <f>'TAX. ADM'!E36</f>
        <v/>
      </c>
      <c r="AN43" s="94">
        <f>'TAX. ADM'!E37</f>
        <v/>
      </c>
      <c r="AO43" s="94">
        <f>'TAX. ADM'!E38</f>
        <v/>
      </c>
      <c r="AP43" s="94">
        <f>'TAX. ADM'!E39</f>
        <v/>
      </c>
      <c r="AQ43" s="94">
        <f>'TAX. ADM'!E40</f>
        <v/>
      </c>
      <c r="AR43" s="94">
        <f>'TAX. ADM'!E41</f>
        <v/>
      </c>
      <c r="AS43" s="94">
        <f>'TAX. ADM'!E42</f>
        <v/>
      </c>
      <c r="AT43" s="94">
        <f>'TAX. ADM'!E43</f>
        <v/>
      </c>
      <c r="AU43" s="94">
        <f>'TAX. ADM'!E44</f>
        <v/>
      </c>
      <c r="AV43" s="94">
        <f>'TAX. ADM'!E45</f>
        <v/>
      </c>
      <c r="AW43" s="94">
        <f>'TAX. ADM'!E46</f>
        <v/>
      </c>
      <c r="AX43" s="94">
        <f>'TAX. ADM'!E47</f>
        <v/>
      </c>
      <c r="AY43" s="94">
        <f>'TAX. ADM'!E48</f>
        <v/>
      </c>
      <c r="AZ43" s="94">
        <f>'TAX. ADM'!E49</f>
        <v/>
      </c>
      <c r="BA43" s="94">
        <f>'TAX. ADM'!E50</f>
        <v/>
      </c>
      <c r="BB43" s="94">
        <f>'TAX. ADM'!E51</f>
        <v/>
      </c>
      <c r="BC43" s="94">
        <f>'TAX. ADM'!E52</f>
        <v/>
      </c>
      <c r="BD43" s="94">
        <f>'TAX. ADM'!E53</f>
        <v/>
      </c>
      <c r="BE43" s="94">
        <f>'TAX. ADM'!E54</f>
        <v/>
      </c>
      <c r="BF43" s="94">
        <f>'TAX. ADM'!E55</f>
        <v/>
      </c>
      <c r="BG43" s="94">
        <f>'TAX. ADM'!E56</f>
        <v/>
      </c>
      <c r="BH43" s="94">
        <f>'TAX. ADM'!E57</f>
        <v/>
      </c>
      <c r="BI43" s="94">
        <f>'TAX. ADM'!E58</f>
        <v/>
      </c>
      <c r="BJ43" s="94">
        <f>'TAX. ADM'!E59</f>
        <v/>
      </c>
      <c r="BK43" s="94">
        <f>'TAX. ADM'!E60</f>
        <v/>
      </c>
      <c r="BL43" s="94">
        <f>'TAX. ADM'!E61</f>
        <v/>
      </c>
      <c r="BM43" s="94">
        <f>'TAX. ADM'!E62</f>
        <v/>
      </c>
      <c r="BN43" s="94">
        <f>'TAX. ADM'!E63</f>
        <v/>
      </c>
      <c r="BO43" s="94">
        <f>'TAX. ADM'!E64</f>
        <v/>
      </c>
      <c r="BP43" s="94">
        <f>'TAX. ADM'!E65</f>
        <v/>
      </c>
      <c r="BQ43" s="94">
        <f>'TAX. ADM'!E66</f>
        <v/>
      </c>
      <c r="BR43" s="94">
        <f>'TAX. ADM'!E67</f>
        <v/>
      </c>
      <c r="BS43" s="94">
        <f>'TAX. ADM'!E68</f>
        <v/>
      </c>
      <c r="BT43" s="94">
        <f>'TAX. ADM'!E69</f>
        <v/>
      </c>
      <c r="BU43" s="94">
        <f>'TAX. ADM'!E70</f>
        <v/>
      </c>
      <c r="BV43" s="94">
        <f>'TAX. ADM'!E71</f>
        <v/>
      </c>
      <c r="BW43" s="94">
        <f>'TAX. ADM'!E72</f>
        <v/>
      </c>
      <c r="BX43" s="94">
        <f>'TAX. ADM'!E73</f>
        <v/>
      </c>
      <c r="BY43" s="94">
        <f>'TAX. ADM'!E74</f>
        <v/>
      </c>
      <c r="BZ43" s="94">
        <f>'TAX. ADM'!E75</f>
        <v/>
      </c>
      <c r="CA43" s="94">
        <f>'TAX. ADM'!E76</f>
        <v/>
      </c>
    </row>
    <row r="44">
      <c r="A44" s="59" t="inlineStr">
        <is>
          <t>G041.002</t>
        </is>
      </c>
      <c r="B44" s="59" t="inlineStr">
        <is>
          <t>1030-1070-180</t>
        </is>
      </c>
      <c r="C44" s="59" t="inlineStr">
        <is>
          <t>TERRAPLENAGEM</t>
        </is>
      </c>
      <c r="D44" s="60">
        <f>'TERRAPLENAGEM'!$K$5</f>
        <v/>
      </c>
      <c r="E44" s="49">
        <f>SUM(H44:CA44)</f>
        <v/>
      </c>
      <c r="F44" s="49">
        <f>IF(D44="","",D44-E44)</f>
        <v/>
      </c>
      <c r="H44" s="94">
        <f>'TERRAPLENAGEM'!E5</f>
        <v/>
      </c>
      <c r="I44" s="94">
        <f>'TERRAPLENAGEM'!E6</f>
        <v/>
      </c>
      <c r="J44" s="94">
        <f>'TERRAPLENAGEM'!E7</f>
        <v/>
      </c>
      <c r="K44" s="94">
        <f>'TERRAPLENAGEM'!E8</f>
        <v/>
      </c>
      <c r="L44" s="94">
        <f>'TERRAPLENAGEM'!E9</f>
        <v/>
      </c>
      <c r="M44" s="94">
        <f>'TERRAPLENAGEM'!E10</f>
        <v/>
      </c>
      <c r="N44" s="94">
        <f>'TERRAPLENAGEM'!E11</f>
        <v/>
      </c>
      <c r="O44" s="94">
        <f>'TERRAPLENAGEM'!E12</f>
        <v/>
      </c>
      <c r="P44" s="94">
        <f>'TERRAPLENAGEM'!E13</f>
        <v/>
      </c>
      <c r="Q44" s="94">
        <f>'TERRAPLENAGEM'!E14</f>
        <v/>
      </c>
      <c r="R44" s="94">
        <f>'TERRAPLENAGEM'!E15</f>
        <v/>
      </c>
      <c r="S44" s="94">
        <f>'TERRAPLENAGEM'!E16</f>
        <v/>
      </c>
      <c r="T44" s="94">
        <f>'TERRAPLENAGEM'!E17</f>
        <v/>
      </c>
      <c r="U44" s="94">
        <f>'TERRAPLENAGEM'!E18</f>
        <v/>
      </c>
      <c r="V44" s="94">
        <f>'TERRAPLENAGEM'!E19</f>
        <v/>
      </c>
      <c r="W44" s="94">
        <f>'TERRAPLENAGEM'!E20</f>
        <v/>
      </c>
      <c r="X44" s="94">
        <f>'TERRAPLENAGEM'!E21</f>
        <v/>
      </c>
      <c r="Y44" s="94">
        <f>'TERRAPLENAGEM'!E22</f>
        <v/>
      </c>
      <c r="Z44" s="94">
        <f>'TERRAPLENAGEM'!E23</f>
        <v/>
      </c>
      <c r="AA44" s="94">
        <f>'TERRAPLENAGEM'!E24</f>
        <v/>
      </c>
      <c r="AB44" s="94">
        <f>'TERRAPLENAGEM'!E25</f>
        <v/>
      </c>
      <c r="AC44" s="94">
        <f>'TERRAPLENAGEM'!E26</f>
        <v/>
      </c>
      <c r="AD44" s="94">
        <f>'TERRAPLENAGEM'!E27</f>
        <v/>
      </c>
      <c r="AE44" s="94">
        <f>'TERRAPLENAGEM'!E28</f>
        <v/>
      </c>
      <c r="AF44" s="94">
        <f>'TERRAPLENAGEM'!E29</f>
        <v/>
      </c>
      <c r="AG44" s="94">
        <f>'TERRAPLENAGEM'!E30</f>
        <v/>
      </c>
      <c r="AH44" s="94">
        <f>'TERRAPLENAGEM'!E31</f>
        <v/>
      </c>
      <c r="AI44" s="94">
        <f>'TERRAPLENAGEM'!E32</f>
        <v/>
      </c>
      <c r="AJ44" s="94">
        <f>'TERRAPLENAGEM'!E33</f>
        <v/>
      </c>
      <c r="AK44" s="94">
        <f>'TERRAPLENAGEM'!E34</f>
        <v/>
      </c>
      <c r="AL44" s="94">
        <f>'TERRAPLENAGEM'!E35</f>
        <v/>
      </c>
      <c r="AM44" s="94">
        <f>'TERRAPLENAGEM'!E36</f>
        <v/>
      </c>
      <c r="AN44" s="94">
        <f>'TERRAPLENAGEM'!E37</f>
        <v/>
      </c>
      <c r="AO44" s="94">
        <f>'TERRAPLENAGEM'!E38</f>
        <v/>
      </c>
      <c r="AP44" s="94">
        <f>'TERRAPLENAGEM'!E39</f>
        <v/>
      </c>
      <c r="AQ44" s="94">
        <f>'TERRAPLENAGEM'!E40</f>
        <v/>
      </c>
      <c r="AR44" s="94">
        <f>'TERRAPLENAGEM'!E41</f>
        <v/>
      </c>
      <c r="AS44" s="94">
        <f>'TERRAPLENAGEM'!E42</f>
        <v/>
      </c>
      <c r="AT44" s="94">
        <f>'TERRAPLENAGEM'!E43</f>
        <v/>
      </c>
      <c r="AU44" s="94">
        <f>'TERRAPLENAGEM'!E44</f>
        <v/>
      </c>
      <c r="AV44" s="94">
        <f>'TERRAPLENAGEM'!E45</f>
        <v/>
      </c>
      <c r="AW44" s="94">
        <f>'TERRAPLENAGEM'!E46</f>
        <v/>
      </c>
      <c r="AX44" s="94">
        <f>'TERRAPLENAGEM'!E47</f>
        <v/>
      </c>
      <c r="AY44" s="94">
        <f>'TERRAPLENAGEM'!E48</f>
        <v/>
      </c>
      <c r="AZ44" s="94">
        <f>'TERRAPLENAGEM'!E49</f>
        <v/>
      </c>
      <c r="BA44" s="94">
        <f>'TERRAPLENAGEM'!E50</f>
        <v/>
      </c>
      <c r="BB44" s="94">
        <f>'TERRAPLENAGEM'!E51</f>
        <v/>
      </c>
      <c r="BC44" s="94">
        <f>'TERRAPLENAGEM'!E52</f>
        <v/>
      </c>
      <c r="BD44" s="94">
        <f>'TERRAPLENAGEM'!E53</f>
        <v/>
      </c>
      <c r="BE44" s="94">
        <f>'TERRAPLENAGEM'!E54</f>
        <v/>
      </c>
      <c r="BF44" s="94">
        <f>'TERRAPLENAGEM'!E55</f>
        <v/>
      </c>
      <c r="BG44" s="94">
        <f>'TERRAPLENAGEM'!E56</f>
        <v/>
      </c>
      <c r="BH44" s="94">
        <f>'TERRAPLENAGEM'!E57</f>
        <v/>
      </c>
      <c r="BI44" s="94">
        <f>'TERRAPLENAGEM'!E58</f>
        <v/>
      </c>
      <c r="BJ44" s="94">
        <f>'TERRAPLENAGEM'!E59</f>
        <v/>
      </c>
      <c r="BK44" s="94">
        <f>'TERRAPLENAGEM'!E60</f>
        <v/>
      </c>
      <c r="BL44" s="94">
        <f>'TERRAPLENAGEM'!E61</f>
        <v/>
      </c>
      <c r="BM44" s="94">
        <f>'TERRAPLENAGEM'!E62</f>
        <v/>
      </c>
      <c r="BN44" s="94">
        <f>'TERRAPLENAGEM'!E63</f>
        <v/>
      </c>
      <c r="BO44" s="94">
        <f>'TERRAPLENAGEM'!E64</f>
        <v/>
      </c>
      <c r="BP44" s="94">
        <f>'TERRAPLENAGEM'!E65</f>
        <v/>
      </c>
      <c r="BQ44" s="94">
        <f>'TERRAPLENAGEM'!E66</f>
        <v/>
      </c>
      <c r="BR44" s="94">
        <f>'TERRAPLENAGEM'!E67</f>
        <v/>
      </c>
      <c r="BS44" s="94">
        <f>'TERRAPLENAGEM'!E68</f>
        <v/>
      </c>
      <c r="BT44" s="94">
        <f>'TERRAPLENAGEM'!E69</f>
        <v/>
      </c>
      <c r="BU44" s="94">
        <f>'TERRAPLENAGEM'!E70</f>
        <v/>
      </c>
      <c r="BV44" s="94">
        <f>'TERRAPLENAGEM'!E71</f>
        <v/>
      </c>
      <c r="BW44" s="94">
        <f>'TERRAPLENAGEM'!E72</f>
        <v/>
      </c>
      <c r="BX44" s="94">
        <f>'TERRAPLENAGEM'!E73</f>
        <v/>
      </c>
      <c r="BY44" s="94">
        <f>'TERRAPLENAGEM'!E74</f>
        <v/>
      </c>
      <c r="BZ44" s="94">
        <f>'TERRAPLENAGEM'!E75</f>
        <v/>
      </c>
      <c r="CA44" s="94">
        <f>'TERRAPLENAGEM'!E76</f>
        <v/>
      </c>
    </row>
    <row r="45">
      <c r="A45" s="59" t="inlineStr">
        <is>
          <t>G041.002</t>
        </is>
      </c>
      <c r="B45" s="59" t="inlineStr">
        <is>
          <t>1030-1070-600</t>
        </is>
      </c>
      <c r="C45" s="59" t="inlineStr">
        <is>
          <t>TOPOGRAFIA</t>
        </is>
      </c>
      <c r="E45" s="49">
        <f>SUM(H45:CA45)</f>
        <v/>
      </c>
      <c r="F45" s="49">
        <f>IF(D45="","",D45-E45)</f>
        <v/>
      </c>
    </row>
    <row r="46">
      <c r="A46" s="59" t="inlineStr">
        <is>
          <t>G041.002</t>
        </is>
      </c>
      <c r="B46" s="59" t="inlineStr">
        <is>
          <t>1030-1070-460</t>
        </is>
      </c>
      <c r="C46" s="59" t="inlineStr">
        <is>
          <t>TRANSPORTES</t>
        </is>
      </c>
      <c r="D46" s="60">
        <f>'TRANSPORTES'!$K$5</f>
        <v/>
      </c>
      <c r="E46" s="49">
        <f>SUM(H46:CA46)</f>
        <v/>
      </c>
      <c r="F46" s="49">
        <f>IF(D46="","",D46-E46)</f>
        <v/>
      </c>
      <c r="H46" s="94">
        <f>'TRANSPORTES'!E5</f>
        <v/>
      </c>
      <c r="I46" s="94">
        <f>'TRANSPORTES'!E6</f>
        <v/>
      </c>
      <c r="J46" s="94">
        <f>'TRANSPORTES'!E7</f>
        <v/>
      </c>
      <c r="K46" s="94">
        <f>'TRANSPORTES'!E8</f>
        <v/>
      </c>
      <c r="L46" s="94">
        <f>'TRANSPORTES'!E9</f>
        <v/>
      </c>
      <c r="M46" s="94">
        <f>'TRANSPORTES'!E10</f>
        <v/>
      </c>
      <c r="N46" s="94">
        <f>'TRANSPORTES'!E11</f>
        <v/>
      </c>
      <c r="O46" s="94">
        <f>'TRANSPORTES'!E12</f>
        <v/>
      </c>
      <c r="P46" s="94">
        <f>'TRANSPORTES'!E13</f>
        <v/>
      </c>
      <c r="Q46" s="94">
        <f>'TRANSPORTES'!E14</f>
        <v/>
      </c>
      <c r="R46" s="94">
        <f>'TRANSPORTES'!E15</f>
        <v/>
      </c>
      <c r="S46" s="94">
        <f>'TRANSPORTES'!E16</f>
        <v/>
      </c>
      <c r="T46" s="94">
        <f>'TRANSPORTES'!E17</f>
        <v/>
      </c>
      <c r="U46" s="94">
        <f>'TRANSPORTES'!E18</f>
        <v/>
      </c>
      <c r="V46" s="94">
        <f>'TRANSPORTES'!E19</f>
        <v/>
      </c>
      <c r="W46" s="94">
        <f>'TRANSPORTES'!E20</f>
        <v/>
      </c>
      <c r="X46" s="94">
        <f>'TRANSPORTES'!E21</f>
        <v/>
      </c>
      <c r="Y46" s="94">
        <f>'TRANSPORTES'!E22</f>
        <v/>
      </c>
      <c r="Z46" s="94">
        <f>'TRANSPORTES'!E23</f>
        <v/>
      </c>
      <c r="AA46" s="94">
        <f>'TRANSPORTES'!E24</f>
        <v/>
      </c>
      <c r="AB46" s="94">
        <f>'TRANSPORTES'!E25</f>
        <v/>
      </c>
      <c r="AC46" s="94">
        <f>'TRANSPORTES'!E26</f>
        <v/>
      </c>
      <c r="AD46" s="94">
        <f>'TRANSPORTES'!E27</f>
        <v/>
      </c>
      <c r="AE46" s="94">
        <f>'TRANSPORTES'!E28</f>
        <v/>
      </c>
      <c r="AF46" s="94">
        <f>'TRANSPORTES'!E29</f>
        <v/>
      </c>
      <c r="AG46" s="94">
        <f>'TRANSPORTES'!E30</f>
        <v/>
      </c>
      <c r="AH46" s="94">
        <f>'TRANSPORTES'!E31</f>
        <v/>
      </c>
      <c r="AI46" s="94">
        <f>'TRANSPORTES'!E32</f>
        <v/>
      </c>
      <c r="AJ46" s="94">
        <f>'TRANSPORTES'!E33</f>
        <v/>
      </c>
      <c r="AK46" s="94">
        <f>'TRANSPORTES'!E34</f>
        <v/>
      </c>
      <c r="AL46" s="94">
        <f>'TRANSPORTES'!E35</f>
        <v/>
      </c>
      <c r="AM46" s="94">
        <f>'TRANSPORTES'!E36</f>
        <v/>
      </c>
      <c r="AN46" s="94">
        <f>'TRANSPORTES'!E37</f>
        <v/>
      </c>
      <c r="AO46" s="94">
        <f>'TRANSPORTES'!E38</f>
        <v/>
      </c>
      <c r="AP46" s="94">
        <f>'TRANSPORTES'!E39</f>
        <v/>
      </c>
      <c r="AQ46" s="94">
        <f>'TRANSPORTES'!E40</f>
        <v/>
      </c>
      <c r="AR46" s="94">
        <f>'TRANSPORTES'!E41</f>
        <v/>
      </c>
      <c r="AS46" s="94">
        <f>'TRANSPORTES'!E42</f>
        <v/>
      </c>
      <c r="AT46" s="94">
        <f>'TRANSPORTES'!E43</f>
        <v/>
      </c>
      <c r="AU46" s="94">
        <f>'TRANSPORTES'!E44</f>
        <v/>
      </c>
      <c r="AV46" s="94">
        <f>'TRANSPORTES'!E45</f>
        <v/>
      </c>
      <c r="AW46" s="94">
        <f>'TRANSPORTES'!E46</f>
        <v/>
      </c>
      <c r="AX46" s="94">
        <f>'TRANSPORTES'!E47</f>
        <v/>
      </c>
      <c r="AY46" s="94">
        <f>'TRANSPORTES'!E48</f>
        <v/>
      </c>
      <c r="AZ46" s="94">
        <f>'TRANSPORTES'!E49</f>
        <v/>
      </c>
      <c r="BA46" s="94">
        <f>'TRANSPORTES'!E50</f>
        <v/>
      </c>
      <c r="BB46" s="94">
        <f>'TRANSPORTES'!E51</f>
        <v/>
      </c>
      <c r="BC46" s="94">
        <f>'TRANSPORTES'!E52</f>
        <v/>
      </c>
      <c r="BD46" s="94">
        <f>'TRANSPORTES'!E53</f>
        <v/>
      </c>
      <c r="BE46" s="94">
        <f>'TRANSPORTES'!E54</f>
        <v/>
      </c>
      <c r="BF46" s="94">
        <f>'TRANSPORTES'!E55</f>
        <v/>
      </c>
      <c r="BG46" s="94">
        <f>'TRANSPORTES'!E56</f>
        <v/>
      </c>
      <c r="BH46" s="94">
        <f>'TRANSPORTES'!E57</f>
        <v/>
      </c>
      <c r="BI46" s="94">
        <f>'TRANSPORTES'!E58</f>
        <v/>
      </c>
      <c r="BJ46" s="94">
        <f>'TRANSPORTES'!E59</f>
        <v/>
      </c>
      <c r="BK46" s="94">
        <f>'TRANSPORTES'!E60</f>
        <v/>
      </c>
      <c r="BL46" s="94">
        <f>'TRANSPORTES'!E61</f>
        <v/>
      </c>
      <c r="BM46" s="94">
        <f>'TRANSPORTES'!E62</f>
        <v/>
      </c>
      <c r="BN46" s="94">
        <f>'TRANSPORTES'!E63</f>
        <v/>
      </c>
      <c r="BO46" s="94">
        <f>'TRANSPORTES'!E64</f>
        <v/>
      </c>
      <c r="BP46" s="94">
        <f>'TRANSPORTES'!E65</f>
        <v/>
      </c>
      <c r="BQ46" s="94">
        <f>'TRANSPORTES'!E66</f>
        <v/>
      </c>
      <c r="BR46" s="94">
        <f>'TRANSPORTES'!E67</f>
        <v/>
      </c>
      <c r="BS46" s="94">
        <f>'TRANSPORTES'!E68</f>
        <v/>
      </c>
      <c r="BT46" s="94">
        <f>'TRANSPORTES'!E69</f>
        <v/>
      </c>
      <c r="BU46" s="94">
        <f>'TRANSPORTES'!E70</f>
        <v/>
      </c>
      <c r="BV46" s="94">
        <f>'TRANSPORTES'!E71</f>
        <v/>
      </c>
      <c r="BW46" s="94">
        <f>'TRANSPORTES'!E72</f>
        <v/>
      </c>
      <c r="BX46" s="94">
        <f>'TRANSPORTES'!E73</f>
        <v/>
      </c>
      <c r="BY46" s="94">
        <f>'TRANSPORTES'!E74</f>
        <v/>
      </c>
      <c r="BZ46" s="94">
        <f>'TRANSPORTES'!E75</f>
        <v/>
      </c>
      <c r="CA46" s="94">
        <f>'TRANSPORTES'!E76</f>
        <v/>
      </c>
    </row>
    <row r="47">
      <c r="A47" s="59" t="inlineStr">
        <is>
          <t>G041.002</t>
        </is>
      </c>
      <c r="B47" s="59" t="inlineStr">
        <is>
          <t>1030-1070-480</t>
        </is>
      </c>
      <c r="C47" s="59" t="inlineStr">
        <is>
          <t>ESTRUTURA EM COBERTURA METÁLICA</t>
        </is>
      </c>
      <c r="E47" s="49">
        <f>SUM(H47:CA47)</f>
        <v/>
      </c>
      <c r="F47" s="49">
        <f>IF(D47="","",D47-E47)</f>
        <v/>
      </c>
    </row>
    <row r="48">
      <c r="A48" s="59" t="inlineStr">
        <is>
          <t>G041.002</t>
        </is>
      </c>
      <c r="B48" s="59" t="inlineStr">
        <is>
          <t>1030-1070-500</t>
        </is>
      </c>
      <c r="C48" s="59" t="inlineStr">
        <is>
          <t>REFORÇO ESTRUTURAL</t>
        </is>
      </c>
      <c r="E48" s="49">
        <f>SUM(H48:CA48)</f>
        <v/>
      </c>
      <c r="F48" s="49">
        <f>IF(D48="","",D48-E48)</f>
        <v/>
      </c>
    </row>
    <row r="49">
      <c r="A49" s="59" t="inlineStr">
        <is>
          <t>G041.002</t>
        </is>
      </c>
      <c r="B49" s="59" t="inlineStr">
        <is>
          <t>1030-1070-530</t>
        </is>
      </c>
      <c r="C49" s="59" t="inlineStr">
        <is>
          <t>MÃO DE OBRA PRÓPRIA</t>
        </is>
      </c>
      <c r="D49" s="60">
        <f>'MDO'!$K$5</f>
        <v/>
      </c>
      <c r="E49" s="49">
        <f>SUM(H49:CA49)</f>
        <v/>
      </c>
      <c r="F49" s="49">
        <f>IF(D49="","",D49-E49)</f>
        <v/>
      </c>
      <c r="H49" s="94">
        <f>'MDO'!E5</f>
        <v/>
      </c>
      <c r="I49" s="94">
        <f>'MDO'!E6</f>
        <v/>
      </c>
      <c r="J49" s="94">
        <f>'MDO'!E7</f>
        <v/>
      </c>
      <c r="K49" s="94">
        <f>'MDO'!E8</f>
        <v/>
      </c>
      <c r="L49" s="94">
        <f>'MDO'!E9</f>
        <v/>
      </c>
      <c r="M49" s="94">
        <f>'MDO'!E10</f>
        <v/>
      </c>
      <c r="N49" s="94">
        <f>'MDO'!E11</f>
        <v/>
      </c>
      <c r="O49" s="94">
        <f>'MDO'!E12</f>
        <v/>
      </c>
      <c r="P49" s="94">
        <f>'MDO'!E13</f>
        <v/>
      </c>
      <c r="Q49" s="94">
        <f>'MDO'!E14</f>
        <v/>
      </c>
      <c r="R49" s="94">
        <f>'MDO'!E15</f>
        <v/>
      </c>
      <c r="S49" s="94">
        <f>'MDO'!E16</f>
        <v/>
      </c>
      <c r="T49" s="94">
        <f>'MDO'!E17</f>
        <v/>
      </c>
      <c r="U49" s="94">
        <f>'MDO'!E18</f>
        <v/>
      </c>
      <c r="V49" s="94">
        <f>'MDO'!E19</f>
        <v/>
      </c>
      <c r="W49" s="94">
        <f>'MDO'!E20</f>
        <v/>
      </c>
      <c r="X49" s="94">
        <f>'MDO'!E21</f>
        <v/>
      </c>
      <c r="Y49" s="94">
        <f>'MDO'!E22</f>
        <v/>
      </c>
      <c r="Z49" s="94">
        <f>'MDO'!E23</f>
        <v/>
      </c>
      <c r="AA49" s="94">
        <f>'MDO'!E24</f>
        <v/>
      </c>
      <c r="AB49" s="94">
        <f>'MDO'!E25</f>
        <v/>
      </c>
      <c r="AC49" s="94">
        <f>'MDO'!E26</f>
        <v/>
      </c>
      <c r="AD49" s="94">
        <f>'MDO'!E27</f>
        <v/>
      </c>
      <c r="AE49" s="94">
        <f>'MDO'!E28</f>
        <v/>
      </c>
      <c r="AF49" s="94">
        <f>'MDO'!E29</f>
        <v/>
      </c>
      <c r="AG49" s="94">
        <f>'MDO'!E30</f>
        <v/>
      </c>
      <c r="AH49" s="94">
        <f>'MDO'!E31</f>
        <v/>
      </c>
      <c r="AI49" s="94">
        <f>'MDO'!E32</f>
        <v/>
      </c>
      <c r="AJ49" s="94">
        <f>'MDO'!E33</f>
        <v/>
      </c>
      <c r="AK49" s="94">
        <f>'MDO'!E34</f>
        <v/>
      </c>
      <c r="AL49" s="94">
        <f>'MDO'!E35</f>
        <v/>
      </c>
      <c r="AM49" s="94">
        <f>'MDO'!E36</f>
        <v/>
      </c>
      <c r="AN49" s="94">
        <f>'MDO'!E37</f>
        <v/>
      </c>
      <c r="AO49" s="94">
        <f>'MDO'!E38</f>
        <v/>
      </c>
      <c r="AP49" s="94">
        <f>'MDO'!E39</f>
        <v/>
      </c>
      <c r="AQ49" s="94">
        <f>'MDO'!E40</f>
        <v/>
      </c>
      <c r="AR49" s="94">
        <f>'MDO'!E41</f>
        <v/>
      </c>
      <c r="AS49" s="94">
        <f>'MDO'!E42</f>
        <v/>
      </c>
      <c r="AT49" s="94">
        <f>'MDO'!E43</f>
        <v/>
      </c>
      <c r="AU49" s="94">
        <f>'MDO'!E44</f>
        <v/>
      </c>
      <c r="AV49" s="94">
        <f>'MDO'!E45</f>
        <v/>
      </c>
      <c r="AW49" s="94">
        <f>'MDO'!E46</f>
        <v/>
      </c>
      <c r="AX49" s="94">
        <f>'MDO'!E47</f>
        <v/>
      </c>
      <c r="AY49" s="94">
        <f>'MDO'!E48</f>
        <v/>
      </c>
      <c r="AZ49" s="94">
        <f>'MDO'!E49</f>
        <v/>
      </c>
      <c r="BA49" s="94">
        <f>'MDO'!E50</f>
        <v/>
      </c>
      <c r="BB49" s="94">
        <f>'MDO'!E51</f>
        <v/>
      </c>
      <c r="BC49" s="94">
        <f>'MDO'!E52</f>
        <v/>
      </c>
      <c r="BD49" s="94">
        <f>'MDO'!E53</f>
        <v/>
      </c>
      <c r="BE49" s="94">
        <f>'MDO'!E54</f>
        <v/>
      </c>
      <c r="BF49" s="94">
        <f>'MDO'!E55</f>
        <v/>
      </c>
      <c r="BG49" s="94">
        <f>'MDO'!E56</f>
        <v/>
      </c>
      <c r="BH49" s="94">
        <f>'MDO'!E57</f>
        <v/>
      </c>
      <c r="BI49" s="94">
        <f>'MDO'!E58</f>
        <v/>
      </c>
      <c r="BJ49" s="94">
        <f>'MDO'!E59</f>
        <v/>
      </c>
      <c r="BK49" s="94">
        <f>'MDO'!E60</f>
        <v/>
      </c>
      <c r="BL49" s="94">
        <f>'MDO'!E61</f>
        <v/>
      </c>
      <c r="BM49" s="94">
        <f>'MDO'!E62</f>
        <v/>
      </c>
      <c r="BN49" s="94">
        <f>'MDO'!E63</f>
        <v/>
      </c>
      <c r="BO49" s="94">
        <f>'MDO'!E64</f>
        <v/>
      </c>
      <c r="BP49" s="94">
        <f>'MDO'!E65</f>
        <v/>
      </c>
      <c r="BQ49" s="94">
        <f>'MDO'!E66</f>
        <v/>
      </c>
      <c r="BR49" s="94">
        <f>'MDO'!E67</f>
        <v/>
      </c>
      <c r="BS49" s="94">
        <f>'MDO'!E68</f>
        <v/>
      </c>
      <c r="BT49" s="94">
        <f>'MDO'!E69</f>
        <v/>
      </c>
      <c r="BU49" s="94">
        <f>'MDO'!E70</f>
        <v/>
      </c>
      <c r="BV49" s="94">
        <f>'MDO'!E71</f>
        <v/>
      </c>
      <c r="BW49" s="94">
        <f>'MDO'!E72</f>
        <v/>
      </c>
      <c r="BX49" s="94">
        <f>'MDO'!E73</f>
        <v/>
      </c>
      <c r="BY49" s="94">
        <f>'MDO'!E74</f>
        <v/>
      </c>
      <c r="BZ49" s="94">
        <f>'MDO'!E75</f>
        <v/>
      </c>
      <c r="CA49" s="94">
        <f>'MDO'!E76</f>
        <v/>
      </c>
    </row>
    <row r="50">
      <c r="A50" s="59" t="inlineStr">
        <is>
          <t>G041.002</t>
        </is>
      </c>
      <c r="B50" s="59" t="inlineStr">
        <is>
          <t>1030-1070-120</t>
        </is>
      </c>
      <c r="C50" s="59" t="inlineStr">
        <is>
          <t>TAXAS DIVERSAS</t>
        </is>
      </c>
      <c r="D50" s="60">
        <f>'TAX. DIVERSAS'!$K$5</f>
        <v/>
      </c>
      <c r="E50" s="49">
        <f>SUM(H50:CA50)</f>
        <v/>
      </c>
      <c r="F50" s="49">
        <f>IF(D50="","",D50-E50)</f>
        <v/>
      </c>
      <c r="H50" s="94">
        <f>'TAX. DIVERSAS'!E5</f>
        <v/>
      </c>
      <c r="I50" s="94">
        <f>'TAX. DIVERSAS'!E6</f>
        <v/>
      </c>
      <c r="J50" s="94">
        <f>'TAX. DIVERSAS'!E7</f>
        <v/>
      </c>
      <c r="K50" s="94">
        <f>'TAX. DIVERSAS'!E8</f>
        <v/>
      </c>
      <c r="L50" s="94">
        <f>'TAX. DIVERSAS'!E9</f>
        <v/>
      </c>
      <c r="M50" s="94">
        <f>'TAX. DIVERSAS'!E10</f>
        <v/>
      </c>
      <c r="N50" s="94">
        <f>'TAX. DIVERSAS'!E11</f>
        <v/>
      </c>
      <c r="O50" s="94">
        <f>'TAX. DIVERSAS'!E12</f>
        <v/>
      </c>
      <c r="P50" s="94">
        <f>'TAX. DIVERSAS'!E13</f>
        <v/>
      </c>
      <c r="Q50" s="94">
        <f>'TAX. DIVERSAS'!E14</f>
        <v/>
      </c>
      <c r="R50" s="94">
        <f>'TAX. DIVERSAS'!E15</f>
        <v/>
      </c>
      <c r="S50" s="94">
        <f>'TAX. DIVERSAS'!E16</f>
        <v/>
      </c>
      <c r="T50" s="94">
        <f>'TAX. DIVERSAS'!E17</f>
        <v/>
      </c>
      <c r="U50" s="94">
        <f>'TAX. DIVERSAS'!E18</f>
        <v/>
      </c>
      <c r="V50" s="94">
        <f>'TAX. DIVERSAS'!E19</f>
        <v/>
      </c>
      <c r="W50" s="94">
        <f>'TAX. DIVERSAS'!E20</f>
        <v/>
      </c>
      <c r="X50" s="94">
        <f>'TAX. DIVERSAS'!E21</f>
        <v/>
      </c>
      <c r="Y50" s="94">
        <f>'TAX. DIVERSAS'!E22</f>
        <v/>
      </c>
      <c r="Z50" s="94">
        <f>'TAX. DIVERSAS'!E23</f>
        <v/>
      </c>
      <c r="AA50" s="94">
        <f>'TAX. DIVERSAS'!E24</f>
        <v/>
      </c>
      <c r="AB50" s="94">
        <f>'TAX. DIVERSAS'!E25</f>
        <v/>
      </c>
      <c r="AC50" s="94">
        <f>'TAX. DIVERSAS'!E26</f>
        <v/>
      </c>
      <c r="AD50" s="94">
        <f>'TAX. DIVERSAS'!E27</f>
        <v/>
      </c>
      <c r="AE50" s="94">
        <f>'TAX. DIVERSAS'!E28</f>
        <v/>
      </c>
      <c r="AF50" s="94">
        <f>'TAX. DIVERSAS'!E29</f>
        <v/>
      </c>
      <c r="AG50" s="94">
        <f>'TAX. DIVERSAS'!E30</f>
        <v/>
      </c>
      <c r="AH50" s="94">
        <f>'TAX. DIVERSAS'!E31</f>
        <v/>
      </c>
      <c r="AI50" s="94">
        <f>'TAX. DIVERSAS'!E32</f>
        <v/>
      </c>
      <c r="AJ50" s="94">
        <f>'TAX. DIVERSAS'!E33</f>
        <v/>
      </c>
      <c r="AK50" s="94">
        <f>'TAX. DIVERSAS'!E34</f>
        <v/>
      </c>
      <c r="AL50" s="94">
        <f>'TAX. DIVERSAS'!E35</f>
        <v/>
      </c>
      <c r="AM50" s="94">
        <f>'TAX. DIVERSAS'!E36</f>
        <v/>
      </c>
      <c r="AN50" s="94">
        <f>'TAX. DIVERSAS'!E37</f>
        <v/>
      </c>
      <c r="AO50" s="94">
        <f>'TAX. DIVERSAS'!E38</f>
        <v/>
      </c>
      <c r="AP50" s="94">
        <f>'TAX. DIVERSAS'!E39</f>
        <v/>
      </c>
      <c r="AQ50" s="94">
        <f>'TAX. DIVERSAS'!E40</f>
        <v/>
      </c>
      <c r="AR50" s="94">
        <f>'TAX. DIVERSAS'!E41</f>
        <v/>
      </c>
      <c r="AS50" s="94">
        <f>'TAX. DIVERSAS'!E42</f>
        <v/>
      </c>
      <c r="AT50" s="94">
        <f>'TAX. DIVERSAS'!E43</f>
        <v/>
      </c>
      <c r="AU50" s="94">
        <f>'TAX. DIVERSAS'!E44</f>
        <v/>
      </c>
      <c r="AV50" s="94">
        <f>'TAX. DIVERSAS'!E45</f>
        <v/>
      </c>
      <c r="AW50" s="94">
        <f>'TAX. DIVERSAS'!E46</f>
        <v/>
      </c>
      <c r="AX50" s="94">
        <f>'TAX. DIVERSAS'!E47</f>
        <v/>
      </c>
      <c r="AY50" s="94">
        <f>'TAX. DIVERSAS'!E48</f>
        <v/>
      </c>
      <c r="AZ50" s="94">
        <f>'TAX. DIVERSAS'!E49</f>
        <v/>
      </c>
      <c r="BA50" s="94">
        <f>'TAX. DIVERSAS'!E50</f>
        <v/>
      </c>
      <c r="BB50" s="94">
        <f>'TAX. DIVERSAS'!E51</f>
        <v/>
      </c>
      <c r="BC50" s="94">
        <f>'TAX. DIVERSAS'!E52</f>
        <v/>
      </c>
      <c r="BD50" s="94">
        <f>'TAX. DIVERSAS'!E53</f>
        <v/>
      </c>
      <c r="BE50" s="94">
        <f>'TAX. DIVERSAS'!E54</f>
        <v/>
      </c>
      <c r="BF50" s="94">
        <f>'TAX. DIVERSAS'!E55</f>
        <v/>
      </c>
      <c r="BG50" s="94">
        <f>'TAX. DIVERSAS'!E56</f>
        <v/>
      </c>
      <c r="BH50" s="94">
        <f>'TAX. DIVERSAS'!E57</f>
        <v/>
      </c>
      <c r="BI50" s="94">
        <f>'TAX. DIVERSAS'!E58</f>
        <v/>
      </c>
      <c r="BJ50" s="94">
        <f>'TAX. DIVERSAS'!E59</f>
        <v/>
      </c>
      <c r="BK50" s="94">
        <f>'TAX. DIVERSAS'!E60</f>
        <v/>
      </c>
      <c r="BL50" s="94">
        <f>'TAX. DIVERSAS'!E61</f>
        <v/>
      </c>
      <c r="BM50" s="94">
        <f>'TAX. DIVERSAS'!E62</f>
        <v/>
      </c>
      <c r="BN50" s="94">
        <f>'TAX. DIVERSAS'!E63</f>
        <v/>
      </c>
      <c r="BO50" s="94">
        <f>'TAX. DIVERSAS'!E64</f>
        <v/>
      </c>
      <c r="BP50" s="94">
        <f>'TAX. DIVERSAS'!E65</f>
        <v/>
      </c>
      <c r="BQ50" s="94">
        <f>'TAX. DIVERSAS'!E66</f>
        <v/>
      </c>
      <c r="BR50" s="94">
        <f>'TAX. DIVERSAS'!E67</f>
        <v/>
      </c>
      <c r="BS50" s="94">
        <f>'TAX. DIVERSAS'!E68</f>
        <v/>
      </c>
      <c r="BT50" s="94">
        <f>'TAX. DIVERSAS'!E69</f>
        <v/>
      </c>
      <c r="BU50" s="94">
        <f>'TAX. DIVERSAS'!E70</f>
        <v/>
      </c>
      <c r="BV50" s="94">
        <f>'TAX. DIVERSAS'!E71</f>
        <v/>
      </c>
      <c r="BW50" s="94">
        <f>'TAX. DIVERSAS'!E72</f>
        <v/>
      </c>
      <c r="BX50" s="94">
        <f>'TAX. DIVERSAS'!E73</f>
        <v/>
      </c>
      <c r="BY50" s="94">
        <f>'TAX. DIVERSAS'!E74</f>
        <v/>
      </c>
      <c r="BZ50" s="94">
        <f>'TAX. DIVERSAS'!E75</f>
        <v/>
      </c>
      <c r="CA50" s="94">
        <f>'TAX. DIVERSAS'!E76</f>
        <v/>
      </c>
    </row>
    <row r="51">
      <c r="A51" s="59" t="inlineStr">
        <is>
          <t>G041.002</t>
        </is>
      </c>
      <c r="B51" s="59" t="inlineStr">
        <is>
          <t>1030-1070-590</t>
        </is>
      </c>
      <c r="C51" s="59" t="inlineStr">
        <is>
          <t>SEGURANÇA DO TRABALHO</t>
        </is>
      </c>
      <c r="E51" s="49">
        <f>SUM(H51:CA51)</f>
        <v/>
      </c>
      <c r="F51" s="49">
        <f>IF(D51="","",D51-E51)</f>
        <v/>
      </c>
    </row>
    <row r="52">
      <c r="A52" s="59" t="inlineStr">
        <is>
          <t>G041.002</t>
        </is>
      </c>
      <c r="B52" s="59" t="inlineStr">
        <is>
          <t>1030-1070-520</t>
        </is>
      </c>
      <c r="C52" s="59" t="inlineStr">
        <is>
          <t>SERVIÇOS INICIAIS</t>
        </is>
      </c>
      <c r="D52" s="60">
        <f>'SERV. INICIAIS'!$K$5</f>
        <v/>
      </c>
      <c r="E52" s="49">
        <f>SUM(H52:CA52)</f>
        <v/>
      </c>
      <c r="F52" s="49">
        <f>IF(D52="","",D52-E52)</f>
        <v/>
      </c>
      <c r="H52" s="94">
        <f>'SERV. INICIAIS'!E5</f>
        <v/>
      </c>
      <c r="I52" s="94">
        <f>'SERV. INICIAIS'!E6</f>
        <v/>
      </c>
      <c r="J52" s="94">
        <f>'SERV. INICIAIS'!E7</f>
        <v/>
      </c>
      <c r="K52" s="94">
        <f>'SERV. INICIAIS'!E8</f>
        <v/>
      </c>
      <c r="L52" s="94">
        <f>'SERV. INICIAIS'!E9</f>
        <v/>
      </c>
      <c r="M52" s="94">
        <f>'SERV. INICIAIS'!E10</f>
        <v/>
      </c>
      <c r="N52" s="94">
        <f>'SERV. INICIAIS'!E11</f>
        <v/>
      </c>
      <c r="O52" s="94">
        <f>'SERV. INICIAIS'!E12</f>
        <v/>
      </c>
      <c r="P52" s="94">
        <f>'SERV. INICIAIS'!E13</f>
        <v/>
      </c>
      <c r="Q52" s="94">
        <f>'SERV. INICIAIS'!E14</f>
        <v/>
      </c>
      <c r="R52" s="94">
        <f>'SERV. INICIAIS'!E15</f>
        <v/>
      </c>
      <c r="S52" s="94">
        <f>'SERV. INICIAIS'!E16</f>
        <v/>
      </c>
      <c r="T52" s="94">
        <f>'SERV. INICIAIS'!E17</f>
        <v/>
      </c>
      <c r="U52" s="94">
        <f>'SERV. INICIAIS'!E18</f>
        <v/>
      </c>
      <c r="V52" s="94">
        <f>'SERV. INICIAIS'!E19</f>
        <v/>
      </c>
      <c r="W52" s="94">
        <f>'SERV. INICIAIS'!E20</f>
        <v/>
      </c>
      <c r="X52" s="94">
        <f>'SERV. INICIAIS'!E21</f>
        <v/>
      </c>
      <c r="Y52" s="94">
        <f>'SERV. INICIAIS'!E22</f>
        <v/>
      </c>
      <c r="Z52" s="94">
        <f>'SERV. INICIAIS'!E23</f>
        <v/>
      </c>
      <c r="AA52" s="94">
        <f>'SERV. INICIAIS'!E24</f>
        <v/>
      </c>
      <c r="AB52" s="94">
        <f>'SERV. INICIAIS'!E25</f>
        <v/>
      </c>
      <c r="AC52" s="94">
        <f>'SERV. INICIAIS'!E26</f>
        <v/>
      </c>
      <c r="AD52" s="94">
        <f>'SERV. INICIAIS'!E27</f>
        <v/>
      </c>
      <c r="AE52" s="94">
        <f>'SERV. INICIAIS'!E28</f>
        <v/>
      </c>
      <c r="AF52" s="94">
        <f>'SERV. INICIAIS'!E29</f>
        <v/>
      </c>
      <c r="AG52" s="94">
        <f>'SERV. INICIAIS'!E30</f>
        <v/>
      </c>
      <c r="AH52" s="94">
        <f>'SERV. INICIAIS'!E31</f>
        <v/>
      </c>
      <c r="AI52" s="94">
        <f>'SERV. INICIAIS'!E32</f>
        <v/>
      </c>
      <c r="AJ52" s="94">
        <f>'SERV. INICIAIS'!E33</f>
        <v/>
      </c>
      <c r="AK52" s="94">
        <f>'SERV. INICIAIS'!E34</f>
        <v/>
      </c>
      <c r="AL52" s="94">
        <f>'SERV. INICIAIS'!E35</f>
        <v/>
      </c>
      <c r="AM52" s="94">
        <f>'SERV. INICIAIS'!E36</f>
        <v/>
      </c>
      <c r="AN52" s="94">
        <f>'SERV. INICIAIS'!E37</f>
        <v/>
      </c>
      <c r="AO52" s="94">
        <f>'SERV. INICIAIS'!E38</f>
        <v/>
      </c>
      <c r="AP52" s="94">
        <f>'SERV. INICIAIS'!E39</f>
        <v/>
      </c>
      <c r="AQ52" s="94">
        <f>'SERV. INICIAIS'!E40</f>
        <v/>
      </c>
      <c r="AR52" s="94">
        <f>'SERV. INICIAIS'!E41</f>
        <v/>
      </c>
      <c r="AS52" s="94">
        <f>'SERV. INICIAIS'!E42</f>
        <v/>
      </c>
      <c r="AT52" s="94">
        <f>'SERV. INICIAIS'!E43</f>
        <v/>
      </c>
      <c r="AU52" s="94">
        <f>'SERV. INICIAIS'!E44</f>
        <v/>
      </c>
      <c r="AV52" s="94">
        <f>'SERV. INICIAIS'!E45</f>
        <v/>
      </c>
      <c r="AW52" s="94">
        <f>'SERV. INICIAIS'!E46</f>
        <v/>
      </c>
      <c r="AX52" s="94">
        <f>'SERV. INICIAIS'!E47</f>
        <v/>
      </c>
      <c r="AY52" s="94">
        <f>'SERV. INICIAIS'!E48</f>
        <v/>
      </c>
      <c r="AZ52" s="94">
        <f>'SERV. INICIAIS'!E49</f>
        <v/>
      </c>
      <c r="BA52" s="94">
        <f>'SERV. INICIAIS'!E50</f>
        <v/>
      </c>
      <c r="BB52" s="94">
        <f>'SERV. INICIAIS'!E51</f>
        <v/>
      </c>
      <c r="BC52" s="94">
        <f>'SERV. INICIAIS'!E52</f>
        <v/>
      </c>
      <c r="BD52" s="94">
        <f>'SERV. INICIAIS'!E53</f>
        <v/>
      </c>
      <c r="BE52" s="94">
        <f>'SERV. INICIAIS'!E54</f>
        <v/>
      </c>
      <c r="BF52" s="94">
        <f>'SERV. INICIAIS'!E55</f>
        <v/>
      </c>
      <c r="BG52" s="94">
        <f>'SERV. INICIAIS'!E56</f>
        <v/>
      </c>
      <c r="BH52" s="94">
        <f>'SERV. INICIAIS'!E57</f>
        <v/>
      </c>
      <c r="BI52" s="94">
        <f>'SERV. INICIAIS'!E58</f>
        <v/>
      </c>
      <c r="BJ52" s="94">
        <f>'SERV. INICIAIS'!E59</f>
        <v/>
      </c>
      <c r="BK52" s="94">
        <f>'SERV. INICIAIS'!E60</f>
        <v/>
      </c>
      <c r="BL52" s="94">
        <f>'SERV. INICIAIS'!E61</f>
        <v/>
      </c>
      <c r="BM52" s="94">
        <f>'SERV. INICIAIS'!E62</f>
        <v/>
      </c>
      <c r="BN52" s="94">
        <f>'SERV. INICIAIS'!E63</f>
        <v/>
      </c>
      <c r="BO52" s="94">
        <f>'SERV. INICIAIS'!E64</f>
        <v/>
      </c>
      <c r="BP52" s="94">
        <f>'SERV. INICIAIS'!E65</f>
        <v/>
      </c>
      <c r="BQ52" s="94">
        <f>'SERV. INICIAIS'!E66</f>
        <v/>
      </c>
      <c r="BR52" s="94">
        <f>'SERV. INICIAIS'!E67</f>
        <v/>
      </c>
      <c r="BS52" s="94">
        <f>'SERV. INICIAIS'!E68</f>
        <v/>
      </c>
      <c r="BT52" s="94">
        <f>'SERV. INICIAIS'!E69</f>
        <v/>
      </c>
      <c r="BU52" s="94">
        <f>'SERV. INICIAIS'!E70</f>
        <v/>
      </c>
      <c r="BV52" s="94">
        <f>'SERV. INICIAIS'!E71</f>
        <v/>
      </c>
      <c r="BW52" s="94">
        <f>'SERV. INICIAIS'!E72</f>
        <v/>
      </c>
      <c r="BX52" s="94">
        <f>'SERV. INICIAIS'!E73</f>
        <v/>
      </c>
      <c r="BY52" s="94">
        <f>'SERV. INICIAIS'!E74</f>
        <v/>
      </c>
      <c r="BZ52" s="94">
        <f>'SERV. INICIAIS'!E75</f>
        <v/>
      </c>
      <c r="CA52" s="94">
        <f>'SERV. INICIAIS'!E76</f>
        <v/>
      </c>
    </row>
    <row r="53">
      <c r="A53" s="59" t="inlineStr">
        <is>
          <t>G041.002</t>
        </is>
      </c>
      <c r="B53" s="59" t="inlineStr">
        <is>
          <t>1040-1110-115</t>
        </is>
      </c>
      <c r="C53" s="59" t="inlineStr">
        <is>
          <t>COMERCIAIS</t>
        </is>
      </c>
      <c r="E53" s="49">
        <f>SUM(H53:CA53)</f>
        <v/>
      </c>
      <c r="F53" s="49">
        <f>IF(D53="","",D53-E53)</f>
        <v/>
      </c>
    </row>
    <row r="54">
      <c r="A54" s="59" t="inlineStr">
        <is>
          <t>G041.002</t>
        </is>
      </c>
      <c r="B54" s="59" t="inlineStr">
        <is>
          <t>1040-1130-110</t>
        </is>
      </c>
      <c r="C54" s="59" t="inlineStr">
        <is>
          <t>INCORPORAÇÃO / LEGALIZAÇÃO</t>
        </is>
      </c>
      <c r="E54" s="49">
        <f>SUM(H54:CA54)</f>
        <v/>
      </c>
      <c r="F54" s="49">
        <f>IF(D54="","",D54-E54)</f>
        <v/>
      </c>
    </row>
    <row r="55">
      <c r="A55" s="59" t="inlineStr">
        <is>
          <t>G041.002</t>
        </is>
      </c>
      <c r="B55" s="59" t="inlineStr">
        <is>
          <t>1040-1130-110</t>
        </is>
      </c>
      <c r="C55" s="59" t="inlineStr">
        <is>
          <t>INCORPORAÇÃO / LEGALIZAÇÃO</t>
        </is>
      </c>
      <c r="E55" s="49">
        <f>SUM(H55:CA55)</f>
        <v/>
      </c>
      <c r="F55" s="49">
        <f>IF(D55="","",D55-E55)</f>
        <v/>
      </c>
    </row>
    <row r="56">
      <c r="A56" s="59" t="inlineStr">
        <is>
          <t>G041.002</t>
        </is>
      </c>
      <c r="B56" s="59" t="inlineStr">
        <is>
          <t>1030-1090-100</t>
        </is>
      </c>
      <c r="C56" s="59" t="inlineStr">
        <is>
          <t>MEDIDAS COMPENSATÓRIAS</t>
        </is>
      </c>
      <c r="E56" s="49">
        <f>SUM(H56:CA56)</f>
        <v/>
      </c>
      <c r="F56" s="49">
        <f>IF(D56="","",D56-E56)</f>
        <v/>
      </c>
    </row>
    <row r="57">
      <c r="A57" s="59" t="inlineStr">
        <is>
          <t>G041.002</t>
        </is>
      </c>
      <c r="B57" s="59" t="inlineStr">
        <is>
          <t>1040-1110-130</t>
        </is>
      </c>
      <c r="C57" s="59" t="n"/>
      <c r="E57" s="49">
        <f>SUM(H57:CA57)</f>
        <v/>
      </c>
      <c r="F57" s="49">
        <f>IF(D57="","",D57-E57)</f>
        <v/>
      </c>
    </row>
    <row r="58">
      <c r="A58" s="59" t="inlineStr">
        <is>
          <t>G041.002</t>
        </is>
      </c>
      <c r="B58" s="59" t="n"/>
      <c r="C58" s="113" t="inlineStr">
        <is>
          <t>AJUSTE DE CONCILIAÇÃO (medição)</t>
        </is>
      </c>
      <c r="D58" s="49" t="n"/>
      <c r="E58" s="49">
        <f>SUM(H58:CA58)</f>
        <v/>
      </c>
      <c r="F58" s="49">
        <f>IF(D58="","",D58-E58)</f>
        <v/>
      </c>
      <c r="H58" s="114">
        <f>IF(H$1='VALOR POR PL'!$P$5,'VALOR POR PL'!$G$64,0)</f>
        <v/>
      </c>
      <c r="I58" s="114">
        <f>IF(I$1='VALOR POR PL'!$P$5,'VALOR POR PL'!$G$64,0)</f>
        <v/>
      </c>
      <c r="J58" s="114">
        <f>IF(J$1='VALOR POR PL'!$P$5,'VALOR POR PL'!$G$64,0)</f>
        <v/>
      </c>
      <c r="K58" s="114">
        <f>IF(K$1='VALOR POR PL'!$P$5,'VALOR POR PL'!$G$64,0)</f>
        <v/>
      </c>
      <c r="L58" s="114">
        <f>IF(L$1='VALOR POR PL'!$P$5,'VALOR POR PL'!$G$64,0)</f>
        <v/>
      </c>
      <c r="M58" s="114">
        <f>IF(M$1='VALOR POR PL'!$P$5,'VALOR POR PL'!$G$64,0)</f>
        <v/>
      </c>
      <c r="N58" s="114">
        <f>IF(N$1='VALOR POR PL'!$P$5,'VALOR POR PL'!$G$64,0)</f>
        <v/>
      </c>
      <c r="O58" s="114">
        <f>IF(O$1='VALOR POR PL'!$P$5,'VALOR POR PL'!$G$64,0)</f>
        <v/>
      </c>
      <c r="P58" s="114">
        <f>IF(P$1='VALOR POR PL'!$P$5,'VALOR POR PL'!$G$64,0)</f>
        <v/>
      </c>
      <c r="Q58" s="114">
        <f>IF(Q$1='VALOR POR PL'!$P$5,'VALOR POR PL'!$G$64,0)</f>
        <v/>
      </c>
      <c r="R58" s="114">
        <f>IF(R$1='VALOR POR PL'!$P$5,'VALOR POR PL'!$G$64,0)</f>
        <v/>
      </c>
      <c r="S58" s="114">
        <f>IF(S$1='VALOR POR PL'!$P$5,'VALOR POR PL'!$G$64,0)</f>
        <v/>
      </c>
      <c r="T58" s="114">
        <f>IF(T$1='VALOR POR PL'!$P$5,'VALOR POR PL'!$G$64,0)</f>
        <v/>
      </c>
      <c r="U58" s="114">
        <f>IF(U$1='VALOR POR PL'!$P$5,'VALOR POR PL'!$G$64,0)</f>
        <v/>
      </c>
      <c r="V58" s="114">
        <f>IF(V$1='VALOR POR PL'!$P$5,'VALOR POR PL'!$G$64,0)</f>
        <v/>
      </c>
      <c r="W58" s="114">
        <f>IF(W$1='VALOR POR PL'!$P$5,'VALOR POR PL'!$G$64,0)</f>
        <v/>
      </c>
      <c r="X58" s="114">
        <f>IF(X$1='VALOR POR PL'!$P$5,'VALOR POR PL'!$G$64,0)</f>
        <v/>
      </c>
      <c r="Y58" s="114">
        <f>IF(Y$1='VALOR POR PL'!$P$5,'VALOR POR PL'!$G$64,0)</f>
        <v/>
      </c>
      <c r="Z58" s="114">
        <f>IF(Z$1='VALOR POR PL'!$P$5,'VALOR POR PL'!$G$64,0)</f>
        <v/>
      </c>
      <c r="AA58" s="114">
        <f>IF(AA$1='VALOR POR PL'!$P$5,'VALOR POR PL'!$G$64,0)</f>
        <v/>
      </c>
      <c r="AB58" s="114">
        <f>IF(AB$1='VALOR POR PL'!$P$5,'VALOR POR PL'!$G$64,0)</f>
        <v/>
      </c>
      <c r="AC58" s="114">
        <f>IF(AC$1='VALOR POR PL'!$P$5,'VALOR POR PL'!$G$64,0)</f>
        <v/>
      </c>
      <c r="AD58" s="114">
        <f>IF(AD$1='VALOR POR PL'!$P$5,'VALOR POR PL'!$G$64,0)</f>
        <v/>
      </c>
      <c r="AE58" s="114">
        <f>IF(AE$1='VALOR POR PL'!$P$5,'VALOR POR PL'!$G$64,0)</f>
        <v/>
      </c>
      <c r="AF58" s="114">
        <f>IF(AF$1='VALOR POR PL'!$P$5,'VALOR POR PL'!$G$64,0)</f>
        <v/>
      </c>
      <c r="AG58" s="114">
        <f>IF(AG$1='VALOR POR PL'!$P$5,'VALOR POR PL'!$G$64,0)</f>
        <v/>
      </c>
      <c r="AH58" s="114">
        <f>IF(AH$1='VALOR POR PL'!$P$5,'VALOR POR PL'!$G$64,0)</f>
        <v/>
      </c>
      <c r="AI58" s="114">
        <f>IF(AI$1='VALOR POR PL'!$P$5,'VALOR POR PL'!$G$64,0)</f>
        <v/>
      </c>
      <c r="AJ58" s="114">
        <f>IF(AJ$1='VALOR POR PL'!$P$5,'VALOR POR PL'!$G$64,0)</f>
        <v/>
      </c>
      <c r="AK58" s="114">
        <f>IF(AK$1='VALOR POR PL'!$P$5,'VALOR POR PL'!$G$64,0)</f>
        <v/>
      </c>
      <c r="AL58" s="114">
        <f>IF(AL$1='VALOR POR PL'!$P$5,'VALOR POR PL'!$G$64,0)</f>
        <v/>
      </c>
      <c r="AM58" s="114">
        <f>IF(AM$1='VALOR POR PL'!$P$5,'VALOR POR PL'!$G$64,0)</f>
        <v/>
      </c>
      <c r="AN58" s="114">
        <f>IF(AN$1='VALOR POR PL'!$P$5,'VALOR POR PL'!$G$64,0)</f>
        <v/>
      </c>
      <c r="AO58" s="114">
        <f>IF(AO$1='VALOR POR PL'!$P$5,'VALOR POR PL'!$G$64,0)</f>
        <v/>
      </c>
      <c r="AP58" s="114">
        <f>IF(AP$1='VALOR POR PL'!$P$5,'VALOR POR PL'!$G$64,0)</f>
        <v/>
      </c>
      <c r="AQ58" s="114">
        <f>IF(AQ$1='VALOR POR PL'!$P$5,'VALOR POR PL'!$G$64,0)</f>
        <v/>
      </c>
      <c r="AR58" s="114">
        <f>IF(AR$1='VALOR POR PL'!$P$5,'VALOR POR PL'!$G$64,0)</f>
        <v/>
      </c>
      <c r="AS58" s="114">
        <f>IF(AS$1='VALOR POR PL'!$P$5,'VALOR POR PL'!$G$64,0)</f>
        <v/>
      </c>
      <c r="AT58" s="114">
        <f>IF(AT$1='VALOR POR PL'!$P$5,'VALOR POR PL'!$G$64,0)</f>
        <v/>
      </c>
      <c r="AU58" s="114">
        <f>IF(AU$1='VALOR POR PL'!$P$5,'VALOR POR PL'!$G$64,0)</f>
        <v/>
      </c>
      <c r="AV58" s="114">
        <f>IF(AV$1='VALOR POR PL'!$P$5,'VALOR POR PL'!$G$64,0)</f>
        <v/>
      </c>
      <c r="AW58" s="114">
        <f>IF(AW$1='VALOR POR PL'!$P$5,'VALOR POR PL'!$G$64,0)</f>
        <v/>
      </c>
      <c r="AX58" s="114">
        <f>IF(AX$1='VALOR POR PL'!$P$5,'VALOR POR PL'!$G$64,0)</f>
        <v/>
      </c>
      <c r="AY58" s="114">
        <f>IF(AY$1='VALOR POR PL'!$P$5,'VALOR POR PL'!$G$64,0)</f>
        <v/>
      </c>
      <c r="AZ58" s="114">
        <f>IF(AZ$1='VALOR POR PL'!$P$5,'VALOR POR PL'!$G$64,0)</f>
        <v/>
      </c>
      <c r="BA58" s="114">
        <f>IF(BA$1='VALOR POR PL'!$P$5,'VALOR POR PL'!$G$64,0)</f>
        <v/>
      </c>
      <c r="BB58" s="114">
        <f>IF(BB$1='VALOR POR PL'!$P$5,'VALOR POR PL'!$G$64,0)</f>
        <v/>
      </c>
      <c r="BC58" s="114">
        <f>IF(BC$1='VALOR POR PL'!$P$5,'VALOR POR PL'!$G$64,0)</f>
        <v/>
      </c>
      <c r="BD58" s="114">
        <f>IF(BD$1='VALOR POR PL'!$P$5,'VALOR POR PL'!$G$64,0)</f>
        <v/>
      </c>
      <c r="BE58" s="114">
        <f>IF(BE$1='VALOR POR PL'!$P$5,'VALOR POR PL'!$G$64,0)</f>
        <v/>
      </c>
      <c r="BF58" s="114">
        <f>IF(BF$1='VALOR POR PL'!$P$5,'VALOR POR PL'!$G$64,0)</f>
        <v/>
      </c>
      <c r="BG58" s="114">
        <f>IF(BG$1='VALOR POR PL'!$P$5,'VALOR POR PL'!$G$64,0)</f>
        <v/>
      </c>
      <c r="BH58" s="114">
        <f>IF(BH$1='VALOR POR PL'!$P$5,'VALOR POR PL'!$G$64,0)</f>
        <v/>
      </c>
      <c r="BI58" s="114">
        <f>IF(BI$1='VALOR POR PL'!$P$5,'VALOR POR PL'!$G$64,0)</f>
        <v/>
      </c>
      <c r="BJ58" s="114">
        <f>IF(BJ$1='VALOR POR PL'!$P$5,'VALOR POR PL'!$G$64,0)</f>
        <v/>
      </c>
      <c r="BK58" s="114">
        <f>IF(BK$1='VALOR POR PL'!$P$5,'VALOR POR PL'!$G$64,0)</f>
        <v/>
      </c>
      <c r="BL58" s="114">
        <f>IF(BL$1='VALOR POR PL'!$P$5,'VALOR POR PL'!$G$64,0)</f>
        <v/>
      </c>
      <c r="BM58" s="114">
        <f>IF(BM$1='VALOR POR PL'!$P$5,'VALOR POR PL'!$G$64,0)</f>
        <v/>
      </c>
      <c r="BN58" s="114">
        <f>IF(BN$1='VALOR POR PL'!$P$5,'VALOR POR PL'!$G$64,0)</f>
        <v/>
      </c>
      <c r="BO58" s="114">
        <f>IF(BO$1='VALOR POR PL'!$P$5,'VALOR POR PL'!$G$64,0)</f>
        <v/>
      </c>
      <c r="BP58" s="114">
        <f>IF(BP$1='VALOR POR PL'!$P$5,'VALOR POR PL'!$G$64,0)</f>
        <v/>
      </c>
      <c r="BQ58" s="114">
        <f>IF(BQ$1='VALOR POR PL'!$P$5,'VALOR POR PL'!$G$64,0)</f>
        <v/>
      </c>
      <c r="BR58" s="114">
        <f>IF(BR$1='VALOR POR PL'!$P$5,'VALOR POR PL'!$G$64,0)</f>
        <v/>
      </c>
      <c r="BS58" s="114">
        <f>IF(BS$1='VALOR POR PL'!$P$5,'VALOR POR PL'!$G$64,0)</f>
        <v/>
      </c>
      <c r="BT58" s="114">
        <f>IF(BT$1='VALOR POR PL'!$P$5,'VALOR POR PL'!$G$64,0)</f>
        <v/>
      </c>
      <c r="BU58" s="114">
        <f>IF(BU$1='VALOR POR PL'!$P$5,'VALOR POR PL'!$G$64,0)</f>
        <v/>
      </c>
      <c r="BV58" s="114">
        <f>IF(BV$1='VALOR POR PL'!$P$5,'VALOR POR PL'!$G$64,0)</f>
        <v/>
      </c>
      <c r="BW58" s="114">
        <f>IF(BW$1='VALOR POR PL'!$P$5,'VALOR POR PL'!$G$64,0)</f>
        <v/>
      </c>
      <c r="BX58" s="114">
        <f>IF(BX$1='VALOR POR PL'!$P$5,'VALOR POR PL'!$G$64,0)</f>
        <v/>
      </c>
      <c r="BY58" s="114">
        <f>IF(BY$1='VALOR POR PL'!$P$5,'VALOR POR PL'!$G$64,0)</f>
        <v/>
      </c>
      <c r="BZ58" s="114">
        <f>IF(BZ$1='VALOR POR PL'!$P$5,'VALOR POR PL'!$G$64,0)</f>
        <v/>
      </c>
      <c r="CA58" s="114">
        <f>IF(CA$1='VALOR POR PL'!$P$5,'VALOR POR PL'!$G$64,0)</f>
        <v/>
      </c>
    </row>
    <row r="59">
      <c r="A59" s="59" t="inlineStr">
        <is>
          <t>G041.002</t>
        </is>
      </c>
      <c r="B59" s="59" t="n"/>
      <c r="C59" s="115" t="inlineStr">
        <is>
          <t>CONTINGÊNCIA</t>
        </is>
      </c>
      <c r="D59" s="49" t="n"/>
      <c r="E59" s="49">
        <f>SUM(H59:CA59)</f>
        <v/>
      </c>
      <c r="F59" s="49">
        <f>IF(D59="","",D59-E59)</f>
        <v/>
      </c>
      <c r="H59" s="114">
        <f>IF(H$1=DATE(2030,6,1),MAX(0,'VALOR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I59" s="114">
        <f>IF(I$1=DATE(2030,6,1),MAX(0,'VALOR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J59" s="114">
        <f>IF(J$1=DATE(2030,6,1),MAX(0,'VALOR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K59" s="114">
        <f>IF(K$1=DATE(2030,6,1),MAX(0,'VALOR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L59" s="114">
        <f>IF(L$1=DATE(2030,6,1),MAX(0,'VALOR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M59" s="114">
        <f>IF(M$1=DATE(2030,6,1),MAX(0,'VALOR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N59" s="114">
        <f>IF(N$1=DATE(2030,6,1),MAX(0,'VALOR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O59" s="114">
        <f>IF(O$1=DATE(2030,6,1),MAX(0,'VALOR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P59" s="114">
        <f>IF(P$1=DATE(2030,6,1),MAX(0,'VALOR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Q59" s="114">
        <f>IF(Q$1=DATE(2030,6,1),MAX(0,'VALOR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R59" s="114">
        <f>IF(R$1=DATE(2030,6,1),MAX(0,'VALOR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S59" s="114">
        <f>IF(S$1=DATE(2030,6,1),MAX(0,'VALOR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T59" s="114">
        <f>IF(T$1=DATE(2030,6,1),MAX(0,'VALOR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U59" s="114">
        <f>IF(U$1=DATE(2030,6,1),MAX(0,'VALOR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V59" s="114">
        <f>IF(V$1=DATE(2030,6,1),MAX(0,'VALOR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W59" s="114">
        <f>IF(W$1=DATE(2030,6,1),MAX(0,'VALOR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X59" s="114">
        <f>IF(X$1=DATE(2030,6,1),MAX(0,'VALOR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Y59" s="114">
        <f>IF(Y$1=DATE(2030,6,1),MAX(0,'VALOR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Z59" s="114">
        <f>IF(Z$1=DATE(2030,6,1),MAX(0,'VALOR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A59" s="114">
        <f>IF(AA$1=DATE(2030,6,1),MAX(0,'VALOR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B59" s="114">
        <f>IF(AB$1=DATE(2030,6,1),MAX(0,'VALOR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C59" s="114">
        <f>IF(AC$1=DATE(2030,6,1),MAX(0,'VALOR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D59" s="114">
        <f>IF(AD$1=DATE(2030,6,1),MAX(0,'VALOR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E59" s="114">
        <f>IF(AE$1=DATE(2030,6,1),MAX(0,'VALOR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F59" s="114">
        <f>IF(AF$1=DATE(2030,6,1),MAX(0,'VALOR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G59" s="114">
        <f>IF(AG$1=DATE(2030,6,1),MAX(0,'VALOR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H59" s="114">
        <f>IF(AH$1=DATE(2030,6,1),MAX(0,'VALOR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I59" s="114">
        <f>IF(AI$1=DATE(2030,6,1),MAX(0,'VALOR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J59" s="114">
        <f>IF(AJ$1=DATE(2030,6,1),MAX(0,'VALOR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K59" s="114">
        <f>IF(AK$1=DATE(2030,6,1),MAX(0,'VALOR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L59" s="114">
        <f>IF(AL$1=DATE(2030,6,1),MAX(0,'VALOR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M59" s="114">
        <f>IF(AM$1=DATE(2030,6,1),MAX(0,'VALOR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N59" s="114">
        <f>IF(AN$1=DATE(2030,6,1),MAX(0,'VALOR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O59" s="114">
        <f>IF(AO$1=DATE(2030,6,1),MAX(0,'VALOR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P59" s="114">
        <f>IF(AP$1=DATE(2030,6,1),MAX(0,'VALOR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Q59" s="114">
        <f>IF(AQ$1=DATE(2030,6,1),MAX(0,'VALOR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R59" s="114">
        <f>IF(AR$1=DATE(2030,6,1),MAX(0,'VALOR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S59" s="114">
        <f>IF(AS$1=DATE(2030,6,1),MAX(0,'VALOR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T59" s="114">
        <f>IF(AT$1=DATE(2030,6,1),MAX(0,'VALOR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U59" s="114">
        <f>IF(AU$1=DATE(2030,6,1),MAX(0,'VALOR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V59" s="114">
        <f>IF(AV$1=DATE(2030,6,1),MAX(0,'VALOR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W59" s="114">
        <f>IF(AW$1=DATE(2030,6,1),MAX(0,'VALOR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X59" s="114">
        <f>IF(AX$1=DATE(2030,6,1),MAX(0,'VALOR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Y59" s="114">
        <f>IF(AY$1=DATE(2030,6,1),MAX(0,'VALOR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AZ59" s="114">
        <f>IF(AZ$1=DATE(2030,6,1),MAX(0,'VALOR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A59" s="114">
        <f>IF(BA$1=DATE(2030,6,1),MAX(0,'VALOR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B59" s="114">
        <f>IF(BB$1=DATE(2030,6,1),MAX(0,'VALOR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C59" s="114">
        <f>IF(BC$1=DATE(2030,6,1),MAX(0,'VALOR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D59" s="114">
        <f>IF(BD$1=DATE(2030,6,1),MAX(0,'VALOR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E59" s="114">
        <f>IF(BE$1=DATE(2030,6,1),MAX(0,'VALOR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F59" s="114">
        <f>IF(BF$1=DATE(2030,6,1),MAX(0,'VALOR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G59" s="114">
        <f>IF(BG$1=DATE(2030,6,1),MAX(0,'VALOR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H59" s="114">
        <f>IF(BH$1=DATE(2030,6,1),MAX(0,'VALOR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I59" s="114">
        <f>IF(BI$1=DATE(2030,6,1),MAX(0,'VALOR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J59" s="114">
        <f>IF(BJ$1=DATE(2030,6,1),MAX(0,'VALOR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K59" s="114">
        <f>IF(BK$1=DATE(2030,6,1),MAX(0,'VALOR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L59" s="114">
        <f>IF(BL$1=DATE(2030,6,1),MAX(0,'VALOR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M59" s="114">
        <f>IF(BM$1=DATE(2030,6,1),MAX(0,'VALOR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N59" s="114">
        <f>IF(BN$1=DATE(2030,6,1),MAX(0,'VALOR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O59" s="114">
        <f>IF(BO$1=DATE(2030,6,1),MAX(0,'VALOR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P59" s="114">
        <f>IF(BP$1=DATE(2030,6,1),MAX(0,'VALOR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Q59" s="114">
        <f>IF(BQ$1=DATE(2030,6,1),MAX(0,'VALOR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R59" s="114">
        <f>IF(BR$1=DATE(2030,6,1),MAX(0,'VALOR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S59" s="114">
        <f>IF(BS$1=DATE(2030,6,1),MAX(0,'VALOR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T59" s="114">
        <f>IF(BT$1=DATE(2030,6,1),MAX(0,'VALOR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U59" s="114">
        <f>IF(BU$1=DATE(2030,6,1),MAX(0,'VALOR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V59" s="114">
        <f>IF(BV$1=DATE(2030,6,1),MAX(0,'VALOR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W59" s="114">
        <f>IF(BW$1=DATE(2030,6,1),MAX(0,'VALOR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X59" s="114">
        <f>IF(BX$1=DATE(2030,6,1),MAX(0,'VALOR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Y59" s="114">
        <f>IF(BY$1=DATE(2030,6,1),MAX(0,'VALOR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BZ59" s="114">
        <f>IF(BZ$1=DATE(2030,6,1),MAX(0,'VALOR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  <c r="CA59" s="114">
        <f>IF(CA$1=DATE(2030,6,1),MAX(0,'VALOR POR PL'!$G$50-('PROJETO'!$E$78+'SEGUROS'!$E$78+'TAX. DIVERSAS'!$E$78+'BARRACÃO DE OBRA'!$E$78+'LIG. PROVISÓRIAS'!$E$78+'CONSUMOS'!$E$78+'DIVERSOS'!$E$78+'TRANSPORTES'!$E$78+'CONSULTORIAS'!$E$78+'MDO'!$E$78+'EQUIP E FER'!$E$78+'SERV. INICIAIS'!$E$78+'CONTENÇÃO'!$E$78+'TERRAPLENAGEM'!$E$78+'FUND. PROF'!$E$78+'FUND. SUP'!$E$78+'ESTRUTURA'!$E$78+'ALVENARIA'!$E$78+'IMPERMEABILIZAÇÃO'!$E$78+'INST. ELÉTRICA'!$E$78+'INST. HIDRO'!$E$78+'INST. INC'!$E$78+'INST. ESP'!$E$78+'ELEVADORES '!$E$78+'ESQUADRIAS'!$E$78+'SERRALHERIA'!$E$78+'MARCENARIA'!$E$78+'REV. PISOS'!$E$78+'REV. PAREDE'!$E$78+'REV. ACAB'!$E$78+'PAVIMENTAÇÃO'!$E$78+'REV. FACHADA'!$E$78+'FORRO'!$E$78+'LOUÇAS'!$E$78+'PINTURA'!$E$78+'PAISAGISMO'!$E$78+'LIMPEZA'!$E$78+'TAX. ADM'!$E$78)-'VALOR POR PL'!$G$64),0)</f>
        <v/>
      </c>
    </row>
    <row r="61">
      <c r="C61" s="46" t="inlineStr">
        <is>
          <t>SOMA SEM TAXA DE ADM. (INCC)</t>
        </is>
      </c>
      <c r="D61" s="65">
        <f>SUM(D2:D59)-D43</f>
        <v/>
      </c>
      <c r="E61" s="65">
        <f>SUM(E2:E59)-E43</f>
        <v/>
      </c>
      <c r="H61" s="65">
        <f>SUM(H2:H59)-H43</f>
        <v/>
      </c>
      <c r="I61" s="65">
        <f>SUM(I2:I59)-I43</f>
        <v/>
      </c>
      <c r="J61" s="65">
        <f>SUM(J2:J59)-J43</f>
        <v/>
      </c>
      <c r="K61" s="65">
        <f>SUM(K2:K59)-K43</f>
        <v/>
      </c>
      <c r="L61" s="65">
        <f>SUM(L2:L59)-L43</f>
        <v/>
      </c>
      <c r="M61" s="65">
        <f>SUM(M2:M59)-M43</f>
        <v/>
      </c>
      <c r="N61" s="65">
        <f>SUM(N2:N59)-N43</f>
        <v/>
      </c>
      <c r="O61" s="65">
        <f>SUM(O2:O59)-O43</f>
        <v/>
      </c>
      <c r="P61" s="65">
        <f>SUM(P2:P59)-P43</f>
        <v/>
      </c>
      <c r="Q61" s="65">
        <f>SUM(Q2:Q59)-Q43</f>
        <v/>
      </c>
      <c r="R61" s="65">
        <f>SUM(R2:R59)-R43</f>
        <v/>
      </c>
      <c r="S61" s="65">
        <f>SUM(S2:S59)-S43</f>
        <v/>
      </c>
      <c r="T61" s="65">
        <f>SUM(T2:T59)-T43</f>
        <v/>
      </c>
      <c r="U61" s="65">
        <f>SUM(U2:U59)-U43</f>
        <v/>
      </c>
      <c r="V61" s="65">
        <f>SUM(V2:V59)-V43</f>
        <v/>
      </c>
      <c r="W61" s="65">
        <f>SUM(W2:W59)-W43</f>
        <v/>
      </c>
      <c r="X61" s="65">
        <f>SUM(X2:X59)-X43</f>
        <v/>
      </c>
      <c r="Y61" s="65">
        <f>SUM(Y2:Y59)-Y43</f>
        <v/>
      </c>
      <c r="Z61" s="65">
        <f>SUM(Z2:Z59)-Z43</f>
        <v/>
      </c>
      <c r="AA61" s="65">
        <f>SUM(AA2:AA59)-AA43</f>
        <v/>
      </c>
      <c r="AB61" s="65">
        <f>SUM(AB2:AB59)-AB43</f>
        <v/>
      </c>
      <c r="AC61" s="65">
        <f>SUM(AC2:AC59)-AC43</f>
        <v/>
      </c>
      <c r="AD61" s="65">
        <f>SUM(AD2:AD59)-AD43</f>
        <v/>
      </c>
      <c r="AE61" s="65">
        <f>SUM(AE2:AE59)-AE43</f>
        <v/>
      </c>
      <c r="AF61" s="65">
        <f>SUM(AF2:AF59)-AF43</f>
        <v/>
      </c>
      <c r="AG61" s="65">
        <f>SUM(AG2:AG59)-AG43</f>
        <v/>
      </c>
      <c r="AH61" s="65">
        <f>SUM(AH2:AH59)-AH43</f>
        <v/>
      </c>
      <c r="AI61" s="65">
        <f>SUM(AI2:AI59)-AI43</f>
        <v/>
      </c>
      <c r="AJ61" s="65">
        <f>SUM(AJ2:AJ59)-AJ43</f>
        <v/>
      </c>
      <c r="AK61" s="65">
        <f>SUM(AK2:AK59)-AK43</f>
        <v/>
      </c>
      <c r="AL61" s="65">
        <f>SUM(AL2:AL59)-AL43</f>
        <v/>
      </c>
      <c r="AM61" s="65">
        <f>SUM(AM2:AM59)-AM43</f>
        <v/>
      </c>
      <c r="AN61" s="65">
        <f>SUM(AN2:AN59)-AN43</f>
        <v/>
      </c>
      <c r="AO61" s="65">
        <f>SUM(AO2:AO59)-AO43</f>
        <v/>
      </c>
      <c r="AP61" s="65">
        <f>SUM(AP2:AP59)-AP43</f>
        <v/>
      </c>
      <c r="AQ61" s="65">
        <f>SUM(AQ2:AQ59)-AQ43</f>
        <v/>
      </c>
      <c r="AR61" s="65">
        <f>SUM(AR2:AR59)-AR43</f>
        <v/>
      </c>
      <c r="AS61" s="65">
        <f>SUM(AS2:AS59)-AS43</f>
        <v/>
      </c>
      <c r="AT61" s="65">
        <f>SUM(AT2:AT59)-AT43</f>
        <v/>
      </c>
      <c r="AU61" s="65">
        <f>SUM(AU2:AU59)-AU43</f>
        <v/>
      </c>
      <c r="AV61" s="65">
        <f>SUM(AV2:AV59)-AV43</f>
        <v/>
      </c>
      <c r="AW61" s="65">
        <f>SUM(AW2:AW59)-AW43</f>
        <v/>
      </c>
      <c r="AX61" s="65">
        <f>SUM(AX2:AX59)-AX43</f>
        <v/>
      </c>
      <c r="AY61" s="65">
        <f>SUM(AY2:AY59)-AY43</f>
        <v/>
      </c>
      <c r="AZ61" s="65">
        <f>SUM(AZ2:AZ59)-AZ43</f>
        <v/>
      </c>
      <c r="BA61" s="65">
        <f>SUM(BA2:BA59)-BA43</f>
        <v/>
      </c>
      <c r="BB61" s="65">
        <f>SUM(BB2:BB59)-BB43</f>
        <v/>
      </c>
      <c r="BC61" s="65">
        <f>SUM(BC2:BC59)-BC43</f>
        <v/>
      </c>
      <c r="BD61" s="65">
        <f>SUM(BD2:BD59)-BD43</f>
        <v/>
      </c>
      <c r="BE61" s="65">
        <f>SUM(BE2:BE59)-BE43</f>
        <v/>
      </c>
      <c r="BF61" s="65">
        <f>SUM(BF2:BF59)-BF43</f>
        <v/>
      </c>
      <c r="BG61" s="65">
        <f>SUM(BG2:BG59)-BG43</f>
        <v/>
      </c>
      <c r="BH61" s="65">
        <f>SUM(BH2:BH59)-BH43</f>
        <v/>
      </c>
      <c r="BI61" s="65">
        <f>SUM(BI2:BI59)-BI43</f>
        <v/>
      </c>
      <c r="BJ61" s="65">
        <f>SUM(BJ2:BJ59)-BJ43</f>
        <v/>
      </c>
      <c r="BK61" s="65">
        <f>SUM(BK2:BK59)-BK43</f>
        <v/>
      </c>
      <c r="BL61" s="65">
        <f>SUM(BL2:BL59)-BL43</f>
        <v/>
      </c>
      <c r="BM61" s="65">
        <f>SUM(BM2:BM59)-BM43</f>
        <v/>
      </c>
      <c r="BN61" s="65">
        <f>SUM(BN2:BN59)-BN43</f>
        <v/>
      </c>
      <c r="BO61" s="65">
        <f>SUM(BO2:BO59)-BO43</f>
        <v/>
      </c>
      <c r="BP61" s="65">
        <f>SUM(BP2:BP59)-BP43</f>
        <v/>
      </c>
      <c r="BQ61" s="65">
        <f>SUM(BQ2:BQ59)-BQ43</f>
        <v/>
      </c>
      <c r="BR61" s="65">
        <f>SUM(BR2:BR59)-BR43</f>
        <v/>
      </c>
      <c r="BS61" s="65">
        <f>SUM(BS2:BS59)-BS43</f>
        <v/>
      </c>
      <c r="BT61" s="65">
        <f>SUM(BT2:BT59)-BT43</f>
        <v/>
      </c>
      <c r="BU61" s="65">
        <f>SUM(BU2:BU59)-BU43</f>
        <v/>
      </c>
      <c r="BV61" s="65">
        <f>SUM(BV2:BV59)-BV43</f>
        <v/>
      </c>
      <c r="BW61" s="65">
        <f>SUM(BW2:BW59)-BW43</f>
        <v/>
      </c>
      <c r="BX61" s="65">
        <f>SUM(BX2:BX59)-BX43</f>
        <v/>
      </c>
      <c r="BY61" s="65">
        <f>SUM(BY2:BY59)-BY43</f>
        <v/>
      </c>
      <c r="BZ61" s="65">
        <f>SUM(BZ2:BZ59)-BZ43</f>
        <v/>
      </c>
      <c r="CA61" s="65">
        <f>SUM(CA2:CA59)-CA43</f>
        <v/>
      </c>
    </row>
    <row r="62">
      <c r="C62" s="46" t="inlineStr">
        <is>
          <t>TAXA DE ADMINISTRAÇÃO (INCC)</t>
        </is>
      </c>
      <c r="D62" s="65">
        <f>D43</f>
        <v/>
      </c>
      <c r="E62" s="65">
        <f>E43</f>
        <v/>
      </c>
      <c r="H62" s="65">
        <f>H43</f>
        <v/>
      </c>
      <c r="I62" s="65">
        <f>I43</f>
        <v/>
      </c>
      <c r="J62" s="65">
        <f>J43</f>
        <v/>
      </c>
      <c r="K62" s="65">
        <f>K43</f>
        <v/>
      </c>
      <c r="L62" s="65">
        <f>L43</f>
        <v/>
      </c>
      <c r="M62" s="65">
        <f>M43</f>
        <v/>
      </c>
      <c r="N62" s="65">
        <f>N43</f>
        <v/>
      </c>
      <c r="O62" s="65">
        <f>O43</f>
        <v/>
      </c>
      <c r="P62" s="65">
        <f>P43</f>
        <v/>
      </c>
      <c r="Q62" s="65">
        <f>Q43</f>
        <v/>
      </c>
      <c r="R62" s="65">
        <f>R43</f>
        <v/>
      </c>
      <c r="S62" s="65">
        <f>S43</f>
        <v/>
      </c>
      <c r="T62" s="65">
        <f>T43</f>
        <v/>
      </c>
      <c r="U62" s="65">
        <f>U43</f>
        <v/>
      </c>
      <c r="V62" s="65">
        <f>V43</f>
        <v/>
      </c>
      <c r="W62" s="65">
        <f>W43</f>
        <v/>
      </c>
      <c r="X62" s="65">
        <f>X43</f>
        <v/>
      </c>
      <c r="Y62" s="65">
        <f>Y43</f>
        <v/>
      </c>
      <c r="Z62" s="65">
        <f>Z43</f>
        <v/>
      </c>
      <c r="AA62" s="65">
        <f>AA43</f>
        <v/>
      </c>
      <c r="AB62" s="65">
        <f>AB43</f>
        <v/>
      </c>
      <c r="AC62" s="65">
        <f>AC43</f>
        <v/>
      </c>
      <c r="AD62" s="65">
        <f>AD43</f>
        <v/>
      </c>
      <c r="AE62" s="65">
        <f>AE43</f>
        <v/>
      </c>
      <c r="AF62" s="65">
        <f>AF43</f>
        <v/>
      </c>
      <c r="AG62" s="65">
        <f>AG43</f>
        <v/>
      </c>
      <c r="AH62" s="65">
        <f>AH43</f>
        <v/>
      </c>
      <c r="AI62" s="65">
        <f>AI43</f>
        <v/>
      </c>
      <c r="AJ62" s="65">
        <f>AJ43</f>
        <v/>
      </c>
      <c r="AK62" s="65">
        <f>AK43</f>
        <v/>
      </c>
      <c r="AL62" s="65">
        <f>AL43</f>
        <v/>
      </c>
      <c r="AM62" s="65">
        <f>AM43</f>
        <v/>
      </c>
      <c r="AN62" s="65">
        <f>AN43</f>
        <v/>
      </c>
      <c r="AO62" s="65">
        <f>AO43</f>
        <v/>
      </c>
      <c r="AP62" s="65">
        <f>AP43</f>
        <v/>
      </c>
      <c r="AQ62" s="65">
        <f>AQ43</f>
        <v/>
      </c>
      <c r="AR62" s="65">
        <f>AR43</f>
        <v/>
      </c>
      <c r="AS62" s="65">
        <f>AS43</f>
        <v/>
      </c>
      <c r="AT62" s="65">
        <f>AT43</f>
        <v/>
      </c>
      <c r="AU62" s="65">
        <f>AU43</f>
        <v/>
      </c>
      <c r="AV62" s="65">
        <f>AV43</f>
        <v/>
      </c>
      <c r="AW62" s="65">
        <f>AW43</f>
        <v/>
      </c>
      <c r="AX62" s="65">
        <f>AX43</f>
        <v/>
      </c>
      <c r="AY62" s="65">
        <f>AY43</f>
        <v/>
      </c>
      <c r="AZ62" s="65">
        <f>AZ43</f>
        <v/>
      </c>
      <c r="BA62" s="65">
        <f>BA43</f>
        <v/>
      </c>
      <c r="BB62" s="65">
        <f>BB43</f>
        <v/>
      </c>
      <c r="BC62" s="65">
        <f>BC43</f>
        <v/>
      </c>
      <c r="BD62" s="65">
        <f>BD43</f>
        <v/>
      </c>
      <c r="BE62" s="65">
        <f>BE43</f>
        <v/>
      </c>
      <c r="BF62" s="65">
        <f>BF43</f>
        <v/>
      </c>
      <c r="BG62" s="65">
        <f>BG43</f>
        <v/>
      </c>
      <c r="BH62" s="65">
        <f>BH43</f>
        <v/>
      </c>
      <c r="BI62" s="65">
        <f>BI43</f>
        <v/>
      </c>
      <c r="BJ62" s="65">
        <f>BJ43</f>
        <v/>
      </c>
      <c r="BK62" s="65">
        <f>BK43</f>
        <v/>
      </c>
      <c r="BL62" s="65">
        <f>BL43</f>
        <v/>
      </c>
      <c r="BM62" s="65">
        <f>BM43</f>
        <v/>
      </c>
      <c r="BN62" s="65">
        <f>BN43</f>
        <v/>
      </c>
      <c r="BO62" s="65">
        <f>BO43</f>
        <v/>
      </c>
      <c r="BP62" s="65">
        <f>BP43</f>
        <v/>
      </c>
      <c r="BQ62" s="65">
        <f>BQ43</f>
        <v/>
      </c>
      <c r="BR62" s="65">
        <f>BR43</f>
        <v/>
      </c>
      <c r="BS62" s="65">
        <f>BS43</f>
        <v/>
      </c>
      <c r="BT62" s="65">
        <f>BT43</f>
        <v/>
      </c>
      <c r="BU62" s="65">
        <f>BU43</f>
        <v/>
      </c>
      <c r="BV62" s="65">
        <f>BV43</f>
        <v/>
      </c>
      <c r="BW62" s="65">
        <f>BW43</f>
        <v/>
      </c>
      <c r="BX62" s="65">
        <f>BX43</f>
        <v/>
      </c>
      <c r="BY62" s="65">
        <f>BY43</f>
        <v/>
      </c>
      <c r="BZ62" s="65">
        <f>BZ43</f>
        <v/>
      </c>
      <c r="CA62" s="65">
        <f>CA43</f>
        <v/>
      </c>
    </row>
    <row r="63">
      <c r="C63" s="46" t="inlineStr">
        <is>
          <t>TOTAL (INCC)</t>
        </is>
      </c>
      <c r="D63" s="65">
        <f>D61+D62</f>
        <v/>
      </c>
      <c r="E63" s="65">
        <f>E61+E62</f>
        <v/>
      </c>
      <c r="H63" s="65">
        <f>H61+H62</f>
        <v/>
      </c>
      <c r="I63" s="65">
        <f>I61+I62</f>
        <v/>
      </c>
      <c r="J63" s="65">
        <f>J61+J62</f>
        <v/>
      </c>
      <c r="K63" s="65">
        <f>K61+K62</f>
        <v/>
      </c>
      <c r="L63" s="65">
        <f>L61+L62</f>
        <v/>
      </c>
      <c r="M63" s="65">
        <f>M61+M62</f>
        <v/>
      </c>
      <c r="N63" s="65">
        <f>N61+N62</f>
        <v/>
      </c>
      <c r="O63" s="65">
        <f>O61+O62</f>
        <v/>
      </c>
      <c r="P63" s="65">
        <f>P61+P62</f>
        <v/>
      </c>
      <c r="Q63" s="65">
        <f>Q61+Q62</f>
        <v/>
      </c>
      <c r="R63" s="65">
        <f>R61+R62</f>
        <v/>
      </c>
      <c r="S63" s="65">
        <f>S61+S62</f>
        <v/>
      </c>
      <c r="T63" s="65">
        <f>T61+T62</f>
        <v/>
      </c>
      <c r="U63" s="65">
        <f>U61+U62</f>
        <v/>
      </c>
      <c r="V63" s="65">
        <f>V61+V62</f>
        <v/>
      </c>
      <c r="W63" s="65">
        <f>W61+W62</f>
        <v/>
      </c>
      <c r="X63" s="65">
        <f>X61+X62</f>
        <v/>
      </c>
      <c r="Y63" s="65">
        <f>Y61+Y62</f>
        <v/>
      </c>
      <c r="Z63" s="65">
        <f>Z61+Z62</f>
        <v/>
      </c>
      <c r="AA63" s="65">
        <f>AA61+AA62</f>
        <v/>
      </c>
      <c r="AB63" s="65">
        <f>AB61+AB62</f>
        <v/>
      </c>
      <c r="AC63" s="65">
        <f>AC61+AC62</f>
        <v/>
      </c>
      <c r="AD63" s="65">
        <f>AD61+AD62</f>
        <v/>
      </c>
      <c r="AE63" s="65">
        <f>AE61+AE62</f>
        <v/>
      </c>
      <c r="AF63" s="65">
        <f>AF61+AF62</f>
        <v/>
      </c>
      <c r="AG63" s="65">
        <f>AG61+AG62</f>
        <v/>
      </c>
      <c r="AH63" s="65">
        <f>AH61+AH62</f>
        <v/>
      </c>
      <c r="AI63" s="65">
        <f>AI61+AI62</f>
        <v/>
      </c>
      <c r="AJ63" s="65">
        <f>AJ61+AJ62</f>
        <v/>
      </c>
      <c r="AK63" s="65">
        <f>AK61+AK62</f>
        <v/>
      </c>
      <c r="AL63" s="65">
        <f>AL61+AL62</f>
        <v/>
      </c>
      <c r="AM63" s="65">
        <f>AM61+AM62</f>
        <v/>
      </c>
      <c r="AN63" s="65">
        <f>AN61+AN62</f>
        <v/>
      </c>
      <c r="AO63" s="65">
        <f>AO61+AO62</f>
        <v/>
      </c>
      <c r="AP63" s="65">
        <f>AP61+AP62</f>
        <v/>
      </c>
      <c r="AQ63" s="65">
        <f>AQ61+AQ62</f>
        <v/>
      </c>
      <c r="AR63" s="65">
        <f>AR61+AR62</f>
        <v/>
      </c>
      <c r="AS63" s="65">
        <f>AS61+AS62</f>
        <v/>
      </c>
      <c r="AT63" s="65">
        <f>AT61+AT62</f>
        <v/>
      </c>
      <c r="AU63" s="65">
        <f>AU61+AU62</f>
        <v/>
      </c>
      <c r="AV63" s="65">
        <f>AV61+AV62</f>
        <v/>
      </c>
      <c r="AW63" s="65">
        <f>AW61+AW62</f>
        <v/>
      </c>
      <c r="AX63" s="65">
        <f>AX61+AX62</f>
        <v/>
      </c>
      <c r="AY63" s="65">
        <f>AY61+AY62</f>
        <v/>
      </c>
      <c r="AZ63" s="65">
        <f>AZ61+AZ62</f>
        <v/>
      </c>
      <c r="BA63" s="65">
        <f>BA61+BA62</f>
        <v/>
      </c>
      <c r="BB63" s="65">
        <f>BB61+BB62</f>
        <v/>
      </c>
      <c r="BC63" s="65">
        <f>BC61+BC62</f>
        <v/>
      </c>
      <c r="BD63" s="65">
        <f>BD61+BD62</f>
        <v/>
      </c>
      <c r="BE63" s="65">
        <f>BE61+BE62</f>
        <v/>
      </c>
      <c r="BF63" s="65">
        <f>BF61+BF62</f>
        <v/>
      </c>
      <c r="BG63" s="65">
        <f>BG61+BG62</f>
        <v/>
      </c>
      <c r="BH63" s="65">
        <f>BH61+BH62</f>
        <v/>
      </c>
      <c r="BI63" s="65">
        <f>BI61+BI62</f>
        <v/>
      </c>
      <c r="BJ63" s="65">
        <f>BJ61+BJ62</f>
        <v/>
      </c>
      <c r="BK63" s="65">
        <f>BK61+BK62</f>
        <v/>
      </c>
      <c r="BL63" s="65">
        <f>BL61+BL62</f>
        <v/>
      </c>
      <c r="BM63" s="65">
        <f>BM61+BM62</f>
        <v/>
      </c>
      <c r="BN63" s="65">
        <f>BN61+BN62</f>
        <v/>
      </c>
      <c r="BO63" s="65">
        <f>BO61+BO62</f>
        <v/>
      </c>
      <c r="BP63" s="65">
        <f>BP61+BP62</f>
        <v/>
      </c>
      <c r="BQ63" s="65">
        <f>BQ61+BQ62</f>
        <v/>
      </c>
      <c r="BR63" s="65">
        <f>BR61+BR62</f>
        <v/>
      </c>
      <c r="BS63" s="65">
        <f>BS61+BS62</f>
        <v/>
      </c>
      <c r="BT63" s="65">
        <f>BT61+BT62</f>
        <v/>
      </c>
      <c r="BU63" s="65">
        <f>BU61+BU62</f>
        <v/>
      </c>
      <c r="BV63" s="65">
        <f>BV61+BV62</f>
        <v/>
      </c>
      <c r="BW63" s="65">
        <f>BW61+BW62</f>
        <v/>
      </c>
      <c r="BX63" s="65">
        <f>BX61+BX62</f>
        <v/>
      </c>
      <c r="BY63" s="65">
        <f>BY61+BY62</f>
        <v/>
      </c>
      <c r="BZ63" s="65">
        <f>BZ61+BZ62</f>
        <v/>
      </c>
      <c r="CA63" s="65">
        <f>CA61+CA62</f>
        <v/>
      </c>
    </row>
    <row r="64">
      <c r="C64" s="61">
        <f>"INCORRIDO ATÉ -&gt; "&amp;TEXT('VALOR POR PL'!$P$5,"mm/aaaa")</f>
        <v/>
      </c>
    </row>
    <row r="65">
      <c r="C65" s="46" t="inlineStr">
        <is>
          <t>CURVA MENSAL (R$ nominal)</t>
        </is>
      </c>
      <c r="E65" s="116">
        <f>SUM(H65:CA65)</f>
        <v/>
      </c>
      <c r="H65" s="54">
        <f>'PROJETO'!C5+'PROJETO'!D5+'SEGUROS'!C5+'SEGUROS'!D5+'TAX. DIVERSAS'!C5+'TAX. DIVERSAS'!D5+'BARRACÃO DE OBRA'!C5+'BARRACÃO DE OBRA'!D5+'LIG. PROVISÓRIAS'!C5+'LIG. PROVISÓRIAS'!D5+'CONSUMOS'!C5+'CONSUMOS'!D5+'DIVERSOS'!C5+'DIVERSOS'!D5+'TRANSPORTES'!C5+'TRANSPORTES'!D5+'CONSULTORIAS'!C5+'CONSULTORIAS'!D5+'MDO'!C5+'MDO'!D5+'EQUIP E FER'!C5+'EQUIP E FER'!D5+'SERV. INICIAIS'!C5+'SERV. INICIAIS'!D5+'CONTENÇÃO'!C5+'CONTENÇÃO'!D5+'TERRAPLENAGEM'!C5+'TERRAPLENAGEM'!D5+'FUND. PROF'!C5+'FUND. PROF'!D5+'FUND. SUP'!C5+'FUND. SUP'!D5+'ESTRUTURA'!C5+'ESTRUTURA'!D5+'ALVENARIA'!C5+'ALVENARIA'!D5+'IMPERMEABILIZAÇÃO'!C5+'IMPERMEABILIZAÇÃO'!D5+'INST. ELÉTRICA'!C5+'INST. ELÉTRICA'!D5+'INST. HIDRO'!C5+'INST. HIDRO'!D5+'INST. INC'!C5+'INST. INC'!D5+'INST. ESP'!C5+'INST. ESP'!D5+'ELEVADORES '!C5+'ELEVADORES '!D5+'ESQUADRIAS'!C5+'ESQUADRIAS'!D5+'SERRALHERIA'!C5+'SERRALHERIA'!D5+'MARCENARIA'!C5+'MARCENARIA'!D5+'REV. PISOS'!C5+'REV. PISOS'!D5+'REV. PAREDE'!C5+'REV. PAREDE'!D5+'REV. ACAB'!C5+'REV. ACAB'!D5+'PAVIMENTAÇÃO'!C5+'PAVIMENTAÇÃO'!D5+'REV. FACHADA'!C5+'REV. FACHADA'!D5+'FORRO'!C5+'FORRO'!D5+'LOUÇAS'!C5+'LOUÇAS'!D5+'PINTURA'!C5+'PINTURA'!D5+'PAISAGISMO'!C5+'PAISAGISMO'!D5+'LIMPEZA'!C5+'LIMPEZA'!D5+'TAX. ADM'!C5+'TAX. ADM'!D5+H59*'VALOR POR PL'!$P$7+IF(H$1='VALOR POR PL'!$P$5,'VALOR POR PL'!$G$63,0)</f>
        <v/>
      </c>
      <c r="I65" s="54">
        <f>'PROJETO'!C6+'PROJETO'!D6+'SEGUROS'!C6+'SEGUROS'!D6+'TAX. DIVERSAS'!C6+'TAX. DIVERSAS'!D6+'BARRACÃO DE OBRA'!C6+'BARRACÃO DE OBRA'!D6+'LIG. PROVISÓRIAS'!C6+'LIG. PROVISÓRIAS'!D6+'CONSUMOS'!C6+'CONSUMOS'!D6+'DIVERSOS'!C6+'DIVERSOS'!D6+'TRANSPORTES'!C6+'TRANSPORTES'!D6+'CONSULTORIAS'!C6+'CONSULTORIAS'!D6+'MDO'!C6+'MDO'!D6+'EQUIP E FER'!C6+'EQUIP E FER'!D6+'SERV. INICIAIS'!C6+'SERV. INICIAIS'!D6+'CONTENÇÃO'!C6+'CONTENÇÃO'!D6+'TERRAPLENAGEM'!C6+'TERRAPLENAGEM'!D6+'FUND. PROF'!C6+'FUND. PROF'!D6+'FUND. SUP'!C6+'FUND. SUP'!D6+'ESTRUTURA'!C6+'ESTRUTURA'!D6+'ALVENARIA'!C6+'ALVENARIA'!D6+'IMPERMEABILIZAÇÃO'!C6+'IMPERMEABILIZAÇÃO'!D6+'INST. ELÉTRICA'!C6+'INST. ELÉTRICA'!D6+'INST. HIDRO'!C6+'INST. HIDRO'!D6+'INST. INC'!C6+'INST. INC'!D6+'INST. ESP'!C6+'INST. ESP'!D6+'ELEVADORES '!C6+'ELEVADORES '!D6+'ESQUADRIAS'!C6+'ESQUADRIAS'!D6+'SERRALHERIA'!C6+'SERRALHERIA'!D6+'MARCENARIA'!C6+'MARCENARIA'!D6+'REV. PISOS'!C6+'REV. PISOS'!D6+'REV. PAREDE'!C6+'REV. PAREDE'!D6+'REV. ACAB'!C6+'REV. ACAB'!D6+'PAVIMENTAÇÃO'!C6+'PAVIMENTAÇÃO'!D6+'REV. FACHADA'!C6+'REV. FACHADA'!D6+'FORRO'!C6+'FORRO'!D6+'LOUÇAS'!C6+'LOUÇAS'!D6+'PINTURA'!C6+'PINTURA'!D6+'PAISAGISMO'!C6+'PAISAGISMO'!D6+'LIMPEZA'!C6+'LIMPEZA'!D6+'TAX. ADM'!C6+'TAX. ADM'!D6+I59*'VALOR POR PL'!$P$7+IF(I$1='VALOR POR PL'!$P$5,'VALOR POR PL'!$G$63,0)</f>
        <v/>
      </c>
      <c r="J65" s="54">
        <f>'PROJETO'!C7+'PROJETO'!D7+'SEGUROS'!C7+'SEGUROS'!D7+'TAX. DIVERSAS'!C7+'TAX. DIVERSAS'!D7+'BARRACÃO DE OBRA'!C7+'BARRACÃO DE OBRA'!D7+'LIG. PROVISÓRIAS'!C7+'LIG. PROVISÓRIAS'!D7+'CONSUMOS'!C7+'CONSUMOS'!D7+'DIVERSOS'!C7+'DIVERSOS'!D7+'TRANSPORTES'!C7+'TRANSPORTES'!D7+'CONSULTORIAS'!C7+'CONSULTORIAS'!D7+'MDO'!C7+'MDO'!D7+'EQUIP E FER'!C7+'EQUIP E FER'!D7+'SERV. INICIAIS'!C7+'SERV. INICIAIS'!D7+'CONTENÇÃO'!C7+'CONTENÇÃO'!D7+'TERRAPLENAGEM'!C7+'TERRAPLENAGEM'!D7+'FUND. PROF'!C7+'FUND. PROF'!D7+'FUND. SUP'!C7+'FUND. SUP'!D7+'ESTRUTURA'!C7+'ESTRUTURA'!D7+'ALVENARIA'!C7+'ALVENARIA'!D7+'IMPERMEABILIZAÇÃO'!C7+'IMPERMEABILIZAÇÃO'!D7+'INST. ELÉTRICA'!C7+'INST. ELÉTRICA'!D7+'INST. HIDRO'!C7+'INST. HIDRO'!D7+'INST. INC'!C7+'INST. INC'!D7+'INST. ESP'!C7+'INST. ESP'!D7+'ELEVADORES '!C7+'ELEVADORES '!D7+'ESQUADRIAS'!C7+'ESQUADRIAS'!D7+'SERRALHERIA'!C7+'SERRALHERIA'!D7+'MARCENARIA'!C7+'MARCENARIA'!D7+'REV. PISOS'!C7+'REV. PISOS'!D7+'REV. PAREDE'!C7+'REV. PAREDE'!D7+'REV. ACAB'!C7+'REV. ACAB'!D7+'PAVIMENTAÇÃO'!C7+'PAVIMENTAÇÃO'!D7+'REV. FACHADA'!C7+'REV. FACHADA'!D7+'FORRO'!C7+'FORRO'!D7+'LOUÇAS'!C7+'LOUÇAS'!D7+'PINTURA'!C7+'PINTURA'!D7+'PAISAGISMO'!C7+'PAISAGISMO'!D7+'LIMPEZA'!C7+'LIMPEZA'!D7+'TAX. ADM'!C7+'TAX. ADM'!D7+J59*'VALOR POR PL'!$P$7+IF(J$1='VALOR POR PL'!$P$5,'VALOR POR PL'!$G$63,0)</f>
        <v/>
      </c>
      <c r="K65" s="54">
        <f>'PROJETO'!C8+'PROJETO'!D8+'SEGUROS'!C8+'SEGUROS'!D8+'TAX. DIVERSAS'!C8+'TAX. DIVERSAS'!D8+'BARRACÃO DE OBRA'!C8+'BARRACÃO DE OBRA'!D8+'LIG. PROVISÓRIAS'!C8+'LIG. PROVISÓRIAS'!D8+'CONSUMOS'!C8+'CONSUMOS'!D8+'DIVERSOS'!C8+'DIVERSOS'!D8+'TRANSPORTES'!C8+'TRANSPORTES'!D8+'CONSULTORIAS'!C8+'CONSULTORIAS'!D8+'MDO'!C8+'MDO'!D8+'EQUIP E FER'!C8+'EQUIP E FER'!D8+'SERV. INICIAIS'!C8+'SERV. INICIAIS'!D8+'CONTENÇÃO'!C8+'CONTENÇÃO'!D8+'TERRAPLENAGEM'!C8+'TERRAPLENAGEM'!D8+'FUND. PROF'!C8+'FUND. PROF'!D8+'FUND. SUP'!C8+'FUND. SUP'!D8+'ESTRUTURA'!C8+'ESTRUTURA'!D8+'ALVENARIA'!C8+'ALVENARIA'!D8+'IMPERMEABILIZAÇÃO'!C8+'IMPERMEABILIZAÇÃO'!D8+'INST. ELÉTRICA'!C8+'INST. ELÉTRICA'!D8+'INST. HIDRO'!C8+'INST. HIDRO'!D8+'INST. INC'!C8+'INST. INC'!D8+'INST. ESP'!C8+'INST. ESP'!D8+'ELEVADORES '!C8+'ELEVADORES '!D8+'ESQUADRIAS'!C8+'ESQUADRIAS'!D8+'SERRALHERIA'!C8+'SERRALHERIA'!D8+'MARCENARIA'!C8+'MARCENARIA'!D8+'REV. PISOS'!C8+'REV. PISOS'!D8+'REV. PAREDE'!C8+'REV. PAREDE'!D8+'REV. ACAB'!C8+'REV. ACAB'!D8+'PAVIMENTAÇÃO'!C8+'PAVIMENTAÇÃO'!D8+'REV. FACHADA'!C8+'REV. FACHADA'!D8+'FORRO'!C8+'FORRO'!D8+'LOUÇAS'!C8+'LOUÇAS'!D8+'PINTURA'!C8+'PINTURA'!D8+'PAISAGISMO'!C8+'PAISAGISMO'!D8+'LIMPEZA'!C8+'LIMPEZA'!D8+'TAX. ADM'!C8+'TAX. ADM'!D8+K59*'VALOR POR PL'!$P$7+IF(K$1='VALOR POR PL'!$P$5,'VALOR POR PL'!$G$63,0)</f>
        <v/>
      </c>
      <c r="L65" s="54">
        <f>'PROJETO'!C9+'PROJETO'!D9+'SEGUROS'!C9+'SEGUROS'!D9+'TAX. DIVERSAS'!C9+'TAX. DIVERSAS'!D9+'BARRACÃO DE OBRA'!C9+'BARRACÃO DE OBRA'!D9+'LIG. PROVISÓRIAS'!C9+'LIG. PROVISÓRIAS'!D9+'CONSUMOS'!C9+'CONSUMOS'!D9+'DIVERSOS'!C9+'DIVERSOS'!D9+'TRANSPORTES'!C9+'TRANSPORTES'!D9+'CONSULTORIAS'!C9+'CONSULTORIAS'!D9+'MDO'!C9+'MDO'!D9+'EQUIP E FER'!C9+'EQUIP E FER'!D9+'SERV. INICIAIS'!C9+'SERV. INICIAIS'!D9+'CONTENÇÃO'!C9+'CONTENÇÃO'!D9+'TERRAPLENAGEM'!C9+'TERRAPLENAGEM'!D9+'FUND. PROF'!C9+'FUND. PROF'!D9+'FUND. SUP'!C9+'FUND. SUP'!D9+'ESTRUTURA'!C9+'ESTRUTURA'!D9+'ALVENARIA'!C9+'ALVENARIA'!D9+'IMPERMEABILIZAÇÃO'!C9+'IMPERMEABILIZAÇÃO'!D9+'INST. ELÉTRICA'!C9+'INST. ELÉTRICA'!D9+'INST. HIDRO'!C9+'INST. HIDRO'!D9+'INST. INC'!C9+'INST. INC'!D9+'INST. ESP'!C9+'INST. ESP'!D9+'ELEVADORES '!C9+'ELEVADORES '!D9+'ESQUADRIAS'!C9+'ESQUADRIAS'!D9+'SERRALHERIA'!C9+'SERRALHERIA'!D9+'MARCENARIA'!C9+'MARCENARIA'!D9+'REV. PISOS'!C9+'REV. PISOS'!D9+'REV. PAREDE'!C9+'REV. PAREDE'!D9+'REV. ACAB'!C9+'REV. ACAB'!D9+'PAVIMENTAÇÃO'!C9+'PAVIMENTAÇÃO'!D9+'REV. FACHADA'!C9+'REV. FACHADA'!D9+'FORRO'!C9+'FORRO'!D9+'LOUÇAS'!C9+'LOUÇAS'!D9+'PINTURA'!C9+'PINTURA'!D9+'PAISAGISMO'!C9+'PAISAGISMO'!D9+'LIMPEZA'!C9+'LIMPEZA'!D9+'TAX. ADM'!C9+'TAX. ADM'!D9+L59*'VALOR POR PL'!$P$7+IF(L$1='VALOR POR PL'!$P$5,'VALOR POR PL'!$G$63,0)</f>
        <v/>
      </c>
      <c r="M65" s="54">
        <f>'PROJETO'!C10+'PROJETO'!D10+'SEGUROS'!C10+'SEGUROS'!D10+'TAX. DIVERSAS'!C10+'TAX. DIVERSAS'!D10+'BARRACÃO DE OBRA'!C10+'BARRACÃO DE OBRA'!D10+'LIG. PROVISÓRIAS'!C10+'LIG. PROVISÓRIAS'!D10+'CONSUMOS'!C10+'CONSUMOS'!D10+'DIVERSOS'!C10+'DIVERSOS'!D10+'TRANSPORTES'!C10+'TRANSPORTES'!D10+'CONSULTORIAS'!C10+'CONSULTORIAS'!D10+'MDO'!C10+'MDO'!D10+'EQUIP E FER'!C10+'EQUIP E FER'!D10+'SERV. INICIAIS'!C10+'SERV. INICIAIS'!D10+'CONTENÇÃO'!C10+'CONTENÇÃO'!D10+'TERRAPLENAGEM'!C10+'TERRAPLENAGEM'!D10+'FUND. PROF'!C10+'FUND. PROF'!D10+'FUND. SUP'!C10+'FUND. SUP'!D10+'ESTRUTURA'!C10+'ESTRUTURA'!D10+'ALVENARIA'!C10+'ALVENARIA'!D10+'IMPERMEABILIZAÇÃO'!C10+'IMPERMEABILIZAÇÃO'!D10+'INST. ELÉTRICA'!C10+'INST. ELÉTRICA'!D10+'INST. HIDRO'!C10+'INST. HIDRO'!D10+'INST. INC'!C10+'INST. INC'!D10+'INST. ESP'!C10+'INST. ESP'!D10+'ELEVADORES '!C10+'ELEVADORES '!D10+'ESQUADRIAS'!C10+'ESQUADRIAS'!D10+'SERRALHERIA'!C10+'SERRALHERIA'!D10+'MARCENARIA'!C10+'MARCENARIA'!D10+'REV. PISOS'!C10+'REV. PISOS'!D10+'REV. PAREDE'!C10+'REV. PAREDE'!D10+'REV. ACAB'!C10+'REV. ACAB'!D10+'PAVIMENTAÇÃO'!C10+'PAVIMENTAÇÃO'!D10+'REV. FACHADA'!C10+'REV. FACHADA'!D10+'FORRO'!C10+'FORRO'!D10+'LOUÇAS'!C10+'LOUÇAS'!D10+'PINTURA'!C10+'PINTURA'!D10+'PAISAGISMO'!C10+'PAISAGISMO'!D10+'LIMPEZA'!C10+'LIMPEZA'!D10+'TAX. ADM'!C10+'TAX. ADM'!D10+M59*'VALOR POR PL'!$P$7+IF(M$1='VALOR POR PL'!$P$5,'VALOR POR PL'!$G$63,0)</f>
        <v/>
      </c>
      <c r="N65" s="54">
        <f>'PROJETO'!C11+'PROJETO'!D11+'SEGUROS'!C11+'SEGUROS'!D11+'TAX. DIVERSAS'!C11+'TAX. DIVERSAS'!D11+'BARRACÃO DE OBRA'!C11+'BARRACÃO DE OBRA'!D11+'LIG. PROVISÓRIAS'!C11+'LIG. PROVISÓRIAS'!D11+'CONSUMOS'!C11+'CONSUMOS'!D11+'DIVERSOS'!C11+'DIVERSOS'!D11+'TRANSPORTES'!C11+'TRANSPORTES'!D11+'CONSULTORIAS'!C11+'CONSULTORIAS'!D11+'MDO'!C11+'MDO'!D11+'EQUIP E FER'!C11+'EQUIP E FER'!D11+'SERV. INICIAIS'!C11+'SERV. INICIAIS'!D11+'CONTENÇÃO'!C11+'CONTENÇÃO'!D11+'TERRAPLENAGEM'!C11+'TERRAPLENAGEM'!D11+'FUND. PROF'!C11+'FUND. PROF'!D11+'FUND. SUP'!C11+'FUND. SUP'!D11+'ESTRUTURA'!C11+'ESTRUTURA'!D11+'ALVENARIA'!C11+'ALVENARIA'!D11+'IMPERMEABILIZAÇÃO'!C11+'IMPERMEABILIZAÇÃO'!D11+'INST. ELÉTRICA'!C11+'INST. ELÉTRICA'!D11+'INST. HIDRO'!C11+'INST. HIDRO'!D11+'INST. INC'!C11+'INST. INC'!D11+'INST. ESP'!C11+'INST. ESP'!D11+'ELEVADORES '!C11+'ELEVADORES '!D11+'ESQUADRIAS'!C11+'ESQUADRIAS'!D11+'SERRALHERIA'!C11+'SERRALHERIA'!D11+'MARCENARIA'!C11+'MARCENARIA'!D11+'REV. PISOS'!C11+'REV. PISOS'!D11+'REV. PAREDE'!C11+'REV. PAREDE'!D11+'REV. ACAB'!C11+'REV. ACAB'!D11+'PAVIMENTAÇÃO'!C11+'PAVIMENTAÇÃO'!D11+'REV. FACHADA'!C11+'REV. FACHADA'!D11+'FORRO'!C11+'FORRO'!D11+'LOUÇAS'!C11+'LOUÇAS'!D11+'PINTURA'!C11+'PINTURA'!D11+'PAISAGISMO'!C11+'PAISAGISMO'!D11+'LIMPEZA'!C11+'LIMPEZA'!D11+'TAX. ADM'!C11+'TAX. ADM'!D11+N59*'VALOR POR PL'!$P$7+IF(N$1='VALOR POR PL'!$P$5,'VALOR POR PL'!$G$63,0)</f>
        <v/>
      </c>
      <c r="O65" s="54">
        <f>'PROJETO'!C12+'PROJETO'!D12+'SEGUROS'!C12+'SEGUROS'!D12+'TAX. DIVERSAS'!C12+'TAX. DIVERSAS'!D12+'BARRACÃO DE OBRA'!C12+'BARRACÃO DE OBRA'!D12+'LIG. PROVISÓRIAS'!C12+'LIG. PROVISÓRIAS'!D12+'CONSUMOS'!C12+'CONSUMOS'!D12+'DIVERSOS'!C12+'DIVERSOS'!D12+'TRANSPORTES'!C12+'TRANSPORTES'!D12+'CONSULTORIAS'!C12+'CONSULTORIAS'!D12+'MDO'!C12+'MDO'!D12+'EQUIP E FER'!C12+'EQUIP E FER'!D12+'SERV. INICIAIS'!C12+'SERV. INICIAIS'!D12+'CONTENÇÃO'!C12+'CONTENÇÃO'!D12+'TERRAPLENAGEM'!C12+'TERRAPLENAGEM'!D12+'FUND. PROF'!C12+'FUND. PROF'!D12+'FUND. SUP'!C12+'FUND. SUP'!D12+'ESTRUTURA'!C12+'ESTRUTURA'!D12+'ALVENARIA'!C12+'ALVENARIA'!D12+'IMPERMEABILIZAÇÃO'!C12+'IMPERMEABILIZAÇÃO'!D12+'INST. ELÉTRICA'!C12+'INST. ELÉTRICA'!D12+'INST. HIDRO'!C12+'INST. HIDRO'!D12+'INST. INC'!C12+'INST. INC'!D12+'INST. ESP'!C12+'INST. ESP'!D12+'ELEVADORES '!C12+'ELEVADORES '!D12+'ESQUADRIAS'!C12+'ESQUADRIAS'!D12+'SERRALHERIA'!C12+'SERRALHERIA'!D12+'MARCENARIA'!C12+'MARCENARIA'!D12+'REV. PISOS'!C12+'REV. PISOS'!D12+'REV. PAREDE'!C12+'REV. PAREDE'!D12+'REV. ACAB'!C12+'REV. ACAB'!D12+'PAVIMENTAÇÃO'!C12+'PAVIMENTAÇÃO'!D12+'REV. FACHADA'!C12+'REV. FACHADA'!D12+'FORRO'!C12+'FORRO'!D12+'LOUÇAS'!C12+'LOUÇAS'!D12+'PINTURA'!C12+'PINTURA'!D12+'PAISAGISMO'!C12+'PAISAGISMO'!D12+'LIMPEZA'!C12+'LIMPEZA'!D12+'TAX. ADM'!C12+'TAX. ADM'!D12+O59*'VALOR POR PL'!$P$7+IF(O$1='VALOR POR PL'!$P$5,'VALOR POR PL'!$G$63,0)</f>
        <v/>
      </c>
      <c r="P65" s="54">
        <f>'PROJETO'!C13+'PROJETO'!D13+'SEGUROS'!C13+'SEGUROS'!D13+'TAX. DIVERSAS'!C13+'TAX. DIVERSAS'!D13+'BARRACÃO DE OBRA'!C13+'BARRACÃO DE OBRA'!D13+'LIG. PROVISÓRIAS'!C13+'LIG. PROVISÓRIAS'!D13+'CONSUMOS'!C13+'CONSUMOS'!D13+'DIVERSOS'!C13+'DIVERSOS'!D13+'TRANSPORTES'!C13+'TRANSPORTES'!D13+'CONSULTORIAS'!C13+'CONSULTORIAS'!D13+'MDO'!C13+'MDO'!D13+'EQUIP E FER'!C13+'EQUIP E FER'!D13+'SERV. INICIAIS'!C13+'SERV. INICIAIS'!D13+'CONTENÇÃO'!C13+'CONTENÇÃO'!D13+'TERRAPLENAGEM'!C13+'TERRAPLENAGEM'!D13+'FUND. PROF'!C13+'FUND. PROF'!D13+'FUND. SUP'!C13+'FUND. SUP'!D13+'ESTRUTURA'!C13+'ESTRUTURA'!D13+'ALVENARIA'!C13+'ALVENARIA'!D13+'IMPERMEABILIZAÇÃO'!C13+'IMPERMEABILIZAÇÃO'!D13+'INST. ELÉTRICA'!C13+'INST. ELÉTRICA'!D13+'INST. HIDRO'!C13+'INST. HIDRO'!D13+'INST. INC'!C13+'INST. INC'!D13+'INST. ESP'!C13+'INST. ESP'!D13+'ELEVADORES '!C13+'ELEVADORES '!D13+'ESQUADRIAS'!C13+'ESQUADRIAS'!D13+'SERRALHERIA'!C13+'SERRALHERIA'!D13+'MARCENARIA'!C13+'MARCENARIA'!D13+'REV. PISOS'!C13+'REV. PISOS'!D13+'REV. PAREDE'!C13+'REV. PAREDE'!D13+'REV. ACAB'!C13+'REV. ACAB'!D13+'PAVIMENTAÇÃO'!C13+'PAVIMENTAÇÃO'!D13+'REV. FACHADA'!C13+'REV. FACHADA'!D13+'FORRO'!C13+'FORRO'!D13+'LOUÇAS'!C13+'LOUÇAS'!D13+'PINTURA'!C13+'PINTURA'!D13+'PAISAGISMO'!C13+'PAISAGISMO'!D13+'LIMPEZA'!C13+'LIMPEZA'!D13+'TAX. ADM'!C13+'TAX. ADM'!D13+P59*'VALOR POR PL'!$P$7+IF(P$1='VALOR POR PL'!$P$5,'VALOR POR PL'!$G$63,0)</f>
        <v/>
      </c>
      <c r="Q65" s="54">
        <f>'PROJETO'!C14+'PROJETO'!D14+'SEGUROS'!C14+'SEGUROS'!D14+'TAX. DIVERSAS'!C14+'TAX. DIVERSAS'!D14+'BARRACÃO DE OBRA'!C14+'BARRACÃO DE OBRA'!D14+'LIG. PROVISÓRIAS'!C14+'LIG. PROVISÓRIAS'!D14+'CONSUMOS'!C14+'CONSUMOS'!D14+'DIVERSOS'!C14+'DIVERSOS'!D14+'TRANSPORTES'!C14+'TRANSPORTES'!D14+'CONSULTORIAS'!C14+'CONSULTORIAS'!D14+'MDO'!C14+'MDO'!D14+'EQUIP E FER'!C14+'EQUIP E FER'!D14+'SERV. INICIAIS'!C14+'SERV. INICIAIS'!D14+'CONTENÇÃO'!C14+'CONTENÇÃO'!D14+'TERRAPLENAGEM'!C14+'TERRAPLENAGEM'!D14+'FUND. PROF'!C14+'FUND. PROF'!D14+'FUND. SUP'!C14+'FUND. SUP'!D14+'ESTRUTURA'!C14+'ESTRUTURA'!D14+'ALVENARIA'!C14+'ALVENARIA'!D14+'IMPERMEABILIZAÇÃO'!C14+'IMPERMEABILIZAÇÃO'!D14+'INST. ELÉTRICA'!C14+'INST. ELÉTRICA'!D14+'INST. HIDRO'!C14+'INST. HIDRO'!D14+'INST. INC'!C14+'INST. INC'!D14+'INST. ESP'!C14+'INST. ESP'!D14+'ELEVADORES '!C14+'ELEVADORES '!D14+'ESQUADRIAS'!C14+'ESQUADRIAS'!D14+'SERRALHERIA'!C14+'SERRALHERIA'!D14+'MARCENARIA'!C14+'MARCENARIA'!D14+'REV. PISOS'!C14+'REV. PISOS'!D14+'REV. PAREDE'!C14+'REV. PAREDE'!D14+'REV. ACAB'!C14+'REV. ACAB'!D14+'PAVIMENTAÇÃO'!C14+'PAVIMENTAÇÃO'!D14+'REV. FACHADA'!C14+'REV. FACHADA'!D14+'FORRO'!C14+'FORRO'!D14+'LOUÇAS'!C14+'LOUÇAS'!D14+'PINTURA'!C14+'PINTURA'!D14+'PAISAGISMO'!C14+'PAISAGISMO'!D14+'LIMPEZA'!C14+'LIMPEZA'!D14+'TAX. ADM'!C14+'TAX. ADM'!D14+Q59*'VALOR POR PL'!$P$7+IF(Q$1='VALOR POR PL'!$P$5,'VALOR POR PL'!$G$63,0)</f>
        <v/>
      </c>
      <c r="R65" s="54">
        <f>'PROJETO'!C15+'PROJETO'!D15+'SEGUROS'!C15+'SEGUROS'!D15+'TAX. DIVERSAS'!C15+'TAX. DIVERSAS'!D15+'BARRACÃO DE OBRA'!C15+'BARRACÃO DE OBRA'!D15+'LIG. PROVISÓRIAS'!C15+'LIG. PROVISÓRIAS'!D15+'CONSUMOS'!C15+'CONSUMOS'!D15+'DIVERSOS'!C15+'DIVERSOS'!D15+'TRANSPORTES'!C15+'TRANSPORTES'!D15+'CONSULTORIAS'!C15+'CONSULTORIAS'!D15+'MDO'!C15+'MDO'!D15+'EQUIP E FER'!C15+'EQUIP E FER'!D15+'SERV. INICIAIS'!C15+'SERV. INICIAIS'!D15+'CONTENÇÃO'!C15+'CONTENÇÃO'!D15+'TERRAPLENAGEM'!C15+'TERRAPLENAGEM'!D15+'FUND. PROF'!C15+'FUND. PROF'!D15+'FUND. SUP'!C15+'FUND. SUP'!D15+'ESTRUTURA'!C15+'ESTRUTURA'!D15+'ALVENARIA'!C15+'ALVENARIA'!D15+'IMPERMEABILIZAÇÃO'!C15+'IMPERMEABILIZAÇÃO'!D15+'INST. ELÉTRICA'!C15+'INST. ELÉTRICA'!D15+'INST. HIDRO'!C15+'INST. HIDRO'!D15+'INST. INC'!C15+'INST. INC'!D15+'INST. ESP'!C15+'INST. ESP'!D15+'ELEVADORES '!C15+'ELEVADORES '!D15+'ESQUADRIAS'!C15+'ESQUADRIAS'!D15+'SERRALHERIA'!C15+'SERRALHERIA'!D15+'MARCENARIA'!C15+'MARCENARIA'!D15+'REV. PISOS'!C15+'REV. PISOS'!D15+'REV. PAREDE'!C15+'REV. PAREDE'!D15+'REV. ACAB'!C15+'REV. ACAB'!D15+'PAVIMENTAÇÃO'!C15+'PAVIMENTAÇÃO'!D15+'REV. FACHADA'!C15+'REV. FACHADA'!D15+'FORRO'!C15+'FORRO'!D15+'LOUÇAS'!C15+'LOUÇAS'!D15+'PINTURA'!C15+'PINTURA'!D15+'PAISAGISMO'!C15+'PAISAGISMO'!D15+'LIMPEZA'!C15+'LIMPEZA'!D15+'TAX. ADM'!C15+'TAX. ADM'!D15+R59*'VALOR POR PL'!$P$7+IF(R$1='VALOR POR PL'!$P$5,'VALOR POR PL'!$G$63,0)</f>
        <v/>
      </c>
      <c r="S65" s="54">
        <f>'PROJETO'!C16+'PROJETO'!D16+'SEGUROS'!C16+'SEGUROS'!D16+'TAX. DIVERSAS'!C16+'TAX. DIVERSAS'!D16+'BARRACÃO DE OBRA'!C16+'BARRACÃO DE OBRA'!D16+'LIG. PROVISÓRIAS'!C16+'LIG. PROVISÓRIAS'!D16+'CONSUMOS'!C16+'CONSUMOS'!D16+'DIVERSOS'!C16+'DIVERSOS'!D16+'TRANSPORTES'!C16+'TRANSPORTES'!D16+'CONSULTORIAS'!C16+'CONSULTORIAS'!D16+'MDO'!C16+'MDO'!D16+'EQUIP E FER'!C16+'EQUIP E FER'!D16+'SERV. INICIAIS'!C16+'SERV. INICIAIS'!D16+'CONTENÇÃO'!C16+'CONTENÇÃO'!D16+'TERRAPLENAGEM'!C16+'TERRAPLENAGEM'!D16+'FUND. PROF'!C16+'FUND. PROF'!D16+'FUND. SUP'!C16+'FUND. SUP'!D16+'ESTRUTURA'!C16+'ESTRUTURA'!D16+'ALVENARIA'!C16+'ALVENARIA'!D16+'IMPERMEABILIZAÇÃO'!C16+'IMPERMEABILIZAÇÃO'!D16+'INST. ELÉTRICA'!C16+'INST. ELÉTRICA'!D16+'INST. HIDRO'!C16+'INST. HIDRO'!D16+'INST. INC'!C16+'INST. INC'!D16+'INST. ESP'!C16+'INST. ESP'!D16+'ELEVADORES '!C16+'ELEVADORES '!D16+'ESQUADRIAS'!C16+'ESQUADRIAS'!D16+'SERRALHERIA'!C16+'SERRALHERIA'!D16+'MARCENARIA'!C16+'MARCENARIA'!D16+'REV. PISOS'!C16+'REV. PISOS'!D16+'REV. PAREDE'!C16+'REV. PAREDE'!D16+'REV. ACAB'!C16+'REV. ACAB'!D16+'PAVIMENTAÇÃO'!C16+'PAVIMENTAÇÃO'!D16+'REV. FACHADA'!C16+'REV. FACHADA'!D16+'FORRO'!C16+'FORRO'!D16+'LOUÇAS'!C16+'LOUÇAS'!D16+'PINTURA'!C16+'PINTURA'!D16+'PAISAGISMO'!C16+'PAISAGISMO'!D16+'LIMPEZA'!C16+'LIMPEZA'!D16+'TAX. ADM'!C16+'TAX. ADM'!D16+S59*'VALOR POR PL'!$P$7+IF(S$1='VALOR POR PL'!$P$5,'VALOR POR PL'!$G$63,0)</f>
        <v/>
      </c>
      <c r="T65" s="54">
        <f>'PROJETO'!C17+'PROJETO'!D17+'SEGUROS'!C17+'SEGUROS'!D17+'TAX. DIVERSAS'!C17+'TAX. DIVERSAS'!D17+'BARRACÃO DE OBRA'!C17+'BARRACÃO DE OBRA'!D17+'LIG. PROVISÓRIAS'!C17+'LIG. PROVISÓRIAS'!D17+'CONSUMOS'!C17+'CONSUMOS'!D17+'DIVERSOS'!C17+'DIVERSOS'!D17+'TRANSPORTES'!C17+'TRANSPORTES'!D17+'CONSULTORIAS'!C17+'CONSULTORIAS'!D17+'MDO'!C17+'MDO'!D17+'EQUIP E FER'!C17+'EQUIP E FER'!D17+'SERV. INICIAIS'!C17+'SERV. INICIAIS'!D17+'CONTENÇÃO'!C17+'CONTENÇÃO'!D17+'TERRAPLENAGEM'!C17+'TERRAPLENAGEM'!D17+'FUND. PROF'!C17+'FUND. PROF'!D17+'FUND. SUP'!C17+'FUND. SUP'!D17+'ESTRUTURA'!C17+'ESTRUTURA'!D17+'ALVENARIA'!C17+'ALVENARIA'!D17+'IMPERMEABILIZAÇÃO'!C17+'IMPERMEABILIZAÇÃO'!D17+'INST. ELÉTRICA'!C17+'INST. ELÉTRICA'!D17+'INST. HIDRO'!C17+'INST. HIDRO'!D17+'INST. INC'!C17+'INST. INC'!D17+'INST. ESP'!C17+'INST. ESP'!D17+'ELEVADORES '!C17+'ELEVADORES '!D17+'ESQUADRIAS'!C17+'ESQUADRIAS'!D17+'SERRALHERIA'!C17+'SERRALHERIA'!D17+'MARCENARIA'!C17+'MARCENARIA'!D17+'REV. PISOS'!C17+'REV. PISOS'!D17+'REV. PAREDE'!C17+'REV. PAREDE'!D17+'REV. ACAB'!C17+'REV. ACAB'!D17+'PAVIMENTAÇÃO'!C17+'PAVIMENTAÇÃO'!D17+'REV. FACHADA'!C17+'REV. FACHADA'!D17+'FORRO'!C17+'FORRO'!D17+'LOUÇAS'!C17+'LOUÇAS'!D17+'PINTURA'!C17+'PINTURA'!D17+'PAISAGISMO'!C17+'PAISAGISMO'!D17+'LIMPEZA'!C17+'LIMPEZA'!D17+'TAX. ADM'!C17+'TAX. ADM'!D17+T59*'VALOR POR PL'!$P$7+IF(T$1='VALOR POR PL'!$P$5,'VALOR POR PL'!$G$63,0)</f>
        <v/>
      </c>
      <c r="U65" s="54">
        <f>'PROJETO'!C18+'PROJETO'!D18+'SEGUROS'!C18+'SEGUROS'!D18+'TAX. DIVERSAS'!C18+'TAX. DIVERSAS'!D18+'BARRACÃO DE OBRA'!C18+'BARRACÃO DE OBRA'!D18+'LIG. PROVISÓRIAS'!C18+'LIG. PROVISÓRIAS'!D18+'CONSUMOS'!C18+'CONSUMOS'!D18+'DIVERSOS'!C18+'DIVERSOS'!D18+'TRANSPORTES'!C18+'TRANSPORTES'!D18+'CONSULTORIAS'!C18+'CONSULTORIAS'!D18+'MDO'!C18+'MDO'!D18+'EQUIP E FER'!C18+'EQUIP E FER'!D18+'SERV. INICIAIS'!C18+'SERV. INICIAIS'!D18+'CONTENÇÃO'!C18+'CONTENÇÃO'!D18+'TERRAPLENAGEM'!C18+'TERRAPLENAGEM'!D18+'FUND. PROF'!C18+'FUND. PROF'!D18+'FUND. SUP'!C18+'FUND. SUP'!D18+'ESTRUTURA'!C18+'ESTRUTURA'!D18+'ALVENARIA'!C18+'ALVENARIA'!D18+'IMPERMEABILIZAÇÃO'!C18+'IMPERMEABILIZAÇÃO'!D18+'INST. ELÉTRICA'!C18+'INST. ELÉTRICA'!D18+'INST. HIDRO'!C18+'INST. HIDRO'!D18+'INST. INC'!C18+'INST. INC'!D18+'INST. ESP'!C18+'INST. ESP'!D18+'ELEVADORES '!C18+'ELEVADORES '!D18+'ESQUADRIAS'!C18+'ESQUADRIAS'!D18+'SERRALHERIA'!C18+'SERRALHERIA'!D18+'MARCENARIA'!C18+'MARCENARIA'!D18+'REV. PISOS'!C18+'REV. PISOS'!D18+'REV. PAREDE'!C18+'REV. PAREDE'!D18+'REV. ACAB'!C18+'REV. ACAB'!D18+'PAVIMENTAÇÃO'!C18+'PAVIMENTAÇÃO'!D18+'REV. FACHADA'!C18+'REV. FACHADA'!D18+'FORRO'!C18+'FORRO'!D18+'LOUÇAS'!C18+'LOUÇAS'!D18+'PINTURA'!C18+'PINTURA'!D18+'PAISAGISMO'!C18+'PAISAGISMO'!D18+'LIMPEZA'!C18+'LIMPEZA'!D18+'TAX. ADM'!C18+'TAX. ADM'!D18+U59*'VALOR POR PL'!$P$7+IF(U$1='VALOR POR PL'!$P$5,'VALOR POR PL'!$G$63,0)</f>
        <v/>
      </c>
      <c r="V65" s="54">
        <f>'PROJETO'!C19+'PROJETO'!D19+'SEGUROS'!C19+'SEGUROS'!D19+'TAX. DIVERSAS'!C19+'TAX. DIVERSAS'!D19+'BARRACÃO DE OBRA'!C19+'BARRACÃO DE OBRA'!D19+'LIG. PROVISÓRIAS'!C19+'LIG. PROVISÓRIAS'!D19+'CONSUMOS'!C19+'CONSUMOS'!D19+'DIVERSOS'!C19+'DIVERSOS'!D19+'TRANSPORTES'!C19+'TRANSPORTES'!D19+'CONSULTORIAS'!C19+'CONSULTORIAS'!D19+'MDO'!C19+'MDO'!D19+'EQUIP E FER'!C19+'EQUIP E FER'!D19+'SERV. INICIAIS'!C19+'SERV. INICIAIS'!D19+'CONTENÇÃO'!C19+'CONTENÇÃO'!D19+'TERRAPLENAGEM'!C19+'TERRAPLENAGEM'!D19+'FUND. PROF'!C19+'FUND. PROF'!D19+'FUND. SUP'!C19+'FUND. SUP'!D19+'ESTRUTURA'!C19+'ESTRUTURA'!D19+'ALVENARIA'!C19+'ALVENARIA'!D19+'IMPERMEABILIZAÇÃO'!C19+'IMPERMEABILIZAÇÃO'!D19+'INST. ELÉTRICA'!C19+'INST. ELÉTRICA'!D19+'INST. HIDRO'!C19+'INST. HIDRO'!D19+'INST. INC'!C19+'INST. INC'!D19+'INST. ESP'!C19+'INST. ESP'!D19+'ELEVADORES '!C19+'ELEVADORES '!D19+'ESQUADRIAS'!C19+'ESQUADRIAS'!D19+'SERRALHERIA'!C19+'SERRALHERIA'!D19+'MARCENARIA'!C19+'MARCENARIA'!D19+'REV. PISOS'!C19+'REV. PISOS'!D19+'REV. PAREDE'!C19+'REV. PAREDE'!D19+'REV. ACAB'!C19+'REV. ACAB'!D19+'PAVIMENTAÇÃO'!C19+'PAVIMENTAÇÃO'!D19+'REV. FACHADA'!C19+'REV. FACHADA'!D19+'FORRO'!C19+'FORRO'!D19+'LOUÇAS'!C19+'LOUÇAS'!D19+'PINTURA'!C19+'PINTURA'!D19+'PAISAGISMO'!C19+'PAISAGISMO'!D19+'LIMPEZA'!C19+'LIMPEZA'!D19+'TAX. ADM'!C19+'TAX. ADM'!D19+V59*'VALOR POR PL'!$P$7+IF(V$1='VALOR POR PL'!$P$5,'VALOR POR PL'!$G$63,0)</f>
        <v/>
      </c>
      <c r="W65" s="54">
        <f>'PROJETO'!C20+'PROJETO'!D20+'SEGUROS'!C20+'SEGUROS'!D20+'TAX. DIVERSAS'!C20+'TAX. DIVERSAS'!D20+'BARRACÃO DE OBRA'!C20+'BARRACÃO DE OBRA'!D20+'LIG. PROVISÓRIAS'!C20+'LIG. PROVISÓRIAS'!D20+'CONSUMOS'!C20+'CONSUMOS'!D20+'DIVERSOS'!C20+'DIVERSOS'!D20+'TRANSPORTES'!C20+'TRANSPORTES'!D20+'CONSULTORIAS'!C20+'CONSULTORIAS'!D20+'MDO'!C20+'MDO'!D20+'EQUIP E FER'!C20+'EQUIP E FER'!D20+'SERV. INICIAIS'!C20+'SERV. INICIAIS'!D20+'CONTENÇÃO'!C20+'CONTENÇÃO'!D20+'TERRAPLENAGEM'!C20+'TERRAPLENAGEM'!D20+'FUND. PROF'!C20+'FUND. PROF'!D20+'FUND. SUP'!C20+'FUND. SUP'!D20+'ESTRUTURA'!C20+'ESTRUTURA'!D20+'ALVENARIA'!C20+'ALVENARIA'!D20+'IMPERMEABILIZAÇÃO'!C20+'IMPERMEABILIZAÇÃO'!D20+'INST. ELÉTRICA'!C20+'INST. ELÉTRICA'!D20+'INST. HIDRO'!C20+'INST. HIDRO'!D20+'INST. INC'!C20+'INST. INC'!D20+'INST. ESP'!C20+'INST. ESP'!D20+'ELEVADORES '!C20+'ELEVADORES '!D20+'ESQUADRIAS'!C20+'ESQUADRIAS'!D20+'SERRALHERIA'!C20+'SERRALHERIA'!D20+'MARCENARIA'!C20+'MARCENARIA'!D20+'REV. PISOS'!C20+'REV. PISOS'!D20+'REV. PAREDE'!C20+'REV. PAREDE'!D20+'REV. ACAB'!C20+'REV. ACAB'!D20+'PAVIMENTAÇÃO'!C20+'PAVIMENTAÇÃO'!D20+'REV. FACHADA'!C20+'REV. FACHADA'!D20+'FORRO'!C20+'FORRO'!D20+'LOUÇAS'!C20+'LOUÇAS'!D20+'PINTURA'!C20+'PINTURA'!D20+'PAISAGISMO'!C20+'PAISAGISMO'!D20+'LIMPEZA'!C20+'LIMPEZA'!D20+'TAX. ADM'!C20+'TAX. ADM'!D20+W59*'VALOR POR PL'!$P$7+IF(W$1='VALOR POR PL'!$P$5,'VALOR POR PL'!$G$63,0)</f>
        <v/>
      </c>
      <c r="X65" s="54">
        <f>'PROJETO'!C21+'PROJETO'!D21+'SEGUROS'!C21+'SEGUROS'!D21+'TAX. DIVERSAS'!C21+'TAX. DIVERSAS'!D21+'BARRACÃO DE OBRA'!C21+'BARRACÃO DE OBRA'!D21+'LIG. PROVISÓRIAS'!C21+'LIG. PROVISÓRIAS'!D21+'CONSUMOS'!C21+'CONSUMOS'!D21+'DIVERSOS'!C21+'DIVERSOS'!D21+'TRANSPORTES'!C21+'TRANSPORTES'!D21+'CONSULTORIAS'!C21+'CONSULTORIAS'!D21+'MDO'!C21+'MDO'!D21+'EQUIP E FER'!C21+'EQUIP E FER'!D21+'SERV. INICIAIS'!C21+'SERV. INICIAIS'!D21+'CONTENÇÃO'!C21+'CONTENÇÃO'!D21+'TERRAPLENAGEM'!C21+'TERRAPLENAGEM'!D21+'FUND. PROF'!C21+'FUND. PROF'!D21+'FUND. SUP'!C21+'FUND. SUP'!D21+'ESTRUTURA'!C21+'ESTRUTURA'!D21+'ALVENARIA'!C21+'ALVENARIA'!D21+'IMPERMEABILIZAÇÃO'!C21+'IMPERMEABILIZAÇÃO'!D21+'INST. ELÉTRICA'!C21+'INST. ELÉTRICA'!D21+'INST. HIDRO'!C21+'INST. HIDRO'!D21+'INST. INC'!C21+'INST. INC'!D21+'INST. ESP'!C21+'INST. ESP'!D21+'ELEVADORES '!C21+'ELEVADORES '!D21+'ESQUADRIAS'!C21+'ESQUADRIAS'!D21+'SERRALHERIA'!C21+'SERRALHERIA'!D21+'MARCENARIA'!C21+'MARCENARIA'!D21+'REV. PISOS'!C21+'REV. PISOS'!D21+'REV. PAREDE'!C21+'REV. PAREDE'!D21+'REV. ACAB'!C21+'REV. ACAB'!D21+'PAVIMENTAÇÃO'!C21+'PAVIMENTAÇÃO'!D21+'REV. FACHADA'!C21+'REV. FACHADA'!D21+'FORRO'!C21+'FORRO'!D21+'LOUÇAS'!C21+'LOUÇAS'!D21+'PINTURA'!C21+'PINTURA'!D21+'PAISAGISMO'!C21+'PAISAGISMO'!D21+'LIMPEZA'!C21+'LIMPEZA'!D21+'TAX. ADM'!C21+'TAX. ADM'!D21+X59*'VALOR POR PL'!$P$7+IF(X$1='VALOR POR PL'!$P$5,'VALOR POR PL'!$G$63,0)</f>
        <v/>
      </c>
      <c r="Y65" s="54">
        <f>'PROJETO'!C22+'PROJETO'!D22+'SEGUROS'!C22+'SEGUROS'!D22+'TAX. DIVERSAS'!C22+'TAX. DIVERSAS'!D22+'BARRACÃO DE OBRA'!C22+'BARRACÃO DE OBRA'!D22+'LIG. PROVISÓRIAS'!C22+'LIG. PROVISÓRIAS'!D22+'CONSUMOS'!C22+'CONSUMOS'!D22+'DIVERSOS'!C22+'DIVERSOS'!D22+'TRANSPORTES'!C22+'TRANSPORTES'!D22+'CONSULTORIAS'!C22+'CONSULTORIAS'!D22+'MDO'!C22+'MDO'!D22+'EQUIP E FER'!C22+'EQUIP E FER'!D22+'SERV. INICIAIS'!C22+'SERV. INICIAIS'!D22+'CONTENÇÃO'!C22+'CONTENÇÃO'!D22+'TERRAPLENAGEM'!C22+'TERRAPLENAGEM'!D22+'FUND. PROF'!C22+'FUND. PROF'!D22+'FUND. SUP'!C22+'FUND. SUP'!D22+'ESTRUTURA'!C22+'ESTRUTURA'!D22+'ALVENARIA'!C22+'ALVENARIA'!D22+'IMPERMEABILIZAÇÃO'!C22+'IMPERMEABILIZAÇÃO'!D22+'INST. ELÉTRICA'!C22+'INST. ELÉTRICA'!D22+'INST. HIDRO'!C22+'INST. HIDRO'!D22+'INST. INC'!C22+'INST. INC'!D22+'INST. ESP'!C22+'INST. ESP'!D22+'ELEVADORES '!C22+'ELEVADORES '!D22+'ESQUADRIAS'!C22+'ESQUADRIAS'!D22+'SERRALHERIA'!C22+'SERRALHERIA'!D22+'MARCENARIA'!C22+'MARCENARIA'!D22+'REV. PISOS'!C22+'REV. PISOS'!D22+'REV. PAREDE'!C22+'REV. PAREDE'!D22+'REV. ACAB'!C22+'REV. ACAB'!D22+'PAVIMENTAÇÃO'!C22+'PAVIMENTAÇÃO'!D22+'REV. FACHADA'!C22+'REV. FACHADA'!D22+'FORRO'!C22+'FORRO'!D22+'LOUÇAS'!C22+'LOUÇAS'!D22+'PINTURA'!C22+'PINTURA'!D22+'PAISAGISMO'!C22+'PAISAGISMO'!D22+'LIMPEZA'!C22+'LIMPEZA'!D22+'TAX. ADM'!C22+'TAX. ADM'!D22+Y59*'VALOR POR PL'!$P$7+IF(Y$1='VALOR POR PL'!$P$5,'VALOR POR PL'!$G$63,0)</f>
        <v/>
      </c>
      <c r="Z65" s="54">
        <f>'PROJETO'!C23+'PROJETO'!D23+'SEGUROS'!C23+'SEGUROS'!D23+'TAX. DIVERSAS'!C23+'TAX. DIVERSAS'!D23+'BARRACÃO DE OBRA'!C23+'BARRACÃO DE OBRA'!D23+'LIG. PROVISÓRIAS'!C23+'LIG. PROVISÓRIAS'!D23+'CONSUMOS'!C23+'CONSUMOS'!D23+'DIVERSOS'!C23+'DIVERSOS'!D23+'TRANSPORTES'!C23+'TRANSPORTES'!D23+'CONSULTORIAS'!C23+'CONSULTORIAS'!D23+'MDO'!C23+'MDO'!D23+'EQUIP E FER'!C23+'EQUIP E FER'!D23+'SERV. INICIAIS'!C23+'SERV. INICIAIS'!D23+'CONTENÇÃO'!C23+'CONTENÇÃO'!D23+'TERRAPLENAGEM'!C23+'TERRAPLENAGEM'!D23+'FUND. PROF'!C23+'FUND. PROF'!D23+'FUND. SUP'!C23+'FUND. SUP'!D23+'ESTRUTURA'!C23+'ESTRUTURA'!D23+'ALVENARIA'!C23+'ALVENARIA'!D23+'IMPERMEABILIZAÇÃO'!C23+'IMPERMEABILIZAÇÃO'!D23+'INST. ELÉTRICA'!C23+'INST. ELÉTRICA'!D23+'INST. HIDRO'!C23+'INST. HIDRO'!D23+'INST. INC'!C23+'INST. INC'!D23+'INST. ESP'!C23+'INST. ESP'!D23+'ELEVADORES '!C23+'ELEVADORES '!D23+'ESQUADRIAS'!C23+'ESQUADRIAS'!D23+'SERRALHERIA'!C23+'SERRALHERIA'!D23+'MARCENARIA'!C23+'MARCENARIA'!D23+'REV. PISOS'!C23+'REV. PISOS'!D23+'REV. PAREDE'!C23+'REV. PAREDE'!D23+'REV. ACAB'!C23+'REV. ACAB'!D23+'PAVIMENTAÇÃO'!C23+'PAVIMENTAÇÃO'!D23+'REV. FACHADA'!C23+'REV. FACHADA'!D23+'FORRO'!C23+'FORRO'!D23+'LOUÇAS'!C23+'LOUÇAS'!D23+'PINTURA'!C23+'PINTURA'!D23+'PAISAGISMO'!C23+'PAISAGISMO'!D23+'LIMPEZA'!C23+'LIMPEZA'!D23+'TAX. ADM'!C23+'TAX. ADM'!D23+Z59*'VALOR POR PL'!$P$7+IF(Z$1='VALOR POR PL'!$P$5,'VALOR POR PL'!$G$63,0)</f>
        <v/>
      </c>
      <c r="AA65" s="54">
        <f>'PROJETO'!C24+'PROJETO'!D24+'SEGUROS'!C24+'SEGUROS'!D24+'TAX. DIVERSAS'!C24+'TAX. DIVERSAS'!D24+'BARRACÃO DE OBRA'!C24+'BARRACÃO DE OBRA'!D24+'LIG. PROVISÓRIAS'!C24+'LIG. PROVISÓRIAS'!D24+'CONSUMOS'!C24+'CONSUMOS'!D24+'DIVERSOS'!C24+'DIVERSOS'!D24+'TRANSPORTES'!C24+'TRANSPORTES'!D24+'CONSULTORIAS'!C24+'CONSULTORIAS'!D24+'MDO'!C24+'MDO'!D24+'EQUIP E FER'!C24+'EQUIP E FER'!D24+'SERV. INICIAIS'!C24+'SERV. INICIAIS'!D24+'CONTENÇÃO'!C24+'CONTENÇÃO'!D24+'TERRAPLENAGEM'!C24+'TERRAPLENAGEM'!D24+'FUND. PROF'!C24+'FUND. PROF'!D24+'FUND. SUP'!C24+'FUND. SUP'!D24+'ESTRUTURA'!C24+'ESTRUTURA'!D24+'ALVENARIA'!C24+'ALVENARIA'!D24+'IMPERMEABILIZAÇÃO'!C24+'IMPERMEABILIZAÇÃO'!D24+'INST. ELÉTRICA'!C24+'INST. ELÉTRICA'!D24+'INST. HIDRO'!C24+'INST. HIDRO'!D24+'INST. INC'!C24+'INST. INC'!D24+'INST. ESP'!C24+'INST. ESP'!D24+'ELEVADORES '!C24+'ELEVADORES '!D24+'ESQUADRIAS'!C24+'ESQUADRIAS'!D24+'SERRALHERIA'!C24+'SERRALHERIA'!D24+'MARCENARIA'!C24+'MARCENARIA'!D24+'REV. PISOS'!C24+'REV. PISOS'!D24+'REV. PAREDE'!C24+'REV. PAREDE'!D24+'REV. ACAB'!C24+'REV. ACAB'!D24+'PAVIMENTAÇÃO'!C24+'PAVIMENTAÇÃO'!D24+'REV. FACHADA'!C24+'REV. FACHADA'!D24+'FORRO'!C24+'FORRO'!D24+'LOUÇAS'!C24+'LOUÇAS'!D24+'PINTURA'!C24+'PINTURA'!D24+'PAISAGISMO'!C24+'PAISAGISMO'!D24+'LIMPEZA'!C24+'LIMPEZA'!D24+'TAX. ADM'!C24+'TAX. ADM'!D24+AA59*'VALOR POR PL'!$P$7+IF(AA$1='VALOR POR PL'!$P$5,'VALOR POR PL'!$G$63,0)</f>
        <v/>
      </c>
      <c r="AB65" s="54">
        <f>'PROJETO'!C25+'PROJETO'!D25+'SEGUROS'!C25+'SEGUROS'!D25+'TAX. DIVERSAS'!C25+'TAX. DIVERSAS'!D25+'BARRACÃO DE OBRA'!C25+'BARRACÃO DE OBRA'!D25+'LIG. PROVISÓRIAS'!C25+'LIG. PROVISÓRIAS'!D25+'CONSUMOS'!C25+'CONSUMOS'!D25+'DIVERSOS'!C25+'DIVERSOS'!D25+'TRANSPORTES'!C25+'TRANSPORTES'!D25+'CONSULTORIAS'!C25+'CONSULTORIAS'!D25+'MDO'!C25+'MDO'!D25+'EQUIP E FER'!C25+'EQUIP E FER'!D25+'SERV. INICIAIS'!C25+'SERV. INICIAIS'!D25+'CONTENÇÃO'!C25+'CONTENÇÃO'!D25+'TERRAPLENAGEM'!C25+'TERRAPLENAGEM'!D25+'FUND. PROF'!C25+'FUND. PROF'!D25+'FUND. SUP'!C25+'FUND. SUP'!D25+'ESTRUTURA'!C25+'ESTRUTURA'!D25+'ALVENARIA'!C25+'ALVENARIA'!D25+'IMPERMEABILIZAÇÃO'!C25+'IMPERMEABILIZAÇÃO'!D25+'INST. ELÉTRICA'!C25+'INST. ELÉTRICA'!D25+'INST. HIDRO'!C25+'INST. HIDRO'!D25+'INST. INC'!C25+'INST. INC'!D25+'INST. ESP'!C25+'INST. ESP'!D25+'ELEVADORES '!C25+'ELEVADORES '!D25+'ESQUADRIAS'!C25+'ESQUADRIAS'!D25+'SERRALHERIA'!C25+'SERRALHERIA'!D25+'MARCENARIA'!C25+'MARCENARIA'!D25+'REV. PISOS'!C25+'REV. PISOS'!D25+'REV. PAREDE'!C25+'REV. PAREDE'!D25+'REV. ACAB'!C25+'REV. ACAB'!D25+'PAVIMENTAÇÃO'!C25+'PAVIMENTAÇÃO'!D25+'REV. FACHADA'!C25+'REV. FACHADA'!D25+'FORRO'!C25+'FORRO'!D25+'LOUÇAS'!C25+'LOUÇAS'!D25+'PINTURA'!C25+'PINTURA'!D25+'PAISAGISMO'!C25+'PAISAGISMO'!D25+'LIMPEZA'!C25+'LIMPEZA'!D25+'TAX. ADM'!C25+'TAX. ADM'!D25+AB59*'VALOR POR PL'!$P$7+IF(AB$1='VALOR POR PL'!$P$5,'VALOR POR PL'!$G$63,0)</f>
        <v/>
      </c>
      <c r="AC65" s="54">
        <f>'PROJETO'!C26+'PROJETO'!D26+'SEGUROS'!C26+'SEGUROS'!D26+'TAX. DIVERSAS'!C26+'TAX. DIVERSAS'!D26+'BARRACÃO DE OBRA'!C26+'BARRACÃO DE OBRA'!D26+'LIG. PROVISÓRIAS'!C26+'LIG. PROVISÓRIAS'!D26+'CONSUMOS'!C26+'CONSUMOS'!D26+'DIVERSOS'!C26+'DIVERSOS'!D26+'TRANSPORTES'!C26+'TRANSPORTES'!D26+'CONSULTORIAS'!C26+'CONSULTORIAS'!D26+'MDO'!C26+'MDO'!D26+'EQUIP E FER'!C26+'EQUIP E FER'!D26+'SERV. INICIAIS'!C26+'SERV. INICIAIS'!D26+'CONTENÇÃO'!C26+'CONTENÇÃO'!D26+'TERRAPLENAGEM'!C26+'TERRAPLENAGEM'!D26+'FUND. PROF'!C26+'FUND. PROF'!D26+'FUND. SUP'!C26+'FUND. SUP'!D26+'ESTRUTURA'!C26+'ESTRUTURA'!D26+'ALVENARIA'!C26+'ALVENARIA'!D26+'IMPERMEABILIZAÇÃO'!C26+'IMPERMEABILIZAÇÃO'!D26+'INST. ELÉTRICA'!C26+'INST. ELÉTRICA'!D26+'INST. HIDRO'!C26+'INST. HIDRO'!D26+'INST. INC'!C26+'INST. INC'!D26+'INST. ESP'!C26+'INST. ESP'!D26+'ELEVADORES '!C26+'ELEVADORES '!D26+'ESQUADRIAS'!C26+'ESQUADRIAS'!D26+'SERRALHERIA'!C26+'SERRALHERIA'!D26+'MARCENARIA'!C26+'MARCENARIA'!D26+'REV. PISOS'!C26+'REV. PISOS'!D26+'REV. PAREDE'!C26+'REV. PAREDE'!D26+'REV. ACAB'!C26+'REV. ACAB'!D26+'PAVIMENTAÇÃO'!C26+'PAVIMENTAÇÃO'!D26+'REV. FACHADA'!C26+'REV. FACHADA'!D26+'FORRO'!C26+'FORRO'!D26+'LOUÇAS'!C26+'LOUÇAS'!D26+'PINTURA'!C26+'PINTURA'!D26+'PAISAGISMO'!C26+'PAISAGISMO'!D26+'LIMPEZA'!C26+'LIMPEZA'!D26+'TAX. ADM'!C26+'TAX. ADM'!D26+AC59*'VALOR POR PL'!$P$7+IF(AC$1='VALOR POR PL'!$P$5,'VALOR POR PL'!$G$63,0)</f>
        <v/>
      </c>
      <c r="AD65" s="54">
        <f>'PROJETO'!C27+'PROJETO'!D27+'SEGUROS'!C27+'SEGUROS'!D27+'TAX. DIVERSAS'!C27+'TAX. DIVERSAS'!D27+'BARRACÃO DE OBRA'!C27+'BARRACÃO DE OBRA'!D27+'LIG. PROVISÓRIAS'!C27+'LIG. PROVISÓRIAS'!D27+'CONSUMOS'!C27+'CONSUMOS'!D27+'DIVERSOS'!C27+'DIVERSOS'!D27+'TRANSPORTES'!C27+'TRANSPORTES'!D27+'CONSULTORIAS'!C27+'CONSULTORIAS'!D27+'MDO'!C27+'MDO'!D27+'EQUIP E FER'!C27+'EQUIP E FER'!D27+'SERV. INICIAIS'!C27+'SERV. INICIAIS'!D27+'CONTENÇÃO'!C27+'CONTENÇÃO'!D27+'TERRAPLENAGEM'!C27+'TERRAPLENAGEM'!D27+'FUND. PROF'!C27+'FUND. PROF'!D27+'FUND. SUP'!C27+'FUND. SUP'!D27+'ESTRUTURA'!C27+'ESTRUTURA'!D27+'ALVENARIA'!C27+'ALVENARIA'!D27+'IMPERMEABILIZAÇÃO'!C27+'IMPERMEABILIZAÇÃO'!D27+'INST. ELÉTRICA'!C27+'INST. ELÉTRICA'!D27+'INST. HIDRO'!C27+'INST. HIDRO'!D27+'INST. INC'!C27+'INST. INC'!D27+'INST. ESP'!C27+'INST. ESP'!D27+'ELEVADORES '!C27+'ELEVADORES '!D27+'ESQUADRIAS'!C27+'ESQUADRIAS'!D27+'SERRALHERIA'!C27+'SERRALHERIA'!D27+'MARCENARIA'!C27+'MARCENARIA'!D27+'REV. PISOS'!C27+'REV. PISOS'!D27+'REV. PAREDE'!C27+'REV. PAREDE'!D27+'REV. ACAB'!C27+'REV. ACAB'!D27+'PAVIMENTAÇÃO'!C27+'PAVIMENTAÇÃO'!D27+'REV. FACHADA'!C27+'REV. FACHADA'!D27+'FORRO'!C27+'FORRO'!D27+'LOUÇAS'!C27+'LOUÇAS'!D27+'PINTURA'!C27+'PINTURA'!D27+'PAISAGISMO'!C27+'PAISAGISMO'!D27+'LIMPEZA'!C27+'LIMPEZA'!D27+'TAX. ADM'!C27+'TAX. ADM'!D27+AD59*'VALOR POR PL'!$P$7+IF(AD$1='VALOR POR PL'!$P$5,'VALOR POR PL'!$G$63,0)</f>
        <v/>
      </c>
      <c r="AE65" s="54">
        <f>'PROJETO'!C28+'PROJETO'!D28+'SEGUROS'!C28+'SEGUROS'!D28+'TAX. DIVERSAS'!C28+'TAX. DIVERSAS'!D28+'BARRACÃO DE OBRA'!C28+'BARRACÃO DE OBRA'!D28+'LIG. PROVISÓRIAS'!C28+'LIG. PROVISÓRIAS'!D28+'CONSUMOS'!C28+'CONSUMOS'!D28+'DIVERSOS'!C28+'DIVERSOS'!D28+'TRANSPORTES'!C28+'TRANSPORTES'!D28+'CONSULTORIAS'!C28+'CONSULTORIAS'!D28+'MDO'!C28+'MDO'!D28+'EQUIP E FER'!C28+'EQUIP E FER'!D28+'SERV. INICIAIS'!C28+'SERV. INICIAIS'!D28+'CONTENÇÃO'!C28+'CONTENÇÃO'!D28+'TERRAPLENAGEM'!C28+'TERRAPLENAGEM'!D28+'FUND. PROF'!C28+'FUND. PROF'!D28+'FUND. SUP'!C28+'FUND. SUP'!D28+'ESTRUTURA'!C28+'ESTRUTURA'!D28+'ALVENARIA'!C28+'ALVENARIA'!D28+'IMPERMEABILIZAÇÃO'!C28+'IMPERMEABILIZAÇÃO'!D28+'INST. ELÉTRICA'!C28+'INST. ELÉTRICA'!D28+'INST. HIDRO'!C28+'INST. HIDRO'!D28+'INST. INC'!C28+'INST. INC'!D28+'INST. ESP'!C28+'INST. ESP'!D28+'ELEVADORES '!C28+'ELEVADORES '!D28+'ESQUADRIAS'!C28+'ESQUADRIAS'!D28+'SERRALHERIA'!C28+'SERRALHERIA'!D28+'MARCENARIA'!C28+'MARCENARIA'!D28+'REV. PISOS'!C28+'REV. PISOS'!D28+'REV. PAREDE'!C28+'REV. PAREDE'!D28+'REV. ACAB'!C28+'REV. ACAB'!D28+'PAVIMENTAÇÃO'!C28+'PAVIMENTAÇÃO'!D28+'REV. FACHADA'!C28+'REV. FACHADA'!D28+'FORRO'!C28+'FORRO'!D28+'LOUÇAS'!C28+'LOUÇAS'!D28+'PINTURA'!C28+'PINTURA'!D28+'PAISAGISMO'!C28+'PAISAGISMO'!D28+'LIMPEZA'!C28+'LIMPEZA'!D28+'TAX. ADM'!C28+'TAX. ADM'!D28+AE59*'VALOR POR PL'!$P$7+IF(AE$1='VALOR POR PL'!$P$5,'VALOR POR PL'!$G$63,0)</f>
        <v/>
      </c>
      <c r="AF65" s="54">
        <f>'PROJETO'!C29+'PROJETO'!D29+'SEGUROS'!C29+'SEGUROS'!D29+'TAX. DIVERSAS'!C29+'TAX. DIVERSAS'!D29+'BARRACÃO DE OBRA'!C29+'BARRACÃO DE OBRA'!D29+'LIG. PROVISÓRIAS'!C29+'LIG. PROVISÓRIAS'!D29+'CONSUMOS'!C29+'CONSUMOS'!D29+'DIVERSOS'!C29+'DIVERSOS'!D29+'TRANSPORTES'!C29+'TRANSPORTES'!D29+'CONSULTORIAS'!C29+'CONSULTORIAS'!D29+'MDO'!C29+'MDO'!D29+'EQUIP E FER'!C29+'EQUIP E FER'!D29+'SERV. INICIAIS'!C29+'SERV. INICIAIS'!D29+'CONTENÇÃO'!C29+'CONTENÇÃO'!D29+'TERRAPLENAGEM'!C29+'TERRAPLENAGEM'!D29+'FUND. PROF'!C29+'FUND. PROF'!D29+'FUND. SUP'!C29+'FUND. SUP'!D29+'ESTRUTURA'!C29+'ESTRUTURA'!D29+'ALVENARIA'!C29+'ALVENARIA'!D29+'IMPERMEABILIZAÇÃO'!C29+'IMPERMEABILIZAÇÃO'!D29+'INST. ELÉTRICA'!C29+'INST. ELÉTRICA'!D29+'INST. HIDRO'!C29+'INST. HIDRO'!D29+'INST. INC'!C29+'INST. INC'!D29+'INST. ESP'!C29+'INST. ESP'!D29+'ELEVADORES '!C29+'ELEVADORES '!D29+'ESQUADRIAS'!C29+'ESQUADRIAS'!D29+'SERRALHERIA'!C29+'SERRALHERIA'!D29+'MARCENARIA'!C29+'MARCENARIA'!D29+'REV. PISOS'!C29+'REV. PISOS'!D29+'REV. PAREDE'!C29+'REV. PAREDE'!D29+'REV. ACAB'!C29+'REV. ACAB'!D29+'PAVIMENTAÇÃO'!C29+'PAVIMENTAÇÃO'!D29+'REV. FACHADA'!C29+'REV. FACHADA'!D29+'FORRO'!C29+'FORRO'!D29+'LOUÇAS'!C29+'LOUÇAS'!D29+'PINTURA'!C29+'PINTURA'!D29+'PAISAGISMO'!C29+'PAISAGISMO'!D29+'LIMPEZA'!C29+'LIMPEZA'!D29+'TAX. ADM'!C29+'TAX. ADM'!D29+AF59*'VALOR POR PL'!$P$7+IF(AF$1='VALOR POR PL'!$P$5,'VALOR POR PL'!$G$63,0)</f>
        <v/>
      </c>
      <c r="AG65" s="54">
        <f>'PROJETO'!C30+'PROJETO'!D30+'SEGUROS'!C30+'SEGUROS'!D30+'TAX. DIVERSAS'!C30+'TAX. DIVERSAS'!D30+'BARRACÃO DE OBRA'!C30+'BARRACÃO DE OBRA'!D30+'LIG. PROVISÓRIAS'!C30+'LIG. PROVISÓRIAS'!D30+'CONSUMOS'!C30+'CONSUMOS'!D30+'DIVERSOS'!C30+'DIVERSOS'!D30+'TRANSPORTES'!C30+'TRANSPORTES'!D30+'CONSULTORIAS'!C30+'CONSULTORIAS'!D30+'MDO'!C30+'MDO'!D30+'EQUIP E FER'!C30+'EQUIP E FER'!D30+'SERV. INICIAIS'!C30+'SERV. INICIAIS'!D30+'CONTENÇÃO'!C30+'CONTENÇÃO'!D30+'TERRAPLENAGEM'!C30+'TERRAPLENAGEM'!D30+'FUND. PROF'!C30+'FUND. PROF'!D30+'FUND. SUP'!C30+'FUND. SUP'!D30+'ESTRUTURA'!C30+'ESTRUTURA'!D30+'ALVENARIA'!C30+'ALVENARIA'!D30+'IMPERMEABILIZAÇÃO'!C30+'IMPERMEABILIZAÇÃO'!D30+'INST. ELÉTRICA'!C30+'INST. ELÉTRICA'!D30+'INST. HIDRO'!C30+'INST. HIDRO'!D30+'INST. INC'!C30+'INST. INC'!D30+'INST. ESP'!C30+'INST. ESP'!D30+'ELEVADORES '!C30+'ELEVADORES '!D30+'ESQUADRIAS'!C30+'ESQUADRIAS'!D30+'SERRALHERIA'!C30+'SERRALHERIA'!D30+'MARCENARIA'!C30+'MARCENARIA'!D30+'REV. PISOS'!C30+'REV. PISOS'!D30+'REV. PAREDE'!C30+'REV. PAREDE'!D30+'REV. ACAB'!C30+'REV. ACAB'!D30+'PAVIMENTAÇÃO'!C30+'PAVIMENTAÇÃO'!D30+'REV. FACHADA'!C30+'REV. FACHADA'!D30+'FORRO'!C30+'FORRO'!D30+'LOUÇAS'!C30+'LOUÇAS'!D30+'PINTURA'!C30+'PINTURA'!D30+'PAISAGISMO'!C30+'PAISAGISMO'!D30+'LIMPEZA'!C30+'LIMPEZA'!D30+'TAX. ADM'!C30+'TAX. ADM'!D30+AG59*'VALOR POR PL'!$P$7+IF(AG$1='VALOR POR PL'!$P$5,'VALOR POR PL'!$G$63,0)</f>
        <v/>
      </c>
      <c r="AH65" s="54">
        <f>'PROJETO'!C31+'PROJETO'!D31+'SEGUROS'!C31+'SEGUROS'!D31+'TAX. DIVERSAS'!C31+'TAX. DIVERSAS'!D31+'BARRACÃO DE OBRA'!C31+'BARRACÃO DE OBRA'!D31+'LIG. PROVISÓRIAS'!C31+'LIG. PROVISÓRIAS'!D31+'CONSUMOS'!C31+'CONSUMOS'!D31+'DIVERSOS'!C31+'DIVERSOS'!D31+'TRANSPORTES'!C31+'TRANSPORTES'!D31+'CONSULTORIAS'!C31+'CONSULTORIAS'!D31+'MDO'!C31+'MDO'!D31+'EQUIP E FER'!C31+'EQUIP E FER'!D31+'SERV. INICIAIS'!C31+'SERV. INICIAIS'!D31+'CONTENÇÃO'!C31+'CONTENÇÃO'!D31+'TERRAPLENAGEM'!C31+'TERRAPLENAGEM'!D31+'FUND. PROF'!C31+'FUND. PROF'!D31+'FUND. SUP'!C31+'FUND. SUP'!D31+'ESTRUTURA'!C31+'ESTRUTURA'!D31+'ALVENARIA'!C31+'ALVENARIA'!D31+'IMPERMEABILIZAÇÃO'!C31+'IMPERMEABILIZAÇÃO'!D31+'INST. ELÉTRICA'!C31+'INST. ELÉTRICA'!D31+'INST. HIDRO'!C31+'INST. HIDRO'!D31+'INST. INC'!C31+'INST. INC'!D31+'INST. ESP'!C31+'INST. ESP'!D31+'ELEVADORES '!C31+'ELEVADORES '!D31+'ESQUADRIAS'!C31+'ESQUADRIAS'!D31+'SERRALHERIA'!C31+'SERRALHERIA'!D31+'MARCENARIA'!C31+'MARCENARIA'!D31+'REV. PISOS'!C31+'REV. PISOS'!D31+'REV. PAREDE'!C31+'REV. PAREDE'!D31+'REV. ACAB'!C31+'REV. ACAB'!D31+'PAVIMENTAÇÃO'!C31+'PAVIMENTAÇÃO'!D31+'REV. FACHADA'!C31+'REV. FACHADA'!D31+'FORRO'!C31+'FORRO'!D31+'LOUÇAS'!C31+'LOUÇAS'!D31+'PINTURA'!C31+'PINTURA'!D31+'PAISAGISMO'!C31+'PAISAGISMO'!D31+'LIMPEZA'!C31+'LIMPEZA'!D31+'TAX. ADM'!C31+'TAX. ADM'!D31+AH59*'VALOR POR PL'!$P$7+IF(AH$1='VALOR POR PL'!$P$5,'VALOR POR PL'!$G$63,0)</f>
        <v/>
      </c>
      <c r="AI65" s="54">
        <f>'PROJETO'!C32+'PROJETO'!D32+'SEGUROS'!C32+'SEGUROS'!D32+'TAX. DIVERSAS'!C32+'TAX. DIVERSAS'!D32+'BARRACÃO DE OBRA'!C32+'BARRACÃO DE OBRA'!D32+'LIG. PROVISÓRIAS'!C32+'LIG. PROVISÓRIAS'!D32+'CONSUMOS'!C32+'CONSUMOS'!D32+'DIVERSOS'!C32+'DIVERSOS'!D32+'TRANSPORTES'!C32+'TRANSPORTES'!D32+'CONSULTORIAS'!C32+'CONSULTORIAS'!D32+'MDO'!C32+'MDO'!D32+'EQUIP E FER'!C32+'EQUIP E FER'!D32+'SERV. INICIAIS'!C32+'SERV. INICIAIS'!D32+'CONTENÇÃO'!C32+'CONTENÇÃO'!D32+'TERRAPLENAGEM'!C32+'TERRAPLENAGEM'!D32+'FUND. PROF'!C32+'FUND. PROF'!D32+'FUND. SUP'!C32+'FUND. SUP'!D32+'ESTRUTURA'!C32+'ESTRUTURA'!D32+'ALVENARIA'!C32+'ALVENARIA'!D32+'IMPERMEABILIZAÇÃO'!C32+'IMPERMEABILIZAÇÃO'!D32+'INST. ELÉTRICA'!C32+'INST. ELÉTRICA'!D32+'INST. HIDRO'!C32+'INST. HIDRO'!D32+'INST. INC'!C32+'INST. INC'!D32+'INST. ESP'!C32+'INST. ESP'!D32+'ELEVADORES '!C32+'ELEVADORES '!D32+'ESQUADRIAS'!C32+'ESQUADRIAS'!D32+'SERRALHERIA'!C32+'SERRALHERIA'!D32+'MARCENARIA'!C32+'MARCENARIA'!D32+'REV. PISOS'!C32+'REV. PISOS'!D32+'REV. PAREDE'!C32+'REV. PAREDE'!D32+'REV. ACAB'!C32+'REV. ACAB'!D32+'PAVIMENTAÇÃO'!C32+'PAVIMENTAÇÃO'!D32+'REV. FACHADA'!C32+'REV. FACHADA'!D32+'FORRO'!C32+'FORRO'!D32+'LOUÇAS'!C32+'LOUÇAS'!D32+'PINTURA'!C32+'PINTURA'!D32+'PAISAGISMO'!C32+'PAISAGISMO'!D32+'LIMPEZA'!C32+'LIMPEZA'!D32+'TAX. ADM'!C32+'TAX. ADM'!D32+AI59*'VALOR POR PL'!$P$7+IF(AI$1='VALOR POR PL'!$P$5,'VALOR POR PL'!$G$63,0)</f>
        <v/>
      </c>
      <c r="AJ65" s="54">
        <f>'PROJETO'!C33+'PROJETO'!D33+'SEGUROS'!C33+'SEGUROS'!D33+'TAX. DIVERSAS'!C33+'TAX. DIVERSAS'!D33+'BARRACÃO DE OBRA'!C33+'BARRACÃO DE OBRA'!D33+'LIG. PROVISÓRIAS'!C33+'LIG. PROVISÓRIAS'!D33+'CONSUMOS'!C33+'CONSUMOS'!D33+'DIVERSOS'!C33+'DIVERSOS'!D33+'TRANSPORTES'!C33+'TRANSPORTES'!D33+'CONSULTORIAS'!C33+'CONSULTORIAS'!D33+'MDO'!C33+'MDO'!D33+'EQUIP E FER'!C33+'EQUIP E FER'!D33+'SERV. INICIAIS'!C33+'SERV. INICIAIS'!D33+'CONTENÇÃO'!C33+'CONTENÇÃO'!D33+'TERRAPLENAGEM'!C33+'TERRAPLENAGEM'!D33+'FUND. PROF'!C33+'FUND. PROF'!D33+'FUND. SUP'!C33+'FUND. SUP'!D33+'ESTRUTURA'!C33+'ESTRUTURA'!D33+'ALVENARIA'!C33+'ALVENARIA'!D33+'IMPERMEABILIZAÇÃO'!C33+'IMPERMEABILIZAÇÃO'!D33+'INST. ELÉTRICA'!C33+'INST. ELÉTRICA'!D33+'INST. HIDRO'!C33+'INST. HIDRO'!D33+'INST. INC'!C33+'INST. INC'!D33+'INST. ESP'!C33+'INST. ESP'!D33+'ELEVADORES '!C33+'ELEVADORES '!D33+'ESQUADRIAS'!C33+'ESQUADRIAS'!D33+'SERRALHERIA'!C33+'SERRALHERIA'!D33+'MARCENARIA'!C33+'MARCENARIA'!D33+'REV. PISOS'!C33+'REV. PISOS'!D33+'REV. PAREDE'!C33+'REV. PAREDE'!D33+'REV. ACAB'!C33+'REV. ACAB'!D33+'PAVIMENTAÇÃO'!C33+'PAVIMENTAÇÃO'!D33+'REV. FACHADA'!C33+'REV. FACHADA'!D33+'FORRO'!C33+'FORRO'!D33+'LOUÇAS'!C33+'LOUÇAS'!D33+'PINTURA'!C33+'PINTURA'!D33+'PAISAGISMO'!C33+'PAISAGISMO'!D33+'LIMPEZA'!C33+'LIMPEZA'!D33+'TAX. ADM'!C33+'TAX. ADM'!D33+AJ59*'VALOR POR PL'!$P$7+IF(AJ$1='VALOR POR PL'!$P$5,'VALOR POR PL'!$G$63,0)</f>
        <v/>
      </c>
      <c r="AK65" s="54">
        <f>'PROJETO'!C34+'PROJETO'!D34+'SEGUROS'!C34+'SEGUROS'!D34+'TAX. DIVERSAS'!C34+'TAX. DIVERSAS'!D34+'BARRACÃO DE OBRA'!C34+'BARRACÃO DE OBRA'!D34+'LIG. PROVISÓRIAS'!C34+'LIG. PROVISÓRIAS'!D34+'CONSUMOS'!C34+'CONSUMOS'!D34+'DIVERSOS'!C34+'DIVERSOS'!D34+'TRANSPORTES'!C34+'TRANSPORTES'!D34+'CONSULTORIAS'!C34+'CONSULTORIAS'!D34+'MDO'!C34+'MDO'!D34+'EQUIP E FER'!C34+'EQUIP E FER'!D34+'SERV. INICIAIS'!C34+'SERV. INICIAIS'!D34+'CONTENÇÃO'!C34+'CONTENÇÃO'!D34+'TERRAPLENAGEM'!C34+'TERRAPLENAGEM'!D34+'FUND. PROF'!C34+'FUND. PROF'!D34+'FUND. SUP'!C34+'FUND. SUP'!D34+'ESTRUTURA'!C34+'ESTRUTURA'!D34+'ALVENARIA'!C34+'ALVENARIA'!D34+'IMPERMEABILIZAÇÃO'!C34+'IMPERMEABILIZAÇÃO'!D34+'INST. ELÉTRICA'!C34+'INST. ELÉTRICA'!D34+'INST. HIDRO'!C34+'INST. HIDRO'!D34+'INST. INC'!C34+'INST. INC'!D34+'INST. ESP'!C34+'INST. ESP'!D34+'ELEVADORES '!C34+'ELEVADORES '!D34+'ESQUADRIAS'!C34+'ESQUADRIAS'!D34+'SERRALHERIA'!C34+'SERRALHERIA'!D34+'MARCENARIA'!C34+'MARCENARIA'!D34+'REV. PISOS'!C34+'REV. PISOS'!D34+'REV. PAREDE'!C34+'REV. PAREDE'!D34+'REV. ACAB'!C34+'REV. ACAB'!D34+'PAVIMENTAÇÃO'!C34+'PAVIMENTAÇÃO'!D34+'REV. FACHADA'!C34+'REV. FACHADA'!D34+'FORRO'!C34+'FORRO'!D34+'LOUÇAS'!C34+'LOUÇAS'!D34+'PINTURA'!C34+'PINTURA'!D34+'PAISAGISMO'!C34+'PAISAGISMO'!D34+'LIMPEZA'!C34+'LIMPEZA'!D34+'TAX. ADM'!C34+'TAX. ADM'!D34+AK59*'VALOR POR PL'!$P$7+IF(AK$1='VALOR POR PL'!$P$5,'VALOR POR PL'!$G$63,0)</f>
        <v/>
      </c>
      <c r="AL65" s="54">
        <f>'PROJETO'!C35+'PROJETO'!D35+'SEGUROS'!C35+'SEGUROS'!D35+'TAX. DIVERSAS'!C35+'TAX. DIVERSAS'!D35+'BARRACÃO DE OBRA'!C35+'BARRACÃO DE OBRA'!D35+'LIG. PROVISÓRIAS'!C35+'LIG. PROVISÓRIAS'!D35+'CONSUMOS'!C35+'CONSUMOS'!D35+'DIVERSOS'!C35+'DIVERSOS'!D35+'TRANSPORTES'!C35+'TRANSPORTES'!D35+'CONSULTORIAS'!C35+'CONSULTORIAS'!D35+'MDO'!C35+'MDO'!D35+'EQUIP E FER'!C35+'EQUIP E FER'!D35+'SERV. INICIAIS'!C35+'SERV. INICIAIS'!D35+'CONTENÇÃO'!C35+'CONTENÇÃO'!D35+'TERRAPLENAGEM'!C35+'TERRAPLENAGEM'!D35+'FUND. PROF'!C35+'FUND. PROF'!D35+'FUND. SUP'!C35+'FUND. SUP'!D35+'ESTRUTURA'!C35+'ESTRUTURA'!D35+'ALVENARIA'!C35+'ALVENARIA'!D35+'IMPERMEABILIZAÇÃO'!C35+'IMPERMEABILIZAÇÃO'!D35+'INST. ELÉTRICA'!C35+'INST. ELÉTRICA'!D35+'INST. HIDRO'!C35+'INST. HIDRO'!D35+'INST. INC'!C35+'INST. INC'!D35+'INST. ESP'!C35+'INST. ESP'!D35+'ELEVADORES '!C35+'ELEVADORES '!D35+'ESQUADRIAS'!C35+'ESQUADRIAS'!D35+'SERRALHERIA'!C35+'SERRALHERIA'!D35+'MARCENARIA'!C35+'MARCENARIA'!D35+'REV. PISOS'!C35+'REV. PISOS'!D35+'REV. PAREDE'!C35+'REV. PAREDE'!D35+'REV. ACAB'!C35+'REV. ACAB'!D35+'PAVIMENTAÇÃO'!C35+'PAVIMENTAÇÃO'!D35+'REV. FACHADA'!C35+'REV. FACHADA'!D35+'FORRO'!C35+'FORRO'!D35+'LOUÇAS'!C35+'LOUÇAS'!D35+'PINTURA'!C35+'PINTURA'!D35+'PAISAGISMO'!C35+'PAISAGISMO'!D35+'LIMPEZA'!C35+'LIMPEZA'!D35+'TAX. ADM'!C35+'TAX. ADM'!D35+AL59*'VALOR POR PL'!$P$7+IF(AL$1='VALOR POR PL'!$P$5,'VALOR POR PL'!$G$63,0)</f>
        <v/>
      </c>
      <c r="AM65" s="54">
        <f>'PROJETO'!C36+'PROJETO'!D36+'SEGUROS'!C36+'SEGUROS'!D36+'TAX. DIVERSAS'!C36+'TAX. DIVERSAS'!D36+'BARRACÃO DE OBRA'!C36+'BARRACÃO DE OBRA'!D36+'LIG. PROVISÓRIAS'!C36+'LIG. PROVISÓRIAS'!D36+'CONSUMOS'!C36+'CONSUMOS'!D36+'DIVERSOS'!C36+'DIVERSOS'!D36+'TRANSPORTES'!C36+'TRANSPORTES'!D36+'CONSULTORIAS'!C36+'CONSULTORIAS'!D36+'MDO'!C36+'MDO'!D36+'EQUIP E FER'!C36+'EQUIP E FER'!D36+'SERV. INICIAIS'!C36+'SERV. INICIAIS'!D36+'CONTENÇÃO'!C36+'CONTENÇÃO'!D36+'TERRAPLENAGEM'!C36+'TERRAPLENAGEM'!D36+'FUND. PROF'!C36+'FUND. PROF'!D36+'FUND. SUP'!C36+'FUND. SUP'!D36+'ESTRUTURA'!C36+'ESTRUTURA'!D36+'ALVENARIA'!C36+'ALVENARIA'!D36+'IMPERMEABILIZAÇÃO'!C36+'IMPERMEABILIZAÇÃO'!D36+'INST. ELÉTRICA'!C36+'INST. ELÉTRICA'!D36+'INST. HIDRO'!C36+'INST. HIDRO'!D36+'INST. INC'!C36+'INST. INC'!D36+'INST. ESP'!C36+'INST. ESP'!D36+'ELEVADORES '!C36+'ELEVADORES '!D36+'ESQUADRIAS'!C36+'ESQUADRIAS'!D36+'SERRALHERIA'!C36+'SERRALHERIA'!D36+'MARCENARIA'!C36+'MARCENARIA'!D36+'REV. PISOS'!C36+'REV. PISOS'!D36+'REV. PAREDE'!C36+'REV. PAREDE'!D36+'REV. ACAB'!C36+'REV. ACAB'!D36+'PAVIMENTAÇÃO'!C36+'PAVIMENTAÇÃO'!D36+'REV. FACHADA'!C36+'REV. FACHADA'!D36+'FORRO'!C36+'FORRO'!D36+'LOUÇAS'!C36+'LOUÇAS'!D36+'PINTURA'!C36+'PINTURA'!D36+'PAISAGISMO'!C36+'PAISAGISMO'!D36+'LIMPEZA'!C36+'LIMPEZA'!D36+'TAX. ADM'!C36+'TAX. ADM'!D36+AM59*'VALOR POR PL'!$P$7+IF(AM$1='VALOR POR PL'!$P$5,'VALOR POR PL'!$G$63,0)</f>
        <v/>
      </c>
      <c r="AN65" s="54">
        <f>'PROJETO'!C37+'PROJETO'!D37+'SEGUROS'!C37+'SEGUROS'!D37+'TAX. DIVERSAS'!C37+'TAX. DIVERSAS'!D37+'BARRACÃO DE OBRA'!C37+'BARRACÃO DE OBRA'!D37+'LIG. PROVISÓRIAS'!C37+'LIG. PROVISÓRIAS'!D37+'CONSUMOS'!C37+'CONSUMOS'!D37+'DIVERSOS'!C37+'DIVERSOS'!D37+'TRANSPORTES'!C37+'TRANSPORTES'!D37+'CONSULTORIAS'!C37+'CONSULTORIAS'!D37+'MDO'!C37+'MDO'!D37+'EQUIP E FER'!C37+'EQUIP E FER'!D37+'SERV. INICIAIS'!C37+'SERV. INICIAIS'!D37+'CONTENÇÃO'!C37+'CONTENÇÃO'!D37+'TERRAPLENAGEM'!C37+'TERRAPLENAGEM'!D37+'FUND. PROF'!C37+'FUND. PROF'!D37+'FUND. SUP'!C37+'FUND. SUP'!D37+'ESTRUTURA'!C37+'ESTRUTURA'!D37+'ALVENARIA'!C37+'ALVENARIA'!D37+'IMPERMEABILIZAÇÃO'!C37+'IMPERMEABILIZAÇÃO'!D37+'INST. ELÉTRICA'!C37+'INST. ELÉTRICA'!D37+'INST. HIDRO'!C37+'INST. HIDRO'!D37+'INST. INC'!C37+'INST. INC'!D37+'INST. ESP'!C37+'INST. ESP'!D37+'ELEVADORES '!C37+'ELEVADORES '!D37+'ESQUADRIAS'!C37+'ESQUADRIAS'!D37+'SERRALHERIA'!C37+'SERRALHERIA'!D37+'MARCENARIA'!C37+'MARCENARIA'!D37+'REV. PISOS'!C37+'REV. PISOS'!D37+'REV. PAREDE'!C37+'REV. PAREDE'!D37+'REV. ACAB'!C37+'REV. ACAB'!D37+'PAVIMENTAÇÃO'!C37+'PAVIMENTAÇÃO'!D37+'REV. FACHADA'!C37+'REV. FACHADA'!D37+'FORRO'!C37+'FORRO'!D37+'LOUÇAS'!C37+'LOUÇAS'!D37+'PINTURA'!C37+'PINTURA'!D37+'PAISAGISMO'!C37+'PAISAGISMO'!D37+'LIMPEZA'!C37+'LIMPEZA'!D37+'TAX. ADM'!C37+'TAX. ADM'!D37+AN59*'VALOR POR PL'!$P$7+IF(AN$1='VALOR POR PL'!$P$5,'VALOR POR PL'!$G$63,0)</f>
        <v/>
      </c>
      <c r="AO65" s="54">
        <f>'PROJETO'!C38+'PROJETO'!D38+'SEGUROS'!C38+'SEGUROS'!D38+'TAX. DIVERSAS'!C38+'TAX. DIVERSAS'!D38+'BARRACÃO DE OBRA'!C38+'BARRACÃO DE OBRA'!D38+'LIG. PROVISÓRIAS'!C38+'LIG. PROVISÓRIAS'!D38+'CONSUMOS'!C38+'CONSUMOS'!D38+'DIVERSOS'!C38+'DIVERSOS'!D38+'TRANSPORTES'!C38+'TRANSPORTES'!D38+'CONSULTORIAS'!C38+'CONSULTORIAS'!D38+'MDO'!C38+'MDO'!D38+'EQUIP E FER'!C38+'EQUIP E FER'!D38+'SERV. INICIAIS'!C38+'SERV. INICIAIS'!D38+'CONTENÇÃO'!C38+'CONTENÇÃO'!D38+'TERRAPLENAGEM'!C38+'TERRAPLENAGEM'!D38+'FUND. PROF'!C38+'FUND. PROF'!D38+'FUND. SUP'!C38+'FUND. SUP'!D38+'ESTRUTURA'!C38+'ESTRUTURA'!D38+'ALVENARIA'!C38+'ALVENARIA'!D38+'IMPERMEABILIZAÇÃO'!C38+'IMPERMEABILIZAÇÃO'!D38+'INST. ELÉTRICA'!C38+'INST. ELÉTRICA'!D38+'INST. HIDRO'!C38+'INST. HIDRO'!D38+'INST. INC'!C38+'INST. INC'!D38+'INST. ESP'!C38+'INST. ESP'!D38+'ELEVADORES '!C38+'ELEVADORES '!D38+'ESQUADRIAS'!C38+'ESQUADRIAS'!D38+'SERRALHERIA'!C38+'SERRALHERIA'!D38+'MARCENARIA'!C38+'MARCENARIA'!D38+'REV. PISOS'!C38+'REV. PISOS'!D38+'REV. PAREDE'!C38+'REV. PAREDE'!D38+'REV. ACAB'!C38+'REV. ACAB'!D38+'PAVIMENTAÇÃO'!C38+'PAVIMENTAÇÃO'!D38+'REV. FACHADA'!C38+'REV. FACHADA'!D38+'FORRO'!C38+'FORRO'!D38+'LOUÇAS'!C38+'LOUÇAS'!D38+'PINTURA'!C38+'PINTURA'!D38+'PAISAGISMO'!C38+'PAISAGISMO'!D38+'LIMPEZA'!C38+'LIMPEZA'!D38+'TAX. ADM'!C38+'TAX. ADM'!D38+AO59*'VALOR POR PL'!$P$7+IF(AO$1='VALOR POR PL'!$P$5,'VALOR POR PL'!$G$63,0)</f>
        <v/>
      </c>
      <c r="AP65" s="54">
        <f>'PROJETO'!C39+'PROJETO'!D39+'SEGUROS'!C39+'SEGUROS'!D39+'TAX. DIVERSAS'!C39+'TAX. DIVERSAS'!D39+'BARRACÃO DE OBRA'!C39+'BARRACÃO DE OBRA'!D39+'LIG. PROVISÓRIAS'!C39+'LIG. PROVISÓRIAS'!D39+'CONSUMOS'!C39+'CONSUMOS'!D39+'DIVERSOS'!C39+'DIVERSOS'!D39+'TRANSPORTES'!C39+'TRANSPORTES'!D39+'CONSULTORIAS'!C39+'CONSULTORIAS'!D39+'MDO'!C39+'MDO'!D39+'EQUIP E FER'!C39+'EQUIP E FER'!D39+'SERV. INICIAIS'!C39+'SERV. INICIAIS'!D39+'CONTENÇÃO'!C39+'CONTENÇÃO'!D39+'TERRAPLENAGEM'!C39+'TERRAPLENAGEM'!D39+'FUND. PROF'!C39+'FUND. PROF'!D39+'FUND. SUP'!C39+'FUND. SUP'!D39+'ESTRUTURA'!C39+'ESTRUTURA'!D39+'ALVENARIA'!C39+'ALVENARIA'!D39+'IMPERMEABILIZAÇÃO'!C39+'IMPERMEABILIZAÇÃO'!D39+'INST. ELÉTRICA'!C39+'INST. ELÉTRICA'!D39+'INST. HIDRO'!C39+'INST. HIDRO'!D39+'INST. INC'!C39+'INST. INC'!D39+'INST. ESP'!C39+'INST. ESP'!D39+'ELEVADORES '!C39+'ELEVADORES '!D39+'ESQUADRIAS'!C39+'ESQUADRIAS'!D39+'SERRALHERIA'!C39+'SERRALHERIA'!D39+'MARCENARIA'!C39+'MARCENARIA'!D39+'REV. PISOS'!C39+'REV. PISOS'!D39+'REV. PAREDE'!C39+'REV. PAREDE'!D39+'REV. ACAB'!C39+'REV. ACAB'!D39+'PAVIMENTAÇÃO'!C39+'PAVIMENTAÇÃO'!D39+'REV. FACHADA'!C39+'REV. FACHADA'!D39+'FORRO'!C39+'FORRO'!D39+'LOUÇAS'!C39+'LOUÇAS'!D39+'PINTURA'!C39+'PINTURA'!D39+'PAISAGISMO'!C39+'PAISAGISMO'!D39+'LIMPEZA'!C39+'LIMPEZA'!D39+'TAX. ADM'!C39+'TAX. ADM'!D39+AP59*'VALOR POR PL'!$P$7+IF(AP$1='VALOR POR PL'!$P$5,'VALOR POR PL'!$G$63,0)</f>
        <v/>
      </c>
      <c r="AQ65" s="54">
        <f>'PROJETO'!C40+'PROJETO'!D40+'SEGUROS'!C40+'SEGUROS'!D40+'TAX. DIVERSAS'!C40+'TAX. DIVERSAS'!D40+'BARRACÃO DE OBRA'!C40+'BARRACÃO DE OBRA'!D40+'LIG. PROVISÓRIAS'!C40+'LIG. PROVISÓRIAS'!D40+'CONSUMOS'!C40+'CONSUMOS'!D40+'DIVERSOS'!C40+'DIVERSOS'!D40+'TRANSPORTES'!C40+'TRANSPORTES'!D40+'CONSULTORIAS'!C40+'CONSULTORIAS'!D40+'MDO'!C40+'MDO'!D40+'EQUIP E FER'!C40+'EQUIP E FER'!D40+'SERV. INICIAIS'!C40+'SERV. INICIAIS'!D40+'CONTENÇÃO'!C40+'CONTENÇÃO'!D40+'TERRAPLENAGEM'!C40+'TERRAPLENAGEM'!D40+'FUND. PROF'!C40+'FUND. PROF'!D40+'FUND. SUP'!C40+'FUND. SUP'!D40+'ESTRUTURA'!C40+'ESTRUTURA'!D40+'ALVENARIA'!C40+'ALVENARIA'!D40+'IMPERMEABILIZAÇÃO'!C40+'IMPERMEABILIZAÇÃO'!D40+'INST. ELÉTRICA'!C40+'INST. ELÉTRICA'!D40+'INST. HIDRO'!C40+'INST. HIDRO'!D40+'INST. INC'!C40+'INST. INC'!D40+'INST. ESP'!C40+'INST. ESP'!D40+'ELEVADORES '!C40+'ELEVADORES '!D40+'ESQUADRIAS'!C40+'ESQUADRIAS'!D40+'SERRALHERIA'!C40+'SERRALHERIA'!D40+'MARCENARIA'!C40+'MARCENARIA'!D40+'REV. PISOS'!C40+'REV. PISOS'!D40+'REV. PAREDE'!C40+'REV. PAREDE'!D40+'REV. ACAB'!C40+'REV. ACAB'!D40+'PAVIMENTAÇÃO'!C40+'PAVIMENTAÇÃO'!D40+'REV. FACHADA'!C40+'REV. FACHADA'!D40+'FORRO'!C40+'FORRO'!D40+'LOUÇAS'!C40+'LOUÇAS'!D40+'PINTURA'!C40+'PINTURA'!D40+'PAISAGISMO'!C40+'PAISAGISMO'!D40+'LIMPEZA'!C40+'LIMPEZA'!D40+'TAX. ADM'!C40+'TAX. ADM'!D40+AQ59*'VALOR POR PL'!$P$7+IF(AQ$1='VALOR POR PL'!$P$5,'VALOR POR PL'!$G$63,0)</f>
        <v/>
      </c>
      <c r="AR65" s="54">
        <f>'PROJETO'!C41+'PROJETO'!D41+'SEGUROS'!C41+'SEGUROS'!D41+'TAX. DIVERSAS'!C41+'TAX. DIVERSAS'!D41+'BARRACÃO DE OBRA'!C41+'BARRACÃO DE OBRA'!D41+'LIG. PROVISÓRIAS'!C41+'LIG. PROVISÓRIAS'!D41+'CONSUMOS'!C41+'CONSUMOS'!D41+'DIVERSOS'!C41+'DIVERSOS'!D41+'TRANSPORTES'!C41+'TRANSPORTES'!D41+'CONSULTORIAS'!C41+'CONSULTORIAS'!D41+'MDO'!C41+'MDO'!D41+'EQUIP E FER'!C41+'EQUIP E FER'!D41+'SERV. INICIAIS'!C41+'SERV. INICIAIS'!D41+'CONTENÇÃO'!C41+'CONTENÇÃO'!D41+'TERRAPLENAGEM'!C41+'TERRAPLENAGEM'!D41+'FUND. PROF'!C41+'FUND. PROF'!D41+'FUND. SUP'!C41+'FUND. SUP'!D41+'ESTRUTURA'!C41+'ESTRUTURA'!D41+'ALVENARIA'!C41+'ALVENARIA'!D41+'IMPERMEABILIZAÇÃO'!C41+'IMPERMEABILIZAÇÃO'!D41+'INST. ELÉTRICA'!C41+'INST. ELÉTRICA'!D41+'INST. HIDRO'!C41+'INST. HIDRO'!D41+'INST. INC'!C41+'INST. INC'!D41+'INST. ESP'!C41+'INST. ESP'!D41+'ELEVADORES '!C41+'ELEVADORES '!D41+'ESQUADRIAS'!C41+'ESQUADRIAS'!D41+'SERRALHERIA'!C41+'SERRALHERIA'!D41+'MARCENARIA'!C41+'MARCENARIA'!D41+'REV. PISOS'!C41+'REV. PISOS'!D41+'REV. PAREDE'!C41+'REV. PAREDE'!D41+'REV. ACAB'!C41+'REV. ACAB'!D41+'PAVIMENTAÇÃO'!C41+'PAVIMENTAÇÃO'!D41+'REV. FACHADA'!C41+'REV. FACHADA'!D41+'FORRO'!C41+'FORRO'!D41+'LOUÇAS'!C41+'LOUÇAS'!D41+'PINTURA'!C41+'PINTURA'!D41+'PAISAGISMO'!C41+'PAISAGISMO'!D41+'LIMPEZA'!C41+'LIMPEZA'!D41+'TAX. ADM'!C41+'TAX. ADM'!D41+AR59*'VALOR POR PL'!$P$7+IF(AR$1='VALOR POR PL'!$P$5,'VALOR POR PL'!$G$63,0)</f>
        <v/>
      </c>
      <c r="AS65" s="54">
        <f>'PROJETO'!C42+'PROJETO'!D42+'SEGUROS'!C42+'SEGUROS'!D42+'TAX. DIVERSAS'!C42+'TAX. DIVERSAS'!D42+'BARRACÃO DE OBRA'!C42+'BARRACÃO DE OBRA'!D42+'LIG. PROVISÓRIAS'!C42+'LIG. PROVISÓRIAS'!D42+'CONSUMOS'!C42+'CONSUMOS'!D42+'DIVERSOS'!C42+'DIVERSOS'!D42+'TRANSPORTES'!C42+'TRANSPORTES'!D42+'CONSULTORIAS'!C42+'CONSULTORIAS'!D42+'MDO'!C42+'MDO'!D42+'EQUIP E FER'!C42+'EQUIP E FER'!D42+'SERV. INICIAIS'!C42+'SERV. INICIAIS'!D42+'CONTENÇÃO'!C42+'CONTENÇÃO'!D42+'TERRAPLENAGEM'!C42+'TERRAPLENAGEM'!D42+'FUND. PROF'!C42+'FUND. PROF'!D42+'FUND. SUP'!C42+'FUND. SUP'!D42+'ESTRUTURA'!C42+'ESTRUTURA'!D42+'ALVENARIA'!C42+'ALVENARIA'!D42+'IMPERMEABILIZAÇÃO'!C42+'IMPERMEABILIZAÇÃO'!D42+'INST. ELÉTRICA'!C42+'INST. ELÉTRICA'!D42+'INST. HIDRO'!C42+'INST. HIDRO'!D42+'INST. INC'!C42+'INST. INC'!D42+'INST. ESP'!C42+'INST. ESP'!D42+'ELEVADORES '!C42+'ELEVADORES '!D42+'ESQUADRIAS'!C42+'ESQUADRIAS'!D42+'SERRALHERIA'!C42+'SERRALHERIA'!D42+'MARCENARIA'!C42+'MARCENARIA'!D42+'REV. PISOS'!C42+'REV. PISOS'!D42+'REV. PAREDE'!C42+'REV. PAREDE'!D42+'REV. ACAB'!C42+'REV. ACAB'!D42+'PAVIMENTAÇÃO'!C42+'PAVIMENTAÇÃO'!D42+'REV. FACHADA'!C42+'REV. FACHADA'!D42+'FORRO'!C42+'FORRO'!D42+'LOUÇAS'!C42+'LOUÇAS'!D42+'PINTURA'!C42+'PINTURA'!D42+'PAISAGISMO'!C42+'PAISAGISMO'!D42+'LIMPEZA'!C42+'LIMPEZA'!D42+'TAX. ADM'!C42+'TAX. ADM'!D42+AS59*'VALOR POR PL'!$P$7+IF(AS$1='VALOR POR PL'!$P$5,'VALOR POR PL'!$G$63,0)</f>
        <v/>
      </c>
      <c r="AT65" s="54">
        <f>'PROJETO'!C43+'PROJETO'!D43+'SEGUROS'!C43+'SEGUROS'!D43+'TAX. DIVERSAS'!C43+'TAX. DIVERSAS'!D43+'BARRACÃO DE OBRA'!C43+'BARRACÃO DE OBRA'!D43+'LIG. PROVISÓRIAS'!C43+'LIG. PROVISÓRIAS'!D43+'CONSUMOS'!C43+'CONSUMOS'!D43+'DIVERSOS'!C43+'DIVERSOS'!D43+'TRANSPORTES'!C43+'TRANSPORTES'!D43+'CONSULTORIAS'!C43+'CONSULTORIAS'!D43+'MDO'!C43+'MDO'!D43+'EQUIP E FER'!C43+'EQUIP E FER'!D43+'SERV. INICIAIS'!C43+'SERV. INICIAIS'!D43+'CONTENÇÃO'!C43+'CONTENÇÃO'!D43+'TERRAPLENAGEM'!C43+'TERRAPLENAGEM'!D43+'FUND. PROF'!C43+'FUND. PROF'!D43+'FUND. SUP'!C43+'FUND. SUP'!D43+'ESTRUTURA'!C43+'ESTRUTURA'!D43+'ALVENARIA'!C43+'ALVENARIA'!D43+'IMPERMEABILIZAÇÃO'!C43+'IMPERMEABILIZAÇÃO'!D43+'INST. ELÉTRICA'!C43+'INST. ELÉTRICA'!D43+'INST. HIDRO'!C43+'INST. HIDRO'!D43+'INST. INC'!C43+'INST. INC'!D43+'INST. ESP'!C43+'INST. ESP'!D43+'ELEVADORES '!C43+'ELEVADORES '!D43+'ESQUADRIAS'!C43+'ESQUADRIAS'!D43+'SERRALHERIA'!C43+'SERRALHERIA'!D43+'MARCENARIA'!C43+'MARCENARIA'!D43+'REV. PISOS'!C43+'REV. PISOS'!D43+'REV. PAREDE'!C43+'REV. PAREDE'!D43+'REV. ACAB'!C43+'REV. ACAB'!D43+'PAVIMENTAÇÃO'!C43+'PAVIMENTAÇÃO'!D43+'REV. FACHADA'!C43+'REV. FACHADA'!D43+'FORRO'!C43+'FORRO'!D43+'LOUÇAS'!C43+'LOUÇAS'!D43+'PINTURA'!C43+'PINTURA'!D43+'PAISAGISMO'!C43+'PAISAGISMO'!D43+'LIMPEZA'!C43+'LIMPEZA'!D43+'TAX. ADM'!C43+'TAX. ADM'!D43+AT59*'VALOR POR PL'!$P$7+IF(AT$1='VALOR POR PL'!$P$5,'VALOR POR PL'!$G$63,0)</f>
        <v/>
      </c>
      <c r="AU65" s="54">
        <f>'PROJETO'!C44+'PROJETO'!D44+'SEGUROS'!C44+'SEGUROS'!D44+'TAX. DIVERSAS'!C44+'TAX. DIVERSAS'!D44+'BARRACÃO DE OBRA'!C44+'BARRACÃO DE OBRA'!D44+'LIG. PROVISÓRIAS'!C44+'LIG. PROVISÓRIAS'!D44+'CONSUMOS'!C44+'CONSUMOS'!D44+'DIVERSOS'!C44+'DIVERSOS'!D44+'TRANSPORTES'!C44+'TRANSPORTES'!D44+'CONSULTORIAS'!C44+'CONSULTORIAS'!D44+'MDO'!C44+'MDO'!D44+'EQUIP E FER'!C44+'EQUIP E FER'!D44+'SERV. INICIAIS'!C44+'SERV. INICIAIS'!D44+'CONTENÇÃO'!C44+'CONTENÇÃO'!D44+'TERRAPLENAGEM'!C44+'TERRAPLENAGEM'!D44+'FUND. PROF'!C44+'FUND. PROF'!D44+'FUND. SUP'!C44+'FUND. SUP'!D44+'ESTRUTURA'!C44+'ESTRUTURA'!D44+'ALVENARIA'!C44+'ALVENARIA'!D44+'IMPERMEABILIZAÇÃO'!C44+'IMPERMEABILIZAÇÃO'!D44+'INST. ELÉTRICA'!C44+'INST. ELÉTRICA'!D44+'INST. HIDRO'!C44+'INST. HIDRO'!D44+'INST. INC'!C44+'INST. INC'!D44+'INST. ESP'!C44+'INST. ESP'!D44+'ELEVADORES '!C44+'ELEVADORES '!D44+'ESQUADRIAS'!C44+'ESQUADRIAS'!D44+'SERRALHERIA'!C44+'SERRALHERIA'!D44+'MARCENARIA'!C44+'MARCENARIA'!D44+'REV. PISOS'!C44+'REV. PISOS'!D44+'REV. PAREDE'!C44+'REV. PAREDE'!D44+'REV. ACAB'!C44+'REV. ACAB'!D44+'PAVIMENTAÇÃO'!C44+'PAVIMENTAÇÃO'!D44+'REV. FACHADA'!C44+'REV. FACHADA'!D44+'FORRO'!C44+'FORRO'!D44+'LOUÇAS'!C44+'LOUÇAS'!D44+'PINTURA'!C44+'PINTURA'!D44+'PAISAGISMO'!C44+'PAISAGISMO'!D44+'LIMPEZA'!C44+'LIMPEZA'!D44+'TAX. ADM'!C44+'TAX. ADM'!D44+AU59*'VALOR POR PL'!$P$7+IF(AU$1='VALOR POR PL'!$P$5,'VALOR POR PL'!$G$63,0)</f>
        <v/>
      </c>
      <c r="AV65" s="54">
        <f>'PROJETO'!C45+'PROJETO'!D45+'SEGUROS'!C45+'SEGUROS'!D45+'TAX. DIVERSAS'!C45+'TAX. DIVERSAS'!D45+'BARRACÃO DE OBRA'!C45+'BARRACÃO DE OBRA'!D45+'LIG. PROVISÓRIAS'!C45+'LIG. PROVISÓRIAS'!D45+'CONSUMOS'!C45+'CONSUMOS'!D45+'DIVERSOS'!C45+'DIVERSOS'!D45+'TRANSPORTES'!C45+'TRANSPORTES'!D45+'CONSULTORIAS'!C45+'CONSULTORIAS'!D45+'MDO'!C45+'MDO'!D45+'EQUIP E FER'!C45+'EQUIP E FER'!D45+'SERV. INICIAIS'!C45+'SERV. INICIAIS'!D45+'CONTENÇÃO'!C45+'CONTENÇÃO'!D45+'TERRAPLENAGEM'!C45+'TERRAPLENAGEM'!D45+'FUND. PROF'!C45+'FUND. PROF'!D45+'FUND. SUP'!C45+'FUND. SUP'!D45+'ESTRUTURA'!C45+'ESTRUTURA'!D45+'ALVENARIA'!C45+'ALVENARIA'!D45+'IMPERMEABILIZAÇÃO'!C45+'IMPERMEABILIZAÇÃO'!D45+'INST. ELÉTRICA'!C45+'INST. ELÉTRICA'!D45+'INST. HIDRO'!C45+'INST. HIDRO'!D45+'INST. INC'!C45+'INST. INC'!D45+'INST. ESP'!C45+'INST. ESP'!D45+'ELEVADORES '!C45+'ELEVADORES '!D45+'ESQUADRIAS'!C45+'ESQUADRIAS'!D45+'SERRALHERIA'!C45+'SERRALHERIA'!D45+'MARCENARIA'!C45+'MARCENARIA'!D45+'REV. PISOS'!C45+'REV. PISOS'!D45+'REV. PAREDE'!C45+'REV. PAREDE'!D45+'REV. ACAB'!C45+'REV. ACAB'!D45+'PAVIMENTAÇÃO'!C45+'PAVIMENTAÇÃO'!D45+'REV. FACHADA'!C45+'REV. FACHADA'!D45+'FORRO'!C45+'FORRO'!D45+'LOUÇAS'!C45+'LOUÇAS'!D45+'PINTURA'!C45+'PINTURA'!D45+'PAISAGISMO'!C45+'PAISAGISMO'!D45+'LIMPEZA'!C45+'LIMPEZA'!D45+'TAX. ADM'!C45+'TAX. ADM'!D45+AV59*'VALOR POR PL'!$P$7+IF(AV$1='VALOR POR PL'!$P$5,'VALOR POR PL'!$G$63,0)</f>
        <v/>
      </c>
      <c r="AW65" s="54">
        <f>'PROJETO'!C46+'PROJETO'!D46+'SEGUROS'!C46+'SEGUROS'!D46+'TAX. DIVERSAS'!C46+'TAX. DIVERSAS'!D46+'BARRACÃO DE OBRA'!C46+'BARRACÃO DE OBRA'!D46+'LIG. PROVISÓRIAS'!C46+'LIG. PROVISÓRIAS'!D46+'CONSUMOS'!C46+'CONSUMOS'!D46+'DIVERSOS'!C46+'DIVERSOS'!D46+'TRANSPORTES'!C46+'TRANSPORTES'!D46+'CONSULTORIAS'!C46+'CONSULTORIAS'!D46+'MDO'!C46+'MDO'!D46+'EQUIP E FER'!C46+'EQUIP E FER'!D46+'SERV. INICIAIS'!C46+'SERV. INICIAIS'!D46+'CONTENÇÃO'!C46+'CONTENÇÃO'!D46+'TERRAPLENAGEM'!C46+'TERRAPLENAGEM'!D46+'FUND. PROF'!C46+'FUND. PROF'!D46+'FUND. SUP'!C46+'FUND. SUP'!D46+'ESTRUTURA'!C46+'ESTRUTURA'!D46+'ALVENARIA'!C46+'ALVENARIA'!D46+'IMPERMEABILIZAÇÃO'!C46+'IMPERMEABILIZAÇÃO'!D46+'INST. ELÉTRICA'!C46+'INST. ELÉTRICA'!D46+'INST. HIDRO'!C46+'INST. HIDRO'!D46+'INST. INC'!C46+'INST. INC'!D46+'INST. ESP'!C46+'INST. ESP'!D46+'ELEVADORES '!C46+'ELEVADORES '!D46+'ESQUADRIAS'!C46+'ESQUADRIAS'!D46+'SERRALHERIA'!C46+'SERRALHERIA'!D46+'MARCENARIA'!C46+'MARCENARIA'!D46+'REV. PISOS'!C46+'REV. PISOS'!D46+'REV. PAREDE'!C46+'REV. PAREDE'!D46+'REV. ACAB'!C46+'REV. ACAB'!D46+'PAVIMENTAÇÃO'!C46+'PAVIMENTAÇÃO'!D46+'REV. FACHADA'!C46+'REV. FACHADA'!D46+'FORRO'!C46+'FORRO'!D46+'LOUÇAS'!C46+'LOUÇAS'!D46+'PINTURA'!C46+'PINTURA'!D46+'PAISAGISMO'!C46+'PAISAGISMO'!D46+'LIMPEZA'!C46+'LIMPEZA'!D46+'TAX. ADM'!C46+'TAX. ADM'!D46+AW59*'VALOR POR PL'!$P$7+IF(AW$1='VALOR POR PL'!$P$5,'VALOR POR PL'!$G$63,0)</f>
        <v/>
      </c>
      <c r="AX65" s="54">
        <f>'PROJETO'!C47+'PROJETO'!D47+'SEGUROS'!C47+'SEGUROS'!D47+'TAX. DIVERSAS'!C47+'TAX. DIVERSAS'!D47+'BARRACÃO DE OBRA'!C47+'BARRACÃO DE OBRA'!D47+'LIG. PROVISÓRIAS'!C47+'LIG. PROVISÓRIAS'!D47+'CONSUMOS'!C47+'CONSUMOS'!D47+'DIVERSOS'!C47+'DIVERSOS'!D47+'TRANSPORTES'!C47+'TRANSPORTES'!D47+'CONSULTORIAS'!C47+'CONSULTORIAS'!D47+'MDO'!C47+'MDO'!D47+'EQUIP E FER'!C47+'EQUIP E FER'!D47+'SERV. INICIAIS'!C47+'SERV. INICIAIS'!D47+'CONTENÇÃO'!C47+'CONTENÇÃO'!D47+'TERRAPLENAGEM'!C47+'TERRAPLENAGEM'!D47+'FUND. PROF'!C47+'FUND. PROF'!D47+'FUND. SUP'!C47+'FUND. SUP'!D47+'ESTRUTURA'!C47+'ESTRUTURA'!D47+'ALVENARIA'!C47+'ALVENARIA'!D47+'IMPERMEABILIZAÇÃO'!C47+'IMPERMEABILIZAÇÃO'!D47+'INST. ELÉTRICA'!C47+'INST. ELÉTRICA'!D47+'INST. HIDRO'!C47+'INST. HIDRO'!D47+'INST. INC'!C47+'INST. INC'!D47+'INST. ESP'!C47+'INST. ESP'!D47+'ELEVADORES '!C47+'ELEVADORES '!D47+'ESQUADRIAS'!C47+'ESQUADRIAS'!D47+'SERRALHERIA'!C47+'SERRALHERIA'!D47+'MARCENARIA'!C47+'MARCENARIA'!D47+'REV. PISOS'!C47+'REV. PISOS'!D47+'REV. PAREDE'!C47+'REV. PAREDE'!D47+'REV. ACAB'!C47+'REV. ACAB'!D47+'PAVIMENTAÇÃO'!C47+'PAVIMENTAÇÃO'!D47+'REV. FACHADA'!C47+'REV. FACHADA'!D47+'FORRO'!C47+'FORRO'!D47+'LOUÇAS'!C47+'LOUÇAS'!D47+'PINTURA'!C47+'PINTURA'!D47+'PAISAGISMO'!C47+'PAISAGISMO'!D47+'LIMPEZA'!C47+'LIMPEZA'!D47+'TAX. ADM'!C47+'TAX. ADM'!D47+AX59*'VALOR POR PL'!$P$7+IF(AX$1='VALOR POR PL'!$P$5,'VALOR POR PL'!$G$63,0)</f>
        <v/>
      </c>
      <c r="AY65" s="54">
        <f>'PROJETO'!C48+'PROJETO'!D48+'SEGUROS'!C48+'SEGUROS'!D48+'TAX. DIVERSAS'!C48+'TAX. DIVERSAS'!D48+'BARRACÃO DE OBRA'!C48+'BARRACÃO DE OBRA'!D48+'LIG. PROVISÓRIAS'!C48+'LIG. PROVISÓRIAS'!D48+'CONSUMOS'!C48+'CONSUMOS'!D48+'DIVERSOS'!C48+'DIVERSOS'!D48+'TRANSPORTES'!C48+'TRANSPORTES'!D48+'CONSULTORIAS'!C48+'CONSULTORIAS'!D48+'MDO'!C48+'MDO'!D48+'EQUIP E FER'!C48+'EQUIP E FER'!D48+'SERV. INICIAIS'!C48+'SERV. INICIAIS'!D48+'CONTENÇÃO'!C48+'CONTENÇÃO'!D48+'TERRAPLENAGEM'!C48+'TERRAPLENAGEM'!D48+'FUND. PROF'!C48+'FUND. PROF'!D48+'FUND. SUP'!C48+'FUND. SUP'!D48+'ESTRUTURA'!C48+'ESTRUTURA'!D48+'ALVENARIA'!C48+'ALVENARIA'!D48+'IMPERMEABILIZAÇÃO'!C48+'IMPERMEABILIZAÇÃO'!D48+'INST. ELÉTRICA'!C48+'INST. ELÉTRICA'!D48+'INST. HIDRO'!C48+'INST. HIDRO'!D48+'INST. INC'!C48+'INST. INC'!D48+'INST. ESP'!C48+'INST. ESP'!D48+'ELEVADORES '!C48+'ELEVADORES '!D48+'ESQUADRIAS'!C48+'ESQUADRIAS'!D48+'SERRALHERIA'!C48+'SERRALHERIA'!D48+'MARCENARIA'!C48+'MARCENARIA'!D48+'REV. PISOS'!C48+'REV. PISOS'!D48+'REV. PAREDE'!C48+'REV. PAREDE'!D48+'REV. ACAB'!C48+'REV. ACAB'!D48+'PAVIMENTAÇÃO'!C48+'PAVIMENTAÇÃO'!D48+'REV. FACHADA'!C48+'REV. FACHADA'!D48+'FORRO'!C48+'FORRO'!D48+'LOUÇAS'!C48+'LOUÇAS'!D48+'PINTURA'!C48+'PINTURA'!D48+'PAISAGISMO'!C48+'PAISAGISMO'!D48+'LIMPEZA'!C48+'LIMPEZA'!D48+'TAX. ADM'!C48+'TAX. ADM'!D48+AY59*'VALOR POR PL'!$P$7+IF(AY$1='VALOR POR PL'!$P$5,'VALOR POR PL'!$G$63,0)</f>
        <v/>
      </c>
      <c r="AZ65" s="54">
        <f>'PROJETO'!C49+'PROJETO'!D49+'SEGUROS'!C49+'SEGUROS'!D49+'TAX. DIVERSAS'!C49+'TAX. DIVERSAS'!D49+'BARRACÃO DE OBRA'!C49+'BARRACÃO DE OBRA'!D49+'LIG. PROVISÓRIAS'!C49+'LIG. PROVISÓRIAS'!D49+'CONSUMOS'!C49+'CONSUMOS'!D49+'DIVERSOS'!C49+'DIVERSOS'!D49+'TRANSPORTES'!C49+'TRANSPORTES'!D49+'CONSULTORIAS'!C49+'CONSULTORIAS'!D49+'MDO'!C49+'MDO'!D49+'EQUIP E FER'!C49+'EQUIP E FER'!D49+'SERV. INICIAIS'!C49+'SERV. INICIAIS'!D49+'CONTENÇÃO'!C49+'CONTENÇÃO'!D49+'TERRAPLENAGEM'!C49+'TERRAPLENAGEM'!D49+'FUND. PROF'!C49+'FUND. PROF'!D49+'FUND. SUP'!C49+'FUND. SUP'!D49+'ESTRUTURA'!C49+'ESTRUTURA'!D49+'ALVENARIA'!C49+'ALVENARIA'!D49+'IMPERMEABILIZAÇÃO'!C49+'IMPERMEABILIZAÇÃO'!D49+'INST. ELÉTRICA'!C49+'INST. ELÉTRICA'!D49+'INST. HIDRO'!C49+'INST. HIDRO'!D49+'INST. INC'!C49+'INST. INC'!D49+'INST. ESP'!C49+'INST. ESP'!D49+'ELEVADORES '!C49+'ELEVADORES '!D49+'ESQUADRIAS'!C49+'ESQUADRIAS'!D49+'SERRALHERIA'!C49+'SERRALHERIA'!D49+'MARCENARIA'!C49+'MARCENARIA'!D49+'REV. PISOS'!C49+'REV. PISOS'!D49+'REV. PAREDE'!C49+'REV. PAREDE'!D49+'REV. ACAB'!C49+'REV. ACAB'!D49+'PAVIMENTAÇÃO'!C49+'PAVIMENTAÇÃO'!D49+'REV. FACHADA'!C49+'REV. FACHADA'!D49+'FORRO'!C49+'FORRO'!D49+'LOUÇAS'!C49+'LOUÇAS'!D49+'PINTURA'!C49+'PINTURA'!D49+'PAISAGISMO'!C49+'PAISAGISMO'!D49+'LIMPEZA'!C49+'LIMPEZA'!D49+'TAX. ADM'!C49+'TAX. ADM'!D49+AZ59*'VALOR POR PL'!$P$7+IF(AZ$1='VALOR POR PL'!$P$5,'VALOR POR PL'!$G$63,0)</f>
        <v/>
      </c>
      <c r="BA65" s="54">
        <f>'PROJETO'!C50+'PROJETO'!D50+'SEGUROS'!C50+'SEGUROS'!D50+'TAX. DIVERSAS'!C50+'TAX. DIVERSAS'!D50+'BARRACÃO DE OBRA'!C50+'BARRACÃO DE OBRA'!D50+'LIG. PROVISÓRIAS'!C50+'LIG. PROVISÓRIAS'!D50+'CONSUMOS'!C50+'CONSUMOS'!D50+'DIVERSOS'!C50+'DIVERSOS'!D50+'TRANSPORTES'!C50+'TRANSPORTES'!D50+'CONSULTORIAS'!C50+'CONSULTORIAS'!D50+'MDO'!C50+'MDO'!D50+'EQUIP E FER'!C50+'EQUIP E FER'!D50+'SERV. INICIAIS'!C50+'SERV. INICIAIS'!D50+'CONTENÇÃO'!C50+'CONTENÇÃO'!D50+'TERRAPLENAGEM'!C50+'TERRAPLENAGEM'!D50+'FUND. PROF'!C50+'FUND. PROF'!D50+'FUND. SUP'!C50+'FUND. SUP'!D50+'ESTRUTURA'!C50+'ESTRUTURA'!D50+'ALVENARIA'!C50+'ALVENARIA'!D50+'IMPERMEABILIZAÇÃO'!C50+'IMPERMEABILIZAÇÃO'!D50+'INST. ELÉTRICA'!C50+'INST. ELÉTRICA'!D50+'INST. HIDRO'!C50+'INST. HIDRO'!D50+'INST. INC'!C50+'INST. INC'!D50+'INST. ESP'!C50+'INST. ESP'!D50+'ELEVADORES '!C50+'ELEVADORES '!D50+'ESQUADRIAS'!C50+'ESQUADRIAS'!D50+'SERRALHERIA'!C50+'SERRALHERIA'!D50+'MARCENARIA'!C50+'MARCENARIA'!D50+'REV. PISOS'!C50+'REV. PISOS'!D50+'REV. PAREDE'!C50+'REV. PAREDE'!D50+'REV. ACAB'!C50+'REV. ACAB'!D50+'PAVIMENTAÇÃO'!C50+'PAVIMENTAÇÃO'!D50+'REV. FACHADA'!C50+'REV. FACHADA'!D50+'FORRO'!C50+'FORRO'!D50+'LOUÇAS'!C50+'LOUÇAS'!D50+'PINTURA'!C50+'PINTURA'!D50+'PAISAGISMO'!C50+'PAISAGISMO'!D50+'LIMPEZA'!C50+'LIMPEZA'!D50+'TAX. ADM'!C50+'TAX. ADM'!D50+BA59*'VALOR POR PL'!$P$7+IF(BA$1='VALOR POR PL'!$P$5,'VALOR POR PL'!$G$63,0)</f>
        <v/>
      </c>
      <c r="BB65" s="54">
        <f>'PROJETO'!C51+'PROJETO'!D51+'SEGUROS'!C51+'SEGUROS'!D51+'TAX. DIVERSAS'!C51+'TAX. DIVERSAS'!D51+'BARRACÃO DE OBRA'!C51+'BARRACÃO DE OBRA'!D51+'LIG. PROVISÓRIAS'!C51+'LIG. PROVISÓRIAS'!D51+'CONSUMOS'!C51+'CONSUMOS'!D51+'DIVERSOS'!C51+'DIVERSOS'!D51+'TRANSPORTES'!C51+'TRANSPORTES'!D51+'CONSULTORIAS'!C51+'CONSULTORIAS'!D51+'MDO'!C51+'MDO'!D51+'EQUIP E FER'!C51+'EQUIP E FER'!D51+'SERV. INICIAIS'!C51+'SERV. INICIAIS'!D51+'CONTENÇÃO'!C51+'CONTENÇÃO'!D51+'TERRAPLENAGEM'!C51+'TERRAPLENAGEM'!D51+'FUND. PROF'!C51+'FUND. PROF'!D51+'FUND. SUP'!C51+'FUND. SUP'!D51+'ESTRUTURA'!C51+'ESTRUTURA'!D51+'ALVENARIA'!C51+'ALVENARIA'!D51+'IMPERMEABILIZAÇÃO'!C51+'IMPERMEABILIZAÇÃO'!D51+'INST. ELÉTRICA'!C51+'INST. ELÉTRICA'!D51+'INST. HIDRO'!C51+'INST. HIDRO'!D51+'INST. INC'!C51+'INST. INC'!D51+'INST. ESP'!C51+'INST. ESP'!D51+'ELEVADORES '!C51+'ELEVADORES '!D51+'ESQUADRIAS'!C51+'ESQUADRIAS'!D51+'SERRALHERIA'!C51+'SERRALHERIA'!D51+'MARCENARIA'!C51+'MARCENARIA'!D51+'REV. PISOS'!C51+'REV. PISOS'!D51+'REV. PAREDE'!C51+'REV. PAREDE'!D51+'REV. ACAB'!C51+'REV. ACAB'!D51+'PAVIMENTAÇÃO'!C51+'PAVIMENTAÇÃO'!D51+'REV. FACHADA'!C51+'REV. FACHADA'!D51+'FORRO'!C51+'FORRO'!D51+'LOUÇAS'!C51+'LOUÇAS'!D51+'PINTURA'!C51+'PINTURA'!D51+'PAISAGISMO'!C51+'PAISAGISMO'!D51+'LIMPEZA'!C51+'LIMPEZA'!D51+'TAX. ADM'!C51+'TAX. ADM'!D51+BB59*'VALOR POR PL'!$P$7+IF(BB$1='VALOR POR PL'!$P$5,'VALOR POR PL'!$G$63,0)</f>
        <v/>
      </c>
      <c r="BC65" s="54">
        <f>'PROJETO'!C52+'PROJETO'!D52+'SEGUROS'!C52+'SEGUROS'!D52+'TAX. DIVERSAS'!C52+'TAX. DIVERSAS'!D52+'BARRACÃO DE OBRA'!C52+'BARRACÃO DE OBRA'!D52+'LIG. PROVISÓRIAS'!C52+'LIG. PROVISÓRIAS'!D52+'CONSUMOS'!C52+'CONSUMOS'!D52+'DIVERSOS'!C52+'DIVERSOS'!D52+'TRANSPORTES'!C52+'TRANSPORTES'!D52+'CONSULTORIAS'!C52+'CONSULTORIAS'!D52+'MDO'!C52+'MDO'!D52+'EQUIP E FER'!C52+'EQUIP E FER'!D52+'SERV. INICIAIS'!C52+'SERV. INICIAIS'!D52+'CONTENÇÃO'!C52+'CONTENÇÃO'!D52+'TERRAPLENAGEM'!C52+'TERRAPLENAGEM'!D52+'FUND. PROF'!C52+'FUND. PROF'!D52+'FUND. SUP'!C52+'FUND. SUP'!D52+'ESTRUTURA'!C52+'ESTRUTURA'!D52+'ALVENARIA'!C52+'ALVENARIA'!D52+'IMPERMEABILIZAÇÃO'!C52+'IMPERMEABILIZAÇÃO'!D52+'INST. ELÉTRICA'!C52+'INST. ELÉTRICA'!D52+'INST. HIDRO'!C52+'INST. HIDRO'!D52+'INST. INC'!C52+'INST. INC'!D52+'INST. ESP'!C52+'INST. ESP'!D52+'ELEVADORES '!C52+'ELEVADORES '!D52+'ESQUADRIAS'!C52+'ESQUADRIAS'!D52+'SERRALHERIA'!C52+'SERRALHERIA'!D52+'MARCENARIA'!C52+'MARCENARIA'!D52+'REV. PISOS'!C52+'REV. PISOS'!D52+'REV. PAREDE'!C52+'REV. PAREDE'!D52+'REV. ACAB'!C52+'REV. ACAB'!D52+'PAVIMENTAÇÃO'!C52+'PAVIMENTAÇÃO'!D52+'REV. FACHADA'!C52+'REV. FACHADA'!D52+'FORRO'!C52+'FORRO'!D52+'LOUÇAS'!C52+'LOUÇAS'!D52+'PINTURA'!C52+'PINTURA'!D52+'PAISAGISMO'!C52+'PAISAGISMO'!D52+'LIMPEZA'!C52+'LIMPEZA'!D52+'TAX. ADM'!C52+'TAX. ADM'!D52+BC59*'VALOR POR PL'!$P$7+IF(BC$1='VALOR POR PL'!$P$5,'VALOR POR PL'!$G$63,0)</f>
        <v/>
      </c>
      <c r="BD65" s="54">
        <f>'PROJETO'!C53+'PROJETO'!D53+'SEGUROS'!C53+'SEGUROS'!D53+'TAX. DIVERSAS'!C53+'TAX. DIVERSAS'!D53+'BARRACÃO DE OBRA'!C53+'BARRACÃO DE OBRA'!D53+'LIG. PROVISÓRIAS'!C53+'LIG. PROVISÓRIAS'!D53+'CONSUMOS'!C53+'CONSUMOS'!D53+'DIVERSOS'!C53+'DIVERSOS'!D53+'TRANSPORTES'!C53+'TRANSPORTES'!D53+'CONSULTORIAS'!C53+'CONSULTORIAS'!D53+'MDO'!C53+'MDO'!D53+'EQUIP E FER'!C53+'EQUIP E FER'!D53+'SERV. INICIAIS'!C53+'SERV. INICIAIS'!D53+'CONTENÇÃO'!C53+'CONTENÇÃO'!D53+'TERRAPLENAGEM'!C53+'TERRAPLENAGEM'!D53+'FUND. PROF'!C53+'FUND. PROF'!D53+'FUND. SUP'!C53+'FUND. SUP'!D53+'ESTRUTURA'!C53+'ESTRUTURA'!D53+'ALVENARIA'!C53+'ALVENARIA'!D53+'IMPERMEABILIZAÇÃO'!C53+'IMPERMEABILIZAÇÃO'!D53+'INST. ELÉTRICA'!C53+'INST. ELÉTRICA'!D53+'INST. HIDRO'!C53+'INST. HIDRO'!D53+'INST. INC'!C53+'INST. INC'!D53+'INST. ESP'!C53+'INST. ESP'!D53+'ELEVADORES '!C53+'ELEVADORES '!D53+'ESQUADRIAS'!C53+'ESQUADRIAS'!D53+'SERRALHERIA'!C53+'SERRALHERIA'!D53+'MARCENARIA'!C53+'MARCENARIA'!D53+'REV. PISOS'!C53+'REV. PISOS'!D53+'REV. PAREDE'!C53+'REV. PAREDE'!D53+'REV. ACAB'!C53+'REV. ACAB'!D53+'PAVIMENTAÇÃO'!C53+'PAVIMENTAÇÃO'!D53+'REV. FACHADA'!C53+'REV. FACHADA'!D53+'FORRO'!C53+'FORRO'!D53+'LOUÇAS'!C53+'LOUÇAS'!D53+'PINTURA'!C53+'PINTURA'!D53+'PAISAGISMO'!C53+'PAISAGISMO'!D53+'LIMPEZA'!C53+'LIMPEZA'!D53+'TAX. ADM'!C53+'TAX. ADM'!D53+BD59*'VALOR POR PL'!$P$7+IF(BD$1='VALOR POR PL'!$P$5,'VALOR POR PL'!$G$63,0)</f>
        <v/>
      </c>
      <c r="BE65" s="54">
        <f>'PROJETO'!C54+'PROJETO'!D54+'SEGUROS'!C54+'SEGUROS'!D54+'TAX. DIVERSAS'!C54+'TAX. DIVERSAS'!D54+'BARRACÃO DE OBRA'!C54+'BARRACÃO DE OBRA'!D54+'LIG. PROVISÓRIAS'!C54+'LIG. PROVISÓRIAS'!D54+'CONSUMOS'!C54+'CONSUMOS'!D54+'DIVERSOS'!C54+'DIVERSOS'!D54+'TRANSPORTES'!C54+'TRANSPORTES'!D54+'CONSULTORIAS'!C54+'CONSULTORIAS'!D54+'MDO'!C54+'MDO'!D54+'EQUIP E FER'!C54+'EQUIP E FER'!D54+'SERV. INICIAIS'!C54+'SERV. INICIAIS'!D54+'CONTENÇÃO'!C54+'CONTENÇÃO'!D54+'TERRAPLENAGEM'!C54+'TERRAPLENAGEM'!D54+'FUND. PROF'!C54+'FUND. PROF'!D54+'FUND. SUP'!C54+'FUND. SUP'!D54+'ESTRUTURA'!C54+'ESTRUTURA'!D54+'ALVENARIA'!C54+'ALVENARIA'!D54+'IMPERMEABILIZAÇÃO'!C54+'IMPERMEABILIZAÇÃO'!D54+'INST. ELÉTRICA'!C54+'INST. ELÉTRICA'!D54+'INST. HIDRO'!C54+'INST. HIDRO'!D54+'INST. INC'!C54+'INST. INC'!D54+'INST. ESP'!C54+'INST. ESP'!D54+'ELEVADORES '!C54+'ELEVADORES '!D54+'ESQUADRIAS'!C54+'ESQUADRIAS'!D54+'SERRALHERIA'!C54+'SERRALHERIA'!D54+'MARCENARIA'!C54+'MARCENARIA'!D54+'REV. PISOS'!C54+'REV. PISOS'!D54+'REV. PAREDE'!C54+'REV. PAREDE'!D54+'REV. ACAB'!C54+'REV. ACAB'!D54+'PAVIMENTAÇÃO'!C54+'PAVIMENTAÇÃO'!D54+'REV. FACHADA'!C54+'REV. FACHADA'!D54+'FORRO'!C54+'FORRO'!D54+'LOUÇAS'!C54+'LOUÇAS'!D54+'PINTURA'!C54+'PINTURA'!D54+'PAISAGISMO'!C54+'PAISAGISMO'!D54+'LIMPEZA'!C54+'LIMPEZA'!D54+'TAX. ADM'!C54+'TAX. ADM'!D54+BE59*'VALOR POR PL'!$P$7+IF(BE$1='VALOR POR PL'!$P$5,'VALOR POR PL'!$G$63,0)</f>
        <v/>
      </c>
      <c r="BF65" s="54">
        <f>'PROJETO'!C55+'PROJETO'!D55+'SEGUROS'!C55+'SEGUROS'!D55+'TAX. DIVERSAS'!C55+'TAX. DIVERSAS'!D55+'BARRACÃO DE OBRA'!C55+'BARRACÃO DE OBRA'!D55+'LIG. PROVISÓRIAS'!C55+'LIG. PROVISÓRIAS'!D55+'CONSUMOS'!C55+'CONSUMOS'!D55+'DIVERSOS'!C55+'DIVERSOS'!D55+'TRANSPORTES'!C55+'TRANSPORTES'!D55+'CONSULTORIAS'!C55+'CONSULTORIAS'!D55+'MDO'!C55+'MDO'!D55+'EQUIP E FER'!C55+'EQUIP E FER'!D55+'SERV. INICIAIS'!C55+'SERV. INICIAIS'!D55+'CONTENÇÃO'!C55+'CONTENÇÃO'!D55+'TERRAPLENAGEM'!C55+'TERRAPLENAGEM'!D55+'FUND. PROF'!C55+'FUND. PROF'!D55+'FUND. SUP'!C55+'FUND. SUP'!D55+'ESTRUTURA'!C55+'ESTRUTURA'!D55+'ALVENARIA'!C55+'ALVENARIA'!D55+'IMPERMEABILIZAÇÃO'!C55+'IMPERMEABILIZAÇÃO'!D55+'INST. ELÉTRICA'!C55+'INST. ELÉTRICA'!D55+'INST. HIDRO'!C55+'INST. HIDRO'!D55+'INST. INC'!C55+'INST. INC'!D55+'INST. ESP'!C55+'INST. ESP'!D55+'ELEVADORES '!C55+'ELEVADORES '!D55+'ESQUADRIAS'!C55+'ESQUADRIAS'!D55+'SERRALHERIA'!C55+'SERRALHERIA'!D55+'MARCENARIA'!C55+'MARCENARIA'!D55+'REV. PISOS'!C55+'REV. PISOS'!D55+'REV. PAREDE'!C55+'REV. PAREDE'!D55+'REV. ACAB'!C55+'REV. ACAB'!D55+'PAVIMENTAÇÃO'!C55+'PAVIMENTAÇÃO'!D55+'REV. FACHADA'!C55+'REV. FACHADA'!D55+'FORRO'!C55+'FORRO'!D55+'LOUÇAS'!C55+'LOUÇAS'!D55+'PINTURA'!C55+'PINTURA'!D55+'PAISAGISMO'!C55+'PAISAGISMO'!D55+'LIMPEZA'!C55+'LIMPEZA'!D55+'TAX. ADM'!C55+'TAX. ADM'!D55+BF59*'VALOR POR PL'!$P$7+IF(BF$1='VALOR POR PL'!$P$5,'VALOR POR PL'!$G$63,0)</f>
        <v/>
      </c>
      <c r="BG65" s="54">
        <f>'PROJETO'!C56+'PROJETO'!D56+'SEGUROS'!C56+'SEGUROS'!D56+'TAX. DIVERSAS'!C56+'TAX. DIVERSAS'!D56+'BARRACÃO DE OBRA'!C56+'BARRACÃO DE OBRA'!D56+'LIG. PROVISÓRIAS'!C56+'LIG. PROVISÓRIAS'!D56+'CONSUMOS'!C56+'CONSUMOS'!D56+'DIVERSOS'!C56+'DIVERSOS'!D56+'TRANSPORTES'!C56+'TRANSPORTES'!D56+'CONSULTORIAS'!C56+'CONSULTORIAS'!D56+'MDO'!C56+'MDO'!D56+'EQUIP E FER'!C56+'EQUIP E FER'!D56+'SERV. INICIAIS'!C56+'SERV. INICIAIS'!D56+'CONTENÇÃO'!C56+'CONTENÇÃO'!D56+'TERRAPLENAGEM'!C56+'TERRAPLENAGEM'!D56+'FUND. PROF'!C56+'FUND. PROF'!D56+'FUND. SUP'!C56+'FUND. SUP'!D56+'ESTRUTURA'!C56+'ESTRUTURA'!D56+'ALVENARIA'!C56+'ALVENARIA'!D56+'IMPERMEABILIZAÇÃO'!C56+'IMPERMEABILIZAÇÃO'!D56+'INST. ELÉTRICA'!C56+'INST. ELÉTRICA'!D56+'INST. HIDRO'!C56+'INST. HIDRO'!D56+'INST. INC'!C56+'INST. INC'!D56+'INST. ESP'!C56+'INST. ESP'!D56+'ELEVADORES '!C56+'ELEVADORES '!D56+'ESQUADRIAS'!C56+'ESQUADRIAS'!D56+'SERRALHERIA'!C56+'SERRALHERIA'!D56+'MARCENARIA'!C56+'MARCENARIA'!D56+'REV. PISOS'!C56+'REV. PISOS'!D56+'REV. PAREDE'!C56+'REV. PAREDE'!D56+'REV. ACAB'!C56+'REV. ACAB'!D56+'PAVIMENTAÇÃO'!C56+'PAVIMENTAÇÃO'!D56+'REV. FACHADA'!C56+'REV. FACHADA'!D56+'FORRO'!C56+'FORRO'!D56+'LOUÇAS'!C56+'LOUÇAS'!D56+'PINTURA'!C56+'PINTURA'!D56+'PAISAGISMO'!C56+'PAISAGISMO'!D56+'LIMPEZA'!C56+'LIMPEZA'!D56+'TAX. ADM'!C56+'TAX. ADM'!D56+BG59*'VALOR POR PL'!$P$7+IF(BG$1='VALOR POR PL'!$P$5,'VALOR POR PL'!$G$63,0)</f>
        <v/>
      </c>
      <c r="BH65" s="54">
        <f>'PROJETO'!C57+'PROJETO'!D57+'SEGUROS'!C57+'SEGUROS'!D57+'TAX. DIVERSAS'!C57+'TAX. DIVERSAS'!D57+'BARRACÃO DE OBRA'!C57+'BARRACÃO DE OBRA'!D57+'LIG. PROVISÓRIAS'!C57+'LIG. PROVISÓRIAS'!D57+'CONSUMOS'!C57+'CONSUMOS'!D57+'DIVERSOS'!C57+'DIVERSOS'!D57+'TRANSPORTES'!C57+'TRANSPORTES'!D57+'CONSULTORIAS'!C57+'CONSULTORIAS'!D57+'MDO'!C57+'MDO'!D57+'EQUIP E FER'!C57+'EQUIP E FER'!D57+'SERV. INICIAIS'!C57+'SERV. INICIAIS'!D57+'CONTENÇÃO'!C57+'CONTENÇÃO'!D57+'TERRAPLENAGEM'!C57+'TERRAPLENAGEM'!D57+'FUND. PROF'!C57+'FUND. PROF'!D57+'FUND. SUP'!C57+'FUND. SUP'!D57+'ESTRUTURA'!C57+'ESTRUTURA'!D57+'ALVENARIA'!C57+'ALVENARIA'!D57+'IMPERMEABILIZAÇÃO'!C57+'IMPERMEABILIZAÇÃO'!D57+'INST. ELÉTRICA'!C57+'INST. ELÉTRICA'!D57+'INST. HIDRO'!C57+'INST. HIDRO'!D57+'INST. INC'!C57+'INST. INC'!D57+'INST. ESP'!C57+'INST. ESP'!D57+'ELEVADORES '!C57+'ELEVADORES '!D57+'ESQUADRIAS'!C57+'ESQUADRIAS'!D57+'SERRALHERIA'!C57+'SERRALHERIA'!D57+'MARCENARIA'!C57+'MARCENARIA'!D57+'REV. PISOS'!C57+'REV. PISOS'!D57+'REV. PAREDE'!C57+'REV. PAREDE'!D57+'REV. ACAB'!C57+'REV. ACAB'!D57+'PAVIMENTAÇÃO'!C57+'PAVIMENTAÇÃO'!D57+'REV. FACHADA'!C57+'REV. FACHADA'!D57+'FORRO'!C57+'FORRO'!D57+'LOUÇAS'!C57+'LOUÇAS'!D57+'PINTURA'!C57+'PINTURA'!D57+'PAISAGISMO'!C57+'PAISAGISMO'!D57+'LIMPEZA'!C57+'LIMPEZA'!D57+'TAX. ADM'!C57+'TAX. ADM'!D57+BH59*'VALOR POR PL'!$P$7+IF(BH$1='VALOR POR PL'!$P$5,'VALOR POR PL'!$G$63,0)</f>
        <v/>
      </c>
      <c r="BI65" s="54">
        <f>'PROJETO'!C58+'PROJETO'!D58+'SEGUROS'!C58+'SEGUROS'!D58+'TAX. DIVERSAS'!C58+'TAX. DIVERSAS'!D58+'BARRACÃO DE OBRA'!C58+'BARRACÃO DE OBRA'!D58+'LIG. PROVISÓRIAS'!C58+'LIG. PROVISÓRIAS'!D58+'CONSUMOS'!C58+'CONSUMOS'!D58+'DIVERSOS'!C58+'DIVERSOS'!D58+'TRANSPORTES'!C58+'TRANSPORTES'!D58+'CONSULTORIAS'!C58+'CONSULTORIAS'!D58+'MDO'!C58+'MDO'!D58+'EQUIP E FER'!C58+'EQUIP E FER'!D58+'SERV. INICIAIS'!C58+'SERV. INICIAIS'!D58+'CONTENÇÃO'!C58+'CONTENÇÃO'!D58+'TERRAPLENAGEM'!C58+'TERRAPLENAGEM'!D58+'FUND. PROF'!C58+'FUND. PROF'!D58+'FUND. SUP'!C58+'FUND. SUP'!D58+'ESTRUTURA'!C58+'ESTRUTURA'!D58+'ALVENARIA'!C58+'ALVENARIA'!D58+'IMPERMEABILIZAÇÃO'!C58+'IMPERMEABILIZAÇÃO'!D58+'INST. ELÉTRICA'!C58+'INST. ELÉTRICA'!D58+'INST. HIDRO'!C58+'INST. HIDRO'!D58+'INST. INC'!C58+'INST. INC'!D58+'INST. ESP'!C58+'INST. ESP'!D58+'ELEVADORES '!C58+'ELEVADORES '!D58+'ESQUADRIAS'!C58+'ESQUADRIAS'!D58+'SERRALHERIA'!C58+'SERRALHERIA'!D58+'MARCENARIA'!C58+'MARCENARIA'!D58+'REV. PISOS'!C58+'REV. PISOS'!D58+'REV. PAREDE'!C58+'REV. PAREDE'!D58+'REV. ACAB'!C58+'REV. ACAB'!D58+'PAVIMENTAÇÃO'!C58+'PAVIMENTAÇÃO'!D58+'REV. FACHADA'!C58+'REV. FACHADA'!D58+'FORRO'!C58+'FORRO'!D58+'LOUÇAS'!C58+'LOUÇAS'!D58+'PINTURA'!C58+'PINTURA'!D58+'PAISAGISMO'!C58+'PAISAGISMO'!D58+'LIMPEZA'!C58+'LIMPEZA'!D58+'TAX. ADM'!C58+'TAX. ADM'!D58+BI59*'VALOR POR PL'!$P$7+IF(BI$1='VALOR POR PL'!$P$5,'VALOR POR PL'!$G$63,0)</f>
        <v/>
      </c>
      <c r="BJ65" s="54">
        <f>'PROJETO'!C59+'PROJETO'!D59+'SEGUROS'!C59+'SEGUROS'!D59+'TAX. DIVERSAS'!C59+'TAX. DIVERSAS'!D59+'BARRACÃO DE OBRA'!C59+'BARRACÃO DE OBRA'!D59+'LIG. PROVISÓRIAS'!C59+'LIG. PROVISÓRIAS'!D59+'CONSUMOS'!C59+'CONSUMOS'!D59+'DIVERSOS'!C59+'DIVERSOS'!D59+'TRANSPORTES'!C59+'TRANSPORTES'!D59+'CONSULTORIAS'!C59+'CONSULTORIAS'!D59+'MDO'!C59+'MDO'!D59+'EQUIP E FER'!C59+'EQUIP E FER'!D59+'SERV. INICIAIS'!C59+'SERV. INICIAIS'!D59+'CONTENÇÃO'!C59+'CONTENÇÃO'!D59+'TERRAPLENAGEM'!C59+'TERRAPLENAGEM'!D59+'FUND. PROF'!C59+'FUND. PROF'!D59+'FUND. SUP'!C59+'FUND. SUP'!D59+'ESTRUTURA'!C59+'ESTRUTURA'!D59+'ALVENARIA'!C59+'ALVENARIA'!D59+'IMPERMEABILIZAÇÃO'!C59+'IMPERMEABILIZAÇÃO'!D59+'INST. ELÉTRICA'!C59+'INST. ELÉTRICA'!D59+'INST. HIDRO'!C59+'INST. HIDRO'!D59+'INST. INC'!C59+'INST. INC'!D59+'INST. ESP'!C59+'INST. ESP'!D59+'ELEVADORES '!C59+'ELEVADORES '!D59+'ESQUADRIAS'!C59+'ESQUADRIAS'!D59+'SERRALHERIA'!C59+'SERRALHERIA'!D59+'MARCENARIA'!C59+'MARCENARIA'!D59+'REV. PISOS'!C59+'REV. PISOS'!D59+'REV. PAREDE'!C59+'REV. PAREDE'!D59+'REV. ACAB'!C59+'REV. ACAB'!D59+'PAVIMENTAÇÃO'!C59+'PAVIMENTAÇÃO'!D59+'REV. FACHADA'!C59+'REV. FACHADA'!D59+'FORRO'!C59+'FORRO'!D59+'LOUÇAS'!C59+'LOUÇAS'!D59+'PINTURA'!C59+'PINTURA'!D59+'PAISAGISMO'!C59+'PAISAGISMO'!D59+'LIMPEZA'!C59+'LIMPEZA'!D59+'TAX. ADM'!C59+'TAX. ADM'!D59+BJ59*'VALOR POR PL'!$P$7+IF(BJ$1='VALOR POR PL'!$P$5,'VALOR POR PL'!$G$63,0)</f>
        <v/>
      </c>
      <c r="BK65" s="54">
        <f>'PROJETO'!C60+'PROJETO'!D60+'SEGUROS'!C60+'SEGUROS'!D60+'TAX. DIVERSAS'!C60+'TAX. DIVERSAS'!D60+'BARRACÃO DE OBRA'!C60+'BARRACÃO DE OBRA'!D60+'LIG. PROVISÓRIAS'!C60+'LIG. PROVISÓRIAS'!D60+'CONSUMOS'!C60+'CONSUMOS'!D60+'DIVERSOS'!C60+'DIVERSOS'!D60+'TRANSPORTES'!C60+'TRANSPORTES'!D60+'CONSULTORIAS'!C60+'CONSULTORIAS'!D60+'MDO'!C60+'MDO'!D60+'EQUIP E FER'!C60+'EQUIP E FER'!D60+'SERV. INICIAIS'!C60+'SERV. INICIAIS'!D60+'CONTENÇÃO'!C60+'CONTENÇÃO'!D60+'TERRAPLENAGEM'!C60+'TERRAPLENAGEM'!D60+'FUND. PROF'!C60+'FUND. PROF'!D60+'FUND. SUP'!C60+'FUND. SUP'!D60+'ESTRUTURA'!C60+'ESTRUTURA'!D60+'ALVENARIA'!C60+'ALVENARIA'!D60+'IMPERMEABILIZAÇÃO'!C60+'IMPERMEABILIZAÇÃO'!D60+'INST. ELÉTRICA'!C60+'INST. ELÉTRICA'!D60+'INST. HIDRO'!C60+'INST. HIDRO'!D60+'INST. INC'!C60+'INST. INC'!D60+'INST. ESP'!C60+'INST. ESP'!D60+'ELEVADORES '!C60+'ELEVADORES '!D60+'ESQUADRIAS'!C60+'ESQUADRIAS'!D60+'SERRALHERIA'!C60+'SERRALHERIA'!D60+'MARCENARIA'!C60+'MARCENARIA'!D60+'REV. PISOS'!C60+'REV. PISOS'!D60+'REV. PAREDE'!C60+'REV. PAREDE'!D60+'REV. ACAB'!C60+'REV. ACAB'!D60+'PAVIMENTAÇÃO'!C60+'PAVIMENTAÇÃO'!D60+'REV. FACHADA'!C60+'REV. FACHADA'!D60+'FORRO'!C60+'FORRO'!D60+'LOUÇAS'!C60+'LOUÇAS'!D60+'PINTURA'!C60+'PINTURA'!D60+'PAISAGISMO'!C60+'PAISAGISMO'!D60+'LIMPEZA'!C60+'LIMPEZA'!D60+'TAX. ADM'!C60+'TAX. ADM'!D60+BK59*'VALOR POR PL'!$P$7+IF(BK$1='VALOR POR PL'!$P$5,'VALOR POR PL'!$G$63,0)</f>
        <v/>
      </c>
      <c r="BL65" s="54">
        <f>'PROJETO'!C61+'PROJETO'!D61+'SEGUROS'!C61+'SEGUROS'!D61+'TAX. DIVERSAS'!C61+'TAX. DIVERSAS'!D61+'BARRACÃO DE OBRA'!C61+'BARRACÃO DE OBRA'!D61+'LIG. PROVISÓRIAS'!C61+'LIG. PROVISÓRIAS'!D61+'CONSUMOS'!C61+'CONSUMOS'!D61+'DIVERSOS'!C61+'DIVERSOS'!D61+'TRANSPORTES'!C61+'TRANSPORTES'!D61+'CONSULTORIAS'!C61+'CONSULTORIAS'!D61+'MDO'!C61+'MDO'!D61+'EQUIP E FER'!C61+'EQUIP E FER'!D61+'SERV. INICIAIS'!C61+'SERV. INICIAIS'!D61+'CONTENÇÃO'!C61+'CONTENÇÃO'!D61+'TERRAPLENAGEM'!C61+'TERRAPLENAGEM'!D61+'FUND. PROF'!C61+'FUND. PROF'!D61+'FUND. SUP'!C61+'FUND. SUP'!D61+'ESTRUTURA'!C61+'ESTRUTURA'!D61+'ALVENARIA'!C61+'ALVENARIA'!D61+'IMPERMEABILIZAÇÃO'!C61+'IMPERMEABILIZAÇÃO'!D61+'INST. ELÉTRICA'!C61+'INST. ELÉTRICA'!D61+'INST. HIDRO'!C61+'INST. HIDRO'!D61+'INST. INC'!C61+'INST. INC'!D61+'INST. ESP'!C61+'INST. ESP'!D61+'ELEVADORES '!C61+'ELEVADORES '!D61+'ESQUADRIAS'!C61+'ESQUADRIAS'!D61+'SERRALHERIA'!C61+'SERRALHERIA'!D61+'MARCENARIA'!C61+'MARCENARIA'!D61+'REV. PISOS'!C61+'REV. PISOS'!D61+'REV. PAREDE'!C61+'REV. PAREDE'!D61+'REV. ACAB'!C61+'REV. ACAB'!D61+'PAVIMENTAÇÃO'!C61+'PAVIMENTAÇÃO'!D61+'REV. FACHADA'!C61+'REV. FACHADA'!D61+'FORRO'!C61+'FORRO'!D61+'LOUÇAS'!C61+'LOUÇAS'!D61+'PINTURA'!C61+'PINTURA'!D61+'PAISAGISMO'!C61+'PAISAGISMO'!D61+'LIMPEZA'!C61+'LIMPEZA'!D61+'TAX. ADM'!C61+'TAX. ADM'!D61+BL59*'VALOR POR PL'!$P$7+IF(BL$1='VALOR POR PL'!$P$5,'VALOR POR PL'!$G$63,0)</f>
        <v/>
      </c>
      <c r="BM65" s="54">
        <f>'PROJETO'!C62+'PROJETO'!D62+'SEGUROS'!C62+'SEGUROS'!D62+'TAX. DIVERSAS'!C62+'TAX. DIVERSAS'!D62+'BARRACÃO DE OBRA'!C62+'BARRACÃO DE OBRA'!D62+'LIG. PROVISÓRIAS'!C62+'LIG. PROVISÓRIAS'!D62+'CONSUMOS'!C62+'CONSUMOS'!D62+'DIVERSOS'!C62+'DIVERSOS'!D62+'TRANSPORTES'!C62+'TRANSPORTES'!D62+'CONSULTORIAS'!C62+'CONSULTORIAS'!D62+'MDO'!C62+'MDO'!D62+'EQUIP E FER'!C62+'EQUIP E FER'!D62+'SERV. INICIAIS'!C62+'SERV. INICIAIS'!D62+'CONTENÇÃO'!C62+'CONTENÇÃO'!D62+'TERRAPLENAGEM'!C62+'TERRAPLENAGEM'!D62+'FUND. PROF'!C62+'FUND. PROF'!D62+'FUND. SUP'!C62+'FUND. SUP'!D62+'ESTRUTURA'!C62+'ESTRUTURA'!D62+'ALVENARIA'!C62+'ALVENARIA'!D62+'IMPERMEABILIZAÇÃO'!C62+'IMPERMEABILIZAÇÃO'!D62+'INST. ELÉTRICA'!C62+'INST. ELÉTRICA'!D62+'INST. HIDRO'!C62+'INST. HIDRO'!D62+'INST. INC'!C62+'INST. INC'!D62+'INST. ESP'!C62+'INST. ESP'!D62+'ELEVADORES '!C62+'ELEVADORES '!D62+'ESQUADRIAS'!C62+'ESQUADRIAS'!D62+'SERRALHERIA'!C62+'SERRALHERIA'!D62+'MARCENARIA'!C62+'MARCENARIA'!D62+'REV. PISOS'!C62+'REV. PISOS'!D62+'REV. PAREDE'!C62+'REV. PAREDE'!D62+'REV. ACAB'!C62+'REV. ACAB'!D62+'PAVIMENTAÇÃO'!C62+'PAVIMENTAÇÃO'!D62+'REV. FACHADA'!C62+'REV. FACHADA'!D62+'FORRO'!C62+'FORRO'!D62+'LOUÇAS'!C62+'LOUÇAS'!D62+'PINTURA'!C62+'PINTURA'!D62+'PAISAGISMO'!C62+'PAISAGISMO'!D62+'LIMPEZA'!C62+'LIMPEZA'!D62+'TAX. ADM'!C62+'TAX. ADM'!D62+BM59*'VALOR POR PL'!$P$7+IF(BM$1='VALOR POR PL'!$P$5,'VALOR POR PL'!$G$63,0)</f>
        <v/>
      </c>
      <c r="BN65" s="54">
        <f>'PROJETO'!C63+'PROJETO'!D63+'SEGUROS'!C63+'SEGUROS'!D63+'TAX. DIVERSAS'!C63+'TAX. DIVERSAS'!D63+'BARRACÃO DE OBRA'!C63+'BARRACÃO DE OBRA'!D63+'LIG. PROVISÓRIAS'!C63+'LIG. PROVISÓRIAS'!D63+'CONSUMOS'!C63+'CONSUMOS'!D63+'DIVERSOS'!C63+'DIVERSOS'!D63+'TRANSPORTES'!C63+'TRANSPORTES'!D63+'CONSULTORIAS'!C63+'CONSULTORIAS'!D63+'MDO'!C63+'MDO'!D63+'EQUIP E FER'!C63+'EQUIP E FER'!D63+'SERV. INICIAIS'!C63+'SERV. INICIAIS'!D63+'CONTENÇÃO'!C63+'CONTENÇÃO'!D63+'TERRAPLENAGEM'!C63+'TERRAPLENAGEM'!D63+'FUND. PROF'!C63+'FUND. PROF'!D63+'FUND. SUP'!C63+'FUND. SUP'!D63+'ESTRUTURA'!C63+'ESTRUTURA'!D63+'ALVENARIA'!C63+'ALVENARIA'!D63+'IMPERMEABILIZAÇÃO'!C63+'IMPERMEABILIZAÇÃO'!D63+'INST. ELÉTRICA'!C63+'INST. ELÉTRICA'!D63+'INST. HIDRO'!C63+'INST. HIDRO'!D63+'INST. INC'!C63+'INST. INC'!D63+'INST. ESP'!C63+'INST. ESP'!D63+'ELEVADORES '!C63+'ELEVADORES '!D63+'ESQUADRIAS'!C63+'ESQUADRIAS'!D63+'SERRALHERIA'!C63+'SERRALHERIA'!D63+'MARCENARIA'!C63+'MARCENARIA'!D63+'REV. PISOS'!C63+'REV. PISOS'!D63+'REV. PAREDE'!C63+'REV. PAREDE'!D63+'REV. ACAB'!C63+'REV. ACAB'!D63+'PAVIMENTAÇÃO'!C63+'PAVIMENTAÇÃO'!D63+'REV. FACHADA'!C63+'REV. FACHADA'!D63+'FORRO'!C63+'FORRO'!D63+'LOUÇAS'!C63+'LOUÇAS'!D63+'PINTURA'!C63+'PINTURA'!D63+'PAISAGISMO'!C63+'PAISAGISMO'!D63+'LIMPEZA'!C63+'LIMPEZA'!D63+'TAX. ADM'!C63+'TAX. ADM'!D63+BN59*'VALOR POR PL'!$P$7+IF(BN$1='VALOR POR PL'!$P$5,'VALOR POR PL'!$G$63,0)</f>
        <v/>
      </c>
      <c r="BO65" s="54">
        <f>'PROJETO'!C64+'PROJETO'!D64+'SEGUROS'!C64+'SEGUROS'!D64+'TAX. DIVERSAS'!C64+'TAX. DIVERSAS'!D64+'BARRACÃO DE OBRA'!C64+'BARRACÃO DE OBRA'!D64+'LIG. PROVISÓRIAS'!C64+'LIG. PROVISÓRIAS'!D64+'CONSUMOS'!C64+'CONSUMOS'!D64+'DIVERSOS'!C64+'DIVERSOS'!D64+'TRANSPORTES'!C64+'TRANSPORTES'!D64+'CONSULTORIAS'!C64+'CONSULTORIAS'!D64+'MDO'!C64+'MDO'!D64+'EQUIP E FER'!C64+'EQUIP E FER'!D64+'SERV. INICIAIS'!C64+'SERV. INICIAIS'!D64+'CONTENÇÃO'!C64+'CONTENÇÃO'!D64+'TERRAPLENAGEM'!C64+'TERRAPLENAGEM'!D64+'FUND. PROF'!C64+'FUND. PROF'!D64+'FUND. SUP'!C64+'FUND. SUP'!D64+'ESTRUTURA'!C64+'ESTRUTURA'!D64+'ALVENARIA'!C64+'ALVENARIA'!D64+'IMPERMEABILIZAÇÃO'!C64+'IMPERMEABILIZAÇÃO'!D64+'INST. ELÉTRICA'!C64+'INST. ELÉTRICA'!D64+'INST. HIDRO'!C64+'INST. HIDRO'!D64+'INST. INC'!C64+'INST. INC'!D64+'INST. ESP'!C64+'INST. ESP'!D64+'ELEVADORES '!C64+'ELEVADORES '!D64+'ESQUADRIAS'!C64+'ESQUADRIAS'!D64+'SERRALHERIA'!C64+'SERRALHERIA'!D64+'MARCENARIA'!C64+'MARCENARIA'!D64+'REV. PISOS'!C64+'REV. PISOS'!D64+'REV. PAREDE'!C64+'REV. PAREDE'!D64+'REV. ACAB'!C64+'REV. ACAB'!D64+'PAVIMENTAÇÃO'!C64+'PAVIMENTAÇÃO'!D64+'REV. FACHADA'!C64+'REV. FACHADA'!D64+'FORRO'!C64+'FORRO'!D64+'LOUÇAS'!C64+'LOUÇAS'!D64+'PINTURA'!C64+'PINTURA'!D64+'PAISAGISMO'!C64+'PAISAGISMO'!D64+'LIMPEZA'!C64+'LIMPEZA'!D64+'TAX. ADM'!C64+'TAX. ADM'!D64+BO59*'VALOR POR PL'!$P$7+IF(BO$1='VALOR POR PL'!$P$5,'VALOR POR PL'!$G$63,0)</f>
        <v/>
      </c>
      <c r="BP65" s="54">
        <f>'PROJETO'!C65+'PROJETO'!D65+'SEGUROS'!C65+'SEGUROS'!D65+'TAX. DIVERSAS'!C65+'TAX. DIVERSAS'!D65+'BARRACÃO DE OBRA'!C65+'BARRACÃO DE OBRA'!D65+'LIG. PROVISÓRIAS'!C65+'LIG. PROVISÓRIAS'!D65+'CONSUMOS'!C65+'CONSUMOS'!D65+'DIVERSOS'!C65+'DIVERSOS'!D65+'TRANSPORTES'!C65+'TRANSPORTES'!D65+'CONSULTORIAS'!C65+'CONSULTORIAS'!D65+'MDO'!C65+'MDO'!D65+'EQUIP E FER'!C65+'EQUIP E FER'!D65+'SERV. INICIAIS'!C65+'SERV. INICIAIS'!D65+'CONTENÇÃO'!C65+'CONTENÇÃO'!D65+'TERRAPLENAGEM'!C65+'TERRAPLENAGEM'!D65+'FUND. PROF'!C65+'FUND. PROF'!D65+'FUND. SUP'!C65+'FUND. SUP'!D65+'ESTRUTURA'!C65+'ESTRUTURA'!D65+'ALVENARIA'!C65+'ALVENARIA'!D65+'IMPERMEABILIZAÇÃO'!C65+'IMPERMEABILIZAÇÃO'!D65+'INST. ELÉTRICA'!C65+'INST. ELÉTRICA'!D65+'INST. HIDRO'!C65+'INST. HIDRO'!D65+'INST. INC'!C65+'INST. INC'!D65+'INST. ESP'!C65+'INST. ESP'!D65+'ELEVADORES '!C65+'ELEVADORES '!D65+'ESQUADRIAS'!C65+'ESQUADRIAS'!D65+'SERRALHERIA'!C65+'SERRALHERIA'!D65+'MARCENARIA'!C65+'MARCENARIA'!D65+'REV. PISOS'!C65+'REV. PISOS'!D65+'REV. PAREDE'!C65+'REV. PAREDE'!D65+'REV. ACAB'!C65+'REV. ACAB'!D65+'PAVIMENTAÇÃO'!C65+'PAVIMENTAÇÃO'!D65+'REV. FACHADA'!C65+'REV. FACHADA'!D65+'FORRO'!C65+'FORRO'!D65+'LOUÇAS'!C65+'LOUÇAS'!D65+'PINTURA'!C65+'PINTURA'!D65+'PAISAGISMO'!C65+'PAISAGISMO'!D65+'LIMPEZA'!C65+'LIMPEZA'!D65+'TAX. ADM'!C65+'TAX. ADM'!D65+BP59*'VALOR POR PL'!$P$7+IF(BP$1='VALOR POR PL'!$P$5,'VALOR POR PL'!$G$63,0)</f>
        <v/>
      </c>
      <c r="BQ65" s="54">
        <f>'PROJETO'!C66+'PROJETO'!D66+'SEGUROS'!C66+'SEGUROS'!D66+'TAX. DIVERSAS'!C66+'TAX. DIVERSAS'!D66+'BARRACÃO DE OBRA'!C66+'BARRACÃO DE OBRA'!D66+'LIG. PROVISÓRIAS'!C66+'LIG. PROVISÓRIAS'!D66+'CONSUMOS'!C66+'CONSUMOS'!D66+'DIVERSOS'!C66+'DIVERSOS'!D66+'TRANSPORTES'!C66+'TRANSPORTES'!D66+'CONSULTORIAS'!C66+'CONSULTORIAS'!D66+'MDO'!C66+'MDO'!D66+'EQUIP E FER'!C66+'EQUIP E FER'!D66+'SERV. INICIAIS'!C66+'SERV. INICIAIS'!D66+'CONTENÇÃO'!C66+'CONTENÇÃO'!D66+'TERRAPLENAGEM'!C66+'TERRAPLENAGEM'!D66+'FUND. PROF'!C66+'FUND. PROF'!D66+'FUND. SUP'!C66+'FUND. SUP'!D66+'ESTRUTURA'!C66+'ESTRUTURA'!D66+'ALVENARIA'!C66+'ALVENARIA'!D66+'IMPERMEABILIZAÇÃO'!C66+'IMPERMEABILIZAÇÃO'!D66+'INST. ELÉTRICA'!C66+'INST. ELÉTRICA'!D66+'INST. HIDRO'!C66+'INST. HIDRO'!D66+'INST. INC'!C66+'INST. INC'!D66+'INST. ESP'!C66+'INST. ESP'!D66+'ELEVADORES '!C66+'ELEVADORES '!D66+'ESQUADRIAS'!C66+'ESQUADRIAS'!D66+'SERRALHERIA'!C66+'SERRALHERIA'!D66+'MARCENARIA'!C66+'MARCENARIA'!D66+'REV. PISOS'!C66+'REV. PISOS'!D66+'REV. PAREDE'!C66+'REV. PAREDE'!D66+'REV. ACAB'!C66+'REV. ACAB'!D66+'PAVIMENTAÇÃO'!C66+'PAVIMENTAÇÃO'!D66+'REV. FACHADA'!C66+'REV. FACHADA'!D66+'FORRO'!C66+'FORRO'!D66+'LOUÇAS'!C66+'LOUÇAS'!D66+'PINTURA'!C66+'PINTURA'!D66+'PAISAGISMO'!C66+'PAISAGISMO'!D66+'LIMPEZA'!C66+'LIMPEZA'!D66+'TAX. ADM'!C66+'TAX. ADM'!D66+BQ59*'VALOR POR PL'!$P$7+IF(BQ$1='VALOR POR PL'!$P$5,'VALOR POR PL'!$G$63,0)</f>
        <v/>
      </c>
      <c r="BR65" s="54">
        <f>'PROJETO'!C67+'PROJETO'!D67+'SEGUROS'!C67+'SEGUROS'!D67+'TAX. DIVERSAS'!C67+'TAX. DIVERSAS'!D67+'BARRACÃO DE OBRA'!C67+'BARRACÃO DE OBRA'!D67+'LIG. PROVISÓRIAS'!C67+'LIG. PROVISÓRIAS'!D67+'CONSUMOS'!C67+'CONSUMOS'!D67+'DIVERSOS'!C67+'DIVERSOS'!D67+'TRANSPORTES'!C67+'TRANSPORTES'!D67+'CONSULTORIAS'!C67+'CONSULTORIAS'!D67+'MDO'!C67+'MDO'!D67+'EQUIP E FER'!C67+'EQUIP E FER'!D67+'SERV. INICIAIS'!C67+'SERV. INICIAIS'!D67+'CONTENÇÃO'!C67+'CONTENÇÃO'!D67+'TERRAPLENAGEM'!C67+'TERRAPLENAGEM'!D67+'FUND. PROF'!C67+'FUND. PROF'!D67+'FUND. SUP'!C67+'FUND. SUP'!D67+'ESTRUTURA'!C67+'ESTRUTURA'!D67+'ALVENARIA'!C67+'ALVENARIA'!D67+'IMPERMEABILIZAÇÃO'!C67+'IMPERMEABILIZAÇÃO'!D67+'INST. ELÉTRICA'!C67+'INST. ELÉTRICA'!D67+'INST. HIDRO'!C67+'INST. HIDRO'!D67+'INST. INC'!C67+'INST. INC'!D67+'INST. ESP'!C67+'INST. ESP'!D67+'ELEVADORES '!C67+'ELEVADORES '!D67+'ESQUADRIAS'!C67+'ESQUADRIAS'!D67+'SERRALHERIA'!C67+'SERRALHERIA'!D67+'MARCENARIA'!C67+'MARCENARIA'!D67+'REV. PISOS'!C67+'REV. PISOS'!D67+'REV. PAREDE'!C67+'REV. PAREDE'!D67+'REV. ACAB'!C67+'REV. ACAB'!D67+'PAVIMENTAÇÃO'!C67+'PAVIMENTAÇÃO'!D67+'REV. FACHADA'!C67+'REV. FACHADA'!D67+'FORRO'!C67+'FORRO'!D67+'LOUÇAS'!C67+'LOUÇAS'!D67+'PINTURA'!C67+'PINTURA'!D67+'PAISAGISMO'!C67+'PAISAGISMO'!D67+'LIMPEZA'!C67+'LIMPEZA'!D67+'TAX. ADM'!C67+'TAX. ADM'!D67+BR59*'VALOR POR PL'!$P$7+IF(BR$1='VALOR POR PL'!$P$5,'VALOR POR PL'!$G$63,0)</f>
        <v/>
      </c>
      <c r="BS65" s="54">
        <f>'PROJETO'!C68+'PROJETO'!D68+'SEGUROS'!C68+'SEGUROS'!D68+'TAX. DIVERSAS'!C68+'TAX. DIVERSAS'!D68+'BARRACÃO DE OBRA'!C68+'BARRACÃO DE OBRA'!D68+'LIG. PROVISÓRIAS'!C68+'LIG. PROVISÓRIAS'!D68+'CONSUMOS'!C68+'CONSUMOS'!D68+'DIVERSOS'!C68+'DIVERSOS'!D68+'TRANSPORTES'!C68+'TRANSPORTES'!D68+'CONSULTORIAS'!C68+'CONSULTORIAS'!D68+'MDO'!C68+'MDO'!D68+'EQUIP E FER'!C68+'EQUIP E FER'!D68+'SERV. INICIAIS'!C68+'SERV. INICIAIS'!D68+'CONTENÇÃO'!C68+'CONTENÇÃO'!D68+'TERRAPLENAGEM'!C68+'TERRAPLENAGEM'!D68+'FUND. PROF'!C68+'FUND. PROF'!D68+'FUND. SUP'!C68+'FUND. SUP'!D68+'ESTRUTURA'!C68+'ESTRUTURA'!D68+'ALVENARIA'!C68+'ALVENARIA'!D68+'IMPERMEABILIZAÇÃO'!C68+'IMPERMEABILIZAÇÃO'!D68+'INST. ELÉTRICA'!C68+'INST. ELÉTRICA'!D68+'INST. HIDRO'!C68+'INST. HIDRO'!D68+'INST. INC'!C68+'INST. INC'!D68+'INST. ESP'!C68+'INST. ESP'!D68+'ELEVADORES '!C68+'ELEVADORES '!D68+'ESQUADRIAS'!C68+'ESQUADRIAS'!D68+'SERRALHERIA'!C68+'SERRALHERIA'!D68+'MARCENARIA'!C68+'MARCENARIA'!D68+'REV. PISOS'!C68+'REV. PISOS'!D68+'REV. PAREDE'!C68+'REV. PAREDE'!D68+'REV. ACAB'!C68+'REV. ACAB'!D68+'PAVIMENTAÇÃO'!C68+'PAVIMENTAÇÃO'!D68+'REV. FACHADA'!C68+'REV. FACHADA'!D68+'FORRO'!C68+'FORRO'!D68+'LOUÇAS'!C68+'LOUÇAS'!D68+'PINTURA'!C68+'PINTURA'!D68+'PAISAGISMO'!C68+'PAISAGISMO'!D68+'LIMPEZA'!C68+'LIMPEZA'!D68+'TAX. ADM'!C68+'TAX. ADM'!D68+BS59*'VALOR POR PL'!$P$7+IF(BS$1='VALOR POR PL'!$P$5,'VALOR POR PL'!$G$63,0)</f>
        <v/>
      </c>
      <c r="BT65" s="54">
        <f>'PROJETO'!C69+'PROJETO'!D69+'SEGUROS'!C69+'SEGUROS'!D69+'TAX. DIVERSAS'!C69+'TAX. DIVERSAS'!D69+'BARRACÃO DE OBRA'!C69+'BARRACÃO DE OBRA'!D69+'LIG. PROVISÓRIAS'!C69+'LIG. PROVISÓRIAS'!D69+'CONSUMOS'!C69+'CONSUMOS'!D69+'DIVERSOS'!C69+'DIVERSOS'!D69+'TRANSPORTES'!C69+'TRANSPORTES'!D69+'CONSULTORIAS'!C69+'CONSULTORIAS'!D69+'MDO'!C69+'MDO'!D69+'EQUIP E FER'!C69+'EQUIP E FER'!D69+'SERV. INICIAIS'!C69+'SERV. INICIAIS'!D69+'CONTENÇÃO'!C69+'CONTENÇÃO'!D69+'TERRAPLENAGEM'!C69+'TERRAPLENAGEM'!D69+'FUND. PROF'!C69+'FUND. PROF'!D69+'FUND. SUP'!C69+'FUND. SUP'!D69+'ESTRUTURA'!C69+'ESTRUTURA'!D69+'ALVENARIA'!C69+'ALVENARIA'!D69+'IMPERMEABILIZAÇÃO'!C69+'IMPERMEABILIZAÇÃO'!D69+'INST. ELÉTRICA'!C69+'INST. ELÉTRICA'!D69+'INST. HIDRO'!C69+'INST. HIDRO'!D69+'INST. INC'!C69+'INST. INC'!D69+'INST. ESP'!C69+'INST. ESP'!D69+'ELEVADORES '!C69+'ELEVADORES '!D69+'ESQUADRIAS'!C69+'ESQUADRIAS'!D69+'SERRALHERIA'!C69+'SERRALHERIA'!D69+'MARCENARIA'!C69+'MARCENARIA'!D69+'REV. PISOS'!C69+'REV. PISOS'!D69+'REV. PAREDE'!C69+'REV. PAREDE'!D69+'REV. ACAB'!C69+'REV. ACAB'!D69+'PAVIMENTAÇÃO'!C69+'PAVIMENTAÇÃO'!D69+'REV. FACHADA'!C69+'REV. FACHADA'!D69+'FORRO'!C69+'FORRO'!D69+'LOUÇAS'!C69+'LOUÇAS'!D69+'PINTURA'!C69+'PINTURA'!D69+'PAISAGISMO'!C69+'PAISAGISMO'!D69+'LIMPEZA'!C69+'LIMPEZA'!D69+'TAX. ADM'!C69+'TAX. ADM'!D69+BT59*'VALOR POR PL'!$P$7+IF(BT$1='VALOR POR PL'!$P$5,'VALOR POR PL'!$G$63,0)</f>
        <v/>
      </c>
      <c r="BU65" s="54">
        <f>'PROJETO'!C70+'PROJETO'!D70+'SEGUROS'!C70+'SEGUROS'!D70+'TAX. DIVERSAS'!C70+'TAX. DIVERSAS'!D70+'BARRACÃO DE OBRA'!C70+'BARRACÃO DE OBRA'!D70+'LIG. PROVISÓRIAS'!C70+'LIG. PROVISÓRIAS'!D70+'CONSUMOS'!C70+'CONSUMOS'!D70+'DIVERSOS'!C70+'DIVERSOS'!D70+'TRANSPORTES'!C70+'TRANSPORTES'!D70+'CONSULTORIAS'!C70+'CONSULTORIAS'!D70+'MDO'!C70+'MDO'!D70+'EQUIP E FER'!C70+'EQUIP E FER'!D70+'SERV. INICIAIS'!C70+'SERV. INICIAIS'!D70+'CONTENÇÃO'!C70+'CONTENÇÃO'!D70+'TERRAPLENAGEM'!C70+'TERRAPLENAGEM'!D70+'FUND. PROF'!C70+'FUND. PROF'!D70+'FUND. SUP'!C70+'FUND. SUP'!D70+'ESTRUTURA'!C70+'ESTRUTURA'!D70+'ALVENARIA'!C70+'ALVENARIA'!D70+'IMPERMEABILIZAÇÃO'!C70+'IMPERMEABILIZAÇÃO'!D70+'INST. ELÉTRICA'!C70+'INST. ELÉTRICA'!D70+'INST. HIDRO'!C70+'INST. HIDRO'!D70+'INST. INC'!C70+'INST. INC'!D70+'INST. ESP'!C70+'INST. ESP'!D70+'ELEVADORES '!C70+'ELEVADORES '!D70+'ESQUADRIAS'!C70+'ESQUADRIAS'!D70+'SERRALHERIA'!C70+'SERRALHERIA'!D70+'MARCENARIA'!C70+'MARCENARIA'!D70+'REV. PISOS'!C70+'REV. PISOS'!D70+'REV. PAREDE'!C70+'REV. PAREDE'!D70+'REV. ACAB'!C70+'REV. ACAB'!D70+'PAVIMENTAÇÃO'!C70+'PAVIMENTAÇÃO'!D70+'REV. FACHADA'!C70+'REV. FACHADA'!D70+'FORRO'!C70+'FORRO'!D70+'LOUÇAS'!C70+'LOUÇAS'!D70+'PINTURA'!C70+'PINTURA'!D70+'PAISAGISMO'!C70+'PAISAGISMO'!D70+'LIMPEZA'!C70+'LIMPEZA'!D70+'TAX. ADM'!C70+'TAX. ADM'!D70+BU59*'VALOR POR PL'!$P$7+IF(BU$1='VALOR POR PL'!$P$5,'VALOR POR PL'!$G$63,0)</f>
        <v/>
      </c>
      <c r="BV65" s="54">
        <f>'PROJETO'!C71+'PROJETO'!D71+'SEGUROS'!C71+'SEGUROS'!D71+'TAX. DIVERSAS'!C71+'TAX. DIVERSAS'!D71+'BARRACÃO DE OBRA'!C71+'BARRACÃO DE OBRA'!D71+'LIG. PROVISÓRIAS'!C71+'LIG. PROVISÓRIAS'!D71+'CONSUMOS'!C71+'CONSUMOS'!D71+'DIVERSOS'!C71+'DIVERSOS'!D71+'TRANSPORTES'!C71+'TRANSPORTES'!D71+'CONSULTORIAS'!C71+'CONSULTORIAS'!D71+'MDO'!C71+'MDO'!D71+'EQUIP E FER'!C71+'EQUIP E FER'!D71+'SERV. INICIAIS'!C71+'SERV. INICIAIS'!D71+'CONTENÇÃO'!C71+'CONTENÇÃO'!D71+'TERRAPLENAGEM'!C71+'TERRAPLENAGEM'!D71+'FUND. PROF'!C71+'FUND. PROF'!D71+'FUND. SUP'!C71+'FUND. SUP'!D71+'ESTRUTURA'!C71+'ESTRUTURA'!D71+'ALVENARIA'!C71+'ALVENARIA'!D71+'IMPERMEABILIZAÇÃO'!C71+'IMPERMEABILIZAÇÃO'!D71+'INST. ELÉTRICA'!C71+'INST. ELÉTRICA'!D71+'INST. HIDRO'!C71+'INST. HIDRO'!D71+'INST. INC'!C71+'INST. INC'!D71+'INST. ESP'!C71+'INST. ESP'!D71+'ELEVADORES '!C71+'ELEVADORES '!D71+'ESQUADRIAS'!C71+'ESQUADRIAS'!D71+'SERRALHERIA'!C71+'SERRALHERIA'!D71+'MARCENARIA'!C71+'MARCENARIA'!D71+'REV. PISOS'!C71+'REV. PISOS'!D71+'REV. PAREDE'!C71+'REV. PAREDE'!D71+'REV. ACAB'!C71+'REV. ACAB'!D71+'PAVIMENTAÇÃO'!C71+'PAVIMENTAÇÃO'!D71+'REV. FACHADA'!C71+'REV. FACHADA'!D71+'FORRO'!C71+'FORRO'!D71+'LOUÇAS'!C71+'LOUÇAS'!D71+'PINTURA'!C71+'PINTURA'!D71+'PAISAGISMO'!C71+'PAISAGISMO'!D71+'LIMPEZA'!C71+'LIMPEZA'!D71+'TAX. ADM'!C71+'TAX. ADM'!D71+BV59*'VALOR POR PL'!$P$7+IF(BV$1='VALOR POR PL'!$P$5,'VALOR POR PL'!$G$63,0)</f>
        <v/>
      </c>
      <c r="BW65" s="54">
        <f>'PROJETO'!C72+'PROJETO'!D72+'SEGUROS'!C72+'SEGUROS'!D72+'TAX. DIVERSAS'!C72+'TAX. DIVERSAS'!D72+'BARRACÃO DE OBRA'!C72+'BARRACÃO DE OBRA'!D72+'LIG. PROVISÓRIAS'!C72+'LIG. PROVISÓRIAS'!D72+'CONSUMOS'!C72+'CONSUMOS'!D72+'DIVERSOS'!C72+'DIVERSOS'!D72+'TRANSPORTES'!C72+'TRANSPORTES'!D72+'CONSULTORIAS'!C72+'CONSULTORIAS'!D72+'MDO'!C72+'MDO'!D72+'EQUIP E FER'!C72+'EQUIP E FER'!D72+'SERV. INICIAIS'!C72+'SERV. INICIAIS'!D72+'CONTENÇÃO'!C72+'CONTENÇÃO'!D72+'TERRAPLENAGEM'!C72+'TERRAPLENAGEM'!D72+'FUND. PROF'!C72+'FUND. PROF'!D72+'FUND. SUP'!C72+'FUND. SUP'!D72+'ESTRUTURA'!C72+'ESTRUTURA'!D72+'ALVENARIA'!C72+'ALVENARIA'!D72+'IMPERMEABILIZAÇÃO'!C72+'IMPERMEABILIZAÇÃO'!D72+'INST. ELÉTRICA'!C72+'INST. ELÉTRICA'!D72+'INST. HIDRO'!C72+'INST. HIDRO'!D72+'INST. INC'!C72+'INST. INC'!D72+'INST. ESP'!C72+'INST. ESP'!D72+'ELEVADORES '!C72+'ELEVADORES '!D72+'ESQUADRIAS'!C72+'ESQUADRIAS'!D72+'SERRALHERIA'!C72+'SERRALHERIA'!D72+'MARCENARIA'!C72+'MARCENARIA'!D72+'REV. PISOS'!C72+'REV. PISOS'!D72+'REV. PAREDE'!C72+'REV. PAREDE'!D72+'REV. ACAB'!C72+'REV. ACAB'!D72+'PAVIMENTAÇÃO'!C72+'PAVIMENTAÇÃO'!D72+'REV. FACHADA'!C72+'REV. FACHADA'!D72+'FORRO'!C72+'FORRO'!D72+'LOUÇAS'!C72+'LOUÇAS'!D72+'PINTURA'!C72+'PINTURA'!D72+'PAISAGISMO'!C72+'PAISAGISMO'!D72+'LIMPEZA'!C72+'LIMPEZA'!D72+'TAX. ADM'!C72+'TAX. ADM'!D72+BW59*'VALOR POR PL'!$P$7+IF(BW$1='VALOR POR PL'!$P$5,'VALOR POR PL'!$G$63,0)</f>
        <v/>
      </c>
      <c r="BX65" s="54">
        <f>'PROJETO'!C73+'PROJETO'!D73+'SEGUROS'!C73+'SEGUROS'!D73+'TAX. DIVERSAS'!C73+'TAX. DIVERSAS'!D73+'BARRACÃO DE OBRA'!C73+'BARRACÃO DE OBRA'!D73+'LIG. PROVISÓRIAS'!C73+'LIG. PROVISÓRIAS'!D73+'CONSUMOS'!C73+'CONSUMOS'!D73+'DIVERSOS'!C73+'DIVERSOS'!D73+'TRANSPORTES'!C73+'TRANSPORTES'!D73+'CONSULTORIAS'!C73+'CONSULTORIAS'!D73+'MDO'!C73+'MDO'!D73+'EQUIP E FER'!C73+'EQUIP E FER'!D73+'SERV. INICIAIS'!C73+'SERV. INICIAIS'!D73+'CONTENÇÃO'!C73+'CONTENÇÃO'!D73+'TERRAPLENAGEM'!C73+'TERRAPLENAGEM'!D73+'FUND. PROF'!C73+'FUND. PROF'!D73+'FUND. SUP'!C73+'FUND. SUP'!D73+'ESTRUTURA'!C73+'ESTRUTURA'!D73+'ALVENARIA'!C73+'ALVENARIA'!D73+'IMPERMEABILIZAÇÃO'!C73+'IMPERMEABILIZAÇÃO'!D73+'INST. ELÉTRICA'!C73+'INST. ELÉTRICA'!D73+'INST. HIDRO'!C73+'INST. HIDRO'!D73+'INST. INC'!C73+'INST. INC'!D73+'INST. ESP'!C73+'INST. ESP'!D73+'ELEVADORES '!C73+'ELEVADORES '!D73+'ESQUADRIAS'!C73+'ESQUADRIAS'!D73+'SERRALHERIA'!C73+'SERRALHERIA'!D73+'MARCENARIA'!C73+'MARCENARIA'!D73+'REV. PISOS'!C73+'REV. PISOS'!D73+'REV. PAREDE'!C73+'REV. PAREDE'!D73+'REV. ACAB'!C73+'REV. ACAB'!D73+'PAVIMENTAÇÃO'!C73+'PAVIMENTAÇÃO'!D73+'REV. FACHADA'!C73+'REV. FACHADA'!D73+'FORRO'!C73+'FORRO'!D73+'LOUÇAS'!C73+'LOUÇAS'!D73+'PINTURA'!C73+'PINTURA'!D73+'PAISAGISMO'!C73+'PAISAGISMO'!D73+'LIMPEZA'!C73+'LIMPEZA'!D73+'TAX. ADM'!C73+'TAX. ADM'!D73+BX59*'VALOR POR PL'!$P$7+IF(BX$1='VALOR POR PL'!$P$5,'VALOR POR PL'!$G$63,0)</f>
        <v/>
      </c>
      <c r="BY65" s="54">
        <f>'PROJETO'!C74+'PROJETO'!D74+'SEGUROS'!C74+'SEGUROS'!D74+'TAX. DIVERSAS'!C74+'TAX. DIVERSAS'!D74+'BARRACÃO DE OBRA'!C74+'BARRACÃO DE OBRA'!D74+'LIG. PROVISÓRIAS'!C74+'LIG. PROVISÓRIAS'!D74+'CONSUMOS'!C74+'CONSUMOS'!D74+'DIVERSOS'!C74+'DIVERSOS'!D74+'TRANSPORTES'!C74+'TRANSPORTES'!D74+'CONSULTORIAS'!C74+'CONSULTORIAS'!D74+'MDO'!C74+'MDO'!D74+'EQUIP E FER'!C74+'EQUIP E FER'!D74+'SERV. INICIAIS'!C74+'SERV. INICIAIS'!D74+'CONTENÇÃO'!C74+'CONTENÇÃO'!D74+'TERRAPLENAGEM'!C74+'TERRAPLENAGEM'!D74+'FUND. PROF'!C74+'FUND. PROF'!D74+'FUND. SUP'!C74+'FUND. SUP'!D74+'ESTRUTURA'!C74+'ESTRUTURA'!D74+'ALVENARIA'!C74+'ALVENARIA'!D74+'IMPERMEABILIZAÇÃO'!C74+'IMPERMEABILIZAÇÃO'!D74+'INST. ELÉTRICA'!C74+'INST. ELÉTRICA'!D74+'INST. HIDRO'!C74+'INST. HIDRO'!D74+'INST. INC'!C74+'INST. INC'!D74+'INST. ESP'!C74+'INST. ESP'!D74+'ELEVADORES '!C74+'ELEVADORES '!D74+'ESQUADRIAS'!C74+'ESQUADRIAS'!D74+'SERRALHERIA'!C74+'SERRALHERIA'!D74+'MARCENARIA'!C74+'MARCENARIA'!D74+'REV. PISOS'!C74+'REV. PISOS'!D74+'REV. PAREDE'!C74+'REV. PAREDE'!D74+'REV. ACAB'!C74+'REV. ACAB'!D74+'PAVIMENTAÇÃO'!C74+'PAVIMENTAÇÃO'!D74+'REV. FACHADA'!C74+'REV. FACHADA'!D74+'FORRO'!C74+'FORRO'!D74+'LOUÇAS'!C74+'LOUÇAS'!D74+'PINTURA'!C74+'PINTURA'!D74+'PAISAGISMO'!C74+'PAISAGISMO'!D74+'LIMPEZA'!C74+'LIMPEZA'!D74+'TAX. ADM'!C74+'TAX. ADM'!D74+BY59*'VALOR POR PL'!$P$7+IF(BY$1='VALOR POR PL'!$P$5,'VALOR POR PL'!$G$63,0)</f>
        <v/>
      </c>
      <c r="BZ65" s="54">
        <f>'PROJETO'!C75+'PROJETO'!D75+'SEGUROS'!C75+'SEGUROS'!D75+'TAX. DIVERSAS'!C75+'TAX. DIVERSAS'!D75+'BARRACÃO DE OBRA'!C75+'BARRACÃO DE OBRA'!D75+'LIG. PROVISÓRIAS'!C75+'LIG. PROVISÓRIAS'!D75+'CONSUMOS'!C75+'CONSUMOS'!D75+'DIVERSOS'!C75+'DIVERSOS'!D75+'TRANSPORTES'!C75+'TRANSPORTES'!D75+'CONSULTORIAS'!C75+'CONSULTORIAS'!D75+'MDO'!C75+'MDO'!D75+'EQUIP E FER'!C75+'EQUIP E FER'!D75+'SERV. INICIAIS'!C75+'SERV. INICIAIS'!D75+'CONTENÇÃO'!C75+'CONTENÇÃO'!D75+'TERRAPLENAGEM'!C75+'TERRAPLENAGEM'!D75+'FUND. PROF'!C75+'FUND. PROF'!D75+'FUND. SUP'!C75+'FUND. SUP'!D75+'ESTRUTURA'!C75+'ESTRUTURA'!D75+'ALVENARIA'!C75+'ALVENARIA'!D75+'IMPERMEABILIZAÇÃO'!C75+'IMPERMEABILIZAÇÃO'!D75+'INST. ELÉTRICA'!C75+'INST. ELÉTRICA'!D75+'INST. HIDRO'!C75+'INST. HIDRO'!D75+'INST. INC'!C75+'INST. INC'!D75+'INST. ESP'!C75+'INST. ESP'!D75+'ELEVADORES '!C75+'ELEVADORES '!D75+'ESQUADRIAS'!C75+'ESQUADRIAS'!D75+'SERRALHERIA'!C75+'SERRALHERIA'!D75+'MARCENARIA'!C75+'MARCENARIA'!D75+'REV. PISOS'!C75+'REV. PISOS'!D75+'REV. PAREDE'!C75+'REV. PAREDE'!D75+'REV. ACAB'!C75+'REV. ACAB'!D75+'PAVIMENTAÇÃO'!C75+'PAVIMENTAÇÃO'!D75+'REV. FACHADA'!C75+'REV. FACHADA'!D75+'FORRO'!C75+'FORRO'!D75+'LOUÇAS'!C75+'LOUÇAS'!D75+'PINTURA'!C75+'PINTURA'!D75+'PAISAGISMO'!C75+'PAISAGISMO'!D75+'LIMPEZA'!C75+'LIMPEZA'!D75+'TAX. ADM'!C75+'TAX. ADM'!D75+BZ59*'VALOR POR PL'!$P$7+IF(BZ$1='VALOR POR PL'!$P$5,'VALOR POR PL'!$G$63,0)</f>
        <v/>
      </c>
      <c r="CA65" s="54">
        <f>'PROJETO'!C76+'PROJETO'!D76+'SEGUROS'!C76+'SEGUROS'!D76+'TAX. DIVERSAS'!C76+'TAX. DIVERSAS'!D76+'BARRACÃO DE OBRA'!C76+'BARRACÃO DE OBRA'!D76+'LIG. PROVISÓRIAS'!C76+'LIG. PROVISÓRIAS'!D76+'CONSUMOS'!C76+'CONSUMOS'!D76+'DIVERSOS'!C76+'DIVERSOS'!D76+'TRANSPORTES'!C76+'TRANSPORTES'!D76+'CONSULTORIAS'!C76+'CONSULTORIAS'!D76+'MDO'!C76+'MDO'!D76+'EQUIP E FER'!C76+'EQUIP E FER'!D76+'SERV. INICIAIS'!C76+'SERV. INICIAIS'!D76+'CONTENÇÃO'!C76+'CONTENÇÃO'!D76+'TERRAPLENAGEM'!C76+'TERRAPLENAGEM'!D76+'FUND. PROF'!C76+'FUND. PROF'!D76+'FUND. SUP'!C76+'FUND. SUP'!D76+'ESTRUTURA'!C76+'ESTRUTURA'!D76+'ALVENARIA'!C76+'ALVENARIA'!D76+'IMPERMEABILIZAÇÃO'!C76+'IMPERMEABILIZAÇÃO'!D76+'INST. ELÉTRICA'!C76+'INST. ELÉTRICA'!D76+'INST. HIDRO'!C76+'INST. HIDRO'!D76+'INST. INC'!C76+'INST. INC'!D76+'INST. ESP'!C76+'INST. ESP'!D76+'ELEVADORES '!C76+'ELEVADORES '!D76+'ESQUADRIAS'!C76+'ESQUADRIAS'!D76+'SERRALHERIA'!C76+'SERRALHERIA'!D76+'MARCENARIA'!C76+'MARCENARIA'!D76+'REV. PISOS'!C76+'REV. PISOS'!D76+'REV. PAREDE'!C76+'REV. PAREDE'!D76+'REV. ACAB'!C76+'REV. ACAB'!D76+'PAVIMENTAÇÃO'!C76+'PAVIMENTAÇÃO'!D76+'REV. FACHADA'!C76+'REV. FACHADA'!D76+'FORRO'!C76+'FORRO'!D76+'LOUÇAS'!C76+'LOUÇAS'!D76+'PINTURA'!C76+'PINTURA'!D76+'PAISAGISMO'!C76+'PAISAGISMO'!D76+'LIMPEZA'!C76+'LIMPEZA'!D76+'TAX. ADM'!C76+'TAX. ADM'!D76+CA59*'VALOR POR PL'!$P$7+IF(CA$1='VALOR POR PL'!$P$5,'VALOR POR PL'!$G$63,0)</f>
        <v/>
      </c>
    </row>
    <row r="66">
      <c r="C66" s="46" t="inlineStr">
        <is>
          <t>CURVA ACUMULADA (R$ nominal)</t>
        </is>
      </c>
      <c r="E66" s="116">
        <f>CA66</f>
        <v/>
      </c>
      <c r="H66" s="54">
        <f>H65</f>
        <v/>
      </c>
      <c r="I66" s="54">
        <f>H66+I65</f>
        <v/>
      </c>
      <c r="J66" s="54">
        <f>I66+J65</f>
        <v/>
      </c>
      <c r="K66" s="54">
        <f>J66+K65</f>
        <v/>
      </c>
      <c r="L66" s="54">
        <f>K66+L65</f>
        <v/>
      </c>
      <c r="M66" s="54">
        <f>L66+M65</f>
        <v/>
      </c>
      <c r="N66" s="54">
        <f>M66+N65</f>
        <v/>
      </c>
      <c r="O66" s="54">
        <f>N66+O65</f>
        <v/>
      </c>
      <c r="P66" s="54">
        <f>O66+P65</f>
        <v/>
      </c>
      <c r="Q66" s="54">
        <f>P66+Q65</f>
        <v/>
      </c>
      <c r="R66" s="54">
        <f>Q66+R65</f>
        <v/>
      </c>
      <c r="S66" s="54">
        <f>R66+S65</f>
        <v/>
      </c>
      <c r="T66" s="54">
        <f>S66+T65</f>
        <v/>
      </c>
      <c r="U66" s="54">
        <f>T66+U65</f>
        <v/>
      </c>
      <c r="V66" s="54">
        <f>U66+V65</f>
        <v/>
      </c>
      <c r="W66" s="54">
        <f>V66+W65</f>
        <v/>
      </c>
      <c r="X66" s="54">
        <f>W66+X65</f>
        <v/>
      </c>
      <c r="Y66" s="54">
        <f>X66+Y65</f>
        <v/>
      </c>
      <c r="Z66" s="54">
        <f>Y66+Z65</f>
        <v/>
      </c>
      <c r="AA66" s="54">
        <f>Z66+AA65</f>
        <v/>
      </c>
      <c r="AB66" s="54">
        <f>AA66+AB65</f>
        <v/>
      </c>
      <c r="AC66" s="54">
        <f>AB66+AC65</f>
        <v/>
      </c>
      <c r="AD66" s="54">
        <f>AC66+AD65</f>
        <v/>
      </c>
      <c r="AE66" s="54">
        <f>AD66+AE65</f>
        <v/>
      </c>
      <c r="AF66" s="54">
        <f>AE66+AF65</f>
        <v/>
      </c>
      <c r="AG66" s="54">
        <f>AF66+AG65</f>
        <v/>
      </c>
      <c r="AH66" s="54">
        <f>AG66+AH65</f>
        <v/>
      </c>
      <c r="AI66" s="54">
        <f>AH66+AI65</f>
        <v/>
      </c>
      <c r="AJ66" s="54">
        <f>AI66+AJ65</f>
        <v/>
      </c>
      <c r="AK66" s="54">
        <f>AJ66+AK65</f>
        <v/>
      </c>
      <c r="AL66" s="54">
        <f>AK66+AL65</f>
        <v/>
      </c>
      <c r="AM66" s="54">
        <f>AL66+AM65</f>
        <v/>
      </c>
      <c r="AN66" s="54">
        <f>AM66+AN65</f>
        <v/>
      </c>
      <c r="AO66" s="54">
        <f>AN66+AO65</f>
        <v/>
      </c>
      <c r="AP66" s="54">
        <f>AO66+AP65</f>
        <v/>
      </c>
      <c r="AQ66" s="54">
        <f>AP66+AQ65</f>
        <v/>
      </c>
      <c r="AR66" s="54">
        <f>AQ66+AR65</f>
        <v/>
      </c>
      <c r="AS66" s="54">
        <f>AR66+AS65</f>
        <v/>
      </c>
      <c r="AT66" s="54">
        <f>AS66+AT65</f>
        <v/>
      </c>
      <c r="AU66" s="54">
        <f>AT66+AU65</f>
        <v/>
      </c>
      <c r="AV66" s="54">
        <f>AU66+AV65</f>
        <v/>
      </c>
      <c r="AW66" s="54">
        <f>AV66+AW65</f>
        <v/>
      </c>
      <c r="AX66" s="54">
        <f>AW66+AX65</f>
        <v/>
      </c>
      <c r="AY66" s="54">
        <f>AX66+AY65</f>
        <v/>
      </c>
      <c r="AZ66" s="54">
        <f>AY66+AZ65</f>
        <v/>
      </c>
      <c r="BA66" s="54">
        <f>AZ66+BA65</f>
        <v/>
      </c>
      <c r="BB66" s="54">
        <f>BA66+BB65</f>
        <v/>
      </c>
      <c r="BC66" s="54">
        <f>BB66+BC65</f>
        <v/>
      </c>
      <c r="BD66" s="54">
        <f>BC66+BD65</f>
        <v/>
      </c>
      <c r="BE66" s="54">
        <f>BD66+BE65</f>
        <v/>
      </c>
      <c r="BF66" s="54">
        <f>BE66+BF65</f>
        <v/>
      </c>
      <c r="BG66" s="54">
        <f>BF66+BG65</f>
        <v/>
      </c>
      <c r="BH66" s="54">
        <f>BG66+BH65</f>
        <v/>
      </c>
      <c r="BI66" s="54">
        <f>BH66+BI65</f>
        <v/>
      </c>
      <c r="BJ66" s="54">
        <f>BI66+BJ65</f>
        <v/>
      </c>
      <c r="BK66" s="54">
        <f>BJ66+BK65</f>
        <v/>
      </c>
      <c r="BL66" s="54">
        <f>BK66+BL65</f>
        <v/>
      </c>
      <c r="BM66" s="54">
        <f>BL66+BM65</f>
        <v/>
      </c>
      <c r="BN66" s="54">
        <f>BM66+BN65</f>
        <v/>
      </c>
      <c r="BO66" s="54">
        <f>BN66+BO65</f>
        <v/>
      </c>
      <c r="BP66" s="54">
        <f>BO66+BP65</f>
        <v/>
      </c>
      <c r="BQ66" s="54">
        <f>BP66+BQ65</f>
        <v/>
      </c>
      <c r="BR66" s="54">
        <f>BQ66+BR65</f>
        <v/>
      </c>
      <c r="BS66" s="54">
        <f>BR66+BS65</f>
        <v/>
      </c>
      <c r="BT66" s="54">
        <f>BS66+BT65</f>
        <v/>
      </c>
      <c r="BU66" s="54">
        <f>BT66+BU65</f>
        <v/>
      </c>
      <c r="BV66" s="54">
        <f>BU66+BV65</f>
        <v/>
      </c>
      <c r="BW66" s="54">
        <f>BV66+BW65</f>
        <v/>
      </c>
      <c r="BX66" s="54">
        <f>BW66+BX65</f>
        <v/>
      </c>
      <c r="BY66" s="54">
        <f>BX66+BY65</f>
        <v/>
      </c>
      <c r="BZ66" s="54">
        <f>BY66+BZ65</f>
        <v/>
      </c>
      <c r="CA66" s="54">
        <f>BZ66+CA65</f>
        <v/>
      </c>
    </row>
    <row r="67">
      <c r="C67" s="46" t="inlineStr">
        <is>
          <t>% ACUMULADO DA PROJEÇÃO</t>
        </is>
      </c>
      <c r="H67" s="117">
        <f>IF($E$66=0,0,H66/$E$66)</f>
        <v/>
      </c>
      <c r="I67" s="117">
        <f>IF($E$66=0,0,I66/$E$66)</f>
        <v/>
      </c>
      <c r="J67" s="117">
        <f>IF($E$66=0,0,J66/$E$66)</f>
        <v/>
      </c>
      <c r="K67" s="117">
        <f>IF($E$66=0,0,K66/$E$66)</f>
        <v/>
      </c>
      <c r="L67" s="117">
        <f>IF($E$66=0,0,L66/$E$66)</f>
        <v/>
      </c>
      <c r="M67" s="117">
        <f>IF($E$66=0,0,M66/$E$66)</f>
        <v/>
      </c>
      <c r="N67" s="117">
        <f>IF($E$66=0,0,N66/$E$66)</f>
        <v/>
      </c>
      <c r="O67" s="117">
        <f>IF($E$66=0,0,O66/$E$66)</f>
        <v/>
      </c>
      <c r="P67" s="117">
        <f>IF($E$66=0,0,P66/$E$66)</f>
        <v/>
      </c>
      <c r="Q67" s="117">
        <f>IF($E$66=0,0,Q66/$E$66)</f>
        <v/>
      </c>
      <c r="R67" s="117">
        <f>IF($E$66=0,0,R66/$E$66)</f>
        <v/>
      </c>
      <c r="S67" s="117">
        <f>IF($E$66=0,0,S66/$E$66)</f>
        <v/>
      </c>
      <c r="T67" s="117">
        <f>IF($E$66=0,0,T66/$E$66)</f>
        <v/>
      </c>
      <c r="U67" s="117">
        <f>IF($E$66=0,0,U66/$E$66)</f>
        <v/>
      </c>
      <c r="V67" s="117">
        <f>IF($E$66=0,0,V66/$E$66)</f>
        <v/>
      </c>
      <c r="W67" s="117">
        <f>IF($E$66=0,0,W66/$E$66)</f>
        <v/>
      </c>
      <c r="X67" s="117">
        <f>IF($E$66=0,0,X66/$E$66)</f>
        <v/>
      </c>
      <c r="Y67" s="117">
        <f>IF($E$66=0,0,Y66/$E$66)</f>
        <v/>
      </c>
      <c r="Z67" s="117">
        <f>IF($E$66=0,0,Z66/$E$66)</f>
        <v/>
      </c>
      <c r="AA67" s="117">
        <f>IF($E$66=0,0,AA66/$E$66)</f>
        <v/>
      </c>
      <c r="AB67" s="117">
        <f>IF($E$66=0,0,AB66/$E$66)</f>
        <v/>
      </c>
      <c r="AC67" s="117">
        <f>IF($E$66=0,0,AC66/$E$66)</f>
        <v/>
      </c>
      <c r="AD67" s="117">
        <f>IF($E$66=0,0,AD66/$E$66)</f>
        <v/>
      </c>
      <c r="AE67" s="117">
        <f>IF($E$66=0,0,AE66/$E$66)</f>
        <v/>
      </c>
      <c r="AF67" s="117">
        <f>IF($E$66=0,0,AF66/$E$66)</f>
        <v/>
      </c>
      <c r="AG67" s="117">
        <f>IF($E$66=0,0,AG66/$E$66)</f>
        <v/>
      </c>
      <c r="AH67" s="117">
        <f>IF($E$66=0,0,AH66/$E$66)</f>
        <v/>
      </c>
      <c r="AI67" s="117">
        <f>IF($E$66=0,0,AI66/$E$66)</f>
        <v/>
      </c>
      <c r="AJ67" s="117">
        <f>IF($E$66=0,0,AJ66/$E$66)</f>
        <v/>
      </c>
      <c r="AK67" s="117">
        <f>IF($E$66=0,0,AK66/$E$66)</f>
        <v/>
      </c>
      <c r="AL67" s="117">
        <f>IF($E$66=0,0,AL66/$E$66)</f>
        <v/>
      </c>
      <c r="AM67" s="117">
        <f>IF($E$66=0,0,AM66/$E$66)</f>
        <v/>
      </c>
      <c r="AN67" s="117">
        <f>IF($E$66=0,0,AN66/$E$66)</f>
        <v/>
      </c>
      <c r="AO67" s="117">
        <f>IF($E$66=0,0,AO66/$E$66)</f>
        <v/>
      </c>
      <c r="AP67" s="117">
        <f>IF($E$66=0,0,AP66/$E$66)</f>
        <v/>
      </c>
      <c r="AQ67" s="117">
        <f>IF($E$66=0,0,AQ66/$E$66)</f>
        <v/>
      </c>
      <c r="AR67" s="117">
        <f>IF($E$66=0,0,AR66/$E$66)</f>
        <v/>
      </c>
      <c r="AS67" s="117">
        <f>IF($E$66=0,0,AS66/$E$66)</f>
        <v/>
      </c>
      <c r="AT67" s="117">
        <f>IF($E$66=0,0,AT66/$E$66)</f>
        <v/>
      </c>
      <c r="AU67" s="117">
        <f>IF($E$66=0,0,AU66/$E$66)</f>
        <v/>
      </c>
      <c r="AV67" s="117">
        <f>IF($E$66=0,0,AV66/$E$66)</f>
        <v/>
      </c>
      <c r="AW67" s="117">
        <f>IF($E$66=0,0,AW66/$E$66)</f>
        <v/>
      </c>
      <c r="AX67" s="117">
        <f>IF($E$66=0,0,AX66/$E$66)</f>
        <v/>
      </c>
      <c r="AY67" s="117">
        <f>IF($E$66=0,0,AY66/$E$66)</f>
        <v/>
      </c>
      <c r="AZ67" s="117">
        <f>IF($E$66=0,0,AZ66/$E$66)</f>
        <v/>
      </c>
      <c r="BA67" s="117">
        <f>IF($E$66=0,0,BA66/$E$66)</f>
        <v/>
      </c>
      <c r="BB67" s="117">
        <f>IF($E$66=0,0,BB66/$E$66)</f>
        <v/>
      </c>
      <c r="BC67" s="117">
        <f>IF($E$66=0,0,BC66/$E$66)</f>
        <v/>
      </c>
      <c r="BD67" s="117">
        <f>IF($E$66=0,0,BD66/$E$66)</f>
        <v/>
      </c>
      <c r="BE67" s="117">
        <f>IF($E$66=0,0,BE66/$E$66)</f>
        <v/>
      </c>
      <c r="BF67" s="117">
        <f>IF($E$66=0,0,BF66/$E$66)</f>
        <v/>
      </c>
      <c r="BG67" s="117">
        <f>IF($E$66=0,0,BG66/$E$66)</f>
        <v/>
      </c>
      <c r="BH67" s="117">
        <f>IF($E$66=0,0,BH66/$E$66)</f>
        <v/>
      </c>
      <c r="BI67" s="117">
        <f>IF($E$66=0,0,BI66/$E$66)</f>
        <v/>
      </c>
      <c r="BJ67" s="117">
        <f>IF($E$66=0,0,BJ66/$E$66)</f>
        <v/>
      </c>
      <c r="BK67" s="117">
        <f>IF($E$66=0,0,BK66/$E$66)</f>
        <v/>
      </c>
      <c r="BL67" s="117">
        <f>IF($E$66=0,0,BL66/$E$66)</f>
        <v/>
      </c>
      <c r="BM67" s="117">
        <f>IF($E$66=0,0,BM66/$E$66)</f>
        <v/>
      </c>
      <c r="BN67" s="117">
        <f>IF($E$66=0,0,BN66/$E$66)</f>
        <v/>
      </c>
      <c r="BO67" s="117">
        <f>IF($E$66=0,0,BO66/$E$66)</f>
        <v/>
      </c>
      <c r="BP67" s="117">
        <f>IF($E$66=0,0,BP66/$E$66)</f>
        <v/>
      </c>
      <c r="BQ67" s="117">
        <f>IF($E$66=0,0,BQ66/$E$66)</f>
        <v/>
      </c>
      <c r="BR67" s="117">
        <f>IF($E$66=0,0,BR66/$E$66)</f>
        <v/>
      </c>
      <c r="BS67" s="117">
        <f>IF($E$66=0,0,BS66/$E$66)</f>
        <v/>
      </c>
      <c r="BT67" s="117">
        <f>IF($E$66=0,0,BT66/$E$66)</f>
        <v/>
      </c>
      <c r="BU67" s="117">
        <f>IF($E$66=0,0,BU66/$E$66)</f>
        <v/>
      </c>
      <c r="BV67" s="117">
        <f>IF($E$66=0,0,BV66/$E$66)</f>
        <v/>
      </c>
      <c r="BW67" s="117">
        <f>IF($E$66=0,0,BW66/$E$66)</f>
        <v/>
      </c>
      <c r="BX67" s="117">
        <f>IF($E$66=0,0,BX66/$E$66)</f>
        <v/>
      </c>
      <c r="BY67" s="117">
        <f>IF($E$66=0,0,BY66/$E$66)</f>
        <v/>
      </c>
      <c r="BZ67" s="117">
        <f>IF($E$66=0,0,BZ66/$E$66)</f>
        <v/>
      </c>
      <c r="CA67" s="117">
        <f>IF($E$66=0,0,CA66/$E$66)</f>
        <v/>
      </c>
    </row>
  </sheetData>
  <conditionalFormatting sqref="H2:CA63">
    <cfRule type="expression" priority="1" dxfId="7">
      <formula>H$1&lt;='VALOR POR PL'!$P$5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O75"/>
  <sheetViews>
    <sheetView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" customWidth="1" min="8" max="8"/>
    <col width="12" customWidth="1" min="9" max="9"/>
    <col width="14" customWidth="1" min="10" max="10"/>
    <col width="14" customWidth="1" min="11" max="11"/>
    <col width="16" customWidth="1" min="12" max="12"/>
    <col width="16" customWidth="1" min="13" max="13"/>
    <col width="2" customWidth="1" min="14" max="14"/>
    <col width="60" customWidth="1" min="15" max="15"/>
  </cols>
  <sheetData>
    <row r="1">
      <c r="A1" s="118">
        <f>'VALOR POR PL'!$P$9</f>
        <v/>
      </c>
      <c r="C1" s="3" t="inlineStr">
        <is>
          <t>Progresso mensal — curva inicial × realizado + previsto</t>
        </is>
      </c>
    </row>
    <row r="3" ht="45" customHeight="1">
      <c r="A3" s="58" t="inlineStr">
        <is>
          <t>Mês</t>
        </is>
      </c>
      <c r="B3" s="58" t="inlineStr">
        <is>
          <t>Curva inicial
% mensal (informar)</t>
        </is>
      </c>
      <c r="C3" s="58" t="inlineStr">
        <is>
          <t>Curva inicial
% acumulado</t>
        </is>
      </c>
      <c r="D3" s="58" t="inlineStr">
        <is>
          <t>Realizado
(INCC)</t>
        </is>
      </c>
      <c r="E3" s="58" t="inlineStr">
        <is>
          <t>Previsto
(INCC)</t>
        </is>
      </c>
      <c r="F3" s="58" t="inlineStr">
        <is>
          <t>Atual
% mensal</t>
        </is>
      </c>
      <c r="G3" s="58" t="inlineStr">
        <is>
          <t>Atual
% acumulado</t>
        </is>
      </c>
      <c r="I3" s="58" t="inlineStr">
        <is>
          <t>Curva inicial
(INCC)</t>
        </is>
      </c>
      <c r="J3" s="58" t="inlineStr">
        <is>
          <t>Curva inicial
(R$)</t>
        </is>
      </c>
      <c r="K3" s="58" t="inlineStr">
        <is>
          <t>Atual
(R$ nominal)</t>
        </is>
      </c>
      <c r="L3" s="58" t="inlineStr">
        <is>
          <t>Atual acumulado
(R$ nominal)</t>
        </is>
      </c>
      <c r="M3" s="58" t="inlineStr">
        <is>
          <t>Inicial acumulado
(R$)</t>
        </is>
      </c>
      <c r="O3" s="66" t="inlineStr">
        <is>
          <t>Anotações (do arquivo original)</t>
        </is>
      </c>
    </row>
    <row r="4">
      <c r="A4" s="119">
        <f>'MODELO PARA BI'!H1</f>
        <v/>
      </c>
      <c r="B4" s="120" t="n"/>
      <c r="C4" s="117">
        <f>B4</f>
        <v/>
      </c>
      <c r="D4" s="60">
        <f>IF(A4&lt;='VALOR POR PL'!$P$5,'MODELO PARA BI'!H63,0)</f>
        <v/>
      </c>
      <c r="E4" s="60">
        <f>IF(A4&gt;'VALOR POR PL'!$P$5,'MODELO PARA BI'!H63,0)</f>
        <v/>
      </c>
      <c r="F4" s="117">
        <f>IF('MODELO PARA BI'!$E$63=0,0,(D4+E4)/'MODELO PARA BI'!$E$63)</f>
        <v/>
      </c>
      <c r="G4" s="117">
        <f>F4</f>
        <v/>
      </c>
      <c r="I4" s="49">
        <f>B4*'VALOR POR PL'!$G$50</f>
        <v/>
      </c>
      <c r="J4" s="54">
        <f>I4*IF(A4&lt;='VALOR POR PL'!$P$5,IFERROR(INDEX('"INCC-FGV"'!$B$2:$B$800,MATCH(A4,'"INCC-FGV"'!$A$2:$A$800,0)),'VALOR POR PL'!$P$7),'VALOR POR PL'!$P$7)</f>
        <v/>
      </c>
      <c r="K4" s="71">
        <f>'MODELO PARA BI'!H65</f>
        <v/>
      </c>
      <c r="L4" s="71">
        <f>'MODELO PARA BI'!H66</f>
        <v/>
      </c>
      <c r="M4" s="54">
        <f>J4</f>
        <v/>
      </c>
      <c r="O4" s="4" t="inlineStr">
        <is>
          <t>Email 18/08/26 -&gt; O fluxo fechou o ano em R$ 22.800 Mi</t>
        </is>
      </c>
    </row>
    <row r="5">
      <c r="A5" s="119">
        <f>'MODELO PARA BI'!I1</f>
        <v/>
      </c>
      <c r="B5" s="120" t="n"/>
      <c r="C5" s="117">
        <f>C4+B5</f>
        <v/>
      </c>
      <c r="D5" s="60">
        <f>IF(A5&lt;='VALOR POR PL'!$P$5,'MODELO PARA BI'!I63,0)</f>
        <v/>
      </c>
      <c r="E5" s="60">
        <f>IF(A5&gt;'VALOR POR PL'!$P$5,'MODELO PARA BI'!I63,0)</f>
        <v/>
      </c>
      <c r="F5" s="117">
        <f>IF('MODELO PARA BI'!$E$63=0,0,(D5+E5)/'MODELO PARA BI'!$E$63)</f>
        <v/>
      </c>
      <c r="G5" s="117">
        <f>G4+F5</f>
        <v/>
      </c>
      <c r="I5" s="49">
        <f>B5*'VALOR POR PL'!$G$50</f>
        <v/>
      </c>
      <c r="J5" s="54">
        <f>I5*IF(A5&lt;='VALOR POR PL'!$P$5,IFERROR(INDEX('"INCC-FGV"'!$B$2:$B$800,MATCH(A5,'"INCC-FGV"'!$A$2:$A$800,0)),'VALOR POR PL'!$P$7),'VALOR POR PL'!$P$7)</f>
        <v/>
      </c>
      <c r="K5" s="71">
        <f>'MODELO PARA BI'!I65</f>
        <v/>
      </c>
      <c r="L5" s="71">
        <f>'MODELO PARA BI'!I66</f>
        <v/>
      </c>
      <c r="M5" s="54">
        <f>M4+J5</f>
        <v/>
      </c>
      <c r="O5" s="4" t="inlineStr">
        <is>
          <t>Meta do ano (no BI está somando com a permuta de dez/25)</t>
        </is>
      </c>
    </row>
    <row r="6">
      <c r="A6" s="119">
        <f>'MODELO PARA BI'!J1</f>
        <v/>
      </c>
      <c r="B6" s="120" t="n"/>
      <c r="C6" s="117">
        <f>C5+B6</f>
        <v/>
      </c>
      <c r="D6" s="60">
        <f>IF(A6&lt;='VALOR POR PL'!$P$5,'MODELO PARA BI'!J63,0)</f>
        <v/>
      </c>
      <c r="E6" s="60">
        <f>IF(A6&gt;'VALOR POR PL'!$P$5,'MODELO PARA BI'!J63,0)</f>
        <v/>
      </c>
      <c r="F6" s="117">
        <f>IF('MODELO PARA BI'!$E$63=0,0,(D6+E6)/'MODELO PARA BI'!$E$63)</f>
        <v/>
      </c>
      <c r="G6" s="117">
        <f>G5+F6</f>
        <v/>
      </c>
      <c r="I6" s="49">
        <f>B6*'VALOR POR PL'!$G$50</f>
        <v/>
      </c>
      <c r="J6" s="54">
        <f>I6*IF(A6&lt;='VALOR POR PL'!$P$5,IFERROR(INDEX('"INCC-FGV"'!$B$2:$B$800,MATCH(A6,'"INCC-FGV"'!$A$2:$A$800,0)),'VALOR POR PL'!$P$7),'VALOR POR PL'!$P$7)</f>
        <v/>
      </c>
      <c r="K6" s="71">
        <f>'MODELO PARA BI'!J65</f>
        <v/>
      </c>
      <c r="L6" s="71">
        <f>'MODELO PARA BI'!J66</f>
        <v/>
      </c>
      <c r="M6" s="54">
        <f>M5+J6</f>
        <v/>
      </c>
      <c r="O6" s="4" t="inlineStr">
        <is>
          <t>Meta do ano = 27.300 Mi + 0.300 permuta</t>
        </is>
      </c>
    </row>
    <row r="7">
      <c r="A7" s="119">
        <f>'MODELO PARA BI'!K1</f>
        <v/>
      </c>
      <c r="B7" s="120" t="n"/>
      <c r="C7" s="117">
        <f>C6+B7</f>
        <v/>
      </c>
      <c r="D7" s="60">
        <f>IF(A7&lt;='VALOR POR PL'!$P$5,'MODELO PARA BI'!K63,0)</f>
        <v/>
      </c>
      <c r="E7" s="60">
        <f>IF(A7&gt;'VALOR POR PL'!$P$5,'MODELO PARA BI'!K63,0)</f>
        <v/>
      </c>
      <c r="F7" s="117">
        <f>IF('MODELO PARA BI'!$E$63=0,0,(D7+E7)/'MODELO PARA BI'!$E$63)</f>
        <v/>
      </c>
      <c r="G7" s="117">
        <f>G6+F7</f>
        <v/>
      </c>
      <c r="I7" s="49">
        <f>B7*'VALOR POR PL'!$G$50</f>
        <v/>
      </c>
      <c r="J7" s="54">
        <f>I7*IF(A7&lt;='VALOR POR PL'!$P$5,IFERROR(INDEX('"INCC-FGV"'!$B$2:$B$800,MATCH(A7,'"INCC-FGV"'!$A$2:$A$800,0)),'VALOR POR PL'!$P$7),'VALOR POR PL'!$P$7)</f>
        <v/>
      </c>
      <c r="K7" s="71">
        <f>'MODELO PARA BI'!K65</f>
        <v/>
      </c>
      <c r="L7" s="71">
        <f>'MODELO PARA BI'!K66</f>
        <v/>
      </c>
      <c r="M7" s="54">
        <f>M6+J7</f>
        <v/>
      </c>
      <c r="O7" s="4" t="inlineStr">
        <is>
          <t>Meta corrigida em Mar/2026 --&gt; R$ 23.700 Mi</t>
        </is>
      </c>
    </row>
    <row r="8">
      <c r="A8" s="119">
        <f>'MODELO PARA BI'!L1</f>
        <v/>
      </c>
      <c r="B8" s="120" t="n"/>
      <c r="C8" s="117">
        <f>C7+B8</f>
        <v/>
      </c>
      <c r="D8" s="60">
        <f>IF(A8&lt;='VALOR POR PL'!$P$5,'MODELO PARA BI'!L63,0)</f>
        <v/>
      </c>
      <c r="E8" s="60">
        <f>IF(A8&gt;'VALOR POR PL'!$P$5,'MODELO PARA BI'!L63,0)</f>
        <v/>
      </c>
      <c r="F8" s="117">
        <f>IF('MODELO PARA BI'!$E$63=0,0,(D8+E8)/'MODELO PARA BI'!$E$63)</f>
        <v/>
      </c>
      <c r="G8" s="117">
        <f>G7+F8</f>
        <v/>
      </c>
      <c r="I8" s="49">
        <f>B8*'VALOR POR PL'!$G$50</f>
        <v/>
      </c>
      <c r="J8" s="54">
        <f>I8*IF(A8&lt;='VALOR POR PL'!$P$5,IFERROR(INDEX('"INCC-FGV"'!$B$2:$B$800,MATCH(A8,'"INCC-FGV"'!$A$2:$A$800,0)),'VALOR POR PL'!$P$7),'VALOR POR PL'!$P$7)</f>
        <v/>
      </c>
      <c r="K8" s="71">
        <f>'MODELO PARA BI'!L65</f>
        <v/>
      </c>
      <c r="L8" s="71">
        <f>'MODELO PARA BI'!L66</f>
        <v/>
      </c>
      <c r="M8" s="54">
        <f>M7+J8</f>
        <v/>
      </c>
    </row>
    <row r="9">
      <c r="A9" s="119">
        <f>'MODELO PARA BI'!M1</f>
        <v/>
      </c>
      <c r="B9" s="120" t="n"/>
      <c r="C9" s="117">
        <f>C8+B9</f>
        <v/>
      </c>
      <c r="D9" s="60">
        <f>IF(A9&lt;='VALOR POR PL'!$P$5,'MODELO PARA BI'!M63,0)</f>
        <v/>
      </c>
      <c r="E9" s="60">
        <f>IF(A9&gt;'VALOR POR PL'!$P$5,'MODELO PARA BI'!M63,0)</f>
        <v/>
      </c>
      <c r="F9" s="117">
        <f>IF('MODELO PARA BI'!$E$63=0,0,(D9+E9)/'MODELO PARA BI'!$E$63)</f>
        <v/>
      </c>
      <c r="G9" s="117">
        <f>G8+F9</f>
        <v/>
      </c>
      <c r="I9" s="49">
        <f>B9*'VALOR POR PL'!$G$50</f>
        <v/>
      </c>
      <c r="J9" s="54">
        <f>I9*IF(A9&lt;='VALOR POR PL'!$P$5,IFERROR(INDEX('"INCC-FGV"'!$B$2:$B$800,MATCH(A9,'"INCC-FGV"'!$A$2:$A$800,0)),'VALOR POR PL'!$P$7),'VALOR POR PL'!$P$7)</f>
        <v/>
      </c>
      <c r="K9" s="71">
        <f>'MODELO PARA BI'!M65</f>
        <v/>
      </c>
      <c r="L9" s="71">
        <f>'MODELO PARA BI'!M66</f>
        <v/>
      </c>
      <c r="M9" s="54">
        <f>M8+J9</f>
        <v/>
      </c>
    </row>
    <row r="10">
      <c r="A10" s="119">
        <f>'MODELO PARA BI'!N1</f>
        <v/>
      </c>
      <c r="B10" s="120" t="n"/>
      <c r="C10" s="117">
        <f>C9+B10</f>
        <v/>
      </c>
      <c r="D10" s="60">
        <f>IF(A10&lt;='VALOR POR PL'!$P$5,'MODELO PARA BI'!N63,0)</f>
        <v/>
      </c>
      <c r="E10" s="60">
        <f>IF(A10&gt;'VALOR POR PL'!$P$5,'MODELO PARA BI'!N63,0)</f>
        <v/>
      </c>
      <c r="F10" s="117">
        <f>IF('MODELO PARA BI'!$E$63=0,0,(D10+E10)/'MODELO PARA BI'!$E$63)</f>
        <v/>
      </c>
      <c r="G10" s="117">
        <f>G9+F10</f>
        <v/>
      </c>
      <c r="I10" s="49">
        <f>B10*'VALOR POR PL'!$G$50</f>
        <v/>
      </c>
      <c r="J10" s="54">
        <f>I10*IF(A10&lt;='VALOR POR PL'!$P$5,IFERROR(INDEX('"INCC-FGV"'!$B$2:$B$800,MATCH(A10,'"INCC-FGV"'!$A$2:$A$800,0)),'VALOR POR PL'!$P$7),'VALOR POR PL'!$P$7)</f>
        <v/>
      </c>
      <c r="K10" s="71">
        <f>'MODELO PARA BI'!N65</f>
        <v/>
      </c>
      <c r="L10" s="71">
        <f>'MODELO PARA BI'!N66</f>
        <v/>
      </c>
      <c r="M10" s="54">
        <f>M9+J10</f>
        <v/>
      </c>
    </row>
    <row r="11">
      <c r="A11" s="119">
        <f>'MODELO PARA BI'!O1</f>
        <v/>
      </c>
      <c r="B11" s="120" t="n"/>
      <c r="C11" s="117">
        <f>C10+B11</f>
        <v/>
      </c>
      <c r="D11" s="60">
        <f>IF(A11&lt;='VALOR POR PL'!$P$5,'MODELO PARA BI'!O63,0)</f>
        <v/>
      </c>
      <c r="E11" s="60">
        <f>IF(A11&gt;'VALOR POR PL'!$P$5,'MODELO PARA BI'!O63,0)</f>
        <v/>
      </c>
      <c r="F11" s="117">
        <f>IF('MODELO PARA BI'!$E$63=0,0,(D11+E11)/'MODELO PARA BI'!$E$63)</f>
        <v/>
      </c>
      <c r="G11" s="117">
        <f>G10+F11</f>
        <v/>
      </c>
      <c r="I11" s="49">
        <f>B11*'VALOR POR PL'!$G$50</f>
        <v/>
      </c>
      <c r="J11" s="54">
        <f>I11*IF(A11&lt;='VALOR POR PL'!$P$5,IFERROR(INDEX('"INCC-FGV"'!$B$2:$B$800,MATCH(A11,'"INCC-FGV"'!$A$2:$A$800,0)),'VALOR POR PL'!$P$7),'VALOR POR PL'!$P$7)</f>
        <v/>
      </c>
      <c r="K11" s="71">
        <f>'MODELO PARA BI'!O65</f>
        <v/>
      </c>
      <c r="L11" s="71">
        <f>'MODELO PARA BI'!O66</f>
        <v/>
      </c>
      <c r="M11" s="54">
        <f>M10+J11</f>
        <v/>
      </c>
    </row>
    <row r="12">
      <c r="A12" s="119">
        <f>'MODELO PARA BI'!P1</f>
        <v/>
      </c>
      <c r="B12" s="120" t="n"/>
      <c r="C12" s="117">
        <f>C11+B12</f>
        <v/>
      </c>
      <c r="D12" s="60">
        <f>IF(A12&lt;='VALOR POR PL'!$P$5,'MODELO PARA BI'!P63,0)</f>
        <v/>
      </c>
      <c r="E12" s="60">
        <f>IF(A12&gt;'VALOR POR PL'!$P$5,'MODELO PARA BI'!P63,0)</f>
        <v/>
      </c>
      <c r="F12" s="117">
        <f>IF('MODELO PARA BI'!$E$63=0,0,(D12+E12)/'MODELO PARA BI'!$E$63)</f>
        <v/>
      </c>
      <c r="G12" s="117">
        <f>G11+F12</f>
        <v/>
      </c>
      <c r="I12" s="49">
        <f>B12*'VALOR POR PL'!$G$50</f>
        <v/>
      </c>
      <c r="J12" s="54">
        <f>I12*IF(A12&lt;='VALOR POR PL'!$P$5,IFERROR(INDEX('"INCC-FGV"'!$B$2:$B$800,MATCH(A12,'"INCC-FGV"'!$A$2:$A$800,0)),'VALOR POR PL'!$P$7),'VALOR POR PL'!$P$7)</f>
        <v/>
      </c>
      <c r="K12" s="71">
        <f>'MODELO PARA BI'!P65</f>
        <v/>
      </c>
      <c r="L12" s="71">
        <f>'MODELO PARA BI'!P66</f>
        <v/>
      </c>
      <c r="M12" s="54">
        <f>M11+J12</f>
        <v/>
      </c>
    </row>
    <row r="13">
      <c r="A13" s="119">
        <f>'MODELO PARA BI'!Q1</f>
        <v/>
      </c>
      <c r="B13" s="120" t="n"/>
      <c r="C13" s="117">
        <f>C12+B13</f>
        <v/>
      </c>
      <c r="D13" s="60">
        <f>IF(A13&lt;='VALOR POR PL'!$P$5,'MODELO PARA BI'!Q63,0)</f>
        <v/>
      </c>
      <c r="E13" s="60">
        <f>IF(A13&gt;'VALOR POR PL'!$P$5,'MODELO PARA BI'!Q63,0)</f>
        <v/>
      </c>
      <c r="F13" s="117">
        <f>IF('MODELO PARA BI'!$E$63=0,0,(D13+E13)/'MODELO PARA BI'!$E$63)</f>
        <v/>
      </c>
      <c r="G13" s="117">
        <f>G12+F13</f>
        <v/>
      </c>
      <c r="I13" s="49">
        <f>B13*'VALOR POR PL'!$G$50</f>
        <v/>
      </c>
      <c r="J13" s="54">
        <f>I13*IF(A13&lt;='VALOR POR PL'!$P$5,IFERROR(INDEX('"INCC-FGV"'!$B$2:$B$800,MATCH(A13,'"INCC-FGV"'!$A$2:$A$800,0)),'VALOR POR PL'!$P$7),'VALOR POR PL'!$P$7)</f>
        <v/>
      </c>
      <c r="K13" s="71">
        <f>'MODELO PARA BI'!Q65</f>
        <v/>
      </c>
      <c r="L13" s="71">
        <f>'MODELO PARA BI'!Q66</f>
        <v/>
      </c>
      <c r="M13" s="54">
        <f>M12+J13</f>
        <v/>
      </c>
    </row>
    <row r="14">
      <c r="A14" s="119">
        <f>'MODELO PARA BI'!R1</f>
        <v/>
      </c>
      <c r="B14" s="120" t="n"/>
      <c r="C14" s="117">
        <f>C13+B14</f>
        <v/>
      </c>
      <c r="D14" s="60">
        <f>IF(A14&lt;='VALOR POR PL'!$P$5,'MODELO PARA BI'!R63,0)</f>
        <v/>
      </c>
      <c r="E14" s="60">
        <f>IF(A14&gt;'VALOR POR PL'!$P$5,'MODELO PARA BI'!R63,0)</f>
        <v/>
      </c>
      <c r="F14" s="117">
        <f>IF('MODELO PARA BI'!$E$63=0,0,(D14+E14)/'MODELO PARA BI'!$E$63)</f>
        <v/>
      </c>
      <c r="G14" s="117">
        <f>G13+F14</f>
        <v/>
      </c>
      <c r="I14" s="49">
        <f>B14*'VALOR POR PL'!$G$50</f>
        <v/>
      </c>
      <c r="J14" s="54">
        <f>I14*IF(A14&lt;='VALOR POR PL'!$P$5,IFERROR(INDEX('"INCC-FGV"'!$B$2:$B$800,MATCH(A14,'"INCC-FGV"'!$A$2:$A$800,0)),'VALOR POR PL'!$P$7),'VALOR POR PL'!$P$7)</f>
        <v/>
      </c>
      <c r="K14" s="71">
        <f>'MODELO PARA BI'!R65</f>
        <v/>
      </c>
      <c r="L14" s="71">
        <f>'MODELO PARA BI'!R66</f>
        <v/>
      </c>
      <c r="M14" s="54">
        <f>M13+J14</f>
        <v/>
      </c>
    </row>
    <row r="15">
      <c r="A15" s="119">
        <f>'MODELO PARA BI'!S1</f>
        <v/>
      </c>
      <c r="B15" s="120" t="n"/>
      <c r="C15" s="117">
        <f>C14+B15</f>
        <v/>
      </c>
      <c r="D15" s="60">
        <f>IF(A15&lt;='VALOR POR PL'!$P$5,'MODELO PARA BI'!S63,0)</f>
        <v/>
      </c>
      <c r="E15" s="60">
        <f>IF(A15&gt;'VALOR POR PL'!$P$5,'MODELO PARA BI'!S63,0)</f>
        <v/>
      </c>
      <c r="F15" s="117">
        <f>IF('MODELO PARA BI'!$E$63=0,0,(D15+E15)/'MODELO PARA BI'!$E$63)</f>
        <v/>
      </c>
      <c r="G15" s="117">
        <f>G14+F15</f>
        <v/>
      </c>
      <c r="I15" s="49">
        <f>B15*'VALOR POR PL'!$G$50</f>
        <v/>
      </c>
      <c r="J15" s="54">
        <f>I15*IF(A15&lt;='VALOR POR PL'!$P$5,IFERROR(INDEX('"INCC-FGV"'!$B$2:$B$800,MATCH(A15,'"INCC-FGV"'!$A$2:$A$800,0)),'VALOR POR PL'!$P$7),'VALOR POR PL'!$P$7)</f>
        <v/>
      </c>
      <c r="K15" s="71">
        <f>'MODELO PARA BI'!S65</f>
        <v/>
      </c>
      <c r="L15" s="71">
        <f>'MODELO PARA BI'!S66</f>
        <v/>
      </c>
      <c r="M15" s="54">
        <f>M14+J15</f>
        <v/>
      </c>
    </row>
    <row r="16">
      <c r="A16" s="119">
        <f>'MODELO PARA BI'!T1</f>
        <v/>
      </c>
      <c r="B16" s="120" t="n"/>
      <c r="C16" s="117">
        <f>C15+B16</f>
        <v/>
      </c>
      <c r="D16" s="60">
        <f>IF(A16&lt;='VALOR POR PL'!$P$5,'MODELO PARA BI'!T63,0)</f>
        <v/>
      </c>
      <c r="E16" s="60">
        <f>IF(A16&gt;'VALOR POR PL'!$P$5,'MODELO PARA BI'!T63,0)</f>
        <v/>
      </c>
      <c r="F16" s="117">
        <f>IF('MODELO PARA BI'!$E$63=0,0,(D16+E16)/'MODELO PARA BI'!$E$63)</f>
        <v/>
      </c>
      <c r="G16" s="117">
        <f>G15+F16</f>
        <v/>
      </c>
      <c r="I16" s="49">
        <f>B16*'VALOR POR PL'!$G$50</f>
        <v/>
      </c>
      <c r="J16" s="54">
        <f>I16*IF(A16&lt;='VALOR POR PL'!$P$5,IFERROR(INDEX('"INCC-FGV"'!$B$2:$B$800,MATCH(A16,'"INCC-FGV"'!$A$2:$A$800,0)),'VALOR POR PL'!$P$7),'VALOR POR PL'!$P$7)</f>
        <v/>
      </c>
      <c r="K16" s="71">
        <f>'MODELO PARA BI'!T65</f>
        <v/>
      </c>
      <c r="L16" s="71">
        <f>'MODELO PARA BI'!T66</f>
        <v/>
      </c>
      <c r="M16" s="54">
        <f>M15+J16</f>
        <v/>
      </c>
    </row>
    <row r="17">
      <c r="A17" s="119">
        <f>'MODELO PARA BI'!U1</f>
        <v/>
      </c>
      <c r="B17" s="120" t="n"/>
      <c r="C17" s="117">
        <f>C16+B17</f>
        <v/>
      </c>
      <c r="D17" s="60">
        <f>IF(A17&lt;='VALOR POR PL'!$P$5,'MODELO PARA BI'!U63,0)</f>
        <v/>
      </c>
      <c r="E17" s="60">
        <f>IF(A17&gt;'VALOR POR PL'!$P$5,'MODELO PARA BI'!U63,0)</f>
        <v/>
      </c>
      <c r="F17" s="117">
        <f>IF('MODELO PARA BI'!$E$63=0,0,(D17+E17)/'MODELO PARA BI'!$E$63)</f>
        <v/>
      </c>
      <c r="G17" s="117">
        <f>G16+F17</f>
        <v/>
      </c>
      <c r="I17" s="49">
        <f>B17*'VALOR POR PL'!$G$50</f>
        <v/>
      </c>
      <c r="J17" s="54">
        <f>I17*IF(A17&lt;='VALOR POR PL'!$P$5,IFERROR(INDEX('"INCC-FGV"'!$B$2:$B$800,MATCH(A17,'"INCC-FGV"'!$A$2:$A$800,0)),'VALOR POR PL'!$P$7),'VALOR POR PL'!$P$7)</f>
        <v/>
      </c>
      <c r="K17" s="71">
        <f>'MODELO PARA BI'!U65</f>
        <v/>
      </c>
      <c r="L17" s="71">
        <f>'MODELO PARA BI'!U66</f>
        <v/>
      </c>
      <c r="M17" s="54">
        <f>M16+J17</f>
        <v/>
      </c>
    </row>
    <row r="18">
      <c r="A18" s="119">
        <f>'MODELO PARA BI'!V1</f>
        <v/>
      </c>
      <c r="B18" s="120" t="n"/>
      <c r="C18" s="117">
        <f>C17+B18</f>
        <v/>
      </c>
      <c r="D18" s="60">
        <f>IF(A18&lt;='VALOR POR PL'!$P$5,'MODELO PARA BI'!V63,0)</f>
        <v/>
      </c>
      <c r="E18" s="60">
        <f>IF(A18&gt;'VALOR POR PL'!$P$5,'MODELO PARA BI'!V63,0)</f>
        <v/>
      </c>
      <c r="F18" s="117">
        <f>IF('MODELO PARA BI'!$E$63=0,0,(D18+E18)/'MODELO PARA BI'!$E$63)</f>
        <v/>
      </c>
      <c r="G18" s="117">
        <f>G17+F18</f>
        <v/>
      </c>
      <c r="I18" s="49">
        <f>B18*'VALOR POR PL'!$G$50</f>
        <v/>
      </c>
      <c r="J18" s="54">
        <f>I18*IF(A18&lt;='VALOR POR PL'!$P$5,IFERROR(INDEX('"INCC-FGV"'!$B$2:$B$800,MATCH(A18,'"INCC-FGV"'!$A$2:$A$800,0)),'VALOR POR PL'!$P$7),'VALOR POR PL'!$P$7)</f>
        <v/>
      </c>
      <c r="K18" s="71">
        <f>'MODELO PARA BI'!V65</f>
        <v/>
      </c>
      <c r="L18" s="71">
        <f>'MODELO PARA BI'!V66</f>
        <v/>
      </c>
      <c r="M18" s="54">
        <f>M17+J18</f>
        <v/>
      </c>
    </row>
    <row r="19">
      <c r="A19" s="119">
        <f>'MODELO PARA BI'!W1</f>
        <v/>
      </c>
      <c r="B19" s="120" t="n"/>
      <c r="C19" s="117">
        <f>C18+B19</f>
        <v/>
      </c>
      <c r="D19" s="60">
        <f>IF(A19&lt;='VALOR POR PL'!$P$5,'MODELO PARA BI'!W63,0)</f>
        <v/>
      </c>
      <c r="E19" s="60">
        <f>IF(A19&gt;'VALOR POR PL'!$P$5,'MODELO PARA BI'!W63,0)</f>
        <v/>
      </c>
      <c r="F19" s="117">
        <f>IF('MODELO PARA BI'!$E$63=0,0,(D19+E19)/'MODELO PARA BI'!$E$63)</f>
        <v/>
      </c>
      <c r="G19" s="117">
        <f>G18+F19</f>
        <v/>
      </c>
      <c r="I19" s="49">
        <f>B19*'VALOR POR PL'!$G$50</f>
        <v/>
      </c>
      <c r="J19" s="54">
        <f>I19*IF(A19&lt;='VALOR POR PL'!$P$5,IFERROR(INDEX('"INCC-FGV"'!$B$2:$B$800,MATCH(A19,'"INCC-FGV"'!$A$2:$A$800,0)),'VALOR POR PL'!$P$7),'VALOR POR PL'!$P$7)</f>
        <v/>
      </c>
      <c r="K19" s="71">
        <f>'MODELO PARA BI'!W65</f>
        <v/>
      </c>
      <c r="L19" s="71">
        <f>'MODELO PARA BI'!W66</f>
        <v/>
      </c>
      <c r="M19" s="54">
        <f>M18+J19</f>
        <v/>
      </c>
    </row>
    <row r="20">
      <c r="A20" s="119">
        <f>'MODELO PARA BI'!X1</f>
        <v/>
      </c>
      <c r="B20" s="120" t="n"/>
      <c r="C20" s="117">
        <f>C19+B20</f>
        <v/>
      </c>
      <c r="D20" s="60">
        <f>IF(A20&lt;='VALOR POR PL'!$P$5,'MODELO PARA BI'!X63,0)</f>
        <v/>
      </c>
      <c r="E20" s="60">
        <f>IF(A20&gt;'VALOR POR PL'!$P$5,'MODELO PARA BI'!X63,0)</f>
        <v/>
      </c>
      <c r="F20" s="117">
        <f>IF('MODELO PARA BI'!$E$63=0,0,(D20+E20)/'MODELO PARA BI'!$E$63)</f>
        <v/>
      </c>
      <c r="G20" s="117">
        <f>G19+F20</f>
        <v/>
      </c>
      <c r="I20" s="49">
        <f>B20*'VALOR POR PL'!$G$50</f>
        <v/>
      </c>
      <c r="J20" s="54">
        <f>I20*IF(A20&lt;='VALOR POR PL'!$P$5,IFERROR(INDEX('"INCC-FGV"'!$B$2:$B$800,MATCH(A20,'"INCC-FGV"'!$A$2:$A$800,0)),'VALOR POR PL'!$P$7),'VALOR POR PL'!$P$7)</f>
        <v/>
      </c>
      <c r="K20" s="71">
        <f>'MODELO PARA BI'!X65</f>
        <v/>
      </c>
      <c r="L20" s="71">
        <f>'MODELO PARA BI'!X66</f>
        <v/>
      </c>
      <c r="M20" s="54">
        <f>M19+J20</f>
        <v/>
      </c>
    </row>
    <row r="21">
      <c r="A21" s="119">
        <f>'MODELO PARA BI'!Y1</f>
        <v/>
      </c>
      <c r="B21" s="120" t="n"/>
      <c r="C21" s="117">
        <f>C20+B21</f>
        <v/>
      </c>
      <c r="D21" s="60">
        <f>IF(A21&lt;='VALOR POR PL'!$P$5,'MODELO PARA BI'!Y63,0)</f>
        <v/>
      </c>
      <c r="E21" s="60">
        <f>IF(A21&gt;'VALOR POR PL'!$P$5,'MODELO PARA BI'!Y63,0)</f>
        <v/>
      </c>
      <c r="F21" s="117">
        <f>IF('MODELO PARA BI'!$E$63=0,0,(D21+E21)/'MODELO PARA BI'!$E$63)</f>
        <v/>
      </c>
      <c r="G21" s="117">
        <f>G20+F21</f>
        <v/>
      </c>
      <c r="I21" s="49">
        <f>B21*'VALOR POR PL'!$G$50</f>
        <v/>
      </c>
      <c r="J21" s="54">
        <f>I21*IF(A21&lt;='VALOR POR PL'!$P$5,IFERROR(INDEX('"INCC-FGV"'!$B$2:$B$800,MATCH(A21,'"INCC-FGV"'!$A$2:$A$800,0)),'VALOR POR PL'!$P$7),'VALOR POR PL'!$P$7)</f>
        <v/>
      </c>
      <c r="K21" s="71">
        <f>'MODELO PARA BI'!Y65</f>
        <v/>
      </c>
      <c r="L21" s="71">
        <f>'MODELO PARA BI'!Y66</f>
        <v/>
      </c>
      <c r="M21" s="54">
        <f>M20+J21</f>
        <v/>
      </c>
    </row>
    <row r="22">
      <c r="A22" s="119">
        <f>'MODELO PARA BI'!Z1</f>
        <v/>
      </c>
      <c r="B22" s="120" t="n"/>
      <c r="C22" s="117">
        <f>C21+B22</f>
        <v/>
      </c>
      <c r="D22" s="60">
        <f>IF(A22&lt;='VALOR POR PL'!$P$5,'MODELO PARA BI'!Z63,0)</f>
        <v/>
      </c>
      <c r="E22" s="60">
        <f>IF(A22&gt;'VALOR POR PL'!$P$5,'MODELO PARA BI'!Z63,0)</f>
        <v/>
      </c>
      <c r="F22" s="117">
        <f>IF('MODELO PARA BI'!$E$63=0,0,(D22+E22)/'MODELO PARA BI'!$E$63)</f>
        <v/>
      </c>
      <c r="G22" s="117">
        <f>G21+F22</f>
        <v/>
      </c>
      <c r="I22" s="49">
        <f>B22*'VALOR POR PL'!$G$50</f>
        <v/>
      </c>
      <c r="J22" s="54">
        <f>I22*IF(A22&lt;='VALOR POR PL'!$P$5,IFERROR(INDEX('"INCC-FGV"'!$B$2:$B$800,MATCH(A22,'"INCC-FGV"'!$A$2:$A$800,0)),'VALOR POR PL'!$P$7),'VALOR POR PL'!$P$7)</f>
        <v/>
      </c>
      <c r="K22" s="71">
        <f>'MODELO PARA BI'!Z65</f>
        <v/>
      </c>
      <c r="L22" s="71">
        <f>'MODELO PARA BI'!Z66</f>
        <v/>
      </c>
      <c r="M22" s="54">
        <f>M21+J22</f>
        <v/>
      </c>
    </row>
    <row r="23">
      <c r="A23" s="119">
        <f>'MODELO PARA BI'!AA1</f>
        <v/>
      </c>
      <c r="B23" s="120" t="n"/>
      <c r="C23" s="117">
        <f>C22+B23</f>
        <v/>
      </c>
      <c r="D23" s="60">
        <f>IF(A23&lt;='VALOR POR PL'!$P$5,'MODELO PARA BI'!AA63,0)</f>
        <v/>
      </c>
      <c r="E23" s="60">
        <f>IF(A23&gt;'VALOR POR PL'!$P$5,'MODELO PARA BI'!AA63,0)</f>
        <v/>
      </c>
      <c r="F23" s="117">
        <f>IF('MODELO PARA BI'!$E$63=0,0,(D23+E23)/'MODELO PARA BI'!$E$63)</f>
        <v/>
      </c>
      <c r="G23" s="117">
        <f>G22+F23</f>
        <v/>
      </c>
      <c r="I23" s="49">
        <f>B23*'VALOR POR PL'!$G$50</f>
        <v/>
      </c>
      <c r="J23" s="54">
        <f>I23*IF(A23&lt;='VALOR POR PL'!$P$5,IFERROR(INDEX('"INCC-FGV"'!$B$2:$B$800,MATCH(A23,'"INCC-FGV"'!$A$2:$A$800,0)),'VALOR POR PL'!$P$7),'VALOR POR PL'!$P$7)</f>
        <v/>
      </c>
      <c r="K23" s="71">
        <f>'MODELO PARA BI'!AA65</f>
        <v/>
      </c>
      <c r="L23" s="71">
        <f>'MODELO PARA BI'!AA66</f>
        <v/>
      </c>
      <c r="M23" s="54">
        <f>M22+J23</f>
        <v/>
      </c>
    </row>
    <row r="24">
      <c r="A24" s="119">
        <f>'MODELO PARA BI'!AB1</f>
        <v/>
      </c>
      <c r="B24" s="120" t="n"/>
      <c r="C24" s="117">
        <f>C23+B24</f>
        <v/>
      </c>
      <c r="D24" s="60">
        <f>IF(A24&lt;='VALOR POR PL'!$P$5,'MODELO PARA BI'!AB63,0)</f>
        <v/>
      </c>
      <c r="E24" s="60">
        <f>IF(A24&gt;'VALOR POR PL'!$P$5,'MODELO PARA BI'!AB63,0)</f>
        <v/>
      </c>
      <c r="F24" s="117">
        <f>IF('MODELO PARA BI'!$E$63=0,0,(D24+E24)/'MODELO PARA BI'!$E$63)</f>
        <v/>
      </c>
      <c r="G24" s="117">
        <f>G23+F24</f>
        <v/>
      </c>
      <c r="I24" s="49">
        <f>B24*'VALOR POR PL'!$G$50</f>
        <v/>
      </c>
      <c r="J24" s="54">
        <f>I24*IF(A24&lt;='VALOR POR PL'!$P$5,IFERROR(INDEX('"INCC-FGV"'!$B$2:$B$800,MATCH(A24,'"INCC-FGV"'!$A$2:$A$800,0)),'VALOR POR PL'!$P$7),'VALOR POR PL'!$P$7)</f>
        <v/>
      </c>
      <c r="K24" s="71">
        <f>'MODELO PARA BI'!AB65</f>
        <v/>
      </c>
      <c r="L24" s="71">
        <f>'MODELO PARA BI'!AB66</f>
        <v/>
      </c>
      <c r="M24" s="54">
        <f>M23+J24</f>
        <v/>
      </c>
    </row>
    <row r="25">
      <c r="A25" s="119">
        <f>'MODELO PARA BI'!AC1</f>
        <v/>
      </c>
      <c r="B25" s="120" t="n"/>
      <c r="C25" s="117">
        <f>C24+B25</f>
        <v/>
      </c>
      <c r="D25" s="60">
        <f>IF(A25&lt;='VALOR POR PL'!$P$5,'MODELO PARA BI'!AC63,0)</f>
        <v/>
      </c>
      <c r="E25" s="60">
        <f>IF(A25&gt;'VALOR POR PL'!$P$5,'MODELO PARA BI'!AC63,0)</f>
        <v/>
      </c>
      <c r="F25" s="117">
        <f>IF('MODELO PARA BI'!$E$63=0,0,(D25+E25)/'MODELO PARA BI'!$E$63)</f>
        <v/>
      </c>
      <c r="G25" s="117">
        <f>G24+F25</f>
        <v/>
      </c>
      <c r="I25" s="49">
        <f>B25*'VALOR POR PL'!$G$50</f>
        <v/>
      </c>
      <c r="J25" s="54">
        <f>I25*IF(A25&lt;='VALOR POR PL'!$P$5,IFERROR(INDEX('"INCC-FGV"'!$B$2:$B$800,MATCH(A25,'"INCC-FGV"'!$A$2:$A$800,0)),'VALOR POR PL'!$P$7),'VALOR POR PL'!$P$7)</f>
        <v/>
      </c>
      <c r="K25" s="71">
        <f>'MODELO PARA BI'!AC65</f>
        <v/>
      </c>
      <c r="L25" s="71">
        <f>'MODELO PARA BI'!AC66</f>
        <v/>
      </c>
      <c r="M25" s="54">
        <f>M24+J25</f>
        <v/>
      </c>
    </row>
    <row r="26">
      <c r="A26" s="119">
        <f>'MODELO PARA BI'!AD1</f>
        <v/>
      </c>
      <c r="B26" s="120" t="n"/>
      <c r="C26" s="117">
        <f>C25+B26</f>
        <v/>
      </c>
      <c r="D26" s="60">
        <f>IF(A26&lt;='VALOR POR PL'!$P$5,'MODELO PARA BI'!AD63,0)</f>
        <v/>
      </c>
      <c r="E26" s="60">
        <f>IF(A26&gt;'VALOR POR PL'!$P$5,'MODELO PARA BI'!AD63,0)</f>
        <v/>
      </c>
      <c r="F26" s="117">
        <f>IF('MODELO PARA BI'!$E$63=0,0,(D26+E26)/'MODELO PARA BI'!$E$63)</f>
        <v/>
      </c>
      <c r="G26" s="117">
        <f>G25+F26</f>
        <v/>
      </c>
      <c r="I26" s="49">
        <f>B26*'VALOR POR PL'!$G$50</f>
        <v/>
      </c>
      <c r="J26" s="54">
        <f>I26*IF(A26&lt;='VALOR POR PL'!$P$5,IFERROR(INDEX('"INCC-FGV"'!$B$2:$B$800,MATCH(A26,'"INCC-FGV"'!$A$2:$A$800,0)),'VALOR POR PL'!$P$7),'VALOR POR PL'!$P$7)</f>
        <v/>
      </c>
      <c r="K26" s="71">
        <f>'MODELO PARA BI'!AD65</f>
        <v/>
      </c>
      <c r="L26" s="71">
        <f>'MODELO PARA BI'!AD66</f>
        <v/>
      </c>
      <c r="M26" s="54">
        <f>M25+J26</f>
        <v/>
      </c>
    </row>
    <row r="27">
      <c r="A27" s="119">
        <f>'MODELO PARA BI'!AE1</f>
        <v/>
      </c>
      <c r="B27" s="120" t="n"/>
      <c r="C27" s="117">
        <f>C26+B27</f>
        <v/>
      </c>
      <c r="D27" s="60">
        <f>IF(A27&lt;='VALOR POR PL'!$P$5,'MODELO PARA BI'!AE63,0)</f>
        <v/>
      </c>
      <c r="E27" s="60">
        <f>IF(A27&gt;'VALOR POR PL'!$P$5,'MODELO PARA BI'!AE63,0)</f>
        <v/>
      </c>
      <c r="F27" s="117">
        <f>IF('MODELO PARA BI'!$E$63=0,0,(D27+E27)/'MODELO PARA BI'!$E$63)</f>
        <v/>
      </c>
      <c r="G27" s="117">
        <f>G26+F27</f>
        <v/>
      </c>
      <c r="I27" s="49">
        <f>B27*'VALOR POR PL'!$G$50</f>
        <v/>
      </c>
      <c r="J27" s="54">
        <f>I27*IF(A27&lt;='VALOR POR PL'!$P$5,IFERROR(INDEX('"INCC-FGV"'!$B$2:$B$800,MATCH(A27,'"INCC-FGV"'!$A$2:$A$800,0)),'VALOR POR PL'!$P$7),'VALOR POR PL'!$P$7)</f>
        <v/>
      </c>
      <c r="K27" s="71">
        <f>'MODELO PARA BI'!AE65</f>
        <v/>
      </c>
      <c r="L27" s="71">
        <f>'MODELO PARA BI'!AE66</f>
        <v/>
      </c>
      <c r="M27" s="54">
        <f>M26+J27</f>
        <v/>
      </c>
    </row>
    <row r="28">
      <c r="A28" s="119">
        <f>'MODELO PARA BI'!AF1</f>
        <v/>
      </c>
      <c r="B28" s="120" t="n"/>
      <c r="C28" s="117">
        <f>C27+B28</f>
        <v/>
      </c>
      <c r="D28" s="60">
        <f>IF(A28&lt;='VALOR POR PL'!$P$5,'MODELO PARA BI'!AF63,0)</f>
        <v/>
      </c>
      <c r="E28" s="60">
        <f>IF(A28&gt;'VALOR POR PL'!$P$5,'MODELO PARA BI'!AF63,0)</f>
        <v/>
      </c>
      <c r="F28" s="117">
        <f>IF('MODELO PARA BI'!$E$63=0,0,(D28+E28)/'MODELO PARA BI'!$E$63)</f>
        <v/>
      </c>
      <c r="G28" s="117">
        <f>G27+F28</f>
        <v/>
      </c>
      <c r="I28" s="49">
        <f>B28*'VALOR POR PL'!$G$50</f>
        <v/>
      </c>
      <c r="J28" s="54">
        <f>I28*IF(A28&lt;='VALOR POR PL'!$P$5,IFERROR(INDEX('"INCC-FGV"'!$B$2:$B$800,MATCH(A28,'"INCC-FGV"'!$A$2:$A$800,0)),'VALOR POR PL'!$P$7),'VALOR POR PL'!$P$7)</f>
        <v/>
      </c>
      <c r="K28" s="71">
        <f>'MODELO PARA BI'!AF65</f>
        <v/>
      </c>
      <c r="L28" s="71">
        <f>'MODELO PARA BI'!AF66</f>
        <v/>
      </c>
      <c r="M28" s="54">
        <f>M27+J28</f>
        <v/>
      </c>
    </row>
    <row r="29">
      <c r="A29" s="119">
        <f>'MODELO PARA BI'!AG1</f>
        <v/>
      </c>
      <c r="B29" s="120" t="n"/>
      <c r="C29" s="117">
        <f>C28+B29</f>
        <v/>
      </c>
      <c r="D29" s="60">
        <f>IF(A29&lt;='VALOR POR PL'!$P$5,'MODELO PARA BI'!AG63,0)</f>
        <v/>
      </c>
      <c r="E29" s="60">
        <f>IF(A29&gt;'VALOR POR PL'!$P$5,'MODELO PARA BI'!AG63,0)</f>
        <v/>
      </c>
      <c r="F29" s="117">
        <f>IF('MODELO PARA BI'!$E$63=0,0,(D29+E29)/'MODELO PARA BI'!$E$63)</f>
        <v/>
      </c>
      <c r="G29" s="117">
        <f>G28+F29</f>
        <v/>
      </c>
      <c r="I29" s="49">
        <f>B29*'VALOR POR PL'!$G$50</f>
        <v/>
      </c>
      <c r="J29" s="54">
        <f>I29*IF(A29&lt;='VALOR POR PL'!$P$5,IFERROR(INDEX('"INCC-FGV"'!$B$2:$B$800,MATCH(A29,'"INCC-FGV"'!$A$2:$A$800,0)),'VALOR POR PL'!$P$7),'VALOR POR PL'!$P$7)</f>
        <v/>
      </c>
      <c r="K29" s="71">
        <f>'MODELO PARA BI'!AG65</f>
        <v/>
      </c>
      <c r="L29" s="71">
        <f>'MODELO PARA BI'!AG66</f>
        <v/>
      </c>
      <c r="M29" s="54">
        <f>M28+J29</f>
        <v/>
      </c>
    </row>
    <row r="30">
      <c r="A30" s="119">
        <f>'MODELO PARA BI'!AH1</f>
        <v/>
      </c>
      <c r="B30" s="120" t="n"/>
      <c r="C30" s="117">
        <f>C29+B30</f>
        <v/>
      </c>
      <c r="D30" s="60">
        <f>IF(A30&lt;='VALOR POR PL'!$P$5,'MODELO PARA BI'!AH63,0)</f>
        <v/>
      </c>
      <c r="E30" s="60">
        <f>IF(A30&gt;'VALOR POR PL'!$P$5,'MODELO PARA BI'!AH63,0)</f>
        <v/>
      </c>
      <c r="F30" s="117">
        <f>IF('MODELO PARA BI'!$E$63=0,0,(D30+E30)/'MODELO PARA BI'!$E$63)</f>
        <v/>
      </c>
      <c r="G30" s="117">
        <f>G29+F30</f>
        <v/>
      </c>
      <c r="I30" s="49">
        <f>B30*'VALOR POR PL'!$G$50</f>
        <v/>
      </c>
      <c r="J30" s="54">
        <f>I30*IF(A30&lt;='VALOR POR PL'!$P$5,IFERROR(INDEX('"INCC-FGV"'!$B$2:$B$800,MATCH(A30,'"INCC-FGV"'!$A$2:$A$800,0)),'VALOR POR PL'!$P$7),'VALOR POR PL'!$P$7)</f>
        <v/>
      </c>
      <c r="K30" s="71">
        <f>'MODELO PARA BI'!AH65</f>
        <v/>
      </c>
      <c r="L30" s="71">
        <f>'MODELO PARA BI'!AH66</f>
        <v/>
      </c>
      <c r="M30" s="54">
        <f>M29+J30</f>
        <v/>
      </c>
    </row>
    <row r="31">
      <c r="A31" s="119">
        <f>'MODELO PARA BI'!AI1</f>
        <v/>
      </c>
      <c r="B31" s="120" t="n"/>
      <c r="C31" s="117">
        <f>C30+B31</f>
        <v/>
      </c>
      <c r="D31" s="60">
        <f>IF(A31&lt;='VALOR POR PL'!$P$5,'MODELO PARA BI'!AI63,0)</f>
        <v/>
      </c>
      <c r="E31" s="60">
        <f>IF(A31&gt;'VALOR POR PL'!$P$5,'MODELO PARA BI'!AI63,0)</f>
        <v/>
      </c>
      <c r="F31" s="117">
        <f>IF('MODELO PARA BI'!$E$63=0,0,(D31+E31)/'MODELO PARA BI'!$E$63)</f>
        <v/>
      </c>
      <c r="G31" s="117">
        <f>G30+F31</f>
        <v/>
      </c>
      <c r="I31" s="49">
        <f>B31*'VALOR POR PL'!$G$50</f>
        <v/>
      </c>
      <c r="J31" s="54">
        <f>I31*IF(A31&lt;='VALOR POR PL'!$P$5,IFERROR(INDEX('"INCC-FGV"'!$B$2:$B$800,MATCH(A31,'"INCC-FGV"'!$A$2:$A$800,0)),'VALOR POR PL'!$P$7),'VALOR POR PL'!$P$7)</f>
        <v/>
      </c>
      <c r="K31" s="71">
        <f>'MODELO PARA BI'!AI65</f>
        <v/>
      </c>
      <c r="L31" s="71">
        <f>'MODELO PARA BI'!AI66</f>
        <v/>
      </c>
      <c r="M31" s="54">
        <f>M30+J31</f>
        <v/>
      </c>
    </row>
    <row r="32">
      <c r="A32" s="119">
        <f>'MODELO PARA BI'!AJ1</f>
        <v/>
      </c>
      <c r="B32" s="120" t="n"/>
      <c r="C32" s="117">
        <f>C31+B32</f>
        <v/>
      </c>
      <c r="D32" s="60">
        <f>IF(A32&lt;='VALOR POR PL'!$P$5,'MODELO PARA BI'!AJ63,0)</f>
        <v/>
      </c>
      <c r="E32" s="60">
        <f>IF(A32&gt;'VALOR POR PL'!$P$5,'MODELO PARA BI'!AJ63,0)</f>
        <v/>
      </c>
      <c r="F32" s="117">
        <f>IF('MODELO PARA BI'!$E$63=0,0,(D32+E32)/'MODELO PARA BI'!$E$63)</f>
        <v/>
      </c>
      <c r="G32" s="117">
        <f>G31+F32</f>
        <v/>
      </c>
      <c r="I32" s="49">
        <f>B32*'VALOR POR PL'!$G$50</f>
        <v/>
      </c>
      <c r="J32" s="54">
        <f>I32*IF(A32&lt;='VALOR POR PL'!$P$5,IFERROR(INDEX('"INCC-FGV"'!$B$2:$B$800,MATCH(A32,'"INCC-FGV"'!$A$2:$A$800,0)),'VALOR POR PL'!$P$7),'VALOR POR PL'!$P$7)</f>
        <v/>
      </c>
      <c r="K32" s="71">
        <f>'MODELO PARA BI'!AJ65</f>
        <v/>
      </c>
      <c r="L32" s="71">
        <f>'MODELO PARA BI'!AJ66</f>
        <v/>
      </c>
      <c r="M32" s="54">
        <f>M31+J32</f>
        <v/>
      </c>
    </row>
    <row r="33">
      <c r="A33" s="119">
        <f>'MODELO PARA BI'!AK1</f>
        <v/>
      </c>
      <c r="B33" s="120" t="n"/>
      <c r="C33" s="117">
        <f>C32+B33</f>
        <v/>
      </c>
      <c r="D33" s="60">
        <f>IF(A33&lt;='VALOR POR PL'!$P$5,'MODELO PARA BI'!AK63,0)</f>
        <v/>
      </c>
      <c r="E33" s="60">
        <f>IF(A33&gt;'VALOR POR PL'!$P$5,'MODELO PARA BI'!AK63,0)</f>
        <v/>
      </c>
      <c r="F33" s="117">
        <f>IF('MODELO PARA BI'!$E$63=0,0,(D33+E33)/'MODELO PARA BI'!$E$63)</f>
        <v/>
      </c>
      <c r="G33" s="117">
        <f>G32+F33</f>
        <v/>
      </c>
      <c r="I33" s="49">
        <f>B33*'VALOR POR PL'!$G$50</f>
        <v/>
      </c>
      <c r="J33" s="54">
        <f>I33*IF(A33&lt;='VALOR POR PL'!$P$5,IFERROR(INDEX('"INCC-FGV"'!$B$2:$B$800,MATCH(A33,'"INCC-FGV"'!$A$2:$A$800,0)),'VALOR POR PL'!$P$7),'VALOR POR PL'!$P$7)</f>
        <v/>
      </c>
      <c r="K33" s="71">
        <f>'MODELO PARA BI'!AK65</f>
        <v/>
      </c>
      <c r="L33" s="71">
        <f>'MODELO PARA BI'!AK66</f>
        <v/>
      </c>
      <c r="M33" s="54">
        <f>M32+J33</f>
        <v/>
      </c>
    </row>
    <row r="34">
      <c r="A34" s="119">
        <f>'MODELO PARA BI'!AL1</f>
        <v/>
      </c>
      <c r="B34" s="120" t="n"/>
      <c r="C34" s="117">
        <f>C33+B34</f>
        <v/>
      </c>
      <c r="D34" s="60">
        <f>IF(A34&lt;='VALOR POR PL'!$P$5,'MODELO PARA BI'!AL63,0)</f>
        <v/>
      </c>
      <c r="E34" s="60">
        <f>IF(A34&gt;'VALOR POR PL'!$P$5,'MODELO PARA BI'!AL63,0)</f>
        <v/>
      </c>
      <c r="F34" s="117">
        <f>IF('MODELO PARA BI'!$E$63=0,0,(D34+E34)/'MODELO PARA BI'!$E$63)</f>
        <v/>
      </c>
      <c r="G34" s="117">
        <f>G33+F34</f>
        <v/>
      </c>
      <c r="I34" s="49">
        <f>B34*'VALOR POR PL'!$G$50</f>
        <v/>
      </c>
      <c r="J34" s="54">
        <f>I34*IF(A34&lt;='VALOR POR PL'!$P$5,IFERROR(INDEX('"INCC-FGV"'!$B$2:$B$800,MATCH(A34,'"INCC-FGV"'!$A$2:$A$800,0)),'VALOR POR PL'!$P$7),'VALOR POR PL'!$P$7)</f>
        <v/>
      </c>
      <c r="K34" s="71">
        <f>'MODELO PARA BI'!AL65</f>
        <v/>
      </c>
      <c r="L34" s="71">
        <f>'MODELO PARA BI'!AL66</f>
        <v/>
      </c>
      <c r="M34" s="54">
        <f>M33+J34</f>
        <v/>
      </c>
    </row>
    <row r="35">
      <c r="A35" s="119">
        <f>'MODELO PARA BI'!AM1</f>
        <v/>
      </c>
      <c r="B35" s="120" t="n"/>
      <c r="C35" s="117">
        <f>C34+B35</f>
        <v/>
      </c>
      <c r="D35" s="60">
        <f>IF(A35&lt;='VALOR POR PL'!$P$5,'MODELO PARA BI'!AM63,0)</f>
        <v/>
      </c>
      <c r="E35" s="60">
        <f>IF(A35&gt;'VALOR POR PL'!$P$5,'MODELO PARA BI'!AM63,0)</f>
        <v/>
      </c>
      <c r="F35" s="117">
        <f>IF('MODELO PARA BI'!$E$63=0,0,(D35+E35)/'MODELO PARA BI'!$E$63)</f>
        <v/>
      </c>
      <c r="G35" s="117">
        <f>G34+F35</f>
        <v/>
      </c>
      <c r="I35" s="49">
        <f>B35*'VALOR POR PL'!$G$50</f>
        <v/>
      </c>
      <c r="J35" s="54">
        <f>I35*IF(A35&lt;='VALOR POR PL'!$P$5,IFERROR(INDEX('"INCC-FGV"'!$B$2:$B$800,MATCH(A35,'"INCC-FGV"'!$A$2:$A$800,0)),'VALOR POR PL'!$P$7),'VALOR POR PL'!$P$7)</f>
        <v/>
      </c>
      <c r="K35" s="71">
        <f>'MODELO PARA BI'!AM65</f>
        <v/>
      </c>
      <c r="L35" s="71">
        <f>'MODELO PARA BI'!AM66</f>
        <v/>
      </c>
      <c r="M35" s="54">
        <f>M34+J35</f>
        <v/>
      </c>
    </row>
    <row r="36">
      <c r="A36" s="119">
        <f>'MODELO PARA BI'!AN1</f>
        <v/>
      </c>
      <c r="B36" s="120" t="n"/>
      <c r="C36" s="117">
        <f>C35+B36</f>
        <v/>
      </c>
      <c r="D36" s="60">
        <f>IF(A36&lt;='VALOR POR PL'!$P$5,'MODELO PARA BI'!AN63,0)</f>
        <v/>
      </c>
      <c r="E36" s="60">
        <f>IF(A36&gt;'VALOR POR PL'!$P$5,'MODELO PARA BI'!AN63,0)</f>
        <v/>
      </c>
      <c r="F36" s="117">
        <f>IF('MODELO PARA BI'!$E$63=0,0,(D36+E36)/'MODELO PARA BI'!$E$63)</f>
        <v/>
      </c>
      <c r="G36" s="117">
        <f>G35+F36</f>
        <v/>
      </c>
      <c r="I36" s="49">
        <f>B36*'VALOR POR PL'!$G$50</f>
        <v/>
      </c>
      <c r="J36" s="54">
        <f>I36*IF(A36&lt;='VALOR POR PL'!$P$5,IFERROR(INDEX('"INCC-FGV"'!$B$2:$B$800,MATCH(A36,'"INCC-FGV"'!$A$2:$A$800,0)),'VALOR POR PL'!$P$7),'VALOR POR PL'!$P$7)</f>
        <v/>
      </c>
      <c r="K36" s="71">
        <f>'MODELO PARA BI'!AN65</f>
        <v/>
      </c>
      <c r="L36" s="71">
        <f>'MODELO PARA BI'!AN66</f>
        <v/>
      </c>
      <c r="M36" s="54">
        <f>M35+J36</f>
        <v/>
      </c>
    </row>
    <row r="37">
      <c r="A37" s="119">
        <f>'MODELO PARA BI'!AO1</f>
        <v/>
      </c>
      <c r="B37" s="120" t="n"/>
      <c r="C37" s="117">
        <f>C36+B37</f>
        <v/>
      </c>
      <c r="D37" s="60">
        <f>IF(A37&lt;='VALOR POR PL'!$P$5,'MODELO PARA BI'!AO63,0)</f>
        <v/>
      </c>
      <c r="E37" s="60">
        <f>IF(A37&gt;'VALOR POR PL'!$P$5,'MODELO PARA BI'!AO63,0)</f>
        <v/>
      </c>
      <c r="F37" s="117">
        <f>IF('MODELO PARA BI'!$E$63=0,0,(D37+E37)/'MODELO PARA BI'!$E$63)</f>
        <v/>
      </c>
      <c r="G37" s="117">
        <f>G36+F37</f>
        <v/>
      </c>
      <c r="I37" s="49">
        <f>B37*'VALOR POR PL'!$G$50</f>
        <v/>
      </c>
      <c r="J37" s="54">
        <f>I37*IF(A37&lt;='VALOR POR PL'!$P$5,IFERROR(INDEX('"INCC-FGV"'!$B$2:$B$800,MATCH(A37,'"INCC-FGV"'!$A$2:$A$800,0)),'VALOR POR PL'!$P$7),'VALOR POR PL'!$P$7)</f>
        <v/>
      </c>
      <c r="K37" s="71">
        <f>'MODELO PARA BI'!AO65</f>
        <v/>
      </c>
      <c r="L37" s="71">
        <f>'MODELO PARA BI'!AO66</f>
        <v/>
      </c>
      <c r="M37" s="54">
        <f>M36+J37</f>
        <v/>
      </c>
    </row>
    <row r="38">
      <c r="A38" s="119">
        <f>'MODELO PARA BI'!AP1</f>
        <v/>
      </c>
      <c r="B38" s="120" t="n"/>
      <c r="C38" s="117">
        <f>C37+B38</f>
        <v/>
      </c>
      <c r="D38" s="60">
        <f>IF(A38&lt;='VALOR POR PL'!$P$5,'MODELO PARA BI'!AP63,0)</f>
        <v/>
      </c>
      <c r="E38" s="60">
        <f>IF(A38&gt;'VALOR POR PL'!$P$5,'MODELO PARA BI'!AP63,0)</f>
        <v/>
      </c>
      <c r="F38" s="117">
        <f>IF('MODELO PARA BI'!$E$63=0,0,(D38+E38)/'MODELO PARA BI'!$E$63)</f>
        <v/>
      </c>
      <c r="G38" s="117">
        <f>G37+F38</f>
        <v/>
      </c>
      <c r="I38" s="49">
        <f>B38*'VALOR POR PL'!$G$50</f>
        <v/>
      </c>
      <c r="J38" s="54">
        <f>I38*IF(A38&lt;='VALOR POR PL'!$P$5,IFERROR(INDEX('"INCC-FGV"'!$B$2:$B$800,MATCH(A38,'"INCC-FGV"'!$A$2:$A$800,0)),'VALOR POR PL'!$P$7),'VALOR POR PL'!$P$7)</f>
        <v/>
      </c>
      <c r="K38" s="71">
        <f>'MODELO PARA BI'!AP65</f>
        <v/>
      </c>
      <c r="L38" s="71">
        <f>'MODELO PARA BI'!AP66</f>
        <v/>
      </c>
      <c r="M38" s="54">
        <f>M37+J38</f>
        <v/>
      </c>
    </row>
    <row r="39">
      <c r="A39" s="119">
        <f>'MODELO PARA BI'!AQ1</f>
        <v/>
      </c>
      <c r="B39" s="120" t="n"/>
      <c r="C39" s="117">
        <f>C38+B39</f>
        <v/>
      </c>
      <c r="D39" s="60">
        <f>IF(A39&lt;='VALOR POR PL'!$P$5,'MODELO PARA BI'!AQ63,0)</f>
        <v/>
      </c>
      <c r="E39" s="60">
        <f>IF(A39&gt;'VALOR POR PL'!$P$5,'MODELO PARA BI'!AQ63,0)</f>
        <v/>
      </c>
      <c r="F39" s="117">
        <f>IF('MODELO PARA BI'!$E$63=0,0,(D39+E39)/'MODELO PARA BI'!$E$63)</f>
        <v/>
      </c>
      <c r="G39" s="117">
        <f>G38+F39</f>
        <v/>
      </c>
      <c r="I39" s="49">
        <f>B39*'VALOR POR PL'!$G$50</f>
        <v/>
      </c>
      <c r="J39" s="54">
        <f>I39*IF(A39&lt;='VALOR POR PL'!$P$5,IFERROR(INDEX('"INCC-FGV"'!$B$2:$B$800,MATCH(A39,'"INCC-FGV"'!$A$2:$A$800,0)),'VALOR POR PL'!$P$7),'VALOR POR PL'!$P$7)</f>
        <v/>
      </c>
      <c r="K39" s="71">
        <f>'MODELO PARA BI'!AQ65</f>
        <v/>
      </c>
      <c r="L39" s="71">
        <f>'MODELO PARA BI'!AQ66</f>
        <v/>
      </c>
      <c r="M39" s="54">
        <f>M38+J39</f>
        <v/>
      </c>
    </row>
    <row r="40">
      <c r="A40" s="119">
        <f>'MODELO PARA BI'!AR1</f>
        <v/>
      </c>
      <c r="B40" s="120" t="n"/>
      <c r="C40" s="117">
        <f>C39+B40</f>
        <v/>
      </c>
      <c r="D40" s="60">
        <f>IF(A40&lt;='VALOR POR PL'!$P$5,'MODELO PARA BI'!AR63,0)</f>
        <v/>
      </c>
      <c r="E40" s="60">
        <f>IF(A40&gt;'VALOR POR PL'!$P$5,'MODELO PARA BI'!AR63,0)</f>
        <v/>
      </c>
      <c r="F40" s="117">
        <f>IF('MODELO PARA BI'!$E$63=0,0,(D40+E40)/'MODELO PARA BI'!$E$63)</f>
        <v/>
      </c>
      <c r="G40" s="117">
        <f>G39+F40</f>
        <v/>
      </c>
      <c r="I40" s="49">
        <f>B40*'VALOR POR PL'!$G$50</f>
        <v/>
      </c>
      <c r="J40" s="54">
        <f>I40*IF(A40&lt;='VALOR POR PL'!$P$5,IFERROR(INDEX('"INCC-FGV"'!$B$2:$B$800,MATCH(A40,'"INCC-FGV"'!$A$2:$A$800,0)),'VALOR POR PL'!$P$7),'VALOR POR PL'!$P$7)</f>
        <v/>
      </c>
      <c r="K40" s="71">
        <f>'MODELO PARA BI'!AR65</f>
        <v/>
      </c>
      <c r="L40" s="71">
        <f>'MODELO PARA BI'!AR66</f>
        <v/>
      </c>
      <c r="M40" s="54">
        <f>M39+J40</f>
        <v/>
      </c>
    </row>
    <row r="41">
      <c r="A41" s="119">
        <f>'MODELO PARA BI'!AS1</f>
        <v/>
      </c>
      <c r="B41" s="120" t="n"/>
      <c r="C41" s="117">
        <f>C40+B41</f>
        <v/>
      </c>
      <c r="D41" s="60">
        <f>IF(A41&lt;='VALOR POR PL'!$P$5,'MODELO PARA BI'!AS63,0)</f>
        <v/>
      </c>
      <c r="E41" s="60">
        <f>IF(A41&gt;'VALOR POR PL'!$P$5,'MODELO PARA BI'!AS63,0)</f>
        <v/>
      </c>
      <c r="F41" s="117">
        <f>IF('MODELO PARA BI'!$E$63=0,0,(D41+E41)/'MODELO PARA BI'!$E$63)</f>
        <v/>
      </c>
      <c r="G41" s="117">
        <f>G40+F41</f>
        <v/>
      </c>
      <c r="I41" s="49">
        <f>B41*'VALOR POR PL'!$G$50</f>
        <v/>
      </c>
      <c r="J41" s="54">
        <f>I41*IF(A41&lt;='VALOR POR PL'!$P$5,IFERROR(INDEX('"INCC-FGV"'!$B$2:$B$800,MATCH(A41,'"INCC-FGV"'!$A$2:$A$800,0)),'VALOR POR PL'!$P$7),'VALOR POR PL'!$P$7)</f>
        <v/>
      </c>
      <c r="K41" s="71">
        <f>'MODELO PARA BI'!AS65</f>
        <v/>
      </c>
      <c r="L41" s="71">
        <f>'MODELO PARA BI'!AS66</f>
        <v/>
      </c>
      <c r="M41" s="54">
        <f>M40+J41</f>
        <v/>
      </c>
    </row>
    <row r="42">
      <c r="A42" s="119">
        <f>'MODELO PARA BI'!AT1</f>
        <v/>
      </c>
      <c r="B42" s="120" t="n"/>
      <c r="C42" s="117">
        <f>C41+B42</f>
        <v/>
      </c>
      <c r="D42" s="60">
        <f>IF(A42&lt;='VALOR POR PL'!$P$5,'MODELO PARA BI'!AT63,0)</f>
        <v/>
      </c>
      <c r="E42" s="60">
        <f>IF(A42&gt;'VALOR POR PL'!$P$5,'MODELO PARA BI'!AT63,0)</f>
        <v/>
      </c>
      <c r="F42" s="117">
        <f>IF('MODELO PARA BI'!$E$63=0,0,(D42+E42)/'MODELO PARA BI'!$E$63)</f>
        <v/>
      </c>
      <c r="G42" s="117">
        <f>G41+F42</f>
        <v/>
      </c>
      <c r="I42" s="49">
        <f>B42*'VALOR POR PL'!$G$50</f>
        <v/>
      </c>
      <c r="J42" s="54">
        <f>I42*IF(A42&lt;='VALOR POR PL'!$P$5,IFERROR(INDEX('"INCC-FGV"'!$B$2:$B$800,MATCH(A42,'"INCC-FGV"'!$A$2:$A$800,0)),'VALOR POR PL'!$P$7),'VALOR POR PL'!$P$7)</f>
        <v/>
      </c>
      <c r="K42" s="71">
        <f>'MODELO PARA BI'!AT65</f>
        <v/>
      </c>
      <c r="L42" s="71">
        <f>'MODELO PARA BI'!AT66</f>
        <v/>
      </c>
      <c r="M42" s="54">
        <f>M41+J42</f>
        <v/>
      </c>
    </row>
    <row r="43">
      <c r="A43" s="119">
        <f>'MODELO PARA BI'!AU1</f>
        <v/>
      </c>
      <c r="B43" s="120" t="n"/>
      <c r="C43" s="117">
        <f>C42+B43</f>
        <v/>
      </c>
      <c r="D43" s="60">
        <f>IF(A43&lt;='VALOR POR PL'!$P$5,'MODELO PARA BI'!AU63,0)</f>
        <v/>
      </c>
      <c r="E43" s="60">
        <f>IF(A43&gt;'VALOR POR PL'!$P$5,'MODELO PARA BI'!AU63,0)</f>
        <v/>
      </c>
      <c r="F43" s="117">
        <f>IF('MODELO PARA BI'!$E$63=0,0,(D43+E43)/'MODELO PARA BI'!$E$63)</f>
        <v/>
      </c>
      <c r="G43" s="117">
        <f>G42+F43</f>
        <v/>
      </c>
      <c r="I43" s="49">
        <f>B43*'VALOR POR PL'!$G$50</f>
        <v/>
      </c>
      <c r="J43" s="54">
        <f>I43*IF(A43&lt;='VALOR POR PL'!$P$5,IFERROR(INDEX('"INCC-FGV"'!$B$2:$B$800,MATCH(A43,'"INCC-FGV"'!$A$2:$A$800,0)),'VALOR POR PL'!$P$7),'VALOR POR PL'!$P$7)</f>
        <v/>
      </c>
      <c r="K43" s="71">
        <f>'MODELO PARA BI'!AU65</f>
        <v/>
      </c>
      <c r="L43" s="71">
        <f>'MODELO PARA BI'!AU66</f>
        <v/>
      </c>
      <c r="M43" s="54">
        <f>M42+J43</f>
        <v/>
      </c>
    </row>
    <row r="44">
      <c r="A44" s="119">
        <f>'MODELO PARA BI'!AV1</f>
        <v/>
      </c>
      <c r="B44" s="120" t="n"/>
      <c r="C44" s="117">
        <f>C43+B44</f>
        <v/>
      </c>
      <c r="D44" s="60">
        <f>IF(A44&lt;='VALOR POR PL'!$P$5,'MODELO PARA BI'!AV63,0)</f>
        <v/>
      </c>
      <c r="E44" s="60">
        <f>IF(A44&gt;'VALOR POR PL'!$P$5,'MODELO PARA BI'!AV63,0)</f>
        <v/>
      </c>
      <c r="F44" s="117">
        <f>IF('MODELO PARA BI'!$E$63=0,0,(D44+E44)/'MODELO PARA BI'!$E$63)</f>
        <v/>
      </c>
      <c r="G44" s="117">
        <f>G43+F44</f>
        <v/>
      </c>
      <c r="I44" s="49">
        <f>B44*'VALOR POR PL'!$G$50</f>
        <v/>
      </c>
      <c r="J44" s="54">
        <f>I44*IF(A44&lt;='VALOR POR PL'!$P$5,IFERROR(INDEX('"INCC-FGV"'!$B$2:$B$800,MATCH(A44,'"INCC-FGV"'!$A$2:$A$800,0)),'VALOR POR PL'!$P$7),'VALOR POR PL'!$P$7)</f>
        <v/>
      </c>
      <c r="K44" s="71">
        <f>'MODELO PARA BI'!AV65</f>
        <v/>
      </c>
      <c r="L44" s="71">
        <f>'MODELO PARA BI'!AV66</f>
        <v/>
      </c>
      <c r="M44" s="54">
        <f>M43+J44</f>
        <v/>
      </c>
    </row>
    <row r="45">
      <c r="A45" s="119">
        <f>'MODELO PARA BI'!AW1</f>
        <v/>
      </c>
      <c r="B45" s="120" t="n"/>
      <c r="C45" s="117">
        <f>C44+B45</f>
        <v/>
      </c>
      <c r="D45" s="60">
        <f>IF(A45&lt;='VALOR POR PL'!$P$5,'MODELO PARA BI'!AW63,0)</f>
        <v/>
      </c>
      <c r="E45" s="60">
        <f>IF(A45&gt;'VALOR POR PL'!$P$5,'MODELO PARA BI'!AW63,0)</f>
        <v/>
      </c>
      <c r="F45" s="117">
        <f>IF('MODELO PARA BI'!$E$63=0,0,(D45+E45)/'MODELO PARA BI'!$E$63)</f>
        <v/>
      </c>
      <c r="G45" s="117">
        <f>G44+F45</f>
        <v/>
      </c>
      <c r="I45" s="49">
        <f>B45*'VALOR POR PL'!$G$50</f>
        <v/>
      </c>
      <c r="J45" s="54">
        <f>I45*IF(A45&lt;='VALOR POR PL'!$P$5,IFERROR(INDEX('"INCC-FGV"'!$B$2:$B$800,MATCH(A45,'"INCC-FGV"'!$A$2:$A$800,0)),'VALOR POR PL'!$P$7),'VALOR POR PL'!$P$7)</f>
        <v/>
      </c>
      <c r="K45" s="71">
        <f>'MODELO PARA BI'!AW65</f>
        <v/>
      </c>
      <c r="L45" s="71">
        <f>'MODELO PARA BI'!AW66</f>
        <v/>
      </c>
      <c r="M45" s="54">
        <f>M44+J45</f>
        <v/>
      </c>
    </row>
    <row r="46">
      <c r="A46" s="119">
        <f>'MODELO PARA BI'!AX1</f>
        <v/>
      </c>
      <c r="B46" s="120" t="n"/>
      <c r="C46" s="117">
        <f>C45+B46</f>
        <v/>
      </c>
      <c r="D46" s="60">
        <f>IF(A46&lt;='VALOR POR PL'!$P$5,'MODELO PARA BI'!AX63,0)</f>
        <v/>
      </c>
      <c r="E46" s="60">
        <f>IF(A46&gt;'VALOR POR PL'!$P$5,'MODELO PARA BI'!AX63,0)</f>
        <v/>
      </c>
      <c r="F46" s="117">
        <f>IF('MODELO PARA BI'!$E$63=0,0,(D46+E46)/'MODELO PARA BI'!$E$63)</f>
        <v/>
      </c>
      <c r="G46" s="117">
        <f>G45+F46</f>
        <v/>
      </c>
      <c r="I46" s="49">
        <f>B46*'VALOR POR PL'!$G$50</f>
        <v/>
      </c>
      <c r="J46" s="54">
        <f>I46*IF(A46&lt;='VALOR POR PL'!$P$5,IFERROR(INDEX('"INCC-FGV"'!$B$2:$B$800,MATCH(A46,'"INCC-FGV"'!$A$2:$A$800,0)),'VALOR POR PL'!$P$7),'VALOR POR PL'!$P$7)</f>
        <v/>
      </c>
      <c r="K46" s="71">
        <f>'MODELO PARA BI'!AX65</f>
        <v/>
      </c>
      <c r="L46" s="71">
        <f>'MODELO PARA BI'!AX66</f>
        <v/>
      </c>
      <c r="M46" s="54">
        <f>M45+J46</f>
        <v/>
      </c>
    </row>
    <row r="47">
      <c r="A47" s="119">
        <f>'MODELO PARA BI'!AY1</f>
        <v/>
      </c>
      <c r="B47" s="120" t="n"/>
      <c r="C47" s="117">
        <f>C46+B47</f>
        <v/>
      </c>
      <c r="D47" s="60">
        <f>IF(A47&lt;='VALOR POR PL'!$P$5,'MODELO PARA BI'!AY63,0)</f>
        <v/>
      </c>
      <c r="E47" s="60">
        <f>IF(A47&gt;'VALOR POR PL'!$P$5,'MODELO PARA BI'!AY63,0)</f>
        <v/>
      </c>
      <c r="F47" s="117">
        <f>IF('MODELO PARA BI'!$E$63=0,0,(D47+E47)/'MODELO PARA BI'!$E$63)</f>
        <v/>
      </c>
      <c r="G47" s="117">
        <f>G46+F47</f>
        <v/>
      </c>
      <c r="I47" s="49">
        <f>B47*'VALOR POR PL'!$G$50</f>
        <v/>
      </c>
      <c r="J47" s="54">
        <f>I47*IF(A47&lt;='VALOR POR PL'!$P$5,IFERROR(INDEX('"INCC-FGV"'!$B$2:$B$800,MATCH(A47,'"INCC-FGV"'!$A$2:$A$800,0)),'VALOR POR PL'!$P$7),'VALOR POR PL'!$P$7)</f>
        <v/>
      </c>
      <c r="K47" s="71">
        <f>'MODELO PARA BI'!AY65</f>
        <v/>
      </c>
      <c r="L47" s="71">
        <f>'MODELO PARA BI'!AY66</f>
        <v/>
      </c>
      <c r="M47" s="54">
        <f>M46+J47</f>
        <v/>
      </c>
    </row>
    <row r="48">
      <c r="A48" s="119">
        <f>'MODELO PARA BI'!AZ1</f>
        <v/>
      </c>
      <c r="B48" s="120" t="n"/>
      <c r="C48" s="117">
        <f>C47+B48</f>
        <v/>
      </c>
      <c r="D48" s="60">
        <f>IF(A48&lt;='VALOR POR PL'!$P$5,'MODELO PARA BI'!AZ63,0)</f>
        <v/>
      </c>
      <c r="E48" s="60">
        <f>IF(A48&gt;'VALOR POR PL'!$P$5,'MODELO PARA BI'!AZ63,0)</f>
        <v/>
      </c>
      <c r="F48" s="117">
        <f>IF('MODELO PARA BI'!$E$63=0,0,(D48+E48)/'MODELO PARA BI'!$E$63)</f>
        <v/>
      </c>
      <c r="G48" s="117">
        <f>G47+F48</f>
        <v/>
      </c>
      <c r="I48" s="49">
        <f>B48*'VALOR POR PL'!$G$50</f>
        <v/>
      </c>
      <c r="J48" s="54">
        <f>I48*IF(A48&lt;='VALOR POR PL'!$P$5,IFERROR(INDEX('"INCC-FGV"'!$B$2:$B$800,MATCH(A48,'"INCC-FGV"'!$A$2:$A$800,0)),'VALOR POR PL'!$P$7),'VALOR POR PL'!$P$7)</f>
        <v/>
      </c>
      <c r="K48" s="71">
        <f>'MODELO PARA BI'!AZ65</f>
        <v/>
      </c>
      <c r="L48" s="71">
        <f>'MODELO PARA BI'!AZ66</f>
        <v/>
      </c>
      <c r="M48" s="54">
        <f>M47+J48</f>
        <v/>
      </c>
    </row>
    <row r="49">
      <c r="A49" s="119">
        <f>'MODELO PARA BI'!BA1</f>
        <v/>
      </c>
      <c r="B49" s="120" t="n"/>
      <c r="C49" s="117">
        <f>C48+B49</f>
        <v/>
      </c>
      <c r="D49" s="60">
        <f>IF(A49&lt;='VALOR POR PL'!$P$5,'MODELO PARA BI'!BA63,0)</f>
        <v/>
      </c>
      <c r="E49" s="60">
        <f>IF(A49&gt;'VALOR POR PL'!$P$5,'MODELO PARA BI'!BA63,0)</f>
        <v/>
      </c>
      <c r="F49" s="117">
        <f>IF('MODELO PARA BI'!$E$63=0,0,(D49+E49)/'MODELO PARA BI'!$E$63)</f>
        <v/>
      </c>
      <c r="G49" s="117">
        <f>G48+F49</f>
        <v/>
      </c>
      <c r="I49" s="49">
        <f>B49*'VALOR POR PL'!$G$50</f>
        <v/>
      </c>
      <c r="J49" s="54">
        <f>I49*IF(A49&lt;='VALOR POR PL'!$P$5,IFERROR(INDEX('"INCC-FGV"'!$B$2:$B$800,MATCH(A49,'"INCC-FGV"'!$A$2:$A$800,0)),'VALOR POR PL'!$P$7),'VALOR POR PL'!$P$7)</f>
        <v/>
      </c>
      <c r="K49" s="71">
        <f>'MODELO PARA BI'!BA65</f>
        <v/>
      </c>
      <c r="L49" s="71">
        <f>'MODELO PARA BI'!BA66</f>
        <v/>
      </c>
      <c r="M49" s="54">
        <f>M48+J49</f>
        <v/>
      </c>
    </row>
    <row r="50">
      <c r="A50" s="119">
        <f>'MODELO PARA BI'!BB1</f>
        <v/>
      </c>
      <c r="B50" s="120" t="n"/>
      <c r="C50" s="117">
        <f>C49+B50</f>
        <v/>
      </c>
      <c r="D50" s="60">
        <f>IF(A50&lt;='VALOR POR PL'!$P$5,'MODELO PARA BI'!BB63,0)</f>
        <v/>
      </c>
      <c r="E50" s="60">
        <f>IF(A50&gt;'VALOR POR PL'!$P$5,'MODELO PARA BI'!BB63,0)</f>
        <v/>
      </c>
      <c r="F50" s="117">
        <f>IF('MODELO PARA BI'!$E$63=0,0,(D50+E50)/'MODELO PARA BI'!$E$63)</f>
        <v/>
      </c>
      <c r="G50" s="117">
        <f>G49+F50</f>
        <v/>
      </c>
      <c r="I50" s="49">
        <f>B50*'VALOR POR PL'!$G$50</f>
        <v/>
      </c>
      <c r="J50" s="54">
        <f>I50*IF(A50&lt;='VALOR POR PL'!$P$5,IFERROR(INDEX('"INCC-FGV"'!$B$2:$B$800,MATCH(A50,'"INCC-FGV"'!$A$2:$A$800,0)),'VALOR POR PL'!$P$7),'VALOR POR PL'!$P$7)</f>
        <v/>
      </c>
      <c r="K50" s="71">
        <f>'MODELO PARA BI'!BB65</f>
        <v/>
      </c>
      <c r="L50" s="71">
        <f>'MODELO PARA BI'!BB66</f>
        <v/>
      </c>
      <c r="M50" s="54">
        <f>M49+J50</f>
        <v/>
      </c>
    </row>
    <row r="51">
      <c r="A51" s="119">
        <f>'MODELO PARA BI'!BC1</f>
        <v/>
      </c>
      <c r="B51" s="120" t="n"/>
      <c r="C51" s="117">
        <f>C50+B51</f>
        <v/>
      </c>
      <c r="D51" s="60">
        <f>IF(A51&lt;='VALOR POR PL'!$P$5,'MODELO PARA BI'!BC63,0)</f>
        <v/>
      </c>
      <c r="E51" s="60">
        <f>IF(A51&gt;'VALOR POR PL'!$P$5,'MODELO PARA BI'!BC63,0)</f>
        <v/>
      </c>
      <c r="F51" s="117">
        <f>IF('MODELO PARA BI'!$E$63=0,0,(D51+E51)/'MODELO PARA BI'!$E$63)</f>
        <v/>
      </c>
      <c r="G51" s="117">
        <f>G50+F51</f>
        <v/>
      </c>
      <c r="I51" s="49">
        <f>B51*'VALOR POR PL'!$G$50</f>
        <v/>
      </c>
      <c r="J51" s="54">
        <f>I51*IF(A51&lt;='VALOR POR PL'!$P$5,IFERROR(INDEX('"INCC-FGV"'!$B$2:$B$800,MATCH(A51,'"INCC-FGV"'!$A$2:$A$800,0)),'VALOR POR PL'!$P$7),'VALOR POR PL'!$P$7)</f>
        <v/>
      </c>
      <c r="K51" s="71">
        <f>'MODELO PARA BI'!BC65</f>
        <v/>
      </c>
      <c r="L51" s="71">
        <f>'MODELO PARA BI'!BC66</f>
        <v/>
      </c>
      <c r="M51" s="54">
        <f>M50+J51</f>
        <v/>
      </c>
    </row>
    <row r="52">
      <c r="A52" s="119">
        <f>'MODELO PARA BI'!BD1</f>
        <v/>
      </c>
      <c r="B52" s="120" t="n"/>
      <c r="C52" s="117">
        <f>C51+B52</f>
        <v/>
      </c>
      <c r="D52" s="60">
        <f>IF(A52&lt;='VALOR POR PL'!$P$5,'MODELO PARA BI'!BD63,0)</f>
        <v/>
      </c>
      <c r="E52" s="60">
        <f>IF(A52&gt;'VALOR POR PL'!$P$5,'MODELO PARA BI'!BD63,0)</f>
        <v/>
      </c>
      <c r="F52" s="117">
        <f>IF('MODELO PARA BI'!$E$63=0,0,(D52+E52)/'MODELO PARA BI'!$E$63)</f>
        <v/>
      </c>
      <c r="G52" s="117">
        <f>G51+F52</f>
        <v/>
      </c>
      <c r="I52" s="49">
        <f>B52*'VALOR POR PL'!$G$50</f>
        <v/>
      </c>
      <c r="J52" s="54">
        <f>I52*IF(A52&lt;='VALOR POR PL'!$P$5,IFERROR(INDEX('"INCC-FGV"'!$B$2:$B$800,MATCH(A52,'"INCC-FGV"'!$A$2:$A$800,0)),'VALOR POR PL'!$P$7),'VALOR POR PL'!$P$7)</f>
        <v/>
      </c>
      <c r="K52" s="71">
        <f>'MODELO PARA BI'!BD65</f>
        <v/>
      </c>
      <c r="L52" s="71">
        <f>'MODELO PARA BI'!BD66</f>
        <v/>
      </c>
      <c r="M52" s="54">
        <f>M51+J52</f>
        <v/>
      </c>
    </row>
    <row r="53">
      <c r="A53" s="119">
        <f>'MODELO PARA BI'!BE1</f>
        <v/>
      </c>
      <c r="B53" s="120" t="n"/>
      <c r="C53" s="117">
        <f>C52+B53</f>
        <v/>
      </c>
      <c r="D53" s="60">
        <f>IF(A53&lt;='VALOR POR PL'!$P$5,'MODELO PARA BI'!BE63,0)</f>
        <v/>
      </c>
      <c r="E53" s="60">
        <f>IF(A53&gt;'VALOR POR PL'!$P$5,'MODELO PARA BI'!BE63,0)</f>
        <v/>
      </c>
      <c r="F53" s="117">
        <f>IF('MODELO PARA BI'!$E$63=0,0,(D53+E53)/'MODELO PARA BI'!$E$63)</f>
        <v/>
      </c>
      <c r="G53" s="117">
        <f>G52+F53</f>
        <v/>
      </c>
      <c r="I53" s="49">
        <f>B53*'VALOR POR PL'!$G$50</f>
        <v/>
      </c>
      <c r="J53" s="54">
        <f>I53*IF(A53&lt;='VALOR POR PL'!$P$5,IFERROR(INDEX('"INCC-FGV"'!$B$2:$B$800,MATCH(A53,'"INCC-FGV"'!$A$2:$A$800,0)),'VALOR POR PL'!$P$7),'VALOR POR PL'!$P$7)</f>
        <v/>
      </c>
      <c r="K53" s="71">
        <f>'MODELO PARA BI'!BE65</f>
        <v/>
      </c>
      <c r="L53" s="71">
        <f>'MODELO PARA BI'!BE66</f>
        <v/>
      </c>
      <c r="M53" s="54">
        <f>M52+J53</f>
        <v/>
      </c>
    </row>
    <row r="54">
      <c r="A54" s="119">
        <f>'MODELO PARA BI'!BF1</f>
        <v/>
      </c>
      <c r="B54" s="120" t="n"/>
      <c r="C54" s="117">
        <f>C53+B54</f>
        <v/>
      </c>
      <c r="D54" s="60">
        <f>IF(A54&lt;='VALOR POR PL'!$P$5,'MODELO PARA BI'!BF63,0)</f>
        <v/>
      </c>
      <c r="E54" s="60">
        <f>IF(A54&gt;'VALOR POR PL'!$P$5,'MODELO PARA BI'!BF63,0)</f>
        <v/>
      </c>
      <c r="F54" s="117">
        <f>IF('MODELO PARA BI'!$E$63=0,0,(D54+E54)/'MODELO PARA BI'!$E$63)</f>
        <v/>
      </c>
      <c r="G54" s="117">
        <f>G53+F54</f>
        <v/>
      </c>
      <c r="I54" s="49">
        <f>B54*'VALOR POR PL'!$G$50</f>
        <v/>
      </c>
      <c r="J54" s="54">
        <f>I54*IF(A54&lt;='VALOR POR PL'!$P$5,IFERROR(INDEX('"INCC-FGV"'!$B$2:$B$800,MATCH(A54,'"INCC-FGV"'!$A$2:$A$800,0)),'VALOR POR PL'!$P$7),'VALOR POR PL'!$P$7)</f>
        <v/>
      </c>
      <c r="K54" s="71">
        <f>'MODELO PARA BI'!BF65</f>
        <v/>
      </c>
      <c r="L54" s="71">
        <f>'MODELO PARA BI'!BF66</f>
        <v/>
      </c>
      <c r="M54" s="54">
        <f>M53+J54</f>
        <v/>
      </c>
    </row>
    <row r="55">
      <c r="A55" s="119">
        <f>'MODELO PARA BI'!BG1</f>
        <v/>
      </c>
      <c r="B55" s="120" t="n"/>
      <c r="C55" s="117">
        <f>C54+B55</f>
        <v/>
      </c>
      <c r="D55" s="60">
        <f>IF(A55&lt;='VALOR POR PL'!$P$5,'MODELO PARA BI'!BG63,0)</f>
        <v/>
      </c>
      <c r="E55" s="60">
        <f>IF(A55&gt;'VALOR POR PL'!$P$5,'MODELO PARA BI'!BG63,0)</f>
        <v/>
      </c>
      <c r="F55" s="117">
        <f>IF('MODELO PARA BI'!$E$63=0,0,(D55+E55)/'MODELO PARA BI'!$E$63)</f>
        <v/>
      </c>
      <c r="G55" s="117">
        <f>G54+F55</f>
        <v/>
      </c>
      <c r="I55" s="49">
        <f>B55*'VALOR POR PL'!$G$50</f>
        <v/>
      </c>
      <c r="J55" s="54">
        <f>I55*IF(A55&lt;='VALOR POR PL'!$P$5,IFERROR(INDEX('"INCC-FGV"'!$B$2:$B$800,MATCH(A55,'"INCC-FGV"'!$A$2:$A$800,0)),'VALOR POR PL'!$P$7),'VALOR POR PL'!$P$7)</f>
        <v/>
      </c>
      <c r="K55" s="71">
        <f>'MODELO PARA BI'!BG65</f>
        <v/>
      </c>
      <c r="L55" s="71">
        <f>'MODELO PARA BI'!BG66</f>
        <v/>
      </c>
      <c r="M55" s="54">
        <f>M54+J55</f>
        <v/>
      </c>
    </row>
    <row r="56">
      <c r="A56" s="119">
        <f>'MODELO PARA BI'!BH1</f>
        <v/>
      </c>
      <c r="B56" s="120" t="n"/>
      <c r="C56" s="117">
        <f>C55+B56</f>
        <v/>
      </c>
      <c r="D56" s="60">
        <f>IF(A56&lt;='VALOR POR PL'!$P$5,'MODELO PARA BI'!BH63,0)</f>
        <v/>
      </c>
      <c r="E56" s="60">
        <f>IF(A56&gt;'VALOR POR PL'!$P$5,'MODELO PARA BI'!BH63,0)</f>
        <v/>
      </c>
      <c r="F56" s="117">
        <f>IF('MODELO PARA BI'!$E$63=0,0,(D56+E56)/'MODELO PARA BI'!$E$63)</f>
        <v/>
      </c>
      <c r="G56" s="117">
        <f>G55+F56</f>
        <v/>
      </c>
      <c r="I56" s="49">
        <f>B56*'VALOR POR PL'!$G$50</f>
        <v/>
      </c>
      <c r="J56" s="54">
        <f>I56*IF(A56&lt;='VALOR POR PL'!$P$5,IFERROR(INDEX('"INCC-FGV"'!$B$2:$B$800,MATCH(A56,'"INCC-FGV"'!$A$2:$A$800,0)),'VALOR POR PL'!$P$7),'VALOR POR PL'!$P$7)</f>
        <v/>
      </c>
      <c r="K56" s="71">
        <f>'MODELO PARA BI'!BH65</f>
        <v/>
      </c>
      <c r="L56" s="71">
        <f>'MODELO PARA BI'!BH66</f>
        <v/>
      </c>
      <c r="M56" s="54">
        <f>M55+J56</f>
        <v/>
      </c>
    </row>
    <row r="57">
      <c r="A57" s="119">
        <f>'MODELO PARA BI'!BI1</f>
        <v/>
      </c>
      <c r="B57" s="120" t="n"/>
      <c r="C57" s="117">
        <f>C56+B57</f>
        <v/>
      </c>
      <c r="D57" s="60">
        <f>IF(A57&lt;='VALOR POR PL'!$P$5,'MODELO PARA BI'!BI63,0)</f>
        <v/>
      </c>
      <c r="E57" s="60">
        <f>IF(A57&gt;'VALOR POR PL'!$P$5,'MODELO PARA BI'!BI63,0)</f>
        <v/>
      </c>
      <c r="F57" s="117">
        <f>IF('MODELO PARA BI'!$E$63=0,0,(D57+E57)/'MODELO PARA BI'!$E$63)</f>
        <v/>
      </c>
      <c r="G57" s="117">
        <f>G56+F57</f>
        <v/>
      </c>
      <c r="I57" s="49">
        <f>B57*'VALOR POR PL'!$G$50</f>
        <v/>
      </c>
      <c r="J57" s="54">
        <f>I57*IF(A57&lt;='VALOR POR PL'!$P$5,IFERROR(INDEX('"INCC-FGV"'!$B$2:$B$800,MATCH(A57,'"INCC-FGV"'!$A$2:$A$800,0)),'VALOR POR PL'!$P$7),'VALOR POR PL'!$P$7)</f>
        <v/>
      </c>
      <c r="K57" s="71">
        <f>'MODELO PARA BI'!BI65</f>
        <v/>
      </c>
      <c r="L57" s="71">
        <f>'MODELO PARA BI'!BI66</f>
        <v/>
      </c>
      <c r="M57" s="54">
        <f>M56+J57</f>
        <v/>
      </c>
    </row>
    <row r="58">
      <c r="A58" s="119">
        <f>'MODELO PARA BI'!BJ1</f>
        <v/>
      </c>
      <c r="B58" s="120" t="n"/>
      <c r="C58" s="117">
        <f>C57+B58</f>
        <v/>
      </c>
      <c r="D58" s="60">
        <f>IF(A58&lt;='VALOR POR PL'!$P$5,'MODELO PARA BI'!BJ63,0)</f>
        <v/>
      </c>
      <c r="E58" s="60">
        <f>IF(A58&gt;'VALOR POR PL'!$P$5,'MODELO PARA BI'!BJ63,0)</f>
        <v/>
      </c>
      <c r="F58" s="117">
        <f>IF('MODELO PARA BI'!$E$63=0,0,(D58+E58)/'MODELO PARA BI'!$E$63)</f>
        <v/>
      </c>
      <c r="G58" s="117">
        <f>G57+F58</f>
        <v/>
      </c>
      <c r="I58" s="49">
        <f>B58*'VALOR POR PL'!$G$50</f>
        <v/>
      </c>
      <c r="J58" s="54">
        <f>I58*IF(A58&lt;='VALOR POR PL'!$P$5,IFERROR(INDEX('"INCC-FGV"'!$B$2:$B$800,MATCH(A58,'"INCC-FGV"'!$A$2:$A$800,0)),'VALOR POR PL'!$P$7),'VALOR POR PL'!$P$7)</f>
        <v/>
      </c>
      <c r="K58" s="71">
        <f>'MODELO PARA BI'!BJ65</f>
        <v/>
      </c>
      <c r="L58" s="71">
        <f>'MODELO PARA BI'!BJ66</f>
        <v/>
      </c>
      <c r="M58" s="54">
        <f>M57+J58</f>
        <v/>
      </c>
    </row>
    <row r="59">
      <c r="A59" s="119">
        <f>'MODELO PARA BI'!BK1</f>
        <v/>
      </c>
      <c r="B59" s="120" t="n"/>
      <c r="C59" s="117">
        <f>C58+B59</f>
        <v/>
      </c>
      <c r="D59" s="60">
        <f>IF(A59&lt;='VALOR POR PL'!$P$5,'MODELO PARA BI'!BK63,0)</f>
        <v/>
      </c>
      <c r="E59" s="60">
        <f>IF(A59&gt;'VALOR POR PL'!$P$5,'MODELO PARA BI'!BK63,0)</f>
        <v/>
      </c>
      <c r="F59" s="117">
        <f>IF('MODELO PARA BI'!$E$63=0,0,(D59+E59)/'MODELO PARA BI'!$E$63)</f>
        <v/>
      </c>
      <c r="G59" s="117">
        <f>G58+F59</f>
        <v/>
      </c>
      <c r="I59" s="49">
        <f>B59*'VALOR POR PL'!$G$50</f>
        <v/>
      </c>
      <c r="J59" s="54">
        <f>I59*IF(A59&lt;='VALOR POR PL'!$P$5,IFERROR(INDEX('"INCC-FGV"'!$B$2:$B$800,MATCH(A59,'"INCC-FGV"'!$A$2:$A$800,0)),'VALOR POR PL'!$P$7),'VALOR POR PL'!$P$7)</f>
        <v/>
      </c>
      <c r="K59" s="71">
        <f>'MODELO PARA BI'!BK65</f>
        <v/>
      </c>
      <c r="L59" s="71">
        <f>'MODELO PARA BI'!BK66</f>
        <v/>
      </c>
      <c r="M59" s="54">
        <f>M58+J59</f>
        <v/>
      </c>
    </row>
    <row r="60">
      <c r="A60" s="119">
        <f>'MODELO PARA BI'!BL1</f>
        <v/>
      </c>
      <c r="B60" s="120" t="n"/>
      <c r="C60" s="117">
        <f>C59+B60</f>
        <v/>
      </c>
      <c r="D60" s="60">
        <f>IF(A60&lt;='VALOR POR PL'!$P$5,'MODELO PARA BI'!BL63,0)</f>
        <v/>
      </c>
      <c r="E60" s="60">
        <f>IF(A60&gt;'VALOR POR PL'!$P$5,'MODELO PARA BI'!BL63,0)</f>
        <v/>
      </c>
      <c r="F60" s="117">
        <f>IF('MODELO PARA BI'!$E$63=0,0,(D60+E60)/'MODELO PARA BI'!$E$63)</f>
        <v/>
      </c>
      <c r="G60" s="117">
        <f>G59+F60</f>
        <v/>
      </c>
      <c r="I60" s="49">
        <f>B60*'VALOR POR PL'!$G$50</f>
        <v/>
      </c>
      <c r="J60" s="54">
        <f>I60*IF(A60&lt;='VALOR POR PL'!$P$5,IFERROR(INDEX('"INCC-FGV"'!$B$2:$B$800,MATCH(A60,'"INCC-FGV"'!$A$2:$A$800,0)),'VALOR POR PL'!$P$7),'VALOR POR PL'!$P$7)</f>
        <v/>
      </c>
      <c r="K60" s="71">
        <f>'MODELO PARA BI'!BL65</f>
        <v/>
      </c>
      <c r="L60" s="71">
        <f>'MODELO PARA BI'!BL66</f>
        <v/>
      </c>
      <c r="M60" s="54">
        <f>M59+J60</f>
        <v/>
      </c>
    </row>
    <row r="61">
      <c r="A61" s="119">
        <f>'MODELO PARA BI'!BM1</f>
        <v/>
      </c>
      <c r="B61" s="120" t="n"/>
      <c r="C61" s="117">
        <f>C60+B61</f>
        <v/>
      </c>
      <c r="D61" s="60">
        <f>IF(A61&lt;='VALOR POR PL'!$P$5,'MODELO PARA BI'!BM63,0)</f>
        <v/>
      </c>
      <c r="E61" s="60">
        <f>IF(A61&gt;'VALOR POR PL'!$P$5,'MODELO PARA BI'!BM63,0)</f>
        <v/>
      </c>
      <c r="F61" s="117">
        <f>IF('MODELO PARA BI'!$E$63=0,0,(D61+E61)/'MODELO PARA BI'!$E$63)</f>
        <v/>
      </c>
      <c r="G61" s="117">
        <f>G60+F61</f>
        <v/>
      </c>
      <c r="I61" s="49">
        <f>B61*'VALOR POR PL'!$G$50</f>
        <v/>
      </c>
      <c r="J61" s="54">
        <f>I61*IF(A61&lt;='VALOR POR PL'!$P$5,IFERROR(INDEX('"INCC-FGV"'!$B$2:$B$800,MATCH(A61,'"INCC-FGV"'!$A$2:$A$800,0)),'VALOR POR PL'!$P$7),'VALOR POR PL'!$P$7)</f>
        <v/>
      </c>
      <c r="K61" s="71">
        <f>'MODELO PARA BI'!BM65</f>
        <v/>
      </c>
      <c r="L61" s="71">
        <f>'MODELO PARA BI'!BM66</f>
        <v/>
      </c>
      <c r="M61" s="54">
        <f>M60+J61</f>
        <v/>
      </c>
    </row>
    <row r="62">
      <c r="A62" s="119">
        <f>'MODELO PARA BI'!BN1</f>
        <v/>
      </c>
      <c r="B62" s="120" t="n"/>
      <c r="C62" s="117">
        <f>C61+B62</f>
        <v/>
      </c>
      <c r="D62" s="60">
        <f>IF(A62&lt;='VALOR POR PL'!$P$5,'MODELO PARA BI'!BN63,0)</f>
        <v/>
      </c>
      <c r="E62" s="60">
        <f>IF(A62&gt;'VALOR POR PL'!$P$5,'MODELO PARA BI'!BN63,0)</f>
        <v/>
      </c>
      <c r="F62" s="117">
        <f>IF('MODELO PARA BI'!$E$63=0,0,(D62+E62)/'MODELO PARA BI'!$E$63)</f>
        <v/>
      </c>
      <c r="G62" s="117">
        <f>G61+F62</f>
        <v/>
      </c>
      <c r="I62" s="49">
        <f>B62*'VALOR POR PL'!$G$50</f>
        <v/>
      </c>
      <c r="J62" s="54">
        <f>I62*IF(A62&lt;='VALOR POR PL'!$P$5,IFERROR(INDEX('"INCC-FGV"'!$B$2:$B$800,MATCH(A62,'"INCC-FGV"'!$A$2:$A$800,0)),'VALOR POR PL'!$P$7),'VALOR POR PL'!$P$7)</f>
        <v/>
      </c>
      <c r="K62" s="71">
        <f>'MODELO PARA BI'!BN65</f>
        <v/>
      </c>
      <c r="L62" s="71">
        <f>'MODELO PARA BI'!BN66</f>
        <v/>
      </c>
      <c r="M62" s="54">
        <f>M61+J62</f>
        <v/>
      </c>
    </row>
    <row r="63">
      <c r="A63" s="119">
        <f>'MODELO PARA BI'!BO1</f>
        <v/>
      </c>
      <c r="B63" s="120" t="n"/>
      <c r="C63" s="117">
        <f>C62+B63</f>
        <v/>
      </c>
      <c r="D63" s="60">
        <f>IF(A63&lt;='VALOR POR PL'!$P$5,'MODELO PARA BI'!BO63,0)</f>
        <v/>
      </c>
      <c r="E63" s="60">
        <f>IF(A63&gt;'VALOR POR PL'!$P$5,'MODELO PARA BI'!BO63,0)</f>
        <v/>
      </c>
      <c r="F63" s="117">
        <f>IF('MODELO PARA BI'!$E$63=0,0,(D63+E63)/'MODELO PARA BI'!$E$63)</f>
        <v/>
      </c>
      <c r="G63" s="117">
        <f>G62+F63</f>
        <v/>
      </c>
      <c r="I63" s="49">
        <f>B63*'VALOR POR PL'!$G$50</f>
        <v/>
      </c>
      <c r="J63" s="54">
        <f>I63*IF(A63&lt;='VALOR POR PL'!$P$5,IFERROR(INDEX('"INCC-FGV"'!$B$2:$B$800,MATCH(A63,'"INCC-FGV"'!$A$2:$A$800,0)),'VALOR POR PL'!$P$7),'VALOR POR PL'!$P$7)</f>
        <v/>
      </c>
      <c r="K63" s="71">
        <f>'MODELO PARA BI'!BO65</f>
        <v/>
      </c>
      <c r="L63" s="71">
        <f>'MODELO PARA BI'!BO66</f>
        <v/>
      </c>
      <c r="M63" s="54">
        <f>M62+J63</f>
        <v/>
      </c>
    </row>
    <row r="64">
      <c r="A64" s="119">
        <f>'MODELO PARA BI'!BP1</f>
        <v/>
      </c>
      <c r="B64" s="120" t="n"/>
      <c r="C64" s="117">
        <f>C63+B64</f>
        <v/>
      </c>
      <c r="D64" s="60">
        <f>IF(A64&lt;='VALOR POR PL'!$P$5,'MODELO PARA BI'!BP63,0)</f>
        <v/>
      </c>
      <c r="E64" s="60">
        <f>IF(A64&gt;'VALOR POR PL'!$P$5,'MODELO PARA BI'!BP63,0)</f>
        <v/>
      </c>
      <c r="F64" s="117">
        <f>IF('MODELO PARA BI'!$E$63=0,0,(D64+E64)/'MODELO PARA BI'!$E$63)</f>
        <v/>
      </c>
      <c r="G64" s="117">
        <f>G63+F64</f>
        <v/>
      </c>
      <c r="I64" s="49">
        <f>B64*'VALOR POR PL'!$G$50</f>
        <v/>
      </c>
      <c r="J64" s="54">
        <f>I64*IF(A64&lt;='VALOR POR PL'!$P$5,IFERROR(INDEX('"INCC-FGV"'!$B$2:$B$800,MATCH(A64,'"INCC-FGV"'!$A$2:$A$800,0)),'VALOR POR PL'!$P$7),'VALOR POR PL'!$P$7)</f>
        <v/>
      </c>
      <c r="K64" s="71">
        <f>'MODELO PARA BI'!BP65</f>
        <v/>
      </c>
      <c r="L64" s="71">
        <f>'MODELO PARA BI'!BP66</f>
        <v/>
      </c>
      <c r="M64" s="54">
        <f>M63+J64</f>
        <v/>
      </c>
    </row>
    <row r="65">
      <c r="A65" s="119">
        <f>'MODELO PARA BI'!BQ1</f>
        <v/>
      </c>
      <c r="B65" s="120" t="n"/>
      <c r="C65" s="117">
        <f>C64+B65</f>
        <v/>
      </c>
      <c r="D65" s="60">
        <f>IF(A65&lt;='VALOR POR PL'!$P$5,'MODELO PARA BI'!BQ63,0)</f>
        <v/>
      </c>
      <c r="E65" s="60">
        <f>IF(A65&gt;'VALOR POR PL'!$P$5,'MODELO PARA BI'!BQ63,0)</f>
        <v/>
      </c>
      <c r="F65" s="117">
        <f>IF('MODELO PARA BI'!$E$63=0,0,(D65+E65)/'MODELO PARA BI'!$E$63)</f>
        <v/>
      </c>
      <c r="G65" s="117">
        <f>G64+F65</f>
        <v/>
      </c>
      <c r="I65" s="49">
        <f>B65*'VALOR POR PL'!$G$50</f>
        <v/>
      </c>
      <c r="J65" s="54">
        <f>I65*IF(A65&lt;='VALOR POR PL'!$P$5,IFERROR(INDEX('"INCC-FGV"'!$B$2:$B$800,MATCH(A65,'"INCC-FGV"'!$A$2:$A$800,0)),'VALOR POR PL'!$P$7),'VALOR POR PL'!$P$7)</f>
        <v/>
      </c>
      <c r="K65" s="71">
        <f>'MODELO PARA BI'!BQ65</f>
        <v/>
      </c>
      <c r="L65" s="71">
        <f>'MODELO PARA BI'!BQ66</f>
        <v/>
      </c>
      <c r="M65" s="54">
        <f>M64+J65</f>
        <v/>
      </c>
    </row>
    <row r="66">
      <c r="A66" s="119">
        <f>'MODELO PARA BI'!BR1</f>
        <v/>
      </c>
      <c r="B66" s="120" t="n"/>
      <c r="C66" s="117">
        <f>C65+B66</f>
        <v/>
      </c>
      <c r="D66" s="60">
        <f>IF(A66&lt;='VALOR POR PL'!$P$5,'MODELO PARA BI'!BR63,0)</f>
        <v/>
      </c>
      <c r="E66" s="60">
        <f>IF(A66&gt;'VALOR POR PL'!$P$5,'MODELO PARA BI'!BR63,0)</f>
        <v/>
      </c>
      <c r="F66" s="117">
        <f>IF('MODELO PARA BI'!$E$63=0,0,(D66+E66)/'MODELO PARA BI'!$E$63)</f>
        <v/>
      </c>
      <c r="G66" s="117">
        <f>G65+F66</f>
        <v/>
      </c>
      <c r="I66" s="49">
        <f>B66*'VALOR POR PL'!$G$50</f>
        <v/>
      </c>
      <c r="J66" s="54">
        <f>I66*IF(A66&lt;='VALOR POR PL'!$P$5,IFERROR(INDEX('"INCC-FGV"'!$B$2:$B$800,MATCH(A66,'"INCC-FGV"'!$A$2:$A$800,0)),'VALOR POR PL'!$P$7),'VALOR POR PL'!$P$7)</f>
        <v/>
      </c>
      <c r="K66" s="71">
        <f>'MODELO PARA BI'!BR65</f>
        <v/>
      </c>
      <c r="L66" s="71">
        <f>'MODELO PARA BI'!BR66</f>
        <v/>
      </c>
      <c r="M66" s="54">
        <f>M65+J66</f>
        <v/>
      </c>
    </row>
    <row r="67">
      <c r="A67" s="119">
        <f>'MODELO PARA BI'!BS1</f>
        <v/>
      </c>
      <c r="B67" s="120" t="n"/>
      <c r="C67" s="117">
        <f>C66+B67</f>
        <v/>
      </c>
      <c r="D67" s="60">
        <f>IF(A67&lt;='VALOR POR PL'!$P$5,'MODELO PARA BI'!BS63,0)</f>
        <v/>
      </c>
      <c r="E67" s="60">
        <f>IF(A67&gt;'VALOR POR PL'!$P$5,'MODELO PARA BI'!BS63,0)</f>
        <v/>
      </c>
      <c r="F67" s="117">
        <f>IF('MODELO PARA BI'!$E$63=0,0,(D67+E67)/'MODELO PARA BI'!$E$63)</f>
        <v/>
      </c>
      <c r="G67" s="117">
        <f>G66+F67</f>
        <v/>
      </c>
      <c r="I67" s="49">
        <f>B67*'VALOR POR PL'!$G$50</f>
        <v/>
      </c>
      <c r="J67" s="54">
        <f>I67*IF(A67&lt;='VALOR POR PL'!$P$5,IFERROR(INDEX('"INCC-FGV"'!$B$2:$B$800,MATCH(A67,'"INCC-FGV"'!$A$2:$A$800,0)),'VALOR POR PL'!$P$7),'VALOR POR PL'!$P$7)</f>
        <v/>
      </c>
      <c r="K67" s="71">
        <f>'MODELO PARA BI'!BS65</f>
        <v/>
      </c>
      <c r="L67" s="71">
        <f>'MODELO PARA BI'!BS66</f>
        <v/>
      </c>
      <c r="M67" s="54">
        <f>M66+J67</f>
        <v/>
      </c>
    </row>
    <row r="68">
      <c r="A68" s="119">
        <f>'MODELO PARA BI'!BT1</f>
        <v/>
      </c>
      <c r="B68" s="120" t="n"/>
      <c r="C68" s="117">
        <f>C67+B68</f>
        <v/>
      </c>
      <c r="D68" s="60">
        <f>IF(A68&lt;='VALOR POR PL'!$P$5,'MODELO PARA BI'!BT63,0)</f>
        <v/>
      </c>
      <c r="E68" s="60">
        <f>IF(A68&gt;'VALOR POR PL'!$P$5,'MODELO PARA BI'!BT63,0)</f>
        <v/>
      </c>
      <c r="F68" s="117">
        <f>IF('MODELO PARA BI'!$E$63=0,0,(D68+E68)/'MODELO PARA BI'!$E$63)</f>
        <v/>
      </c>
      <c r="G68" s="117">
        <f>G67+F68</f>
        <v/>
      </c>
      <c r="I68" s="49">
        <f>B68*'VALOR POR PL'!$G$50</f>
        <v/>
      </c>
      <c r="J68" s="54">
        <f>I68*IF(A68&lt;='VALOR POR PL'!$P$5,IFERROR(INDEX('"INCC-FGV"'!$B$2:$B$800,MATCH(A68,'"INCC-FGV"'!$A$2:$A$800,0)),'VALOR POR PL'!$P$7),'VALOR POR PL'!$P$7)</f>
        <v/>
      </c>
      <c r="K68" s="71">
        <f>'MODELO PARA BI'!BT65</f>
        <v/>
      </c>
      <c r="L68" s="71">
        <f>'MODELO PARA BI'!BT66</f>
        <v/>
      </c>
      <c r="M68" s="54">
        <f>M67+J68</f>
        <v/>
      </c>
    </row>
    <row r="69">
      <c r="A69" s="119">
        <f>'MODELO PARA BI'!BU1</f>
        <v/>
      </c>
      <c r="B69" s="120" t="n"/>
      <c r="C69" s="117">
        <f>C68+B69</f>
        <v/>
      </c>
      <c r="D69" s="60">
        <f>IF(A69&lt;='VALOR POR PL'!$P$5,'MODELO PARA BI'!BU63,0)</f>
        <v/>
      </c>
      <c r="E69" s="60">
        <f>IF(A69&gt;'VALOR POR PL'!$P$5,'MODELO PARA BI'!BU63,0)</f>
        <v/>
      </c>
      <c r="F69" s="117">
        <f>IF('MODELO PARA BI'!$E$63=0,0,(D69+E69)/'MODELO PARA BI'!$E$63)</f>
        <v/>
      </c>
      <c r="G69" s="117">
        <f>G68+F69</f>
        <v/>
      </c>
      <c r="I69" s="49">
        <f>B69*'VALOR POR PL'!$G$50</f>
        <v/>
      </c>
      <c r="J69" s="54">
        <f>I69*IF(A69&lt;='VALOR POR PL'!$P$5,IFERROR(INDEX('"INCC-FGV"'!$B$2:$B$800,MATCH(A69,'"INCC-FGV"'!$A$2:$A$800,0)),'VALOR POR PL'!$P$7),'VALOR POR PL'!$P$7)</f>
        <v/>
      </c>
      <c r="K69" s="71">
        <f>'MODELO PARA BI'!BU65</f>
        <v/>
      </c>
      <c r="L69" s="71">
        <f>'MODELO PARA BI'!BU66</f>
        <v/>
      </c>
      <c r="M69" s="54">
        <f>M68+J69</f>
        <v/>
      </c>
    </row>
    <row r="70">
      <c r="A70" s="119">
        <f>'MODELO PARA BI'!BV1</f>
        <v/>
      </c>
      <c r="B70" s="120" t="n"/>
      <c r="C70" s="117">
        <f>C69+B70</f>
        <v/>
      </c>
      <c r="D70" s="60">
        <f>IF(A70&lt;='VALOR POR PL'!$P$5,'MODELO PARA BI'!BV63,0)</f>
        <v/>
      </c>
      <c r="E70" s="60">
        <f>IF(A70&gt;'VALOR POR PL'!$P$5,'MODELO PARA BI'!BV63,0)</f>
        <v/>
      </c>
      <c r="F70" s="117">
        <f>IF('MODELO PARA BI'!$E$63=0,0,(D70+E70)/'MODELO PARA BI'!$E$63)</f>
        <v/>
      </c>
      <c r="G70" s="117">
        <f>G69+F70</f>
        <v/>
      </c>
      <c r="I70" s="49">
        <f>B70*'VALOR POR PL'!$G$50</f>
        <v/>
      </c>
      <c r="J70" s="54">
        <f>I70*IF(A70&lt;='VALOR POR PL'!$P$5,IFERROR(INDEX('"INCC-FGV"'!$B$2:$B$800,MATCH(A70,'"INCC-FGV"'!$A$2:$A$800,0)),'VALOR POR PL'!$P$7),'VALOR POR PL'!$P$7)</f>
        <v/>
      </c>
      <c r="K70" s="71">
        <f>'MODELO PARA BI'!BV65</f>
        <v/>
      </c>
      <c r="L70" s="71">
        <f>'MODELO PARA BI'!BV66</f>
        <v/>
      </c>
      <c r="M70" s="54">
        <f>M69+J70</f>
        <v/>
      </c>
    </row>
    <row r="71">
      <c r="A71" s="119">
        <f>'MODELO PARA BI'!BW1</f>
        <v/>
      </c>
      <c r="B71" s="120" t="n"/>
      <c r="C71" s="117">
        <f>C70+B71</f>
        <v/>
      </c>
      <c r="D71" s="60">
        <f>IF(A71&lt;='VALOR POR PL'!$P$5,'MODELO PARA BI'!BW63,0)</f>
        <v/>
      </c>
      <c r="E71" s="60">
        <f>IF(A71&gt;'VALOR POR PL'!$P$5,'MODELO PARA BI'!BW63,0)</f>
        <v/>
      </c>
      <c r="F71" s="117">
        <f>IF('MODELO PARA BI'!$E$63=0,0,(D71+E71)/'MODELO PARA BI'!$E$63)</f>
        <v/>
      </c>
      <c r="G71" s="117">
        <f>G70+F71</f>
        <v/>
      </c>
      <c r="I71" s="49">
        <f>B71*'VALOR POR PL'!$G$50</f>
        <v/>
      </c>
      <c r="J71" s="54">
        <f>I71*IF(A71&lt;='VALOR POR PL'!$P$5,IFERROR(INDEX('"INCC-FGV"'!$B$2:$B$800,MATCH(A71,'"INCC-FGV"'!$A$2:$A$800,0)),'VALOR POR PL'!$P$7),'VALOR POR PL'!$P$7)</f>
        <v/>
      </c>
      <c r="K71" s="71">
        <f>'MODELO PARA BI'!BW65</f>
        <v/>
      </c>
      <c r="L71" s="71">
        <f>'MODELO PARA BI'!BW66</f>
        <v/>
      </c>
      <c r="M71" s="54">
        <f>M70+J71</f>
        <v/>
      </c>
    </row>
    <row r="72">
      <c r="A72" s="119">
        <f>'MODELO PARA BI'!BX1</f>
        <v/>
      </c>
      <c r="B72" s="120" t="n"/>
      <c r="C72" s="117">
        <f>C71+B72</f>
        <v/>
      </c>
      <c r="D72" s="60">
        <f>IF(A72&lt;='VALOR POR PL'!$P$5,'MODELO PARA BI'!BX63,0)</f>
        <v/>
      </c>
      <c r="E72" s="60">
        <f>IF(A72&gt;'VALOR POR PL'!$P$5,'MODELO PARA BI'!BX63,0)</f>
        <v/>
      </c>
      <c r="F72" s="117">
        <f>IF('MODELO PARA BI'!$E$63=0,0,(D72+E72)/'MODELO PARA BI'!$E$63)</f>
        <v/>
      </c>
      <c r="G72" s="117">
        <f>G71+F72</f>
        <v/>
      </c>
      <c r="I72" s="49">
        <f>B72*'VALOR POR PL'!$G$50</f>
        <v/>
      </c>
      <c r="J72" s="54">
        <f>I72*IF(A72&lt;='VALOR POR PL'!$P$5,IFERROR(INDEX('"INCC-FGV"'!$B$2:$B$800,MATCH(A72,'"INCC-FGV"'!$A$2:$A$800,0)),'VALOR POR PL'!$P$7),'VALOR POR PL'!$P$7)</f>
        <v/>
      </c>
      <c r="K72" s="71">
        <f>'MODELO PARA BI'!BX65</f>
        <v/>
      </c>
      <c r="L72" s="71">
        <f>'MODELO PARA BI'!BX66</f>
        <v/>
      </c>
      <c r="M72" s="54">
        <f>M71+J72</f>
        <v/>
      </c>
    </row>
    <row r="73">
      <c r="A73" s="119">
        <f>'MODELO PARA BI'!BY1</f>
        <v/>
      </c>
      <c r="B73" s="120" t="n"/>
      <c r="C73" s="117">
        <f>C72+B73</f>
        <v/>
      </c>
      <c r="D73" s="60">
        <f>IF(A73&lt;='VALOR POR PL'!$P$5,'MODELO PARA BI'!BY63,0)</f>
        <v/>
      </c>
      <c r="E73" s="60">
        <f>IF(A73&gt;'VALOR POR PL'!$P$5,'MODELO PARA BI'!BY63,0)</f>
        <v/>
      </c>
      <c r="F73" s="117">
        <f>IF('MODELO PARA BI'!$E$63=0,0,(D73+E73)/'MODELO PARA BI'!$E$63)</f>
        <v/>
      </c>
      <c r="G73" s="117">
        <f>G72+F73</f>
        <v/>
      </c>
      <c r="I73" s="49">
        <f>B73*'VALOR POR PL'!$G$50</f>
        <v/>
      </c>
      <c r="J73" s="54">
        <f>I73*IF(A73&lt;='VALOR POR PL'!$P$5,IFERROR(INDEX('"INCC-FGV"'!$B$2:$B$800,MATCH(A73,'"INCC-FGV"'!$A$2:$A$800,0)),'VALOR POR PL'!$P$7),'VALOR POR PL'!$P$7)</f>
        <v/>
      </c>
      <c r="K73" s="71">
        <f>'MODELO PARA BI'!BY65</f>
        <v/>
      </c>
      <c r="L73" s="71">
        <f>'MODELO PARA BI'!BY66</f>
        <v/>
      </c>
      <c r="M73" s="54">
        <f>M72+J73</f>
        <v/>
      </c>
    </row>
    <row r="74">
      <c r="A74" s="119">
        <f>'MODELO PARA BI'!BZ1</f>
        <v/>
      </c>
      <c r="B74" s="120" t="n"/>
      <c r="C74" s="117">
        <f>C73+B74</f>
        <v/>
      </c>
      <c r="D74" s="60">
        <f>IF(A74&lt;='VALOR POR PL'!$P$5,'MODELO PARA BI'!BZ63,0)</f>
        <v/>
      </c>
      <c r="E74" s="60">
        <f>IF(A74&gt;'VALOR POR PL'!$P$5,'MODELO PARA BI'!BZ63,0)</f>
        <v/>
      </c>
      <c r="F74" s="117">
        <f>IF('MODELO PARA BI'!$E$63=0,0,(D74+E74)/'MODELO PARA BI'!$E$63)</f>
        <v/>
      </c>
      <c r="G74" s="117">
        <f>G73+F74</f>
        <v/>
      </c>
      <c r="I74" s="49">
        <f>B74*'VALOR POR PL'!$G$50</f>
        <v/>
      </c>
      <c r="J74" s="54">
        <f>I74*IF(A74&lt;='VALOR POR PL'!$P$5,IFERROR(INDEX('"INCC-FGV"'!$B$2:$B$800,MATCH(A74,'"INCC-FGV"'!$A$2:$A$800,0)),'VALOR POR PL'!$P$7),'VALOR POR PL'!$P$7)</f>
        <v/>
      </c>
      <c r="K74" s="71">
        <f>'MODELO PARA BI'!BZ65</f>
        <v/>
      </c>
      <c r="L74" s="71">
        <f>'MODELO PARA BI'!BZ66</f>
        <v/>
      </c>
      <c r="M74" s="54">
        <f>M73+J74</f>
        <v/>
      </c>
    </row>
    <row r="75">
      <c r="A75" s="119">
        <f>'MODELO PARA BI'!CA1</f>
        <v/>
      </c>
      <c r="B75" s="120" t="n"/>
      <c r="C75" s="117">
        <f>C74+B75</f>
        <v/>
      </c>
      <c r="D75" s="60">
        <f>IF(A75&lt;='VALOR POR PL'!$P$5,'MODELO PARA BI'!CA63,0)</f>
        <v/>
      </c>
      <c r="E75" s="60">
        <f>IF(A75&gt;'VALOR POR PL'!$P$5,'MODELO PARA BI'!CA63,0)</f>
        <v/>
      </c>
      <c r="F75" s="117">
        <f>IF('MODELO PARA BI'!$E$63=0,0,(D75+E75)/'MODELO PARA BI'!$E$63)</f>
        <v/>
      </c>
      <c r="G75" s="117">
        <f>G74+F75</f>
        <v/>
      </c>
      <c r="I75" s="49">
        <f>B75*'VALOR POR PL'!$G$50</f>
        <v/>
      </c>
      <c r="J75" s="54">
        <f>I75*IF(A75&lt;='VALOR POR PL'!$P$5,IFERROR(INDEX('"INCC-FGV"'!$B$2:$B$800,MATCH(A75,'"INCC-FGV"'!$A$2:$A$800,0)),'VALOR POR PL'!$P$7),'VALOR POR PL'!$P$7)</f>
        <v/>
      </c>
      <c r="K75" s="71">
        <f>'MODELO PARA BI'!CA65</f>
        <v/>
      </c>
      <c r="L75" s="71">
        <f>'MODELO PARA BI'!CA66</f>
        <v/>
      </c>
      <c r="M75" s="54">
        <f>M74+J75</f>
        <v/>
      </c>
    </row>
  </sheetData>
  <conditionalFormatting sqref="A4:M75">
    <cfRule type="expression" priority="1" dxfId="7">
      <formula>$A4&lt;='VALOR POR PL'!$P$5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G80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2" customWidth="1" min="5" max="5"/>
  </cols>
  <sheetData>
    <row r="1">
      <c r="A1" s="58" t="inlineStr">
        <is>
          <t>Mês</t>
        </is>
      </c>
      <c r="B1" s="58" t="inlineStr">
        <is>
          <t>Índice</t>
        </is>
      </c>
      <c r="C1" s="58" t="inlineStr">
        <is>
          <t>(%) mês</t>
        </is>
      </c>
      <c r="D1" s="58" t="inlineStr">
        <is>
          <t>(%) no ano</t>
        </is>
      </c>
      <c r="E1" s="58" t="inlineStr">
        <is>
          <t>(%) 12 meses</t>
        </is>
      </c>
    </row>
    <row r="2">
      <c r="A2" s="121" t="n">
        <v>34547</v>
      </c>
      <c r="B2" s="47" t="n">
        <v>100</v>
      </c>
      <c r="D2" s="122">
        <f>IF(B2="","",IFERROR(B2/INDEX($B$2:$B$800,MATCH(DATE(YEAR(A2)-1,12,1),$A$2:$A$800,0))-1,""))</f>
        <v/>
      </c>
      <c r="E2" s="122">
        <f>IF(B2="","",IFERROR(B2/INDEX($B$2:$B$800,MATCH(DATE(YEAR(A2)-1,MONTH(A2),1),$A$2:$A$800,0))-1,""))</f>
        <v/>
      </c>
      <c r="G2" s="123" t="inlineStr">
        <is>
          <t>Fonte: FGV (INCC-DI). Acrescente uma linha por mês.</t>
        </is>
      </c>
    </row>
    <row r="3">
      <c r="A3" s="121" t="n">
        <v>34578</v>
      </c>
      <c r="B3" s="47" t="n">
        <v>100.381</v>
      </c>
      <c r="C3" s="122">
        <f>IF(OR(B3="",B2=""),"",B3/B2-1)</f>
        <v/>
      </c>
      <c r="D3" s="122">
        <f>IF(B3="","",IFERROR(B3/INDEX($B$2:$B$800,MATCH(DATE(YEAR(A3)-1,12,1),$A$2:$A$800,0))-1,""))</f>
        <v/>
      </c>
      <c r="E3" s="122">
        <f>IF(B3="","",IFERROR(B3/INDEX($B$2:$B$800,MATCH(DATE(YEAR(A3)-1,MONTH(A3),1),$A$2:$A$800,0))-1,""))</f>
        <v/>
      </c>
    </row>
    <row r="4">
      <c r="A4" s="121" t="n">
        <v>34608</v>
      </c>
      <c r="B4" s="47" t="n">
        <v>101.71</v>
      </c>
      <c r="C4" s="122">
        <f>IF(OR(B4="",B3=""),"",B4/B3-1)</f>
        <v/>
      </c>
      <c r="D4" s="122">
        <f>IF(B4="","",IFERROR(B4/INDEX($B$2:$B$800,MATCH(DATE(YEAR(A4)-1,12,1),$A$2:$A$800,0))-1,""))</f>
        <v/>
      </c>
      <c r="E4" s="122">
        <f>IF(B4="","",IFERROR(B4/INDEX($B$2:$B$800,MATCH(DATE(YEAR(A4)-1,MONTH(A4),1),$A$2:$A$800,0))-1,""))</f>
        <v/>
      </c>
    </row>
    <row r="5">
      <c r="A5" s="121" t="n">
        <v>34639</v>
      </c>
      <c r="B5" s="47" t="n">
        <v>104.11</v>
      </c>
      <c r="C5" s="122">
        <f>IF(OR(B5="",B4=""),"",B5/B4-1)</f>
        <v/>
      </c>
      <c r="D5" s="122">
        <f>IF(B5="","",IFERROR(B5/INDEX($B$2:$B$800,MATCH(DATE(YEAR(A5)-1,12,1),$A$2:$A$800,0))-1,""))</f>
        <v/>
      </c>
      <c r="E5" s="122">
        <f>IF(B5="","",IFERROR(B5/INDEX($B$2:$B$800,MATCH(DATE(YEAR(A5)-1,MONTH(A5),1),$A$2:$A$800,0))-1,""))</f>
        <v/>
      </c>
    </row>
    <row r="6">
      <c r="A6" s="121" t="n">
        <v>34669</v>
      </c>
      <c r="B6" s="47" t="n">
        <v>105.487</v>
      </c>
      <c r="C6" s="122">
        <f>IF(OR(B6="",B5=""),"",B6/B5-1)</f>
        <v/>
      </c>
      <c r="D6" s="122">
        <f>IF(B6="","",IFERROR(B6/INDEX($B$2:$B$800,MATCH(DATE(YEAR(A6)-1,12,1),$A$2:$A$800,0))-1,""))</f>
        <v/>
      </c>
      <c r="E6" s="122">
        <f>IF(B6="","",IFERROR(B6/INDEX($B$2:$B$800,MATCH(DATE(YEAR(A6)-1,MONTH(A6),1),$A$2:$A$800,0))-1,""))</f>
        <v/>
      </c>
    </row>
    <row r="7">
      <c r="A7" s="121" t="n">
        <v>34700</v>
      </c>
      <c r="B7" s="47" t="n">
        <v>109.176</v>
      </c>
      <c r="C7" s="122">
        <f>IF(OR(B7="",B6=""),"",B7/B6-1)</f>
        <v/>
      </c>
      <c r="D7" s="122">
        <f>IF(B7="","",IFERROR(B7/INDEX($B$2:$B$800,MATCH(DATE(YEAR(A7)-1,12,1),$A$2:$A$800,0))-1,""))</f>
        <v/>
      </c>
      <c r="E7" s="122">
        <f>IF(B7="","",IFERROR(B7/INDEX($B$2:$B$800,MATCH(DATE(YEAR(A7)-1,MONTH(A7),1),$A$2:$A$800,0))-1,""))</f>
        <v/>
      </c>
    </row>
    <row r="8">
      <c r="A8" s="121" t="n">
        <v>34731</v>
      </c>
      <c r="B8" s="47" t="n">
        <v>111.453</v>
      </c>
      <c r="C8" s="122">
        <f>IF(OR(B8="",B7=""),"",B8/B7-1)</f>
        <v/>
      </c>
      <c r="D8" s="122">
        <f>IF(B8="","",IFERROR(B8/INDEX($B$2:$B$800,MATCH(DATE(YEAR(A8)-1,12,1),$A$2:$A$800,0))-1,""))</f>
        <v/>
      </c>
      <c r="E8" s="122">
        <f>IF(B8="","",IFERROR(B8/INDEX($B$2:$B$800,MATCH(DATE(YEAR(A8)-1,MONTH(A8),1),$A$2:$A$800,0))-1,""))</f>
        <v/>
      </c>
    </row>
    <row r="9">
      <c r="A9" s="121" t="n">
        <v>34759</v>
      </c>
      <c r="B9" s="47" t="n">
        <v>115.129</v>
      </c>
      <c r="C9" s="122">
        <f>IF(OR(B9="",B8=""),"",B9/B8-1)</f>
        <v/>
      </c>
      <c r="D9" s="122">
        <f>IF(B9="","",IFERROR(B9/INDEX($B$2:$B$800,MATCH(DATE(YEAR(A9)-1,12,1),$A$2:$A$800,0))-1,""))</f>
        <v/>
      </c>
      <c r="E9" s="122">
        <f>IF(B9="","",IFERROR(B9/INDEX($B$2:$B$800,MATCH(DATE(YEAR(A9)-1,MONTH(A9),1),$A$2:$A$800,0))-1,""))</f>
        <v/>
      </c>
    </row>
    <row r="10">
      <c r="A10" s="121" t="n">
        <v>34790</v>
      </c>
      <c r="B10" s="47" t="n">
        <v>117.774</v>
      </c>
      <c r="C10" s="122">
        <f>IF(OR(B10="",B9=""),"",B10/B9-1)</f>
        <v/>
      </c>
      <c r="D10" s="122">
        <f>IF(B10="","",IFERROR(B10/INDEX($B$2:$B$800,MATCH(DATE(YEAR(A10)-1,12,1),$A$2:$A$800,0))-1,""))</f>
        <v/>
      </c>
      <c r="E10" s="122">
        <f>IF(B10="","",IFERROR(B10/INDEX($B$2:$B$800,MATCH(DATE(YEAR(A10)-1,MONTH(A10),1),$A$2:$A$800,0))-1,""))</f>
        <v/>
      </c>
    </row>
    <row r="11">
      <c r="A11" s="121" t="n">
        <v>34820</v>
      </c>
      <c r="B11" s="47" t="n">
        <v>128.098</v>
      </c>
      <c r="C11" s="122">
        <f>IF(OR(B11="",B10=""),"",B11/B10-1)</f>
        <v/>
      </c>
      <c r="D11" s="122">
        <f>IF(B11="","",IFERROR(B11/INDEX($B$2:$B$800,MATCH(DATE(YEAR(A11)-1,12,1),$A$2:$A$800,0))-1,""))</f>
        <v/>
      </c>
      <c r="E11" s="122">
        <f>IF(B11="","",IFERROR(B11/INDEX($B$2:$B$800,MATCH(DATE(YEAR(A11)-1,MONTH(A11),1),$A$2:$A$800,0))-1,""))</f>
        <v/>
      </c>
    </row>
    <row r="12">
      <c r="A12" s="121" t="n">
        <v>34851</v>
      </c>
      <c r="B12" s="47" t="n">
        <v>132.09</v>
      </c>
      <c r="C12" s="122">
        <f>IF(OR(B12="",B11=""),"",B12/B11-1)</f>
        <v/>
      </c>
      <c r="D12" s="122">
        <f>IF(B12="","",IFERROR(B12/INDEX($B$2:$B$800,MATCH(DATE(YEAR(A12)-1,12,1),$A$2:$A$800,0))-1,""))</f>
        <v/>
      </c>
      <c r="E12" s="122">
        <f>IF(B12="","",IFERROR(B12/INDEX($B$2:$B$800,MATCH(DATE(YEAR(A12)-1,MONTH(A12),1),$A$2:$A$800,0))-1,""))</f>
        <v/>
      </c>
    </row>
    <row r="13">
      <c r="A13" s="121" t="n">
        <v>34881</v>
      </c>
      <c r="B13" s="47" t="n">
        <v>133.524</v>
      </c>
      <c r="C13" s="122">
        <f>IF(OR(B13="",B12=""),"",B13/B12-1)</f>
        <v/>
      </c>
      <c r="D13" s="122">
        <f>IF(B13="","",IFERROR(B13/INDEX($B$2:$B$800,MATCH(DATE(YEAR(A13)-1,12,1),$A$2:$A$800,0))-1,""))</f>
        <v/>
      </c>
      <c r="E13" s="122">
        <f>IF(B13="","",IFERROR(B13/INDEX($B$2:$B$800,MATCH(DATE(YEAR(A13)-1,MONTH(A13),1),$A$2:$A$800,0))-1,""))</f>
        <v/>
      </c>
    </row>
    <row r="14">
      <c r="A14" s="121" t="n">
        <v>34912</v>
      </c>
      <c r="B14" s="47" t="n">
        <v>134.353</v>
      </c>
      <c r="C14" s="122">
        <f>IF(OR(B14="",B13=""),"",B14/B13-1)</f>
        <v/>
      </c>
      <c r="D14" s="122">
        <f>IF(B14="","",IFERROR(B14/INDEX($B$2:$B$800,MATCH(DATE(YEAR(A14)-1,12,1),$A$2:$A$800,0))-1,""))</f>
        <v/>
      </c>
      <c r="E14" s="122">
        <f>IF(B14="","",IFERROR(B14/INDEX($B$2:$B$800,MATCH(DATE(YEAR(A14)-1,MONTH(A14),1),$A$2:$A$800,0))-1,""))</f>
        <v/>
      </c>
    </row>
    <row r="15">
      <c r="A15" s="121" t="n">
        <v>34943</v>
      </c>
      <c r="B15" s="47" t="n">
        <v>135.318</v>
      </c>
      <c r="C15" s="122">
        <f>IF(OR(B15="",B14=""),"",B15/B14-1)</f>
        <v/>
      </c>
      <c r="D15" s="122">
        <f>IF(B15="","",IFERROR(B15/INDEX($B$2:$B$800,MATCH(DATE(YEAR(A15)-1,12,1),$A$2:$A$800,0))-1,""))</f>
        <v/>
      </c>
      <c r="E15" s="122">
        <f>IF(B15="","",IFERROR(B15/INDEX($B$2:$B$800,MATCH(DATE(YEAR(A15)-1,MONTH(A15),1),$A$2:$A$800,0))-1,""))</f>
        <v/>
      </c>
    </row>
    <row r="16">
      <c r="A16" s="121" t="n">
        <v>34973</v>
      </c>
      <c r="B16" s="47" t="n">
        <v>136.484</v>
      </c>
      <c r="C16" s="122">
        <f>IF(OR(B16="",B15=""),"",B16/B15-1)</f>
        <v/>
      </c>
      <c r="D16" s="122">
        <f>IF(B16="","",IFERROR(B16/INDEX($B$2:$B$800,MATCH(DATE(YEAR(A16)-1,12,1),$A$2:$A$800,0))-1,""))</f>
        <v/>
      </c>
      <c r="E16" s="122">
        <f>IF(B16="","",IFERROR(B16/INDEX($B$2:$B$800,MATCH(DATE(YEAR(A16)-1,MONTH(A16),1),$A$2:$A$800,0))-1,""))</f>
        <v/>
      </c>
    </row>
    <row r="17">
      <c r="A17" s="121" t="n">
        <v>35004</v>
      </c>
      <c r="B17" s="47" t="n">
        <v>137.478</v>
      </c>
      <c r="C17" s="122">
        <f>IF(OR(B17="",B16=""),"",B17/B16-1)</f>
        <v/>
      </c>
      <c r="D17" s="122">
        <f>IF(B17="","",IFERROR(B17/INDEX($B$2:$B$800,MATCH(DATE(YEAR(A17)-1,12,1),$A$2:$A$800,0))-1,""))</f>
        <v/>
      </c>
      <c r="E17" s="122">
        <f>IF(B17="","",IFERROR(B17/INDEX($B$2:$B$800,MATCH(DATE(YEAR(A17)-1,MONTH(A17),1),$A$2:$A$800,0))-1,""))</f>
        <v/>
      </c>
    </row>
    <row r="18">
      <c r="A18" s="121" t="n">
        <v>35034</v>
      </c>
      <c r="B18" s="47" t="n">
        <v>138.664</v>
      </c>
      <c r="C18" s="122">
        <f>IF(OR(B18="",B17=""),"",B18/B17-1)</f>
        <v/>
      </c>
      <c r="D18" s="122">
        <f>IF(B18="","",IFERROR(B18/INDEX($B$2:$B$800,MATCH(DATE(YEAR(A18)-1,12,1),$A$2:$A$800,0))-1,""))</f>
        <v/>
      </c>
      <c r="E18" s="122">
        <f>IF(B18="","",IFERROR(B18/INDEX($B$2:$B$800,MATCH(DATE(YEAR(A18)-1,MONTH(A18),1),$A$2:$A$800,0))-1,""))</f>
        <v/>
      </c>
    </row>
    <row r="19">
      <c r="A19" s="121" t="n">
        <v>35065</v>
      </c>
      <c r="B19" s="47" t="n">
        <v>140.766</v>
      </c>
      <c r="C19" s="122">
        <f>IF(OR(B19="",B18=""),"",B19/B18-1)</f>
        <v/>
      </c>
      <c r="D19" s="122">
        <f>IF(B19="","",IFERROR(B19/INDEX($B$2:$B$800,MATCH(DATE(YEAR(A19)-1,12,1),$A$2:$A$800,0))-1,""))</f>
        <v/>
      </c>
      <c r="E19" s="122">
        <f>IF(B19="","",IFERROR(B19/INDEX($B$2:$B$800,MATCH(DATE(YEAR(A19)-1,MONTH(A19),1),$A$2:$A$800,0))-1,""))</f>
        <v/>
      </c>
    </row>
    <row r="20">
      <c r="A20" s="121" t="n">
        <v>35096</v>
      </c>
      <c r="B20" s="47" t="n">
        <v>140.929</v>
      </c>
      <c r="C20" s="122">
        <f>IF(OR(B20="",B19=""),"",B20/B19-1)</f>
        <v/>
      </c>
      <c r="D20" s="122">
        <f>IF(B20="","",IFERROR(B20/INDEX($B$2:$B$800,MATCH(DATE(YEAR(A20)-1,12,1),$A$2:$A$800,0))-1,""))</f>
        <v/>
      </c>
      <c r="E20" s="122">
        <f>IF(B20="","",IFERROR(B20/INDEX($B$2:$B$800,MATCH(DATE(YEAR(A20)-1,MONTH(A20),1),$A$2:$A$800,0))-1,""))</f>
        <v/>
      </c>
    </row>
    <row r="21">
      <c r="A21" s="121" t="n">
        <v>35125</v>
      </c>
      <c r="B21" s="47" t="n">
        <v>142.313</v>
      </c>
      <c r="C21" s="122">
        <f>IF(OR(B21="",B20=""),"",B21/B20-1)</f>
        <v/>
      </c>
      <c r="D21" s="122">
        <f>IF(B21="","",IFERROR(B21/INDEX($B$2:$B$800,MATCH(DATE(YEAR(A21)-1,12,1),$A$2:$A$800,0))-1,""))</f>
        <v/>
      </c>
      <c r="E21" s="122">
        <f>IF(B21="","",IFERROR(B21/INDEX($B$2:$B$800,MATCH(DATE(YEAR(A21)-1,MONTH(A21),1),$A$2:$A$800,0))-1,""))</f>
        <v/>
      </c>
    </row>
    <row r="22">
      <c r="A22" s="121" t="n">
        <v>35156</v>
      </c>
      <c r="B22" s="47" t="n">
        <v>142.663</v>
      </c>
      <c r="C22" s="122">
        <f>IF(OR(B22="",B21=""),"",B22/B21-1)</f>
        <v/>
      </c>
      <c r="D22" s="122">
        <f>IF(B22="","",IFERROR(B22/INDEX($B$2:$B$800,MATCH(DATE(YEAR(A22)-1,12,1),$A$2:$A$800,0))-1,""))</f>
        <v/>
      </c>
      <c r="E22" s="122">
        <f>IF(B22="","",IFERROR(B22/INDEX($B$2:$B$800,MATCH(DATE(YEAR(A22)-1,MONTH(A22),1),$A$2:$A$800,0))-1,""))</f>
        <v/>
      </c>
    </row>
    <row r="23">
      <c r="A23" s="121" t="n">
        <v>35186</v>
      </c>
      <c r="B23" s="47" t="n">
        <v>145.742</v>
      </c>
      <c r="C23" s="122">
        <f>IF(OR(B23="",B22=""),"",B23/B22-1)</f>
        <v/>
      </c>
      <c r="D23" s="122">
        <f>IF(B23="","",IFERROR(B23/INDEX($B$2:$B$800,MATCH(DATE(YEAR(A23)-1,12,1),$A$2:$A$800,0))-1,""))</f>
        <v/>
      </c>
      <c r="E23" s="122">
        <f>IF(B23="","",IFERROR(B23/INDEX($B$2:$B$800,MATCH(DATE(YEAR(A23)-1,MONTH(A23),1),$A$2:$A$800,0))-1,""))</f>
        <v/>
      </c>
    </row>
    <row r="24">
      <c r="A24" s="121" t="n">
        <v>35217</v>
      </c>
      <c r="B24" s="47" t="n">
        <v>147.984</v>
      </c>
      <c r="C24" s="122">
        <f>IF(OR(B24="",B23=""),"",B24/B23-1)</f>
        <v/>
      </c>
      <c r="D24" s="122">
        <f>IF(B24="","",IFERROR(B24/INDEX($B$2:$B$800,MATCH(DATE(YEAR(A24)-1,12,1),$A$2:$A$800,0))-1,""))</f>
        <v/>
      </c>
      <c r="E24" s="122">
        <f>IF(B24="","",IFERROR(B24/INDEX($B$2:$B$800,MATCH(DATE(YEAR(A24)-1,MONTH(A24),1),$A$2:$A$800,0))-1,""))</f>
        <v/>
      </c>
    </row>
    <row r="25">
      <c r="A25" s="121" t="n">
        <v>35247</v>
      </c>
      <c r="B25" s="47" t="n">
        <v>149.095</v>
      </c>
      <c r="C25" s="122">
        <f>IF(OR(B25="",B24=""),"",B25/B24-1)</f>
        <v/>
      </c>
      <c r="D25" s="122">
        <f>IF(B25="","",IFERROR(B25/INDEX($B$2:$B$800,MATCH(DATE(YEAR(A25)-1,12,1),$A$2:$A$800,0))-1,""))</f>
        <v/>
      </c>
      <c r="E25" s="122">
        <f>IF(B25="","",IFERROR(B25/INDEX($B$2:$B$800,MATCH(DATE(YEAR(A25)-1,MONTH(A25),1),$A$2:$A$800,0))-1,""))</f>
        <v/>
      </c>
    </row>
    <row r="26">
      <c r="A26" s="121" t="n">
        <v>35278</v>
      </c>
      <c r="B26" s="47" t="n">
        <v>149.445</v>
      </c>
      <c r="C26" s="122">
        <f>IF(OR(B26="",B25=""),"",B26/B25-1)</f>
        <v/>
      </c>
      <c r="D26" s="122">
        <f>IF(B26="","",IFERROR(B26/INDEX($B$2:$B$800,MATCH(DATE(YEAR(A26)-1,12,1),$A$2:$A$800,0))-1,""))</f>
        <v/>
      </c>
      <c r="E26" s="122">
        <f>IF(B26="","",IFERROR(B26/INDEX($B$2:$B$800,MATCH(DATE(YEAR(A26)-1,MONTH(A26),1),$A$2:$A$800,0))-1,""))</f>
        <v/>
      </c>
    </row>
    <row r="27">
      <c r="A27" s="121" t="n">
        <v>35309</v>
      </c>
      <c r="B27" s="47" t="n">
        <v>149.772</v>
      </c>
      <c r="C27" s="122">
        <f>IF(OR(B27="",B26=""),"",B27/B26-1)</f>
        <v/>
      </c>
      <c r="D27" s="122">
        <f>IF(B27="","",IFERROR(B27/INDEX($B$2:$B$800,MATCH(DATE(YEAR(A27)-1,12,1),$A$2:$A$800,0))-1,""))</f>
        <v/>
      </c>
      <c r="E27" s="122">
        <f>IF(B27="","",IFERROR(B27/INDEX($B$2:$B$800,MATCH(DATE(YEAR(A27)-1,MONTH(A27),1),$A$2:$A$800,0))-1,""))</f>
        <v/>
      </c>
    </row>
    <row r="28">
      <c r="A28" s="121" t="n">
        <v>35339</v>
      </c>
      <c r="B28" s="47" t="n">
        <v>150.157</v>
      </c>
      <c r="C28" s="122">
        <f>IF(OR(B28="",B27=""),"",B28/B27-1)</f>
        <v/>
      </c>
      <c r="D28" s="122">
        <f>IF(B28="","",IFERROR(B28/INDEX($B$2:$B$800,MATCH(DATE(YEAR(A28)-1,12,1),$A$2:$A$800,0))-1,""))</f>
        <v/>
      </c>
      <c r="E28" s="122">
        <f>IF(B28="","",IFERROR(B28/INDEX($B$2:$B$800,MATCH(DATE(YEAR(A28)-1,MONTH(A28),1),$A$2:$A$800,0))-1,""))</f>
        <v/>
      </c>
    </row>
    <row r="29">
      <c r="A29" s="121" t="n">
        <v>35370</v>
      </c>
      <c r="B29" s="47" t="n">
        <v>151.035</v>
      </c>
      <c r="C29" s="122">
        <f>IF(OR(B29="",B28=""),"",B29/B28-1)</f>
        <v/>
      </c>
      <c r="D29" s="122">
        <f>IF(B29="","",IFERROR(B29/INDEX($B$2:$B$800,MATCH(DATE(YEAR(A29)-1,12,1),$A$2:$A$800,0))-1,""))</f>
        <v/>
      </c>
      <c r="E29" s="122">
        <f>IF(B29="","",IFERROR(B29/INDEX($B$2:$B$800,MATCH(DATE(YEAR(A29)-1,MONTH(A29),1),$A$2:$A$800,0))-1,""))</f>
        <v/>
      </c>
    </row>
    <row r="30">
      <c r="A30" s="121" t="n">
        <v>35400</v>
      </c>
      <c r="B30" s="47" t="n">
        <v>151.922</v>
      </c>
      <c r="C30" s="122">
        <f>IF(OR(B30="",B29=""),"",B30/B29-1)</f>
        <v/>
      </c>
      <c r="D30" s="122">
        <f>IF(B30="","",IFERROR(B30/INDEX($B$2:$B$800,MATCH(DATE(YEAR(A30)-1,12,1),$A$2:$A$800,0))-1,""))</f>
        <v/>
      </c>
      <c r="E30" s="122">
        <f>IF(B30="","",IFERROR(B30/INDEX($B$2:$B$800,MATCH(DATE(YEAR(A30)-1,MONTH(A30),1),$A$2:$A$800,0))-1,""))</f>
        <v/>
      </c>
    </row>
    <row r="31">
      <c r="A31" s="121" t="n">
        <v>35431</v>
      </c>
      <c r="B31" s="47" t="n">
        <v>152.408</v>
      </c>
      <c r="C31" s="122">
        <f>IF(OR(B31="",B30=""),"",B31/B30-1)</f>
        <v/>
      </c>
      <c r="D31" s="122">
        <f>IF(B31="","",IFERROR(B31/INDEX($B$2:$B$800,MATCH(DATE(YEAR(A31)-1,12,1),$A$2:$A$800,0))-1,""))</f>
        <v/>
      </c>
      <c r="E31" s="122">
        <f>IF(B31="","",IFERROR(B31/INDEX($B$2:$B$800,MATCH(DATE(YEAR(A31)-1,MONTH(A31),1),$A$2:$A$800,0))-1,""))</f>
        <v/>
      </c>
    </row>
    <row r="32">
      <c r="A32" s="121" t="n">
        <v>35462</v>
      </c>
      <c r="B32" s="47" t="n">
        <v>153.147</v>
      </c>
      <c r="C32" s="122">
        <f>IF(OR(B32="",B31=""),"",B32/B31-1)</f>
        <v/>
      </c>
      <c r="D32" s="122">
        <f>IF(B32="","",IFERROR(B32/INDEX($B$2:$B$800,MATCH(DATE(YEAR(A32)-1,12,1),$A$2:$A$800,0))-1,""))</f>
        <v/>
      </c>
      <c r="E32" s="122">
        <f>IF(B32="","",IFERROR(B32/INDEX($B$2:$B$800,MATCH(DATE(YEAR(A32)-1,MONTH(A32),1),$A$2:$A$800,0))-1,""))</f>
        <v/>
      </c>
    </row>
    <row r="33">
      <c r="A33" s="121" t="n">
        <v>35490</v>
      </c>
      <c r="B33" s="47" t="n">
        <v>154.26</v>
      </c>
      <c r="C33" s="122">
        <f>IF(OR(B33="",B32=""),"",B33/B32-1)</f>
        <v/>
      </c>
      <c r="D33" s="122">
        <f>IF(B33="","",IFERROR(B33/INDEX($B$2:$B$800,MATCH(DATE(YEAR(A33)-1,12,1),$A$2:$A$800,0))-1,""))</f>
        <v/>
      </c>
      <c r="E33" s="122">
        <f>IF(B33="","",IFERROR(B33/INDEX($B$2:$B$800,MATCH(DATE(YEAR(A33)-1,MONTH(A33),1),$A$2:$A$800,0))-1,""))</f>
        <v/>
      </c>
    </row>
    <row r="34">
      <c r="A34" s="121" t="n">
        <v>35521</v>
      </c>
      <c r="B34" s="47" t="n">
        <v>154.616</v>
      </c>
      <c r="C34" s="122">
        <f>IF(OR(B34="",B33=""),"",B34/B33-1)</f>
        <v/>
      </c>
      <c r="D34" s="122">
        <f>IF(B34="","",IFERROR(B34/INDEX($B$2:$B$800,MATCH(DATE(YEAR(A34)-1,12,1),$A$2:$A$800,0))-1,""))</f>
        <v/>
      </c>
      <c r="E34" s="122">
        <f>IF(B34="","",IFERROR(B34/INDEX($B$2:$B$800,MATCH(DATE(YEAR(A34)-1,MONTH(A34),1),$A$2:$A$800,0))-1,""))</f>
        <v/>
      </c>
    </row>
    <row r="35">
      <c r="A35" s="121" t="n">
        <v>35551</v>
      </c>
      <c r="B35" s="47" t="n">
        <v>155.953</v>
      </c>
      <c r="C35" s="122">
        <f>IF(OR(B35="",B34=""),"",B35/B34-1)</f>
        <v/>
      </c>
      <c r="D35" s="122">
        <f>IF(B35="","",IFERROR(B35/INDEX($B$2:$B$800,MATCH(DATE(YEAR(A35)-1,12,1),$A$2:$A$800,0))-1,""))</f>
        <v/>
      </c>
      <c r="E35" s="122">
        <f>IF(B35="","",IFERROR(B35/INDEX($B$2:$B$800,MATCH(DATE(YEAR(A35)-1,MONTH(A35),1),$A$2:$A$800,0))-1,""))</f>
        <v/>
      </c>
    </row>
    <row r="36">
      <c r="A36" s="121" t="n">
        <v>35582</v>
      </c>
      <c r="B36" s="47" t="n">
        <v>157.687</v>
      </c>
      <c r="C36" s="122">
        <f>IF(OR(B36="",B35=""),"",B36/B35-1)</f>
        <v/>
      </c>
      <c r="D36" s="122">
        <f>IF(B36="","",IFERROR(B36/INDEX($B$2:$B$800,MATCH(DATE(YEAR(A36)-1,12,1),$A$2:$A$800,0))-1,""))</f>
        <v/>
      </c>
      <c r="E36" s="122">
        <f>IF(B36="","",IFERROR(B36/INDEX($B$2:$B$800,MATCH(DATE(YEAR(A36)-1,MONTH(A36),1),$A$2:$A$800,0))-1,""))</f>
        <v/>
      </c>
    </row>
    <row r="37">
      <c r="A37" s="121" t="n">
        <v>35612</v>
      </c>
      <c r="B37" s="47" t="n">
        <v>158.485</v>
      </c>
      <c r="C37" s="122">
        <f>IF(OR(B37="",B36=""),"",B37/B36-1)</f>
        <v/>
      </c>
      <c r="D37" s="122">
        <f>IF(B37="","",IFERROR(B37/INDEX($B$2:$B$800,MATCH(DATE(YEAR(A37)-1,12,1),$A$2:$A$800,0))-1,""))</f>
        <v/>
      </c>
      <c r="E37" s="122">
        <f>IF(B37="","",IFERROR(B37/INDEX($B$2:$B$800,MATCH(DATE(YEAR(A37)-1,MONTH(A37),1),$A$2:$A$800,0))-1,""))</f>
        <v/>
      </c>
    </row>
    <row r="38">
      <c r="A38" s="121" t="n">
        <v>35643</v>
      </c>
      <c r="B38" s="47" t="n">
        <v>160.352</v>
      </c>
      <c r="C38" s="122">
        <f>IF(OR(B38="",B37=""),"",B38/B37-1)</f>
        <v/>
      </c>
      <c r="D38" s="122">
        <f>IF(B38="","",IFERROR(B38/INDEX($B$2:$B$800,MATCH(DATE(YEAR(A38)-1,12,1),$A$2:$A$800,0))-1,""))</f>
        <v/>
      </c>
      <c r="E38" s="122">
        <f>IF(B38="","",IFERROR(B38/INDEX($B$2:$B$800,MATCH(DATE(YEAR(A38)-1,MONTH(A38),1),$A$2:$A$800,0))-1,""))</f>
        <v/>
      </c>
    </row>
    <row r="39">
      <c r="A39" s="121" t="n">
        <v>35674</v>
      </c>
      <c r="B39" s="47" t="n">
        <v>160.78</v>
      </c>
      <c r="C39" s="122">
        <f>IF(OR(B39="",B38=""),"",B39/B38-1)</f>
        <v/>
      </c>
      <c r="D39" s="122">
        <f>IF(B39="","",IFERROR(B39/INDEX($B$2:$B$800,MATCH(DATE(YEAR(A39)-1,12,1),$A$2:$A$800,0))-1,""))</f>
        <v/>
      </c>
      <c r="E39" s="122">
        <f>IF(B39="","",IFERROR(B39/INDEX($B$2:$B$800,MATCH(DATE(YEAR(A39)-1,MONTH(A39),1),$A$2:$A$800,0))-1,""))</f>
        <v/>
      </c>
    </row>
    <row r="40">
      <c r="A40" s="121" t="n">
        <v>35704</v>
      </c>
      <c r="B40" s="47" t="n">
        <v>161.024</v>
      </c>
      <c r="C40" s="122">
        <f>IF(OR(B40="",B39=""),"",B40/B39-1)</f>
        <v/>
      </c>
      <c r="D40" s="122">
        <f>IF(B40="","",IFERROR(B40/INDEX($B$2:$B$800,MATCH(DATE(YEAR(A40)-1,12,1),$A$2:$A$800,0))-1,""))</f>
        <v/>
      </c>
      <c r="E40" s="122">
        <f>IF(B40="","",IFERROR(B40/INDEX($B$2:$B$800,MATCH(DATE(YEAR(A40)-1,MONTH(A40),1),$A$2:$A$800,0))-1,""))</f>
        <v/>
      </c>
    </row>
    <row r="41">
      <c r="A41" s="121" t="n">
        <v>35735</v>
      </c>
      <c r="B41" s="47" t="n">
        <v>161.897</v>
      </c>
      <c r="C41" s="122">
        <f>IF(OR(B41="",B40=""),"",B41/B40-1)</f>
        <v/>
      </c>
      <c r="D41" s="122">
        <f>IF(B41="","",IFERROR(B41/INDEX($B$2:$B$800,MATCH(DATE(YEAR(A41)-1,12,1),$A$2:$A$800,0))-1,""))</f>
        <v/>
      </c>
      <c r="E41" s="122">
        <f>IF(B41="","",IFERROR(B41/INDEX($B$2:$B$800,MATCH(DATE(YEAR(A41)-1,MONTH(A41),1),$A$2:$A$800,0))-1,""))</f>
        <v/>
      </c>
    </row>
    <row r="42">
      <c r="A42" s="121" t="n">
        <v>35765</v>
      </c>
      <c r="B42" s="47" t="n">
        <v>162.271</v>
      </c>
      <c r="C42" s="122">
        <f>IF(OR(B42="",B41=""),"",B42/B41-1)</f>
        <v/>
      </c>
      <c r="D42" s="122">
        <f>IF(B42="","",IFERROR(B42/INDEX($B$2:$B$800,MATCH(DATE(YEAR(A42)-1,12,1),$A$2:$A$800,0))-1,""))</f>
        <v/>
      </c>
      <c r="E42" s="122">
        <f>IF(B42="","",IFERROR(B42/INDEX($B$2:$B$800,MATCH(DATE(YEAR(A42)-1,MONTH(A42),1),$A$2:$A$800,0))-1,""))</f>
        <v/>
      </c>
    </row>
    <row r="43">
      <c r="A43" s="121" t="n">
        <v>35796</v>
      </c>
      <c r="B43" s="47" t="n">
        <v>162.805</v>
      </c>
      <c r="C43" s="122">
        <f>IF(OR(B43="",B42=""),"",B43/B42-1)</f>
        <v/>
      </c>
      <c r="D43" s="122">
        <f>IF(B43="","",IFERROR(B43/INDEX($B$2:$B$800,MATCH(DATE(YEAR(A43)-1,12,1),$A$2:$A$800,0))-1,""))</f>
        <v/>
      </c>
      <c r="E43" s="122">
        <f>IF(B43="","",IFERROR(B43/INDEX($B$2:$B$800,MATCH(DATE(YEAR(A43)-1,MONTH(A43),1),$A$2:$A$800,0))-1,""))</f>
        <v/>
      </c>
    </row>
    <row r="44">
      <c r="A44" s="121" t="n">
        <v>35827</v>
      </c>
      <c r="B44" s="47" t="n">
        <v>163.593</v>
      </c>
      <c r="C44" s="122">
        <f>IF(OR(B44="",B43=""),"",B44/B43-1)</f>
        <v/>
      </c>
      <c r="D44" s="122">
        <f>IF(B44="","",IFERROR(B44/INDEX($B$2:$B$800,MATCH(DATE(YEAR(A44)-1,12,1),$A$2:$A$800,0))-1,""))</f>
        <v/>
      </c>
      <c r="E44" s="122">
        <f>IF(B44="","",IFERROR(B44/INDEX($B$2:$B$800,MATCH(DATE(YEAR(A44)-1,MONTH(A44),1),$A$2:$A$800,0))-1,""))</f>
        <v/>
      </c>
    </row>
    <row r="45">
      <c r="A45" s="121" t="n">
        <v>35855</v>
      </c>
      <c r="B45" s="47" t="n">
        <v>164.361</v>
      </c>
      <c r="C45" s="122">
        <f>IF(OR(B45="",B44=""),"",B45/B44-1)</f>
        <v/>
      </c>
      <c r="D45" s="122">
        <f>IF(B45="","",IFERROR(B45/INDEX($B$2:$B$800,MATCH(DATE(YEAR(A45)-1,12,1),$A$2:$A$800,0))-1,""))</f>
        <v/>
      </c>
      <c r="E45" s="122">
        <f>IF(B45="","",IFERROR(B45/INDEX($B$2:$B$800,MATCH(DATE(YEAR(A45)-1,MONTH(A45),1),$A$2:$A$800,0))-1,""))</f>
        <v/>
      </c>
    </row>
    <row r="46">
      <c r="A46" s="121" t="n">
        <v>35886</v>
      </c>
      <c r="B46" s="47" t="n">
        <v>163.535</v>
      </c>
      <c r="C46" s="122">
        <f>IF(OR(B46="",B45=""),"",B46/B45-1)</f>
        <v/>
      </c>
      <c r="D46" s="122">
        <f>IF(B46="","",IFERROR(B46/INDEX($B$2:$B$800,MATCH(DATE(YEAR(A46)-1,12,1),$A$2:$A$800,0))-1,""))</f>
        <v/>
      </c>
      <c r="E46" s="122">
        <f>IF(B46="","",IFERROR(B46/INDEX($B$2:$B$800,MATCH(DATE(YEAR(A46)-1,MONTH(A46),1),$A$2:$A$800,0))-1,""))</f>
        <v/>
      </c>
    </row>
    <row r="47">
      <c r="A47" s="121" t="n">
        <v>35916</v>
      </c>
      <c r="B47" s="47" t="n">
        <v>165.133</v>
      </c>
      <c r="C47" s="122">
        <f>IF(OR(B47="",B46=""),"",B47/B46-1)</f>
        <v/>
      </c>
      <c r="D47" s="122">
        <f>IF(B47="","",IFERROR(B47/INDEX($B$2:$B$800,MATCH(DATE(YEAR(A47)-1,12,1),$A$2:$A$800,0))-1,""))</f>
        <v/>
      </c>
      <c r="E47" s="122">
        <f>IF(B47="","",IFERROR(B47/INDEX($B$2:$B$800,MATCH(DATE(YEAR(A47)-1,MONTH(A47),1),$A$2:$A$800,0))-1,""))</f>
        <v/>
      </c>
    </row>
    <row r="48">
      <c r="A48" s="121" t="n">
        <v>35947</v>
      </c>
      <c r="B48" s="47" t="n">
        <v>165.781</v>
      </c>
      <c r="C48" s="122">
        <f>IF(OR(B48="",B47=""),"",B48/B47-1)</f>
        <v/>
      </c>
      <c r="D48" s="122">
        <f>IF(B48="","",IFERROR(B48/INDEX($B$2:$B$800,MATCH(DATE(YEAR(A48)-1,12,1),$A$2:$A$800,0))-1,""))</f>
        <v/>
      </c>
      <c r="E48" s="122">
        <f>IF(B48="","",IFERROR(B48/INDEX($B$2:$B$800,MATCH(DATE(YEAR(A48)-1,MONTH(A48),1),$A$2:$A$800,0))-1,""))</f>
        <v/>
      </c>
    </row>
    <row r="49">
      <c r="A49" s="121" t="n">
        <v>35977</v>
      </c>
      <c r="B49" s="47" t="n">
        <v>166.345</v>
      </c>
      <c r="C49" s="122">
        <f>IF(OR(B49="",B48=""),"",B49/B48-1)</f>
        <v/>
      </c>
      <c r="D49" s="122">
        <f>IF(B49="","",IFERROR(B49/INDEX($B$2:$B$800,MATCH(DATE(YEAR(A49)-1,12,1),$A$2:$A$800,0))-1,""))</f>
        <v/>
      </c>
      <c r="E49" s="122">
        <f>IF(B49="","",IFERROR(B49/INDEX($B$2:$B$800,MATCH(DATE(YEAR(A49)-1,MONTH(A49),1),$A$2:$A$800,0))-1,""))</f>
        <v/>
      </c>
    </row>
    <row r="50">
      <c r="A50" s="121" t="n">
        <v>36008</v>
      </c>
      <c r="B50" s="47" t="n">
        <v>166.705</v>
      </c>
      <c r="C50" s="122">
        <f>IF(OR(B50="",B49=""),"",B50/B49-1)</f>
        <v/>
      </c>
      <c r="D50" s="122">
        <f>IF(B50="","",IFERROR(B50/INDEX($B$2:$B$800,MATCH(DATE(YEAR(A50)-1,12,1),$A$2:$A$800,0))-1,""))</f>
        <v/>
      </c>
      <c r="E50" s="122">
        <f>IF(B50="","",IFERROR(B50/INDEX($B$2:$B$800,MATCH(DATE(YEAR(A50)-1,MONTH(A50),1),$A$2:$A$800,0))-1,""))</f>
        <v/>
      </c>
    </row>
    <row r="51">
      <c r="A51" s="121" t="n">
        <v>36039</v>
      </c>
      <c r="B51" s="47" t="n">
        <v>166.729</v>
      </c>
      <c r="C51" s="122">
        <f>IF(OR(B51="",B50=""),"",B51/B50-1)</f>
        <v/>
      </c>
      <c r="D51" s="122">
        <f>IF(B51="","",IFERROR(B51/INDEX($B$2:$B$800,MATCH(DATE(YEAR(A51)-1,12,1),$A$2:$A$800,0))-1,""))</f>
        <v/>
      </c>
      <c r="E51" s="122">
        <f>IF(B51="","",IFERROR(B51/INDEX($B$2:$B$800,MATCH(DATE(YEAR(A51)-1,MONTH(A51),1),$A$2:$A$800,0))-1,""))</f>
        <v/>
      </c>
    </row>
    <row r="52">
      <c r="A52" s="121" t="n">
        <v>36069</v>
      </c>
      <c r="B52" s="47" t="n">
        <v>166.738</v>
      </c>
      <c r="C52" s="122">
        <f>IF(OR(B52="",B51=""),"",B52/B51-1)</f>
        <v/>
      </c>
      <c r="D52" s="122">
        <f>IF(B52="","",IFERROR(B52/INDEX($B$2:$B$800,MATCH(DATE(YEAR(A52)-1,12,1),$A$2:$A$800,0))-1,""))</f>
        <v/>
      </c>
      <c r="E52" s="122">
        <f>IF(B52="","",IFERROR(B52/INDEX($B$2:$B$800,MATCH(DATE(YEAR(A52)-1,MONTH(A52),1),$A$2:$A$800,0))-1,""))</f>
        <v/>
      </c>
    </row>
    <row r="53">
      <c r="A53" s="121" t="n">
        <v>36100</v>
      </c>
      <c r="B53" s="47" t="n">
        <v>166.657</v>
      </c>
      <c r="C53" s="122">
        <f>IF(OR(B53="",B52=""),"",B53/B52-1)</f>
        <v/>
      </c>
      <c r="D53" s="122">
        <f>IF(B53="","",IFERROR(B53/INDEX($B$2:$B$800,MATCH(DATE(YEAR(A53)-1,12,1),$A$2:$A$800,0))-1,""))</f>
        <v/>
      </c>
      <c r="E53" s="122">
        <f>IF(B53="","",IFERROR(B53/INDEX($B$2:$B$800,MATCH(DATE(YEAR(A53)-1,MONTH(A53),1),$A$2:$A$800,0))-1,""))</f>
        <v/>
      </c>
    </row>
    <row r="54">
      <c r="A54" s="121" t="n">
        <v>36130</v>
      </c>
      <c r="B54" s="47" t="n">
        <v>166.733</v>
      </c>
      <c r="C54" s="122">
        <f>IF(OR(B54="",B53=""),"",B54/B53-1)</f>
        <v/>
      </c>
      <c r="D54" s="122">
        <f>IF(B54="","",IFERROR(B54/INDEX($B$2:$B$800,MATCH(DATE(YEAR(A54)-1,12,1),$A$2:$A$800,0))-1,""))</f>
        <v/>
      </c>
      <c r="E54" s="122">
        <f>IF(B54="","",IFERROR(B54/INDEX($B$2:$B$800,MATCH(DATE(YEAR(A54)-1,MONTH(A54),1),$A$2:$A$800,0))-1,""))</f>
        <v/>
      </c>
    </row>
    <row r="55">
      <c r="A55" s="121" t="n">
        <v>36161</v>
      </c>
      <c r="B55" s="47" t="n">
        <v>167.648</v>
      </c>
      <c r="C55" s="122">
        <f>IF(OR(B55="",B54=""),"",B55/B54-1)</f>
        <v/>
      </c>
      <c r="D55" s="122">
        <f>IF(B55="","",IFERROR(B55/INDEX($B$2:$B$800,MATCH(DATE(YEAR(A55)-1,12,1),$A$2:$A$800,0))-1,""))</f>
        <v/>
      </c>
      <c r="E55" s="122">
        <f>IF(B55="","",IFERROR(B55/INDEX($B$2:$B$800,MATCH(DATE(YEAR(A55)-1,MONTH(A55),1),$A$2:$A$800,0))-1,""))</f>
        <v/>
      </c>
    </row>
    <row r="56">
      <c r="A56" s="121" t="n">
        <v>36192</v>
      </c>
      <c r="B56" s="47" t="n">
        <v>169.288</v>
      </c>
      <c r="C56" s="122">
        <f>IF(OR(B56="",B55=""),"",B56/B55-1)</f>
        <v/>
      </c>
      <c r="D56" s="122">
        <f>IF(B56="","",IFERROR(B56/INDEX($B$2:$B$800,MATCH(DATE(YEAR(A56)-1,12,1),$A$2:$A$800,0))-1,""))</f>
        <v/>
      </c>
      <c r="E56" s="122">
        <f>IF(B56="","",IFERROR(B56/INDEX($B$2:$B$800,MATCH(DATE(YEAR(A56)-1,MONTH(A56),1),$A$2:$A$800,0))-1,""))</f>
        <v/>
      </c>
    </row>
    <row r="57">
      <c r="A57" s="121" t="n">
        <v>36220</v>
      </c>
      <c r="B57" s="47" t="n">
        <v>170.221</v>
      </c>
      <c r="C57" s="122">
        <f>IF(OR(B57="",B56=""),"",B57/B56-1)</f>
        <v/>
      </c>
      <c r="D57" s="122">
        <f>IF(B57="","",IFERROR(B57/INDEX($B$2:$B$800,MATCH(DATE(YEAR(A57)-1,12,1),$A$2:$A$800,0))-1,""))</f>
        <v/>
      </c>
      <c r="E57" s="122">
        <f>IF(B57="","",IFERROR(B57/INDEX($B$2:$B$800,MATCH(DATE(YEAR(A57)-1,MONTH(A57),1),$A$2:$A$800,0))-1,""))</f>
        <v/>
      </c>
    </row>
    <row r="58">
      <c r="A58" s="121" t="n">
        <v>36251</v>
      </c>
      <c r="B58" s="47" t="n">
        <v>171.1</v>
      </c>
      <c r="C58" s="122">
        <f>IF(OR(B58="",B57=""),"",B58/B57-1)</f>
        <v/>
      </c>
      <c r="D58" s="122">
        <f>IF(B58="","",IFERROR(B58/INDEX($B$2:$B$800,MATCH(DATE(YEAR(A58)-1,12,1),$A$2:$A$800,0))-1,""))</f>
        <v/>
      </c>
      <c r="E58" s="122">
        <f>IF(B58="","",IFERROR(B58/INDEX($B$2:$B$800,MATCH(DATE(YEAR(A58)-1,MONTH(A58),1),$A$2:$A$800,0))-1,""))</f>
        <v/>
      </c>
    </row>
    <row r="59">
      <c r="A59" s="121" t="n">
        <v>36281</v>
      </c>
      <c r="B59" s="47" t="n">
        <v>172.578</v>
      </c>
      <c r="C59" s="122">
        <f>IF(OR(B59="",B58=""),"",B59/B58-1)</f>
        <v/>
      </c>
      <c r="D59" s="122">
        <f>IF(B59="","",IFERROR(B59/INDEX($B$2:$B$800,MATCH(DATE(YEAR(A59)-1,12,1),$A$2:$A$800,0))-1,""))</f>
        <v/>
      </c>
      <c r="E59" s="122">
        <f>IF(B59="","",IFERROR(B59/INDEX($B$2:$B$800,MATCH(DATE(YEAR(A59)-1,MONTH(A59),1),$A$2:$A$800,0))-1,""))</f>
        <v/>
      </c>
    </row>
    <row r="60">
      <c r="A60" s="121" t="n">
        <v>36312</v>
      </c>
      <c r="B60" s="47" t="n">
        <v>173.279</v>
      </c>
      <c r="C60" s="122">
        <f>IF(OR(B60="",B59=""),"",B60/B59-1)</f>
        <v/>
      </c>
      <c r="D60" s="122">
        <f>IF(B60="","",IFERROR(B60/INDEX($B$2:$B$800,MATCH(DATE(YEAR(A60)-1,12,1),$A$2:$A$800,0))-1,""))</f>
        <v/>
      </c>
      <c r="E60" s="122">
        <f>IF(B60="","",IFERROR(B60/INDEX($B$2:$B$800,MATCH(DATE(YEAR(A60)-1,MONTH(A60),1),$A$2:$A$800,0))-1,""))</f>
        <v/>
      </c>
    </row>
    <row r="61">
      <c r="A61" s="121" t="n">
        <v>36342</v>
      </c>
      <c r="B61" s="47" t="n">
        <v>174.074</v>
      </c>
      <c r="C61" s="122">
        <f>IF(OR(B61="",B60=""),"",B61/B60-1)</f>
        <v/>
      </c>
      <c r="D61" s="122">
        <f>IF(B61="","",IFERROR(B61/INDEX($B$2:$B$800,MATCH(DATE(YEAR(A61)-1,12,1),$A$2:$A$800,0))-1,""))</f>
        <v/>
      </c>
      <c r="E61" s="122">
        <f>IF(B61="","",IFERROR(B61/INDEX($B$2:$B$800,MATCH(DATE(YEAR(A61)-1,MONTH(A61),1),$A$2:$A$800,0))-1,""))</f>
        <v/>
      </c>
    </row>
    <row r="62">
      <c r="A62" s="121" t="n">
        <v>36373</v>
      </c>
      <c r="B62" s="47" t="n">
        <v>175.28</v>
      </c>
      <c r="C62" s="122">
        <f>IF(OR(B62="",B61=""),"",B62/B61-1)</f>
        <v/>
      </c>
      <c r="D62" s="122">
        <f>IF(B62="","",IFERROR(B62/INDEX($B$2:$B$800,MATCH(DATE(YEAR(A62)-1,12,1),$A$2:$A$800,0))-1,""))</f>
        <v/>
      </c>
      <c r="E62" s="122">
        <f>IF(B62="","",IFERROR(B62/INDEX($B$2:$B$800,MATCH(DATE(YEAR(A62)-1,MONTH(A62),1),$A$2:$A$800,0))-1,""))</f>
        <v/>
      </c>
    </row>
    <row r="63">
      <c r="A63" s="121" t="n">
        <v>36404</v>
      </c>
      <c r="B63" s="47" t="n">
        <v>176.785</v>
      </c>
      <c r="C63" s="122">
        <f>IF(OR(B63="",B62=""),"",B63/B62-1)</f>
        <v/>
      </c>
      <c r="D63" s="122">
        <f>IF(B63="","",IFERROR(B63/INDEX($B$2:$B$800,MATCH(DATE(YEAR(A63)-1,12,1),$A$2:$A$800,0))-1,""))</f>
        <v/>
      </c>
      <c r="E63" s="122">
        <f>IF(B63="","",IFERROR(B63/INDEX($B$2:$B$800,MATCH(DATE(YEAR(A63)-1,MONTH(A63),1),$A$2:$A$800,0))-1,""))</f>
        <v/>
      </c>
    </row>
    <row r="64">
      <c r="A64" s="121" t="n">
        <v>36434</v>
      </c>
      <c r="B64" s="47" t="n">
        <v>178.574</v>
      </c>
      <c r="C64" s="122">
        <f>IF(OR(B64="",B63=""),"",B64/B63-1)</f>
        <v/>
      </c>
      <c r="D64" s="122">
        <f>IF(B64="","",IFERROR(B64/INDEX($B$2:$B$800,MATCH(DATE(YEAR(A64)-1,12,1),$A$2:$A$800,0))-1,""))</f>
        <v/>
      </c>
      <c r="E64" s="122">
        <f>IF(B64="","",IFERROR(B64/INDEX($B$2:$B$800,MATCH(DATE(YEAR(A64)-1,MONTH(A64),1),$A$2:$A$800,0))-1,""))</f>
        <v/>
      </c>
    </row>
    <row r="65">
      <c r="A65" s="121" t="n">
        <v>36465</v>
      </c>
      <c r="B65" s="47" t="n">
        <v>180.207</v>
      </c>
      <c r="C65" s="122">
        <f>IF(OR(B65="",B64=""),"",B65/B64-1)</f>
        <v/>
      </c>
      <c r="D65" s="122">
        <f>IF(B65="","",IFERROR(B65/INDEX($B$2:$B$800,MATCH(DATE(YEAR(A65)-1,12,1),$A$2:$A$800,0))-1,""))</f>
        <v/>
      </c>
      <c r="E65" s="122">
        <f>IF(B65="","",IFERROR(B65/INDEX($B$2:$B$800,MATCH(DATE(YEAR(A65)-1,MONTH(A65),1),$A$2:$A$800,0))-1,""))</f>
        <v/>
      </c>
    </row>
    <row r="66">
      <c r="A66" s="121" t="n">
        <v>36495</v>
      </c>
      <c r="B66" s="47" t="n">
        <v>182.084</v>
      </c>
      <c r="C66" s="122">
        <f>IF(OR(B66="",B65=""),"",B66/B65-1)</f>
        <v/>
      </c>
      <c r="D66" s="122">
        <f>IF(B66="","",IFERROR(B66/INDEX($B$2:$B$800,MATCH(DATE(YEAR(A66)-1,12,1),$A$2:$A$800,0))-1,""))</f>
        <v/>
      </c>
      <c r="E66" s="122">
        <f>IF(B66="","",IFERROR(B66/INDEX($B$2:$B$800,MATCH(DATE(YEAR(A66)-1,MONTH(A66),1),$A$2:$A$800,0))-1,""))</f>
        <v/>
      </c>
    </row>
    <row r="67">
      <c r="A67" s="121" t="n">
        <v>36526</v>
      </c>
      <c r="B67" s="47" t="n">
        <v>184.039</v>
      </c>
      <c r="C67" s="122">
        <f>IF(OR(B67="",B66=""),"",B67/B66-1)</f>
        <v/>
      </c>
      <c r="D67" s="122">
        <f>IF(B67="","",IFERROR(B67/INDEX($B$2:$B$800,MATCH(DATE(YEAR(A67)-1,12,1),$A$2:$A$800,0))-1,""))</f>
        <v/>
      </c>
      <c r="E67" s="122">
        <f>IF(B67="","",IFERROR(B67/INDEX($B$2:$B$800,MATCH(DATE(YEAR(A67)-1,MONTH(A67),1),$A$2:$A$800,0))-1,""))</f>
        <v/>
      </c>
    </row>
    <row r="68">
      <c r="A68" s="121" t="n">
        <v>36557</v>
      </c>
      <c r="B68" s="47" t="n">
        <v>185.461</v>
      </c>
      <c r="C68" s="122">
        <f>IF(OR(B68="",B67=""),"",B68/B67-1)</f>
        <v/>
      </c>
      <c r="D68" s="122">
        <f>IF(B68="","",IFERROR(B68/INDEX($B$2:$B$800,MATCH(DATE(YEAR(A68)-1,12,1),$A$2:$A$800,0))-1,""))</f>
        <v/>
      </c>
      <c r="E68" s="122">
        <f>IF(B68="","",IFERROR(B68/INDEX($B$2:$B$800,MATCH(DATE(YEAR(A68)-1,MONTH(A68),1),$A$2:$A$800,0))-1,""))</f>
        <v/>
      </c>
    </row>
    <row r="69">
      <c r="A69" s="121" t="n">
        <v>36586</v>
      </c>
      <c r="B69" s="47" t="n">
        <v>186.492</v>
      </c>
      <c r="C69" s="122">
        <f>IF(OR(B69="",B68=""),"",B69/B68-1)</f>
        <v/>
      </c>
      <c r="D69" s="122">
        <f>IF(B69="","",IFERROR(B69/INDEX($B$2:$B$800,MATCH(DATE(YEAR(A69)-1,12,1),$A$2:$A$800,0))-1,""))</f>
        <v/>
      </c>
      <c r="E69" s="122">
        <f>IF(B69="","",IFERROR(B69/INDEX($B$2:$B$800,MATCH(DATE(YEAR(A69)-1,MONTH(A69),1),$A$2:$A$800,0))-1,""))</f>
        <v/>
      </c>
    </row>
    <row r="70">
      <c r="A70" s="121" t="n">
        <v>36617</v>
      </c>
      <c r="B70" s="47" t="n">
        <v>187.604</v>
      </c>
      <c r="C70" s="122">
        <f>IF(OR(B70="",B69=""),"",B70/B69-1)</f>
        <v/>
      </c>
      <c r="D70" s="122">
        <f>IF(B70="","",IFERROR(B70/INDEX($B$2:$B$800,MATCH(DATE(YEAR(A70)-1,12,1),$A$2:$A$800,0))-1,""))</f>
        <v/>
      </c>
      <c r="E70" s="122">
        <f>IF(B70="","",IFERROR(B70/INDEX($B$2:$B$800,MATCH(DATE(YEAR(A70)-1,MONTH(A70),1),$A$2:$A$800,0))-1,""))</f>
        <v/>
      </c>
    </row>
    <row r="71">
      <c r="A71" s="121" t="n">
        <v>36647</v>
      </c>
      <c r="B71" s="47" t="n">
        <v>190.136</v>
      </c>
      <c r="C71" s="122">
        <f>IF(OR(B71="",B70=""),"",B71/B70-1)</f>
        <v/>
      </c>
      <c r="D71" s="122">
        <f>IF(B71="","",IFERROR(B71/INDEX($B$2:$B$800,MATCH(DATE(YEAR(A71)-1,12,1),$A$2:$A$800,0))-1,""))</f>
        <v/>
      </c>
      <c r="E71" s="122">
        <f>IF(B71="","",IFERROR(B71/INDEX($B$2:$B$800,MATCH(DATE(YEAR(A71)-1,MONTH(A71),1),$A$2:$A$800,0))-1,""))</f>
        <v/>
      </c>
    </row>
    <row r="72">
      <c r="A72" s="121" t="n">
        <v>36678</v>
      </c>
      <c r="B72" s="47" t="n">
        <v>191.527</v>
      </c>
      <c r="C72" s="122">
        <f>IF(OR(B72="",B71=""),"",B72/B71-1)</f>
        <v/>
      </c>
      <c r="D72" s="122">
        <f>IF(B72="","",IFERROR(B72/INDEX($B$2:$B$800,MATCH(DATE(YEAR(A72)-1,12,1),$A$2:$A$800,0))-1,""))</f>
        <v/>
      </c>
      <c r="E72" s="122">
        <f>IF(B72="","",IFERROR(B72/INDEX($B$2:$B$800,MATCH(DATE(YEAR(A72)-1,MONTH(A72),1),$A$2:$A$800,0))-1,""))</f>
        <v/>
      </c>
    </row>
    <row r="73">
      <c r="A73" s="121" t="n">
        <v>36708</v>
      </c>
      <c r="B73" s="47" t="n">
        <v>192.104</v>
      </c>
      <c r="C73" s="122">
        <f>IF(OR(B73="",B72=""),"",B73/B72-1)</f>
        <v/>
      </c>
      <c r="D73" s="122">
        <f>IF(B73="","",IFERROR(B73/INDEX($B$2:$B$800,MATCH(DATE(YEAR(A73)-1,12,1),$A$2:$A$800,0))-1,""))</f>
        <v/>
      </c>
      <c r="E73" s="122">
        <f>IF(B73="","",IFERROR(B73/INDEX($B$2:$B$800,MATCH(DATE(YEAR(A73)-1,MONTH(A73),1),$A$2:$A$800,0))-1,""))</f>
        <v/>
      </c>
    </row>
    <row r="74">
      <c r="A74" s="121" t="n">
        <v>36739</v>
      </c>
      <c r="B74" s="47" t="n">
        <v>192.846</v>
      </c>
      <c r="C74" s="122">
        <f>IF(OR(B74="",B73=""),"",B74/B73-1)</f>
        <v/>
      </c>
      <c r="D74" s="122">
        <f>IF(B74="","",IFERROR(B74/INDEX($B$2:$B$800,MATCH(DATE(YEAR(A74)-1,12,1),$A$2:$A$800,0))-1,""))</f>
        <v/>
      </c>
      <c r="E74" s="122">
        <f>IF(B74="","",IFERROR(B74/INDEX($B$2:$B$800,MATCH(DATE(YEAR(A74)-1,MONTH(A74),1),$A$2:$A$800,0))-1,""))</f>
        <v/>
      </c>
    </row>
    <row r="75">
      <c r="A75" s="121" t="n">
        <v>36770</v>
      </c>
      <c r="B75" s="47" t="n">
        <v>193.342</v>
      </c>
      <c r="C75" s="122">
        <f>IF(OR(B75="",B74=""),"",B75/B74-1)</f>
        <v/>
      </c>
      <c r="D75" s="122">
        <f>IF(B75="","",IFERROR(B75/INDEX($B$2:$B$800,MATCH(DATE(YEAR(A75)-1,12,1),$A$2:$A$800,0))-1,""))</f>
        <v/>
      </c>
      <c r="E75" s="122">
        <f>IF(B75="","",IFERROR(B75/INDEX($B$2:$B$800,MATCH(DATE(YEAR(A75)-1,MONTH(A75),1),$A$2:$A$800,0))-1,""))</f>
        <v/>
      </c>
    </row>
    <row r="76">
      <c r="A76" s="121" t="n">
        <v>36800</v>
      </c>
      <c r="B76" s="47" t="n">
        <v>193.984</v>
      </c>
      <c r="C76" s="122">
        <f>IF(OR(B76="",B75=""),"",B76/B75-1)</f>
        <v/>
      </c>
      <c r="D76" s="122">
        <f>IF(B76="","",IFERROR(B76/INDEX($B$2:$B$800,MATCH(DATE(YEAR(A76)-1,12,1),$A$2:$A$800,0))-1,""))</f>
        <v/>
      </c>
      <c r="E76" s="122">
        <f>IF(B76="","",IFERROR(B76/INDEX($B$2:$B$800,MATCH(DATE(YEAR(A76)-1,MONTH(A76),1),$A$2:$A$800,0))-1,""))</f>
        <v/>
      </c>
    </row>
    <row r="77">
      <c r="A77" s="121" t="n">
        <v>36831</v>
      </c>
      <c r="B77" s="47" t="n">
        <v>194.789</v>
      </c>
      <c r="C77" s="122">
        <f>IF(OR(B77="",B76=""),"",B77/B76-1)</f>
        <v/>
      </c>
      <c r="D77" s="122">
        <f>IF(B77="","",IFERROR(B77/INDEX($B$2:$B$800,MATCH(DATE(YEAR(A77)-1,12,1),$A$2:$A$800,0))-1,""))</f>
        <v/>
      </c>
      <c r="E77" s="122">
        <f>IF(B77="","",IFERROR(B77/INDEX($B$2:$B$800,MATCH(DATE(YEAR(A77)-1,MONTH(A77),1),$A$2:$A$800,0))-1,""))</f>
        <v/>
      </c>
    </row>
    <row r="78">
      <c r="A78" s="121" t="n">
        <v>36861</v>
      </c>
      <c r="B78" s="47" t="n">
        <v>196.037</v>
      </c>
      <c r="C78" s="122">
        <f>IF(OR(B78="",B77=""),"",B78/B77-1)</f>
        <v/>
      </c>
      <c r="D78" s="122">
        <f>IF(B78="","",IFERROR(B78/INDEX($B$2:$B$800,MATCH(DATE(YEAR(A78)-1,12,1),$A$2:$A$800,0))-1,""))</f>
        <v/>
      </c>
      <c r="E78" s="122">
        <f>IF(B78="","",IFERROR(B78/INDEX($B$2:$B$800,MATCH(DATE(YEAR(A78)-1,MONTH(A78),1),$A$2:$A$800,0))-1,""))</f>
        <v/>
      </c>
    </row>
    <row r="79">
      <c r="A79" s="121" t="n">
        <v>36892</v>
      </c>
      <c r="B79" s="47" t="n">
        <v>197.174</v>
      </c>
      <c r="C79" s="122">
        <f>IF(OR(B79="",B78=""),"",B79/B78-1)</f>
        <v/>
      </c>
      <c r="D79" s="122">
        <f>IF(B79="","",IFERROR(B79/INDEX($B$2:$B$800,MATCH(DATE(YEAR(A79)-1,12,1),$A$2:$A$800,0))-1,""))</f>
        <v/>
      </c>
      <c r="E79" s="122">
        <f>IF(B79="","",IFERROR(B79/INDEX($B$2:$B$800,MATCH(DATE(YEAR(A79)-1,MONTH(A79),1),$A$2:$A$800,0))-1,""))</f>
        <v/>
      </c>
    </row>
    <row r="80">
      <c r="A80" s="121" t="n">
        <v>36923</v>
      </c>
      <c r="B80" s="47" t="n">
        <v>197.849</v>
      </c>
      <c r="C80" s="122">
        <f>IF(OR(B80="",B79=""),"",B80/B79-1)</f>
        <v/>
      </c>
      <c r="D80" s="122">
        <f>IF(B80="","",IFERROR(B80/INDEX($B$2:$B$800,MATCH(DATE(YEAR(A80)-1,12,1),$A$2:$A$800,0))-1,""))</f>
        <v/>
      </c>
      <c r="E80" s="122">
        <f>IF(B80="","",IFERROR(B80/INDEX($B$2:$B$800,MATCH(DATE(YEAR(A80)-1,MONTH(A80),1),$A$2:$A$800,0))-1,""))</f>
        <v/>
      </c>
    </row>
    <row r="81">
      <c r="A81" s="121" t="n">
        <v>36951</v>
      </c>
      <c r="B81" s="47" t="n">
        <v>198.388</v>
      </c>
      <c r="C81" s="122">
        <f>IF(OR(B81="",B80=""),"",B81/B80-1)</f>
        <v/>
      </c>
      <c r="D81" s="122">
        <f>IF(B81="","",IFERROR(B81/INDEX($B$2:$B$800,MATCH(DATE(YEAR(A81)-1,12,1),$A$2:$A$800,0))-1,""))</f>
        <v/>
      </c>
      <c r="E81" s="122">
        <f>IF(B81="","",IFERROR(B81/INDEX($B$2:$B$800,MATCH(DATE(YEAR(A81)-1,MONTH(A81),1),$A$2:$A$800,0))-1,""))</f>
        <v/>
      </c>
    </row>
    <row r="82">
      <c r="A82" s="121" t="n">
        <v>36982</v>
      </c>
      <c r="B82" s="47" t="n">
        <v>199.112</v>
      </c>
      <c r="C82" s="122">
        <f>IF(OR(B82="",B81=""),"",B82/B81-1)</f>
        <v/>
      </c>
      <c r="D82" s="122">
        <f>IF(B82="","",IFERROR(B82/INDEX($B$2:$B$800,MATCH(DATE(YEAR(A82)-1,12,1),$A$2:$A$800,0))-1,""))</f>
        <v/>
      </c>
      <c r="E82" s="122">
        <f>IF(B82="","",IFERROR(B82/INDEX($B$2:$B$800,MATCH(DATE(YEAR(A82)-1,MONTH(A82),1),$A$2:$A$800,0))-1,""))</f>
        <v/>
      </c>
    </row>
    <row r="83">
      <c r="A83" s="121" t="n">
        <v>37012</v>
      </c>
      <c r="B83" s="47" t="n">
        <v>203.321</v>
      </c>
      <c r="C83" s="122">
        <f>IF(OR(B83="",B82=""),"",B83/B82-1)</f>
        <v/>
      </c>
      <c r="D83" s="122">
        <f>IF(B83="","",IFERROR(B83/INDEX($B$2:$B$800,MATCH(DATE(YEAR(A83)-1,12,1),$A$2:$A$800,0))-1,""))</f>
        <v/>
      </c>
      <c r="E83" s="122">
        <f>IF(B83="","",IFERROR(B83/INDEX($B$2:$B$800,MATCH(DATE(YEAR(A83)-1,MONTH(A83),1),$A$2:$A$800,0))-1,""))</f>
        <v/>
      </c>
    </row>
    <row r="84">
      <c r="A84" s="121" t="n">
        <v>37043</v>
      </c>
      <c r="B84" s="47" t="n">
        <v>205.682</v>
      </c>
      <c r="C84" s="122">
        <f>IF(OR(B84="",B83=""),"",B84/B83-1)</f>
        <v/>
      </c>
      <c r="D84" s="122">
        <f>IF(B84="","",IFERROR(B84/INDEX($B$2:$B$800,MATCH(DATE(YEAR(A84)-1,12,1),$A$2:$A$800,0))-1,""))</f>
        <v/>
      </c>
      <c r="E84" s="122">
        <f>IF(B84="","",IFERROR(B84/INDEX($B$2:$B$800,MATCH(DATE(YEAR(A84)-1,MONTH(A84),1),$A$2:$A$800,0))-1,""))</f>
        <v/>
      </c>
    </row>
    <row r="85">
      <c r="A85" s="121" t="n">
        <v>37073</v>
      </c>
      <c r="B85" s="47" t="n">
        <v>206.742</v>
      </c>
      <c r="C85" s="122">
        <f>IF(OR(B85="",B84=""),"",B85/B84-1)</f>
        <v/>
      </c>
      <c r="D85" s="122">
        <f>IF(B85="","",IFERROR(B85/INDEX($B$2:$B$800,MATCH(DATE(YEAR(A85)-1,12,1),$A$2:$A$800,0))-1,""))</f>
        <v/>
      </c>
      <c r="E85" s="122">
        <f>IF(B85="","",IFERROR(B85/INDEX($B$2:$B$800,MATCH(DATE(YEAR(A85)-1,MONTH(A85),1),$A$2:$A$800,0))-1,""))</f>
        <v/>
      </c>
    </row>
    <row r="86">
      <c r="A86" s="121" t="n">
        <v>37104</v>
      </c>
      <c r="B86" s="47" t="n">
        <v>208.026</v>
      </c>
      <c r="C86" s="122">
        <f>IF(OR(B86="",B85=""),"",B86/B85-1)</f>
        <v/>
      </c>
      <c r="D86" s="122">
        <f>IF(B86="","",IFERROR(B86/INDEX($B$2:$B$800,MATCH(DATE(YEAR(A86)-1,12,1),$A$2:$A$800,0))-1,""))</f>
        <v/>
      </c>
      <c r="E86" s="122">
        <f>IF(B86="","",IFERROR(B86/INDEX($B$2:$B$800,MATCH(DATE(YEAR(A86)-1,MONTH(A86),1),$A$2:$A$800,0))-1,""))</f>
        <v/>
      </c>
    </row>
    <row r="87">
      <c r="A87" s="121" t="n">
        <v>37135</v>
      </c>
      <c r="B87" s="47" t="n">
        <v>209.174</v>
      </c>
      <c r="C87" s="122">
        <f>IF(OR(B87="",B86=""),"",B87/B86-1)</f>
        <v/>
      </c>
      <c r="D87" s="122">
        <f>IF(B87="","",IFERROR(B87/INDEX($B$2:$B$800,MATCH(DATE(YEAR(A87)-1,12,1),$A$2:$A$800,0))-1,""))</f>
        <v/>
      </c>
      <c r="E87" s="122">
        <f>IF(B87="","",IFERROR(B87/INDEX($B$2:$B$800,MATCH(DATE(YEAR(A87)-1,MONTH(A87),1),$A$2:$A$800,0))-1,""))</f>
        <v/>
      </c>
    </row>
    <row r="88">
      <c r="A88" s="121" t="n">
        <v>37165</v>
      </c>
      <c r="B88" s="47" t="n">
        <v>211.122</v>
      </c>
      <c r="C88" s="122">
        <f>IF(OR(B88="",B87=""),"",B88/B87-1)</f>
        <v/>
      </c>
      <c r="D88" s="122">
        <f>IF(B88="","",IFERROR(B88/INDEX($B$2:$B$800,MATCH(DATE(YEAR(A88)-1,12,1),$A$2:$A$800,0))-1,""))</f>
        <v/>
      </c>
      <c r="E88" s="122">
        <f>IF(B88="","",IFERROR(B88/INDEX($B$2:$B$800,MATCH(DATE(YEAR(A88)-1,MONTH(A88),1),$A$2:$A$800,0))-1,""))</f>
        <v/>
      </c>
    </row>
    <row r="89">
      <c r="A89" s="121" t="n">
        <v>37196</v>
      </c>
      <c r="B89" s="47" t="n">
        <v>212.676</v>
      </c>
      <c r="C89" s="122">
        <f>IF(OR(B89="",B88=""),"",B89/B88-1)</f>
        <v/>
      </c>
      <c r="D89" s="122">
        <f>IF(B89="","",IFERROR(B89/INDEX($B$2:$B$800,MATCH(DATE(YEAR(A89)-1,12,1),$A$2:$A$800,0))-1,""))</f>
        <v/>
      </c>
      <c r="E89" s="122">
        <f>IF(B89="","",IFERROR(B89/INDEX($B$2:$B$800,MATCH(DATE(YEAR(A89)-1,MONTH(A89),1),$A$2:$A$800,0))-1,""))</f>
        <v/>
      </c>
    </row>
    <row r="90">
      <c r="A90" s="121" t="n">
        <v>37226</v>
      </c>
      <c r="B90" s="47" t="n">
        <v>213.393</v>
      </c>
      <c r="C90" s="122">
        <f>IF(OR(B90="",B89=""),"",B90/B89-1)</f>
        <v/>
      </c>
      <c r="D90" s="122">
        <f>IF(B90="","",IFERROR(B90/INDEX($B$2:$B$800,MATCH(DATE(YEAR(A90)-1,12,1),$A$2:$A$800,0))-1,""))</f>
        <v/>
      </c>
      <c r="E90" s="122">
        <f>IF(B90="","",IFERROR(B90/INDEX($B$2:$B$800,MATCH(DATE(YEAR(A90)-1,MONTH(A90),1),$A$2:$A$800,0))-1,""))</f>
        <v/>
      </c>
    </row>
    <row r="91">
      <c r="A91" s="121" t="n">
        <v>37257</v>
      </c>
      <c r="B91" s="47" t="n">
        <v>214.162</v>
      </c>
      <c r="C91" s="122">
        <f>IF(OR(B91="",B90=""),"",B91/B90-1)</f>
        <v/>
      </c>
      <c r="D91" s="122">
        <f>IF(B91="","",IFERROR(B91/INDEX($B$2:$B$800,MATCH(DATE(YEAR(A91)-1,12,1),$A$2:$A$800,0))-1,""))</f>
        <v/>
      </c>
      <c r="E91" s="122">
        <f>IF(B91="","",IFERROR(B91/INDEX($B$2:$B$800,MATCH(DATE(YEAR(A91)-1,MONTH(A91),1),$A$2:$A$800,0))-1,""))</f>
        <v/>
      </c>
    </row>
    <row r="92">
      <c r="A92" s="121" t="n">
        <v>37288</v>
      </c>
      <c r="B92" s="47" t="n">
        <v>215.399</v>
      </c>
      <c r="C92" s="122">
        <f>IF(OR(B92="",B91=""),"",B92/B91-1)</f>
        <v/>
      </c>
      <c r="D92" s="122">
        <f>IF(B92="","",IFERROR(B92/INDEX($B$2:$B$800,MATCH(DATE(YEAR(A92)-1,12,1),$A$2:$A$800,0))-1,""))</f>
        <v/>
      </c>
      <c r="E92" s="122">
        <f>IF(B92="","",IFERROR(B92/INDEX($B$2:$B$800,MATCH(DATE(YEAR(A92)-1,MONTH(A92),1),$A$2:$A$800,0))-1,""))</f>
        <v/>
      </c>
    </row>
    <row r="93">
      <c r="A93" s="121" t="n">
        <v>37316</v>
      </c>
      <c r="B93" s="47" t="n">
        <v>216.577</v>
      </c>
      <c r="C93" s="122">
        <f>IF(OR(B93="",B92=""),"",B93/B92-1)</f>
        <v/>
      </c>
      <c r="D93" s="122">
        <f>IF(B93="","",IFERROR(B93/INDEX($B$2:$B$800,MATCH(DATE(YEAR(A93)-1,12,1),$A$2:$A$800,0))-1,""))</f>
        <v/>
      </c>
      <c r="E93" s="122">
        <f>IF(B93="","",IFERROR(B93/INDEX($B$2:$B$800,MATCH(DATE(YEAR(A93)-1,MONTH(A93),1),$A$2:$A$800,0))-1,""))</f>
        <v/>
      </c>
    </row>
    <row r="94">
      <c r="A94" s="121" t="n">
        <v>37347</v>
      </c>
      <c r="B94" s="47" t="n">
        <v>217.288</v>
      </c>
      <c r="C94" s="122">
        <f>IF(OR(B94="",B93=""),"",B94/B93-1)</f>
        <v/>
      </c>
      <c r="D94" s="122">
        <f>IF(B94="","",IFERROR(B94/INDEX($B$2:$B$800,MATCH(DATE(YEAR(A94)-1,12,1),$A$2:$A$800,0))-1,""))</f>
        <v/>
      </c>
      <c r="E94" s="122">
        <f>IF(B94="","",IFERROR(B94/INDEX($B$2:$B$800,MATCH(DATE(YEAR(A94)-1,MONTH(A94),1),$A$2:$A$800,0))-1,""))</f>
        <v/>
      </c>
    </row>
    <row r="95">
      <c r="A95" s="121" t="n">
        <v>37377</v>
      </c>
      <c r="B95" s="47" t="n">
        <v>222.793</v>
      </c>
      <c r="C95" s="122">
        <f>IF(OR(B95="",B94=""),"",B95/B94-1)</f>
        <v/>
      </c>
      <c r="D95" s="122">
        <f>IF(B95="","",IFERROR(B95/INDEX($B$2:$B$800,MATCH(DATE(YEAR(A95)-1,12,1),$A$2:$A$800,0))-1,""))</f>
        <v/>
      </c>
      <c r="E95" s="122">
        <f>IF(B95="","",IFERROR(B95/INDEX($B$2:$B$800,MATCH(DATE(YEAR(A95)-1,MONTH(A95),1),$A$2:$A$800,0))-1,""))</f>
        <v/>
      </c>
    </row>
    <row r="96">
      <c r="A96" s="121" t="n">
        <v>37408</v>
      </c>
      <c r="B96" s="47" t="n">
        <v>224.054</v>
      </c>
      <c r="C96" s="122">
        <f>IF(OR(B96="",B95=""),"",B96/B95-1)</f>
        <v/>
      </c>
      <c r="D96" s="122">
        <f>IF(B96="","",IFERROR(B96/INDEX($B$2:$B$800,MATCH(DATE(YEAR(A96)-1,12,1),$A$2:$A$800,0))-1,""))</f>
        <v/>
      </c>
      <c r="E96" s="122">
        <f>IF(B96="","",IFERROR(B96/INDEX($B$2:$B$800,MATCH(DATE(YEAR(A96)-1,MONTH(A96),1),$A$2:$A$800,0))-1,""))</f>
        <v/>
      </c>
    </row>
    <row r="97">
      <c r="A97" s="121" t="n">
        <v>37438</v>
      </c>
      <c r="B97" s="47" t="n">
        <v>224.712</v>
      </c>
      <c r="C97" s="122">
        <f>IF(OR(B97="",B96=""),"",B97/B96-1)</f>
        <v/>
      </c>
      <c r="D97" s="122">
        <f>IF(B97="","",IFERROR(B97/INDEX($B$2:$B$800,MATCH(DATE(YEAR(A97)-1,12,1),$A$2:$A$800,0))-1,""))</f>
        <v/>
      </c>
      <c r="E97" s="122">
        <f>IF(B97="","",IFERROR(B97/INDEX($B$2:$B$800,MATCH(DATE(YEAR(A97)-1,MONTH(A97),1),$A$2:$A$800,0))-1,""))</f>
        <v/>
      </c>
    </row>
    <row r="98">
      <c r="A98" s="121" t="n">
        <v>37469</v>
      </c>
      <c r="B98" s="47" t="n">
        <v>226.968</v>
      </c>
      <c r="C98" s="122">
        <f>IF(OR(B98="",B97=""),"",B98/B97-1)</f>
        <v/>
      </c>
      <c r="D98" s="122">
        <f>IF(B98="","",IFERROR(B98/INDEX($B$2:$B$800,MATCH(DATE(YEAR(A98)-1,12,1),$A$2:$A$800,0))-1,""))</f>
        <v/>
      </c>
      <c r="E98" s="122">
        <f>IF(B98="","",IFERROR(B98/INDEX($B$2:$B$800,MATCH(DATE(YEAR(A98)-1,MONTH(A98),1),$A$2:$A$800,0))-1,""))</f>
        <v/>
      </c>
    </row>
    <row r="99">
      <c r="A99" s="121" t="n">
        <v>37500</v>
      </c>
      <c r="B99" s="47" t="n">
        <v>228.576</v>
      </c>
      <c r="C99" s="122">
        <f>IF(OR(B99="",B98=""),"",B99/B98-1)</f>
        <v/>
      </c>
      <c r="D99" s="122">
        <f>IF(B99="","",IFERROR(B99/INDEX($B$2:$B$800,MATCH(DATE(YEAR(A99)-1,12,1),$A$2:$A$800,0))-1,""))</f>
        <v/>
      </c>
      <c r="E99" s="122">
        <f>IF(B99="","",IFERROR(B99/INDEX($B$2:$B$800,MATCH(DATE(YEAR(A99)-1,MONTH(A99),1),$A$2:$A$800,0))-1,""))</f>
        <v/>
      </c>
    </row>
    <row r="100">
      <c r="A100" s="121" t="n">
        <v>37530</v>
      </c>
      <c r="B100" s="47" t="n">
        <v>231.167</v>
      </c>
      <c r="C100" s="122">
        <f>IF(OR(B100="",B99=""),"",B100/B99-1)</f>
        <v/>
      </c>
      <c r="D100" s="122">
        <f>IF(B100="","",IFERROR(B100/INDEX($B$2:$B$800,MATCH(DATE(YEAR(A100)-1,12,1),$A$2:$A$800,0))-1,""))</f>
        <v/>
      </c>
      <c r="E100" s="122">
        <f>IF(B100="","",IFERROR(B100/INDEX($B$2:$B$800,MATCH(DATE(YEAR(A100)-1,MONTH(A100),1),$A$2:$A$800,0))-1,""))</f>
        <v/>
      </c>
    </row>
    <row r="101">
      <c r="A101" s="121" t="n">
        <v>37561</v>
      </c>
      <c r="B101" s="47" t="n">
        <v>236.83</v>
      </c>
      <c r="C101" s="122">
        <f>IF(OR(B101="",B100=""),"",B101/B100-1)</f>
        <v/>
      </c>
      <c r="D101" s="122">
        <f>IF(B101="","",IFERROR(B101/INDEX($B$2:$B$800,MATCH(DATE(YEAR(A101)-1,12,1),$A$2:$A$800,0))-1,""))</f>
        <v/>
      </c>
      <c r="E101" s="122">
        <f>IF(B101="","",IFERROR(B101/INDEX($B$2:$B$800,MATCH(DATE(YEAR(A101)-1,MONTH(A101),1),$A$2:$A$800,0))-1,""))</f>
        <v/>
      </c>
    </row>
    <row r="102">
      <c r="A102" s="121" t="n">
        <v>37591</v>
      </c>
      <c r="B102" s="47" t="n">
        <v>240.861</v>
      </c>
      <c r="C102" s="122">
        <f>IF(OR(B102="",B101=""),"",B102/B101-1)</f>
        <v/>
      </c>
      <c r="D102" s="122">
        <f>IF(B102="","",IFERROR(B102/INDEX($B$2:$B$800,MATCH(DATE(YEAR(A102)-1,12,1),$A$2:$A$800,0))-1,""))</f>
        <v/>
      </c>
      <c r="E102" s="122">
        <f>IF(B102="","",IFERROR(B102/INDEX($B$2:$B$800,MATCH(DATE(YEAR(A102)-1,MONTH(A102),1),$A$2:$A$800,0))-1,""))</f>
        <v/>
      </c>
    </row>
    <row r="103">
      <c r="A103" s="121" t="n">
        <v>37622</v>
      </c>
      <c r="B103" s="47" t="n">
        <v>244.489</v>
      </c>
      <c r="C103" s="122">
        <f>IF(OR(B103="",B102=""),"",B103/B102-1)</f>
        <v/>
      </c>
      <c r="D103" s="122">
        <f>IF(B103="","",IFERROR(B103/INDEX($B$2:$B$800,MATCH(DATE(YEAR(A103)-1,12,1),$A$2:$A$800,0))-1,""))</f>
        <v/>
      </c>
      <c r="E103" s="122">
        <f>IF(B103="","",IFERROR(B103/INDEX($B$2:$B$800,MATCH(DATE(YEAR(A103)-1,MONTH(A103),1),$A$2:$A$800,0))-1,""))</f>
        <v/>
      </c>
    </row>
    <row r="104">
      <c r="A104" s="121" t="n">
        <v>37653</v>
      </c>
      <c r="B104" s="47" t="n">
        <v>247.898</v>
      </c>
      <c r="C104" s="122">
        <f>IF(OR(B104="",B103=""),"",B104/B103-1)</f>
        <v/>
      </c>
      <c r="D104" s="122">
        <f>IF(B104="","",IFERROR(B104/INDEX($B$2:$B$800,MATCH(DATE(YEAR(A104)-1,12,1),$A$2:$A$800,0))-1,""))</f>
        <v/>
      </c>
      <c r="E104" s="122">
        <f>IF(B104="","",IFERROR(B104/INDEX($B$2:$B$800,MATCH(DATE(YEAR(A104)-1,MONTH(A104),1),$A$2:$A$800,0))-1,""))</f>
        <v/>
      </c>
    </row>
    <row r="105">
      <c r="A105" s="121" t="n">
        <v>37681</v>
      </c>
      <c r="B105" s="47" t="n">
        <v>251.318</v>
      </c>
      <c r="C105" s="122">
        <f>IF(OR(B105="",B104=""),"",B105/B104-1)</f>
        <v/>
      </c>
      <c r="D105" s="122">
        <f>IF(B105="","",IFERROR(B105/INDEX($B$2:$B$800,MATCH(DATE(YEAR(A105)-1,12,1),$A$2:$A$800,0))-1,""))</f>
        <v/>
      </c>
      <c r="E105" s="122">
        <f>IF(B105="","",IFERROR(B105/INDEX($B$2:$B$800,MATCH(DATE(YEAR(A105)-1,MONTH(A105),1),$A$2:$A$800,0))-1,""))</f>
        <v/>
      </c>
    </row>
    <row r="106">
      <c r="A106" s="121" t="n">
        <v>37712</v>
      </c>
      <c r="B106" s="47" t="n">
        <v>253.585</v>
      </c>
      <c r="C106" s="122">
        <f>IF(OR(B106="",B105=""),"",B106/B105-1)</f>
        <v/>
      </c>
      <c r="D106" s="122">
        <f>IF(B106="","",IFERROR(B106/INDEX($B$2:$B$800,MATCH(DATE(YEAR(A106)-1,12,1),$A$2:$A$800,0))-1,""))</f>
        <v/>
      </c>
      <c r="E106" s="122">
        <f>IF(B106="","",IFERROR(B106/INDEX($B$2:$B$800,MATCH(DATE(YEAR(A106)-1,MONTH(A106),1),$A$2:$A$800,0))-1,""))</f>
        <v/>
      </c>
    </row>
    <row r="107">
      <c r="A107" s="121" t="n">
        <v>37742</v>
      </c>
      <c r="B107" s="47" t="n">
        <v>260.778</v>
      </c>
      <c r="C107" s="122">
        <f>IF(OR(B107="",B106=""),"",B107/B106-1)</f>
        <v/>
      </c>
      <c r="D107" s="122">
        <f>IF(B107="","",IFERROR(B107/INDEX($B$2:$B$800,MATCH(DATE(YEAR(A107)-1,12,1),$A$2:$A$800,0))-1,""))</f>
        <v/>
      </c>
      <c r="E107" s="122">
        <f>IF(B107="","",IFERROR(B107/INDEX($B$2:$B$800,MATCH(DATE(YEAR(A107)-1,MONTH(A107),1),$A$2:$A$800,0))-1,""))</f>
        <v/>
      </c>
    </row>
    <row r="108">
      <c r="A108" s="121" t="n">
        <v>37773</v>
      </c>
      <c r="B108" s="47" t="n">
        <v>263.516</v>
      </c>
      <c r="C108" s="122">
        <f>IF(OR(B108="",B107=""),"",B108/B107-1)</f>
        <v/>
      </c>
      <c r="D108" s="122">
        <f>IF(B108="","",IFERROR(B108/INDEX($B$2:$B$800,MATCH(DATE(YEAR(A108)-1,12,1),$A$2:$A$800,0))-1,""))</f>
        <v/>
      </c>
      <c r="E108" s="122">
        <f>IF(B108="","",IFERROR(B108/INDEX($B$2:$B$800,MATCH(DATE(YEAR(A108)-1,MONTH(A108),1),$A$2:$A$800,0))-1,""))</f>
        <v/>
      </c>
    </row>
    <row r="109">
      <c r="A109" s="121" t="n">
        <v>37803</v>
      </c>
      <c r="B109" s="47" t="n">
        <v>266.132</v>
      </c>
      <c r="C109" s="122">
        <f>IF(OR(B109="",B108=""),"",B109/B108-1)</f>
        <v/>
      </c>
      <c r="D109" s="122">
        <f>IF(B109="","",IFERROR(B109/INDEX($B$2:$B$800,MATCH(DATE(YEAR(A109)-1,12,1),$A$2:$A$800,0))-1,""))</f>
        <v/>
      </c>
      <c r="E109" s="122">
        <f>IF(B109="","",IFERROR(B109/INDEX($B$2:$B$800,MATCH(DATE(YEAR(A109)-1,MONTH(A109),1),$A$2:$A$800,0))-1,""))</f>
        <v/>
      </c>
    </row>
    <row r="110">
      <c r="A110" s="121" t="n">
        <v>37834</v>
      </c>
      <c r="B110" s="47" t="n">
        <v>269.967</v>
      </c>
      <c r="C110" s="122">
        <f>IF(OR(B110="",B109=""),"",B110/B109-1)</f>
        <v/>
      </c>
      <c r="D110" s="122">
        <f>IF(B110="","",IFERROR(B110/INDEX($B$2:$B$800,MATCH(DATE(YEAR(A110)-1,12,1),$A$2:$A$800,0))-1,""))</f>
        <v/>
      </c>
      <c r="E110" s="122">
        <f>IF(B110="","",IFERROR(B110/INDEX($B$2:$B$800,MATCH(DATE(YEAR(A110)-1,MONTH(A110),1),$A$2:$A$800,0))-1,""))</f>
        <v/>
      </c>
    </row>
    <row r="111">
      <c r="A111" s="121" t="n">
        <v>37865</v>
      </c>
      <c r="B111" s="47" t="n">
        <v>270.555</v>
      </c>
      <c r="C111" s="122">
        <f>IF(OR(B111="",B110=""),"",B111/B110-1)</f>
        <v/>
      </c>
      <c r="D111" s="122">
        <f>IF(B111="","",IFERROR(B111/INDEX($B$2:$B$800,MATCH(DATE(YEAR(A111)-1,12,1),$A$2:$A$800,0))-1,""))</f>
        <v/>
      </c>
      <c r="E111" s="122">
        <f>IF(B111="","",IFERROR(B111/INDEX($B$2:$B$800,MATCH(DATE(YEAR(A111)-1,MONTH(A111),1),$A$2:$A$800,0))-1,""))</f>
        <v/>
      </c>
    </row>
    <row r="112">
      <c r="A112" s="121" t="n">
        <v>37895</v>
      </c>
      <c r="B112" s="47" t="n">
        <v>272.325</v>
      </c>
      <c r="C112" s="122">
        <f>IF(OR(B112="",B111=""),"",B112/B111-1)</f>
        <v/>
      </c>
      <c r="D112" s="122">
        <f>IF(B112="","",IFERROR(B112/INDEX($B$2:$B$800,MATCH(DATE(YEAR(A112)-1,12,1),$A$2:$A$800,0))-1,""))</f>
        <v/>
      </c>
      <c r="E112" s="122">
        <f>IF(B112="","",IFERROR(B112/INDEX($B$2:$B$800,MATCH(DATE(YEAR(A112)-1,MONTH(A112),1),$A$2:$A$800,0))-1,""))</f>
        <v/>
      </c>
    </row>
    <row r="113">
      <c r="A113" s="121" t="n">
        <v>37926</v>
      </c>
      <c r="B113" s="47" t="n">
        <v>275.152</v>
      </c>
      <c r="C113" s="122">
        <f>IF(OR(B113="",B112=""),"",B113/B112-1)</f>
        <v/>
      </c>
      <c r="D113" s="122">
        <f>IF(B113="","",IFERROR(B113/INDEX($B$2:$B$800,MATCH(DATE(YEAR(A113)-1,12,1),$A$2:$A$800,0))-1,""))</f>
        <v/>
      </c>
      <c r="E113" s="122">
        <f>IF(B113="","",IFERROR(B113/INDEX($B$2:$B$800,MATCH(DATE(YEAR(A113)-1,MONTH(A113),1),$A$2:$A$800,0))-1,""))</f>
        <v/>
      </c>
    </row>
    <row r="114">
      <c r="A114" s="121" t="n">
        <v>37956</v>
      </c>
      <c r="B114" s="47" t="n">
        <v>275.594</v>
      </c>
      <c r="C114" s="122">
        <f>IF(OR(B114="",B113=""),"",B114/B113-1)</f>
        <v/>
      </c>
      <c r="D114" s="122">
        <f>IF(B114="","",IFERROR(B114/INDEX($B$2:$B$800,MATCH(DATE(YEAR(A114)-1,12,1),$A$2:$A$800,0))-1,""))</f>
        <v/>
      </c>
      <c r="E114" s="122">
        <f>IF(B114="","",IFERROR(B114/INDEX($B$2:$B$800,MATCH(DATE(YEAR(A114)-1,MONTH(A114),1),$A$2:$A$800,0))-1,""))</f>
        <v/>
      </c>
    </row>
    <row r="115">
      <c r="A115" s="121" t="n">
        <v>37987</v>
      </c>
      <c r="B115" s="47" t="n">
        <v>276.49</v>
      </c>
      <c r="C115" s="122">
        <f>IF(OR(B115="",B114=""),"",B115/B114-1)</f>
        <v/>
      </c>
      <c r="D115" s="122">
        <f>IF(B115="","",IFERROR(B115/INDEX($B$2:$B$800,MATCH(DATE(YEAR(A115)-1,12,1),$A$2:$A$800,0))-1,""))</f>
        <v/>
      </c>
      <c r="E115" s="122">
        <f>IF(B115="","",IFERROR(B115/INDEX($B$2:$B$800,MATCH(DATE(YEAR(A115)-1,MONTH(A115),1),$A$2:$A$800,0))-1,""))</f>
        <v/>
      </c>
    </row>
    <row r="116">
      <c r="A116" s="121" t="n">
        <v>38018</v>
      </c>
      <c r="B116" s="47" t="n">
        <v>279.243</v>
      </c>
      <c r="C116" s="122">
        <f>IF(OR(B116="",B115=""),"",B116/B115-1)</f>
        <v/>
      </c>
      <c r="D116" s="122">
        <f>IF(B116="","",IFERROR(B116/INDEX($B$2:$B$800,MATCH(DATE(YEAR(A116)-1,12,1),$A$2:$A$800,0))-1,""))</f>
        <v/>
      </c>
      <c r="E116" s="122">
        <f>IF(B116="","",IFERROR(B116/INDEX($B$2:$B$800,MATCH(DATE(YEAR(A116)-1,MONTH(A116),1),$A$2:$A$800,0))-1,""))</f>
        <v/>
      </c>
    </row>
    <row r="117">
      <c r="A117" s="121" t="n">
        <v>38047</v>
      </c>
      <c r="B117" s="47" t="n">
        <v>282.47</v>
      </c>
      <c r="C117" s="122">
        <f>IF(OR(B117="",B116=""),"",B117/B116-1)</f>
        <v/>
      </c>
      <c r="D117" s="122">
        <f>IF(B117="","",IFERROR(B117/INDEX($B$2:$B$800,MATCH(DATE(YEAR(A117)-1,12,1),$A$2:$A$800,0))-1,""))</f>
        <v/>
      </c>
      <c r="E117" s="122">
        <f>IF(B117="","",IFERROR(B117/INDEX($B$2:$B$800,MATCH(DATE(YEAR(A117)-1,MONTH(A117),1),$A$2:$A$800,0))-1,""))</f>
        <v/>
      </c>
    </row>
    <row r="118">
      <c r="A118" s="121" t="n">
        <v>38078</v>
      </c>
      <c r="B118" s="47" t="n">
        <v>284.128</v>
      </c>
      <c r="C118" s="122">
        <f>IF(OR(B118="",B117=""),"",B118/B117-1)</f>
        <v/>
      </c>
      <c r="D118" s="122">
        <f>IF(B118="","",IFERROR(B118/INDEX($B$2:$B$800,MATCH(DATE(YEAR(A118)-1,12,1),$A$2:$A$800,0))-1,""))</f>
        <v/>
      </c>
      <c r="E118" s="122">
        <f>IF(B118="","",IFERROR(B118/INDEX($B$2:$B$800,MATCH(DATE(YEAR(A118)-1,MONTH(A118),1),$A$2:$A$800,0))-1,""))</f>
        <v/>
      </c>
    </row>
    <row r="119">
      <c r="A119" s="121" t="n">
        <v>38108</v>
      </c>
      <c r="B119" s="47" t="n">
        <v>289.317</v>
      </c>
      <c r="C119" s="122">
        <f>IF(OR(B119="",B118=""),"",B119/B118-1)</f>
        <v/>
      </c>
      <c r="D119" s="122">
        <f>IF(B119="","",IFERROR(B119/INDEX($B$2:$B$800,MATCH(DATE(YEAR(A119)-1,12,1),$A$2:$A$800,0))-1,""))</f>
        <v/>
      </c>
      <c r="E119" s="122">
        <f>IF(B119="","",IFERROR(B119/INDEX($B$2:$B$800,MATCH(DATE(YEAR(A119)-1,MONTH(A119),1),$A$2:$A$800,0))-1,""))</f>
        <v/>
      </c>
    </row>
    <row r="120">
      <c r="A120" s="121" t="n">
        <v>38139</v>
      </c>
      <c r="B120" s="47" t="n">
        <v>291.348</v>
      </c>
      <c r="C120" s="122">
        <f>IF(OR(B120="",B119=""),"",B120/B119-1)</f>
        <v/>
      </c>
      <c r="D120" s="122">
        <f>IF(B120="","",IFERROR(B120/INDEX($B$2:$B$800,MATCH(DATE(YEAR(A120)-1,12,1),$A$2:$A$800,0))-1,""))</f>
        <v/>
      </c>
      <c r="E120" s="122">
        <f>IF(B120="","",IFERROR(B120/INDEX($B$2:$B$800,MATCH(DATE(YEAR(A120)-1,MONTH(A120),1),$A$2:$A$800,0))-1,""))</f>
        <v/>
      </c>
    </row>
    <row r="121">
      <c r="A121" s="121" t="n">
        <v>38169</v>
      </c>
      <c r="B121" s="47" t="n">
        <v>294.625</v>
      </c>
      <c r="C121" s="122">
        <f>IF(OR(B121="",B120=""),"",B121/B120-1)</f>
        <v/>
      </c>
      <c r="D121" s="122">
        <f>IF(B121="","",IFERROR(B121/INDEX($B$2:$B$800,MATCH(DATE(YEAR(A121)-1,12,1),$A$2:$A$800,0))-1,""))</f>
        <v/>
      </c>
      <c r="E121" s="122">
        <f>IF(B121="","",IFERROR(B121/INDEX($B$2:$B$800,MATCH(DATE(YEAR(A121)-1,MONTH(A121),1),$A$2:$A$800,0))-1,""))</f>
        <v/>
      </c>
    </row>
    <row r="122">
      <c r="A122" s="121" t="n">
        <v>38200</v>
      </c>
      <c r="B122" s="47" t="n">
        <v>297.003</v>
      </c>
      <c r="C122" s="122">
        <f>IF(OR(B122="",B121=""),"",B122/B121-1)</f>
        <v/>
      </c>
      <c r="D122" s="122">
        <f>IF(B122="","",IFERROR(B122/INDEX($B$2:$B$800,MATCH(DATE(YEAR(A122)-1,12,1),$A$2:$A$800,0))-1,""))</f>
        <v/>
      </c>
      <c r="E122" s="122">
        <f>IF(B122="","",IFERROR(B122/INDEX($B$2:$B$800,MATCH(DATE(YEAR(A122)-1,MONTH(A122),1),$A$2:$A$800,0))-1,""))</f>
        <v/>
      </c>
    </row>
    <row r="123">
      <c r="A123" s="121" t="n">
        <v>38231</v>
      </c>
      <c r="B123" s="47" t="n">
        <v>298.722</v>
      </c>
      <c r="C123" s="122">
        <f>IF(OR(B123="",B122=""),"",B123/B122-1)</f>
        <v/>
      </c>
      <c r="D123" s="122">
        <f>IF(B123="","",IFERROR(B123/INDEX($B$2:$B$800,MATCH(DATE(YEAR(A123)-1,12,1),$A$2:$A$800,0))-1,""))</f>
        <v/>
      </c>
      <c r="E123" s="122">
        <f>IF(B123="","",IFERROR(B123/INDEX($B$2:$B$800,MATCH(DATE(YEAR(A123)-1,MONTH(A123),1),$A$2:$A$800,0))-1,""))</f>
        <v/>
      </c>
    </row>
    <row r="124">
      <c r="A124" s="121" t="n">
        <v>38261</v>
      </c>
      <c r="B124" s="47" t="n">
        <v>302.275</v>
      </c>
      <c r="C124" s="122">
        <f>IF(OR(B124="",B123=""),"",B124/B123-1)</f>
        <v/>
      </c>
      <c r="D124" s="122">
        <f>IF(B124="","",IFERROR(B124/INDEX($B$2:$B$800,MATCH(DATE(YEAR(A124)-1,12,1),$A$2:$A$800,0))-1,""))</f>
        <v/>
      </c>
      <c r="E124" s="122">
        <f>IF(B124="","",IFERROR(B124/INDEX($B$2:$B$800,MATCH(DATE(YEAR(A124)-1,MONTH(A124),1),$A$2:$A$800,0))-1,""))</f>
        <v/>
      </c>
    </row>
    <row r="125">
      <c r="A125" s="121" t="n">
        <v>38292</v>
      </c>
      <c r="B125" s="47" t="n">
        <v>304.429</v>
      </c>
      <c r="C125" s="122">
        <f>IF(OR(B125="",B124=""),"",B125/B124-1)</f>
        <v/>
      </c>
      <c r="D125" s="122">
        <f>IF(B125="","",IFERROR(B125/INDEX($B$2:$B$800,MATCH(DATE(YEAR(A125)-1,12,1),$A$2:$A$800,0))-1,""))</f>
        <v/>
      </c>
      <c r="E125" s="122">
        <f>IF(B125="","",IFERROR(B125/INDEX($B$2:$B$800,MATCH(DATE(YEAR(A125)-1,MONTH(A125),1),$A$2:$A$800,0))-1,""))</f>
        <v/>
      </c>
    </row>
    <row r="126">
      <c r="A126" s="121" t="n">
        <v>38322</v>
      </c>
      <c r="B126" s="47" t="n">
        <v>305.974</v>
      </c>
      <c r="C126" s="122">
        <f>IF(OR(B126="",B125=""),"",B126/B125-1)</f>
        <v/>
      </c>
      <c r="D126" s="122">
        <f>IF(B126="","",IFERROR(B126/INDEX($B$2:$B$800,MATCH(DATE(YEAR(A126)-1,12,1),$A$2:$A$800,0))-1,""))</f>
        <v/>
      </c>
      <c r="E126" s="122">
        <f>IF(B126="","",IFERROR(B126/INDEX($B$2:$B$800,MATCH(DATE(YEAR(A126)-1,MONTH(A126),1),$A$2:$A$800,0))-1,""))</f>
        <v/>
      </c>
    </row>
    <row r="127">
      <c r="A127" s="121" t="n">
        <v>38353</v>
      </c>
      <c r="B127" s="47" t="n">
        <v>308.284</v>
      </c>
      <c r="C127" s="122">
        <f>IF(OR(B127="",B126=""),"",B127/B126-1)</f>
        <v/>
      </c>
      <c r="D127" s="122">
        <f>IF(B127="","",IFERROR(B127/INDEX($B$2:$B$800,MATCH(DATE(YEAR(A127)-1,12,1),$A$2:$A$800,0))-1,""))</f>
        <v/>
      </c>
      <c r="E127" s="122">
        <f>IF(B127="","",IFERROR(B127/INDEX($B$2:$B$800,MATCH(DATE(YEAR(A127)-1,MONTH(A127),1),$A$2:$A$800,0))-1,""))</f>
        <v/>
      </c>
    </row>
    <row r="128">
      <c r="A128" s="121" t="n">
        <v>38384</v>
      </c>
      <c r="B128" s="47" t="n">
        <v>309.646</v>
      </c>
      <c r="C128" s="122">
        <f>IF(OR(B128="",B127=""),"",B128/B127-1)</f>
        <v/>
      </c>
      <c r="D128" s="122">
        <f>IF(B128="","",IFERROR(B128/INDEX($B$2:$B$800,MATCH(DATE(YEAR(A128)-1,12,1),$A$2:$A$800,0))-1,""))</f>
        <v/>
      </c>
      <c r="E128" s="122">
        <f>IF(B128="","",IFERROR(B128/INDEX($B$2:$B$800,MATCH(DATE(YEAR(A128)-1,MONTH(A128),1),$A$2:$A$800,0))-1,""))</f>
        <v/>
      </c>
    </row>
    <row r="129">
      <c r="A129" s="121" t="n">
        <v>38412</v>
      </c>
      <c r="B129" s="47" t="n">
        <v>311.733</v>
      </c>
      <c r="C129" s="122">
        <f>IF(OR(B129="",B128=""),"",B129/B128-1)</f>
        <v/>
      </c>
      <c r="D129" s="122">
        <f>IF(B129="","",IFERROR(B129/INDEX($B$2:$B$800,MATCH(DATE(YEAR(A129)-1,12,1),$A$2:$A$800,0))-1,""))</f>
        <v/>
      </c>
      <c r="E129" s="122">
        <f>IF(B129="","",IFERROR(B129/INDEX($B$2:$B$800,MATCH(DATE(YEAR(A129)-1,MONTH(A129),1),$A$2:$A$800,0))-1,""))</f>
        <v/>
      </c>
    </row>
    <row r="130">
      <c r="A130" s="121" t="n">
        <v>38443</v>
      </c>
      <c r="B130" s="47" t="n">
        <v>313.977</v>
      </c>
      <c r="C130" s="122">
        <f>IF(OR(B130="",B129=""),"",B130/B129-1)</f>
        <v/>
      </c>
      <c r="D130" s="122">
        <f>IF(B130="","",IFERROR(B130/INDEX($B$2:$B$800,MATCH(DATE(YEAR(A130)-1,12,1),$A$2:$A$800,0))-1,""))</f>
        <v/>
      </c>
      <c r="E130" s="122">
        <f>IF(B130="","",IFERROR(B130/INDEX($B$2:$B$800,MATCH(DATE(YEAR(A130)-1,MONTH(A130),1),$A$2:$A$800,0))-1,""))</f>
        <v/>
      </c>
    </row>
    <row r="131">
      <c r="A131" s="121" t="n">
        <v>38473</v>
      </c>
      <c r="B131" s="47" t="n">
        <v>320.524</v>
      </c>
      <c r="C131" s="122">
        <f>IF(OR(B131="",B130=""),"",B131/B130-1)</f>
        <v/>
      </c>
      <c r="D131" s="122">
        <f>IF(B131="","",IFERROR(B131/INDEX($B$2:$B$800,MATCH(DATE(YEAR(A131)-1,12,1),$A$2:$A$800,0))-1,""))</f>
        <v/>
      </c>
      <c r="E131" s="122">
        <f>IF(B131="","",IFERROR(B131/INDEX($B$2:$B$800,MATCH(DATE(YEAR(A131)-1,MONTH(A131),1),$A$2:$A$800,0))-1,""))</f>
        <v/>
      </c>
    </row>
    <row r="132">
      <c r="A132" s="121" t="n">
        <v>38504</v>
      </c>
      <c r="B132" s="47" t="n">
        <v>322.974</v>
      </c>
      <c r="C132" s="122">
        <f>IF(OR(B132="",B131=""),"",B132/B131-1)</f>
        <v/>
      </c>
      <c r="D132" s="122">
        <f>IF(B132="","",IFERROR(B132/INDEX($B$2:$B$800,MATCH(DATE(YEAR(A132)-1,12,1),$A$2:$A$800,0))-1,""))</f>
        <v/>
      </c>
      <c r="E132" s="122">
        <f>IF(B132="","",IFERROR(B132/INDEX($B$2:$B$800,MATCH(DATE(YEAR(A132)-1,MONTH(A132),1),$A$2:$A$800,0))-1,""))</f>
        <v/>
      </c>
    </row>
    <row r="133">
      <c r="A133" s="121" t="n">
        <v>38534</v>
      </c>
      <c r="B133" s="47" t="n">
        <v>323.332</v>
      </c>
      <c r="C133" s="122">
        <f>IF(OR(B133="",B132=""),"",B133/B132-1)</f>
        <v/>
      </c>
      <c r="D133" s="122">
        <f>IF(B133="","",IFERROR(B133/INDEX($B$2:$B$800,MATCH(DATE(YEAR(A133)-1,12,1),$A$2:$A$800,0))-1,""))</f>
        <v/>
      </c>
      <c r="E133" s="122">
        <f>IF(B133="","",IFERROR(B133/INDEX($B$2:$B$800,MATCH(DATE(YEAR(A133)-1,MONTH(A133),1),$A$2:$A$800,0))-1,""))</f>
        <v/>
      </c>
    </row>
    <row r="134">
      <c r="A134" s="121" t="n">
        <v>38565</v>
      </c>
      <c r="B134" s="47" t="n">
        <v>323.382</v>
      </c>
      <c r="C134" s="122">
        <f>IF(OR(B134="",B133=""),"",B134/B133-1)</f>
        <v/>
      </c>
      <c r="D134" s="122">
        <f>IF(B134="","",IFERROR(B134/INDEX($B$2:$B$800,MATCH(DATE(YEAR(A134)-1,12,1),$A$2:$A$800,0))-1,""))</f>
        <v/>
      </c>
      <c r="E134" s="122">
        <f>IF(B134="","",IFERROR(B134/INDEX($B$2:$B$800,MATCH(DATE(YEAR(A134)-1,MONTH(A134),1),$A$2:$A$800,0))-1,""))</f>
        <v/>
      </c>
    </row>
    <row r="135">
      <c r="A135" s="121" t="n">
        <v>38596</v>
      </c>
      <c r="B135" s="47" t="n">
        <v>324.164</v>
      </c>
      <c r="C135" s="122">
        <f>IF(OR(B135="",B134=""),"",B135/B134-1)</f>
        <v/>
      </c>
      <c r="D135" s="122">
        <f>IF(B135="","",IFERROR(B135/INDEX($B$2:$B$800,MATCH(DATE(YEAR(A135)-1,12,1),$A$2:$A$800,0))-1,""))</f>
        <v/>
      </c>
      <c r="E135" s="122">
        <f>IF(B135="","",IFERROR(B135/INDEX($B$2:$B$800,MATCH(DATE(YEAR(A135)-1,MONTH(A135),1),$A$2:$A$800,0))-1,""))</f>
        <v/>
      </c>
    </row>
    <row r="136">
      <c r="A136" s="121" t="n">
        <v>38626</v>
      </c>
      <c r="B136" s="47" t="n">
        <v>324.782</v>
      </c>
      <c r="C136" s="122">
        <f>IF(OR(B136="",B135=""),"",B136/B135-1)</f>
        <v/>
      </c>
      <c r="D136" s="122">
        <f>IF(B136="","",IFERROR(B136/INDEX($B$2:$B$800,MATCH(DATE(YEAR(A136)-1,12,1),$A$2:$A$800,0))-1,""))</f>
        <v/>
      </c>
      <c r="E136" s="122">
        <f>IF(B136="","",IFERROR(B136/INDEX($B$2:$B$800,MATCH(DATE(YEAR(A136)-1,MONTH(A136),1),$A$2:$A$800,0))-1,""))</f>
        <v/>
      </c>
    </row>
    <row r="137">
      <c r="A137" s="121" t="n">
        <v>38657</v>
      </c>
      <c r="B137" s="47" t="n">
        <v>325.703</v>
      </c>
      <c r="C137" s="122">
        <f>IF(OR(B137="",B136=""),"",B137/B136-1)</f>
        <v/>
      </c>
      <c r="D137" s="122">
        <f>IF(B137="","",IFERROR(B137/INDEX($B$2:$B$800,MATCH(DATE(YEAR(A137)-1,12,1),$A$2:$A$800,0))-1,""))</f>
        <v/>
      </c>
      <c r="E137" s="122">
        <f>IF(B137="","",IFERROR(B137/INDEX($B$2:$B$800,MATCH(DATE(YEAR(A137)-1,MONTH(A137),1),$A$2:$A$800,0))-1,""))</f>
        <v/>
      </c>
    </row>
    <row r="138">
      <c r="A138" s="121" t="n">
        <v>38687</v>
      </c>
      <c r="B138" s="47" t="n">
        <v>326.915</v>
      </c>
      <c r="C138" s="122">
        <f>IF(OR(B138="",B137=""),"",B138/B137-1)</f>
        <v/>
      </c>
      <c r="D138" s="122">
        <f>IF(B138="","",IFERROR(B138/INDEX($B$2:$B$800,MATCH(DATE(YEAR(A138)-1,12,1),$A$2:$A$800,0))-1,""))</f>
        <v/>
      </c>
      <c r="E138" s="122">
        <f>IF(B138="","",IFERROR(B138/INDEX($B$2:$B$800,MATCH(DATE(YEAR(A138)-1,MONTH(A138),1),$A$2:$A$800,0))-1,""))</f>
        <v/>
      </c>
    </row>
    <row r="139">
      <c r="A139" s="121" t="n">
        <v>38718</v>
      </c>
      <c r="B139" s="47" t="n">
        <v>328.042</v>
      </c>
      <c r="C139" s="122">
        <f>IF(OR(B139="",B138=""),"",B139/B138-1)</f>
        <v/>
      </c>
      <c r="D139" s="122">
        <f>IF(B139="","",IFERROR(B139/INDEX($B$2:$B$800,MATCH(DATE(YEAR(A139)-1,12,1),$A$2:$A$800,0))-1,""))</f>
        <v/>
      </c>
      <c r="E139" s="122">
        <f>IF(B139="","",IFERROR(B139/INDEX($B$2:$B$800,MATCH(DATE(YEAR(A139)-1,MONTH(A139),1),$A$2:$A$800,0))-1,""))</f>
        <v/>
      </c>
    </row>
    <row r="140">
      <c r="A140" s="121" t="n">
        <v>38749</v>
      </c>
      <c r="B140" s="47" t="n">
        <v>328.651</v>
      </c>
      <c r="C140" s="122">
        <f>IF(OR(B140="",B139=""),"",B140/B139-1)</f>
        <v/>
      </c>
      <c r="D140" s="122">
        <f>IF(B140="","",IFERROR(B140/INDEX($B$2:$B$800,MATCH(DATE(YEAR(A140)-1,12,1),$A$2:$A$800,0))-1,""))</f>
        <v/>
      </c>
      <c r="E140" s="122">
        <f>IF(B140="","",IFERROR(B140/INDEX($B$2:$B$800,MATCH(DATE(YEAR(A140)-1,MONTH(A140),1),$A$2:$A$800,0))-1,""))</f>
        <v/>
      </c>
    </row>
    <row r="141">
      <c r="A141" s="121" t="n">
        <v>38777</v>
      </c>
      <c r="B141" s="47" t="n">
        <v>329.32</v>
      </c>
      <c r="C141" s="122">
        <f>IF(OR(B141="",B140=""),"",B141/B140-1)</f>
        <v/>
      </c>
      <c r="D141" s="122">
        <f>IF(B141="","",IFERROR(B141/INDEX($B$2:$B$800,MATCH(DATE(YEAR(A141)-1,12,1),$A$2:$A$800,0))-1,""))</f>
        <v/>
      </c>
      <c r="E141" s="122">
        <f>IF(B141="","",IFERROR(B141/INDEX($B$2:$B$800,MATCH(DATE(YEAR(A141)-1,MONTH(A141),1),$A$2:$A$800,0))-1,""))</f>
        <v/>
      </c>
    </row>
    <row r="142">
      <c r="A142" s="121" t="n">
        <v>38808</v>
      </c>
      <c r="B142" s="47" t="n">
        <v>330.501</v>
      </c>
      <c r="C142" s="122">
        <f>IF(OR(B142="",B141=""),"",B142/B141-1)</f>
        <v/>
      </c>
      <c r="D142" s="122">
        <f>IF(B142="","",IFERROR(B142/INDEX($B$2:$B$800,MATCH(DATE(YEAR(A142)-1,12,1),$A$2:$A$800,0))-1,""))</f>
        <v/>
      </c>
      <c r="E142" s="122">
        <f>IF(B142="","",IFERROR(B142/INDEX($B$2:$B$800,MATCH(DATE(YEAR(A142)-1,MONTH(A142),1),$A$2:$A$800,0))-1,""))</f>
        <v/>
      </c>
    </row>
    <row r="143">
      <c r="A143" s="121" t="n">
        <v>38838</v>
      </c>
      <c r="B143" s="47" t="n">
        <v>334.867</v>
      </c>
      <c r="C143" s="122">
        <f>IF(OR(B143="",B142=""),"",B143/B142-1)</f>
        <v/>
      </c>
      <c r="D143" s="122">
        <f>IF(B143="","",IFERROR(B143/INDEX($B$2:$B$800,MATCH(DATE(YEAR(A143)-1,12,1),$A$2:$A$800,0))-1,""))</f>
        <v/>
      </c>
      <c r="E143" s="122">
        <f>IF(B143="","",IFERROR(B143/INDEX($B$2:$B$800,MATCH(DATE(YEAR(A143)-1,MONTH(A143),1),$A$2:$A$800,0))-1,""))</f>
        <v/>
      </c>
    </row>
    <row r="144">
      <c r="A144" s="121" t="n">
        <v>38869</v>
      </c>
      <c r="B144" s="47" t="n">
        <v>337.892</v>
      </c>
      <c r="C144" s="122">
        <f>IF(OR(B144="",B143=""),"",B144/B143-1)</f>
        <v/>
      </c>
      <c r="D144" s="122">
        <f>IF(B144="","",IFERROR(B144/INDEX($B$2:$B$800,MATCH(DATE(YEAR(A144)-1,12,1),$A$2:$A$800,0))-1,""))</f>
        <v/>
      </c>
      <c r="E144" s="122">
        <f>IF(B144="","",IFERROR(B144/INDEX($B$2:$B$800,MATCH(DATE(YEAR(A144)-1,MONTH(A144),1),$A$2:$A$800,0))-1,""))</f>
        <v/>
      </c>
    </row>
    <row r="145">
      <c r="A145" s="121" t="n">
        <v>38899</v>
      </c>
      <c r="B145" s="47" t="n">
        <v>339.484</v>
      </c>
      <c r="C145" s="122">
        <f>IF(OR(B145="",B144=""),"",B145/B144-1)</f>
        <v/>
      </c>
      <c r="D145" s="122">
        <f>IF(B145="","",IFERROR(B145/INDEX($B$2:$B$800,MATCH(DATE(YEAR(A145)-1,12,1),$A$2:$A$800,0))-1,""))</f>
        <v/>
      </c>
      <c r="E145" s="122">
        <f>IF(B145="","",IFERROR(B145/INDEX($B$2:$B$800,MATCH(DATE(YEAR(A145)-1,MONTH(A145),1),$A$2:$A$800,0))-1,""))</f>
        <v/>
      </c>
    </row>
    <row r="146">
      <c r="A146" s="121" t="n">
        <v>38930</v>
      </c>
      <c r="B146" s="47" t="n">
        <v>340.283</v>
      </c>
      <c r="C146" s="122">
        <f>IF(OR(B146="",B145=""),"",B146/B145-1)</f>
        <v/>
      </c>
      <c r="D146" s="122">
        <f>IF(B146="","",IFERROR(B146/INDEX($B$2:$B$800,MATCH(DATE(YEAR(A146)-1,12,1),$A$2:$A$800,0))-1,""))</f>
        <v/>
      </c>
      <c r="E146" s="122">
        <f>IF(B146="","",IFERROR(B146/INDEX($B$2:$B$800,MATCH(DATE(YEAR(A146)-1,MONTH(A146),1),$A$2:$A$800,0))-1,""))</f>
        <v/>
      </c>
    </row>
    <row r="147">
      <c r="A147" s="121" t="n">
        <v>38961</v>
      </c>
      <c r="B147" s="47" t="n">
        <v>340.67</v>
      </c>
      <c r="C147" s="122">
        <f>IF(OR(B147="",B146=""),"",B147/B146-1)</f>
        <v/>
      </c>
      <c r="D147" s="122">
        <f>IF(B147="","",IFERROR(B147/INDEX($B$2:$B$800,MATCH(DATE(YEAR(A147)-1,12,1),$A$2:$A$800,0))-1,""))</f>
        <v/>
      </c>
      <c r="E147" s="122">
        <f>IF(B147="","",IFERROR(B147/INDEX($B$2:$B$800,MATCH(DATE(YEAR(A147)-1,MONTH(A147),1),$A$2:$A$800,0))-1,""))</f>
        <v/>
      </c>
    </row>
    <row r="148">
      <c r="A148" s="121" t="n">
        <v>38991</v>
      </c>
      <c r="B148" s="47" t="n">
        <v>341.369</v>
      </c>
      <c r="C148" s="122">
        <f>IF(OR(B148="",B147=""),"",B148/B147-1)</f>
        <v/>
      </c>
      <c r="D148" s="122">
        <f>IF(B148="","",IFERROR(B148/INDEX($B$2:$B$800,MATCH(DATE(YEAR(A148)-1,12,1),$A$2:$A$800,0))-1,""))</f>
        <v/>
      </c>
      <c r="E148" s="122">
        <f>IF(B148="","",IFERROR(B148/INDEX($B$2:$B$800,MATCH(DATE(YEAR(A148)-1,MONTH(A148),1),$A$2:$A$800,0))-1,""))</f>
        <v/>
      </c>
    </row>
    <row r="149">
      <c r="A149" s="121" t="n">
        <v>39022</v>
      </c>
      <c r="B149" s="47" t="n">
        <v>342.159</v>
      </c>
      <c r="C149" s="122">
        <f>IF(OR(B149="",B148=""),"",B149/B148-1)</f>
        <v/>
      </c>
      <c r="D149" s="122">
        <f>IF(B149="","",IFERROR(B149/INDEX($B$2:$B$800,MATCH(DATE(YEAR(A149)-1,12,1),$A$2:$A$800,0))-1,""))</f>
        <v/>
      </c>
      <c r="E149" s="122">
        <f>IF(B149="","",IFERROR(B149/INDEX($B$2:$B$800,MATCH(DATE(YEAR(A149)-1,MONTH(A149),1),$A$2:$A$800,0))-1,""))</f>
        <v/>
      </c>
    </row>
    <row r="150">
      <c r="A150" s="121" t="n">
        <v>39052</v>
      </c>
      <c r="B150" s="47" t="n">
        <v>343.401</v>
      </c>
      <c r="C150" s="122">
        <f>IF(OR(B150="",B149=""),"",B150/B149-1)</f>
        <v/>
      </c>
      <c r="D150" s="122">
        <f>IF(B150="","",IFERROR(B150/INDEX($B$2:$B$800,MATCH(DATE(YEAR(A150)-1,12,1),$A$2:$A$800,0))-1,""))</f>
        <v/>
      </c>
      <c r="E150" s="122">
        <f>IF(B150="","",IFERROR(B150/INDEX($B$2:$B$800,MATCH(DATE(YEAR(A150)-1,MONTH(A150),1),$A$2:$A$800,0))-1,""))</f>
        <v/>
      </c>
    </row>
    <row r="151">
      <c r="A151" s="121" t="n">
        <v>39083</v>
      </c>
      <c r="B151" s="47" t="n">
        <v>344.943</v>
      </c>
      <c r="C151" s="122">
        <f>IF(OR(B151="",B150=""),"",B151/B150-1)</f>
        <v/>
      </c>
      <c r="D151" s="122">
        <f>IF(B151="","",IFERROR(B151/INDEX($B$2:$B$800,MATCH(DATE(YEAR(A151)-1,12,1),$A$2:$A$800,0))-1,""))</f>
        <v/>
      </c>
      <c r="E151" s="122">
        <f>IF(B151="","",IFERROR(B151/INDEX($B$2:$B$800,MATCH(DATE(YEAR(A151)-1,MONTH(A151),1),$A$2:$A$800,0))-1,""))</f>
        <v/>
      </c>
    </row>
    <row r="152">
      <c r="A152" s="121" t="n">
        <v>39114</v>
      </c>
      <c r="B152" s="47" t="n">
        <v>345.682</v>
      </c>
      <c r="C152" s="122">
        <f>IF(OR(B152="",B151=""),"",B152/B151-1)</f>
        <v/>
      </c>
      <c r="D152" s="122">
        <f>IF(B152="","",IFERROR(B152/INDEX($B$2:$B$800,MATCH(DATE(YEAR(A152)-1,12,1),$A$2:$A$800,0))-1,""))</f>
        <v/>
      </c>
      <c r="E152" s="122">
        <f>IF(B152="","",IFERROR(B152/INDEX($B$2:$B$800,MATCH(DATE(YEAR(A152)-1,MONTH(A152),1),$A$2:$A$800,0))-1,""))</f>
        <v/>
      </c>
    </row>
    <row r="153">
      <c r="A153" s="121" t="n">
        <v>39142</v>
      </c>
      <c r="B153" s="47" t="n">
        <v>346.617</v>
      </c>
      <c r="C153" s="122">
        <f>IF(OR(B153="",B152=""),"",B153/B152-1)</f>
        <v/>
      </c>
      <c r="D153" s="122">
        <f>IF(B153="","",IFERROR(B153/INDEX($B$2:$B$800,MATCH(DATE(YEAR(A153)-1,12,1),$A$2:$A$800,0))-1,""))</f>
        <v/>
      </c>
      <c r="E153" s="122">
        <f>IF(B153="","",IFERROR(B153/INDEX($B$2:$B$800,MATCH(DATE(YEAR(A153)-1,MONTH(A153),1),$A$2:$A$800,0))-1,""))</f>
        <v/>
      </c>
    </row>
    <row r="154">
      <c r="A154" s="121" t="n">
        <v>39173</v>
      </c>
      <c r="B154" s="47" t="n">
        <v>348.194</v>
      </c>
      <c r="C154" s="122">
        <f>IF(OR(B154="",B153=""),"",B154/B153-1)</f>
        <v/>
      </c>
      <c r="D154" s="122">
        <f>IF(B154="","",IFERROR(B154/INDEX($B$2:$B$800,MATCH(DATE(YEAR(A154)-1,12,1),$A$2:$A$800,0))-1,""))</f>
        <v/>
      </c>
      <c r="E154" s="122">
        <f>IF(B154="","",IFERROR(B154/INDEX($B$2:$B$800,MATCH(DATE(YEAR(A154)-1,MONTH(A154),1),$A$2:$A$800,0))-1,""))</f>
        <v/>
      </c>
    </row>
    <row r="155">
      <c r="A155" s="121" t="n">
        <v>39203</v>
      </c>
      <c r="B155" s="47" t="n">
        <v>352.204</v>
      </c>
      <c r="C155" s="122">
        <f>IF(OR(B155="",B154=""),"",B155/B154-1)</f>
        <v/>
      </c>
      <c r="D155" s="122">
        <f>IF(B155="","",IFERROR(B155/INDEX($B$2:$B$800,MATCH(DATE(YEAR(A155)-1,12,1),$A$2:$A$800,0))-1,""))</f>
        <v/>
      </c>
      <c r="E155" s="122">
        <f>IF(B155="","",IFERROR(B155/INDEX($B$2:$B$800,MATCH(DATE(YEAR(A155)-1,MONTH(A155),1),$A$2:$A$800,0))-1,""))</f>
        <v/>
      </c>
    </row>
    <row r="156">
      <c r="A156" s="121" t="n">
        <v>39234</v>
      </c>
      <c r="B156" s="47" t="n">
        <v>355.456</v>
      </c>
      <c r="C156" s="122">
        <f>IF(OR(B156="",B155=""),"",B156/B155-1)</f>
        <v/>
      </c>
      <c r="D156" s="122">
        <f>IF(B156="","",IFERROR(B156/INDEX($B$2:$B$800,MATCH(DATE(YEAR(A156)-1,12,1),$A$2:$A$800,0))-1,""))</f>
        <v/>
      </c>
      <c r="E156" s="122">
        <f>IF(B156="","",IFERROR(B156/INDEX($B$2:$B$800,MATCH(DATE(YEAR(A156)-1,MONTH(A156),1),$A$2:$A$800,0))-1,""))</f>
        <v/>
      </c>
    </row>
    <row r="157">
      <c r="A157" s="121" t="n">
        <v>39264</v>
      </c>
      <c r="B157" s="47" t="n">
        <v>356.545</v>
      </c>
      <c r="C157" s="122">
        <f>IF(OR(B157="",B156=""),"",B157/B156-1)</f>
        <v/>
      </c>
      <c r="D157" s="122">
        <f>IF(B157="","",IFERROR(B157/INDEX($B$2:$B$800,MATCH(DATE(YEAR(A157)-1,12,1),$A$2:$A$800,0))-1,""))</f>
        <v/>
      </c>
      <c r="E157" s="122">
        <f>IF(B157="","",IFERROR(B157/INDEX($B$2:$B$800,MATCH(DATE(YEAR(A157)-1,MONTH(A157),1),$A$2:$A$800,0))-1,""))</f>
        <v/>
      </c>
    </row>
    <row r="158">
      <c r="A158" s="121" t="n">
        <v>39295</v>
      </c>
      <c r="B158" s="47" t="n">
        <v>357.467</v>
      </c>
      <c r="C158" s="122">
        <f>IF(OR(B158="",B157=""),"",B158/B157-1)</f>
        <v/>
      </c>
      <c r="D158" s="122">
        <f>IF(B158="","",IFERROR(B158/INDEX($B$2:$B$800,MATCH(DATE(YEAR(A158)-1,12,1),$A$2:$A$800,0))-1,""))</f>
        <v/>
      </c>
      <c r="E158" s="122">
        <f>IF(B158="","",IFERROR(B158/INDEX($B$2:$B$800,MATCH(DATE(YEAR(A158)-1,MONTH(A158),1),$A$2:$A$800,0))-1,""))</f>
        <v/>
      </c>
    </row>
    <row r="159">
      <c r="A159" s="121" t="n">
        <v>39326</v>
      </c>
      <c r="B159" s="47" t="n">
        <v>359.276</v>
      </c>
      <c r="C159" s="122">
        <f>IF(OR(B159="",B158=""),"",B159/B158-1)</f>
        <v/>
      </c>
      <c r="D159" s="122">
        <f>IF(B159="","",IFERROR(B159/INDEX($B$2:$B$800,MATCH(DATE(YEAR(A159)-1,12,1),$A$2:$A$800,0))-1,""))</f>
        <v/>
      </c>
      <c r="E159" s="122">
        <f>IF(B159="","",IFERROR(B159/INDEX($B$2:$B$800,MATCH(DATE(YEAR(A159)-1,MONTH(A159),1),$A$2:$A$800,0))-1,""))</f>
        <v/>
      </c>
    </row>
    <row r="160">
      <c r="A160" s="121" t="n">
        <v>39356</v>
      </c>
      <c r="B160" s="47" t="n">
        <v>361.102</v>
      </c>
      <c r="C160" s="122">
        <f>IF(OR(B160="",B159=""),"",B160/B159-1)</f>
        <v/>
      </c>
      <c r="D160" s="122">
        <f>IF(B160="","",IFERROR(B160/INDEX($B$2:$B$800,MATCH(DATE(YEAR(A160)-1,12,1),$A$2:$A$800,0))-1,""))</f>
        <v/>
      </c>
      <c r="E160" s="122">
        <f>IF(B160="","",IFERROR(B160/INDEX($B$2:$B$800,MATCH(DATE(YEAR(A160)-1,MONTH(A160),1),$A$2:$A$800,0))-1,""))</f>
        <v/>
      </c>
    </row>
    <row r="161">
      <c r="A161" s="121" t="n">
        <v>39387</v>
      </c>
      <c r="B161" s="47" t="n">
        <v>362.403</v>
      </c>
      <c r="C161" s="122">
        <f>IF(OR(B161="",B160=""),"",B161/B160-1)</f>
        <v/>
      </c>
      <c r="D161" s="122">
        <f>IF(B161="","",IFERROR(B161/INDEX($B$2:$B$800,MATCH(DATE(YEAR(A161)-1,12,1),$A$2:$A$800,0))-1,""))</f>
        <v/>
      </c>
      <c r="E161" s="122">
        <f>IF(B161="","",IFERROR(B161/INDEX($B$2:$B$800,MATCH(DATE(YEAR(A161)-1,MONTH(A161),1),$A$2:$A$800,0))-1,""))</f>
        <v/>
      </c>
    </row>
    <row r="162">
      <c r="A162" s="121" t="n">
        <v>39417</v>
      </c>
      <c r="B162" s="47" t="n">
        <v>364.525</v>
      </c>
      <c r="C162" s="122">
        <f>IF(OR(B162="",B161=""),"",B162/B161-1)</f>
        <v/>
      </c>
      <c r="D162" s="122">
        <f>IF(B162="","",IFERROR(B162/INDEX($B$2:$B$800,MATCH(DATE(YEAR(A162)-1,12,1),$A$2:$A$800,0))-1,""))</f>
        <v/>
      </c>
      <c r="E162" s="122">
        <f>IF(B162="","",IFERROR(B162/INDEX($B$2:$B$800,MATCH(DATE(YEAR(A162)-1,MONTH(A162),1),$A$2:$A$800,0))-1,""))</f>
        <v/>
      </c>
    </row>
    <row r="163">
      <c r="A163" s="121" t="n">
        <v>39448</v>
      </c>
      <c r="B163" s="47" t="n">
        <v>365.906</v>
      </c>
      <c r="C163" s="122">
        <f>IF(OR(B163="",B162=""),"",B163/B162-1)</f>
        <v/>
      </c>
      <c r="D163" s="122">
        <f>IF(B163="","",IFERROR(B163/INDEX($B$2:$B$800,MATCH(DATE(YEAR(A163)-1,12,1),$A$2:$A$800,0))-1,""))</f>
        <v/>
      </c>
      <c r="E163" s="122">
        <f>IF(B163="","",IFERROR(B163/INDEX($B$2:$B$800,MATCH(DATE(YEAR(A163)-1,MONTH(A163),1),$A$2:$A$800,0))-1,""))</f>
        <v/>
      </c>
    </row>
    <row r="164">
      <c r="A164" s="121" t="n">
        <v>39479</v>
      </c>
      <c r="B164" s="47" t="n">
        <v>367.382</v>
      </c>
      <c r="C164" s="122">
        <f>IF(OR(B164="",B163=""),"",B164/B163-1)</f>
        <v/>
      </c>
      <c r="D164" s="122">
        <f>IF(B164="","",IFERROR(B164/INDEX($B$2:$B$800,MATCH(DATE(YEAR(A164)-1,12,1),$A$2:$A$800,0))-1,""))</f>
        <v/>
      </c>
      <c r="E164" s="122">
        <f>IF(B164="","",IFERROR(B164/INDEX($B$2:$B$800,MATCH(DATE(YEAR(A164)-1,MONTH(A164),1),$A$2:$A$800,0))-1,""))</f>
        <v/>
      </c>
    </row>
    <row r="165">
      <c r="A165" s="121" t="n">
        <v>39508</v>
      </c>
      <c r="B165" s="47" t="n">
        <v>369.812</v>
      </c>
      <c r="C165" s="122">
        <f>IF(OR(B165="",B164=""),"",B165/B164-1)</f>
        <v/>
      </c>
      <c r="D165" s="122">
        <f>IF(B165="","",IFERROR(B165/INDEX($B$2:$B$800,MATCH(DATE(YEAR(A165)-1,12,1),$A$2:$A$800,0))-1,""))</f>
        <v/>
      </c>
      <c r="E165" s="122">
        <f>IF(B165="","",IFERROR(B165/INDEX($B$2:$B$800,MATCH(DATE(YEAR(A165)-1,MONTH(A165),1),$A$2:$A$800,0))-1,""))</f>
        <v/>
      </c>
    </row>
    <row r="166">
      <c r="A166" s="121" t="n">
        <v>39539</v>
      </c>
      <c r="B166" s="47" t="n">
        <v>373.031</v>
      </c>
      <c r="C166" s="122">
        <f>IF(OR(B166="",B165=""),"",B166/B165-1)</f>
        <v/>
      </c>
      <c r="D166" s="122">
        <f>IF(B166="","",IFERROR(B166/INDEX($B$2:$B$800,MATCH(DATE(YEAR(A166)-1,12,1),$A$2:$A$800,0))-1,""))</f>
        <v/>
      </c>
      <c r="E166" s="122">
        <f>IF(B166="","",IFERROR(B166/INDEX($B$2:$B$800,MATCH(DATE(YEAR(A166)-1,MONTH(A166),1),$A$2:$A$800,0))-1,""))</f>
        <v/>
      </c>
    </row>
    <row r="167">
      <c r="A167" s="121" t="n">
        <v>39569</v>
      </c>
      <c r="B167" s="47" t="n">
        <v>380.582</v>
      </c>
      <c r="C167" s="122">
        <f>IF(OR(B167="",B166=""),"",B167/B166-1)</f>
        <v/>
      </c>
      <c r="D167" s="122">
        <f>IF(B167="","",IFERROR(B167/INDEX($B$2:$B$800,MATCH(DATE(YEAR(A167)-1,12,1),$A$2:$A$800,0))-1,""))</f>
        <v/>
      </c>
      <c r="E167" s="122">
        <f>IF(B167="","",IFERROR(B167/INDEX($B$2:$B$800,MATCH(DATE(YEAR(A167)-1,MONTH(A167),1),$A$2:$A$800,0))-1,""))</f>
        <v/>
      </c>
    </row>
    <row r="168">
      <c r="A168" s="121" t="n">
        <v>39600</v>
      </c>
      <c r="B168" s="47" t="n">
        <v>387.906</v>
      </c>
      <c r="C168" s="122">
        <f>IF(OR(B168="",B167=""),"",B168/B167-1)</f>
        <v/>
      </c>
      <c r="D168" s="122">
        <f>IF(B168="","",IFERROR(B168/INDEX($B$2:$B$800,MATCH(DATE(YEAR(A168)-1,12,1),$A$2:$A$800,0))-1,""))</f>
        <v/>
      </c>
      <c r="E168" s="122">
        <f>IF(B168="","",IFERROR(B168/INDEX($B$2:$B$800,MATCH(DATE(YEAR(A168)-1,MONTH(A168),1),$A$2:$A$800,0))-1,""))</f>
        <v/>
      </c>
    </row>
    <row r="169">
      <c r="A169" s="121" t="n">
        <v>39630</v>
      </c>
      <c r="B169" s="47" t="n">
        <v>393.556</v>
      </c>
      <c r="C169" s="122">
        <f>IF(OR(B169="",B168=""),"",B169/B168-1)</f>
        <v/>
      </c>
      <c r="D169" s="122">
        <f>IF(B169="","",IFERROR(B169/INDEX($B$2:$B$800,MATCH(DATE(YEAR(A169)-1,12,1),$A$2:$A$800,0))-1,""))</f>
        <v/>
      </c>
      <c r="E169" s="122">
        <f>IF(B169="","",IFERROR(B169/INDEX($B$2:$B$800,MATCH(DATE(YEAR(A169)-1,MONTH(A169),1),$A$2:$A$800,0))-1,""))</f>
        <v/>
      </c>
    </row>
    <row r="170">
      <c r="A170" s="121" t="n">
        <v>39661</v>
      </c>
      <c r="B170" s="47" t="n">
        <v>398.202</v>
      </c>
      <c r="C170" s="122">
        <f>IF(OR(B170="",B169=""),"",B170/B169-1)</f>
        <v/>
      </c>
      <c r="D170" s="122">
        <f>IF(B170="","",IFERROR(B170/INDEX($B$2:$B$800,MATCH(DATE(YEAR(A170)-1,12,1),$A$2:$A$800,0))-1,""))</f>
        <v/>
      </c>
      <c r="E170" s="122">
        <f>IF(B170="","",IFERROR(B170/INDEX($B$2:$B$800,MATCH(DATE(YEAR(A170)-1,MONTH(A170),1),$A$2:$A$800,0))-1,""))</f>
        <v/>
      </c>
    </row>
    <row r="171">
      <c r="A171" s="121" t="n">
        <v>39692</v>
      </c>
      <c r="B171" s="47" t="n">
        <v>401.975</v>
      </c>
      <c r="C171" s="122">
        <f>IF(OR(B171="",B170=""),"",B171/B170-1)</f>
        <v/>
      </c>
      <c r="D171" s="122">
        <f>IF(B171="","",IFERROR(B171/INDEX($B$2:$B$800,MATCH(DATE(YEAR(A171)-1,12,1),$A$2:$A$800,0))-1,""))</f>
        <v/>
      </c>
      <c r="E171" s="122">
        <f>IF(B171="","",IFERROR(B171/INDEX($B$2:$B$800,MATCH(DATE(YEAR(A171)-1,MONTH(A171),1),$A$2:$A$800,0))-1,""))</f>
        <v/>
      </c>
    </row>
    <row r="172">
      <c r="A172" s="121" t="n">
        <v>39722</v>
      </c>
      <c r="B172" s="47" t="n">
        <v>405.09</v>
      </c>
      <c r="C172" s="122">
        <f>IF(OR(B172="",B171=""),"",B172/B171-1)</f>
        <v/>
      </c>
      <c r="D172" s="122">
        <f>IF(B172="","",IFERROR(B172/INDEX($B$2:$B$800,MATCH(DATE(YEAR(A172)-1,12,1),$A$2:$A$800,0))-1,""))</f>
        <v/>
      </c>
      <c r="E172" s="122">
        <f>IF(B172="","",IFERROR(B172/INDEX($B$2:$B$800,MATCH(DATE(YEAR(A172)-1,MONTH(A172),1),$A$2:$A$800,0))-1,""))</f>
        <v/>
      </c>
    </row>
    <row r="173">
      <c r="A173" s="121" t="n">
        <v>39753</v>
      </c>
      <c r="B173" s="47" t="n">
        <v>407.109</v>
      </c>
      <c r="C173" s="122">
        <f>IF(OR(B173="",B172=""),"",B173/B172-1)</f>
        <v/>
      </c>
      <c r="D173" s="122">
        <f>IF(B173="","",IFERROR(B173/INDEX($B$2:$B$800,MATCH(DATE(YEAR(A173)-1,12,1),$A$2:$A$800,0))-1,""))</f>
        <v/>
      </c>
      <c r="E173" s="122">
        <f>IF(B173="","",IFERROR(B173/INDEX($B$2:$B$800,MATCH(DATE(YEAR(A173)-1,MONTH(A173),1),$A$2:$A$800,0))-1,""))</f>
        <v/>
      </c>
    </row>
    <row r="174">
      <c r="A174" s="121" t="n">
        <v>39783</v>
      </c>
      <c r="B174" s="47" t="n">
        <v>407.807</v>
      </c>
      <c r="C174" s="122">
        <f>IF(OR(B174="",B173=""),"",B174/B173-1)</f>
        <v/>
      </c>
      <c r="D174" s="122">
        <f>IF(B174="","",IFERROR(B174/INDEX($B$2:$B$800,MATCH(DATE(YEAR(A174)-1,12,1),$A$2:$A$800,0))-1,""))</f>
        <v/>
      </c>
      <c r="E174" s="122">
        <f>IF(B174="","",IFERROR(B174/INDEX($B$2:$B$800,MATCH(DATE(YEAR(A174)-1,MONTH(A174),1),$A$2:$A$800,0))-1,""))</f>
        <v/>
      </c>
    </row>
    <row r="175">
      <c r="A175" s="121" t="n">
        <v>39814</v>
      </c>
      <c r="B175" s="47" t="n">
        <v>409.166</v>
      </c>
      <c r="C175" s="122">
        <f>IF(OR(B175="",B174=""),"",B175/B174-1)</f>
        <v/>
      </c>
      <c r="D175" s="122">
        <f>IF(B175="","",IFERROR(B175/INDEX($B$2:$B$800,MATCH(DATE(YEAR(A175)-1,12,1),$A$2:$A$800,0))-1,""))</f>
        <v/>
      </c>
      <c r="E175" s="122">
        <f>IF(B175="","",IFERROR(B175/INDEX($B$2:$B$800,MATCH(DATE(YEAR(A175)-1,MONTH(A175),1),$A$2:$A$800,0))-1,""))</f>
        <v/>
      </c>
    </row>
    <row r="176">
      <c r="A176" s="121" t="n">
        <v>39845</v>
      </c>
      <c r="B176" s="47" t="n">
        <v>410.262</v>
      </c>
      <c r="C176" s="122">
        <f>IF(OR(B176="",B175=""),"",B176/B175-1)</f>
        <v/>
      </c>
      <c r="D176" s="122">
        <f>IF(B176="","",IFERROR(B176/INDEX($B$2:$B$800,MATCH(DATE(YEAR(A176)-1,12,1),$A$2:$A$800,0))-1,""))</f>
        <v/>
      </c>
      <c r="E176" s="122">
        <f>IF(B176="","",IFERROR(B176/INDEX($B$2:$B$800,MATCH(DATE(YEAR(A176)-1,MONTH(A176),1),$A$2:$A$800,0))-1,""))</f>
        <v/>
      </c>
    </row>
    <row r="177">
      <c r="A177" s="121" t="n">
        <v>39873</v>
      </c>
      <c r="B177" s="47" t="n">
        <v>409.216</v>
      </c>
      <c r="C177" s="122">
        <f>IF(OR(B177="",B176=""),"",B177/B176-1)</f>
        <v/>
      </c>
      <c r="D177" s="122">
        <f>IF(B177="","",IFERROR(B177/INDEX($B$2:$B$800,MATCH(DATE(YEAR(A177)-1,12,1),$A$2:$A$800,0))-1,""))</f>
        <v/>
      </c>
      <c r="E177" s="122">
        <f>IF(B177="","",IFERROR(B177/INDEX($B$2:$B$800,MATCH(DATE(YEAR(A177)-1,MONTH(A177),1),$A$2:$A$800,0))-1,""))</f>
        <v/>
      </c>
    </row>
    <row r="178">
      <c r="A178" s="121" t="n">
        <v>39904</v>
      </c>
      <c r="B178" s="47" t="n">
        <v>409.042</v>
      </c>
      <c r="C178" s="122">
        <f>IF(OR(B178="",B177=""),"",B178/B177-1)</f>
        <v/>
      </c>
      <c r="D178" s="122">
        <f>IF(B178="","",IFERROR(B178/INDEX($B$2:$B$800,MATCH(DATE(YEAR(A178)-1,12,1),$A$2:$A$800,0))-1,""))</f>
        <v/>
      </c>
      <c r="E178" s="122">
        <f>IF(B178="","",IFERROR(B178/INDEX($B$2:$B$800,MATCH(DATE(YEAR(A178)-1,MONTH(A178),1),$A$2:$A$800,0))-1,""))</f>
        <v/>
      </c>
    </row>
    <row r="179">
      <c r="A179" s="121" t="n">
        <v>39934</v>
      </c>
      <c r="B179" s="47" t="n">
        <v>414.742</v>
      </c>
      <c r="C179" s="122">
        <f>IF(OR(B179="",B178=""),"",B179/B178-1)</f>
        <v/>
      </c>
      <c r="D179" s="122">
        <f>IF(B179="","",IFERROR(B179/INDEX($B$2:$B$800,MATCH(DATE(YEAR(A179)-1,12,1),$A$2:$A$800,0))-1,""))</f>
        <v/>
      </c>
      <c r="E179" s="122">
        <f>IF(B179="","",IFERROR(B179/INDEX($B$2:$B$800,MATCH(DATE(YEAR(A179)-1,MONTH(A179),1),$A$2:$A$800,0))-1,""))</f>
        <v/>
      </c>
    </row>
    <row r="180">
      <c r="A180" s="121" t="n">
        <v>39965</v>
      </c>
      <c r="B180" s="47" t="n">
        <v>417.657</v>
      </c>
      <c r="C180" s="122">
        <f>IF(OR(B180="",B179=""),"",B180/B179-1)</f>
        <v/>
      </c>
      <c r="D180" s="122">
        <f>IF(B180="","",IFERROR(B180/INDEX($B$2:$B$800,MATCH(DATE(YEAR(A180)-1,12,1),$A$2:$A$800,0))-1,""))</f>
        <v/>
      </c>
      <c r="E180" s="122">
        <f>IF(B180="","",IFERROR(B180/INDEX($B$2:$B$800,MATCH(DATE(YEAR(A180)-1,MONTH(A180),1),$A$2:$A$800,0))-1,""))</f>
        <v/>
      </c>
    </row>
    <row r="181">
      <c r="A181" s="121" t="n">
        <v>39995</v>
      </c>
      <c r="B181" s="47" t="n">
        <v>418.757</v>
      </c>
      <c r="C181" s="122">
        <f>IF(OR(B181="",B180=""),"",B181/B180-1)</f>
        <v/>
      </c>
      <c r="D181" s="122">
        <f>IF(B181="","",IFERROR(B181/INDEX($B$2:$B$800,MATCH(DATE(YEAR(A181)-1,12,1),$A$2:$A$800,0))-1,""))</f>
        <v/>
      </c>
      <c r="E181" s="122">
        <f>IF(B181="","",IFERROR(B181/INDEX($B$2:$B$800,MATCH(DATE(YEAR(A181)-1,MONTH(A181),1),$A$2:$A$800,0))-1,""))</f>
        <v/>
      </c>
    </row>
    <row r="182">
      <c r="A182" s="121" t="n">
        <v>40026</v>
      </c>
      <c r="B182" s="47" t="n">
        <v>418.528</v>
      </c>
      <c r="C182" s="122">
        <f>IF(OR(B182="",B181=""),"",B182/B181-1)</f>
        <v/>
      </c>
      <c r="D182" s="122">
        <f>IF(B182="","",IFERROR(B182/INDEX($B$2:$B$800,MATCH(DATE(YEAR(A182)-1,12,1),$A$2:$A$800,0))-1,""))</f>
        <v/>
      </c>
      <c r="E182" s="122">
        <f>IF(B182="","",IFERROR(B182/INDEX($B$2:$B$800,MATCH(DATE(YEAR(A182)-1,MONTH(A182),1),$A$2:$A$800,0))-1,""))</f>
        <v/>
      </c>
    </row>
    <row r="183">
      <c r="A183" s="121" t="n">
        <v>40057</v>
      </c>
      <c r="B183" s="47" t="n">
        <v>419.147</v>
      </c>
      <c r="C183" s="122">
        <f>IF(OR(B183="",B182=""),"",B183/B182-1)</f>
        <v/>
      </c>
      <c r="D183" s="122">
        <f>IF(B183="","",IFERROR(B183/INDEX($B$2:$B$800,MATCH(DATE(YEAR(A183)-1,12,1),$A$2:$A$800,0))-1,""))</f>
        <v/>
      </c>
      <c r="E183" s="122">
        <f>IF(B183="","",IFERROR(B183/INDEX($B$2:$B$800,MATCH(DATE(YEAR(A183)-1,MONTH(A183),1),$A$2:$A$800,0))-1,""))</f>
        <v/>
      </c>
    </row>
    <row r="184">
      <c r="A184" s="121" t="n">
        <v>40087</v>
      </c>
      <c r="B184" s="47" t="n">
        <v>419.405</v>
      </c>
      <c r="C184" s="122">
        <f>IF(OR(B184="",B183=""),"",B184/B183-1)</f>
        <v/>
      </c>
      <c r="D184" s="122">
        <f>IF(B184="","",IFERROR(B184/INDEX($B$2:$B$800,MATCH(DATE(YEAR(A184)-1,12,1),$A$2:$A$800,0))-1,""))</f>
        <v/>
      </c>
      <c r="E184" s="122">
        <f>IF(B184="","",IFERROR(B184/INDEX($B$2:$B$800,MATCH(DATE(YEAR(A184)-1,MONTH(A184),1),$A$2:$A$800,0))-1,""))</f>
        <v/>
      </c>
    </row>
    <row r="185">
      <c r="A185" s="121" t="n">
        <v>40118</v>
      </c>
      <c r="B185" s="47" t="n">
        <v>420.635</v>
      </c>
      <c r="C185" s="122">
        <f>IF(OR(B185="",B184=""),"",B185/B184-1)</f>
        <v/>
      </c>
      <c r="D185" s="122">
        <f>IF(B185="","",IFERROR(B185/INDEX($B$2:$B$800,MATCH(DATE(YEAR(A185)-1,12,1),$A$2:$A$800,0))-1,""))</f>
        <v/>
      </c>
      <c r="E185" s="122">
        <f>IF(B185="","",IFERROR(B185/INDEX($B$2:$B$800,MATCH(DATE(YEAR(A185)-1,MONTH(A185),1),$A$2:$A$800,0))-1,""))</f>
        <v/>
      </c>
    </row>
    <row r="186">
      <c r="A186" s="121" t="n">
        <v>40148</v>
      </c>
      <c r="B186" s="47" t="n">
        <v>421.051</v>
      </c>
      <c r="C186" s="122">
        <f>IF(OR(B186="",B185=""),"",B186/B185-1)</f>
        <v/>
      </c>
      <c r="D186" s="122">
        <f>IF(B186="","",IFERROR(B186/INDEX($B$2:$B$800,MATCH(DATE(YEAR(A186)-1,12,1),$A$2:$A$800,0))-1,""))</f>
        <v/>
      </c>
      <c r="E186" s="122">
        <f>IF(B186="","",IFERROR(B186/INDEX($B$2:$B$800,MATCH(DATE(YEAR(A186)-1,MONTH(A186),1),$A$2:$A$800,0))-1,""))</f>
        <v/>
      </c>
    </row>
    <row r="187">
      <c r="A187" s="121" t="n">
        <v>40179</v>
      </c>
      <c r="B187" s="47" t="n">
        <v>423.74</v>
      </c>
      <c r="C187" s="122">
        <f>IF(OR(B187="",B186=""),"",B187/B186-1)</f>
        <v/>
      </c>
      <c r="D187" s="122">
        <f>IF(B187="","",IFERROR(B187/INDEX($B$2:$B$800,MATCH(DATE(YEAR(A187)-1,12,1),$A$2:$A$800,0))-1,""))</f>
        <v/>
      </c>
      <c r="E187" s="122">
        <f>IF(B187="","",IFERROR(B187/INDEX($B$2:$B$800,MATCH(DATE(YEAR(A187)-1,MONTH(A187),1),$A$2:$A$800,0))-1,""))</f>
        <v/>
      </c>
    </row>
    <row r="188">
      <c r="A188" s="121" t="n">
        <v>40210</v>
      </c>
      <c r="B188" s="47" t="n">
        <v>425.268</v>
      </c>
      <c r="C188" s="122">
        <f>IF(OR(B188="",B187=""),"",B188/B187-1)</f>
        <v/>
      </c>
      <c r="D188" s="122">
        <f>IF(B188="","",IFERROR(B188/INDEX($B$2:$B$800,MATCH(DATE(YEAR(A188)-1,12,1),$A$2:$A$800,0))-1,""))</f>
        <v/>
      </c>
      <c r="E188" s="122">
        <f>IF(B188="","",IFERROR(B188/INDEX($B$2:$B$800,MATCH(DATE(YEAR(A188)-1,MONTH(A188),1),$A$2:$A$800,0))-1,""))</f>
        <v/>
      </c>
    </row>
    <row r="189">
      <c r="A189" s="121" t="n">
        <v>40238</v>
      </c>
      <c r="B189" s="47" t="n">
        <v>428.476</v>
      </c>
      <c r="C189" s="122">
        <f>IF(OR(B189="",B188=""),"",B189/B188-1)</f>
        <v/>
      </c>
      <c r="D189" s="122">
        <f>IF(B189="","",IFERROR(B189/INDEX($B$2:$B$800,MATCH(DATE(YEAR(A189)-1,12,1),$A$2:$A$800,0))-1,""))</f>
        <v/>
      </c>
      <c r="E189" s="122">
        <f>IF(B189="","",IFERROR(B189/INDEX($B$2:$B$800,MATCH(DATE(YEAR(A189)-1,MONTH(A189),1),$A$2:$A$800,0))-1,""))</f>
        <v/>
      </c>
    </row>
    <row r="190">
      <c r="A190" s="121" t="n">
        <v>40269</v>
      </c>
      <c r="B190" s="47" t="n">
        <v>432.079</v>
      </c>
      <c r="C190" s="122">
        <f>IF(OR(B190="",B189=""),"",B190/B189-1)</f>
        <v/>
      </c>
      <c r="D190" s="122">
        <f>IF(B190="","",IFERROR(B190/INDEX($B$2:$B$800,MATCH(DATE(YEAR(A190)-1,12,1),$A$2:$A$800,0))-1,""))</f>
        <v/>
      </c>
      <c r="E190" s="122">
        <f>IF(B190="","",IFERROR(B190/INDEX($B$2:$B$800,MATCH(DATE(YEAR(A190)-1,MONTH(A190),1),$A$2:$A$800,0))-1,""))</f>
        <v/>
      </c>
    </row>
    <row r="191">
      <c r="A191" s="121" t="n">
        <v>40299</v>
      </c>
      <c r="B191" s="47" t="n">
        <v>439.914</v>
      </c>
      <c r="C191" s="122">
        <f>IF(OR(B191="",B190=""),"",B191/B190-1)</f>
        <v/>
      </c>
      <c r="D191" s="122">
        <f>IF(B191="","",IFERROR(B191/INDEX($B$2:$B$800,MATCH(DATE(YEAR(A191)-1,12,1),$A$2:$A$800,0))-1,""))</f>
        <v/>
      </c>
      <c r="E191" s="122">
        <f>IF(B191="","",IFERROR(B191/INDEX($B$2:$B$800,MATCH(DATE(YEAR(A191)-1,MONTH(A191),1),$A$2:$A$800,0))-1,""))</f>
        <v/>
      </c>
    </row>
    <row r="192">
      <c r="A192" s="121" t="n">
        <v>40330</v>
      </c>
      <c r="B192" s="47" t="n">
        <v>444.718</v>
      </c>
      <c r="C192" s="122">
        <f>IF(OR(B192="",B191=""),"",B192/B191-1)</f>
        <v/>
      </c>
      <c r="D192" s="122">
        <f>IF(B192="","",IFERROR(B192/INDEX($B$2:$B$800,MATCH(DATE(YEAR(A192)-1,12,1),$A$2:$A$800,0))-1,""))</f>
        <v/>
      </c>
      <c r="E192" s="122">
        <f>IF(B192="","",IFERROR(B192/INDEX($B$2:$B$800,MATCH(DATE(YEAR(A192)-1,MONTH(A192),1),$A$2:$A$800,0))-1,""))</f>
        <v/>
      </c>
    </row>
    <row r="193">
      <c r="A193" s="121" t="n">
        <v>40360</v>
      </c>
      <c r="B193" s="47" t="n">
        <v>446.688</v>
      </c>
      <c r="C193" s="122">
        <f>IF(OR(B193="",B192=""),"",B193/B192-1)</f>
        <v/>
      </c>
      <c r="D193" s="122">
        <f>IF(B193="","",IFERROR(B193/INDEX($B$2:$B$800,MATCH(DATE(YEAR(A193)-1,12,1),$A$2:$A$800,0))-1,""))</f>
        <v/>
      </c>
      <c r="E193" s="122">
        <f>IF(B193="","",IFERROR(B193/INDEX($B$2:$B$800,MATCH(DATE(YEAR(A193)-1,MONTH(A193),1),$A$2:$A$800,0))-1,""))</f>
        <v/>
      </c>
    </row>
    <row r="194">
      <c r="A194" s="121" t="n">
        <v>40391</v>
      </c>
      <c r="B194" s="47" t="n">
        <v>447.296</v>
      </c>
      <c r="C194" s="122">
        <f>IF(OR(B194="",B193=""),"",B194/B193-1)</f>
        <v/>
      </c>
      <c r="D194" s="122">
        <f>IF(B194="","",IFERROR(B194/INDEX($B$2:$B$800,MATCH(DATE(YEAR(A194)-1,12,1),$A$2:$A$800,0))-1,""))</f>
        <v/>
      </c>
      <c r="E194" s="122">
        <f>IF(B194="","",IFERROR(B194/INDEX($B$2:$B$800,MATCH(DATE(YEAR(A194)-1,MONTH(A194),1),$A$2:$A$800,0))-1,""))</f>
        <v/>
      </c>
    </row>
    <row r="195">
      <c r="A195" s="121" t="n">
        <v>40422</v>
      </c>
      <c r="B195" s="47" t="n">
        <v>448.222</v>
      </c>
      <c r="C195" s="122">
        <f>IF(OR(B195="",B194=""),"",B195/B194-1)</f>
        <v/>
      </c>
      <c r="D195" s="122">
        <f>IF(B195="","",IFERROR(B195/INDEX($B$2:$B$800,MATCH(DATE(YEAR(A195)-1,12,1),$A$2:$A$800,0))-1,""))</f>
        <v/>
      </c>
      <c r="E195" s="122">
        <f>IF(B195="","",IFERROR(B195/INDEX($B$2:$B$800,MATCH(DATE(YEAR(A195)-1,MONTH(A195),1),$A$2:$A$800,0))-1,""))</f>
        <v/>
      </c>
    </row>
    <row r="196">
      <c r="A196" s="121" t="n">
        <v>40452</v>
      </c>
      <c r="B196" s="47" t="n">
        <v>449.103</v>
      </c>
      <c r="C196" s="122">
        <f>IF(OR(B196="",B195=""),"",B196/B195-1)</f>
        <v/>
      </c>
      <c r="D196" s="122">
        <f>IF(B196="","",IFERROR(B196/INDEX($B$2:$B$800,MATCH(DATE(YEAR(A196)-1,12,1),$A$2:$A$800,0))-1,""))</f>
        <v/>
      </c>
      <c r="E196" s="122">
        <f>IF(B196="","",IFERROR(B196/INDEX($B$2:$B$800,MATCH(DATE(YEAR(A196)-1,MONTH(A196),1),$A$2:$A$800,0))-1,""))</f>
        <v/>
      </c>
    </row>
    <row r="197">
      <c r="A197" s="121" t="n">
        <v>40483</v>
      </c>
      <c r="B197" s="47" t="n">
        <v>450.763</v>
      </c>
      <c r="C197" s="122">
        <f>IF(OR(B197="",B196=""),"",B197/B196-1)</f>
        <v/>
      </c>
      <c r="D197" s="122">
        <f>IF(B197="","",IFERROR(B197/INDEX($B$2:$B$800,MATCH(DATE(YEAR(A197)-1,12,1),$A$2:$A$800,0))-1,""))</f>
        <v/>
      </c>
      <c r="E197" s="122">
        <f>IF(B197="","",IFERROR(B197/INDEX($B$2:$B$800,MATCH(DATE(YEAR(A197)-1,MONTH(A197),1),$A$2:$A$800,0))-1,""))</f>
        <v/>
      </c>
    </row>
    <row r="198">
      <c r="A198" s="121" t="n">
        <v>40513</v>
      </c>
      <c r="B198" s="47" t="n">
        <v>453.766</v>
      </c>
      <c r="C198" s="122">
        <f>IF(OR(B198="",B197=""),"",B198/B197-1)</f>
        <v/>
      </c>
      <c r="D198" s="122">
        <f>IF(B198="","",IFERROR(B198/INDEX($B$2:$B$800,MATCH(DATE(YEAR(A198)-1,12,1),$A$2:$A$800,0))-1,""))</f>
        <v/>
      </c>
      <c r="E198" s="122">
        <f>IF(B198="","",IFERROR(B198/INDEX($B$2:$B$800,MATCH(DATE(YEAR(A198)-1,MONTH(A198),1),$A$2:$A$800,0))-1,""))</f>
        <v/>
      </c>
    </row>
    <row r="199">
      <c r="A199" s="121" t="n">
        <v>40544</v>
      </c>
      <c r="B199" s="47" t="n">
        <v>455.619</v>
      </c>
      <c r="C199" s="122">
        <f>IF(OR(B199="",B198=""),"",B199/B198-1)</f>
        <v/>
      </c>
      <c r="D199" s="122">
        <f>IF(B199="","",IFERROR(B199/INDEX($B$2:$B$800,MATCH(DATE(YEAR(A199)-1,12,1),$A$2:$A$800,0))-1,""))</f>
        <v/>
      </c>
      <c r="E199" s="122">
        <f>IF(B199="","",IFERROR(B199/INDEX($B$2:$B$800,MATCH(DATE(YEAR(A199)-1,MONTH(A199),1),$A$2:$A$800,0))-1,""))</f>
        <v/>
      </c>
    </row>
    <row r="200">
      <c r="A200" s="121" t="n">
        <v>40575</v>
      </c>
      <c r="B200" s="47" t="n">
        <v>456.917</v>
      </c>
      <c r="C200" s="122">
        <f>IF(OR(B200="",B199=""),"",B200/B199-1)</f>
        <v/>
      </c>
      <c r="D200" s="122">
        <f>IF(B200="","",IFERROR(B200/INDEX($B$2:$B$800,MATCH(DATE(YEAR(A200)-1,12,1),$A$2:$A$800,0))-1,""))</f>
        <v/>
      </c>
      <c r="E200" s="122">
        <f>IF(B200="","",IFERROR(B200/INDEX($B$2:$B$800,MATCH(DATE(YEAR(A200)-1,MONTH(A200),1),$A$2:$A$800,0))-1,""))</f>
        <v/>
      </c>
    </row>
    <row r="201">
      <c r="A201" s="121" t="n">
        <v>40603</v>
      </c>
      <c r="B201" s="47" t="n">
        <v>458.887</v>
      </c>
      <c r="C201" s="122">
        <f>IF(OR(B201="",B200=""),"",B201/B200-1)</f>
        <v/>
      </c>
      <c r="D201" s="122">
        <f>IF(B201="","",IFERROR(B201/INDEX($B$2:$B$800,MATCH(DATE(YEAR(A201)-1,12,1),$A$2:$A$800,0))-1,""))</f>
        <v/>
      </c>
      <c r="E201" s="122">
        <f>IF(B201="","",IFERROR(B201/INDEX($B$2:$B$800,MATCH(DATE(YEAR(A201)-1,MONTH(A201),1),$A$2:$A$800,0))-1,""))</f>
        <v/>
      </c>
    </row>
    <row r="202">
      <c r="A202" s="121" t="n">
        <v>40634</v>
      </c>
      <c r="B202" s="47" t="n">
        <v>463.766</v>
      </c>
      <c r="C202" s="122">
        <f>IF(OR(B202="",B201=""),"",B202/B201-1)</f>
        <v/>
      </c>
      <c r="D202" s="122">
        <f>IF(B202="","",IFERROR(B202/INDEX($B$2:$B$800,MATCH(DATE(YEAR(A202)-1,12,1),$A$2:$A$800,0))-1,""))</f>
        <v/>
      </c>
      <c r="E202" s="122">
        <f>IF(B202="","",IFERROR(B202/INDEX($B$2:$B$800,MATCH(DATE(YEAR(A202)-1,MONTH(A202),1),$A$2:$A$800,0))-1,""))</f>
        <v/>
      </c>
    </row>
    <row r="203">
      <c r="A203" s="121" t="n">
        <v>40664</v>
      </c>
      <c r="B203" s="47" t="n">
        <v>477.405</v>
      </c>
      <c r="C203" s="122">
        <f>IF(OR(B203="",B202=""),"",B203/B202-1)</f>
        <v/>
      </c>
      <c r="D203" s="122">
        <f>IF(B203="","",IFERROR(B203/INDEX($B$2:$B$800,MATCH(DATE(YEAR(A203)-1,12,1),$A$2:$A$800,0))-1,""))</f>
        <v/>
      </c>
      <c r="E203" s="122">
        <f>IF(B203="","",IFERROR(B203/INDEX($B$2:$B$800,MATCH(DATE(YEAR(A203)-1,MONTH(A203),1),$A$2:$A$800,0))-1,""))</f>
        <v/>
      </c>
    </row>
    <row r="204">
      <c r="A204" s="121" t="n">
        <v>40695</v>
      </c>
      <c r="B204" s="47" t="n">
        <v>479.183</v>
      </c>
      <c r="C204" s="122">
        <f>IF(OR(B204="",B203=""),"",B204/B203-1)</f>
        <v/>
      </c>
      <c r="D204" s="122">
        <f>IF(B204="","",IFERROR(B204/INDEX($B$2:$B$800,MATCH(DATE(YEAR(A204)-1,12,1),$A$2:$A$800,0))-1,""))</f>
        <v/>
      </c>
      <c r="E204" s="122">
        <f>IF(B204="","",IFERROR(B204/INDEX($B$2:$B$800,MATCH(DATE(YEAR(A204)-1,MONTH(A204),1),$A$2:$A$800,0))-1,""))</f>
        <v/>
      </c>
    </row>
    <row r="205">
      <c r="A205" s="121" t="n">
        <v>40726</v>
      </c>
      <c r="B205" s="47" t="n">
        <v>481.33</v>
      </c>
      <c r="C205" s="122">
        <f>IF(OR(B205="",B204=""),"",B205/B204-1)</f>
        <v/>
      </c>
      <c r="D205" s="122">
        <f>IF(B205="","",IFERROR(B205/INDEX($B$2:$B$800,MATCH(DATE(YEAR(A205)-1,12,1),$A$2:$A$800,0))-1,""))</f>
        <v/>
      </c>
      <c r="E205" s="122">
        <f>IF(B205="","",IFERROR(B205/INDEX($B$2:$B$800,MATCH(DATE(YEAR(A205)-1,MONTH(A205),1),$A$2:$A$800,0))-1,""))</f>
        <v/>
      </c>
    </row>
    <row r="206">
      <c r="A206" s="121" t="n">
        <v>40756</v>
      </c>
      <c r="B206" s="47" t="n">
        <v>481.966</v>
      </c>
      <c r="C206" s="122">
        <f>IF(OR(B206="",B205=""),"",B206/B205-1)</f>
        <v/>
      </c>
      <c r="D206" s="122">
        <f>IF(B206="","",IFERROR(B206/INDEX($B$2:$B$800,MATCH(DATE(YEAR(A206)-1,12,1),$A$2:$A$800,0))-1,""))</f>
        <v/>
      </c>
      <c r="E206" s="122">
        <f>IF(B206="","",IFERROR(B206/INDEX($B$2:$B$800,MATCH(DATE(YEAR(A206)-1,MONTH(A206),1),$A$2:$A$800,0))-1,""))</f>
        <v/>
      </c>
    </row>
    <row r="207">
      <c r="A207" s="121" t="n">
        <v>40787</v>
      </c>
      <c r="B207" s="47" t="n">
        <v>482.658</v>
      </c>
      <c r="C207" s="122">
        <f>IF(OR(B207="",B206=""),"",B207/B206-1)</f>
        <v/>
      </c>
      <c r="D207" s="122">
        <f>IF(B207="","",IFERROR(B207/INDEX($B$2:$B$800,MATCH(DATE(YEAR(A207)-1,12,1),$A$2:$A$800,0))-1,""))</f>
        <v/>
      </c>
      <c r="E207" s="122">
        <f>IF(B207="","",IFERROR(B207/INDEX($B$2:$B$800,MATCH(DATE(YEAR(A207)-1,MONTH(A207),1),$A$2:$A$800,0))-1,""))</f>
        <v/>
      </c>
    </row>
    <row r="208">
      <c r="A208" s="121" t="n">
        <v>40817</v>
      </c>
      <c r="B208" s="47" t="n">
        <v>483.758</v>
      </c>
      <c r="C208" s="122">
        <f>IF(OR(B208="",B207=""),"",B208/B207-1)</f>
        <v/>
      </c>
      <c r="D208" s="122">
        <f>IF(B208="","",IFERROR(B208/INDEX($B$2:$B$800,MATCH(DATE(YEAR(A208)-1,12,1),$A$2:$A$800,0))-1,""))</f>
        <v/>
      </c>
      <c r="E208" s="122">
        <f>IF(B208="","",IFERROR(B208/INDEX($B$2:$B$800,MATCH(DATE(YEAR(A208)-1,MONTH(A208),1),$A$2:$A$800,0))-1,""))</f>
        <v/>
      </c>
    </row>
    <row r="209">
      <c r="A209" s="121" t="n">
        <v>40848</v>
      </c>
      <c r="B209" s="47" t="n">
        <v>487.221</v>
      </c>
      <c r="C209" s="122">
        <f>IF(OR(B209="",B208=""),"",B209/B208-1)</f>
        <v/>
      </c>
      <c r="D209" s="122">
        <f>IF(B209="","",IFERROR(B209/INDEX($B$2:$B$800,MATCH(DATE(YEAR(A209)-1,12,1),$A$2:$A$800,0))-1,""))</f>
        <v/>
      </c>
      <c r="E209" s="122">
        <f>IF(B209="","",IFERROR(B209/INDEX($B$2:$B$800,MATCH(DATE(YEAR(A209)-1,MONTH(A209),1),$A$2:$A$800,0))-1,""))</f>
        <v/>
      </c>
    </row>
    <row r="210">
      <c r="A210" s="121" t="n">
        <v>40878</v>
      </c>
      <c r="B210" s="47" t="n">
        <v>487.749</v>
      </c>
      <c r="C210" s="122">
        <f>IF(OR(B210="",B209=""),"",B210/B209-1)</f>
        <v/>
      </c>
      <c r="D210" s="122">
        <f>IF(B210="","",IFERROR(B210/INDEX($B$2:$B$800,MATCH(DATE(YEAR(A210)-1,12,1),$A$2:$A$800,0))-1,""))</f>
        <v/>
      </c>
      <c r="E210" s="122">
        <f>IF(B210="","",IFERROR(B210/INDEX($B$2:$B$800,MATCH(DATE(YEAR(A210)-1,MONTH(A210),1),$A$2:$A$800,0))-1,""))</f>
        <v/>
      </c>
    </row>
    <row r="211">
      <c r="A211" s="121" t="n">
        <v>40909</v>
      </c>
      <c r="B211" s="47" t="n">
        <v>492.106</v>
      </c>
      <c r="C211" s="122">
        <f>IF(OR(B211="",B210=""),"",B211/B210-1)</f>
        <v/>
      </c>
      <c r="D211" s="122">
        <f>IF(B211="","",IFERROR(B211/INDEX($B$2:$B$800,MATCH(DATE(YEAR(A211)-1,12,1),$A$2:$A$800,0))-1,""))</f>
        <v/>
      </c>
      <c r="E211" s="122">
        <f>IF(B211="","",IFERROR(B211/INDEX($B$2:$B$800,MATCH(DATE(YEAR(A211)-1,MONTH(A211),1),$A$2:$A$800,0))-1,""))</f>
        <v/>
      </c>
    </row>
    <row r="212">
      <c r="A212" s="121" t="n">
        <v>40940</v>
      </c>
      <c r="B212" s="47" t="n">
        <v>493.584</v>
      </c>
      <c r="C212" s="122">
        <f>IF(OR(B212="",B211=""),"",B212/B211-1)</f>
        <v/>
      </c>
      <c r="D212" s="122">
        <f>IF(B212="","",IFERROR(B212/INDEX($B$2:$B$800,MATCH(DATE(YEAR(A212)-1,12,1),$A$2:$A$800,0))-1,""))</f>
        <v/>
      </c>
      <c r="E212" s="122">
        <f>IF(B212="","",IFERROR(B212/INDEX($B$2:$B$800,MATCH(DATE(YEAR(A212)-1,MONTH(A212),1),$A$2:$A$800,0))-1,""))</f>
        <v/>
      </c>
    </row>
    <row r="213">
      <c r="A213" s="121" t="n">
        <v>40969</v>
      </c>
      <c r="B213" s="47" t="n">
        <v>496.079</v>
      </c>
      <c r="C213" s="122">
        <f>IF(OR(B213="",B212=""),"",B213/B212-1)</f>
        <v/>
      </c>
      <c r="D213" s="122">
        <f>IF(B213="","",IFERROR(B213/INDEX($B$2:$B$800,MATCH(DATE(YEAR(A213)-1,12,1),$A$2:$A$800,0))-1,""))</f>
        <v/>
      </c>
      <c r="E213" s="122">
        <f>IF(B213="","",IFERROR(B213/INDEX($B$2:$B$800,MATCH(DATE(YEAR(A213)-1,MONTH(A213),1),$A$2:$A$800,0))-1,""))</f>
        <v/>
      </c>
    </row>
    <row r="214">
      <c r="A214" s="121" t="n">
        <v>41000</v>
      </c>
      <c r="B214" s="47" t="n">
        <v>499.791</v>
      </c>
      <c r="C214" s="122">
        <f>IF(OR(B214="",B213=""),"",B214/B213-1)</f>
        <v/>
      </c>
      <c r="D214" s="122">
        <f>IF(B214="","",IFERROR(B214/INDEX($B$2:$B$800,MATCH(DATE(YEAR(A214)-1,12,1),$A$2:$A$800,0))-1,""))</f>
        <v/>
      </c>
      <c r="E214" s="122">
        <f>IF(B214="","",IFERROR(B214/INDEX($B$2:$B$800,MATCH(DATE(YEAR(A214)-1,MONTH(A214),1),$A$2:$A$800,0))-1,""))</f>
        <v/>
      </c>
    </row>
    <row r="215">
      <c r="A215" s="121" t="n">
        <v>41030</v>
      </c>
      <c r="B215" s="47" t="n">
        <v>509.184</v>
      </c>
      <c r="C215" s="122">
        <f>IF(OR(B215="",B214=""),"",B215/B214-1)</f>
        <v/>
      </c>
      <c r="D215" s="122">
        <f>IF(B215="","",IFERROR(B215/INDEX($B$2:$B$800,MATCH(DATE(YEAR(A215)-1,12,1),$A$2:$A$800,0))-1,""))</f>
        <v/>
      </c>
      <c r="E215" s="122">
        <f>IF(B215="","",IFERROR(B215/INDEX($B$2:$B$800,MATCH(DATE(YEAR(A215)-1,MONTH(A215),1),$A$2:$A$800,0))-1,""))</f>
        <v/>
      </c>
    </row>
    <row r="216">
      <c r="A216" s="121" t="n">
        <v>41061</v>
      </c>
      <c r="B216" s="47" t="n">
        <v>512.903</v>
      </c>
      <c r="C216" s="122">
        <f>IF(OR(B216="",B215=""),"",B216/B215-1)</f>
        <v/>
      </c>
      <c r="D216" s="122">
        <f>IF(B216="","",IFERROR(B216/INDEX($B$2:$B$800,MATCH(DATE(YEAR(A216)-1,12,1),$A$2:$A$800,0))-1,""))</f>
        <v/>
      </c>
      <c r="E216" s="122">
        <f>IF(B216="","",IFERROR(B216/INDEX($B$2:$B$800,MATCH(DATE(YEAR(A216)-1,MONTH(A216),1),$A$2:$A$800,0))-1,""))</f>
        <v/>
      </c>
    </row>
    <row r="217">
      <c r="A217" s="121" t="n">
        <v>41091</v>
      </c>
      <c r="B217" s="47" t="n">
        <v>516.318</v>
      </c>
      <c r="C217" s="122">
        <f>IF(OR(B217="",B216=""),"",B217/B216-1)</f>
        <v/>
      </c>
      <c r="D217" s="122">
        <f>IF(B217="","",IFERROR(B217/INDEX($B$2:$B$800,MATCH(DATE(YEAR(A217)-1,12,1),$A$2:$A$800,0))-1,""))</f>
        <v/>
      </c>
      <c r="E217" s="122">
        <f>IF(B217="","",IFERROR(B217/INDEX($B$2:$B$800,MATCH(DATE(YEAR(A217)-1,MONTH(A217),1),$A$2:$A$800,0))-1,""))</f>
        <v/>
      </c>
    </row>
    <row r="218">
      <c r="A218" s="121" t="n">
        <v>41122</v>
      </c>
      <c r="B218" s="47" t="n">
        <v>517.657</v>
      </c>
      <c r="C218" s="122">
        <f>IF(OR(B218="",B217=""),"",B218/B217-1)</f>
        <v/>
      </c>
      <c r="D218" s="122">
        <f>IF(B218="","",IFERROR(B218/INDEX($B$2:$B$800,MATCH(DATE(YEAR(A218)-1,12,1),$A$2:$A$800,0))-1,""))</f>
        <v/>
      </c>
      <c r="E218" s="122">
        <f>IF(B218="","",IFERROR(B218/INDEX($B$2:$B$800,MATCH(DATE(YEAR(A218)-1,MONTH(A218),1),$A$2:$A$800,0))-1,""))</f>
        <v/>
      </c>
    </row>
    <row r="219">
      <c r="A219" s="121" t="n">
        <v>41153</v>
      </c>
      <c r="B219" s="47" t="n">
        <v>518.816</v>
      </c>
      <c r="C219" s="122">
        <f>IF(OR(B219="",B218=""),"",B219/B218-1)</f>
        <v/>
      </c>
      <c r="D219" s="122">
        <f>IF(B219="","",IFERROR(B219/INDEX($B$2:$B$800,MATCH(DATE(YEAR(A219)-1,12,1),$A$2:$A$800,0))-1,""))</f>
        <v/>
      </c>
      <c r="E219" s="122">
        <f>IF(B219="","",IFERROR(B219/INDEX($B$2:$B$800,MATCH(DATE(YEAR(A219)-1,MONTH(A219),1),$A$2:$A$800,0))-1,""))</f>
        <v/>
      </c>
    </row>
    <row r="220">
      <c r="A220" s="121" t="n">
        <v>41183</v>
      </c>
      <c r="B220" s="47" t="n">
        <v>519.907</v>
      </c>
      <c r="C220" s="122">
        <f>IF(OR(B220="",B219=""),"",B220/B219-1)</f>
        <v/>
      </c>
      <c r="D220" s="122">
        <f>IF(B220="","",IFERROR(B220/INDEX($B$2:$B$800,MATCH(DATE(YEAR(A220)-1,12,1),$A$2:$A$800,0))-1,""))</f>
        <v/>
      </c>
      <c r="E220" s="122">
        <f>IF(B220="","",IFERROR(B220/INDEX($B$2:$B$800,MATCH(DATE(YEAR(A220)-1,MONTH(A220),1),$A$2:$A$800,0))-1,""))</f>
        <v/>
      </c>
    </row>
    <row r="221">
      <c r="A221" s="121" t="n">
        <v>41214</v>
      </c>
      <c r="B221" s="47" t="n">
        <v>521.638</v>
      </c>
      <c r="C221" s="122">
        <f>IF(OR(B221="",B220=""),"",B221/B220-1)</f>
        <v/>
      </c>
      <c r="D221" s="122">
        <f>IF(B221="","",IFERROR(B221/INDEX($B$2:$B$800,MATCH(DATE(YEAR(A221)-1,12,1),$A$2:$A$800,0))-1,""))</f>
        <v/>
      </c>
      <c r="E221" s="122">
        <f>IF(B221="","",IFERROR(B221/INDEX($B$2:$B$800,MATCH(DATE(YEAR(A221)-1,MONTH(A221),1),$A$2:$A$800,0))-1,""))</f>
        <v/>
      </c>
    </row>
    <row r="222">
      <c r="A222" s="121" t="n">
        <v>41244</v>
      </c>
      <c r="B222" s="47" t="n">
        <v>522.474</v>
      </c>
      <c r="C222" s="122">
        <f>IF(OR(B222="",B221=""),"",B222/B221-1)</f>
        <v/>
      </c>
      <c r="D222" s="122">
        <f>IF(B222="","",IFERROR(B222/INDEX($B$2:$B$800,MATCH(DATE(YEAR(A222)-1,12,1),$A$2:$A$800,0))-1,""))</f>
        <v/>
      </c>
      <c r="E222" s="122">
        <f>IF(B222="","",IFERROR(B222/INDEX($B$2:$B$800,MATCH(DATE(YEAR(A222)-1,MONTH(A222),1),$A$2:$A$800,0))-1,""))</f>
        <v/>
      </c>
    </row>
    <row r="223">
      <c r="A223" s="121" t="n">
        <v>41275</v>
      </c>
      <c r="B223" s="47" t="n">
        <v>525.85</v>
      </c>
      <c r="C223" s="122">
        <f>IF(OR(B223="",B222=""),"",B223/B222-1)</f>
        <v/>
      </c>
      <c r="D223" s="122">
        <f>IF(B223="","",IFERROR(B223/INDEX($B$2:$B$800,MATCH(DATE(YEAR(A223)-1,12,1),$A$2:$A$800,0))-1,""))</f>
        <v/>
      </c>
      <c r="E223" s="122">
        <f>IF(B223="","",IFERROR(B223/INDEX($B$2:$B$800,MATCH(DATE(YEAR(A223)-1,MONTH(A223),1),$A$2:$A$800,0))-1,""))</f>
        <v/>
      </c>
    </row>
    <row r="224">
      <c r="A224" s="121" t="n">
        <v>41306</v>
      </c>
      <c r="B224" s="47" t="n">
        <v>529.029</v>
      </c>
      <c r="C224" s="122">
        <f>IF(OR(B224="",B223=""),"",B224/B223-1)</f>
        <v/>
      </c>
      <c r="D224" s="122">
        <f>IF(B224="","",IFERROR(B224/INDEX($B$2:$B$800,MATCH(DATE(YEAR(A224)-1,12,1),$A$2:$A$800,0))-1,""))</f>
        <v/>
      </c>
      <c r="E224" s="122">
        <f>IF(B224="","",IFERROR(B224/INDEX($B$2:$B$800,MATCH(DATE(YEAR(A224)-1,MONTH(A224),1),$A$2:$A$800,0))-1,""))</f>
        <v/>
      </c>
    </row>
    <row r="225">
      <c r="A225" s="121" t="n">
        <v>41334</v>
      </c>
      <c r="B225" s="47" t="n">
        <v>531.691</v>
      </c>
      <c r="C225" s="122">
        <f>IF(OR(B225="",B224=""),"",B225/B224-1)</f>
        <v/>
      </c>
      <c r="D225" s="122">
        <f>IF(B225="","",IFERROR(B225/INDEX($B$2:$B$800,MATCH(DATE(YEAR(A225)-1,12,1),$A$2:$A$800,0))-1,""))</f>
        <v/>
      </c>
      <c r="E225" s="122">
        <f>IF(B225="","",IFERROR(B225/INDEX($B$2:$B$800,MATCH(DATE(YEAR(A225)-1,MONTH(A225),1),$A$2:$A$800,0))-1,""))</f>
        <v/>
      </c>
    </row>
    <row r="226">
      <c r="A226" s="121" t="n">
        <v>41365</v>
      </c>
      <c r="B226" s="47" t="n">
        <v>535.601</v>
      </c>
      <c r="C226" s="122">
        <f>IF(OR(B226="",B225=""),"",B226/B225-1)</f>
        <v/>
      </c>
      <c r="D226" s="122">
        <f>IF(B226="","",IFERROR(B226/INDEX($B$2:$B$800,MATCH(DATE(YEAR(A226)-1,12,1),$A$2:$A$800,0))-1,""))</f>
        <v/>
      </c>
      <c r="E226" s="122">
        <f>IF(B226="","",IFERROR(B226/INDEX($B$2:$B$800,MATCH(DATE(YEAR(A226)-1,MONTH(A226),1),$A$2:$A$800,0))-1,""))</f>
        <v/>
      </c>
    </row>
    <row r="227">
      <c r="A227" s="121" t="n">
        <v>41395</v>
      </c>
      <c r="B227" s="47" t="n">
        <v>547.655</v>
      </c>
      <c r="C227" s="122">
        <f>IF(OR(B227="",B226=""),"",B227/B226-1)</f>
        <v/>
      </c>
      <c r="D227" s="122">
        <f>IF(B227="","",IFERROR(B227/INDEX($B$2:$B$800,MATCH(DATE(YEAR(A227)-1,12,1),$A$2:$A$800,0))-1,""))</f>
        <v/>
      </c>
      <c r="E227" s="122">
        <f>IF(B227="","",IFERROR(B227/INDEX($B$2:$B$800,MATCH(DATE(YEAR(A227)-1,MONTH(A227),1),$A$2:$A$800,0))-1,""))</f>
        <v/>
      </c>
    </row>
    <row r="228">
      <c r="A228" s="121" t="n">
        <v>41426</v>
      </c>
      <c r="B228" s="47" t="n">
        <v>553.948</v>
      </c>
      <c r="C228" s="122">
        <f>IF(OR(B228="",B227=""),"",B228/B227-1)</f>
        <v/>
      </c>
      <c r="D228" s="122">
        <f>IF(B228="","",IFERROR(B228/INDEX($B$2:$B$800,MATCH(DATE(YEAR(A228)-1,12,1),$A$2:$A$800,0))-1,""))</f>
        <v/>
      </c>
      <c r="E228" s="122">
        <f>IF(B228="","",IFERROR(B228/INDEX($B$2:$B$800,MATCH(DATE(YEAR(A228)-1,MONTH(A228),1),$A$2:$A$800,0))-1,""))</f>
        <v/>
      </c>
    </row>
    <row r="229">
      <c r="A229" s="121" t="n">
        <v>41456</v>
      </c>
      <c r="B229" s="47" t="n">
        <v>556.6</v>
      </c>
      <c r="C229" s="122">
        <f>IF(OR(B229="",B228=""),"",B229/B228-1)</f>
        <v/>
      </c>
      <c r="D229" s="122">
        <f>IF(B229="","",IFERROR(B229/INDEX($B$2:$B$800,MATCH(DATE(YEAR(A229)-1,12,1),$A$2:$A$800,0))-1,""))</f>
        <v/>
      </c>
      <c r="E229" s="122">
        <f>IF(B229="","",IFERROR(B229/INDEX($B$2:$B$800,MATCH(DATE(YEAR(A229)-1,MONTH(A229),1),$A$2:$A$800,0))-1,""))</f>
        <v/>
      </c>
    </row>
    <row r="230">
      <c r="A230" s="121" t="n">
        <v>41487</v>
      </c>
      <c r="B230" s="47" t="n">
        <v>558.34</v>
      </c>
      <c r="C230" s="122">
        <f>IF(OR(B230="",B229=""),"",B230/B229-1)</f>
        <v/>
      </c>
      <c r="D230" s="122">
        <f>IF(B230="","",IFERROR(B230/INDEX($B$2:$B$800,MATCH(DATE(YEAR(A230)-1,12,1),$A$2:$A$800,0))-1,""))</f>
        <v/>
      </c>
      <c r="E230" s="122">
        <f>IF(B230="","",IFERROR(B230/INDEX($B$2:$B$800,MATCH(DATE(YEAR(A230)-1,MONTH(A230),1),$A$2:$A$800,0))-1,""))</f>
        <v/>
      </c>
    </row>
    <row r="231">
      <c r="A231" s="121" t="n">
        <v>41518</v>
      </c>
      <c r="B231" s="47" t="n">
        <v>560.7670000000001</v>
      </c>
      <c r="C231" s="122">
        <f>IF(OR(B231="",B230=""),"",B231/B230-1)</f>
        <v/>
      </c>
      <c r="D231" s="122">
        <f>IF(B231="","",IFERROR(B231/INDEX($B$2:$B$800,MATCH(DATE(YEAR(A231)-1,12,1),$A$2:$A$800,0))-1,""))</f>
        <v/>
      </c>
      <c r="E231" s="122">
        <f>IF(B231="","",IFERROR(B231/INDEX($B$2:$B$800,MATCH(DATE(YEAR(A231)-1,MONTH(A231),1),$A$2:$A$800,0))-1,""))</f>
        <v/>
      </c>
    </row>
    <row r="232">
      <c r="A232" s="121" t="n">
        <v>41548</v>
      </c>
      <c r="B232" s="47" t="n">
        <v>562.241</v>
      </c>
      <c r="C232" s="122">
        <f>IF(OR(B232="",B231=""),"",B232/B231-1)</f>
        <v/>
      </c>
      <c r="D232" s="122">
        <f>IF(B232="","",IFERROR(B232/INDEX($B$2:$B$800,MATCH(DATE(YEAR(A232)-1,12,1),$A$2:$A$800,0))-1,""))</f>
        <v/>
      </c>
      <c r="E232" s="122">
        <f>IF(B232="","",IFERROR(B232/INDEX($B$2:$B$800,MATCH(DATE(YEAR(A232)-1,MONTH(A232),1),$A$2:$A$800,0))-1,""))</f>
        <v/>
      </c>
    </row>
    <row r="233">
      <c r="A233" s="121" t="n">
        <v>41579</v>
      </c>
      <c r="B233" s="47" t="n">
        <v>564.201</v>
      </c>
      <c r="C233" s="122">
        <f>IF(OR(B233="",B232=""),"",B233/B232-1)</f>
        <v/>
      </c>
      <c r="D233" s="122">
        <f>IF(B233="","",IFERROR(B233/INDEX($B$2:$B$800,MATCH(DATE(YEAR(A233)-1,12,1),$A$2:$A$800,0))-1,""))</f>
        <v/>
      </c>
      <c r="E233" s="122">
        <f>IF(B233="","",IFERROR(B233/INDEX($B$2:$B$800,MATCH(DATE(YEAR(A233)-1,MONTH(A233),1),$A$2:$A$800,0))-1,""))</f>
        <v/>
      </c>
    </row>
    <row r="234">
      <c r="A234" s="121" t="n">
        <v>41609</v>
      </c>
      <c r="B234" s="47" t="n">
        <v>564.765</v>
      </c>
      <c r="C234" s="122">
        <f>IF(OR(B234="",B233=""),"",B234/B233-1)</f>
        <v/>
      </c>
      <c r="D234" s="122">
        <f>IF(B234="","",IFERROR(B234/INDEX($B$2:$B$800,MATCH(DATE(YEAR(A234)-1,12,1),$A$2:$A$800,0))-1,""))</f>
        <v/>
      </c>
      <c r="E234" s="122">
        <f>IF(B234="","",IFERROR(B234/INDEX($B$2:$B$800,MATCH(DATE(YEAR(A234)-1,MONTH(A234),1),$A$2:$A$800,0))-1,""))</f>
        <v/>
      </c>
    </row>
    <row r="235">
      <c r="A235" s="121" t="n">
        <v>41640</v>
      </c>
      <c r="B235" s="47" t="n">
        <v>569.72</v>
      </c>
      <c r="C235" s="122">
        <f>IF(OR(B235="",B234=""),"",B235/B234-1)</f>
        <v/>
      </c>
      <c r="D235" s="122">
        <f>IF(B235="","",IFERROR(B235/INDEX($B$2:$B$800,MATCH(DATE(YEAR(A235)-1,12,1),$A$2:$A$800,0))-1,""))</f>
        <v/>
      </c>
      <c r="E235" s="122">
        <f>IF(B235="","",IFERROR(B235/INDEX($B$2:$B$800,MATCH(DATE(YEAR(A235)-1,MONTH(A235),1),$A$2:$A$800,0))-1,""))</f>
        <v/>
      </c>
    </row>
    <row r="236">
      <c r="A236" s="121" t="n">
        <v>41671</v>
      </c>
      <c r="B236" s="47" t="n">
        <v>571.577</v>
      </c>
      <c r="C236" s="122">
        <f>IF(OR(B236="",B235=""),"",B236/B235-1)</f>
        <v/>
      </c>
      <c r="D236" s="122">
        <f>IF(B236="","",IFERROR(B236/INDEX($B$2:$B$800,MATCH(DATE(YEAR(A236)-1,12,1),$A$2:$A$800,0))-1,""))</f>
        <v/>
      </c>
      <c r="E236" s="122">
        <f>IF(B236="","",IFERROR(B236/INDEX($B$2:$B$800,MATCH(DATE(YEAR(A236)-1,MONTH(A236),1),$A$2:$A$800,0))-1,""))</f>
        <v/>
      </c>
    </row>
    <row r="237">
      <c r="A237" s="121" t="n">
        <v>41699</v>
      </c>
      <c r="B237" s="47" t="n">
        <v>573.1559999999999</v>
      </c>
      <c r="C237" s="122">
        <f>IF(OR(B237="",B236=""),"",B237/B236-1)</f>
        <v/>
      </c>
      <c r="D237" s="122">
        <f>IF(B237="","",IFERROR(B237/INDEX($B$2:$B$800,MATCH(DATE(YEAR(A237)-1,12,1),$A$2:$A$800,0))-1,""))</f>
        <v/>
      </c>
      <c r="E237" s="122">
        <f>IF(B237="","",IFERROR(B237/INDEX($B$2:$B$800,MATCH(DATE(YEAR(A237)-1,MONTH(A237),1),$A$2:$A$800,0))-1,""))</f>
        <v/>
      </c>
    </row>
    <row r="238">
      <c r="A238" s="121" t="n">
        <v>41730</v>
      </c>
      <c r="B238" s="47" t="n">
        <v>578.224</v>
      </c>
      <c r="C238" s="122">
        <f>IF(OR(B238="",B237=""),"",B238/B237-1)</f>
        <v/>
      </c>
      <c r="D238" s="122">
        <f>IF(B238="","",IFERROR(B238/INDEX($B$2:$B$800,MATCH(DATE(YEAR(A238)-1,12,1),$A$2:$A$800,0))-1,""))</f>
        <v/>
      </c>
      <c r="E238" s="122">
        <f>IF(B238="","",IFERROR(B238/INDEX($B$2:$B$800,MATCH(DATE(YEAR(A238)-1,MONTH(A238),1),$A$2:$A$800,0))-1,""))</f>
        <v/>
      </c>
    </row>
    <row r="239">
      <c r="A239" s="121" t="n">
        <v>41760</v>
      </c>
      <c r="B239" s="47" t="n">
        <v>590.099</v>
      </c>
      <c r="C239" s="122">
        <f>IF(OR(B239="",B238=""),"",B239/B238-1)</f>
        <v/>
      </c>
      <c r="D239" s="122">
        <f>IF(B239="","",IFERROR(B239/INDEX($B$2:$B$800,MATCH(DATE(YEAR(A239)-1,12,1),$A$2:$A$800,0))-1,""))</f>
        <v/>
      </c>
      <c r="E239" s="122">
        <f>IF(B239="","",IFERROR(B239/INDEX($B$2:$B$800,MATCH(DATE(YEAR(A239)-1,MONTH(A239),1),$A$2:$A$800,0))-1,""))</f>
        <v/>
      </c>
    </row>
    <row r="240">
      <c r="A240" s="121" t="n">
        <v>41791</v>
      </c>
      <c r="B240" s="47" t="n">
        <v>594.013</v>
      </c>
      <c r="C240" s="122">
        <f>IF(OR(B240="",B239=""),"",B240/B239-1)</f>
        <v/>
      </c>
      <c r="D240" s="122">
        <f>IF(B240="","",IFERROR(B240/INDEX($B$2:$B$800,MATCH(DATE(YEAR(A240)-1,12,1),$A$2:$A$800,0))-1,""))</f>
        <v/>
      </c>
      <c r="E240" s="122">
        <f>IF(B240="","",IFERROR(B240/INDEX($B$2:$B$800,MATCH(DATE(YEAR(A240)-1,MONTH(A240),1),$A$2:$A$800,0))-1,""))</f>
        <v/>
      </c>
    </row>
    <row r="241">
      <c r="A241" s="121" t="n">
        <v>41821</v>
      </c>
      <c r="B241" s="47" t="n">
        <v>598.441</v>
      </c>
      <c r="C241" s="122">
        <f>IF(OR(B241="",B240=""),"",B241/B240-1)</f>
        <v/>
      </c>
      <c r="D241" s="122">
        <f>IF(B241="","",IFERROR(B241/INDEX($B$2:$B$800,MATCH(DATE(YEAR(A241)-1,12,1),$A$2:$A$800,0))-1,""))</f>
        <v/>
      </c>
      <c r="E241" s="122">
        <f>IF(B241="","",IFERROR(B241/INDEX($B$2:$B$800,MATCH(DATE(YEAR(A241)-1,MONTH(A241),1),$A$2:$A$800,0))-1,""))</f>
        <v/>
      </c>
    </row>
    <row r="242">
      <c r="A242" s="121" t="n">
        <v>41852</v>
      </c>
      <c r="B242" s="47" t="n">
        <v>598.898</v>
      </c>
      <c r="C242" s="122">
        <f>IF(OR(B242="",B241=""),"",B242/B241-1)</f>
        <v/>
      </c>
      <c r="D242" s="122">
        <f>IF(B242="","",IFERROR(B242/INDEX($B$2:$B$800,MATCH(DATE(YEAR(A242)-1,12,1),$A$2:$A$800,0))-1,""))</f>
        <v/>
      </c>
      <c r="E242" s="122">
        <f>IF(B242="","",IFERROR(B242/INDEX($B$2:$B$800,MATCH(DATE(YEAR(A242)-1,MONTH(A242),1),$A$2:$A$800,0))-1,""))</f>
        <v/>
      </c>
    </row>
    <row r="243">
      <c r="A243" s="121" t="n">
        <v>41883</v>
      </c>
      <c r="B243" s="47" t="n">
        <v>599.823</v>
      </c>
      <c r="C243" s="122">
        <f>IF(OR(B243="",B242=""),"",B243/B242-1)</f>
        <v/>
      </c>
      <c r="D243" s="122">
        <f>IF(B243="","",IFERROR(B243/INDEX($B$2:$B$800,MATCH(DATE(YEAR(A243)-1,12,1),$A$2:$A$800,0))-1,""))</f>
        <v/>
      </c>
      <c r="E243" s="122">
        <f>IF(B243="","",IFERROR(B243/INDEX($B$2:$B$800,MATCH(DATE(YEAR(A243)-1,MONTH(A243),1),$A$2:$A$800,0))-1,""))</f>
        <v/>
      </c>
    </row>
    <row r="244">
      <c r="A244" s="121" t="n">
        <v>41913</v>
      </c>
      <c r="B244" s="47" t="n">
        <v>600.865</v>
      </c>
      <c r="C244" s="122">
        <f>IF(OR(B244="",B243=""),"",B244/B243-1)</f>
        <v/>
      </c>
      <c r="D244" s="122">
        <f>IF(B244="","",IFERROR(B244/INDEX($B$2:$B$800,MATCH(DATE(YEAR(A244)-1,12,1),$A$2:$A$800,0))-1,""))</f>
        <v/>
      </c>
      <c r="E244" s="122">
        <f>IF(B244="","",IFERROR(B244/INDEX($B$2:$B$800,MATCH(DATE(YEAR(A244)-1,MONTH(A244),1),$A$2:$A$800,0))-1,""))</f>
        <v/>
      </c>
    </row>
    <row r="245">
      <c r="A245" s="121" t="n">
        <v>41944</v>
      </c>
      <c r="B245" s="47" t="n">
        <v>603.524</v>
      </c>
      <c r="C245" s="122">
        <f>IF(OR(B245="",B244=""),"",B245/B244-1)</f>
        <v/>
      </c>
      <c r="D245" s="122">
        <f>IF(B245="","",IFERROR(B245/INDEX($B$2:$B$800,MATCH(DATE(YEAR(A245)-1,12,1),$A$2:$A$800,0))-1,""))</f>
        <v/>
      </c>
      <c r="E245" s="122">
        <f>IF(B245="","",IFERROR(B245/INDEX($B$2:$B$800,MATCH(DATE(YEAR(A245)-1,MONTH(A245),1),$A$2:$A$800,0))-1,""))</f>
        <v/>
      </c>
    </row>
    <row r="246">
      <c r="A246" s="121" t="n">
        <v>41974</v>
      </c>
      <c r="B246" s="47" t="n">
        <v>604.026</v>
      </c>
      <c r="C246" s="122">
        <f>IF(OR(B246="",B245=""),"",B246/B245-1)</f>
        <v/>
      </c>
      <c r="D246" s="122">
        <f>IF(B246="","",IFERROR(B246/INDEX($B$2:$B$800,MATCH(DATE(YEAR(A246)-1,12,1),$A$2:$A$800,0))-1,""))</f>
        <v/>
      </c>
      <c r="E246" s="122">
        <f>IF(B246="","",IFERROR(B246/INDEX($B$2:$B$800,MATCH(DATE(YEAR(A246)-1,MONTH(A246),1),$A$2:$A$800,0))-1,""))</f>
        <v/>
      </c>
    </row>
    <row r="247">
      <c r="A247" s="121" t="n">
        <v>42005</v>
      </c>
      <c r="B247" s="47" t="n">
        <v>609.568</v>
      </c>
      <c r="C247" s="122">
        <f>IF(OR(B247="",B246=""),"",B247/B246-1)</f>
        <v/>
      </c>
      <c r="D247" s="122">
        <f>IF(B247="","",IFERROR(B247/INDEX($B$2:$B$800,MATCH(DATE(YEAR(A247)-1,12,1),$A$2:$A$800,0))-1,""))</f>
        <v/>
      </c>
      <c r="E247" s="122">
        <f>IF(B247="","",IFERROR(B247/INDEX($B$2:$B$800,MATCH(DATE(YEAR(A247)-1,MONTH(A247),1),$A$2:$A$800,0))-1,""))</f>
        <v/>
      </c>
    </row>
    <row r="248">
      <c r="A248" s="121" t="n">
        <v>42036</v>
      </c>
      <c r="B248" s="47" t="n">
        <v>611.447</v>
      </c>
      <c r="C248" s="122">
        <f>IF(OR(B248="",B247=""),"",B248/B247-1)</f>
        <v/>
      </c>
      <c r="D248" s="122">
        <f>IF(B248="","",IFERROR(B248/INDEX($B$2:$B$800,MATCH(DATE(YEAR(A248)-1,12,1),$A$2:$A$800,0))-1,""))</f>
        <v/>
      </c>
      <c r="E248" s="122">
        <f>IF(B248="","",IFERROR(B248/INDEX($B$2:$B$800,MATCH(DATE(YEAR(A248)-1,MONTH(A248),1),$A$2:$A$800,0))-1,""))</f>
        <v/>
      </c>
    </row>
    <row r="249">
      <c r="A249" s="121" t="n">
        <v>42064</v>
      </c>
      <c r="B249" s="47" t="n">
        <v>615.248</v>
      </c>
      <c r="C249" s="122">
        <f>IF(OR(B249="",B248=""),"",B249/B248-1)</f>
        <v/>
      </c>
      <c r="D249" s="122">
        <f>IF(B249="","",IFERROR(B249/INDEX($B$2:$B$800,MATCH(DATE(YEAR(A249)-1,12,1),$A$2:$A$800,0))-1,""))</f>
        <v/>
      </c>
      <c r="E249" s="122">
        <f>IF(B249="","",IFERROR(B249/INDEX($B$2:$B$800,MATCH(DATE(YEAR(A249)-1,MONTH(A249),1),$A$2:$A$800,0))-1,""))</f>
        <v/>
      </c>
    </row>
    <row r="250">
      <c r="A250" s="121" t="n">
        <v>42095</v>
      </c>
      <c r="B250" s="47" t="n">
        <v>618.0599999999999</v>
      </c>
      <c r="C250" s="122">
        <f>IF(OR(B250="",B249=""),"",B250/B249-1)</f>
        <v/>
      </c>
      <c r="D250" s="122">
        <f>IF(B250="","",IFERROR(B250/INDEX($B$2:$B$800,MATCH(DATE(YEAR(A250)-1,12,1),$A$2:$A$800,0))-1,""))</f>
        <v/>
      </c>
      <c r="E250" s="122">
        <f>IF(B250="","",IFERROR(B250/INDEX($B$2:$B$800,MATCH(DATE(YEAR(A250)-1,MONTH(A250),1),$A$2:$A$800,0))-1,""))</f>
        <v/>
      </c>
    </row>
    <row r="251">
      <c r="A251" s="121" t="n">
        <v>42125</v>
      </c>
      <c r="B251" s="47" t="n">
        <v>623.951</v>
      </c>
      <c r="C251" s="122">
        <f>IF(OR(B251="",B250=""),"",B251/B250-1)</f>
        <v/>
      </c>
      <c r="D251" s="122">
        <f>IF(B251="","",IFERROR(B251/INDEX($B$2:$B$800,MATCH(DATE(YEAR(A251)-1,12,1),$A$2:$A$800,0))-1,""))</f>
        <v/>
      </c>
      <c r="E251" s="122">
        <f>IF(B251="","",IFERROR(B251/INDEX($B$2:$B$800,MATCH(DATE(YEAR(A251)-1,MONTH(A251),1),$A$2:$A$800,0))-1,""))</f>
        <v/>
      </c>
    </row>
    <row r="252">
      <c r="A252" s="121" t="n">
        <v>42156</v>
      </c>
      <c r="B252" s="47" t="n">
        <v>635.403</v>
      </c>
      <c r="C252" s="122">
        <f>IF(OR(B252="",B251=""),"",B252/B251-1)</f>
        <v/>
      </c>
      <c r="D252" s="122">
        <f>IF(B252="","",IFERROR(B252/INDEX($B$2:$B$800,MATCH(DATE(YEAR(A252)-1,12,1),$A$2:$A$800,0))-1,""))</f>
        <v/>
      </c>
      <c r="E252" s="122">
        <f>IF(B252="","",IFERROR(B252/INDEX($B$2:$B$800,MATCH(DATE(YEAR(A252)-1,MONTH(A252),1),$A$2:$A$800,0))-1,""))</f>
        <v/>
      </c>
    </row>
    <row r="253">
      <c r="A253" s="121" t="n">
        <v>42186</v>
      </c>
      <c r="B253" s="47" t="n">
        <v>638.88</v>
      </c>
      <c r="C253" s="122">
        <f>IF(OR(B253="",B252=""),"",B253/B252-1)</f>
        <v/>
      </c>
      <c r="D253" s="122">
        <f>IF(B253="","",IFERROR(B253/INDEX($B$2:$B$800,MATCH(DATE(YEAR(A253)-1,12,1),$A$2:$A$800,0))-1,""))</f>
        <v/>
      </c>
      <c r="E253" s="122">
        <f>IF(B253="","",IFERROR(B253/INDEX($B$2:$B$800,MATCH(DATE(YEAR(A253)-1,MONTH(A253),1),$A$2:$A$800,0))-1,""))</f>
        <v/>
      </c>
    </row>
    <row r="254">
      <c r="A254" s="121" t="n">
        <v>42217</v>
      </c>
      <c r="B254" s="47" t="n">
        <v>642.644</v>
      </c>
      <c r="C254" s="122">
        <f>IF(OR(B254="",B253=""),"",B254/B253-1)</f>
        <v/>
      </c>
      <c r="D254" s="122">
        <f>IF(B254="","",IFERROR(B254/INDEX($B$2:$B$800,MATCH(DATE(YEAR(A254)-1,12,1),$A$2:$A$800,0))-1,""))</f>
        <v/>
      </c>
      <c r="E254" s="122">
        <f>IF(B254="","",IFERROR(B254/INDEX($B$2:$B$800,MATCH(DATE(YEAR(A254)-1,MONTH(A254),1),$A$2:$A$800,0))-1,""))</f>
        <v/>
      </c>
    </row>
    <row r="255">
      <c r="A255" s="121" t="n">
        <v>42248</v>
      </c>
      <c r="B255" s="47" t="n">
        <v>644.046</v>
      </c>
      <c r="C255" s="122">
        <f>IF(OR(B255="",B254=""),"",B255/B254-1)</f>
        <v/>
      </c>
      <c r="D255" s="122">
        <f>IF(B255="","",IFERROR(B255/INDEX($B$2:$B$800,MATCH(DATE(YEAR(A255)-1,12,1),$A$2:$A$800,0))-1,""))</f>
        <v/>
      </c>
      <c r="E255" s="122">
        <f>IF(B255="","",IFERROR(B255/INDEX($B$2:$B$800,MATCH(DATE(YEAR(A255)-1,MONTH(A255),1),$A$2:$A$800,0))-1,""))</f>
        <v/>
      </c>
    </row>
    <row r="256">
      <c r="A256" s="121" t="n">
        <v>42278</v>
      </c>
      <c r="B256" s="47" t="n">
        <v>646.355</v>
      </c>
      <c r="C256" s="122">
        <f>IF(OR(B256="",B255=""),"",B256/B255-1)</f>
        <v/>
      </c>
      <c r="D256" s="122">
        <f>IF(B256="","",IFERROR(B256/INDEX($B$2:$B$800,MATCH(DATE(YEAR(A256)-1,12,1),$A$2:$A$800,0))-1,""))</f>
        <v/>
      </c>
      <c r="E256" s="122">
        <f>IF(B256="","",IFERROR(B256/INDEX($B$2:$B$800,MATCH(DATE(YEAR(A256)-1,MONTH(A256),1),$A$2:$A$800,0))-1,""))</f>
        <v/>
      </c>
    </row>
    <row r="257">
      <c r="A257" s="121" t="n">
        <v>42309</v>
      </c>
      <c r="B257" s="47" t="n">
        <v>648.542</v>
      </c>
      <c r="C257" s="122">
        <f>IF(OR(B257="",B256=""),"",B257/B256-1)</f>
        <v/>
      </c>
      <c r="D257" s="122">
        <f>IF(B257="","",IFERROR(B257/INDEX($B$2:$B$800,MATCH(DATE(YEAR(A257)-1,12,1),$A$2:$A$800,0))-1,""))</f>
        <v/>
      </c>
      <c r="E257" s="122">
        <f>IF(B257="","",IFERROR(B257/INDEX($B$2:$B$800,MATCH(DATE(YEAR(A257)-1,MONTH(A257),1),$A$2:$A$800,0))-1,""))</f>
        <v/>
      </c>
    </row>
    <row r="258">
      <c r="A258" s="121" t="n">
        <v>42339</v>
      </c>
      <c r="B258" s="47" t="n">
        <v>649.216</v>
      </c>
      <c r="C258" s="122">
        <f>IF(OR(B258="",B257=""),"",B258/B257-1)</f>
        <v/>
      </c>
      <c r="D258" s="122">
        <f>IF(B258="","",IFERROR(B258/INDEX($B$2:$B$800,MATCH(DATE(YEAR(A258)-1,12,1),$A$2:$A$800,0))-1,""))</f>
        <v/>
      </c>
      <c r="E258" s="122">
        <f>IF(B258="","",IFERROR(B258/INDEX($B$2:$B$800,MATCH(DATE(YEAR(A258)-1,MONTH(A258),1),$A$2:$A$800,0))-1,""))</f>
        <v/>
      </c>
    </row>
    <row r="259">
      <c r="A259" s="121" t="n">
        <v>42370</v>
      </c>
      <c r="B259" s="47" t="n">
        <v>651.759</v>
      </c>
      <c r="C259" s="122">
        <f>IF(OR(B259="",B258=""),"",B259/B258-1)</f>
        <v/>
      </c>
      <c r="D259" s="122">
        <f>IF(B259="","",IFERROR(B259/INDEX($B$2:$B$800,MATCH(DATE(YEAR(A259)-1,12,1),$A$2:$A$800,0))-1,""))</f>
        <v/>
      </c>
      <c r="E259" s="122">
        <f>IF(B259="","",IFERROR(B259/INDEX($B$2:$B$800,MATCH(DATE(YEAR(A259)-1,MONTH(A259),1),$A$2:$A$800,0))-1,""))</f>
        <v/>
      </c>
    </row>
    <row r="260">
      <c r="A260" s="121" t="n">
        <v>42401</v>
      </c>
      <c r="B260" s="47" t="n">
        <v>655.263</v>
      </c>
      <c r="C260" s="122">
        <f>IF(OR(B260="",B259=""),"",B260/B259-1)</f>
        <v/>
      </c>
      <c r="D260" s="122">
        <f>IF(B260="","",IFERROR(B260/INDEX($B$2:$B$800,MATCH(DATE(YEAR(A260)-1,12,1),$A$2:$A$800,0))-1,""))</f>
        <v/>
      </c>
      <c r="E260" s="122">
        <f>IF(B260="","",IFERROR(B260/INDEX($B$2:$B$800,MATCH(DATE(YEAR(A260)-1,MONTH(A260),1),$A$2:$A$800,0))-1,""))</f>
        <v/>
      </c>
    </row>
    <row r="261">
      <c r="A261" s="121" t="n">
        <v>42430</v>
      </c>
      <c r="B261" s="47" t="n">
        <v>659.446</v>
      </c>
      <c r="C261" s="122">
        <f>IF(OR(B261="",B260=""),"",B261/B260-1)</f>
        <v/>
      </c>
      <c r="D261" s="122">
        <f>IF(B261="","",IFERROR(B261/INDEX($B$2:$B$800,MATCH(DATE(YEAR(A261)-1,12,1),$A$2:$A$800,0))-1,""))</f>
        <v/>
      </c>
      <c r="E261" s="122">
        <f>IF(B261="","",IFERROR(B261/INDEX($B$2:$B$800,MATCH(DATE(YEAR(A261)-1,MONTH(A261),1),$A$2:$A$800,0))-1,""))</f>
        <v/>
      </c>
    </row>
    <row r="262">
      <c r="A262" s="121" t="n">
        <v>42461</v>
      </c>
      <c r="B262" s="47" t="n">
        <v>663.057</v>
      </c>
      <c r="C262" s="122">
        <f>IF(OR(B262="",B261=""),"",B262/B261-1)</f>
        <v/>
      </c>
      <c r="D262" s="122">
        <f>IF(B262="","",IFERROR(B262/INDEX($B$2:$B$800,MATCH(DATE(YEAR(A262)-1,12,1),$A$2:$A$800,0))-1,""))</f>
        <v/>
      </c>
      <c r="E262" s="122">
        <f>IF(B262="","",IFERROR(B262/INDEX($B$2:$B$800,MATCH(DATE(YEAR(A262)-1,MONTH(A262),1),$A$2:$A$800,0))-1,""))</f>
        <v/>
      </c>
    </row>
    <row r="263">
      <c r="A263" s="121" t="n">
        <v>42491</v>
      </c>
      <c r="B263" s="47" t="n">
        <v>663.61</v>
      </c>
      <c r="C263" s="122">
        <f>IF(OR(B263="",B262=""),"",B263/B262-1)</f>
        <v/>
      </c>
      <c r="D263" s="122">
        <f>IF(B263="","",IFERROR(B263/INDEX($B$2:$B$800,MATCH(DATE(YEAR(A263)-1,12,1),$A$2:$A$800,0))-1,""))</f>
        <v/>
      </c>
      <c r="E263" s="122">
        <f>IF(B263="","",IFERROR(B263/INDEX($B$2:$B$800,MATCH(DATE(YEAR(A263)-1,MONTH(A263),1),$A$2:$A$800,0))-1,""))</f>
        <v/>
      </c>
    </row>
    <row r="264">
      <c r="A264" s="121" t="n">
        <v>42522</v>
      </c>
      <c r="B264" s="47" t="n">
        <v>676.42</v>
      </c>
      <c r="C264" s="122">
        <f>IF(OR(B264="",B263=""),"",B264/B263-1)</f>
        <v/>
      </c>
      <c r="D264" s="122">
        <f>IF(B264="","",IFERROR(B264/INDEX($B$2:$B$800,MATCH(DATE(YEAR(A264)-1,12,1),$A$2:$A$800,0))-1,""))</f>
        <v/>
      </c>
      <c r="E264" s="122">
        <f>IF(B264="","",IFERROR(B264/INDEX($B$2:$B$800,MATCH(DATE(YEAR(A264)-1,MONTH(A264),1),$A$2:$A$800,0))-1,""))</f>
        <v/>
      </c>
    </row>
    <row r="265">
      <c r="A265" s="121" t="n">
        <v>42552</v>
      </c>
      <c r="B265" s="47" t="n">
        <v>679.751</v>
      </c>
      <c r="C265" s="122">
        <f>IF(OR(B265="",B264=""),"",B265/B264-1)</f>
        <v/>
      </c>
      <c r="D265" s="122">
        <f>IF(B265="","",IFERROR(B265/INDEX($B$2:$B$800,MATCH(DATE(YEAR(A265)-1,12,1),$A$2:$A$800,0))-1,""))</f>
        <v/>
      </c>
      <c r="E265" s="122">
        <f>IF(B265="","",IFERROR(B265/INDEX($B$2:$B$800,MATCH(DATE(YEAR(A265)-1,MONTH(A265),1),$A$2:$A$800,0))-1,""))</f>
        <v/>
      </c>
    </row>
    <row r="266">
      <c r="A266" s="121" t="n">
        <v>42583</v>
      </c>
      <c r="B266" s="47" t="n">
        <v>681.756</v>
      </c>
      <c r="C266" s="122">
        <f>IF(OR(B266="",B265=""),"",B266/B265-1)</f>
        <v/>
      </c>
      <c r="D266" s="122">
        <f>IF(B266="","",IFERROR(B266/INDEX($B$2:$B$800,MATCH(DATE(YEAR(A266)-1,12,1),$A$2:$A$800,0))-1,""))</f>
        <v/>
      </c>
      <c r="E266" s="122">
        <f>IF(B266="","",IFERROR(B266/INDEX($B$2:$B$800,MATCH(DATE(YEAR(A266)-1,MONTH(A266),1),$A$2:$A$800,0))-1,""))</f>
        <v/>
      </c>
    </row>
    <row r="267">
      <c r="A267" s="121" t="n">
        <v>42614</v>
      </c>
      <c r="B267" s="47" t="n">
        <v>684.025</v>
      </c>
      <c r="C267" s="122">
        <f>IF(OR(B267="",B266=""),"",B267/B266-1)</f>
        <v/>
      </c>
      <c r="D267" s="122">
        <f>IF(B267="","",IFERROR(B267/INDEX($B$2:$B$800,MATCH(DATE(YEAR(A267)-1,12,1),$A$2:$A$800,0))-1,""))</f>
        <v/>
      </c>
      <c r="E267" s="122">
        <f>IF(B267="","",IFERROR(B267/INDEX($B$2:$B$800,MATCH(DATE(YEAR(A267)-1,MONTH(A267),1),$A$2:$A$800,0))-1,""))</f>
        <v/>
      </c>
    </row>
    <row r="268">
      <c r="A268" s="121" t="n">
        <v>42644</v>
      </c>
      <c r="B268" s="47" t="n">
        <v>685.489</v>
      </c>
      <c r="C268" s="122">
        <f>IF(OR(B268="",B267=""),"",B268/B267-1)</f>
        <v/>
      </c>
      <c r="D268" s="122">
        <f>IF(B268="","",IFERROR(B268/INDEX($B$2:$B$800,MATCH(DATE(YEAR(A268)-1,12,1),$A$2:$A$800,0))-1,""))</f>
        <v/>
      </c>
      <c r="E268" s="122">
        <f>IF(B268="","",IFERROR(B268/INDEX($B$2:$B$800,MATCH(DATE(YEAR(A268)-1,MONTH(A268),1),$A$2:$A$800,0))-1,""))</f>
        <v/>
      </c>
    </row>
    <row r="269">
      <c r="A269" s="121" t="n">
        <v>42675</v>
      </c>
      <c r="B269" s="47" t="n">
        <v>686.607</v>
      </c>
      <c r="C269" s="122">
        <f>IF(OR(B269="",B268=""),"",B269/B268-1)</f>
        <v/>
      </c>
      <c r="D269" s="122">
        <f>IF(B269="","",IFERROR(B269/INDEX($B$2:$B$800,MATCH(DATE(YEAR(A269)-1,12,1),$A$2:$A$800,0))-1,""))</f>
        <v/>
      </c>
      <c r="E269" s="122">
        <f>IF(B269="","",IFERROR(B269/INDEX($B$2:$B$800,MATCH(DATE(YEAR(A269)-1,MONTH(A269),1),$A$2:$A$800,0))-1,""))</f>
        <v/>
      </c>
    </row>
    <row r="270">
      <c r="A270" s="121" t="n">
        <v>42705</v>
      </c>
      <c r="B270" s="47" t="n">
        <v>688.985</v>
      </c>
      <c r="C270" s="122">
        <f>IF(OR(B270="",B269=""),"",B270/B269-1)</f>
        <v/>
      </c>
      <c r="D270" s="122">
        <f>IF(B270="","",IFERROR(B270/INDEX($B$2:$B$800,MATCH(DATE(YEAR(A270)-1,12,1),$A$2:$A$800,0))-1,""))</f>
        <v/>
      </c>
      <c r="E270" s="122">
        <f>IF(B270="","",IFERROR(B270/INDEX($B$2:$B$800,MATCH(DATE(YEAR(A270)-1,MONTH(A270),1),$A$2:$A$800,0))-1,""))</f>
        <v/>
      </c>
    </row>
    <row r="271">
      <c r="A271" s="121" t="n">
        <v>42736</v>
      </c>
      <c r="B271" s="47" t="n">
        <v>691.792</v>
      </c>
      <c r="C271" s="122">
        <f>IF(OR(B271="",B270=""),"",B271/B270-1)</f>
        <v/>
      </c>
      <c r="D271" s="122">
        <f>IF(B271="","",IFERROR(B271/INDEX($B$2:$B$800,MATCH(DATE(YEAR(A271)-1,12,1),$A$2:$A$800,0))-1,""))</f>
        <v/>
      </c>
      <c r="E271" s="122">
        <f>IF(B271="","",IFERROR(B271/INDEX($B$2:$B$800,MATCH(DATE(YEAR(A271)-1,MONTH(A271),1),$A$2:$A$800,0))-1,""))</f>
        <v/>
      </c>
    </row>
    <row r="272">
      <c r="A272" s="121" t="n">
        <v>42767</v>
      </c>
      <c r="B272" s="47" t="n">
        <v>696.314</v>
      </c>
      <c r="C272" s="122">
        <f>IF(OR(B272="",B271=""),"",B272/B271-1)</f>
        <v/>
      </c>
      <c r="D272" s="122">
        <f>IF(B272="","",IFERROR(B272/INDEX($B$2:$B$800,MATCH(DATE(YEAR(A272)-1,12,1),$A$2:$A$800,0))-1,""))</f>
        <v/>
      </c>
      <c r="E272" s="122">
        <f>IF(B272="","",IFERROR(B272/INDEX($B$2:$B$800,MATCH(DATE(YEAR(A272)-1,MONTH(A272),1),$A$2:$A$800,0))-1,""))</f>
        <v/>
      </c>
    </row>
    <row r="273">
      <c r="A273" s="121" t="n">
        <v>42795</v>
      </c>
      <c r="B273" s="47" t="n">
        <v>697.41</v>
      </c>
      <c r="C273" s="122">
        <f>IF(OR(B273="",B272=""),"",B273/B272-1)</f>
        <v/>
      </c>
      <c r="D273" s="122">
        <f>IF(B273="","",IFERROR(B273/INDEX($B$2:$B$800,MATCH(DATE(YEAR(A273)-1,12,1),$A$2:$A$800,0))-1,""))</f>
        <v/>
      </c>
      <c r="E273" s="122">
        <f>IF(B273="","",IFERROR(B273/INDEX($B$2:$B$800,MATCH(DATE(YEAR(A273)-1,MONTH(A273),1),$A$2:$A$800,0))-1,""))</f>
        <v/>
      </c>
    </row>
    <row r="274">
      <c r="A274" s="121" t="n">
        <v>42826</v>
      </c>
      <c r="B274" s="47" t="n">
        <v>697.244</v>
      </c>
      <c r="C274" s="122">
        <f>IF(OR(B274="",B273=""),"",B274/B273-1)</f>
        <v/>
      </c>
      <c r="D274" s="122">
        <f>IF(B274="","",IFERROR(B274/INDEX($B$2:$B$800,MATCH(DATE(YEAR(A274)-1,12,1),$A$2:$A$800,0))-1,""))</f>
        <v/>
      </c>
      <c r="E274" s="122">
        <f>IF(B274="","",IFERROR(B274/INDEX($B$2:$B$800,MATCH(DATE(YEAR(A274)-1,MONTH(A274),1),$A$2:$A$800,0))-1,""))</f>
        <v/>
      </c>
    </row>
    <row r="275">
      <c r="A275" s="121" t="n">
        <v>42856</v>
      </c>
      <c r="B275" s="47" t="n">
        <v>701.664</v>
      </c>
      <c r="C275" s="122">
        <f>IF(OR(B275="",B274=""),"",B275/B274-1)</f>
        <v/>
      </c>
      <c r="D275" s="122">
        <f>IF(B275="","",IFERROR(B275/INDEX($B$2:$B$800,MATCH(DATE(YEAR(A275)-1,12,1),$A$2:$A$800,0))-1,""))</f>
        <v/>
      </c>
      <c r="E275" s="122">
        <f>IF(B275="","",IFERROR(B275/INDEX($B$2:$B$800,MATCH(DATE(YEAR(A275)-1,MONTH(A275),1),$A$2:$A$800,0))-1,""))</f>
        <v/>
      </c>
    </row>
    <row r="276">
      <c r="A276" s="121" t="n">
        <v>42887</v>
      </c>
      <c r="B276" s="47" t="n">
        <v>708.197</v>
      </c>
      <c r="C276" s="122">
        <f>IF(OR(B276="",B275=""),"",B276/B275-1)</f>
        <v/>
      </c>
      <c r="D276" s="122">
        <f>IF(B276="","",IFERROR(B276/INDEX($B$2:$B$800,MATCH(DATE(YEAR(A276)-1,12,1),$A$2:$A$800,0))-1,""))</f>
        <v/>
      </c>
      <c r="E276" s="122">
        <f>IF(B276="","",IFERROR(B276/INDEX($B$2:$B$800,MATCH(DATE(YEAR(A276)-1,MONTH(A276),1),$A$2:$A$800,0))-1,""))</f>
        <v/>
      </c>
    </row>
    <row r="277">
      <c r="A277" s="121" t="n">
        <v>42917</v>
      </c>
      <c r="B277" s="47" t="n">
        <v>710.355</v>
      </c>
      <c r="C277" s="122">
        <f>IF(OR(B277="",B276=""),"",B277/B276-1)</f>
        <v/>
      </c>
      <c r="D277" s="122">
        <f>IF(B277="","",IFERROR(B277/INDEX($B$2:$B$800,MATCH(DATE(YEAR(A277)-1,12,1),$A$2:$A$800,0))-1,""))</f>
        <v/>
      </c>
      <c r="E277" s="122">
        <f>IF(B277="","",IFERROR(B277/INDEX($B$2:$B$800,MATCH(DATE(YEAR(A277)-1,MONTH(A277),1),$A$2:$A$800,0))-1,""))</f>
        <v/>
      </c>
    </row>
    <row r="278">
      <c r="A278" s="121" t="n">
        <v>42948</v>
      </c>
      <c r="B278" s="47" t="n">
        <v>712.884</v>
      </c>
      <c r="C278" s="122">
        <f>IF(OR(B278="",B277=""),"",B278/B277-1)</f>
        <v/>
      </c>
      <c r="D278" s="122">
        <f>IF(B278="","",IFERROR(B278/INDEX($B$2:$B$800,MATCH(DATE(YEAR(A278)-1,12,1),$A$2:$A$800,0))-1,""))</f>
        <v/>
      </c>
      <c r="E278" s="122">
        <f>IF(B278="","",IFERROR(B278/INDEX($B$2:$B$800,MATCH(DATE(YEAR(A278)-1,MONTH(A278),1),$A$2:$A$800,0))-1,""))</f>
        <v/>
      </c>
    </row>
    <row r="279">
      <c r="A279" s="121" t="n">
        <v>42979</v>
      </c>
      <c r="B279" s="47" t="n">
        <v>713.33</v>
      </c>
      <c r="C279" s="122">
        <f>IF(OR(B279="",B278=""),"",B279/B278-1)</f>
        <v/>
      </c>
      <c r="D279" s="122">
        <f>IF(B279="","",IFERROR(B279/INDEX($B$2:$B$800,MATCH(DATE(YEAR(A279)-1,12,1),$A$2:$A$800,0))-1,""))</f>
        <v/>
      </c>
      <c r="E279" s="122">
        <f>IF(B279="","",IFERROR(B279/INDEX($B$2:$B$800,MATCH(DATE(YEAR(A279)-1,MONTH(A279),1),$A$2:$A$800,0))-1,""))</f>
        <v/>
      </c>
    </row>
    <row r="280">
      <c r="A280" s="121" t="n">
        <v>43009</v>
      </c>
      <c r="B280" s="47" t="n">
        <v>715.527</v>
      </c>
      <c r="C280" s="122">
        <f>IF(OR(B280="",B279=""),"",B280/B279-1)</f>
        <v/>
      </c>
      <c r="D280" s="122">
        <f>IF(B280="","",IFERROR(B280/INDEX($B$2:$B$800,MATCH(DATE(YEAR(A280)-1,12,1),$A$2:$A$800,0))-1,""))</f>
        <v/>
      </c>
      <c r="E280" s="122">
        <f>IF(B280="","",IFERROR(B280/INDEX($B$2:$B$800,MATCH(DATE(YEAR(A280)-1,MONTH(A280),1),$A$2:$A$800,0))-1,""))</f>
        <v/>
      </c>
    </row>
    <row r="281">
      <c r="A281" s="121" t="n">
        <v>43040</v>
      </c>
      <c r="B281" s="47" t="n">
        <v>717.751</v>
      </c>
      <c r="C281" s="122">
        <f>IF(OR(B281="",B280=""),"",B281/B280-1)</f>
        <v/>
      </c>
      <c r="D281" s="122">
        <f>IF(B281="","",IFERROR(B281/INDEX($B$2:$B$800,MATCH(DATE(YEAR(A281)-1,12,1),$A$2:$A$800,0))-1,""))</f>
        <v/>
      </c>
      <c r="E281" s="122">
        <f>IF(B281="","",IFERROR(B281/INDEX($B$2:$B$800,MATCH(DATE(YEAR(A281)-1,MONTH(A281),1),$A$2:$A$800,0))-1,""))</f>
        <v/>
      </c>
    </row>
    <row r="282">
      <c r="A282" s="121" t="n">
        <v>43070</v>
      </c>
      <c r="B282" s="47" t="n">
        <v>718.276</v>
      </c>
      <c r="C282" s="122">
        <f>IF(OR(B282="",B281=""),"",B282/B281-1)</f>
        <v/>
      </c>
      <c r="D282" s="122">
        <f>IF(B282="","",IFERROR(B282/INDEX($B$2:$B$800,MATCH(DATE(YEAR(A282)-1,12,1),$A$2:$A$800,0))-1,""))</f>
        <v/>
      </c>
      <c r="E282" s="122">
        <f>IF(B282="","",IFERROR(B282/INDEX($B$2:$B$800,MATCH(DATE(YEAR(A282)-1,MONTH(A282),1),$A$2:$A$800,0))-1,""))</f>
        <v/>
      </c>
    </row>
    <row r="283">
      <c r="A283" s="121" t="n">
        <v>43101</v>
      </c>
      <c r="B283" s="47" t="n">
        <v>720.495</v>
      </c>
      <c r="C283" s="122">
        <f>IF(OR(B283="",B282=""),"",B283/B282-1)</f>
        <v/>
      </c>
      <c r="D283" s="122">
        <f>IF(B283="","",IFERROR(B283/INDEX($B$2:$B$800,MATCH(DATE(YEAR(A283)-1,12,1),$A$2:$A$800,0))-1,""))</f>
        <v/>
      </c>
      <c r="E283" s="122">
        <f>IF(B283="","",IFERROR(B283/INDEX($B$2:$B$800,MATCH(DATE(YEAR(A283)-1,MONTH(A283),1),$A$2:$A$800,0))-1,""))</f>
        <v/>
      </c>
    </row>
    <row r="284">
      <c r="A284" s="121" t="n">
        <v>43132</v>
      </c>
      <c r="B284" s="47" t="n">
        <v>721.414</v>
      </c>
      <c r="C284" s="122">
        <f>IF(OR(B284="",B283=""),"",B284/B283-1)</f>
        <v/>
      </c>
      <c r="D284" s="122">
        <f>IF(B284="","",IFERROR(B284/INDEX($B$2:$B$800,MATCH(DATE(YEAR(A284)-1,12,1),$A$2:$A$800,0))-1,""))</f>
        <v/>
      </c>
      <c r="E284" s="122">
        <f>IF(B284="","",IFERROR(B284/INDEX($B$2:$B$800,MATCH(DATE(YEAR(A284)-1,MONTH(A284),1),$A$2:$A$800,0))-1,""))</f>
        <v/>
      </c>
    </row>
    <row r="285">
      <c r="A285" s="121" t="n">
        <v>43160</v>
      </c>
      <c r="B285" s="47" t="n">
        <v>723.163</v>
      </c>
      <c r="C285" s="122">
        <f>IF(OR(B285="",B284=""),"",B285/B284-1)</f>
        <v/>
      </c>
      <c r="D285" s="122">
        <f>IF(B285="","",IFERROR(B285/INDEX($B$2:$B$800,MATCH(DATE(YEAR(A285)-1,12,1),$A$2:$A$800,0))-1,""))</f>
        <v/>
      </c>
      <c r="E285" s="122">
        <f>IF(B285="","",IFERROR(B285/INDEX($B$2:$B$800,MATCH(DATE(YEAR(A285)-1,MONTH(A285),1),$A$2:$A$800,0))-1,""))</f>
        <v/>
      </c>
    </row>
    <row r="286">
      <c r="A286" s="121" t="n">
        <v>43191</v>
      </c>
      <c r="B286" s="47" t="n">
        <v>725.245</v>
      </c>
      <c r="C286" s="122">
        <f>IF(OR(B286="",B285=""),"",B286/B285-1)</f>
        <v/>
      </c>
      <c r="D286" s="122">
        <f>IF(B286="","",IFERROR(B286/INDEX($B$2:$B$800,MATCH(DATE(YEAR(A286)-1,12,1),$A$2:$A$800,0))-1,""))</f>
        <v/>
      </c>
      <c r="E286" s="122">
        <f>IF(B286="","",IFERROR(B286/INDEX($B$2:$B$800,MATCH(DATE(YEAR(A286)-1,MONTH(A286),1),$A$2:$A$800,0))-1,""))</f>
        <v/>
      </c>
    </row>
    <row r="287">
      <c r="A287" s="121" t="n">
        <v>43221</v>
      </c>
      <c r="B287" s="47" t="n">
        <v>726.923</v>
      </c>
      <c r="C287" s="122">
        <f>IF(OR(B287="",B286=""),"",B287/B286-1)</f>
        <v/>
      </c>
      <c r="D287" s="122">
        <f>IF(B287="","",IFERROR(B287/INDEX($B$2:$B$800,MATCH(DATE(YEAR(A287)-1,12,1),$A$2:$A$800,0))-1,""))</f>
        <v/>
      </c>
      <c r="E287" s="122">
        <f>IF(B287="","",IFERROR(B287/INDEX($B$2:$B$800,MATCH(DATE(YEAR(A287)-1,MONTH(A287),1),$A$2:$A$800,0))-1,""))</f>
        <v/>
      </c>
    </row>
    <row r="288">
      <c r="A288" s="121" t="n">
        <v>43252</v>
      </c>
      <c r="B288" s="47" t="n">
        <v>733.984</v>
      </c>
      <c r="C288" s="122">
        <f>IF(OR(B288="",B287=""),"",B288/B287-1)</f>
        <v/>
      </c>
      <c r="D288" s="122">
        <f>IF(B288="","",IFERROR(B288/INDEX($B$2:$B$800,MATCH(DATE(YEAR(A288)-1,12,1),$A$2:$A$800,0))-1,""))</f>
        <v/>
      </c>
      <c r="E288" s="122">
        <f>IF(B288="","",IFERROR(B288/INDEX($B$2:$B$800,MATCH(DATE(YEAR(A288)-1,MONTH(A288),1),$A$2:$A$800,0))-1,""))</f>
        <v/>
      </c>
    </row>
    <row r="289">
      <c r="A289" s="121" t="n">
        <v>43282</v>
      </c>
      <c r="B289" s="47" t="n">
        <v>738.487</v>
      </c>
      <c r="C289" s="122">
        <f>IF(OR(B289="",B288=""),"",B289/B288-1)</f>
        <v/>
      </c>
      <c r="D289" s="122">
        <f>IF(B289="","",IFERROR(B289/INDEX($B$2:$B$800,MATCH(DATE(YEAR(A289)-1,12,1),$A$2:$A$800,0))-1,""))</f>
        <v/>
      </c>
      <c r="E289" s="122">
        <f>IF(B289="","",IFERROR(B289/INDEX($B$2:$B$800,MATCH(DATE(YEAR(A289)-1,MONTH(A289),1),$A$2:$A$800,0))-1,""))</f>
        <v/>
      </c>
    </row>
    <row r="290">
      <c r="A290" s="121" t="n">
        <v>43313</v>
      </c>
      <c r="B290" s="47" t="n">
        <v>739.583</v>
      </c>
      <c r="C290" s="122">
        <f>IF(OR(B290="",B289=""),"",B290/B289-1)</f>
        <v/>
      </c>
      <c r="D290" s="122">
        <f>IF(B290="","",IFERROR(B290/INDEX($B$2:$B$800,MATCH(DATE(YEAR(A290)-1,12,1),$A$2:$A$800,0))-1,""))</f>
        <v/>
      </c>
      <c r="E290" s="122">
        <f>IF(B290="","",IFERROR(B290/INDEX($B$2:$B$800,MATCH(DATE(YEAR(A290)-1,MONTH(A290),1),$A$2:$A$800,0))-1,""))</f>
        <v/>
      </c>
    </row>
    <row r="291">
      <c r="A291" s="121" t="n">
        <v>43344</v>
      </c>
      <c r="B291" s="47" t="n">
        <v>741.3049999999999</v>
      </c>
      <c r="C291" s="122">
        <f>IF(OR(B291="",B290=""),"",B291/B290-1)</f>
        <v/>
      </c>
      <c r="D291" s="122">
        <f>IF(B291="","",IFERROR(B291/INDEX($B$2:$B$800,MATCH(DATE(YEAR(A291)-1,12,1),$A$2:$A$800,0))-1,""))</f>
        <v/>
      </c>
      <c r="E291" s="122">
        <f>IF(B291="","",IFERROR(B291/INDEX($B$2:$B$800,MATCH(DATE(YEAR(A291)-1,MONTH(A291),1),$A$2:$A$800,0))-1,""))</f>
        <v/>
      </c>
    </row>
    <row r="292">
      <c r="A292" s="121" t="n">
        <v>43374</v>
      </c>
      <c r="B292" s="47" t="n">
        <v>743.866</v>
      </c>
      <c r="C292" s="122">
        <f>IF(OR(B292="",B291=""),"",B292/B291-1)</f>
        <v/>
      </c>
      <c r="D292" s="122">
        <f>IF(B292="","",IFERROR(B292/INDEX($B$2:$B$800,MATCH(DATE(YEAR(A292)-1,12,1),$A$2:$A$800,0))-1,""))</f>
        <v/>
      </c>
      <c r="E292" s="122">
        <f>IF(B292="","",IFERROR(B292/INDEX($B$2:$B$800,MATCH(DATE(YEAR(A292)-1,MONTH(A292),1),$A$2:$A$800,0))-1,""))</f>
        <v/>
      </c>
    </row>
    <row r="293">
      <c r="A293" s="121" t="n">
        <v>43405</v>
      </c>
      <c r="B293" s="47" t="n">
        <v>744.865</v>
      </c>
      <c r="C293" s="122">
        <f>IF(OR(B293="",B292=""),"",B293/B292-1)</f>
        <v/>
      </c>
      <c r="D293" s="122">
        <f>IF(B293="","",IFERROR(B293/INDEX($B$2:$B$800,MATCH(DATE(YEAR(A293)-1,12,1),$A$2:$A$800,0))-1,""))</f>
        <v/>
      </c>
      <c r="E293" s="122">
        <f>IF(B293="","",IFERROR(B293/INDEX($B$2:$B$800,MATCH(DATE(YEAR(A293)-1,MONTH(A293),1),$A$2:$A$800,0))-1,""))</f>
        <v/>
      </c>
    </row>
    <row r="294">
      <c r="A294" s="121" t="n">
        <v>43435</v>
      </c>
      <c r="B294" s="47" t="n">
        <v>745.856</v>
      </c>
      <c r="C294" s="122">
        <f>IF(OR(B294="",B293=""),"",B294/B293-1)</f>
        <v/>
      </c>
      <c r="D294" s="122">
        <f>IF(B294="","",IFERROR(B294/INDEX($B$2:$B$800,MATCH(DATE(YEAR(A294)-1,12,1),$A$2:$A$800,0))-1,""))</f>
        <v/>
      </c>
      <c r="E294" s="122">
        <f>IF(B294="","",IFERROR(B294/INDEX($B$2:$B$800,MATCH(DATE(YEAR(A294)-1,MONTH(A294),1),$A$2:$A$800,0))-1,""))</f>
        <v/>
      </c>
    </row>
    <row r="295">
      <c r="A295" s="121" t="n">
        <v>43466</v>
      </c>
      <c r="B295" s="47" t="n">
        <v>749.5170000000001</v>
      </c>
      <c r="C295" s="122">
        <f>IF(OR(B295="",B294=""),"",B295/B294-1)</f>
        <v/>
      </c>
      <c r="D295" s="122">
        <f>IF(B295="","",IFERROR(B295/INDEX($B$2:$B$800,MATCH(DATE(YEAR(A295)-1,12,1),$A$2:$A$800,0))-1,""))</f>
        <v/>
      </c>
      <c r="E295" s="122">
        <f>IF(B295="","",IFERROR(B295/INDEX($B$2:$B$800,MATCH(DATE(YEAR(A295)-1,MONTH(A295),1),$A$2:$A$800,0))-1,""))</f>
        <v/>
      </c>
    </row>
    <row r="296">
      <c r="A296" s="121" t="n">
        <v>43497</v>
      </c>
      <c r="B296" s="47" t="n">
        <v>750.1799999999999</v>
      </c>
      <c r="C296" s="122">
        <f>IF(OR(B296="",B295=""),"",B296/B295-1)</f>
        <v/>
      </c>
      <c r="D296" s="122">
        <f>IF(B296="","",IFERROR(B296/INDEX($B$2:$B$800,MATCH(DATE(YEAR(A296)-1,12,1),$A$2:$A$800,0))-1,""))</f>
        <v/>
      </c>
      <c r="E296" s="122">
        <f>IF(B296="","",IFERROR(B296/INDEX($B$2:$B$800,MATCH(DATE(YEAR(A296)-1,MONTH(A296),1),$A$2:$A$800,0))-1,""))</f>
        <v/>
      </c>
    </row>
    <row r="297">
      <c r="A297" s="121" t="n">
        <v>43525</v>
      </c>
      <c r="B297" s="47" t="n">
        <v>752.524</v>
      </c>
      <c r="C297" s="122">
        <f>IF(OR(B297="",B296=""),"",B297/B296-1)</f>
        <v/>
      </c>
      <c r="D297" s="122">
        <f>IF(B297="","",IFERROR(B297/INDEX($B$2:$B$800,MATCH(DATE(YEAR(A297)-1,12,1),$A$2:$A$800,0))-1,""))</f>
        <v/>
      </c>
      <c r="E297" s="122">
        <f>IF(B297="","",IFERROR(B297/INDEX($B$2:$B$800,MATCH(DATE(YEAR(A297)-1,MONTH(A297),1),$A$2:$A$800,0))-1,""))</f>
        <v/>
      </c>
    </row>
    <row r="298">
      <c r="A298" s="121" t="n">
        <v>43556</v>
      </c>
      <c r="B298" s="47" t="n">
        <v>755.373</v>
      </c>
      <c r="C298" s="122">
        <f>IF(OR(B298="",B297=""),"",B298/B297-1)</f>
        <v/>
      </c>
      <c r="D298" s="122">
        <f>IF(B298="","",IFERROR(B298/INDEX($B$2:$B$800,MATCH(DATE(YEAR(A298)-1,12,1),$A$2:$A$800,0))-1,""))</f>
        <v/>
      </c>
      <c r="E298" s="122">
        <f>IF(B298="","",IFERROR(B298/INDEX($B$2:$B$800,MATCH(DATE(YEAR(A298)-1,MONTH(A298),1),$A$2:$A$800,0))-1,""))</f>
        <v/>
      </c>
    </row>
    <row r="299">
      <c r="A299" s="121" t="n">
        <v>43586</v>
      </c>
      <c r="B299" s="47" t="n">
        <v>755.625</v>
      </c>
      <c r="C299" s="122">
        <f>IF(OR(B299="",B298=""),"",B299/B298-1)</f>
        <v/>
      </c>
      <c r="D299" s="122">
        <f>IF(B299="","",IFERROR(B299/INDEX($B$2:$B$800,MATCH(DATE(YEAR(A299)-1,12,1),$A$2:$A$800,0))-1,""))</f>
        <v/>
      </c>
      <c r="E299" s="122">
        <f>IF(B299="","",IFERROR(B299/INDEX($B$2:$B$800,MATCH(DATE(YEAR(A299)-1,MONTH(A299),1),$A$2:$A$800,0))-1,""))</f>
        <v/>
      </c>
    </row>
    <row r="300">
      <c r="A300" s="121" t="n">
        <v>43617</v>
      </c>
      <c r="B300" s="47" t="n">
        <v>762.304</v>
      </c>
      <c r="C300" s="122">
        <f>IF(OR(B300="",B299=""),"",B300/B299-1)</f>
        <v/>
      </c>
      <c r="D300" s="122">
        <f>IF(B300="","",IFERROR(B300/INDEX($B$2:$B$800,MATCH(DATE(YEAR(A300)-1,12,1),$A$2:$A$800,0))-1,""))</f>
        <v/>
      </c>
      <c r="E300" s="122">
        <f>IF(B300="","",IFERROR(B300/INDEX($B$2:$B$800,MATCH(DATE(YEAR(A300)-1,MONTH(A300),1),$A$2:$A$800,0))-1,""))</f>
        <v/>
      </c>
    </row>
    <row r="301">
      <c r="A301" s="121" t="n">
        <v>43647</v>
      </c>
      <c r="B301" s="47" t="n">
        <v>766.699</v>
      </c>
      <c r="C301" s="122">
        <f>IF(OR(B301="",B300=""),"",B301/B300-1)</f>
        <v/>
      </c>
      <c r="D301" s="122">
        <f>IF(B301="","",IFERROR(B301/INDEX($B$2:$B$800,MATCH(DATE(YEAR(A301)-1,12,1),$A$2:$A$800,0))-1,""))</f>
        <v/>
      </c>
      <c r="E301" s="122">
        <f>IF(B301="","",IFERROR(B301/INDEX($B$2:$B$800,MATCH(DATE(YEAR(A301)-1,MONTH(A301),1),$A$2:$A$800,0))-1,""))</f>
        <v/>
      </c>
    </row>
    <row r="302">
      <c r="A302" s="121" t="n">
        <v>43678</v>
      </c>
      <c r="B302" s="47" t="n">
        <v>769.951</v>
      </c>
      <c r="C302" s="122">
        <f>IF(OR(B302="",B301=""),"",B302/B301-1)</f>
        <v/>
      </c>
      <c r="D302" s="122">
        <f>IF(B302="","",IFERROR(B302/INDEX($B$2:$B$800,MATCH(DATE(YEAR(A302)-1,12,1),$A$2:$A$800,0))-1,""))</f>
        <v/>
      </c>
      <c r="E302" s="122">
        <f>IF(B302="","",IFERROR(B302/INDEX($B$2:$B$800,MATCH(DATE(YEAR(A302)-1,MONTH(A302),1),$A$2:$A$800,0))-1,""))</f>
        <v/>
      </c>
    </row>
    <row r="303">
      <c r="A303" s="121" t="n">
        <v>43709</v>
      </c>
      <c r="B303" s="47" t="n">
        <v>773.52</v>
      </c>
      <c r="C303" s="122">
        <f>IF(OR(B303="",B302=""),"",B303/B302-1)</f>
        <v/>
      </c>
      <c r="D303" s="122">
        <f>IF(B303="","",IFERROR(B303/INDEX($B$2:$B$800,MATCH(DATE(YEAR(A303)-1,12,1),$A$2:$A$800,0))-1,""))</f>
        <v/>
      </c>
      <c r="E303" s="122">
        <f>IF(B303="","",IFERROR(B303/INDEX($B$2:$B$800,MATCH(DATE(YEAR(A303)-1,MONTH(A303),1),$A$2:$A$800,0))-1,""))</f>
        <v/>
      </c>
    </row>
    <row r="304">
      <c r="A304" s="121" t="n">
        <v>43739</v>
      </c>
      <c r="B304" s="47" t="n">
        <v>774.939</v>
      </c>
      <c r="C304" s="122">
        <f>IF(OR(B304="",B303=""),"",B304/B303-1)</f>
        <v/>
      </c>
      <c r="D304" s="122">
        <f>IF(B304="","",IFERROR(B304/INDEX($B$2:$B$800,MATCH(DATE(YEAR(A304)-1,12,1),$A$2:$A$800,0))-1,""))</f>
        <v/>
      </c>
      <c r="E304" s="122">
        <f>IF(B304="","",IFERROR(B304/INDEX($B$2:$B$800,MATCH(DATE(YEAR(A304)-1,MONTH(A304),1),$A$2:$A$800,0))-1,""))</f>
        <v/>
      </c>
    </row>
    <row r="305">
      <c r="A305" s="121" t="n">
        <v>43770</v>
      </c>
      <c r="B305" s="47" t="n">
        <v>775.225</v>
      </c>
      <c r="C305" s="122">
        <f>IF(OR(B305="",B304=""),"",B305/B304-1)</f>
        <v/>
      </c>
      <c r="D305" s="122">
        <f>IF(B305="","",IFERROR(B305/INDEX($B$2:$B$800,MATCH(DATE(YEAR(A305)-1,12,1),$A$2:$A$800,0))-1,""))</f>
        <v/>
      </c>
      <c r="E305" s="122">
        <f>IF(B305="","",IFERROR(B305/INDEX($B$2:$B$800,MATCH(DATE(YEAR(A305)-1,MONTH(A305),1),$A$2:$A$800,0))-1,""))</f>
        <v/>
      </c>
    </row>
    <row r="306">
      <c r="A306" s="121" t="n">
        <v>43800</v>
      </c>
      <c r="B306" s="47" t="n">
        <v>776.8390000000001</v>
      </c>
      <c r="C306" s="122">
        <f>IF(OR(B306="",B305=""),"",B306/B305-1)</f>
        <v/>
      </c>
      <c r="D306" s="122">
        <f>IF(B306="","",IFERROR(B306/INDEX($B$2:$B$800,MATCH(DATE(YEAR(A306)-1,12,1),$A$2:$A$800,0))-1,""))</f>
        <v/>
      </c>
      <c r="E306" s="122">
        <f>IF(B306="","",IFERROR(B306/INDEX($B$2:$B$800,MATCH(DATE(YEAR(A306)-1,MONTH(A306),1),$A$2:$A$800,0))-1,""))</f>
        <v/>
      </c>
    </row>
    <row r="307">
      <c r="A307" s="121" t="n">
        <v>43831</v>
      </c>
      <c r="B307" s="47" t="n">
        <v>779.766</v>
      </c>
      <c r="C307" s="122">
        <f>IF(OR(B307="",B306=""),"",B307/B306-1)</f>
        <v/>
      </c>
      <c r="D307" s="122">
        <f>IF(B307="","",IFERROR(B307/INDEX($B$2:$B$800,MATCH(DATE(YEAR(A307)-1,12,1),$A$2:$A$800,0))-1,""))</f>
        <v/>
      </c>
      <c r="E307" s="122">
        <f>IF(B307="","",IFERROR(B307/INDEX($B$2:$B$800,MATCH(DATE(YEAR(A307)-1,MONTH(A307),1),$A$2:$A$800,0))-1,""))</f>
        <v/>
      </c>
    </row>
    <row r="308">
      <c r="A308" s="121" t="n">
        <v>43862</v>
      </c>
      <c r="B308" s="47" t="n">
        <v>782.336</v>
      </c>
      <c r="C308" s="122">
        <f>IF(OR(B308="",B307=""),"",B308/B307-1)</f>
        <v/>
      </c>
      <c r="D308" s="122">
        <f>IF(B308="","",IFERROR(B308/INDEX($B$2:$B$800,MATCH(DATE(YEAR(A308)-1,12,1),$A$2:$A$800,0))-1,""))</f>
        <v/>
      </c>
      <c r="E308" s="122">
        <f>IF(B308="","",IFERROR(B308/INDEX($B$2:$B$800,MATCH(DATE(YEAR(A308)-1,MONTH(A308),1),$A$2:$A$800,0))-1,""))</f>
        <v/>
      </c>
    </row>
    <row r="309">
      <c r="A309" s="121" t="n">
        <v>43891</v>
      </c>
      <c r="B309" s="47" t="n">
        <v>784.338</v>
      </c>
      <c r="C309" s="122">
        <f>IF(OR(B309="",B308=""),"",B309/B308-1)</f>
        <v/>
      </c>
      <c r="D309" s="122">
        <f>IF(B309="","",IFERROR(B309/INDEX($B$2:$B$800,MATCH(DATE(YEAR(A309)-1,12,1),$A$2:$A$800,0))-1,""))</f>
        <v/>
      </c>
      <c r="E309" s="122">
        <f>IF(B309="","",IFERROR(B309/INDEX($B$2:$B$800,MATCH(DATE(YEAR(A309)-1,MONTH(A309),1),$A$2:$A$800,0))-1,""))</f>
        <v/>
      </c>
    </row>
    <row r="310">
      <c r="A310" s="121" t="n">
        <v>43922</v>
      </c>
      <c r="B310" s="47" t="n">
        <v>786.0700000000001</v>
      </c>
      <c r="C310" s="122">
        <f>IF(OR(B310="",B309=""),"",B310/B309-1)</f>
        <v/>
      </c>
      <c r="D310" s="122">
        <f>IF(B310="","",IFERROR(B310/INDEX($B$2:$B$800,MATCH(DATE(YEAR(A310)-1,12,1),$A$2:$A$800,0))-1,""))</f>
        <v/>
      </c>
      <c r="E310" s="122">
        <f>IF(B310="","",IFERROR(B310/INDEX($B$2:$B$800,MATCH(DATE(YEAR(A310)-1,MONTH(A310),1),$A$2:$A$800,0))-1,""))</f>
        <v/>
      </c>
    </row>
    <row r="311">
      <c r="A311" s="121" t="n">
        <v>43952</v>
      </c>
      <c r="B311" s="47" t="n">
        <v>787.6660000000001</v>
      </c>
      <c r="C311" s="122">
        <f>IF(OR(B311="",B310=""),"",B311/B310-1)</f>
        <v/>
      </c>
      <c r="D311" s="122">
        <f>IF(B311="","",IFERROR(B311/INDEX($B$2:$B$800,MATCH(DATE(YEAR(A311)-1,12,1),$A$2:$A$800,0))-1,""))</f>
        <v/>
      </c>
      <c r="E311" s="122">
        <f>IF(B311="","",IFERROR(B311/INDEX($B$2:$B$800,MATCH(DATE(YEAR(A311)-1,MONTH(A311),1),$A$2:$A$800,0))-1,""))</f>
        <v/>
      </c>
    </row>
    <row r="312">
      <c r="A312" s="121" t="n">
        <v>43983</v>
      </c>
      <c r="B312" s="47" t="n">
        <v>790.331</v>
      </c>
      <c r="C312" s="122">
        <f>IF(OR(B312="",B311=""),"",B312/B311-1)</f>
        <v/>
      </c>
      <c r="D312" s="122">
        <f>IF(B312="","",IFERROR(B312/INDEX($B$2:$B$800,MATCH(DATE(YEAR(A312)-1,12,1),$A$2:$A$800,0))-1,""))</f>
        <v/>
      </c>
      <c r="E312" s="122">
        <f>IF(B312="","",IFERROR(B312/INDEX($B$2:$B$800,MATCH(DATE(YEAR(A312)-1,MONTH(A312),1),$A$2:$A$800,0))-1,""))</f>
        <v/>
      </c>
    </row>
    <row r="313">
      <c r="A313" s="121" t="n">
        <v>44013</v>
      </c>
      <c r="B313" s="47" t="n">
        <v>799.5890000000001</v>
      </c>
      <c r="C313" s="122">
        <f>IF(OR(B313="",B312=""),"",B313/B312-1)</f>
        <v/>
      </c>
      <c r="D313" s="122">
        <f>IF(B313="","",IFERROR(B313/INDEX($B$2:$B$800,MATCH(DATE(YEAR(A313)-1,12,1),$A$2:$A$800,0))-1,""))</f>
        <v/>
      </c>
      <c r="E313" s="122">
        <f>IF(B313="","",IFERROR(B313/INDEX($B$2:$B$800,MATCH(DATE(YEAR(A313)-1,MONTH(A313),1),$A$2:$A$800,0))-1,""))</f>
        <v/>
      </c>
    </row>
    <row r="314">
      <c r="A314" s="121" t="n">
        <v>44044</v>
      </c>
      <c r="B314" s="47" t="n">
        <v>805.356</v>
      </c>
      <c r="C314" s="122">
        <f>IF(OR(B314="",B313=""),"",B314/B313-1)</f>
        <v/>
      </c>
      <c r="D314" s="122">
        <f>IF(B314="","",IFERROR(B314/INDEX($B$2:$B$800,MATCH(DATE(YEAR(A314)-1,12,1),$A$2:$A$800,0))-1,""))</f>
        <v/>
      </c>
      <c r="E314" s="122">
        <f>IF(B314="","",IFERROR(B314/INDEX($B$2:$B$800,MATCH(DATE(YEAR(A314)-1,MONTH(A314),1),$A$2:$A$800,0))-1,""))</f>
        <v/>
      </c>
    </row>
    <row r="315">
      <c r="A315" s="121" t="n">
        <v>44075</v>
      </c>
      <c r="B315" s="47" t="n">
        <v>814.701</v>
      </c>
      <c r="C315" s="122">
        <f>IF(OR(B315="",B314=""),"",B315/B314-1)</f>
        <v/>
      </c>
      <c r="D315" s="122">
        <f>IF(B315="","",IFERROR(B315/INDEX($B$2:$B$800,MATCH(DATE(YEAR(A315)-1,12,1),$A$2:$A$800,0))-1,""))</f>
        <v/>
      </c>
      <c r="E315" s="122">
        <f>IF(B315="","",IFERROR(B315/INDEX($B$2:$B$800,MATCH(DATE(YEAR(A315)-1,MONTH(A315),1),$A$2:$A$800,0))-1,""))</f>
        <v/>
      </c>
    </row>
    <row r="316">
      <c r="A316" s="121" t="n">
        <v>44105</v>
      </c>
      <c r="B316" s="47" t="n">
        <v>828.778</v>
      </c>
      <c r="C316" s="122">
        <f>IF(OR(B316="",B315=""),"",B316/B315-1)</f>
        <v/>
      </c>
      <c r="D316" s="122">
        <f>IF(B316="","",IFERROR(B316/INDEX($B$2:$B$800,MATCH(DATE(YEAR(A316)-1,12,1),$A$2:$A$800,0))-1,""))</f>
        <v/>
      </c>
      <c r="E316" s="122">
        <f>IF(B316="","",IFERROR(B316/INDEX($B$2:$B$800,MATCH(DATE(YEAR(A316)-1,MONTH(A316),1),$A$2:$A$800,0))-1,""))</f>
        <v/>
      </c>
    </row>
    <row r="317">
      <c r="A317" s="121" t="n">
        <v>44136</v>
      </c>
      <c r="B317" s="47" t="n">
        <v>839.3819999999999</v>
      </c>
      <c r="C317" s="122">
        <f>IF(OR(B317="",B316=""),"",B317/B316-1)</f>
        <v/>
      </c>
      <c r="D317" s="122">
        <f>IF(B317="","",IFERROR(B317/INDEX($B$2:$B$800,MATCH(DATE(YEAR(A317)-1,12,1),$A$2:$A$800,0))-1,""))</f>
        <v/>
      </c>
      <c r="E317" s="122">
        <f>IF(B317="","",IFERROR(B317/INDEX($B$2:$B$800,MATCH(DATE(YEAR(A317)-1,MONTH(A317),1),$A$2:$A$800,0))-1,""))</f>
        <v/>
      </c>
    </row>
    <row r="318">
      <c r="A318" s="121" t="n">
        <v>44166</v>
      </c>
      <c r="B318" s="47" t="n">
        <v>845.268</v>
      </c>
      <c r="C318" s="122">
        <f>IF(OR(B318="",B317=""),"",B318/B317-1)</f>
        <v/>
      </c>
      <c r="D318" s="122">
        <f>IF(B318="","",IFERROR(B318/INDEX($B$2:$B$800,MATCH(DATE(YEAR(A318)-1,12,1),$A$2:$A$800,0))-1,""))</f>
        <v/>
      </c>
      <c r="E318" s="122">
        <f>IF(B318="","",IFERROR(B318/INDEX($B$2:$B$800,MATCH(DATE(YEAR(A318)-1,MONTH(A318),1),$A$2:$A$800,0))-1,""))</f>
        <v/>
      </c>
    </row>
    <row r="319">
      <c r="A319" s="121" t="n">
        <v>44197</v>
      </c>
      <c r="B319" s="47" t="n">
        <v>852.809</v>
      </c>
      <c r="C319" s="122">
        <f>IF(OR(B319="",B318=""),"",B319/B318-1)</f>
        <v/>
      </c>
      <c r="D319" s="122">
        <f>IF(B319="","",IFERROR(B319/INDEX($B$2:$B$800,MATCH(DATE(YEAR(A319)-1,12,1),$A$2:$A$800,0))-1,""))</f>
        <v/>
      </c>
      <c r="E319" s="122">
        <f>IF(B319="","",IFERROR(B319/INDEX($B$2:$B$800,MATCH(DATE(YEAR(A319)-1,MONTH(A319),1),$A$2:$A$800,0))-1,""))</f>
        <v/>
      </c>
    </row>
    <row r="320">
      <c r="A320" s="121" t="n">
        <v>44228</v>
      </c>
      <c r="B320" s="47" t="n">
        <v>868.929</v>
      </c>
      <c r="C320" s="122">
        <f>IF(OR(B320="",B319=""),"",B320/B319-1)</f>
        <v/>
      </c>
      <c r="D320" s="122">
        <f>IF(B320="","",IFERROR(B320/INDEX($B$2:$B$800,MATCH(DATE(YEAR(A320)-1,12,1),$A$2:$A$800,0))-1,""))</f>
        <v/>
      </c>
      <c r="E320" s="122">
        <f>IF(B320="","",IFERROR(B320/INDEX($B$2:$B$800,MATCH(DATE(YEAR(A320)-1,MONTH(A320),1),$A$2:$A$800,0))-1,""))</f>
        <v/>
      </c>
    </row>
    <row r="321">
      <c r="A321" s="121" t="n">
        <v>44256</v>
      </c>
      <c r="B321" s="47" t="n">
        <v>880.265</v>
      </c>
      <c r="C321" s="122">
        <f>IF(OR(B321="",B320=""),"",B321/B320-1)</f>
        <v/>
      </c>
      <c r="D321" s="122">
        <f>IF(B321="","",IFERROR(B321/INDEX($B$2:$B$800,MATCH(DATE(YEAR(A321)-1,12,1),$A$2:$A$800,0))-1,""))</f>
        <v/>
      </c>
      <c r="E321" s="122">
        <f>IF(B321="","",IFERROR(B321/INDEX($B$2:$B$800,MATCH(DATE(YEAR(A321)-1,MONTH(A321),1),$A$2:$A$800,0))-1,""))</f>
        <v/>
      </c>
    </row>
    <row r="322">
      <c r="A322" s="121" t="n">
        <v>44287</v>
      </c>
      <c r="B322" s="47" t="n">
        <v>888.191</v>
      </c>
      <c r="C322" s="122">
        <f>IF(OR(B322="",B321=""),"",B322/B321-1)</f>
        <v/>
      </c>
      <c r="D322" s="122">
        <f>IF(B322="","",IFERROR(B322/INDEX($B$2:$B$800,MATCH(DATE(YEAR(A322)-1,12,1),$A$2:$A$800,0))-1,""))</f>
        <v/>
      </c>
      <c r="E322" s="122">
        <f>IF(B322="","",IFERROR(B322/INDEX($B$2:$B$800,MATCH(DATE(YEAR(A322)-1,MONTH(A322),1),$A$2:$A$800,0))-1,""))</f>
        <v/>
      </c>
    </row>
    <row r="323">
      <c r="A323" s="121" t="n">
        <v>44317</v>
      </c>
      <c r="B323" s="47" t="n">
        <v>907.899</v>
      </c>
      <c r="C323" s="122">
        <f>IF(OR(B323="",B322=""),"",B323/B322-1)</f>
        <v/>
      </c>
      <c r="D323" s="122">
        <f>IF(B323="","",IFERROR(B323/INDEX($B$2:$B$800,MATCH(DATE(YEAR(A323)-1,12,1),$A$2:$A$800,0))-1,""))</f>
        <v/>
      </c>
      <c r="E323" s="122">
        <f>IF(B323="","",IFERROR(B323/INDEX($B$2:$B$800,MATCH(DATE(YEAR(A323)-1,MONTH(A323),1),$A$2:$A$800,0))-1,""))</f>
        <v/>
      </c>
    </row>
    <row r="324">
      <c r="A324" s="121" t="n">
        <v>44348</v>
      </c>
      <c r="B324" s="47" t="n">
        <v>927.5119999999999</v>
      </c>
      <c r="C324" s="122">
        <f>IF(OR(B324="",B323=""),"",B324/B323-1)</f>
        <v/>
      </c>
      <c r="D324" s="122">
        <f>IF(B324="","",IFERROR(B324/INDEX($B$2:$B$800,MATCH(DATE(YEAR(A324)-1,12,1),$A$2:$A$800,0))-1,""))</f>
        <v/>
      </c>
      <c r="E324" s="122">
        <f>IF(B324="","",IFERROR(B324/INDEX($B$2:$B$800,MATCH(DATE(YEAR(A324)-1,MONTH(A324),1),$A$2:$A$800,0))-1,""))</f>
        <v/>
      </c>
    </row>
    <row r="325">
      <c r="A325" s="121" t="n">
        <v>44378</v>
      </c>
      <c r="B325" s="47" t="n">
        <v>935.359</v>
      </c>
      <c r="C325" s="122">
        <f>IF(OR(B325="",B324=""),"",B325/B324-1)</f>
        <v/>
      </c>
      <c r="D325" s="122">
        <f>IF(B325="","",IFERROR(B325/INDEX($B$2:$B$800,MATCH(DATE(YEAR(A325)-1,12,1),$A$2:$A$800,0))-1,""))</f>
        <v/>
      </c>
      <c r="E325" s="122">
        <f>IF(B325="","",IFERROR(B325/INDEX($B$2:$B$800,MATCH(DATE(YEAR(A325)-1,MONTH(A325),1),$A$2:$A$800,0))-1,""))</f>
        <v/>
      </c>
    </row>
    <row r="326">
      <c r="A326" s="121" t="n">
        <v>44409</v>
      </c>
      <c r="B326" s="47" t="n">
        <v>939.699</v>
      </c>
      <c r="C326" s="122">
        <f>IF(OR(B326="",B325=""),"",B326/B325-1)</f>
        <v/>
      </c>
      <c r="D326" s="122">
        <f>IF(B326="","",IFERROR(B326/INDEX($B$2:$B$800,MATCH(DATE(YEAR(A326)-1,12,1),$A$2:$A$800,0))-1,""))</f>
        <v/>
      </c>
      <c r="E326" s="122">
        <f>IF(B326="","",IFERROR(B326/INDEX($B$2:$B$800,MATCH(DATE(YEAR(A326)-1,MONTH(A326),1),$A$2:$A$800,0))-1,""))</f>
        <v/>
      </c>
    </row>
    <row r="327">
      <c r="A327" s="121" t="n">
        <v>44440</v>
      </c>
      <c r="B327" s="47" t="n">
        <v>944.52</v>
      </c>
      <c r="C327" s="122">
        <f>IF(OR(B327="",B326=""),"",B327/B326-1)</f>
        <v/>
      </c>
      <c r="D327" s="122">
        <f>IF(B327="","",IFERROR(B327/INDEX($B$2:$B$800,MATCH(DATE(YEAR(A327)-1,12,1),$A$2:$A$800,0))-1,""))</f>
        <v/>
      </c>
      <c r="E327" s="122">
        <f>IF(B327="","",IFERROR(B327/INDEX($B$2:$B$800,MATCH(DATE(YEAR(A327)-1,MONTH(A327),1),$A$2:$A$800,0))-1,""))</f>
        <v/>
      </c>
    </row>
    <row r="328">
      <c r="A328" s="121" t="n">
        <v>44470</v>
      </c>
      <c r="B328" s="47" t="n">
        <v>952.596</v>
      </c>
      <c r="C328" s="122">
        <f>IF(OR(B328="",B327=""),"",B328/B327-1)</f>
        <v/>
      </c>
      <c r="D328" s="122">
        <f>IF(B328="","",IFERROR(B328/INDEX($B$2:$B$800,MATCH(DATE(YEAR(A328)-1,12,1),$A$2:$A$800,0))-1,""))</f>
        <v/>
      </c>
      <c r="E328" s="122">
        <f>IF(B328="","",IFERROR(B328/INDEX($B$2:$B$800,MATCH(DATE(YEAR(A328)-1,MONTH(A328),1),$A$2:$A$800,0))-1,""))</f>
        <v/>
      </c>
    </row>
    <row r="329">
      <c r="A329" s="121" t="n">
        <v>44501</v>
      </c>
      <c r="B329" s="47" t="n">
        <v>959.001</v>
      </c>
      <c r="C329" s="122">
        <f>IF(OR(B329="",B328=""),"",B329/B328-1)</f>
        <v/>
      </c>
      <c r="D329" s="122">
        <f>IF(B329="","",IFERROR(B329/INDEX($B$2:$B$800,MATCH(DATE(YEAR(A329)-1,12,1),$A$2:$A$800,0))-1,""))</f>
        <v/>
      </c>
      <c r="E329" s="122">
        <f>IF(B329="","",IFERROR(B329/INDEX($B$2:$B$800,MATCH(DATE(YEAR(A329)-1,MONTH(A329),1),$A$2:$A$800,0))-1,""))</f>
        <v/>
      </c>
    </row>
    <row r="330">
      <c r="A330" s="121" t="n">
        <v>44531</v>
      </c>
      <c r="B330" s="47" t="n">
        <v>962.321</v>
      </c>
      <c r="C330" s="122">
        <f>IF(OR(B330="",B329=""),"",B330/B329-1)</f>
        <v/>
      </c>
      <c r="D330" s="122">
        <f>IF(B330="","",IFERROR(B330/INDEX($B$2:$B$800,MATCH(DATE(YEAR(A330)-1,12,1),$A$2:$A$800,0))-1,""))</f>
        <v/>
      </c>
      <c r="E330" s="122">
        <f>IF(B330="","",IFERROR(B330/INDEX($B$2:$B$800,MATCH(DATE(YEAR(A330)-1,MONTH(A330),1),$A$2:$A$800,0))-1,""))</f>
        <v/>
      </c>
    </row>
    <row r="331">
      <c r="A331" s="121" t="n">
        <v>44562</v>
      </c>
      <c r="B331" s="47" t="n">
        <v>969.184</v>
      </c>
      <c r="C331" s="122">
        <f>IF(OR(B331="",B330=""),"",B331/B330-1)</f>
        <v/>
      </c>
      <c r="D331" s="122">
        <f>IF(B331="","",IFERROR(B331/INDEX($B$2:$B$800,MATCH(DATE(YEAR(A331)-1,12,1),$A$2:$A$800,0))-1,""))</f>
        <v/>
      </c>
      <c r="E331" s="122">
        <f>IF(B331="","",IFERROR(B331/INDEX($B$2:$B$800,MATCH(DATE(YEAR(A331)-1,MONTH(A331),1),$A$2:$A$800,0))-1,""))</f>
        <v/>
      </c>
    </row>
    <row r="332">
      <c r="A332" s="121" t="n">
        <v>44593</v>
      </c>
      <c r="B332" s="47" t="n">
        <v>972.904</v>
      </c>
      <c r="C332" s="122">
        <f>IF(OR(B332="",B331=""),"",B332/B331-1)</f>
        <v/>
      </c>
      <c r="D332" s="122">
        <f>IF(B332="","",IFERROR(B332/INDEX($B$2:$B$800,MATCH(DATE(YEAR(A332)-1,12,1),$A$2:$A$800,0))-1,""))</f>
        <v/>
      </c>
      <c r="E332" s="122">
        <f>IF(B332="","",IFERROR(B332/INDEX($B$2:$B$800,MATCH(DATE(YEAR(A332)-1,MONTH(A332),1),$A$2:$A$800,0))-1,""))</f>
        <v/>
      </c>
    </row>
    <row r="333">
      <c r="A333" s="121" t="n">
        <v>44621</v>
      </c>
      <c r="B333" s="47" t="n">
        <v>981.244</v>
      </c>
      <c r="C333" s="122">
        <f>IF(OR(B333="",B332=""),"",B333/B332-1)</f>
        <v/>
      </c>
      <c r="D333" s="122">
        <f>IF(B333="","",IFERROR(B333/INDEX($B$2:$B$800,MATCH(DATE(YEAR(A333)-1,12,1),$A$2:$A$800,0))-1,""))</f>
        <v/>
      </c>
      <c r="E333" s="122">
        <f>IF(B333="","",IFERROR(B333/INDEX($B$2:$B$800,MATCH(DATE(YEAR(A333)-1,MONTH(A333),1),$A$2:$A$800,0))-1,""))</f>
        <v/>
      </c>
    </row>
    <row r="334">
      <c r="A334" s="121" t="n">
        <v>44652</v>
      </c>
      <c r="B334" s="47" t="n">
        <v>990.543</v>
      </c>
      <c r="C334" s="122">
        <f>IF(OR(B334="",B333=""),"",B334/B333-1)</f>
        <v/>
      </c>
      <c r="D334" s="122">
        <f>IF(B334="","",IFERROR(B334/INDEX($B$2:$B$800,MATCH(DATE(YEAR(A334)-1,12,1),$A$2:$A$800,0))-1,""))</f>
        <v/>
      </c>
      <c r="E334" s="122">
        <f>IF(B334="","",IFERROR(B334/INDEX($B$2:$B$800,MATCH(DATE(YEAR(A334)-1,MONTH(A334),1),$A$2:$A$800,0))-1,""))</f>
        <v/>
      </c>
    </row>
    <row r="335">
      <c r="A335" s="121" t="n">
        <v>44682</v>
      </c>
      <c r="B335" s="47" t="n">
        <v>1013.164</v>
      </c>
      <c r="C335" s="122">
        <f>IF(OR(B335="",B334=""),"",B335/B334-1)</f>
        <v/>
      </c>
      <c r="D335" s="122">
        <f>IF(B335="","",IFERROR(B335/INDEX($B$2:$B$800,MATCH(DATE(YEAR(A335)-1,12,1),$A$2:$A$800,0))-1,""))</f>
        <v/>
      </c>
      <c r="E335" s="122">
        <f>IF(B335="","",IFERROR(B335/INDEX($B$2:$B$800,MATCH(DATE(YEAR(A335)-1,MONTH(A335),1),$A$2:$A$800,0))-1,""))</f>
        <v/>
      </c>
    </row>
    <row r="336">
      <c r="A336" s="121" t="n">
        <v>44713</v>
      </c>
      <c r="B336" s="47" t="n">
        <v>1034.824</v>
      </c>
      <c r="C336" s="122">
        <f>IF(OR(B336="",B335=""),"",B336/B335-1)</f>
        <v/>
      </c>
      <c r="D336" s="122">
        <f>IF(B336="","",IFERROR(B336/INDEX($B$2:$B$800,MATCH(DATE(YEAR(A336)-1,12,1),$A$2:$A$800,0))-1,""))</f>
        <v/>
      </c>
      <c r="E336" s="122">
        <f>IF(B336="","",IFERROR(B336/INDEX($B$2:$B$800,MATCH(DATE(YEAR(A336)-1,MONTH(A336),1),$A$2:$A$800,0))-1,""))</f>
        <v/>
      </c>
    </row>
    <row r="337">
      <c r="A337" s="121" t="n">
        <v>44743</v>
      </c>
      <c r="B337" s="47" t="n">
        <v>1043.76</v>
      </c>
      <c r="C337" s="122">
        <f>IF(OR(B337="",B336=""),"",B337/B336-1)</f>
        <v/>
      </c>
      <c r="D337" s="122">
        <f>IF(B337="","",IFERROR(B337/INDEX($B$2:$B$800,MATCH(DATE(YEAR(A337)-1,12,1),$A$2:$A$800,0))-1,""))</f>
        <v/>
      </c>
      <c r="E337" s="122">
        <f>IF(B337="","",IFERROR(B337/INDEX($B$2:$B$800,MATCH(DATE(YEAR(A337)-1,MONTH(A337),1),$A$2:$A$800,0))-1,""))</f>
        <v/>
      </c>
    </row>
    <row r="338">
      <c r="A338" s="121" t="n">
        <v>44774</v>
      </c>
      <c r="B338" s="47" t="n">
        <v>1044.679</v>
      </c>
      <c r="C338" s="122">
        <f>IF(OR(B338="",B337=""),"",B338/B337-1)</f>
        <v/>
      </c>
      <c r="D338" s="122">
        <f>IF(B338="","",IFERROR(B338/INDEX($B$2:$B$800,MATCH(DATE(YEAR(A338)-1,12,1),$A$2:$A$800,0))-1,""))</f>
        <v/>
      </c>
      <c r="E338" s="122">
        <f>IF(B338="","",IFERROR(B338/INDEX($B$2:$B$800,MATCH(DATE(YEAR(A338)-1,MONTH(A338),1),$A$2:$A$800,0))-1,""))</f>
        <v/>
      </c>
    </row>
    <row r="339">
      <c r="A339" s="121" t="n">
        <v>44805</v>
      </c>
      <c r="B339" s="47" t="n">
        <v>1045.616</v>
      </c>
      <c r="C339" s="122">
        <f>IF(OR(B339="",B338=""),"",B339/B338-1)</f>
        <v/>
      </c>
      <c r="D339" s="122">
        <f>IF(B339="","",IFERROR(B339/INDEX($B$2:$B$800,MATCH(DATE(YEAR(A339)-1,12,1),$A$2:$A$800,0))-1,""))</f>
        <v/>
      </c>
      <c r="E339" s="122">
        <f>IF(B339="","",IFERROR(B339/INDEX($B$2:$B$800,MATCH(DATE(YEAR(A339)-1,MONTH(A339),1),$A$2:$A$800,0))-1,""))</f>
        <v/>
      </c>
    </row>
    <row r="340">
      <c r="A340" s="121" t="n">
        <v>44835</v>
      </c>
      <c r="B340" s="47" t="n">
        <v>1046.896</v>
      </c>
      <c r="C340" s="122">
        <f>IF(OR(B340="",B339=""),"",B340/B339-1)</f>
        <v/>
      </c>
      <c r="D340" s="122">
        <f>IF(B340="","",IFERROR(B340/INDEX($B$2:$B$800,MATCH(DATE(YEAR(A340)-1,12,1),$A$2:$A$800,0))-1,""))</f>
        <v/>
      </c>
      <c r="E340" s="122">
        <f>IF(B340="","",IFERROR(B340/INDEX($B$2:$B$800,MATCH(DATE(YEAR(A340)-1,MONTH(A340),1),$A$2:$A$800,0))-1,""))</f>
        <v/>
      </c>
    </row>
    <row r="341">
      <c r="A341" s="121" t="n">
        <v>44866</v>
      </c>
      <c r="B341" s="47" t="n">
        <v>1050.701</v>
      </c>
      <c r="C341" s="122">
        <f>IF(OR(B341="",B340=""),"",B341/B340-1)</f>
        <v/>
      </c>
      <c r="D341" s="122">
        <f>IF(B341="","",IFERROR(B341/INDEX($B$2:$B$800,MATCH(DATE(YEAR(A341)-1,12,1),$A$2:$A$800,0))-1,""))</f>
        <v/>
      </c>
      <c r="E341" s="122">
        <f>IF(B341="","",IFERROR(B341/INDEX($B$2:$B$800,MATCH(DATE(YEAR(A341)-1,MONTH(A341),1),$A$2:$A$800,0))-1,""))</f>
        <v/>
      </c>
    </row>
    <row r="342">
      <c r="A342" s="121" t="n">
        <v>44896</v>
      </c>
      <c r="B342" s="47" t="n">
        <v>1051.632</v>
      </c>
      <c r="C342" s="122">
        <f>IF(OR(B342="",B341=""),"",B342/B341-1)</f>
        <v/>
      </c>
      <c r="D342" s="122">
        <f>IF(B342="","",IFERROR(B342/INDEX($B$2:$B$800,MATCH(DATE(YEAR(A342)-1,12,1),$A$2:$A$800,0))-1,""))</f>
        <v/>
      </c>
      <c r="E342" s="122">
        <f>IF(B342="","",IFERROR(B342/INDEX($B$2:$B$800,MATCH(DATE(YEAR(A342)-1,MONTH(A342),1),$A$2:$A$800,0))-1,""))</f>
        <v/>
      </c>
    </row>
    <row r="343">
      <c r="A343" s="121" t="n">
        <v>44927</v>
      </c>
      <c r="B343" s="47" t="n">
        <v>1056.418</v>
      </c>
      <c r="C343" s="122">
        <f>IF(OR(B343="",B342=""),"",B343/B342-1)</f>
        <v/>
      </c>
      <c r="D343" s="122">
        <f>IF(B343="","",IFERROR(B343/INDEX($B$2:$B$800,MATCH(DATE(YEAR(A343)-1,12,1),$A$2:$A$800,0))-1,""))</f>
        <v/>
      </c>
      <c r="E343" s="122">
        <f>IF(B343="","",IFERROR(B343/INDEX($B$2:$B$800,MATCH(DATE(YEAR(A343)-1,MONTH(A343),1),$A$2:$A$800,0))-1,""))</f>
        <v/>
      </c>
    </row>
    <row r="344">
      <c r="A344" s="121" t="n">
        <v>44958</v>
      </c>
      <c r="B344" s="47" t="n">
        <v>1056.896</v>
      </c>
      <c r="C344" s="122">
        <f>IF(OR(B344="",B343=""),"",B344/B343-1)</f>
        <v/>
      </c>
      <c r="D344" s="122">
        <f>IF(B344="","",IFERROR(B344/INDEX($B$2:$B$800,MATCH(DATE(YEAR(A344)-1,12,1),$A$2:$A$800,0))-1,""))</f>
        <v/>
      </c>
      <c r="E344" s="122">
        <f>IF(B344="","",IFERROR(B344/INDEX($B$2:$B$800,MATCH(DATE(YEAR(A344)-1,MONTH(A344),1),$A$2:$A$800,0))-1,""))</f>
        <v/>
      </c>
    </row>
    <row r="345">
      <c r="A345" s="121" t="n">
        <v>44986</v>
      </c>
      <c r="B345" s="47" t="n">
        <v>1060.116</v>
      </c>
      <c r="C345" s="122">
        <f>IF(OR(B345="",B344=""),"",B345/B344-1)</f>
        <v/>
      </c>
      <c r="D345" s="122">
        <f>IF(B345="","",IFERROR(B345/INDEX($B$2:$B$800,MATCH(DATE(YEAR(A345)-1,12,1),$A$2:$A$800,0))-1,""))</f>
        <v/>
      </c>
      <c r="E345" s="122">
        <f>IF(B345="","",IFERROR(B345/INDEX($B$2:$B$800,MATCH(DATE(YEAR(A345)-1,MONTH(A345),1),$A$2:$A$800,0))-1,""))</f>
        <v/>
      </c>
    </row>
    <row r="346">
      <c r="A346" s="121" t="n">
        <v>45017</v>
      </c>
      <c r="B346" s="47" t="n">
        <v>1061.635</v>
      </c>
      <c r="C346" s="122">
        <f>IF(OR(B346="",B345=""),"",B346/B345-1)</f>
        <v/>
      </c>
      <c r="D346" s="122">
        <f>IF(B346="","",IFERROR(B346/INDEX($B$2:$B$800,MATCH(DATE(YEAR(A346)-1,12,1),$A$2:$A$800,0))-1,""))</f>
        <v/>
      </c>
      <c r="E346" s="122">
        <f>IF(B346="","",IFERROR(B346/INDEX($B$2:$B$800,MATCH(DATE(YEAR(A346)-1,MONTH(A346),1),$A$2:$A$800,0))-1,""))</f>
        <v/>
      </c>
    </row>
    <row r="347">
      <c r="A347" s="121" t="n">
        <v>45047</v>
      </c>
      <c r="B347" s="47" t="n">
        <v>1067.919</v>
      </c>
      <c r="C347" s="122">
        <f>IF(OR(B347="",B346=""),"",B347/B346-1)</f>
        <v/>
      </c>
      <c r="D347" s="122">
        <f>IF(B347="","",IFERROR(B347/INDEX($B$2:$B$800,MATCH(DATE(YEAR(A347)-1,12,1),$A$2:$A$800,0))-1,""))</f>
        <v/>
      </c>
      <c r="E347" s="122">
        <f>IF(B347="","",IFERROR(B347/INDEX($B$2:$B$800,MATCH(DATE(YEAR(A347)-1,MONTH(A347),1),$A$2:$A$800,0))-1,""))</f>
        <v/>
      </c>
    </row>
    <row r="348">
      <c r="A348" s="121" t="n">
        <v>45078</v>
      </c>
      <c r="B348" s="47" t="n">
        <v>1075.54</v>
      </c>
      <c r="C348" s="122">
        <f>IF(OR(B348="",B347=""),"",B348/B347-1)</f>
        <v/>
      </c>
      <c r="D348" s="122">
        <f>IF(B348="","",IFERROR(B348/INDEX($B$2:$B$800,MATCH(DATE(YEAR(A348)-1,12,1),$A$2:$A$800,0))-1,""))</f>
        <v/>
      </c>
      <c r="E348" s="122">
        <f>IF(B348="","",IFERROR(B348/INDEX($B$2:$B$800,MATCH(DATE(YEAR(A348)-1,MONTH(A348),1),$A$2:$A$800,0))-1,""))</f>
        <v/>
      </c>
    </row>
    <row r="349">
      <c r="A349" s="121" t="n">
        <v>45108</v>
      </c>
      <c r="B349" s="47" t="n">
        <v>1076.626</v>
      </c>
      <c r="C349" s="122">
        <f>IF(OR(B349="",B348=""),"",B349/B348-1)</f>
        <v/>
      </c>
      <c r="D349" s="122">
        <f>IF(B349="","",IFERROR(B349/INDEX($B$2:$B$800,MATCH(DATE(YEAR(A349)-1,12,1),$A$2:$A$800,0))-1,""))</f>
        <v/>
      </c>
      <c r="E349" s="122">
        <f>IF(B349="","",IFERROR(B349/INDEX($B$2:$B$800,MATCH(DATE(YEAR(A349)-1,MONTH(A349),1),$A$2:$A$800,0))-1,""))</f>
        <v/>
      </c>
    </row>
    <row r="350">
      <c r="A350" s="121" t="n">
        <v>45139</v>
      </c>
      <c r="B350" s="47" t="n">
        <v>1078.412</v>
      </c>
      <c r="C350" s="122">
        <f>IF(OR(B350="",B349=""),"",B350/B349-1)</f>
        <v/>
      </c>
      <c r="D350" s="122">
        <f>IF(B350="","",IFERROR(B350/INDEX($B$2:$B$800,MATCH(DATE(YEAR(A350)-1,12,1),$A$2:$A$800,0))-1,""))</f>
        <v/>
      </c>
      <c r="E350" s="122">
        <f>IF(B350="","",IFERROR(B350/INDEX($B$2:$B$800,MATCH(DATE(YEAR(A350)-1,MONTH(A350),1),$A$2:$A$800,0))-1,""))</f>
        <v/>
      </c>
    </row>
    <row r="351">
      <c r="A351" s="121" t="n">
        <v>45170</v>
      </c>
      <c r="B351" s="47" t="n">
        <v>1082.104</v>
      </c>
      <c r="C351" s="122">
        <f>IF(OR(B351="",B350=""),"",B351/B350-1)</f>
        <v/>
      </c>
      <c r="D351" s="122">
        <f>IF(B351="","",IFERROR(B351/INDEX($B$2:$B$800,MATCH(DATE(YEAR(A351)-1,12,1),$A$2:$A$800,0))-1,""))</f>
        <v/>
      </c>
      <c r="E351" s="122">
        <f>IF(B351="","",IFERROR(B351/INDEX($B$2:$B$800,MATCH(DATE(YEAR(A351)-1,MONTH(A351),1),$A$2:$A$800,0))-1,""))</f>
        <v/>
      </c>
    </row>
    <row r="352">
      <c r="A352" s="121" t="n">
        <v>45200</v>
      </c>
      <c r="B352" s="47" t="n">
        <v>1084.242</v>
      </c>
      <c r="C352" s="122">
        <f>IF(OR(B352="",B351=""),"",B352/B351-1)</f>
        <v/>
      </c>
      <c r="D352" s="122">
        <f>IF(B352="","",IFERROR(B352/INDEX($B$2:$B$800,MATCH(DATE(YEAR(A352)-1,12,1),$A$2:$A$800,0))-1,""))</f>
        <v/>
      </c>
      <c r="E352" s="122">
        <f>IF(B352="","",IFERROR(B352/INDEX($B$2:$B$800,MATCH(DATE(YEAR(A352)-1,MONTH(A352),1),$A$2:$A$800,0))-1,""))</f>
        <v/>
      </c>
    </row>
    <row r="353">
      <c r="A353" s="121" t="n">
        <v>45231</v>
      </c>
      <c r="B353" s="47" t="n">
        <v>1084.986</v>
      </c>
      <c r="C353" s="122">
        <f>IF(OR(B353="",B352=""),"",B353/B352-1)</f>
        <v/>
      </c>
      <c r="D353" s="122">
        <f>IF(B353="","",IFERROR(B353/INDEX($B$2:$B$800,MATCH(DATE(YEAR(A353)-1,12,1),$A$2:$A$800,0))-1,""))</f>
        <v/>
      </c>
      <c r="E353" s="122">
        <f>IF(B353="","",IFERROR(B353/INDEX($B$2:$B$800,MATCH(DATE(YEAR(A353)-1,MONTH(A353),1),$A$2:$A$800,0))-1,""))</f>
        <v/>
      </c>
    </row>
    <row r="354">
      <c r="A354" s="121" t="n">
        <v>45261</v>
      </c>
      <c r="B354" s="47" t="n">
        <v>1088.312</v>
      </c>
      <c r="C354" s="122">
        <f>IF(OR(B354="",B353=""),"",B354/B353-1)</f>
        <v/>
      </c>
      <c r="D354" s="122">
        <f>IF(B354="","",IFERROR(B354/INDEX($B$2:$B$800,MATCH(DATE(YEAR(A354)-1,12,1),$A$2:$A$800,0))-1,""))</f>
        <v/>
      </c>
      <c r="E354" s="122">
        <f>IF(B354="","",IFERROR(B354/INDEX($B$2:$B$800,MATCH(DATE(YEAR(A354)-1,MONTH(A354),1),$A$2:$A$800,0))-1,""))</f>
        <v/>
      </c>
    </row>
    <row r="355">
      <c r="A355" s="121" t="n">
        <v>45292</v>
      </c>
      <c r="B355" s="47" t="n">
        <v>1091.25</v>
      </c>
      <c r="C355" s="122">
        <f>IF(OR(B355="",B354=""),"",B355/B354-1)</f>
        <v/>
      </c>
      <c r="D355" s="122">
        <f>IF(B355="","",IFERROR(B355/INDEX($B$2:$B$800,MATCH(DATE(YEAR(A355)-1,12,1),$A$2:$A$800,0))-1,""))</f>
        <v/>
      </c>
      <c r="E355" s="122">
        <f>IF(B355="","",IFERROR(B355/INDEX($B$2:$B$800,MATCH(DATE(YEAR(A355)-1,MONTH(A355),1),$A$2:$A$800,0))-1,""))</f>
        <v/>
      </c>
    </row>
    <row r="356">
      <c r="A356" s="121" t="n">
        <v>45323</v>
      </c>
      <c r="B356" s="47" t="n">
        <v>1092.685</v>
      </c>
      <c r="C356" s="122">
        <f>IF(OR(B356="",B355=""),"",B356/B355-1)</f>
        <v/>
      </c>
      <c r="D356" s="122">
        <f>IF(B356="","",IFERROR(B356/INDEX($B$2:$B$800,MATCH(DATE(YEAR(A356)-1,12,1),$A$2:$A$800,0))-1,""))</f>
        <v/>
      </c>
      <c r="E356" s="122">
        <f>IF(B356="","",IFERROR(B356/INDEX($B$2:$B$800,MATCH(DATE(YEAR(A356)-1,MONTH(A356),1),$A$2:$A$800,0))-1,""))</f>
        <v/>
      </c>
    </row>
    <row r="357">
      <c r="A357" s="121" t="n">
        <v>45352</v>
      </c>
      <c r="B357" s="47" t="n">
        <v>1095.738</v>
      </c>
      <c r="C357" s="122">
        <f>IF(OR(B357="",B356=""),"",B357/B356-1)</f>
        <v/>
      </c>
      <c r="D357" s="122">
        <f>IF(B357="","",IFERROR(B357/INDEX($B$2:$B$800,MATCH(DATE(YEAR(A357)-1,12,1),$A$2:$A$800,0))-1,""))</f>
        <v/>
      </c>
      <c r="E357" s="122">
        <f>IF(B357="","",IFERROR(B357/INDEX($B$2:$B$800,MATCH(DATE(YEAR(A357)-1,MONTH(A357),1),$A$2:$A$800,0))-1,""))</f>
        <v/>
      </c>
    </row>
    <row r="358">
      <c r="A358" s="121" t="n">
        <v>45383</v>
      </c>
      <c r="B358" s="47" t="n">
        <v>1101.389</v>
      </c>
      <c r="C358" s="122">
        <f>IF(OR(B358="",B357=""),"",B358/B357-1)</f>
        <v/>
      </c>
      <c r="D358" s="122">
        <f>IF(B358="","",IFERROR(B358/INDEX($B$2:$B$800,MATCH(DATE(YEAR(A358)-1,12,1),$A$2:$A$800,0))-1,""))</f>
        <v/>
      </c>
      <c r="E358" s="122">
        <f>IF(B358="","",IFERROR(B358/INDEX($B$2:$B$800,MATCH(DATE(YEAR(A358)-1,MONTH(A358),1),$A$2:$A$800,0))-1,""))</f>
        <v/>
      </c>
    </row>
    <row r="359">
      <c r="A359" s="121" t="n">
        <v>45413</v>
      </c>
      <c r="B359" s="47" t="n">
        <v>1110.887</v>
      </c>
      <c r="C359" s="122">
        <f>IF(OR(B359="",B358=""),"",B359/B358-1)</f>
        <v/>
      </c>
      <c r="D359" s="122">
        <f>IF(B359="","",IFERROR(B359/INDEX($B$2:$B$800,MATCH(DATE(YEAR(A359)-1,12,1),$A$2:$A$800,0))-1,""))</f>
        <v/>
      </c>
      <c r="E359" s="122">
        <f>IF(B359="","",IFERROR(B359/INDEX($B$2:$B$800,MATCH(DATE(YEAR(A359)-1,MONTH(A359),1),$A$2:$A$800,0))-1,""))</f>
        <v/>
      </c>
    </row>
    <row r="360">
      <c r="A360" s="121" t="n">
        <v>45444</v>
      </c>
      <c r="B360" s="47" t="n">
        <v>1118.827</v>
      </c>
      <c r="C360" s="122">
        <f>IF(OR(B360="",B359=""),"",B360/B359-1)</f>
        <v/>
      </c>
      <c r="D360" s="122">
        <f>IF(B360="","",IFERROR(B360/INDEX($B$2:$B$800,MATCH(DATE(YEAR(A360)-1,12,1),$A$2:$A$800,0))-1,""))</f>
        <v/>
      </c>
      <c r="E360" s="122">
        <f>IF(B360="","",IFERROR(B360/INDEX($B$2:$B$800,MATCH(DATE(YEAR(A360)-1,MONTH(A360),1),$A$2:$A$800,0))-1,""))</f>
        <v/>
      </c>
    </row>
    <row r="361">
      <c r="A361" s="121" t="n">
        <v>45474</v>
      </c>
      <c r="B361" s="47" t="n">
        <v>1126.916</v>
      </c>
      <c r="C361" s="122">
        <f>IF(OR(B361="",B360=""),"",B361/B360-1)</f>
        <v/>
      </c>
      <c r="D361" s="122">
        <f>IF(B361="","",IFERROR(B361/INDEX($B$2:$B$800,MATCH(DATE(YEAR(A361)-1,12,1),$A$2:$A$800,0))-1,""))</f>
        <v/>
      </c>
      <c r="E361" s="122">
        <f>IF(B361="","",IFERROR(B361/INDEX($B$2:$B$800,MATCH(DATE(YEAR(A361)-1,MONTH(A361),1),$A$2:$A$800,0))-1,""))</f>
        <v/>
      </c>
    </row>
    <row r="362">
      <c r="A362" s="121" t="n">
        <v>45505</v>
      </c>
      <c r="B362" s="47" t="n">
        <v>1134.775</v>
      </c>
      <c r="C362" s="122">
        <f>IF(OR(B362="",B361=""),"",B362/B361-1)</f>
        <v/>
      </c>
      <c r="D362" s="122">
        <f>IF(B362="","",IFERROR(B362/INDEX($B$2:$B$800,MATCH(DATE(YEAR(A362)-1,12,1),$A$2:$A$800,0))-1,""))</f>
        <v/>
      </c>
      <c r="E362" s="122">
        <f>IF(B362="","",IFERROR(B362/INDEX($B$2:$B$800,MATCH(DATE(YEAR(A362)-1,MONTH(A362),1),$A$2:$A$800,0))-1,""))</f>
        <v/>
      </c>
    </row>
    <row r="363">
      <c r="A363" s="121" t="n">
        <v>45536</v>
      </c>
      <c r="B363" s="47" t="n">
        <v>1141.398</v>
      </c>
      <c r="C363" s="122">
        <f>IF(OR(B363="",B362=""),"",B363/B362-1)</f>
        <v/>
      </c>
      <c r="D363" s="122">
        <f>IF(B363="","",IFERROR(B363/INDEX($B$2:$B$800,MATCH(DATE(YEAR(A363)-1,12,1),$A$2:$A$800,0))-1,""))</f>
        <v/>
      </c>
      <c r="E363" s="122">
        <f>IF(B363="","",IFERROR(B363/INDEX($B$2:$B$800,MATCH(DATE(YEAR(A363)-1,MONTH(A363),1),$A$2:$A$800,0))-1,""))</f>
        <v/>
      </c>
    </row>
    <row r="364">
      <c r="A364" s="121" t="n">
        <v>45566</v>
      </c>
      <c r="B364" s="47" t="n">
        <v>1149.17</v>
      </c>
      <c r="C364" s="122">
        <f>IF(OR(B364="",B363=""),"",B364/B363-1)</f>
        <v/>
      </c>
      <c r="D364" s="122">
        <f>IF(B364="","",IFERROR(B364/INDEX($B$2:$B$800,MATCH(DATE(YEAR(A364)-1,12,1),$A$2:$A$800,0))-1,""))</f>
        <v/>
      </c>
      <c r="E364" s="122">
        <f>IF(B364="","",IFERROR(B364/INDEX($B$2:$B$800,MATCH(DATE(YEAR(A364)-1,MONTH(A364),1),$A$2:$A$800,0))-1,""))</f>
        <v/>
      </c>
    </row>
    <row r="365">
      <c r="A365" s="121" t="n">
        <v>45597</v>
      </c>
      <c r="B365" s="47" t="n">
        <v>1153.725</v>
      </c>
      <c r="C365" s="122">
        <f>IF(OR(B365="",B364=""),"",B365/B364-1)</f>
        <v/>
      </c>
      <c r="D365" s="122">
        <f>IF(B365="","",IFERROR(B365/INDEX($B$2:$B$800,MATCH(DATE(YEAR(A365)-1,12,1),$A$2:$A$800,0))-1,""))</f>
        <v/>
      </c>
      <c r="E365" s="122">
        <f>IF(B365="","",IFERROR(B365/INDEX($B$2:$B$800,MATCH(DATE(YEAR(A365)-1,MONTH(A365),1),$A$2:$A$800,0))-1,""))</f>
        <v/>
      </c>
    </row>
    <row r="366">
      <c r="A366" s="121" t="n">
        <v>45627</v>
      </c>
      <c r="B366" s="47" t="n">
        <v>1159.536</v>
      </c>
      <c r="C366" s="122">
        <f>IF(OR(B366="",B365=""),"",B366/B365-1)</f>
        <v/>
      </c>
      <c r="D366" s="122">
        <f>IF(B366="","",IFERROR(B366/INDEX($B$2:$B$800,MATCH(DATE(YEAR(A366)-1,12,1),$A$2:$A$800,0))-1,""))</f>
        <v/>
      </c>
      <c r="E366" s="122">
        <f>IF(B366="","",IFERROR(B366/INDEX($B$2:$B$800,MATCH(DATE(YEAR(A366)-1,MONTH(A366),1),$A$2:$A$800,0))-1,""))</f>
        <v/>
      </c>
    </row>
    <row r="367">
      <c r="A367" s="121" t="n">
        <v>45658</v>
      </c>
      <c r="B367" s="47" t="n">
        <v>1169.116</v>
      </c>
      <c r="C367" s="122">
        <f>IF(OR(B367="",B366=""),"",B367/B366-1)</f>
        <v/>
      </c>
      <c r="D367" s="122">
        <f>IF(B367="","",IFERROR(B367/INDEX($B$2:$B$800,MATCH(DATE(YEAR(A367)-1,12,1),$A$2:$A$800,0))-1,""))</f>
        <v/>
      </c>
      <c r="E367" s="122">
        <f>IF(B367="","",IFERROR(B367/INDEX($B$2:$B$800,MATCH(DATE(YEAR(A367)-1,MONTH(A367),1),$A$2:$A$800,0))-1,""))</f>
        <v/>
      </c>
    </row>
    <row r="368">
      <c r="A368" s="121" t="n">
        <v>45689</v>
      </c>
      <c r="B368" s="47" t="n">
        <v>1173.775</v>
      </c>
      <c r="C368" s="122">
        <f>IF(OR(B368="",B367=""),"",B368/B367-1)</f>
        <v/>
      </c>
      <c r="D368" s="122">
        <f>IF(B368="","",IFERROR(B368/INDEX($B$2:$B$800,MATCH(DATE(YEAR(A368)-1,12,1),$A$2:$A$800,0))-1,""))</f>
        <v/>
      </c>
      <c r="E368" s="122">
        <f>IF(B368="","",IFERROR(B368/INDEX($B$2:$B$800,MATCH(DATE(YEAR(A368)-1,MONTH(A368),1),$A$2:$A$800,0))-1,""))</f>
        <v/>
      </c>
    </row>
    <row r="369">
      <c r="A369" s="121" t="n">
        <v>45717</v>
      </c>
      <c r="B369" s="47" t="n">
        <v>1178.386</v>
      </c>
      <c r="C369" s="122">
        <f>IF(OR(B369="",B368=""),"",B369/B368-1)</f>
        <v/>
      </c>
      <c r="D369" s="122">
        <f>IF(B369="","",IFERROR(B369/INDEX($B$2:$B$800,MATCH(DATE(YEAR(A369)-1,12,1),$A$2:$A$800,0))-1,""))</f>
        <v/>
      </c>
      <c r="E369" s="122">
        <f>IF(B369="","",IFERROR(B369/INDEX($B$2:$B$800,MATCH(DATE(YEAR(A369)-1,MONTH(A369),1),$A$2:$A$800,0))-1,""))</f>
        <v/>
      </c>
    </row>
    <row r="370">
      <c r="A370" s="121" t="n">
        <v>45748</v>
      </c>
      <c r="B370" s="47" t="n">
        <v>1184.462</v>
      </c>
      <c r="C370" s="122">
        <f>IF(OR(B370="",B369=""),"",B370/B369-1)</f>
        <v/>
      </c>
      <c r="D370" s="122">
        <f>IF(B370="","",IFERROR(B370/INDEX($B$2:$B$800,MATCH(DATE(YEAR(A370)-1,12,1),$A$2:$A$800,0))-1,""))</f>
        <v/>
      </c>
      <c r="E370" s="122">
        <f>IF(B370="","",IFERROR(B370/INDEX($B$2:$B$800,MATCH(DATE(YEAR(A370)-1,MONTH(A370),1),$A$2:$A$800,0))-1,""))</f>
        <v/>
      </c>
    </row>
    <row r="371">
      <c r="A371" s="121" t="n">
        <v>45778</v>
      </c>
      <c r="B371" s="47" t="n">
        <v>1191.327</v>
      </c>
      <c r="C371" s="122">
        <f>IF(OR(B371="",B370=""),"",B371/B370-1)</f>
        <v/>
      </c>
      <c r="D371" s="122">
        <f>IF(B371="","",IFERROR(B371/INDEX($B$2:$B$800,MATCH(DATE(YEAR(A371)-1,12,1),$A$2:$A$800,0))-1,""))</f>
        <v/>
      </c>
      <c r="E371" s="122">
        <f>IF(B371="","",IFERROR(B371/INDEX($B$2:$B$800,MATCH(DATE(YEAR(A371)-1,MONTH(A371),1),$A$2:$A$800,0))-1,""))</f>
        <v/>
      </c>
    </row>
    <row r="372">
      <c r="A372" s="121" t="n">
        <v>45809</v>
      </c>
      <c r="B372" s="47" t="n">
        <v>1199.509</v>
      </c>
      <c r="C372" s="122">
        <f>IF(OR(B372="",B371=""),"",B372/B371-1)</f>
        <v/>
      </c>
      <c r="D372" s="122">
        <f>IF(B372="","",IFERROR(B372/INDEX($B$2:$B$800,MATCH(DATE(YEAR(A372)-1,12,1),$A$2:$A$800,0))-1,""))</f>
        <v/>
      </c>
      <c r="E372" s="122">
        <f>IF(B372="","",IFERROR(B372/INDEX($B$2:$B$800,MATCH(DATE(YEAR(A372)-1,MONTH(A372),1),$A$2:$A$800,0))-1,""))</f>
        <v/>
      </c>
    </row>
    <row r="373">
      <c r="A373" s="121" t="n">
        <v>45839</v>
      </c>
      <c r="B373" s="47" t="n">
        <v>1210.471</v>
      </c>
      <c r="C373" s="122">
        <f>IF(OR(B373="",B372=""),"",B373/B372-1)</f>
        <v/>
      </c>
      <c r="D373" s="122">
        <f>IF(B373="","",IFERROR(B373/INDEX($B$2:$B$800,MATCH(DATE(YEAR(A373)-1,12,1),$A$2:$A$800,0))-1,""))</f>
        <v/>
      </c>
      <c r="E373" s="122">
        <f>IF(B373="","",IFERROR(B373/INDEX($B$2:$B$800,MATCH(DATE(YEAR(A373)-1,MONTH(A373),1),$A$2:$A$800,0))-1,""))</f>
        <v/>
      </c>
    </row>
    <row r="374">
      <c r="A374" s="121" t="n">
        <v>45870</v>
      </c>
      <c r="B374" s="47" t="n">
        <v>1216.706</v>
      </c>
      <c r="C374" s="122">
        <f>IF(OR(B374="",B373=""),"",B374/B373-1)</f>
        <v/>
      </c>
      <c r="D374" s="122">
        <f>IF(B374="","",IFERROR(B374/INDEX($B$2:$B$800,MATCH(DATE(YEAR(A374)-1,12,1),$A$2:$A$800,0))-1,""))</f>
        <v/>
      </c>
      <c r="E374" s="122">
        <f>IF(B374="","",IFERROR(B374/INDEX($B$2:$B$800,MATCH(DATE(YEAR(A374)-1,MONTH(A374),1),$A$2:$A$800,0))-1,""))</f>
        <v/>
      </c>
    </row>
    <row r="375">
      <c r="A375" s="121" t="n">
        <v>45901</v>
      </c>
      <c r="B375" s="47" t="n">
        <v>1218.747</v>
      </c>
      <c r="C375" s="122">
        <f>IF(OR(B375="",B374=""),"",B375/B374-1)</f>
        <v/>
      </c>
      <c r="D375" s="122">
        <f>IF(B375="","",IFERROR(B375/INDEX($B$2:$B$800,MATCH(DATE(YEAR(A375)-1,12,1),$A$2:$A$800,0))-1,""))</f>
        <v/>
      </c>
      <c r="E375" s="122">
        <f>IF(B375="","",IFERROR(B375/INDEX($B$2:$B$800,MATCH(DATE(YEAR(A375)-1,MONTH(A375),1),$A$2:$A$800,0))-1,""))</f>
        <v/>
      </c>
    </row>
    <row r="376">
      <c r="A376" s="121" t="n">
        <v>45931</v>
      </c>
      <c r="B376" s="47" t="n">
        <v>1222.356</v>
      </c>
      <c r="C376" s="122">
        <f>IF(OR(B376="",B375=""),"",B376/B375-1)</f>
        <v/>
      </c>
      <c r="D376" s="122">
        <f>IF(B376="","",IFERROR(B376/INDEX($B$2:$B$800,MATCH(DATE(YEAR(A376)-1,12,1),$A$2:$A$800,0))-1,""))</f>
        <v/>
      </c>
      <c r="E376" s="122">
        <f>IF(B376="","",IFERROR(B376/INDEX($B$2:$B$800,MATCH(DATE(YEAR(A376)-1,MONTH(A376),1),$A$2:$A$800,0))-1,""))</f>
        <v/>
      </c>
    </row>
    <row r="377">
      <c r="A377" s="121" t="n">
        <v>45962</v>
      </c>
      <c r="B377" s="47" t="n">
        <v>1225.633</v>
      </c>
      <c r="C377" s="122">
        <f>IF(OR(B377="",B376=""),"",B377/B376-1)</f>
        <v/>
      </c>
      <c r="D377" s="122">
        <f>IF(B377="","",IFERROR(B377/INDEX($B$2:$B$800,MATCH(DATE(YEAR(A377)-1,12,1),$A$2:$A$800,0))-1,""))</f>
        <v/>
      </c>
      <c r="E377" s="122">
        <f>IF(B377="","",IFERROR(B377/INDEX($B$2:$B$800,MATCH(DATE(YEAR(A377)-1,MONTH(A377),1),$A$2:$A$800,0))-1,""))</f>
        <v/>
      </c>
    </row>
    <row r="378">
      <c r="A378" s="121" t="n">
        <v>45992</v>
      </c>
      <c r="B378" s="47" t="n">
        <v>1228.161</v>
      </c>
      <c r="C378" s="122">
        <f>IF(OR(B378="",B377=""),"",B378/B377-1)</f>
        <v/>
      </c>
      <c r="D378" s="122">
        <f>IF(B378="","",IFERROR(B378/INDEX($B$2:$B$800,MATCH(DATE(YEAR(A378)-1,12,1),$A$2:$A$800,0))-1,""))</f>
        <v/>
      </c>
      <c r="E378" s="122">
        <f>IF(B378="","",IFERROR(B378/INDEX($B$2:$B$800,MATCH(DATE(YEAR(A378)-1,MONTH(A378),1),$A$2:$A$800,0))-1,""))</f>
        <v/>
      </c>
    </row>
    <row r="379">
      <c r="A379" s="121" t="n">
        <v>46023</v>
      </c>
      <c r="B379" s="47" t="n">
        <v>1237.036</v>
      </c>
      <c r="C379" s="122">
        <f>IF(OR(B379="",B378=""),"",B379/B378-1)</f>
        <v/>
      </c>
      <c r="D379" s="122">
        <f>IF(B379="","",IFERROR(B379/INDEX($B$2:$B$800,MATCH(DATE(YEAR(A379)-1,12,1),$A$2:$A$800,0))-1,""))</f>
        <v/>
      </c>
      <c r="E379" s="122">
        <f>IF(B379="","",IFERROR(B379/INDEX($B$2:$B$800,MATCH(DATE(YEAR(A379)-1,MONTH(A379),1),$A$2:$A$800,0))-1,""))</f>
        <v/>
      </c>
    </row>
    <row r="380">
      <c r="A380" s="121" t="n">
        <v>46054</v>
      </c>
      <c r="B380" s="47" t="n">
        <v>1240.481</v>
      </c>
      <c r="C380" s="122">
        <f>IF(OR(B380="",B379=""),"",B380/B379-1)</f>
        <v/>
      </c>
      <c r="D380" s="122">
        <f>IF(B380="","",IFERROR(B380/INDEX($B$2:$B$800,MATCH(DATE(YEAR(A380)-1,12,1),$A$2:$A$800,0))-1,""))</f>
        <v/>
      </c>
      <c r="E380" s="122">
        <f>IF(B380="","",IFERROR(B380/INDEX($B$2:$B$800,MATCH(DATE(YEAR(A380)-1,MONTH(A380),1),$A$2:$A$800,0))-1,""))</f>
        <v/>
      </c>
    </row>
    <row r="381">
      <c r="A381" s="121" t="n">
        <v>46082</v>
      </c>
      <c r="B381" s="47" t="n">
        <v>1247.181</v>
      </c>
      <c r="C381" s="122">
        <f>IF(OR(B381="",B380=""),"",B381/B380-1)</f>
        <v/>
      </c>
      <c r="D381" s="122">
        <f>IF(B381="","",IFERROR(B381/INDEX($B$2:$B$800,MATCH(DATE(YEAR(A381)-1,12,1),$A$2:$A$800,0))-1,""))</f>
        <v/>
      </c>
      <c r="E381" s="122">
        <f>IF(B381="","",IFERROR(B381/INDEX($B$2:$B$800,MATCH(DATE(YEAR(A381)-1,MONTH(A381),1),$A$2:$A$800,0))-1,""))</f>
        <v/>
      </c>
    </row>
    <row r="382">
      <c r="A382" s="121" t="n">
        <v>46113</v>
      </c>
      <c r="B382" s="47" t="n">
        <v>1259.652</v>
      </c>
      <c r="C382" s="122">
        <f>IF(OR(B382="",B381=""),"",B382/B381-1)</f>
        <v/>
      </c>
      <c r="D382" s="122">
        <f>IF(B382="","",IFERROR(B382/INDEX($B$2:$B$800,MATCH(DATE(YEAR(A382)-1,12,1),$A$2:$A$800,0))-1,""))</f>
        <v/>
      </c>
      <c r="E382" s="122">
        <f>IF(B382="","",IFERROR(B382/INDEX($B$2:$B$800,MATCH(DATE(YEAR(A382)-1,MONTH(A382),1),$A$2:$A$800,0))-1,""))</f>
        <v/>
      </c>
    </row>
    <row r="383">
      <c r="A383" s="121" t="n">
        <v>46143</v>
      </c>
      <c r="B383" s="47" t="n">
        <v>1270.695</v>
      </c>
      <c r="C383" s="122">
        <f>IF(OR(B383="",B382=""),"",B383/B382-1)</f>
        <v/>
      </c>
      <c r="D383" s="122">
        <f>IF(B383="","",IFERROR(B383/INDEX($B$2:$B$800,MATCH(DATE(YEAR(A383)-1,12,1),$A$2:$A$800,0))-1,""))</f>
        <v/>
      </c>
      <c r="E383" s="122">
        <f>IF(B383="","",IFERROR(B383/INDEX($B$2:$B$800,MATCH(DATE(YEAR(A383)-1,MONTH(A383),1),$A$2:$A$800,0))-1,""))</f>
        <v/>
      </c>
    </row>
    <row r="384">
      <c r="A384" s="121" t="n">
        <v>46174</v>
      </c>
      <c r="B384" s="47" t="n">
        <v>1280.641</v>
      </c>
      <c r="C384" s="122">
        <f>IF(OR(B384="",B383=""),"",B384/B383-1)</f>
        <v/>
      </c>
      <c r="D384" s="122">
        <f>IF(B384="","",IFERROR(B384/INDEX($B$2:$B$800,MATCH(DATE(YEAR(A384)-1,12,1),$A$2:$A$800,0))-1,""))</f>
        <v/>
      </c>
      <c r="E384" s="122">
        <f>IF(B384="","",IFERROR(B384/INDEX($B$2:$B$800,MATCH(DATE(YEAR(A384)-1,MONTH(A384),1),$A$2:$A$800,0))-1,""))</f>
        <v/>
      </c>
    </row>
    <row r="385">
      <c r="A385" s="121" t="n">
        <v>46204</v>
      </c>
      <c r="B385" s="47" t="n">
        <v>1288.431</v>
      </c>
      <c r="C385" s="122">
        <f>IF(OR(B385="",B384=""),"",B385/B384-1)</f>
        <v/>
      </c>
      <c r="D385" s="122">
        <f>IF(B385="","",IFERROR(B385/INDEX($B$2:$B$800,MATCH(DATE(YEAR(A385)-1,12,1),$A$2:$A$800,0))-1,""))</f>
        <v/>
      </c>
      <c r="E385" s="122">
        <f>IF(B385="","",IFERROR(B385/INDEX($B$2:$B$800,MATCH(DATE(YEAR(A385)-1,MONTH(A385),1),$A$2:$A$800,0))-1,""))</f>
        <v/>
      </c>
    </row>
    <row r="386">
      <c r="A386" s="121" t="n">
        <v>46235</v>
      </c>
      <c r="B386" s="47" t="n">
        <v>1296.889</v>
      </c>
      <c r="C386" s="122">
        <f>IF(OR(B386="",B385=""),"",B386/B385-1)</f>
        <v/>
      </c>
      <c r="D386" s="122">
        <f>IF(B386="","",IFERROR(B386/INDEX($B$2:$B$800,MATCH(DATE(YEAR(A386)-1,12,1),$A$2:$A$800,0))-1,""))</f>
        <v/>
      </c>
      <c r="E386" s="122">
        <f>IF(B386="","",IFERROR(B386/INDEX($B$2:$B$800,MATCH(DATE(YEAR(A386)-1,MONTH(A386),1),$A$2:$A$800,0))-1,""))</f>
        <v/>
      </c>
    </row>
    <row r="387">
      <c r="A387" s="124" t="n"/>
      <c r="B387" s="125" t="n"/>
      <c r="C387" s="122">
        <f>IF(OR(B387="",B386=""),"",B387/B386-1)</f>
        <v/>
      </c>
      <c r="D387" s="122">
        <f>IF(B387="","",IFERROR(B387/INDEX($B$2:$B$800,MATCH(DATE(YEAR(A387)-1,12,1),$A$2:$A$800,0))-1,""))</f>
        <v/>
      </c>
      <c r="E387" s="122">
        <f>IF(B387="","",IFERROR(B387/INDEX($B$2:$B$800,MATCH(DATE(YEAR(A387)-1,MONTH(A387),1),$A$2:$A$800,0))-1,""))</f>
        <v/>
      </c>
    </row>
    <row r="388">
      <c r="A388" s="124" t="n"/>
      <c r="B388" s="125" t="n"/>
      <c r="C388" s="122">
        <f>IF(OR(B388="",B387=""),"",B388/B387-1)</f>
        <v/>
      </c>
      <c r="D388" s="122">
        <f>IF(B388="","",IFERROR(B388/INDEX($B$2:$B$800,MATCH(DATE(YEAR(A388)-1,12,1),$A$2:$A$800,0))-1,""))</f>
        <v/>
      </c>
      <c r="E388" s="122">
        <f>IF(B388="","",IFERROR(B388/INDEX($B$2:$B$800,MATCH(DATE(YEAR(A388)-1,MONTH(A388),1),$A$2:$A$800,0))-1,""))</f>
        <v/>
      </c>
    </row>
    <row r="389">
      <c r="A389" s="124" t="n"/>
      <c r="B389" s="125" t="n"/>
      <c r="C389" s="122">
        <f>IF(OR(B389="",B388=""),"",B389/B388-1)</f>
        <v/>
      </c>
      <c r="D389" s="122">
        <f>IF(B389="","",IFERROR(B389/INDEX($B$2:$B$800,MATCH(DATE(YEAR(A389)-1,12,1),$A$2:$A$800,0))-1,""))</f>
        <v/>
      </c>
      <c r="E389" s="122">
        <f>IF(B389="","",IFERROR(B389/INDEX($B$2:$B$800,MATCH(DATE(YEAR(A389)-1,MONTH(A389),1),$A$2:$A$800,0))-1,""))</f>
        <v/>
      </c>
    </row>
    <row r="390">
      <c r="A390" s="124" t="n"/>
      <c r="B390" s="125" t="n"/>
      <c r="C390" s="122">
        <f>IF(OR(B390="",B389=""),"",B390/B389-1)</f>
        <v/>
      </c>
      <c r="D390" s="122">
        <f>IF(B390="","",IFERROR(B390/INDEX($B$2:$B$800,MATCH(DATE(YEAR(A390)-1,12,1),$A$2:$A$800,0))-1,""))</f>
        <v/>
      </c>
      <c r="E390" s="122">
        <f>IF(B390="","",IFERROR(B390/INDEX($B$2:$B$800,MATCH(DATE(YEAR(A390)-1,MONTH(A390),1),$A$2:$A$800,0))-1,""))</f>
        <v/>
      </c>
    </row>
    <row r="391">
      <c r="A391" s="124" t="n"/>
      <c r="B391" s="125" t="n"/>
      <c r="C391" s="122">
        <f>IF(OR(B391="",B390=""),"",B391/B390-1)</f>
        <v/>
      </c>
      <c r="D391" s="122">
        <f>IF(B391="","",IFERROR(B391/INDEX($B$2:$B$800,MATCH(DATE(YEAR(A391)-1,12,1),$A$2:$A$800,0))-1,""))</f>
        <v/>
      </c>
      <c r="E391" s="122">
        <f>IF(B391="","",IFERROR(B391/INDEX($B$2:$B$800,MATCH(DATE(YEAR(A391)-1,MONTH(A391),1),$A$2:$A$800,0))-1,""))</f>
        <v/>
      </c>
    </row>
    <row r="392">
      <c r="A392" s="124" t="n"/>
      <c r="B392" s="125" t="n"/>
      <c r="C392" s="122">
        <f>IF(OR(B392="",B391=""),"",B392/B391-1)</f>
        <v/>
      </c>
      <c r="D392" s="122">
        <f>IF(B392="","",IFERROR(B392/INDEX($B$2:$B$800,MATCH(DATE(YEAR(A392)-1,12,1),$A$2:$A$800,0))-1,""))</f>
        <v/>
      </c>
      <c r="E392" s="122">
        <f>IF(B392="","",IFERROR(B392/INDEX($B$2:$B$800,MATCH(DATE(YEAR(A392)-1,MONTH(A392),1),$A$2:$A$800,0))-1,""))</f>
        <v/>
      </c>
    </row>
    <row r="393">
      <c r="A393" s="124" t="n"/>
      <c r="B393" s="125" t="n"/>
      <c r="C393" s="122">
        <f>IF(OR(B393="",B392=""),"",B393/B392-1)</f>
        <v/>
      </c>
      <c r="D393" s="122">
        <f>IF(B393="","",IFERROR(B393/INDEX($B$2:$B$800,MATCH(DATE(YEAR(A393)-1,12,1),$A$2:$A$800,0))-1,""))</f>
        <v/>
      </c>
      <c r="E393" s="122">
        <f>IF(B393="","",IFERROR(B393/INDEX($B$2:$B$800,MATCH(DATE(YEAR(A393)-1,MONTH(A393),1),$A$2:$A$800,0))-1,""))</f>
        <v/>
      </c>
    </row>
    <row r="394">
      <c r="A394" s="124" t="n"/>
      <c r="B394" s="125" t="n"/>
      <c r="C394" s="122">
        <f>IF(OR(B394="",B393=""),"",B394/B393-1)</f>
        <v/>
      </c>
      <c r="D394" s="122">
        <f>IF(B394="","",IFERROR(B394/INDEX($B$2:$B$800,MATCH(DATE(YEAR(A394)-1,12,1),$A$2:$A$800,0))-1,""))</f>
        <v/>
      </c>
      <c r="E394" s="122">
        <f>IF(B394="","",IFERROR(B394/INDEX($B$2:$B$800,MATCH(DATE(YEAR(A394)-1,MONTH(A394),1),$A$2:$A$800,0))-1,""))</f>
        <v/>
      </c>
    </row>
    <row r="395">
      <c r="A395" s="124" t="n"/>
      <c r="B395" s="125" t="n"/>
      <c r="C395" s="122">
        <f>IF(OR(B395="",B394=""),"",B395/B394-1)</f>
        <v/>
      </c>
      <c r="D395" s="122">
        <f>IF(B395="","",IFERROR(B395/INDEX($B$2:$B$800,MATCH(DATE(YEAR(A395)-1,12,1),$A$2:$A$800,0))-1,""))</f>
        <v/>
      </c>
      <c r="E395" s="122">
        <f>IF(B395="","",IFERROR(B395/INDEX($B$2:$B$800,MATCH(DATE(YEAR(A395)-1,MONTH(A395),1),$A$2:$A$800,0))-1,""))</f>
        <v/>
      </c>
    </row>
    <row r="396">
      <c r="A396" s="124" t="n"/>
      <c r="B396" s="125" t="n"/>
      <c r="C396" s="122">
        <f>IF(OR(B396="",B395=""),"",B396/B395-1)</f>
        <v/>
      </c>
      <c r="D396" s="122">
        <f>IF(B396="","",IFERROR(B396/INDEX($B$2:$B$800,MATCH(DATE(YEAR(A396)-1,12,1),$A$2:$A$800,0))-1,""))</f>
        <v/>
      </c>
      <c r="E396" s="122">
        <f>IF(B396="","",IFERROR(B396/INDEX($B$2:$B$800,MATCH(DATE(YEAR(A396)-1,MONTH(A396),1),$A$2:$A$800,0))-1,""))</f>
        <v/>
      </c>
    </row>
    <row r="397">
      <c r="A397" s="124" t="n"/>
      <c r="B397" s="125" t="n"/>
      <c r="C397" s="122">
        <f>IF(OR(B397="",B396=""),"",B397/B396-1)</f>
        <v/>
      </c>
      <c r="D397" s="122">
        <f>IF(B397="","",IFERROR(B397/INDEX($B$2:$B$800,MATCH(DATE(YEAR(A397)-1,12,1),$A$2:$A$800,0))-1,""))</f>
        <v/>
      </c>
      <c r="E397" s="122">
        <f>IF(B397="","",IFERROR(B397/INDEX($B$2:$B$800,MATCH(DATE(YEAR(A397)-1,MONTH(A397),1),$A$2:$A$800,0))-1,""))</f>
        <v/>
      </c>
    </row>
    <row r="398">
      <c r="A398" s="124" t="n"/>
      <c r="B398" s="125" t="n"/>
      <c r="C398" s="122">
        <f>IF(OR(B398="",B397=""),"",B398/B397-1)</f>
        <v/>
      </c>
      <c r="D398" s="122">
        <f>IF(B398="","",IFERROR(B398/INDEX($B$2:$B$800,MATCH(DATE(YEAR(A398)-1,12,1),$A$2:$A$800,0))-1,""))</f>
        <v/>
      </c>
      <c r="E398" s="122">
        <f>IF(B398="","",IFERROR(B398/INDEX($B$2:$B$800,MATCH(DATE(YEAR(A398)-1,MONTH(A398),1),$A$2:$A$800,0))-1,""))</f>
        <v/>
      </c>
    </row>
    <row r="399">
      <c r="A399" s="124" t="n"/>
      <c r="B399" s="125" t="n"/>
      <c r="C399" s="122">
        <f>IF(OR(B399="",B398=""),"",B399/B398-1)</f>
        <v/>
      </c>
      <c r="D399" s="122">
        <f>IF(B399="","",IFERROR(B399/INDEX($B$2:$B$800,MATCH(DATE(YEAR(A399)-1,12,1),$A$2:$A$800,0))-1,""))</f>
        <v/>
      </c>
      <c r="E399" s="122">
        <f>IF(B399="","",IFERROR(B399/INDEX($B$2:$B$800,MATCH(DATE(YEAR(A399)-1,MONTH(A399),1),$A$2:$A$800,0))-1,""))</f>
        <v/>
      </c>
    </row>
    <row r="400">
      <c r="A400" s="124" t="n"/>
      <c r="B400" s="125" t="n"/>
      <c r="C400" s="122">
        <f>IF(OR(B400="",B399=""),"",B400/B399-1)</f>
        <v/>
      </c>
      <c r="D400" s="122">
        <f>IF(B400="","",IFERROR(B400/INDEX($B$2:$B$800,MATCH(DATE(YEAR(A400)-1,12,1),$A$2:$A$800,0))-1,""))</f>
        <v/>
      </c>
      <c r="E400" s="122">
        <f>IF(B400="","",IFERROR(B400/INDEX($B$2:$B$800,MATCH(DATE(YEAR(A400)-1,MONTH(A400),1),$A$2:$A$800,0))-1,""))</f>
        <v/>
      </c>
    </row>
    <row r="401">
      <c r="A401" s="124" t="n"/>
      <c r="B401" s="125" t="n"/>
      <c r="C401" s="122">
        <f>IF(OR(B401="",B400=""),"",B401/B400-1)</f>
        <v/>
      </c>
      <c r="D401" s="122">
        <f>IF(B401="","",IFERROR(B401/INDEX($B$2:$B$800,MATCH(DATE(YEAR(A401)-1,12,1),$A$2:$A$800,0))-1,""))</f>
        <v/>
      </c>
      <c r="E401" s="122">
        <f>IF(B401="","",IFERROR(B401/INDEX($B$2:$B$800,MATCH(DATE(YEAR(A401)-1,MONTH(A401),1),$A$2:$A$800,0))-1,""))</f>
        <v/>
      </c>
    </row>
    <row r="402">
      <c r="A402" s="124" t="n"/>
      <c r="B402" s="125" t="n"/>
      <c r="C402" s="122">
        <f>IF(OR(B402="",B401=""),"",B402/B401-1)</f>
        <v/>
      </c>
      <c r="D402" s="122">
        <f>IF(B402="","",IFERROR(B402/INDEX($B$2:$B$800,MATCH(DATE(YEAR(A402)-1,12,1),$A$2:$A$800,0))-1,""))</f>
        <v/>
      </c>
      <c r="E402" s="122">
        <f>IF(B402="","",IFERROR(B402/INDEX($B$2:$B$800,MATCH(DATE(YEAR(A402)-1,MONTH(A402),1),$A$2:$A$800,0))-1,""))</f>
        <v/>
      </c>
    </row>
    <row r="403">
      <c r="A403" s="124" t="n"/>
      <c r="B403" s="125" t="n"/>
      <c r="C403" s="122">
        <f>IF(OR(B403="",B402=""),"",B403/B402-1)</f>
        <v/>
      </c>
      <c r="D403" s="122">
        <f>IF(B403="","",IFERROR(B403/INDEX($B$2:$B$800,MATCH(DATE(YEAR(A403)-1,12,1),$A$2:$A$800,0))-1,""))</f>
        <v/>
      </c>
      <c r="E403" s="122">
        <f>IF(B403="","",IFERROR(B403/INDEX($B$2:$B$800,MATCH(DATE(YEAR(A403)-1,MONTH(A403),1),$A$2:$A$800,0))-1,""))</f>
        <v/>
      </c>
    </row>
    <row r="404">
      <c r="A404" s="124" t="n"/>
      <c r="B404" s="125" t="n"/>
      <c r="C404" s="122">
        <f>IF(OR(B404="",B403=""),"",B404/B403-1)</f>
        <v/>
      </c>
      <c r="D404" s="122">
        <f>IF(B404="","",IFERROR(B404/INDEX($B$2:$B$800,MATCH(DATE(YEAR(A404)-1,12,1),$A$2:$A$800,0))-1,""))</f>
        <v/>
      </c>
      <c r="E404" s="122">
        <f>IF(B404="","",IFERROR(B404/INDEX($B$2:$B$800,MATCH(DATE(YEAR(A404)-1,MONTH(A404),1),$A$2:$A$800,0))-1,""))</f>
        <v/>
      </c>
    </row>
    <row r="405">
      <c r="A405" s="124" t="n"/>
      <c r="B405" s="125" t="n"/>
      <c r="C405" s="122">
        <f>IF(OR(B405="",B404=""),"",B405/B404-1)</f>
        <v/>
      </c>
      <c r="D405" s="122">
        <f>IF(B405="","",IFERROR(B405/INDEX($B$2:$B$800,MATCH(DATE(YEAR(A405)-1,12,1),$A$2:$A$800,0))-1,""))</f>
        <v/>
      </c>
      <c r="E405" s="122">
        <f>IF(B405="","",IFERROR(B405/INDEX($B$2:$B$800,MATCH(DATE(YEAR(A405)-1,MONTH(A405),1),$A$2:$A$800,0))-1,""))</f>
        <v/>
      </c>
    </row>
    <row r="406">
      <c r="A406" s="124" t="n"/>
      <c r="B406" s="125" t="n"/>
      <c r="C406" s="122">
        <f>IF(OR(B406="",B405=""),"",B406/B405-1)</f>
        <v/>
      </c>
      <c r="D406" s="122">
        <f>IF(B406="","",IFERROR(B406/INDEX($B$2:$B$800,MATCH(DATE(YEAR(A406)-1,12,1),$A$2:$A$800,0))-1,""))</f>
        <v/>
      </c>
      <c r="E406" s="122">
        <f>IF(B406="","",IFERROR(B406/INDEX($B$2:$B$800,MATCH(DATE(YEAR(A406)-1,MONTH(A406),1),$A$2:$A$800,0))-1,""))</f>
        <v/>
      </c>
    </row>
    <row r="407">
      <c r="A407" s="124" t="n"/>
      <c r="B407" s="125" t="n"/>
      <c r="C407" s="122">
        <f>IF(OR(B407="",B406=""),"",B407/B406-1)</f>
        <v/>
      </c>
      <c r="D407" s="122">
        <f>IF(B407="","",IFERROR(B407/INDEX($B$2:$B$800,MATCH(DATE(YEAR(A407)-1,12,1),$A$2:$A$800,0))-1,""))</f>
        <v/>
      </c>
      <c r="E407" s="122">
        <f>IF(B407="","",IFERROR(B407/INDEX($B$2:$B$800,MATCH(DATE(YEAR(A407)-1,MONTH(A407),1),$A$2:$A$800,0))-1,""))</f>
        <v/>
      </c>
    </row>
    <row r="408">
      <c r="A408" s="124" t="n"/>
      <c r="B408" s="125" t="n"/>
      <c r="C408" s="122">
        <f>IF(OR(B408="",B407=""),"",B408/B407-1)</f>
        <v/>
      </c>
      <c r="D408" s="122">
        <f>IF(B408="","",IFERROR(B408/INDEX($B$2:$B$800,MATCH(DATE(YEAR(A408)-1,12,1),$A$2:$A$800,0))-1,""))</f>
        <v/>
      </c>
      <c r="E408" s="122">
        <f>IF(B408="","",IFERROR(B408/INDEX($B$2:$B$800,MATCH(DATE(YEAR(A408)-1,MONTH(A408),1),$A$2:$A$800,0))-1,""))</f>
        <v/>
      </c>
    </row>
    <row r="409">
      <c r="A409" s="124" t="n"/>
      <c r="B409" s="125" t="n"/>
      <c r="C409" s="122">
        <f>IF(OR(B409="",B408=""),"",B409/B408-1)</f>
        <v/>
      </c>
      <c r="D409" s="122">
        <f>IF(B409="","",IFERROR(B409/INDEX($B$2:$B$800,MATCH(DATE(YEAR(A409)-1,12,1),$A$2:$A$800,0))-1,""))</f>
        <v/>
      </c>
      <c r="E409" s="122">
        <f>IF(B409="","",IFERROR(B409/INDEX($B$2:$B$800,MATCH(DATE(YEAR(A409)-1,MONTH(A409),1),$A$2:$A$800,0))-1,""))</f>
        <v/>
      </c>
    </row>
    <row r="410">
      <c r="A410" s="124" t="n"/>
      <c r="B410" s="125" t="n"/>
      <c r="C410" s="122">
        <f>IF(OR(B410="",B409=""),"",B410/B409-1)</f>
        <v/>
      </c>
      <c r="D410" s="122">
        <f>IF(B410="","",IFERROR(B410/INDEX($B$2:$B$800,MATCH(DATE(YEAR(A410)-1,12,1),$A$2:$A$800,0))-1,""))</f>
        <v/>
      </c>
      <c r="E410" s="122">
        <f>IF(B410="","",IFERROR(B410/INDEX($B$2:$B$800,MATCH(DATE(YEAR(A410)-1,MONTH(A410),1),$A$2:$A$800,0))-1,""))</f>
        <v/>
      </c>
    </row>
    <row r="411">
      <c r="A411" s="124" t="n"/>
      <c r="B411" s="125" t="n"/>
      <c r="C411" s="122">
        <f>IF(OR(B411="",B410=""),"",B411/B410-1)</f>
        <v/>
      </c>
      <c r="D411" s="122">
        <f>IF(B411="","",IFERROR(B411/INDEX($B$2:$B$800,MATCH(DATE(YEAR(A411)-1,12,1),$A$2:$A$800,0))-1,""))</f>
        <v/>
      </c>
      <c r="E411" s="122">
        <f>IF(B411="","",IFERROR(B411/INDEX($B$2:$B$800,MATCH(DATE(YEAR(A411)-1,MONTH(A411),1),$A$2:$A$800,0))-1,""))</f>
        <v/>
      </c>
    </row>
    <row r="412">
      <c r="A412" s="124" t="n"/>
      <c r="B412" s="125" t="n"/>
      <c r="C412" s="122">
        <f>IF(OR(B412="",B411=""),"",B412/B411-1)</f>
        <v/>
      </c>
      <c r="D412" s="122">
        <f>IF(B412="","",IFERROR(B412/INDEX($B$2:$B$800,MATCH(DATE(YEAR(A412)-1,12,1),$A$2:$A$800,0))-1,""))</f>
        <v/>
      </c>
      <c r="E412" s="122">
        <f>IF(B412="","",IFERROR(B412/INDEX($B$2:$B$800,MATCH(DATE(YEAR(A412)-1,MONTH(A412),1),$A$2:$A$800,0))-1,""))</f>
        <v/>
      </c>
    </row>
    <row r="413">
      <c r="A413" s="124" t="n"/>
      <c r="B413" s="125" t="n"/>
      <c r="C413" s="122">
        <f>IF(OR(B413="",B412=""),"",B413/B412-1)</f>
        <v/>
      </c>
      <c r="D413" s="122">
        <f>IF(B413="","",IFERROR(B413/INDEX($B$2:$B$800,MATCH(DATE(YEAR(A413)-1,12,1),$A$2:$A$800,0))-1,""))</f>
        <v/>
      </c>
      <c r="E413" s="122">
        <f>IF(B413="","",IFERROR(B413/INDEX($B$2:$B$800,MATCH(DATE(YEAR(A413)-1,MONTH(A413),1),$A$2:$A$800,0))-1,""))</f>
        <v/>
      </c>
    </row>
    <row r="414">
      <c r="A414" s="124" t="n"/>
      <c r="B414" s="125" t="n"/>
      <c r="C414" s="122">
        <f>IF(OR(B414="",B413=""),"",B414/B413-1)</f>
        <v/>
      </c>
      <c r="D414" s="122">
        <f>IF(B414="","",IFERROR(B414/INDEX($B$2:$B$800,MATCH(DATE(YEAR(A414)-1,12,1),$A$2:$A$800,0))-1,""))</f>
        <v/>
      </c>
      <c r="E414" s="122">
        <f>IF(B414="","",IFERROR(B414/INDEX($B$2:$B$800,MATCH(DATE(YEAR(A414)-1,MONTH(A414),1),$A$2:$A$800,0))-1,""))</f>
        <v/>
      </c>
    </row>
    <row r="415">
      <c r="A415" s="124" t="n"/>
      <c r="B415" s="125" t="n"/>
      <c r="C415" s="122">
        <f>IF(OR(B415="",B414=""),"",B415/B414-1)</f>
        <v/>
      </c>
      <c r="D415" s="122">
        <f>IF(B415="","",IFERROR(B415/INDEX($B$2:$B$800,MATCH(DATE(YEAR(A415)-1,12,1),$A$2:$A$800,0))-1,""))</f>
        <v/>
      </c>
      <c r="E415" s="122">
        <f>IF(B415="","",IFERROR(B415/INDEX($B$2:$B$800,MATCH(DATE(YEAR(A415)-1,MONTH(A415),1),$A$2:$A$800,0))-1,""))</f>
        <v/>
      </c>
    </row>
    <row r="416">
      <c r="A416" s="124" t="n"/>
      <c r="B416" s="125" t="n"/>
      <c r="C416" s="122">
        <f>IF(OR(B416="",B415=""),"",B416/B415-1)</f>
        <v/>
      </c>
      <c r="D416" s="122">
        <f>IF(B416="","",IFERROR(B416/INDEX($B$2:$B$800,MATCH(DATE(YEAR(A416)-1,12,1),$A$2:$A$800,0))-1,""))</f>
        <v/>
      </c>
      <c r="E416" s="122">
        <f>IF(B416="","",IFERROR(B416/INDEX($B$2:$B$800,MATCH(DATE(YEAR(A416)-1,MONTH(A416),1),$A$2:$A$800,0))-1,""))</f>
        <v/>
      </c>
    </row>
    <row r="417">
      <c r="A417" s="124" t="n"/>
      <c r="B417" s="125" t="n"/>
      <c r="C417" s="122">
        <f>IF(OR(B417="",B416=""),"",B417/B416-1)</f>
        <v/>
      </c>
      <c r="D417" s="122">
        <f>IF(B417="","",IFERROR(B417/INDEX($B$2:$B$800,MATCH(DATE(YEAR(A417)-1,12,1),$A$2:$A$800,0))-1,""))</f>
        <v/>
      </c>
      <c r="E417" s="122">
        <f>IF(B417="","",IFERROR(B417/INDEX($B$2:$B$800,MATCH(DATE(YEAR(A417)-1,MONTH(A417),1),$A$2:$A$800,0))-1,""))</f>
        <v/>
      </c>
    </row>
    <row r="418">
      <c r="A418" s="124" t="n"/>
      <c r="B418" s="125" t="n"/>
      <c r="C418" s="122">
        <f>IF(OR(B418="",B417=""),"",B418/B417-1)</f>
        <v/>
      </c>
      <c r="D418" s="122">
        <f>IF(B418="","",IFERROR(B418/INDEX($B$2:$B$800,MATCH(DATE(YEAR(A418)-1,12,1),$A$2:$A$800,0))-1,""))</f>
        <v/>
      </c>
      <c r="E418" s="122">
        <f>IF(B418="","",IFERROR(B418/INDEX($B$2:$B$800,MATCH(DATE(YEAR(A418)-1,MONTH(A418),1),$A$2:$A$800,0))-1,""))</f>
        <v/>
      </c>
    </row>
    <row r="419">
      <c r="A419" s="124" t="n"/>
      <c r="B419" s="125" t="n"/>
      <c r="C419" s="122">
        <f>IF(OR(B419="",B418=""),"",B419/B418-1)</f>
        <v/>
      </c>
      <c r="D419" s="122">
        <f>IF(B419="","",IFERROR(B419/INDEX($B$2:$B$800,MATCH(DATE(YEAR(A419)-1,12,1),$A$2:$A$800,0))-1,""))</f>
        <v/>
      </c>
      <c r="E419" s="122">
        <f>IF(B419="","",IFERROR(B419/INDEX($B$2:$B$800,MATCH(DATE(YEAR(A419)-1,MONTH(A419),1),$A$2:$A$800,0))-1,""))</f>
        <v/>
      </c>
    </row>
    <row r="420">
      <c r="A420" s="124" t="n"/>
      <c r="B420" s="125" t="n"/>
      <c r="C420" s="122">
        <f>IF(OR(B420="",B419=""),"",B420/B419-1)</f>
        <v/>
      </c>
      <c r="D420" s="122">
        <f>IF(B420="","",IFERROR(B420/INDEX($B$2:$B$800,MATCH(DATE(YEAR(A420)-1,12,1),$A$2:$A$800,0))-1,""))</f>
        <v/>
      </c>
      <c r="E420" s="122">
        <f>IF(B420="","",IFERROR(B420/INDEX($B$2:$B$800,MATCH(DATE(YEAR(A420)-1,MONTH(A420),1),$A$2:$A$800,0))-1,""))</f>
        <v/>
      </c>
    </row>
    <row r="421">
      <c r="A421" s="124" t="n"/>
      <c r="B421" s="125" t="n"/>
      <c r="C421" s="122">
        <f>IF(OR(B421="",B420=""),"",B421/B420-1)</f>
        <v/>
      </c>
      <c r="D421" s="122">
        <f>IF(B421="","",IFERROR(B421/INDEX($B$2:$B$800,MATCH(DATE(YEAR(A421)-1,12,1),$A$2:$A$800,0))-1,""))</f>
        <v/>
      </c>
      <c r="E421" s="122">
        <f>IF(B421="","",IFERROR(B421/INDEX($B$2:$B$800,MATCH(DATE(YEAR(A421)-1,MONTH(A421),1),$A$2:$A$800,0))-1,""))</f>
        <v/>
      </c>
    </row>
    <row r="422">
      <c r="A422" s="124" t="n"/>
      <c r="B422" s="125" t="n"/>
      <c r="C422" s="122">
        <f>IF(OR(B422="",B421=""),"",B422/B421-1)</f>
        <v/>
      </c>
      <c r="D422" s="122">
        <f>IF(B422="","",IFERROR(B422/INDEX($B$2:$B$800,MATCH(DATE(YEAR(A422)-1,12,1),$A$2:$A$800,0))-1,""))</f>
        <v/>
      </c>
      <c r="E422" s="122">
        <f>IF(B422="","",IFERROR(B422/INDEX($B$2:$B$800,MATCH(DATE(YEAR(A422)-1,MONTH(A422),1),$A$2:$A$800,0))-1,""))</f>
        <v/>
      </c>
    </row>
    <row r="423">
      <c r="A423" s="124" t="n"/>
      <c r="B423" s="125" t="n"/>
      <c r="C423" s="122">
        <f>IF(OR(B423="",B422=""),"",B423/B422-1)</f>
        <v/>
      </c>
      <c r="D423" s="122">
        <f>IF(B423="","",IFERROR(B423/INDEX($B$2:$B$800,MATCH(DATE(YEAR(A423)-1,12,1),$A$2:$A$800,0))-1,""))</f>
        <v/>
      </c>
      <c r="E423" s="122">
        <f>IF(B423="","",IFERROR(B423/INDEX($B$2:$B$800,MATCH(DATE(YEAR(A423)-1,MONTH(A423),1),$A$2:$A$800,0))-1,""))</f>
        <v/>
      </c>
    </row>
    <row r="424">
      <c r="A424" s="124" t="n"/>
      <c r="B424" s="125" t="n"/>
      <c r="C424" s="122">
        <f>IF(OR(B424="",B423=""),"",B424/B423-1)</f>
        <v/>
      </c>
      <c r="D424" s="122">
        <f>IF(B424="","",IFERROR(B424/INDEX($B$2:$B$800,MATCH(DATE(YEAR(A424)-1,12,1),$A$2:$A$800,0))-1,""))</f>
        <v/>
      </c>
      <c r="E424" s="122">
        <f>IF(B424="","",IFERROR(B424/INDEX($B$2:$B$800,MATCH(DATE(YEAR(A424)-1,MONTH(A424),1),$A$2:$A$800,0))-1,""))</f>
        <v/>
      </c>
    </row>
    <row r="425">
      <c r="A425" s="124" t="n"/>
      <c r="B425" s="125" t="n"/>
      <c r="C425" s="122">
        <f>IF(OR(B425="",B424=""),"",B425/B424-1)</f>
        <v/>
      </c>
      <c r="D425" s="122">
        <f>IF(B425="","",IFERROR(B425/INDEX($B$2:$B$800,MATCH(DATE(YEAR(A425)-1,12,1),$A$2:$A$800,0))-1,""))</f>
        <v/>
      </c>
      <c r="E425" s="122">
        <f>IF(B425="","",IFERROR(B425/INDEX($B$2:$B$800,MATCH(DATE(YEAR(A425)-1,MONTH(A425),1),$A$2:$A$800,0))-1,""))</f>
        <v/>
      </c>
    </row>
    <row r="426">
      <c r="A426" s="124" t="n"/>
      <c r="B426" s="125" t="n"/>
      <c r="C426" s="122">
        <f>IF(OR(B426="",B425=""),"",B426/B425-1)</f>
        <v/>
      </c>
      <c r="D426" s="122">
        <f>IF(B426="","",IFERROR(B426/INDEX($B$2:$B$800,MATCH(DATE(YEAR(A426)-1,12,1),$A$2:$A$800,0))-1,""))</f>
        <v/>
      </c>
      <c r="E426" s="122">
        <f>IF(B426="","",IFERROR(B426/INDEX($B$2:$B$800,MATCH(DATE(YEAR(A426)-1,MONTH(A426),1),$A$2:$A$800,0))-1,""))</f>
        <v/>
      </c>
    </row>
    <row r="427">
      <c r="A427" s="124" t="n"/>
      <c r="B427" s="125" t="n"/>
      <c r="C427" s="122">
        <f>IF(OR(B427="",B426=""),"",B427/B426-1)</f>
        <v/>
      </c>
      <c r="D427" s="122">
        <f>IF(B427="","",IFERROR(B427/INDEX($B$2:$B$800,MATCH(DATE(YEAR(A427)-1,12,1),$A$2:$A$800,0))-1,""))</f>
        <v/>
      </c>
      <c r="E427" s="122">
        <f>IF(B427="","",IFERROR(B427/INDEX($B$2:$B$800,MATCH(DATE(YEAR(A427)-1,MONTH(A427),1),$A$2:$A$800,0))-1,""))</f>
        <v/>
      </c>
    </row>
    <row r="428">
      <c r="A428" s="124" t="n"/>
      <c r="B428" s="125" t="n"/>
      <c r="C428" s="122">
        <f>IF(OR(B428="",B427=""),"",B428/B427-1)</f>
        <v/>
      </c>
      <c r="D428" s="122">
        <f>IF(B428="","",IFERROR(B428/INDEX($B$2:$B$800,MATCH(DATE(YEAR(A428)-1,12,1),$A$2:$A$800,0))-1,""))</f>
        <v/>
      </c>
      <c r="E428" s="122">
        <f>IF(B428="","",IFERROR(B428/INDEX($B$2:$B$800,MATCH(DATE(YEAR(A428)-1,MONTH(A428),1),$A$2:$A$800,0))-1,""))</f>
        <v/>
      </c>
    </row>
    <row r="429">
      <c r="A429" s="124" t="n"/>
      <c r="B429" s="125" t="n"/>
      <c r="C429" s="122">
        <f>IF(OR(B429="",B428=""),"",B429/B428-1)</f>
        <v/>
      </c>
      <c r="D429" s="122">
        <f>IF(B429="","",IFERROR(B429/INDEX($B$2:$B$800,MATCH(DATE(YEAR(A429)-1,12,1),$A$2:$A$800,0))-1,""))</f>
        <v/>
      </c>
      <c r="E429" s="122">
        <f>IF(B429="","",IFERROR(B429/INDEX($B$2:$B$800,MATCH(DATE(YEAR(A429)-1,MONTH(A429),1),$A$2:$A$800,0))-1,""))</f>
        <v/>
      </c>
    </row>
    <row r="430">
      <c r="A430" s="124" t="n"/>
      <c r="B430" s="125" t="n"/>
      <c r="C430" s="122">
        <f>IF(OR(B430="",B429=""),"",B430/B429-1)</f>
        <v/>
      </c>
      <c r="D430" s="122">
        <f>IF(B430="","",IFERROR(B430/INDEX($B$2:$B$800,MATCH(DATE(YEAR(A430)-1,12,1),$A$2:$A$800,0))-1,""))</f>
        <v/>
      </c>
      <c r="E430" s="122">
        <f>IF(B430="","",IFERROR(B430/INDEX($B$2:$B$800,MATCH(DATE(YEAR(A430)-1,MONTH(A430),1),$A$2:$A$800,0))-1,""))</f>
        <v/>
      </c>
    </row>
    <row r="431">
      <c r="A431" s="124" t="n"/>
      <c r="B431" s="125" t="n"/>
      <c r="C431" s="122">
        <f>IF(OR(B431="",B430=""),"",B431/B430-1)</f>
        <v/>
      </c>
      <c r="D431" s="122">
        <f>IF(B431="","",IFERROR(B431/INDEX($B$2:$B$800,MATCH(DATE(YEAR(A431)-1,12,1),$A$2:$A$800,0))-1,""))</f>
        <v/>
      </c>
      <c r="E431" s="122">
        <f>IF(B431="","",IFERROR(B431/INDEX($B$2:$B$800,MATCH(DATE(YEAR(A431)-1,MONTH(A431),1),$A$2:$A$800,0))-1,""))</f>
        <v/>
      </c>
    </row>
    <row r="432">
      <c r="A432" s="124" t="n"/>
      <c r="B432" s="125" t="n"/>
      <c r="C432" s="122">
        <f>IF(OR(B432="",B431=""),"",B432/B431-1)</f>
        <v/>
      </c>
      <c r="D432" s="122">
        <f>IF(B432="","",IFERROR(B432/INDEX($B$2:$B$800,MATCH(DATE(YEAR(A432)-1,12,1),$A$2:$A$800,0))-1,""))</f>
        <v/>
      </c>
      <c r="E432" s="122">
        <f>IF(B432="","",IFERROR(B432/INDEX($B$2:$B$800,MATCH(DATE(YEAR(A432)-1,MONTH(A432),1),$A$2:$A$800,0))-1,""))</f>
        <v/>
      </c>
    </row>
    <row r="433">
      <c r="A433" s="124" t="n"/>
      <c r="B433" s="125" t="n"/>
      <c r="C433" s="122">
        <f>IF(OR(B433="",B432=""),"",B433/B432-1)</f>
        <v/>
      </c>
      <c r="D433" s="122">
        <f>IF(B433="","",IFERROR(B433/INDEX($B$2:$B$800,MATCH(DATE(YEAR(A433)-1,12,1),$A$2:$A$800,0))-1,""))</f>
        <v/>
      </c>
      <c r="E433" s="122">
        <f>IF(B433="","",IFERROR(B433/INDEX($B$2:$B$800,MATCH(DATE(YEAR(A433)-1,MONTH(A433),1),$A$2:$A$800,0))-1,""))</f>
        <v/>
      </c>
    </row>
    <row r="434">
      <c r="A434" s="124" t="n"/>
      <c r="B434" s="125" t="n"/>
      <c r="C434" s="122">
        <f>IF(OR(B434="",B433=""),"",B434/B433-1)</f>
        <v/>
      </c>
      <c r="D434" s="122">
        <f>IF(B434="","",IFERROR(B434/INDEX($B$2:$B$800,MATCH(DATE(YEAR(A434)-1,12,1),$A$2:$A$800,0))-1,""))</f>
        <v/>
      </c>
      <c r="E434" s="122">
        <f>IF(B434="","",IFERROR(B434/INDEX($B$2:$B$800,MATCH(DATE(YEAR(A434)-1,MONTH(A434),1),$A$2:$A$800,0))-1,""))</f>
        <v/>
      </c>
    </row>
    <row r="435">
      <c r="A435" s="124" t="n"/>
      <c r="B435" s="125" t="n"/>
      <c r="C435" s="122">
        <f>IF(OR(B435="",B434=""),"",B435/B434-1)</f>
        <v/>
      </c>
      <c r="D435" s="122">
        <f>IF(B435="","",IFERROR(B435/INDEX($B$2:$B$800,MATCH(DATE(YEAR(A435)-1,12,1),$A$2:$A$800,0))-1,""))</f>
        <v/>
      </c>
      <c r="E435" s="122">
        <f>IF(B435="","",IFERROR(B435/INDEX($B$2:$B$800,MATCH(DATE(YEAR(A435)-1,MONTH(A435),1),$A$2:$A$800,0))-1,""))</f>
        <v/>
      </c>
    </row>
    <row r="436">
      <c r="A436" s="124" t="n"/>
      <c r="B436" s="125" t="n"/>
      <c r="C436" s="122">
        <f>IF(OR(B436="",B435=""),"",B436/B435-1)</f>
        <v/>
      </c>
      <c r="D436" s="122">
        <f>IF(B436="","",IFERROR(B436/INDEX($B$2:$B$800,MATCH(DATE(YEAR(A436)-1,12,1),$A$2:$A$800,0))-1,""))</f>
        <v/>
      </c>
      <c r="E436" s="122">
        <f>IF(B436="","",IFERROR(B436/INDEX($B$2:$B$800,MATCH(DATE(YEAR(A436)-1,MONTH(A436),1),$A$2:$A$800,0))-1,""))</f>
        <v/>
      </c>
    </row>
    <row r="437">
      <c r="A437" s="124" t="n"/>
      <c r="B437" s="125" t="n"/>
      <c r="C437" s="122">
        <f>IF(OR(B437="",B436=""),"",B437/B436-1)</f>
        <v/>
      </c>
      <c r="D437" s="122">
        <f>IF(B437="","",IFERROR(B437/INDEX($B$2:$B$800,MATCH(DATE(YEAR(A437)-1,12,1),$A$2:$A$800,0))-1,""))</f>
        <v/>
      </c>
      <c r="E437" s="122">
        <f>IF(B437="","",IFERROR(B437/INDEX($B$2:$B$800,MATCH(DATE(YEAR(A437)-1,MONTH(A437),1),$A$2:$A$800,0))-1,""))</f>
        <v/>
      </c>
    </row>
    <row r="438">
      <c r="A438" s="124" t="n"/>
      <c r="B438" s="125" t="n"/>
      <c r="C438" s="122">
        <f>IF(OR(B438="",B437=""),"",B438/B437-1)</f>
        <v/>
      </c>
      <c r="D438" s="122">
        <f>IF(B438="","",IFERROR(B438/INDEX($B$2:$B$800,MATCH(DATE(YEAR(A438)-1,12,1),$A$2:$A$800,0))-1,""))</f>
        <v/>
      </c>
      <c r="E438" s="122">
        <f>IF(B438="","",IFERROR(B438/INDEX($B$2:$B$800,MATCH(DATE(YEAR(A438)-1,MONTH(A438),1),$A$2:$A$800,0))-1,""))</f>
        <v/>
      </c>
    </row>
    <row r="439">
      <c r="A439" s="124" t="n"/>
      <c r="B439" s="125" t="n"/>
      <c r="C439" s="122">
        <f>IF(OR(B439="",B438=""),"",B439/B438-1)</f>
        <v/>
      </c>
      <c r="D439" s="122">
        <f>IF(B439="","",IFERROR(B439/INDEX($B$2:$B$800,MATCH(DATE(YEAR(A439)-1,12,1),$A$2:$A$800,0))-1,""))</f>
        <v/>
      </c>
      <c r="E439" s="122">
        <f>IF(B439="","",IFERROR(B439/INDEX($B$2:$B$800,MATCH(DATE(YEAR(A439)-1,MONTH(A439),1),$A$2:$A$800,0))-1,""))</f>
        <v/>
      </c>
    </row>
    <row r="440">
      <c r="A440" s="124" t="n"/>
      <c r="B440" s="125" t="n"/>
      <c r="C440" s="122">
        <f>IF(OR(B440="",B439=""),"",B440/B439-1)</f>
        <v/>
      </c>
      <c r="D440" s="122">
        <f>IF(B440="","",IFERROR(B440/INDEX($B$2:$B$800,MATCH(DATE(YEAR(A440)-1,12,1),$A$2:$A$800,0))-1,""))</f>
        <v/>
      </c>
      <c r="E440" s="122">
        <f>IF(B440="","",IFERROR(B440/INDEX($B$2:$B$800,MATCH(DATE(YEAR(A440)-1,MONTH(A440),1),$A$2:$A$800,0))-1,""))</f>
        <v/>
      </c>
    </row>
    <row r="441">
      <c r="A441" s="124" t="n"/>
      <c r="B441" s="125" t="n"/>
      <c r="C441" s="122">
        <f>IF(OR(B441="",B440=""),"",B441/B440-1)</f>
        <v/>
      </c>
      <c r="D441" s="122">
        <f>IF(B441="","",IFERROR(B441/INDEX($B$2:$B$800,MATCH(DATE(YEAR(A441)-1,12,1),$A$2:$A$800,0))-1,""))</f>
        <v/>
      </c>
      <c r="E441" s="122">
        <f>IF(B441="","",IFERROR(B441/INDEX($B$2:$B$800,MATCH(DATE(YEAR(A441)-1,MONTH(A441),1),$A$2:$A$800,0))-1,""))</f>
        <v/>
      </c>
    </row>
    <row r="442">
      <c r="A442" s="124" t="n"/>
      <c r="B442" s="125" t="n"/>
      <c r="C442" s="122">
        <f>IF(OR(B442="",B441=""),"",B442/B441-1)</f>
        <v/>
      </c>
      <c r="D442" s="122">
        <f>IF(B442="","",IFERROR(B442/INDEX($B$2:$B$800,MATCH(DATE(YEAR(A442)-1,12,1),$A$2:$A$800,0))-1,""))</f>
        <v/>
      </c>
      <c r="E442" s="122">
        <f>IF(B442="","",IFERROR(B442/INDEX($B$2:$B$800,MATCH(DATE(YEAR(A442)-1,MONTH(A442),1),$A$2:$A$800,0))-1,""))</f>
        <v/>
      </c>
    </row>
    <row r="443">
      <c r="A443" s="124" t="n"/>
      <c r="B443" s="125" t="n"/>
      <c r="C443" s="122">
        <f>IF(OR(B443="",B442=""),"",B443/B442-1)</f>
        <v/>
      </c>
      <c r="D443" s="122">
        <f>IF(B443="","",IFERROR(B443/INDEX($B$2:$B$800,MATCH(DATE(YEAR(A443)-1,12,1),$A$2:$A$800,0))-1,""))</f>
        <v/>
      </c>
      <c r="E443" s="122">
        <f>IF(B443="","",IFERROR(B443/INDEX($B$2:$B$800,MATCH(DATE(YEAR(A443)-1,MONTH(A443),1),$A$2:$A$800,0))-1,""))</f>
        <v/>
      </c>
    </row>
    <row r="444">
      <c r="A444" s="124" t="n"/>
      <c r="B444" s="125" t="n"/>
      <c r="C444" s="122">
        <f>IF(OR(B444="",B443=""),"",B444/B443-1)</f>
        <v/>
      </c>
      <c r="D444" s="122">
        <f>IF(B444="","",IFERROR(B444/INDEX($B$2:$B$800,MATCH(DATE(YEAR(A444)-1,12,1),$A$2:$A$800,0))-1,""))</f>
        <v/>
      </c>
      <c r="E444" s="122">
        <f>IF(B444="","",IFERROR(B444/INDEX($B$2:$B$800,MATCH(DATE(YEAR(A444)-1,MONTH(A444),1),$A$2:$A$800,0))-1,""))</f>
        <v/>
      </c>
    </row>
    <row r="445">
      <c r="A445" s="124" t="n"/>
      <c r="B445" s="125" t="n"/>
      <c r="C445" s="122">
        <f>IF(OR(B445="",B444=""),"",B445/B444-1)</f>
        <v/>
      </c>
      <c r="D445" s="122">
        <f>IF(B445="","",IFERROR(B445/INDEX($B$2:$B$800,MATCH(DATE(YEAR(A445)-1,12,1),$A$2:$A$800,0))-1,""))</f>
        <v/>
      </c>
      <c r="E445" s="122">
        <f>IF(B445="","",IFERROR(B445/INDEX($B$2:$B$800,MATCH(DATE(YEAR(A445)-1,MONTH(A445),1),$A$2:$A$800,0))-1,""))</f>
        <v/>
      </c>
    </row>
    <row r="446">
      <c r="A446" s="124" t="n"/>
      <c r="B446" s="125" t="n"/>
      <c r="C446" s="122">
        <f>IF(OR(B446="",B445=""),"",B446/B445-1)</f>
        <v/>
      </c>
      <c r="D446" s="122">
        <f>IF(B446="","",IFERROR(B446/INDEX($B$2:$B$800,MATCH(DATE(YEAR(A446)-1,12,1),$A$2:$A$800,0))-1,""))</f>
        <v/>
      </c>
      <c r="E446" s="122">
        <f>IF(B446="","",IFERROR(B446/INDEX($B$2:$B$800,MATCH(DATE(YEAR(A446)-1,MONTH(A446),1),$A$2:$A$800,0))-1,""))</f>
        <v/>
      </c>
    </row>
    <row r="447">
      <c r="A447" s="124" t="n"/>
      <c r="B447" s="125" t="n"/>
      <c r="C447" s="122">
        <f>IF(OR(B447="",B446=""),"",B447/B446-1)</f>
        <v/>
      </c>
      <c r="D447" s="122">
        <f>IF(B447="","",IFERROR(B447/INDEX($B$2:$B$800,MATCH(DATE(YEAR(A447)-1,12,1),$A$2:$A$800,0))-1,""))</f>
        <v/>
      </c>
      <c r="E447" s="122">
        <f>IF(B447="","",IFERROR(B447/INDEX($B$2:$B$800,MATCH(DATE(YEAR(A447)-1,MONTH(A447),1),$A$2:$A$800,0))-1,""))</f>
        <v/>
      </c>
    </row>
    <row r="448">
      <c r="A448" s="124" t="n"/>
      <c r="B448" s="125" t="n"/>
      <c r="C448" s="122">
        <f>IF(OR(B448="",B447=""),"",B448/B447-1)</f>
        <v/>
      </c>
      <c r="D448" s="122">
        <f>IF(B448="","",IFERROR(B448/INDEX($B$2:$B$800,MATCH(DATE(YEAR(A448)-1,12,1),$A$2:$A$800,0))-1,""))</f>
        <v/>
      </c>
      <c r="E448" s="122">
        <f>IF(B448="","",IFERROR(B448/INDEX($B$2:$B$800,MATCH(DATE(YEAR(A448)-1,MONTH(A448),1),$A$2:$A$800,0))-1,""))</f>
        <v/>
      </c>
    </row>
    <row r="449">
      <c r="A449" s="124" t="n"/>
      <c r="B449" s="125" t="n"/>
      <c r="C449" s="122">
        <f>IF(OR(B449="",B448=""),"",B449/B448-1)</f>
        <v/>
      </c>
      <c r="D449" s="122">
        <f>IF(B449="","",IFERROR(B449/INDEX($B$2:$B$800,MATCH(DATE(YEAR(A449)-1,12,1),$A$2:$A$800,0))-1,""))</f>
        <v/>
      </c>
      <c r="E449" s="122">
        <f>IF(B449="","",IFERROR(B449/INDEX($B$2:$B$800,MATCH(DATE(YEAR(A449)-1,MONTH(A449),1),$A$2:$A$800,0))-1,""))</f>
        <v/>
      </c>
    </row>
    <row r="450">
      <c r="A450" s="124" t="n"/>
      <c r="B450" s="125" t="n"/>
      <c r="C450" s="122">
        <f>IF(OR(B450="",B449=""),"",B450/B449-1)</f>
        <v/>
      </c>
      <c r="D450" s="122">
        <f>IF(B450="","",IFERROR(B450/INDEX($B$2:$B$800,MATCH(DATE(YEAR(A450)-1,12,1),$A$2:$A$800,0))-1,""))</f>
        <v/>
      </c>
      <c r="E450" s="122">
        <f>IF(B450="","",IFERROR(B450/INDEX($B$2:$B$800,MATCH(DATE(YEAR(A450)-1,MONTH(A450),1),$A$2:$A$800,0))-1,""))</f>
        <v/>
      </c>
    </row>
    <row r="451">
      <c r="A451" s="124" t="n"/>
      <c r="B451" s="125" t="n"/>
      <c r="C451" s="122">
        <f>IF(OR(B451="",B450=""),"",B451/B450-1)</f>
        <v/>
      </c>
      <c r="D451" s="122">
        <f>IF(B451="","",IFERROR(B451/INDEX($B$2:$B$800,MATCH(DATE(YEAR(A451)-1,12,1),$A$2:$A$800,0))-1,""))</f>
        <v/>
      </c>
      <c r="E451" s="122">
        <f>IF(B451="","",IFERROR(B451/INDEX($B$2:$B$800,MATCH(DATE(YEAR(A451)-1,MONTH(A451),1),$A$2:$A$800,0))-1,""))</f>
        <v/>
      </c>
    </row>
    <row r="452">
      <c r="A452" s="124" t="n"/>
      <c r="B452" s="125" t="n"/>
      <c r="C452" s="122">
        <f>IF(OR(B452="",B451=""),"",B452/B451-1)</f>
        <v/>
      </c>
      <c r="D452" s="122">
        <f>IF(B452="","",IFERROR(B452/INDEX($B$2:$B$800,MATCH(DATE(YEAR(A452)-1,12,1),$A$2:$A$800,0))-1,""))</f>
        <v/>
      </c>
      <c r="E452" s="122">
        <f>IF(B452="","",IFERROR(B452/INDEX($B$2:$B$800,MATCH(DATE(YEAR(A452)-1,MONTH(A452),1),$A$2:$A$800,0))-1,""))</f>
        <v/>
      </c>
    </row>
    <row r="453">
      <c r="A453" s="124" t="n"/>
      <c r="B453" s="125" t="n"/>
      <c r="C453" s="122">
        <f>IF(OR(B453="",B452=""),"",B453/B452-1)</f>
        <v/>
      </c>
      <c r="D453" s="122">
        <f>IF(B453="","",IFERROR(B453/INDEX($B$2:$B$800,MATCH(DATE(YEAR(A453)-1,12,1),$A$2:$A$800,0))-1,""))</f>
        <v/>
      </c>
      <c r="E453" s="122">
        <f>IF(B453="","",IFERROR(B453/INDEX($B$2:$B$800,MATCH(DATE(YEAR(A453)-1,MONTH(A453),1),$A$2:$A$800,0))-1,""))</f>
        <v/>
      </c>
    </row>
    <row r="454">
      <c r="A454" s="124" t="n"/>
      <c r="B454" s="125" t="n"/>
      <c r="C454" s="122">
        <f>IF(OR(B454="",B453=""),"",B454/B453-1)</f>
        <v/>
      </c>
      <c r="D454" s="122">
        <f>IF(B454="","",IFERROR(B454/INDEX($B$2:$B$800,MATCH(DATE(YEAR(A454)-1,12,1),$A$2:$A$800,0))-1,""))</f>
        <v/>
      </c>
      <c r="E454" s="122">
        <f>IF(B454="","",IFERROR(B454/INDEX($B$2:$B$800,MATCH(DATE(YEAR(A454)-1,MONTH(A454),1),$A$2:$A$800,0))-1,""))</f>
        <v/>
      </c>
    </row>
    <row r="455">
      <c r="A455" s="124" t="n"/>
      <c r="B455" s="125" t="n"/>
      <c r="C455" s="122">
        <f>IF(OR(B455="",B454=""),"",B455/B454-1)</f>
        <v/>
      </c>
      <c r="D455" s="122">
        <f>IF(B455="","",IFERROR(B455/INDEX($B$2:$B$800,MATCH(DATE(YEAR(A455)-1,12,1),$A$2:$A$800,0))-1,""))</f>
        <v/>
      </c>
      <c r="E455" s="122">
        <f>IF(B455="","",IFERROR(B455/INDEX($B$2:$B$800,MATCH(DATE(YEAR(A455)-1,MONTH(A455),1),$A$2:$A$800,0))-1,""))</f>
        <v/>
      </c>
    </row>
    <row r="456">
      <c r="A456" s="124" t="n"/>
      <c r="B456" s="125" t="n"/>
      <c r="C456" s="122">
        <f>IF(OR(B456="",B455=""),"",B456/B455-1)</f>
        <v/>
      </c>
      <c r="D456" s="122">
        <f>IF(B456="","",IFERROR(B456/INDEX($B$2:$B$800,MATCH(DATE(YEAR(A456)-1,12,1),$A$2:$A$800,0))-1,""))</f>
        <v/>
      </c>
      <c r="E456" s="122">
        <f>IF(B456="","",IFERROR(B456/INDEX($B$2:$B$800,MATCH(DATE(YEAR(A456)-1,MONTH(A456),1),$A$2:$A$800,0))-1,""))</f>
        <v/>
      </c>
    </row>
    <row r="457">
      <c r="A457" s="124" t="n"/>
      <c r="B457" s="125" t="n"/>
      <c r="C457" s="122">
        <f>IF(OR(B457="",B456=""),"",B457/B456-1)</f>
        <v/>
      </c>
      <c r="D457" s="122">
        <f>IF(B457="","",IFERROR(B457/INDEX($B$2:$B$800,MATCH(DATE(YEAR(A457)-1,12,1),$A$2:$A$800,0))-1,""))</f>
        <v/>
      </c>
      <c r="E457" s="122">
        <f>IF(B457="","",IFERROR(B457/INDEX($B$2:$B$800,MATCH(DATE(YEAR(A457)-1,MONTH(A457),1),$A$2:$A$800,0))-1,""))</f>
        <v/>
      </c>
    </row>
    <row r="458">
      <c r="A458" s="124" t="n"/>
      <c r="B458" s="125" t="n"/>
      <c r="C458" s="122">
        <f>IF(OR(B458="",B457=""),"",B458/B457-1)</f>
        <v/>
      </c>
      <c r="D458" s="122">
        <f>IF(B458="","",IFERROR(B458/INDEX($B$2:$B$800,MATCH(DATE(YEAR(A458)-1,12,1),$A$2:$A$800,0))-1,""))</f>
        <v/>
      </c>
      <c r="E458" s="122">
        <f>IF(B458="","",IFERROR(B458/INDEX($B$2:$B$800,MATCH(DATE(YEAR(A458)-1,MONTH(A458),1),$A$2:$A$800,0))-1,""))</f>
        <v/>
      </c>
    </row>
    <row r="459">
      <c r="A459" s="124" t="n"/>
      <c r="B459" s="125" t="n"/>
      <c r="C459" s="122">
        <f>IF(OR(B459="",B458=""),"",B459/B458-1)</f>
        <v/>
      </c>
      <c r="D459" s="122">
        <f>IF(B459="","",IFERROR(B459/INDEX($B$2:$B$800,MATCH(DATE(YEAR(A459)-1,12,1),$A$2:$A$800,0))-1,""))</f>
        <v/>
      </c>
      <c r="E459" s="122">
        <f>IF(B459="","",IFERROR(B459/INDEX($B$2:$B$800,MATCH(DATE(YEAR(A459)-1,MONTH(A459),1),$A$2:$A$800,0))-1,""))</f>
        <v/>
      </c>
    </row>
    <row r="460">
      <c r="A460" s="124" t="n"/>
      <c r="B460" s="125" t="n"/>
      <c r="C460" s="122">
        <f>IF(OR(B460="",B459=""),"",B460/B459-1)</f>
        <v/>
      </c>
      <c r="D460" s="122">
        <f>IF(B460="","",IFERROR(B460/INDEX($B$2:$B$800,MATCH(DATE(YEAR(A460)-1,12,1),$A$2:$A$800,0))-1,""))</f>
        <v/>
      </c>
      <c r="E460" s="122">
        <f>IF(B460="","",IFERROR(B460/INDEX($B$2:$B$800,MATCH(DATE(YEAR(A460)-1,MONTH(A460),1),$A$2:$A$800,0))-1,""))</f>
        <v/>
      </c>
    </row>
    <row r="461">
      <c r="A461" s="124" t="n"/>
      <c r="B461" s="125" t="n"/>
      <c r="C461" s="122">
        <f>IF(OR(B461="",B460=""),"",B461/B460-1)</f>
        <v/>
      </c>
      <c r="D461" s="122">
        <f>IF(B461="","",IFERROR(B461/INDEX($B$2:$B$800,MATCH(DATE(YEAR(A461)-1,12,1),$A$2:$A$800,0))-1,""))</f>
        <v/>
      </c>
      <c r="E461" s="122">
        <f>IF(B461="","",IFERROR(B461/INDEX($B$2:$B$800,MATCH(DATE(YEAR(A461)-1,MONTH(A461),1),$A$2:$A$800,0))-1,""))</f>
        <v/>
      </c>
    </row>
    <row r="462">
      <c r="A462" s="124" t="n"/>
      <c r="B462" s="125" t="n"/>
      <c r="C462" s="122">
        <f>IF(OR(B462="",B461=""),"",B462/B461-1)</f>
        <v/>
      </c>
      <c r="D462" s="122">
        <f>IF(B462="","",IFERROR(B462/INDEX($B$2:$B$800,MATCH(DATE(YEAR(A462)-1,12,1),$A$2:$A$800,0))-1,""))</f>
        <v/>
      </c>
      <c r="E462" s="122">
        <f>IF(B462="","",IFERROR(B462/INDEX($B$2:$B$800,MATCH(DATE(YEAR(A462)-1,MONTH(A462),1),$A$2:$A$800,0))-1,""))</f>
        <v/>
      </c>
    </row>
    <row r="463">
      <c r="A463" s="124" t="n"/>
      <c r="B463" s="125" t="n"/>
      <c r="C463" s="122">
        <f>IF(OR(B463="",B462=""),"",B463/B462-1)</f>
        <v/>
      </c>
      <c r="D463" s="122">
        <f>IF(B463="","",IFERROR(B463/INDEX($B$2:$B$800,MATCH(DATE(YEAR(A463)-1,12,1),$A$2:$A$800,0))-1,""))</f>
        <v/>
      </c>
      <c r="E463" s="122">
        <f>IF(B463="","",IFERROR(B463/INDEX($B$2:$B$800,MATCH(DATE(YEAR(A463)-1,MONTH(A463),1),$A$2:$A$800,0))-1,""))</f>
        <v/>
      </c>
    </row>
    <row r="464">
      <c r="A464" s="124" t="n"/>
      <c r="B464" s="125" t="n"/>
      <c r="C464" s="122">
        <f>IF(OR(B464="",B463=""),"",B464/B463-1)</f>
        <v/>
      </c>
      <c r="D464" s="122">
        <f>IF(B464="","",IFERROR(B464/INDEX($B$2:$B$800,MATCH(DATE(YEAR(A464)-1,12,1),$A$2:$A$800,0))-1,""))</f>
        <v/>
      </c>
      <c r="E464" s="122">
        <f>IF(B464="","",IFERROR(B464/INDEX($B$2:$B$800,MATCH(DATE(YEAR(A464)-1,MONTH(A464),1),$A$2:$A$800,0))-1,""))</f>
        <v/>
      </c>
    </row>
    <row r="465">
      <c r="A465" s="124" t="n"/>
      <c r="B465" s="125" t="n"/>
      <c r="C465" s="122">
        <f>IF(OR(B465="",B464=""),"",B465/B464-1)</f>
        <v/>
      </c>
      <c r="D465" s="122">
        <f>IF(B465="","",IFERROR(B465/INDEX($B$2:$B$800,MATCH(DATE(YEAR(A465)-1,12,1),$A$2:$A$800,0))-1,""))</f>
        <v/>
      </c>
      <c r="E465" s="122">
        <f>IF(B465="","",IFERROR(B465/INDEX($B$2:$B$800,MATCH(DATE(YEAR(A465)-1,MONTH(A465),1),$A$2:$A$800,0))-1,""))</f>
        <v/>
      </c>
    </row>
    <row r="466">
      <c r="A466" s="124" t="n"/>
      <c r="B466" s="125" t="n"/>
      <c r="C466" s="122">
        <f>IF(OR(B466="",B465=""),"",B466/B465-1)</f>
        <v/>
      </c>
      <c r="D466" s="122">
        <f>IF(B466="","",IFERROR(B466/INDEX($B$2:$B$800,MATCH(DATE(YEAR(A466)-1,12,1),$A$2:$A$800,0))-1,""))</f>
        <v/>
      </c>
      <c r="E466" s="122">
        <f>IF(B466="","",IFERROR(B466/INDEX($B$2:$B$800,MATCH(DATE(YEAR(A466)-1,MONTH(A466),1),$A$2:$A$800,0))-1,""))</f>
        <v/>
      </c>
    </row>
    <row r="467">
      <c r="A467" s="124" t="n"/>
      <c r="B467" s="125" t="n"/>
      <c r="C467" s="122">
        <f>IF(OR(B467="",B466=""),"",B467/B466-1)</f>
        <v/>
      </c>
      <c r="D467" s="122">
        <f>IF(B467="","",IFERROR(B467/INDEX($B$2:$B$800,MATCH(DATE(YEAR(A467)-1,12,1),$A$2:$A$800,0))-1,""))</f>
        <v/>
      </c>
      <c r="E467" s="122">
        <f>IF(B467="","",IFERROR(B467/INDEX($B$2:$B$800,MATCH(DATE(YEAR(A467)-1,MONTH(A467),1),$A$2:$A$800,0))-1,""))</f>
        <v/>
      </c>
    </row>
    <row r="468">
      <c r="A468" s="124" t="n"/>
      <c r="B468" s="125" t="n"/>
      <c r="C468" s="122">
        <f>IF(OR(B468="",B467=""),"",B468/B467-1)</f>
        <v/>
      </c>
      <c r="D468" s="122">
        <f>IF(B468="","",IFERROR(B468/INDEX($B$2:$B$800,MATCH(DATE(YEAR(A468)-1,12,1),$A$2:$A$800,0))-1,""))</f>
        <v/>
      </c>
      <c r="E468" s="122">
        <f>IF(B468="","",IFERROR(B468/INDEX($B$2:$B$800,MATCH(DATE(YEAR(A468)-1,MONTH(A468),1),$A$2:$A$800,0))-1,""))</f>
        <v/>
      </c>
    </row>
    <row r="469">
      <c r="A469" s="124" t="n"/>
      <c r="B469" s="125" t="n"/>
      <c r="C469" s="122">
        <f>IF(OR(B469="",B468=""),"",B469/B468-1)</f>
        <v/>
      </c>
      <c r="D469" s="122">
        <f>IF(B469="","",IFERROR(B469/INDEX($B$2:$B$800,MATCH(DATE(YEAR(A469)-1,12,1),$A$2:$A$800,0))-1,""))</f>
        <v/>
      </c>
      <c r="E469" s="122">
        <f>IF(B469="","",IFERROR(B469/INDEX($B$2:$B$800,MATCH(DATE(YEAR(A469)-1,MONTH(A469),1),$A$2:$A$800,0))-1,""))</f>
        <v/>
      </c>
    </row>
    <row r="470">
      <c r="A470" s="124" t="n"/>
      <c r="B470" s="125" t="n"/>
      <c r="C470" s="122">
        <f>IF(OR(B470="",B469=""),"",B470/B469-1)</f>
        <v/>
      </c>
      <c r="D470" s="122">
        <f>IF(B470="","",IFERROR(B470/INDEX($B$2:$B$800,MATCH(DATE(YEAR(A470)-1,12,1),$A$2:$A$800,0))-1,""))</f>
        <v/>
      </c>
      <c r="E470" s="122">
        <f>IF(B470="","",IFERROR(B470/INDEX($B$2:$B$800,MATCH(DATE(YEAR(A470)-1,MONTH(A470),1),$A$2:$A$800,0))-1,""))</f>
        <v/>
      </c>
    </row>
    <row r="471">
      <c r="A471" s="124" t="n"/>
      <c r="B471" s="125" t="n"/>
      <c r="C471" s="122">
        <f>IF(OR(B471="",B470=""),"",B471/B470-1)</f>
        <v/>
      </c>
      <c r="D471" s="122">
        <f>IF(B471="","",IFERROR(B471/INDEX($B$2:$B$800,MATCH(DATE(YEAR(A471)-1,12,1),$A$2:$A$800,0))-1,""))</f>
        <v/>
      </c>
      <c r="E471" s="122">
        <f>IF(B471="","",IFERROR(B471/INDEX($B$2:$B$800,MATCH(DATE(YEAR(A471)-1,MONTH(A471),1),$A$2:$A$800,0))-1,""))</f>
        <v/>
      </c>
    </row>
    <row r="472">
      <c r="A472" s="124" t="n"/>
      <c r="B472" s="125" t="n"/>
      <c r="C472" s="122">
        <f>IF(OR(B472="",B471=""),"",B472/B471-1)</f>
        <v/>
      </c>
      <c r="D472" s="122">
        <f>IF(B472="","",IFERROR(B472/INDEX($B$2:$B$800,MATCH(DATE(YEAR(A472)-1,12,1),$A$2:$A$800,0))-1,""))</f>
        <v/>
      </c>
      <c r="E472" s="122">
        <f>IF(B472="","",IFERROR(B472/INDEX($B$2:$B$800,MATCH(DATE(YEAR(A472)-1,MONTH(A472),1),$A$2:$A$800,0))-1,""))</f>
        <v/>
      </c>
    </row>
    <row r="473">
      <c r="A473" s="124" t="n"/>
      <c r="B473" s="125" t="n"/>
      <c r="C473" s="122">
        <f>IF(OR(B473="",B472=""),"",B473/B472-1)</f>
        <v/>
      </c>
      <c r="D473" s="122">
        <f>IF(B473="","",IFERROR(B473/INDEX($B$2:$B$800,MATCH(DATE(YEAR(A473)-1,12,1),$A$2:$A$800,0))-1,""))</f>
        <v/>
      </c>
      <c r="E473" s="122">
        <f>IF(B473="","",IFERROR(B473/INDEX($B$2:$B$800,MATCH(DATE(YEAR(A473)-1,MONTH(A473),1),$A$2:$A$800,0))-1,""))</f>
        <v/>
      </c>
    </row>
    <row r="474">
      <c r="A474" s="124" t="n"/>
      <c r="B474" s="125" t="n"/>
      <c r="C474" s="122">
        <f>IF(OR(B474="",B473=""),"",B474/B473-1)</f>
        <v/>
      </c>
      <c r="D474" s="122">
        <f>IF(B474="","",IFERROR(B474/INDEX($B$2:$B$800,MATCH(DATE(YEAR(A474)-1,12,1),$A$2:$A$800,0))-1,""))</f>
        <v/>
      </c>
      <c r="E474" s="122">
        <f>IF(B474="","",IFERROR(B474/INDEX($B$2:$B$800,MATCH(DATE(YEAR(A474)-1,MONTH(A474),1),$A$2:$A$800,0))-1,""))</f>
        <v/>
      </c>
    </row>
    <row r="475">
      <c r="A475" s="124" t="n"/>
      <c r="B475" s="125" t="n"/>
      <c r="C475" s="122">
        <f>IF(OR(B475="",B474=""),"",B475/B474-1)</f>
        <v/>
      </c>
      <c r="D475" s="122">
        <f>IF(B475="","",IFERROR(B475/INDEX($B$2:$B$800,MATCH(DATE(YEAR(A475)-1,12,1),$A$2:$A$800,0))-1,""))</f>
        <v/>
      </c>
      <c r="E475" s="122">
        <f>IF(B475="","",IFERROR(B475/INDEX($B$2:$B$800,MATCH(DATE(YEAR(A475)-1,MONTH(A475),1),$A$2:$A$800,0))-1,""))</f>
        <v/>
      </c>
    </row>
    <row r="476">
      <c r="A476" s="124" t="n"/>
      <c r="B476" s="125" t="n"/>
      <c r="C476" s="122">
        <f>IF(OR(B476="",B475=""),"",B476/B475-1)</f>
        <v/>
      </c>
      <c r="D476" s="122">
        <f>IF(B476="","",IFERROR(B476/INDEX($B$2:$B$800,MATCH(DATE(YEAR(A476)-1,12,1),$A$2:$A$800,0))-1,""))</f>
        <v/>
      </c>
      <c r="E476" s="122">
        <f>IF(B476="","",IFERROR(B476/INDEX($B$2:$B$800,MATCH(DATE(YEAR(A476)-1,MONTH(A476),1),$A$2:$A$800,0))-1,""))</f>
        <v/>
      </c>
    </row>
    <row r="477">
      <c r="A477" s="124" t="n"/>
      <c r="B477" s="125" t="n"/>
      <c r="C477" s="122">
        <f>IF(OR(B477="",B476=""),"",B477/B476-1)</f>
        <v/>
      </c>
      <c r="D477" s="122">
        <f>IF(B477="","",IFERROR(B477/INDEX($B$2:$B$800,MATCH(DATE(YEAR(A477)-1,12,1),$A$2:$A$800,0))-1,""))</f>
        <v/>
      </c>
      <c r="E477" s="122">
        <f>IF(B477="","",IFERROR(B477/INDEX($B$2:$B$800,MATCH(DATE(YEAR(A477)-1,MONTH(A477),1),$A$2:$A$800,0))-1,""))</f>
        <v/>
      </c>
    </row>
    <row r="478">
      <c r="A478" s="124" t="n"/>
      <c r="B478" s="125" t="n"/>
      <c r="C478" s="122">
        <f>IF(OR(B478="",B477=""),"",B478/B477-1)</f>
        <v/>
      </c>
      <c r="D478" s="122">
        <f>IF(B478="","",IFERROR(B478/INDEX($B$2:$B$800,MATCH(DATE(YEAR(A478)-1,12,1),$A$2:$A$800,0))-1,""))</f>
        <v/>
      </c>
      <c r="E478" s="122">
        <f>IF(B478="","",IFERROR(B478/INDEX($B$2:$B$800,MATCH(DATE(YEAR(A478)-1,MONTH(A478),1),$A$2:$A$800,0))-1,""))</f>
        <v/>
      </c>
    </row>
    <row r="479">
      <c r="A479" s="124" t="n"/>
      <c r="B479" s="125" t="n"/>
      <c r="C479" s="122">
        <f>IF(OR(B479="",B478=""),"",B479/B478-1)</f>
        <v/>
      </c>
      <c r="D479" s="122">
        <f>IF(B479="","",IFERROR(B479/INDEX($B$2:$B$800,MATCH(DATE(YEAR(A479)-1,12,1),$A$2:$A$800,0))-1,""))</f>
        <v/>
      </c>
      <c r="E479" s="122">
        <f>IF(B479="","",IFERROR(B479/INDEX($B$2:$B$800,MATCH(DATE(YEAR(A479)-1,MONTH(A479),1),$A$2:$A$800,0))-1,""))</f>
        <v/>
      </c>
    </row>
    <row r="480">
      <c r="A480" s="124" t="n"/>
      <c r="B480" s="125" t="n"/>
      <c r="C480" s="122">
        <f>IF(OR(B480="",B479=""),"",B480/B479-1)</f>
        <v/>
      </c>
      <c r="D480" s="122">
        <f>IF(B480="","",IFERROR(B480/INDEX($B$2:$B$800,MATCH(DATE(YEAR(A480)-1,12,1),$A$2:$A$800,0))-1,""))</f>
        <v/>
      </c>
      <c r="E480" s="122">
        <f>IF(B480="","",IFERROR(B480/INDEX($B$2:$B$800,MATCH(DATE(YEAR(A480)-1,MONTH(A480),1),$A$2:$A$800,0))-1,""))</f>
        <v/>
      </c>
    </row>
    <row r="481">
      <c r="A481" s="124" t="n"/>
      <c r="B481" s="125" t="n"/>
      <c r="C481" s="122">
        <f>IF(OR(B481="",B480=""),"",B481/B480-1)</f>
        <v/>
      </c>
      <c r="D481" s="122">
        <f>IF(B481="","",IFERROR(B481/INDEX($B$2:$B$800,MATCH(DATE(YEAR(A481)-1,12,1),$A$2:$A$800,0))-1,""))</f>
        <v/>
      </c>
      <c r="E481" s="122">
        <f>IF(B481="","",IFERROR(B481/INDEX($B$2:$B$800,MATCH(DATE(YEAR(A481)-1,MONTH(A481),1),$A$2:$A$800,0))-1,""))</f>
        <v/>
      </c>
    </row>
    <row r="482">
      <c r="A482" s="124" t="n"/>
      <c r="B482" s="125" t="n"/>
      <c r="C482" s="122">
        <f>IF(OR(B482="",B481=""),"",B482/B481-1)</f>
        <v/>
      </c>
      <c r="D482" s="122">
        <f>IF(B482="","",IFERROR(B482/INDEX($B$2:$B$800,MATCH(DATE(YEAR(A482)-1,12,1),$A$2:$A$800,0))-1,""))</f>
        <v/>
      </c>
      <c r="E482" s="122">
        <f>IF(B482="","",IFERROR(B482/INDEX($B$2:$B$800,MATCH(DATE(YEAR(A482)-1,MONTH(A482),1),$A$2:$A$800,0))-1,""))</f>
        <v/>
      </c>
    </row>
    <row r="483">
      <c r="A483" s="124" t="n"/>
      <c r="B483" s="125" t="n"/>
      <c r="C483" s="122">
        <f>IF(OR(B483="",B482=""),"",B483/B482-1)</f>
        <v/>
      </c>
      <c r="D483" s="122">
        <f>IF(B483="","",IFERROR(B483/INDEX($B$2:$B$800,MATCH(DATE(YEAR(A483)-1,12,1),$A$2:$A$800,0))-1,""))</f>
        <v/>
      </c>
      <c r="E483" s="122">
        <f>IF(B483="","",IFERROR(B483/INDEX($B$2:$B$800,MATCH(DATE(YEAR(A483)-1,MONTH(A483),1),$A$2:$A$800,0))-1,""))</f>
        <v/>
      </c>
    </row>
    <row r="484">
      <c r="A484" s="124" t="n"/>
      <c r="B484" s="125" t="n"/>
      <c r="C484" s="122">
        <f>IF(OR(B484="",B483=""),"",B484/B483-1)</f>
        <v/>
      </c>
      <c r="D484" s="122">
        <f>IF(B484="","",IFERROR(B484/INDEX($B$2:$B$800,MATCH(DATE(YEAR(A484)-1,12,1),$A$2:$A$800,0))-1,""))</f>
        <v/>
      </c>
      <c r="E484" s="122">
        <f>IF(B484="","",IFERROR(B484/INDEX($B$2:$B$800,MATCH(DATE(YEAR(A484)-1,MONTH(A484),1),$A$2:$A$800,0))-1,""))</f>
        <v/>
      </c>
    </row>
    <row r="485">
      <c r="A485" s="124" t="n"/>
      <c r="B485" s="125" t="n"/>
      <c r="C485" s="122">
        <f>IF(OR(B485="",B484=""),"",B485/B484-1)</f>
        <v/>
      </c>
      <c r="D485" s="122">
        <f>IF(B485="","",IFERROR(B485/INDEX($B$2:$B$800,MATCH(DATE(YEAR(A485)-1,12,1),$A$2:$A$800,0))-1,""))</f>
        <v/>
      </c>
      <c r="E485" s="122">
        <f>IF(B485="","",IFERROR(B485/INDEX($B$2:$B$800,MATCH(DATE(YEAR(A485)-1,MONTH(A485),1),$A$2:$A$800,0))-1,""))</f>
        <v/>
      </c>
    </row>
    <row r="486">
      <c r="A486" s="124" t="n"/>
      <c r="B486" s="125" t="n"/>
      <c r="C486" s="122">
        <f>IF(OR(B486="",B485=""),"",B486/B485-1)</f>
        <v/>
      </c>
      <c r="D486" s="122">
        <f>IF(B486="","",IFERROR(B486/INDEX($B$2:$B$800,MATCH(DATE(YEAR(A486)-1,12,1),$A$2:$A$800,0))-1,""))</f>
        <v/>
      </c>
      <c r="E486" s="122">
        <f>IF(B486="","",IFERROR(B486/INDEX($B$2:$B$800,MATCH(DATE(YEAR(A486)-1,MONTH(A486),1),$A$2:$A$800,0))-1,""))</f>
        <v/>
      </c>
    </row>
    <row r="487">
      <c r="A487" s="124" t="n"/>
      <c r="B487" s="125" t="n"/>
      <c r="C487" s="122">
        <f>IF(OR(B487="",B486=""),"",B487/B486-1)</f>
        <v/>
      </c>
      <c r="D487" s="122">
        <f>IF(B487="","",IFERROR(B487/INDEX($B$2:$B$800,MATCH(DATE(YEAR(A487)-1,12,1),$A$2:$A$800,0))-1,""))</f>
        <v/>
      </c>
      <c r="E487" s="122">
        <f>IF(B487="","",IFERROR(B487/INDEX($B$2:$B$800,MATCH(DATE(YEAR(A487)-1,MONTH(A487),1),$A$2:$A$800,0))-1,""))</f>
        <v/>
      </c>
    </row>
    <row r="488">
      <c r="A488" s="124" t="n"/>
      <c r="B488" s="125" t="n"/>
      <c r="C488" s="122">
        <f>IF(OR(B488="",B487=""),"",B488/B487-1)</f>
        <v/>
      </c>
      <c r="D488" s="122">
        <f>IF(B488="","",IFERROR(B488/INDEX($B$2:$B$800,MATCH(DATE(YEAR(A488)-1,12,1),$A$2:$A$800,0))-1,""))</f>
        <v/>
      </c>
      <c r="E488" s="122">
        <f>IF(B488="","",IFERROR(B488/INDEX($B$2:$B$800,MATCH(DATE(YEAR(A488)-1,MONTH(A488),1),$A$2:$A$800,0))-1,""))</f>
        <v/>
      </c>
    </row>
    <row r="489">
      <c r="A489" s="124" t="n"/>
      <c r="B489" s="125" t="n"/>
      <c r="C489" s="122">
        <f>IF(OR(B489="",B488=""),"",B489/B488-1)</f>
        <v/>
      </c>
      <c r="D489" s="122">
        <f>IF(B489="","",IFERROR(B489/INDEX($B$2:$B$800,MATCH(DATE(YEAR(A489)-1,12,1),$A$2:$A$800,0))-1,""))</f>
        <v/>
      </c>
      <c r="E489" s="122">
        <f>IF(B489="","",IFERROR(B489/INDEX($B$2:$B$800,MATCH(DATE(YEAR(A489)-1,MONTH(A489),1),$A$2:$A$800,0))-1,""))</f>
        <v/>
      </c>
    </row>
    <row r="490">
      <c r="A490" s="124" t="n"/>
      <c r="B490" s="125" t="n"/>
      <c r="C490" s="122">
        <f>IF(OR(B490="",B489=""),"",B490/B489-1)</f>
        <v/>
      </c>
      <c r="D490" s="122">
        <f>IF(B490="","",IFERROR(B490/INDEX($B$2:$B$800,MATCH(DATE(YEAR(A490)-1,12,1),$A$2:$A$800,0))-1,""))</f>
        <v/>
      </c>
      <c r="E490" s="122">
        <f>IF(B490="","",IFERROR(B490/INDEX($B$2:$B$800,MATCH(DATE(YEAR(A490)-1,MONTH(A490),1),$A$2:$A$800,0))-1,""))</f>
        <v/>
      </c>
    </row>
    <row r="491">
      <c r="A491" s="124" t="n"/>
      <c r="B491" s="125" t="n"/>
      <c r="C491" s="122">
        <f>IF(OR(B491="",B490=""),"",B491/B490-1)</f>
        <v/>
      </c>
      <c r="D491" s="122">
        <f>IF(B491="","",IFERROR(B491/INDEX($B$2:$B$800,MATCH(DATE(YEAR(A491)-1,12,1),$A$2:$A$800,0))-1,""))</f>
        <v/>
      </c>
      <c r="E491" s="122">
        <f>IF(B491="","",IFERROR(B491/INDEX($B$2:$B$800,MATCH(DATE(YEAR(A491)-1,MONTH(A491),1),$A$2:$A$800,0))-1,""))</f>
        <v/>
      </c>
    </row>
    <row r="492">
      <c r="A492" s="124" t="n"/>
      <c r="B492" s="125" t="n"/>
      <c r="C492" s="122">
        <f>IF(OR(B492="",B491=""),"",B492/B491-1)</f>
        <v/>
      </c>
      <c r="D492" s="122">
        <f>IF(B492="","",IFERROR(B492/INDEX($B$2:$B$800,MATCH(DATE(YEAR(A492)-1,12,1),$A$2:$A$800,0))-1,""))</f>
        <v/>
      </c>
      <c r="E492" s="122">
        <f>IF(B492="","",IFERROR(B492/INDEX($B$2:$B$800,MATCH(DATE(YEAR(A492)-1,MONTH(A492),1),$A$2:$A$800,0))-1,""))</f>
        <v/>
      </c>
    </row>
    <row r="493">
      <c r="A493" s="124" t="n"/>
      <c r="B493" s="125" t="n"/>
      <c r="C493" s="122">
        <f>IF(OR(B493="",B492=""),"",B493/B492-1)</f>
        <v/>
      </c>
      <c r="D493" s="122">
        <f>IF(B493="","",IFERROR(B493/INDEX($B$2:$B$800,MATCH(DATE(YEAR(A493)-1,12,1),$A$2:$A$800,0))-1,""))</f>
        <v/>
      </c>
      <c r="E493" s="122">
        <f>IF(B493="","",IFERROR(B493/INDEX($B$2:$B$800,MATCH(DATE(YEAR(A493)-1,MONTH(A493),1),$A$2:$A$800,0))-1,""))</f>
        <v/>
      </c>
    </row>
    <row r="494">
      <c r="A494" s="124" t="n"/>
      <c r="B494" s="125" t="n"/>
      <c r="C494" s="122">
        <f>IF(OR(B494="",B493=""),"",B494/B493-1)</f>
        <v/>
      </c>
      <c r="D494" s="122">
        <f>IF(B494="","",IFERROR(B494/INDEX($B$2:$B$800,MATCH(DATE(YEAR(A494)-1,12,1),$A$2:$A$800,0))-1,""))</f>
        <v/>
      </c>
      <c r="E494" s="122">
        <f>IF(B494="","",IFERROR(B494/INDEX($B$2:$B$800,MATCH(DATE(YEAR(A494)-1,MONTH(A494),1),$A$2:$A$800,0))-1,""))</f>
        <v/>
      </c>
    </row>
    <row r="495">
      <c r="A495" s="124" t="n"/>
      <c r="B495" s="125" t="n"/>
      <c r="C495" s="122">
        <f>IF(OR(B495="",B494=""),"",B495/B494-1)</f>
        <v/>
      </c>
      <c r="D495" s="122">
        <f>IF(B495="","",IFERROR(B495/INDEX($B$2:$B$800,MATCH(DATE(YEAR(A495)-1,12,1),$A$2:$A$800,0))-1,""))</f>
        <v/>
      </c>
      <c r="E495" s="122">
        <f>IF(B495="","",IFERROR(B495/INDEX($B$2:$B$800,MATCH(DATE(YEAR(A495)-1,MONTH(A495),1),$A$2:$A$800,0))-1,""))</f>
        <v/>
      </c>
    </row>
    <row r="496">
      <c r="A496" s="124" t="n"/>
      <c r="B496" s="125" t="n"/>
      <c r="C496" s="122">
        <f>IF(OR(B496="",B495=""),"",B496/B495-1)</f>
        <v/>
      </c>
      <c r="D496" s="122">
        <f>IF(B496="","",IFERROR(B496/INDEX($B$2:$B$800,MATCH(DATE(YEAR(A496)-1,12,1),$A$2:$A$800,0))-1,""))</f>
        <v/>
      </c>
      <c r="E496" s="122">
        <f>IF(B496="","",IFERROR(B496/INDEX($B$2:$B$800,MATCH(DATE(YEAR(A496)-1,MONTH(A496),1),$A$2:$A$800,0))-1,""))</f>
        <v/>
      </c>
    </row>
    <row r="497">
      <c r="A497" s="124" t="n"/>
      <c r="B497" s="125" t="n"/>
      <c r="C497" s="122">
        <f>IF(OR(B497="",B496=""),"",B497/B496-1)</f>
        <v/>
      </c>
      <c r="D497" s="122">
        <f>IF(B497="","",IFERROR(B497/INDEX($B$2:$B$800,MATCH(DATE(YEAR(A497)-1,12,1),$A$2:$A$800,0))-1,""))</f>
        <v/>
      </c>
      <c r="E497" s="122">
        <f>IF(B497="","",IFERROR(B497/INDEX($B$2:$B$800,MATCH(DATE(YEAR(A497)-1,MONTH(A497),1),$A$2:$A$800,0))-1,""))</f>
        <v/>
      </c>
    </row>
    <row r="498">
      <c r="A498" s="124" t="n"/>
      <c r="B498" s="125" t="n"/>
      <c r="C498" s="122">
        <f>IF(OR(B498="",B497=""),"",B498/B497-1)</f>
        <v/>
      </c>
      <c r="D498" s="122">
        <f>IF(B498="","",IFERROR(B498/INDEX($B$2:$B$800,MATCH(DATE(YEAR(A498)-1,12,1),$A$2:$A$800,0))-1,""))</f>
        <v/>
      </c>
      <c r="E498" s="122">
        <f>IF(B498="","",IFERROR(B498/INDEX($B$2:$B$800,MATCH(DATE(YEAR(A498)-1,MONTH(A498),1),$A$2:$A$800,0))-1,""))</f>
        <v/>
      </c>
    </row>
    <row r="499">
      <c r="A499" s="124" t="n"/>
      <c r="B499" s="125" t="n"/>
      <c r="C499" s="122">
        <f>IF(OR(B499="",B498=""),"",B499/B498-1)</f>
        <v/>
      </c>
      <c r="D499" s="122">
        <f>IF(B499="","",IFERROR(B499/INDEX($B$2:$B$800,MATCH(DATE(YEAR(A499)-1,12,1),$A$2:$A$800,0))-1,""))</f>
        <v/>
      </c>
      <c r="E499" s="122">
        <f>IF(B499="","",IFERROR(B499/INDEX($B$2:$B$800,MATCH(DATE(YEAR(A499)-1,MONTH(A499),1),$A$2:$A$800,0))-1,""))</f>
        <v/>
      </c>
    </row>
    <row r="500">
      <c r="A500" s="124" t="n"/>
      <c r="B500" s="125" t="n"/>
      <c r="C500" s="122">
        <f>IF(OR(B500="",B499=""),"",B500/B499-1)</f>
        <v/>
      </c>
      <c r="D500" s="122">
        <f>IF(B500="","",IFERROR(B500/INDEX($B$2:$B$800,MATCH(DATE(YEAR(A500)-1,12,1),$A$2:$A$800,0))-1,""))</f>
        <v/>
      </c>
      <c r="E500" s="122">
        <f>IF(B500="","",IFERROR(B500/INDEX($B$2:$B$800,MATCH(DATE(YEAR(A500)-1,MONTH(A500),1),$A$2:$A$800,0))-1,""))</f>
        <v/>
      </c>
    </row>
    <row r="501">
      <c r="A501" s="124" t="n"/>
      <c r="B501" s="125" t="n"/>
      <c r="C501" s="122">
        <f>IF(OR(B501="",B500=""),"",B501/B500-1)</f>
        <v/>
      </c>
      <c r="D501" s="122">
        <f>IF(B501="","",IFERROR(B501/INDEX($B$2:$B$800,MATCH(DATE(YEAR(A501)-1,12,1),$A$2:$A$800,0))-1,""))</f>
        <v/>
      </c>
      <c r="E501" s="122">
        <f>IF(B501="","",IFERROR(B501/INDEX($B$2:$B$800,MATCH(DATE(YEAR(A501)-1,MONTH(A501),1),$A$2:$A$800,0))-1,""))</f>
        <v/>
      </c>
    </row>
    <row r="502">
      <c r="A502" s="124" t="n"/>
      <c r="B502" s="125" t="n"/>
      <c r="C502" s="122">
        <f>IF(OR(B502="",B501=""),"",B502/B501-1)</f>
        <v/>
      </c>
      <c r="D502" s="122">
        <f>IF(B502="","",IFERROR(B502/INDEX($B$2:$B$800,MATCH(DATE(YEAR(A502)-1,12,1),$A$2:$A$800,0))-1,""))</f>
        <v/>
      </c>
      <c r="E502" s="122">
        <f>IF(B502="","",IFERROR(B502/INDEX($B$2:$B$800,MATCH(DATE(YEAR(A502)-1,MONTH(A502),1),$A$2:$A$800,0))-1,""))</f>
        <v/>
      </c>
    </row>
    <row r="503">
      <c r="A503" s="124" t="n"/>
      <c r="B503" s="125" t="n"/>
      <c r="C503" s="122">
        <f>IF(OR(B503="",B502=""),"",B503/B502-1)</f>
        <v/>
      </c>
      <c r="D503" s="122">
        <f>IF(B503="","",IFERROR(B503/INDEX($B$2:$B$800,MATCH(DATE(YEAR(A503)-1,12,1),$A$2:$A$800,0))-1,""))</f>
        <v/>
      </c>
      <c r="E503" s="122">
        <f>IF(B503="","",IFERROR(B503/INDEX($B$2:$B$800,MATCH(DATE(YEAR(A503)-1,MONTH(A503),1),$A$2:$A$800,0))-1,""))</f>
        <v/>
      </c>
    </row>
    <row r="504">
      <c r="A504" s="124" t="n"/>
      <c r="B504" s="125" t="n"/>
      <c r="C504" s="122">
        <f>IF(OR(B504="",B503=""),"",B504/B503-1)</f>
        <v/>
      </c>
      <c r="D504" s="122">
        <f>IF(B504="","",IFERROR(B504/INDEX($B$2:$B$800,MATCH(DATE(YEAR(A504)-1,12,1),$A$2:$A$800,0))-1,""))</f>
        <v/>
      </c>
      <c r="E504" s="122">
        <f>IF(B504="","",IFERROR(B504/INDEX($B$2:$B$800,MATCH(DATE(YEAR(A504)-1,MONTH(A504),1),$A$2:$A$800,0))-1,""))</f>
        <v/>
      </c>
    </row>
    <row r="505">
      <c r="A505" s="124" t="n"/>
      <c r="B505" s="125" t="n"/>
      <c r="C505" s="122">
        <f>IF(OR(B505="",B504=""),"",B505/B504-1)</f>
        <v/>
      </c>
      <c r="D505" s="122">
        <f>IF(B505="","",IFERROR(B505/INDEX($B$2:$B$800,MATCH(DATE(YEAR(A505)-1,12,1),$A$2:$A$800,0))-1,""))</f>
        <v/>
      </c>
      <c r="E505" s="122">
        <f>IF(B505="","",IFERROR(B505/INDEX($B$2:$B$800,MATCH(DATE(YEAR(A505)-1,MONTH(A505),1),$A$2:$A$800,0))-1,""))</f>
        <v/>
      </c>
    </row>
    <row r="506">
      <c r="A506" s="124" t="n"/>
      <c r="B506" s="125" t="n"/>
      <c r="C506" s="122">
        <f>IF(OR(B506="",B505=""),"",B506/B505-1)</f>
        <v/>
      </c>
      <c r="D506" s="122">
        <f>IF(B506="","",IFERROR(B506/INDEX($B$2:$B$800,MATCH(DATE(YEAR(A506)-1,12,1),$A$2:$A$800,0))-1,""))</f>
        <v/>
      </c>
      <c r="E506" s="122">
        <f>IF(B506="","",IFERROR(B506/INDEX($B$2:$B$800,MATCH(DATE(YEAR(A506)-1,MONTH(A506),1),$A$2:$A$800,0))-1,""))</f>
        <v/>
      </c>
    </row>
    <row r="507">
      <c r="A507" s="124" t="n"/>
      <c r="B507" s="125" t="n"/>
      <c r="C507" s="122">
        <f>IF(OR(B507="",B506=""),"",B507/B506-1)</f>
        <v/>
      </c>
      <c r="D507" s="122">
        <f>IF(B507="","",IFERROR(B507/INDEX($B$2:$B$800,MATCH(DATE(YEAR(A507)-1,12,1),$A$2:$A$800,0))-1,""))</f>
        <v/>
      </c>
      <c r="E507" s="122">
        <f>IF(B507="","",IFERROR(B507/INDEX($B$2:$B$800,MATCH(DATE(YEAR(A507)-1,MONTH(A507),1),$A$2:$A$800,0))-1,""))</f>
        <v/>
      </c>
    </row>
    <row r="508">
      <c r="A508" s="124" t="n"/>
      <c r="B508" s="125" t="n"/>
      <c r="C508" s="122">
        <f>IF(OR(B508="",B507=""),"",B508/B507-1)</f>
        <v/>
      </c>
      <c r="D508" s="122">
        <f>IF(B508="","",IFERROR(B508/INDEX($B$2:$B$800,MATCH(DATE(YEAR(A508)-1,12,1),$A$2:$A$800,0))-1,""))</f>
        <v/>
      </c>
      <c r="E508" s="122">
        <f>IF(B508="","",IFERROR(B508/INDEX($B$2:$B$800,MATCH(DATE(YEAR(A508)-1,MONTH(A508),1),$A$2:$A$800,0))-1,""))</f>
        <v/>
      </c>
    </row>
    <row r="509">
      <c r="A509" s="124" t="n"/>
      <c r="B509" s="125" t="n"/>
      <c r="C509" s="122">
        <f>IF(OR(B509="",B508=""),"",B509/B508-1)</f>
        <v/>
      </c>
      <c r="D509" s="122">
        <f>IF(B509="","",IFERROR(B509/INDEX($B$2:$B$800,MATCH(DATE(YEAR(A509)-1,12,1),$A$2:$A$800,0))-1,""))</f>
        <v/>
      </c>
      <c r="E509" s="122">
        <f>IF(B509="","",IFERROR(B509/INDEX($B$2:$B$800,MATCH(DATE(YEAR(A509)-1,MONTH(A509),1),$A$2:$A$800,0))-1,""))</f>
        <v/>
      </c>
    </row>
    <row r="510">
      <c r="A510" s="124" t="n"/>
      <c r="B510" s="125" t="n"/>
      <c r="C510" s="122">
        <f>IF(OR(B510="",B509=""),"",B510/B509-1)</f>
        <v/>
      </c>
      <c r="D510" s="122">
        <f>IF(B510="","",IFERROR(B510/INDEX($B$2:$B$800,MATCH(DATE(YEAR(A510)-1,12,1),$A$2:$A$800,0))-1,""))</f>
        <v/>
      </c>
      <c r="E510" s="122">
        <f>IF(B510="","",IFERROR(B510/INDEX($B$2:$B$800,MATCH(DATE(YEAR(A510)-1,MONTH(A510),1),$A$2:$A$800,0))-1,""))</f>
        <v/>
      </c>
    </row>
    <row r="511">
      <c r="A511" s="124" t="n"/>
      <c r="B511" s="125" t="n"/>
      <c r="C511" s="122">
        <f>IF(OR(B511="",B510=""),"",B511/B510-1)</f>
        <v/>
      </c>
      <c r="D511" s="122">
        <f>IF(B511="","",IFERROR(B511/INDEX($B$2:$B$800,MATCH(DATE(YEAR(A511)-1,12,1),$A$2:$A$800,0))-1,""))</f>
        <v/>
      </c>
      <c r="E511" s="122">
        <f>IF(B511="","",IFERROR(B511/INDEX($B$2:$B$800,MATCH(DATE(YEAR(A511)-1,MONTH(A511),1),$A$2:$A$800,0))-1,""))</f>
        <v/>
      </c>
    </row>
    <row r="512">
      <c r="A512" s="124" t="n"/>
      <c r="B512" s="125" t="n"/>
      <c r="C512" s="122">
        <f>IF(OR(B512="",B511=""),"",B512/B511-1)</f>
        <v/>
      </c>
      <c r="D512" s="122">
        <f>IF(B512="","",IFERROR(B512/INDEX($B$2:$B$800,MATCH(DATE(YEAR(A512)-1,12,1),$A$2:$A$800,0))-1,""))</f>
        <v/>
      </c>
      <c r="E512" s="122">
        <f>IF(B512="","",IFERROR(B512/INDEX($B$2:$B$800,MATCH(DATE(YEAR(A512)-1,MONTH(A512),1),$A$2:$A$800,0))-1,""))</f>
        <v/>
      </c>
    </row>
    <row r="513">
      <c r="A513" s="124" t="n"/>
      <c r="B513" s="125" t="n"/>
      <c r="C513" s="122">
        <f>IF(OR(B513="",B512=""),"",B513/B512-1)</f>
        <v/>
      </c>
      <c r="D513" s="122">
        <f>IF(B513="","",IFERROR(B513/INDEX($B$2:$B$800,MATCH(DATE(YEAR(A513)-1,12,1),$A$2:$A$800,0))-1,""))</f>
        <v/>
      </c>
      <c r="E513" s="122">
        <f>IF(B513="","",IFERROR(B513/INDEX($B$2:$B$800,MATCH(DATE(YEAR(A513)-1,MONTH(A513),1),$A$2:$A$800,0))-1,""))</f>
        <v/>
      </c>
    </row>
    <row r="514">
      <c r="A514" s="124" t="n"/>
      <c r="B514" s="125" t="n"/>
      <c r="C514" s="122">
        <f>IF(OR(B514="",B513=""),"",B514/B513-1)</f>
        <v/>
      </c>
      <c r="D514" s="122">
        <f>IF(B514="","",IFERROR(B514/INDEX($B$2:$B$800,MATCH(DATE(YEAR(A514)-1,12,1),$A$2:$A$800,0))-1,""))</f>
        <v/>
      </c>
      <c r="E514" s="122">
        <f>IF(B514="","",IFERROR(B514/INDEX($B$2:$B$800,MATCH(DATE(YEAR(A514)-1,MONTH(A514),1),$A$2:$A$800,0))-1,""))</f>
        <v/>
      </c>
    </row>
    <row r="515">
      <c r="A515" s="124" t="n"/>
      <c r="B515" s="125" t="n"/>
      <c r="C515" s="122">
        <f>IF(OR(B515="",B514=""),"",B515/B514-1)</f>
        <v/>
      </c>
      <c r="D515" s="122">
        <f>IF(B515="","",IFERROR(B515/INDEX($B$2:$B$800,MATCH(DATE(YEAR(A515)-1,12,1),$A$2:$A$800,0))-1,""))</f>
        <v/>
      </c>
      <c r="E515" s="122">
        <f>IF(B515="","",IFERROR(B515/INDEX($B$2:$B$800,MATCH(DATE(YEAR(A515)-1,MONTH(A515),1),$A$2:$A$800,0))-1,""))</f>
        <v/>
      </c>
    </row>
    <row r="516">
      <c r="A516" s="124" t="n"/>
      <c r="B516" s="125" t="n"/>
      <c r="C516" s="122">
        <f>IF(OR(B516="",B515=""),"",B516/B515-1)</f>
        <v/>
      </c>
      <c r="D516" s="122">
        <f>IF(B516="","",IFERROR(B516/INDEX($B$2:$B$800,MATCH(DATE(YEAR(A516)-1,12,1),$A$2:$A$800,0))-1,""))</f>
        <v/>
      </c>
      <c r="E516" s="122">
        <f>IF(B516="","",IFERROR(B516/INDEX($B$2:$B$800,MATCH(DATE(YEAR(A516)-1,MONTH(A516),1),$A$2:$A$800,0))-1,""))</f>
        <v/>
      </c>
    </row>
    <row r="517">
      <c r="A517" s="124" t="n"/>
      <c r="B517" s="125" t="n"/>
      <c r="C517" s="122">
        <f>IF(OR(B517="",B516=""),"",B517/B516-1)</f>
        <v/>
      </c>
      <c r="D517" s="122">
        <f>IF(B517="","",IFERROR(B517/INDEX($B$2:$B$800,MATCH(DATE(YEAR(A517)-1,12,1),$A$2:$A$800,0))-1,""))</f>
        <v/>
      </c>
      <c r="E517" s="122">
        <f>IF(B517="","",IFERROR(B517/INDEX($B$2:$B$800,MATCH(DATE(YEAR(A517)-1,MONTH(A517),1),$A$2:$A$800,0))-1,""))</f>
        <v/>
      </c>
    </row>
    <row r="518">
      <c r="A518" s="124" t="n"/>
      <c r="B518" s="125" t="n"/>
      <c r="C518" s="122">
        <f>IF(OR(B518="",B517=""),"",B518/B517-1)</f>
        <v/>
      </c>
      <c r="D518" s="122">
        <f>IF(B518="","",IFERROR(B518/INDEX($B$2:$B$800,MATCH(DATE(YEAR(A518)-1,12,1),$A$2:$A$800,0))-1,""))</f>
        <v/>
      </c>
      <c r="E518" s="122">
        <f>IF(B518="","",IFERROR(B518/INDEX($B$2:$B$800,MATCH(DATE(YEAR(A518)-1,MONTH(A518),1),$A$2:$A$800,0))-1,""))</f>
        <v/>
      </c>
    </row>
    <row r="519">
      <c r="A519" s="124" t="n"/>
      <c r="B519" s="125" t="n"/>
      <c r="C519" s="122">
        <f>IF(OR(B519="",B518=""),"",B519/B518-1)</f>
        <v/>
      </c>
      <c r="D519" s="122">
        <f>IF(B519="","",IFERROR(B519/INDEX($B$2:$B$800,MATCH(DATE(YEAR(A519)-1,12,1),$A$2:$A$800,0))-1,""))</f>
        <v/>
      </c>
      <c r="E519" s="122">
        <f>IF(B519="","",IFERROR(B519/INDEX($B$2:$B$800,MATCH(DATE(YEAR(A519)-1,MONTH(A519),1),$A$2:$A$800,0))-1,""))</f>
        <v/>
      </c>
    </row>
    <row r="520">
      <c r="A520" s="124" t="n"/>
      <c r="B520" s="125" t="n"/>
      <c r="C520" s="122">
        <f>IF(OR(B520="",B519=""),"",B520/B519-1)</f>
        <v/>
      </c>
      <c r="D520" s="122">
        <f>IF(B520="","",IFERROR(B520/INDEX($B$2:$B$800,MATCH(DATE(YEAR(A520)-1,12,1),$A$2:$A$800,0))-1,""))</f>
        <v/>
      </c>
      <c r="E520" s="122">
        <f>IF(B520="","",IFERROR(B520/INDEX($B$2:$B$800,MATCH(DATE(YEAR(A520)-1,MONTH(A520),1),$A$2:$A$800,0))-1,""))</f>
        <v/>
      </c>
    </row>
    <row r="521">
      <c r="A521" s="124" t="n"/>
      <c r="B521" s="125" t="n"/>
      <c r="C521" s="122">
        <f>IF(OR(B521="",B520=""),"",B521/B520-1)</f>
        <v/>
      </c>
      <c r="D521" s="122">
        <f>IF(B521="","",IFERROR(B521/INDEX($B$2:$B$800,MATCH(DATE(YEAR(A521)-1,12,1),$A$2:$A$800,0))-1,""))</f>
        <v/>
      </c>
      <c r="E521" s="122">
        <f>IF(B521="","",IFERROR(B521/INDEX($B$2:$B$800,MATCH(DATE(YEAR(A521)-1,MONTH(A521),1),$A$2:$A$800,0))-1,""))</f>
        <v/>
      </c>
    </row>
    <row r="522">
      <c r="A522" s="124" t="n"/>
      <c r="B522" s="125" t="n"/>
      <c r="C522" s="122">
        <f>IF(OR(B522="",B521=""),"",B522/B521-1)</f>
        <v/>
      </c>
      <c r="D522" s="122">
        <f>IF(B522="","",IFERROR(B522/INDEX($B$2:$B$800,MATCH(DATE(YEAR(A522)-1,12,1),$A$2:$A$800,0))-1,""))</f>
        <v/>
      </c>
      <c r="E522" s="122">
        <f>IF(B522="","",IFERROR(B522/INDEX($B$2:$B$800,MATCH(DATE(YEAR(A522)-1,MONTH(A522),1),$A$2:$A$800,0))-1,""))</f>
        <v/>
      </c>
    </row>
    <row r="523">
      <c r="A523" s="124" t="n"/>
      <c r="B523" s="125" t="n"/>
      <c r="C523" s="122">
        <f>IF(OR(B523="",B522=""),"",B523/B522-1)</f>
        <v/>
      </c>
      <c r="D523" s="122">
        <f>IF(B523="","",IFERROR(B523/INDEX($B$2:$B$800,MATCH(DATE(YEAR(A523)-1,12,1),$A$2:$A$800,0))-1,""))</f>
        <v/>
      </c>
      <c r="E523" s="122">
        <f>IF(B523="","",IFERROR(B523/INDEX($B$2:$B$800,MATCH(DATE(YEAR(A523)-1,MONTH(A523),1),$A$2:$A$800,0))-1,""))</f>
        <v/>
      </c>
    </row>
    <row r="524">
      <c r="A524" s="124" t="n"/>
      <c r="B524" s="125" t="n"/>
      <c r="C524" s="122">
        <f>IF(OR(B524="",B523=""),"",B524/B523-1)</f>
        <v/>
      </c>
      <c r="D524" s="122">
        <f>IF(B524="","",IFERROR(B524/INDEX($B$2:$B$800,MATCH(DATE(YEAR(A524)-1,12,1),$A$2:$A$800,0))-1,""))</f>
        <v/>
      </c>
      <c r="E524" s="122">
        <f>IF(B524="","",IFERROR(B524/INDEX($B$2:$B$800,MATCH(DATE(YEAR(A524)-1,MONTH(A524),1),$A$2:$A$800,0))-1,""))</f>
        <v/>
      </c>
    </row>
    <row r="525">
      <c r="A525" s="124" t="n"/>
      <c r="B525" s="125" t="n"/>
      <c r="C525" s="122">
        <f>IF(OR(B525="",B524=""),"",B525/B524-1)</f>
        <v/>
      </c>
      <c r="D525" s="122">
        <f>IF(B525="","",IFERROR(B525/INDEX($B$2:$B$800,MATCH(DATE(YEAR(A525)-1,12,1),$A$2:$A$800,0))-1,""))</f>
        <v/>
      </c>
      <c r="E525" s="122">
        <f>IF(B525="","",IFERROR(B525/INDEX($B$2:$B$800,MATCH(DATE(YEAR(A525)-1,MONTH(A525),1),$A$2:$A$800,0))-1,""))</f>
        <v/>
      </c>
    </row>
    <row r="526">
      <c r="A526" s="124" t="n"/>
      <c r="B526" s="125" t="n"/>
      <c r="C526" s="122">
        <f>IF(OR(B526="",B525=""),"",B526/B525-1)</f>
        <v/>
      </c>
      <c r="D526" s="122">
        <f>IF(B526="","",IFERROR(B526/INDEX($B$2:$B$800,MATCH(DATE(YEAR(A526)-1,12,1),$A$2:$A$800,0))-1,""))</f>
        <v/>
      </c>
      <c r="E526" s="122">
        <f>IF(B526="","",IFERROR(B526/INDEX($B$2:$B$800,MATCH(DATE(YEAR(A526)-1,MONTH(A526),1),$A$2:$A$800,0))-1,""))</f>
        <v/>
      </c>
    </row>
    <row r="527">
      <c r="A527" s="124" t="n"/>
      <c r="B527" s="125" t="n"/>
      <c r="C527" s="122">
        <f>IF(OR(B527="",B526=""),"",B527/B526-1)</f>
        <v/>
      </c>
      <c r="D527" s="122">
        <f>IF(B527="","",IFERROR(B527/INDEX($B$2:$B$800,MATCH(DATE(YEAR(A527)-1,12,1),$A$2:$A$800,0))-1,""))</f>
        <v/>
      </c>
      <c r="E527" s="122">
        <f>IF(B527="","",IFERROR(B527/INDEX($B$2:$B$800,MATCH(DATE(YEAR(A527)-1,MONTH(A527),1),$A$2:$A$800,0))-1,""))</f>
        <v/>
      </c>
    </row>
    <row r="528">
      <c r="A528" s="124" t="n"/>
      <c r="B528" s="125" t="n"/>
      <c r="C528" s="122">
        <f>IF(OR(B528="",B527=""),"",B528/B527-1)</f>
        <v/>
      </c>
      <c r="D528" s="122">
        <f>IF(B528="","",IFERROR(B528/INDEX($B$2:$B$800,MATCH(DATE(YEAR(A528)-1,12,1),$A$2:$A$800,0))-1,""))</f>
        <v/>
      </c>
      <c r="E528" s="122">
        <f>IF(B528="","",IFERROR(B528/INDEX($B$2:$B$800,MATCH(DATE(YEAR(A528)-1,MONTH(A528),1),$A$2:$A$800,0))-1,""))</f>
        <v/>
      </c>
    </row>
    <row r="529">
      <c r="A529" s="124" t="n"/>
      <c r="B529" s="125" t="n"/>
      <c r="C529" s="122">
        <f>IF(OR(B529="",B528=""),"",B529/B528-1)</f>
        <v/>
      </c>
      <c r="D529" s="122">
        <f>IF(B529="","",IFERROR(B529/INDEX($B$2:$B$800,MATCH(DATE(YEAR(A529)-1,12,1),$A$2:$A$800,0))-1,""))</f>
        <v/>
      </c>
      <c r="E529" s="122">
        <f>IF(B529="","",IFERROR(B529/INDEX($B$2:$B$800,MATCH(DATE(YEAR(A529)-1,MONTH(A529),1),$A$2:$A$800,0))-1,""))</f>
        <v/>
      </c>
    </row>
    <row r="530">
      <c r="A530" s="124" t="n"/>
      <c r="B530" s="125" t="n"/>
      <c r="C530" s="122">
        <f>IF(OR(B530="",B529=""),"",B530/B529-1)</f>
        <v/>
      </c>
      <c r="D530" s="122">
        <f>IF(B530="","",IFERROR(B530/INDEX($B$2:$B$800,MATCH(DATE(YEAR(A530)-1,12,1),$A$2:$A$800,0))-1,""))</f>
        <v/>
      </c>
      <c r="E530" s="122">
        <f>IF(B530="","",IFERROR(B530/INDEX($B$2:$B$800,MATCH(DATE(YEAR(A530)-1,MONTH(A530),1),$A$2:$A$800,0))-1,""))</f>
        <v/>
      </c>
    </row>
    <row r="531">
      <c r="A531" s="124" t="n"/>
      <c r="B531" s="125" t="n"/>
      <c r="C531" s="122">
        <f>IF(OR(B531="",B530=""),"",B531/B530-1)</f>
        <v/>
      </c>
      <c r="D531" s="122">
        <f>IF(B531="","",IFERROR(B531/INDEX($B$2:$B$800,MATCH(DATE(YEAR(A531)-1,12,1),$A$2:$A$800,0))-1,""))</f>
        <v/>
      </c>
      <c r="E531" s="122">
        <f>IF(B531="","",IFERROR(B531/INDEX($B$2:$B$800,MATCH(DATE(YEAR(A531)-1,MONTH(A531),1),$A$2:$A$800,0))-1,""))</f>
        <v/>
      </c>
    </row>
    <row r="532">
      <c r="A532" s="124" t="n"/>
      <c r="B532" s="125" t="n"/>
      <c r="C532" s="122">
        <f>IF(OR(B532="",B531=""),"",B532/B531-1)</f>
        <v/>
      </c>
      <c r="D532" s="122">
        <f>IF(B532="","",IFERROR(B532/INDEX($B$2:$B$800,MATCH(DATE(YEAR(A532)-1,12,1),$A$2:$A$800,0))-1,""))</f>
        <v/>
      </c>
      <c r="E532" s="122">
        <f>IF(B532="","",IFERROR(B532/INDEX($B$2:$B$800,MATCH(DATE(YEAR(A532)-1,MONTH(A532),1),$A$2:$A$800,0))-1,""))</f>
        <v/>
      </c>
    </row>
    <row r="533">
      <c r="A533" s="124" t="n"/>
      <c r="B533" s="125" t="n"/>
      <c r="C533" s="122">
        <f>IF(OR(B533="",B532=""),"",B533/B532-1)</f>
        <v/>
      </c>
      <c r="D533" s="122">
        <f>IF(B533="","",IFERROR(B533/INDEX($B$2:$B$800,MATCH(DATE(YEAR(A533)-1,12,1),$A$2:$A$800,0))-1,""))</f>
        <v/>
      </c>
      <c r="E533" s="122">
        <f>IF(B533="","",IFERROR(B533/INDEX($B$2:$B$800,MATCH(DATE(YEAR(A533)-1,MONTH(A533),1),$A$2:$A$800,0))-1,""))</f>
        <v/>
      </c>
    </row>
    <row r="534">
      <c r="A534" s="124" t="n"/>
      <c r="B534" s="125" t="n"/>
      <c r="C534" s="122">
        <f>IF(OR(B534="",B533=""),"",B534/B533-1)</f>
        <v/>
      </c>
      <c r="D534" s="122">
        <f>IF(B534="","",IFERROR(B534/INDEX($B$2:$B$800,MATCH(DATE(YEAR(A534)-1,12,1),$A$2:$A$800,0))-1,""))</f>
        <v/>
      </c>
      <c r="E534" s="122">
        <f>IF(B534="","",IFERROR(B534/INDEX($B$2:$B$800,MATCH(DATE(YEAR(A534)-1,MONTH(A534),1),$A$2:$A$800,0))-1,""))</f>
        <v/>
      </c>
    </row>
    <row r="535">
      <c r="A535" s="124" t="n"/>
      <c r="B535" s="125" t="n"/>
      <c r="C535" s="122">
        <f>IF(OR(B535="",B534=""),"",B535/B534-1)</f>
        <v/>
      </c>
      <c r="D535" s="122">
        <f>IF(B535="","",IFERROR(B535/INDEX($B$2:$B$800,MATCH(DATE(YEAR(A535)-1,12,1),$A$2:$A$800,0))-1,""))</f>
        <v/>
      </c>
      <c r="E535" s="122">
        <f>IF(B535="","",IFERROR(B535/INDEX($B$2:$B$800,MATCH(DATE(YEAR(A535)-1,MONTH(A535),1),$A$2:$A$800,0))-1,""))</f>
        <v/>
      </c>
    </row>
    <row r="536">
      <c r="A536" s="124" t="n"/>
      <c r="B536" s="125" t="n"/>
      <c r="C536" s="122">
        <f>IF(OR(B536="",B535=""),"",B536/B535-1)</f>
        <v/>
      </c>
      <c r="D536" s="122">
        <f>IF(B536="","",IFERROR(B536/INDEX($B$2:$B$800,MATCH(DATE(YEAR(A536)-1,12,1),$A$2:$A$800,0))-1,""))</f>
        <v/>
      </c>
      <c r="E536" s="122">
        <f>IF(B536="","",IFERROR(B536/INDEX($B$2:$B$800,MATCH(DATE(YEAR(A536)-1,MONTH(A536),1),$A$2:$A$800,0))-1,""))</f>
        <v/>
      </c>
    </row>
    <row r="537">
      <c r="A537" s="124" t="n"/>
      <c r="B537" s="125" t="n"/>
      <c r="C537" s="122">
        <f>IF(OR(B537="",B536=""),"",B537/B536-1)</f>
        <v/>
      </c>
      <c r="D537" s="122">
        <f>IF(B537="","",IFERROR(B537/INDEX($B$2:$B$800,MATCH(DATE(YEAR(A537)-1,12,1),$A$2:$A$800,0))-1,""))</f>
        <v/>
      </c>
      <c r="E537" s="122">
        <f>IF(B537="","",IFERROR(B537/INDEX($B$2:$B$800,MATCH(DATE(YEAR(A537)-1,MONTH(A537),1),$A$2:$A$800,0))-1,""))</f>
        <v/>
      </c>
    </row>
    <row r="538">
      <c r="A538" s="124" t="n"/>
      <c r="B538" s="125" t="n"/>
      <c r="C538" s="122">
        <f>IF(OR(B538="",B537=""),"",B538/B537-1)</f>
        <v/>
      </c>
      <c r="D538" s="122">
        <f>IF(B538="","",IFERROR(B538/INDEX($B$2:$B$800,MATCH(DATE(YEAR(A538)-1,12,1),$A$2:$A$800,0))-1,""))</f>
        <v/>
      </c>
      <c r="E538" s="122">
        <f>IF(B538="","",IFERROR(B538/INDEX($B$2:$B$800,MATCH(DATE(YEAR(A538)-1,MONTH(A538),1),$A$2:$A$800,0))-1,""))</f>
        <v/>
      </c>
    </row>
    <row r="539">
      <c r="A539" s="124" t="n"/>
      <c r="B539" s="125" t="n"/>
      <c r="C539" s="122">
        <f>IF(OR(B539="",B538=""),"",B539/B538-1)</f>
        <v/>
      </c>
      <c r="D539" s="122">
        <f>IF(B539="","",IFERROR(B539/INDEX($B$2:$B$800,MATCH(DATE(YEAR(A539)-1,12,1),$A$2:$A$800,0))-1,""))</f>
        <v/>
      </c>
      <c r="E539" s="122">
        <f>IF(B539="","",IFERROR(B539/INDEX($B$2:$B$800,MATCH(DATE(YEAR(A539)-1,MONTH(A539),1),$A$2:$A$800,0))-1,""))</f>
        <v/>
      </c>
    </row>
    <row r="540">
      <c r="A540" s="124" t="n"/>
      <c r="B540" s="125" t="n"/>
      <c r="C540" s="122">
        <f>IF(OR(B540="",B539=""),"",B540/B539-1)</f>
        <v/>
      </c>
      <c r="D540" s="122">
        <f>IF(B540="","",IFERROR(B540/INDEX($B$2:$B$800,MATCH(DATE(YEAR(A540)-1,12,1),$A$2:$A$800,0))-1,""))</f>
        <v/>
      </c>
      <c r="E540" s="122">
        <f>IF(B540="","",IFERROR(B540/INDEX($B$2:$B$800,MATCH(DATE(YEAR(A540)-1,MONTH(A540),1),$A$2:$A$800,0))-1,""))</f>
        <v/>
      </c>
    </row>
    <row r="541">
      <c r="A541" s="124" t="n"/>
      <c r="B541" s="125" t="n"/>
      <c r="C541" s="122">
        <f>IF(OR(B541="",B540=""),"",B541/B540-1)</f>
        <v/>
      </c>
      <c r="D541" s="122">
        <f>IF(B541="","",IFERROR(B541/INDEX($B$2:$B$800,MATCH(DATE(YEAR(A541)-1,12,1),$A$2:$A$800,0))-1,""))</f>
        <v/>
      </c>
      <c r="E541" s="122">
        <f>IF(B541="","",IFERROR(B541/INDEX($B$2:$B$800,MATCH(DATE(YEAR(A541)-1,MONTH(A541),1),$A$2:$A$800,0))-1,""))</f>
        <v/>
      </c>
    </row>
    <row r="542">
      <c r="A542" s="124" t="n"/>
      <c r="B542" s="125" t="n"/>
      <c r="C542" s="122">
        <f>IF(OR(B542="",B541=""),"",B542/B541-1)</f>
        <v/>
      </c>
      <c r="D542" s="122">
        <f>IF(B542="","",IFERROR(B542/INDEX($B$2:$B$800,MATCH(DATE(YEAR(A542)-1,12,1),$A$2:$A$800,0))-1,""))</f>
        <v/>
      </c>
      <c r="E542" s="122">
        <f>IF(B542="","",IFERROR(B542/INDEX($B$2:$B$800,MATCH(DATE(YEAR(A542)-1,MONTH(A542),1),$A$2:$A$800,0))-1,""))</f>
        <v/>
      </c>
    </row>
    <row r="543">
      <c r="A543" s="124" t="n"/>
      <c r="B543" s="125" t="n"/>
      <c r="C543" s="122">
        <f>IF(OR(B543="",B542=""),"",B543/B542-1)</f>
        <v/>
      </c>
      <c r="D543" s="122">
        <f>IF(B543="","",IFERROR(B543/INDEX($B$2:$B$800,MATCH(DATE(YEAR(A543)-1,12,1),$A$2:$A$800,0))-1,""))</f>
        <v/>
      </c>
      <c r="E543" s="122">
        <f>IF(B543="","",IFERROR(B543/INDEX($B$2:$B$800,MATCH(DATE(YEAR(A543)-1,MONTH(A543),1),$A$2:$A$800,0))-1,""))</f>
        <v/>
      </c>
    </row>
    <row r="544">
      <c r="A544" s="124" t="n"/>
      <c r="B544" s="125" t="n"/>
      <c r="C544" s="122">
        <f>IF(OR(B544="",B543=""),"",B544/B543-1)</f>
        <v/>
      </c>
      <c r="D544" s="122">
        <f>IF(B544="","",IFERROR(B544/INDEX($B$2:$B$800,MATCH(DATE(YEAR(A544)-1,12,1),$A$2:$A$800,0))-1,""))</f>
        <v/>
      </c>
      <c r="E544" s="122">
        <f>IF(B544="","",IFERROR(B544/INDEX($B$2:$B$800,MATCH(DATE(YEAR(A544)-1,MONTH(A544),1),$A$2:$A$800,0))-1,""))</f>
        <v/>
      </c>
    </row>
    <row r="545">
      <c r="A545" s="124" t="n"/>
      <c r="B545" s="125" t="n"/>
      <c r="C545" s="122">
        <f>IF(OR(B545="",B544=""),"",B545/B544-1)</f>
        <v/>
      </c>
      <c r="D545" s="122">
        <f>IF(B545="","",IFERROR(B545/INDEX($B$2:$B$800,MATCH(DATE(YEAR(A545)-1,12,1),$A$2:$A$800,0))-1,""))</f>
        <v/>
      </c>
      <c r="E545" s="122">
        <f>IF(B545="","",IFERROR(B545/INDEX($B$2:$B$800,MATCH(DATE(YEAR(A545)-1,MONTH(A545),1),$A$2:$A$800,0))-1,""))</f>
        <v/>
      </c>
    </row>
    <row r="546">
      <c r="A546" s="124" t="n"/>
      <c r="B546" s="125" t="n"/>
      <c r="C546" s="122">
        <f>IF(OR(B546="",B545=""),"",B546/B545-1)</f>
        <v/>
      </c>
      <c r="D546" s="122">
        <f>IF(B546="","",IFERROR(B546/INDEX($B$2:$B$800,MATCH(DATE(YEAR(A546)-1,12,1),$A$2:$A$800,0))-1,""))</f>
        <v/>
      </c>
      <c r="E546" s="122">
        <f>IF(B546="","",IFERROR(B546/INDEX($B$2:$B$800,MATCH(DATE(YEAR(A546)-1,MONTH(A546),1),$A$2:$A$800,0))-1,""))</f>
        <v/>
      </c>
    </row>
    <row r="547">
      <c r="A547" s="124" t="n"/>
      <c r="B547" s="125" t="n"/>
      <c r="C547" s="122">
        <f>IF(OR(B547="",B546=""),"",B547/B546-1)</f>
        <v/>
      </c>
      <c r="D547" s="122">
        <f>IF(B547="","",IFERROR(B547/INDEX($B$2:$B$800,MATCH(DATE(YEAR(A547)-1,12,1),$A$2:$A$800,0))-1,""))</f>
        <v/>
      </c>
      <c r="E547" s="122">
        <f>IF(B547="","",IFERROR(B547/INDEX($B$2:$B$800,MATCH(DATE(YEAR(A547)-1,MONTH(A547),1),$A$2:$A$800,0))-1,""))</f>
        <v/>
      </c>
    </row>
    <row r="548">
      <c r="A548" s="124" t="n"/>
      <c r="B548" s="125" t="n"/>
      <c r="C548" s="122">
        <f>IF(OR(B548="",B547=""),"",B548/B547-1)</f>
        <v/>
      </c>
      <c r="D548" s="122">
        <f>IF(B548="","",IFERROR(B548/INDEX($B$2:$B$800,MATCH(DATE(YEAR(A548)-1,12,1),$A$2:$A$800,0))-1,""))</f>
        <v/>
      </c>
      <c r="E548" s="122">
        <f>IF(B548="","",IFERROR(B548/INDEX($B$2:$B$800,MATCH(DATE(YEAR(A548)-1,MONTH(A548),1),$A$2:$A$800,0))-1,""))</f>
        <v/>
      </c>
    </row>
    <row r="549">
      <c r="A549" s="124" t="n"/>
      <c r="B549" s="125" t="n"/>
      <c r="C549" s="122">
        <f>IF(OR(B549="",B548=""),"",B549/B548-1)</f>
        <v/>
      </c>
      <c r="D549" s="122">
        <f>IF(B549="","",IFERROR(B549/INDEX($B$2:$B$800,MATCH(DATE(YEAR(A549)-1,12,1),$A$2:$A$800,0))-1,""))</f>
        <v/>
      </c>
      <c r="E549" s="122">
        <f>IF(B549="","",IFERROR(B549/INDEX($B$2:$B$800,MATCH(DATE(YEAR(A549)-1,MONTH(A549),1),$A$2:$A$800,0))-1,""))</f>
        <v/>
      </c>
    </row>
    <row r="550">
      <c r="A550" s="124" t="n"/>
      <c r="B550" s="125" t="n"/>
      <c r="C550" s="122">
        <f>IF(OR(B550="",B549=""),"",B550/B549-1)</f>
        <v/>
      </c>
      <c r="D550" s="122">
        <f>IF(B550="","",IFERROR(B550/INDEX($B$2:$B$800,MATCH(DATE(YEAR(A550)-1,12,1),$A$2:$A$800,0))-1,""))</f>
        <v/>
      </c>
      <c r="E550" s="122">
        <f>IF(B550="","",IFERROR(B550/INDEX($B$2:$B$800,MATCH(DATE(YEAR(A550)-1,MONTH(A550),1),$A$2:$A$800,0))-1,""))</f>
        <v/>
      </c>
    </row>
    <row r="551">
      <c r="A551" s="124" t="n"/>
      <c r="B551" s="125" t="n"/>
      <c r="C551" s="122">
        <f>IF(OR(B551="",B550=""),"",B551/B550-1)</f>
        <v/>
      </c>
      <c r="D551" s="122">
        <f>IF(B551="","",IFERROR(B551/INDEX($B$2:$B$800,MATCH(DATE(YEAR(A551)-1,12,1),$A$2:$A$800,0))-1,""))</f>
        <v/>
      </c>
      <c r="E551" s="122">
        <f>IF(B551="","",IFERROR(B551/INDEX($B$2:$B$800,MATCH(DATE(YEAR(A551)-1,MONTH(A551),1),$A$2:$A$800,0))-1,""))</f>
        <v/>
      </c>
    </row>
    <row r="552">
      <c r="A552" s="124" t="n"/>
      <c r="B552" s="125" t="n"/>
      <c r="C552" s="122">
        <f>IF(OR(B552="",B551=""),"",B552/B551-1)</f>
        <v/>
      </c>
      <c r="D552" s="122">
        <f>IF(B552="","",IFERROR(B552/INDEX($B$2:$B$800,MATCH(DATE(YEAR(A552)-1,12,1),$A$2:$A$800,0))-1,""))</f>
        <v/>
      </c>
      <c r="E552" s="122">
        <f>IF(B552="","",IFERROR(B552/INDEX($B$2:$B$800,MATCH(DATE(YEAR(A552)-1,MONTH(A552),1),$A$2:$A$800,0))-1,""))</f>
        <v/>
      </c>
    </row>
    <row r="553">
      <c r="A553" s="124" t="n"/>
      <c r="B553" s="125" t="n"/>
      <c r="C553" s="122">
        <f>IF(OR(B553="",B552=""),"",B553/B552-1)</f>
        <v/>
      </c>
      <c r="D553" s="122">
        <f>IF(B553="","",IFERROR(B553/INDEX($B$2:$B$800,MATCH(DATE(YEAR(A553)-1,12,1),$A$2:$A$800,0))-1,""))</f>
        <v/>
      </c>
      <c r="E553" s="122">
        <f>IF(B553="","",IFERROR(B553/INDEX($B$2:$B$800,MATCH(DATE(YEAR(A553)-1,MONTH(A553),1),$A$2:$A$800,0))-1,""))</f>
        <v/>
      </c>
    </row>
    <row r="554">
      <c r="A554" s="124" t="n"/>
      <c r="B554" s="125" t="n"/>
      <c r="C554" s="122">
        <f>IF(OR(B554="",B553=""),"",B554/B553-1)</f>
        <v/>
      </c>
      <c r="D554" s="122">
        <f>IF(B554="","",IFERROR(B554/INDEX($B$2:$B$800,MATCH(DATE(YEAR(A554)-1,12,1),$A$2:$A$800,0))-1,""))</f>
        <v/>
      </c>
      <c r="E554" s="122">
        <f>IF(B554="","",IFERROR(B554/INDEX($B$2:$B$800,MATCH(DATE(YEAR(A554)-1,MONTH(A554),1),$A$2:$A$800,0))-1,""))</f>
        <v/>
      </c>
    </row>
    <row r="555">
      <c r="A555" s="124" t="n"/>
      <c r="B555" s="125" t="n"/>
      <c r="C555" s="122">
        <f>IF(OR(B555="",B554=""),"",B555/B554-1)</f>
        <v/>
      </c>
      <c r="D555" s="122">
        <f>IF(B555="","",IFERROR(B555/INDEX($B$2:$B$800,MATCH(DATE(YEAR(A555)-1,12,1),$A$2:$A$800,0))-1,""))</f>
        <v/>
      </c>
      <c r="E555" s="122">
        <f>IF(B555="","",IFERROR(B555/INDEX($B$2:$B$800,MATCH(DATE(YEAR(A555)-1,MONTH(A555),1),$A$2:$A$800,0))-1,""))</f>
        <v/>
      </c>
    </row>
    <row r="556">
      <c r="A556" s="124" t="n"/>
      <c r="B556" s="125" t="n"/>
      <c r="C556" s="122">
        <f>IF(OR(B556="",B555=""),"",B556/B555-1)</f>
        <v/>
      </c>
      <c r="D556" s="122">
        <f>IF(B556="","",IFERROR(B556/INDEX($B$2:$B$800,MATCH(DATE(YEAR(A556)-1,12,1),$A$2:$A$800,0))-1,""))</f>
        <v/>
      </c>
      <c r="E556" s="122">
        <f>IF(B556="","",IFERROR(B556/INDEX($B$2:$B$800,MATCH(DATE(YEAR(A556)-1,MONTH(A556),1),$A$2:$A$800,0))-1,""))</f>
        <v/>
      </c>
    </row>
    <row r="557">
      <c r="A557" s="124" t="n"/>
      <c r="B557" s="125" t="n"/>
      <c r="C557" s="122">
        <f>IF(OR(B557="",B556=""),"",B557/B556-1)</f>
        <v/>
      </c>
      <c r="D557" s="122">
        <f>IF(B557="","",IFERROR(B557/INDEX($B$2:$B$800,MATCH(DATE(YEAR(A557)-1,12,1),$A$2:$A$800,0))-1,""))</f>
        <v/>
      </c>
      <c r="E557" s="122">
        <f>IF(B557="","",IFERROR(B557/INDEX($B$2:$B$800,MATCH(DATE(YEAR(A557)-1,MONTH(A557),1),$A$2:$A$800,0))-1,""))</f>
        <v/>
      </c>
    </row>
    <row r="558">
      <c r="A558" s="124" t="n"/>
      <c r="B558" s="125" t="n"/>
      <c r="C558" s="122">
        <f>IF(OR(B558="",B557=""),"",B558/B557-1)</f>
        <v/>
      </c>
      <c r="D558" s="122">
        <f>IF(B558="","",IFERROR(B558/INDEX($B$2:$B$800,MATCH(DATE(YEAR(A558)-1,12,1),$A$2:$A$800,0))-1,""))</f>
        <v/>
      </c>
      <c r="E558" s="122">
        <f>IF(B558="","",IFERROR(B558/INDEX($B$2:$B$800,MATCH(DATE(YEAR(A558)-1,MONTH(A558),1),$A$2:$A$800,0))-1,""))</f>
        <v/>
      </c>
    </row>
    <row r="559">
      <c r="A559" s="124" t="n"/>
      <c r="B559" s="125" t="n"/>
      <c r="C559" s="122">
        <f>IF(OR(B559="",B558=""),"",B559/B558-1)</f>
        <v/>
      </c>
      <c r="D559" s="122">
        <f>IF(B559="","",IFERROR(B559/INDEX($B$2:$B$800,MATCH(DATE(YEAR(A559)-1,12,1),$A$2:$A$800,0))-1,""))</f>
        <v/>
      </c>
      <c r="E559" s="122">
        <f>IF(B559="","",IFERROR(B559/INDEX($B$2:$B$800,MATCH(DATE(YEAR(A559)-1,MONTH(A559),1),$A$2:$A$800,0))-1,""))</f>
        <v/>
      </c>
    </row>
    <row r="560">
      <c r="A560" s="124" t="n"/>
      <c r="B560" s="125" t="n"/>
      <c r="C560" s="122">
        <f>IF(OR(B560="",B559=""),"",B560/B559-1)</f>
        <v/>
      </c>
      <c r="D560" s="122">
        <f>IF(B560="","",IFERROR(B560/INDEX($B$2:$B$800,MATCH(DATE(YEAR(A560)-1,12,1),$A$2:$A$800,0))-1,""))</f>
        <v/>
      </c>
      <c r="E560" s="122">
        <f>IF(B560="","",IFERROR(B560/INDEX($B$2:$B$800,MATCH(DATE(YEAR(A560)-1,MONTH(A560),1),$A$2:$A$800,0))-1,""))</f>
        <v/>
      </c>
    </row>
    <row r="561">
      <c r="A561" s="124" t="n"/>
      <c r="B561" s="125" t="n"/>
      <c r="C561" s="122">
        <f>IF(OR(B561="",B560=""),"",B561/B560-1)</f>
        <v/>
      </c>
      <c r="D561" s="122">
        <f>IF(B561="","",IFERROR(B561/INDEX($B$2:$B$800,MATCH(DATE(YEAR(A561)-1,12,1),$A$2:$A$800,0))-1,""))</f>
        <v/>
      </c>
      <c r="E561" s="122">
        <f>IF(B561="","",IFERROR(B561/INDEX($B$2:$B$800,MATCH(DATE(YEAR(A561)-1,MONTH(A561),1),$A$2:$A$800,0))-1,""))</f>
        <v/>
      </c>
    </row>
    <row r="562">
      <c r="A562" s="124" t="n"/>
      <c r="B562" s="125" t="n"/>
      <c r="C562" s="122">
        <f>IF(OR(B562="",B561=""),"",B562/B561-1)</f>
        <v/>
      </c>
      <c r="D562" s="122">
        <f>IF(B562="","",IFERROR(B562/INDEX($B$2:$B$800,MATCH(DATE(YEAR(A562)-1,12,1),$A$2:$A$800,0))-1,""))</f>
        <v/>
      </c>
      <c r="E562" s="122">
        <f>IF(B562="","",IFERROR(B562/INDEX($B$2:$B$800,MATCH(DATE(YEAR(A562)-1,MONTH(A562),1),$A$2:$A$800,0))-1,""))</f>
        <v/>
      </c>
    </row>
    <row r="563">
      <c r="A563" s="124" t="n"/>
      <c r="B563" s="125" t="n"/>
      <c r="C563" s="122">
        <f>IF(OR(B563="",B562=""),"",B563/B562-1)</f>
        <v/>
      </c>
      <c r="D563" s="122">
        <f>IF(B563="","",IFERROR(B563/INDEX($B$2:$B$800,MATCH(DATE(YEAR(A563)-1,12,1),$A$2:$A$800,0))-1,""))</f>
        <v/>
      </c>
      <c r="E563" s="122">
        <f>IF(B563="","",IFERROR(B563/INDEX($B$2:$B$800,MATCH(DATE(YEAR(A563)-1,MONTH(A563),1),$A$2:$A$800,0))-1,""))</f>
        <v/>
      </c>
    </row>
    <row r="564">
      <c r="A564" s="124" t="n"/>
      <c r="B564" s="125" t="n"/>
      <c r="C564" s="122">
        <f>IF(OR(B564="",B563=""),"",B564/B563-1)</f>
        <v/>
      </c>
      <c r="D564" s="122">
        <f>IF(B564="","",IFERROR(B564/INDEX($B$2:$B$800,MATCH(DATE(YEAR(A564)-1,12,1),$A$2:$A$800,0))-1,""))</f>
        <v/>
      </c>
      <c r="E564" s="122">
        <f>IF(B564="","",IFERROR(B564/INDEX($B$2:$B$800,MATCH(DATE(YEAR(A564)-1,MONTH(A564),1),$A$2:$A$800,0))-1,""))</f>
        <v/>
      </c>
    </row>
    <row r="565">
      <c r="A565" s="124" t="n"/>
      <c r="B565" s="125" t="n"/>
      <c r="C565" s="122">
        <f>IF(OR(B565="",B564=""),"",B565/B564-1)</f>
        <v/>
      </c>
      <c r="D565" s="122">
        <f>IF(B565="","",IFERROR(B565/INDEX($B$2:$B$800,MATCH(DATE(YEAR(A565)-1,12,1),$A$2:$A$800,0))-1,""))</f>
        <v/>
      </c>
      <c r="E565" s="122">
        <f>IF(B565="","",IFERROR(B565/INDEX($B$2:$B$800,MATCH(DATE(YEAR(A565)-1,MONTH(A565),1),$A$2:$A$800,0))-1,""))</f>
        <v/>
      </c>
    </row>
    <row r="566">
      <c r="A566" s="124" t="n"/>
      <c r="B566" s="125" t="n"/>
      <c r="C566" s="122">
        <f>IF(OR(B566="",B565=""),"",B566/B565-1)</f>
        <v/>
      </c>
      <c r="D566" s="122">
        <f>IF(B566="","",IFERROR(B566/INDEX($B$2:$B$800,MATCH(DATE(YEAR(A566)-1,12,1),$A$2:$A$800,0))-1,""))</f>
        <v/>
      </c>
      <c r="E566" s="122">
        <f>IF(B566="","",IFERROR(B566/INDEX($B$2:$B$800,MATCH(DATE(YEAR(A566)-1,MONTH(A566),1),$A$2:$A$800,0))-1,""))</f>
        <v/>
      </c>
    </row>
    <row r="567">
      <c r="A567" s="124" t="n"/>
      <c r="B567" s="125" t="n"/>
      <c r="C567" s="122">
        <f>IF(OR(B567="",B566=""),"",B567/B566-1)</f>
        <v/>
      </c>
      <c r="D567" s="122">
        <f>IF(B567="","",IFERROR(B567/INDEX($B$2:$B$800,MATCH(DATE(YEAR(A567)-1,12,1),$A$2:$A$800,0))-1,""))</f>
        <v/>
      </c>
      <c r="E567" s="122">
        <f>IF(B567="","",IFERROR(B567/INDEX($B$2:$B$800,MATCH(DATE(YEAR(A567)-1,MONTH(A567),1),$A$2:$A$800,0))-1,""))</f>
        <v/>
      </c>
    </row>
    <row r="568">
      <c r="A568" s="124" t="n"/>
      <c r="B568" s="125" t="n"/>
      <c r="C568" s="122">
        <f>IF(OR(B568="",B567=""),"",B568/B567-1)</f>
        <v/>
      </c>
      <c r="D568" s="122">
        <f>IF(B568="","",IFERROR(B568/INDEX($B$2:$B$800,MATCH(DATE(YEAR(A568)-1,12,1),$A$2:$A$800,0))-1,""))</f>
        <v/>
      </c>
      <c r="E568" s="122">
        <f>IF(B568="","",IFERROR(B568/INDEX($B$2:$B$800,MATCH(DATE(YEAR(A568)-1,MONTH(A568),1),$A$2:$A$800,0))-1,""))</f>
        <v/>
      </c>
    </row>
    <row r="569">
      <c r="A569" s="124" t="n"/>
      <c r="B569" s="125" t="n"/>
      <c r="C569" s="122">
        <f>IF(OR(B569="",B568=""),"",B569/B568-1)</f>
        <v/>
      </c>
      <c r="D569" s="122">
        <f>IF(B569="","",IFERROR(B569/INDEX($B$2:$B$800,MATCH(DATE(YEAR(A569)-1,12,1),$A$2:$A$800,0))-1,""))</f>
        <v/>
      </c>
      <c r="E569" s="122">
        <f>IF(B569="","",IFERROR(B569/INDEX($B$2:$B$800,MATCH(DATE(YEAR(A569)-1,MONTH(A569),1),$A$2:$A$800,0))-1,""))</f>
        <v/>
      </c>
    </row>
    <row r="570">
      <c r="A570" s="124" t="n"/>
      <c r="B570" s="125" t="n"/>
      <c r="C570" s="122">
        <f>IF(OR(B570="",B569=""),"",B570/B569-1)</f>
        <v/>
      </c>
      <c r="D570" s="122">
        <f>IF(B570="","",IFERROR(B570/INDEX($B$2:$B$800,MATCH(DATE(YEAR(A570)-1,12,1),$A$2:$A$800,0))-1,""))</f>
        <v/>
      </c>
      <c r="E570" s="122">
        <f>IF(B570="","",IFERROR(B570/INDEX($B$2:$B$800,MATCH(DATE(YEAR(A570)-1,MONTH(A570),1),$A$2:$A$800,0))-1,""))</f>
        <v/>
      </c>
    </row>
    <row r="571">
      <c r="A571" s="124" t="n"/>
      <c r="B571" s="125" t="n"/>
      <c r="C571" s="122">
        <f>IF(OR(B571="",B570=""),"",B571/B570-1)</f>
        <v/>
      </c>
      <c r="D571" s="122">
        <f>IF(B571="","",IFERROR(B571/INDEX($B$2:$B$800,MATCH(DATE(YEAR(A571)-1,12,1),$A$2:$A$800,0))-1,""))</f>
        <v/>
      </c>
      <c r="E571" s="122">
        <f>IF(B571="","",IFERROR(B571/INDEX($B$2:$B$800,MATCH(DATE(YEAR(A571)-1,MONTH(A571),1),$A$2:$A$800,0))-1,""))</f>
        <v/>
      </c>
    </row>
    <row r="572">
      <c r="A572" s="124" t="n"/>
      <c r="B572" s="125" t="n"/>
      <c r="C572" s="122">
        <f>IF(OR(B572="",B571=""),"",B572/B571-1)</f>
        <v/>
      </c>
      <c r="D572" s="122">
        <f>IF(B572="","",IFERROR(B572/INDEX($B$2:$B$800,MATCH(DATE(YEAR(A572)-1,12,1),$A$2:$A$800,0))-1,""))</f>
        <v/>
      </c>
      <c r="E572" s="122">
        <f>IF(B572="","",IFERROR(B572/INDEX($B$2:$B$800,MATCH(DATE(YEAR(A572)-1,MONTH(A572),1),$A$2:$A$800,0))-1,""))</f>
        <v/>
      </c>
    </row>
    <row r="573">
      <c r="A573" s="124" t="n"/>
      <c r="B573" s="125" t="n"/>
      <c r="C573" s="122">
        <f>IF(OR(B573="",B572=""),"",B573/B572-1)</f>
        <v/>
      </c>
      <c r="D573" s="122">
        <f>IF(B573="","",IFERROR(B573/INDEX($B$2:$B$800,MATCH(DATE(YEAR(A573)-1,12,1),$A$2:$A$800,0))-1,""))</f>
        <v/>
      </c>
      <c r="E573" s="122">
        <f>IF(B573="","",IFERROR(B573/INDEX($B$2:$B$800,MATCH(DATE(YEAR(A573)-1,MONTH(A573),1),$A$2:$A$800,0))-1,""))</f>
        <v/>
      </c>
    </row>
    <row r="574">
      <c r="A574" s="124" t="n"/>
      <c r="B574" s="125" t="n"/>
      <c r="C574" s="122">
        <f>IF(OR(B574="",B573=""),"",B574/B573-1)</f>
        <v/>
      </c>
      <c r="D574" s="122">
        <f>IF(B574="","",IFERROR(B574/INDEX($B$2:$B$800,MATCH(DATE(YEAR(A574)-1,12,1),$A$2:$A$800,0))-1,""))</f>
        <v/>
      </c>
      <c r="E574" s="122">
        <f>IF(B574="","",IFERROR(B574/INDEX($B$2:$B$800,MATCH(DATE(YEAR(A574)-1,MONTH(A574),1),$A$2:$A$800,0))-1,""))</f>
        <v/>
      </c>
    </row>
    <row r="575">
      <c r="A575" s="124" t="n"/>
      <c r="B575" s="125" t="n"/>
      <c r="C575" s="122">
        <f>IF(OR(B575="",B574=""),"",B575/B574-1)</f>
        <v/>
      </c>
      <c r="D575" s="122">
        <f>IF(B575="","",IFERROR(B575/INDEX($B$2:$B$800,MATCH(DATE(YEAR(A575)-1,12,1),$A$2:$A$800,0))-1,""))</f>
        <v/>
      </c>
      <c r="E575" s="122">
        <f>IF(B575="","",IFERROR(B575/INDEX($B$2:$B$800,MATCH(DATE(YEAR(A575)-1,MONTH(A575),1),$A$2:$A$800,0))-1,""))</f>
        <v/>
      </c>
    </row>
    <row r="576">
      <c r="A576" s="124" t="n"/>
      <c r="B576" s="125" t="n"/>
      <c r="C576" s="122">
        <f>IF(OR(B576="",B575=""),"",B576/B575-1)</f>
        <v/>
      </c>
      <c r="D576" s="122">
        <f>IF(B576="","",IFERROR(B576/INDEX($B$2:$B$800,MATCH(DATE(YEAR(A576)-1,12,1),$A$2:$A$800,0))-1,""))</f>
        <v/>
      </c>
      <c r="E576" s="122">
        <f>IF(B576="","",IFERROR(B576/INDEX($B$2:$B$800,MATCH(DATE(YEAR(A576)-1,MONTH(A576),1),$A$2:$A$800,0))-1,""))</f>
        <v/>
      </c>
    </row>
    <row r="577">
      <c r="A577" s="124" t="n"/>
      <c r="B577" s="125" t="n"/>
      <c r="C577" s="122">
        <f>IF(OR(B577="",B576=""),"",B577/B576-1)</f>
        <v/>
      </c>
      <c r="D577" s="122">
        <f>IF(B577="","",IFERROR(B577/INDEX($B$2:$B$800,MATCH(DATE(YEAR(A577)-1,12,1),$A$2:$A$800,0))-1,""))</f>
        <v/>
      </c>
      <c r="E577" s="122">
        <f>IF(B577="","",IFERROR(B577/INDEX($B$2:$B$800,MATCH(DATE(YEAR(A577)-1,MONTH(A577),1),$A$2:$A$800,0))-1,""))</f>
        <v/>
      </c>
    </row>
    <row r="578">
      <c r="A578" s="124" t="n"/>
      <c r="B578" s="125" t="n"/>
      <c r="C578" s="122">
        <f>IF(OR(B578="",B577=""),"",B578/B577-1)</f>
        <v/>
      </c>
      <c r="D578" s="122">
        <f>IF(B578="","",IFERROR(B578/INDEX($B$2:$B$800,MATCH(DATE(YEAR(A578)-1,12,1),$A$2:$A$800,0))-1,""))</f>
        <v/>
      </c>
      <c r="E578" s="122">
        <f>IF(B578="","",IFERROR(B578/INDEX($B$2:$B$800,MATCH(DATE(YEAR(A578)-1,MONTH(A578),1),$A$2:$A$800,0))-1,""))</f>
        <v/>
      </c>
    </row>
    <row r="579">
      <c r="A579" s="124" t="n"/>
      <c r="B579" s="125" t="n"/>
      <c r="C579" s="122">
        <f>IF(OR(B579="",B578=""),"",B579/B578-1)</f>
        <v/>
      </c>
      <c r="D579" s="122">
        <f>IF(B579="","",IFERROR(B579/INDEX($B$2:$B$800,MATCH(DATE(YEAR(A579)-1,12,1),$A$2:$A$800,0))-1,""))</f>
        <v/>
      </c>
      <c r="E579" s="122">
        <f>IF(B579="","",IFERROR(B579/INDEX($B$2:$B$800,MATCH(DATE(YEAR(A579)-1,MONTH(A579),1),$A$2:$A$800,0))-1,""))</f>
        <v/>
      </c>
    </row>
    <row r="580">
      <c r="A580" s="124" t="n"/>
      <c r="B580" s="125" t="n"/>
      <c r="C580" s="122">
        <f>IF(OR(B580="",B579=""),"",B580/B579-1)</f>
        <v/>
      </c>
      <c r="D580" s="122">
        <f>IF(B580="","",IFERROR(B580/INDEX($B$2:$B$800,MATCH(DATE(YEAR(A580)-1,12,1),$A$2:$A$800,0))-1,""))</f>
        <v/>
      </c>
      <c r="E580" s="122">
        <f>IF(B580="","",IFERROR(B580/INDEX($B$2:$B$800,MATCH(DATE(YEAR(A580)-1,MONTH(A580),1),$A$2:$A$800,0))-1,""))</f>
        <v/>
      </c>
    </row>
    <row r="581">
      <c r="A581" s="124" t="n"/>
      <c r="B581" s="125" t="n"/>
      <c r="C581" s="122">
        <f>IF(OR(B581="",B580=""),"",B581/B580-1)</f>
        <v/>
      </c>
      <c r="D581" s="122">
        <f>IF(B581="","",IFERROR(B581/INDEX($B$2:$B$800,MATCH(DATE(YEAR(A581)-1,12,1),$A$2:$A$800,0))-1,""))</f>
        <v/>
      </c>
      <c r="E581" s="122">
        <f>IF(B581="","",IFERROR(B581/INDEX($B$2:$B$800,MATCH(DATE(YEAR(A581)-1,MONTH(A581),1),$A$2:$A$800,0))-1,""))</f>
        <v/>
      </c>
    </row>
    <row r="582">
      <c r="A582" s="124" t="n"/>
      <c r="B582" s="125" t="n"/>
      <c r="C582" s="122">
        <f>IF(OR(B582="",B581=""),"",B582/B581-1)</f>
        <v/>
      </c>
      <c r="D582" s="122">
        <f>IF(B582="","",IFERROR(B582/INDEX($B$2:$B$800,MATCH(DATE(YEAR(A582)-1,12,1),$A$2:$A$800,0))-1,""))</f>
        <v/>
      </c>
      <c r="E582" s="122">
        <f>IF(B582="","",IFERROR(B582/INDEX($B$2:$B$800,MATCH(DATE(YEAR(A582)-1,MONTH(A582),1),$A$2:$A$800,0))-1,""))</f>
        <v/>
      </c>
    </row>
    <row r="583">
      <c r="A583" s="124" t="n"/>
      <c r="B583" s="125" t="n"/>
      <c r="C583" s="122">
        <f>IF(OR(B583="",B582=""),"",B583/B582-1)</f>
        <v/>
      </c>
      <c r="D583" s="122">
        <f>IF(B583="","",IFERROR(B583/INDEX($B$2:$B$800,MATCH(DATE(YEAR(A583)-1,12,1),$A$2:$A$800,0))-1,""))</f>
        <v/>
      </c>
      <c r="E583" s="122">
        <f>IF(B583="","",IFERROR(B583/INDEX($B$2:$B$800,MATCH(DATE(YEAR(A583)-1,MONTH(A583),1),$A$2:$A$800,0))-1,""))</f>
        <v/>
      </c>
    </row>
    <row r="584">
      <c r="A584" s="124" t="n"/>
      <c r="B584" s="125" t="n"/>
      <c r="C584" s="122">
        <f>IF(OR(B584="",B583=""),"",B584/B583-1)</f>
        <v/>
      </c>
      <c r="D584" s="122">
        <f>IF(B584="","",IFERROR(B584/INDEX($B$2:$B$800,MATCH(DATE(YEAR(A584)-1,12,1),$A$2:$A$800,0))-1,""))</f>
        <v/>
      </c>
      <c r="E584" s="122">
        <f>IF(B584="","",IFERROR(B584/INDEX($B$2:$B$800,MATCH(DATE(YEAR(A584)-1,MONTH(A584),1),$A$2:$A$800,0))-1,""))</f>
        <v/>
      </c>
    </row>
    <row r="585">
      <c r="A585" s="124" t="n"/>
      <c r="B585" s="125" t="n"/>
      <c r="C585" s="122">
        <f>IF(OR(B585="",B584=""),"",B585/B584-1)</f>
        <v/>
      </c>
      <c r="D585" s="122">
        <f>IF(B585="","",IFERROR(B585/INDEX($B$2:$B$800,MATCH(DATE(YEAR(A585)-1,12,1),$A$2:$A$800,0))-1,""))</f>
        <v/>
      </c>
      <c r="E585" s="122">
        <f>IF(B585="","",IFERROR(B585/INDEX($B$2:$B$800,MATCH(DATE(YEAR(A585)-1,MONTH(A585),1),$A$2:$A$800,0))-1,""))</f>
        <v/>
      </c>
    </row>
    <row r="586">
      <c r="A586" s="124" t="n"/>
      <c r="B586" s="125" t="n"/>
      <c r="C586" s="122">
        <f>IF(OR(B586="",B585=""),"",B586/B585-1)</f>
        <v/>
      </c>
      <c r="D586" s="122">
        <f>IF(B586="","",IFERROR(B586/INDEX($B$2:$B$800,MATCH(DATE(YEAR(A586)-1,12,1),$A$2:$A$800,0))-1,""))</f>
        <v/>
      </c>
      <c r="E586" s="122">
        <f>IF(B586="","",IFERROR(B586/INDEX($B$2:$B$800,MATCH(DATE(YEAR(A586)-1,MONTH(A586),1),$A$2:$A$800,0))-1,""))</f>
        <v/>
      </c>
    </row>
    <row r="587">
      <c r="A587" s="124" t="n"/>
      <c r="B587" s="125" t="n"/>
      <c r="C587" s="122">
        <f>IF(OR(B587="",B586=""),"",B587/B586-1)</f>
        <v/>
      </c>
      <c r="D587" s="122">
        <f>IF(B587="","",IFERROR(B587/INDEX($B$2:$B$800,MATCH(DATE(YEAR(A587)-1,12,1),$A$2:$A$800,0))-1,""))</f>
        <v/>
      </c>
      <c r="E587" s="122">
        <f>IF(B587="","",IFERROR(B587/INDEX($B$2:$B$800,MATCH(DATE(YEAR(A587)-1,MONTH(A587),1),$A$2:$A$800,0))-1,""))</f>
        <v/>
      </c>
    </row>
    <row r="588">
      <c r="A588" s="124" t="n"/>
      <c r="B588" s="125" t="n"/>
      <c r="C588" s="122">
        <f>IF(OR(B588="",B587=""),"",B588/B587-1)</f>
        <v/>
      </c>
      <c r="D588" s="122">
        <f>IF(B588="","",IFERROR(B588/INDEX($B$2:$B$800,MATCH(DATE(YEAR(A588)-1,12,1),$A$2:$A$800,0))-1,""))</f>
        <v/>
      </c>
      <c r="E588" s="122">
        <f>IF(B588="","",IFERROR(B588/INDEX($B$2:$B$800,MATCH(DATE(YEAR(A588)-1,MONTH(A588),1),$A$2:$A$800,0))-1,""))</f>
        <v/>
      </c>
    </row>
    <row r="589">
      <c r="A589" s="124" t="n"/>
      <c r="B589" s="125" t="n"/>
      <c r="C589" s="122">
        <f>IF(OR(B589="",B588=""),"",B589/B588-1)</f>
        <v/>
      </c>
      <c r="D589" s="122">
        <f>IF(B589="","",IFERROR(B589/INDEX($B$2:$B$800,MATCH(DATE(YEAR(A589)-1,12,1),$A$2:$A$800,0))-1,""))</f>
        <v/>
      </c>
      <c r="E589" s="122">
        <f>IF(B589="","",IFERROR(B589/INDEX($B$2:$B$800,MATCH(DATE(YEAR(A589)-1,MONTH(A589),1),$A$2:$A$800,0))-1,""))</f>
        <v/>
      </c>
    </row>
    <row r="590">
      <c r="A590" s="124" t="n"/>
      <c r="B590" s="125" t="n"/>
      <c r="C590" s="122">
        <f>IF(OR(B590="",B589=""),"",B590/B589-1)</f>
        <v/>
      </c>
      <c r="D590" s="122">
        <f>IF(B590="","",IFERROR(B590/INDEX($B$2:$B$800,MATCH(DATE(YEAR(A590)-1,12,1),$A$2:$A$800,0))-1,""))</f>
        <v/>
      </c>
      <c r="E590" s="122">
        <f>IF(B590="","",IFERROR(B590/INDEX($B$2:$B$800,MATCH(DATE(YEAR(A590)-1,MONTH(A590),1),$A$2:$A$800,0))-1,""))</f>
        <v/>
      </c>
    </row>
    <row r="591">
      <c r="A591" s="124" t="n"/>
      <c r="B591" s="125" t="n"/>
      <c r="C591" s="122">
        <f>IF(OR(B591="",B590=""),"",B591/B590-1)</f>
        <v/>
      </c>
      <c r="D591" s="122">
        <f>IF(B591="","",IFERROR(B591/INDEX($B$2:$B$800,MATCH(DATE(YEAR(A591)-1,12,1),$A$2:$A$800,0))-1,""))</f>
        <v/>
      </c>
      <c r="E591" s="122">
        <f>IF(B591="","",IFERROR(B591/INDEX($B$2:$B$800,MATCH(DATE(YEAR(A591)-1,MONTH(A591),1),$A$2:$A$800,0))-1,""))</f>
        <v/>
      </c>
    </row>
    <row r="592">
      <c r="A592" s="124" t="n"/>
      <c r="B592" s="125" t="n"/>
      <c r="C592" s="122">
        <f>IF(OR(B592="",B591=""),"",B592/B591-1)</f>
        <v/>
      </c>
      <c r="D592" s="122">
        <f>IF(B592="","",IFERROR(B592/INDEX($B$2:$B$800,MATCH(DATE(YEAR(A592)-1,12,1),$A$2:$A$800,0))-1,""))</f>
        <v/>
      </c>
      <c r="E592" s="122">
        <f>IF(B592="","",IFERROR(B592/INDEX($B$2:$B$800,MATCH(DATE(YEAR(A592)-1,MONTH(A592),1),$A$2:$A$800,0))-1,""))</f>
        <v/>
      </c>
    </row>
    <row r="593">
      <c r="A593" s="124" t="n"/>
      <c r="B593" s="125" t="n"/>
      <c r="C593" s="122">
        <f>IF(OR(B593="",B592=""),"",B593/B592-1)</f>
        <v/>
      </c>
      <c r="D593" s="122">
        <f>IF(B593="","",IFERROR(B593/INDEX($B$2:$B$800,MATCH(DATE(YEAR(A593)-1,12,1),$A$2:$A$800,0))-1,""))</f>
        <v/>
      </c>
      <c r="E593" s="122">
        <f>IF(B593="","",IFERROR(B593/INDEX($B$2:$B$800,MATCH(DATE(YEAR(A593)-1,MONTH(A593),1),$A$2:$A$800,0))-1,""))</f>
        <v/>
      </c>
    </row>
    <row r="594">
      <c r="A594" s="124" t="n"/>
      <c r="B594" s="125" t="n"/>
      <c r="C594" s="122">
        <f>IF(OR(B594="",B593=""),"",B594/B593-1)</f>
        <v/>
      </c>
      <c r="D594" s="122">
        <f>IF(B594="","",IFERROR(B594/INDEX($B$2:$B$800,MATCH(DATE(YEAR(A594)-1,12,1),$A$2:$A$800,0))-1,""))</f>
        <v/>
      </c>
      <c r="E594" s="122">
        <f>IF(B594="","",IFERROR(B594/INDEX($B$2:$B$800,MATCH(DATE(YEAR(A594)-1,MONTH(A594),1),$A$2:$A$800,0))-1,""))</f>
        <v/>
      </c>
    </row>
    <row r="595">
      <c r="A595" s="124" t="n"/>
      <c r="B595" s="125" t="n"/>
      <c r="C595" s="122">
        <f>IF(OR(B595="",B594=""),"",B595/B594-1)</f>
        <v/>
      </c>
      <c r="D595" s="122">
        <f>IF(B595="","",IFERROR(B595/INDEX($B$2:$B$800,MATCH(DATE(YEAR(A595)-1,12,1),$A$2:$A$800,0))-1,""))</f>
        <v/>
      </c>
      <c r="E595" s="122">
        <f>IF(B595="","",IFERROR(B595/INDEX($B$2:$B$800,MATCH(DATE(YEAR(A595)-1,MONTH(A595),1),$A$2:$A$800,0))-1,""))</f>
        <v/>
      </c>
    </row>
    <row r="596">
      <c r="A596" s="124" t="n"/>
      <c r="B596" s="125" t="n"/>
      <c r="C596" s="122">
        <f>IF(OR(B596="",B595=""),"",B596/B595-1)</f>
        <v/>
      </c>
      <c r="D596" s="122">
        <f>IF(B596="","",IFERROR(B596/INDEX($B$2:$B$800,MATCH(DATE(YEAR(A596)-1,12,1),$A$2:$A$800,0))-1,""))</f>
        <v/>
      </c>
      <c r="E596" s="122">
        <f>IF(B596="","",IFERROR(B596/INDEX($B$2:$B$800,MATCH(DATE(YEAR(A596)-1,MONTH(A596),1),$A$2:$A$800,0))-1,""))</f>
        <v/>
      </c>
    </row>
    <row r="597">
      <c r="A597" s="124" t="n"/>
      <c r="B597" s="125" t="n"/>
      <c r="C597" s="122">
        <f>IF(OR(B597="",B596=""),"",B597/B596-1)</f>
        <v/>
      </c>
      <c r="D597" s="122">
        <f>IF(B597="","",IFERROR(B597/INDEX($B$2:$B$800,MATCH(DATE(YEAR(A597)-1,12,1),$A$2:$A$800,0))-1,""))</f>
        <v/>
      </c>
      <c r="E597" s="122">
        <f>IF(B597="","",IFERROR(B597/INDEX($B$2:$B$800,MATCH(DATE(YEAR(A597)-1,MONTH(A597),1),$A$2:$A$800,0))-1,""))</f>
        <v/>
      </c>
    </row>
    <row r="598">
      <c r="A598" s="124" t="n"/>
      <c r="B598" s="125" t="n"/>
      <c r="C598" s="122">
        <f>IF(OR(B598="",B597=""),"",B598/B597-1)</f>
        <v/>
      </c>
      <c r="D598" s="122">
        <f>IF(B598="","",IFERROR(B598/INDEX($B$2:$B$800,MATCH(DATE(YEAR(A598)-1,12,1),$A$2:$A$800,0))-1,""))</f>
        <v/>
      </c>
      <c r="E598" s="122">
        <f>IF(B598="","",IFERROR(B598/INDEX($B$2:$B$800,MATCH(DATE(YEAR(A598)-1,MONTH(A598),1),$A$2:$A$800,0))-1,""))</f>
        <v/>
      </c>
    </row>
    <row r="599">
      <c r="A599" s="124" t="n"/>
      <c r="B599" s="125" t="n"/>
      <c r="C599" s="122">
        <f>IF(OR(B599="",B598=""),"",B599/B598-1)</f>
        <v/>
      </c>
      <c r="D599" s="122">
        <f>IF(B599="","",IFERROR(B599/INDEX($B$2:$B$800,MATCH(DATE(YEAR(A599)-1,12,1),$A$2:$A$800,0))-1,""))</f>
        <v/>
      </c>
      <c r="E599" s="122">
        <f>IF(B599="","",IFERROR(B599/INDEX($B$2:$B$800,MATCH(DATE(YEAR(A599)-1,MONTH(A599),1),$A$2:$A$800,0))-1,""))</f>
        <v/>
      </c>
    </row>
    <row r="600">
      <c r="A600" s="124" t="n"/>
      <c r="B600" s="125" t="n"/>
      <c r="C600" s="122">
        <f>IF(OR(B600="",B599=""),"",B600/B599-1)</f>
        <v/>
      </c>
      <c r="D600" s="122">
        <f>IF(B600="","",IFERROR(B600/INDEX($B$2:$B$800,MATCH(DATE(YEAR(A600)-1,12,1),$A$2:$A$800,0))-1,""))</f>
        <v/>
      </c>
      <c r="E600" s="122">
        <f>IF(B600="","",IFERROR(B600/INDEX($B$2:$B$800,MATCH(DATE(YEAR(A600)-1,MONTH(A600),1),$A$2:$A$800,0))-1,""))</f>
        <v/>
      </c>
    </row>
    <row r="601">
      <c r="A601" s="124" t="n"/>
      <c r="B601" s="125" t="n"/>
      <c r="C601" s="122">
        <f>IF(OR(B601="",B600=""),"",B601/B600-1)</f>
        <v/>
      </c>
      <c r="D601" s="122">
        <f>IF(B601="","",IFERROR(B601/INDEX($B$2:$B$800,MATCH(DATE(YEAR(A601)-1,12,1),$A$2:$A$800,0))-1,""))</f>
        <v/>
      </c>
      <c r="E601" s="122">
        <f>IF(B601="","",IFERROR(B601/INDEX($B$2:$B$800,MATCH(DATE(YEAR(A601)-1,MONTH(A601),1),$A$2:$A$800,0))-1,""))</f>
        <v/>
      </c>
    </row>
    <row r="602">
      <c r="A602" s="124" t="n"/>
      <c r="B602" s="125" t="n"/>
      <c r="C602" s="122">
        <f>IF(OR(B602="",B601=""),"",B602/B601-1)</f>
        <v/>
      </c>
      <c r="D602" s="122">
        <f>IF(B602="","",IFERROR(B602/INDEX($B$2:$B$800,MATCH(DATE(YEAR(A602)-1,12,1),$A$2:$A$800,0))-1,""))</f>
        <v/>
      </c>
      <c r="E602" s="122">
        <f>IF(B602="","",IFERROR(B602/INDEX($B$2:$B$800,MATCH(DATE(YEAR(A602)-1,MONTH(A602),1),$A$2:$A$800,0))-1,""))</f>
        <v/>
      </c>
    </row>
    <row r="603">
      <c r="A603" s="124" t="n"/>
      <c r="B603" s="125" t="n"/>
      <c r="C603" s="122">
        <f>IF(OR(B603="",B602=""),"",B603/B602-1)</f>
        <v/>
      </c>
      <c r="D603" s="122">
        <f>IF(B603="","",IFERROR(B603/INDEX($B$2:$B$800,MATCH(DATE(YEAR(A603)-1,12,1),$A$2:$A$800,0))-1,""))</f>
        <v/>
      </c>
      <c r="E603" s="122">
        <f>IF(B603="","",IFERROR(B603/INDEX($B$2:$B$800,MATCH(DATE(YEAR(A603)-1,MONTH(A603),1),$A$2:$A$800,0))-1,""))</f>
        <v/>
      </c>
    </row>
    <row r="604">
      <c r="A604" s="124" t="n"/>
      <c r="B604" s="125" t="n"/>
      <c r="C604" s="122">
        <f>IF(OR(B604="",B603=""),"",B604/B603-1)</f>
        <v/>
      </c>
      <c r="D604" s="122">
        <f>IF(B604="","",IFERROR(B604/INDEX($B$2:$B$800,MATCH(DATE(YEAR(A604)-1,12,1),$A$2:$A$800,0))-1,""))</f>
        <v/>
      </c>
      <c r="E604" s="122">
        <f>IF(B604="","",IFERROR(B604/INDEX($B$2:$B$800,MATCH(DATE(YEAR(A604)-1,MONTH(A604),1),$A$2:$A$800,0))-1,""))</f>
        <v/>
      </c>
    </row>
    <row r="605">
      <c r="A605" s="124" t="n"/>
      <c r="B605" s="125" t="n"/>
      <c r="C605" s="122">
        <f>IF(OR(B605="",B604=""),"",B605/B604-1)</f>
        <v/>
      </c>
      <c r="D605" s="122">
        <f>IF(B605="","",IFERROR(B605/INDEX($B$2:$B$800,MATCH(DATE(YEAR(A605)-1,12,1),$A$2:$A$800,0))-1,""))</f>
        <v/>
      </c>
      <c r="E605" s="122">
        <f>IF(B605="","",IFERROR(B605/INDEX($B$2:$B$800,MATCH(DATE(YEAR(A605)-1,MONTH(A605),1),$A$2:$A$800,0))-1,""))</f>
        <v/>
      </c>
    </row>
    <row r="606">
      <c r="A606" s="124" t="n"/>
      <c r="B606" s="125" t="n"/>
      <c r="C606" s="122">
        <f>IF(OR(B606="",B605=""),"",B606/B605-1)</f>
        <v/>
      </c>
      <c r="D606" s="122">
        <f>IF(B606="","",IFERROR(B606/INDEX($B$2:$B$800,MATCH(DATE(YEAR(A606)-1,12,1),$A$2:$A$800,0))-1,""))</f>
        <v/>
      </c>
      <c r="E606" s="122">
        <f>IF(B606="","",IFERROR(B606/INDEX($B$2:$B$800,MATCH(DATE(YEAR(A606)-1,MONTH(A606),1),$A$2:$A$800,0))-1,""))</f>
        <v/>
      </c>
    </row>
    <row r="607">
      <c r="A607" s="124" t="n"/>
      <c r="B607" s="125" t="n"/>
      <c r="C607" s="122">
        <f>IF(OR(B607="",B606=""),"",B607/B606-1)</f>
        <v/>
      </c>
      <c r="D607" s="122">
        <f>IF(B607="","",IFERROR(B607/INDEX($B$2:$B$800,MATCH(DATE(YEAR(A607)-1,12,1),$A$2:$A$800,0))-1,""))</f>
        <v/>
      </c>
      <c r="E607" s="122">
        <f>IF(B607="","",IFERROR(B607/INDEX($B$2:$B$800,MATCH(DATE(YEAR(A607)-1,MONTH(A607),1),$A$2:$A$800,0))-1,""))</f>
        <v/>
      </c>
    </row>
    <row r="608">
      <c r="A608" s="124" t="n"/>
      <c r="B608" s="125" t="n"/>
      <c r="C608" s="122">
        <f>IF(OR(B608="",B607=""),"",B608/B607-1)</f>
        <v/>
      </c>
      <c r="D608" s="122">
        <f>IF(B608="","",IFERROR(B608/INDEX($B$2:$B$800,MATCH(DATE(YEAR(A608)-1,12,1),$A$2:$A$800,0))-1,""))</f>
        <v/>
      </c>
      <c r="E608" s="122">
        <f>IF(B608="","",IFERROR(B608/INDEX($B$2:$B$800,MATCH(DATE(YEAR(A608)-1,MONTH(A608),1),$A$2:$A$800,0))-1,""))</f>
        <v/>
      </c>
    </row>
    <row r="609">
      <c r="A609" s="124" t="n"/>
      <c r="B609" s="125" t="n"/>
      <c r="C609" s="122">
        <f>IF(OR(B609="",B608=""),"",B609/B608-1)</f>
        <v/>
      </c>
      <c r="D609" s="122">
        <f>IF(B609="","",IFERROR(B609/INDEX($B$2:$B$800,MATCH(DATE(YEAR(A609)-1,12,1),$A$2:$A$800,0))-1,""))</f>
        <v/>
      </c>
      <c r="E609" s="122">
        <f>IF(B609="","",IFERROR(B609/INDEX($B$2:$B$800,MATCH(DATE(YEAR(A609)-1,MONTH(A609),1),$A$2:$A$800,0))-1,""))</f>
        <v/>
      </c>
    </row>
    <row r="610">
      <c r="A610" s="124" t="n"/>
      <c r="B610" s="125" t="n"/>
      <c r="C610" s="122">
        <f>IF(OR(B610="",B609=""),"",B610/B609-1)</f>
        <v/>
      </c>
      <c r="D610" s="122">
        <f>IF(B610="","",IFERROR(B610/INDEX($B$2:$B$800,MATCH(DATE(YEAR(A610)-1,12,1),$A$2:$A$800,0))-1,""))</f>
        <v/>
      </c>
      <c r="E610" s="122">
        <f>IF(B610="","",IFERROR(B610/INDEX($B$2:$B$800,MATCH(DATE(YEAR(A610)-1,MONTH(A610),1),$A$2:$A$800,0))-1,""))</f>
        <v/>
      </c>
    </row>
    <row r="611">
      <c r="A611" s="124" t="n"/>
      <c r="B611" s="125" t="n"/>
      <c r="C611" s="122">
        <f>IF(OR(B611="",B610=""),"",B611/B610-1)</f>
        <v/>
      </c>
      <c r="D611" s="122">
        <f>IF(B611="","",IFERROR(B611/INDEX($B$2:$B$800,MATCH(DATE(YEAR(A611)-1,12,1),$A$2:$A$800,0))-1,""))</f>
        <v/>
      </c>
      <c r="E611" s="122">
        <f>IF(B611="","",IFERROR(B611/INDEX($B$2:$B$800,MATCH(DATE(YEAR(A611)-1,MONTH(A611),1),$A$2:$A$800,0))-1,""))</f>
        <v/>
      </c>
    </row>
    <row r="612">
      <c r="A612" s="124" t="n"/>
      <c r="B612" s="125" t="n"/>
      <c r="C612" s="122">
        <f>IF(OR(B612="",B611=""),"",B612/B611-1)</f>
        <v/>
      </c>
      <c r="D612" s="122">
        <f>IF(B612="","",IFERROR(B612/INDEX($B$2:$B$800,MATCH(DATE(YEAR(A612)-1,12,1),$A$2:$A$800,0))-1,""))</f>
        <v/>
      </c>
      <c r="E612" s="122">
        <f>IF(B612="","",IFERROR(B612/INDEX($B$2:$B$800,MATCH(DATE(YEAR(A612)-1,MONTH(A612),1),$A$2:$A$800,0))-1,""))</f>
        <v/>
      </c>
    </row>
    <row r="613">
      <c r="A613" s="124" t="n"/>
      <c r="B613" s="125" t="n"/>
      <c r="C613" s="122">
        <f>IF(OR(B613="",B612=""),"",B613/B612-1)</f>
        <v/>
      </c>
      <c r="D613" s="122">
        <f>IF(B613="","",IFERROR(B613/INDEX($B$2:$B$800,MATCH(DATE(YEAR(A613)-1,12,1),$A$2:$A$800,0))-1,""))</f>
        <v/>
      </c>
      <c r="E613" s="122">
        <f>IF(B613="","",IFERROR(B613/INDEX($B$2:$B$800,MATCH(DATE(YEAR(A613)-1,MONTH(A613),1),$A$2:$A$800,0))-1,""))</f>
        <v/>
      </c>
    </row>
    <row r="614">
      <c r="A614" s="124" t="n"/>
      <c r="B614" s="125" t="n"/>
      <c r="C614" s="122">
        <f>IF(OR(B614="",B613=""),"",B614/B613-1)</f>
        <v/>
      </c>
      <c r="D614" s="122">
        <f>IF(B614="","",IFERROR(B614/INDEX($B$2:$B$800,MATCH(DATE(YEAR(A614)-1,12,1),$A$2:$A$800,0))-1,""))</f>
        <v/>
      </c>
      <c r="E614" s="122">
        <f>IF(B614="","",IFERROR(B614/INDEX($B$2:$B$800,MATCH(DATE(YEAR(A614)-1,MONTH(A614),1),$A$2:$A$800,0))-1,""))</f>
        <v/>
      </c>
    </row>
    <row r="615">
      <c r="A615" s="124" t="n"/>
      <c r="B615" s="125" t="n"/>
      <c r="C615" s="122">
        <f>IF(OR(B615="",B614=""),"",B615/B614-1)</f>
        <v/>
      </c>
      <c r="D615" s="122">
        <f>IF(B615="","",IFERROR(B615/INDEX($B$2:$B$800,MATCH(DATE(YEAR(A615)-1,12,1),$A$2:$A$800,0))-1,""))</f>
        <v/>
      </c>
      <c r="E615" s="122">
        <f>IF(B615="","",IFERROR(B615/INDEX($B$2:$B$800,MATCH(DATE(YEAR(A615)-1,MONTH(A615),1),$A$2:$A$800,0))-1,""))</f>
        <v/>
      </c>
    </row>
    <row r="616">
      <c r="A616" s="124" t="n"/>
      <c r="B616" s="125" t="n"/>
      <c r="C616" s="122">
        <f>IF(OR(B616="",B615=""),"",B616/B615-1)</f>
        <v/>
      </c>
      <c r="D616" s="122">
        <f>IF(B616="","",IFERROR(B616/INDEX($B$2:$B$800,MATCH(DATE(YEAR(A616)-1,12,1),$A$2:$A$800,0))-1,""))</f>
        <v/>
      </c>
      <c r="E616" s="122">
        <f>IF(B616="","",IFERROR(B616/INDEX($B$2:$B$800,MATCH(DATE(YEAR(A616)-1,MONTH(A616),1),$A$2:$A$800,0))-1,""))</f>
        <v/>
      </c>
    </row>
    <row r="617">
      <c r="A617" s="124" t="n"/>
      <c r="B617" s="125" t="n"/>
      <c r="C617" s="122">
        <f>IF(OR(B617="",B616=""),"",B617/B616-1)</f>
        <v/>
      </c>
      <c r="D617" s="122">
        <f>IF(B617="","",IFERROR(B617/INDEX($B$2:$B$800,MATCH(DATE(YEAR(A617)-1,12,1),$A$2:$A$800,0))-1,""))</f>
        <v/>
      </c>
      <c r="E617" s="122">
        <f>IF(B617="","",IFERROR(B617/INDEX($B$2:$B$800,MATCH(DATE(YEAR(A617)-1,MONTH(A617),1),$A$2:$A$800,0))-1,""))</f>
        <v/>
      </c>
    </row>
    <row r="618">
      <c r="A618" s="124" t="n"/>
      <c r="B618" s="125" t="n"/>
      <c r="C618" s="122">
        <f>IF(OR(B618="",B617=""),"",B618/B617-1)</f>
        <v/>
      </c>
      <c r="D618" s="122">
        <f>IF(B618="","",IFERROR(B618/INDEX($B$2:$B$800,MATCH(DATE(YEAR(A618)-1,12,1),$A$2:$A$800,0))-1,""))</f>
        <v/>
      </c>
      <c r="E618" s="122">
        <f>IF(B618="","",IFERROR(B618/INDEX($B$2:$B$800,MATCH(DATE(YEAR(A618)-1,MONTH(A618),1),$A$2:$A$800,0))-1,""))</f>
        <v/>
      </c>
    </row>
    <row r="619">
      <c r="A619" s="124" t="n"/>
      <c r="B619" s="125" t="n"/>
      <c r="C619" s="122">
        <f>IF(OR(B619="",B618=""),"",B619/B618-1)</f>
        <v/>
      </c>
      <c r="D619" s="122">
        <f>IF(B619="","",IFERROR(B619/INDEX($B$2:$B$800,MATCH(DATE(YEAR(A619)-1,12,1),$A$2:$A$800,0))-1,""))</f>
        <v/>
      </c>
      <c r="E619" s="122">
        <f>IF(B619="","",IFERROR(B619/INDEX($B$2:$B$800,MATCH(DATE(YEAR(A619)-1,MONTH(A619),1),$A$2:$A$800,0))-1,""))</f>
        <v/>
      </c>
    </row>
    <row r="620">
      <c r="A620" s="124" t="n"/>
      <c r="B620" s="125" t="n"/>
      <c r="C620" s="122">
        <f>IF(OR(B620="",B619=""),"",B620/B619-1)</f>
        <v/>
      </c>
      <c r="D620" s="122">
        <f>IF(B620="","",IFERROR(B620/INDEX($B$2:$B$800,MATCH(DATE(YEAR(A620)-1,12,1),$A$2:$A$800,0))-1,""))</f>
        <v/>
      </c>
      <c r="E620" s="122">
        <f>IF(B620="","",IFERROR(B620/INDEX($B$2:$B$800,MATCH(DATE(YEAR(A620)-1,MONTH(A620),1),$A$2:$A$800,0))-1,""))</f>
        <v/>
      </c>
    </row>
    <row r="621">
      <c r="A621" s="124" t="n"/>
      <c r="B621" s="125" t="n"/>
      <c r="C621" s="122">
        <f>IF(OR(B621="",B620=""),"",B621/B620-1)</f>
        <v/>
      </c>
      <c r="D621" s="122">
        <f>IF(B621="","",IFERROR(B621/INDEX($B$2:$B$800,MATCH(DATE(YEAR(A621)-1,12,1),$A$2:$A$800,0))-1,""))</f>
        <v/>
      </c>
      <c r="E621" s="122">
        <f>IF(B621="","",IFERROR(B621/INDEX($B$2:$B$800,MATCH(DATE(YEAR(A621)-1,MONTH(A621),1),$A$2:$A$800,0))-1,""))</f>
        <v/>
      </c>
    </row>
    <row r="622">
      <c r="A622" s="124" t="n"/>
      <c r="B622" s="125" t="n"/>
      <c r="C622" s="122">
        <f>IF(OR(B622="",B621=""),"",B622/B621-1)</f>
        <v/>
      </c>
      <c r="D622" s="122">
        <f>IF(B622="","",IFERROR(B622/INDEX($B$2:$B$800,MATCH(DATE(YEAR(A622)-1,12,1),$A$2:$A$800,0))-1,""))</f>
        <v/>
      </c>
      <c r="E622" s="122">
        <f>IF(B622="","",IFERROR(B622/INDEX($B$2:$B$800,MATCH(DATE(YEAR(A622)-1,MONTH(A622),1),$A$2:$A$800,0))-1,""))</f>
        <v/>
      </c>
    </row>
    <row r="623">
      <c r="A623" s="124" t="n"/>
      <c r="B623" s="125" t="n"/>
      <c r="C623" s="122">
        <f>IF(OR(B623="",B622=""),"",B623/B622-1)</f>
        <v/>
      </c>
      <c r="D623" s="122">
        <f>IF(B623="","",IFERROR(B623/INDEX($B$2:$B$800,MATCH(DATE(YEAR(A623)-1,12,1),$A$2:$A$800,0))-1,""))</f>
        <v/>
      </c>
      <c r="E623" s="122">
        <f>IF(B623="","",IFERROR(B623/INDEX($B$2:$B$800,MATCH(DATE(YEAR(A623)-1,MONTH(A623),1),$A$2:$A$800,0))-1,""))</f>
        <v/>
      </c>
    </row>
    <row r="624">
      <c r="A624" s="124" t="n"/>
      <c r="B624" s="125" t="n"/>
      <c r="C624" s="122">
        <f>IF(OR(B624="",B623=""),"",B624/B623-1)</f>
        <v/>
      </c>
      <c r="D624" s="122">
        <f>IF(B624="","",IFERROR(B624/INDEX($B$2:$B$800,MATCH(DATE(YEAR(A624)-1,12,1),$A$2:$A$800,0))-1,""))</f>
        <v/>
      </c>
      <c r="E624" s="122">
        <f>IF(B624="","",IFERROR(B624/INDEX($B$2:$B$800,MATCH(DATE(YEAR(A624)-1,MONTH(A624),1),$A$2:$A$800,0))-1,""))</f>
        <v/>
      </c>
    </row>
    <row r="625">
      <c r="A625" s="124" t="n"/>
      <c r="B625" s="125" t="n"/>
      <c r="C625" s="122">
        <f>IF(OR(B625="",B624=""),"",B625/B624-1)</f>
        <v/>
      </c>
      <c r="D625" s="122">
        <f>IF(B625="","",IFERROR(B625/INDEX($B$2:$B$800,MATCH(DATE(YEAR(A625)-1,12,1),$A$2:$A$800,0))-1,""))</f>
        <v/>
      </c>
      <c r="E625" s="122">
        <f>IF(B625="","",IFERROR(B625/INDEX($B$2:$B$800,MATCH(DATE(YEAR(A625)-1,MONTH(A625),1),$A$2:$A$800,0))-1,""))</f>
        <v/>
      </c>
    </row>
    <row r="626">
      <c r="A626" s="124" t="n"/>
      <c r="B626" s="125" t="n"/>
      <c r="C626" s="122">
        <f>IF(OR(B626="",B625=""),"",B626/B625-1)</f>
        <v/>
      </c>
      <c r="D626" s="122">
        <f>IF(B626="","",IFERROR(B626/INDEX($B$2:$B$800,MATCH(DATE(YEAR(A626)-1,12,1),$A$2:$A$800,0))-1,""))</f>
        <v/>
      </c>
      <c r="E626" s="122">
        <f>IF(B626="","",IFERROR(B626/INDEX($B$2:$B$800,MATCH(DATE(YEAR(A626)-1,MONTH(A626),1),$A$2:$A$800,0))-1,""))</f>
        <v/>
      </c>
    </row>
    <row r="627">
      <c r="A627" s="124" t="n"/>
      <c r="B627" s="125" t="n"/>
      <c r="C627" s="122">
        <f>IF(OR(B627="",B626=""),"",B627/B626-1)</f>
        <v/>
      </c>
      <c r="D627" s="122">
        <f>IF(B627="","",IFERROR(B627/INDEX($B$2:$B$800,MATCH(DATE(YEAR(A627)-1,12,1),$A$2:$A$800,0))-1,""))</f>
        <v/>
      </c>
      <c r="E627" s="122">
        <f>IF(B627="","",IFERROR(B627/INDEX($B$2:$B$800,MATCH(DATE(YEAR(A627)-1,MONTH(A627),1),$A$2:$A$800,0))-1,""))</f>
        <v/>
      </c>
    </row>
    <row r="628">
      <c r="A628" s="124" t="n"/>
      <c r="B628" s="125" t="n"/>
      <c r="C628" s="122">
        <f>IF(OR(B628="",B627=""),"",B628/B627-1)</f>
        <v/>
      </c>
      <c r="D628" s="122">
        <f>IF(B628="","",IFERROR(B628/INDEX($B$2:$B$800,MATCH(DATE(YEAR(A628)-1,12,1),$A$2:$A$800,0))-1,""))</f>
        <v/>
      </c>
      <c r="E628" s="122">
        <f>IF(B628="","",IFERROR(B628/INDEX($B$2:$B$800,MATCH(DATE(YEAR(A628)-1,MONTH(A628),1),$A$2:$A$800,0))-1,""))</f>
        <v/>
      </c>
    </row>
    <row r="629">
      <c r="A629" s="124" t="n"/>
      <c r="B629" s="125" t="n"/>
      <c r="C629" s="122">
        <f>IF(OR(B629="",B628=""),"",B629/B628-1)</f>
        <v/>
      </c>
      <c r="D629" s="122">
        <f>IF(B629="","",IFERROR(B629/INDEX($B$2:$B$800,MATCH(DATE(YEAR(A629)-1,12,1),$A$2:$A$800,0))-1,""))</f>
        <v/>
      </c>
      <c r="E629" s="122">
        <f>IF(B629="","",IFERROR(B629/INDEX($B$2:$B$800,MATCH(DATE(YEAR(A629)-1,MONTH(A629),1),$A$2:$A$800,0))-1,""))</f>
        <v/>
      </c>
    </row>
    <row r="630">
      <c r="A630" s="124" t="n"/>
      <c r="B630" s="125" t="n"/>
      <c r="C630" s="122">
        <f>IF(OR(B630="",B629=""),"",B630/B629-1)</f>
        <v/>
      </c>
      <c r="D630" s="122">
        <f>IF(B630="","",IFERROR(B630/INDEX($B$2:$B$800,MATCH(DATE(YEAR(A630)-1,12,1),$A$2:$A$800,0))-1,""))</f>
        <v/>
      </c>
      <c r="E630" s="122">
        <f>IF(B630="","",IFERROR(B630/INDEX($B$2:$B$800,MATCH(DATE(YEAR(A630)-1,MONTH(A630),1),$A$2:$A$800,0))-1,""))</f>
        <v/>
      </c>
    </row>
    <row r="631">
      <c r="A631" s="124" t="n"/>
      <c r="B631" s="125" t="n"/>
      <c r="C631" s="122">
        <f>IF(OR(B631="",B630=""),"",B631/B630-1)</f>
        <v/>
      </c>
      <c r="D631" s="122">
        <f>IF(B631="","",IFERROR(B631/INDEX($B$2:$B$800,MATCH(DATE(YEAR(A631)-1,12,1),$A$2:$A$800,0))-1,""))</f>
        <v/>
      </c>
      <c r="E631" s="122">
        <f>IF(B631="","",IFERROR(B631/INDEX($B$2:$B$800,MATCH(DATE(YEAR(A631)-1,MONTH(A631),1),$A$2:$A$800,0))-1,""))</f>
        <v/>
      </c>
    </row>
    <row r="632">
      <c r="A632" s="124" t="n"/>
      <c r="B632" s="125" t="n"/>
      <c r="C632" s="122">
        <f>IF(OR(B632="",B631=""),"",B632/B631-1)</f>
        <v/>
      </c>
      <c r="D632" s="122">
        <f>IF(B632="","",IFERROR(B632/INDEX($B$2:$B$800,MATCH(DATE(YEAR(A632)-1,12,1),$A$2:$A$800,0))-1,""))</f>
        <v/>
      </c>
      <c r="E632" s="122">
        <f>IF(B632="","",IFERROR(B632/INDEX($B$2:$B$800,MATCH(DATE(YEAR(A632)-1,MONTH(A632),1),$A$2:$A$800,0))-1,""))</f>
        <v/>
      </c>
    </row>
    <row r="633">
      <c r="A633" s="124" t="n"/>
      <c r="B633" s="125" t="n"/>
      <c r="C633" s="122">
        <f>IF(OR(B633="",B632=""),"",B633/B632-1)</f>
        <v/>
      </c>
      <c r="D633" s="122">
        <f>IF(B633="","",IFERROR(B633/INDEX($B$2:$B$800,MATCH(DATE(YEAR(A633)-1,12,1),$A$2:$A$800,0))-1,""))</f>
        <v/>
      </c>
      <c r="E633" s="122">
        <f>IF(B633="","",IFERROR(B633/INDEX($B$2:$B$800,MATCH(DATE(YEAR(A633)-1,MONTH(A633),1),$A$2:$A$800,0))-1,""))</f>
        <v/>
      </c>
    </row>
    <row r="634">
      <c r="A634" s="124" t="n"/>
      <c r="B634" s="125" t="n"/>
      <c r="C634" s="122">
        <f>IF(OR(B634="",B633=""),"",B634/B633-1)</f>
        <v/>
      </c>
      <c r="D634" s="122">
        <f>IF(B634="","",IFERROR(B634/INDEX($B$2:$B$800,MATCH(DATE(YEAR(A634)-1,12,1),$A$2:$A$800,0))-1,""))</f>
        <v/>
      </c>
      <c r="E634" s="122">
        <f>IF(B634="","",IFERROR(B634/INDEX($B$2:$B$800,MATCH(DATE(YEAR(A634)-1,MONTH(A634),1),$A$2:$A$800,0))-1,""))</f>
        <v/>
      </c>
    </row>
    <row r="635">
      <c r="A635" s="124" t="n"/>
      <c r="B635" s="125" t="n"/>
      <c r="C635" s="122">
        <f>IF(OR(B635="",B634=""),"",B635/B634-1)</f>
        <v/>
      </c>
      <c r="D635" s="122">
        <f>IF(B635="","",IFERROR(B635/INDEX($B$2:$B$800,MATCH(DATE(YEAR(A635)-1,12,1),$A$2:$A$800,0))-1,""))</f>
        <v/>
      </c>
      <c r="E635" s="122">
        <f>IF(B635="","",IFERROR(B635/INDEX($B$2:$B$800,MATCH(DATE(YEAR(A635)-1,MONTH(A635),1),$A$2:$A$800,0))-1,""))</f>
        <v/>
      </c>
    </row>
    <row r="636">
      <c r="A636" s="124" t="n"/>
      <c r="B636" s="125" t="n"/>
      <c r="C636" s="122">
        <f>IF(OR(B636="",B635=""),"",B636/B635-1)</f>
        <v/>
      </c>
      <c r="D636" s="122">
        <f>IF(B636="","",IFERROR(B636/INDEX($B$2:$B$800,MATCH(DATE(YEAR(A636)-1,12,1),$A$2:$A$800,0))-1,""))</f>
        <v/>
      </c>
      <c r="E636" s="122">
        <f>IF(B636="","",IFERROR(B636/INDEX($B$2:$B$800,MATCH(DATE(YEAR(A636)-1,MONTH(A636),1),$A$2:$A$800,0))-1,""))</f>
        <v/>
      </c>
    </row>
    <row r="637">
      <c r="A637" s="124" t="n"/>
      <c r="B637" s="125" t="n"/>
      <c r="C637" s="122">
        <f>IF(OR(B637="",B636=""),"",B637/B636-1)</f>
        <v/>
      </c>
      <c r="D637" s="122">
        <f>IF(B637="","",IFERROR(B637/INDEX($B$2:$B$800,MATCH(DATE(YEAR(A637)-1,12,1),$A$2:$A$800,0))-1,""))</f>
        <v/>
      </c>
      <c r="E637" s="122">
        <f>IF(B637="","",IFERROR(B637/INDEX($B$2:$B$800,MATCH(DATE(YEAR(A637)-1,MONTH(A637),1),$A$2:$A$800,0))-1,""))</f>
        <v/>
      </c>
    </row>
    <row r="638">
      <c r="A638" s="124" t="n"/>
      <c r="B638" s="125" t="n"/>
      <c r="C638" s="122">
        <f>IF(OR(B638="",B637=""),"",B638/B637-1)</f>
        <v/>
      </c>
      <c r="D638" s="122">
        <f>IF(B638="","",IFERROR(B638/INDEX($B$2:$B$800,MATCH(DATE(YEAR(A638)-1,12,1),$A$2:$A$800,0))-1,""))</f>
        <v/>
      </c>
      <c r="E638" s="122">
        <f>IF(B638="","",IFERROR(B638/INDEX($B$2:$B$800,MATCH(DATE(YEAR(A638)-1,MONTH(A638),1),$A$2:$A$800,0))-1,""))</f>
        <v/>
      </c>
    </row>
    <row r="639">
      <c r="A639" s="124" t="n"/>
      <c r="B639" s="125" t="n"/>
      <c r="C639" s="122">
        <f>IF(OR(B639="",B638=""),"",B639/B638-1)</f>
        <v/>
      </c>
      <c r="D639" s="122">
        <f>IF(B639="","",IFERROR(B639/INDEX($B$2:$B$800,MATCH(DATE(YEAR(A639)-1,12,1),$A$2:$A$800,0))-1,""))</f>
        <v/>
      </c>
      <c r="E639" s="122">
        <f>IF(B639="","",IFERROR(B639/INDEX($B$2:$B$800,MATCH(DATE(YEAR(A639)-1,MONTH(A639),1),$A$2:$A$800,0))-1,""))</f>
        <v/>
      </c>
    </row>
    <row r="640">
      <c r="A640" s="124" t="n"/>
      <c r="B640" s="125" t="n"/>
      <c r="C640" s="122">
        <f>IF(OR(B640="",B639=""),"",B640/B639-1)</f>
        <v/>
      </c>
      <c r="D640" s="122">
        <f>IF(B640="","",IFERROR(B640/INDEX($B$2:$B$800,MATCH(DATE(YEAR(A640)-1,12,1),$A$2:$A$800,0))-1,""))</f>
        <v/>
      </c>
      <c r="E640" s="122">
        <f>IF(B640="","",IFERROR(B640/INDEX($B$2:$B$800,MATCH(DATE(YEAR(A640)-1,MONTH(A640),1),$A$2:$A$800,0))-1,""))</f>
        <v/>
      </c>
    </row>
    <row r="641">
      <c r="A641" s="124" t="n"/>
      <c r="B641" s="125" t="n"/>
      <c r="C641" s="122">
        <f>IF(OR(B641="",B640=""),"",B641/B640-1)</f>
        <v/>
      </c>
      <c r="D641" s="122">
        <f>IF(B641="","",IFERROR(B641/INDEX($B$2:$B$800,MATCH(DATE(YEAR(A641)-1,12,1),$A$2:$A$800,0))-1,""))</f>
        <v/>
      </c>
      <c r="E641" s="122">
        <f>IF(B641="","",IFERROR(B641/INDEX($B$2:$B$800,MATCH(DATE(YEAR(A641)-1,MONTH(A641),1),$A$2:$A$800,0))-1,""))</f>
        <v/>
      </c>
    </row>
    <row r="642">
      <c r="A642" s="124" t="n"/>
      <c r="B642" s="125" t="n"/>
      <c r="C642" s="122">
        <f>IF(OR(B642="",B641=""),"",B642/B641-1)</f>
        <v/>
      </c>
      <c r="D642" s="122">
        <f>IF(B642="","",IFERROR(B642/INDEX($B$2:$B$800,MATCH(DATE(YEAR(A642)-1,12,1),$A$2:$A$800,0))-1,""))</f>
        <v/>
      </c>
      <c r="E642" s="122">
        <f>IF(B642="","",IFERROR(B642/INDEX($B$2:$B$800,MATCH(DATE(YEAR(A642)-1,MONTH(A642),1),$A$2:$A$800,0))-1,""))</f>
        <v/>
      </c>
    </row>
    <row r="643">
      <c r="A643" s="124" t="n"/>
      <c r="B643" s="125" t="n"/>
      <c r="C643" s="122">
        <f>IF(OR(B643="",B642=""),"",B643/B642-1)</f>
        <v/>
      </c>
      <c r="D643" s="122">
        <f>IF(B643="","",IFERROR(B643/INDEX($B$2:$B$800,MATCH(DATE(YEAR(A643)-1,12,1),$A$2:$A$800,0))-1,""))</f>
        <v/>
      </c>
      <c r="E643" s="122">
        <f>IF(B643="","",IFERROR(B643/INDEX($B$2:$B$800,MATCH(DATE(YEAR(A643)-1,MONTH(A643),1),$A$2:$A$800,0))-1,""))</f>
        <v/>
      </c>
    </row>
    <row r="644">
      <c r="A644" s="124" t="n"/>
      <c r="B644" s="125" t="n"/>
      <c r="C644" s="122">
        <f>IF(OR(B644="",B643=""),"",B644/B643-1)</f>
        <v/>
      </c>
      <c r="D644" s="122">
        <f>IF(B644="","",IFERROR(B644/INDEX($B$2:$B$800,MATCH(DATE(YEAR(A644)-1,12,1),$A$2:$A$800,0))-1,""))</f>
        <v/>
      </c>
      <c r="E644" s="122">
        <f>IF(B644="","",IFERROR(B644/INDEX($B$2:$B$800,MATCH(DATE(YEAR(A644)-1,MONTH(A644),1),$A$2:$A$800,0))-1,""))</f>
        <v/>
      </c>
    </row>
    <row r="645">
      <c r="A645" s="124" t="n"/>
      <c r="B645" s="125" t="n"/>
      <c r="C645" s="122">
        <f>IF(OR(B645="",B644=""),"",B645/B644-1)</f>
        <v/>
      </c>
      <c r="D645" s="122">
        <f>IF(B645="","",IFERROR(B645/INDEX($B$2:$B$800,MATCH(DATE(YEAR(A645)-1,12,1),$A$2:$A$800,0))-1,""))</f>
        <v/>
      </c>
      <c r="E645" s="122">
        <f>IF(B645="","",IFERROR(B645/INDEX($B$2:$B$800,MATCH(DATE(YEAR(A645)-1,MONTH(A645),1),$A$2:$A$800,0))-1,""))</f>
        <v/>
      </c>
    </row>
    <row r="646">
      <c r="A646" s="124" t="n"/>
      <c r="B646" s="125" t="n"/>
      <c r="C646" s="122">
        <f>IF(OR(B646="",B645=""),"",B646/B645-1)</f>
        <v/>
      </c>
      <c r="D646" s="122">
        <f>IF(B646="","",IFERROR(B646/INDEX($B$2:$B$800,MATCH(DATE(YEAR(A646)-1,12,1),$A$2:$A$800,0))-1,""))</f>
        <v/>
      </c>
      <c r="E646" s="122">
        <f>IF(B646="","",IFERROR(B646/INDEX($B$2:$B$800,MATCH(DATE(YEAR(A646)-1,MONTH(A646),1),$A$2:$A$800,0))-1,""))</f>
        <v/>
      </c>
    </row>
    <row r="647">
      <c r="A647" s="124" t="n"/>
      <c r="B647" s="125" t="n"/>
      <c r="C647" s="122">
        <f>IF(OR(B647="",B646=""),"",B647/B646-1)</f>
        <v/>
      </c>
      <c r="D647" s="122">
        <f>IF(B647="","",IFERROR(B647/INDEX($B$2:$B$800,MATCH(DATE(YEAR(A647)-1,12,1),$A$2:$A$800,0))-1,""))</f>
        <v/>
      </c>
      <c r="E647" s="122">
        <f>IF(B647="","",IFERROR(B647/INDEX($B$2:$B$800,MATCH(DATE(YEAR(A647)-1,MONTH(A647),1),$A$2:$A$800,0))-1,""))</f>
        <v/>
      </c>
    </row>
    <row r="648">
      <c r="A648" s="124" t="n"/>
      <c r="B648" s="125" t="n"/>
      <c r="C648" s="122">
        <f>IF(OR(B648="",B647=""),"",B648/B647-1)</f>
        <v/>
      </c>
      <c r="D648" s="122">
        <f>IF(B648="","",IFERROR(B648/INDEX($B$2:$B$800,MATCH(DATE(YEAR(A648)-1,12,1),$A$2:$A$800,0))-1,""))</f>
        <v/>
      </c>
      <c r="E648" s="122">
        <f>IF(B648="","",IFERROR(B648/INDEX($B$2:$B$800,MATCH(DATE(YEAR(A648)-1,MONTH(A648),1),$A$2:$A$800,0))-1,""))</f>
        <v/>
      </c>
    </row>
    <row r="649">
      <c r="A649" s="124" t="n"/>
      <c r="B649" s="125" t="n"/>
      <c r="C649" s="122">
        <f>IF(OR(B649="",B648=""),"",B649/B648-1)</f>
        <v/>
      </c>
      <c r="D649" s="122">
        <f>IF(B649="","",IFERROR(B649/INDEX($B$2:$B$800,MATCH(DATE(YEAR(A649)-1,12,1),$A$2:$A$800,0))-1,""))</f>
        <v/>
      </c>
      <c r="E649" s="122">
        <f>IF(B649="","",IFERROR(B649/INDEX($B$2:$B$800,MATCH(DATE(YEAR(A649)-1,MONTH(A649),1),$A$2:$A$800,0))-1,""))</f>
        <v/>
      </c>
    </row>
    <row r="650">
      <c r="A650" s="124" t="n"/>
      <c r="B650" s="125" t="n"/>
      <c r="C650" s="122">
        <f>IF(OR(B650="",B649=""),"",B650/B649-1)</f>
        <v/>
      </c>
      <c r="D650" s="122">
        <f>IF(B650="","",IFERROR(B650/INDEX($B$2:$B$800,MATCH(DATE(YEAR(A650)-1,12,1),$A$2:$A$800,0))-1,""))</f>
        <v/>
      </c>
      <c r="E650" s="122">
        <f>IF(B650="","",IFERROR(B650/INDEX($B$2:$B$800,MATCH(DATE(YEAR(A650)-1,MONTH(A650),1),$A$2:$A$800,0))-1,""))</f>
        <v/>
      </c>
    </row>
    <row r="651">
      <c r="A651" s="124" t="n"/>
      <c r="B651" s="125" t="n"/>
      <c r="C651" s="122">
        <f>IF(OR(B651="",B650=""),"",B651/B650-1)</f>
        <v/>
      </c>
      <c r="D651" s="122">
        <f>IF(B651="","",IFERROR(B651/INDEX($B$2:$B$800,MATCH(DATE(YEAR(A651)-1,12,1),$A$2:$A$800,0))-1,""))</f>
        <v/>
      </c>
      <c r="E651" s="122">
        <f>IF(B651="","",IFERROR(B651/INDEX($B$2:$B$800,MATCH(DATE(YEAR(A651)-1,MONTH(A651),1),$A$2:$A$800,0))-1,""))</f>
        <v/>
      </c>
    </row>
    <row r="652">
      <c r="A652" s="124" t="n"/>
      <c r="B652" s="125" t="n"/>
      <c r="C652" s="122">
        <f>IF(OR(B652="",B651=""),"",B652/B651-1)</f>
        <v/>
      </c>
      <c r="D652" s="122">
        <f>IF(B652="","",IFERROR(B652/INDEX($B$2:$B$800,MATCH(DATE(YEAR(A652)-1,12,1),$A$2:$A$800,0))-1,""))</f>
        <v/>
      </c>
      <c r="E652" s="122">
        <f>IF(B652="","",IFERROR(B652/INDEX($B$2:$B$800,MATCH(DATE(YEAR(A652)-1,MONTH(A652),1),$A$2:$A$800,0))-1,""))</f>
        <v/>
      </c>
    </row>
    <row r="653">
      <c r="A653" s="124" t="n"/>
      <c r="B653" s="125" t="n"/>
      <c r="C653" s="122">
        <f>IF(OR(B653="",B652=""),"",B653/B652-1)</f>
        <v/>
      </c>
      <c r="D653" s="122">
        <f>IF(B653="","",IFERROR(B653/INDEX($B$2:$B$800,MATCH(DATE(YEAR(A653)-1,12,1),$A$2:$A$800,0))-1,""))</f>
        <v/>
      </c>
      <c r="E653" s="122">
        <f>IF(B653="","",IFERROR(B653/INDEX($B$2:$B$800,MATCH(DATE(YEAR(A653)-1,MONTH(A653),1),$A$2:$A$800,0))-1,""))</f>
        <v/>
      </c>
    </row>
    <row r="654">
      <c r="A654" s="124" t="n"/>
      <c r="B654" s="125" t="n"/>
      <c r="C654" s="122">
        <f>IF(OR(B654="",B653=""),"",B654/B653-1)</f>
        <v/>
      </c>
      <c r="D654" s="122">
        <f>IF(B654="","",IFERROR(B654/INDEX($B$2:$B$800,MATCH(DATE(YEAR(A654)-1,12,1),$A$2:$A$800,0))-1,""))</f>
        <v/>
      </c>
      <c r="E654" s="122">
        <f>IF(B654="","",IFERROR(B654/INDEX($B$2:$B$800,MATCH(DATE(YEAR(A654)-1,MONTH(A654),1),$A$2:$A$800,0))-1,""))</f>
        <v/>
      </c>
    </row>
    <row r="655">
      <c r="A655" s="124" t="n"/>
      <c r="B655" s="125" t="n"/>
      <c r="C655" s="122">
        <f>IF(OR(B655="",B654=""),"",B655/B654-1)</f>
        <v/>
      </c>
      <c r="D655" s="122">
        <f>IF(B655="","",IFERROR(B655/INDEX($B$2:$B$800,MATCH(DATE(YEAR(A655)-1,12,1),$A$2:$A$800,0))-1,""))</f>
        <v/>
      </c>
      <c r="E655" s="122">
        <f>IF(B655="","",IFERROR(B655/INDEX($B$2:$B$800,MATCH(DATE(YEAR(A655)-1,MONTH(A655),1),$A$2:$A$800,0))-1,""))</f>
        <v/>
      </c>
    </row>
    <row r="656">
      <c r="A656" s="124" t="n"/>
      <c r="B656" s="125" t="n"/>
      <c r="C656" s="122">
        <f>IF(OR(B656="",B655=""),"",B656/B655-1)</f>
        <v/>
      </c>
      <c r="D656" s="122">
        <f>IF(B656="","",IFERROR(B656/INDEX($B$2:$B$800,MATCH(DATE(YEAR(A656)-1,12,1),$A$2:$A$800,0))-1,""))</f>
        <v/>
      </c>
      <c r="E656" s="122">
        <f>IF(B656="","",IFERROR(B656/INDEX($B$2:$B$800,MATCH(DATE(YEAR(A656)-1,MONTH(A656),1),$A$2:$A$800,0))-1,""))</f>
        <v/>
      </c>
    </row>
    <row r="657">
      <c r="A657" s="124" t="n"/>
      <c r="B657" s="125" t="n"/>
      <c r="C657" s="122">
        <f>IF(OR(B657="",B656=""),"",B657/B656-1)</f>
        <v/>
      </c>
      <c r="D657" s="122">
        <f>IF(B657="","",IFERROR(B657/INDEX($B$2:$B$800,MATCH(DATE(YEAR(A657)-1,12,1),$A$2:$A$800,0))-1,""))</f>
        <v/>
      </c>
      <c r="E657" s="122">
        <f>IF(B657="","",IFERROR(B657/INDEX($B$2:$B$800,MATCH(DATE(YEAR(A657)-1,MONTH(A657),1),$A$2:$A$800,0))-1,""))</f>
        <v/>
      </c>
    </row>
    <row r="658">
      <c r="A658" s="124" t="n"/>
      <c r="B658" s="125" t="n"/>
      <c r="C658" s="122">
        <f>IF(OR(B658="",B657=""),"",B658/B657-1)</f>
        <v/>
      </c>
      <c r="D658" s="122">
        <f>IF(B658="","",IFERROR(B658/INDEX($B$2:$B$800,MATCH(DATE(YEAR(A658)-1,12,1),$A$2:$A$800,0))-1,""))</f>
        <v/>
      </c>
      <c r="E658" s="122">
        <f>IF(B658="","",IFERROR(B658/INDEX($B$2:$B$800,MATCH(DATE(YEAR(A658)-1,MONTH(A658),1),$A$2:$A$800,0))-1,""))</f>
        <v/>
      </c>
    </row>
    <row r="659">
      <c r="A659" s="124" t="n"/>
      <c r="B659" s="125" t="n"/>
      <c r="C659" s="122">
        <f>IF(OR(B659="",B658=""),"",B659/B658-1)</f>
        <v/>
      </c>
      <c r="D659" s="122">
        <f>IF(B659="","",IFERROR(B659/INDEX($B$2:$B$800,MATCH(DATE(YEAR(A659)-1,12,1),$A$2:$A$800,0))-1,""))</f>
        <v/>
      </c>
      <c r="E659" s="122">
        <f>IF(B659="","",IFERROR(B659/INDEX($B$2:$B$800,MATCH(DATE(YEAR(A659)-1,MONTH(A659),1),$A$2:$A$800,0))-1,""))</f>
        <v/>
      </c>
    </row>
    <row r="660">
      <c r="A660" s="124" t="n"/>
      <c r="B660" s="125" t="n"/>
      <c r="C660" s="122">
        <f>IF(OR(B660="",B659=""),"",B660/B659-1)</f>
        <v/>
      </c>
      <c r="D660" s="122">
        <f>IF(B660="","",IFERROR(B660/INDEX($B$2:$B$800,MATCH(DATE(YEAR(A660)-1,12,1),$A$2:$A$800,0))-1,""))</f>
        <v/>
      </c>
      <c r="E660" s="122">
        <f>IF(B660="","",IFERROR(B660/INDEX($B$2:$B$800,MATCH(DATE(YEAR(A660)-1,MONTH(A660),1),$A$2:$A$800,0))-1,""))</f>
        <v/>
      </c>
    </row>
    <row r="661">
      <c r="A661" s="124" t="n"/>
      <c r="B661" s="125" t="n"/>
      <c r="C661" s="122">
        <f>IF(OR(B661="",B660=""),"",B661/B660-1)</f>
        <v/>
      </c>
      <c r="D661" s="122">
        <f>IF(B661="","",IFERROR(B661/INDEX($B$2:$B$800,MATCH(DATE(YEAR(A661)-1,12,1),$A$2:$A$800,0))-1,""))</f>
        <v/>
      </c>
      <c r="E661" s="122">
        <f>IF(B661="","",IFERROR(B661/INDEX($B$2:$B$800,MATCH(DATE(YEAR(A661)-1,MONTH(A661),1),$A$2:$A$800,0))-1,""))</f>
        <v/>
      </c>
    </row>
    <row r="662">
      <c r="A662" s="124" t="n"/>
      <c r="B662" s="125" t="n"/>
      <c r="C662" s="122">
        <f>IF(OR(B662="",B661=""),"",B662/B661-1)</f>
        <v/>
      </c>
      <c r="D662" s="122">
        <f>IF(B662="","",IFERROR(B662/INDEX($B$2:$B$800,MATCH(DATE(YEAR(A662)-1,12,1),$A$2:$A$800,0))-1,""))</f>
        <v/>
      </c>
      <c r="E662" s="122">
        <f>IF(B662="","",IFERROR(B662/INDEX($B$2:$B$800,MATCH(DATE(YEAR(A662)-1,MONTH(A662),1),$A$2:$A$800,0))-1,""))</f>
        <v/>
      </c>
    </row>
    <row r="663">
      <c r="A663" s="124" t="n"/>
      <c r="B663" s="125" t="n"/>
      <c r="C663" s="122">
        <f>IF(OR(B663="",B662=""),"",B663/B662-1)</f>
        <v/>
      </c>
      <c r="D663" s="122">
        <f>IF(B663="","",IFERROR(B663/INDEX($B$2:$B$800,MATCH(DATE(YEAR(A663)-1,12,1),$A$2:$A$800,0))-1,""))</f>
        <v/>
      </c>
      <c r="E663" s="122">
        <f>IF(B663="","",IFERROR(B663/INDEX($B$2:$B$800,MATCH(DATE(YEAR(A663)-1,MONTH(A663),1),$A$2:$A$800,0))-1,""))</f>
        <v/>
      </c>
    </row>
    <row r="664">
      <c r="A664" s="124" t="n"/>
      <c r="B664" s="125" t="n"/>
      <c r="C664" s="122">
        <f>IF(OR(B664="",B663=""),"",B664/B663-1)</f>
        <v/>
      </c>
      <c r="D664" s="122">
        <f>IF(B664="","",IFERROR(B664/INDEX($B$2:$B$800,MATCH(DATE(YEAR(A664)-1,12,1),$A$2:$A$800,0))-1,""))</f>
        <v/>
      </c>
      <c r="E664" s="122">
        <f>IF(B664="","",IFERROR(B664/INDEX($B$2:$B$800,MATCH(DATE(YEAR(A664)-1,MONTH(A664),1),$A$2:$A$800,0))-1,""))</f>
        <v/>
      </c>
    </row>
    <row r="665">
      <c r="A665" s="124" t="n"/>
      <c r="B665" s="125" t="n"/>
      <c r="C665" s="122">
        <f>IF(OR(B665="",B664=""),"",B665/B664-1)</f>
        <v/>
      </c>
      <c r="D665" s="122">
        <f>IF(B665="","",IFERROR(B665/INDEX($B$2:$B$800,MATCH(DATE(YEAR(A665)-1,12,1),$A$2:$A$800,0))-1,""))</f>
        <v/>
      </c>
      <c r="E665" s="122">
        <f>IF(B665="","",IFERROR(B665/INDEX($B$2:$B$800,MATCH(DATE(YEAR(A665)-1,MONTH(A665),1),$A$2:$A$800,0))-1,""))</f>
        <v/>
      </c>
    </row>
    <row r="666">
      <c r="A666" s="124" t="n"/>
      <c r="B666" s="125" t="n"/>
      <c r="C666" s="122">
        <f>IF(OR(B666="",B665=""),"",B666/B665-1)</f>
        <v/>
      </c>
      <c r="D666" s="122">
        <f>IF(B666="","",IFERROR(B666/INDEX($B$2:$B$800,MATCH(DATE(YEAR(A666)-1,12,1),$A$2:$A$800,0))-1,""))</f>
        <v/>
      </c>
      <c r="E666" s="122">
        <f>IF(B666="","",IFERROR(B666/INDEX($B$2:$B$800,MATCH(DATE(YEAR(A666)-1,MONTH(A666),1),$A$2:$A$800,0))-1,""))</f>
        <v/>
      </c>
    </row>
    <row r="667">
      <c r="A667" s="124" t="n"/>
      <c r="B667" s="125" t="n"/>
      <c r="C667" s="122">
        <f>IF(OR(B667="",B666=""),"",B667/B666-1)</f>
        <v/>
      </c>
      <c r="D667" s="122">
        <f>IF(B667="","",IFERROR(B667/INDEX($B$2:$B$800,MATCH(DATE(YEAR(A667)-1,12,1),$A$2:$A$800,0))-1,""))</f>
        <v/>
      </c>
      <c r="E667" s="122">
        <f>IF(B667="","",IFERROR(B667/INDEX($B$2:$B$800,MATCH(DATE(YEAR(A667)-1,MONTH(A667),1),$A$2:$A$800,0))-1,""))</f>
        <v/>
      </c>
    </row>
    <row r="668">
      <c r="A668" s="124" t="n"/>
      <c r="B668" s="125" t="n"/>
      <c r="C668" s="122">
        <f>IF(OR(B668="",B667=""),"",B668/B667-1)</f>
        <v/>
      </c>
      <c r="D668" s="122">
        <f>IF(B668="","",IFERROR(B668/INDEX($B$2:$B$800,MATCH(DATE(YEAR(A668)-1,12,1),$A$2:$A$800,0))-1,""))</f>
        <v/>
      </c>
      <c r="E668" s="122">
        <f>IF(B668="","",IFERROR(B668/INDEX($B$2:$B$800,MATCH(DATE(YEAR(A668)-1,MONTH(A668),1),$A$2:$A$800,0))-1,""))</f>
        <v/>
      </c>
    </row>
    <row r="669">
      <c r="A669" s="124" t="n"/>
      <c r="B669" s="125" t="n"/>
      <c r="C669" s="122">
        <f>IF(OR(B669="",B668=""),"",B669/B668-1)</f>
        <v/>
      </c>
      <c r="D669" s="122">
        <f>IF(B669="","",IFERROR(B669/INDEX($B$2:$B$800,MATCH(DATE(YEAR(A669)-1,12,1),$A$2:$A$800,0))-1,""))</f>
        <v/>
      </c>
      <c r="E669" s="122">
        <f>IF(B669="","",IFERROR(B669/INDEX($B$2:$B$800,MATCH(DATE(YEAR(A669)-1,MONTH(A669),1),$A$2:$A$800,0))-1,""))</f>
        <v/>
      </c>
    </row>
    <row r="670">
      <c r="A670" s="124" t="n"/>
      <c r="B670" s="125" t="n"/>
      <c r="C670" s="122">
        <f>IF(OR(B670="",B669=""),"",B670/B669-1)</f>
        <v/>
      </c>
      <c r="D670" s="122">
        <f>IF(B670="","",IFERROR(B670/INDEX($B$2:$B$800,MATCH(DATE(YEAR(A670)-1,12,1),$A$2:$A$800,0))-1,""))</f>
        <v/>
      </c>
      <c r="E670" s="122">
        <f>IF(B670="","",IFERROR(B670/INDEX($B$2:$B$800,MATCH(DATE(YEAR(A670)-1,MONTH(A670),1),$A$2:$A$800,0))-1,""))</f>
        <v/>
      </c>
    </row>
    <row r="671">
      <c r="A671" s="124" t="n"/>
      <c r="B671" s="125" t="n"/>
      <c r="C671" s="122">
        <f>IF(OR(B671="",B670=""),"",B671/B670-1)</f>
        <v/>
      </c>
      <c r="D671" s="122">
        <f>IF(B671="","",IFERROR(B671/INDEX($B$2:$B$800,MATCH(DATE(YEAR(A671)-1,12,1),$A$2:$A$800,0))-1,""))</f>
        <v/>
      </c>
      <c r="E671" s="122">
        <f>IF(B671="","",IFERROR(B671/INDEX($B$2:$B$800,MATCH(DATE(YEAR(A671)-1,MONTH(A671),1),$A$2:$A$800,0))-1,""))</f>
        <v/>
      </c>
    </row>
    <row r="672">
      <c r="A672" s="124" t="n"/>
      <c r="B672" s="125" t="n"/>
      <c r="C672" s="122">
        <f>IF(OR(B672="",B671=""),"",B672/B671-1)</f>
        <v/>
      </c>
      <c r="D672" s="122">
        <f>IF(B672="","",IFERROR(B672/INDEX($B$2:$B$800,MATCH(DATE(YEAR(A672)-1,12,1),$A$2:$A$800,0))-1,""))</f>
        <v/>
      </c>
      <c r="E672" s="122">
        <f>IF(B672="","",IFERROR(B672/INDEX($B$2:$B$800,MATCH(DATE(YEAR(A672)-1,MONTH(A672),1),$A$2:$A$800,0))-1,""))</f>
        <v/>
      </c>
    </row>
    <row r="673">
      <c r="A673" s="124" t="n"/>
      <c r="B673" s="125" t="n"/>
      <c r="C673" s="122">
        <f>IF(OR(B673="",B672=""),"",B673/B672-1)</f>
        <v/>
      </c>
      <c r="D673" s="122">
        <f>IF(B673="","",IFERROR(B673/INDEX($B$2:$B$800,MATCH(DATE(YEAR(A673)-1,12,1),$A$2:$A$800,0))-1,""))</f>
        <v/>
      </c>
      <c r="E673" s="122">
        <f>IF(B673="","",IFERROR(B673/INDEX($B$2:$B$800,MATCH(DATE(YEAR(A673)-1,MONTH(A673),1),$A$2:$A$800,0))-1,""))</f>
        <v/>
      </c>
    </row>
    <row r="674">
      <c r="A674" s="124" t="n"/>
      <c r="B674" s="125" t="n"/>
      <c r="C674" s="122">
        <f>IF(OR(B674="",B673=""),"",B674/B673-1)</f>
        <v/>
      </c>
      <c r="D674" s="122">
        <f>IF(B674="","",IFERROR(B674/INDEX($B$2:$B$800,MATCH(DATE(YEAR(A674)-1,12,1),$A$2:$A$800,0))-1,""))</f>
        <v/>
      </c>
      <c r="E674" s="122">
        <f>IF(B674="","",IFERROR(B674/INDEX($B$2:$B$800,MATCH(DATE(YEAR(A674)-1,MONTH(A674),1),$A$2:$A$800,0))-1,""))</f>
        <v/>
      </c>
    </row>
    <row r="675">
      <c r="A675" s="124" t="n"/>
      <c r="B675" s="125" t="n"/>
      <c r="C675" s="122">
        <f>IF(OR(B675="",B674=""),"",B675/B674-1)</f>
        <v/>
      </c>
      <c r="D675" s="122">
        <f>IF(B675="","",IFERROR(B675/INDEX($B$2:$B$800,MATCH(DATE(YEAR(A675)-1,12,1),$A$2:$A$800,0))-1,""))</f>
        <v/>
      </c>
      <c r="E675" s="122">
        <f>IF(B675="","",IFERROR(B675/INDEX($B$2:$B$800,MATCH(DATE(YEAR(A675)-1,MONTH(A675),1),$A$2:$A$800,0))-1,""))</f>
        <v/>
      </c>
    </row>
    <row r="676">
      <c r="A676" s="124" t="n"/>
      <c r="B676" s="125" t="n"/>
      <c r="C676" s="122">
        <f>IF(OR(B676="",B675=""),"",B676/B675-1)</f>
        <v/>
      </c>
      <c r="D676" s="122">
        <f>IF(B676="","",IFERROR(B676/INDEX($B$2:$B$800,MATCH(DATE(YEAR(A676)-1,12,1),$A$2:$A$800,0))-1,""))</f>
        <v/>
      </c>
      <c r="E676" s="122">
        <f>IF(B676="","",IFERROR(B676/INDEX($B$2:$B$800,MATCH(DATE(YEAR(A676)-1,MONTH(A676),1),$A$2:$A$800,0))-1,""))</f>
        <v/>
      </c>
    </row>
    <row r="677">
      <c r="A677" s="124" t="n"/>
      <c r="B677" s="125" t="n"/>
      <c r="C677" s="122">
        <f>IF(OR(B677="",B676=""),"",B677/B676-1)</f>
        <v/>
      </c>
      <c r="D677" s="122">
        <f>IF(B677="","",IFERROR(B677/INDEX($B$2:$B$800,MATCH(DATE(YEAR(A677)-1,12,1),$A$2:$A$800,0))-1,""))</f>
        <v/>
      </c>
      <c r="E677" s="122">
        <f>IF(B677="","",IFERROR(B677/INDEX($B$2:$B$800,MATCH(DATE(YEAR(A677)-1,MONTH(A677),1),$A$2:$A$800,0))-1,""))</f>
        <v/>
      </c>
    </row>
    <row r="678">
      <c r="A678" s="124" t="n"/>
      <c r="B678" s="125" t="n"/>
      <c r="C678" s="122">
        <f>IF(OR(B678="",B677=""),"",B678/B677-1)</f>
        <v/>
      </c>
      <c r="D678" s="122">
        <f>IF(B678="","",IFERROR(B678/INDEX($B$2:$B$800,MATCH(DATE(YEAR(A678)-1,12,1),$A$2:$A$800,0))-1,""))</f>
        <v/>
      </c>
      <c r="E678" s="122">
        <f>IF(B678="","",IFERROR(B678/INDEX($B$2:$B$800,MATCH(DATE(YEAR(A678)-1,MONTH(A678),1),$A$2:$A$800,0))-1,""))</f>
        <v/>
      </c>
    </row>
    <row r="679">
      <c r="A679" s="124" t="n"/>
      <c r="B679" s="125" t="n"/>
      <c r="C679" s="122">
        <f>IF(OR(B679="",B678=""),"",B679/B678-1)</f>
        <v/>
      </c>
      <c r="D679" s="122">
        <f>IF(B679="","",IFERROR(B679/INDEX($B$2:$B$800,MATCH(DATE(YEAR(A679)-1,12,1),$A$2:$A$800,0))-1,""))</f>
        <v/>
      </c>
      <c r="E679" s="122">
        <f>IF(B679="","",IFERROR(B679/INDEX($B$2:$B$800,MATCH(DATE(YEAR(A679)-1,MONTH(A679),1),$A$2:$A$800,0))-1,""))</f>
        <v/>
      </c>
    </row>
    <row r="680">
      <c r="A680" s="124" t="n"/>
      <c r="B680" s="125" t="n"/>
      <c r="C680" s="122">
        <f>IF(OR(B680="",B679=""),"",B680/B679-1)</f>
        <v/>
      </c>
      <c r="D680" s="122">
        <f>IF(B680="","",IFERROR(B680/INDEX($B$2:$B$800,MATCH(DATE(YEAR(A680)-1,12,1),$A$2:$A$800,0))-1,""))</f>
        <v/>
      </c>
      <c r="E680" s="122">
        <f>IF(B680="","",IFERROR(B680/INDEX($B$2:$B$800,MATCH(DATE(YEAR(A680)-1,MONTH(A680),1),$A$2:$A$800,0))-1,""))</f>
        <v/>
      </c>
    </row>
    <row r="681">
      <c r="A681" s="124" t="n"/>
      <c r="B681" s="125" t="n"/>
      <c r="C681" s="122">
        <f>IF(OR(B681="",B680=""),"",B681/B680-1)</f>
        <v/>
      </c>
      <c r="D681" s="122">
        <f>IF(B681="","",IFERROR(B681/INDEX($B$2:$B$800,MATCH(DATE(YEAR(A681)-1,12,1),$A$2:$A$800,0))-1,""))</f>
        <v/>
      </c>
      <c r="E681" s="122">
        <f>IF(B681="","",IFERROR(B681/INDEX($B$2:$B$800,MATCH(DATE(YEAR(A681)-1,MONTH(A681),1),$A$2:$A$800,0))-1,""))</f>
        <v/>
      </c>
    </row>
    <row r="682">
      <c r="A682" s="124" t="n"/>
      <c r="B682" s="125" t="n"/>
      <c r="C682" s="122">
        <f>IF(OR(B682="",B681=""),"",B682/B681-1)</f>
        <v/>
      </c>
      <c r="D682" s="122">
        <f>IF(B682="","",IFERROR(B682/INDEX($B$2:$B$800,MATCH(DATE(YEAR(A682)-1,12,1),$A$2:$A$800,0))-1,""))</f>
        <v/>
      </c>
      <c r="E682" s="122">
        <f>IF(B682="","",IFERROR(B682/INDEX($B$2:$B$800,MATCH(DATE(YEAR(A682)-1,MONTH(A682),1),$A$2:$A$800,0))-1,""))</f>
        <v/>
      </c>
    </row>
    <row r="683">
      <c r="A683" s="124" t="n"/>
      <c r="B683" s="125" t="n"/>
      <c r="C683" s="122">
        <f>IF(OR(B683="",B682=""),"",B683/B682-1)</f>
        <v/>
      </c>
      <c r="D683" s="122">
        <f>IF(B683="","",IFERROR(B683/INDEX($B$2:$B$800,MATCH(DATE(YEAR(A683)-1,12,1),$A$2:$A$800,0))-1,""))</f>
        <v/>
      </c>
      <c r="E683" s="122">
        <f>IF(B683="","",IFERROR(B683/INDEX($B$2:$B$800,MATCH(DATE(YEAR(A683)-1,MONTH(A683),1),$A$2:$A$800,0))-1,""))</f>
        <v/>
      </c>
    </row>
    <row r="684">
      <c r="A684" s="124" t="n"/>
      <c r="B684" s="125" t="n"/>
      <c r="C684" s="122">
        <f>IF(OR(B684="",B683=""),"",B684/B683-1)</f>
        <v/>
      </c>
      <c r="D684" s="122">
        <f>IF(B684="","",IFERROR(B684/INDEX($B$2:$B$800,MATCH(DATE(YEAR(A684)-1,12,1),$A$2:$A$800,0))-1,""))</f>
        <v/>
      </c>
      <c r="E684" s="122">
        <f>IF(B684="","",IFERROR(B684/INDEX($B$2:$B$800,MATCH(DATE(YEAR(A684)-1,MONTH(A684),1),$A$2:$A$800,0))-1,""))</f>
        <v/>
      </c>
    </row>
    <row r="685">
      <c r="A685" s="124" t="n"/>
      <c r="B685" s="125" t="n"/>
      <c r="C685" s="122">
        <f>IF(OR(B685="",B684=""),"",B685/B684-1)</f>
        <v/>
      </c>
      <c r="D685" s="122">
        <f>IF(B685="","",IFERROR(B685/INDEX($B$2:$B$800,MATCH(DATE(YEAR(A685)-1,12,1),$A$2:$A$800,0))-1,""))</f>
        <v/>
      </c>
      <c r="E685" s="122">
        <f>IF(B685="","",IFERROR(B685/INDEX($B$2:$B$800,MATCH(DATE(YEAR(A685)-1,MONTH(A685),1),$A$2:$A$800,0))-1,""))</f>
        <v/>
      </c>
    </row>
    <row r="686">
      <c r="A686" s="124" t="n"/>
      <c r="B686" s="125" t="n"/>
      <c r="C686" s="122">
        <f>IF(OR(B686="",B685=""),"",B686/B685-1)</f>
        <v/>
      </c>
      <c r="D686" s="122">
        <f>IF(B686="","",IFERROR(B686/INDEX($B$2:$B$800,MATCH(DATE(YEAR(A686)-1,12,1),$A$2:$A$800,0))-1,""))</f>
        <v/>
      </c>
      <c r="E686" s="122">
        <f>IF(B686="","",IFERROR(B686/INDEX($B$2:$B$800,MATCH(DATE(YEAR(A686)-1,MONTH(A686),1),$A$2:$A$800,0))-1,""))</f>
        <v/>
      </c>
    </row>
    <row r="687">
      <c r="A687" s="124" t="n"/>
      <c r="B687" s="125" t="n"/>
      <c r="C687" s="122">
        <f>IF(OR(B687="",B686=""),"",B687/B686-1)</f>
        <v/>
      </c>
      <c r="D687" s="122">
        <f>IF(B687="","",IFERROR(B687/INDEX($B$2:$B$800,MATCH(DATE(YEAR(A687)-1,12,1),$A$2:$A$800,0))-1,""))</f>
        <v/>
      </c>
      <c r="E687" s="122">
        <f>IF(B687="","",IFERROR(B687/INDEX($B$2:$B$800,MATCH(DATE(YEAR(A687)-1,MONTH(A687),1),$A$2:$A$800,0))-1,""))</f>
        <v/>
      </c>
    </row>
    <row r="688">
      <c r="A688" s="124" t="n"/>
      <c r="B688" s="125" t="n"/>
      <c r="C688" s="122">
        <f>IF(OR(B688="",B687=""),"",B688/B687-1)</f>
        <v/>
      </c>
      <c r="D688" s="122">
        <f>IF(B688="","",IFERROR(B688/INDEX($B$2:$B$800,MATCH(DATE(YEAR(A688)-1,12,1),$A$2:$A$800,0))-1,""))</f>
        <v/>
      </c>
      <c r="E688" s="122">
        <f>IF(B688="","",IFERROR(B688/INDEX($B$2:$B$800,MATCH(DATE(YEAR(A688)-1,MONTH(A688),1),$A$2:$A$800,0))-1,""))</f>
        <v/>
      </c>
    </row>
    <row r="689">
      <c r="A689" s="124" t="n"/>
      <c r="B689" s="125" t="n"/>
      <c r="C689" s="122">
        <f>IF(OR(B689="",B688=""),"",B689/B688-1)</f>
        <v/>
      </c>
      <c r="D689" s="122">
        <f>IF(B689="","",IFERROR(B689/INDEX($B$2:$B$800,MATCH(DATE(YEAR(A689)-1,12,1),$A$2:$A$800,0))-1,""))</f>
        <v/>
      </c>
      <c r="E689" s="122">
        <f>IF(B689="","",IFERROR(B689/INDEX($B$2:$B$800,MATCH(DATE(YEAR(A689)-1,MONTH(A689),1),$A$2:$A$800,0))-1,""))</f>
        <v/>
      </c>
    </row>
    <row r="690">
      <c r="A690" s="124" t="n"/>
      <c r="B690" s="125" t="n"/>
      <c r="C690" s="122">
        <f>IF(OR(B690="",B689=""),"",B690/B689-1)</f>
        <v/>
      </c>
      <c r="D690" s="122">
        <f>IF(B690="","",IFERROR(B690/INDEX($B$2:$B$800,MATCH(DATE(YEAR(A690)-1,12,1),$A$2:$A$800,0))-1,""))</f>
        <v/>
      </c>
      <c r="E690" s="122">
        <f>IF(B690="","",IFERROR(B690/INDEX($B$2:$B$800,MATCH(DATE(YEAR(A690)-1,MONTH(A690),1),$A$2:$A$800,0))-1,""))</f>
        <v/>
      </c>
    </row>
    <row r="691">
      <c r="A691" s="124" t="n"/>
      <c r="B691" s="125" t="n"/>
      <c r="C691" s="122">
        <f>IF(OR(B691="",B690=""),"",B691/B690-1)</f>
        <v/>
      </c>
      <c r="D691" s="122">
        <f>IF(B691="","",IFERROR(B691/INDEX($B$2:$B$800,MATCH(DATE(YEAR(A691)-1,12,1),$A$2:$A$800,0))-1,""))</f>
        <v/>
      </c>
      <c r="E691" s="122">
        <f>IF(B691="","",IFERROR(B691/INDEX($B$2:$B$800,MATCH(DATE(YEAR(A691)-1,MONTH(A691),1),$A$2:$A$800,0))-1,""))</f>
        <v/>
      </c>
    </row>
    <row r="692">
      <c r="A692" s="124" t="n"/>
      <c r="B692" s="125" t="n"/>
      <c r="C692" s="122">
        <f>IF(OR(B692="",B691=""),"",B692/B691-1)</f>
        <v/>
      </c>
      <c r="D692" s="122">
        <f>IF(B692="","",IFERROR(B692/INDEX($B$2:$B$800,MATCH(DATE(YEAR(A692)-1,12,1),$A$2:$A$800,0))-1,""))</f>
        <v/>
      </c>
      <c r="E692" s="122">
        <f>IF(B692="","",IFERROR(B692/INDEX($B$2:$B$800,MATCH(DATE(YEAR(A692)-1,MONTH(A692),1),$A$2:$A$800,0))-1,""))</f>
        <v/>
      </c>
    </row>
    <row r="693">
      <c r="A693" s="124" t="n"/>
      <c r="B693" s="125" t="n"/>
      <c r="C693" s="122">
        <f>IF(OR(B693="",B692=""),"",B693/B692-1)</f>
        <v/>
      </c>
      <c r="D693" s="122">
        <f>IF(B693="","",IFERROR(B693/INDEX($B$2:$B$800,MATCH(DATE(YEAR(A693)-1,12,1),$A$2:$A$800,0))-1,""))</f>
        <v/>
      </c>
      <c r="E693" s="122">
        <f>IF(B693="","",IFERROR(B693/INDEX($B$2:$B$800,MATCH(DATE(YEAR(A693)-1,MONTH(A693),1),$A$2:$A$800,0))-1,""))</f>
        <v/>
      </c>
    </row>
    <row r="694">
      <c r="A694" s="124" t="n"/>
      <c r="B694" s="125" t="n"/>
      <c r="C694" s="122">
        <f>IF(OR(B694="",B693=""),"",B694/B693-1)</f>
        <v/>
      </c>
      <c r="D694" s="122">
        <f>IF(B694="","",IFERROR(B694/INDEX($B$2:$B$800,MATCH(DATE(YEAR(A694)-1,12,1),$A$2:$A$800,0))-1,""))</f>
        <v/>
      </c>
      <c r="E694" s="122">
        <f>IF(B694="","",IFERROR(B694/INDEX($B$2:$B$800,MATCH(DATE(YEAR(A694)-1,MONTH(A694),1),$A$2:$A$800,0))-1,""))</f>
        <v/>
      </c>
    </row>
    <row r="695">
      <c r="A695" s="124" t="n"/>
      <c r="B695" s="125" t="n"/>
      <c r="C695" s="122">
        <f>IF(OR(B695="",B694=""),"",B695/B694-1)</f>
        <v/>
      </c>
      <c r="D695" s="122">
        <f>IF(B695="","",IFERROR(B695/INDEX($B$2:$B$800,MATCH(DATE(YEAR(A695)-1,12,1),$A$2:$A$800,0))-1,""))</f>
        <v/>
      </c>
      <c r="E695" s="122">
        <f>IF(B695="","",IFERROR(B695/INDEX($B$2:$B$800,MATCH(DATE(YEAR(A695)-1,MONTH(A695),1),$A$2:$A$800,0))-1,""))</f>
        <v/>
      </c>
    </row>
    <row r="696">
      <c r="A696" s="124" t="n"/>
      <c r="B696" s="125" t="n"/>
      <c r="C696" s="122">
        <f>IF(OR(B696="",B695=""),"",B696/B695-1)</f>
        <v/>
      </c>
      <c r="D696" s="122">
        <f>IF(B696="","",IFERROR(B696/INDEX($B$2:$B$800,MATCH(DATE(YEAR(A696)-1,12,1),$A$2:$A$800,0))-1,""))</f>
        <v/>
      </c>
      <c r="E696" s="122">
        <f>IF(B696="","",IFERROR(B696/INDEX($B$2:$B$800,MATCH(DATE(YEAR(A696)-1,MONTH(A696),1),$A$2:$A$800,0))-1,""))</f>
        <v/>
      </c>
    </row>
    <row r="697">
      <c r="A697" s="124" t="n"/>
      <c r="B697" s="125" t="n"/>
      <c r="C697" s="122">
        <f>IF(OR(B697="",B696=""),"",B697/B696-1)</f>
        <v/>
      </c>
      <c r="D697" s="122">
        <f>IF(B697="","",IFERROR(B697/INDEX($B$2:$B$800,MATCH(DATE(YEAR(A697)-1,12,1),$A$2:$A$800,0))-1,""))</f>
        <v/>
      </c>
      <c r="E697" s="122">
        <f>IF(B697="","",IFERROR(B697/INDEX($B$2:$B$800,MATCH(DATE(YEAR(A697)-1,MONTH(A697),1),$A$2:$A$800,0))-1,""))</f>
        <v/>
      </c>
    </row>
    <row r="698">
      <c r="A698" s="124" t="n"/>
      <c r="B698" s="125" t="n"/>
      <c r="C698" s="122">
        <f>IF(OR(B698="",B697=""),"",B698/B697-1)</f>
        <v/>
      </c>
      <c r="D698" s="122">
        <f>IF(B698="","",IFERROR(B698/INDEX($B$2:$B$800,MATCH(DATE(YEAR(A698)-1,12,1),$A$2:$A$800,0))-1,""))</f>
        <v/>
      </c>
      <c r="E698" s="122">
        <f>IF(B698="","",IFERROR(B698/INDEX($B$2:$B$800,MATCH(DATE(YEAR(A698)-1,MONTH(A698),1),$A$2:$A$800,0))-1,""))</f>
        <v/>
      </c>
    </row>
    <row r="699">
      <c r="A699" s="124" t="n"/>
      <c r="B699" s="125" t="n"/>
      <c r="C699" s="122">
        <f>IF(OR(B699="",B698=""),"",B699/B698-1)</f>
        <v/>
      </c>
      <c r="D699" s="122">
        <f>IF(B699="","",IFERROR(B699/INDEX($B$2:$B$800,MATCH(DATE(YEAR(A699)-1,12,1),$A$2:$A$800,0))-1,""))</f>
        <v/>
      </c>
      <c r="E699" s="122">
        <f>IF(B699="","",IFERROR(B699/INDEX($B$2:$B$800,MATCH(DATE(YEAR(A699)-1,MONTH(A699),1),$A$2:$A$800,0))-1,""))</f>
        <v/>
      </c>
    </row>
    <row r="700">
      <c r="A700" s="124" t="n"/>
      <c r="B700" s="125" t="n"/>
      <c r="C700" s="122">
        <f>IF(OR(B700="",B699=""),"",B700/B699-1)</f>
        <v/>
      </c>
      <c r="D700" s="122">
        <f>IF(B700="","",IFERROR(B700/INDEX($B$2:$B$800,MATCH(DATE(YEAR(A700)-1,12,1),$A$2:$A$800,0))-1,""))</f>
        <v/>
      </c>
      <c r="E700" s="122">
        <f>IF(B700="","",IFERROR(B700/INDEX($B$2:$B$800,MATCH(DATE(YEAR(A700)-1,MONTH(A700),1),$A$2:$A$800,0))-1,""))</f>
        <v/>
      </c>
    </row>
    <row r="701">
      <c r="A701" s="124" t="n"/>
      <c r="B701" s="125" t="n"/>
      <c r="C701" s="122">
        <f>IF(OR(B701="",B700=""),"",B701/B700-1)</f>
        <v/>
      </c>
      <c r="D701" s="122">
        <f>IF(B701="","",IFERROR(B701/INDEX($B$2:$B$800,MATCH(DATE(YEAR(A701)-1,12,1),$A$2:$A$800,0))-1,""))</f>
        <v/>
      </c>
      <c r="E701" s="122">
        <f>IF(B701="","",IFERROR(B701/INDEX($B$2:$B$800,MATCH(DATE(YEAR(A701)-1,MONTH(A701),1),$A$2:$A$800,0))-1,""))</f>
        <v/>
      </c>
    </row>
    <row r="702">
      <c r="A702" s="124" t="n"/>
      <c r="B702" s="125" t="n"/>
      <c r="C702" s="122">
        <f>IF(OR(B702="",B701=""),"",B702/B701-1)</f>
        <v/>
      </c>
      <c r="D702" s="122">
        <f>IF(B702="","",IFERROR(B702/INDEX($B$2:$B$800,MATCH(DATE(YEAR(A702)-1,12,1),$A$2:$A$800,0))-1,""))</f>
        <v/>
      </c>
      <c r="E702" s="122">
        <f>IF(B702="","",IFERROR(B702/INDEX($B$2:$B$800,MATCH(DATE(YEAR(A702)-1,MONTH(A702),1),$A$2:$A$800,0))-1,""))</f>
        <v/>
      </c>
    </row>
    <row r="703">
      <c r="A703" s="124" t="n"/>
      <c r="B703" s="125" t="n"/>
      <c r="C703" s="122">
        <f>IF(OR(B703="",B702=""),"",B703/B702-1)</f>
        <v/>
      </c>
      <c r="D703" s="122">
        <f>IF(B703="","",IFERROR(B703/INDEX($B$2:$B$800,MATCH(DATE(YEAR(A703)-1,12,1),$A$2:$A$800,0))-1,""))</f>
        <v/>
      </c>
      <c r="E703" s="122">
        <f>IF(B703="","",IFERROR(B703/INDEX($B$2:$B$800,MATCH(DATE(YEAR(A703)-1,MONTH(A703),1),$A$2:$A$800,0))-1,""))</f>
        <v/>
      </c>
    </row>
    <row r="704">
      <c r="A704" s="124" t="n"/>
      <c r="B704" s="125" t="n"/>
      <c r="C704" s="122">
        <f>IF(OR(B704="",B703=""),"",B704/B703-1)</f>
        <v/>
      </c>
      <c r="D704" s="122">
        <f>IF(B704="","",IFERROR(B704/INDEX($B$2:$B$800,MATCH(DATE(YEAR(A704)-1,12,1),$A$2:$A$800,0))-1,""))</f>
        <v/>
      </c>
      <c r="E704" s="122">
        <f>IF(B704="","",IFERROR(B704/INDEX($B$2:$B$800,MATCH(DATE(YEAR(A704)-1,MONTH(A704),1),$A$2:$A$800,0))-1,""))</f>
        <v/>
      </c>
    </row>
    <row r="705">
      <c r="A705" s="124" t="n"/>
      <c r="B705" s="125" t="n"/>
      <c r="C705" s="122">
        <f>IF(OR(B705="",B704=""),"",B705/B704-1)</f>
        <v/>
      </c>
      <c r="D705" s="122">
        <f>IF(B705="","",IFERROR(B705/INDEX($B$2:$B$800,MATCH(DATE(YEAR(A705)-1,12,1),$A$2:$A$800,0))-1,""))</f>
        <v/>
      </c>
      <c r="E705" s="122">
        <f>IF(B705="","",IFERROR(B705/INDEX($B$2:$B$800,MATCH(DATE(YEAR(A705)-1,MONTH(A705),1),$A$2:$A$800,0))-1,""))</f>
        <v/>
      </c>
    </row>
    <row r="706">
      <c r="A706" s="124" t="n"/>
      <c r="B706" s="125" t="n"/>
      <c r="C706" s="122">
        <f>IF(OR(B706="",B705=""),"",B706/B705-1)</f>
        <v/>
      </c>
      <c r="D706" s="122">
        <f>IF(B706="","",IFERROR(B706/INDEX($B$2:$B$800,MATCH(DATE(YEAR(A706)-1,12,1),$A$2:$A$800,0))-1,""))</f>
        <v/>
      </c>
      <c r="E706" s="122">
        <f>IF(B706="","",IFERROR(B706/INDEX($B$2:$B$800,MATCH(DATE(YEAR(A706)-1,MONTH(A706),1),$A$2:$A$800,0))-1,""))</f>
        <v/>
      </c>
    </row>
    <row r="707">
      <c r="A707" s="124" t="n"/>
      <c r="B707" s="125" t="n"/>
      <c r="C707" s="122">
        <f>IF(OR(B707="",B706=""),"",B707/B706-1)</f>
        <v/>
      </c>
      <c r="D707" s="122">
        <f>IF(B707="","",IFERROR(B707/INDEX($B$2:$B$800,MATCH(DATE(YEAR(A707)-1,12,1),$A$2:$A$800,0))-1,""))</f>
        <v/>
      </c>
      <c r="E707" s="122">
        <f>IF(B707="","",IFERROR(B707/INDEX($B$2:$B$800,MATCH(DATE(YEAR(A707)-1,MONTH(A707),1),$A$2:$A$800,0))-1,""))</f>
        <v/>
      </c>
    </row>
    <row r="708">
      <c r="A708" s="124" t="n"/>
      <c r="B708" s="125" t="n"/>
      <c r="C708" s="122">
        <f>IF(OR(B708="",B707=""),"",B708/B707-1)</f>
        <v/>
      </c>
      <c r="D708" s="122">
        <f>IF(B708="","",IFERROR(B708/INDEX($B$2:$B$800,MATCH(DATE(YEAR(A708)-1,12,1),$A$2:$A$800,0))-1,""))</f>
        <v/>
      </c>
      <c r="E708" s="122">
        <f>IF(B708="","",IFERROR(B708/INDEX($B$2:$B$800,MATCH(DATE(YEAR(A708)-1,MONTH(A708),1),$A$2:$A$800,0))-1,""))</f>
        <v/>
      </c>
    </row>
    <row r="709">
      <c r="A709" s="124" t="n"/>
      <c r="B709" s="125" t="n"/>
      <c r="C709" s="122">
        <f>IF(OR(B709="",B708=""),"",B709/B708-1)</f>
        <v/>
      </c>
      <c r="D709" s="122">
        <f>IF(B709="","",IFERROR(B709/INDEX($B$2:$B$800,MATCH(DATE(YEAR(A709)-1,12,1),$A$2:$A$800,0))-1,""))</f>
        <v/>
      </c>
      <c r="E709" s="122">
        <f>IF(B709="","",IFERROR(B709/INDEX($B$2:$B$800,MATCH(DATE(YEAR(A709)-1,MONTH(A709),1),$A$2:$A$800,0))-1,""))</f>
        <v/>
      </c>
    </row>
    <row r="710">
      <c r="A710" s="124" t="n"/>
      <c r="B710" s="125" t="n"/>
      <c r="C710" s="122">
        <f>IF(OR(B710="",B709=""),"",B710/B709-1)</f>
        <v/>
      </c>
      <c r="D710" s="122">
        <f>IF(B710="","",IFERROR(B710/INDEX($B$2:$B$800,MATCH(DATE(YEAR(A710)-1,12,1),$A$2:$A$800,0))-1,""))</f>
        <v/>
      </c>
      <c r="E710" s="122">
        <f>IF(B710="","",IFERROR(B710/INDEX($B$2:$B$800,MATCH(DATE(YEAR(A710)-1,MONTH(A710),1),$A$2:$A$800,0))-1,""))</f>
        <v/>
      </c>
    </row>
    <row r="711">
      <c r="A711" s="124" t="n"/>
      <c r="B711" s="125" t="n"/>
      <c r="C711" s="122">
        <f>IF(OR(B711="",B710=""),"",B711/B710-1)</f>
        <v/>
      </c>
      <c r="D711" s="122">
        <f>IF(B711="","",IFERROR(B711/INDEX($B$2:$B$800,MATCH(DATE(YEAR(A711)-1,12,1),$A$2:$A$800,0))-1,""))</f>
        <v/>
      </c>
      <c r="E711" s="122">
        <f>IF(B711="","",IFERROR(B711/INDEX($B$2:$B$800,MATCH(DATE(YEAR(A711)-1,MONTH(A711),1),$A$2:$A$800,0))-1,""))</f>
        <v/>
      </c>
    </row>
    <row r="712">
      <c r="A712" s="124" t="n"/>
      <c r="B712" s="125" t="n"/>
      <c r="C712" s="122">
        <f>IF(OR(B712="",B711=""),"",B712/B711-1)</f>
        <v/>
      </c>
      <c r="D712" s="122">
        <f>IF(B712="","",IFERROR(B712/INDEX($B$2:$B$800,MATCH(DATE(YEAR(A712)-1,12,1),$A$2:$A$800,0))-1,""))</f>
        <v/>
      </c>
      <c r="E712" s="122">
        <f>IF(B712="","",IFERROR(B712/INDEX($B$2:$B$800,MATCH(DATE(YEAR(A712)-1,MONTH(A712),1),$A$2:$A$800,0))-1,""))</f>
        <v/>
      </c>
    </row>
    <row r="713">
      <c r="A713" s="124" t="n"/>
      <c r="B713" s="125" t="n"/>
      <c r="C713" s="122">
        <f>IF(OR(B713="",B712=""),"",B713/B712-1)</f>
        <v/>
      </c>
      <c r="D713" s="122">
        <f>IF(B713="","",IFERROR(B713/INDEX($B$2:$B$800,MATCH(DATE(YEAR(A713)-1,12,1),$A$2:$A$800,0))-1,""))</f>
        <v/>
      </c>
      <c r="E713" s="122">
        <f>IF(B713="","",IFERROR(B713/INDEX($B$2:$B$800,MATCH(DATE(YEAR(A713)-1,MONTH(A713),1),$A$2:$A$800,0))-1,""))</f>
        <v/>
      </c>
    </row>
    <row r="714">
      <c r="A714" s="124" t="n"/>
      <c r="B714" s="125" t="n"/>
      <c r="C714" s="122">
        <f>IF(OR(B714="",B713=""),"",B714/B713-1)</f>
        <v/>
      </c>
      <c r="D714" s="122">
        <f>IF(B714="","",IFERROR(B714/INDEX($B$2:$B$800,MATCH(DATE(YEAR(A714)-1,12,1),$A$2:$A$800,0))-1,""))</f>
        <v/>
      </c>
      <c r="E714" s="122">
        <f>IF(B714="","",IFERROR(B714/INDEX($B$2:$B$800,MATCH(DATE(YEAR(A714)-1,MONTH(A714),1),$A$2:$A$800,0))-1,""))</f>
        <v/>
      </c>
    </row>
    <row r="715">
      <c r="A715" s="124" t="n"/>
      <c r="B715" s="125" t="n"/>
      <c r="C715" s="122">
        <f>IF(OR(B715="",B714=""),"",B715/B714-1)</f>
        <v/>
      </c>
      <c r="D715" s="122">
        <f>IF(B715="","",IFERROR(B715/INDEX($B$2:$B$800,MATCH(DATE(YEAR(A715)-1,12,1),$A$2:$A$800,0))-1,""))</f>
        <v/>
      </c>
      <c r="E715" s="122">
        <f>IF(B715="","",IFERROR(B715/INDEX($B$2:$B$800,MATCH(DATE(YEAR(A715)-1,MONTH(A715),1),$A$2:$A$800,0))-1,""))</f>
        <v/>
      </c>
    </row>
    <row r="716">
      <c r="A716" s="124" t="n"/>
      <c r="B716" s="125" t="n"/>
      <c r="C716" s="122">
        <f>IF(OR(B716="",B715=""),"",B716/B715-1)</f>
        <v/>
      </c>
      <c r="D716" s="122">
        <f>IF(B716="","",IFERROR(B716/INDEX($B$2:$B$800,MATCH(DATE(YEAR(A716)-1,12,1),$A$2:$A$800,0))-1,""))</f>
        <v/>
      </c>
      <c r="E716" s="122">
        <f>IF(B716="","",IFERROR(B716/INDEX($B$2:$B$800,MATCH(DATE(YEAR(A716)-1,MONTH(A716),1),$A$2:$A$800,0))-1,""))</f>
        <v/>
      </c>
    </row>
    <row r="717">
      <c r="A717" s="124" t="n"/>
      <c r="B717" s="125" t="n"/>
      <c r="C717" s="122">
        <f>IF(OR(B717="",B716=""),"",B717/B716-1)</f>
        <v/>
      </c>
      <c r="D717" s="122">
        <f>IF(B717="","",IFERROR(B717/INDEX($B$2:$B$800,MATCH(DATE(YEAR(A717)-1,12,1),$A$2:$A$800,0))-1,""))</f>
        <v/>
      </c>
      <c r="E717" s="122">
        <f>IF(B717="","",IFERROR(B717/INDEX($B$2:$B$800,MATCH(DATE(YEAR(A717)-1,MONTH(A717),1),$A$2:$A$800,0))-1,""))</f>
        <v/>
      </c>
    </row>
    <row r="718">
      <c r="A718" s="124" t="n"/>
      <c r="B718" s="125" t="n"/>
      <c r="C718" s="122">
        <f>IF(OR(B718="",B717=""),"",B718/B717-1)</f>
        <v/>
      </c>
      <c r="D718" s="122">
        <f>IF(B718="","",IFERROR(B718/INDEX($B$2:$B$800,MATCH(DATE(YEAR(A718)-1,12,1),$A$2:$A$800,0))-1,""))</f>
        <v/>
      </c>
      <c r="E718" s="122">
        <f>IF(B718="","",IFERROR(B718/INDEX($B$2:$B$800,MATCH(DATE(YEAR(A718)-1,MONTH(A718),1),$A$2:$A$800,0))-1,""))</f>
        <v/>
      </c>
    </row>
    <row r="719">
      <c r="A719" s="124" t="n"/>
      <c r="B719" s="125" t="n"/>
      <c r="C719" s="122">
        <f>IF(OR(B719="",B718=""),"",B719/B718-1)</f>
        <v/>
      </c>
      <c r="D719" s="122">
        <f>IF(B719="","",IFERROR(B719/INDEX($B$2:$B$800,MATCH(DATE(YEAR(A719)-1,12,1),$A$2:$A$800,0))-1,""))</f>
        <v/>
      </c>
      <c r="E719" s="122">
        <f>IF(B719="","",IFERROR(B719/INDEX($B$2:$B$800,MATCH(DATE(YEAR(A719)-1,MONTH(A719),1),$A$2:$A$800,0))-1,""))</f>
        <v/>
      </c>
    </row>
    <row r="720">
      <c r="A720" s="124" t="n"/>
      <c r="B720" s="125" t="n"/>
      <c r="C720" s="122">
        <f>IF(OR(B720="",B719=""),"",B720/B719-1)</f>
        <v/>
      </c>
      <c r="D720" s="122">
        <f>IF(B720="","",IFERROR(B720/INDEX($B$2:$B$800,MATCH(DATE(YEAR(A720)-1,12,1),$A$2:$A$800,0))-1,""))</f>
        <v/>
      </c>
      <c r="E720" s="122">
        <f>IF(B720="","",IFERROR(B720/INDEX($B$2:$B$800,MATCH(DATE(YEAR(A720)-1,MONTH(A720),1),$A$2:$A$800,0))-1,""))</f>
        <v/>
      </c>
    </row>
    <row r="721">
      <c r="A721" s="124" t="n"/>
      <c r="B721" s="125" t="n"/>
      <c r="C721" s="122">
        <f>IF(OR(B721="",B720=""),"",B721/B720-1)</f>
        <v/>
      </c>
      <c r="D721" s="122">
        <f>IF(B721="","",IFERROR(B721/INDEX($B$2:$B$800,MATCH(DATE(YEAR(A721)-1,12,1),$A$2:$A$800,0))-1,""))</f>
        <v/>
      </c>
      <c r="E721" s="122">
        <f>IF(B721="","",IFERROR(B721/INDEX($B$2:$B$800,MATCH(DATE(YEAR(A721)-1,MONTH(A721),1),$A$2:$A$800,0))-1,""))</f>
        <v/>
      </c>
    </row>
    <row r="722">
      <c r="A722" s="124" t="n"/>
      <c r="B722" s="125" t="n"/>
      <c r="C722" s="122">
        <f>IF(OR(B722="",B721=""),"",B722/B721-1)</f>
        <v/>
      </c>
      <c r="D722" s="122">
        <f>IF(B722="","",IFERROR(B722/INDEX($B$2:$B$800,MATCH(DATE(YEAR(A722)-1,12,1),$A$2:$A$800,0))-1,""))</f>
        <v/>
      </c>
      <c r="E722" s="122">
        <f>IF(B722="","",IFERROR(B722/INDEX($B$2:$B$800,MATCH(DATE(YEAR(A722)-1,MONTH(A722),1),$A$2:$A$800,0))-1,""))</f>
        <v/>
      </c>
    </row>
    <row r="723">
      <c r="A723" s="124" t="n"/>
      <c r="B723" s="125" t="n"/>
      <c r="C723" s="122">
        <f>IF(OR(B723="",B722=""),"",B723/B722-1)</f>
        <v/>
      </c>
      <c r="D723" s="122">
        <f>IF(B723="","",IFERROR(B723/INDEX($B$2:$B$800,MATCH(DATE(YEAR(A723)-1,12,1),$A$2:$A$800,0))-1,""))</f>
        <v/>
      </c>
      <c r="E723" s="122">
        <f>IF(B723="","",IFERROR(B723/INDEX($B$2:$B$800,MATCH(DATE(YEAR(A723)-1,MONTH(A723),1),$A$2:$A$800,0))-1,""))</f>
        <v/>
      </c>
    </row>
    <row r="724">
      <c r="A724" s="124" t="n"/>
      <c r="B724" s="125" t="n"/>
      <c r="C724" s="122">
        <f>IF(OR(B724="",B723=""),"",B724/B723-1)</f>
        <v/>
      </c>
      <c r="D724" s="122">
        <f>IF(B724="","",IFERROR(B724/INDEX($B$2:$B$800,MATCH(DATE(YEAR(A724)-1,12,1),$A$2:$A$800,0))-1,""))</f>
        <v/>
      </c>
      <c r="E724" s="122">
        <f>IF(B724="","",IFERROR(B724/INDEX($B$2:$B$800,MATCH(DATE(YEAR(A724)-1,MONTH(A724),1),$A$2:$A$800,0))-1,""))</f>
        <v/>
      </c>
    </row>
    <row r="725">
      <c r="A725" s="124" t="n"/>
      <c r="B725" s="125" t="n"/>
      <c r="C725" s="122">
        <f>IF(OR(B725="",B724=""),"",B725/B724-1)</f>
        <v/>
      </c>
      <c r="D725" s="122">
        <f>IF(B725="","",IFERROR(B725/INDEX($B$2:$B$800,MATCH(DATE(YEAR(A725)-1,12,1),$A$2:$A$800,0))-1,""))</f>
        <v/>
      </c>
      <c r="E725" s="122">
        <f>IF(B725="","",IFERROR(B725/INDEX($B$2:$B$800,MATCH(DATE(YEAR(A725)-1,MONTH(A725),1),$A$2:$A$800,0))-1,""))</f>
        <v/>
      </c>
    </row>
    <row r="726">
      <c r="A726" s="124" t="n"/>
      <c r="B726" s="125" t="n"/>
      <c r="C726" s="122">
        <f>IF(OR(B726="",B725=""),"",B726/B725-1)</f>
        <v/>
      </c>
      <c r="D726" s="122">
        <f>IF(B726="","",IFERROR(B726/INDEX($B$2:$B$800,MATCH(DATE(YEAR(A726)-1,12,1),$A$2:$A$800,0))-1,""))</f>
        <v/>
      </c>
      <c r="E726" s="122">
        <f>IF(B726="","",IFERROR(B726/INDEX($B$2:$B$800,MATCH(DATE(YEAR(A726)-1,MONTH(A726),1),$A$2:$A$800,0))-1,""))</f>
        <v/>
      </c>
    </row>
    <row r="727">
      <c r="A727" s="124" t="n"/>
      <c r="B727" s="125" t="n"/>
      <c r="C727" s="122">
        <f>IF(OR(B727="",B726=""),"",B727/B726-1)</f>
        <v/>
      </c>
      <c r="D727" s="122">
        <f>IF(B727="","",IFERROR(B727/INDEX($B$2:$B$800,MATCH(DATE(YEAR(A727)-1,12,1),$A$2:$A$800,0))-1,""))</f>
        <v/>
      </c>
      <c r="E727" s="122">
        <f>IF(B727="","",IFERROR(B727/INDEX($B$2:$B$800,MATCH(DATE(YEAR(A727)-1,MONTH(A727),1),$A$2:$A$800,0))-1,""))</f>
        <v/>
      </c>
    </row>
    <row r="728">
      <c r="A728" s="124" t="n"/>
      <c r="B728" s="125" t="n"/>
      <c r="C728" s="122">
        <f>IF(OR(B728="",B727=""),"",B728/B727-1)</f>
        <v/>
      </c>
      <c r="D728" s="122">
        <f>IF(B728="","",IFERROR(B728/INDEX($B$2:$B$800,MATCH(DATE(YEAR(A728)-1,12,1),$A$2:$A$800,0))-1,""))</f>
        <v/>
      </c>
      <c r="E728" s="122">
        <f>IF(B728="","",IFERROR(B728/INDEX($B$2:$B$800,MATCH(DATE(YEAR(A728)-1,MONTH(A728),1),$A$2:$A$800,0))-1,""))</f>
        <v/>
      </c>
    </row>
    <row r="729">
      <c r="A729" s="124" t="n"/>
      <c r="B729" s="125" t="n"/>
      <c r="C729" s="122">
        <f>IF(OR(B729="",B728=""),"",B729/B728-1)</f>
        <v/>
      </c>
      <c r="D729" s="122">
        <f>IF(B729="","",IFERROR(B729/INDEX($B$2:$B$800,MATCH(DATE(YEAR(A729)-1,12,1),$A$2:$A$800,0))-1,""))</f>
        <v/>
      </c>
      <c r="E729" s="122">
        <f>IF(B729="","",IFERROR(B729/INDEX($B$2:$B$800,MATCH(DATE(YEAR(A729)-1,MONTH(A729),1),$A$2:$A$800,0))-1,""))</f>
        <v/>
      </c>
    </row>
    <row r="730">
      <c r="A730" s="124" t="n"/>
      <c r="B730" s="125" t="n"/>
      <c r="C730" s="122">
        <f>IF(OR(B730="",B729=""),"",B730/B729-1)</f>
        <v/>
      </c>
      <c r="D730" s="122">
        <f>IF(B730="","",IFERROR(B730/INDEX($B$2:$B$800,MATCH(DATE(YEAR(A730)-1,12,1),$A$2:$A$800,0))-1,""))</f>
        <v/>
      </c>
      <c r="E730" s="122">
        <f>IF(B730="","",IFERROR(B730/INDEX($B$2:$B$800,MATCH(DATE(YEAR(A730)-1,MONTH(A730),1),$A$2:$A$800,0))-1,""))</f>
        <v/>
      </c>
    </row>
    <row r="731">
      <c r="A731" s="124" t="n"/>
      <c r="B731" s="125" t="n"/>
      <c r="C731" s="122">
        <f>IF(OR(B731="",B730=""),"",B731/B730-1)</f>
        <v/>
      </c>
      <c r="D731" s="122">
        <f>IF(B731="","",IFERROR(B731/INDEX($B$2:$B$800,MATCH(DATE(YEAR(A731)-1,12,1),$A$2:$A$800,0))-1,""))</f>
        <v/>
      </c>
      <c r="E731" s="122">
        <f>IF(B731="","",IFERROR(B731/INDEX($B$2:$B$800,MATCH(DATE(YEAR(A731)-1,MONTH(A731),1),$A$2:$A$800,0))-1,""))</f>
        <v/>
      </c>
    </row>
    <row r="732">
      <c r="A732" s="124" t="n"/>
      <c r="B732" s="125" t="n"/>
      <c r="C732" s="122">
        <f>IF(OR(B732="",B731=""),"",B732/B731-1)</f>
        <v/>
      </c>
      <c r="D732" s="122">
        <f>IF(B732="","",IFERROR(B732/INDEX($B$2:$B$800,MATCH(DATE(YEAR(A732)-1,12,1),$A$2:$A$800,0))-1,""))</f>
        <v/>
      </c>
      <c r="E732" s="122">
        <f>IF(B732="","",IFERROR(B732/INDEX($B$2:$B$800,MATCH(DATE(YEAR(A732)-1,MONTH(A732),1),$A$2:$A$800,0))-1,""))</f>
        <v/>
      </c>
    </row>
    <row r="733">
      <c r="A733" s="124" t="n"/>
      <c r="B733" s="125" t="n"/>
      <c r="C733" s="122">
        <f>IF(OR(B733="",B732=""),"",B733/B732-1)</f>
        <v/>
      </c>
      <c r="D733" s="122">
        <f>IF(B733="","",IFERROR(B733/INDEX($B$2:$B$800,MATCH(DATE(YEAR(A733)-1,12,1),$A$2:$A$800,0))-1,""))</f>
        <v/>
      </c>
      <c r="E733" s="122">
        <f>IF(B733="","",IFERROR(B733/INDEX($B$2:$B$800,MATCH(DATE(YEAR(A733)-1,MONTH(A733),1),$A$2:$A$800,0))-1,""))</f>
        <v/>
      </c>
    </row>
    <row r="734">
      <c r="A734" s="124" t="n"/>
      <c r="B734" s="125" t="n"/>
      <c r="C734" s="122">
        <f>IF(OR(B734="",B733=""),"",B734/B733-1)</f>
        <v/>
      </c>
      <c r="D734" s="122">
        <f>IF(B734="","",IFERROR(B734/INDEX($B$2:$B$800,MATCH(DATE(YEAR(A734)-1,12,1),$A$2:$A$800,0))-1,""))</f>
        <v/>
      </c>
      <c r="E734" s="122">
        <f>IF(B734="","",IFERROR(B734/INDEX($B$2:$B$800,MATCH(DATE(YEAR(A734)-1,MONTH(A734),1),$A$2:$A$800,0))-1,""))</f>
        <v/>
      </c>
    </row>
    <row r="735">
      <c r="A735" s="124" t="n"/>
      <c r="B735" s="125" t="n"/>
      <c r="C735" s="122">
        <f>IF(OR(B735="",B734=""),"",B735/B734-1)</f>
        <v/>
      </c>
      <c r="D735" s="122">
        <f>IF(B735="","",IFERROR(B735/INDEX($B$2:$B$800,MATCH(DATE(YEAR(A735)-1,12,1),$A$2:$A$800,0))-1,""))</f>
        <v/>
      </c>
      <c r="E735" s="122">
        <f>IF(B735="","",IFERROR(B735/INDEX($B$2:$B$800,MATCH(DATE(YEAR(A735)-1,MONTH(A735),1),$A$2:$A$800,0))-1,""))</f>
        <v/>
      </c>
    </row>
    <row r="736">
      <c r="A736" s="124" t="n"/>
      <c r="B736" s="125" t="n"/>
      <c r="C736" s="122">
        <f>IF(OR(B736="",B735=""),"",B736/B735-1)</f>
        <v/>
      </c>
      <c r="D736" s="122">
        <f>IF(B736="","",IFERROR(B736/INDEX($B$2:$B$800,MATCH(DATE(YEAR(A736)-1,12,1),$A$2:$A$800,0))-1,""))</f>
        <v/>
      </c>
      <c r="E736" s="122">
        <f>IF(B736="","",IFERROR(B736/INDEX($B$2:$B$800,MATCH(DATE(YEAR(A736)-1,MONTH(A736),1),$A$2:$A$800,0))-1,""))</f>
        <v/>
      </c>
    </row>
    <row r="737">
      <c r="A737" s="124" t="n"/>
      <c r="B737" s="125" t="n"/>
      <c r="C737" s="122">
        <f>IF(OR(B737="",B736=""),"",B737/B736-1)</f>
        <v/>
      </c>
      <c r="D737" s="122">
        <f>IF(B737="","",IFERROR(B737/INDEX($B$2:$B$800,MATCH(DATE(YEAR(A737)-1,12,1),$A$2:$A$800,0))-1,""))</f>
        <v/>
      </c>
      <c r="E737" s="122">
        <f>IF(B737="","",IFERROR(B737/INDEX($B$2:$B$800,MATCH(DATE(YEAR(A737)-1,MONTH(A737),1),$A$2:$A$800,0))-1,""))</f>
        <v/>
      </c>
    </row>
    <row r="738">
      <c r="A738" s="124" t="n"/>
      <c r="B738" s="125" t="n"/>
      <c r="C738" s="122">
        <f>IF(OR(B738="",B737=""),"",B738/B737-1)</f>
        <v/>
      </c>
      <c r="D738" s="122">
        <f>IF(B738="","",IFERROR(B738/INDEX($B$2:$B$800,MATCH(DATE(YEAR(A738)-1,12,1),$A$2:$A$800,0))-1,""))</f>
        <v/>
      </c>
      <c r="E738" s="122">
        <f>IF(B738="","",IFERROR(B738/INDEX($B$2:$B$800,MATCH(DATE(YEAR(A738)-1,MONTH(A738),1),$A$2:$A$800,0))-1,""))</f>
        <v/>
      </c>
    </row>
    <row r="739">
      <c r="A739" s="124" t="n"/>
      <c r="B739" s="125" t="n"/>
      <c r="C739" s="122">
        <f>IF(OR(B739="",B738=""),"",B739/B738-1)</f>
        <v/>
      </c>
      <c r="D739" s="122">
        <f>IF(B739="","",IFERROR(B739/INDEX($B$2:$B$800,MATCH(DATE(YEAR(A739)-1,12,1),$A$2:$A$800,0))-1,""))</f>
        <v/>
      </c>
      <c r="E739" s="122">
        <f>IF(B739="","",IFERROR(B739/INDEX($B$2:$B$800,MATCH(DATE(YEAR(A739)-1,MONTH(A739),1),$A$2:$A$800,0))-1,""))</f>
        <v/>
      </c>
    </row>
    <row r="740">
      <c r="A740" s="124" t="n"/>
      <c r="B740" s="125" t="n"/>
      <c r="C740" s="122">
        <f>IF(OR(B740="",B739=""),"",B740/B739-1)</f>
        <v/>
      </c>
      <c r="D740" s="122">
        <f>IF(B740="","",IFERROR(B740/INDEX($B$2:$B$800,MATCH(DATE(YEAR(A740)-1,12,1),$A$2:$A$800,0))-1,""))</f>
        <v/>
      </c>
      <c r="E740" s="122">
        <f>IF(B740="","",IFERROR(B740/INDEX($B$2:$B$800,MATCH(DATE(YEAR(A740)-1,MONTH(A740),1),$A$2:$A$800,0))-1,""))</f>
        <v/>
      </c>
    </row>
    <row r="741">
      <c r="A741" s="124" t="n"/>
      <c r="B741" s="125" t="n"/>
      <c r="C741" s="122">
        <f>IF(OR(B741="",B740=""),"",B741/B740-1)</f>
        <v/>
      </c>
      <c r="D741" s="122">
        <f>IF(B741="","",IFERROR(B741/INDEX($B$2:$B$800,MATCH(DATE(YEAR(A741)-1,12,1),$A$2:$A$800,0))-1,""))</f>
        <v/>
      </c>
      <c r="E741" s="122">
        <f>IF(B741="","",IFERROR(B741/INDEX($B$2:$B$800,MATCH(DATE(YEAR(A741)-1,MONTH(A741),1),$A$2:$A$800,0))-1,""))</f>
        <v/>
      </c>
    </row>
    <row r="742">
      <c r="A742" s="124" t="n"/>
      <c r="B742" s="125" t="n"/>
      <c r="C742" s="122">
        <f>IF(OR(B742="",B741=""),"",B742/B741-1)</f>
        <v/>
      </c>
      <c r="D742" s="122">
        <f>IF(B742="","",IFERROR(B742/INDEX($B$2:$B$800,MATCH(DATE(YEAR(A742)-1,12,1),$A$2:$A$800,0))-1,""))</f>
        <v/>
      </c>
      <c r="E742" s="122">
        <f>IF(B742="","",IFERROR(B742/INDEX($B$2:$B$800,MATCH(DATE(YEAR(A742)-1,MONTH(A742),1),$A$2:$A$800,0))-1,""))</f>
        <v/>
      </c>
    </row>
    <row r="743">
      <c r="A743" s="124" t="n"/>
      <c r="B743" s="125" t="n"/>
      <c r="C743" s="122">
        <f>IF(OR(B743="",B742=""),"",B743/B742-1)</f>
        <v/>
      </c>
      <c r="D743" s="122">
        <f>IF(B743="","",IFERROR(B743/INDEX($B$2:$B$800,MATCH(DATE(YEAR(A743)-1,12,1),$A$2:$A$800,0))-1,""))</f>
        <v/>
      </c>
      <c r="E743" s="122">
        <f>IF(B743="","",IFERROR(B743/INDEX($B$2:$B$800,MATCH(DATE(YEAR(A743)-1,MONTH(A743),1),$A$2:$A$800,0))-1,""))</f>
        <v/>
      </c>
    </row>
    <row r="744">
      <c r="A744" s="124" t="n"/>
      <c r="B744" s="125" t="n"/>
      <c r="C744" s="122">
        <f>IF(OR(B744="",B743=""),"",B744/B743-1)</f>
        <v/>
      </c>
      <c r="D744" s="122">
        <f>IF(B744="","",IFERROR(B744/INDEX($B$2:$B$800,MATCH(DATE(YEAR(A744)-1,12,1),$A$2:$A$800,0))-1,""))</f>
        <v/>
      </c>
      <c r="E744" s="122">
        <f>IF(B744="","",IFERROR(B744/INDEX($B$2:$B$800,MATCH(DATE(YEAR(A744)-1,MONTH(A744),1),$A$2:$A$800,0))-1,""))</f>
        <v/>
      </c>
    </row>
    <row r="745">
      <c r="A745" s="124" t="n"/>
      <c r="B745" s="125" t="n"/>
      <c r="C745" s="122">
        <f>IF(OR(B745="",B744=""),"",B745/B744-1)</f>
        <v/>
      </c>
      <c r="D745" s="122">
        <f>IF(B745="","",IFERROR(B745/INDEX($B$2:$B$800,MATCH(DATE(YEAR(A745)-1,12,1),$A$2:$A$800,0))-1,""))</f>
        <v/>
      </c>
      <c r="E745" s="122">
        <f>IF(B745="","",IFERROR(B745/INDEX($B$2:$B$800,MATCH(DATE(YEAR(A745)-1,MONTH(A745),1),$A$2:$A$800,0))-1,""))</f>
        <v/>
      </c>
    </row>
    <row r="746">
      <c r="A746" s="124" t="n"/>
      <c r="B746" s="125" t="n"/>
      <c r="C746" s="122">
        <f>IF(OR(B746="",B745=""),"",B746/B745-1)</f>
        <v/>
      </c>
      <c r="D746" s="122">
        <f>IF(B746="","",IFERROR(B746/INDEX($B$2:$B$800,MATCH(DATE(YEAR(A746)-1,12,1),$A$2:$A$800,0))-1,""))</f>
        <v/>
      </c>
      <c r="E746" s="122">
        <f>IF(B746="","",IFERROR(B746/INDEX($B$2:$B$800,MATCH(DATE(YEAR(A746)-1,MONTH(A746),1),$A$2:$A$800,0))-1,""))</f>
        <v/>
      </c>
    </row>
    <row r="747">
      <c r="A747" s="124" t="n"/>
      <c r="B747" s="125" t="n"/>
      <c r="C747" s="122">
        <f>IF(OR(B747="",B746=""),"",B747/B746-1)</f>
        <v/>
      </c>
      <c r="D747" s="122">
        <f>IF(B747="","",IFERROR(B747/INDEX($B$2:$B$800,MATCH(DATE(YEAR(A747)-1,12,1),$A$2:$A$800,0))-1,""))</f>
        <v/>
      </c>
      <c r="E747" s="122">
        <f>IF(B747="","",IFERROR(B747/INDEX($B$2:$B$800,MATCH(DATE(YEAR(A747)-1,MONTH(A747),1),$A$2:$A$800,0))-1,""))</f>
        <v/>
      </c>
    </row>
    <row r="748">
      <c r="A748" s="124" t="n"/>
      <c r="B748" s="125" t="n"/>
      <c r="C748" s="122">
        <f>IF(OR(B748="",B747=""),"",B748/B747-1)</f>
        <v/>
      </c>
      <c r="D748" s="122">
        <f>IF(B748="","",IFERROR(B748/INDEX($B$2:$B$800,MATCH(DATE(YEAR(A748)-1,12,1),$A$2:$A$800,0))-1,""))</f>
        <v/>
      </c>
      <c r="E748" s="122">
        <f>IF(B748="","",IFERROR(B748/INDEX($B$2:$B$800,MATCH(DATE(YEAR(A748)-1,MONTH(A748),1),$A$2:$A$800,0))-1,""))</f>
        <v/>
      </c>
    </row>
    <row r="749">
      <c r="A749" s="124" t="n"/>
      <c r="B749" s="125" t="n"/>
      <c r="C749" s="122">
        <f>IF(OR(B749="",B748=""),"",B749/B748-1)</f>
        <v/>
      </c>
      <c r="D749" s="122">
        <f>IF(B749="","",IFERROR(B749/INDEX($B$2:$B$800,MATCH(DATE(YEAR(A749)-1,12,1),$A$2:$A$800,0))-1,""))</f>
        <v/>
      </c>
      <c r="E749" s="122">
        <f>IF(B749="","",IFERROR(B749/INDEX($B$2:$B$800,MATCH(DATE(YEAR(A749)-1,MONTH(A749),1),$A$2:$A$800,0))-1,""))</f>
        <v/>
      </c>
    </row>
    <row r="750">
      <c r="A750" s="124" t="n"/>
      <c r="B750" s="125" t="n"/>
      <c r="C750" s="122">
        <f>IF(OR(B750="",B749=""),"",B750/B749-1)</f>
        <v/>
      </c>
      <c r="D750" s="122">
        <f>IF(B750="","",IFERROR(B750/INDEX($B$2:$B$800,MATCH(DATE(YEAR(A750)-1,12,1),$A$2:$A$800,0))-1,""))</f>
        <v/>
      </c>
      <c r="E750" s="122">
        <f>IF(B750="","",IFERROR(B750/INDEX($B$2:$B$800,MATCH(DATE(YEAR(A750)-1,MONTH(A750),1),$A$2:$A$800,0))-1,""))</f>
        <v/>
      </c>
    </row>
    <row r="751">
      <c r="A751" s="124" t="n"/>
      <c r="B751" s="125" t="n"/>
      <c r="C751" s="122">
        <f>IF(OR(B751="",B750=""),"",B751/B750-1)</f>
        <v/>
      </c>
      <c r="D751" s="122">
        <f>IF(B751="","",IFERROR(B751/INDEX($B$2:$B$800,MATCH(DATE(YEAR(A751)-1,12,1),$A$2:$A$800,0))-1,""))</f>
        <v/>
      </c>
      <c r="E751" s="122">
        <f>IF(B751="","",IFERROR(B751/INDEX($B$2:$B$800,MATCH(DATE(YEAR(A751)-1,MONTH(A751),1),$A$2:$A$800,0))-1,""))</f>
        <v/>
      </c>
    </row>
    <row r="752">
      <c r="A752" s="124" t="n"/>
      <c r="B752" s="125" t="n"/>
      <c r="C752" s="122">
        <f>IF(OR(B752="",B751=""),"",B752/B751-1)</f>
        <v/>
      </c>
      <c r="D752" s="122">
        <f>IF(B752="","",IFERROR(B752/INDEX($B$2:$B$800,MATCH(DATE(YEAR(A752)-1,12,1),$A$2:$A$800,0))-1,""))</f>
        <v/>
      </c>
      <c r="E752" s="122">
        <f>IF(B752="","",IFERROR(B752/INDEX($B$2:$B$800,MATCH(DATE(YEAR(A752)-1,MONTH(A752),1),$A$2:$A$800,0))-1,""))</f>
        <v/>
      </c>
    </row>
    <row r="753">
      <c r="A753" s="124" t="n"/>
      <c r="B753" s="125" t="n"/>
      <c r="C753" s="122">
        <f>IF(OR(B753="",B752=""),"",B753/B752-1)</f>
        <v/>
      </c>
      <c r="D753" s="122">
        <f>IF(B753="","",IFERROR(B753/INDEX($B$2:$B$800,MATCH(DATE(YEAR(A753)-1,12,1),$A$2:$A$800,0))-1,""))</f>
        <v/>
      </c>
      <c r="E753" s="122">
        <f>IF(B753="","",IFERROR(B753/INDEX($B$2:$B$800,MATCH(DATE(YEAR(A753)-1,MONTH(A753),1),$A$2:$A$800,0))-1,""))</f>
        <v/>
      </c>
    </row>
    <row r="754">
      <c r="A754" s="124" t="n"/>
      <c r="B754" s="125" t="n"/>
      <c r="C754" s="122">
        <f>IF(OR(B754="",B753=""),"",B754/B753-1)</f>
        <v/>
      </c>
      <c r="D754" s="122">
        <f>IF(B754="","",IFERROR(B754/INDEX($B$2:$B$800,MATCH(DATE(YEAR(A754)-1,12,1),$A$2:$A$800,0))-1,""))</f>
        <v/>
      </c>
      <c r="E754" s="122">
        <f>IF(B754="","",IFERROR(B754/INDEX($B$2:$B$800,MATCH(DATE(YEAR(A754)-1,MONTH(A754),1),$A$2:$A$800,0))-1,""))</f>
        <v/>
      </c>
    </row>
    <row r="755">
      <c r="A755" s="124" t="n"/>
      <c r="B755" s="125" t="n"/>
      <c r="C755" s="122">
        <f>IF(OR(B755="",B754=""),"",B755/B754-1)</f>
        <v/>
      </c>
      <c r="D755" s="122">
        <f>IF(B755="","",IFERROR(B755/INDEX($B$2:$B$800,MATCH(DATE(YEAR(A755)-1,12,1),$A$2:$A$800,0))-1,""))</f>
        <v/>
      </c>
      <c r="E755" s="122">
        <f>IF(B755="","",IFERROR(B755/INDEX($B$2:$B$800,MATCH(DATE(YEAR(A755)-1,MONTH(A755),1),$A$2:$A$800,0))-1,""))</f>
        <v/>
      </c>
    </row>
    <row r="756">
      <c r="A756" s="124" t="n"/>
      <c r="B756" s="125" t="n"/>
      <c r="C756" s="122">
        <f>IF(OR(B756="",B755=""),"",B756/B755-1)</f>
        <v/>
      </c>
      <c r="D756" s="122">
        <f>IF(B756="","",IFERROR(B756/INDEX($B$2:$B$800,MATCH(DATE(YEAR(A756)-1,12,1),$A$2:$A$800,0))-1,""))</f>
        <v/>
      </c>
      <c r="E756" s="122">
        <f>IF(B756="","",IFERROR(B756/INDEX($B$2:$B$800,MATCH(DATE(YEAR(A756)-1,MONTH(A756),1),$A$2:$A$800,0))-1,""))</f>
        <v/>
      </c>
    </row>
    <row r="757">
      <c r="A757" s="124" t="n"/>
      <c r="B757" s="125" t="n"/>
      <c r="C757" s="122">
        <f>IF(OR(B757="",B756=""),"",B757/B756-1)</f>
        <v/>
      </c>
      <c r="D757" s="122">
        <f>IF(B757="","",IFERROR(B757/INDEX($B$2:$B$800,MATCH(DATE(YEAR(A757)-1,12,1),$A$2:$A$800,0))-1,""))</f>
        <v/>
      </c>
      <c r="E757" s="122">
        <f>IF(B757="","",IFERROR(B757/INDEX($B$2:$B$800,MATCH(DATE(YEAR(A757)-1,MONTH(A757),1),$A$2:$A$800,0))-1,""))</f>
        <v/>
      </c>
    </row>
    <row r="758">
      <c r="A758" s="124" t="n"/>
      <c r="B758" s="125" t="n"/>
      <c r="C758" s="122">
        <f>IF(OR(B758="",B757=""),"",B758/B757-1)</f>
        <v/>
      </c>
      <c r="D758" s="122">
        <f>IF(B758="","",IFERROR(B758/INDEX($B$2:$B$800,MATCH(DATE(YEAR(A758)-1,12,1),$A$2:$A$800,0))-1,""))</f>
        <v/>
      </c>
      <c r="E758" s="122">
        <f>IF(B758="","",IFERROR(B758/INDEX($B$2:$B$800,MATCH(DATE(YEAR(A758)-1,MONTH(A758),1),$A$2:$A$800,0))-1,""))</f>
        <v/>
      </c>
    </row>
    <row r="759">
      <c r="A759" s="124" t="n"/>
      <c r="B759" s="125" t="n"/>
      <c r="C759" s="122">
        <f>IF(OR(B759="",B758=""),"",B759/B758-1)</f>
        <v/>
      </c>
      <c r="D759" s="122">
        <f>IF(B759="","",IFERROR(B759/INDEX($B$2:$B$800,MATCH(DATE(YEAR(A759)-1,12,1),$A$2:$A$800,0))-1,""))</f>
        <v/>
      </c>
      <c r="E759" s="122">
        <f>IF(B759="","",IFERROR(B759/INDEX($B$2:$B$800,MATCH(DATE(YEAR(A759)-1,MONTH(A759),1),$A$2:$A$800,0))-1,""))</f>
        <v/>
      </c>
    </row>
    <row r="760">
      <c r="A760" s="124" t="n"/>
      <c r="B760" s="125" t="n"/>
      <c r="C760" s="122">
        <f>IF(OR(B760="",B759=""),"",B760/B759-1)</f>
        <v/>
      </c>
      <c r="D760" s="122">
        <f>IF(B760="","",IFERROR(B760/INDEX($B$2:$B$800,MATCH(DATE(YEAR(A760)-1,12,1),$A$2:$A$800,0))-1,""))</f>
        <v/>
      </c>
      <c r="E760" s="122">
        <f>IF(B760="","",IFERROR(B760/INDEX($B$2:$B$800,MATCH(DATE(YEAR(A760)-1,MONTH(A760),1),$A$2:$A$800,0))-1,""))</f>
        <v/>
      </c>
    </row>
    <row r="761">
      <c r="A761" s="124" t="n"/>
      <c r="B761" s="125" t="n"/>
      <c r="C761" s="122">
        <f>IF(OR(B761="",B760=""),"",B761/B760-1)</f>
        <v/>
      </c>
      <c r="D761" s="122">
        <f>IF(B761="","",IFERROR(B761/INDEX($B$2:$B$800,MATCH(DATE(YEAR(A761)-1,12,1),$A$2:$A$800,0))-1,""))</f>
        <v/>
      </c>
      <c r="E761" s="122">
        <f>IF(B761="","",IFERROR(B761/INDEX($B$2:$B$800,MATCH(DATE(YEAR(A761)-1,MONTH(A761),1),$A$2:$A$800,0))-1,""))</f>
        <v/>
      </c>
    </row>
    <row r="762">
      <c r="A762" s="124" t="n"/>
      <c r="B762" s="125" t="n"/>
      <c r="C762" s="122">
        <f>IF(OR(B762="",B761=""),"",B762/B761-1)</f>
        <v/>
      </c>
      <c r="D762" s="122">
        <f>IF(B762="","",IFERROR(B762/INDEX($B$2:$B$800,MATCH(DATE(YEAR(A762)-1,12,1),$A$2:$A$800,0))-1,""))</f>
        <v/>
      </c>
      <c r="E762" s="122">
        <f>IF(B762="","",IFERROR(B762/INDEX($B$2:$B$800,MATCH(DATE(YEAR(A762)-1,MONTH(A762),1),$A$2:$A$800,0))-1,""))</f>
        <v/>
      </c>
    </row>
    <row r="763">
      <c r="A763" s="124" t="n"/>
      <c r="B763" s="125" t="n"/>
      <c r="C763" s="122">
        <f>IF(OR(B763="",B762=""),"",B763/B762-1)</f>
        <v/>
      </c>
      <c r="D763" s="122">
        <f>IF(B763="","",IFERROR(B763/INDEX($B$2:$B$800,MATCH(DATE(YEAR(A763)-1,12,1),$A$2:$A$800,0))-1,""))</f>
        <v/>
      </c>
      <c r="E763" s="122">
        <f>IF(B763="","",IFERROR(B763/INDEX($B$2:$B$800,MATCH(DATE(YEAR(A763)-1,MONTH(A763),1),$A$2:$A$800,0))-1,""))</f>
        <v/>
      </c>
    </row>
    <row r="764">
      <c r="A764" s="124" t="n"/>
      <c r="B764" s="125" t="n"/>
      <c r="C764" s="122">
        <f>IF(OR(B764="",B763=""),"",B764/B763-1)</f>
        <v/>
      </c>
      <c r="D764" s="122">
        <f>IF(B764="","",IFERROR(B764/INDEX($B$2:$B$800,MATCH(DATE(YEAR(A764)-1,12,1),$A$2:$A$800,0))-1,""))</f>
        <v/>
      </c>
      <c r="E764" s="122">
        <f>IF(B764="","",IFERROR(B764/INDEX($B$2:$B$800,MATCH(DATE(YEAR(A764)-1,MONTH(A764),1),$A$2:$A$800,0))-1,""))</f>
        <v/>
      </c>
    </row>
    <row r="765">
      <c r="A765" s="124" t="n"/>
      <c r="B765" s="125" t="n"/>
      <c r="C765" s="122">
        <f>IF(OR(B765="",B764=""),"",B765/B764-1)</f>
        <v/>
      </c>
      <c r="D765" s="122">
        <f>IF(B765="","",IFERROR(B765/INDEX($B$2:$B$800,MATCH(DATE(YEAR(A765)-1,12,1),$A$2:$A$800,0))-1,""))</f>
        <v/>
      </c>
      <c r="E765" s="122">
        <f>IF(B765="","",IFERROR(B765/INDEX($B$2:$B$800,MATCH(DATE(YEAR(A765)-1,MONTH(A765),1),$A$2:$A$800,0))-1,""))</f>
        <v/>
      </c>
    </row>
    <row r="766">
      <c r="A766" s="124" t="n"/>
      <c r="B766" s="125" t="n"/>
      <c r="C766" s="122">
        <f>IF(OR(B766="",B765=""),"",B766/B765-1)</f>
        <v/>
      </c>
      <c r="D766" s="122">
        <f>IF(B766="","",IFERROR(B766/INDEX($B$2:$B$800,MATCH(DATE(YEAR(A766)-1,12,1),$A$2:$A$800,0))-1,""))</f>
        <v/>
      </c>
      <c r="E766" s="122">
        <f>IF(B766="","",IFERROR(B766/INDEX($B$2:$B$800,MATCH(DATE(YEAR(A766)-1,MONTH(A766),1),$A$2:$A$800,0))-1,""))</f>
        <v/>
      </c>
    </row>
    <row r="767">
      <c r="A767" s="124" t="n"/>
      <c r="B767" s="125" t="n"/>
      <c r="C767" s="122">
        <f>IF(OR(B767="",B766=""),"",B767/B766-1)</f>
        <v/>
      </c>
      <c r="D767" s="122">
        <f>IF(B767="","",IFERROR(B767/INDEX($B$2:$B$800,MATCH(DATE(YEAR(A767)-1,12,1),$A$2:$A$800,0))-1,""))</f>
        <v/>
      </c>
      <c r="E767" s="122">
        <f>IF(B767="","",IFERROR(B767/INDEX($B$2:$B$800,MATCH(DATE(YEAR(A767)-1,MONTH(A767),1),$A$2:$A$800,0))-1,""))</f>
        <v/>
      </c>
    </row>
    <row r="768">
      <c r="A768" s="124" t="n"/>
      <c r="B768" s="125" t="n"/>
      <c r="C768" s="122">
        <f>IF(OR(B768="",B767=""),"",B768/B767-1)</f>
        <v/>
      </c>
      <c r="D768" s="122">
        <f>IF(B768="","",IFERROR(B768/INDEX($B$2:$B$800,MATCH(DATE(YEAR(A768)-1,12,1),$A$2:$A$800,0))-1,""))</f>
        <v/>
      </c>
      <c r="E768" s="122">
        <f>IF(B768="","",IFERROR(B768/INDEX($B$2:$B$800,MATCH(DATE(YEAR(A768)-1,MONTH(A768),1),$A$2:$A$800,0))-1,""))</f>
        <v/>
      </c>
    </row>
    <row r="769">
      <c r="A769" s="124" t="n"/>
      <c r="B769" s="125" t="n"/>
      <c r="C769" s="122">
        <f>IF(OR(B769="",B768=""),"",B769/B768-1)</f>
        <v/>
      </c>
      <c r="D769" s="122">
        <f>IF(B769="","",IFERROR(B769/INDEX($B$2:$B$800,MATCH(DATE(YEAR(A769)-1,12,1),$A$2:$A$800,0))-1,""))</f>
        <v/>
      </c>
      <c r="E769" s="122">
        <f>IF(B769="","",IFERROR(B769/INDEX($B$2:$B$800,MATCH(DATE(YEAR(A769)-1,MONTH(A769),1),$A$2:$A$800,0))-1,""))</f>
        <v/>
      </c>
    </row>
    <row r="770">
      <c r="A770" s="124" t="n"/>
      <c r="B770" s="125" t="n"/>
      <c r="C770" s="122">
        <f>IF(OR(B770="",B769=""),"",B770/B769-1)</f>
        <v/>
      </c>
      <c r="D770" s="122">
        <f>IF(B770="","",IFERROR(B770/INDEX($B$2:$B$800,MATCH(DATE(YEAR(A770)-1,12,1),$A$2:$A$800,0))-1,""))</f>
        <v/>
      </c>
      <c r="E770" s="122">
        <f>IF(B770="","",IFERROR(B770/INDEX($B$2:$B$800,MATCH(DATE(YEAR(A770)-1,MONTH(A770),1),$A$2:$A$800,0))-1,""))</f>
        <v/>
      </c>
    </row>
    <row r="771">
      <c r="A771" s="124" t="n"/>
      <c r="B771" s="125" t="n"/>
      <c r="C771" s="122">
        <f>IF(OR(B771="",B770=""),"",B771/B770-1)</f>
        <v/>
      </c>
      <c r="D771" s="122">
        <f>IF(B771="","",IFERROR(B771/INDEX($B$2:$B$800,MATCH(DATE(YEAR(A771)-1,12,1),$A$2:$A$800,0))-1,""))</f>
        <v/>
      </c>
      <c r="E771" s="122">
        <f>IF(B771="","",IFERROR(B771/INDEX($B$2:$B$800,MATCH(DATE(YEAR(A771)-1,MONTH(A771),1),$A$2:$A$800,0))-1,""))</f>
        <v/>
      </c>
    </row>
    <row r="772">
      <c r="A772" s="124" t="n"/>
      <c r="B772" s="125" t="n"/>
      <c r="C772" s="122">
        <f>IF(OR(B772="",B771=""),"",B772/B771-1)</f>
        <v/>
      </c>
      <c r="D772" s="122">
        <f>IF(B772="","",IFERROR(B772/INDEX($B$2:$B$800,MATCH(DATE(YEAR(A772)-1,12,1),$A$2:$A$800,0))-1,""))</f>
        <v/>
      </c>
      <c r="E772" s="122">
        <f>IF(B772="","",IFERROR(B772/INDEX($B$2:$B$800,MATCH(DATE(YEAR(A772)-1,MONTH(A772),1),$A$2:$A$800,0))-1,""))</f>
        <v/>
      </c>
    </row>
    <row r="773">
      <c r="A773" s="124" t="n"/>
      <c r="B773" s="125" t="n"/>
      <c r="C773" s="122">
        <f>IF(OR(B773="",B772=""),"",B773/B772-1)</f>
        <v/>
      </c>
      <c r="D773" s="122">
        <f>IF(B773="","",IFERROR(B773/INDEX($B$2:$B$800,MATCH(DATE(YEAR(A773)-1,12,1),$A$2:$A$800,0))-1,""))</f>
        <v/>
      </c>
      <c r="E773" s="122">
        <f>IF(B773="","",IFERROR(B773/INDEX($B$2:$B$800,MATCH(DATE(YEAR(A773)-1,MONTH(A773),1),$A$2:$A$800,0))-1,""))</f>
        <v/>
      </c>
    </row>
    <row r="774">
      <c r="A774" s="124" t="n"/>
      <c r="B774" s="125" t="n"/>
      <c r="C774" s="122">
        <f>IF(OR(B774="",B773=""),"",B774/B773-1)</f>
        <v/>
      </c>
      <c r="D774" s="122">
        <f>IF(B774="","",IFERROR(B774/INDEX($B$2:$B$800,MATCH(DATE(YEAR(A774)-1,12,1),$A$2:$A$800,0))-1,""))</f>
        <v/>
      </c>
      <c r="E774" s="122">
        <f>IF(B774="","",IFERROR(B774/INDEX($B$2:$B$800,MATCH(DATE(YEAR(A774)-1,MONTH(A774),1),$A$2:$A$800,0))-1,""))</f>
        <v/>
      </c>
    </row>
    <row r="775">
      <c r="A775" s="124" t="n"/>
      <c r="B775" s="125" t="n"/>
      <c r="C775" s="122">
        <f>IF(OR(B775="",B774=""),"",B775/B774-1)</f>
        <v/>
      </c>
      <c r="D775" s="122">
        <f>IF(B775="","",IFERROR(B775/INDEX($B$2:$B$800,MATCH(DATE(YEAR(A775)-1,12,1),$A$2:$A$800,0))-1,""))</f>
        <v/>
      </c>
      <c r="E775" s="122">
        <f>IF(B775="","",IFERROR(B775/INDEX($B$2:$B$800,MATCH(DATE(YEAR(A775)-1,MONTH(A775),1),$A$2:$A$800,0))-1,""))</f>
        <v/>
      </c>
    </row>
    <row r="776">
      <c r="A776" s="124" t="n"/>
      <c r="B776" s="125" t="n"/>
      <c r="C776" s="122">
        <f>IF(OR(B776="",B775=""),"",B776/B775-1)</f>
        <v/>
      </c>
      <c r="D776" s="122">
        <f>IF(B776="","",IFERROR(B776/INDEX($B$2:$B$800,MATCH(DATE(YEAR(A776)-1,12,1),$A$2:$A$800,0))-1,""))</f>
        <v/>
      </c>
      <c r="E776" s="122">
        <f>IF(B776="","",IFERROR(B776/INDEX($B$2:$B$800,MATCH(DATE(YEAR(A776)-1,MONTH(A776),1),$A$2:$A$800,0))-1,""))</f>
        <v/>
      </c>
    </row>
    <row r="777">
      <c r="A777" s="124" t="n"/>
      <c r="B777" s="125" t="n"/>
      <c r="C777" s="122">
        <f>IF(OR(B777="",B776=""),"",B777/B776-1)</f>
        <v/>
      </c>
      <c r="D777" s="122">
        <f>IF(B777="","",IFERROR(B777/INDEX($B$2:$B$800,MATCH(DATE(YEAR(A777)-1,12,1),$A$2:$A$800,0))-1,""))</f>
        <v/>
      </c>
      <c r="E777" s="122">
        <f>IF(B777="","",IFERROR(B777/INDEX($B$2:$B$800,MATCH(DATE(YEAR(A777)-1,MONTH(A777),1),$A$2:$A$800,0))-1,""))</f>
        <v/>
      </c>
    </row>
    <row r="778">
      <c r="A778" s="124" t="n"/>
      <c r="B778" s="125" t="n"/>
      <c r="C778" s="122">
        <f>IF(OR(B778="",B777=""),"",B778/B777-1)</f>
        <v/>
      </c>
      <c r="D778" s="122">
        <f>IF(B778="","",IFERROR(B778/INDEX($B$2:$B$800,MATCH(DATE(YEAR(A778)-1,12,1),$A$2:$A$800,0))-1,""))</f>
        <v/>
      </c>
      <c r="E778" s="122">
        <f>IF(B778="","",IFERROR(B778/INDEX($B$2:$B$800,MATCH(DATE(YEAR(A778)-1,MONTH(A778),1),$A$2:$A$800,0))-1,""))</f>
        <v/>
      </c>
    </row>
    <row r="779">
      <c r="A779" s="124" t="n"/>
      <c r="B779" s="125" t="n"/>
      <c r="C779" s="122">
        <f>IF(OR(B779="",B778=""),"",B779/B778-1)</f>
        <v/>
      </c>
      <c r="D779" s="122">
        <f>IF(B779="","",IFERROR(B779/INDEX($B$2:$B$800,MATCH(DATE(YEAR(A779)-1,12,1),$A$2:$A$800,0))-1,""))</f>
        <v/>
      </c>
      <c r="E779" s="122">
        <f>IF(B779="","",IFERROR(B779/INDEX($B$2:$B$800,MATCH(DATE(YEAR(A779)-1,MONTH(A779),1),$A$2:$A$800,0))-1,""))</f>
        <v/>
      </c>
    </row>
    <row r="780">
      <c r="A780" s="124" t="n"/>
      <c r="B780" s="125" t="n"/>
      <c r="C780" s="122">
        <f>IF(OR(B780="",B779=""),"",B780/B779-1)</f>
        <v/>
      </c>
      <c r="D780" s="122">
        <f>IF(B780="","",IFERROR(B780/INDEX($B$2:$B$800,MATCH(DATE(YEAR(A780)-1,12,1),$A$2:$A$800,0))-1,""))</f>
        <v/>
      </c>
      <c r="E780" s="122">
        <f>IF(B780="","",IFERROR(B780/INDEX($B$2:$B$800,MATCH(DATE(YEAR(A780)-1,MONTH(A780),1),$A$2:$A$800,0))-1,""))</f>
        <v/>
      </c>
    </row>
    <row r="781">
      <c r="A781" s="124" t="n"/>
      <c r="B781" s="125" t="n"/>
      <c r="C781" s="122">
        <f>IF(OR(B781="",B780=""),"",B781/B780-1)</f>
        <v/>
      </c>
      <c r="D781" s="122">
        <f>IF(B781="","",IFERROR(B781/INDEX($B$2:$B$800,MATCH(DATE(YEAR(A781)-1,12,1),$A$2:$A$800,0))-1,""))</f>
        <v/>
      </c>
      <c r="E781" s="122">
        <f>IF(B781="","",IFERROR(B781/INDEX($B$2:$B$800,MATCH(DATE(YEAR(A781)-1,MONTH(A781),1),$A$2:$A$800,0))-1,""))</f>
        <v/>
      </c>
    </row>
    <row r="782">
      <c r="A782" s="124" t="n"/>
      <c r="B782" s="125" t="n"/>
      <c r="C782" s="122">
        <f>IF(OR(B782="",B781=""),"",B782/B781-1)</f>
        <v/>
      </c>
      <c r="D782" s="122">
        <f>IF(B782="","",IFERROR(B782/INDEX($B$2:$B$800,MATCH(DATE(YEAR(A782)-1,12,1),$A$2:$A$800,0))-1,""))</f>
        <v/>
      </c>
      <c r="E782" s="122">
        <f>IF(B782="","",IFERROR(B782/INDEX($B$2:$B$800,MATCH(DATE(YEAR(A782)-1,MONTH(A782),1),$A$2:$A$800,0))-1,""))</f>
        <v/>
      </c>
    </row>
    <row r="783">
      <c r="A783" s="124" t="n"/>
      <c r="B783" s="125" t="n"/>
      <c r="C783" s="122">
        <f>IF(OR(B783="",B782=""),"",B783/B782-1)</f>
        <v/>
      </c>
      <c r="D783" s="122">
        <f>IF(B783="","",IFERROR(B783/INDEX($B$2:$B$800,MATCH(DATE(YEAR(A783)-1,12,1),$A$2:$A$800,0))-1,""))</f>
        <v/>
      </c>
      <c r="E783" s="122">
        <f>IF(B783="","",IFERROR(B783/INDEX($B$2:$B$800,MATCH(DATE(YEAR(A783)-1,MONTH(A783),1),$A$2:$A$800,0))-1,""))</f>
        <v/>
      </c>
    </row>
    <row r="784">
      <c r="A784" s="124" t="n"/>
      <c r="B784" s="125" t="n"/>
      <c r="C784" s="122">
        <f>IF(OR(B784="",B783=""),"",B784/B783-1)</f>
        <v/>
      </c>
      <c r="D784" s="122">
        <f>IF(B784="","",IFERROR(B784/INDEX($B$2:$B$800,MATCH(DATE(YEAR(A784)-1,12,1),$A$2:$A$800,0))-1,""))</f>
        <v/>
      </c>
      <c r="E784" s="122">
        <f>IF(B784="","",IFERROR(B784/INDEX($B$2:$B$800,MATCH(DATE(YEAR(A784)-1,MONTH(A784),1),$A$2:$A$800,0))-1,""))</f>
        <v/>
      </c>
    </row>
    <row r="785">
      <c r="A785" s="124" t="n"/>
      <c r="B785" s="125" t="n"/>
      <c r="C785" s="122">
        <f>IF(OR(B785="",B784=""),"",B785/B784-1)</f>
        <v/>
      </c>
      <c r="D785" s="122">
        <f>IF(B785="","",IFERROR(B785/INDEX($B$2:$B$800,MATCH(DATE(YEAR(A785)-1,12,1),$A$2:$A$800,0))-1,""))</f>
        <v/>
      </c>
      <c r="E785" s="122">
        <f>IF(B785="","",IFERROR(B785/INDEX($B$2:$B$800,MATCH(DATE(YEAR(A785)-1,MONTH(A785),1),$A$2:$A$800,0))-1,""))</f>
        <v/>
      </c>
    </row>
    <row r="786">
      <c r="A786" s="124" t="n"/>
      <c r="B786" s="125" t="n"/>
      <c r="C786" s="122">
        <f>IF(OR(B786="",B785=""),"",B786/B785-1)</f>
        <v/>
      </c>
      <c r="D786" s="122">
        <f>IF(B786="","",IFERROR(B786/INDEX($B$2:$B$800,MATCH(DATE(YEAR(A786)-1,12,1),$A$2:$A$800,0))-1,""))</f>
        <v/>
      </c>
      <c r="E786" s="122">
        <f>IF(B786="","",IFERROR(B786/INDEX($B$2:$B$800,MATCH(DATE(YEAR(A786)-1,MONTH(A786),1),$A$2:$A$800,0))-1,""))</f>
        <v/>
      </c>
    </row>
    <row r="787">
      <c r="A787" s="124" t="n"/>
      <c r="B787" s="125" t="n"/>
      <c r="C787" s="122">
        <f>IF(OR(B787="",B786=""),"",B787/B786-1)</f>
        <v/>
      </c>
      <c r="D787" s="122">
        <f>IF(B787="","",IFERROR(B787/INDEX($B$2:$B$800,MATCH(DATE(YEAR(A787)-1,12,1),$A$2:$A$800,0))-1,""))</f>
        <v/>
      </c>
      <c r="E787" s="122">
        <f>IF(B787="","",IFERROR(B787/INDEX($B$2:$B$800,MATCH(DATE(YEAR(A787)-1,MONTH(A787),1),$A$2:$A$800,0))-1,""))</f>
        <v/>
      </c>
    </row>
    <row r="788">
      <c r="A788" s="124" t="n"/>
      <c r="B788" s="125" t="n"/>
      <c r="C788" s="122">
        <f>IF(OR(B788="",B787=""),"",B788/B787-1)</f>
        <v/>
      </c>
      <c r="D788" s="122">
        <f>IF(B788="","",IFERROR(B788/INDEX($B$2:$B$800,MATCH(DATE(YEAR(A788)-1,12,1),$A$2:$A$800,0))-1,""))</f>
        <v/>
      </c>
      <c r="E788" s="122">
        <f>IF(B788="","",IFERROR(B788/INDEX($B$2:$B$800,MATCH(DATE(YEAR(A788)-1,MONTH(A788),1),$A$2:$A$800,0))-1,""))</f>
        <v/>
      </c>
    </row>
    <row r="789">
      <c r="A789" s="124" t="n"/>
      <c r="B789" s="125" t="n"/>
      <c r="C789" s="122">
        <f>IF(OR(B789="",B788=""),"",B789/B788-1)</f>
        <v/>
      </c>
      <c r="D789" s="122">
        <f>IF(B789="","",IFERROR(B789/INDEX($B$2:$B$800,MATCH(DATE(YEAR(A789)-1,12,1),$A$2:$A$800,0))-1,""))</f>
        <v/>
      </c>
      <c r="E789" s="122">
        <f>IF(B789="","",IFERROR(B789/INDEX($B$2:$B$800,MATCH(DATE(YEAR(A789)-1,MONTH(A789),1),$A$2:$A$800,0))-1,""))</f>
        <v/>
      </c>
    </row>
    <row r="790">
      <c r="A790" s="124" t="n"/>
      <c r="B790" s="125" t="n"/>
      <c r="C790" s="122">
        <f>IF(OR(B790="",B789=""),"",B790/B789-1)</f>
        <v/>
      </c>
      <c r="D790" s="122">
        <f>IF(B790="","",IFERROR(B790/INDEX($B$2:$B$800,MATCH(DATE(YEAR(A790)-1,12,1),$A$2:$A$800,0))-1,""))</f>
        <v/>
      </c>
      <c r="E790" s="122">
        <f>IF(B790="","",IFERROR(B790/INDEX($B$2:$B$800,MATCH(DATE(YEAR(A790)-1,MONTH(A790),1),$A$2:$A$800,0))-1,""))</f>
        <v/>
      </c>
    </row>
    <row r="791">
      <c r="A791" s="124" t="n"/>
      <c r="B791" s="125" t="n"/>
      <c r="C791" s="122">
        <f>IF(OR(B791="",B790=""),"",B791/B790-1)</f>
        <v/>
      </c>
      <c r="D791" s="122">
        <f>IF(B791="","",IFERROR(B791/INDEX($B$2:$B$800,MATCH(DATE(YEAR(A791)-1,12,1),$A$2:$A$800,0))-1,""))</f>
        <v/>
      </c>
      <c r="E791" s="122">
        <f>IF(B791="","",IFERROR(B791/INDEX($B$2:$B$800,MATCH(DATE(YEAR(A791)-1,MONTH(A791),1),$A$2:$A$800,0))-1,""))</f>
        <v/>
      </c>
    </row>
    <row r="792">
      <c r="A792" s="124" t="n"/>
      <c r="B792" s="125" t="n"/>
      <c r="C792" s="122">
        <f>IF(OR(B792="",B791=""),"",B792/B791-1)</f>
        <v/>
      </c>
      <c r="D792" s="122">
        <f>IF(B792="","",IFERROR(B792/INDEX($B$2:$B$800,MATCH(DATE(YEAR(A792)-1,12,1),$A$2:$A$800,0))-1,""))</f>
        <v/>
      </c>
      <c r="E792" s="122">
        <f>IF(B792="","",IFERROR(B792/INDEX($B$2:$B$800,MATCH(DATE(YEAR(A792)-1,MONTH(A792),1),$A$2:$A$800,0))-1,""))</f>
        <v/>
      </c>
    </row>
    <row r="793">
      <c r="A793" s="124" t="n"/>
      <c r="B793" s="125" t="n"/>
      <c r="C793" s="122">
        <f>IF(OR(B793="",B792=""),"",B793/B792-1)</f>
        <v/>
      </c>
      <c r="D793" s="122">
        <f>IF(B793="","",IFERROR(B793/INDEX($B$2:$B$800,MATCH(DATE(YEAR(A793)-1,12,1),$A$2:$A$800,0))-1,""))</f>
        <v/>
      </c>
      <c r="E793" s="122">
        <f>IF(B793="","",IFERROR(B793/INDEX($B$2:$B$800,MATCH(DATE(YEAR(A793)-1,MONTH(A793),1),$A$2:$A$800,0))-1,""))</f>
        <v/>
      </c>
    </row>
    <row r="794">
      <c r="A794" s="124" t="n"/>
      <c r="B794" s="125" t="n"/>
      <c r="C794" s="122">
        <f>IF(OR(B794="",B793=""),"",B794/B793-1)</f>
        <v/>
      </c>
      <c r="D794" s="122">
        <f>IF(B794="","",IFERROR(B794/INDEX($B$2:$B$800,MATCH(DATE(YEAR(A794)-1,12,1),$A$2:$A$800,0))-1,""))</f>
        <v/>
      </c>
      <c r="E794" s="122">
        <f>IF(B794="","",IFERROR(B794/INDEX($B$2:$B$800,MATCH(DATE(YEAR(A794)-1,MONTH(A794),1),$A$2:$A$800,0))-1,""))</f>
        <v/>
      </c>
    </row>
    <row r="795">
      <c r="A795" s="124" t="n"/>
      <c r="B795" s="125" t="n"/>
      <c r="C795" s="122">
        <f>IF(OR(B795="",B794=""),"",B795/B794-1)</f>
        <v/>
      </c>
      <c r="D795" s="122">
        <f>IF(B795="","",IFERROR(B795/INDEX($B$2:$B$800,MATCH(DATE(YEAR(A795)-1,12,1),$A$2:$A$800,0))-1,""))</f>
        <v/>
      </c>
      <c r="E795" s="122">
        <f>IF(B795="","",IFERROR(B795/INDEX($B$2:$B$800,MATCH(DATE(YEAR(A795)-1,MONTH(A795),1),$A$2:$A$800,0))-1,""))</f>
        <v/>
      </c>
    </row>
    <row r="796">
      <c r="A796" s="124" t="n"/>
      <c r="B796" s="125" t="n"/>
      <c r="C796" s="122">
        <f>IF(OR(B796="",B795=""),"",B796/B795-1)</f>
        <v/>
      </c>
      <c r="D796" s="122">
        <f>IF(B796="","",IFERROR(B796/INDEX($B$2:$B$800,MATCH(DATE(YEAR(A796)-1,12,1),$A$2:$A$800,0))-1,""))</f>
        <v/>
      </c>
      <c r="E796" s="122">
        <f>IF(B796="","",IFERROR(B796/INDEX($B$2:$B$800,MATCH(DATE(YEAR(A796)-1,MONTH(A796),1),$A$2:$A$800,0))-1,""))</f>
        <v/>
      </c>
    </row>
    <row r="797">
      <c r="A797" s="124" t="n"/>
      <c r="B797" s="125" t="n"/>
      <c r="C797" s="122">
        <f>IF(OR(B797="",B796=""),"",B797/B796-1)</f>
        <v/>
      </c>
      <c r="D797" s="122">
        <f>IF(B797="","",IFERROR(B797/INDEX($B$2:$B$800,MATCH(DATE(YEAR(A797)-1,12,1),$A$2:$A$800,0))-1,""))</f>
        <v/>
      </c>
      <c r="E797" s="122">
        <f>IF(B797="","",IFERROR(B797/INDEX($B$2:$B$800,MATCH(DATE(YEAR(A797)-1,MONTH(A797),1),$A$2:$A$800,0))-1,""))</f>
        <v/>
      </c>
    </row>
    <row r="798">
      <c r="A798" s="124" t="n"/>
      <c r="B798" s="125" t="n"/>
      <c r="C798" s="122">
        <f>IF(OR(B798="",B797=""),"",B798/B797-1)</f>
        <v/>
      </c>
      <c r="D798" s="122">
        <f>IF(B798="","",IFERROR(B798/INDEX($B$2:$B$800,MATCH(DATE(YEAR(A798)-1,12,1),$A$2:$A$800,0))-1,""))</f>
        <v/>
      </c>
      <c r="E798" s="122">
        <f>IF(B798="","",IFERROR(B798/INDEX($B$2:$B$800,MATCH(DATE(YEAR(A798)-1,MONTH(A798),1),$A$2:$A$800,0))-1,""))</f>
        <v/>
      </c>
    </row>
    <row r="799">
      <c r="A799" s="124" t="n"/>
      <c r="B799" s="125" t="n"/>
      <c r="C799" s="122">
        <f>IF(OR(B799="",B798=""),"",B799/B798-1)</f>
        <v/>
      </c>
      <c r="D799" s="122">
        <f>IF(B799="","",IFERROR(B799/INDEX($B$2:$B$800,MATCH(DATE(YEAR(A799)-1,12,1),$A$2:$A$800,0))-1,""))</f>
        <v/>
      </c>
      <c r="E799" s="122">
        <f>IF(B799="","",IFERROR(B799/INDEX($B$2:$B$800,MATCH(DATE(YEAR(A799)-1,MONTH(A799),1),$A$2:$A$800,0))-1,""))</f>
        <v/>
      </c>
    </row>
    <row r="800">
      <c r="A800" s="124" t="n"/>
      <c r="B800" s="125" t="n"/>
      <c r="C800" s="122">
        <f>IF(OR(B800="",B799=""),"",B800/B799-1)</f>
        <v/>
      </c>
      <c r="D800" s="122">
        <f>IF(B800="","",IFERROR(B800/INDEX($B$2:$B$800,MATCH(DATE(YEAR(A800)-1,12,1),$A$2:$A$800,0))-1,""))</f>
        <v/>
      </c>
      <c r="E800" s="122">
        <f>IF(B800="","",IFERROR(B800/INDEX($B$2:$B$800,MATCH(DATE(YEAR(A800)-1,MONTH(A800),1),$A$2:$A$800,0))-1,""))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ES946"/>
  <sheetViews>
    <sheetView tabSelected="0" workbookViewId="0">
      <selection activeCell="A1" sqref="A1"/>
    </sheetView>
  </sheetViews>
  <sheetFormatPr baseColWidth="8" defaultRowHeight="15"/>
  <sheetData>
    <row r="1">
      <c r="A1" s="2" t="inlineStr">
        <is>
          <t>Cronograma físico financeiro do projeto Botânico exportado em 25/09/2026</t>
        </is>
      </c>
    </row>
    <row r="2">
      <c r="J2" s="2" t="inlineStr">
        <is>
          <t>30/06/2025</t>
        </is>
      </c>
      <c r="M2" s="2" t="inlineStr">
        <is>
          <t>31/07/2025</t>
        </is>
      </c>
      <c r="P2" s="2" t="inlineStr">
        <is>
          <t>31/08/2025</t>
        </is>
      </c>
      <c r="S2" s="2" t="inlineStr">
        <is>
          <t>30/09/2025</t>
        </is>
      </c>
      <c r="V2" s="2" t="inlineStr">
        <is>
          <t>31/10/2025</t>
        </is>
      </c>
      <c r="Y2" s="2" t="inlineStr">
        <is>
          <t>30/11/2025</t>
        </is>
      </c>
      <c r="AB2" s="2" t="inlineStr">
        <is>
          <t>31/12/2025</t>
        </is>
      </c>
      <c r="AE2" s="2" t="inlineStr">
        <is>
          <t>31/01/2026</t>
        </is>
      </c>
      <c r="AH2" s="2" t="inlineStr">
        <is>
          <t>28/02/2026</t>
        </is>
      </c>
      <c r="AK2" s="2" t="inlineStr">
        <is>
          <t>31/03/2026</t>
        </is>
      </c>
      <c r="AN2" s="2" t="inlineStr">
        <is>
          <t>30/04/2026</t>
        </is>
      </c>
      <c r="AQ2" s="2" t="inlineStr">
        <is>
          <t>31/05/2026</t>
        </is>
      </c>
      <c r="AT2" s="2" t="inlineStr">
        <is>
          <t>30/06/2026</t>
        </is>
      </c>
      <c r="AW2" s="2" t="inlineStr">
        <is>
          <t>31/07/2026</t>
        </is>
      </c>
      <c r="AZ2" s="2" t="inlineStr">
        <is>
          <t>31/08/2026</t>
        </is>
      </c>
      <c r="BC2" s="2" t="inlineStr">
        <is>
          <t>30/09/2026</t>
        </is>
      </c>
      <c r="BF2" s="2" t="inlineStr">
        <is>
          <t>31/10/2026</t>
        </is>
      </c>
      <c r="BI2" s="2" t="inlineStr">
        <is>
          <t>30/11/2026</t>
        </is>
      </c>
      <c r="BL2" s="2" t="inlineStr">
        <is>
          <t>31/12/2026</t>
        </is>
      </c>
      <c r="BO2" s="2" t="inlineStr">
        <is>
          <t>31/01/2027</t>
        </is>
      </c>
      <c r="BR2" s="2" t="inlineStr">
        <is>
          <t>28/02/2027</t>
        </is>
      </c>
      <c r="BU2" s="2" t="inlineStr">
        <is>
          <t>31/03/2027</t>
        </is>
      </c>
      <c r="BX2" s="2" t="inlineStr">
        <is>
          <t>30/04/2027</t>
        </is>
      </c>
      <c r="CA2" s="2" t="inlineStr">
        <is>
          <t>31/05/2027</t>
        </is>
      </c>
      <c r="CD2" s="2" t="inlineStr">
        <is>
          <t>30/06/2027</t>
        </is>
      </c>
      <c r="CG2" s="2" t="inlineStr">
        <is>
          <t>31/07/2027</t>
        </is>
      </c>
      <c r="CJ2" s="2" t="inlineStr">
        <is>
          <t>31/08/2027</t>
        </is>
      </c>
      <c r="CM2" s="2" t="inlineStr">
        <is>
          <t>30/09/2027</t>
        </is>
      </c>
      <c r="CP2" s="2" t="inlineStr">
        <is>
          <t>31/10/2027</t>
        </is>
      </c>
      <c r="CS2" s="2" t="inlineStr">
        <is>
          <t>30/11/2027</t>
        </is>
      </c>
      <c r="CV2" s="2" t="inlineStr">
        <is>
          <t>31/12/2027</t>
        </is>
      </c>
      <c r="CY2" s="2" t="inlineStr">
        <is>
          <t>31/01/2028</t>
        </is>
      </c>
      <c r="DB2" s="2" t="inlineStr">
        <is>
          <t>29/02/2028</t>
        </is>
      </c>
      <c r="DE2" s="2" t="inlineStr">
        <is>
          <t>31/03/2028</t>
        </is>
      </c>
      <c r="DH2" s="2" t="inlineStr">
        <is>
          <t>30/04/2028</t>
        </is>
      </c>
      <c r="DK2" s="2" t="inlineStr">
        <is>
          <t>31/05/2028</t>
        </is>
      </c>
      <c r="DN2" s="2" t="inlineStr">
        <is>
          <t>30/06/2028</t>
        </is>
      </c>
      <c r="DQ2" s="2" t="inlineStr">
        <is>
          <t>31/07/2028</t>
        </is>
      </c>
      <c r="DT2" s="2" t="inlineStr">
        <is>
          <t>31/08/2028</t>
        </is>
      </c>
      <c r="DW2" s="2" t="inlineStr">
        <is>
          <t>30/09/2028</t>
        </is>
      </c>
      <c r="DZ2" s="2" t="inlineStr">
        <is>
          <t>31/10/2028</t>
        </is>
      </c>
      <c r="EC2" s="2" t="inlineStr">
        <is>
          <t>30/11/2028</t>
        </is>
      </c>
      <c r="EF2" s="2" t="inlineStr">
        <is>
          <t>31/12/2028</t>
        </is>
      </c>
      <c r="EI2" s="2" t="inlineStr">
        <is>
          <t>31/01/2029</t>
        </is>
      </c>
      <c r="EL2" s="2" t="inlineStr">
        <is>
          <t>28/02/2029</t>
        </is>
      </c>
      <c r="EO2" s="2" t="inlineStr">
        <is>
          <t>31/03/2029</t>
        </is>
      </c>
      <c r="ER2" s="2" t="inlineStr">
        <is>
          <t>30/04/2029</t>
        </is>
      </c>
    </row>
    <row r="3">
      <c r="A3" s="2" t="inlineStr">
        <is>
          <t>Nível</t>
        </is>
      </c>
      <c r="B3" s="2" t="inlineStr">
        <is>
          <t>Código EAP</t>
        </is>
      </c>
      <c r="C3" s="2" t="inlineStr">
        <is>
          <t>Descrição</t>
        </is>
      </c>
      <c r="D3" s="2" t="inlineStr">
        <is>
          <t>Início</t>
        </is>
      </c>
      <c r="E3" s="2" t="inlineStr">
        <is>
          <t>Fim</t>
        </is>
      </c>
      <c r="F3" s="2" t="inlineStr">
        <is>
          <t>Material (R$)</t>
        </is>
      </c>
      <c r="G3" s="2" t="inlineStr">
        <is>
          <t>Mão de obra (R$)</t>
        </is>
      </c>
      <c r="H3" s="2" t="inlineStr">
        <is>
          <t>Total (R$)</t>
        </is>
      </c>
      <c r="I3" s="2" t="inlineStr">
        <is>
          <t>Base</t>
        </is>
      </c>
      <c r="J3" s="2" t="inlineStr">
        <is>
          <t>Previsto</t>
        </is>
      </c>
      <c r="K3" s="2" t="inlineStr">
        <is>
          <t>Realizado</t>
        </is>
      </c>
      <c r="L3" s="2" t="inlineStr">
        <is>
          <t>Base</t>
        </is>
      </c>
      <c r="M3" s="2" t="inlineStr">
        <is>
          <t>Previsto</t>
        </is>
      </c>
      <c r="N3" s="2" t="inlineStr">
        <is>
          <t>Realizado</t>
        </is>
      </c>
      <c r="O3" s="2" t="inlineStr">
        <is>
          <t>Base</t>
        </is>
      </c>
      <c r="P3" s="2" t="inlineStr">
        <is>
          <t>Previsto</t>
        </is>
      </c>
      <c r="Q3" s="2" t="inlineStr">
        <is>
          <t>Realizado</t>
        </is>
      </c>
      <c r="R3" s="2" t="inlineStr">
        <is>
          <t>Base</t>
        </is>
      </c>
      <c r="S3" s="2" t="inlineStr">
        <is>
          <t>Previsto</t>
        </is>
      </c>
      <c r="T3" s="2" t="inlineStr">
        <is>
          <t>Realizado</t>
        </is>
      </c>
      <c r="U3" s="2" t="inlineStr">
        <is>
          <t>Base</t>
        </is>
      </c>
      <c r="V3" s="2" t="inlineStr">
        <is>
          <t>Previsto</t>
        </is>
      </c>
      <c r="W3" s="2" t="inlineStr">
        <is>
          <t>Realizado</t>
        </is>
      </c>
      <c r="X3" s="2" t="inlineStr">
        <is>
          <t>Base</t>
        </is>
      </c>
      <c r="Y3" s="2" t="inlineStr">
        <is>
          <t>Previsto</t>
        </is>
      </c>
      <c r="Z3" s="2" t="inlineStr">
        <is>
          <t>Realizado</t>
        </is>
      </c>
      <c r="AA3" s="2" t="inlineStr">
        <is>
          <t>Base</t>
        </is>
      </c>
      <c r="AB3" s="2" t="inlineStr">
        <is>
          <t>Previsto</t>
        </is>
      </c>
      <c r="AC3" s="2" t="inlineStr">
        <is>
          <t>Realizado</t>
        </is>
      </c>
      <c r="AD3" s="2" t="inlineStr">
        <is>
          <t>Base</t>
        </is>
      </c>
      <c r="AE3" s="2" t="inlineStr">
        <is>
          <t>Previsto</t>
        </is>
      </c>
      <c r="AF3" s="2" t="inlineStr">
        <is>
          <t>Realizado</t>
        </is>
      </c>
      <c r="AG3" s="2" t="inlineStr">
        <is>
          <t>Base</t>
        </is>
      </c>
      <c r="AH3" s="2" t="inlineStr">
        <is>
          <t>Previsto</t>
        </is>
      </c>
      <c r="AI3" s="2" t="inlineStr">
        <is>
          <t>Realizado</t>
        </is>
      </c>
      <c r="AJ3" s="2" t="inlineStr">
        <is>
          <t>Base</t>
        </is>
      </c>
      <c r="AK3" s="2" t="inlineStr">
        <is>
          <t>Previsto</t>
        </is>
      </c>
      <c r="AL3" s="2" t="inlineStr">
        <is>
          <t>Realizado</t>
        </is>
      </c>
      <c r="AM3" s="2" t="inlineStr">
        <is>
          <t>Base</t>
        </is>
      </c>
      <c r="AN3" s="2" t="inlineStr">
        <is>
          <t>Previsto</t>
        </is>
      </c>
      <c r="AO3" s="2" t="inlineStr">
        <is>
          <t>Realizado</t>
        </is>
      </c>
      <c r="AP3" s="2" t="inlineStr">
        <is>
          <t>Base</t>
        </is>
      </c>
      <c r="AQ3" s="2" t="inlineStr">
        <is>
          <t>Previsto</t>
        </is>
      </c>
      <c r="AR3" s="2" t="inlineStr">
        <is>
          <t>Realizado</t>
        </is>
      </c>
      <c r="AS3" s="2" t="inlineStr">
        <is>
          <t>Base</t>
        </is>
      </c>
      <c r="AT3" s="2" t="inlineStr">
        <is>
          <t>Previsto</t>
        </is>
      </c>
      <c r="AU3" s="2" t="inlineStr">
        <is>
          <t>Realizado</t>
        </is>
      </c>
      <c r="AV3" s="2" t="inlineStr">
        <is>
          <t>Base</t>
        </is>
      </c>
      <c r="AW3" s="2" t="inlineStr">
        <is>
          <t>Previsto</t>
        </is>
      </c>
      <c r="AX3" s="2" t="inlineStr">
        <is>
          <t>Realizado</t>
        </is>
      </c>
      <c r="AY3" s="2" t="inlineStr">
        <is>
          <t>Base</t>
        </is>
      </c>
      <c r="AZ3" s="2" t="inlineStr">
        <is>
          <t>Previsto</t>
        </is>
      </c>
      <c r="BA3" s="2" t="inlineStr">
        <is>
          <t>Realizado</t>
        </is>
      </c>
      <c r="BB3" s="2" t="inlineStr">
        <is>
          <t>Base</t>
        </is>
      </c>
      <c r="BC3" s="2" t="inlineStr">
        <is>
          <t>Previsto</t>
        </is>
      </c>
      <c r="BD3" s="2" t="inlineStr">
        <is>
          <t>Realizado</t>
        </is>
      </c>
      <c r="BE3" s="2" t="inlineStr">
        <is>
          <t>Base</t>
        </is>
      </c>
      <c r="BF3" s="2" t="inlineStr">
        <is>
          <t>Previsto</t>
        </is>
      </c>
      <c r="BG3" s="2" t="inlineStr">
        <is>
          <t>Realizado</t>
        </is>
      </c>
      <c r="BH3" s="2" t="inlineStr">
        <is>
          <t>Base</t>
        </is>
      </c>
      <c r="BI3" s="2" t="inlineStr">
        <is>
          <t>Previsto</t>
        </is>
      </c>
      <c r="BJ3" s="2" t="inlineStr">
        <is>
          <t>Realizado</t>
        </is>
      </c>
      <c r="BK3" s="2" t="inlineStr">
        <is>
          <t>Base</t>
        </is>
      </c>
      <c r="BL3" s="2" t="inlineStr">
        <is>
          <t>Previsto</t>
        </is>
      </c>
      <c r="BM3" s="2" t="inlineStr">
        <is>
          <t>Realizado</t>
        </is>
      </c>
      <c r="BN3" s="2" t="inlineStr">
        <is>
          <t>Base</t>
        </is>
      </c>
      <c r="BO3" s="2" t="inlineStr">
        <is>
          <t>Previsto</t>
        </is>
      </c>
      <c r="BP3" s="2" t="inlineStr">
        <is>
          <t>Realizado</t>
        </is>
      </c>
      <c r="BQ3" s="2" t="inlineStr">
        <is>
          <t>Base</t>
        </is>
      </c>
      <c r="BR3" s="2" t="inlineStr">
        <is>
          <t>Previsto</t>
        </is>
      </c>
      <c r="BS3" s="2" t="inlineStr">
        <is>
          <t>Realizado</t>
        </is>
      </c>
      <c r="BT3" s="2" t="inlineStr">
        <is>
          <t>Base</t>
        </is>
      </c>
      <c r="BU3" s="2" t="inlineStr">
        <is>
          <t>Previsto</t>
        </is>
      </c>
      <c r="BV3" s="2" t="inlineStr">
        <is>
          <t>Realizado</t>
        </is>
      </c>
      <c r="BW3" s="2" t="inlineStr">
        <is>
          <t>Base</t>
        </is>
      </c>
      <c r="BX3" s="2" t="inlineStr">
        <is>
          <t>Previsto</t>
        </is>
      </c>
      <c r="BY3" s="2" t="inlineStr">
        <is>
          <t>Realizado</t>
        </is>
      </c>
      <c r="BZ3" s="2" t="inlineStr">
        <is>
          <t>Base</t>
        </is>
      </c>
      <c r="CA3" s="2" t="inlineStr">
        <is>
          <t>Previsto</t>
        </is>
      </c>
      <c r="CB3" s="2" t="inlineStr">
        <is>
          <t>Realizado</t>
        </is>
      </c>
      <c r="CC3" s="2" t="inlineStr">
        <is>
          <t>Base</t>
        </is>
      </c>
      <c r="CD3" s="2" t="inlineStr">
        <is>
          <t>Previsto</t>
        </is>
      </c>
      <c r="CE3" s="2" t="inlineStr">
        <is>
          <t>Realizado</t>
        </is>
      </c>
      <c r="CF3" s="2" t="inlineStr">
        <is>
          <t>Base</t>
        </is>
      </c>
      <c r="CG3" s="2" t="inlineStr">
        <is>
          <t>Previsto</t>
        </is>
      </c>
      <c r="CH3" s="2" t="inlineStr">
        <is>
          <t>Realizado</t>
        </is>
      </c>
      <c r="CI3" s="2" t="inlineStr">
        <is>
          <t>Base</t>
        </is>
      </c>
      <c r="CJ3" s="2" t="inlineStr">
        <is>
          <t>Previsto</t>
        </is>
      </c>
      <c r="CK3" s="2" t="inlineStr">
        <is>
          <t>Realizado</t>
        </is>
      </c>
      <c r="CL3" s="2" t="inlineStr">
        <is>
          <t>Base</t>
        </is>
      </c>
      <c r="CM3" s="2" t="inlineStr">
        <is>
          <t>Previsto</t>
        </is>
      </c>
      <c r="CN3" s="2" t="inlineStr">
        <is>
          <t>Realizado</t>
        </is>
      </c>
      <c r="CO3" s="2" t="inlineStr">
        <is>
          <t>Base</t>
        </is>
      </c>
      <c r="CP3" s="2" t="inlineStr">
        <is>
          <t>Previsto</t>
        </is>
      </c>
      <c r="CQ3" s="2" t="inlineStr">
        <is>
          <t>Realizado</t>
        </is>
      </c>
      <c r="CR3" s="2" t="inlineStr">
        <is>
          <t>Base</t>
        </is>
      </c>
      <c r="CS3" s="2" t="inlineStr">
        <is>
          <t>Previsto</t>
        </is>
      </c>
      <c r="CT3" s="2" t="inlineStr">
        <is>
          <t>Realizado</t>
        </is>
      </c>
      <c r="CU3" s="2" t="inlineStr">
        <is>
          <t>Base</t>
        </is>
      </c>
      <c r="CV3" s="2" t="inlineStr">
        <is>
          <t>Previsto</t>
        </is>
      </c>
      <c r="CW3" s="2" t="inlineStr">
        <is>
          <t>Realizado</t>
        </is>
      </c>
      <c r="CX3" s="2" t="inlineStr">
        <is>
          <t>Base</t>
        </is>
      </c>
      <c r="CY3" s="2" t="inlineStr">
        <is>
          <t>Previsto</t>
        </is>
      </c>
      <c r="CZ3" s="2" t="inlineStr">
        <is>
          <t>Realizado</t>
        </is>
      </c>
      <c r="DA3" s="2" t="inlineStr">
        <is>
          <t>Base</t>
        </is>
      </c>
      <c r="DB3" s="2" t="inlineStr">
        <is>
          <t>Previsto</t>
        </is>
      </c>
      <c r="DC3" s="2" t="inlineStr">
        <is>
          <t>Realizado</t>
        </is>
      </c>
      <c r="DD3" s="2" t="inlineStr">
        <is>
          <t>Base</t>
        </is>
      </c>
      <c r="DE3" s="2" t="inlineStr">
        <is>
          <t>Previsto</t>
        </is>
      </c>
      <c r="DF3" s="2" t="inlineStr">
        <is>
          <t>Realizado</t>
        </is>
      </c>
      <c r="DG3" s="2" t="inlineStr">
        <is>
          <t>Base</t>
        </is>
      </c>
      <c r="DH3" s="2" t="inlineStr">
        <is>
          <t>Previsto</t>
        </is>
      </c>
      <c r="DI3" s="2" t="inlineStr">
        <is>
          <t>Realizado</t>
        </is>
      </c>
      <c r="DJ3" s="2" t="inlineStr">
        <is>
          <t>Base</t>
        </is>
      </c>
      <c r="DK3" s="2" t="inlineStr">
        <is>
          <t>Previsto</t>
        </is>
      </c>
      <c r="DL3" s="2" t="inlineStr">
        <is>
          <t>Realizado</t>
        </is>
      </c>
      <c r="DM3" s="2" t="inlineStr">
        <is>
          <t>Base</t>
        </is>
      </c>
      <c r="DN3" s="2" t="inlineStr">
        <is>
          <t>Previsto</t>
        </is>
      </c>
      <c r="DO3" s="2" t="inlineStr">
        <is>
          <t>Realizado</t>
        </is>
      </c>
      <c r="DP3" s="2" t="inlineStr">
        <is>
          <t>Base</t>
        </is>
      </c>
      <c r="DQ3" s="2" t="inlineStr">
        <is>
          <t>Previsto</t>
        </is>
      </c>
      <c r="DR3" s="2" t="inlineStr">
        <is>
          <t>Realizado</t>
        </is>
      </c>
      <c r="DS3" s="2" t="inlineStr">
        <is>
          <t>Base</t>
        </is>
      </c>
      <c r="DT3" s="2" t="inlineStr">
        <is>
          <t>Previsto</t>
        </is>
      </c>
      <c r="DU3" s="2" t="inlineStr">
        <is>
          <t>Realizado</t>
        </is>
      </c>
      <c r="DV3" s="2" t="inlineStr">
        <is>
          <t>Base</t>
        </is>
      </c>
      <c r="DW3" s="2" t="inlineStr">
        <is>
          <t>Previsto</t>
        </is>
      </c>
      <c r="DX3" s="2" t="inlineStr">
        <is>
          <t>Realizado</t>
        </is>
      </c>
      <c r="DY3" s="2" t="inlineStr">
        <is>
          <t>Base</t>
        </is>
      </c>
      <c r="DZ3" s="2" t="inlineStr">
        <is>
          <t>Previsto</t>
        </is>
      </c>
      <c r="EA3" s="2" t="inlineStr">
        <is>
          <t>Realizado</t>
        </is>
      </c>
      <c r="EB3" s="2" t="inlineStr">
        <is>
          <t>Base</t>
        </is>
      </c>
      <c r="EC3" s="2" t="inlineStr">
        <is>
          <t>Previsto</t>
        </is>
      </c>
      <c r="ED3" s="2" t="inlineStr">
        <is>
          <t>Realizado</t>
        </is>
      </c>
      <c r="EE3" s="2" t="inlineStr">
        <is>
          <t>Base</t>
        </is>
      </c>
      <c r="EF3" s="2" t="inlineStr">
        <is>
          <t>Previsto</t>
        </is>
      </c>
      <c r="EG3" s="2" t="inlineStr">
        <is>
          <t>Realizado</t>
        </is>
      </c>
      <c r="EH3" s="2" t="inlineStr">
        <is>
          <t>Base</t>
        </is>
      </c>
      <c r="EI3" s="2" t="inlineStr">
        <is>
          <t>Previsto</t>
        </is>
      </c>
      <c r="EJ3" s="2" t="inlineStr">
        <is>
          <t>Realizado</t>
        </is>
      </c>
      <c r="EK3" s="2" t="inlineStr">
        <is>
          <t>Base</t>
        </is>
      </c>
      <c r="EL3" s="2" t="inlineStr">
        <is>
          <t>Previsto</t>
        </is>
      </c>
      <c r="EM3" s="2" t="inlineStr">
        <is>
          <t>Realizado</t>
        </is>
      </c>
      <c r="EN3" s="2" t="inlineStr">
        <is>
          <t>Base</t>
        </is>
      </c>
      <c r="EO3" s="2" t="inlineStr">
        <is>
          <t>Previsto</t>
        </is>
      </c>
      <c r="EP3" s="2" t="inlineStr">
        <is>
          <t>Realizado</t>
        </is>
      </c>
      <c r="EQ3" s="2" t="inlineStr">
        <is>
          <t>Base</t>
        </is>
      </c>
      <c r="ER3" s="2" t="inlineStr">
        <is>
          <t>Previsto</t>
        </is>
      </c>
      <c r="ES3" s="2" t="inlineStr">
        <is>
          <t>Realizado</t>
        </is>
      </c>
    </row>
    <row r="4">
      <c r="A4" s="2" t="n">
        <v>1</v>
      </c>
      <c r="B4" s="2" t="inlineStr">
        <is>
          <t>01</t>
        </is>
      </c>
      <c r="C4" s="2" t="inlineStr">
        <is>
          <t>PROJETOS</t>
        </is>
      </c>
      <c r="D4" s="2" t="inlineStr">
        <is>
          <t>-</t>
        </is>
      </c>
      <c r="E4" s="2" t="inlineStr">
        <is>
          <t>-</t>
        </is>
      </c>
      <c r="F4" s="2" t="n">
        <v>2400000</v>
      </c>
      <c r="G4" s="2" t="n">
        <v>0</v>
      </c>
      <c r="H4" s="2" t="n">
        <v>2400000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</row>
    <row r="5">
      <c r="A5" s="2" t="n">
        <v>2</v>
      </c>
      <c r="B5" s="2" t="inlineStr">
        <is>
          <t>01.01</t>
        </is>
      </c>
      <c r="C5" s="2" t="inlineStr">
        <is>
          <t>Elaboração de Básicos e Executivos</t>
        </is>
      </c>
      <c r="D5" s="2" t="inlineStr">
        <is>
          <t>-</t>
        </is>
      </c>
      <c r="E5" s="2" t="inlineStr">
        <is>
          <t>-</t>
        </is>
      </c>
      <c r="F5" s="2" t="n">
        <v>2400000</v>
      </c>
      <c r="G5" s="2" t="n">
        <v>0</v>
      </c>
      <c r="H5" s="2" t="n">
        <v>2400000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</row>
    <row r="6">
      <c r="A6" s="2" t="n">
        <v>1</v>
      </c>
      <c r="B6" s="2" t="inlineStr">
        <is>
          <t>02</t>
        </is>
      </c>
      <c r="C6" s="2" t="inlineStr">
        <is>
          <t>SEGURO DE OBRA</t>
        </is>
      </c>
      <c r="D6" s="2" t="inlineStr">
        <is>
          <t>-</t>
        </is>
      </c>
      <c r="E6" s="2" t="inlineStr">
        <is>
          <t>-</t>
        </is>
      </c>
      <c r="F6" s="2" t="n">
        <v>126154.98</v>
      </c>
      <c r="G6" s="2" t="n">
        <v>0</v>
      </c>
      <c r="H6" s="2" t="n">
        <v>126154.98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</row>
    <row r="7">
      <c r="A7" s="2" t="n">
        <v>2</v>
      </c>
      <c r="B7" s="2" t="inlineStr">
        <is>
          <t>02.01</t>
        </is>
      </c>
      <c r="C7" s="2" t="inlineStr">
        <is>
          <t>Seguro de obra</t>
        </is>
      </c>
      <c r="D7" s="2" t="inlineStr">
        <is>
          <t>-</t>
        </is>
      </c>
      <c r="E7" s="2" t="inlineStr">
        <is>
          <t>-</t>
        </is>
      </c>
      <c r="F7" s="2" t="n">
        <v>126154.98</v>
      </c>
      <c r="G7" s="2" t="n">
        <v>0</v>
      </c>
      <c r="H7" s="2" t="n">
        <v>126154.98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</row>
    <row r="8">
      <c r="A8" s="2" t="n">
        <v>1</v>
      </c>
      <c r="B8" s="2" t="inlineStr">
        <is>
          <t>03</t>
        </is>
      </c>
      <c r="C8" s="2" t="inlineStr">
        <is>
          <t>TAXAS DIVERSAS</t>
        </is>
      </c>
      <c r="D8" s="2" t="inlineStr">
        <is>
          <t>-</t>
        </is>
      </c>
      <c r="E8" s="2" t="inlineStr">
        <is>
          <t>-</t>
        </is>
      </c>
      <c r="F8" s="2" t="n">
        <v>150000</v>
      </c>
      <c r="G8" s="2" t="n">
        <v>0</v>
      </c>
      <c r="H8" s="2" t="n">
        <v>150000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</row>
    <row r="9">
      <c r="A9" s="2" t="n">
        <v>2</v>
      </c>
      <c r="B9" s="2" t="inlineStr">
        <is>
          <t>03.01</t>
        </is>
      </c>
      <c r="C9" s="2" t="inlineStr">
        <is>
          <t>Despesas legais</t>
        </is>
      </c>
      <c r="D9" s="2" t="inlineStr">
        <is>
          <t>-</t>
        </is>
      </c>
      <c r="E9" s="2" t="inlineStr">
        <is>
          <t>-</t>
        </is>
      </c>
      <c r="F9" s="2" t="n">
        <v>100000</v>
      </c>
      <c r="G9" s="2" t="n">
        <v>0</v>
      </c>
      <c r="H9" s="2" t="n">
        <v>100000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</row>
    <row r="10">
      <c r="A10" s="2" t="n">
        <v>2</v>
      </c>
      <c r="B10" s="2" t="inlineStr">
        <is>
          <t>03.02</t>
        </is>
      </c>
      <c r="C10" s="2" t="inlineStr">
        <is>
          <t>Custos com vizinhos proveniente de danos causados pela execução da obra</t>
        </is>
      </c>
      <c r="D10" s="2" t="inlineStr">
        <is>
          <t>-</t>
        </is>
      </c>
      <c r="E10" s="2" t="inlineStr">
        <is>
          <t>-</t>
        </is>
      </c>
      <c r="F10" s="2" t="n">
        <v>50000</v>
      </c>
      <c r="G10" s="2" t="n">
        <v>0</v>
      </c>
      <c r="H10" s="2" t="n">
        <v>50000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</row>
    <row r="11">
      <c r="A11" s="2" t="n">
        <v>1</v>
      </c>
      <c r="B11" s="2" t="inlineStr">
        <is>
          <t>04</t>
        </is>
      </c>
      <c r="C11" s="2" t="inlineStr">
        <is>
          <t>BARRACAO DE OBRA</t>
        </is>
      </c>
      <c r="D11" s="2" t="inlineStr">
        <is>
          <t>-</t>
        </is>
      </c>
      <c r="E11" s="2" t="inlineStr">
        <is>
          <t>-</t>
        </is>
      </c>
      <c r="F11" s="2" t="n">
        <v>934513.1307375047</v>
      </c>
      <c r="G11" s="2" t="n">
        <v>0</v>
      </c>
      <c r="H11" s="2" t="n">
        <v>934513.1307375047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</row>
    <row r="12">
      <c r="A12" s="2" t="n">
        <v>2</v>
      </c>
      <c r="B12" s="2" t="inlineStr">
        <is>
          <t>04.01</t>
        </is>
      </c>
      <c r="C12" s="2" t="inlineStr">
        <is>
          <t>Fechamento Lateral</t>
        </is>
      </c>
      <c r="D12" s="2" t="inlineStr">
        <is>
          <t>-</t>
        </is>
      </c>
      <c r="E12" s="2" t="inlineStr">
        <is>
          <t>-</t>
        </is>
      </c>
      <c r="F12" s="2" t="n">
        <v>261239.6109999999</v>
      </c>
      <c r="G12" s="2" t="n">
        <v>0</v>
      </c>
      <c r="H12" s="2" t="n">
        <v>261239.6109999999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</row>
    <row r="13">
      <c r="A13" s="2" t="n">
        <v>3</v>
      </c>
      <c r="B13" s="2" t="inlineStr">
        <is>
          <t>04.01.01</t>
        </is>
      </c>
      <c r="C13" s="2" t="inlineStr">
        <is>
          <t>Tapumes de telha metálica, acabamento em plotagem vinílica</t>
        </is>
      </c>
      <c r="D13" s="2" t="inlineStr">
        <is>
          <t>-</t>
        </is>
      </c>
      <c r="E13" s="2" t="inlineStr">
        <is>
          <t>-</t>
        </is>
      </c>
      <c r="F13" s="2" t="n">
        <v>260739.6109999999</v>
      </c>
      <c r="G13" s="2" t="n">
        <v>0</v>
      </c>
      <c r="H13" s="2" t="n">
        <v>260739.6109999999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</row>
    <row r="14">
      <c r="A14" s="2" t="n">
        <v>3</v>
      </c>
      <c r="B14" s="2" t="inlineStr">
        <is>
          <t>04.01.02</t>
        </is>
      </c>
      <c r="C14" s="2" t="inlineStr">
        <is>
          <t>Placas de Obra - ART padrão CREA</t>
        </is>
      </c>
      <c r="D14" s="2" t="inlineStr">
        <is>
          <t>-</t>
        </is>
      </c>
      <c r="E14" s="2" t="inlineStr">
        <is>
          <t>-</t>
        </is>
      </c>
      <c r="F14" s="2" t="n">
        <v>500</v>
      </c>
      <c r="G14" s="2" t="n">
        <v>0</v>
      </c>
      <c r="H14" s="2" t="n">
        <v>500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</row>
    <row r="15">
      <c r="A15" s="2" t="n">
        <v>2</v>
      </c>
      <c r="B15" s="2" t="inlineStr">
        <is>
          <t>04.02</t>
        </is>
      </c>
      <c r="C15" s="2" t="inlineStr">
        <is>
          <t>Implantação do Canteiro de obras - Fase 1</t>
        </is>
      </c>
      <c r="D15" s="2" t="inlineStr">
        <is>
          <t>-</t>
        </is>
      </c>
      <c r="E15" s="2" t="inlineStr">
        <is>
          <t>-</t>
        </is>
      </c>
      <c r="F15" s="2" t="n">
        <v>252548.7544262426</v>
      </c>
      <c r="G15" s="2" t="n">
        <v>0</v>
      </c>
      <c r="H15" s="2" t="n">
        <v>252548.7544262426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</row>
    <row r="16">
      <c r="A16" s="2" t="n">
        <v>3</v>
      </c>
      <c r="B16" s="2" t="inlineStr">
        <is>
          <t>04.02.01</t>
        </is>
      </c>
      <c r="C16" s="2" t="inlineStr">
        <is>
          <t>Escritórios</t>
        </is>
      </c>
      <c r="D16" s="2" t="inlineStr">
        <is>
          <t>-</t>
        </is>
      </c>
      <c r="E16" s="2" t="inlineStr">
        <is>
          <t>-</t>
        </is>
      </c>
      <c r="F16" s="2" t="n">
        <v>70540.44030845036</v>
      </c>
      <c r="G16" s="2" t="n">
        <v>0</v>
      </c>
      <c r="H16" s="2" t="n">
        <v>70540.44030845036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</row>
    <row r="17">
      <c r="A17" s="2" t="n">
        <v>3</v>
      </c>
      <c r="B17" s="2" t="inlineStr">
        <is>
          <t>04.02.02</t>
        </is>
      </c>
      <c r="C17" s="2" t="inlineStr">
        <is>
          <t>Banheiro/vestiário</t>
        </is>
      </c>
      <c r="D17" s="2" t="inlineStr">
        <is>
          <t>-</t>
        </is>
      </c>
      <c r="E17" s="2" t="inlineStr">
        <is>
          <t>-</t>
        </is>
      </c>
      <c r="F17" s="2" t="n">
        <v>63432.61875832717</v>
      </c>
      <c r="G17" s="2" t="n">
        <v>0</v>
      </c>
      <c r="H17" s="2" t="n">
        <v>63432.61875832717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</row>
    <row r="18">
      <c r="A18" s="2" t="n">
        <v>3</v>
      </c>
      <c r="B18" s="2" t="inlineStr">
        <is>
          <t>04.02.03</t>
        </is>
      </c>
      <c r="C18" s="2" t="inlineStr">
        <is>
          <t>Portaria / Chapeira de ponto</t>
        </is>
      </c>
      <c r="D18" s="2" t="inlineStr">
        <is>
          <t>-</t>
        </is>
      </c>
      <c r="E18" s="2" t="inlineStr">
        <is>
          <t>-</t>
        </is>
      </c>
      <c r="F18" s="2" t="n">
        <v>1718.488338542972</v>
      </c>
      <c r="G18" s="2" t="n">
        <v>0</v>
      </c>
      <c r="H18" s="2" t="n">
        <v>1718.488338542972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</row>
    <row r="19">
      <c r="A19" s="2" t="n">
        <v>3</v>
      </c>
      <c r="B19" s="2" t="inlineStr">
        <is>
          <t>04.02.04</t>
        </is>
      </c>
      <c r="C19" s="2" t="inlineStr">
        <is>
          <t>Refeitório / Cozinha</t>
        </is>
      </c>
      <c r="D19" s="2" t="inlineStr">
        <is>
          <t>-</t>
        </is>
      </c>
      <c r="E19" s="2" t="inlineStr">
        <is>
          <t>-</t>
        </is>
      </c>
      <c r="F19" s="2" t="n">
        <v>51554.65015628916</v>
      </c>
      <c r="G19" s="2" t="n">
        <v>0</v>
      </c>
      <c r="H19" s="2" t="n">
        <v>51554.65015628916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</row>
    <row r="20">
      <c r="A20" s="2" t="n">
        <v>3</v>
      </c>
      <c r="B20" s="2" t="inlineStr">
        <is>
          <t>04.02.05</t>
        </is>
      </c>
      <c r="C20" s="2" t="inlineStr">
        <is>
          <t>Almoxarifado (depósito)</t>
        </is>
      </c>
      <c r="D20" s="2" t="inlineStr">
        <is>
          <t>-</t>
        </is>
      </c>
      <c r="E20" s="2" t="inlineStr">
        <is>
          <t>-</t>
        </is>
      </c>
      <c r="F20" s="2" t="n">
        <v>44680.69680211728</v>
      </c>
      <c r="G20" s="2" t="n">
        <v>0</v>
      </c>
      <c r="H20" s="2" t="n">
        <v>44680.69680211728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</row>
    <row r="21">
      <c r="A21" s="2" t="n">
        <v>3</v>
      </c>
      <c r="B21" s="2" t="inlineStr">
        <is>
          <t>04.02.06</t>
        </is>
      </c>
      <c r="C21" s="2" t="inlineStr">
        <is>
          <t>Almoxarifado (área coberta externa)</t>
        </is>
      </c>
      <c r="D21" s="2" t="inlineStr">
        <is>
          <t>-</t>
        </is>
      </c>
      <c r="E21" s="2" t="inlineStr">
        <is>
          <t>-</t>
        </is>
      </c>
      <c r="F21" s="2" t="n">
        <v>20621.86006251567</v>
      </c>
      <c r="G21" s="2" t="n">
        <v>0</v>
      </c>
      <c r="H21" s="2" t="n">
        <v>20621.86006251567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</row>
    <row r="22">
      <c r="A22" s="2" t="n">
        <v>2</v>
      </c>
      <c r="B22" s="2" t="inlineStr">
        <is>
          <t>04.03</t>
        </is>
      </c>
      <c r="C22" s="2" t="inlineStr">
        <is>
          <t>Implantação do Canteiro de obras - Fase 2 (Transferência para dentro do edifício)</t>
        </is>
      </c>
      <c r="D22" s="2" t="inlineStr">
        <is>
          <t>-</t>
        </is>
      </c>
      <c r="E22" s="2" t="inlineStr">
        <is>
          <t>-</t>
        </is>
      </c>
      <c r="F22" s="2" t="n">
        <v>174114.8111835668</v>
      </c>
      <c r="G22" s="2" t="n">
        <v>0</v>
      </c>
      <c r="H22" s="2" t="n">
        <v>174114.8111835668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</row>
    <row r="23">
      <c r="A23" s="2" t="n">
        <v>3</v>
      </c>
      <c r="B23" s="2" t="inlineStr">
        <is>
          <t>04.03.01</t>
        </is>
      </c>
      <c r="C23" s="2" t="inlineStr">
        <is>
          <t>Escritórios</t>
        </is>
      </c>
      <c r="D23" s="2" t="inlineStr">
        <is>
          <t>-</t>
        </is>
      </c>
      <c r="E23" s="2" t="inlineStr">
        <is>
          <t>-</t>
        </is>
      </c>
      <c r="F23" s="2" t="n">
        <v>49479.8949797019</v>
      </c>
      <c r="G23" s="2" t="n">
        <v>0</v>
      </c>
      <c r="H23" s="2" t="n">
        <v>49479.8949797019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</row>
    <row r="24">
      <c r="A24" s="2" t="n">
        <v>3</v>
      </c>
      <c r="B24" s="2" t="inlineStr">
        <is>
          <t>04.03.02</t>
        </is>
      </c>
      <c r="C24" s="2" t="inlineStr">
        <is>
          <t>Banheiro/vestiário</t>
        </is>
      </c>
      <c r="D24" s="2" t="inlineStr">
        <is>
          <t>-</t>
        </is>
      </c>
      <c r="E24" s="2" t="inlineStr">
        <is>
          <t>-</t>
        </is>
      </c>
      <c r="F24" s="2" t="n">
        <v>45794.41204550034</v>
      </c>
      <c r="G24" s="2" t="n">
        <v>0</v>
      </c>
      <c r="H24" s="2" t="n">
        <v>45794.41204550034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</row>
    <row r="25">
      <c r="A25" s="2" t="n">
        <v>3</v>
      </c>
      <c r="B25" s="2" t="inlineStr">
        <is>
          <t>04.03.03</t>
        </is>
      </c>
      <c r="C25" s="2" t="inlineStr">
        <is>
          <t>Refeitório / Cozinha</t>
        </is>
      </c>
      <c r="D25" s="2" t="inlineStr">
        <is>
          <t>-</t>
        </is>
      </c>
      <c r="E25" s="2" t="inlineStr">
        <is>
          <t>-</t>
        </is>
      </c>
      <c r="F25" s="2" t="n">
        <v>42235.98437055242</v>
      </c>
      <c r="G25" s="2" t="n">
        <v>0</v>
      </c>
      <c r="H25" s="2" t="n">
        <v>42235.98437055242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</row>
    <row r="26">
      <c r="A26" s="2" t="n">
        <v>3</v>
      </c>
      <c r="B26" s="2" t="inlineStr">
        <is>
          <t>04.03.04</t>
        </is>
      </c>
      <c r="C26" s="2" t="inlineStr">
        <is>
          <t>Almoxarifado (depósito)</t>
        </is>
      </c>
      <c r="D26" s="2" t="inlineStr">
        <is>
          <t>-</t>
        </is>
      </c>
      <c r="E26" s="2" t="inlineStr">
        <is>
          <t>-</t>
        </is>
      </c>
      <c r="F26" s="2" t="n">
        <v>36604.5197878121</v>
      </c>
      <c r="G26" s="2" t="n">
        <v>0</v>
      </c>
      <c r="H26" s="2" t="n">
        <v>36604.5197878121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0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0</v>
      </c>
      <c r="EM26" s="2" t="n">
        <v>0</v>
      </c>
      <c r="EN26" s="2" t="n">
        <v>0</v>
      </c>
      <c r="EO26" s="2" t="n">
        <v>0</v>
      </c>
      <c r="EP26" s="2" t="n">
        <v>0</v>
      </c>
      <c r="EQ26" s="2" t="n">
        <v>0</v>
      </c>
      <c r="ER26" s="2" t="n">
        <v>0</v>
      </c>
      <c r="ES26" s="2" t="n">
        <v>0</v>
      </c>
    </row>
    <row r="27">
      <c r="A27" s="2" t="n">
        <v>2</v>
      </c>
      <c r="B27" s="2" t="inlineStr">
        <is>
          <t>04.04</t>
        </is>
      </c>
      <c r="C27" s="2" t="inlineStr">
        <is>
          <t>Instalações avancadas</t>
        </is>
      </c>
      <c r="D27" s="2" t="inlineStr">
        <is>
          <t>-</t>
        </is>
      </c>
      <c r="E27" s="2" t="inlineStr">
        <is>
          <t>-</t>
        </is>
      </c>
      <c r="F27" s="2" t="n">
        <v>25661.59062233145</v>
      </c>
      <c r="G27" s="2" t="n">
        <v>0</v>
      </c>
      <c r="H27" s="2" t="n">
        <v>25661.59062233145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0</v>
      </c>
    </row>
    <row r="28">
      <c r="A28" s="2" t="n">
        <v>3</v>
      </c>
      <c r="B28" s="2" t="inlineStr">
        <is>
          <t>04.04.01</t>
        </is>
      </c>
      <c r="C28" s="2" t="inlineStr">
        <is>
          <t>Central de Armação</t>
        </is>
      </c>
      <c r="D28" s="2" t="inlineStr">
        <is>
          <t>-</t>
        </is>
      </c>
      <c r="E28" s="2" t="inlineStr">
        <is>
          <t>-</t>
        </is>
      </c>
      <c r="F28" s="2" t="n">
        <v>8447.196874110485</v>
      </c>
      <c r="G28" s="2" t="n">
        <v>0</v>
      </c>
      <c r="H28" s="2" t="n">
        <v>8447.196874110485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</row>
    <row r="29">
      <c r="A29" s="2" t="n">
        <v>3</v>
      </c>
      <c r="B29" s="2" t="inlineStr">
        <is>
          <t>04.04.02</t>
        </is>
      </c>
      <c r="C29" s="2" t="inlineStr">
        <is>
          <t>Central de Formas</t>
        </is>
      </c>
      <c r="D29" s="2" t="inlineStr">
        <is>
          <t>-</t>
        </is>
      </c>
      <c r="E29" s="2" t="inlineStr">
        <is>
          <t>-</t>
        </is>
      </c>
      <c r="F29" s="2" t="n">
        <v>8447.196874110485</v>
      </c>
      <c r="G29" s="2" t="n">
        <v>0</v>
      </c>
      <c r="H29" s="2" t="n">
        <v>8447.196874110485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0</v>
      </c>
      <c r="EM29" s="2" t="n">
        <v>0</v>
      </c>
      <c r="EN29" s="2" t="n">
        <v>0</v>
      </c>
      <c r="EO29" s="2" t="n">
        <v>0</v>
      </c>
      <c r="EP29" s="2" t="n">
        <v>0</v>
      </c>
      <c r="EQ29" s="2" t="n">
        <v>0</v>
      </c>
      <c r="ER29" s="2" t="n">
        <v>0</v>
      </c>
      <c r="ES29" s="2" t="n">
        <v>0</v>
      </c>
    </row>
    <row r="30">
      <c r="A30" s="2" t="n">
        <v>3</v>
      </c>
      <c r="B30" s="2" t="inlineStr">
        <is>
          <t>04.04.03</t>
        </is>
      </c>
      <c r="C30" s="2" t="inlineStr">
        <is>
          <t>Central de Argamassa</t>
        </is>
      </c>
      <c r="D30" s="2" t="inlineStr">
        <is>
          <t>-</t>
        </is>
      </c>
      <c r="E30" s="2" t="inlineStr">
        <is>
          <t>-</t>
        </is>
      </c>
      <c r="F30" s="2" t="n">
        <v>8447.196874110485</v>
      </c>
      <c r="G30" s="2" t="n">
        <v>0</v>
      </c>
      <c r="H30" s="2" t="n">
        <v>8447.196874110485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0</v>
      </c>
      <c r="ER30" s="2" t="n">
        <v>0</v>
      </c>
      <c r="ES30" s="2" t="n">
        <v>0</v>
      </c>
    </row>
    <row r="31">
      <c r="A31" s="2" t="n">
        <v>3</v>
      </c>
      <c r="B31" s="2" t="inlineStr">
        <is>
          <t>04.04.04</t>
        </is>
      </c>
      <c r="C31" s="2" t="inlineStr">
        <is>
          <t>Extintores de Incêndio</t>
        </is>
      </c>
      <c r="D31" s="2" t="inlineStr">
        <is>
          <t>-</t>
        </is>
      </c>
      <c r="E31" s="2" t="inlineStr">
        <is>
          <t>-</t>
        </is>
      </c>
      <c r="F31" s="2" t="n">
        <v>320</v>
      </c>
      <c r="G31" s="2" t="n">
        <v>0</v>
      </c>
      <c r="H31" s="2" t="n">
        <v>320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0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0</v>
      </c>
      <c r="ER31" s="2" t="n">
        <v>0</v>
      </c>
      <c r="ES31" s="2" t="n">
        <v>0</v>
      </c>
    </row>
    <row r="32">
      <c r="A32" s="2" t="n">
        <v>2</v>
      </c>
      <c r="B32" s="2" t="inlineStr">
        <is>
          <t>04.05</t>
        </is>
      </c>
      <c r="C32" s="2" t="inlineStr">
        <is>
          <t>Mobiliário para canteiro de obras</t>
        </is>
      </c>
      <c r="D32" s="2" t="inlineStr">
        <is>
          <t>-</t>
        </is>
      </c>
      <c r="E32" s="2" t="inlineStr">
        <is>
          <t>-</t>
        </is>
      </c>
      <c r="F32" s="2" t="n">
        <v>175664.5</v>
      </c>
      <c r="G32" s="2" t="n">
        <v>0</v>
      </c>
      <c r="H32" s="2" t="n">
        <v>175664.5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0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0</v>
      </c>
      <c r="ER32" s="2" t="n">
        <v>0</v>
      </c>
      <c r="ES32" s="2" t="n">
        <v>0</v>
      </c>
    </row>
    <row r="33">
      <c r="A33" s="2" t="n">
        <v>3</v>
      </c>
      <c r="B33" s="2" t="inlineStr">
        <is>
          <t>04.05.01</t>
        </is>
      </c>
      <c r="C33" s="2" t="inlineStr">
        <is>
          <t>Escritório</t>
        </is>
      </c>
      <c r="D33" s="2" t="inlineStr">
        <is>
          <t>-</t>
        </is>
      </c>
      <c r="E33" s="2" t="inlineStr">
        <is>
          <t>-</t>
        </is>
      </c>
      <c r="F33" s="2" t="n">
        <v>62703</v>
      </c>
      <c r="G33" s="2" t="n">
        <v>0</v>
      </c>
      <c r="H33" s="2" t="n">
        <v>62703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0</v>
      </c>
      <c r="ER33" s="2" t="n">
        <v>0</v>
      </c>
      <c r="ES33" s="2" t="n">
        <v>0</v>
      </c>
    </row>
    <row r="34">
      <c r="A34" s="2" t="n">
        <v>4</v>
      </c>
      <c r="B34" s="2" t="inlineStr">
        <is>
          <t>04.05.01.01</t>
        </is>
      </c>
      <c r="C34" s="2" t="inlineStr">
        <is>
          <t>Armário (arquivo)</t>
        </is>
      </c>
      <c r="D34" s="2" t="inlineStr">
        <is>
          <t>-</t>
        </is>
      </c>
      <c r="E34" s="2" t="inlineStr">
        <is>
          <t>-</t>
        </is>
      </c>
      <c r="F34" s="2" t="n">
        <v>2000</v>
      </c>
      <c r="G34" s="2" t="n">
        <v>0</v>
      </c>
      <c r="H34" s="2" t="n">
        <v>2000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0</v>
      </c>
      <c r="EM34" s="2" t="n">
        <v>0</v>
      </c>
      <c r="EN34" s="2" t="n">
        <v>0</v>
      </c>
      <c r="EO34" s="2" t="n">
        <v>0</v>
      </c>
      <c r="EP34" s="2" t="n">
        <v>0</v>
      </c>
      <c r="EQ34" s="2" t="n">
        <v>0</v>
      </c>
      <c r="ER34" s="2" t="n">
        <v>0</v>
      </c>
      <c r="ES34" s="2" t="n">
        <v>0</v>
      </c>
    </row>
    <row r="35">
      <c r="A35" s="2" t="n">
        <v>4</v>
      </c>
      <c r="B35" s="2" t="inlineStr">
        <is>
          <t>04.05.01.02</t>
        </is>
      </c>
      <c r="C35" s="2" t="inlineStr">
        <is>
          <t>Cadeira</t>
        </is>
      </c>
      <c r="D35" s="2" t="inlineStr">
        <is>
          <t>-</t>
        </is>
      </c>
      <c r="E35" s="2" t="inlineStr">
        <is>
          <t>-</t>
        </is>
      </c>
      <c r="F35" s="2" t="n">
        <v>3360</v>
      </c>
      <c r="G35" s="2" t="n">
        <v>0</v>
      </c>
      <c r="H35" s="2" t="n">
        <v>3360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0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0</v>
      </c>
      <c r="EM35" s="2" t="n">
        <v>0</v>
      </c>
      <c r="EN35" s="2" t="n">
        <v>0</v>
      </c>
      <c r="EO35" s="2" t="n">
        <v>0</v>
      </c>
      <c r="EP35" s="2" t="n">
        <v>0</v>
      </c>
      <c r="EQ35" s="2" t="n">
        <v>0</v>
      </c>
      <c r="ER35" s="2" t="n">
        <v>0</v>
      </c>
      <c r="ES35" s="2" t="n">
        <v>0</v>
      </c>
    </row>
    <row r="36">
      <c r="A36" s="2" t="n">
        <v>4</v>
      </c>
      <c r="B36" s="2" t="inlineStr">
        <is>
          <t>04.05.01.03</t>
        </is>
      </c>
      <c r="C36" s="2" t="inlineStr">
        <is>
          <t>Mesa</t>
        </is>
      </c>
      <c r="D36" s="2" t="inlineStr">
        <is>
          <t>-</t>
        </is>
      </c>
      <c r="E36" s="2" t="inlineStr">
        <is>
          <t>-</t>
        </is>
      </c>
      <c r="F36" s="2" t="n">
        <v>1650</v>
      </c>
      <c r="G36" s="2" t="n">
        <v>0</v>
      </c>
      <c r="H36" s="2" t="n">
        <v>1650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0</v>
      </c>
      <c r="EM36" s="2" t="n">
        <v>0</v>
      </c>
      <c r="EN36" s="2" t="n">
        <v>0</v>
      </c>
      <c r="EO36" s="2" t="n">
        <v>0</v>
      </c>
      <c r="EP36" s="2" t="n">
        <v>0</v>
      </c>
      <c r="EQ36" s="2" t="n">
        <v>0</v>
      </c>
      <c r="ER36" s="2" t="n">
        <v>0</v>
      </c>
      <c r="ES36" s="2" t="n">
        <v>0</v>
      </c>
    </row>
    <row r="37">
      <c r="A37" s="2" t="n">
        <v>4</v>
      </c>
      <c r="B37" s="2" t="inlineStr">
        <is>
          <t>04.05.01.04</t>
        </is>
      </c>
      <c r="C37" s="2" t="inlineStr">
        <is>
          <t>Mesa de reunião</t>
        </is>
      </c>
      <c r="D37" s="2" t="inlineStr">
        <is>
          <t>-</t>
        </is>
      </c>
      <c r="E37" s="2" t="inlineStr">
        <is>
          <t>-</t>
        </is>
      </c>
      <c r="F37" s="2" t="n">
        <v>500</v>
      </c>
      <c r="G37" s="2" t="n">
        <v>0</v>
      </c>
      <c r="H37" s="2" t="n">
        <v>500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0</v>
      </c>
      <c r="DX37" s="2" t="n">
        <v>0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0</v>
      </c>
      <c r="EM37" s="2" t="n">
        <v>0</v>
      </c>
      <c r="EN37" s="2" t="n">
        <v>0</v>
      </c>
      <c r="EO37" s="2" t="n">
        <v>0</v>
      </c>
      <c r="EP37" s="2" t="n">
        <v>0</v>
      </c>
      <c r="EQ37" s="2" t="n">
        <v>0</v>
      </c>
      <c r="ER37" s="2" t="n">
        <v>0</v>
      </c>
      <c r="ES37" s="2" t="n">
        <v>0</v>
      </c>
    </row>
    <row r="38">
      <c r="A38" s="2" t="n">
        <v>4</v>
      </c>
      <c r="B38" s="2" t="inlineStr">
        <is>
          <t>04.05.01.05</t>
        </is>
      </c>
      <c r="C38" s="2" t="inlineStr">
        <is>
          <t>Prateleira</t>
        </is>
      </c>
      <c r="D38" s="2" t="inlineStr">
        <is>
          <t>-</t>
        </is>
      </c>
      <c r="E38" s="2" t="inlineStr">
        <is>
          <t>-</t>
        </is>
      </c>
      <c r="F38" s="2" t="n">
        <v>700</v>
      </c>
      <c r="G38" s="2" t="n">
        <v>0</v>
      </c>
      <c r="H38" s="2" t="n">
        <v>700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0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0</v>
      </c>
      <c r="DW38" s="2" t="n">
        <v>0</v>
      </c>
      <c r="DX38" s="2" t="n">
        <v>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0</v>
      </c>
      <c r="EM38" s="2" t="n">
        <v>0</v>
      </c>
      <c r="EN38" s="2" t="n">
        <v>0</v>
      </c>
      <c r="EO38" s="2" t="n">
        <v>0</v>
      </c>
      <c r="EP38" s="2" t="n">
        <v>0</v>
      </c>
      <c r="EQ38" s="2" t="n">
        <v>0</v>
      </c>
      <c r="ER38" s="2" t="n">
        <v>0</v>
      </c>
      <c r="ES38" s="2" t="n">
        <v>0</v>
      </c>
    </row>
    <row r="39">
      <c r="A39" s="2" t="n">
        <v>4</v>
      </c>
      <c r="B39" s="2" t="inlineStr">
        <is>
          <t>04.05.01.06</t>
        </is>
      </c>
      <c r="C39" s="2" t="inlineStr">
        <is>
          <t>Micro computador com impressora</t>
        </is>
      </c>
      <c r="D39" s="2" t="inlineStr">
        <is>
          <t>-</t>
        </is>
      </c>
      <c r="E39" s="2" t="inlineStr">
        <is>
          <t>-</t>
        </is>
      </c>
      <c r="F39" s="2" t="n">
        <v>32893</v>
      </c>
      <c r="G39" s="2" t="n">
        <v>0</v>
      </c>
      <c r="H39" s="2" t="n">
        <v>32893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0</v>
      </c>
      <c r="EM39" s="2" t="n">
        <v>0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0</v>
      </c>
    </row>
    <row r="40">
      <c r="A40" s="2" t="n">
        <v>4</v>
      </c>
      <c r="B40" s="2" t="inlineStr">
        <is>
          <t>04.05.01.07</t>
        </is>
      </c>
      <c r="C40" s="2" t="inlineStr">
        <is>
          <t>Aparelho de ar condicionado</t>
        </is>
      </c>
      <c r="D40" s="2" t="inlineStr">
        <is>
          <t>-</t>
        </is>
      </c>
      <c r="E40" s="2" t="inlineStr">
        <is>
          <t>-</t>
        </is>
      </c>
      <c r="F40" s="2" t="n">
        <v>1500</v>
      </c>
      <c r="G40" s="2" t="n">
        <v>0</v>
      </c>
      <c r="H40" s="2" t="n">
        <v>1500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0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0</v>
      </c>
      <c r="EM40" s="2" t="n">
        <v>0</v>
      </c>
      <c r="EN40" s="2" t="n">
        <v>0</v>
      </c>
      <c r="EO40" s="2" t="n">
        <v>0</v>
      </c>
      <c r="EP40" s="2" t="n">
        <v>0</v>
      </c>
      <c r="EQ40" s="2" t="n">
        <v>0</v>
      </c>
      <c r="ER40" s="2" t="n">
        <v>0</v>
      </c>
      <c r="ES40" s="2" t="n">
        <v>0</v>
      </c>
    </row>
    <row r="41">
      <c r="A41" s="2" t="n">
        <v>4</v>
      </c>
      <c r="B41" s="2" t="inlineStr">
        <is>
          <t>04.05.01.08</t>
        </is>
      </c>
      <c r="C41" s="2" t="inlineStr">
        <is>
          <t>Tablet</t>
        </is>
      </c>
      <c r="D41" s="2" t="inlineStr">
        <is>
          <t>-</t>
        </is>
      </c>
      <c r="E41" s="2" t="inlineStr">
        <is>
          <t>-</t>
        </is>
      </c>
      <c r="F41" s="2" t="n">
        <v>12500</v>
      </c>
      <c r="G41" s="2" t="n">
        <v>0</v>
      </c>
      <c r="H41" s="2" t="n">
        <v>12500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0</v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0</v>
      </c>
      <c r="EM41" s="2" t="n">
        <v>0</v>
      </c>
      <c r="EN41" s="2" t="n">
        <v>0</v>
      </c>
      <c r="EO41" s="2" t="n">
        <v>0</v>
      </c>
      <c r="EP41" s="2" t="n">
        <v>0</v>
      </c>
      <c r="EQ41" s="2" t="n">
        <v>0</v>
      </c>
      <c r="ER41" s="2" t="n">
        <v>0</v>
      </c>
      <c r="ES41" s="2" t="n">
        <v>0</v>
      </c>
    </row>
    <row r="42">
      <c r="A42" s="2" t="n">
        <v>4</v>
      </c>
      <c r="B42" s="2" t="inlineStr">
        <is>
          <t>04.05.01.09</t>
        </is>
      </c>
      <c r="C42" s="2" t="inlineStr">
        <is>
          <t>Quadro Lean</t>
        </is>
      </c>
      <c r="D42" s="2" t="inlineStr">
        <is>
          <t>-</t>
        </is>
      </c>
      <c r="E42" s="2" t="inlineStr">
        <is>
          <t>-</t>
        </is>
      </c>
      <c r="F42" s="2" t="n">
        <v>5000</v>
      </c>
      <c r="G42" s="2" t="n">
        <v>0</v>
      </c>
      <c r="H42" s="2" t="n">
        <v>5000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0</v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0</v>
      </c>
      <c r="EM42" s="2" t="n">
        <v>0</v>
      </c>
      <c r="EN42" s="2" t="n">
        <v>0</v>
      </c>
      <c r="EO42" s="2" t="n">
        <v>0</v>
      </c>
      <c r="EP42" s="2" t="n">
        <v>0</v>
      </c>
      <c r="EQ42" s="2" t="n">
        <v>0</v>
      </c>
      <c r="ER42" s="2" t="n">
        <v>0</v>
      </c>
      <c r="ES42" s="2" t="n">
        <v>0</v>
      </c>
    </row>
    <row r="43">
      <c r="A43" s="2" t="n">
        <v>4</v>
      </c>
      <c r="B43" s="2" t="inlineStr">
        <is>
          <t>04.05.01.10</t>
        </is>
      </c>
      <c r="C43" s="2" t="inlineStr">
        <is>
          <t>TV 50 polegadas</t>
        </is>
      </c>
      <c r="D43" s="2" t="inlineStr">
        <is>
          <t>-</t>
        </is>
      </c>
      <c r="E43" s="2" t="inlineStr">
        <is>
          <t>-</t>
        </is>
      </c>
      <c r="F43" s="2" t="n">
        <v>2600</v>
      </c>
      <c r="G43" s="2" t="n">
        <v>0</v>
      </c>
      <c r="H43" s="2" t="n">
        <v>2600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0</v>
      </c>
      <c r="EM43" s="2" t="n">
        <v>0</v>
      </c>
      <c r="EN43" s="2" t="n">
        <v>0</v>
      </c>
      <c r="EO43" s="2" t="n">
        <v>0</v>
      </c>
      <c r="EP43" s="2" t="n">
        <v>0</v>
      </c>
      <c r="EQ43" s="2" t="n">
        <v>0</v>
      </c>
      <c r="ER43" s="2" t="n">
        <v>0</v>
      </c>
      <c r="ES43" s="2" t="n">
        <v>0</v>
      </c>
    </row>
    <row r="44">
      <c r="A44" s="2" t="n">
        <v>3</v>
      </c>
      <c r="B44" s="2" t="inlineStr">
        <is>
          <t>04.05.02</t>
        </is>
      </c>
      <c r="C44" s="2" t="inlineStr">
        <is>
          <t>Vestiário</t>
        </is>
      </c>
      <c r="D44" s="2" t="inlineStr">
        <is>
          <t>-</t>
        </is>
      </c>
      <c r="E44" s="2" t="inlineStr">
        <is>
          <t>-</t>
        </is>
      </c>
      <c r="F44" s="2" t="n">
        <v>18661.5</v>
      </c>
      <c r="G44" s="2" t="n">
        <v>0</v>
      </c>
      <c r="H44" s="2" t="n">
        <v>18661.5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0</v>
      </c>
      <c r="EM44" s="2" t="n">
        <v>0</v>
      </c>
      <c r="EN44" s="2" t="n">
        <v>0</v>
      </c>
      <c r="EO44" s="2" t="n">
        <v>0</v>
      </c>
      <c r="EP44" s="2" t="n">
        <v>0</v>
      </c>
      <c r="EQ44" s="2" t="n">
        <v>0</v>
      </c>
      <c r="ER44" s="2" t="n">
        <v>0</v>
      </c>
      <c r="ES44" s="2" t="n">
        <v>0</v>
      </c>
    </row>
    <row r="45">
      <c r="A45" s="2" t="n">
        <v>4</v>
      </c>
      <c r="B45" s="2" t="inlineStr">
        <is>
          <t>04.05.02.01</t>
        </is>
      </c>
      <c r="C45" s="2" t="inlineStr">
        <is>
          <t>Bancos</t>
        </is>
      </c>
      <c r="D45" s="2" t="inlineStr">
        <is>
          <t>-</t>
        </is>
      </c>
      <c r="E45" s="2" t="inlineStr">
        <is>
          <t>-</t>
        </is>
      </c>
      <c r="F45" s="2" t="n">
        <v>2349</v>
      </c>
      <c r="G45" s="2" t="n">
        <v>0</v>
      </c>
      <c r="H45" s="2" t="n">
        <v>2349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0</v>
      </c>
      <c r="EM45" s="2" t="n">
        <v>0</v>
      </c>
      <c r="EN45" s="2" t="n">
        <v>0</v>
      </c>
      <c r="EO45" s="2" t="n">
        <v>0</v>
      </c>
      <c r="EP45" s="2" t="n">
        <v>0</v>
      </c>
      <c r="EQ45" s="2" t="n">
        <v>0</v>
      </c>
      <c r="ER45" s="2" t="n">
        <v>0</v>
      </c>
      <c r="ES45" s="2" t="n">
        <v>0</v>
      </c>
    </row>
    <row r="46">
      <c r="A46" s="2" t="n">
        <v>4</v>
      </c>
      <c r="B46" s="2" t="inlineStr">
        <is>
          <t>04.05.02.02</t>
        </is>
      </c>
      <c r="C46" s="2" t="inlineStr">
        <is>
          <t>Armário tipo escaninho com cadeado</t>
        </is>
      </c>
      <c r="D46" s="2" t="inlineStr">
        <is>
          <t>-</t>
        </is>
      </c>
      <c r="E46" s="2" t="inlineStr">
        <is>
          <t>-</t>
        </is>
      </c>
      <c r="F46" s="2" t="n">
        <v>16312.5</v>
      </c>
      <c r="G46" s="2" t="n">
        <v>0</v>
      </c>
      <c r="H46" s="2" t="n">
        <v>16312.5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0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0</v>
      </c>
      <c r="EM46" s="2" t="n">
        <v>0</v>
      </c>
      <c r="EN46" s="2" t="n">
        <v>0</v>
      </c>
      <c r="EO46" s="2" t="n">
        <v>0</v>
      </c>
      <c r="EP46" s="2" t="n">
        <v>0</v>
      </c>
      <c r="EQ46" s="2" t="n">
        <v>0</v>
      </c>
      <c r="ER46" s="2" t="n">
        <v>0</v>
      </c>
      <c r="ES46" s="2" t="n">
        <v>0</v>
      </c>
    </row>
    <row r="47">
      <c r="A47" s="2" t="n">
        <v>3</v>
      </c>
      <c r="B47" s="2" t="inlineStr">
        <is>
          <t>04.05.03</t>
        </is>
      </c>
      <c r="C47" s="2" t="inlineStr">
        <is>
          <t>Chapeira de ponto</t>
        </is>
      </c>
      <c r="D47" s="2" t="inlineStr">
        <is>
          <t>-</t>
        </is>
      </c>
      <c r="E47" s="2" t="inlineStr">
        <is>
          <t>-</t>
        </is>
      </c>
      <c r="F47" s="2" t="n">
        <v>65755</v>
      </c>
      <c r="G47" s="2" t="n">
        <v>0</v>
      </c>
      <c r="H47" s="2" t="n">
        <v>65755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0</v>
      </c>
      <c r="DW47" s="2" t="n">
        <v>0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0</v>
      </c>
      <c r="EM47" s="2" t="n">
        <v>0</v>
      </c>
      <c r="EN47" s="2" t="n">
        <v>0</v>
      </c>
      <c r="EO47" s="2" t="n">
        <v>0</v>
      </c>
      <c r="EP47" s="2" t="n">
        <v>0</v>
      </c>
      <c r="EQ47" s="2" t="n">
        <v>0</v>
      </c>
      <c r="ER47" s="2" t="n">
        <v>0</v>
      </c>
      <c r="ES47" s="2" t="n">
        <v>0</v>
      </c>
    </row>
    <row r="48">
      <c r="A48" s="2" t="n">
        <v>4</v>
      </c>
      <c r="B48" s="2" t="inlineStr">
        <is>
          <t>04.05.03.01</t>
        </is>
      </c>
      <c r="C48" s="2" t="inlineStr">
        <is>
          <t>Cadeira</t>
        </is>
      </c>
      <c r="D48" s="2" t="inlineStr">
        <is>
          <t>-</t>
        </is>
      </c>
      <c r="E48" s="2" t="inlineStr">
        <is>
          <t>-</t>
        </is>
      </c>
      <c r="F48" s="2" t="n">
        <v>160</v>
      </c>
      <c r="G48" s="2" t="n">
        <v>0</v>
      </c>
      <c r="H48" s="2" t="n">
        <v>160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0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0</v>
      </c>
      <c r="DW48" s="2" t="n">
        <v>0</v>
      </c>
      <c r="DX48" s="2" t="n">
        <v>0</v>
      </c>
      <c r="DY48" s="2" t="n">
        <v>0</v>
      </c>
      <c r="DZ48" s="2" t="n">
        <v>0</v>
      </c>
      <c r="EA48" s="2" t="n">
        <v>0</v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0</v>
      </c>
      <c r="EM48" s="2" t="n">
        <v>0</v>
      </c>
      <c r="EN48" s="2" t="n">
        <v>0</v>
      </c>
      <c r="EO48" s="2" t="n">
        <v>0</v>
      </c>
      <c r="EP48" s="2" t="n">
        <v>0</v>
      </c>
      <c r="EQ48" s="2" t="n">
        <v>0</v>
      </c>
      <c r="ER48" s="2" t="n">
        <v>0</v>
      </c>
      <c r="ES48" s="2" t="n">
        <v>0</v>
      </c>
    </row>
    <row r="49">
      <c r="A49" s="2" t="n">
        <v>4</v>
      </c>
      <c r="B49" s="2" t="inlineStr">
        <is>
          <t>04.05.03.02</t>
        </is>
      </c>
      <c r="C49" s="2" t="inlineStr">
        <is>
          <t>Mesa</t>
        </is>
      </c>
      <c r="D49" s="2" t="inlineStr">
        <is>
          <t>-</t>
        </is>
      </c>
      <c r="E49" s="2" t="inlineStr">
        <is>
          <t>-</t>
        </is>
      </c>
      <c r="F49" s="2" t="n">
        <v>150</v>
      </c>
      <c r="G49" s="2" t="n">
        <v>0</v>
      </c>
      <c r="H49" s="2" t="n">
        <v>150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0</v>
      </c>
      <c r="EM49" s="2" t="n">
        <v>0</v>
      </c>
      <c r="EN49" s="2" t="n">
        <v>0</v>
      </c>
      <c r="EO49" s="2" t="n">
        <v>0</v>
      </c>
      <c r="EP49" s="2" t="n">
        <v>0</v>
      </c>
      <c r="EQ49" s="2" t="n">
        <v>0</v>
      </c>
      <c r="ER49" s="2" t="n">
        <v>0</v>
      </c>
      <c r="ES49" s="2" t="n">
        <v>0</v>
      </c>
    </row>
    <row r="50">
      <c r="A50" s="2" t="n">
        <v>4</v>
      </c>
      <c r="B50" s="2" t="inlineStr">
        <is>
          <t>04.05.03.03</t>
        </is>
      </c>
      <c r="C50" s="2" t="inlineStr">
        <is>
          <t>Máquina de Ponto</t>
        </is>
      </c>
      <c r="D50" s="2" t="inlineStr">
        <is>
          <t>-</t>
        </is>
      </c>
      <c r="E50" s="2" t="inlineStr">
        <is>
          <t>-</t>
        </is>
      </c>
      <c r="F50" s="2" t="n">
        <v>1500</v>
      </c>
      <c r="G50" s="2" t="n">
        <v>0</v>
      </c>
      <c r="H50" s="2" t="n">
        <v>1500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0</v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0</v>
      </c>
      <c r="EM50" s="2" t="n">
        <v>0</v>
      </c>
      <c r="EN50" s="2" t="n">
        <v>0</v>
      </c>
      <c r="EO50" s="2" t="n">
        <v>0</v>
      </c>
      <c r="EP50" s="2" t="n">
        <v>0</v>
      </c>
      <c r="EQ50" s="2" t="n">
        <v>0</v>
      </c>
      <c r="ER50" s="2" t="n">
        <v>0</v>
      </c>
      <c r="ES50" s="2" t="n">
        <v>0</v>
      </c>
    </row>
    <row r="51">
      <c r="A51" s="2" t="n">
        <v>4</v>
      </c>
      <c r="B51" s="2" t="inlineStr">
        <is>
          <t>04.05.03.04</t>
        </is>
      </c>
      <c r="C51" s="2" t="inlineStr">
        <is>
          <t>Instalação de catracas de identificação</t>
        </is>
      </c>
      <c r="D51" s="2" t="inlineStr">
        <is>
          <t>-</t>
        </is>
      </c>
      <c r="E51" s="2" t="inlineStr">
        <is>
          <t>-</t>
        </is>
      </c>
      <c r="F51" s="2" t="n">
        <v>6470</v>
      </c>
      <c r="G51" s="2" t="n">
        <v>0</v>
      </c>
      <c r="H51" s="2" t="n">
        <v>6470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0</v>
      </c>
      <c r="DX51" s="2" t="n">
        <v>0</v>
      </c>
      <c r="DY51" s="2" t="n">
        <v>0</v>
      </c>
      <c r="DZ51" s="2" t="n">
        <v>0</v>
      </c>
      <c r="EA51" s="2" t="n">
        <v>0</v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0</v>
      </c>
      <c r="EM51" s="2" t="n">
        <v>0</v>
      </c>
      <c r="EN51" s="2" t="n">
        <v>0</v>
      </c>
      <c r="EO51" s="2" t="n">
        <v>0</v>
      </c>
      <c r="EP51" s="2" t="n">
        <v>0</v>
      </c>
      <c r="EQ51" s="2" t="n">
        <v>0</v>
      </c>
      <c r="ER51" s="2" t="n">
        <v>0</v>
      </c>
      <c r="ES51" s="2" t="n">
        <v>0</v>
      </c>
    </row>
    <row r="52">
      <c r="A52" s="2" t="n">
        <v>4</v>
      </c>
      <c r="B52" s="2" t="inlineStr">
        <is>
          <t>04.05.03.05</t>
        </is>
      </c>
      <c r="C52" s="2" t="inlineStr">
        <is>
          <t>Locação mensal catracas de identificação</t>
        </is>
      </c>
      <c r="D52" s="2" t="inlineStr">
        <is>
          <t>-</t>
        </is>
      </c>
      <c r="E52" s="2" t="inlineStr">
        <is>
          <t>-</t>
        </is>
      </c>
      <c r="F52" s="2" t="n">
        <v>57475</v>
      </c>
      <c r="G52" s="2" t="n">
        <v>0</v>
      </c>
      <c r="H52" s="2" t="n">
        <v>57475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0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0</v>
      </c>
      <c r="EM52" s="2" t="n">
        <v>0</v>
      </c>
      <c r="EN52" s="2" t="n">
        <v>0</v>
      </c>
      <c r="EO52" s="2" t="n">
        <v>0</v>
      </c>
      <c r="EP52" s="2" t="n">
        <v>0</v>
      </c>
      <c r="EQ52" s="2" t="n">
        <v>0</v>
      </c>
      <c r="ER52" s="2" t="n">
        <v>0</v>
      </c>
      <c r="ES52" s="2" t="n">
        <v>0</v>
      </c>
    </row>
    <row r="53">
      <c r="A53" s="2" t="n">
        <v>3</v>
      </c>
      <c r="B53" s="2" t="inlineStr">
        <is>
          <t>04.05.04</t>
        </is>
      </c>
      <c r="C53" s="2" t="inlineStr">
        <is>
          <t>Refeitório/cozinha</t>
        </is>
      </c>
      <c r="D53" s="2" t="inlineStr">
        <is>
          <t>-</t>
        </is>
      </c>
      <c r="E53" s="2" t="inlineStr">
        <is>
          <t>-</t>
        </is>
      </c>
      <c r="F53" s="2" t="n">
        <v>17587</v>
      </c>
      <c r="G53" s="2" t="n">
        <v>0</v>
      </c>
      <c r="H53" s="2" t="n">
        <v>17587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0</v>
      </c>
      <c r="EM53" s="2" t="n">
        <v>0</v>
      </c>
      <c r="EN53" s="2" t="n">
        <v>0</v>
      </c>
      <c r="EO53" s="2" t="n">
        <v>0</v>
      </c>
      <c r="EP53" s="2" t="n">
        <v>0</v>
      </c>
      <c r="EQ53" s="2" t="n">
        <v>0</v>
      </c>
      <c r="ER53" s="2" t="n">
        <v>0</v>
      </c>
      <c r="ES53" s="2" t="n">
        <v>0</v>
      </c>
    </row>
    <row r="54">
      <c r="A54" s="2" t="n">
        <v>4</v>
      </c>
      <c r="B54" s="2" t="inlineStr">
        <is>
          <t>04.05.04.01</t>
        </is>
      </c>
      <c r="C54" s="2" t="inlineStr">
        <is>
          <t>Mesas com bancos fixos</t>
        </is>
      </c>
      <c r="D54" s="2" t="inlineStr">
        <is>
          <t>-</t>
        </is>
      </c>
      <c r="E54" s="2" t="inlineStr">
        <is>
          <t>-</t>
        </is>
      </c>
      <c r="F54" s="2" t="n">
        <v>4437</v>
      </c>
      <c r="G54" s="2" t="n">
        <v>0</v>
      </c>
      <c r="H54" s="2" t="n">
        <v>4437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0</v>
      </c>
      <c r="DW54" s="2" t="n">
        <v>0</v>
      </c>
      <c r="DX54" s="2" t="n">
        <v>0</v>
      </c>
      <c r="DY54" s="2" t="n">
        <v>0</v>
      </c>
      <c r="DZ54" s="2" t="n">
        <v>0</v>
      </c>
      <c r="EA54" s="2" t="n">
        <v>0</v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0</v>
      </c>
      <c r="EM54" s="2" t="n">
        <v>0</v>
      </c>
      <c r="EN54" s="2" t="n">
        <v>0</v>
      </c>
      <c r="EO54" s="2" t="n">
        <v>0</v>
      </c>
      <c r="EP54" s="2" t="n">
        <v>0</v>
      </c>
      <c r="EQ54" s="2" t="n">
        <v>0</v>
      </c>
      <c r="ER54" s="2" t="n">
        <v>0</v>
      </c>
      <c r="ES54" s="2" t="n">
        <v>0</v>
      </c>
    </row>
    <row r="55">
      <c r="A55" s="2" t="n">
        <v>4</v>
      </c>
      <c r="B55" s="2" t="inlineStr">
        <is>
          <t>04.05.04.02</t>
        </is>
      </c>
      <c r="C55" s="2" t="inlineStr">
        <is>
          <t>Estufa</t>
        </is>
      </c>
      <c r="D55" s="2" t="inlineStr">
        <is>
          <t>-</t>
        </is>
      </c>
      <c r="E55" s="2" t="inlineStr">
        <is>
          <t>-</t>
        </is>
      </c>
      <c r="F55" s="2" t="n">
        <v>7499.999999999999</v>
      </c>
      <c r="G55" s="2" t="n">
        <v>0</v>
      </c>
      <c r="H55" s="2" t="n">
        <v>7499.999999999999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0</v>
      </c>
      <c r="DW55" s="2" t="n">
        <v>0</v>
      </c>
      <c r="DX55" s="2" t="n">
        <v>0</v>
      </c>
      <c r="DY55" s="2" t="n">
        <v>0</v>
      </c>
      <c r="DZ55" s="2" t="n">
        <v>0</v>
      </c>
      <c r="EA55" s="2" t="n">
        <v>0</v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0</v>
      </c>
      <c r="EM55" s="2" t="n">
        <v>0</v>
      </c>
      <c r="EN55" s="2" t="n">
        <v>0</v>
      </c>
      <c r="EO55" s="2" t="n">
        <v>0</v>
      </c>
      <c r="EP55" s="2" t="n">
        <v>0</v>
      </c>
      <c r="EQ55" s="2" t="n">
        <v>0</v>
      </c>
      <c r="ER55" s="2" t="n">
        <v>0</v>
      </c>
      <c r="ES55" s="2" t="n">
        <v>0</v>
      </c>
    </row>
    <row r="56">
      <c r="A56" s="2" t="n">
        <v>4</v>
      </c>
      <c r="B56" s="2" t="inlineStr">
        <is>
          <t>04.05.04.03</t>
        </is>
      </c>
      <c r="C56" s="2" t="inlineStr">
        <is>
          <t>Fogao</t>
        </is>
      </c>
      <c r="D56" s="2" t="inlineStr">
        <is>
          <t>-</t>
        </is>
      </c>
      <c r="E56" s="2" t="inlineStr">
        <is>
          <t>-</t>
        </is>
      </c>
      <c r="F56" s="2" t="n">
        <v>500</v>
      </c>
      <c r="G56" s="2" t="n">
        <v>0</v>
      </c>
      <c r="H56" s="2" t="n">
        <v>500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0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0</v>
      </c>
      <c r="DW56" s="2" t="n">
        <v>0</v>
      </c>
      <c r="DX56" s="2" t="n">
        <v>0</v>
      </c>
      <c r="DY56" s="2" t="n">
        <v>0</v>
      </c>
      <c r="DZ56" s="2" t="n">
        <v>0</v>
      </c>
      <c r="EA56" s="2" t="n">
        <v>0</v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0</v>
      </c>
      <c r="EM56" s="2" t="n">
        <v>0</v>
      </c>
      <c r="EN56" s="2" t="n">
        <v>0</v>
      </c>
      <c r="EO56" s="2" t="n">
        <v>0</v>
      </c>
      <c r="EP56" s="2" t="n">
        <v>0</v>
      </c>
      <c r="EQ56" s="2" t="n">
        <v>0</v>
      </c>
      <c r="ER56" s="2" t="n">
        <v>0</v>
      </c>
      <c r="ES56" s="2" t="n">
        <v>0</v>
      </c>
    </row>
    <row r="57">
      <c r="A57" s="2" t="n">
        <v>4</v>
      </c>
      <c r="B57" s="2" t="inlineStr">
        <is>
          <t>04.05.04.04</t>
        </is>
      </c>
      <c r="C57" s="2" t="inlineStr">
        <is>
          <t>Geladeira</t>
        </is>
      </c>
      <c r="D57" s="2" t="inlineStr">
        <is>
          <t>-</t>
        </is>
      </c>
      <c r="E57" s="2" t="inlineStr">
        <is>
          <t>-</t>
        </is>
      </c>
      <c r="F57" s="2" t="n">
        <v>1000</v>
      </c>
      <c r="G57" s="2" t="n">
        <v>0</v>
      </c>
      <c r="H57" s="2" t="n">
        <v>1000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0</v>
      </c>
      <c r="EM57" s="2" t="n">
        <v>0</v>
      </c>
      <c r="EN57" s="2" t="n">
        <v>0</v>
      </c>
      <c r="EO57" s="2" t="n">
        <v>0</v>
      </c>
      <c r="EP57" s="2" t="n">
        <v>0</v>
      </c>
      <c r="EQ57" s="2" t="n">
        <v>0</v>
      </c>
      <c r="ER57" s="2" t="n">
        <v>0</v>
      </c>
      <c r="ES57" s="2" t="n">
        <v>0</v>
      </c>
    </row>
    <row r="58">
      <c r="A58" s="2" t="n">
        <v>4</v>
      </c>
      <c r="B58" s="2" t="inlineStr">
        <is>
          <t>04.05.04.05</t>
        </is>
      </c>
      <c r="C58" s="2" t="inlineStr">
        <is>
          <t>Botijão de Gás</t>
        </is>
      </c>
      <c r="D58" s="2" t="inlineStr">
        <is>
          <t>-</t>
        </is>
      </c>
      <c r="E58" s="2" t="inlineStr">
        <is>
          <t>-</t>
        </is>
      </c>
      <c r="F58" s="2" t="n">
        <v>150</v>
      </c>
      <c r="G58" s="2" t="n">
        <v>0</v>
      </c>
      <c r="H58" s="2" t="n">
        <v>150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0</v>
      </c>
      <c r="DX58" s="2" t="n">
        <v>0</v>
      </c>
      <c r="DY58" s="2" t="n">
        <v>0</v>
      </c>
      <c r="DZ58" s="2" t="n">
        <v>0</v>
      </c>
      <c r="EA58" s="2" t="n">
        <v>0</v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0</v>
      </c>
      <c r="EM58" s="2" t="n">
        <v>0</v>
      </c>
      <c r="EN58" s="2" t="n">
        <v>0</v>
      </c>
      <c r="EO58" s="2" t="n">
        <v>0</v>
      </c>
      <c r="EP58" s="2" t="n">
        <v>0</v>
      </c>
      <c r="EQ58" s="2" t="n">
        <v>0</v>
      </c>
      <c r="ER58" s="2" t="n">
        <v>0</v>
      </c>
      <c r="ES58" s="2" t="n">
        <v>0</v>
      </c>
    </row>
    <row r="59">
      <c r="A59" s="2" t="n">
        <v>4</v>
      </c>
      <c r="B59" s="2" t="inlineStr">
        <is>
          <t>04.05.04.06</t>
        </is>
      </c>
      <c r="C59" s="2" t="inlineStr">
        <is>
          <t>Bebedouro tipo ponto de água fria com filtro de carvão ativado</t>
        </is>
      </c>
      <c r="D59" s="2" t="inlineStr">
        <is>
          <t>-</t>
        </is>
      </c>
      <c r="E59" s="2" t="inlineStr">
        <is>
          <t>-</t>
        </is>
      </c>
      <c r="F59" s="2" t="n">
        <v>4000</v>
      </c>
      <c r="G59" s="2" t="n">
        <v>0</v>
      </c>
      <c r="H59" s="2" t="n">
        <v>4000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0</v>
      </c>
      <c r="DJ59" s="2" t="n">
        <v>0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0</v>
      </c>
      <c r="DW59" s="2" t="n">
        <v>0</v>
      </c>
      <c r="DX59" s="2" t="n">
        <v>0</v>
      </c>
      <c r="DY59" s="2" t="n">
        <v>0</v>
      </c>
      <c r="DZ59" s="2" t="n">
        <v>0</v>
      </c>
      <c r="EA59" s="2" t="n">
        <v>0</v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0</v>
      </c>
      <c r="EM59" s="2" t="n">
        <v>0</v>
      </c>
      <c r="EN59" s="2" t="n">
        <v>0</v>
      </c>
      <c r="EO59" s="2" t="n">
        <v>0</v>
      </c>
      <c r="EP59" s="2" t="n">
        <v>0</v>
      </c>
      <c r="EQ59" s="2" t="n">
        <v>0</v>
      </c>
      <c r="ER59" s="2" t="n">
        <v>0</v>
      </c>
      <c r="ES59" s="2" t="n">
        <v>0</v>
      </c>
    </row>
    <row r="60">
      <c r="A60" s="2" t="n">
        <v>3</v>
      </c>
      <c r="B60" s="2" t="inlineStr">
        <is>
          <t>04.05.05</t>
        </is>
      </c>
      <c r="C60" s="2" t="inlineStr">
        <is>
          <t>Almoxarifado</t>
        </is>
      </c>
      <c r="D60" s="2" t="inlineStr">
        <is>
          <t>-</t>
        </is>
      </c>
      <c r="E60" s="2" t="inlineStr">
        <is>
          <t>-</t>
        </is>
      </c>
      <c r="F60" s="2" t="n">
        <v>10958</v>
      </c>
      <c r="G60" s="2" t="n">
        <v>0</v>
      </c>
      <c r="H60" s="2" t="n">
        <v>10958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0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0</v>
      </c>
      <c r="DW60" s="2" t="n">
        <v>0</v>
      </c>
      <c r="DX60" s="2" t="n">
        <v>0</v>
      </c>
      <c r="DY60" s="2" t="n">
        <v>0</v>
      </c>
      <c r="DZ60" s="2" t="n">
        <v>0</v>
      </c>
      <c r="EA60" s="2" t="n">
        <v>0</v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0</v>
      </c>
      <c r="EM60" s="2" t="n">
        <v>0</v>
      </c>
      <c r="EN60" s="2" t="n">
        <v>0</v>
      </c>
      <c r="EO60" s="2" t="n">
        <v>0</v>
      </c>
      <c r="EP60" s="2" t="n">
        <v>0</v>
      </c>
      <c r="EQ60" s="2" t="n">
        <v>0</v>
      </c>
      <c r="ER60" s="2" t="n">
        <v>0</v>
      </c>
      <c r="ES60" s="2" t="n">
        <v>0</v>
      </c>
    </row>
    <row r="61">
      <c r="A61" s="2" t="n">
        <v>4</v>
      </c>
      <c r="B61" s="2" t="inlineStr">
        <is>
          <t>04.05.05.01</t>
        </is>
      </c>
      <c r="C61" s="2" t="inlineStr">
        <is>
          <t>Armário (arquivo)</t>
        </is>
      </c>
      <c r="D61" s="2" t="inlineStr">
        <is>
          <t>-</t>
        </is>
      </c>
      <c r="E61" s="2" t="inlineStr">
        <is>
          <t>-</t>
        </is>
      </c>
      <c r="F61" s="2" t="n">
        <v>800</v>
      </c>
      <c r="G61" s="2" t="n">
        <v>0</v>
      </c>
      <c r="H61" s="2" t="n">
        <v>800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0</v>
      </c>
      <c r="DW61" s="2" t="n">
        <v>0</v>
      </c>
      <c r="DX61" s="2" t="n">
        <v>0</v>
      </c>
      <c r="DY61" s="2" t="n">
        <v>0</v>
      </c>
      <c r="DZ61" s="2" t="n">
        <v>0</v>
      </c>
      <c r="EA61" s="2" t="n">
        <v>0</v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0</v>
      </c>
      <c r="EM61" s="2" t="n">
        <v>0</v>
      </c>
      <c r="EN61" s="2" t="n">
        <v>0</v>
      </c>
      <c r="EO61" s="2" t="n">
        <v>0</v>
      </c>
      <c r="EP61" s="2" t="n">
        <v>0</v>
      </c>
      <c r="EQ61" s="2" t="n">
        <v>0</v>
      </c>
      <c r="ER61" s="2" t="n">
        <v>0</v>
      </c>
      <c r="ES61" s="2" t="n">
        <v>0</v>
      </c>
    </row>
    <row r="62">
      <c r="A62" s="2" t="n">
        <v>4</v>
      </c>
      <c r="B62" s="2" t="inlineStr">
        <is>
          <t>04.05.05.02</t>
        </is>
      </c>
      <c r="C62" s="2" t="inlineStr">
        <is>
          <t>Cadeira</t>
        </is>
      </c>
      <c r="D62" s="2" t="inlineStr">
        <is>
          <t>-</t>
        </is>
      </c>
      <c r="E62" s="2" t="inlineStr">
        <is>
          <t>-</t>
        </is>
      </c>
      <c r="F62" s="2" t="n">
        <v>320</v>
      </c>
      <c r="G62" s="2" t="n">
        <v>0</v>
      </c>
      <c r="H62" s="2" t="n">
        <v>320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0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0</v>
      </c>
      <c r="DI62" s="2" t="n">
        <v>0</v>
      </c>
      <c r="DJ62" s="2" t="n">
        <v>0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0</v>
      </c>
      <c r="DW62" s="2" t="n">
        <v>0</v>
      </c>
      <c r="DX62" s="2" t="n">
        <v>0</v>
      </c>
      <c r="DY62" s="2" t="n">
        <v>0</v>
      </c>
      <c r="DZ62" s="2" t="n">
        <v>0</v>
      </c>
      <c r="EA62" s="2" t="n">
        <v>0</v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0</v>
      </c>
      <c r="EM62" s="2" t="n">
        <v>0</v>
      </c>
      <c r="EN62" s="2" t="n">
        <v>0</v>
      </c>
      <c r="EO62" s="2" t="n">
        <v>0</v>
      </c>
      <c r="EP62" s="2" t="n">
        <v>0</v>
      </c>
      <c r="EQ62" s="2" t="n">
        <v>0</v>
      </c>
      <c r="ER62" s="2" t="n">
        <v>0</v>
      </c>
      <c r="ES62" s="2" t="n">
        <v>0</v>
      </c>
    </row>
    <row r="63">
      <c r="A63" s="2" t="n">
        <v>4</v>
      </c>
      <c r="B63" s="2" t="inlineStr">
        <is>
          <t>04.05.05.03</t>
        </is>
      </c>
      <c r="C63" s="2" t="inlineStr">
        <is>
          <t>Mesa</t>
        </is>
      </c>
      <c r="D63" s="2" t="inlineStr">
        <is>
          <t>-</t>
        </is>
      </c>
      <c r="E63" s="2" t="inlineStr">
        <is>
          <t>-</t>
        </is>
      </c>
      <c r="F63" s="2" t="n">
        <v>300</v>
      </c>
      <c r="G63" s="2" t="n">
        <v>0</v>
      </c>
      <c r="H63" s="2" t="n">
        <v>300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0</v>
      </c>
      <c r="DI63" s="2" t="n">
        <v>0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0</v>
      </c>
      <c r="EA63" s="2" t="n">
        <v>0</v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0</v>
      </c>
      <c r="EM63" s="2" t="n">
        <v>0</v>
      </c>
      <c r="EN63" s="2" t="n">
        <v>0</v>
      </c>
      <c r="EO63" s="2" t="n">
        <v>0</v>
      </c>
      <c r="EP63" s="2" t="n">
        <v>0</v>
      </c>
      <c r="EQ63" s="2" t="n">
        <v>0</v>
      </c>
      <c r="ER63" s="2" t="n">
        <v>0</v>
      </c>
      <c r="ES63" s="2" t="n">
        <v>0</v>
      </c>
    </row>
    <row r="64">
      <c r="A64" s="2" t="n">
        <v>4</v>
      </c>
      <c r="B64" s="2" t="inlineStr">
        <is>
          <t>04.05.05.04</t>
        </is>
      </c>
      <c r="C64" s="2" t="inlineStr">
        <is>
          <t>Prateleira</t>
        </is>
      </c>
      <c r="D64" s="2" t="inlineStr">
        <is>
          <t>-</t>
        </is>
      </c>
      <c r="E64" s="2" t="inlineStr">
        <is>
          <t>-</t>
        </is>
      </c>
      <c r="F64" s="2" t="n">
        <v>140</v>
      </c>
      <c r="G64" s="2" t="n">
        <v>0</v>
      </c>
      <c r="H64" s="2" t="n">
        <v>140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0</v>
      </c>
      <c r="DX64" s="2" t="n">
        <v>0</v>
      </c>
      <c r="DY64" s="2" t="n">
        <v>0</v>
      </c>
      <c r="DZ64" s="2" t="n">
        <v>0</v>
      </c>
      <c r="EA64" s="2" t="n">
        <v>0</v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0</v>
      </c>
      <c r="EM64" s="2" t="n">
        <v>0</v>
      </c>
      <c r="EN64" s="2" t="n">
        <v>0</v>
      </c>
      <c r="EO64" s="2" t="n">
        <v>0</v>
      </c>
      <c r="EP64" s="2" t="n">
        <v>0</v>
      </c>
      <c r="EQ64" s="2" t="n">
        <v>0</v>
      </c>
      <c r="ER64" s="2" t="n">
        <v>0</v>
      </c>
      <c r="ES64" s="2" t="n">
        <v>0</v>
      </c>
    </row>
    <row r="65">
      <c r="A65" s="2" t="n">
        <v>4</v>
      </c>
      <c r="B65" s="2" t="inlineStr">
        <is>
          <t>04.05.05.05</t>
        </is>
      </c>
      <c r="C65" s="2" t="inlineStr">
        <is>
          <t>Micro computador com impressora</t>
        </is>
      </c>
      <c r="D65" s="2" t="inlineStr">
        <is>
          <t>-</t>
        </is>
      </c>
      <c r="E65" s="2" t="inlineStr">
        <is>
          <t>-</t>
        </is>
      </c>
      <c r="F65" s="2" t="n">
        <v>9398</v>
      </c>
      <c r="G65" s="2" t="n">
        <v>0</v>
      </c>
      <c r="H65" s="2" t="n">
        <v>9398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0</v>
      </c>
      <c r="DX65" s="2" t="n">
        <v>0</v>
      </c>
      <c r="DY65" s="2" t="n">
        <v>0</v>
      </c>
      <c r="DZ65" s="2" t="n">
        <v>0</v>
      </c>
      <c r="EA65" s="2" t="n">
        <v>0</v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0</v>
      </c>
      <c r="EM65" s="2" t="n">
        <v>0</v>
      </c>
      <c r="EN65" s="2" t="n">
        <v>0</v>
      </c>
      <c r="EO65" s="2" t="n">
        <v>0</v>
      </c>
      <c r="EP65" s="2" t="n">
        <v>0</v>
      </c>
      <c r="EQ65" s="2" t="n">
        <v>0</v>
      </c>
      <c r="ER65" s="2" t="n">
        <v>0</v>
      </c>
      <c r="ES65" s="2" t="n">
        <v>0</v>
      </c>
    </row>
    <row r="66">
      <c r="A66" s="2" t="n">
        <v>2</v>
      </c>
      <c r="B66" s="2" t="inlineStr">
        <is>
          <t>04.06</t>
        </is>
      </c>
      <c r="C66" s="2" t="inlineStr">
        <is>
          <t>Mobilização e desmobilização de canteiro de obras</t>
        </is>
      </c>
      <c r="D66" s="2" t="inlineStr">
        <is>
          <t>-</t>
        </is>
      </c>
      <c r="E66" s="2" t="inlineStr">
        <is>
          <t>-</t>
        </is>
      </c>
      <c r="F66" s="2" t="n">
        <v>45283.86350536388</v>
      </c>
      <c r="G66" s="2" t="n">
        <v>0</v>
      </c>
      <c r="H66" s="2" t="n">
        <v>45283.86350536388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0</v>
      </c>
      <c r="DI66" s="2" t="n">
        <v>0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0</v>
      </c>
      <c r="DW66" s="2" t="n">
        <v>0</v>
      </c>
      <c r="DX66" s="2" t="n">
        <v>0</v>
      </c>
      <c r="DY66" s="2" t="n">
        <v>0</v>
      </c>
      <c r="DZ66" s="2" t="n">
        <v>0</v>
      </c>
      <c r="EA66" s="2" t="n">
        <v>0</v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0</v>
      </c>
      <c r="EM66" s="2" t="n">
        <v>0</v>
      </c>
      <c r="EN66" s="2" t="n">
        <v>0</v>
      </c>
      <c r="EO66" s="2" t="n">
        <v>0</v>
      </c>
      <c r="EP66" s="2" t="n">
        <v>0</v>
      </c>
      <c r="EQ66" s="2" t="n">
        <v>0</v>
      </c>
      <c r="ER66" s="2" t="n">
        <v>0</v>
      </c>
      <c r="ES66" s="2" t="n">
        <v>0</v>
      </c>
    </row>
    <row r="67">
      <c r="A67" s="2" t="n">
        <v>3</v>
      </c>
      <c r="B67" s="2" t="inlineStr">
        <is>
          <t>04.06.01</t>
        </is>
      </c>
      <c r="C67" s="2" t="inlineStr">
        <is>
          <t>Desmobilização de canteiro de obras</t>
        </is>
      </c>
      <c r="D67" s="2" t="inlineStr">
        <is>
          <t>-</t>
        </is>
      </c>
      <c r="E67" s="2" t="inlineStr">
        <is>
          <t>-</t>
        </is>
      </c>
      <c r="F67" s="2" t="n">
        <v>15000</v>
      </c>
      <c r="G67" s="2" t="n">
        <v>0</v>
      </c>
      <c r="H67" s="2" t="n">
        <v>15000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0</v>
      </c>
      <c r="DI67" s="2" t="n">
        <v>0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0</v>
      </c>
      <c r="DW67" s="2" t="n">
        <v>0</v>
      </c>
      <c r="DX67" s="2" t="n">
        <v>0</v>
      </c>
      <c r="DY67" s="2" t="n">
        <v>0</v>
      </c>
      <c r="DZ67" s="2" t="n">
        <v>0</v>
      </c>
      <c r="EA67" s="2" t="n">
        <v>0</v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0</v>
      </c>
      <c r="EM67" s="2" t="n">
        <v>0</v>
      </c>
      <c r="EN67" s="2" t="n">
        <v>0</v>
      </c>
      <c r="EO67" s="2" t="n">
        <v>0</v>
      </c>
      <c r="EP67" s="2" t="n">
        <v>0</v>
      </c>
      <c r="EQ67" s="2" t="n">
        <v>0</v>
      </c>
      <c r="ER67" s="2" t="n">
        <v>0</v>
      </c>
      <c r="ES67" s="2" t="n">
        <v>0</v>
      </c>
    </row>
    <row r="68">
      <c r="A68" s="2" t="n">
        <v>3</v>
      </c>
      <c r="B68" s="2" t="inlineStr">
        <is>
          <t>04.06.02</t>
        </is>
      </c>
      <c r="C68" s="2" t="inlineStr">
        <is>
          <t>Repintura periodica de canteiro e tapumes</t>
        </is>
      </c>
      <c r="D68" s="2" t="inlineStr">
        <is>
          <t>-</t>
        </is>
      </c>
      <c r="E68" s="2" t="inlineStr">
        <is>
          <t>-</t>
        </is>
      </c>
      <c r="F68" s="2" t="n">
        <v>30283.86350536388</v>
      </c>
      <c r="G68" s="2" t="n">
        <v>0</v>
      </c>
      <c r="H68" s="2" t="n">
        <v>30283.86350536388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0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0</v>
      </c>
      <c r="DW68" s="2" t="n">
        <v>0</v>
      </c>
      <c r="DX68" s="2" t="n">
        <v>0</v>
      </c>
      <c r="DY68" s="2" t="n">
        <v>0</v>
      </c>
      <c r="DZ68" s="2" t="n">
        <v>0</v>
      </c>
      <c r="EA68" s="2" t="n">
        <v>0</v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0</v>
      </c>
      <c r="EM68" s="2" t="n">
        <v>0</v>
      </c>
      <c r="EN68" s="2" t="n">
        <v>0</v>
      </c>
      <c r="EO68" s="2" t="n">
        <v>0</v>
      </c>
      <c r="EP68" s="2" t="n">
        <v>0</v>
      </c>
      <c r="EQ68" s="2" t="n">
        <v>0</v>
      </c>
      <c r="ER68" s="2" t="n">
        <v>0</v>
      </c>
      <c r="ES68" s="2" t="n">
        <v>0</v>
      </c>
    </row>
    <row r="69">
      <c r="A69" s="2" t="n">
        <v>1</v>
      </c>
      <c r="B69" s="2" t="inlineStr">
        <is>
          <t>05</t>
        </is>
      </c>
      <c r="C69" s="2" t="inlineStr">
        <is>
          <t>LIGAÇÕES PROVISÓRIAS AGUA, ESGOTO, ENERGIA,TELEFONE, INTERNET</t>
        </is>
      </c>
      <c r="D69" s="2" t="inlineStr">
        <is>
          <t>-</t>
        </is>
      </c>
      <c r="E69" s="2" t="inlineStr">
        <is>
          <t>-</t>
        </is>
      </c>
      <c r="F69" s="2" t="n">
        <v>50000</v>
      </c>
      <c r="G69" s="2" t="n">
        <v>0</v>
      </c>
      <c r="H69" s="2" t="n">
        <v>50000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0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0</v>
      </c>
      <c r="DW69" s="2" t="n">
        <v>0</v>
      </c>
      <c r="DX69" s="2" t="n">
        <v>0</v>
      </c>
      <c r="DY69" s="2" t="n">
        <v>0</v>
      </c>
      <c r="DZ69" s="2" t="n">
        <v>0</v>
      </c>
      <c r="EA69" s="2" t="n">
        <v>0</v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0</v>
      </c>
      <c r="EM69" s="2" t="n">
        <v>0</v>
      </c>
      <c r="EN69" s="2" t="n">
        <v>0</v>
      </c>
      <c r="EO69" s="2" t="n">
        <v>0</v>
      </c>
      <c r="EP69" s="2" t="n">
        <v>0</v>
      </c>
      <c r="EQ69" s="2" t="n">
        <v>0</v>
      </c>
      <c r="ER69" s="2" t="n">
        <v>0</v>
      </c>
      <c r="ES69" s="2" t="n">
        <v>0</v>
      </c>
    </row>
    <row r="70">
      <c r="A70" s="2" t="n">
        <v>2</v>
      </c>
      <c r="B70" s="2" t="inlineStr">
        <is>
          <t>05.01</t>
        </is>
      </c>
      <c r="C70" s="2" t="inlineStr">
        <is>
          <t>Ligação provisória de água</t>
        </is>
      </c>
      <c r="D70" s="2" t="inlineStr">
        <is>
          <t>-</t>
        </is>
      </c>
      <c r="E70" s="2" t="inlineStr">
        <is>
          <t>-</t>
        </is>
      </c>
      <c r="F70" s="2" t="n">
        <v>10000</v>
      </c>
      <c r="G70" s="2" t="n">
        <v>0</v>
      </c>
      <c r="H70" s="2" t="n">
        <v>10000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0</v>
      </c>
      <c r="DJ70" s="2" t="n">
        <v>0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0</v>
      </c>
      <c r="DW70" s="2" t="n">
        <v>0</v>
      </c>
      <c r="DX70" s="2" t="n">
        <v>0</v>
      </c>
      <c r="DY70" s="2" t="n">
        <v>0</v>
      </c>
      <c r="DZ70" s="2" t="n">
        <v>0</v>
      </c>
      <c r="EA70" s="2" t="n">
        <v>0</v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0</v>
      </c>
      <c r="EM70" s="2" t="n">
        <v>0</v>
      </c>
      <c r="EN70" s="2" t="n">
        <v>0</v>
      </c>
      <c r="EO70" s="2" t="n">
        <v>0</v>
      </c>
      <c r="EP70" s="2" t="n">
        <v>0</v>
      </c>
      <c r="EQ70" s="2" t="n">
        <v>0</v>
      </c>
      <c r="ER70" s="2" t="n">
        <v>0</v>
      </c>
      <c r="ES70" s="2" t="n">
        <v>0</v>
      </c>
    </row>
    <row r="71">
      <c r="A71" s="2" t="n">
        <v>2</v>
      </c>
      <c r="B71" s="2" t="inlineStr">
        <is>
          <t>05.02</t>
        </is>
      </c>
      <c r="C71" s="2" t="inlineStr">
        <is>
          <t>Ligação provisória de energia elétrica</t>
        </is>
      </c>
      <c r="D71" s="2" t="inlineStr">
        <is>
          <t>-</t>
        </is>
      </c>
      <c r="E71" s="2" t="inlineStr">
        <is>
          <t>-</t>
        </is>
      </c>
      <c r="F71" s="2" t="n">
        <v>15000</v>
      </c>
      <c r="G71" s="2" t="n">
        <v>0</v>
      </c>
      <c r="H71" s="2" t="n">
        <v>15000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0</v>
      </c>
      <c r="DX71" s="2" t="n">
        <v>0</v>
      </c>
      <c r="DY71" s="2" t="n">
        <v>0</v>
      </c>
      <c r="DZ71" s="2" t="n">
        <v>0</v>
      </c>
      <c r="EA71" s="2" t="n">
        <v>0</v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0</v>
      </c>
      <c r="EM71" s="2" t="n">
        <v>0</v>
      </c>
      <c r="EN71" s="2" t="n">
        <v>0</v>
      </c>
      <c r="EO71" s="2" t="n">
        <v>0</v>
      </c>
      <c r="EP71" s="2" t="n">
        <v>0</v>
      </c>
      <c r="EQ71" s="2" t="n">
        <v>0</v>
      </c>
      <c r="ER71" s="2" t="n">
        <v>0</v>
      </c>
      <c r="ES71" s="2" t="n">
        <v>0</v>
      </c>
    </row>
    <row r="72">
      <c r="A72" s="2" t="n">
        <v>2</v>
      </c>
      <c r="B72" s="2" t="inlineStr">
        <is>
          <t>05.03</t>
        </is>
      </c>
      <c r="C72" s="2" t="inlineStr">
        <is>
          <t>Distribuição eletrica provisoria</t>
        </is>
      </c>
      <c r="D72" s="2" t="inlineStr">
        <is>
          <t>-</t>
        </is>
      </c>
      <c r="E72" s="2" t="inlineStr">
        <is>
          <t>-</t>
        </is>
      </c>
      <c r="F72" s="2" t="n">
        <v>25000</v>
      </c>
      <c r="G72" s="2" t="n">
        <v>0</v>
      </c>
      <c r="H72" s="2" t="n">
        <v>25000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0</v>
      </c>
      <c r="DX72" s="2" t="n">
        <v>0</v>
      </c>
      <c r="DY72" s="2" t="n">
        <v>0</v>
      </c>
      <c r="DZ72" s="2" t="n">
        <v>0</v>
      </c>
      <c r="EA72" s="2" t="n">
        <v>0</v>
      </c>
      <c r="EB72" s="2" t="n">
        <v>0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0</v>
      </c>
      <c r="EM72" s="2" t="n">
        <v>0</v>
      </c>
      <c r="EN72" s="2" t="n">
        <v>0</v>
      </c>
      <c r="EO72" s="2" t="n">
        <v>0</v>
      </c>
      <c r="EP72" s="2" t="n">
        <v>0</v>
      </c>
      <c r="EQ72" s="2" t="n">
        <v>0</v>
      </c>
      <c r="ER72" s="2" t="n">
        <v>0</v>
      </c>
      <c r="ES72" s="2" t="n">
        <v>0</v>
      </c>
    </row>
    <row r="73">
      <c r="A73" s="2" t="n">
        <v>1</v>
      </c>
      <c r="B73" s="2" t="inlineStr">
        <is>
          <t>06</t>
        </is>
      </c>
      <c r="C73" s="2" t="inlineStr">
        <is>
          <t>CONSUMO DE ÁGUA, ENERGIA, TELEFONE, INTERNET</t>
        </is>
      </c>
      <c r="D73" s="2" t="inlineStr">
        <is>
          <t>-</t>
        </is>
      </c>
      <c r="E73" s="2" t="inlineStr">
        <is>
          <t>-</t>
        </is>
      </c>
      <c r="F73" s="2" t="n">
        <v>521400</v>
      </c>
      <c r="G73" s="2" t="n">
        <v>0</v>
      </c>
      <c r="H73" s="2" t="n">
        <v>521400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0</v>
      </c>
      <c r="DI73" s="2" t="n">
        <v>0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0</v>
      </c>
      <c r="DW73" s="2" t="n">
        <v>0</v>
      </c>
      <c r="DX73" s="2" t="n">
        <v>0</v>
      </c>
      <c r="DY73" s="2" t="n">
        <v>0</v>
      </c>
      <c r="DZ73" s="2" t="n">
        <v>0</v>
      </c>
      <c r="EA73" s="2" t="n">
        <v>0</v>
      </c>
      <c r="EB73" s="2" t="n">
        <v>0</v>
      </c>
      <c r="EC73" s="2" t="n">
        <v>0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0</v>
      </c>
      <c r="EM73" s="2" t="n">
        <v>0</v>
      </c>
      <c r="EN73" s="2" t="n">
        <v>0</v>
      </c>
      <c r="EO73" s="2" t="n">
        <v>0</v>
      </c>
      <c r="EP73" s="2" t="n">
        <v>0</v>
      </c>
      <c r="EQ73" s="2" t="n">
        <v>0</v>
      </c>
      <c r="ER73" s="2" t="n">
        <v>0</v>
      </c>
      <c r="ES73" s="2" t="n">
        <v>0</v>
      </c>
    </row>
    <row r="74">
      <c r="A74" s="2" t="n">
        <v>2</v>
      </c>
      <c r="B74" s="2" t="inlineStr">
        <is>
          <t>06.01</t>
        </is>
      </c>
      <c r="C74" s="2" t="inlineStr">
        <is>
          <t>Conta de Água</t>
        </is>
      </c>
      <c r="D74" s="2" t="inlineStr">
        <is>
          <t>-</t>
        </is>
      </c>
      <c r="E74" s="2" t="inlineStr">
        <is>
          <t>-</t>
        </is>
      </c>
      <c r="F74" s="2" t="n">
        <v>125400</v>
      </c>
      <c r="G74" s="2" t="n">
        <v>0</v>
      </c>
      <c r="H74" s="2" t="n">
        <v>125400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0</v>
      </c>
      <c r="DI74" s="2" t="n">
        <v>0</v>
      </c>
      <c r="DJ74" s="2" t="n">
        <v>0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0</v>
      </c>
      <c r="DW74" s="2" t="n">
        <v>0</v>
      </c>
      <c r="DX74" s="2" t="n">
        <v>0</v>
      </c>
      <c r="DY74" s="2" t="n">
        <v>0</v>
      </c>
      <c r="DZ74" s="2" t="n">
        <v>0</v>
      </c>
      <c r="EA74" s="2" t="n">
        <v>0</v>
      </c>
      <c r="EB74" s="2" t="n">
        <v>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0</v>
      </c>
      <c r="EM74" s="2" t="n">
        <v>0</v>
      </c>
      <c r="EN74" s="2" t="n">
        <v>0</v>
      </c>
      <c r="EO74" s="2" t="n">
        <v>0</v>
      </c>
      <c r="EP74" s="2" t="n">
        <v>0</v>
      </c>
      <c r="EQ74" s="2" t="n">
        <v>0</v>
      </c>
      <c r="ER74" s="2" t="n">
        <v>0</v>
      </c>
      <c r="ES74" s="2" t="n">
        <v>0</v>
      </c>
    </row>
    <row r="75">
      <c r="A75" s="2" t="n">
        <v>2</v>
      </c>
      <c r="B75" s="2" t="inlineStr">
        <is>
          <t>06.02</t>
        </is>
      </c>
      <c r="C75" s="2" t="inlineStr">
        <is>
          <t>Conta de Energia Elétrica</t>
        </is>
      </c>
      <c r="D75" s="2" t="inlineStr">
        <is>
          <t>-</t>
        </is>
      </c>
      <c r="E75" s="2" t="inlineStr">
        <is>
          <t>-</t>
        </is>
      </c>
      <c r="F75" s="2" t="n">
        <v>374000</v>
      </c>
      <c r="G75" s="2" t="n">
        <v>0</v>
      </c>
      <c r="H75" s="2" t="n">
        <v>374000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0</v>
      </c>
      <c r="DW75" s="2" t="n">
        <v>0</v>
      </c>
      <c r="DX75" s="2" t="n">
        <v>0</v>
      </c>
      <c r="DY75" s="2" t="n">
        <v>0</v>
      </c>
      <c r="DZ75" s="2" t="n">
        <v>0</v>
      </c>
      <c r="EA75" s="2" t="n">
        <v>0</v>
      </c>
      <c r="EB75" s="2" t="n">
        <v>0</v>
      </c>
      <c r="EC75" s="2" t="n">
        <v>0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0</v>
      </c>
      <c r="EM75" s="2" t="n">
        <v>0</v>
      </c>
      <c r="EN75" s="2" t="n">
        <v>0</v>
      </c>
      <c r="EO75" s="2" t="n">
        <v>0</v>
      </c>
      <c r="EP75" s="2" t="n">
        <v>0</v>
      </c>
      <c r="EQ75" s="2" t="n">
        <v>0</v>
      </c>
      <c r="ER75" s="2" t="n">
        <v>0</v>
      </c>
      <c r="ES75" s="2" t="n">
        <v>0</v>
      </c>
    </row>
    <row r="76">
      <c r="A76" s="2" t="n">
        <v>2</v>
      </c>
      <c r="B76" s="2" t="inlineStr">
        <is>
          <t>06.03</t>
        </is>
      </c>
      <c r="C76" s="2" t="inlineStr">
        <is>
          <t>Celular</t>
        </is>
      </c>
      <c r="D76" s="2" t="inlineStr">
        <is>
          <t>-</t>
        </is>
      </c>
      <c r="E76" s="2" t="inlineStr">
        <is>
          <t>-</t>
        </is>
      </c>
      <c r="F76" s="2" t="n">
        <v>11000</v>
      </c>
      <c r="G76" s="2" t="n">
        <v>0</v>
      </c>
      <c r="H76" s="2" t="n">
        <v>11000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0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0</v>
      </c>
      <c r="DW76" s="2" t="n">
        <v>0</v>
      </c>
      <c r="DX76" s="2" t="n">
        <v>0</v>
      </c>
      <c r="DY76" s="2" t="n">
        <v>0</v>
      </c>
      <c r="DZ76" s="2" t="n">
        <v>0</v>
      </c>
      <c r="EA76" s="2" t="n">
        <v>0</v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0</v>
      </c>
      <c r="EM76" s="2" t="n">
        <v>0</v>
      </c>
      <c r="EN76" s="2" t="n">
        <v>0</v>
      </c>
      <c r="EO76" s="2" t="n">
        <v>0</v>
      </c>
      <c r="EP76" s="2" t="n">
        <v>0</v>
      </c>
      <c r="EQ76" s="2" t="n">
        <v>0</v>
      </c>
      <c r="ER76" s="2" t="n">
        <v>0</v>
      </c>
      <c r="ES76" s="2" t="n">
        <v>0</v>
      </c>
    </row>
    <row r="77">
      <c r="A77" s="2" t="n">
        <v>2</v>
      </c>
      <c r="B77" s="2" t="inlineStr">
        <is>
          <t>06.04</t>
        </is>
      </c>
      <c r="C77" s="2" t="inlineStr">
        <is>
          <t>Internet</t>
        </is>
      </c>
      <c r="D77" s="2" t="inlineStr">
        <is>
          <t>-</t>
        </is>
      </c>
      <c r="E77" s="2" t="inlineStr">
        <is>
          <t>-</t>
        </is>
      </c>
      <c r="F77" s="2" t="n">
        <v>11000</v>
      </c>
      <c r="G77" s="2" t="n">
        <v>0</v>
      </c>
      <c r="H77" s="2" t="n">
        <v>11000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0</v>
      </c>
      <c r="DI77" s="2" t="n">
        <v>0</v>
      </c>
      <c r="DJ77" s="2" t="n">
        <v>0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0</v>
      </c>
      <c r="DW77" s="2" t="n">
        <v>0</v>
      </c>
      <c r="DX77" s="2" t="n">
        <v>0</v>
      </c>
      <c r="DY77" s="2" t="n">
        <v>0</v>
      </c>
      <c r="DZ77" s="2" t="n">
        <v>0</v>
      </c>
      <c r="EA77" s="2" t="n">
        <v>0</v>
      </c>
      <c r="EB77" s="2" t="n">
        <v>0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0</v>
      </c>
      <c r="EM77" s="2" t="n">
        <v>0</v>
      </c>
      <c r="EN77" s="2" t="n">
        <v>0</v>
      </c>
      <c r="EO77" s="2" t="n">
        <v>0</v>
      </c>
      <c r="EP77" s="2" t="n">
        <v>0</v>
      </c>
      <c r="EQ77" s="2" t="n">
        <v>0</v>
      </c>
      <c r="ER77" s="2" t="n">
        <v>0</v>
      </c>
      <c r="ES77" s="2" t="n">
        <v>0</v>
      </c>
    </row>
    <row r="78">
      <c r="A78" s="2" t="n">
        <v>1</v>
      </c>
      <c r="B78" s="2" t="inlineStr">
        <is>
          <t>07</t>
        </is>
      </c>
      <c r="C78" s="2" t="inlineStr">
        <is>
          <t>DIVERSOS</t>
        </is>
      </c>
      <c r="D78" s="2" t="inlineStr">
        <is>
          <t>-</t>
        </is>
      </c>
      <c r="E78" s="2" t="inlineStr">
        <is>
          <t>-</t>
        </is>
      </c>
      <c r="F78" s="2" t="n">
        <v>158400</v>
      </c>
      <c r="G78" s="2" t="n">
        <v>0</v>
      </c>
      <c r="H78" s="2" t="n">
        <v>158400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0</v>
      </c>
      <c r="DX78" s="2" t="n">
        <v>0</v>
      </c>
      <c r="DY78" s="2" t="n">
        <v>0</v>
      </c>
      <c r="DZ78" s="2" t="n">
        <v>0</v>
      </c>
      <c r="EA78" s="2" t="n">
        <v>0</v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0</v>
      </c>
      <c r="EM78" s="2" t="n">
        <v>0</v>
      </c>
      <c r="EN78" s="2" t="n">
        <v>0</v>
      </c>
      <c r="EO78" s="2" t="n">
        <v>0</v>
      </c>
      <c r="EP78" s="2" t="n">
        <v>0</v>
      </c>
      <c r="EQ78" s="2" t="n">
        <v>0</v>
      </c>
      <c r="ER78" s="2" t="n">
        <v>0</v>
      </c>
      <c r="ES78" s="2" t="n">
        <v>0</v>
      </c>
    </row>
    <row r="79">
      <c r="A79" s="2" t="n">
        <v>2</v>
      </c>
      <c r="B79" s="2" t="inlineStr">
        <is>
          <t>07.01</t>
        </is>
      </c>
      <c r="C79" s="2" t="inlineStr">
        <is>
          <t>Caixa de obra</t>
        </is>
      </c>
      <c r="D79" s="2" t="inlineStr">
        <is>
          <t>-</t>
        </is>
      </c>
      <c r="E79" s="2" t="inlineStr">
        <is>
          <t>-</t>
        </is>
      </c>
      <c r="F79" s="2" t="n">
        <v>44000</v>
      </c>
      <c r="G79" s="2" t="n">
        <v>0</v>
      </c>
      <c r="H79" s="2" t="n">
        <v>44000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0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0</v>
      </c>
      <c r="DX79" s="2" t="n">
        <v>0</v>
      </c>
      <c r="DY79" s="2" t="n">
        <v>0</v>
      </c>
      <c r="DZ79" s="2" t="n">
        <v>0</v>
      </c>
      <c r="EA79" s="2" t="n">
        <v>0</v>
      </c>
      <c r="EB79" s="2" t="n">
        <v>0</v>
      </c>
      <c r="EC79" s="2" t="n">
        <v>0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0</v>
      </c>
      <c r="EM79" s="2" t="n">
        <v>0</v>
      </c>
      <c r="EN79" s="2" t="n">
        <v>0</v>
      </c>
      <c r="EO79" s="2" t="n">
        <v>0</v>
      </c>
      <c r="EP79" s="2" t="n">
        <v>0</v>
      </c>
      <c r="EQ79" s="2" t="n">
        <v>0</v>
      </c>
      <c r="ER79" s="2" t="n">
        <v>0</v>
      </c>
      <c r="ES79" s="2" t="n">
        <v>0</v>
      </c>
    </row>
    <row r="80">
      <c r="A80" s="2" t="n">
        <v>2</v>
      </c>
      <c r="B80" s="2" t="inlineStr">
        <is>
          <t>07.02</t>
        </is>
      </c>
      <c r="C80" s="2" t="inlineStr">
        <is>
          <t>Cópias Heliográficas - Plotagens</t>
        </is>
      </c>
      <c r="D80" s="2" t="inlineStr">
        <is>
          <t>-</t>
        </is>
      </c>
      <c r="E80" s="2" t="inlineStr">
        <is>
          <t>-</t>
        </is>
      </c>
      <c r="F80" s="2" t="n">
        <v>33000</v>
      </c>
      <c r="G80" s="2" t="n">
        <v>0</v>
      </c>
      <c r="H80" s="2" t="n">
        <v>33000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0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0</v>
      </c>
      <c r="DW80" s="2" t="n">
        <v>0</v>
      </c>
      <c r="DX80" s="2" t="n">
        <v>0</v>
      </c>
      <c r="DY80" s="2" t="n">
        <v>0</v>
      </c>
      <c r="DZ80" s="2" t="n">
        <v>0</v>
      </c>
      <c r="EA80" s="2" t="n">
        <v>0</v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0</v>
      </c>
      <c r="EM80" s="2" t="n">
        <v>0</v>
      </c>
      <c r="EN80" s="2" t="n">
        <v>0</v>
      </c>
      <c r="EO80" s="2" t="n">
        <v>0</v>
      </c>
      <c r="EP80" s="2" t="n">
        <v>0</v>
      </c>
      <c r="EQ80" s="2" t="n">
        <v>0</v>
      </c>
      <c r="ER80" s="2" t="n">
        <v>0</v>
      </c>
      <c r="ES80" s="2" t="n">
        <v>0</v>
      </c>
    </row>
    <row r="81">
      <c r="A81" s="2" t="n">
        <v>2</v>
      </c>
      <c r="B81" s="2" t="inlineStr">
        <is>
          <t>07.03</t>
        </is>
      </c>
      <c r="C81" s="2" t="inlineStr">
        <is>
          <t>Despesas Com Materiais de Escritório</t>
        </is>
      </c>
      <c r="D81" s="2" t="inlineStr">
        <is>
          <t>-</t>
        </is>
      </c>
      <c r="E81" s="2" t="inlineStr">
        <is>
          <t>-</t>
        </is>
      </c>
      <c r="F81" s="2" t="n">
        <v>15400</v>
      </c>
      <c r="G81" s="2" t="n">
        <v>0</v>
      </c>
      <c r="H81" s="2" t="n">
        <v>15400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0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0</v>
      </c>
      <c r="DI81" s="2" t="n">
        <v>0</v>
      </c>
      <c r="DJ81" s="2" t="n">
        <v>0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0</v>
      </c>
      <c r="DW81" s="2" t="n">
        <v>0</v>
      </c>
      <c r="DX81" s="2" t="n">
        <v>0</v>
      </c>
      <c r="DY81" s="2" t="n">
        <v>0</v>
      </c>
      <c r="DZ81" s="2" t="n">
        <v>0</v>
      </c>
      <c r="EA81" s="2" t="n">
        <v>0</v>
      </c>
      <c r="EB81" s="2" t="n">
        <v>0</v>
      </c>
      <c r="EC81" s="2" t="n">
        <v>0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0</v>
      </c>
      <c r="EM81" s="2" t="n">
        <v>0</v>
      </c>
      <c r="EN81" s="2" t="n">
        <v>0</v>
      </c>
      <c r="EO81" s="2" t="n">
        <v>0</v>
      </c>
      <c r="EP81" s="2" t="n">
        <v>0</v>
      </c>
      <c r="EQ81" s="2" t="n">
        <v>0</v>
      </c>
      <c r="ER81" s="2" t="n">
        <v>0</v>
      </c>
      <c r="ES81" s="2" t="n">
        <v>0</v>
      </c>
    </row>
    <row r="82">
      <c r="A82" s="2" t="n">
        <v>2</v>
      </c>
      <c r="B82" s="2" t="inlineStr">
        <is>
          <t>07.04</t>
        </is>
      </c>
      <c r="C82" s="2" t="inlineStr">
        <is>
          <t>Aquisicao de licensas de softwares</t>
        </is>
      </c>
      <c r="D82" s="2" t="inlineStr">
        <is>
          <t>-</t>
        </is>
      </c>
      <c r="E82" s="2" t="inlineStr">
        <is>
          <t>-</t>
        </is>
      </c>
      <c r="F82" s="2" t="n">
        <v>44000</v>
      </c>
      <c r="G82" s="2" t="n">
        <v>0</v>
      </c>
      <c r="H82" s="2" t="n">
        <v>44000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0</v>
      </c>
      <c r="DI82" s="2" t="n">
        <v>0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0</v>
      </c>
      <c r="DW82" s="2" t="n">
        <v>0</v>
      </c>
      <c r="DX82" s="2" t="n">
        <v>0</v>
      </c>
      <c r="DY82" s="2" t="n">
        <v>0</v>
      </c>
      <c r="DZ82" s="2" t="n">
        <v>0</v>
      </c>
      <c r="EA82" s="2" t="n">
        <v>0</v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0</v>
      </c>
      <c r="EM82" s="2" t="n">
        <v>0</v>
      </c>
      <c r="EN82" s="2" t="n">
        <v>0</v>
      </c>
      <c r="EO82" s="2" t="n">
        <v>0</v>
      </c>
      <c r="EP82" s="2" t="n">
        <v>0</v>
      </c>
      <c r="EQ82" s="2" t="n">
        <v>0</v>
      </c>
      <c r="ER82" s="2" t="n">
        <v>0</v>
      </c>
      <c r="ES82" s="2" t="n">
        <v>0</v>
      </c>
    </row>
    <row r="83">
      <c r="A83" s="2" t="n">
        <v>2</v>
      </c>
      <c r="B83" s="2" t="inlineStr">
        <is>
          <t>07.05</t>
        </is>
      </c>
      <c r="C83" s="2" t="inlineStr">
        <is>
          <t>Material de limpeza</t>
        </is>
      </c>
      <c r="D83" s="2" t="inlineStr">
        <is>
          <t>-</t>
        </is>
      </c>
      <c r="E83" s="2" t="inlineStr">
        <is>
          <t>-</t>
        </is>
      </c>
      <c r="F83" s="2" t="n">
        <v>22000</v>
      </c>
      <c r="G83" s="2" t="n">
        <v>0</v>
      </c>
      <c r="H83" s="2" t="n">
        <v>22000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0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0</v>
      </c>
      <c r="DI83" s="2" t="n">
        <v>0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0</v>
      </c>
      <c r="DW83" s="2" t="n">
        <v>0</v>
      </c>
      <c r="DX83" s="2" t="n">
        <v>0</v>
      </c>
      <c r="DY83" s="2" t="n">
        <v>0</v>
      </c>
      <c r="DZ83" s="2" t="n">
        <v>0</v>
      </c>
      <c r="EA83" s="2" t="n">
        <v>0</v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0</v>
      </c>
      <c r="EM83" s="2" t="n">
        <v>0</v>
      </c>
      <c r="EN83" s="2" t="n">
        <v>0</v>
      </c>
      <c r="EO83" s="2" t="n">
        <v>0</v>
      </c>
      <c r="EP83" s="2" t="n">
        <v>0</v>
      </c>
      <c r="EQ83" s="2" t="n">
        <v>0</v>
      </c>
      <c r="ER83" s="2" t="n">
        <v>0</v>
      </c>
      <c r="ES83" s="2" t="n">
        <v>0</v>
      </c>
    </row>
    <row r="84">
      <c r="A84" s="2" t="n">
        <v>1</v>
      </c>
      <c r="B84" s="2" t="inlineStr">
        <is>
          <t>08</t>
        </is>
      </c>
      <c r="C84" s="2" t="inlineStr">
        <is>
          <t>FRETES E TRANSPORTES</t>
        </is>
      </c>
      <c r="D84" s="2" t="inlineStr">
        <is>
          <t>-</t>
        </is>
      </c>
      <c r="E84" s="2" t="inlineStr">
        <is>
          <t>-</t>
        </is>
      </c>
      <c r="F84" s="2" t="n">
        <v>779592</v>
      </c>
      <c r="G84" s="2" t="n">
        <v>0</v>
      </c>
      <c r="H84" s="2" t="n">
        <v>779592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0</v>
      </c>
      <c r="DJ84" s="2" t="n">
        <v>0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0</v>
      </c>
      <c r="DW84" s="2" t="n">
        <v>0</v>
      </c>
      <c r="DX84" s="2" t="n">
        <v>0</v>
      </c>
      <c r="DY84" s="2" t="n">
        <v>0</v>
      </c>
      <c r="DZ84" s="2" t="n">
        <v>0</v>
      </c>
      <c r="EA84" s="2" t="n">
        <v>0</v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0</v>
      </c>
      <c r="EM84" s="2" t="n">
        <v>0</v>
      </c>
      <c r="EN84" s="2" t="n">
        <v>0</v>
      </c>
      <c r="EO84" s="2" t="n">
        <v>0</v>
      </c>
      <c r="EP84" s="2" t="n">
        <v>0</v>
      </c>
      <c r="EQ84" s="2" t="n">
        <v>0</v>
      </c>
      <c r="ER84" s="2" t="n">
        <v>0</v>
      </c>
      <c r="ES84" s="2" t="n">
        <v>0</v>
      </c>
    </row>
    <row r="85">
      <c r="A85" s="2" t="n">
        <v>2</v>
      </c>
      <c r="B85" s="2" t="inlineStr">
        <is>
          <t>08.01</t>
        </is>
      </c>
      <c r="C85" s="2" t="inlineStr">
        <is>
          <t>Serviços de Entregas (motoboy)</t>
        </is>
      </c>
      <c r="D85" s="2" t="inlineStr">
        <is>
          <t>-</t>
        </is>
      </c>
      <c r="E85" s="2" t="inlineStr">
        <is>
          <t>-</t>
        </is>
      </c>
      <c r="F85" s="2" t="n">
        <v>11000</v>
      </c>
      <c r="G85" s="2" t="n">
        <v>0</v>
      </c>
      <c r="H85" s="2" t="n">
        <v>11000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0</v>
      </c>
      <c r="DX85" s="2" t="n">
        <v>0</v>
      </c>
      <c r="DY85" s="2" t="n">
        <v>0</v>
      </c>
      <c r="DZ85" s="2" t="n">
        <v>0</v>
      </c>
      <c r="EA85" s="2" t="n">
        <v>0</v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0</v>
      </c>
      <c r="EM85" s="2" t="n">
        <v>0</v>
      </c>
      <c r="EN85" s="2" t="n">
        <v>0</v>
      </c>
      <c r="EO85" s="2" t="n">
        <v>0</v>
      </c>
      <c r="EP85" s="2" t="n">
        <v>0</v>
      </c>
      <c r="EQ85" s="2" t="n">
        <v>0</v>
      </c>
      <c r="ER85" s="2" t="n">
        <v>0</v>
      </c>
      <c r="ES85" s="2" t="n">
        <v>0</v>
      </c>
    </row>
    <row r="86">
      <c r="A86" s="2" t="n">
        <v>2</v>
      </c>
      <c r="B86" s="2" t="inlineStr">
        <is>
          <t>08.02</t>
        </is>
      </c>
      <c r="C86" s="2" t="inlineStr">
        <is>
          <t>Fretes Diversos</t>
        </is>
      </c>
      <c r="D86" s="2" t="inlineStr">
        <is>
          <t>-</t>
        </is>
      </c>
      <c r="E86" s="2" t="inlineStr">
        <is>
          <t>-</t>
        </is>
      </c>
      <c r="F86" s="2" t="n">
        <v>132000</v>
      </c>
      <c r="G86" s="2" t="n">
        <v>0</v>
      </c>
      <c r="H86" s="2" t="n">
        <v>132000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0</v>
      </c>
      <c r="DX86" s="2" t="n">
        <v>0</v>
      </c>
      <c r="DY86" s="2" t="n">
        <v>0</v>
      </c>
      <c r="DZ86" s="2" t="n">
        <v>0</v>
      </c>
      <c r="EA86" s="2" t="n">
        <v>0</v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0</v>
      </c>
      <c r="EM86" s="2" t="n">
        <v>0</v>
      </c>
      <c r="EN86" s="2" t="n">
        <v>0</v>
      </c>
      <c r="EO86" s="2" t="n">
        <v>0</v>
      </c>
      <c r="EP86" s="2" t="n">
        <v>0</v>
      </c>
      <c r="EQ86" s="2" t="n">
        <v>0</v>
      </c>
      <c r="ER86" s="2" t="n">
        <v>0</v>
      </c>
      <c r="ES86" s="2" t="n">
        <v>0</v>
      </c>
    </row>
    <row r="87">
      <c r="A87" s="2" t="n">
        <v>2</v>
      </c>
      <c r="B87" s="2" t="inlineStr">
        <is>
          <t>08.03</t>
        </is>
      </c>
      <c r="C87" s="2" t="inlineStr">
        <is>
          <t>Limpeza de ruas com caminhão pipa</t>
        </is>
      </c>
      <c r="D87" s="2" t="inlineStr">
        <is>
          <t>-</t>
        </is>
      </c>
      <c r="E87" s="2" t="inlineStr">
        <is>
          <t>-</t>
        </is>
      </c>
      <c r="F87" s="2" t="n">
        <v>158400</v>
      </c>
      <c r="G87" s="2" t="n">
        <v>0</v>
      </c>
      <c r="H87" s="2" t="n">
        <v>158400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0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0</v>
      </c>
      <c r="DW87" s="2" t="n">
        <v>0</v>
      </c>
      <c r="DX87" s="2" t="n">
        <v>0</v>
      </c>
      <c r="DY87" s="2" t="n">
        <v>0</v>
      </c>
      <c r="DZ87" s="2" t="n">
        <v>0</v>
      </c>
      <c r="EA87" s="2" t="n">
        <v>0</v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0</v>
      </c>
      <c r="EM87" s="2" t="n">
        <v>0</v>
      </c>
      <c r="EN87" s="2" t="n">
        <v>0</v>
      </c>
      <c r="EO87" s="2" t="n">
        <v>0</v>
      </c>
      <c r="EP87" s="2" t="n">
        <v>0</v>
      </c>
      <c r="EQ87" s="2" t="n">
        <v>0</v>
      </c>
      <c r="ER87" s="2" t="n">
        <v>0</v>
      </c>
      <c r="ES87" s="2" t="n">
        <v>0</v>
      </c>
    </row>
    <row r="88">
      <c r="A88" s="2" t="n">
        <v>2</v>
      </c>
      <c r="B88" s="2" t="inlineStr">
        <is>
          <t>08.04</t>
        </is>
      </c>
      <c r="C88" s="2" t="inlineStr">
        <is>
          <t>Caçamba para limpeza permanente de obra</t>
        </is>
      </c>
      <c r="D88" s="2" t="inlineStr">
        <is>
          <t>-</t>
        </is>
      </c>
      <c r="E88" s="2" t="inlineStr">
        <is>
          <t>-</t>
        </is>
      </c>
      <c r="F88" s="2" t="n">
        <v>478192</v>
      </c>
      <c r="G88" s="2" t="n">
        <v>0</v>
      </c>
      <c r="H88" s="2" t="n">
        <v>478192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0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0</v>
      </c>
      <c r="DW88" s="2" t="n">
        <v>0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0</v>
      </c>
      <c r="EM88" s="2" t="n">
        <v>0</v>
      </c>
      <c r="EN88" s="2" t="n">
        <v>0</v>
      </c>
      <c r="EO88" s="2" t="n">
        <v>0</v>
      </c>
      <c r="EP88" s="2" t="n">
        <v>0</v>
      </c>
      <c r="EQ88" s="2" t="n">
        <v>0</v>
      </c>
      <c r="ER88" s="2" t="n">
        <v>0</v>
      </c>
      <c r="ES88" s="2" t="n">
        <v>0</v>
      </c>
    </row>
    <row r="89">
      <c r="A89" s="2" t="n">
        <v>1</v>
      </c>
      <c r="B89" s="2" t="inlineStr">
        <is>
          <t>09</t>
        </is>
      </c>
      <c r="C89" s="2" t="inlineStr">
        <is>
          <t>CONSULTORIAS (OBRAS)</t>
        </is>
      </c>
      <c r="D89" s="2" t="inlineStr">
        <is>
          <t>-</t>
        </is>
      </c>
      <c r="E89" s="2" t="inlineStr">
        <is>
          <t>-</t>
        </is>
      </c>
      <c r="F89" s="2" t="n">
        <v>1322660.98</v>
      </c>
      <c r="G89" s="2" t="n">
        <v>0</v>
      </c>
      <c r="H89" s="2" t="n">
        <v>1322660.98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0</v>
      </c>
      <c r="DJ89" s="2" t="n">
        <v>0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0</v>
      </c>
      <c r="DW89" s="2" t="n">
        <v>0</v>
      </c>
      <c r="DX89" s="2" t="n">
        <v>0</v>
      </c>
      <c r="DY89" s="2" t="n">
        <v>0</v>
      </c>
      <c r="DZ89" s="2" t="n">
        <v>0</v>
      </c>
      <c r="EA89" s="2" t="n">
        <v>0</v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0</v>
      </c>
      <c r="EM89" s="2" t="n">
        <v>0</v>
      </c>
      <c r="EN89" s="2" t="n">
        <v>0</v>
      </c>
      <c r="EO89" s="2" t="n">
        <v>0</v>
      </c>
      <c r="EP89" s="2" t="n">
        <v>0</v>
      </c>
      <c r="EQ89" s="2" t="n">
        <v>0</v>
      </c>
      <c r="ER89" s="2" t="n">
        <v>0</v>
      </c>
      <c r="ES89" s="2" t="n">
        <v>0</v>
      </c>
    </row>
    <row r="90">
      <c r="A90" s="2" t="n">
        <v>2</v>
      </c>
      <c r="B90" s="2" t="inlineStr">
        <is>
          <t>09.01</t>
        </is>
      </c>
      <c r="C90" s="2" t="inlineStr">
        <is>
          <t>Orçamento e acompanhamento de obra</t>
        </is>
      </c>
      <c r="D90" s="2" t="inlineStr">
        <is>
          <t>-</t>
        </is>
      </c>
      <c r="E90" s="2" t="inlineStr">
        <is>
          <t>-</t>
        </is>
      </c>
      <c r="F90" s="2" t="n">
        <v>126976.18</v>
      </c>
      <c r="G90" s="2" t="n">
        <v>0</v>
      </c>
      <c r="H90" s="2" t="n">
        <v>126976.18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0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0</v>
      </c>
      <c r="DW90" s="2" t="n">
        <v>0</v>
      </c>
      <c r="DX90" s="2" t="n">
        <v>0</v>
      </c>
      <c r="DY90" s="2" t="n">
        <v>0</v>
      </c>
      <c r="DZ90" s="2" t="n">
        <v>0</v>
      </c>
      <c r="EA90" s="2" t="n">
        <v>0</v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0</v>
      </c>
      <c r="EM90" s="2" t="n">
        <v>0</v>
      </c>
      <c r="EN90" s="2" t="n">
        <v>0</v>
      </c>
      <c r="EO90" s="2" t="n">
        <v>0</v>
      </c>
      <c r="EP90" s="2" t="n">
        <v>0</v>
      </c>
      <c r="EQ90" s="2" t="n">
        <v>0</v>
      </c>
      <c r="ER90" s="2" t="n">
        <v>0</v>
      </c>
      <c r="ES90" s="2" t="n">
        <v>0</v>
      </c>
    </row>
    <row r="91">
      <c r="A91" s="2" t="n">
        <v>3</v>
      </c>
      <c r="B91" s="2" t="inlineStr">
        <is>
          <t>09.01.01</t>
        </is>
      </c>
      <c r="C91" s="2" t="inlineStr">
        <is>
          <t>Acompanhamento de obra VIA APLICATIVO - PREVISION</t>
        </is>
      </c>
      <c r="D91" s="2" t="inlineStr">
        <is>
          <t>-</t>
        </is>
      </c>
      <c r="E91" s="2" t="inlineStr">
        <is>
          <t>-</t>
        </is>
      </c>
      <c r="F91" s="2" t="n">
        <v>69000</v>
      </c>
      <c r="G91" s="2" t="n">
        <v>0</v>
      </c>
      <c r="H91" s="2" t="n">
        <v>69000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0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0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0</v>
      </c>
      <c r="EM91" s="2" t="n">
        <v>0</v>
      </c>
      <c r="EN91" s="2" t="n">
        <v>0</v>
      </c>
      <c r="EO91" s="2" t="n">
        <v>0</v>
      </c>
      <c r="EP91" s="2" t="n">
        <v>0</v>
      </c>
      <c r="EQ91" s="2" t="n">
        <v>0</v>
      </c>
      <c r="ER91" s="2" t="n">
        <v>0</v>
      </c>
      <c r="ES91" s="2" t="n">
        <v>0</v>
      </c>
    </row>
    <row r="92">
      <c r="A92" s="2" t="n">
        <v>3</v>
      </c>
      <c r="B92" s="2" t="inlineStr">
        <is>
          <t>09.01.02</t>
        </is>
      </c>
      <c r="C92" s="2" t="inlineStr">
        <is>
          <t>Orçamento preliminar e executivo</t>
        </is>
      </c>
      <c r="D92" s="2" t="inlineStr">
        <is>
          <t>-</t>
        </is>
      </c>
      <c r="E92" s="2" t="inlineStr">
        <is>
          <t>-</t>
        </is>
      </c>
      <c r="F92" s="2" t="n">
        <v>57976.18</v>
      </c>
      <c r="G92" s="2" t="n">
        <v>0</v>
      </c>
      <c r="H92" s="2" t="n">
        <v>57976.18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0</v>
      </c>
      <c r="DX92" s="2" t="n">
        <v>0</v>
      </c>
      <c r="DY92" s="2" t="n">
        <v>0</v>
      </c>
      <c r="DZ92" s="2" t="n">
        <v>0</v>
      </c>
      <c r="EA92" s="2" t="n">
        <v>0</v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0</v>
      </c>
      <c r="EM92" s="2" t="n">
        <v>0</v>
      </c>
      <c r="EN92" s="2" t="n">
        <v>0</v>
      </c>
      <c r="EO92" s="2" t="n">
        <v>0</v>
      </c>
      <c r="EP92" s="2" t="n">
        <v>0</v>
      </c>
      <c r="EQ92" s="2" t="n">
        <v>0</v>
      </c>
      <c r="ER92" s="2" t="n">
        <v>0</v>
      </c>
      <c r="ES92" s="2" t="n">
        <v>0</v>
      </c>
    </row>
    <row r="93">
      <c r="A93" s="2" t="n">
        <v>2</v>
      </c>
      <c r="B93" s="2" t="inlineStr">
        <is>
          <t>09.02</t>
        </is>
      </c>
      <c r="C93" s="2" t="inlineStr">
        <is>
          <t>Controle Tecnológico</t>
        </is>
      </c>
      <c r="D93" s="2" t="inlineStr">
        <is>
          <t>-</t>
        </is>
      </c>
      <c r="E93" s="2" t="inlineStr">
        <is>
          <t>-</t>
        </is>
      </c>
      <c r="F93" s="2" t="n">
        <v>723734.8</v>
      </c>
      <c r="G93" s="2" t="n">
        <v>0</v>
      </c>
      <c r="H93" s="2" t="n">
        <v>723734.8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0</v>
      </c>
      <c r="DX93" s="2" t="n">
        <v>0</v>
      </c>
      <c r="DY93" s="2" t="n">
        <v>0</v>
      </c>
      <c r="DZ93" s="2" t="n">
        <v>0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0</v>
      </c>
      <c r="EM93" s="2" t="n">
        <v>0</v>
      </c>
      <c r="EN93" s="2" t="n">
        <v>0</v>
      </c>
      <c r="EO93" s="2" t="n">
        <v>0</v>
      </c>
      <c r="EP93" s="2" t="n">
        <v>0</v>
      </c>
      <c r="EQ93" s="2" t="n">
        <v>0</v>
      </c>
      <c r="ER93" s="2" t="n">
        <v>0</v>
      </c>
      <c r="ES93" s="2" t="n">
        <v>0</v>
      </c>
    </row>
    <row r="94">
      <c r="A94" s="2" t="n">
        <v>3</v>
      </c>
      <c r="B94" s="2" t="inlineStr">
        <is>
          <t>09.02.01</t>
        </is>
      </c>
      <c r="C94" s="2" t="inlineStr">
        <is>
          <t>Controle Tecnológico de Concreto</t>
        </is>
      </c>
      <c r="D94" s="2" t="inlineStr">
        <is>
          <t>-</t>
        </is>
      </c>
      <c r="E94" s="2" t="inlineStr">
        <is>
          <t>-</t>
        </is>
      </c>
      <c r="F94" s="2" t="n">
        <v>176584.8</v>
      </c>
      <c r="G94" s="2" t="n">
        <v>0</v>
      </c>
      <c r="H94" s="2" t="n">
        <v>176584.8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0</v>
      </c>
      <c r="DF94" s="2" t="n">
        <v>0</v>
      </c>
      <c r="DG94" s="2" t="n">
        <v>0</v>
      </c>
      <c r="DH94" s="2" t="n">
        <v>0</v>
      </c>
      <c r="DI94" s="2" t="n">
        <v>0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0</v>
      </c>
      <c r="DW94" s="2" t="n">
        <v>0</v>
      </c>
      <c r="DX94" s="2" t="n">
        <v>0</v>
      </c>
      <c r="DY94" s="2" t="n">
        <v>0</v>
      </c>
      <c r="DZ94" s="2" t="n">
        <v>0</v>
      </c>
      <c r="EA94" s="2" t="n">
        <v>0</v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0</v>
      </c>
      <c r="EM94" s="2" t="n">
        <v>0</v>
      </c>
      <c r="EN94" s="2" t="n">
        <v>0</v>
      </c>
      <c r="EO94" s="2" t="n">
        <v>0</v>
      </c>
      <c r="EP94" s="2" t="n">
        <v>0</v>
      </c>
      <c r="EQ94" s="2" t="n">
        <v>0</v>
      </c>
      <c r="ER94" s="2" t="n">
        <v>0</v>
      </c>
      <c r="ES94" s="2" t="n">
        <v>0</v>
      </c>
    </row>
    <row r="95">
      <c r="A95" s="2" t="n">
        <v>3</v>
      </c>
      <c r="B95" s="2" t="inlineStr">
        <is>
          <t>09.02.02</t>
        </is>
      </c>
      <c r="C95" s="2" t="inlineStr">
        <is>
          <t>Norma de desempenho - certificação e teste de fachadas, revestimentos, desempenho termo-acústico do empreendimento</t>
        </is>
      </c>
      <c r="D95" s="2" t="inlineStr">
        <is>
          <t>-</t>
        </is>
      </c>
      <c r="E95" s="2" t="inlineStr">
        <is>
          <t>-</t>
        </is>
      </c>
      <c r="F95" s="2" t="n">
        <v>75000</v>
      </c>
      <c r="G95" s="2" t="n">
        <v>0</v>
      </c>
      <c r="H95" s="2" t="n">
        <v>75000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0</v>
      </c>
      <c r="DF95" s="2" t="n">
        <v>0</v>
      </c>
      <c r="DG95" s="2" t="n">
        <v>0</v>
      </c>
      <c r="DH95" s="2" t="n">
        <v>0</v>
      </c>
      <c r="DI95" s="2" t="n">
        <v>0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0</v>
      </c>
      <c r="DW95" s="2" t="n">
        <v>0</v>
      </c>
      <c r="DX95" s="2" t="n">
        <v>0</v>
      </c>
      <c r="DY95" s="2" t="n">
        <v>0</v>
      </c>
      <c r="DZ95" s="2" t="n">
        <v>0</v>
      </c>
      <c r="EA95" s="2" t="n">
        <v>0</v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0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0</v>
      </c>
      <c r="EM95" s="2" t="n">
        <v>0</v>
      </c>
      <c r="EN95" s="2" t="n">
        <v>0</v>
      </c>
      <c r="EO95" s="2" t="n">
        <v>0</v>
      </c>
      <c r="EP95" s="2" t="n">
        <v>0</v>
      </c>
      <c r="EQ95" s="2" t="n">
        <v>0</v>
      </c>
      <c r="ER95" s="2" t="n">
        <v>0</v>
      </c>
      <c r="ES95" s="2" t="n">
        <v>0</v>
      </c>
    </row>
    <row r="96">
      <c r="A96" s="2" t="n">
        <v>3</v>
      </c>
      <c r="B96" s="2" t="inlineStr">
        <is>
          <t>09.02.03</t>
        </is>
      </c>
      <c r="C96" s="2" t="inlineStr">
        <is>
          <t>Prova de carga estática</t>
        </is>
      </c>
      <c r="D96" s="2" t="inlineStr">
        <is>
          <t>-</t>
        </is>
      </c>
      <c r="E96" s="2" t="inlineStr">
        <is>
          <t>-</t>
        </is>
      </c>
      <c r="F96" s="2" t="n">
        <v>258000</v>
      </c>
      <c r="G96" s="2" t="n">
        <v>0</v>
      </c>
      <c r="H96" s="2" t="n">
        <v>258000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0</v>
      </c>
      <c r="DI96" s="2" t="n">
        <v>0</v>
      </c>
      <c r="DJ96" s="2" t="n">
        <v>0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0</v>
      </c>
      <c r="DW96" s="2" t="n">
        <v>0</v>
      </c>
      <c r="DX96" s="2" t="n">
        <v>0</v>
      </c>
      <c r="DY96" s="2" t="n">
        <v>0</v>
      </c>
      <c r="DZ96" s="2" t="n">
        <v>0</v>
      </c>
      <c r="EA96" s="2" t="n">
        <v>0</v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0</v>
      </c>
      <c r="EM96" s="2" t="n">
        <v>0</v>
      </c>
      <c r="EN96" s="2" t="n">
        <v>0</v>
      </c>
      <c r="EO96" s="2" t="n">
        <v>0</v>
      </c>
      <c r="EP96" s="2" t="n">
        <v>0</v>
      </c>
      <c r="EQ96" s="2" t="n">
        <v>0</v>
      </c>
      <c r="ER96" s="2" t="n">
        <v>0</v>
      </c>
      <c r="ES96" s="2" t="n">
        <v>0</v>
      </c>
    </row>
    <row r="97">
      <c r="A97" s="2" t="n">
        <v>3</v>
      </c>
      <c r="B97" s="2" t="inlineStr">
        <is>
          <t>09.02.04</t>
        </is>
      </c>
      <c r="C97" s="2" t="inlineStr">
        <is>
          <t>Consultoria geotécnica</t>
        </is>
      </c>
      <c r="D97" s="2" t="inlineStr">
        <is>
          <t>-</t>
        </is>
      </c>
      <c r="E97" s="2" t="inlineStr">
        <is>
          <t>-</t>
        </is>
      </c>
      <c r="F97" s="2" t="n">
        <v>82350</v>
      </c>
      <c r="G97" s="2" t="n">
        <v>0</v>
      </c>
      <c r="H97" s="2" t="n">
        <v>82350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  <c r="DF97" s="2" t="n">
        <v>0</v>
      </c>
      <c r="DG97" s="2" t="n">
        <v>0</v>
      </c>
      <c r="DH97" s="2" t="n">
        <v>0</v>
      </c>
      <c r="DI97" s="2" t="n">
        <v>0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0</v>
      </c>
      <c r="DW97" s="2" t="n">
        <v>0</v>
      </c>
      <c r="DX97" s="2" t="n">
        <v>0</v>
      </c>
      <c r="DY97" s="2" t="n">
        <v>0</v>
      </c>
      <c r="DZ97" s="2" t="n">
        <v>0</v>
      </c>
      <c r="EA97" s="2" t="n">
        <v>0</v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0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0</v>
      </c>
      <c r="EM97" s="2" t="n">
        <v>0</v>
      </c>
      <c r="EN97" s="2" t="n">
        <v>0</v>
      </c>
      <c r="EO97" s="2" t="n">
        <v>0</v>
      </c>
      <c r="EP97" s="2" t="n">
        <v>0</v>
      </c>
      <c r="EQ97" s="2" t="n">
        <v>0</v>
      </c>
      <c r="ER97" s="2" t="n">
        <v>0</v>
      </c>
      <c r="ES97" s="2" t="n">
        <v>0</v>
      </c>
    </row>
    <row r="98">
      <c r="A98" s="2" t="n">
        <v>3</v>
      </c>
      <c r="B98" s="2" t="inlineStr">
        <is>
          <t>09.02.05</t>
        </is>
      </c>
      <c r="C98" s="2" t="inlineStr">
        <is>
          <t>Controle de Recalque</t>
        </is>
      </c>
      <c r="D98" s="2" t="inlineStr">
        <is>
          <t>-</t>
        </is>
      </c>
      <c r="E98" s="2" t="inlineStr">
        <is>
          <t>-</t>
        </is>
      </c>
      <c r="F98" s="2" t="n">
        <v>50000</v>
      </c>
      <c r="G98" s="2" t="n">
        <v>0</v>
      </c>
      <c r="H98" s="2" t="n">
        <v>50000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0</v>
      </c>
      <c r="DG98" s="2" t="n">
        <v>0</v>
      </c>
      <c r="DH98" s="2" t="n">
        <v>0</v>
      </c>
      <c r="DI98" s="2" t="n">
        <v>0</v>
      </c>
      <c r="DJ98" s="2" t="n">
        <v>0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0</v>
      </c>
      <c r="DQ98" s="2" t="n">
        <v>0</v>
      </c>
      <c r="DR98" s="2" t="n">
        <v>0</v>
      </c>
      <c r="DS98" s="2" t="n">
        <v>0</v>
      </c>
      <c r="DT98" s="2" t="n">
        <v>0</v>
      </c>
      <c r="DU98" s="2" t="n">
        <v>0</v>
      </c>
      <c r="DV98" s="2" t="n">
        <v>0</v>
      </c>
      <c r="DW98" s="2" t="n">
        <v>0</v>
      </c>
      <c r="DX98" s="2" t="n">
        <v>0</v>
      </c>
      <c r="DY98" s="2" t="n">
        <v>0</v>
      </c>
      <c r="DZ98" s="2" t="n">
        <v>0</v>
      </c>
      <c r="EA98" s="2" t="n">
        <v>0</v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0</v>
      </c>
      <c r="EM98" s="2" t="n">
        <v>0</v>
      </c>
      <c r="EN98" s="2" t="n">
        <v>0</v>
      </c>
      <c r="EO98" s="2" t="n">
        <v>0</v>
      </c>
      <c r="EP98" s="2" t="n">
        <v>0</v>
      </c>
      <c r="EQ98" s="2" t="n">
        <v>0</v>
      </c>
      <c r="ER98" s="2" t="n">
        <v>0</v>
      </c>
      <c r="ES98" s="2" t="n">
        <v>0</v>
      </c>
    </row>
    <row r="99">
      <c r="A99" s="2" t="n">
        <v>3</v>
      </c>
      <c r="B99" s="2" t="inlineStr">
        <is>
          <t>09.02.06</t>
        </is>
      </c>
      <c r="C99" s="2" t="inlineStr">
        <is>
          <t>Consultoria de concreto aparente na fachada</t>
        </is>
      </c>
      <c r="D99" s="2" t="inlineStr">
        <is>
          <t>-</t>
        </is>
      </c>
      <c r="E99" s="2" t="inlineStr">
        <is>
          <t>-</t>
        </is>
      </c>
      <c r="F99" s="2" t="n">
        <v>68000</v>
      </c>
      <c r="G99" s="2" t="n">
        <v>0</v>
      </c>
      <c r="H99" s="2" t="n">
        <v>68000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0</v>
      </c>
      <c r="DW99" s="2" t="n">
        <v>0</v>
      </c>
      <c r="DX99" s="2" t="n">
        <v>0</v>
      </c>
      <c r="DY99" s="2" t="n">
        <v>0</v>
      </c>
      <c r="DZ99" s="2" t="n">
        <v>0</v>
      </c>
      <c r="EA99" s="2" t="n">
        <v>0</v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0</v>
      </c>
      <c r="EM99" s="2" t="n">
        <v>0</v>
      </c>
      <c r="EN99" s="2" t="n">
        <v>0</v>
      </c>
      <c r="EO99" s="2" t="n">
        <v>0</v>
      </c>
      <c r="EP99" s="2" t="n">
        <v>0</v>
      </c>
      <c r="EQ99" s="2" t="n">
        <v>0</v>
      </c>
      <c r="ER99" s="2" t="n">
        <v>0</v>
      </c>
      <c r="ES99" s="2" t="n">
        <v>0</v>
      </c>
    </row>
    <row r="100">
      <c r="A100" s="2" t="n">
        <v>3</v>
      </c>
      <c r="B100" s="2" t="inlineStr">
        <is>
          <t>09.02.07</t>
        </is>
      </c>
      <c r="C100" s="2" t="inlineStr">
        <is>
          <t>Consultoria de execução do concreto do bloco do elevador</t>
        </is>
      </c>
      <c r="D100" s="2" t="inlineStr">
        <is>
          <t>-</t>
        </is>
      </c>
      <c r="E100" s="2" t="inlineStr">
        <is>
          <t>-</t>
        </is>
      </c>
      <c r="F100" s="2" t="n">
        <v>13800</v>
      </c>
      <c r="G100" s="2" t="n">
        <v>0</v>
      </c>
      <c r="H100" s="2" t="n">
        <v>13800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0</v>
      </c>
      <c r="DW100" s="2" t="n">
        <v>0</v>
      </c>
      <c r="DX100" s="2" t="n">
        <v>0</v>
      </c>
      <c r="DY100" s="2" t="n">
        <v>0</v>
      </c>
      <c r="DZ100" s="2" t="n">
        <v>0</v>
      </c>
      <c r="EA100" s="2" t="n">
        <v>0</v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0</v>
      </c>
      <c r="EM100" s="2" t="n">
        <v>0</v>
      </c>
      <c r="EN100" s="2" t="n">
        <v>0</v>
      </c>
      <c r="EO100" s="2" t="n">
        <v>0</v>
      </c>
      <c r="EP100" s="2" t="n">
        <v>0</v>
      </c>
      <c r="EQ100" s="2" t="n">
        <v>0</v>
      </c>
      <c r="ER100" s="2" t="n">
        <v>0</v>
      </c>
      <c r="ES100" s="2" t="n">
        <v>0</v>
      </c>
    </row>
    <row r="101">
      <c r="A101" s="2" t="n">
        <v>2</v>
      </c>
      <c r="B101" s="2" t="inlineStr">
        <is>
          <t>09.03</t>
        </is>
      </c>
      <c r="C101" s="2" t="inlineStr">
        <is>
          <t>Controle Ambiental</t>
        </is>
      </c>
      <c r="D101" s="2" t="inlineStr">
        <is>
          <t>-</t>
        </is>
      </c>
      <c r="E101" s="2" t="inlineStr">
        <is>
          <t>-</t>
        </is>
      </c>
      <c r="F101" s="2" t="n">
        <v>471950</v>
      </c>
      <c r="G101" s="2" t="n">
        <v>0</v>
      </c>
      <c r="H101" s="2" t="n">
        <v>471950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0</v>
      </c>
      <c r="DG101" s="2" t="n">
        <v>0</v>
      </c>
      <c r="DH101" s="2" t="n">
        <v>0</v>
      </c>
      <c r="DI101" s="2" t="n">
        <v>0</v>
      </c>
      <c r="DJ101" s="2" t="n">
        <v>0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0</v>
      </c>
      <c r="DQ101" s="2" t="n">
        <v>0</v>
      </c>
      <c r="DR101" s="2" t="n">
        <v>0</v>
      </c>
      <c r="DS101" s="2" t="n">
        <v>0</v>
      </c>
      <c r="DT101" s="2" t="n">
        <v>0</v>
      </c>
      <c r="DU101" s="2" t="n">
        <v>0</v>
      </c>
      <c r="DV101" s="2" t="n">
        <v>0</v>
      </c>
      <c r="DW101" s="2" t="n">
        <v>0</v>
      </c>
      <c r="DX101" s="2" t="n">
        <v>0</v>
      </c>
      <c r="DY101" s="2" t="n">
        <v>0</v>
      </c>
      <c r="DZ101" s="2" t="n">
        <v>0</v>
      </c>
      <c r="EA101" s="2" t="n">
        <v>0</v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0</v>
      </c>
      <c r="EM101" s="2" t="n">
        <v>0</v>
      </c>
      <c r="EN101" s="2" t="n">
        <v>0</v>
      </c>
      <c r="EO101" s="2" t="n">
        <v>0</v>
      </c>
      <c r="EP101" s="2" t="n">
        <v>0</v>
      </c>
      <c r="EQ101" s="2" t="n">
        <v>0</v>
      </c>
      <c r="ER101" s="2" t="n">
        <v>0</v>
      </c>
      <c r="ES101" s="2" t="n">
        <v>0</v>
      </c>
    </row>
    <row r="102">
      <c r="A102" s="2" t="n">
        <v>3</v>
      </c>
      <c r="B102" s="2" t="inlineStr">
        <is>
          <t>09.03.01</t>
        </is>
      </c>
      <c r="C102" s="2" t="inlineStr">
        <is>
          <t>Controle de Ruído</t>
        </is>
      </c>
      <c r="D102" s="2" t="inlineStr">
        <is>
          <t>-</t>
        </is>
      </c>
      <c r="E102" s="2" t="inlineStr">
        <is>
          <t>-</t>
        </is>
      </c>
      <c r="F102" s="2" t="n">
        <v>20000</v>
      </c>
      <c r="G102" s="2" t="n">
        <v>0</v>
      </c>
      <c r="H102" s="2" t="n">
        <v>20000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0</v>
      </c>
      <c r="DJ102" s="2" t="n">
        <v>0</v>
      </c>
      <c r="DK102" s="2" t="n">
        <v>0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0</v>
      </c>
      <c r="DQ102" s="2" t="n">
        <v>0</v>
      </c>
      <c r="DR102" s="2" t="n">
        <v>0</v>
      </c>
      <c r="DS102" s="2" t="n">
        <v>0</v>
      </c>
      <c r="DT102" s="2" t="n">
        <v>0</v>
      </c>
      <c r="DU102" s="2" t="n">
        <v>0</v>
      </c>
      <c r="DV102" s="2" t="n">
        <v>0</v>
      </c>
      <c r="DW102" s="2" t="n">
        <v>0</v>
      </c>
      <c r="DX102" s="2" t="n">
        <v>0</v>
      </c>
      <c r="DY102" s="2" t="n">
        <v>0</v>
      </c>
      <c r="DZ102" s="2" t="n">
        <v>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0</v>
      </c>
      <c r="EM102" s="2" t="n">
        <v>0</v>
      </c>
      <c r="EN102" s="2" t="n">
        <v>0</v>
      </c>
      <c r="EO102" s="2" t="n">
        <v>0</v>
      </c>
      <c r="EP102" s="2" t="n">
        <v>0</v>
      </c>
      <c r="EQ102" s="2" t="n">
        <v>0</v>
      </c>
      <c r="ER102" s="2" t="n">
        <v>0</v>
      </c>
      <c r="ES102" s="2" t="n">
        <v>0</v>
      </c>
    </row>
    <row r="103">
      <c r="A103" s="2" t="n">
        <v>3</v>
      </c>
      <c r="B103" s="2" t="inlineStr">
        <is>
          <t>09.03.02</t>
        </is>
      </c>
      <c r="C103" s="2" t="inlineStr">
        <is>
          <t>Atendimento as condicionantes conforme contrato</t>
        </is>
      </c>
      <c r="D103" s="2" t="inlineStr">
        <is>
          <t>-</t>
        </is>
      </c>
      <c r="E103" s="2" t="inlineStr">
        <is>
          <t>-</t>
        </is>
      </c>
      <c r="F103" s="2" t="n">
        <v>240000</v>
      </c>
      <c r="G103" s="2" t="n">
        <v>0</v>
      </c>
      <c r="H103" s="2" t="n">
        <v>240000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0</v>
      </c>
      <c r="DJ103" s="2" t="n">
        <v>0</v>
      </c>
      <c r="DK103" s="2" t="n">
        <v>0</v>
      </c>
      <c r="DL103" s="2" t="n">
        <v>0</v>
      </c>
      <c r="DM103" s="2" t="n">
        <v>0</v>
      </c>
      <c r="DN103" s="2" t="n">
        <v>0</v>
      </c>
      <c r="DO103" s="2" t="n">
        <v>0</v>
      </c>
      <c r="DP103" s="2" t="n">
        <v>0</v>
      </c>
      <c r="DQ103" s="2" t="n">
        <v>0</v>
      </c>
      <c r="DR103" s="2" t="n">
        <v>0</v>
      </c>
      <c r="DS103" s="2" t="n">
        <v>0</v>
      </c>
      <c r="DT103" s="2" t="n">
        <v>0</v>
      </c>
      <c r="DU103" s="2" t="n">
        <v>0</v>
      </c>
      <c r="DV103" s="2" t="n">
        <v>0</v>
      </c>
      <c r="DW103" s="2" t="n">
        <v>0</v>
      </c>
      <c r="DX103" s="2" t="n">
        <v>0</v>
      </c>
      <c r="DY103" s="2" t="n">
        <v>0</v>
      </c>
      <c r="DZ103" s="2" t="n">
        <v>0</v>
      </c>
      <c r="EA103" s="2" t="n">
        <v>0</v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0</v>
      </c>
      <c r="EM103" s="2" t="n">
        <v>0</v>
      </c>
      <c r="EN103" s="2" t="n">
        <v>0</v>
      </c>
      <c r="EO103" s="2" t="n">
        <v>0</v>
      </c>
      <c r="EP103" s="2" t="n">
        <v>0</v>
      </c>
      <c r="EQ103" s="2" t="n">
        <v>0</v>
      </c>
      <c r="ER103" s="2" t="n">
        <v>0</v>
      </c>
      <c r="ES103" s="2" t="n">
        <v>0</v>
      </c>
    </row>
    <row r="104">
      <c r="A104" s="2" t="n">
        <v>3</v>
      </c>
      <c r="B104" s="2" t="inlineStr">
        <is>
          <t>09.03.03</t>
        </is>
      </c>
      <c r="C104" s="2" t="inlineStr">
        <is>
          <t>Comunicação Vizinhança - 6 Mil Diagnostico + Valor mensal</t>
        </is>
      </c>
      <c r="D104" s="2" t="inlineStr">
        <is>
          <t>-</t>
        </is>
      </c>
      <c r="E104" s="2" t="inlineStr">
        <is>
          <t>-</t>
        </is>
      </c>
      <c r="F104" s="2" t="n">
        <v>211950</v>
      </c>
      <c r="G104" s="2" t="n">
        <v>0</v>
      </c>
      <c r="H104" s="2" t="n">
        <v>211950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0</v>
      </c>
      <c r="DG104" s="2" t="n">
        <v>0</v>
      </c>
      <c r="DH104" s="2" t="n">
        <v>0</v>
      </c>
      <c r="DI104" s="2" t="n">
        <v>0</v>
      </c>
      <c r="DJ104" s="2" t="n">
        <v>0</v>
      </c>
      <c r="DK104" s="2" t="n">
        <v>0</v>
      </c>
      <c r="DL104" s="2" t="n">
        <v>0</v>
      </c>
      <c r="DM104" s="2" t="n">
        <v>0</v>
      </c>
      <c r="DN104" s="2" t="n">
        <v>0</v>
      </c>
      <c r="DO104" s="2" t="n">
        <v>0</v>
      </c>
      <c r="DP104" s="2" t="n">
        <v>0</v>
      </c>
      <c r="DQ104" s="2" t="n">
        <v>0</v>
      </c>
      <c r="DR104" s="2" t="n">
        <v>0</v>
      </c>
      <c r="DS104" s="2" t="n">
        <v>0</v>
      </c>
      <c r="DT104" s="2" t="n">
        <v>0</v>
      </c>
      <c r="DU104" s="2" t="n">
        <v>0</v>
      </c>
      <c r="DV104" s="2" t="n">
        <v>0</v>
      </c>
      <c r="DW104" s="2" t="n">
        <v>0</v>
      </c>
      <c r="DX104" s="2" t="n">
        <v>0</v>
      </c>
      <c r="DY104" s="2" t="n">
        <v>0</v>
      </c>
      <c r="DZ104" s="2" t="n">
        <v>0</v>
      </c>
      <c r="EA104" s="2" t="n">
        <v>0</v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0</v>
      </c>
      <c r="EM104" s="2" t="n">
        <v>0</v>
      </c>
      <c r="EN104" s="2" t="n">
        <v>0</v>
      </c>
      <c r="EO104" s="2" t="n">
        <v>0</v>
      </c>
      <c r="EP104" s="2" t="n">
        <v>0</v>
      </c>
      <c r="EQ104" s="2" t="n">
        <v>0</v>
      </c>
      <c r="ER104" s="2" t="n">
        <v>0</v>
      </c>
      <c r="ES104" s="2" t="n">
        <v>0</v>
      </c>
    </row>
    <row r="105">
      <c r="A105" s="2" t="n">
        <v>1</v>
      </c>
      <c r="B105" s="2" t="inlineStr">
        <is>
          <t>10</t>
        </is>
      </c>
      <c r="C105" s="2" t="inlineStr">
        <is>
          <t>MÃO DE OBRA PRÓPRIA</t>
        </is>
      </c>
      <c r="D105" s="2" t="inlineStr">
        <is>
          <t>-</t>
        </is>
      </c>
      <c r="E105" s="2" t="inlineStr">
        <is>
          <t>-</t>
        </is>
      </c>
      <c r="F105" s="2" t="n">
        <v>20188024.55255007</v>
      </c>
      <c r="G105" s="2" t="n">
        <v>0</v>
      </c>
      <c r="H105" s="2" t="n">
        <v>20188024.55255007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0</v>
      </c>
      <c r="DG105" s="2" t="n">
        <v>0</v>
      </c>
      <c r="DH105" s="2" t="n">
        <v>0</v>
      </c>
      <c r="DI105" s="2" t="n">
        <v>0</v>
      </c>
      <c r="DJ105" s="2" t="n">
        <v>0</v>
      </c>
      <c r="DK105" s="2" t="n">
        <v>0</v>
      </c>
      <c r="DL105" s="2" t="n">
        <v>0</v>
      </c>
      <c r="DM105" s="2" t="n">
        <v>0</v>
      </c>
      <c r="DN105" s="2" t="n">
        <v>0</v>
      </c>
      <c r="DO105" s="2" t="n">
        <v>0</v>
      </c>
      <c r="DP105" s="2" t="n">
        <v>0</v>
      </c>
      <c r="DQ105" s="2" t="n">
        <v>0</v>
      </c>
      <c r="DR105" s="2" t="n">
        <v>0</v>
      </c>
      <c r="DS105" s="2" t="n">
        <v>0</v>
      </c>
      <c r="DT105" s="2" t="n">
        <v>0</v>
      </c>
      <c r="DU105" s="2" t="n">
        <v>0</v>
      </c>
      <c r="DV105" s="2" t="n">
        <v>0</v>
      </c>
      <c r="DW105" s="2" t="n">
        <v>0</v>
      </c>
      <c r="DX105" s="2" t="n">
        <v>0</v>
      </c>
      <c r="DY105" s="2" t="n">
        <v>0</v>
      </c>
      <c r="DZ105" s="2" t="n">
        <v>0</v>
      </c>
      <c r="EA105" s="2" t="n">
        <v>0</v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0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0</v>
      </c>
      <c r="EM105" s="2" t="n">
        <v>0</v>
      </c>
      <c r="EN105" s="2" t="n">
        <v>0</v>
      </c>
      <c r="EO105" s="2" t="n">
        <v>0</v>
      </c>
      <c r="EP105" s="2" t="n">
        <v>0</v>
      </c>
      <c r="EQ105" s="2" t="n">
        <v>0</v>
      </c>
      <c r="ER105" s="2" t="n">
        <v>0</v>
      </c>
      <c r="ES105" s="2" t="n">
        <v>0</v>
      </c>
    </row>
    <row r="106">
      <c r="A106" s="2" t="n">
        <v>2</v>
      </c>
      <c r="B106" s="2" t="inlineStr">
        <is>
          <t>10.01</t>
        </is>
      </c>
      <c r="C106" s="2" t="inlineStr">
        <is>
          <t>Segurança do trabalho</t>
        </is>
      </c>
      <c r="D106" s="2" t="inlineStr">
        <is>
          <t>-</t>
        </is>
      </c>
      <c r="E106" s="2" t="inlineStr">
        <is>
          <t>-</t>
        </is>
      </c>
      <c r="F106" s="2" t="n">
        <v>80000</v>
      </c>
      <c r="G106" s="2" t="n">
        <v>0</v>
      </c>
      <c r="H106" s="2" t="n">
        <v>80000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0</v>
      </c>
      <c r="DE106" s="2" t="n">
        <v>0</v>
      </c>
      <c r="DF106" s="2" t="n">
        <v>0</v>
      </c>
      <c r="DG106" s="2" t="n">
        <v>0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0</v>
      </c>
      <c r="DW106" s="2" t="n">
        <v>0</v>
      </c>
      <c r="DX106" s="2" t="n">
        <v>0</v>
      </c>
      <c r="DY106" s="2" t="n">
        <v>0</v>
      </c>
      <c r="DZ106" s="2" t="n">
        <v>0</v>
      </c>
      <c r="EA106" s="2" t="n">
        <v>0</v>
      </c>
      <c r="EB106" s="2" t="n">
        <v>0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0</v>
      </c>
      <c r="EM106" s="2" t="n">
        <v>0</v>
      </c>
      <c r="EN106" s="2" t="n">
        <v>0</v>
      </c>
      <c r="EO106" s="2" t="n">
        <v>0</v>
      </c>
      <c r="EP106" s="2" t="n">
        <v>0</v>
      </c>
      <c r="EQ106" s="2" t="n">
        <v>0</v>
      </c>
      <c r="ER106" s="2" t="n">
        <v>0</v>
      </c>
      <c r="ES106" s="2" t="n">
        <v>0</v>
      </c>
    </row>
    <row r="107">
      <c r="A107" s="2" t="n">
        <v>3</v>
      </c>
      <c r="B107" s="2" t="inlineStr">
        <is>
          <t>10.01.01</t>
        </is>
      </c>
      <c r="C107" s="2" t="inlineStr">
        <is>
          <t>PCMAT</t>
        </is>
      </c>
      <c r="D107" s="2" t="inlineStr">
        <is>
          <t>-</t>
        </is>
      </c>
      <c r="E107" s="2" t="inlineStr">
        <is>
          <t>-</t>
        </is>
      </c>
      <c r="F107" s="2" t="n">
        <v>34000</v>
      </c>
      <c r="G107" s="2" t="n">
        <v>0</v>
      </c>
      <c r="H107" s="2" t="n">
        <v>34000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0</v>
      </c>
      <c r="DW107" s="2" t="n">
        <v>0</v>
      </c>
      <c r="DX107" s="2" t="n">
        <v>0</v>
      </c>
      <c r="DY107" s="2" t="n">
        <v>0</v>
      </c>
      <c r="DZ107" s="2" t="n">
        <v>0</v>
      </c>
      <c r="EA107" s="2" t="n">
        <v>0</v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0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0</v>
      </c>
      <c r="EM107" s="2" t="n">
        <v>0</v>
      </c>
      <c r="EN107" s="2" t="n">
        <v>0</v>
      </c>
      <c r="EO107" s="2" t="n">
        <v>0</v>
      </c>
      <c r="EP107" s="2" t="n">
        <v>0</v>
      </c>
      <c r="EQ107" s="2" t="n">
        <v>0</v>
      </c>
      <c r="ER107" s="2" t="n">
        <v>0</v>
      </c>
      <c r="ES107" s="2" t="n">
        <v>0</v>
      </c>
    </row>
    <row r="108">
      <c r="A108" s="2" t="n">
        <v>3</v>
      </c>
      <c r="B108" s="2" t="inlineStr">
        <is>
          <t>10.01.02</t>
        </is>
      </c>
      <c r="C108" s="2" t="inlineStr">
        <is>
          <t>PCMSO</t>
        </is>
      </c>
      <c r="D108" s="2" t="inlineStr">
        <is>
          <t>-</t>
        </is>
      </c>
      <c r="E108" s="2" t="inlineStr">
        <is>
          <t>-</t>
        </is>
      </c>
      <c r="F108" s="2" t="n">
        <v>18000</v>
      </c>
      <c r="G108" s="2" t="n">
        <v>0</v>
      </c>
      <c r="H108" s="2" t="n">
        <v>18000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0</v>
      </c>
      <c r="DG108" s="2" t="n">
        <v>0</v>
      </c>
      <c r="DH108" s="2" t="n">
        <v>0</v>
      </c>
      <c r="DI108" s="2" t="n">
        <v>0</v>
      </c>
      <c r="DJ108" s="2" t="n">
        <v>0</v>
      </c>
      <c r="DK108" s="2" t="n">
        <v>0</v>
      </c>
      <c r="DL108" s="2" t="n">
        <v>0</v>
      </c>
      <c r="DM108" s="2" t="n">
        <v>0</v>
      </c>
      <c r="DN108" s="2" t="n">
        <v>0</v>
      </c>
      <c r="DO108" s="2" t="n">
        <v>0</v>
      </c>
      <c r="DP108" s="2" t="n">
        <v>0</v>
      </c>
      <c r="DQ108" s="2" t="n">
        <v>0</v>
      </c>
      <c r="DR108" s="2" t="n">
        <v>0</v>
      </c>
      <c r="DS108" s="2" t="n">
        <v>0</v>
      </c>
      <c r="DT108" s="2" t="n">
        <v>0</v>
      </c>
      <c r="DU108" s="2" t="n">
        <v>0</v>
      </c>
      <c r="DV108" s="2" t="n">
        <v>0</v>
      </c>
      <c r="DW108" s="2" t="n">
        <v>0</v>
      </c>
      <c r="DX108" s="2" t="n">
        <v>0</v>
      </c>
      <c r="DY108" s="2" t="n">
        <v>0</v>
      </c>
      <c r="DZ108" s="2" t="n">
        <v>0</v>
      </c>
      <c r="EA108" s="2" t="n">
        <v>0</v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0</v>
      </c>
      <c r="EM108" s="2" t="n">
        <v>0</v>
      </c>
      <c r="EN108" s="2" t="n">
        <v>0</v>
      </c>
      <c r="EO108" s="2" t="n">
        <v>0</v>
      </c>
      <c r="EP108" s="2" t="n">
        <v>0</v>
      </c>
      <c r="EQ108" s="2" t="n">
        <v>0</v>
      </c>
      <c r="ER108" s="2" t="n">
        <v>0</v>
      </c>
      <c r="ES108" s="2" t="n">
        <v>0</v>
      </c>
    </row>
    <row r="109">
      <c r="A109" s="2" t="n">
        <v>3</v>
      </c>
      <c r="B109" s="2" t="inlineStr">
        <is>
          <t>10.01.03</t>
        </is>
      </c>
      <c r="C109" s="2" t="inlineStr">
        <is>
          <t>SIPAT</t>
        </is>
      </c>
      <c r="D109" s="2" t="inlineStr">
        <is>
          <t>-</t>
        </is>
      </c>
      <c r="E109" s="2" t="inlineStr">
        <is>
          <t>-</t>
        </is>
      </c>
      <c r="F109" s="2" t="n">
        <v>28000</v>
      </c>
      <c r="G109" s="2" t="n">
        <v>0</v>
      </c>
      <c r="H109" s="2" t="n">
        <v>28000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0</v>
      </c>
      <c r="DG109" s="2" t="n">
        <v>0</v>
      </c>
      <c r="DH109" s="2" t="n">
        <v>0</v>
      </c>
      <c r="DI109" s="2" t="n">
        <v>0</v>
      </c>
      <c r="DJ109" s="2" t="n">
        <v>0</v>
      </c>
      <c r="DK109" s="2" t="n">
        <v>0</v>
      </c>
      <c r="DL109" s="2" t="n">
        <v>0</v>
      </c>
      <c r="DM109" s="2" t="n">
        <v>0</v>
      </c>
      <c r="DN109" s="2" t="n">
        <v>0</v>
      </c>
      <c r="DO109" s="2" t="n">
        <v>0</v>
      </c>
      <c r="DP109" s="2" t="n">
        <v>0</v>
      </c>
      <c r="DQ109" s="2" t="n">
        <v>0</v>
      </c>
      <c r="DR109" s="2" t="n">
        <v>0</v>
      </c>
      <c r="DS109" s="2" t="n">
        <v>0</v>
      </c>
      <c r="DT109" s="2" t="n">
        <v>0</v>
      </c>
      <c r="DU109" s="2" t="n">
        <v>0</v>
      </c>
      <c r="DV109" s="2" t="n">
        <v>0</v>
      </c>
      <c r="DW109" s="2" t="n">
        <v>0</v>
      </c>
      <c r="DX109" s="2" t="n">
        <v>0</v>
      </c>
      <c r="DY109" s="2" t="n">
        <v>0</v>
      </c>
      <c r="DZ109" s="2" t="n">
        <v>0</v>
      </c>
      <c r="EA109" s="2" t="n">
        <v>0</v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0</v>
      </c>
      <c r="EM109" s="2" t="n">
        <v>0</v>
      </c>
      <c r="EN109" s="2" t="n">
        <v>0</v>
      </c>
      <c r="EO109" s="2" t="n">
        <v>0</v>
      </c>
      <c r="EP109" s="2" t="n">
        <v>0</v>
      </c>
      <c r="EQ109" s="2" t="n">
        <v>0</v>
      </c>
      <c r="ER109" s="2" t="n">
        <v>0</v>
      </c>
      <c r="ES109" s="2" t="n">
        <v>0</v>
      </c>
    </row>
    <row r="110">
      <c r="A110" s="2" t="n">
        <v>2</v>
      </c>
      <c r="B110" s="2" t="inlineStr">
        <is>
          <t>10.02</t>
        </is>
      </c>
      <c r="C110" s="2" t="inlineStr">
        <is>
          <t>Equipe técnica</t>
        </is>
      </c>
      <c r="D110" s="2" t="inlineStr">
        <is>
          <t>-</t>
        </is>
      </c>
      <c r="E110" s="2" t="inlineStr">
        <is>
          <t>-</t>
        </is>
      </c>
      <c r="F110" s="2" t="n">
        <v>7850880.917230051</v>
      </c>
      <c r="G110" s="2" t="n">
        <v>0</v>
      </c>
      <c r="H110" s="2" t="n">
        <v>7850880.917230051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0</v>
      </c>
      <c r="DG110" s="2" t="n">
        <v>0</v>
      </c>
      <c r="DH110" s="2" t="n">
        <v>0</v>
      </c>
      <c r="DI110" s="2" t="n">
        <v>0</v>
      </c>
      <c r="DJ110" s="2" t="n">
        <v>0</v>
      </c>
      <c r="DK110" s="2" t="n">
        <v>0</v>
      </c>
      <c r="DL110" s="2" t="n">
        <v>0</v>
      </c>
      <c r="DM110" s="2" t="n">
        <v>0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0</v>
      </c>
      <c r="DS110" s="2" t="n">
        <v>0</v>
      </c>
      <c r="DT110" s="2" t="n">
        <v>0</v>
      </c>
      <c r="DU110" s="2" t="n">
        <v>0</v>
      </c>
      <c r="DV110" s="2" t="n">
        <v>0</v>
      </c>
      <c r="DW110" s="2" t="n">
        <v>0</v>
      </c>
      <c r="DX110" s="2" t="n">
        <v>0</v>
      </c>
      <c r="DY110" s="2" t="n">
        <v>0</v>
      </c>
      <c r="DZ110" s="2" t="n">
        <v>0</v>
      </c>
      <c r="EA110" s="2" t="n">
        <v>0</v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0</v>
      </c>
      <c r="EM110" s="2" t="n">
        <v>0</v>
      </c>
      <c r="EN110" s="2" t="n">
        <v>0</v>
      </c>
      <c r="EO110" s="2" t="n">
        <v>0</v>
      </c>
      <c r="EP110" s="2" t="n">
        <v>0</v>
      </c>
      <c r="EQ110" s="2" t="n">
        <v>0</v>
      </c>
      <c r="ER110" s="2" t="n">
        <v>0</v>
      </c>
      <c r="ES110" s="2" t="n">
        <v>0</v>
      </c>
    </row>
    <row r="111">
      <c r="A111" s="2" t="n">
        <v>3</v>
      </c>
      <c r="B111" s="2" t="inlineStr">
        <is>
          <t>10.02.01</t>
        </is>
      </c>
      <c r="C111" s="2" t="inlineStr">
        <is>
          <t>Gerente de contrato</t>
        </is>
      </c>
      <c r="D111" s="2" t="inlineStr">
        <is>
          <t>-</t>
        </is>
      </c>
      <c r="E111" s="2" t="inlineStr">
        <is>
          <t>-</t>
        </is>
      </c>
      <c r="F111" s="2" t="n">
        <v>1534256</v>
      </c>
      <c r="G111" s="2" t="n">
        <v>0</v>
      </c>
      <c r="H111" s="2" t="n">
        <v>1534256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0</v>
      </c>
      <c r="DI111" s="2" t="n">
        <v>0</v>
      </c>
      <c r="DJ111" s="2" t="n">
        <v>0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0</v>
      </c>
      <c r="DR111" s="2" t="n">
        <v>0</v>
      </c>
      <c r="DS111" s="2" t="n">
        <v>0</v>
      </c>
      <c r="DT111" s="2" t="n">
        <v>0</v>
      </c>
      <c r="DU111" s="2" t="n">
        <v>0</v>
      </c>
      <c r="DV111" s="2" t="n">
        <v>0</v>
      </c>
      <c r="DW111" s="2" t="n">
        <v>0</v>
      </c>
      <c r="DX111" s="2" t="n">
        <v>0</v>
      </c>
      <c r="DY111" s="2" t="n">
        <v>0</v>
      </c>
      <c r="DZ111" s="2" t="n">
        <v>0</v>
      </c>
      <c r="EA111" s="2" t="n">
        <v>0</v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0</v>
      </c>
      <c r="EM111" s="2" t="n">
        <v>0</v>
      </c>
      <c r="EN111" s="2" t="n">
        <v>0</v>
      </c>
      <c r="EO111" s="2" t="n">
        <v>0</v>
      </c>
      <c r="EP111" s="2" t="n">
        <v>0</v>
      </c>
      <c r="EQ111" s="2" t="n">
        <v>0</v>
      </c>
      <c r="ER111" s="2" t="n">
        <v>0</v>
      </c>
      <c r="ES111" s="2" t="n">
        <v>0</v>
      </c>
    </row>
    <row r="112">
      <c r="A112" s="2" t="n">
        <v>3</v>
      </c>
      <c r="B112" s="2" t="inlineStr">
        <is>
          <t>10.02.02</t>
        </is>
      </c>
      <c r="C112" s="2" t="inlineStr">
        <is>
          <t>Engenheiro de produção PL</t>
        </is>
      </c>
      <c r="D112" s="2" t="inlineStr">
        <is>
          <t>-</t>
        </is>
      </c>
      <c r="E112" s="2" t="inlineStr">
        <is>
          <t>-</t>
        </is>
      </c>
      <c r="F112" s="2" t="n">
        <v>1246054.826719775</v>
      </c>
      <c r="G112" s="2" t="n">
        <v>0</v>
      </c>
      <c r="H112" s="2" t="n">
        <v>1246054.826719775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2" t="n">
        <v>0</v>
      </c>
      <c r="DQ112" s="2" t="n">
        <v>0</v>
      </c>
      <c r="DR112" s="2" t="n">
        <v>0</v>
      </c>
      <c r="DS112" s="2" t="n">
        <v>0</v>
      </c>
      <c r="DT112" s="2" t="n">
        <v>0</v>
      </c>
      <c r="DU112" s="2" t="n">
        <v>0</v>
      </c>
      <c r="DV112" s="2" t="n">
        <v>0</v>
      </c>
      <c r="DW112" s="2" t="n">
        <v>0</v>
      </c>
      <c r="DX112" s="2" t="n">
        <v>0</v>
      </c>
      <c r="DY112" s="2" t="n">
        <v>0</v>
      </c>
      <c r="DZ112" s="2" t="n">
        <v>0</v>
      </c>
      <c r="EA112" s="2" t="n">
        <v>0</v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0</v>
      </c>
      <c r="EM112" s="2" t="n">
        <v>0</v>
      </c>
      <c r="EN112" s="2" t="n">
        <v>0</v>
      </c>
      <c r="EO112" s="2" t="n">
        <v>0</v>
      </c>
      <c r="EP112" s="2" t="n">
        <v>0</v>
      </c>
      <c r="EQ112" s="2" t="n">
        <v>0</v>
      </c>
      <c r="ER112" s="2" t="n">
        <v>0</v>
      </c>
      <c r="ES112" s="2" t="n">
        <v>0</v>
      </c>
    </row>
    <row r="113">
      <c r="A113" s="2" t="n">
        <v>3</v>
      </c>
      <c r="B113" s="2" t="inlineStr">
        <is>
          <t>10.02.03</t>
        </is>
      </c>
      <c r="C113" s="2" t="inlineStr">
        <is>
          <t>Engenheiro de produção JR</t>
        </is>
      </c>
      <c r="D113" s="2" t="inlineStr">
        <is>
          <t>-</t>
        </is>
      </c>
      <c r="E113" s="2" t="inlineStr">
        <is>
          <t>-</t>
        </is>
      </c>
      <c r="F113" s="2" t="n">
        <v>439660.8402083334</v>
      </c>
      <c r="G113" s="2" t="n">
        <v>0</v>
      </c>
      <c r="H113" s="2" t="n">
        <v>439660.8402083334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0</v>
      </c>
      <c r="DW113" s="2" t="n">
        <v>0</v>
      </c>
      <c r="DX113" s="2" t="n">
        <v>0</v>
      </c>
      <c r="DY113" s="2" t="n">
        <v>0</v>
      </c>
      <c r="DZ113" s="2" t="n">
        <v>0</v>
      </c>
      <c r="EA113" s="2" t="n">
        <v>0</v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0</v>
      </c>
      <c r="EM113" s="2" t="n">
        <v>0</v>
      </c>
      <c r="EN113" s="2" t="n">
        <v>0</v>
      </c>
      <c r="EO113" s="2" t="n">
        <v>0</v>
      </c>
      <c r="EP113" s="2" t="n">
        <v>0</v>
      </c>
      <c r="EQ113" s="2" t="n">
        <v>0</v>
      </c>
      <c r="ER113" s="2" t="n">
        <v>0</v>
      </c>
      <c r="ES113" s="2" t="n">
        <v>0</v>
      </c>
    </row>
    <row r="114">
      <c r="A114" s="2" t="n">
        <v>3</v>
      </c>
      <c r="B114" s="2" t="inlineStr">
        <is>
          <t>10.02.04</t>
        </is>
      </c>
      <c r="C114" s="2" t="inlineStr">
        <is>
          <t>Engenheiro Traine</t>
        </is>
      </c>
      <c r="D114" s="2" t="inlineStr">
        <is>
          <t>-</t>
        </is>
      </c>
      <c r="E114" s="2" t="inlineStr">
        <is>
          <t>-</t>
        </is>
      </c>
      <c r="F114" s="2" t="n">
        <v>655575.5775427446</v>
      </c>
      <c r="G114" s="2" t="n">
        <v>0</v>
      </c>
      <c r="H114" s="2" t="n">
        <v>655575.5775427446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0</v>
      </c>
      <c r="DW114" s="2" t="n">
        <v>0</v>
      </c>
      <c r="DX114" s="2" t="n">
        <v>0</v>
      </c>
      <c r="DY114" s="2" t="n">
        <v>0</v>
      </c>
      <c r="DZ114" s="2" t="n">
        <v>0</v>
      </c>
      <c r="EA114" s="2" t="n">
        <v>0</v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0</v>
      </c>
      <c r="EM114" s="2" t="n">
        <v>0</v>
      </c>
      <c r="EN114" s="2" t="n">
        <v>0</v>
      </c>
      <c r="EO114" s="2" t="n">
        <v>0</v>
      </c>
      <c r="EP114" s="2" t="n">
        <v>0</v>
      </c>
      <c r="EQ114" s="2" t="n">
        <v>0</v>
      </c>
      <c r="ER114" s="2" t="n">
        <v>0</v>
      </c>
      <c r="ES114" s="2" t="n">
        <v>0</v>
      </c>
    </row>
    <row r="115">
      <c r="A115" s="2" t="n">
        <v>3</v>
      </c>
      <c r="B115" s="2" t="inlineStr">
        <is>
          <t>10.02.05</t>
        </is>
      </c>
      <c r="C115" s="2" t="inlineStr">
        <is>
          <t>Apoio escritório central</t>
        </is>
      </c>
      <c r="D115" s="2" t="inlineStr">
        <is>
          <t>-</t>
        </is>
      </c>
      <c r="E115" s="2" t="inlineStr">
        <is>
          <t>-</t>
        </is>
      </c>
      <c r="F115" s="2" t="n">
        <v>2640000</v>
      </c>
      <c r="G115" s="2" t="n">
        <v>0</v>
      </c>
      <c r="H115" s="2" t="n">
        <v>2640000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0</v>
      </c>
      <c r="DJ115" s="2" t="n">
        <v>0</v>
      </c>
      <c r="DK115" s="2" t="n">
        <v>0</v>
      </c>
      <c r="DL115" s="2" t="n">
        <v>0</v>
      </c>
      <c r="DM115" s="2" t="n">
        <v>0</v>
      </c>
      <c r="DN115" s="2" t="n">
        <v>0</v>
      </c>
      <c r="DO115" s="2" t="n">
        <v>0</v>
      </c>
      <c r="DP115" s="2" t="n">
        <v>0</v>
      </c>
      <c r="DQ115" s="2" t="n">
        <v>0</v>
      </c>
      <c r="DR115" s="2" t="n">
        <v>0</v>
      </c>
      <c r="DS115" s="2" t="n">
        <v>0</v>
      </c>
      <c r="DT115" s="2" t="n">
        <v>0</v>
      </c>
      <c r="DU115" s="2" t="n">
        <v>0</v>
      </c>
      <c r="DV115" s="2" t="n">
        <v>0</v>
      </c>
      <c r="DW115" s="2" t="n">
        <v>0</v>
      </c>
      <c r="DX115" s="2" t="n">
        <v>0</v>
      </c>
      <c r="DY115" s="2" t="n">
        <v>0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0</v>
      </c>
      <c r="EM115" s="2" t="n">
        <v>0</v>
      </c>
      <c r="EN115" s="2" t="n">
        <v>0</v>
      </c>
      <c r="EO115" s="2" t="n">
        <v>0</v>
      </c>
      <c r="EP115" s="2" t="n">
        <v>0</v>
      </c>
      <c r="EQ115" s="2" t="n">
        <v>0</v>
      </c>
      <c r="ER115" s="2" t="n">
        <v>0</v>
      </c>
      <c r="ES115" s="2" t="n">
        <v>0</v>
      </c>
    </row>
    <row r="116">
      <c r="A116" s="2" t="n">
        <v>3</v>
      </c>
      <c r="B116" s="2" t="inlineStr">
        <is>
          <t>10.02.06</t>
        </is>
      </c>
      <c r="C116" s="2" t="inlineStr">
        <is>
          <t>Rateio de qualidade e segurança</t>
        </is>
      </c>
      <c r="D116" s="2" t="inlineStr">
        <is>
          <t>-</t>
        </is>
      </c>
      <c r="E116" s="2" t="inlineStr">
        <is>
          <t>-</t>
        </is>
      </c>
      <c r="F116" s="2" t="n">
        <v>660000</v>
      </c>
      <c r="G116" s="2" t="n">
        <v>0</v>
      </c>
      <c r="H116" s="2" t="n">
        <v>660000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0</v>
      </c>
      <c r="DG116" s="2" t="n">
        <v>0</v>
      </c>
      <c r="DH116" s="2" t="n">
        <v>0</v>
      </c>
      <c r="DI116" s="2" t="n">
        <v>0</v>
      </c>
      <c r="DJ116" s="2" t="n">
        <v>0</v>
      </c>
      <c r="DK116" s="2" t="n">
        <v>0</v>
      </c>
      <c r="DL116" s="2" t="n">
        <v>0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0</v>
      </c>
      <c r="DT116" s="2" t="n">
        <v>0</v>
      </c>
      <c r="DU116" s="2" t="n">
        <v>0</v>
      </c>
      <c r="DV116" s="2" t="n">
        <v>0</v>
      </c>
      <c r="DW116" s="2" t="n">
        <v>0</v>
      </c>
      <c r="DX116" s="2" t="n">
        <v>0</v>
      </c>
      <c r="DY116" s="2" t="n">
        <v>0</v>
      </c>
      <c r="DZ116" s="2" t="n">
        <v>0</v>
      </c>
      <c r="EA116" s="2" t="n">
        <v>0</v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0</v>
      </c>
      <c r="EM116" s="2" t="n">
        <v>0</v>
      </c>
      <c r="EN116" s="2" t="n">
        <v>0</v>
      </c>
      <c r="EO116" s="2" t="n">
        <v>0</v>
      </c>
      <c r="EP116" s="2" t="n">
        <v>0</v>
      </c>
      <c r="EQ116" s="2" t="n">
        <v>0</v>
      </c>
      <c r="ER116" s="2" t="n">
        <v>0</v>
      </c>
      <c r="ES116" s="2" t="n">
        <v>0</v>
      </c>
    </row>
    <row r="117">
      <c r="A117" s="2" t="n">
        <v>3</v>
      </c>
      <c r="B117" s="2" t="inlineStr">
        <is>
          <t>10.02.07</t>
        </is>
      </c>
      <c r="C117" s="2" t="inlineStr">
        <is>
          <t>Auxiliar de Engenharia</t>
        </is>
      </c>
      <c r="D117" s="2" t="inlineStr">
        <is>
          <t>-</t>
        </is>
      </c>
      <c r="E117" s="2" t="inlineStr">
        <is>
          <t>-</t>
        </is>
      </c>
      <c r="F117" s="2" t="n">
        <v>278609.9848425316</v>
      </c>
      <c r="G117" s="2" t="n">
        <v>0</v>
      </c>
      <c r="H117" s="2" t="n">
        <v>278609.9848425316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0</v>
      </c>
      <c r="DG117" s="2" t="n">
        <v>0</v>
      </c>
      <c r="DH117" s="2" t="n">
        <v>0</v>
      </c>
      <c r="DI117" s="2" t="n">
        <v>0</v>
      </c>
      <c r="DJ117" s="2" t="n">
        <v>0</v>
      </c>
      <c r="DK117" s="2" t="n">
        <v>0</v>
      </c>
      <c r="DL117" s="2" t="n">
        <v>0</v>
      </c>
      <c r="DM117" s="2" t="n">
        <v>0</v>
      </c>
      <c r="DN117" s="2" t="n">
        <v>0</v>
      </c>
      <c r="DO117" s="2" t="n">
        <v>0</v>
      </c>
      <c r="DP117" s="2" t="n">
        <v>0</v>
      </c>
      <c r="DQ117" s="2" t="n">
        <v>0</v>
      </c>
      <c r="DR117" s="2" t="n">
        <v>0</v>
      </c>
      <c r="DS117" s="2" t="n">
        <v>0</v>
      </c>
      <c r="DT117" s="2" t="n">
        <v>0</v>
      </c>
      <c r="DU117" s="2" t="n">
        <v>0</v>
      </c>
      <c r="DV117" s="2" t="n">
        <v>0</v>
      </c>
      <c r="DW117" s="2" t="n">
        <v>0</v>
      </c>
      <c r="DX117" s="2" t="n">
        <v>0</v>
      </c>
      <c r="DY117" s="2" t="n">
        <v>0</v>
      </c>
      <c r="DZ117" s="2" t="n">
        <v>0</v>
      </c>
      <c r="EA117" s="2" t="n">
        <v>0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0</v>
      </c>
      <c r="EM117" s="2" t="n">
        <v>0</v>
      </c>
      <c r="EN117" s="2" t="n">
        <v>0</v>
      </c>
      <c r="EO117" s="2" t="n">
        <v>0</v>
      </c>
      <c r="EP117" s="2" t="n">
        <v>0</v>
      </c>
      <c r="EQ117" s="2" t="n">
        <v>0</v>
      </c>
      <c r="ER117" s="2" t="n">
        <v>0</v>
      </c>
      <c r="ES117" s="2" t="n">
        <v>0</v>
      </c>
    </row>
    <row r="118">
      <c r="A118" s="2" t="n">
        <v>3</v>
      </c>
      <c r="B118" s="2" t="inlineStr">
        <is>
          <t>10.02.08</t>
        </is>
      </c>
      <c r="C118" s="2" t="inlineStr">
        <is>
          <t>Estagiário</t>
        </is>
      </c>
      <c r="D118" s="2" t="inlineStr">
        <is>
          <t>-</t>
        </is>
      </c>
      <c r="E118" s="2" t="inlineStr">
        <is>
          <t>-</t>
        </is>
      </c>
      <c r="F118" s="2" t="n">
        <v>296723.6879166666</v>
      </c>
      <c r="G118" s="2" t="n">
        <v>0</v>
      </c>
      <c r="H118" s="2" t="n">
        <v>296723.6879166666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0</v>
      </c>
      <c r="DG118" s="2" t="n">
        <v>0</v>
      </c>
      <c r="DH118" s="2" t="n">
        <v>0</v>
      </c>
      <c r="DI118" s="2" t="n">
        <v>0</v>
      </c>
      <c r="DJ118" s="2" t="n">
        <v>0</v>
      </c>
      <c r="DK118" s="2" t="n">
        <v>0</v>
      </c>
      <c r="DL118" s="2" t="n">
        <v>0</v>
      </c>
      <c r="DM118" s="2" t="n">
        <v>0</v>
      </c>
      <c r="DN118" s="2" t="n">
        <v>0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0</v>
      </c>
      <c r="DW118" s="2" t="n">
        <v>0</v>
      </c>
      <c r="DX118" s="2" t="n">
        <v>0</v>
      </c>
      <c r="DY118" s="2" t="n">
        <v>0</v>
      </c>
      <c r="DZ118" s="2" t="n">
        <v>0</v>
      </c>
      <c r="EA118" s="2" t="n">
        <v>0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0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0</v>
      </c>
      <c r="EM118" s="2" t="n">
        <v>0</v>
      </c>
      <c r="EN118" s="2" t="n">
        <v>0</v>
      </c>
      <c r="EO118" s="2" t="n">
        <v>0</v>
      </c>
      <c r="EP118" s="2" t="n">
        <v>0</v>
      </c>
      <c r="EQ118" s="2" t="n">
        <v>0</v>
      </c>
      <c r="ER118" s="2" t="n">
        <v>0</v>
      </c>
      <c r="ES118" s="2" t="n">
        <v>0</v>
      </c>
    </row>
    <row r="119">
      <c r="A119" s="2" t="n">
        <v>3</v>
      </c>
      <c r="B119" s="2" t="inlineStr">
        <is>
          <t>10.02.09</t>
        </is>
      </c>
      <c r="C119" s="2" t="inlineStr">
        <is>
          <t>Equipe de topografia terceirizada</t>
        </is>
      </c>
      <c r="D119" s="2" t="inlineStr">
        <is>
          <t>-</t>
        </is>
      </c>
      <c r="E119" s="2" t="inlineStr">
        <is>
          <t>-</t>
        </is>
      </c>
      <c r="F119" s="2" t="n">
        <v>100000</v>
      </c>
      <c r="G119" s="2" t="n">
        <v>0</v>
      </c>
      <c r="H119" s="2" t="n">
        <v>100000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0</v>
      </c>
      <c r="BX119" s="2" t="n">
        <v>0</v>
      </c>
      <c r="BY119" s="2" t="n">
        <v>0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0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0</v>
      </c>
      <c r="DG119" s="2" t="n">
        <v>0</v>
      </c>
      <c r="DH119" s="2" t="n">
        <v>0</v>
      </c>
      <c r="DI119" s="2" t="n">
        <v>0</v>
      </c>
      <c r="DJ119" s="2" t="n">
        <v>0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0</v>
      </c>
      <c r="DT119" s="2" t="n">
        <v>0</v>
      </c>
      <c r="DU119" s="2" t="n">
        <v>0</v>
      </c>
      <c r="DV119" s="2" t="n">
        <v>0</v>
      </c>
      <c r="DW119" s="2" t="n">
        <v>0</v>
      </c>
      <c r="DX119" s="2" t="n">
        <v>0</v>
      </c>
      <c r="DY119" s="2" t="n">
        <v>0</v>
      </c>
      <c r="DZ119" s="2" t="n">
        <v>0</v>
      </c>
      <c r="EA119" s="2" t="n">
        <v>0</v>
      </c>
      <c r="EB119" s="2" t="n">
        <v>0</v>
      </c>
      <c r="EC119" s="2" t="n">
        <v>0</v>
      </c>
      <c r="ED119" s="2" t="n">
        <v>0</v>
      </c>
      <c r="EE119" s="2" t="n">
        <v>0</v>
      </c>
      <c r="EF119" s="2" t="n">
        <v>0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0</v>
      </c>
      <c r="EM119" s="2" t="n">
        <v>0</v>
      </c>
      <c r="EN119" s="2" t="n">
        <v>0</v>
      </c>
      <c r="EO119" s="2" t="n">
        <v>0</v>
      </c>
      <c r="EP119" s="2" t="n">
        <v>0</v>
      </c>
      <c r="EQ119" s="2" t="n">
        <v>0</v>
      </c>
      <c r="ER119" s="2" t="n">
        <v>0</v>
      </c>
      <c r="ES119" s="2" t="n">
        <v>0</v>
      </c>
    </row>
    <row r="120">
      <c r="A120" s="2" t="n">
        <v>2</v>
      </c>
      <c r="B120" s="2" t="inlineStr">
        <is>
          <t>10.03</t>
        </is>
      </c>
      <c r="C120" s="2" t="inlineStr">
        <is>
          <t>Equipe de segurança e medicina do trabalho</t>
        </is>
      </c>
      <c r="D120" s="2" t="inlineStr">
        <is>
          <t>-</t>
        </is>
      </c>
      <c r="E120" s="2" t="inlineStr">
        <is>
          <t>-</t>
        </is>
      </c>
      <c r="F120" s="2" t="n">
        <v>1075308.624227114</v>
      </c>
      <c r="G120" s="2" t="n">
        <v>0</v>
      </c>
      <c r="H120" s="2" t="n">
        <v>1075308.624227114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0</v>
      </c>
      <c r="DW120" s="2" t="n">
        <v>0</v>
      </c>
      <c r="DX120" s="2" t="n">
        <v>0</v>
      </c>
      <c r="DY120" s="2" t="n">
        <v>0</v>
      </c>
      <c r="DZ120" s="2" t="n">
        <v>0</v>
      </c>
      <c r="EA120" s="2" t="n">
        <v>0</v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0</v>
      </c>
      <c r="EM120" s="2" t="n">
        <v>0</v>
      </c>
      <c r="EN120" s="2" t="n">
        <v>0</v>
      </c>
      <c r="EO120" s="2" t="n">
        <v>0</v>
      </c>
      <c r="EP120" s="2" t="n">
        <v>0</v>
      </c>
      <c r="EQ120" s="2" t="n">
        <v>0</v>
      </c>
      <c r="ER120" s="2" t="n">
        <v>0</v>
      </c>
      <c r="ES120" s="2" t="n">
        <v>0</v>
      </c>
    </row>
    <row r="121">
      <c r="A121" s="2" t="n">
        <v>3</v>
      </c>
      <c r="B121" s="2" t="inlineStr">
        <is>
          <t>10.03.01</t>
        </is>
      </c>
      <c r="C121" s="2" t="inlineStr">
        <is>
          <t>Técnico de Segurança do Trabalho</t>
        </is>
      </c>
      <c r="D121" s="2" t="inlineStr">
        <is>
          <t>-</t>
        </is>
      </c>
      <c r="E121" s="2" t="inlineStr">
        <is>
          <t>-</t>
        </is>
      </c>
      <c r="F121" s="2" t="n">
        <v>428010.4919273623</v>
      </c>
      <c r="G121" s="2" t="n">
        <v>0</v>
      </c>
      <c r="H121" s="2" t="n">
        <v>428010.4919273623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0</v>
      </c>
      <c r="DW121" s="2" t="n">
        <v>0</v>
      </c>
      <c r="DX121" s="2" t="n">
        <v>0</v>
      </c>
      <c r="DY121" s="2" t="n">
        <v>0</v>
      </c>
      <c r="DZ121" s="2" t="n">
        <v>0</v>
      </c>
      <c r="EA121" s="2" t="n">
        <v>0</v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0</v>
      </c>
      <c r="EM121" s="2" t="n">
        <v>0</v>
      </c>
      <c r="EN121" s="2" t="n">
        <v>0</v>
      </c>
      <c r="EO121" s="2" t="n">
        <v>0</v>
      </c>
      <c r="EP121" s="2" t="n">
        <v>0</v>
      </c>
      <c r="EQ121" s="2" t="n">
        <v>0</v>
      </c>
      <c r="ER121" s="2" t="n">
        <v>0</v>
      </c>
      <c r="ES121" s="2" t="n">
        <v>0</v>
      </c>
    </row>
    <row r="122">
      <c r="A122" s="2" t="n">
        <v>3</v>
      </c>
      <c r="B122" s="2" t="inlineStr">
        <is>
          <t>10.03.02</t>
        </is>
      </c>
      <c r="C122" s="2" t="inlineStr">
        <is>
          <t>Estagiário</t>
        </is>
      </c>
      <c r="D122" s="2" t="inlineStr">
        <is>
          <t>-</t>
        </is>
      </c>
      <c r="E122" s="2" t="inlineStr">
        <is>
          <t>-</t>
        </is>
      </c>
      <c r="F122" s="2" t="n">
        <v>70462.42385416667</v>
      </c>
      <c r="G122" s="2" t="n">
        <v>0</v>
      </c>
      <c r="H122" s="2" t="n">
        <v>70462.42385416667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  <c r="BV122" s="2" t="n">
        <v>0</v>
      </c>
      <c r="BW122" s="2" t="n">
        <v>0</v>
      </c>
      <c r="BX122" s="2" t="n">
        <v>0</v>
      </c>
      <c r="BY122" s="2" t="n">
        <v>0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0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0</v>
      </c>
      <c r="DG122" s="2" t="n">
        <v>0</v>
      </c>
      <c r="DH122" s="2" t="n">
        <v>0</v>
      </c>
      <c r="DI122" s="2" t="n">
        <v>0</v>
      </c>
      <c r="DJ122" s="2" t="n">
        <v>0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0</v>
      </c>
      <c r="DT122" s="2" t="n">
        <v>0</v>
      </c>
      <c r="DU122" s="2" t="n">
        <v>0</v>
      </c>
      <c r="DV122" s="2" t="n">
        <v>0</v>
      </c>
      <c r="DW122" s="2" t="n">
        <v>0</v>
      </c>
      <c r="DX122" s="2" t="n">
        <v>0</v>
      </c>
      <c r="DY122" s="2" t="n">
        <v>0</v>
      </c>
      <c r="DZ122" s="2" t="n">
        <v>0</v>
      </c>
      <c r="EA122" s="2" t="n">
        <v>0</v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0</v>
      </c>
      <c r="EM122" s="2" t="n">
        <v>0</v>
      </c>
      <c r="EN122" s="2" t="n">
        <v>0</v>
      </c>
      <c r="EO122" s="2" t="n">
        <v>0</v>
      </c>
      <c r="EP122" s="2" t="n">
        <v>0</v>
      </c>
      <c r="EQ122" s="2" t="n">
        <v>0</v>
      </c>
      <c r="ER122" s="2" t="n">
        <v>0</v>
      </c>
      <c r="ES122" s="2" t="n">
        <v>0</v>
      </c>
    </row>
    <row r="123">
      <c r="A123" s="2" t="n">
        <v>3</v>
      </c>
      <c r="B123" s="2" t="inlineStr">
        <is>
          <t>10.03.03</t>
        </is>
      </c>
      <c r="C123" s="2" t="inlineStr">
        <is>
          <t>Carpinteiro de apoio</t>
        </is>
      </c>
      <c r="D123" s="2" t="inlineStr">
        <is>
          <t>-</t>
        </is>
      </c>
      <c r="E123" s="2" t="inlineStr">
        <is>
          <t>-</t>
        </is>
      </c>
      <c r="F123" s="2" t="n">
        <v>576835.7084455849</v>
      </c>
      <c r="G123" s="2" t="n">
        <v>0</v>
      </c>
      <c r="H123" s="2" t="n">
        <v>576835.7084455849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0</v>
      </c>
      <c r="BV123" s="2" t="n">
        <v>0</v>
      </c>
      <c r="BW123" s="2" t="n">
        <v>0</v>
      </c>
      <c r="BX123" s="2" t="n">
        <v>0</v>
      </c>
      <c r="BY123" s="2" t="n">
        <v>0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n">
        <v>0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0</v>
      </c>
      <c r="DG123" s="2" t="n">
        <v>0</v>
      </c>
      <c r="DH123" s="2" t="n">
        <v>0</v>
      </c>
      <c r="DI123" s="2" t="n">
        <v>0</v>
      </c>
      <c r="DJ123" s="2" t="n">
        <v>0</v>
      </c>
      <c r="DK123" s="2" t="n">
        <v>0</v>
      </c>
      <c r="DL123" s="2" t="n">
        <v>0</v>
      </c>
      <c r="DM123" s="2" t="n">
        <v>0</v>
      </c>
      <c r="DN123" s="2" t="n">
        <v>0</v>
      </c>
      <c r="DO123" s="2" t="n">
        <v>0</v>
      </c>
      <c r="DP123" s="2" t="n">
        <v>0</v>
      </c>
      <c r="DQ123" s="2" t="n">
        <v>0</v>
      </c>
      <c r="DR123" s="2" t="n">
        <v>0</v>
      </c>
      <c r="DS123" s="2" t="n">
        <v>0</v>
      </c>
      <c r="DT123" s="2" t="n">
        <v>0</v>
      </c>
      <c r="DU123" s="2" t="n">
        <v>0</v>
      </c>
      <c r="DV123" s="2" t="n">
        <v>0</v>
      </c>
      <c r="DW123" s="2" t="n">
        <v>0</v>
      </c>
      <c r="DX123" s="2" t="n">
        <v>0</v>
      </c>
      <c r="DY123" s="2" t="n">
        <v>0</v>
      </c>
      <c r="DZ123" s="2" t="n">
        <v>0</v>
      </c>
      <c r="EA123" s="2" t="n">
        <v>0</v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0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0</v>
      </c>
      <c r="EM123" s="2" t="n">
        <v>0</v>
      </c>
      <c r="EN123" s="2" t="n">
        <v>0</v>
      </c>
      <c r="EO123" s="2" t="n">
        <v>0</v>
      </c>
      <c r="EP123" s="2" t="n">
        <v>0</v>
      </c>
      <c r="EQ123" s="2" t="n">
        <v>0</v>
      </c>
      <c r="ER123" s="2" t="n">
        <v>0</v>
      </c>
      <c r="ES123" s="2" t="n">
        <v>0</v>
      </c>
    </row>
    <row r="124">
      <c r="A124" s="2" t="n">
        <v>2</v>
      </c>
      <c r="B124" s="2" t="inlineStr">
        <is>
          <t>10.04</t>
        </is>
      </c>
      <c r="C124" s="2" t="inlineStr">
        <is>
          <t>Equipe administrativa</t>
        </is>
      </c>
      <c r="D124" s="2" t="inlineStr">
        <is>
          <t>-</t>
        </is>
      </c>
      <c r="E124" s="2" t="inlineStr">
        <is>
          <t>-</t>
        </is>
      </c>
      <c r="F124" s="2" t="n">
        <v>1742630.061221556</v>
      </c>
      <c r="G124" s="2" t="n">
        <v>0</v>
      </c>
      <c r="H124" s="2" t="n">
        <v>1742630.061221556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n">
        <v>0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0</v>
      </c>
      <c r="DI124" s="2" t="n">
        <v>0</v>
      </c>
      <c r="DJ124" s="2" t="n">
        <v>0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2" t="n">
        <v>0</v>
      </c>
      <c r="DQ124" s="2" t="n">
        <v>0</v>
      </c>
      <c r="DR124" s="2" t="n">
        <v>0</v>
      </c>
      <c r="DS124" s="2" t="n">
        <v>0</v>
      </c>
      <c r="DT124" s="2" t="n">
        <v>0</v>
      </c>
      <c r="DU124" s="2" t="n">
        <v>0</v>
      </c>
      <c r="DV124" s="2" t="n">
        <v>0</v>
      </c>
      <c r="DW124" s="2" t="n">
        <v>0</v>
      </c>
      <c r="DX124" s="2" t="n">
        <v>0</v>
      </c>
      <c r="DY124" s="2" t="n">
        <v>0</v>
      </c>
      <c r="DZ124" s="2" t="n">
        <v>0</v>
      </c>
      <c r="EA124" s="2" t="n">
        <v>0</v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0</v>
      </c>
      <c r="EM124" s="2" t="n">
        <v>0</v>
      </c>
      <c r="EN124" s="2" t="n">
        <v>0</v>
      </c>
      <c r="EO124" s="2" t="n">
        <v>0</v>
      </c>
      <c r="EP124" s="2" t="n">
        <v>0</v>
      </c>
      <c r="EQ124" s="2" t="n">
        <v>0</v>
      </c>
      <c r="ER124" s="2" t="n">
        <v>0</v>
      </c>
      <c r="ES124" s="2" t="n">
        <v>0</v>
      </c>
    </row>
    <row r="125">
      <c r="A125" s="2" t="n">
        <v>3</v>
      </c>
      <c r="B125" s="2" t="inlineStr">
        <is>
          <t>10.04.01</t>
        </is>
      </c>
      <c r="C125" s="2" t="inlineStr">
        <is>
          <t>Encarregado Administrativo</t>
        </is>
      </c>
      <c r="D125" s="2" t="inlineStr">
        <is>
          <t>-</t>
        </is>
      </c>
      <c r="E125" s="2" t="inlineStr">
        <is>
          <t>-</t>
        </is>
      </c>
      <c r="F125" s="2" t="n">
        <v>470876.0689263832</v>
      </c>
      <c r="G125" s="2" t="n">
        <v>0</v>
      </c>
      <c r="H125" s="2" t="n">
        <v>470876.0689263832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0</v>
      </c>
      <c r="BT125" s="2" t="n">
        <v>0</v>
      </c>
      <c r="BU125" s="2" t="n">
        <v>0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n">
        <v>0</v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0</v>
      </c>
      <c r="DJ125" s="2" t="n">
        <v>0</v>
      </c>
      <c r="DK125" s="2" t="n">
        <v>0</v>
      </c>
      <c r="DL125" s="2" t="n">
        <v>0</v>
      </c>
      <c r="DM125" s="2" t="n">
        <v>0</v>
      </c>
      <c r="DN125" s="2" t="n">
        <v>0</v>
      </c>
      <c r="DO125" s="2" t="n">
        <v>0</v>
      </c>
      <c r="DP125" s="2" t="n">
        <v>0</v>
      </c>
      <c r="DQ125" s="2" t="n">
        <v>0</v>
      </c>
      <c r="DR125" s="2" t="n">
        <v>0</v>
      </c>
      <c r="DS125" s="2" t="n">
        <v>0</v>
      </c>
      <c r="DT125" s="2" t="n">
        <v>0</v>
      </c>
      <c r="DU125" s="2" t="n">
        <v>0</v>
      </c>
      <c r="DV125" s="2" t="n">
        <v>0</v>
      </c>
      <c r="DW125" s="2" t="n">
        <v>0</v>
      </c>
      <c r="DX125" s="2" t="n">
        <v>0</v>
      </c>
      <c r="DY125" s="2" t="n">
        <v>0</v>
      </c>
      <c r="DZ125" s="2" t="n">
        <v>0</v>
      </c>
      <c r="EA125" s="2" t="n">
        <v>0</v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0</v>
      </c>
      <c r="EM125" s="2" t="n">
        <v>0</v>
      </c>
      <c r="EN125" s="2" t="n">
        <v>0</v>
      </c>
      <c r="EO125" s="2" t="n">
        <v>0</v>
      </c>
      <c r="EP125" s="2" t="n">
        <v>0</v>
      </c>
      <c r="EQ125" s="2" t="n">
        <v>0</v>
      </c>
      <c r="ER125" s="2" t="n">
        <v>0</v>
      </c>
      <c r="ES125" s="2" t="n">
        <v>0</v>
      </c>
    </row>
    <row r="126">
      <c r="A126" s="2" t="n">
        <v>3</v>
      </c>
      <c r="B126" s="2" t="inlineStr">
        <is>
          <t>10.04.02</t>
        </is>
      </c>
      <c r="C126" s="2" t="inlineStr">
        <is>
          <t>Almoxarife</t>
        </is>
      </c>
      <c r="D126" s="2" t="inlineStr">
        <is>
          <t>-</t>
        </is>
      </c>
      <c r="E126" s="2" t="inlineStr">
        <is>
          <t>-</t>
        </is>
      </c>
      <c r="F126" s="2" t="n">
        <v>238709.8227711492</v>
      </c>
      <c r="G126" s="2" t="n">
        <v>0</v>
      </c>
      <c r="H126" s="2" t="n">
        <v>238709.8227711492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n">
        <v>0</v>
      </c>
      <c r="BT126" s="2" t="n">
        <v>0</v>
      </c>
      <c r="BU126" s="2" t="n">
        <v>0</v>
      </c>
      <c r="BV126" s="2" t="n">
        <v>0</v>
      </c>
      <c r="BW126" s="2" t="n">
        <v>0</v>
      </c>
      <c r="BX126" s="2" t="n">
        <v>0</v>
      </c>
      <c r="BY126" s="2" t="n">
        <v>0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>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0</v>
      </c>
      <c r="DG126" s="2" t="n">
        <v>0</v>
      </c>
      <c r="DH126" s="2" t="n">
        <v>0</v>
      </c>
      <c r="DI126" s="2" t="n">
        <v>0</v>
      </c>
      <c r="DJ126" s="2" t="n">
        <v>0</v>
      </c>
      <c r="DK126" s="2" t="n">
        <v>0</v>
      </c>
      <c r="DL126" s="2" t="n">
        <v>0</v>
      </c>
      <c r="DM126" s="2" t="n">
        <v>0</v>
      </c>
      <c r="DN126" s="2" t="n">
        <v>0</v>
      </c>
      <c r="DO126" s="2" t="n">
        <v>0</v>
      </c>
      <c r="DP126" s="2" t="n">
        <v>0</v>
      </c>
      <c r="DQ126" s="2" t="n">
        <v>0</v>
      </c>
      <c r="DR126" s="2" t="n">
        <v>0</v>
      </c>
      <c r="DS126" s="2" t="n">
        <v>0</v>
      </c>
      <c r="DT126" s="2" t="n">
        <v>0</v>
      </c>
      <c r="DU126" s="2" t="n">
        <v>0</v>
      </c>
      <c r="DV126" s="2" t="n">
        <v>0</v>
      </c>
      <c r="DW126" s="2" t="n">
        <v>0</v>
      </c>
      <c r="DX126" s="2" t="n">
        <v>0</v>
      </c>
      <c r="DY126" s="2" t="n">
        <v>0</v>
      </c>
      <c r="DZ126" s="2" t="n">
        <v>0</v>
      </c>
      <c r="EA126" s="2" t="n">
        <v>0</v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0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0</v>
      </c>
      <c r="EM126" s="2" t="n">
        <v>0</v>
      </c>
      <c r="EN126" s="2" t="n">
        <v>0</v>
      </c>
      <c r="EO126" s="2" t="n">
        <v>0</v>
      </c>
      <c r="EP126" s="2" t="n">
        <v>0</v>
      </c>
      <c r="EQ126" s="2" t="n">
        <v>0</v>
      </c>
      <c r="ER126" s="2" t="n">
        <v>0</v>
      </c>
      <c r="ES126" s="2" t="n">
        <v>0</v>
      </c>
    </row>
    <row r="127">
      <c r="A127" s="2" t="n">
        <v>3</v>
      </c>
      <c r="B127" s="2" t="inlineStr">
        <is>
          <t>10.04.03</t>
        </is>
      </c>
      <c r="C127" s="2" t="inlineStr">
        <is>
          <t>Auxiliar de Almoxarife</t>
        </is>
      </c>
      <c r="D127" s="2" t="inlineStr">
        <is>
          <t>-</t>
        </is>
      </c>
      <c r="E127" s="2" t="inlineStr">
        <is>
          <t>-</t>
        </is>
      </c>
      <c r="F127" s="2" t="n">
        <v>134216.2597999483</v>
      </c>
      <c r="G127" s="2" t="n">
        <v>0</v>
      </c>
      <c r="H127" s="2" t="n">
        <v>134216.2597999483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0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0</v>
      </c>
      <c r="DW127" s="2" t="n">
        <v>0</v>
      </c>
      <c r="DX127" s="2" t="n">
        <v>0</v>
      </c>
      <c r="DY127" s="2" t="n">
        <v>0</v>
      </c>
      <c r="DZ127" s="2" t="n">
        <v>0</v>
      </c>
      <c r="EA127" s="2" t="n">
        <v>0</v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0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0</v>
      </c>
      <c r="EM127" s="2" t="n">
        <v>0</v>
      </c>
      <c r="EN127" s="2" t="n">
        <v>0</v>
      </c>
      <c r="EO127" s="2" t="n">
        <v>0</v>
      </c>
      <c r="EP127" s="2" t="n">
        <v>0</v>
      </c>
      <c r="EQ127" s="2" t="n">
        <v>0</v>
      </c>
      <c r="ER127" s="2" t="n">
        <v>0</v>
      </c>
      <c r="ES127" s="2" t="n">
        <v>0</v>
      </c>
    </row>
    <row r="128">
      <c r="A128" s="2" t="n">
        <v>3</v>
      </c>
      <c r="B128" s="2" t="inlineStr">
        <is>
          <t>10.04.04</t>
        </is>
      </c>
      <c r="C128" s="2" t="inlineStr">
        <is>
          <t>Porteiro</t>
        </is>
      </c>
      <c r="D128" s="2" t="inlineStr">
        <is>
          <t>-</t>
        </is>
      </c>
      <c r="E128" s="2" t="inlineStr">
        <is>
          <t>-</t>
        </is>
      </c>
      <c r="F128" s="2" t="n">
        <v>240827.9097240753</v>
      </c>
      <c r="G128" s="2" t="n">
        <v>0</v>
      </c>
      <c r="H128" s="2" t="n">
        <v>240827.9097240753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0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0</v>
      </c>
      <c r="DW128" s="2" t="n">
        <v>0</v>
      </c>
      <c r="DX128" s="2" t="n">
        <v>0</v>
      </c>
      <c r="DY128" s="2" t="n">
        <v>0</v>
      </c>
      <c r="DZ128" s="2" t="n">
        <v>0</v>
      </c>
      <c r="EA128" s="2" t="n">
        <v>0</v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0</v>
      </c>
      <c r="EM128" s="2" t="n">
        <v>0</v>
      </c>
      <c r="EN128" s="2" t="n">
        <v>0</v>
      </c>
      <c r="EO128" s="2" t="n">
        <v>0</v>
      </c>
      <c r="EP128" s="2" t="n">
        <v>0</v>
      </c>
      <c r="EQ128" s="2" t="n">
        <v>0</v>
      </c>
      <c r="ER128" s="2" t="n">
        <v>0</v>
      </c>
      <c r="ES128" s="2" t="n">
        <v>0</v>
      </c>
    </row>
    <row r="129">
      <c r="A129" s="2" t="n">
        <v>3</v>
      </c>
      <c r="B129" s="2" t="inlineStr">
        <is>
          <t>10.04.05</t>
        </is>
      </c>
      <c r="C129" s="2" t="inlineStr">
        <is>
          <t>Vigilancia terceirizada</t>
        </is>
      </c>
      <c r="D129" s="2" t="inlineStr">
        <is>
          <t>-</t>
        </is>
      </c>
      <c r="E129" s="2" t="inlineStr">
        <is>
          <t>-</t>
        </is>
      </c>
      <c r="F129" s="2" t="n">
        <v>658000</v>
      </c>
      <c r="G129" s="2" t="n">
        <v>0</v>
      </c>
      <c r="H129" s="2" t="n">
        <v>658000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0</v>
      </c>
      <c r="BQ129" s="2" t="n">
        <v>0</v>
      </c>
      <c r="BR129" s="2" t="n">
        <v>0</v>
      </c>
      <c r="BS129" s="2" t="n">
        <v>0</v>
      </c>
      <c r="BT129" s="2" t="n">
        <v>0</v>
      </c>
      <c r="BU129" s="2" t="n">
        <v>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n">
        <v>0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0</v>
      </c>
      <c r="DJ129" s="2" t="n">
        <v>0</v>
      </c>
      <c r="DK129" s="2" t="n">
        <v>0</v>
      </c>
      <c r="DL129" s="2" t="n">
        <v>0</v>
      </c>
      <c r="DM129" s="2" t="n">
        <v>0</v>
      </c>
      <c r="DN129" s="2" t="n">
        <v>0</v>
      </c>
      <c r="DO129" s="2" t="n">
        <v>0</v>
      </c>
      <c r="DP129" s="2" t="n">
        <v>0</v>
      </c>
      <c r="DQ129" s="2" t="n">
        <v>0</v>
      </c>
      <c r="DR129" s="2" t="n">
        <v>0</v>
      </c>
      <c r="DS129" s="2" t="n">
        <v>0</v>
      </c>
      <c r="DT129" s="2" t="n">
        <v>0</v>
      </c>
      <c r="DU129" s="2" t="n">
        <v>0</v>
      </c>
      <c r="DV129" s="2" t="n">
        <v>0</v>
      </c>
      <c r="DW129" s="2" t="n">
        <v>0</v>
      </c>
      <c r="DX129" s="2" t="n">
        <v>0</v>
      </c>
      <c r="DY129" s="2" t="n">
        <v>0</v>
      </c>
      <c r="DZ129" s="2" t="n">
        <v>0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0</v>
      </c>
      <c r="EM129" s="2" t="n">
        <v>0</v>
      </c>
      <c r="EN129" s="2" t="n">
        <v>0</v>
      </c>
      <c r="EO129" s="2" t="n">
        <v>0</v>
      </c>
      <c r="EP129" s="2" t="n">
        <v>0</v>
      </c>
      <c r="EQ129" s="2" t="n">
        <v>0</v>
      </c>
      <c r="ER129" s="2" t="n">
        <v>0</v>
      </c>
      <c r="ES129" s="2" t="n">
        <v>0</v>
      </c>
    </row>
    <row r="130">
      <c r="A130" s="2" t="n">
        <v>2</v>
      </c>
      <c r="B130" s="2" t="inlineStr">
        <is>
          <t>10.05</t>
        </is>
      </c>
      <c r="C130" s="2" t="inlineStr">
        <is>
          <t>Equipe produtiva</t>
        </is>
      </c>
      <c r="D130" s="2" t="inlineStr">
        <is>
          <t>-</t>
        </is>
      </c>
      <c r="E130" s="2" t="inlineStr">
        <is>
          <t>-</t>
        </is>
      </c>
      <c r="F130" s="2" t="n">
        <v>6902830.091160746</v>
      </c>
      <c r="G130" s="2" t="n">
        <v>0</v>
      </c>
      <c r="H130" s="2" t="n">
        <v>6902830.091160746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n">
        <v>0</v>
      </c>
      <c r="BT130" s="2" t="n">
        <v>0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0</v>
      </c>
      <c r="DN130" s="2" t="n">
        <v>0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0</v>
      </c>
      <c r="DT130" s="2" t="n">
        <v>0</v>
      </c>
      <c r="DU130" s="2" t="n">
        <v>0</v>
      </c>
      <c r="DV130" s="2" t="n">
        <v>0</v>
      </c>
      <c r="DW130" s="2" t="n">
        <v>0</v>
      </c>
      <c r="DX130" s="2" t="n">
        <v>0</v>
      </c>
      <c r="DY130" s="2" t="n">
        <v>0</v>
      </c>
      <c r="DZ130" s="2" t="n">
        <v>0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0</v>
      </c>
      <c r="EM130" s="2" t="n">
        <v>0</v>
      </c>
      <c r="EN130" s="2" t="n">
        <v>0</v>
      </c>
      <c r="EO130" s="2" t="n">
        <v>0</v>
      </c>
      <c r="EP130" s="2" t="n">
        <v>0</v>
      </c>
      <c r="EQ130" s="2" t="n">
        <v>0</v>
      </c>
      <c r="ER130" s="2" t="n">
        <v>0</v>
      </c>
      <c r="ES130" s="2" t="n">
        <v>0</v>
      </c>
    </row>
    <row r="131">
      <c r="A131" s="2" t="n">
        <v>3</v>
      </c>
      <c r="B131" s="2" t="inlineStr">
        <is>
          <t>10.05.01</t>
        </is>
      </c>
      <c r="C131" s="2" t="inlineStr">
        <is>
          <t>Mestre de Obra</t>
        </is>
      </c>
      <c r="D131" s="2" t="inlineStr">
        <is>
          <t>-</t>
        </is>
      </c>
      <c r="E131" s="2" t="inlineStr">
        <is>
          <t>-</t>
        </is>
      </c>
      <c r="F131" s="2" t="n">
        <v>930383.8830099406</v>
      </c>
      <c r="G131" s="2" t="n">
        <v>0</v>
      </c>
      <c r="H131" s="2" t="n">
        <v>930383.8830099406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0</v>
      </c>
      <c r="BT131" s="2" t="n">
        <v>0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n">
        <v>0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0</v>
      </c>
      <c r="DJ131" s="2" t="n">
        <v>0</v>
      </c>
      <c r="DK131" s="2" t="n">
        <v>0</v>
      </c>
      <c r="DL131" s="2" t="n">
        <v>0</v>
      </c>
      <c r="DM131" s="2" t="n">
        <v>0</v>
      </c>
      <c r="DN131" s="2" t="n">
        <v>0</v>
      </c>
      <c r="DO131" s="2" t="n">
        <v>0</v>
      </c>
      <c r="DP131" s="2" t="n">
        <v>0</v>
      </c>
      <c r="DQ131" s="2" t="n">
        <v>0</v>
      </c>
      <c r="DR131" s="2" t="n">
        <v>0</v>
      </c>
      <c r="DS131" s="2" t="n">
        <v>0</v>
      </c>
      <c r="DT131" s="2" t="n">
        <v>0</v>
      </c>
      <c r="DU131" s="2" t="n">
        <v>0</v>
      </c>
      <c r="DV131" s="2" t="n">
        <v>0</v>
      </c>
      <c r="DW131" s="2" t="n">
        <v>0</v>
      </c>
      <c r="DX131" s="2" t="n">
        <v>0</v>
      </c>
      <c r="DY131" s="2" t="n">
        <v>0</v>
      </c>
      <c r="DZ131" s="2" t="n">
        <v>0</v>
      </c>
      <c r="EA131" s="2" t="n">
        <v>0</v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0</v>
      </c>
      <c r="EM131" s="2" t="n">
        <v>0</v>
      </c>
      <c r="EN131" s="2" t="n">
        <v>0</v>
      </c>
      <c r="EO131" s="2" t="n">
        <v>0</v>
      </c>
      <c r="EP131" s="2" t="n">
        <v>0</v>
      </c>
      <c r="EQ131" s="2" t="n">
        <v>0</v>
      </c>
      <c r="ER131" s="2" t="n">
        <v>0</v>
      </c>
      <c r="ES131" s="2" t="n">
        <v>0</v>
      </c>
    </row>
    <row r="132">
      <c r="A132" s="2" t="n">
        <v>3</v>
      </c>
      <c r="B132" s="2" t="inlineStr">
        <is>
          <t>10.05.02</t>
        </is>
      </c>
      <c r="C132" s="2" t="inlineStr">
        <is>
          <t>Encarregado de estrutura</t>
        </is>
      </c>
      <c r="D132" s="2" t="inlineStr">
        <is>
          <t>-</t>
        </is>
      </c>
      <c r="E132" s="2" t="inlineStr">
        <is>
          <t>-</t>
        </is>
      </c>
      <c r="F132" s="2" t="n">
        <v>353504.3115571085</v>
      </c>
      <c r="G132" s="2" t="n">
        <v>0</v>
      </c>
      <c r="H132" s="2" t="n">
        <v>353504.3115571085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  <c r="BQ132" s="2" t="n">
        <v>0</v>
      </c>
      <c r="BR132" s="2" t="n">
        <v>0</v>
      </c>
      <c r="BS132" s="2" t="n">
        <v>0</v>
      </c>
      <c r="BT132" s="2" t="n">
        <v>0</v>
      </c>
      <c r="BU132" s="2" t="n">
        <v>0</v>
      </c>
      <c r="BV132" s="2" t="n">
        <v>0</v>
      </c>
      <c r="BW132" s="2" t="n">
        <v>0</v>
      </c>
      <c r="BX132" s="2" t="n">
        <v>0</v>
      </c>
      <c r="BY132" s="2" t="n">
        <v>0</v>
      </c>
      <c r="BZ132" s="2" t="n">
        <v>0</v>
      </c>
      <c r="CA132" s="2" t="n">
        <v>0</v>
      </c>
      <c r="CB132" s="2" t="n">
        <v>0</v>
      </c>
      <c r="CC132" s="2" t="n">
        <v>0</v>
      </c>
      <c r="CD132" s="2" t="n">
        <v>0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0</v>
      </c>
      <c r="DG132" s="2" t="n">
        <v>0</v>
      </c>
      <c r="DH132" s="2" t="n">
        <v>0</v>
      </c>
      <c r="DI132" s="2" t="n">
        <v>0</v>
      </c>
      <c r="DJ132" s="2" t="n">
        <v>0</v>
      </c>
      <c r="DK132" s="2" t="n">
        <v>0</v>
      </c>
      <c r="DL132" s="2" t="n">
        <v>0</v>
      </c>
      <c r="DM132" s="2" t="n">
        <v>0</v>
      </c>
      <c r="DN132" s="2" t="n">
        <v>0</v>
      </c>
      <c r="DO132" s="2" t="n">
        <v>0</v>
      </c>
      <c r="DP132" s="2" t="n">
        <v>0</v>
      </c>
      <c r="DQ132" s="2" t="n">
        <v>0</v>
      </c>
      <c r="DR132" s="2" t="n">
        <v>0</v>
      </c>
      <c r="DS132" s="2" t="n">
        <v>0</v>
      </c>
      <c r="DT132" s="2" t="n">
        <v>0</v>
      </c>
      <c r="DU132" s="2" t="n">
        <v>0</v>
      </c>
      <c r="DV132" s="2" t="n">
        <v>0</v>
      </c>
      <c r="DW132" s="2" t="n">
        <v>0</v>
      </c>
      <c r="DX132" s="2" t="n">
        <v>0</v>
      </c>
      <c r="DY132" s="2" t="n">
        <v>0</v>
      </c>
      <c r="DZ132" s="2" t="n">
        <v>0</v>
      </c>
      <c r="EA132" s="2" t="n">
        <v>0</v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0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0</v>
      </c>
      <c r="EM132" s="2" t="n">
        <v>0</v>
      </c>
      <c r="EN132" s="2" t="n">
        <v>0</v>
      </c>
      <c r="EO132" s="2" t="n">
        <v>0</v>
      </c>
      <c r="EP132" s="2" t="n">
        <v>0</v>
      </c>
      <c r="EQ132" s="2" t="n">
        <v>0</v>
      </c>
      <c r="ER132" s="2" t="n">
        <v>0</v>
      </c>
      <c r="ES132" s="2" t="n">
        <v>0</v>
      </c>
    </row>
    <row r="133">
      <c r="A133" s="2" t="n">
        <v>3</v>
      </c>
      <c r="B133" s="2" t="inlineStr">
        <is>
          <t>10.05.03</t>
        </is>
      </c>
      <c r="C133" s="2" t="inlineStr">
        <is>
          <t>Encarregado de acabamento área comum</t>
        </is>
      </c>
      <c r="D133" s="2" t="inlineStr">
        <is>
          <t>-</t>
        </is>
      </c>
      <c r="E133" s="2" t="inlineStr">
        <is>
          <t>-</t>
        </is>
      </c>
      <c r="F133" s="2" t="n">
        <v>244014.8391813249</v>
      </c>
      <c r="G133" s="2" t="n">
        <v>0</v>
      </c>
      <c r="H133" s="2" t="n">
        <v>244014.8391813249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n">
        <v>0</v>
      </c>
      <c r="BT133" s="2" t="n">
        <v>0</v>
      </c>
      <c r="BU133" s="2" t="n">
        <v>0</v>
      </c>
      <c r="BV133" s="2" t="n">
        <v>0</v>
      </c>
      <c r="BW133" s="2" t="n">
        <v>0</v>
      </c>
      <c r="BX133" s="2" t="n">
        <v>0</v>
      </c>
      <c r="BY133" s="2" t="n">
        <v>0</v>
      </c>
      <c r="BZ133" s="2" t="n">
        <v>0</v>
      </c>
      <c r="CA133" s="2" t="n">
        <v>0</v>
      </c>
      <c r="CB133" s="2" t="n">
        <v>0</v>
      </c>
      <c r="CC133" s="2" t="n">
        <v>0</v>
      </c>
      <c r="CD133" s="2" t="n">
        <v>0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n">
        <v>0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2" t="n">
        <v>0</v>
      </c>
      <c r="DG133" s="2" t="n">
        <v>0</v>
      </c>
      <c r="DH133" s="2" t="n">
        <v>0</v>
      </c>
      <c r="DI133" s="2" t="n">
        <v>0</v>
      </c>
      <c r="DJ133" s="2" t="n">
        <v>0</v>
      </c>
      <c r="DK133" s="2" t="n">
        <v>0</v>
      </c>
      <c r="DL133" s="2" t="n">
        <v>0</v>
      </c>
      <c r="DM133" s="2" t="n">
        <v>0</v>
      </c>
      <c r="DN133" s="2" t="n">
        <v>0</v>
      </c>
      <c r="DO133" s="2" t="n">
        <v>0</v>
      </c>
      <c r="DP133" s="2" t="n">
        <v>0</v>
      </c>
      <c r="DQ133" s="2" t="n">
        <v>0</v>
      </c>
      <c r="DR133" s="2" t="n">
        <v>0</v>
      </c>
      <c r="DS133" s="2" t="n">
        <v>0</v>
      </c>
      <c r="DT133" s="2" t="n">
        <v>0</v>
      </c>
      <c r="DU133" s="2" t="n">
        <v>0</v>
      </c>
      <c r="DV133" s="2" t="n">
        <v>0</v>
      </c>
      <c r="DW133" s="2" t="n">
        <v>0</v>
      </c>
      <c r="DX133" s="2" t="n">
        <v>0</v>
      </c>
      <c r="DY133" s="2" t="n">
        <v>0</v>
      </c>
      <c r="DZ133" s="2" t="n">
        <v>0</v>
      </c>
      <c r="EA133" s="2" t="n">
        <v>0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0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0</v>
      </c>
      <c r="EM133" s="2" t="n">
        <v>0</v>
      </c>
      <c r="EN133" s="2" t="n">
        <v>0</v>
      </c>
      <c r="EO133" s="2" t="n">
        <v>0</v>
      </c>
      <c r="EP133" s="2" t="n">
        <v>0</v>
      </c>
      <c r="EQ133" s="2" t="n">
        <v>0</v>
      </c>
      <c r="ER133" s="2" t="n">
        <v>0</v>
      </c>
      <c r="ES133" s="2" t="n">
        <v>0</v>
      </c>
    </row>
    <row r="134">
      <c r="A134" s="2" t="n">
        <v>3</v>
      </c>
      <c r="B134" s="2" t="inlineStr">
        <is>
          <t>10.05.04</t>
        </is>
      </c>
      <c r="C134" s="2" t="inlineStr">
        <is>
          <t>Encarregado acabamento Torre</t>
        </is>
      </c>
      <c r="D134" s="2" t="inlineStr">
        <is>
          <t>-</t>
        </is>
      </c>
      <c r="E134" s="2" t="inlineStr">
        <is>
          <t>-</t>
        </is>
      </c>
      <c r="F134" s="2" t="n">
        <v>325353.1189084332</v>
      </c>
      <c r="G134" s="2" t="n">
        <v>0</v>
      </c>
      <c r="H134" s="2" t="n">
        <v>325353.1189084332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0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0</v>
      </c>
      <c r="DW134" s="2" t="n">
        <v>0</v>
      </c>
      <c r="DX134" s="2" t="n">
        <v>0</v>
      </c>
      <c r="DY134" s="2" t="n">
        <v>0</v>
      </c>
      <c r="DZ134" s="2" t="n">
        <v>0</v>
      </c>
      <c r="EA134" s="2" t="n">
        <v>0</v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0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0</v>
      </c>
      <c r="EM134" s="2" t="n">
        <v>0</v>
      </c>
      <c r="EN134" s="2" t="n">
        <v>0</v>
      </c>
      <c r="EO134" s="2" t="n">
        <v>0</v>
      </c>
      <c r="EP134" s="2" t="n">
        <v>0</v>
      </c>
      <c r="EQ134" s="2" t="n">
        <v>0</v>
      </c>
      <c r="ER134" s="2" t="n">
        <v>0</v>
      </c>
      <c r="ES134" s="2" t="n">
        <v>0</v>
      </c>
    </row>
    <row r="135">
      <c r="A135" s="2" t="n">
        <v>3</v>
      </c>
      <c r="B135" s="2" t="inlineStr">
        <is>
          <t>10.05.05</t>
        </is>
      </c>
      <c r="C135" s="2" t="inlineStr">
        <is>
          <t>Encarregado de Turma / Logistica</t>
        </is>
      </c>
      <c r="D135" s="2" t="inlineStr">
        <is>
          <t>-</t>
        </is>
      </c>
      <c r="E135" s="2" t="inlineStr">
        <is>
          <t>-</t>
        </is>
      </c>
      <c r="F135" s="2" t="n">
        <v>376189.5437378759</v>
      </c>
      <c r="G135" s="2" t="n">
        <v>0</v>
      </c>
      <c r="H135" s="2" t="n">
        <v>376189.5437378759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0</v>
      </c>
      <c r="DG135" s="2" t="n">
        <v>0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0</v>
      </c>
      <c r="DW135" s="2" t="n">
        <v>0</v>
      </c>
      <c r="DX135" s="2" t="n">
        <v>0</v>
      </c>
      <c r="DY135" s="2" t="n">
        <v>0</v>
      </c>
      <c r="DZ135" s="2" t="n">
        <v>0</v>
      </c>
      <c r="EA135" s="2" t="n">
        <v>0</v>
      </c>
      <c r="EB135" s="2" t="n">
        <v>0</v>
      </c>
      <c r="EC135" s="2" t="n">
        <v>0</v>
      </c>
      <c r="ED135" s="2" t="n">
        <v>0</v>
      </c>
      <c r="EE135" s="2" t="n">
        <v>0</v>
      </c>
      <c r="EF135" s="2" t="n">
        <v>0</v>
      </c>
      <c r="EG135" s="2" t="n">
        <v>0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0</v>
      </c>
      <c r="EM135" s="2" t="n">
        <v>0</v>
      </c>
      <c r="EN135" s="2" t="n">
        <v>0</v>
      </c>
      <c r="EO135" s="2" t="n">
        <v>0</v>
      </c>
      <c r="EP135" s="2" t="n">
        <v>0</v>
      </c>
      <c r="EQ135" s="2" t="n">
        <v>0</v>
      </c>
      <c r="ER135" s="2" t="n">
        <v>0</v>
      </c>
      <c r="ES135" s="2" t="n">
        <v>0</v>
      </c>
    </row>
    <row r="136">
      <c r="A136" s="2" t="n">
        <v>3</v>
      </c>
      <c r="B136" s="2" t="inlineStr">
        <is>
          <t>10.05.06</t>
        </is>
      </c>
      <c r="C136" s="2" t="inlineStr">
        <is>
          <t>Encarregado de instalações</t>
        </is>
      </c>
      <c r="D136" s="2" t="inlineStr">
        <is>
          <t>-</t>
        </is>
      </c>
      <c r="E136" s="2" t="inlineStr">
        <is>
          <t>-</t>
        </is>
      </c>
      <c r="F136" s="2" t="n">
        <v>396524.113669653</v>
      </c>
      <c r="G136" s="2" t="n">
        <v>0</v>
      </c>
      <c r="H136" s="2" t="n">
        <v>396524.113669653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  <c r="BV136" s="2" t="n">
        <v>0</v>
      </c>
      <c r="BW136" s="2" t="n">
        <v>0</v>
      </c>
      <c r="BX136" s="2" t="n">
        <v>0</v>
      </c>
      <c r="BY136" s="2" t="n">
        <v>0</v>
      </c>
      <c r="BZ136" s="2" t="n">
        <v>0</v>
      </c>
      <c r="CA136" s="2" t="n">
        <v>0</v>
      </c>
      <c r="CB136" s="2" t="n">
        <v>0</v>
      </c>
      <c r="CC136" s="2" t="n">
        <v>0</v>
      </c>
      <c r="CD136" s="2" t="n">
        <v>0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n">
        <v>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0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0</v>
      </c>
      <c r="DN136" s="2" t="n">
        <v>0</v>
      </c>
      <c r="DO136" s="2" t="n">
        <v>0</v>
      </c>
      <c r="DP136" s="2" t="n">
        <v>0</v>
      </c>
      <c r="DQ136" s="2" t="n">
        <v>0</v>
      </c>
      <c r="DR136" s="2" t="n">
        <v>0</v>
      </c>
      <c r="DS136" s="2" t="n">
        <v>0</v>
      </c>
      <c r="DT136" s="2" t="n">
        <v>0</v>
      </c>
      <c r="DU136" s="2" t="n">
        <v>0</v>
      </c>
      <c r="DV136" s="2" t="n">
        <v>0</v>
      </c>
      <c r="DW136" s="2" t="n">
        <v>0</v>
      </c>
      <c r="DX136" s="2" t="n">
        <v>0</v>
      </c>
      <c r="DY136" s="2" t="n">
        <v>0</v>
      </c>
      <c r="DZ136" s="2" t="n">
        <v>0</v>
      </c>
      <c r="EA136" s="2" t="n">
        <v>0</v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0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0</v>
      </c>
      <c r="EM136" s="2" t="n">
        <v>0</v>
      </c>
      <c r="EN136" s="2" t="n">
        <v>0</v>
      </c>
      <c r="EO136" s="2" t="n">
        <v>0</v>
      </c>
      <c r="EP136" s="2" t="n">
        <v>0</v>
      </c>
      <c r="EQ136" s="2" t="n">
        <v>0</v>
      </c>
      <c r="ER136" s="2" t="n">
        <v>0</v>
      </c>
      <c r="ES136" s="2" t="n">
        <v>0</v>
      </c>
    </row>
    <row r="137">
      <c r="A137" s="2" t="n">
        <v>3</v>
      </c>
      <c r="B137" s="2" t="inlineStr">
        <is>
          <t>10.05.07</t>
        </is>
      </c>
      <c r="C137" s="2" t="inlineStr">
        <is>
          <t>Supervisor - Eletrica - Marlei</t>
        </is>
      </c>
      <c r="D137" s="2" t="inlineStr">
        <is>
          <t>-</t>
        </is>
      </c>
      <c r="E137" s="2" t="inlineStr">
        <is>
          <t>-</t>
        </is>
      </c>
      <c r="F137" s="2" t="n">
        <v>198000</v>
      </c>
      <c r="G137" s="2" t="n">
        <v>0</v>
      </c>
      <c r="H137" s="2" t="n">
        <v>198000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0</v>
      </c>
      <c r="BT137" s="2" t="n">
        <v>0</v>
      </c>
      <c r="BU137" s="2" t="n">
        <v>0</v>
      </c>
      <c r="BV137" s="2" t="n">
        <v>0</v>
      </c>
      <c r="BW137" s="2" t="n">
        <v>0</v>
      </c>
      <c r="BX137" s="2" t="n">
        <v>0</v>
      </c>
      <c r="BY137" s="2" t="n">
        <v>0</v>
      </c>
      <c r="BZ137" s="2" t="n">
        <v>0</v>
      </c>
      <c r="CA137" s="2" t="n">
        <v>0</v>
      </c>
      <c r="CB137" s="2" t="n">
        <v>0</v>
      </c>
      <c r="CC137" s="2" t="n">
        <v>0</v>
      </c>
      <c r="CD137" s="2" t="n">
        <v>0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0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0</v>
      </c>
      <c r="DG137" s="2" t="n">
        <v>0</v>
      </c>
      <c r="DH137" s="2" t="n">
        <v>0</v>
      </c>
      <c r="DI137" s="2" t="n">
        <v>0</v>
      </c>
      <c r="DJ137" s="2" t="n">
        <v>0</v>
      </c>
      <c r="DK137" s="2" t="n">
        <v>0</v>
      </c>
      <c r="DL137" s="2" t="n">
        <v>0</v>
      </c>
      <c r="DM137" s="2" t="n">
        <v>0</v>
      </c>
      <c r="DN137" s="2" t="n">
        <v>0</v>
      </c>
      <c r="DO137" s="2" t="n">
        <v>0</v>
      </c>
      <c r="DP137" s="2" t="n">
        <v>0</v>
      </c>
      <c r="DQ137" s="2" t="n">
        <v>0</v>
      </c>
      <c r="DR137" s="2" t="n">
        <v>0</v>
      </c>
      <c r="DS137" s="2" t="n">
        <v>0</v>
      </c>
      <c r="DT137" s="2" t="n">
        <v>0</v>
      </c>
      <c r="DU137" s="2" t="n">
        <v>0</v>
      </c>
      <c r="DV137" s="2" t="n">
        <v>0</v>
      </c>
      <c r="DW137" s="2" t="n">
        <v>0</v>
      </c>
      <c r="DX137" s="2" t="n">
        <v>0</v>
      </c>
      <c r="DY137" s="2" t="n">
        <v>0</v>
      </c>
      <c r="DZ137" s="2" t="n">
        <v>0</v>
      </c>
      <c r="EA137" s="2" t="n">
        <v>0</v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0</v>
      </c>
      <c r="EM137" s="2" t="n">
        <v>0</v>
      </c>
      <c r="EN137" s="2" t="n">
        <v>0</v>
      </c>
      <c r="EO137" s="2" t="n">
        <v>0</v>
      </c>
      <c r="EP137" s="2" t="n">
        <v>0</v>
      </c>
      <c r="EQ137" s="2" t="n">
        <v>0</v>
      </c>
      <c r="ER137" s="2" t="n">
        <v>0</v>
      </c>
      <c r="ES137" s="2" t="n">
        <v>0</v>
      </c>
    </row>
    <row r="138">
      <c r="A138" s="2" t="n">
        <v>3</v>
      </c>
      <c r="B138" s="2" t="inlineStr">
        <is>
          <t>10.05.08</t>
        </is>
      </c>
      <c r="C138" s="2" t="inlineStr">
        <is>
          <t>Oficial superior - Eletricista</t>
        </is>
      </c>
      <c r="D138" s="2" t="inlineStr">
        <is>
          <t>-</t>
        </is>
      </c>
      <c r="E138" s="2" t="inlineStr">
        <is>
          <t>-</t>
        </is>
      </c>
      <c r="F138" s="2" t="n">
        <v>356478.5988612202</v>
      </c>
      <c r="G138" s="2" t="n">
        <v>0</v>
      </c>
      <c r="H138" s="2" t="n">
        <v>356478.5988612202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0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0</v>
      </c>
      <c r="BW138" s="2" t="n">
        <v>0</v>
      </c>
      <c r="BX138" s="2" t="n">
        <v>0</v>
      </c>
      <c r="BY138" s="2" t="n">
        <v>0</v>
      </c>
      <c r="BZ138" s="2" t="n">
        <v>0</v>
      </c>
      <c r="CA138" s="2" t="n">
        <v>0</v>
      </c>
      <c r="CB138" s="2" t="n">
        <v>0</v>
      </c>
      <c r="CC138" s="2" t="n">
        <v>0</v>
      </c>
      <c r="CD138" s="2" t="n">
        <v>0</v>
      </c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0</v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0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0</v>
      </c>
      <c r="DH138" s="2" t="n">
        <v>0</v>
      </c>
      <c r="DI138" s="2" t="n">
        <v>0</v>
      </c>
      <c r="DJ138" s="2" t="n">
        <v>0</v>
      </c>
      <c r="DK138" s="2" t="n">
        <v>0</v>
      </c>
      <c r="DL138" s="2" t="n">
        <v>0</v>
      </c>
      <c r="DM138" s="2" t="n">
        <v>0</v>
      </c>
      <c r="DN138" s="2" t="n">
        <v>0</v>
      </c>
      <c r="DO138" s="2" t="n">
        <v>0</v>
      </c>
      <c r="DP138" s="2" t="n">
        <v>0</v>
      </c>
      <c r="DQ138" s="2" t="n">
        <v>0</v>
      </c>
      <c r="DR138" s="2" t="n">
        <v>0</v>
      </c>
      <c r="DS138" s="2" t="n">
        <v>0</v>
      </c>
      <c r="DT138" s="2" t="n">
        <v>0</v>
      </c>
      <c r="DU138" s="2" t="n">
        <v>0</v>
      </c>
      <c r="DV138" s="2" t="n">
        <v>0</v>
      </c>
      <c r="DW138" s="2" t="n">
        <v>0</v>
      </c>
      <c r="DX138" s="2" t="n">
        <v>0</v>
      </c>
      <c r="DY138" s="2" t="n">
        <v>0</v>
      </c>
      <c r="DZ138" s="2" t="n">
        <v>0</v>
      </c>
      <c r="EA138" s="2" t="n">
        <v>0</v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0</v>
      </c>
      <c r="EM138" s="2" t="n">
        <v>0</v>
      </c>
      <c r="EN138" s="2" t="n">
        <v>0</v>
      </c>
      <c r="EO138" s="2" t="n">
        <v>0</v>
      </c>
      <c r="EP138" s="2" t="n">
        <v>0</v>
      </c>
      <c r="EQ138" s="2" t="n">
        <v>0</v>
      </c>
      <c r="ER138" s="2" t="n">
        <v>0</v>
      </c>
      <c r="ES138" s="2" t="n">
        <v>0</v>
      </c>
    </row>
    <row r="139">
      <c r="A139" s="2" t="n">
        <v>3</v>
      </c>
      <c r="B139" s="2" t="inlineStr">
        <is>
          <t>10.05.09</t>
        </is>
      </c>
      <c r="C139" s="2" t="inlineStr">
        <is>
          <t>Oficial - Pedreiro</t>
        </is>
      </c>
      <c r="D139" s="2" t="inlineStr">
        <is>
          <t>-</t>
        </is>
      </c>
      <c r="E139" s="2" t="inlineStr">
        <is>
          <t>-</t>
        </is>
      </c>
      <c r="F139" s="2" t="n">
        <v>971512.7721188797</v>
      </c>
      <c r="G139" s="2" t="n">
        <v>0</v>
      </c>
      <c r="H139" s="2" t="n">
        <v>971512.7721188797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0</v>
      </c>
      <c r="BR139" s="2" t="n">
        <v>0</v>
      </c>
      <c r="BS139" s="2" t="n">
        <v>0</v>
      </c>
      <c r="BT139" s="2" t="n">
        <v>0</v>
      </c>
      <c r="BU139" s="2" t="n">
        <v>0</v>
      </c>
      <c r="BV139" s="2" t="n">
        <v>0</v>
      </c>
      <c r="BW139" s="2" t="n">
        <v>0</v>
      </c>
      <c r="BX139" s="2" t="n">
        <v>0</v>
      </c>
      <c r="BY139" s="2" t="n">
        <v>0</v>
      </c>
      <c r="BZ139" s="2" t="n">
        <v>0</v>
      </c>
      <c r="CA139" s="2" t="n">
        <v>0</v>
      </c>
      <c r="CB139" s="2" t="n">
        <v>0</v>
      </c>
      <c r="CC139" s="2" t="n">
        <v>0</v>
      </c>
      <c r="CD139" s="2" t="n">
        <v>0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n">
        <v>0</v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0</v>
      </c>
      <c r="DH139" s="2" t="n">
        <v>0</v>
      </c>
      <c r="DI139" s="2" t="n">
        <v>0</v>
      </c>
      <c r="DJ139" s="2" t="n">
        <v>0</v>
      </c>
      <c r="DK139" s="2" t="n">
        <v>0</v>
      </c>
      <c r="DL139" s="2" t="n">
        <v>0</v>
      </c>
      <c r="DM139" s="2" t="n">
        <v>0</v>
      </c>
      <c r="DN139" s="2" t="n">
        <v>0</v>
      </c>
      <c r="DO139" s="2" t="n">
        <v>0</v>
      </c>
      <c r="DP139" s="2" t="n">
        <v>0</v>
      </c>
      <c r="DQ139" s="2" t="n">
        <v>0</v>
      </c>
      <c r="DR139" s="2" t="n">
        <v>0</v>
      </c>
      <c r="DS139" s="2" t="n">
        <v>0</v>
      </c>
      <c r="DT139" s="2" t="n">
        <v>0</v>
      </c>
      <c r="DU139" s="2" t="n">
        <v>0</v>
      </c>
      <c r="DV139" s="2" t="n">
        <v>0</v>
      </c>
      <c r="DW139" s="2" t="n">
        <v>0</v>
      </c>
      <c r="DX139" s="2" t="n">
        <v>0</v>
      </c>
      <c r="DY139" s="2" t="n">
        <v>0</v>
      </c>
      <c r="DZ139" s="2" t="n">
        <v>0</v>
      </c>
      <c r="EA139" s="2" t="n">
        <v>0</v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0</v>
      </c>
      <c r="EG139" s="2" t="n">
        <v>0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0</v>
      </c>
      <c r="EM139" s="2" t="n">
        <v>0</v>
      </c>
      <c r="EN139" s="2" t="n">
        <v>0</v>
      </c>
      <c r="EO139" s="2" t="n">
        <v>0</v>
      </c>
      <c r="EP139" s="2" t="n">
        <v>0</v>
      </c>
      <c r="EQ139" s="2" t="n">
        <v>0</v>
      </c>
      <c r="ER139" s="2" t="n">
        <v>0</v>
      </c>
      <c r="ES139" s="2" t="n">
        <v>0</v>
      </c>
    </row>
    <row r="140">
      <c r="A140" s="2" t="n">
        <v>3</v>
      </c>
      <c r="B140" s="2" t="inlineStr">
        <is>
          <t>10.05.10</t>
        </is>
      </c>
      <c r="C140" s="2" t="inlineStr">
        <is>
          <t>Meio-oficial - Ajudante</t>
        </is>
      </c>
      <c r="D140" s="2" t="inlineStr">
        <is>
          <t>-</t>
        </is>
      </c>
      <c r="E140" s="2" t="inlineStr">
        <is>
          <t>-</t>
        </is>
      </c>
      <c r="F140" s="2" t="n">
        <v>490370.5756607858</v>
      </c>
      <c r="G140" s="2" t="n">
        <v>0</v>
      </c>
      <c r="H140" s="2" t="n">
        <v>490370.5756607858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>
        <v>0</v>
      </c>
      <c r="BR140" s="2" t="n">
        <v>0</v>
      </c>
      <c r="BS140" s="2" t="n">
        <v>0</v>
      </c>
      <c r="BT140" s="2" t="n">
        <v>0</v>
      </c>
      <c r="BU140" s="2" t="n">
        <v>0</v>
      </c>
      <c r="BV140" s="2" t="n">
        <v>0</v>
      </c>
      <c r="BW140" s="2" t="n">
        <v>0</v>
      </c>
      <c r="BX140" s="2" t="n">
        <v>0</v>
      </c>
      <c r="BY140" s="2" t="n">
        <v>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n">
        <v>0</v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0</v>
      </c>
      <c r="DH140" s="2" t="n">
        <v>0</v>
      </c>
      <c r="DI140" s="2" t="n">
        <v>0</v>
      </c>
      <c r="DJ140" s="2" t="n">
        <v>0</v>
      </c>
      <c r="DK140" s="2" t="n">
        <v>0</v>
      </c>
      <c r="DL140" s="2" t="n">
        <v>0</v>
      </c>
      <c r="DM140" s="2" t="n">
        <v>0</v>
      </c>
      <c r="DN140" s="2" t="n">
        <v>0</v>
      </c>
      <c r="DO140" s="2" t="n">
        <v>0</v>
      </c>
      <c r="DP140" s="2" t="n">
        <v>0</v>
      </c>
      <c r="DQ140" s="2" t="n">
        <v>0</v>
      </c>
      <c r="DR140" s="2" t="n">
        <v>0</v>
      </c>
      <c r="DS140" s="2" t="n">
        <v>0</v>
      </c>
      <c r="DT140" s="2" t="n">
        <v>0</v>
      </c>
      <c r="DU140" s="2" t="n">
        <v>0</v>
      </c>
      <c r="DV140" s="2" t="n">
        <v>0</v>
      </c>
      <c r="DW140" s="2" t="n">
        <v>0</v>
      </c>
      <c r="DX140" s="2" t="n">
        <v>0</v>
      </c>
      <c r="DY140" s="2" t="n">
        <v>0</v>
      </c>
      <c r="DZ140" s="2" t="n">
        <v>0</v>
      </c>
      <c r="EA140" s="2" t="n">
        <v>0</v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0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0</v>
      </c>
      <c r="EM140" s="2" t="n">
        <v>0</v>
      </c>
      <c r="EN140" s="2" t="n">
        <v>0</v>
      </c>
      <c r="EO140" s="2" t="n">
        <v>0</v>
      </c>
      <c r="EP140" s="2" t="n">
        <v>0</v>
      </c>
      <c r="EQ140" s="2" t="n">
        <v>0</v>
      </c>
      <c r="ER140" s="2" t="n">
        <v>0</v>
      </c>
      <c r="ES140" s="2" t="n">
        <v>0</v>
      </c>
    </row>
    <row r="141">
      <c r="A141" s="2" t="n">
        <v>3</v>
      </c>
      <c r="B141" s="2" t="inlineStr">
        <is>
          <t>10.05.11</t>
        </is>
      </c>
      <c r="C141" s="2" t="inlineStr">
        <is>
          <t>Servente carga e descarga</t>
        </is>
      </c>
      <c r="D141" s="2" t="inlineStr">
        <is>
          <t>-</t>
        </is>
      </c>
      <c r="E141" s="2" t="inlineStr">
        <is>
          <t>-</t>
        </is>
      </c>
      <c r="F141" s="2" t="n">
        <v>623963.2206487405</v>
      </c>
      <c r="G141" s="2" t="n">
        <v>0</v>
      </c>
      <c r="H141" s="2" t="n">
        <v>623963.2206487405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0</v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0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0</v>
      </c>
      <c r="DG141" s="2" t="n">
        <v>0</v>
      </c>
      <c r="DH141" s="2" t="n">
        <v>0</v>
      </c>
      <c r="DI141" s="2" t="n">
        <v>0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0</v>
      </c>
      <c r="DW141" s="2" t="n">
        <v>0</v>
      </c>
      <c r="DX141" s="2" t="n">
        <v>0</v>
      </c>
      <c r="DY141" s="2" t="n">
        <v>0</v>
      </c>
      <c r="DZ141" s="2" t="n">
        <v>0</v>
      </c>
      <c r="EA141" s="2" t="n">
        <v>0</v>
      </c>
      <c r="EB141" s="2" t="n">
        <v>0</v>
      </c>
      <c r="EC141" s="2" t="n">
        <v>0</v>
      </c>
      <c r="ED141" s="2" t="n">
        <v>0</v>
      </c>
      <c r="EE141" s="2" t="n">
        <v>0</v>
      </c>
      <c r="EF141" s="2" t="n">
        <v>0</v>
      </c>
      <c r="EG141" s="2" t="n">
        <v>0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0</v>
      </c>
      <c r="EM141" s="2" t="n">
        <v>0</v>
      </c>
      <c r="EN141" s="2" t="n">
        <v>0</v>
      </c>
      <c r="EO141" s="2" t="n">
        <v>0</v>
      </c>
      <c r="EP141" s="2" t="n">
        <v>0</v>
      </c>
      <c r="EQ141" s="2" t="n">
        <v>0</v>
      </c>
      <c r="ER141" s="2" t="n">
        <v>0</v>
      </c>
      <c r="ES141" s="2" t="n">
        <v>0</v>
      </c>
    </row>
    <row r="142">
      <c r="A142" s="2" t="n">
        <v>3</v>
      </c>
      <c r="B142" s="2" t="inlineStr">
        <is>
          <t>10.05.12</t>
        </is>
      </c>
      <c r="C142" s="2" t="inlineStr">
        <is>
          <t>Servente separador de entulho</t>
        </is>
      </c>
      <c r="D142" s="2" t="inlineStr">
        <is>
          <t>-</t>
        </is>
      </c>
      <c r="E142" s="2" t="inlineStr">
        <is>
          <t>-</t>
        </is>
      </c>
      <c r="F142" s="2" t="n">
        <v>618489.8590641025</v>
      </c>
      <c r="G142" s="2" t="n">
        <v>0</v>
      </c>
      <c r="H142" s="2" t="n">
        <v>618489.8590641025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</v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0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0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0</v>
      </c>
      <c r="DW142" s="2" t="n">
        <v>0</v>
      </c>
      <c r="DX142" s="2" t="n">
        <v>0</v>
      </c>
      <c r="DY142" s="2" t="n">
        <v>0</v>
      </c>
      <c r="DZ142" s="2" t="n">
        <v>0</v>
      </c>
      <c r="EA142" s="2" t="n">
        <v>0</v>
      </c>
      <c r="EB142" s="2" t="n">
        <v>0</v>
      </c>
      <c r="EC142" s="2" t="n">
        <v>0</v>
      </c>
      <c r="ED142" s="2" t="n">
        <v>0</v>
      </c>
      <c r="EE142" s="2" t="n">
        <v>0</v>
      </c>
      <c r="EF142" s="2" t="n">
        <v>0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0</v>
      </c>
      <c r="EM142" s="2" t="n">
        <v>0</v>
      </c>
      <c r="EN142" s="2" t="n">
        <v>0</v>
      </c>
      <c r="EO142" s="2" t="n">
        <v>0</v>
      </c>
      <c r="EP142" s="2" t="n">
        <v>0</v>
      </c>
      <c r="EQ142" s="2" t="n">
        <v>0</v>
      </c>
      <c r="ER142" s="2" t="n">
        <v>0</v>
      </c>
      <c r="ES142" s="2" t="n">
        <v>0</v>
      </c>
    </row>
    <row r="143">
      <c r="A143" s="2" t="n">
        <v>3</v>
      </c>
      <c r="B143" s="2" t="inlineStr">
        <is>
          <t>10.05.13</t>
        </is>
      </c>
      <c r="C143" s="2" t="inlineStr">
        <is>
          <t>Servente serviços gerais</t>
        </is>
      </c>
      <c r="D143" s="2" t="inlineStr">
        <is>
          <t>-</t>
        </is>
      </c>
      <c r="E143" s="2" t="inlineStr">
        <is>
          <t>-</t>
        </is>
      </c>
      <c r="F143" s="2" t="n">
        <v>1018045.254742682</v>
      </c>
      <c r="G143" s="2" t="n">
        <v>0</v>
      </c>
      <c r="H143" s="2" t="n">
        <v>1018045.254742682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0</v>
      </c>
      <c r="BQ143" s="2" t="n">
        <v>0</v>
      </c>
      <c r="BR143" s="2" t="n">
        <v>0</v>
      </c>
      <c r="BS143" s="2" t="n">
        <v>0</v>
      </c>
      <c r="BT143" s="2" t="n">
        <v>0</v>
      </c>
      <c r="BU143" s="2" t="n">
        <v>0</v>
      </c>
      <c r="BV143" s="2" t="n">
        <v>0</v>
      </c>
      <c r="BW143" s="2" t="n">
        <v>0</v>
      </c>
      <c r="BX143" s="2" t="n">
        <v>0</v>
      </c>
      <c r="BY143" s="2" t="n">
        <v>0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0</v>
      </c>
      <c r="CP143" s="2" t="n">
        <v>0</v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0</v>
      </c>
      <c r="DH143" s="2" t="n">
        <v>0</v>
      </c>
      <c r="DI143" s="2" t="n">
        <v>0</v>
      </c>
      <c r="DJ143" s="2" t="n">
        <v>0</v>
      </c>
      <c r="DK143" s="2" t="n">
        <v>0</v>
      </c>
      <c r="DL143" s="2" t="n">
        <v>0</v>
      </c>
      <c r="DM143" s="2" t="n">
        <v>0</v>
      </c>
      <c r="DN143" s="2" t="n">
        <v>0</v>
      </c>
      <c r="DO143" s="2" t="n">
        <v>0</v>
      </c>
      <c r="DP143" s="2" t="n">
        <v>0</v>
      </c>
      <c r="DQ143" s="2" t="n">
        <v>0</v>
      </c>
      <c r="DR143" s="2" t="n">
        <v>0</v>
      </c>
      <c r="DS143" s="2" t="n">
        <v>0</v>
      </c>
      <c r="DT143" s="2" t="n">
        <v>0</v>
      </c>
      <c r="DU143" s="2" t="n">
        <v>0</v>
      </c>
      <c r="DV143" s="2" t="n">
        <v>0</v>
      </c>
      <c r="DW143" s="2" t="n">
        <v>0</v>
      </c>
      <c r="DX143" s="2" t="n">
        <v>0</v>
      </c>
      <c r="DY143" s="2" t="n">
        <v>0</v>
      </c>
      <c r="DZ143" s="2" t="n">
        <v>0</v>
      </c>
      <c r="EA143" s="2" t="n">
        <v>0</v>
      </c>
      <c r="EB143" s="2" t="n">
        <v>0</v>
      </c>
      <c r="EC143" s="2" t="n">
        <v>0</v>
      </c>
      <c r="ED143" s="2" t="n">
        <v>0</v>
      </c>
      <c r="EE143" s="2" t="n">
        <v>0</v>
      </c>
      <c r="EF143" s="2" t="n">
        <v>0</v>
      </c>
      <c r="EG143" s="2" t="n">
        <v>0</v>
      </c>
      <c r="EH143" s="2" t="n">
        <v>0</v>
      </c>
      <c r="EI143" s="2" t="n">
        <v>0</v>
      </c>
      <c r="EJ143" s="2" t="n">
        <v>0</v>
      </c>
      <c r="EK143" s="2" t="n">
        <v>0</v>
      </c>
      <c r="EL143" s="2" t="n">
        <v>0</v>
      </c>
      <c r="EM143" s="2" t="n">
        <v>0</v>
      </c>
      <c r="EN143" s="2" t="n">
        <v>0</v>
      </c>
      <c r="EO143" s="2" t="n">
        <v>0</v>
      </c>
      <c r="EP143" s="2" t="n">
        <v>0</v>
      </c>
      <c r="EQ143" s="2" t="n">
        <v>0</v>
      </c>
      <c r="ER143" s="2" t="n">
        <v>0</v>
      </c>
      <c r="ES143" s="2" t="n">
        <v>0</v>
      </c>
    </row>
    <row r="144">
      <c r="A144" s="2" t="n">
        <v>2</v>
      </c>
      <c r="B144" s="2" t="inlineStr">
        <is>
          <t>10.06</t>
        </is>
      </c>
      <c r="C144" s="2" t="inlineStr">
        <is>
          <t>Operadores</t>
        </is>
      </c>
      <c r="D144" s="2" t="inlineStr">
        <is>
          <t>-</t>
        </is>
      </c>
      <c r="E144" s="2" t="inlineStr">
        <is>
          <t>-</t>
        </is>
      </c>
      <c r="F144" s="2" t="n">
        <v>1088419.679324698</v>
      </c>
      <c r="G144" s="2" t="n">
        <v>0</v>
      </c>
      <c r="H144" s="2" t="n">
        <v>1088419.679324698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n">
        <v>0</v>
      </c>
      <c r="BT144" s="2" t="n">
        <v>0</v>
      </c>
      <c r="BU144" s="2" t="n">
        <v>0</v>
      </c>
      <c r="BV144" s="2" t="n">
        <v>0</v>
      </c>
      <c r="BW144" s="2" t="n">
        <v>0</v>
      </c>
      <c r="BX144" s="2" t="n">
        <v>0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</v>
      </c>
      <c r="CP144" s="2" t="n">
        <v>0</v>
      </c>
      <c r="CQ144" s="2" t="n">
        <v>0</v>
      </c>
      <c r="CR144" s="2" t="n">
        <v>0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0</v>
      </c>
      <c r="DD144" s="2" t="n">
        <v>0</v>
      </c>
      <c r="DE144" s="2" t="n">
        <v>0</v>
      </c>
      <c r="DF144" s="2" t="n">
        <v>0</v>
      </c>
      <c r="DG144" s="2" t="n">
        <v>0</v>
      </c>
      <c r="DH144" s="2" t="n">
        <v>0</v>
      </c>
      <c r="DI144" s="2" t="n">
        <v>0</v>
      </c>
      <c r="DJ144" s="2" t="n">
        <v>0</v>
      </c>
      <c r="DK144" s="2" t="n">
        <v>0</v>
      </c>
      <c r="DL144" s="2" t="n">
        <v>0</v>
      </c>
      <c r="DM144" s="2" t="n">
        <v>0</v>
      </c>
      <c r="DN144" s="2" t="n">
        <v>0</v>
      </c>
      <c r="DO144" s="2" t="n">
        <v>0</v>
      </c>
      <c r="DP144" s="2" t="n">
        <v>0</v>
      </c>
      <c r="DQ144" s="2" t="n">
        <v>0</v>
      </c>
      <c r="DR144" s="2" t="n">
        <v>0</v>
      </c>
      <c r="DS144" s="2" t="n">
        <v>0</v>
      </c>
      <c r="DT144" s="2" t="n">
        <v>0</v>
      </c>
      <c r="DU144" s="2" t="n">
        <v>0</v>
      </c>
      <c r="DV144" s="2" t="n">
        <v>0</v>
      </c>
      <c r="DW144" s="2" t="n">
        <v>0</v>
      </c>
      <c r="DX144" s="2" t="n">
        <v>0</v>
      </c>
      <c r="DY144" s="2" t="n">
        <v>0</v>
      </c>
      <c r="DZ144" s="2" t="n">
        <v>0</v>
      </c>
      <c r="EA144" s="2" t="n">
        <v>0</v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0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0</v>
      </c>
      <c r="EM144" s="2" t="n">
        <v>0</v>
      </c>
      <c r="EN144" s="2" t="n">
        <v>0</v>
      </c>
      <c r="EO144" s="2" t="n">
        <v>0</v>
      </c>
      <c r="EP144" s="2" t="n">
        <v>0</v>
      </c>
      <c r="EQ144" s="2" t="n">
        <v>0</v>
      </c>
      <c r="ER144" s="2" t="n">
        <v>0</v>
      </c>
      <c r="ES144" s="2" t="n">
        <v>0</v>
      </c>
    </row>
    <row r="145">
      <c r="A145" s="2" t="n">
        <v>3</v>
      </c>
      <c r="B145" s="2" t="inlineStr">
        <is>
          <t>10.06.01</t>
        </is>
      </c>
      <c r="C145" s="2" t="inlineStr">
        <is>
          <t>Operador de Betoneira</t>
        </is>
      </c>
      <c r="D145" s="2" t="inlineStr">
        <is>
          <t>-</t>
        </is>
      </c>
      <c r="E145" s="2" t="inlineStr">
        <is>
          <t>-</t>
        </is>
      </c>
      <c r="F145" s="2" t="n">
        <v>250468.1365618987</v>
      </c>
      <c r="G145" s="2" t="n">
        <v>0</v>
      </c>
      <c r="H145" s="2" t="n">
        <v>250468.1365618987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0</v>
      </c>
      <c r="BS145" s="2" t="n">
        <v>0</v>
      </c>
      <c r="BT145" s="2" t="n">
        <v>0</v>
      </c>
      <c r="BU145" s="2" t="n">
        <v>0</v>
      </c>
      <c r="BV145" s="2" t="n">
        <v>0</v>
      </c>
      <c r="BW145" s="2" t="n">
        <v>0</v>
      </c>
      <c r="BX145" s="2" t="n">
        <v>0</v>
      </c>
      <c r="BY145" s="2" t="n">
        <v>0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0</v>
      </c>
      <c r="CP145" s="2" t="n">
        <v>0</v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  <c r="DF145" s="2" t="n">
        <v>0</v>
      </c>
      <c r="DG145" s="2" t="n">
        <v>0</v>
      </c>
      <c r="DH145" s="2" t="n">
        <v>0</v>
      </c>
      <c r="DI145" s="2" t="n">
        <v>0</v>
      </c>
      <c r="DJ145" s="2" t="n">
        <v>0</v>
      </c>
      <c r="DK145" s="2" t="n">
        <v>0</v>
      </c>
      <c r="DL145" s="2" t="n">
        <v>0</v>
      </c>
      <c r="DM145" s="2" t="n">
        <v>0</v>
      </c>
      <c r="DN145" s="2" t="n">
        <v>0</v>
      </c>
      <c r="DO145" s="2" t="n">
        <v>0</v>
      </c>
      <c r="DP145" s="2" t="n">
        <v>0</v>
      </c>
      <c r="DQ145" s="2" t="n">
        <v>0</v>
      </c>
      <c r="DR145" s="2" t="n">
        <v>0</v>
      </c>
      <c r="DS145" s="2" t="n">
        <v>0</v>
      </c>
      <c r="DT145" s="2" t="n">
        <v>0</v>
      </c>
      <c r="DU145" s="2" t="n">
        <v>0</v>
      </c>
      <c r="DV145" s="2" t="n">
        <v>0</v>
      </c>
      <c r="DW145" s="2" t="n">
        <v>0</v>
      </c>
      <c r="DX145" s="2" t="n">
        <v>0</v>
      </c>
      <c r="DY145" s="2" t="n">
        <v>0</v>
      </c>
      <c r="DZ145" s="2" t="n">
        <v>0</v>
      </c>
      <c r="EA145" s="2" t="n">
        <v>0</v>
      </c>
      <c r="EB145" s="2" t="n">
        <v>0</v>
      </c>
      <c r="EC145" s="2" t="n">
        <v>0</v>
      </c>
      <c r="ED145" s="2" t="n">
        <v>0</v>
      </c>
      <c r="EE145" s="2" t="n">
        <v>0</v>
      </c>
      <c r="EF145" s="2" t="n">
        <v>0</v>
      </c>
      <c r="EG145" s="2" t="n">
        <v>0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0</v>
      </c>
      <c r="EM145" s="2" t="n">
        <v>0</v>
      </c>
      <c r="EN145" s="2" t="n">
        <v>0</v>
      </c>
      <c r="EO145" s="2" t="n">
        <v>0</v>
      </c>
      <c r="EP145" s="2" t="n">
        <v>0</v>
      </c>
      <c r="EQ145" s="2" t="n">
        <v>0</v>
      </c>
      <c r="ER145" s="2" t="n">
        <v>0</v>
      </c>
      <c r="ES145" s="2" t="n">
        <v>0</v>
      </c>
    </row>
    <row r="146">
      <c r="A146" s="2" t="n">
        <v>3</v>
      </c>
      <c r="B146" s="2" t="inlineStr">
        <is>
          <t>10.06.02</t>
        </is>
      </c>
      <c r="C146" s="2" t="inlineStr">
        <is>
          <t>Servente para abastecimento de betoneira</t>
        </is>
      </c>
      <c r="D146" s="2" t="inlineStr">
        <is>
          <t>-</t>
        </is>
      </c>
      <c r="E146" s="2" t="inlineStr">
        <is>
          <t>-</t>
        </is>
      </c>
      <c r="F146" s="2" t="n">
        <v>131360.6780313138</v>
      </c>
      <c r="G146" s="2" t="n">
        <v>0</v>
      </c>
      <c r="H146" s="2" t="n">
        <v>131360.6780313138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0</v>
      </c>
      <c r="BQ146" s="2" t="n">
        <v>0</v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n">
        <v>0</v>
      </c>
      <c r="BW146" s="2" t="n">
        <v>0</v>
      </c>
      <c r="BX146" s="2" t="n">
        <v>0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n">
        <v>0</v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0</v>
      </c>
      <c r="DH146" s="2" t="n">
        <v>0</v>
      </c>
      <c r="DI146" s="2" t="n">
        <v>0</v>
      </c>
      <c r="DJ146" s="2" t="n">
        <v>0</v>
      </c>
      <c r="DK146" s="2" t="n">
        <v>0</v>
      </c>
      <c r="DL146" s="2" t="n">
        <v>0</v>
      </c>
      <c r="DM146" s="2" t="n">
        <v>0</v>
      </c>
      <c r="DN146" s="2" t="n">
        <v>0</v>
      </c>
      <c r="DO146" s="2" t="n">
        <v>0</v>
      </c>
      <c r="DP146" s="2" t="n">
        <v>0</v>
      </c>
      <c r="DQ146" s="2" t="n">
        <v>0</v>
      </c>
      <c r="DR146" s="2" t="n">
        <v>0</v>
      </c>
      <c r="DS146" s="2" t="n">
        <v>0</v>
      </c>
      <c r="DT146" s="2" t="n">
        <v>0</v>
      </c>
      <c r="DU146" s="2" t="n">
        <v>0</v>
      </c>
      <c r="DV146" s="2" t="n">
        <v>0</v>
      </c>
      <c r="DW146" s="2" t="n">
        <v>0</v>
      </c>
      <c r="DX146" s="2" t="n">
        <v>0</v>
      </c>
      <c r="DY146" s="2" t="n">
        <v>0</v>
      </c>
      <c r="DZ146" s="2" t="n">
        <v>0</v>
      </c>
      <c r="EA146" s="2" t="n">
        <v>0</v>
      </c>
      <c r="EB146" s="2" t="n">
        <v>0</v>
      </c>
      <c r="EC146" s="2" t="n">
        <v>0</v>
      </c>
      <c r="ED146" s="2" t="n">
        <v>0</v>
      </c>
      <c r="EE146" s="2" t="n">
        <v>0</v>
      </c>
      <c r="EF146" s="2" t="n">
        <v>0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0</v>
      </c>
      <c r="EM146" s="2" t="n">
        <v>0</v>
      </c>
      <c r="EN146" s="2" t="n">
        <v>0</v>
      </c>
      <c r="EO146" s="2" t="n">
        <v>0</v>
      </c>
      <c r="EP146" s="2" t="n">
        <v>0</v>
      </c>
      <c r="EQ146" s="2" t="n">
        <v>0</v>
      </c>
      <c r="ER146" s="2" t="n">
        <v>0</v>
      </c>
      <c r="ES146" s="2" t="n">
        <v>0</v>
      </c>
    </row>
    <row r="147">
      <c r="A147" s="2" t="n">
        <v>3</v>
      </c>
      <c r="B147" s="2" t="inlineStr">
        <is>
          <t>10.06.03</t>
        </is>
      </c>
      <c r="C147" s="2" t="inlineStr">
        <is>
          <t>Operador de elevador de obra</t>
        </is>
      </c>
      <c r="D147" s="2" t="inlineStr">
        <is>
          <t>-</t>
        </is>
      </c>
      <c r="E147" s="2" t="inlineStr">
        <is>
          <t>-</t>
        </is>
      </c>
      <c r="F147" s="2" t="n">
        <v>440216.7248663674</v>
      </c>
      <c r="G147" s="2" t="n">
        <v>0</v>
      </c>
      <c r="H147" s="2" t="n">
        <v>440216.7248663674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0</v>
      </c>
      <c r="BR147" s="2" t="n">
        <v>0</v>
      </c>
      <c r="BS147" s="2" t="n">
        <v>0</v>
      </c>
      <c r="BT147" s="2" t="n">
        <v>0</v>
      </c>
      <c r="BU147" s="2" t="n">
        <v>0</v>
      </c>
      <c r="BV147" s="2" t="n">
        <v>0</v>
      </c>
      <c r="BW147" s="2" t="n">
        <v>0</v>
      </c>
      <c r="BX147" s="2" t="n">
        <v>0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0</v>
      </c>
      <c r="CP147" s="2" t="n">
        <v>0</v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0</v>
      </c>
      <c r="DH147" s="2" t="n">
        <v>0</v>
      </c>
      <c r="DI147" s="2" t="n">
        <v>0</v>
      </c>
      <c r="DJ147" s="2" t="n">
        <v>0</v>
      </c>
      <c r="DK147" s="2" t="n">
        <v>0</v>
      </c>
      <c r="DL147" s="2" t="n">
        <v>0</v>
      </c>
      <c r="DM147" s="2" t="n">
        <v>0</v>
      </c>
      <c r="DN147" s="2" t="n">
        <v>0</v>
      </c>
      <c r="DO147" s="2" t="n">
        <v>0</v>
      </c>
      <c r="DP147" s="2" t="n">
        <v>0</v>
      </c>
      <c r="DQ147" s="2" t="n">
        <v>0</v>
      </c>
      <c r="DR147" s="2" t="n">
        <v>0</v>
      </c>
      <c r="DS147" s="2" t="n">
        <v>0</v>
      </c>
      <c r="DT147" s="2" t="n">
        <v>0</v>
      </c>
      <c r="DU147" s="2" t="n">
        <v>0</v>
      </c>
      <c r="DV147" s="2" t="n">
        <v>0</v>
      </c>
      <c r="DW147" s="2" t="n">
        <v>0</v>
      </c>
      <c r="DX147" s="2" t="n">
        <v>0</v>
      </c>
      <c r="DY147" s="2" t="n">
        <v>0</v>
      </c>
      <c r="DZ147" s="2" t="n">
        <v>0</v>
      </c>
      <c r="EA147" s="2" t="n">
        <v>0</v>
      </c>
      <c r="EB147" s="2" t="n">
        <v>0</v>
      </c>
      <c r="EC147" s="2" t="n">
        <v>0</v>
      </c>
      <c r="ED147" s="2" t="n">
        <v>0</v>
      </c>
      <c r="EE147" s="2" t="n">
        <v>0</v>
      </c>
      <c r="EF147" s="2" t="n">
        <v>0</v>
      </c>
      <c r="EG147" s="2" t="n">
        <v>0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0</v>
      </c>
      <c r="EM147" s="2" t="n">
        <v>0</v>
      </c>
      <c r="EN147" s="2" t="n">
        <v>0</v>
      </c>
      <c r="EO147" s="2" t="n">
        <v>0</v>
      </c>
      <c r="EP147" s="2" t="n">
        <v>0</v>
      </c>
      <c r="EQ147" s="2" t="n">
        <v>0</v>
      </c>
      <c r="ER147" s="2" t="n">
        <v>0</v>
      </c>
      <c r="ES147" s="2" t="n">
        <v>0</v>
      </c>
    </row>
    <row r="148">
      <c r="A148" s="2" t="n">
        <v>3</v>
      </c>
      <c r="B148" s="2" t="inlineStr">
        <is>
          <t>10.06.04</t>
        </is>
      </c>
      <c r="C148" s="2" t="inlineStr">
        <is>
          <t>Sinaleiro para operações com Grua</t>
        </is>
      </c>
      <c r="D148" s="2" t="inlineStr">
        <is>
          <t>-</t>
        </is>
      </c>
      <c r="E148" s="2" t="inlineStr">
        <is>
          <t>-</t>
        </is>
      </c>
      <c r="F148" s="2" t="n">
        <v>266374.1398651182</v>
      </c>
      <c r="G148" s="2" t="n">
        <v>0</v>
      </c>
      <c r="H148" s="2" t="n">
        <v>266374.1398651182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0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0</v>
      </c>
      <c r="EM148" s="2" t="n">
        <v>0</v>
      </c>
      <c r="EN148" s="2" t="n">
        <v>0</v>
      </c>
      <c r="EO148" s="2" t="n">
        <v>0</v>
      </c>
      <c r="EP148" s="2" t="n">
        <v>0</v>
      </c>
      <c r="EQ148" s="2" t="n">
        <v>0</v>
      </c>
      <c r="ER148" s="2" t="n">
        <v>0</v>
      </c>
      <c r="ES148" s="2" t="n">
        <v>0</v>
      </c>
    </row>
    <row r="149">
      <c r="A149" s="2" t="n">
        <v>2</v>
      </c>
      <c r="B149" s="2" t="inlineStr">
        <is>
          <t>10.07</t>
        </is>
      </c>
      <c r="C149" s="2" t="inlineStr">
        <is>
          <t>Distribuição de lucros (PPLR)</t>
        </is>
      </c>
      <c r="D149" s="2" t="inlineStr">
        <is>
          <t>-</t>
        </is>
      </c>
      <c r="E149" s="2" t="inlineStr">
        <is>
          <t>-</t>
        </is>
      </c>
      <c r="F149" s="2" t="n">
        <v>1447955.179385902</v>
      </c>
      <c r="G149" s="2" t="n">
        <v>0</v>
      </c>
      <c r="H149" s="2" t="n">
        <v>1447955.179385902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0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0</v>
      </c>
      <c r="DW149" s="2" t="n">
        <v>0</v>
      </c>
      <c r="DX149" s="2" t="n">
        <v>0</v>
      </c>
      <c r="DY149" s="2" t="n">
        <v>0</v>
      </c>
      <c r="DZ149" s="2" t="n">
        <v>0</v>
      </c>
      <c r="EA149" s="2" t="n">
        <v>0</v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0</v>
      </c>
      <c r="EM149" s="2" t="n">
        <v>0</v>
      </c>
      <c r="EN149" s="2" t="n">
        <v>0</v>
      </c>
      <c r="EO149" s="2" t="n">
        <v>0</v>
      </c>
      <c r="EP149" s="2" t="n">
        <v>0</v>
      </c>
      <c r="EQ149" s="2" t="n">
        <v>0</v>
      </c>
      <c r="ER149" s="2" t="n">
        <v>0</v>
      </c>
      <c r="ES149" s="2" t="n">
        <v>0</v>
      </c>
    </row>
    <row r="150">
      <c r="A150" s="2" t="n">
        <v>3</v>
      </c>
      <c r="B150" s="2" t="inlineStr">
        <is>
          <t>10.07.01</t>
        </is>
      </c>
      <c r="C150" s="2" t="inlineStr">
        <is>
          <t>Participação de lucros</t>
        </is>
      </c>
      <c r="D150" s="2" t="inlineStr">
        <is>
          <t>-</t>
        </is>
      </c>
      <c r="E150" s="2" t="inlineStr">
        <is>
          <t>-</t>
        </is>
      </c>
      <c r="F150" s="2" t="n">
        <v>1447955.179385902</v>
      </c>
      <c r="G150" s="2" t="n">
        <v>0</v>
      </c>
      <c r="H150" s="2" t="n">
        <v>1447955.179385902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0</v>
      </c>
      <c r="BW150" s="2" t="n">
        <v>0</v>
      </c>
      <c r="BX150" s="2" t="n">
        <v>0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>0</v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0</v>
      </c>
      <c r="DH150" s="2" t="n">
        <v>0</v>
      </c>
      <c r="DI150" s="2" t="n">
        <v>0</v>
      </c>
      <c r="DJ150" s="2" t="n">
        <v>0</v>
      </c>
      <c r="DK150" s="2" t="n">
        <v>0</v>
      </c>
      <c r="DL150" s="2" t="n">
        <v>0</v>
      </c>
      <c r="DM150" s="2" t="n">
        <v>0</v>
      </c>
      <c r="DN150" s="2" t="n">
        <v>0</v>
      </c>
      <c r="DO150" s="2" t="n">
        <v>0</v>
      </c>
      <c r="DP150" s="2" t="n">
        <v>0</v>
      </c>
      <c r="DQ150" s="2" t="n">
        <v>0</v>
      </c>
      <c r="DR150" s="2" t="n">
        <v>0</v>
      </c>
      <c r="DS150" s="2" t="n">
        <v>0</v>
      </c>
      <c r="DT150" s="2" t="n">
        <v>0</v>
      </c>
      <c r="DU150" s="2" t="n">
        <v>0</v>
      </c>
      <c r="DV150" s="2" t="n">
        <v>0</v>
      </c>
      <c r="DW150" s="2" t="n">
        <v>0</v>
      </c>
      <c r="DX150" s="2" t="n">
        <v>0</v>
      </c>
      <c r="DY150" s="2" t="n">
        <v>0</v>
      </c>
      <c r="DZ150" s="2" t="n">
        <v>0</v>
      </c>
      <c r="EA150" s="2" t="n">
        <v>0</v>
      </c>
      <c r="EB150" s="2" t="n">
        <v>0</v>
      </c>
      <c r="EC150" s="2" t="n">
        <v>0</v>
      </c>
      <c r="ED150" s="2" t="n">
        <v>0</v>
      </c>
      <c r="EE150" s="2" t="n">
        <v>0</v>
      </c>
      <c r="EF150" s="2" t="n">
        <v>0</v>
      </c>
      <c r="EG150" s="2" t="n">
        <v>0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0</v>
      </c>
      <c r="EM150" s="2" t="n">
        <v>0</v>
      </c>
      <c r="EN150" s="2" t="n">
        <v>0</v>
      </c>
      <c r="EO150" s="2" t="n">
        <v>0</v>
      </c>
      <c r="EP150" s="2" t="n">
        <v>0</v>
      </c>
      <c r="EQ150" s="2" t="n">
        <v>0</v>
      </c>
      <c r="ER150" s="2" t="n">
        <v>0</v>
      </c>
      <c r="ES150" s="2" t="n">
        <v>0</v>
      </c>
    </row>
    <row r="151">
      <c r="A151" s="2" t="n">
        <v>1</v>
      </c>
      <c r="B151" s="2" t="inlineStr">
        <is>
          <t>11</t>
        </is>
      </c>
      <c r="C151" s="2" t="inlineStr">
        <is>
          <t>EQUIPAMENTOS E FERRAMENTAS</t>
        </is>
      </c>
      <c r="D151" s="2" t="inlineStr">
        <is>
          <t>-</t>
        </is>
      </c>
      <c r="E151" s="2" t="inlineStr">
        <is>
          <t>-</t>
        </is>
      </c>
      <c r="F151" s="2" t="n">
        <v>6467911.663050408</v>
      </c>
      <c r="G151" s="2" t="n">
        <v>0</v>
      </c>
      <c r="H151" s="2" t="n">
        <v>6467911.663050408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0</v>
      </c>
      <c r="BR151" s="2" t="n">
        <v>0</v>
      </c>
      <c r="BS151" s="2" t="n">
        <v>0</v>
      </c>
      <c r="BT151" s="2" t="n">
        <v>0</v>
      </c>
      <c r="BU151" s="2" t="n">
        <v>0</v>
      </c>
      <c r="BV151" s="2" t="n">
        <v>0</v>
      </c>
      <c r="BW151" s="2" t="n">
        <v>0</v>
      </c>
      <c r="BX151" s="2" t="n">
        <v>0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0</v>
      </c>
      <c r="CP151" s="2" t="n">
        <v>0</v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0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0</v>
      </c>
      <c r="DH151" s="2" t="n">
        <v>0</v>
      </c>
      <c r="DI151" s="2" t="n">
        <v>0</v>
      </c>
      <c r="DJ151" s="2" t="n">
        <v>0</v>
      </c>
      <c r="DK151" s="2" t="n">
        <v>0</v>
      </c>
      <c r="DL151" s="2" t="n">
        <v>0</v>
      </c>
      <c r="DM151" s="2" t="n">
        <v>0</v>
      </c>
      <c r="DN151" s="2" t="n">
        <v>0</v>
      </c>
      <c r="DO151" s="2" t="n">
        <v>0</v>
      </c>
      <c r="DP151" s="2" t="n">
        <v>0</v>
      </c>
      <c r="DQ151" s="2" t="n">
        <v>0</v>
      </c>
      <c r="DR151" s="2" t="n">
        <v>0</v>
      </c>
      <c r="DS151" s="2" t="n">
        <v>0</v>
      </c>
      <c r="DT151" s="2" t="n">
        <v>0</v>
      </c>
      <c r="DU151" s="2" t="n">
        <v>0</v>
      </c>
      <c r="DV151" s="2" t="n">
        <v>0</v>
      </c>
      <c r="DW151" s="2" t="n">
        <v>0</v>
      </c>
      <c r="DX151" s="2" t="n">
        <v>0</v>
      </c>
      <c r="DY151" s="2" t="n">
        <v>0</v>
      </c>
      <c r="DZ151" s="2" t="n">
        <v>0</v>
      </c>
      <c r="EA151" s="2" t="n">
        <v>0</v>
      </c>
      <c r="EB151" s="2" t="n">
        <v>0</v>
      </c>
      <c r="EC151" s="2" t="n">
        <v>0</v>
      </c>
      <c r="ED151" s="2" t="n">
        <v>0</v>
      </c>
      <c r="EE151" s="2" t="n">
        <v>0</v>
      </c>
      <c r="EF151" s="2" t="n">
        <v>0</v>
      </c>
      <c r="EG151" s="2" t="n">
        <v>0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0</v>
      </c>
      <c r="EM151" s="2" t="n">
        <v>0</v>
      </c>
      <c r="EN151" s="2" t="n">
        <v>0</v>
      </c>
      <c r="EO151" s="2" t="n">
        <v>0</v>
      </c>
      <c r="EP151" s="2" t="n">
        <v>0</v>
      </c>
      <c r="EQ151" s="2" t="n">
        <v>0</v>
      </c>
      <c r="ER151" s="2" t="n">
        <v>0</v>
      </c>
      <c r="ES151" s="2" t="n">
        <v>0</v>
      </c>
    </row>
    <row r="152">
      <c r="A152" s="2" t="n">
        <v>2</v>
      </c>
      <c r="B152" s="2" t="inlineStr">
        <is>
          <t>11.01</t>
        </is>
      </c>
      <c r="C152" s="2" t="inlineStr">
        <is>
          <t>Ferramentas manuais</t>
        </is>
      </c>
      <c r="D152" s="2" t="inlineStr">
        <is>
          <t>-</t>
        </is>
      </c>
      <c r="E152" s="2" t="inlineStr">
        <is>
          <t>-</t>
        </is>
      </c>
      <c r="F152" s="2" t="n">
        <v>44000</v>
      </c>
      <c r="G152" s="2" t="n">
        <v>0</v>
      </c>
      <c r="H152" s="2" t="n">
        <v>44000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n">
        <v>0</v>
      </c>
      <c r="BT152" s="2" t="n">
        <v>0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n">
        <v>0</v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0</v>
      </c>
      <c r="DI152" s="2" t="n">
        <v>0</v>
      </c>
      <c r="DJ152" s="2" t="n">
        <v>0</v>
      </c>
      <c r="DK152" s="2" t="n">
        <v>0</v>
      </c>
      <c r="DL152" s="2" t="n">
        <v>0</v>
      </c>
      <c r="DM152" s="2" t="n">
        <v>0</v>
      </c>
      <c r="DN152" s="2" t="n">
        <v>0</v>
      </c>
      <c r="DO152" s="2" t="n">
        <v>0</v>
      </c>
      <c r="DP152" s="2" t="n">
        <v>0</v>
      </c>
      <c r="DQ152" s="2" t="n">
        <v>0</v>
      </c>
      <c r="DR152" s="2" t="n">
        <v>0</v>
      </c>
      <c r="DS152" s="2" t="n">
        <v>0</v>
      </c>
      <c r="DT152" s="2" t="n">
        <v>0</v>
      </c>
      <c r="DU152" s="2" t="n">
        <v>0</v>
      </c>
      <c r="DV152" s="2" t="n">
        <v>0</v>
      </c>
      <c r="DW152" s="2" t="n">
        <v>0</v>
      </c>
      <c r="DX152" s="2" t="n">
        <v>0</v>
      </c>
      <c r="DY152" s="2" t="n">
        <v>0</v>
      </c>
      <c r="DZ152" s="2" t="n">
        <v>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0</v>
      </c>
      <c r="EM152" s="2" t="n">
        <v>0</v>
      </c>
      <c r="EN152" s="2" t="n">
        <v>0</v>
      </c>
      <c r="EO152" s="2" t="n">
        <v>0</v>
      </c>
      <c r="EP152" s="2" t="n">
        <v>0</v>
      </c>
      <c r="EQ152" s="2" t="n">
        <v>0</v>
      </c>
      <c r="ER152" s="2" t="n">
        <v>0</v>
      </c>
      <c r="ES152" s="2" t="n">
        <v>0</v>
      </c>
    </row>
    <row r="153">
      <c r="A153" s="2" t="n">
        <v>3</v>
      </c>
      <c r="B153" s="2" t="inlineStr">
        <is>
          <t>11.01.01</t>
        </is>
      </c>
      <c r="C153" s="2" t="inlineStr">
        <is>
          <t>Aquisição de ferramentas manuais</t>
        </is>
      </c>
      <c r="D153" s="2" t="inlineStr">
        <is>
          <t>-</t>
        </is>
      </c>
      <c r="E153" s="2" t="inlineStr">
        <is>
          <t>-</t>
        </is>
      </c>
      <c r="F153" s="2" t="n">
        <v>44000</v>
      </c>
      <c r="G153" s="2" t="n">
        <v>0</v>
      </c>
      <c r="H153" s="2" t="n">
        <v>44000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0</v>
      </c>
      <c r="BR153" s="2" t="n">
        <v>0</v>
      </c>
      <c r="BS153" s="2" t="n">
        <v>0</v>
      </c>
      <c r="BT153" s="2" t="n">
        <v>0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n">
        <v>0</v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0</v>
      </c>
      <c r="DJ153" s="2" t="n">
        <v>0</v>
      </c>
      <c r="DK153" s="2" t="n">
        <v>0</v>
      </c>
      <c r="DL153" s="2" t="n">
        <v>0</v>
      </c>
      <c r="DM153" s="2" t="n">
        <v>0</v>
      </c>
      <c r="DN153" s="2" t="n">
        <v>0</v>
      </c>
      <c r="DO153" s="2" t="n">
        <v>0</v>
      </c>
      <c r="DP153" s="2" t="n">
        <v>0</v>
      </c>
      <c r="DQ153" s="2" t="n">
        <v>0</v>
      </c>
      <c r="DR153" s="2" t="n">
        <v>0</v>
      </c>
      <c r="DS153" s="2" t="n">
        <v>0</v>
      </c>
      <c r="DT153" s="2" t="n">
        <v>0</v>
      </c>
      <c r="DU153" s="2" t="n">
        <v>0</v>
      </c>
      <c r="DV153" s="2" t="n">
        <v>0</v>
      </c>
      <c r="DW153" s="2" t="n">
        <v>0</v>
      </c>
      <c r="DX153" s="2" t="n">
        <v>0</v>
      </c>
      <c r="DY153" s="2" t="n">
        <v>0</v>
      </c>
      <c r="DZ153" s="2" t="n">
        <v>0</v>
      </c>
      <c r="EA153" s="2" t="n">
        <v>0</v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0</v>
      </c>
      <c r="EM153" s="2" t="n">
        <v>0</v>
      </c>
      <c r="EN153" s="2" t="n">
        <v>0</v>
      </c>
      <c r="EO153" s="2" t="n">
        <v>0</v>
      </c>
      <c r="EP153" s="2" t="n">
        <v>0</v>
      </c>
      <c r="EQ153" s="2" t="n">
        <v>0</v>
      </c>
      <c r="ER153" s="2" t="n">
        <v>0</v>
      </c>
      <c r="ES153" s="2" t="n">
        <v>0</v>
      </c>
    </row>
    <row r="154">
      <c r="A154" s="2" t="n">
        <v>2</v>
      </c>
      <c r="B154" s="2" t="inlineStr">
        <is>
          <t>11.02</t>
        </is>
      </c>
      <c r="C154" s="2" t="inlineStr">
        <is>
          <t>Equipamentos para movimento de terra</t>
        </is>
      </c>
      <c r="D154" s="2" t="inlineStr">
        <is>
          <t>-</t>
        </is>
      </c>
      <c r="E154" s="2" t="inlineStr">
        <is>
          <t>-</t>
        </is>
      </c>
      <c r="F154" s="2" t="n">
        <v>974130</v>
      </c>
      <c r="G154" s="2" t="n">
        <v>0</v>
      </c>
      <c r="H154" s="2" t="n">
        <v>974130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0</v>
      </c>
      <c r="BR154" s="2" t="n">
        <v>0</v>
      </c>
      <c r="BS154" s="2" t="n">
        <v>0</v>
      </c>
      <c r="BT154" s="2" t="n">
        <v>0</v>
      </c>
      <c r="BU154" s="2" t="n">
        <v>0</v>
      </c>
      <c r="BV154" s="2" t="n">
        <v>0</v>
      </c>
      <c r="BW154" s="2" t="n">
        <v>0</v>
      </c>
      <c r="BX154" s="2" t="n">
        <v>0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>0</v>
      </c>
      <c r="CQ154" s="2" t="n">
        <v>0</v>
      </c>
      <c r="CR154" s="2" t="n">
        <v>0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0</v>
      </c>
      <c r="DH154" s="2" t="n">
        <v>0</v>
      </c>
      <c r="DI154" s="2" t="n">
        <v>0</v>
      </c>
      <c r="DJ154" s="2" t="n">
        <v>0</v>
      </c>
      <c r="DK154" s="2" t="n">
        <v>0</v>
      </c>
      <c r="DL154" s="2" t="n">
        <v>0</v>
      </c>
      <c r="DM154" s="2" t="n">
        <v>0</v>
      </c>
      <c r="DN154" s="2" t="n">
        <v>0</v>
      </c>
      <c r="DO154" s="2" t="n">
        <v>0</v>
      </c>
      <c r="DP154" s="2" t="n">
        <v>0</v>
      </c>
      <c r="DQ154" s="2" t="n">
        <v>0</v>
      </c>
      <c r="DR154" s="2" t="n">
        <v>0</v>
      </c>
      <c r="DS154" s="2" t="n">
        <v>0</v>
      </c>
      <c r="DT154" s="2" t="n">
        <v>0</v>
      </c>
      <c r="DU154" s="2" t="n">
        <v>0</v>
      </c>
      <c r="DV154" s="2" t="n">
        <v>0</v>
      </c>
      <c r="DW154" s="2" t="n">
        <v>0</v>
      </c>
      <c r="DX154" s="2" t="n">
        <v>0</v>
      </c>
      <c r="DY154" s="2" t="n">
        <v>0</v>
      </c>
      <c r="DZ154" s="2" t="n">
        <v>0</v>
      </c>
      <c r="EA154" s="2" t="n">
        <v>0</v>
      </c>
      <c r="EB154" s="2" t="n">
        <v>0</v>
      </c>
      <c r="EC154" s="2" t="n">
        <v>0</v>
      </c>
      <c r="ED154" s="2" t="n">
        <v>0</v>
      </c>
      <c r="EE154" s="2" t="n">
        <v>0</v>
      </c>
      <c r="EF154" s="2" t="n">
        <v>0</v>
      </c>
      <c r="EG154" s="2" t="n">
        <v>0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0</v>
      </c>
      <c r="EM154" s="2" t="n">
        <v>0</v>
      </c>
      <c r="EN154" s="2" t="n">
        <v>0</v>
      </c>
      <c r="EO154" s="2" t="n">
        <v>0</v>
      </c>
      <c r="EP154" s="2" t="n">
        <v>0</v>
      </c>
      <c r="EQ154" s="2" t="n">
        <v>0</v>
      </c>
      <c r="ER154" s="2" t="n">
        <v>0</v>
      </c>
      <c r="ES154" s="2" t="n">
        <v>0</v>
      </c>
    </row>
    <row r="155">
      <c r="A155" s="2" t="n">
        <v>3</v>
      </c>
      <c r="B155" s="2" t="inlineStr">
        <is>
          <t>11.02.01</t>
        </is>
      </c>
      <c r="C155" s="2" t="inlineStr">
        <is>
          <t>Compactador manual tipo sapo</t>
        </is>
      </c>
      <c r="D155" s="2" t="inlineStr">
        <is>
          <t>-</t>
        </is>
      </c>
      <c r="E155" s="2" t="inlineStr">
        <is>
          <t>-</t>
        </is>
      </c>
      <c r="F155" s="2" t="n">
        <v>18630</v>
      </c>
      <c r="G155" s="2" t="n">
        <v>0</v>
      </c>
      <c r="H155" s="2" t="n">
        <v>18630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0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0</v>
      </c>
      <c r="DH155" s="2" t="n">
        <v>0</v>
      </c>
      <c r="DI155" s="2" t="n">
        <v>0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0</v>
      </c>
      <c r="DW155" s="2" t="n">
        <v>0</v>
      </c>
      <c r="DX155" s="2" t="n">
        <v>0</v>
      </c>
      <c r="DY155" s="2" t="n">
        <v>0</v>
      </c>
      <c r="DZ155" s="2" t="n">
        <v>0</v>
      </c>
      <c r="EA155" s="2" t="n">
        <v>0</v>
      </c>
      <c r="EB155" s="2" t="n">
        <v>0</v>
      </c>
      <c r="EC155" s="2" t="n">
        <v>0</v>
      </c>
      <c r="ED155" s="2" t="n">
        <v>0</v>
      </c>
      <c r="EE155" s="2" t="n">
        <v>0</v>
      </c>
      <c r="EF155" s="2" t="n">
        <v>0</v>
      </c>
      <c r="EG155" s="2" t="n">
        <v>0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0</v>
      </c>
      <c r="EM155" s="2" t="n">
        <v>0</v>
      </c>
      <c r="EN155" s="2" t="n">
        <v>0</v>
      </c>
      <c r="EO155" s="2" t="n">
        <v>0</v>
      </c>
      <c r="EP155" s="2" t="n">
        <v>0</v>
      </c>
      <c r="EQ155" s="2" t="n">
        <v>0</v>
      </c>
      <c r="ER155" s="2" t="n">
        <v>0</v>
      </c>
      <c r="ES155" s="2" t="n">
        <v>0</v>
      </c>
    </row>
    <row r="156">
      <c r="A156" s="2" t="n">
        <v>3</v>
      </c>
      <c r="B156" s="2" t="inlineStr">
        <is>
          <t>11.02.02</t>
        </is>
      </c>
      <c r="C156" s="2" t="inlineStr">
        <is>
          <t>Trator Bob cat</t>
        </is>
      </c>
      <c r="D156" s="2" t="inlineStr">
        <is>
          <t>-</t>
        </is>
      </c>
      <c r="E156" s="2" t="inlineStr">
        <is>
          <t>-</t>
        </is>
      </c>
      <c r="F156" s="2" t="n">
        <v>495000</v>
      </c>
      <c r="G156" s="2" t="n">
        <v>0</v>
      </c>
      <c r="H156" s="2" t="n">
        <v>495000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0</v>
      </c>
      <c r="DH156" s="2" t="n">
        <v>0</v>
      </c>
      <c r="DI156" s="2" t="n">
        <v>0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0</v>
      </c>
      <c r="DW156" s="2" t="n">
        <v>0</v>
      </c>
      <c r="DX156" s="2" t="n">
        <v>0</v>
      </c>
      <c r="DY156" s="2" t="n">
        <v>0</v>
      </c>
      <c r="DZ156" s="2" t="n">
        <v>0</v>
      </c>
      <c r="EA156" s="2" t="n">
        <v>0</v>
      </c>
      <c r="EB156" s="2" t="n">
        <v>0</v>
      </c>
      <c r="EC156" s="2" t="n">
        <v>0</v>
      </c>
      <c r="ED156" s="2" t="n">
        <v>0</v>
      </c>
      <c r="EE156" s="2" t="n">
        <v>0</v>
      </c>
      <c r="EF156" s="2" t="n">
        <v>0</v>
      </c>
      <c r="EG156" s="2" t="n">
        <v>0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0</v>
      </c>
      <c r="EM156" s="2" t="n">
        <v>0</v>
      </c>
      <c r="EN156" s="2" t="n">
        <v>0</v>
      </c>
      <c r="EO156" s="2" t="n">
        <v>0</v>
      </c>
      <c r="EP156" s="2" t="n">
        <v>0</v>
      </c>
      <c r="EQ156" s="2" t="n">
        <v>0</v>
      </c>
      <c r="ER156" s="2" t="n">
        <v>0</v>
      </c>
      <c r="ES156" s="2" t="n">
        <v>0</v>
      </c>
    </row>
    <row r="157">
      <c r="A157" s="2" t="n">
        <v>3</v>
      </c>
      <c r="B157" s="2" t="inlineStr">
        <is>
          <t>11.02.03</t>
        </is>
      </c>
      <c r="C157" s="2" t="inlineStr">
        <is>
          <t>Retroescavadeira</t>
        </is>
      </c>
      <c r="D157" s="2" t="inlineStr">
        <is>
          <t>-</t>
        </is>
      </c>
      <c r="E157" s="2" t="inlineStr">
        <is>
          <t>-</t>
        </is>
      </c>
      <c r="F157" s="2" t="n">
        <v>108000</v>
      </c>
      <c r="G157" s="2" t="n">
        <v>0</v>
      </c>
      <c r="H157" s="2" t="n">
        <v>108000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0</v>
      </c>
      <c r="BR157" s="2" t="n">
        <v>0</v>
      </c>
      <c r="BS157" s="2" t="n">
        <v>0</v>
      </c>
      <c r="BT157" s="2" t="n">
        <v>0</v>
      </c>
      <c r="BU157" s="2" t="n">
        <v>0</v>
      </c>
      <c r="BV157" s="2" t="n">
        <v>0</v>
      </c>
      <c r="BW157" s="2" t="n">
        <v>0</v>
      </c>
      <c r="BX157" s="2" t="n">
        <v>0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0</v>
      </c>
      <c r="CP157" s="2" t="n">
        <v>0</v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0</v>
      </c>
      <c r="DH157" s="2" t="n">
        <v>0</v>
      </c>
      <c r="DI157" s="2" t="n">
        <v>0</v>
      </c>
      <c r="DJ157" s="2" t="n">
        <v>0</v>
      </c>
      <c r="DK157" s="2" t="n">
        <v>0</v>
      </c>
      <c r="DL157" s="2" t="n">
        <v>0</v>
      </c>
      <c r="DM157" s="2" t="n">
        <v>0</v>
      </c>
      <c r="DN157" s="2" t="n">
        <v>0</v>
      </c>
      <c r="DO157" s="2" t="n">
        <v>0</v>
      </c>
      <c r="DP157" s="2" t="n">
        <v>0</v>
      </c>
      <c r="DQ157" s="2" t="n">
        <v>0</v>
      </c>
      <c r="DR157" s="2" t="n">
        <v>0</v>
      </c>
      <c r="DS157" s="2" t="n">
        <v>0</v>
      </c>
      <c r="DT157" s="2" t="n">
        <v>0</v>
      </c>
      <c r="DU157" s="2" t="n">
        <v>0</v>
      </c>
      <c r="DV157" s="2" t="n">
        <v>0</v>
      </c>
      <c r="DW157" s="2" t="n">
        <v>0</v>
      </c>
      <c r="DX157" s="2" t="n">
        <v>0</v>
      </c>
      <c r="DY157" s="2" t="n">
        <v>0</v>
      </c>
      <c r="DZ157" s="2" t="n">
        <v>0</v>
      </c>
      <c r="EA157" s="2" t="n">
        <v>0</v>
      </c>
      <c r="EB157" s="2" t="n">
        <v>0</v>
      </c>
      <c r="EC157" s="2" t="n">
        <v>0</v>
      </c>
      <c r="ED157" s="2" t="n">
        <v>0</v>
      </c>
      <c r="EE157" s="2" t="n">
        <v>0</v>
      </c>
      <c r="EF157" s="2" t="n">
        <v>0</v>
      </c>
      <c r="EG157" s="2" t="n">
        <v>0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0</v>
      </c>
      <c r="EM157" s="2" t="n">
        <v>0</v>
      </c>
      <c r="EN157" s="2" t="n">
        <v>0</v>
      </c>
      <c r="EO157" s="2" t="n">
        <v>0</v>
      </c>
      <c r="EP157" s="2" t="n">
        <v>0</v>
      </c>
      <c r="EQ157" s="2" t="n">
        <v>0</v>
      </c>
      <c r="ER157" s="2" t="n">
        <v>0</v>
      </c>
      <c r="ES157" s="2" t="n">
        <v>0</v>
      </c>
    </row>
    <row r="158">
      <c r="A158" s="2" t="n">
        <v>3</v>
      </c>
      <c r="B158" s="2" t="inlineStr">
        <is>
          <t>11.02.04</t>
        </is>
      </c>
      <c r="C158" s="2" t="inlineStr">
        <is>
          <t>Locação de Escavadeira Hidraulica - Considerando H.E aos sábados</t>
        </is>
      </c>
      <c r="D158" s="2" t="inlineStr">
        <is>
          <t>-</t>
        </is>
      </c>
      <c r="E158" s="2" t="inlineStr">
        <is>
          <t>-</t>
        </is>
      </c>
      <c r="F158" s="2" t="n">
        <v>245500</v>
      </c>
      <c r="G158" s="2" t="n">
        <v>0</v>
      </c>
      <c r="H158" s="2" t="n">
        <v>245500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0</v>
      </c>
      <c r="BW158" s="2" t="n">
        <v>0</v>
      </c>
      <c r="BX158" s="2" t="n">
        <v>0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n">
        <v>0</v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0</v>
      </c>
      <c r="DH158" s="2" t="n">
        <v>0</v>
      </c>
      <c r="DI158" s="2" t="n">
        <v>0</v>
      </c>
      <c r="DJ158" s="2" t="n">
        <v>0</v>
      </c>
      <c r="DK158" s="2" t="n">
        <v>0</v>
      </c>
      <c r="DL158" s="2" t="n">
        <v>0</v>
      </c>
      <c r="DM158" s="2" t="n">
        <v>0</v>
      </c>
      <c r="DN158" s="2" t="n">
        <v>0</v>
      </c>
      <c r="DO158" s="2" t="n">
        <v>0</v>
      </c>
      <c r="DP158" s="2" t="n">
        <v>0</v>
      </c>
      <c r="DQ158" s="2" t="n">
        <v>0</v>
      </c>
      <c r="DR158" s="2" t="n">
        <v>0</v>
      </c>
      <c r="DS158" s="2" t="n">
        <v>0</v>
      </c>
      <c r="DT158" s="2" t="n">
        <v>0</v>
      </c>
      <c r="DU158" s="2" t="n">
        <v>0</v>
      </c>
      <c r="DV158" s="2" t="n">
        <v>0</v>
      </c>
      <c r="DW158" s="2" t="n">
        <v>0</v>
      </c>
      <c r="DX158" s="2" t="n">
        <v>0</v>
      </c>
      <c r="DY158" s="2" t="n">
        <v>0</v>
      </c>
      <c r="DZ158" s="2" t="n">
        <v>0</v>
      </c>
      <c r="EA158" s="2" t="n">
        <v>0</v>
      </c>
      <c r="EB158" s="2" t="n">
        <v>0</v>
      </c>
      <c r="EC158" s="2" t="n">
        <v>0</v>
      </c>
      <c r="ED158" s="2" t="n">
        <v>0</v>
      </c>
      <c r="EE158" s="2" t="n">
        <v>0</v>
      </c>
      <c r="EF158" s="2" t="n">
        <v>0</v>
      </c>
      <c r="EG158" s="2" t="n">
        <v>0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0</v>
      </c>
      <c r="EM158" s="2" t="n">
        <v>0</v>
      </c>
      <c r="EN158" s="2" t="n">
        <v>0</v>
      </c>
      <c r="EO158" s="2" t="n">
        <v>0</v>
      </c>
      <c r="EP158" s="2" t="n">
        <v>0</v>
      </c>
      <c r="EQ158" s="2" t="n">
        <v>0</v>
      </c>
      <c r="ER158" s="2" t="n">
        <v>0</v>
      </c>
      <c r="ES158" s="2" t="n">
        <v>0</v>
      </c>
    </row>
    <row r="159">
      <c r="A159" s="2" t="n">
        <v>3</v>
      </c>
      <c r="B159" s="2" t="inlineStr">
        <is>
          <t>11.02.05</t>
        </is>
      </c>
      <c r="C159" s="2" t="inlineStr">
        <is>
          <t>Locação de mini escavadeira</t>
        </is>
      </c>
      <c r="D159" s="2" t="inlineStr">
        <is>
          <t>-</t>
        </is>
      </c>
      <c r="E159" s="2" t="inlineStr">
        <is>
          <t>-</t>
        </is>
      </c>
      <c r="F159" s="2" t="n">
        <v>58500</v>
      </c>
      <c r="G159" s="2" t="n">
        <v>0</v>
      </c>
      <c r="H159" s="2" t="n">
        <v>58500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0</v>
      </c>
      <c r="BR159" s="2" t="n">
        <v>0</v>
      </c>
      <c r="BS159" s="2" t="n">
        <v>0</v>
      </c>
      <c r="BT159" s="2" t="n">
        <v>0</v>
      </c>
      <c r="BU159" s="2" t="n">
        <v>0</v>
      </c>
      <c r="BV159" s="2" t="n">
        <v>0</v>
      </c>
      <c r="BW159" s="2" t="n">
        <v>0</v>
      </c>
      <c r="BX159" s="2" t="n">
        <v>0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0</v>
      </c>
      <c r="CP159" s="2" t="n">
        <v>0</v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0</v>
      </c>
      <c r="DH159" s="2" t="n">
        <v>0</v>
      </c>
      <c r="DI159" s="2" t="n">
        <v>0</v>
      </c>
      <c r="DJ159" s="2" t="n">
        <v>0</v>
      </c>
      <c r="DK159" s="2" t="n">
        <v>0</v>
      </c>
      <c r="DL159" s="2" t="n">
        <v>0</v>
      </c>
      <c r="DM159" s="2" t="n">
        <v>0</v>
      </c>
      <c r="DN159" s="2" t="n">
        <v>0</v>
      </c>
      <c r="DO159" s="2" t="n">
        <v>0</v>
      </c>
      <c r="DP159" s="2" t="n">
        <v>0</v>
      </c>
      <c r="DQ159" s="2" t="n">
        <v>0</v>
      </c>
      <c r="DR159" s="2" t="n">
        <v>0</v>
      </c>
      <c r="DS159" s="2" t="n">
        <v>0</v>
      </c>
      <c r="DT159" s="2" t="n">
        <v>0</v>
      </c>
      <c r="DU159" s="2" t="n">
        <v>0</v>
      </c>
      <c r="DV159" s="2" t="n">
        <v>0</v>
      </c>
      <c r="DW159" s="2" t="n">
        <v>0</v>
      </c>
      <c r="DX159" s="2" t="n">
        <v>0</v>
      </c>
      <c r="DY159" s="2" t="n">
        <v>0</v>
      </c>
      <c r="DZ159" s="2" t="n">
        <v>0</v>
      </c>
      <c r="EA159" s="2" t="n">
        <v>0</v>
      </c>
      <c r="EB159" s="2" t="n">
        <v>0</v>
      </c>
      <c r="EC159" s="2" t="n">
        <v>0</v>
      </c>
      <c r="ED159" s="2" t="n">
        <v>0</v>
      </c>
      <c r="EE159" s="2" t="n">
        <v>0</v>
      </c>
      <c r="EF159" s="2" t="n">
        <v>0</v>
      </c>
      <c r="EG159" s="2" t="n">
        <v>0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0</v>
      </c>
      <c r="EM159" s="2" t="n">
        <v>0</v>
      </c>
      <c r="EN159" s="2" t="n">
        <v>0</v>
      </c>
      <c r="EO159" s="2" t="n">
        <v>0</v>
      </c>
      <c r="EP159" s="2" t="n">
        <v>0</v>
      </c>
      <c r="EQ159" s="2" t="n">
        <v>0</v>
      </c>
      <c r="ER159" s="2" t="n">
        <v>0</v>
      </c>
      <c r="ES159" s="2" t="n">
        <v>0</v>
      </c>
    </row>
    <row r="160">
      <c r="A160" s="2" t="n">
        <v>3</v>
      </c>
      <c r="B160" s="2" t="inlineStr">
        <is>
          <t>11.02.06</t>
        </is>
      </c>
      <c r="C160" s="2" t="inlineStr">
        <is>
          <t>Locação de mini carregadeira</t>
        </is>
      </c>
      <c r="D160" s="2" t="inlineStr">
        <is>
          <t>-</t>
        </is>
      </c>
      <c r="E160" s="2" t="inlineStr">
        <is>
          <t>-</t>
        </is>
      </c>
      <c r="F160" s="2" t="n">
        <v>48500</v>
      </c>
      <c r="G160" s="2" t="n">
        <v>0</v>
      </c>
      <c r="H160" s="2" t="n">
        <v>48500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0</v>
      </c>
      <c r="BW160" s="2" t="n">
        <v>0</v>
      </c>
      <c r="BX160" s="2" t="n">
        <v>0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n">
        <v>0</v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0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0</v>
      </c>
      <c r="DH160" s="2" t="n">
        <v>0</v>
      </c>
      <c r="DI160" s="2" t="n">
        <v>0</v>
      </c>
      <c r="DJ160" s="2" t="n">
        <v>0</v>
      </c>
      <c r="DK160" s="2" t="n">
        <v>0</v>
      </c>
      <c r="DL160" s="2" t="n">
        <v>0</v>
      </c>
      <c r="DM160" s="2" t="n">
        <v>0</v>
      </c>
      <c r="DN160" s="2" t="n">
        <v>0</v>
      </c>
      <c r="DO160" s="2" t="n">
        <v>0</v>
      </c>
      <c r="DP160" s="2" t="n">
        <v>0</v>
      </c>
      <c r="DQ160" s="2" t="n">
        <v>0</v>
      </c>
      <c r="DR160" s="2" t="n">
        <v>0</v>
      </c>
      <c r="DS160" s="2" t="n">
        <v>0</v>
      </c>
      <c r="DT160" s="2" t="n">
        <v>0</v>
      </c>
      <c r="DU160" s="2" t="n">
        <v>0</v>
      </c>
      <c r="DV160" s="2" t="n">
        <v>0</v>
      </c>
      <c r="DW160" s="2" t="n">
        <v>0</v>
      </c>
      <c r="DX160" s="2" t="n">
        <v>0</v>
      </c>
      <c r="DY160" s="2" t="n">
        <v>0</v>
      </c>
      <c r="DZ160" s="2" t="n">
        <v>0</v>
      </c>
      <c r="EA160" s="2" t="n">
        <v>0</v>
      </c>
      <c r="EB160" s="2" t="n">
        <v>0</v>
      </c>
      <c r="EC160" s="2" t="n">
        <v>0</v>
      </c>
      <c r="ED160" s="2" t="n">
        <v>0</v>
      </c>
      <c r="EE160" s="2" t="n">
        <v>0</v>
      </c>
      <c r="EF160" s="2" t="n">
        <v>0</v>
      </c>
      <c r="EG160" s="2" t="n">
        <v>0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0</v>
      </c>
      <c r="EM160" s="2" t="n">
        <v>0</v>
      </c>
      <c r="EN160" s="2" t="n">
        <v>0</v>
      </c>
      <c r="EO160" s="2" t="n">
        <v>0</v>
      </c>
      <c r="EP160" s="2" t="n">
        <v>0</v>
      </c>
      <c r="EQ160" s="2" t="n">
        <v>0</v>
      </c>
      <c r="ER160" s="2" t="n">
        <v>0</v>
      </c>
      <c r="ES160" s="2" t="n">
        <v>0</v>
      </c>
    </row>
    <row r="161">
      <c r="A161" s="2" t="n">
        <v>2</v>
      </c>
      <c r="B161" s="2" t="inlineStr">
        <is>
          <t>11.03</t>
        </is>
      </c>
      <c r="C161" s="2" t="inlineStr">
        <is>
          <t>Equipamentos para produção civil e cumprimento da NR-18</t>
        </is>
      </c>
      <c r="D161" s="2" t="inlineStr">
        <is>
          <t>-</t>
        </is>
      </c>
      <c r="E161" s="2" t="inlineStr">
        <is>
          <t>-</t>
        </is>
      </c>
      <c r="F161" s="2" t="n">
        <v>1337503.264675879</v>
      </c>
      <c r="G161" s="2" t="n">
        <v>0</v>
      </c>
      <c r="H161" s="2" t="n">
        <v>1337503.264675879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0</v>
      </c>
      <c r="BR161" s="2" t="n">
        <v>0</v>
      </c>
      <c r="BS161" s="2" t="n">
        <v>0</v>
      </c>
      <c r="BT161" s="2" t="n">
        <v>0</v>
      </c>
      <c r="BU161" s="2" t="n">
        <v>0</v>
      </c>
      <c r="BV161" s="2" t="n">
        <v>0</v>
      </c>
      <c r="BW161" s="2" t="n">
        <v>0</v>
      </c>
      <c r="BX161" s="2" t="n">
        <v>0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n">
        <v>0</v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0</v>
      </c>
      <c r="DH161" s="2" t="n">
        <v>0</v>
      </c>
      <c r="DI161" s="2" t="n">
        <v>0</v>
      </c>
      <c r="DJ161" s="2" t="n">
        <v>0</v>
      </c>
      <c r="DK161" s="2" t="n">
        <v>0</v>
      </c>
      <c r="DL161" s="2" t="n">
        <v>0</v>
      </c>
      <c r="DM161" s="2" t="n">
        <v>0</v>
      </c>
      <c r="DN161" s="2" t="n">
        <v>0</v>
      </c>
      <c r="DO161" s="2" t="n">
        <v>0</v>
      </c>
      <c r="DP161" s="2" t="n">
        <v>0</v>
      </c>
      <c r="DQ161" s="2" t="n">
        <v>0</v>
      </c>
      <c r="DR161" s="2" t="n">
        <v>0</v>
      </c>
      <c r="DS161" s="2" t="n">
        <v>0</v>
      </c>
      <c r="DT161" s="2" t="n">
        <v>0</v>
      </c>
      <c r="DU161" s="2" t="n">
        <v>0</v>
      </c>
      <c r="DV161" s="2" t="n">
        <v>0</v>
      </c>
      <c r="DW161" s="2" t="n">
        <v>0</v>
      </c>
      <c r="DX161" s="2" t="n">
        <v>0</v>
      </c>
      <c r="DY161" s="2" t="n">
        <v>0</v>
      </c>
      <c r="DZ161" s="2" t="n">
        <v>0</v>
      </c>
      <c r="EA161" s="2" t="n">
        <v>0</v>
      </c>
      <c r="EB161" s="2" t="n">
        <v>0</v>
      </c>
      <c r="EC161" s="2" t="n">
        <v>0</v>
      </c>
      <c r="ED161" s="2" t="n">
        <v>0</v>
      </c>
      <c r="EE161" s="2" t="n">
        <v>0</v>
      </c>
      <c r="EF161" s="2" t="n">
        <v>0</v>
      </c>
      <c r="EG161" s="2" t="n">
        <v>0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0</v>
      </c>
      <c r="EM161" s="2" t="n">
        <v>0</v>
      </c>
      <c r="EN161" s="2" t="n">
        <v>0</v>
      </c>
      <c r="EO161" s="2" t="n">
        <v>0</v>
      </c>
      <c r="EP161" s="2" t="n">
        <v>0</v>
      </c>
      <c r="EQ161" s="2" t="n">
        <v>0</v>
      </c>
      <c r="ER161" s="2" t="n">
        <v>0</v>
      </c>
      <c r="ES161" s="2" t="n">
        <v>0</v>
      </c>
    </row>
    <row r="162">
      <c r="A162" s="2" t="n">
        <v>3</v>
      </c>
      <c r="B162" s="2" t="inlineStr">
        <is>
          <t>11.03.01</t>
        </is>
      </c>
      <c r="C162" s="2" t="inlineStr">
        <is>
          <t>Concreto armado moldado in loco</t>
        </is>
      </c>
      <c r="D162" s="2" t="inlineStr">
        <is>
          <t>-</t>
        </is>
      </c>
      <c r="E162" s="2" t="inlineStr">
        <is>
          <t>-</t>
        </is>
      </c>
      <c r="F162" s="2" t="n">
        <v>127608</v>
      </c>
      <c r="G162" s="2" t="n">
        <v>0</v>
      </c>
      <c r="H162" s="2" t="n">
        <v>127608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0</v>
      </c>
      <c r="DI162" s="2" t="n">
        <v>0</v>
      </c>
      <c r="DJ162" s="2" t="n">
        <v>0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0</v>
      </c>
      <c r="DW162" s="2" t="n">
        <v>0</v>
      </c>
      <c r="DX162" s="2" t="n">
        <v>0</v>
      </c>
      <c r="DY162" s="2" t="n">
        <v>0</v>
      </c>
      <c r="DZ162" s="2" t="n">
        <v>0</v>
      </c>
      <c r="EA162" s="2" t="n">
        <v>0</v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0</v>
      </c>
      <c r="EM162" s="2" t="n">
        <v>0</v>
      </c>
      <c r="EN162" s="2" t="n">
        <v>0</v>
      </c>
      <c r="EO162" s="2" t="n">
        <v>0</v>
      </c>
      <c r="EP162" s="2" t="n">
        <v>0</v>
      </c>
      <c r="EQ162" s="2" t="n">
        <v>0</v>
      </c>
      <c r="ER162" s="2" t="n">
        <v>0</v>
      </c>
      <c r="ES162" s="2" t="n">
        <v>0</v>
      </c>
    </row>
    <row r="163">
      <c r="A163" s="2" t="n">
        <v>4</v>
      </c>
      <c r="B163" s="2" t="inlineStr">
        <is>
          <t>11.03.01.01</t>
        </is>
      </c>
      <c r="C163" s="2" t="inlineStr">
        <is>
          <t>Vibrador - Mangote Vibrador</t>
        </is>
      </c>
      <c r="D163" s="2" t="inlineStr">
        <is>
          <t>-</t>
        </is>
      </c>
      <c r="E163" s="2" t="inlineStr">
        <is>
          <t>-</t>
        </is>
      </c>
      <c r="F163" s="2" t="n">
        <v>44063.99999999999</v>
      </c>
      <c r="G163" s="2" t="n">
        <v>0</v>
      </c>
      <c r="H163" s="2" t="n">
        <v>44063.99999999999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0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0</v>
      </c>
      <c r="DW163" s="2" t="n">
        <v>0</v>
      </c>
      <c r="DX163" s="2" t="n">
        <v>0</v>
      </c>
      <c r="DY163" s="2" t="n">
        <v>0</v>
      </c>
      <c r="DZ163" s="2" t="n">
        <v>0</v>
      </c>
      <c r="EA163" s="2" t="n">
        <v>0</v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0</v>
      </c>
      <c r="EM163" s="2" t="n">
        <v>0</v>
      </c>
      <c r="EN163" s="2" t="n">
        <v>0</v>
      </c>
      <c r="EO163" s="2" t="n">
        <v>0</v>
      </c>
      <c r="EP163" s="2" t="n">
        <v>0</v>
      </c>
      <c r="EQ163" s="2" t="n">
        <v>0</v>
      </c>
      <c r="ER163" s="2" t="n">
        <v>0</v>
      </c>
      <c r="ES163" s="2" t="n">
        <v>0</v>
      </c>
    </row>
    <row r="164">
      <c r="A164" s="2" t="n">
        <v>4</v>
      </c>
      <c r="B164" s="2" t="inlineStr">
        <is>
          <t>11.03.01.02</t>
        </is>
      </c>
      <c r="C164" s="2" t="inlineStr">
        <is>
          <t>Vibrador - Motor</t>
        </is>
      </c>
      <c r="D164" s="2" t="inlineStr">
        <is>
          <t>-</t>
        </is>
      </c>
      <c r="E164" s="2" t="inlineStr">
        <is>
          <t>-</t>
        </is>
      </c>
      <c r="F164" s="2" t="n">
        <v>54528</v>
      </c>
      <c r="G164" s="2" t="n">
        <v>0</v>
      </c>
      <c r="H164" s="2" t="n">
        <v>54528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0</v>
      </c>
      <c r="BW164" s="2" t="n">
        <v>0</v>
      </c>
      <c r="BX164" s="2" t="n">
        <v>0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>0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0</v>
      </c>
      <c r="DH164" s="2" t="n">
        <v>0</v>
      </c>
      <c r="DI164" s="2" t="n">
        <v>0</v>
      </c>
      <c r="DJ164" s="2" t="n">
        <v>0</v>
      </c>
      <c r="DK164" s="2" t="n">
        <v>0</v>
      </c>
      <c r="DL164" s="2" t="n">
        <v>0</v>
      </c>
      <c r="DM164" s="2" t="n">
        <v>0</v>
      </c>
      <c r="DN164" s="2" t="n">
        <v>0</v>
      </c>
      <c r="DO164" s="2" t="n">
        <v>0</v>
      </c>
      <c r="DP164" s="2" t="n">
        <v>0</v>
      </c>
      <c r="DQ164" s="2" t="n">
        <v>0</v>
      </c>
      <c r="DR164" s="2" t="n">
        <v>0</v>
      </c>
      <c r="DS164" s="2" t="n">
        <v>0</v>
      </c>
      <c r="DT164" s="2" t="n">
        <v>0</v>
      </c>
      <c r="DU164" s="2" t="n">
        <v>0</v>
      </c>
      <c r="DV164" s="2" t="n">
        <v>0</v>
      </c>
      <c r="DW164" s="2" t="n">
        <v>0</v>
      </c>
      <c r="DX164" s="2" t="n">
        <v>0</v>
      </c>
      <c r="DY164" s="2" t="n">
        <v>0</v>
      </c>
      <c r="DZ164" s="2" t="n">
        <v>0</v>
      </c>
      <c r="EA164" s="2" t="n">
        <v>0</v>
      </c>
      <c r="EB164" s="2" t="n">
        <v>0</v>
      </c>
      <c r="EC164" s="2" t="n">
        <v>0</v>
      </c>
      <c r="ED164" s="2" t="n">
        <v>0</v>
      </c>
      <c r="EE164" s="2" t="n">
        <v>0</v>
      </c>
      <c r="EF164" s="2" t="n">
        <v>0</v>
      </c>
      <c r="EG164" s="2" t="n">
        <v>0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0</v>
      </c>
      <c r="EM164" s="2" t="n">
        <v>0</v>
      </c>
      <c r="EN164" s="2" t="n">
        <v>0</v>
      </c>
      <c r="EO164" s="2" t="n">
        <v>0</v>
      </c>
      <c r="EP164" s="2" t="n">
        <v>0</v>
      </c>
      <c r="EQ164" s="2" t="n">
        <v>0</v>
      </c>
      <c r="ER164" s="2" t="n">
        <v>0</v>
      </c>
      <c r="ES164" s="2" t="n">
        <v>0</v>
      </c>
    </row>
    <row r="165">
      <c r="A165" s="2" t="n">
        <v>4</v>
      </c>
      <c r="B165" s="2" t="inlineStr">
        <is>
          <t>11.03.01.03</t>
        </is>
      </c>
      <c r="C165" s="2" t="inlineStr">
        <is>
          <t>Serra Policorte para central de armação</t>
        </is>
      </c>
      <c r="D165" s="2" t="inlineStr">
        <is>
          <t>-</t>
        </is>
      </c>
      <c r="E165" s="2" t="inlineStr">
        <is>
          <t>-</t>
        </is>
      </c>
      <c r="F165" s="2" t="n">
        <v>13200</v>
      </c>
      <c r="G165" s="2" t="n">
        <v>0</v>
      </c>
      <c r="H165" s="2" t="n">
        <v>13200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n">
        <v>0</v>
      </c>
      <c r="BT165" s="2" t="n">
        <v>0</v>
      </c>
      <c r="BU165" s="2" t="n">
        <v>0</v>
      </c>
      <c r="BV165" s="2" t="n">
        <v>0</v>
      </c>
      <c r="BW165" s="2" t="n">
        <v>0</v>
      </c>
      <c r="BX165" s="2" t="n">
        <v>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n">
        <v>0</v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0</v>
      </c>
      <c r="DH165" s="2" t="n">
        <v>0</v>
      </c>
      <c r="DI165" s="2" t="n">
        <v>0</v>
      </c>
      <c r="DJ165" s="2" t="n">
        <v>0</v>
      </c>
      <c r="DK165" s="2" t="n">
        <v>0</v>
      </c>
      <c r="DL165" s="2" t="n">
        <v>0</v>
      </c>
      <c r="DM165" s="2" t="n">
        <v>0</v>
      </c>
      <c r="DN165" s="2" t="n">
        <v>0</v>
      </c>
      <c r="DO165" s="2" t="n">
        <v>0</v>
      </c>
      <c r="DP165" s="2" t="n">
        <v>0</v>
      </c>
      <c r="DQ165" s="2" t="n">
        <v>0</v>
      </c>
      <c r="DR165" s="2" t="n">
        <v>0</v>
      </c>
      <c r="DS165" s="2" t="n">
        <v>0</v>
      </c>
      <c r="DT165" s="2" t="n">
        <v>0</v>
      </c>
      <c r="DU165" s="2" t="n">
        <v>0</v>
      </c>
      <c r="DV165" s="2" t="n">
        <v>0</v>
      </c>
      <c r="DW165" s="2" t="n">
        <v>0</v>
      </c>
      <c r="DX165" s="2" t="n">
        <v>0</v>
      </c>
      <c r="DY165" s="2" t="n">
        <v>0</v>
      </c>
      <c r="DZ165" s="2" t="n">
        <v>0</v>
      </c>
      <c r="EA165" s="2" t="n">
        <v>0</v>
      </c>
      <c r="EB165" s="2" t="n">
        <v>0</v>
      </c>
      <c r="EC165" s="2" t="n">
        <v>0</v>
      </c>
      <c r="ED165" s="2" t="n">
        <v>0</v>
      </c>
      <c r="EE165" s="2" t="n">
        <v>0</v>
      </c>
      <c r="EF165" s="2" t="n">
        <v>0</v>
      </c>
      <c r="EG165" s="2" t="n">
        <v>0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0</v>
      </c>
      <c r="EM165" s="2" t="n">
        <v>0</v>
      </c>
      <c r="EN165" s="2" t="n">
        <v>0</v>
      </c>
      <c r="EO165" s="2" t="n">
        <v>0</v>
      </c>
      <c r="EP165" s="2" t="n">
        <v>0</v>
      </c>
      <c r="EQ165" s="2" t="n">
        <v>0</v>
      </c>
      <c r="ER165" s="2" t="n">
        <v>0</v>
      </c>
      <c r="ES165" s="2" t="n">
        <v>0</v>
      </c>
    </row>
    <row r="166">
      <c r="A166" s="2" t="n">
        <v>4</v>
      </c>
      <c r="B166" s="2" t="inlineStr">
        <is>
          <t>11.03.01.04</t>
        </is>
      </c>
      <c r="C166" s="2" t="inlineStr">
        <is>
          <t>Serra de bancada para central de formas</t>
        </is>
      </c>
      <c r="D166" s="2" t="inlineStr">
        <is>
          <t>-</t>
        </is>
      </c>
      <c r="E166" s="2" t="inlineStr">
        <is>
          <t>-</t>
        </is>
      </c>
      <c r="F166" s="2" t="n">
        <v>13200</v>
      </c>
      <c r="G166" s="2" t="n">
        <v>0</v>
      </c>
      <c r="H166" s="2" t="n">
        <v>13200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0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0</v>
      </c>
      <c r="BW166" s="2" t="n">
        <v>0</v>
      </c>
      <c r="BX166" s="2" t="n">
        <v>0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0</v>
      </c>
      <c r="DH166" s="2" t="n">
        <v>0</v>
      </c>
      <c r="DI166" s="2" t="n">
        <v>0</v>
      </c>
      <c r="DJ166" s="2" t="n">
        <v>0</v>
      </c>
      <c r="DK166" s="2" t="n">
        <v>0</v>
      </c>
      <c r="DL166" s="2" t="n">
        <v>0</v>
      </c>
      <c r="DM166" s="2" t="n">
        <v>0</v>
      </c>
      <c r="DN166" s="2" t="n">
        <v>0</v>
      </c>
      <c r="DO166" s="2" t="n">
        <v>0</v>
      </c>
      <c r="DP166" s="2" t="n">
        <v>0</v>
      </c>
      <c r="DQ166" s="2" t="n">
        <v>0</v>
      </c>
      <c r="DR166" s="2" t="n">
        <v>0</v>
      </c>
      <c r="DS166" s="2" t="n">
        <v>0</v>
      </c>
      <c r="DT166" s="2" t="n">
        <v>0</v>
      </c>
      <c r="DU166" s="2" t="n">
        <v>0</v>
      </c>
      <c r="DV166" s="2" t="n">
        <v>0</v>
      </c>
      <c r="DW166" s="2" t="n">
        <v>0</v>
      </c>
      <c r="DX166" s="2" t="n">
        <v>0</v>
      </c>
      <c r="DY166" s="2" t="n">
        <v>0</v>
      </c>
      <c r="DZ166" s="2" t="n">
        <v>0</v>
      </c>
      <c r="EA166" s="2" t="n">
        <v>0</v>
      </c>
      <c r="EB166" s="2" t="n">
        <v>0</v>
      </c>
      <c r="EC166" s="2" t="n">
        <v>0</v>
      </c>
      <c r="ED166" s="2" t="n">
        <v>0</v>
      </c>
      <c r="EE166" s="2" t="n">
        <v>0</v>
      </c>
      <c r="EF166" s="2" t="n">
        <v>0</v>
      </c>
      <c r="EG166" s="2" t="n">
        <v>0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0</v>
      </c>
      <c r="EM166" s="2" t="n">
        <v>0</v>
      </c>
      <c r="EN166" s="2" t="n">
        <v>0</v>
      </c>
      <c r="EO166" s="2" t="n">
        <v>0</v>
      </c>
      <c r="EP166" s="2" t="n">
        <v>0</v>
      </c>
      <c r="EQ166" s="2" t="n">
        <v>0</v>
      </c>
      <c r="ER166" s="2" t="n">
        <v>0</v>
      </c>
      <c r="ES166" s="2" t="n">
        <v>0</v>
      </c>
    </row>
    <row r="167">
      <c r="A167" s="2" t="n">
        <v>4</v>
      </c>
      <c r="B167" s="2" t="inlineStr">
        <is>
          <t>11.03.01.05</t>
        </is>
      </c>
      <c r="C167" s="2" t="inlineStr">
        <is>
          <t>Serra manual para ajuste local de formas</t>
        </is>
      </c>
      <c r="D167" s="2" t="inlineStr">
        <is>
          <t>-</t>
        </is>
      </c>
      <c r="E167" s="2" t="inlineStr">
        <is>
          <t>-</t>
        </is>
      </c>
      <c r="F167" s="2" t="n">
        <v>2616</v>
      </c>
      <c r="G167" s="2" t="n">
        <v>0</v>
      </c>
      <c r="H167" s="2" t="n">
        <v>2616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0</v>
      </c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0</v>
      </c>
      <c r="BW167" s="2" t="n">
        <v>0</v>
      </c>
      <c r="BX167" s="2" t="n">
        <v>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0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0</v>
      </c>
      <c r="DM167" s="2" t="n">
        <v>0</v>
      </c>
      <c r="DN167" s="2" t="n">
        <v>0</v>
      </c>
      <c r="DO167" s="2" t="n">
        <v>0</v>
      </c>
      <c r="DP167" s="2" t="n">
        <v>0</v>
      </c>
      <c r="DQ167" s="2" t="n">
        <v>0</v>
      </c>
      <c r="DR167" s="2" t="n">
        <v>0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0</v>
      </c>
      <c r="DX167" s="2" t="n">
        <v>0</v>
      </c>
      <c r="DY167" s="2" t="n">
        <v>0</v>
      </c>
      <c r="DZ167" s="2" t="n">
        <v>0</v>
      </c>
      <c r="EA167" s="2" t="n">
        <v>0</v>
      </c>
      <c r="EB167" s="2" t="n">
        <v>0</v>
      </c>
      <c r="EC167" s="2" t="n">
        <v>0</v>
      </c>
      <c r="ED167" s="2" t="n">
        <v>0</v>
      </c>
      <c r="EE167" s="2" t="n">
        <v>0</v>
      </c>
      <c r="EF167" s="2" t="n">
        <v>0</v>
      </c>
      <c r="EG167" s="2" t="n">
        <v>0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0</v>
      </c>
      <c r="EM167" s="2" t="n">
        <v>0</v>
      </c>
      <c r="EN167" s="2" t="n">
        <v>0</v>
      </c>
      <c r="EO167" s="2" t="n">
        <v>0</v>
      </c>
      <c r="EP167" s="2" t="n">
        <v>0</v>
      </c>
      <c r="EQ167" s="2" t="n">
        <v>0</v>
      </c>
      <c r="ER167" s="2" t="n">
        <v>0</v>
      </c>
      <c r="ES167" s="2" t="n">
        <v>0</v>
      </c>
    </row>
    <row r="168">
      <c r="A168" s="2" t="n">
        <v>3</v>
      </c>
      <c r="B168" s="2" t="inlineStr">
        <is>
          <t>11.03.02</t>
        </is>
      </c>
      <c r="C168" s="2" t="inlineStr">
        <is>
          <t>Demolições</t>
        </is>
      </c>
      <c r="D168" s="2" t="inlineStr">
        <is>
          <t>-</t>
        </is>
      </c>
      <c r="E168" s="2" t="inlineStr">
        <is>
          <t>-</t>
        </is>
      </c>
      <c r="F168" s="2" t="n">
        <v>186700</v>
      </c>
      <c r="G168" s="2" t="n">
        <v>0</v>
      </c>
      <c r="H168" s="2" t="n">
        <v>186700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0</v>
      </c>
      <c r="BW168" s="2" t="n">
        <v>0</v>
      </c>
      <c r="BX168" s="2" t="n">
        <v>0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>0</v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0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0</v>
      </c>
      <c r="DM168" s="2" t="n">
        <v>0</v>
      </c>
      <c r="DN168" s="2" t="n">
        <v>0</v>
      </c>
      <c r="DO168" s="2" t="n">
        <v>0</v>
      </c>
      <c r="DP168" s="2" t="n">
        <v>0</v>
      </c>
      <c r="DQ168" s="2" t="n">
        <v>0</v>
      </c>
      <c r="DR168" s="2" t="n">
        <v>0</v>
      </c>
      <c r="DS168" s="2" t="n">
        <v>0</v>
      </c>
      <c r="DT168" s="2" t="n">
        <v>0</v>
      </c>
      <c r="DU168" s="2" t="n">
        <v>0</v>
      </c>
      <c r="DV168" s="2" t="n">
        <v>0</v>
      </c>
      <c r="DW168" s="2" t="n">
        <v>0</v>
      </c>
      <c r="DX168" s="2" t="n">
        <v>0</v>
      </c>
      <c r="DY168" s="2" t="n">
        <v>0</v>
      </c>
      <c r="DZ168" s="2" t="n">
        <v>0</v>
      </c>
      <c r="EA168" s="2" t="n">
        <v>0</v>
      </c>
      <c r="EB168" s="2" t="n">
        <v>0</v>
      </c>
      <c r="EC168" s="2" t="n">
        <v>0</v>
      </c>
      <c r="ED168" s="2" t="n">
        <v>0</v>
      </c>
      <c r="EE168" s="2" t="n">
        <v>0</v>
      </c>
      <c r="EF168" s="2" t="n">
        <v>0</v>
      </c>
      <c r="EG168" s="2" t="n">
        <v>0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0</v>
      </c>
      <c r="EM168" s="2" t="n">
        <v>0</v>
      </c>
      <c r="EN168" s="2" t="n">
        <v>0</v>
      </c>
      <c r="EO168" s="2" t="n">
        <v>0</v>
      </c>
      <c r="EP168" s="2" t="n">
        <v>0</v>
      </c>
      <c r="EQ168" s="2" t="n">
        <v>0</v>
      </c>
      <c r="ER168" s="2" t="n">
        <v>0</v>
      </c>
      <c r="ES168" s="2" t="n">
        <v>0</v>
      </c>
    </row>
    <row r="169">
      <c r="A169" s="2" t="n">
        <v>4</v>
      </c>
      <c r="B169" s="2" t="inlineStr">
        <is>
          <t>11.03.02.01</t>
        </is>
      </c>
      <c r="C169" s="2" t="inlineStr">
        <is>
          <t>Martelete Elétrico 30Kg</t>
        </is>
      </c>
      <c r="D169" s="2" t="inlineStr">
        <is>
          <t>-</t>
        </is>
      </c>
      <c r="E169" s="2" t="inlineStr">
        <is>
          <t>-</t>
        </is>
      </c>
      <c r="F169" s="2" t="n">
        <v>167200</v>
      </c>
      <c r="G169" s="2" t="n">
        <v>0</v>
      </c>
      <c r="H169" s="2" t="n">
        <v>167200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0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0</v>
      </c>
      <c r="DW169" s="2" t="n">
        <v>0</v>
      </c>
      <c r="DX169" s="2" t="n">
        <v>0</v>
      </c>
      <c r="DY169" s="2" t="n">
        <v>0</v>
      </c>
      <c r="DZ169" s="2" t="n">
        <v>0</v>
      </c>
      <c r="EA169" s="2" t="n">
        <v>0</v>
      </c>
      <c r="EB169" s="2" t="n">
        <v>0</v>
      </c>
      <c r="EC169" s="2" t="n">
        <v>0</v>
      </c>
      <c r="ED169" s="2" t="n">
        <v>0</v>
      </c>
      <c r="EE169" s="2" t="n">
        <v>0</v>
      </c>
      <c r="EF169" s="2" t="n">
        <v>0</v>
      </c>
      <c r="EG169" s="2" t="n">
        <v>0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0</v>
      </c>
      <c r="EM169" s="2" t="n">
        <v>0</v>
      </c>
      <c r="EN169" s="2" t="n">
        <v>0</v>
      </c>
      <c r="EO169" s="2" t="n">
        <v>0</v>
      </c>
      <c r="EP169" s="2" t="n">
        <v>0</v>
      </c>
      <c r="EQ169" s="2" t="n">
        <v>0</v>
      </c>
      <c r="ER169" s="2" t="n">
        <v>0</v>
      </c>
      <c r="ES169" s="2" t="n">
        <v>0</v>
      </c>
    </row>
    <row r="170">
      <c r="A170" s="2" t="n">
        <v>4</v>
      </c>
      <c r="B170" s="2" t="inlineStr">
        <is>
          <t>11.03.02.02</t>
        </is>
      </c>
      <c r="C170" s="2" t="inlineStr">
        <is>
          <t>Perfuratriz elétrica de impacto para concreto</t>
        </is>
      </c>
      <c r="D170" s="2" t="inlineStr">
        <is>
          <t>-</t>
        </is>
      </c>
      <c r="E170" s="2" t="inlineStr">
        <is>
          <t>-</t>
        </is>
      </c>
      <c r="F170" s="2" t="n">
        <v>19500</v>
      </c>
      <c r="G170" s="2" t="n">
        <v>0</v>
      </c>
      <c r="H170" s="2" t="n">
        <v>19500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0</v>
      </c>
      <c r="DH170" s="2" t="n">
        <v>0</v>
      </c>
      <c r="DI170" s="2" t="n">
        <v>0</v>
      </c>
      <c r="DJ170" s="2" t="n">
        <v>0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0</v>
      </c>
      <c r="DW170" s="2" t="n">
        <v>0</v>
      </c>
      <c r="DX170" s="2" t="n">
        <v>0</v>
      </c>
      <c r="DY170" s="2" t="n">
        <v>0</v>
      </c>
      <c r="DZ170" s="2" t="n">
        <v>0</v>
      </c>
      <c r="EA170" s="2" t="n">
        <v>0</v>
      </c>
      <c r="EB170" s="2" t="n">
        <v>0</v>
      </c>
      <c r="EC170" s="2" t="n">
        <v>0</v>
      </c>
      <c r="ED170" s="2" t="n">
        <v>0</v>
      </c>
      <c r="EE170" s="2" t="n">
        <v>0</v>
      </c>
      <c r="EF170" s="2" t="n">
        <v>0</v>
      </c>
      <c r="EG170" s="2" t="n">
        <v>0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0</v>
      </c>
      <c r="EM170" s="2" t="n">
        <v>0</v>
      </c>
      <c r="EN170" s="2" t="n">
        <v>0</v>
      </c>
      <c r="EO170" s="2" t="n">
        <v>0</v>
      </c>
      <c r="EP170" s="2" t="n">
        <v>0</v>
      </c>
      <c r="EQ170" s="2" t="n">
        <v>0</v>
      </c>
      <c r="ER170" s="2" t="n">
        <v>0</v>
      </c>
      <c r="ES170" s="2" t="n">
        <v>0</v>
      </c>
    </row>
    <row r="171">
      <c r="A171" s="2" t="n">
        <v>3</v>
      </c>
      <c r="B171" s="2" t="inlineStr">
        <is>
          <t>11.03.03</t>
        </is>
      </c>
      <c r="C171" s="2" t="inlineStr">
        <is>
          <t>Alvenaria e acabamentos</t>
        </is>
      </c>
      <c r="D171" s="2" t="inlineStr">
        <is>
          <t>-</t>
        </is>
      </c>
      <c r="E171" s="2" t="inlineStr">
        <is>
          <t>-</t>
        </is>
      </c>
      <c r="F171" s="2" t="n">
        <v>226672</v>
      </c>
      <c r="G171" s="2" t="n">
        <v>0</v>
      </c>
      <c r="H171" s="2" t="n">
        <v>226672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n">
        <v>0</v>
      </c>
      <c r="BT171" s="2" t="n">
        <v>0</v>
      </c>
      <c r="BU171" s="2" t="n">
        <v>0</v>
      </c>
      <c r="BV171" s="2" t="n">
        <v>0</v>
      </c>
      <c r="BW171" s="2" t="n">
        <v>0</v>
      </c>
      <c r="BX171" s="2" t="n">
        <v>0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0</v>
      </c>
      <c r="CP171" s="2" t="n">
        <v>0</v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0</v>
      </c>
      <c r="DH171" s="2" t="n">
        <v>0</v>
      </c>
      <c r="DI171" s="2" t="n">
        <v>0</v>
      </c>
      <c r="DJ171" s="2" t="n">
        <v>0</v>
      </c>
      <c r="DK171" s="2" t="n">
        <v>0</v>
      </c>
      <c r="DL171" s="2" t="n">
        <v>0</v>
      </c>
      <c r="DM171" s="2" t="n">
        <v>0</v>
      </c>
      <c r="DN171" s="2" t="n">
        <v>0</v>
      </c>
      <c r="DO171" s="2" t="n">
        <v>0</v>
      </c>
      <c r="DP171" s="2" t="n">
        <v>0</v>
      </c>
      <c r="DQ171" s="2" t="n">
        <v>0</v>
      </c>
      <c r="DR171" s="2" t="n">
        <v>0</v>
      </c>
      <c r="DS171" s="2" t="n">
        <v>0</v>
      </c>
      <c r="DT171" s="2" t="n">
        <v>0</v>
      </c>
      <c r="DU171" s="2" t="n">
        <v>0</v>
      </c>
      <c r="DV171" s="2" t="n">
        <v>0</v>
      </c>
      <c r="DW171" s="2" t="n">
        <v>0</v>
      </c>
      <c r="DX171" s="2" t="n">
        <v>0</v>
      </c>
      <c r="DY171" s="2" t="n">
        <v>0</v>
      </c>
      <c r="DZ171" s="2" t="n">
        <v>0</v>
      </c>
      <c r="EA171" s="2" t="n">
        <v>0</v>
      </c>
      <c r="EB171" s="2" t="n">
        <v>0</v>
      </c>
      <c r="EC171" s="2" t="n">
        <v>0</v>
      </c>
      <c r="ED171" s="2" t="n">
        <v>0</v>
      </c>
      <c r="EE171" s="2" t="n">
        <v>0</v>
      </c>
      <c r="EF171" s="2" t="n">
        <v>0</v>
      </c>
      <c r="EG171" s="2" t="n">
        <v>0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0</v>
      </c>
      <c r="EM171" s="2" t="n">
        <v>0</v>
      </c>
      <c r="EN171" s="2" t="n">
        <v>0</v>
      </c>
      <c r="EO171" s="2" t="n">
        <v>0</v>
      </c>
      <c r="EP171" s="2" t="n">
        <v>0</v>
      </c>
      <c r="EQ171" s="2" t="n">
        <v>0</v>
      </c>
      <c r="ER171" s="2" t="n">
        <v>0</v>
      </c>
      <c r="ES171" s="2" t="n">
        <v>0</v>
      </c>
    </row>
    <row r="172">
      <c r="A172" s="2" t="n">
        <v>4</v>
      </c>
      <c r="B172" s="2" t="inlineStr">
        <is>
          <t>11.03.03.01</t>
        </is>
      </c>
      <c r="C172" s="2" t="inlineStr">
        <is>
          <t>Argamassadeira elétrica</t>
        </is>
      </c>
      <c r="D172" s="2" t="inlineStr">
        <is>
          <t>-</t>
        </is>
      </c>
      <c r="E172" s="2" t="inlineStr">
        <is>
          <t>-</t>
        </is>
      </c>
      <c r="F172" s="2" t="n">
        <v>42000</v>
      </c>
      <c r="G172" s="2" t="n">
        <v>0</v>
      </c>
      <c r="H172" s="2" t="n">
        <v>42000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0</v>
      </c>
      <c r="BT172" s="2" t="n">
        <v>0</v>
      </c>
      <c r="BU172" s="2" t="n">
        <v>0</v>
      </c>
      <c r="BV172" s="2" t="n">
        <v>0</v>
      </c>
      <c r="BW172" s="2" t="n">
        <v>0</v>
      </c>
      <c r="BX172" s="2" t="n">
        <v>0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n">
        <v>0</v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0</v>
      </c>
      <c r="DH172" s="2" t="n">
        <v>0</v>
      </c>
      <c r="DI172" s="2" t="n">
        <v>0</v>
      </c>
      <c r="DJ172" s="2" t="n">
        <v>0</v>
      </c>
      <c r="DK172" s="2" t="n">
        <v>0</v>
      </c>
      <c r="DL172" s="2" t="n">
        <v>0</v>
      </c>
      <c r="DM172" s="2" t="n">
        <v>0</v>
      </c>
      <c r="DN172" s="2" t="n">
        <v>0</v>
      </c>
      <c r="DO172" s="2" t="n">
        <v>0</v>
      </c>
      <c r="DP172" s="2" t="n">
        <v>0</v>
      </c>
      <c r="DQ172" s="2" t="n">
        <v>0</v>
      </c>
      <c r="DR172" s="2" t="n">
        <v>0</v>
      </c>
      <c r="DS172" s="2" t="n">
        <v>0</v>
      </c>
      <c r="DT172" s="2" t="n">
        <v>0</v>
      </c>
      <c r="DU172" s="2" t="n">
        <v>0</v>
      </c>
      <c r="DV172" s="2" t="n">
        <v>0</v>
      </c>
      <c r="DW172" s="2" t="n">
        <v>0</v>
      </c>
      <c r="DX172" s="2" t="n">
        <v>0</v>
      </c>
      <c r="DY172" s="2" t="n">
        <v>0</v>
      </c>
      <c r="DZ172" s="2" t="n">
        <v>0</v>
      </c>
      <c r="EA172" s="2" t="n">
        <v>0</v>
      </c>
      <c r="EB172" s="2" t="n">
        <v>0</v>
      </c>
      <c r="EC172" s="2" t="n">
        <v>0</v>
      </c>
      <c r="ED172" s="2" t="n">
        <v>0</v>
      </c>
      <c r="EE172" s="2" t="n">
        <v>0</v>
      </c>
      <c r="EF172" s="2" t="n">
        <v>0</v>
      </c>
      <c r="EG172" s="2" t="n">
        <v>0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0</v>
      </c>
      <c r="EM172" s="2" t="n">
        <v>0</v>
      </c>
      <c r="EN172" s="2" t="n">
        <v>0</v>
      </c>
      <c r="EO172" s="2" t="n">
        <v>0</v>
      </c>
      <c r="EP172" s="2" t="n">
        <v>0</v>
      </c>
      <c r="EQ172" s="2" t="n">
        <v>0</v>
      </c>
      <c r="ER172" s="2" t="n">
        <v>0</v>
      </c>
      <c r="ES172" s="2" t="n">
        <v>0</v>
      </c>
    </row>
    <row r="173">
      <c r="A173" s="2" t="n">
        <v>4</v>
      </c>
      <c r="B173" s="2" t="inlineStr">
        <is>
          <t>11.03.03.02</t>
        </is>
      </c>
      <c r="C173" s="2" t="inlineStr">
        <is>
          <t>Betoneira elétrica cap. 580L com carregador</t>
        </is>
      </c>
      <c r="D173" s="2" t="inlineStr">
        <is>
          <t>-</t>
        </is>
      </c>
      <c r="E173" s="2" t="inlineStr">
        <is>
          <t>-</t>
        </is>
      </c>
      <c r="F173" s="2" t="n">
        <v>31200</v>
      </c>
      <c r="G173" s="2" t="n">
        <v>0</v>
      </c>
      <c r="H173" s="2" t="n">
        <v>31200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0</v>
      </c>
      <c r="BR173" s="2" t="n">
        <v>0</v>
      </c>
      <c r="BS173" s="2" t="n">
        <v>0</v>
      </c>
      <c r="BT173" s="2" t="n">
        <v>0</v>
      </c>
      <c r="BU173" s="2" t="n">
        <v>0</v>
      </c>
      <c r="BV173" s="2" t="n">
        <v>0</v>
      </c>
      <c r="BW173" s="2" t="n">
        <v>0</v>
      </c>
      <c r="BX173" s="2" t="n">
        <v>0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</v>
      </c>
      <c r="CP173" s="2" t="n">
        <v>0</v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0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0</v>
      </c>
      <c r="DH173" s="2" t="n">
        <v>0</v>
      </c>
      <c r="DI173" s="2" t="n">
        <v>0</v>
      </c>
      <c r="DJ173" s="2" t="n">
        <v>0</v>
      </c>
      <c r="DK173" s="2" t="n">
        <v>0</v>
      </c>
      <c r="DL173" s="2" t="n">
        <v>0</v>
      </c>
      <c r="DM173" s="2" t="n">
        <v>0</v>
      </c>
      <c r="DN173" s="2" t="n">
        <v>0</v>
      </c>
      <c r="DO173" s="2" t="n">
        <v>0</v>
      </c>
      <c r="DP173" s="2" t="n">
        <v>0</v>
      </c>
      <c r="DQ173" s="2" t="n">
        <v>0</v>
      </c>
      <c r="DR173" s="2" t="n">
        <v>0</v>
      </c>
      <c r="DS173" s="2" t="n">
        <v>0</v>
      </c>
      <c r="DT173" s="2" t="n">
        <v>0</v>
      </c>
      <c r="DU173" s="2" t="n">
        <v>0</v>
      </c>
      <c r="DV173" s="2" t="n">
        <v>0</v>
      </c>
      <c r="DW173" s="2" t="n">
        <v>0</v>
      </c>
      <c r="DX173" s="2" t="n">
        <v>0</v>
      </c>
      <c r="DY173" s="2" t="n">
        <v>0</v>
      </c>
      <c r="DZ173" s="2" t="n">
        <v>0</v>
      </c>
      <c r="EA173" s="2" t="n">
        <v>0</v>
      </c>
      <c r="EB173" s="2" t="n">
        <v>0</v>
      </c>
      <c r="EC173" s="2" t="n">
        <v>0</v>
      </c>
      <c r="ED173" s="2" t="n">
        <v>0</v>
      </c>
      <c r="EE173" s="2" t="n">
        <v>0</v>
      </c>
      <c r="EF173" s="2" t="n">
        <v>0</v>
      </c>
      <c r="EG173" s="2" t="n">
        <v>0</v>
      </c>
      <c r="EH173" s="2" t="n">
        <v>0</v>
      </c>
      <c r="EI173" s="2" t="n">
        <v>0</v>
      </c>
      <c r="EJ173" s="2" t="n">
        <v>0</v>
      </c>
      <c r="EK173" s="2" t="n">
        <v>0</v>
      </c>
      <c r="EL173" s="2" t="n">
        <v>0</v>
      </c>
      <c r="EM173" s="2" t="n">
        <v>0</v>
      </c>
      <c r="EN173" s="2" t="n">
        <v>0</v>
      </c>
      <c r="EO173" s="2" t="n">
        <v>0</v>
      </c>
      <c r="EP173" s="2" t="n">
        <v>0</v>
      </c>
      <c r="EQ173" s="2" t="n">
        <v>0</v>
      </c>
      <c r="ER173" s="2" t="n">
        <v>0</v>
      </c>
      <c r="ES173" s="2" t="n">
        <v>0</v>
      </c>
    </row>
    <row r="174">
      <c r="A174" s="2" t="n">
        <v>4</v>
      </c>
      <c r="B174" s="2" t="inlineStr">
        <is>
          <t>11.03.03.03</t>
        </is>
      </c>
      <c r="C174" s="2" t="inlineStr">
        <is>
          <t>Lixadeira manual</t>
        </is>
      </c>
      <c r="D174" s="2" t="inlineStr">
        <is>
          <t>-</t>
        </is>
      </c>
      <c r="E174" s="2" t="inlineStr">
        <is>
          <t>-</t>
        </is>
      </c>
      <c r="F174" s="2" t="n">
        <v>38368</v>
      </c>
      <c r="G174" s="2" t="n">
        <v>0</v>
      </c>
      <c r="H174" s="2" t="n">
        <v>38368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0</v>
      </c>
      <c r="BR174" s="2" t="n">
        <v>0</v>
      </c>
      <c r="BS174" s="2" t="n">
        <v>0</v>
      </c>
      <c r="BT174" s="2" t="n">
        <v>0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n">
        <v>0</v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0</v>
      </c>
      <c r="DI174" s="2" t="n">
        <v>0</v>
      </c>
      <c r="DJ174" s="2" t="n">
        <v>0</v>
      </c>
      <c r="DK174" s="2" t="n">
        <v>0</v>
      </c>
      <c r="DL174" s="2" t="n">
        <v>0</v>
      </c>
      <c r="DM174" s="2" t="n">
        <v>0</v>
      </c>
      <c r="DN174" s="2" t="n">
        <v>0</v>
      </c>
      <c r="DO174" s="2" t="n">
        <v>0</v>
      </c>
      <c r="DP174" s="2" t="n">
        <v>0</v>
      </c>
      <c r="DQ174" s="2" t="n">
        <v>0</v>
      </c>
      <c r="DR174" s="2" t="n">
        <v>0</v>
      </c>
      <c r="DS174" s="2" t="n">
        <v>0</v>
      </c>
      <c r="DT174" s="2" t="n">
        <v>0</v>
      </c>
      <c r="DU174" s="2" t="n">
        <v>0</v>
      </c>
      <c r="DV174" s="2" t="n">
        <v>0</v>
      </c>
      <c r="DW174" s="2" t="n">
        <v>0</v>
      </c>
      <c r="DX174" s="2" t="n">
        <v>0</v>
      </c>
      <c r="DY174" s="2" t="n">
        <v>0</v>
      </c>
      <c r="DZ174" s="2" t="n">
        <v>0</v>
      </c>
      <c r="EA174" s="2" t="n">
        <v>0</v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0</v>
      </c>
      <c r="EM174" s="2" t="n">
        <v>0</v>
      </c>
      <c r="EN174" s="2" t="n">
        <v>0</v>
      </c>
      <c r="EO174" s="2" t="n">
        <v>0</v>
      </c>
      <c r="EP174" s="2" t="n">
        <v>0</v>
      </c>
      <c r="EQ174" s="2" t="n">
        <v>0</v>
      </c>
      <c r="ER174" s="2" t="n">
        <v>0</v>
      </c>
      <c r="ES174" s="2" t="n">
        <v>0</v>
      </c>
    </row>
    <row r="175">
      <c r="A175" s="2" t="n">
        <v>4</v>
      </c>
      <c r="B175" s="2" t="inlineStr">
        <is>
          <t>11.03.03.04</t>
        </is>
      </c>
      <c r="C175" s="2" t="inlineStr">
        <is>
          <t>Furadeira  de impacto 550W/110v com mandril Ø1/2" Makita, Bosh ou similar</t>
        </is>
      </c>
      <c r="D175" s="2" t="inlineStr">
        <is>
          <t>-</t>
        </is>
      </c>
      <c r="E175" s="2" t="inlineStr">
        <is>
          <t>-</t>
        </is>
      </c>
      <c r="F175" s="2" t="n">
        <v>76736</v>
      </c>
      <c r="G175" s="2" t="n">
        <v>0</v>
      </c>
      <c r="H175" s="2" t="n">
        <v>76736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0</v>
      </c>
      <c r="BR175" s="2" t="n">
        <v>0</v>
      </c>
      <c r="BS175" s="2" t="n">
        <v>0</v>
      </c>
      <c r="BT175" s="2" t="n">
        <v>0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n">
        <v>0</v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0</v>
      </c>
      <c r="DJ175" s="2" t="n">
        <v>0</v>
      </c>
      <c r="DK175" s="2" t="n">
        <v>0</v>
      </c>
      <c r="DL175" s="2" t="n">
        <v>0</v>
      </c>
      <c r="DM175" s="2" t="n">
        <v>0</v>
      </c>
      <c r="DN175" s="2" t="n">
        <v>0</v>
      </c>
      <c r="DO175" s="2" t="n">
        <v>0</v>
      </c>
      <c r="DP175" s="2" t="n">
        <v>0</v>
      </c>
      <c r="DQ175" s="2" t="n">
        <v>0</v>
      </c>
      <c r="DR175" s="2" t="n">
        <v>0</v>
      </c>
      <c r="DS175" s="2" t="n">
        <v>0</v>
      </c>
      <c r="DT175" s="2" t="n">
        <v>0</v>
      </c>
      <c r="DU175" s="2" t="n">
        <v>0</v>
      </c>
      <c r="DV175" s="2" t="n">
        <v>0</v>
      </c>
      <c r="DW175" s="2" t="n">
        <v>0</v>
      </c>
      <c r="DX175" s="2" t="n">
        <v>0</v>
      </c>
      <c r="DY175" s="2" t="n">
        <v>0</v>
      </c>
      <c r="DZ175" s="2" t="n">
        <v>0</v>
      </c>
      <c r="EA175" s="2" t="n">
        <v>0</v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0</v>
      </c>
      <c r="EM175" s="2" t="n">
        <v>0</v>
      </c>
      <c r="EN175" s="2" t="n">
        <v>0</v>
      </c>
      <c r="EO175" s="2" t="n">
        <v>0</v>
      </c>
      <c r="EP175" s="2" t="n">
        <v>0</v>
      </c>
      <c r="EQ175" s="2" t="n">
        <v>0</v>
      </c>
      <c r="ER175" s="2" t="n">
        <v>0</v>
      </c>
      <c r="ES175" s="2" t="n">
        <v>0</v>
      </c>
    </row>
    <row r="176">
      <c r="A176" s="2" t="n">
        <v>4</v>
      </c>
      <c r="B176" s="2" t="inlineStr">
        <is>
          <t>11.03.03.05</t>
        </is>
      </c>
      <c r="C176" s="2" t="inlineStr">
        <is>
          <t>Serra mármore 1400w/220v Makita, Bosh ou similar</t>
        </is>
      </c>
      <c r="D176" s="2" t="inlineStr">
        <is>
          <t>-</t>
        </is>
      </c>
      <c r="E176" s="2" t="inlineStr">
        <is>
          <t>-</t>
        </is>
      </c>
      <c r="F176" s="2" t="n">
        <v>38368</v>
      </c>
      <c r="G176" s="2" t="n">
        <v>0</v>
      </c>
      <c r="H176" s="2" t="n">
        <v>38368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0</v>
      </c>
      <c r="DD176" s="2" t="n">
        <v>0</v>
      </c>
      <c r="DE176" s="2" t="n">
        <v>0</v>
      </c>
      <c r="DF176" s="2" t="n">
        <v>0</v>
      </c>
      <c r="DG176" s="2" t="n">
        <v>0</v>
      </c>
      <c r="DH176" s="2" t="n">
        <v>0</v>
      </c>
      <c r="DI176" s="2" t="n">
        <v>0</v>
      </c>
      <c r="DJ176" s="2" t="n">
        <v>0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0</v>
      </c>
      <c r="DW176" s="2" t="n">
        <v>0</v>
      </c>
      <c r="DX176" s="2" t="n">
        <v>0</v>
      </c>
      <c r="DY176" s="2" t="n">
        <v>0</v>
      </c>
      <c r="DZ176" s="2" t="n">
        <v>0</v>
      </c>
      <c r="EA176" s="2" t="n">
        <v>0</v>
      </c>
      <c r="EB176" s="2" t="n">
        <v>0</v>
      </c>
      <c r="EC176" s="2" t="n">
        <v>0</v>
      </c>
      <c r="ED176" s="2" t="n">
        <v>0</v>
      </c>
      <c r="EE176" s="2" t="n">
        <v>0</v>
      </c>
      <c r="EF176" s="2" t="n">
        <v>0</v>
      </c>
      <c r="EG176" s="2" t="n">
        <v>0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0</v>
      </c>
      <c r="EM176" s="2" t="n">
        <v>0</v>
      </c>
      <c r="EN176" s="2" t="n">
        <v>0</v>
      </c>
      <c r="EO176" s="2" t="n">
        <v>0</v>
      </c>
      <c r="EP176" s="2" t="n">
        <v>0</v>
      </c>
      <c r="EQ176" s="2" t="n">
        <v>0</v>
      </c>
      <c r="ER176" s="2" t="n">
        <v>0</v>
      </c>
      <c r="ES176" s="2" t="n">
        <v>0</v>
      </c>
    </row>
    <row r="177">
      <c r="A177" s="2" t="n">
        <v>3</v>
      </c>
      <c r="B177" s="2" t="inlineStr">
        <is>
          <t>11.03.04</t>
        </is>
      </c>
      <c r="C177" s="2" t="inlineStr">
        <is>
          <t>Bandeja primária largura 330cm - embasamento</t>
        </is>
      </c>
      <c r="D177" s="2" t="inlineStr">
        <is>
          <t>-</t>
        </is>
      </c>
      <c r="E177" s="2" t="inlineStr">
        <is>
          <t>-</t>
        </is>
      </c>
      <c r="F177" s="2" t="n">
        <v>343247.3722205239</v>
      </c>
      <c r="G177" s="2" t="n">
        <v>0</v>
      </c>
      <c r="H177" s="2" t="n">
        <v>343247.3722205239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n">
        <v>0</v>
      </c>
      <c r="DD177" s="2" t="n">
        <v>0</v>
      </c>
      <c r="DE177" s="2" t="n">
        <v>0</v>
      </c>
      <c r="DF177" s="2" t="n">
        <v>0</v>
      </c>
      <c r="DG177" s="2" t="n">
        <v>0</v>
      </c>
      <c r="DH177" s="2" t="n">
        <v>0</v>
      </c>
      <c r="DI177" s="2" t="n">
        <v>0</v>
      </c>
      <c r="DJ177" s="2" t="n">
        <v>0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0</v>
      </c>
      <c r="DW177" s="2" t="n">
        <v>0</v>
      </c>
      <c r="DX177" s="2" t="n">
        <v>0</v>
      </c>
      <c r="DY177" s="2" t="n">
        <v>0</v>
      </c>
      <c r="DZ177" s="2" t="n">
        <v>0</v>
      </c>
      <c r="EA177" s="2" t="n">
        <v>0</v>
      </c>
      <c r="EB177" s="2" t="n">
        <v>0</v>
      </c>
      <c r="EC177" s="2" t="n">
        <v>0</v>
      </c>
      <c r="ED177" s="2" t="n">
        <v>0</v>
      </c>
      <c r="EE177" s="2" t="n">
        <v>0</v>
      </c>
      <c r="EF177" s="2" t="n">
        <v>0</v>
      </c>
      <c r="EG177" s="2" t="n">
        <v>0</v>
      </c>
      <c r="EH177" s="2" t="n">
        <v>0</v>
      </c>
      <c r="EI177" s="2" t="n">
        <v>0</v>
      </c>
      <c r="EJ177" s="2" t="n">
        <v>0</v>
      </c>
      <c r="EK177" s="2" t="n">
        <v>0</v>
      </c>
      <c r="EL177" s="2" t="n">
        <v>0</v>
      </c>
      <c r="EM177" s="2" t="n">
        <v>0</v>
      </c>
      <c r="EN177" s="2" t="n">
        <v>0</v>
      </c>
      <c r="EO177" s="2" t="n">
        <v>0</v>
      </c>
      <c r="EP177" s="2" t="n">
        <v>0</v>
      </c>
      <c r="EQ177" s="2" t="n">
        <v>0</v>
      </c>
      <c r="ER177" s="2" t="n">
        <v>0</v>
      </c>
      <c r="ES177" s="2" t="n">
        <v>0</v>
      </c>
    </row>
    <row r="178">
      <c r="A178" s="2" t="n">
        <v>4</v>
      </c>
      <c r="B178" s="2" t="inlineStr">
        <is>
          <t>11.03.04.01</t>
        </is>
      </c>
      <c r="C178" s="2" t="inlineStr">
        <is>
          <t>Locação mensal de mão francesa primária</t>
        </is>
      </c>
      <c r="D178" s="2" t="inlineStr">
        <is>
          <t>-</t>
        </is>
      </c>
      <c r="E178" s="2" t="inlineStr">
        <is>
          <t>-</t>
        </is>
      </c>
      <c r="F178" s="2" t="n">
        <v>102712.5</v>
      </c>
      <c r="G178" s="2" t="n">
        <v>0</v>
      </c>
      <c r="H178" s="2" t="n">
        <v>102712.5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0</v>
      </c>
      <c r="BR178" s="2" t="n">
        <v>0</v>
      </c>
      <c r="BS178" s="2" t="n">
        <v>0</v>
      </c>
      <c r="BT178" s="2" t="n">
        <v>0</v>
      </c>
      <c r="BU178" s="2" t="n">
        <v>0</v>
      </c>
      <c r="BV178" s="2" t="n">
        <v>0</v>
      </c>
      <c r="BW178" s="2" t="n">
        <v>0</v>
      </c>
      <c r="BX178" s="2" t="n">
        <v>0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n">
        <v>0</v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0</v>
      </c>
      <c r="DH178" s="2" t="n">
        <v>0</v>
      </c>
      <c r="DI178" s="2" t="n">
        <v>0</v>
      </c>
      <c r="DJ178" s="2" t="n">
        <v>0</v>
      </c>
      <c r="DK178" s="2" t="n">
        <v>0</v>
      </c>
      <c r="DL178" s="2" t="n">
        <v>0</v>
      </c>
      <c r="DM178" s="2" t="n">
        <v>0</v>
      </c>
      <c r="DN178" s="2" t="n">
        <v>0</v>
      </c>
      <c r="DO178" s="2" t="n">
        <v>0</v>
      </c>
      <c r="DP178" s="2" t="n">
        <v>0</v>
      </c>
      <c r="DQ178" s="2" t="n">
        <v>0</v>
      </c>
      <c r="DR178" s="2" t="n">
        <v>0</v>
      </c>
      <c r="DS178" s="2" t="n">
        <v>0</v>
      </c>
      <c r="DT178" s="2" t="n">
        <v>0</v>
      </c>
      <c r="DU178" s="2" t="n">
        <v>0</v>
      </c>
      <c r="DV178" s="2" t="n">
        <v>0</v>
      </c>
      <c r="DW178" s="2" t="n">
        <v>0</v>
      </c>
      <c r="DX178" s="2" t="n">
        <v>0</v>
      </c>
      <c r="DY178" s="2" t="n">
        <v>0</v>
      </c>
      <c r="DZ178" s="2" t="n">
        <v>0</v>
      </c>
      <c r="EA178" s="2" t="n">
        <v>0</v>
      </c>
      <c r="EB178" s="2" t="n">
        <v>0</v>
      </c>
      <c r="EC178" s="2" t="n">
        <v>0</v>
      </c>
      <c r="ED178" s="2" t="n">
        <v>0</v>
      </c>
      <c r="EE178" s="2" t="n">
        <v>0</v>
      </c>
      <c r="EF178" s="2" t="n">
        <v>0</v>
      </c>
      <c r="EG178" s="2" t="n">
        <v>0</v>
      </c>
      <c r="EH178" s="2" t="n">
        <v>0</v>
      </c>
      <c r="EI178" s="2" t="n">
        <v>0</v>
      </c>
      <c r="EJ178" s="2" t="n">
        <v>0</v>
      </c>
      <c r="EK178" s="2" t="n">
        <v>0</v>
      </c>
      <c r="EL178" s="2" t="n">
        <v>0</v>
      </c>
      <c r="EM178" s="2" t="n">
        <v>0</v>
      </c>
      <c r="EN178" s="2" t="n">
        <v>0</v>
      </c>
      <c r="EO178" s="2" t="n">
        <v>0</v>
      </c>
      <c r="EP178" s="2" t="n">
        <v>0</v>
      </c>
      <c r="EQ178" s="2" t="n">
        <v>0</v>
      </c>
      <c r="ER178" s="2" t="n">
        <v>0</v>
      </c>
      <c r="ES178" s="2" t="n">
        <v>0</v>
      </c>
    </row>
    <row r="179">
      <c r="A179" s="2" t="n">
        <v>4</v>
      </c>
      <c r="B179" s="2" t="inlineStr">
        <is>
          <t>11.03.04.02</t>
        </is>
      </c>
      <c r="C179" s="2" t="inlineStr">
        <is>
          <t>Mão-de-obra de montagem</t>
        </is>
      </c>
      <c r="D179" s="2" t="inlineStr">
        <is>
          <t>-</t>
        </is>
      </c>
      <c r="E179" s="2" t="inlineStr">
        <is>
          <t>-</t>
        </is>
      </c>
      <c r="F179" s="2" t="n">
        <v>33664.32861026197</v>
      </c>
      <c r="G179" s="2" t="n">
        <v>0</v>
      </c>
      <c r="H179" s="2" t="n">
        <v>33664.32861026197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0</v>
      </c>
      <c r="BR179" s="2" t="n">
        <v>0</v>
      </c>
      <c r="BS179" s="2" t="n">
        <v>0</v>
      </c>
      <c r="BT179" s="2" t="n">
        <v>0</v>
      </c>
      <c r="BU179" s="2" t="n">
        <v>0</v>
      </c>
      <c r="BV179" s="2" t="n">
        <v>0</v>
      </c>
      <c r="BW179" s="2" t="n">
        <v>0</v>
      </c>
      <c r="BX179" s="2" t="n">
        <v>0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0</v>
      </c>
      <c r="CP179" s="2" t="n">
        <v>0</v>
      </c>
      <c r="CQ179" s="2" t="n">
        <v>0</v>
      </c>
      <c r="CR179" s="2" t="n">
        <v>0</v>
      </c>
      <c r="CS179" s="2" t="n">
        <v>0</v>
      </c>
      <c r="CT179" s="2" t="n">
        <v>0</v>
      </c>
      <c r="CU179" s="2" t="n">
        <v>0</v>
      </c>
      <c r="CV179" s="2" t="n">
        <v>0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0</v>
      </c>
      <c r="DH179" s="2" t="n">
        <v>0</v>
      </c>
      <c r="DI179" s="2" t="n">
        <v>0</v>
      </c>
      <c r="DJ179" s="2" t="n">
        <v>0</v>
      </c>
      <c r="DK179" s="2" t="n">
        <v>0</v>
      </c>
      <c r="DL179" s="2" t="n">
        <v>0</v>
      </c>
      <c r="DM179" s="2" t="n">
        <v>0</v>
      </c>
      <c r="DN179" s="2" t="n">
        <v>0</v>
      </c>
      <c r="DO179" s="2" t="n">
        <v>0</v>
      </c>
      <c r="DP179" s="2" t="n">
        <v>0</v>
      </c>
      <c r="DQ179" s="2" t="n">
        <v>0</v>
      </c>
      <c r="DR179" s="2" t="n">
        <v>0</v>
      </c>
      <c r="DS179" s="2" t="n">
        <v>0</v>
      </c>
      <c r="DT179" s="2" t="n">
        <v>0</v>
      </c>
      <c r="DU179" s="2" t="n">
        <v>0</v>
      </c>
      <c r="DV179" s="2" t="n">
        <v>0</v>
      </c>
      <c r="DW179" s="2" t="n">
        <v>0</v>
      </c>
      <c r="DX179" s="2" t="n">
        <v>0</v>
      </c>
      <c r="DY179" s="2" t="n">
        <v>0</v>
      </c>
      <c r="DZ179" s="2" t="n">
        <v>0</v>
      </c>
      <c r="EA179" s="2" t="n">
        <v>0</v>
      </c>
      <c r="EB179" s="2" t="n">
        <v>0</v>
      </c>
      <c r="EC179" s="2" t="n">
        <v>0</v>
      </c>
      <c r="ED179" s="2" t="n">
        <v>0</v>
      </c>
      <c r="EE179" s="2" t="n">
        <v>0</v>
      </c>
      <c r="EF179" s="2" t="n">
        <v>0</v>
      </c>
      <c r="EG179" s="2" t="n">
        <v>0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0</v>
      </c>
      <c r="EM179" s="2" t="n">
        <v>0</v>
      </c>
      <c r="EN179" s="2" t="n">
        <v>0</v>
      </c>
      <c r="EO179" s="2" t="n">
        <v>0</v>
      </c>
      <c r="EP179" s="2" t="n">
        <v>0</v>
      </c>
      <c r="EQ179" s="2" t="n">
        <v>0</v>
      </c>
      <c r="ER179" s="2" t="n">
        <v>0</v>
      </c>
      <c r="ES179" s="2" t="n">
        <v>0</v>
      </c>
    </row>
    <row r="180">
      <c r="A180" s="2" t="n">
        <v>4</v>
      </c>
      <c r="B180" s="2" t="inlineStr">
        <is>
          <t>11.03.04.03</t>
        </is>
      </c>
      <c r="C180" s="2" t="inlineStr">
        <is>
          <t>Mão-de-obra de desmontagem</t>
        </is>
      </c>
      <c r="D180" s="2" t="inlineStr">
        <is>
          <t>-</t>
        </is>
      </c>
      <c r="E180" s="2" t="inlineStr">
        <is>
          <t>-</t>
        </is>
      </c>
      <c r="F180" s="2" t="n">
        <v>33664.32861026197</v>
      </c>
      <c r="G180" s="2" t="n">
        <v>0</v>
      </c>
      <c r="H180" s="2" t="n">
        <v>33664.32861026197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n">
        <v>0</v>
      </c>
      <c r="BT180" s="2" t="n">
        <v>0</v>
      </c>
      <c r="BU180" s="2" t="n">
        <v>0</v>
      </c>
      <c r="BV180" s="2" t="n">
        <v>0</v>
      </c>
      <c r="BW180" s="2" t="n">
        <v>0</v>
      </c>
      <c r="BX180" s="2" t="n">
        <v>0</v>
      </c>
      <c r="BY180" s="2" t="n">
        <v>0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n">
        <v>0</v>
      </c>
      <c r="CQ180" s="2" t="n">
        <v>0</v>
      </c>
      <c r="CR180" s="2" t="n">
        <v>0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0</v>
      </c>
      <c r="DH180" s="2" t="n">
        <v>0</v>
      </c>
      <c r="DI180" s="2" t="n">
        <v>0</v>
      </c>
      <c r="DJ180" s="2" t="n">
        <v>0</v>
      </c>
      <c r="DK180" s="2" t="n">
        <v>0</v>
      </c>
      <c r="DL180" s="2" t="n">
        <v>0</v>
      </c>
      <c r="DM180" s="2" t="n">
        <v>0</v>
      </c>
      <c r="DN180" s="2" t="n">
        <v>0</v>
      </c>
      <c r="DO180" s="2" t="n">
        <v>0</v>
      </c>
      <c r="DP180" s="2" t="n">
        <v>0</v>
      </c>
      <c r="DQ180" s="2" t="n">
        <v>0</v>
      </c>
      <c r="DR180" s="2" t="n">
        <v>0</v>
      </c>
      <c r="DS180" s="2" t="n">
        <v>0</v>
      </c>
      <c r="DT180" s="2" t="n">
        <v>0</v>
      </c>
      <c r="DU180" s="2" t="n">
        <v>0</v>
      </c>
      <c r="DV180" s="2" t="n">
        <v>0</v>
      </c>
      <c r="DW180" s="2" t="n">
        <v>0</v>
      </c>
      <c r="DX180" s="2" t="n">
        <v>0</v>
      </c>
      <c r="DY180" s="2" t="n">
        <v>0</v>
      </c>
      <c r="DZ180" s="2" t="n">
        <v>0</v>
      </c>
      <c r="EA180" s="2" t="n">
        <v>0</v>
      </c>
      <c r="EB180" s="2" t="n">
        <v>0</v>
      </c>
      <c r="EC180" s="2" t="n">
        <v>0</v>
      </c>
      <c r="ED180" s="2" t="n">
        <v>0</v>
      </c>
      <c r="EE180" s="2" t="n">
        <v>0</v>
      </c>
      <c r="EF180" s="2" t="n">
        <v>0</v>
      </c>
      <c r="EG180" s="2" t="n">
        <v>0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0</v>
      </c>
      <c r="EM180" s="2" t="n">
        <v>0</v>
      </c>
      <c r="EN180" s="2" t="n">
        <v>0</v>
      </c>
      <c r="EO180" s="2" t="n">
        <v>0</v>
      </c>
      <c r="EP180" s="2" t="n">
        <v>0</v>
      </c>
      <c r="EQ180" s="2" t="n">
        <v>0</v>
      </c>
      <c r="ER180" s="2" t="n">
        <v>0</v>
      </c>
      <c r="ES180" s="2" t="n">
        <v>0</v>
      </c>
    </row>
    <row r="181">
      <c r="A181" s="2" t="n">
        <v>4</v>
      </c>
      <c r="B181" s="2" t="inlineStr">
        <is>
          <t>11.03.04.04</t>
        </is>
      </c>
      <c r="C181" s="2" t="inlineStr">
        <is>
          <t>Madeiramento</t>
        </is>
      </c>
      <c r="D181" s="2" t="inlineStr">
        <is>
          <t>-</t>
        </is>
      </c>
      <c r="E181" s="2" t="inlineStr">
        <is>
          <t>-</t>
        </is>
      </c>
      <c r="F181" s="2" t="n">
        <v>173206.215</v>
      </c>
      <c r="G181" s="2" t="n">
        <v>0</v>
      </c>
      <c r="H181" s="2" t="n">
        <v>173206.215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>
        <v>0</v>
      </c>
      <c r="BR181" s="2" t="n">
        <v>0</v>
      </c>
      <c r="BS181" s="2" t="n">
        <v>0</v>
      </c>
      <c r="BT181" s="2" t="n">
        <v>0</v>
      </c>
      <c r="BU181" s="2" t="n">
        <v>0</v>
      </c>
      <c r="BV181" s="2" t="n">
        <v>0</v>
      </c>
      <c r="BW181" s="2" t="n">
        <v>0</v>
      </c>
      <c r="BX181" s="2" t="n">
        <v>0</v>
      </c>
      <c r="BY181" s="2" t="n">
        <v>0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</v>
      </c>
      <c r="CP181" s="2" t="n">
        <v>0</v>
      </c>
      <c r="CQ181" s="2" t="n">
        <v>0</v>
      </c>
      <c r="CR181" s="2" t="n">
        <v>0</v>
      </c>
      <c r="CS181" s="2" t="n">
        <v>0</v>
      </c>
      <c r="CT181" s="2" t="n">
        <v>0</v>
      </c>
      <c r="CU181" s="2" t="n">
        <v>0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0</v>
      </c>
      <c r="DH181" s="2" t="n">
        <v>0</v>
      </c>
      <c r="DI181" s="2" t="n">
        <v>0</v>
      </c>
      <c r="DJ181" s="2" t="n">
        <v>0</v>
      </c>
      <c r="DK181" s="2" t="n">
        <v>0</v>
      </c>
      <c r="DL181" s="2" t="n">
        <v>0</v>
      </c>
      <c r="DM181" s="2" t="n">
        <v>0</v>
      </c>
      <c r="DN181" s="2" t="n">
        <v>0</v>
      </c>
      <c r="DO181" s="2" t="n">
        <v>0</v>
      </c>
      <c r="DP181" s="2" t="n">
        <v>0</v>
      </c>
      <c r="DQ181" s="2" t="n">
        <v>0</v>
      </c>
      <c r="DR181" s="2" t="n">
        <v>0</v>
      </c>
      <c r="DS181" s="2" t="n">
        <v>0</v>
      </c>
      <c r="DT181" s="2" t="n">
        <v>0</v>
      </c>
      <c r="DU181" s="2" t="n">
        <v>0</v>
      </c>
      <c r="DV181" s="2" t="n">
        <v>0</v>
      </c>
      <c r="DW181" s="2" t="n">
        <v>0</v>
      </c>
      <c r="DX181" s="2" t="n">
        <v>0</v>
      </c>
      <c r="DY181" s="2" t="n">
        <v>0</v>
      </c>
      <c r="DZ181" s="2" t="n">
        <v>0</v>
      </c>
      <c r="EA181" s="2" t="n">
        <v>0</v>
      </c>
      <c r="EB181" s="2" t="n">
        <v>0</v>
      </c>
      <c r="EC181" s="2" t="n">
        <v>0</v>
      </c>
      <c r="ED181" s="2" t="n">
        <v>0</v>
      </c>
      <c r="EE181" s="2" t="n">
        <v>0</v>
      </c>
      <c r="EF181" s="2" t="n">
        <v>0</v>
      </c>
      <c r="EG181" s="2" t="n">
        <v>0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0</v>
      </c>
      <c r="EM181" s="2" t="n">
        <v>0</v>
      </c>
      <c r="EN181" s="2" t="n">
        <v>0</v>
      </c>
      <c r="EO181" s="2" t="n">
        <v>0</v>
      </c>
      <c r="EP181" s="2" t="n">
        <v>0</v>
      </c>
      <c r="EQ181" s="2" t="n">
        <v>0</v>
      </c>
      <c r="ER181" s="2" t="n">
        <v>0</v>
      </c>
      <c r="ES181" s="2" t="n">
        <v>0</v>
      </c>
    </row>
    <row r="182">
      <c r="A182" s="2" t="n">
        <v>3</v>
      </c>
      <c r="B182" s="2" t="inlineStr">
        <is>
          <t>11.03.05</t>
        </is>
      </c>
      <c r="C182" s="2" t="inlineStr">
        <is>
          <t>Bandeja primária largura 330cm - torre</t>
        </is>
      </c>
      <c r="D182" s="2" t="inlineStr">
        <is>
          <t>-</t>
        </is>
      </c>
      <c r="E182" s="2" t="inlineStr">
        <is>
          <t>-</t>
        </is>
      </c>
      <c r="F182" s="2" t="n">
        <v>174875.8924553551</v>
      </c>
      <c r="G182" s="2" t="n">
        <v>0</v>
      </c>
      <c r="H182" s="2" t="n">
        <v>174875.8924553551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n">
        <v>0</v>
      </c>
      <c r="BR182" s="2" t="n">
        <v>0</v>
      </c>
      <c r="BS182" s="2" t="n">
        <v>0</v>
      </c>
      <c r="BT182" s="2" t="n">
        <v>0</v>
      </c>
      <c r="BU182" s="2" t="n">
        <v>0</v>
      </c>
      <c r="BV182" s="2" t="n">
        <v>0</v>
      </c>
      <c r="BW182" s="2" t="n">
        <v>0</v>
      </c>
      <c r="BX182" s="2" t="n">
        <v>0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n">
        <v>0</v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0</v>
      </c>
      <c r="DD182" s="2" t="n">
        <v>0</v>
      </c>
      <c r="DE182" s="2" t="n">
        <v>0</v>
      </c>
      <c r="DF182" s="2" t="n">
        <v>0</v>
      </c>
      <c r="DG182" s="2" t="n">
        <v>0</v>
      </c>
      <c r="DH182" s="2" t="n">
        <v>0</v>
      </c>
      <c r="DI182" s="2" t="n">
        <v>0</v>
      </c>
      <c r="DJ182" s="2" t="n">
        <v>0</v>
      </c>
      <c r="DK182" s="2" t="n">
        <v>0</v>
      </c>
      <c r="DL182" s="2" t="n">
        <v>0</v>
      </c>
      <c r="DM182" s="2" t="n">
        <v>0</v>
      </c>
      <c r="DN182" s="2" t="n">
        <v>0</v>
      </c>
      <c r="DO182" s="2" t="n">
        <v>0</v>
      </c>
      <c r="DP182" s="2" t="n">
        <v>0</v>
      </c>
      <c r="DQ182" s="2" t="n">
        <v>0</v>
      </c>
      <c r="DR182" s="2" t="n">
        <v>0</v>
      </c>
      <c r="DS182" s="2" t="n">
        <v>0</v>
      </c>
      <c r="DT182" s="2" t="n">
        <v>0</v>
      </c>
      <c r="DU182" s="2" t="n">
        <v>0</v>
      </c>
      <c r="DV182" s="2" t="n">
        <v>0</v>
      </c>
      <c r="DW182" s="2" t="n">
        <v>0</v>
      </c>
      <c r="DX182" s="2" t="n">
        <v>0</v>
      </c>
      <c r="DY182" s="2" t="n">
        <v>0</v>
      </c>
      <c r="DZ182" s="2" t="n">
        <v>0</v>
      </c>
      <c r="EA182" s="2" t="n">
        <v>0</v>
      </c>
      <c r="EB182" s="2" t="n">
        <v>0</v>
      </c>
      <c r="EC182" s="2" t="n">
        <v>0</v>
      </c>
      <c r="ED182" s="2" t="n">
        <v>0</v>
      </c>
      <c r="EE182" s="2" t="n">
        <v>0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0</v>
      </c>
      <c r="EM182" s="2" t="n">
        <v>0</v>
      </c>
      <c r="EN182" s="2" t="n">
        <v>0</v>
      </c>
      <c r="EO182" s="2" t="n">
        <v>0</v>
      </c>
      <c r="EP182" s="2" t="n">
        <v>0</v>
      </c>
      <c r="EQ182" s="2" t="n">
        <v>0</v>
      </c>
      <c r="ER182" s="2" t="n">
        <v>0</v>
      </c>
      <c r="ES182" s="2" t="n">
        <v>0</v>
      </c>
    </row>
    <row r="183">
      <c r="A183" s="2" t="n">
        <v>4</v>
      </c>
      <c r="B183" s="2" t="inlineStr">
        <is>
          <t>11.03.05.01</t>
        </is>
      </c>
      <c r="C183" s="2" t="inlineStr">
        <is>
          <t>Locação mensal de mão francesa secundária</t>
        </is>
      </c>
      <c r="D183" s="2" t="inlineStr">
        <is>
          <t>-</t>
        </is>
      </c>
      <c r="E183" s="2" t="inlineStr">
        <is>
          <t>-</t>
        </is>
      </c>
      <c r="F183" s="2" t="n">
        <v>48150</v>
      </c>
      <c r="G183" s="2" t="n">
        <v>0</v>
      </c>
      <c r="H183" s="2" t="n">
        <v>48150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0</v>
      </c>
      <c r="DH183" s="2" t="n">
        <v>0</v>
      </c>
      <c r="DI183" s="2" t="n">
        <v>0</v>
      </c>
      <c r="DJ183" s="2" t="n">
        <v>0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0</v>
      </c>
      <c r="DW183" s="2" t="n">
        <v>0</v>
      </c>
      <c r="DX183" s="2" t="n">
        <v>0</v>
      </c>
      <c r="DY183" s="2" t="n">
        <v>0</v>
      </c>
      <c r="DZ183" s="2" t="n">
        <v>0</v>
      </c>
      <c r="EA183" s="2" t="n">
        <v>0</v>
      </c>
      <c r="EB183" s="2" t="n">
        <v>0</v>
      </c>
      <c r="EC183" s="2" t="n">
        <v>0</v>
      </c>
      <c r="ED183" s="2" t="n">
        <v>0</v>
      </c>
      <c r="EE183" s="2" t="n">
        <v>0</v>
      </c>
      <c r="EF183" s="2" t="n">
        <v>0</v>
      </c>
      <c r="EG183" s="2" t="n">
        <v>0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0</v>
      </c>
      <c r="EM183" s="2" t="n">
        <v>0</v>
      </c>
      <c r="EN183" s="2" t="n">
        <v>0</v>
      </c>
      <c r="EO183" s="2" t="n">
        <v>0</v>
      </c>
      <c r="EP183" s="2" t="n">
        <v>0</v>
      </c>
      <c r="EQ183" s="2" t="n">
        <v>0</v>
      </c>
      <c r="ER183" s="2" t="n">
        <v>0</v>
      </c>
      <c r="ES183" s="2" t="n">
        <v>0</v>
      </c>
    </row>
    <row r="184">
      <c r="A184" s="2" t="n">
        <v>4</v>
      </c>
      <c r="B184" s="2" t="inlineStr">
        <is>
          <t>11.03.05.02</t>
        </is>
      </c>
      <c r="C184" s="2" t="inlineStr">
        <is>
          <t>Mão-de-obra de montagem</t>
        </is>
      </c>
      <c r="D184" s="2" t="inlineStr">
        <is>
          <t>-</t>
        </is>
      </c>
      <c r="E184" s="2" t="inlineStr">
        <is>
          <t>-</t>
        </is>
      </c>
      <c r="F184" s="2" t="n">
        <v>29258.78602904705</v>
      </c>
      <c r="G184" s="2" t="n">
        <v>0</v>
      </c>
      <c r="H184" s="2" t="n">
        <v>29258.78602904705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0</v>
      </c>
      <c r="DH184" s="2" t="n">
        <v>0</v>
      </c>
      <c r="DI184" s="2" t="n">
        <v>0</v>
      </c>
      <c r="DJ184" s="2" t="n">
        <v>0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0</v>
      </c>
      <c r="DW184" s="2" t="n">
        <v>0</v>
      </c>
      <c r="DX184" s="2" t="n">
        <v>0</v>
      </c>
      <c r="DY184" s="2" t="n">
        <v>0</v>
      </c>
      <c r="DZ184" s="2" t="n">
        <v>0</v>
      </c>
      <c r="EA184" s="2" t="n">
        <v>0</v>
      </c>
      <c r="EB184" s="2" t="n">
        <v>0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0</v>
      </c>
      <c r="EM184" s="2" t="n">
        <v>0</v>
      </c>
      <c r="EN184" s="2" t="n">
        <v>0</v>
      </c>
      <c r="EO184" s="2" t="n">
        <v>0</v>
      </c>
      <c r="EP184" s="2" t="n">
        <v>0</v>
      </c>
      <c r="EQ184" s="2" t="n">
        <v>0</v>
      </c>
      <c r="ER184" s="2" t="n">
        <v>0</v>
      </c>
      <c r="ES184" s="2" t="n">
        <v>0</v>
      </c>
    </row>
    <row r="185">
      <c r="A185" s="2" t="n">
        <v>4</v>
      </c>
      <c r="B185" s="2" t="inlineStr">
        <is>
          <t>11.03.05.03</t>
        </is>
      </c>
      <c r="C185" s="2" t="inlineStr">
        <is>
          <t>Mão-de-obra de desmontagem</t>
        </is>
      </c>
      <c r="D185" s="2" t="inlineStr">
        <is>
          <t>-</t>
        </is>
      </c>
      <c r="E185" s="2" t="inlineStr">
        <is>
          <t>-</t>
        </is>
      </c>
      <c r="F185" s="2" t="n">
        <v>29258.78602904705</v>
      </c>
      <c r="G185" s="2" t="n">
        <v>0</v>
      </c>
      <c r="H185" s="2" t="n">
        <v>29258.78602904705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0</v>
      </c>
      <c r="BT185" s="2" t="n">
        <v>0</v>
      </c>
      <c r="BU185" s="2" t="n">
        <v>0</v>
      </c>
      <c r="BV185" s="2" t="n">
        <v>0</v>
      </c>
      <c r="BW185" s="2" t="n">
        <v>0</v>
      </c>
      <c r="BX185" s="2" t="n">
        <v>0</v>
      </c>
      <c r="BY185" s="2" t="n">
        <v>0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n">
        <v>0</v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0</v>
      </c>
      <c r="DH185" s="2" t="n">
        <v>0</v>
      </c>
      <c r="DI185" s="2" t="n">
        <v>0</v>
      </c>
      <c r="DJ185" s="2" t="n">
        <v>0</v>
      </c>
      <c r="DK185" s="2" t="n">
        <v>0</v>
      </c>
      <c r="DL185" s="2" t="n">
        <v>0</v>
      </c>
      <c r="DM185" s="2" t="n">
        <v>0</v>
      </c>
      <c r="DN185" s="2" t="n">
        <v>0</v>
      </c>
      <c r="DO185" s="2" t="n">
        <v>0</v>
      </c>
      <c r="DP185" s="2" t="n">
        <v>0</v>
      </c>
      <c r="DQ185" s="2" t="n">
        <v>0</v>
      </c>
      <c r="DR185" s="2" t="n">
        <v>0</v>
      </c>
      <c r="DS185" s="2" t="n">
        <v>0</v>
      </c>
      <c r="DT185" s="2" t="n">
        <v>0</v>
      </c>
      <c r="DU185" s="2" t="n">
        <v>0</v>
      </c>
      <c r="DV185" s="2" t="n">
        <v>0</v>
      </c>
      <c r="DW185" s="2" t="n">
        <v>0</v>
      </c>
      <c r="DX185" s="2" t="n">
        <v>0</v>
      </c>
      <c r="DY185" s="2" t="n">
        <v>0</v>
      </c>
      <c r="DZ185" s="2" t="n">
        <v>0</v>
      </c>
      <c r="EA185" s="2" t="n">
        <v>0</v>
      </c>
      <c r="EB185" s="2" t="n">
        <v>0</v>
      </c>
      <c r="EC185" s="2" t="n">
        <v>0</v>
      </c>
      <c r="ED185" s="2" t="n">
        <v>0</v>
      </c>
      <c r="EE185" s="2" t="n">
        <v>0</v>
      </c>
      <c r="EF185" s="2" t="n">
        <v>0</v>
      </c>
      <c r="EG185" s="2" t="n">
        <v>0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0</v>
      </c>
      <c r="EM185" s="2" t="n">
        <v>0</v>
      </c>
      <c r="EN185" s="2" t="n">
        <v>0</v>
      </c>
      <c r="EO185" s="2" t="n">
        <v>0</v>
      </c>
      <c r="EP185" s="2" t="n">
        <v>0</v>
      </c>
      <c r="EQ185" s="2" t="n">
        <v>0</v>
      </c>
      <c r="ER185" s="2" t="n">
        <v>0</v>
      </c>
      <c r="ES185" s="2" t="n">
        <v>0</v>
      </c>
    </row>
    <row r="186">
      <c r="A186" s="2" t="n">
        <v>4</v>
      </c>
      <c r="B186" s="2" t="inlineStr">
        <is>
          <t>11.03.05.04</t>
        </is>
      </c>
      <c r="C186" s="2" t="inlineStr">
        <is>
          <t>Madeiramento</t>
        </is>
      </c>
      <c r="D186" s="2" t="inlineStr">
        <is>
          <t>-</t>
        </is>
      </c>
      <c r="E186" s="2" t="inlineStr">
        <is>
          <t>-</t>
        </is>
      </c>
      <c r="F186" s="2" t="n">
        <v>68208.32039726099</v>
      </c>
      <c r="G186" s="2" t="n">
        <v>0</v>
      </c>
      <c r="H186" s="2" t="n">
        <v>68208.32039726099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0</v>
      </c>
      <c r="BT186" s="2" t="n">
        <v>0</v>
      </c>
      <c r="BU186" s="2" t="n">
        <v>0</v>
      </c>
      <c r="BV186" s="2" t="n">
        <v>0</v>
      </c>
      <c r="BW186" s="2" t="n">
        <v>0</v>
      </c>
      <c r="BX186" s="2" t="n">
        <v>0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n">
        <v>0</v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0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0</v>
      </c>
      <c r="DD186" s="2" t="n">
        <v>0</v>
      </c>
      <c r="DE186" s="2" t="n">
        <v>0</v>
      </c>
      <c r="DF186" s="2" t="n">
        <v>0</v>
      </c>
      <c r="DG186" s="2" t="n">
        <v>0</v>
      </c>
      <c r="DH186" s="2" t="n">
        <v>0</v>
      </c>
      <c r="DI186" s="2" t="n">
        <v>0</v>
      </c>
      <c r="DJ186" s="2" t="n">
        <v>0</v>
      </c>
      <c r="DK186" s="2" t="n">
        <v>0</v>
      </c>
      <c r="DL186" s="2" t="n">
        <v>0</v>
      </c>
      <c r="DM186" s="2" t="n">
        <v>0</v>
      </c>
      <c r="DN186" s="2" t="n">
        <v>0</v>
      </c>
      <c r="DO186" s="2" t="n">
        <v>0</v>
      </c>
      <c r="DP186" s="2" t="n">
        <v>0</v>
      </c>
      <c r="DQ186" s="2" t="n">
        <v>0</v>
      </c>
      <c r="DR186" s="2" t="n">
        <v>0</v>
      </c>
      <c r="DS186" s="2" t="n">
        <v>0</v>
      </c>
      <c r="DT186" s="2" t="n">
        <v>0</v>
      </c>
      <c r="DU186" s="2" t="n">
        <v>0</v>
      </c>
      <c r="DV186" s="2" t="n">
        <v>0</v>
      </c>
      <c r="DW186" s="2" t="n">
        <v>0</v>
      </c>
      <c r="DX186" s="2" t="n">
        <v>0</v>
      </c>
      <c r="DY186" s="2" t="n">
        <v>0</v>
      </c>
      <c r="DZ186" s="2" t="n">
        <v>0</v>
      </c>
      <c r="EA186" s="2" t="n">
        <v>0</v>
      </c>
      <c r="EB186" s="2" t="n">
        <v>0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0</v>
      </c>
      <c r="EM186" s="2" t="n">
        <v>0</v>
      </c>
      <c r="EN186" s="2" t="n">
        <v>0</v>
      </c>
      <c r="EO186" s="2" t="n">
        <v>0</v>
      </c>
      <c r="EP186" s="2" t="n">
        <v>0</v>
      </c>
      <c r="EQ186" s="2" t="n">
        <v>0</v>
      </c>
      <c r="ER186" s="2" t="n">
        <v>0</v>
      </c>
      <c r="ES186" s="2" t="n">
        <v>0</v>
      </c>
    </row>
    <row r="187">
      <c r="A187" s="2" t="n">
        <v>3</v>
      </c>
      <c r="B187" s="2" t="inlineStr">
        <is>
          <t>11.03.06</t>
        </is>
      </c>
      <c r="C187" s="2" t="inlineStr">
        <is>
          <t>Andaime para serviços internos</t>
        </is>
      </c>
      <c r="D187" s="2" t="inlineStr">
        <is>
          <t>-</t>
        </is>
      </c>
      <c r="E187" s="2" t="inlineStr">
        <is>
          <t>-</t>
        </is>
      </c>
      <c r="F187" s="2" t="n">
        <v>278400</v>
      </c>
      <c r="G187" s="2" t="n">
        <v>0</v>
      </c>
      <c r="H187" s="2" t="n">
        <v>278400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2" t="n">
        <v>0</v>
      </c>
      <c r="BQ187" s="2" t="n">
        <v>0</v>
      </c>
      <c r="BR187" s="2" t="n">
        <v>0</v>
      </c>
      <c r="BS187" s="2" t="n">
        <v>0</v>
      </c>
      <c r="BT187" s="2" t="n">
        <v>0</v>
      </c>
      <c r="BU187" s="2" t="n">
        <v>0</v>
      </c>
      <c r="BV187" s="2" t="n">
        <v>0</v>
      </c>
      <c r="BW187" s="2" t="n">
        <v>0</v>
      </c>
      <c r="BX187" s="2" t="n">
        <v>0</v>
      </c>
      <c r="BY187" s="2" t="n">
        <v>0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0</v>
      </c>
      <c r="CP187" s="2" t="n">
        <v>0</v>
      </c>
      <c r="CQ187" s="2" t="n">
        <v>0</v>
      </c>
      <c r="CR187" s="2" t="n">
        <v>0</v>
      </c>
      <c r="CS187" s="2" t="n">
        <v>0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0</v>
      </c>
      <c r="DD187" s="2" t="n">
        <v>0</v>
      </c>
      <c r="DE187" s="2" t="n">
        <v>0</v>
      </c>
      <c r="DF187" s="2" t="n">
        <v>0</v>
      </c>
      <c r="DG187" s="2" t="n">
        <v>0</v>
      </c>
      <c r="DH187" s="2" t="n">
        <v>0</v>
      </c>
      <c r="DI187" s="2" t="n">
        <v>0</v>
      </c>
      <c r="DJ187" s="2" t="n">
        <v>0</v>
      </c>
      <c r="DK187" s="2" t="n">
        <v>0</v>
      </c>
      <c r="DL187" s="2" t="n">
        <v>0</v>
      </c>
      <c r="DM187" s="2" t="n">
        <v>0</v>
      </c>
      <c r="DN187" s="2" t="n">
        <v>0</v>
      </c>
      <c r="DO187" s="2" t="n">
        <v>0</v>
      </c>
      <c r="DP187" s="2" t="n">
        <v>0</v>
      </c>
      <c r="DQ187" s="2" t="n">
        <v>0</v>
      </c>
      <c r="DR187" s="2" t="n">
        <v>0</v>
      </c>
      <c r="DS187" s="2" t="n">
        <v>0</v>
      </c>
      <c r="DT187" s="2" t="n">
        <v>0</v>
      </c>
      <c r="DU187" s="2" t="n">
        <v>0</v>
      </c>
      <c r="DV187" s="2" t="n">
        <v>0</v>
      </c>
      <c r="DW187" s="2" t="n">
        <v>0</v>
      </c>
      <c r="DX187" s="2" t="n">
        <v>0</v>
      </c>
      <c r="DY187" s="2" t="n">
        <v>0</v>
      </c>
      <c r="DZ187" s="2" t="n">
        <v>0</v>
      </c>
      <c r="EA187" s="2" t="n">
        <v>0</v>
      </c>
      <c r="EB187" s="2" t="n">
        <v>0</v>
      </c>
      <c r="EC187" s="2" t="n">
        <v>0</v>
      </c>
      <c r="ED187" s="2" t="n">
        <v>0</v>
      </c>
      <c r="EE187" s="2" t="n">
        <v>0</v>
      </c>
      <c r="EF187" s="2" t="n">
        <v>0</v>
      </c>
      <c r="EG187" s="2" t="n">
        <v>0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0</v>
      </c>
      <c r="EM187" s="2" t="n">
        <v>0</v>
      </c>
      <c r="EN187" s="2" t="n">
        <v>0</v>
      </c>
      <c r="EO187" s="2" t="n">
        <v>0</v>
      </c>
      <c r="EP187" s="2" t="n">
        <v>0</v>
      </c>
      <c r="EQ187" s="2" t="n">
        <v>0</v>
      </c>
      <c r="ER187" s="2" t="n">
        <v>0</v>
      </c>
      <c r="ES187" s="2" t="n">
        <v>0</v>
      </c>
    </row>
    <row r="188">
      <c r="A188" s="2" t="n">
        <v>4</v>
      </c>
      <c r="B188" s="2" t="inlineStr">
        <is>
          <t>11.03.06.01</t>
        </is>
      </c>
      <c r="C188" s="2" t="inlineStr">
        <is>
          <t>Locação mensal de andaimes para serviços internos</t>
        </is>
      </c>
      <c r="D188" s="2" t="inlineStr">
        <is>
          <t>-</t>
        </is>
      </c>
      <c r="E188" s="2" t="inlineStr">
        <is>
          <t>-</t>
        </is>
      </c>
      <c r="F188" s="2" t="n">
        <v>278400</v>
      </c>
      <c r="G188" s="2" t="n">
        <v>0</v>
      </c>
      <c r="H188" s="2" t="n">
        <v>278400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>
        <v>0</v>
      </c>
      <c r="BR188" s="2" t="n">
        <v>0</v>
      </c>
      <c r="BS188" s="2" t="n">
        <v>0</v>
      </c>
      <c r="BT188" s="2" t="n">
        <v>0</v>
      </c>
      <c r="BU188" s="2" t="n">
        <v>0</v>
      </c>
      <c r="BV188" s="2" t="n">
        <v>0</v>
      </c>
      <c r="BW188" s="2" t="n">
        <v>0</v>
      </c>
      <c r="BX188" s="2" t="n">
        <v>0</v>
      </c>
      <c r="BY188" s="2" t="n">
        <v>0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n">
        <v>0</v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0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0</v>
      </c>
      <c r="DH188" s="2" t="n">
        <v>0</v>
      </c>
      <c r="DI188" s="2" t="n">
        <v>0</v>
      </c>
      <c r="DJ188" s="2" t="n">
        <v>0</v>
      </c>
      <c r="DK188" s="2" t="n">
        <v>0</v>
      </c>
      <c r="DL188" s="2" t="n">
        <v>0</v>
      </c>
      <c r="DM188" s="2" t="n">
        <v>0</v>
      </c>
      <c r="DN188" s="2" t="n">
        <v>0</v>
      </c>
      <c r="DO188" s="2" t="n">
        <v>0</v>
      </c>
      <c r="DP188" s="2" t="n">
        <v>0</v>
      </c>
      <c r="DQ188" s="2" t="n">
        <v>0</v>
      </c>
      <c r="DR188" s="2" t="n">
        <v>0</v>
      </c>
      <c r="DS188" s="2" t="n">
        <v>0</v>
      </c>
      <c r="DT188" s="2" t="n">
        <v>0</v>
      </c>
      <c r="DU188" s="2" t="n">
        <v>0</v>
      </c>
      <c r="DV188" s="2" t="n">
        <v>0</v>
      </c>
      <c r="DW188" s="2" t="n">
        <v>0</v>
      </c>
      <c r="DX188" s="2" t="n">
        <v>0</v>
      </c>
      <c r="DY188" s="2" t="n">
        <v>0</v>
      </c>
      <c r="DZ188" s="2" t="n">
        <v>0</v>
      </c>
      <c r="EA188" s="2" t="n">
        <v>0</v>
      </c>
      <c r="EB188" s="2" t="n">
        <v>0</v>
      </c>
      <c r="EC188" s="2" t="n">
        <v>0</v>
      </c>
      <c r="ED188" s="2" t="n">
        <v>0</v>
      </c>
      <c r="EE188" s="2" t="n">
        <v>0</v>
      </c>
      <c r="EF188" s="2" t="n">
        <v>0</v>
      </c>
      <c r="EG188" s="2" t="n">
        <v>0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0</v>
      </c>
      <c r="EM188" s="2" t="n">
        <v>0</v>
      </c>
      <c r="EN188" s="2" t="n">
        <v>0</v>
      </c>
      <c r="EO188" s="2" t="n">
        <v>0</v>
      </c>
      <c r="EP188" s="2" t="n">
        <v>0</v>
      </c>
      <c r="EQ188" s="2" t="n">
        <v>0</v>
      </c>
      <c r="ER188" s="2" t="n">
        <v>0</v>
      </c>
      <c r="ES188" s="2" t="n">
        <v>0</v>
      </c>
    </row>
    <row r="189">
      <c r="A189" s="2" t="n">
        <v>2</v>
      </c>
      <c r="B189" s="2" t="inlineStr">
        <is>
          <t>11.04</t>
        </is>
      </c>
      <c r="C189" s="2" t="inlineStr">
        <is>
          <t>Equipamentos para apoio logístico</t>
        </is>
      </c>
      <c r="D189" s="2" t="inlineStr">
        <is>
          <t>-</t>
        </is>
      </c>
      <c r="E189" s="2" t="inlineStr">
        <is>
          <t>-</t>
        </is>
      </c>
      <c r="F189" s="2" t="n">
        <v>2180921.6387053</v>
      </c>
      <c r="G189" s="2" t="n">
        <v>0</v>
      </c>
      <c r="H189" s="2" t="n">
        <v>2180921.6387053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0</v>
      </c>
      <c r="BT189" s="2" t="n">
        <v>0</v>
      </c>
      <c r="BU189" s="2" t="n">
        <v>0</v>
      </c>
      <c r="BV189" s="2" t="n">
        <v>0</v>
      </c>
      <c r="BW189" s="2" t="n">
        <v>0</v>
      </c>
      <c r="BX189" s="2" t="n">
        <v>0</v>
      </c>
      <c r="BY189" s="2" t="n">
        <v>0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0</v>
      </c>
      <c r="CN189" s="2" t="n">
        <v>0</v>
      </c>
      <c r="CO189" s="2" t="n">
        <v>0</v>
      </c>
      <c r="CP189" s="2" t="n">
        <v>0</v>
      </c>
      <c r="CQ189" s="2" t="n">
        <v>0</v>
      </c>
      <c r="CR189" s="2" t="n">
        <v>0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0</v>
      </c>
      <c r="DD189" s="2" t="n">
        <v>0</v>
      </c>
      <c r="DE189" s="2" t="n">
        <v>0</v>
      </c>
      <c r="DF189" s="2" t="n">
        <v>0</v>
      </c>
      <c r="DG189" s="2" t="n">
        <v>0</v>
      </c>
      <c r="DH189" s="2" t="n">
        <v>0</v>
      </c>
      <c r="DI189" s="2" t="n">
        <v>0</v>
      </c>
      <c r="DJ189" s="2" t="n">
        <v>0</v>
      </c>
      <c r="DK189" s="2" t="n">
        <v>0</v>
      </c>
      <c r="DL189" s="2" t="n">
        <v>0</v>
      </c>
      <c r="DM189" s="2" t="n">
        <v>0</v>
      </c>
      <c r="DN189" s="2" t="n">
        <v>0</v>
      </c>
      <c r="DO189" s="2" t="n">
        <v>0</v>
      </c>
      <c r="DP189" s="2" t="n">
        <v>0</v>
      </c>
      <c r="DQ189" s="2" t="n">
        <v>0</v>
      </c>
      <c r="DR189" s="2" t="n">
        <v>0</v>
      </c>
      <c r="DS189" s="2" t="n">
        <v>0</v>
      </c>
      <c r="DT189" s="2" t="n">
        <v>0</v>
      </c>
      <c r="DU189" s="2" t="n">
        <v>0</v>
      </c>
      <c r="DV189" s="2" t="n">
        <v>0</v>
      </c>
      <c r="DW189" s="2" t="n">
        <v>0</v>
      </c>
      <c r="DX189" s="2" t="n">
        <v>0</v>
      </c>
      <c r="DY189" s="2" t="n">
        <v>0</v>
      </c>
      <c r="DZ189" s="2" t="n">
        <v>0</v>
      </c>
      <c r="EA189" s="2" t="n">
        <v>0</v>
      </c>
      <c r="EB189" s="2" t="n">
        <v>0</v>
      </c>
      <c r="EC189" s="2" t="n">
        <v>0</v>
      </c>
      <c r="ED189" s="2" t="n">
        <v>0</v>
      </c>
      <c r="EE189" s="2" t="n">
        <v>0</v>
      </c>
      <c r="EF189" s="2" t="n">
        <v>0</v>
      </c>
      <c r="EG189" s="2" t="n">
        <v>0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0</v>
      </c>
      <c r="EM189" s="2" t="n">
        <v>0</v>
      </c>
      <c r="EN189" s="2" t="n">
        <v>0</v>
      </c>
      <c r="EO189" s="2" t="n">
        <v>0</v>
      </c>
      <c r="EP189" s="2" t="n">
        <v>0</v>
      </c>
      <c r="EQ189" s="2" t="n">
        <v>0</v>
      </c>
      <c r="ER189" s="2" t="n">
        <v>0</v>
      </c>
      <c r="ES189" s="2" t="n">
        <v>0</v>
      </c>
    </row>
    <row r="190">
      <c r="A190" s="2" t="n">
        <v>3</v>
      </c>
      <c r="B190" s="2" t="inlineStr">
        <is>
          <t>11.04.01</t>
        </is>
      </c>
      <c r="C190" s="2" t="inlineStr">
        <is>
          <t>Elevador provisório - Tração por cremalheira</t>
        </is>
      </c>
      <c r="D190" s="2" t="inlineStr">
        <is>
          <t>-</t>
        </is>
      </c>
      <c r="E190" s="2" t="inlineStr">
        <is>
          <t>-</t>
        </is>
      </c>
      <c r="F190" s="2" t="n">
        <v>854725.0387053002</v>
      </c>
      <c r="G190" s="2" t="n">
        <v>0</v>
      </c>
      <c r="H190" s="2" t="n">
        <v>854725.0387053002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0</v>
      </c>
      <c r="CT190" s="2" t="n">
        <v>0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0</v>
      </c>
      <c r="DD190" s="2" t="n">
        <v>0</v>
      </c>
      <c r="DE190" s="2" t="n">
        <v>0</v>
      </c>
      <c r="DF190" s="2" t="n">
        <v>0</v>
      </c>
      <c r="DG190" s="2" t="n">
        <v>0</v>
      </c>
      <c r="DH190" s="2" t="n">
        <v>0</v>
      </c>
      <c r="DI190" s="2" t="n">
        <v>0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0</v>
      </c>
      <c r="DW190" s="2" t="n">
        <v>0</v>
      </c>
      <c r="DX190" s="2" t="n">
        <v>0</v>
      </c>
      <c r="DY190" s="2" t="n">
        <v>0</v>
      </c>
      <c r="DZ190" s="2" t="n">
        <v>0</v>
      </c>
      <c r="EA190" s="2" t="n">
        <v>0</v>
      </c>
      <c r="EB190" s="2" t="n">
        <v>0</v>
      </c>
      <c r="EC190" s="2" t="n">
        <v>0</v>
      </c>
      <c r="ED190" s="2" t="n">
        <v>0</v>
      </c>
      <c r="EE190" s="2" t="n">
        <v>0</v>
      </c>
      <c r="EF190" s="2" t="n">
        <v>0</v>
      </c>
      <c r="EG190" s="2" t="n">
        <v>0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0</v>
      </c>
      <c r="EM190" s="2" t="n">
        <v>0</v>
      </c>
      <c r="EN190" s="2" t="n">
        <v>0</v>
      </c>
      <c r="EO190" s="2" t="n">
        <v>0</v>
      </c>
      <c r="EP190" s="2" t="n">
        <v>0</v>
      </c>
      <c r="EQ190" s="2" t="n">
        <v>0</v>
      </c>
      <c r="ER190" s="2" t="n">
        <v>0</v>
      </c>
      <c r="ES190" s="2" t="n">
        <v>0</v>
      </c>
    </row>
    <row r="191">
      <c r="A191" s="2" t="n">
        <v>4</v>
      </c>
      <c r="B191" s="2" t="inlineStr">
        <is>
          <t>11.04.01.01</t>
        </is>
      </c>
      <c r="C191" s="2" t="inlineStr">
        <is>
          <t>Locação mensal - Dupla</t>
        </is>
      </c>
      <c r="D191" s="2" t="inlineStr">
        <is>
          <t>-</t>
        </is>
      </c>
      <c r="E191" s="2" t="inlineStr">
        <is>
          <t>-</t>
        </is>
      </c>
      <c r="F191" s="2" t="n">
        <v>720000</v>
      </c>
      <c r="G191" s="2" t="n">
        <v>0</v>
      </c>
      <c r="H191" s="2" t="n">
        <v>720000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0</v>
      </c>
      <c r="CT191" s="2" t="n">
        <v>0</v>
      </c>
      <c r="CU191" s="2" t="n">
        <v>0</v>
      </c>
      <c r="CV191" s="2" t="n">
        <v>0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n">
        <v>0</v>
      </c>
      <c r="DD191" s="2" t="n">
        <v>0</v>
      </c>
      <c r="DE191" s="2" t="n">
        <v>0</v>
      </c>
      <c r="DF191" s="2" t="n">
        <v>0</v>
      </c>
      <c r="DG191" s="2" t="n">
        <v>0</v>
      </c>
      <c r="DH191" s="2" t="n">
        <v>0</v>
      </c>
      <c r="DI191" s="2" t="n">
        <v>0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0</v>
      </c>
      <c r="DW191" s="2" t="n">
        <v>0</v>
      </c>
      <c r="DX191" s="2" t="n">
        <v>0</v>
      </c>
      <c r="DY191" s="2" t="n">
        <v>0</v>
      </c>
      <c r="DZ191" s="2" t="n">
        <v>0</v>
      </c>
      <c r="EA191" s="2" t="n">
        <v>0</v>
      </c>
      <c r="EB191" s="2" t="n">
        <v>0</v>
      </c>
      <c r="EC191" s="2" t="n">
        <v>0</v>
      </c>
      <c r="ED191" s="2" t="n">
        <v>0</v>
      </c>
      <c r="EE191" s="2" t="n">
        <v>0</v>
      </c>
      <c r="EF191" s="2" t="n">
        <v>0</v>
      </c>
      <c r="EG191" s="2" t="n">
        <v>0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0</v>
      </c>
      <c r="EM191" s="2" t="n">
        <v>0</v>
      </c>
      <c r="EN191" s="2" t="n">
        <v>0</v>
      </c>
      <c r="EO191" s="2" t="n">
        <v>0</v>
      </c>
      <c r="EP191" s="2" t="n">
        <v>0</v>
      </c>
      <c r="EQ191" s="2" t="n">
        <v>0</v>
      </c>
      <c r="ER191" s="2" t="n">
        <v>0</v>
      </c>
      <c r="ES191" s="2" t="n">
        <v>0</v>
      </c>
    </row>
    <row r="192">
      <c r="A192" s="2" t="n">
        <v>4</v>
      </c>
      <c r="B192" s="2" t="inlineStr">
        <is>
          <t>11.04.01.02</t>
        </is>
      </c>
      <c r="C192" s="2" t="inlineStr">
        <is>
          <t>Locacao de cancelas</t>
        </is>
      </c>
      <c r="D192" s="2" t="inlineStr">
        <is>
          <t>-</t>
        </is>
      </c>
      <c r="E192" s="2" t="inlineStr">
        <is>
          <t>-</t>
        </is>
      </c>
      <c r="F192" s="2" t="n">
        <v>40200</v>
      </c>
      <c r="G192" s="2" t="n">
        <v>0</v>
      </c>
      <c r="H192" s="2" t="n">
        <v>40200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0</v>
      </c>
      <c r="BV192" s="2" t="n">
        <v>0</v>
      </c>
      <c r="BW192" s="2" t="n">
        <v>0</v>
      </c>
      <c r="BX192" s="2" t="n">
        <v>0</v>
      </c>
      <c r="BY192" s="2" t="n">
        <v>0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n">
        <v>0</v>
      </c>
      <c r="CQ192" s="2" t="n">
        <v>0</v>
      </c>
      <c r="CR192" s="2" t="n">
        <v>0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0</v>
      </c>
      <c r="DD192" s="2" t="n">
        <v>0</v>
      </c>
      <c r="DE192" s="2" t="n">
        <v>0</v>
      </c>
      <c r="DF192" s="2" t="n">
        <v>0</v>
      </c>
      <c r="DG192" s="2" t="n">
        <v>0</v>
      </c>
      <c r="DH192" s="2" t="n">
        <v>0</v>
      </c>
      <c r="DI192" s="2" t="n">
        <v>0</v>
      </c>
      <c r="DJ192" s="2" t="n">
        <v>0</v>
      </c>
      <c r="DK192" s="2" t="n">
        <v>0</v>
      </c>
      <c r="DL192" s="2" t="n">
        <v>0</v>
      </c>
      <c r="DM192" s="2" t="n">
        <v>0</v>
      </c>
      <c r="DN192" s="2" t="n">
        <v>0</v>
      </c>
      <c r="DO192" s="2" t="n">
        <v>0</v>
      </c>
      <c r="DP192" s="2" t="n">
        <v>0</v>
      </c>
      <c r="DQ192" s="2" t="n">
        <v>0</v>
      </c>
      <c r="DR192" s="2" t="n">
        <v>0</v>
      </c>
      <c r="DS192" s="2" t="n">
        <v>0</v>
      </c>
      <c r="DT192" s="2" t="n">
        <v>0</v>
      </c>
      <c r="DU192" s="2" t="n">
        <v>0</v>
      </c>
      <c r="DV192" s="2" t="n">
        <v>0</v>
      </c>
      <c r="DW192" s="2" t="n">
        <v>0</v>
      </c>
      <c r="DX192" s="2" t="n">
        <v>0</v>
      </c>
      <c r="DY192" s="2" t="n">
        <v>0</v>
      </c>
      <c r="DZ192" s="2" t="n">
        <v>0</v>
      </c>
      <c r="EA192" s="2" t="n">
        <v>0</v>
      </c>
      <c r="EB192" s="2" t="n">
        <v>0</v>
      </c>
      <c r="EC192" s="2" t="n">
        <v>0</v>
      </c>
      <c r="ED192" s="2" t="n">
        <v>0</v>
      </c>
      <c r="EE192" s="2" t="n">
        <v>0</v>
      </c>
      <c r="EF192" s="2" t="n">
        <v>0</v>
      </c>
      <c r="EG192" s="2" t="n">
        <v>0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0</v>
      </c>
      <c r="EM192" s="2" t="n">
        <v>0</v>
      </c>
      <c r="EN192" s="2" t="n">
        <v>0</v>
      </c>
      <c r="EO192" s="2" t="n">
        <v>0</v>
      </c>
      <c r="EP192" s="2" t="n">
        <v>0</v>
      </c>
      <c r="EQ192" s="2" t="n">
        <v>0</v>
      </c>
      <c r="ER192" s="2" t="n">
        <v>0</v>
      </c>
      <c r="ES192" s="2" t="n">
        <v>0</v>
      </c>
    </row>
    <row r="193">
      <c r="A193" s="2" t="n">
        <v>4</v>
      </c>
      <c r="B193" s="2" t="inlineStr">
        <is>
          <t>11.04.01.03</t>
        </is>
      </c>
      <c r="C193" s="2" t="inlineStr">
        <is>
          <t>Mão-de-obra de montagem</t>
        </is>
      </c>
      <c r="D193" s="2" t="inlineStr">
        <is>
          <t>-</t>
        </is>
      </c>
      <c r="E193" s="2" t="inlineStr">
        <is>
          <t>-</t>
        </is>
      </c>
      <c r="F193" s="2" t="n">
        <v>14500</v>
      </c>
      <c r="G193" s="2" t="n">
        <v>0</v>
      </c>
      <c r="H193" s="2" t="n">
        <v>14500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0</v>
      </c>
      <c r="BT193" s="2" t="n">
        <v>0</v>
      </c>
      <c r="BU193" s="2" t="n">
        <v>0</v>
      </c>
      <c r="BV193" s="2" t="n">
        <v>0</v>
      </c>
      <c r="BW193" s="2" t="n">
        <v>0</v>
      </c>
      <c r="BX193" s="2" t="n">
        <v>0</v>
      </c>
      <c r="BY193" s="2" t="n">
        <v>0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0</v>
      </c>
      <c r="CN193" s="2" t="n">
        <v>0</v>
      </c>
      <c r="CO193" s="2" t="n">
        <v>0</v>
      </c>
      <c r="CP193" s="2" t="n">
        <v>0</v>
      </c>
      <c r="CQ193" s="2" t="n">
        <v>0</v>
      </c>
      <c r="CR193" s="2" t="n">
        <v>0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0</v>
      </c>
      <c r="DD193" s="2" t="n">
        <v>0</v>
      </c>
      <c r="DE193" s="2" t="n">
        <v>0</v>
      </c>
      <c r="DF193" s="2" t="n">
        <v>0</v>
      </c>
      <c r="DG193" s="2" t="n">
        <v>0</v>
      </c>
      <c r="DH193" s="2" t="n">
        <v>0</v>
      </c>
      <c r="DI193" s="2" t="n">
        <v>0</v>
      </c>
      <c r="DJ193" s="2" t="n">
        <v>0</v>
      </c>
      <c r="DK193" s="2" t="n">
        <v>0</v>
      </c>
      <c r="DL193" s="2" t="n">
        <v>0</v>
      </c>
      <c r="DM193" s="2" t="n">
        <v>0</v>
      </c>
      <c r="DN193" s="2" t="n">
        <v>0</v>
      </c>
      <c r="DO193" s="2" t="n">
        <v>0</v>
      </c>
      <c r="DP193" s="2" t="n">
        <v>0</v>
      </c>
      <c r="DQ193" s="2" t="n">
        <v>0</v>
      </c>
      <c r="DR193" s="2" t="n">
        <v>0</v>
      </c>
      <c r="DS193" s="2" t="n">
        <v>0</v>
      </c>
      <c r="DT193" s="2" t="n">
        <v>0</v>
      </c>
      <c r="DU193" s="2" t="n">
        <v>0</v>
      </c>
      <c r="DV193" s="2" t="n">
        <v>0</v>
      </c>
      <c r="DW193" s="2" t="n">
        <v>0</v>
      </c>
      <c r="DX193" s="2" t="n">
        <v>0</v>
      </c>
      <c r="DY193" s="2" t="n">
        <v>0</v>
      </c>
      <c r="DZ193" s="2" t="n">
        <v>0</v>
      </c>
      <c r="EA193" s="2" t="n">
        <v>0</v>
      </c>
      <c r="EB193" s="2" t="n">
        <v>0</v>
      </c>
      <c r="EC193" s="2" t="n">
        <v>0</v>
      </c>
      <c r="ED193" s="2" t="n">
        <v>0</v>
      </c>
      <c r="EE193" s="2" t="n">
        <v>0</v>
      </c>
      <c r="EF193" s="2" t="n">
        <v>0</v>
      </c>
      <c r="EG193" s="2" t="n">
        <v>0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0</v>
      </c>
      <c r="EM193" s="2" t="n">
        <v>0</v>
      </c>
      <c r="EN193" s="2" t="n">
        <v>0</v>
      </c>
      <c r="EO193" s="2" t="n">
        <v>0</v>
      </c>
      <c r="EP193" s="2" t="n">
        <v>0</v>
      </c>
      <c r="EQ193" s="2" t="n">
        <v>0</v>
      </c>
      <c r="ER193" s="2" t="n">
        <v>0</v>
      </c>
      <c r="ES193" s="2" t="n">
        <v>0</v>
      </c>
    </row>
    <row r="194">
      <c r="A194" s="2" t="n">
        <v>4</v>
      </c>
      <c r="B194" s="2" t="inlineStr">
        <is>
          <t>11.04.01.04</t>
        </is>
      </c>
      <c r="C194" s="2" t="inlineStr">
        <is>
          <t>Mão-de-obra de desmontagem</t>
        </is>
      </c>
      <c r="D194" s="2" t="inlineStr">
        <is>
          <t>-</t>
        </is>
      </c>
      <c r="E194" s="2" t="inlineStr">
        <is>
          <t>-</t>
        </is>
      </c>
      <c r="F194" s="2" t="n">
        <v>26000</v>
      </c>
      <c r="G194" s="2" t="n">
        <v>0</v>
      </c>
      <c r="H194" s="2" t="n">
        <v>26000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0</v>
      </c>
      <c r="BU194" s="2" t="n">
        <v>0</v>
      </c>
      <c r="BV194" s="2" t="n">
        <v>0</v>
      </c>
      <c r="BW194" s="2" t="n">
        <v>0</v>
      </c>
      <c r="BX194" s="2" t="n">
        <v>0</v>
      </c>
      <c r="BY194" s="2" t="n">
        <v>0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n">
        <v>0</v>
      </c>
      <c r="CQ194" s="2" t="n">
        <v>0</v>
      </c>
      <c r="CR194" s="2" t="n">
        <v>0</v>
      </c>
      <c r="CS194" s="2" t="n">
        <v>0</v>
      </c>
      <c r="CT194" s="2" t="n">
        <v>0</v>
      </c>
      <c r="CU194" s="2" t="n">
        <v>0</v>
      </c>
      <c r="CV194" s="2" t="n">
        <v>0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0</v>
      </c>
      <c r="DD194" s="2" t="n">
        <v>0</v>
      </c>
      <c r="DE194" s="2" t="n">
        <v>0</v>
      </c>
      <c r="DF194" s="2" t="n">
        <v>0</v>
      </c>
      <c r="DG194" s="2" t="n">
        <v>0</v>
      </c>
      <c r="DH194" s="2" t="n">
        <v>0</v>
      </c>
      <c r="DI194" s="2" t="n">
        <v>0</v>
      </c>
      <c r="DJ194" s="2" t="n">
        <v>0</v>
      </c>
      <c r="DK194" s="2" t="n">
        <v>0</v>
      </c>
      <c r="DL194" s="2" t="n">
        <v>0</v>
      </c>
      <c r="DM194" s="2" t="n">
        <v>0</v>
      </c>
      <c r="DN194" s="2" t="n">
        <v>0</v>
      </c>
      <c r="DO194" s="2" t="n">
        <v>0</v>
      </c>
      <c r="DP194" s="2" t="n">
        <v>0</v>
      </c>
      <c r="DQ194" s="2" t="n">
        <v>0</v>
      </c>
      <c r="DR194" s="2" t="n">
        <v>0</v>
      </c>
      <c r="DS194" s="2" t="n">
        <v>0</v>
      </c>
      <c r="DT194" s="2" t="n">
        <v>0</v>
      </c>
      <c r="DU194" s="2" t="n">
        <v>0</v>
      </c>
      <c r="DV194" s="2" t="n">
        <v>0</v>
      </c>
      <c r="DW194" s="2" t="n">
        <v>0</v>
      </c>
      <c r="DX194" s="2" t="n">
        <v>0</v>
      </c>
      <c r="DY194" s="2" t="n">
        <v>0</v>
      </c>
      <c r="DZ194" s="2" t="n">
        <v>0</v>
      </c>
      <c r="EA194" s="2" t="n">
        <v>0</v>
      </c>
      <c r="EB194" s="2" t="n">
        <v>0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0</v>
      </c>
      <c r="EM194" s="2" t="n">
        <v>0</v>
      </c>
      <c r="EN194" s="2" t="n">
        <v>0</v>
      </c>
      <c r="EO194" s="2" t="n">
        <v>0</v>
      </c>
      <c r="EP194" s="2" t="n">
        <v>0</v>
      </c>
      <c r="EQ194" s="2" t="n">
        <v>0</v>
      </c>
      <c r="ER194" s="2" t="n">
        <v>0</v>
      </c>
      <c r="ES194" s="2" t="n">
        <v>0</v>
      </c>
    </row>
    <row r="195">
      <c r="A195" s="2" t="n">
        <v>4</v>
      </c>
      <c r="B195" s="2" t="inlineStr">
        <is>
          <t>11.04.01.05</t>
        </is>
      </c>
      <c r="C195" s="2" t="inlineStr">
        <is>
          <t>Protecao do fosso do elevador e varandas</t>
        </is>
      </c>
      <c r="D195" s="2" t="inlineStr">
        <is>
          <t>-</t>
        </is>
      </c>
      <c r="E195" s="2" t="inlineStr">
        <is>
          <t>-</t>
        </is>
      </c>
      <c r="F195" s="2" t="n">
        <v>33500</v>
      </c>
      <c r="G195" s="2" t="n">
        <v>0</v>
      </c>
      <c r="H195" s="2" t="n">
        <v>33500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n">
        <v>0</v>
      </c>
      <c r="BT195" s="2" t="n">
        <v>0</v>
      </c>
      <c r="BU195" s="2" t="n">
        <v>0</v>
      </c>
      <c r="BV195" s="2" t="n">
        <v>0</v>
      </c>
      <c r="BW195" s="2" t="n">
        <v>0</v>
      </c>
      <c r="BX195" s="2" t="n">
        <v>0</v>
      </c>
      <c r="BY195" s="2" t="n">
        <v>0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0</v>
      </c>
      <c r="CN195" s="2" t="n">
        <v>0</v>
      </c>
      <c r="CO195" s="2" t="n">
        <v>0</v>
      </c>
      <c r="CP195" s="2" t="n">
        <v>0</v>
      </c>
      <c r="CQ195" s="2" t="n">
        <v>0</v>
      </c>
      <c r="CR195" s="2" t="n">
        <v>0</v>
      </c>
      <c r="CS195" s="2" t="n">
        <v>0</v>
      </c>
      <c r="CT195" s="2" t="n">
        <v>0</v>
      </c>
      <c r="CU195" s="2" t="n">
        <v>0</v>
      </c>
      <c r="CV195" s="2" t="n">
        <v>0</v>
      </c>
      <c r="CW195" s="2" t="n">
        <v>0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0</v>
      </c>
      <c r="DD195" s="2" t="n">
        <v>0</v>
      </c>
      <c r="DE195" s="2" t="n">
        <v>0</v>
      </c>
      <c r="DF195" s="2" t="n">
        <v>0</v>
      </c>
      <c r="DG195" s="2" t="n">
        <v>0</v>
      </c>
      <c r="DH195" s="2" t="n">
        <v>0</v>
      </c>
      <c r="DI195" s="2" t="n">
        <v>0</v>
      </c>
      <c r="DJ195" s="2" t="n">
        <v>0</v>
      </c>
      <c r="DK195" s="2" t="n">
        <v>0</v>
      </c>
      <c r="DL195" s="2" t="n">
        <v>0</v>
      </c>
      <c r="DM195" s="2" t="n">
        <v>0</v>
      </c>
      <c r="DN195" s="2" t="n">
        <v>0</v>
      </c>
      <c r="DO195" s="2" t="n">
        <v>0</v>
      </c>
      <c r="DP195" s="2" t="n">
        <v>0</v>
      </c>
      <c r="DQ195" s="2" t="n">
        <v>0</v>
      </c>
      <c r="DR195" s="2" t="n">
        <v>0</v>
      </c>
      <c r="DS195" s="2" t="n">
        <v>0</v>
      </c>
      <c r="DT195" s="2" t="n">
        <v>0</v>
      </c>
      <c r="DU195" s="2" t="n">
        <v>0</v>
      </c>
      <c r="DV195" s="2" t="n">
        <v>0</v>
      </c>
      <c r="DW195" s="2" t="n">
        <v>0</v>
      </c>
      <c r="DX195" s="2" t="n">
        <v>0</v>
      </c>
      <c r="DY195" s="2" t="n">
        <v>0</v>
      </c>
      <c r="DZ195" s="2" t="n">
        <v>0</v>
      </c>
      <c r="EA195" s="2" t="n">
        <v>0</v>
      </c>
      <c r="EB195" s="2" t="n">
        <v>0</v>
      </c>
      <c r="EC195" s="2" t="n">
        <v>0</v>
      </c>
      <c r="ED195" s="2" t="n">
        <v>0</v>
      </c>
      <c r="EE195" s="2" t="n">
        <v>0</v>
      </c>
      <c r="EF195" s="2" t="n">
        <v>0</v>
      </c>
      <c r="EG195" s="2" t="n">
        <v>0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0</v>
      </c>
      <c r="EM195" s="2" t="n">
        <v>0</v>
      </c>
      <c r="EN195" s="2" t="n">
        <v>0</v>
      </c>
      <c r="EO195" s="2" t="n">
        <v>0</v>
      </c>
      <c r="EP195" s="2" t="n">
        <v>0</v>
      </c>
      <c r="EQ195" s="2" t="n">
        <v>0</v>
      </c>
      <c r="ER195" s="2" t="n">
        <v>0</v>
      </c>
      <c r="ES195" s="2" t="n">
        <v>0</v>
      </c>
    </row>
    <row r="196">
      <c r="A196" s="2" t="n">
        <v>4</v>
      </c>
      <c r="B196" s="2" t="inlineStr">
        <is>
          <t>11.04.01.06</t>
        </is>
      </c>
      <c r="C196" s="2" t="inlineStr">
        <is>
          <t>Bases de concreto para instalação da torre e motor</t>
        </is>
      </c>
      <c r="D196" s="2" t="inlineStr">
        <is>
          <t>-</t>
        </is>
      </c>
      <c r="E196" s="2" t="inlineStr">
        <is>
          <t>-</t>
        </is>
      </c>
      <c r="F196" s="2" t="n">
        <v>4825.038705300182</v>
      </c>
      <c r="G196" s="2" t="n">
        <v>0</v>
      </c>
      <c r="H196" s="2" t="n">
        <v>4825.038705300182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0</v>
      </c>
      <c r="BU196" s="2" t="n">
        <v>0</v>
      </c>
      <c r="BV196" s="2" t="n">
        <v>0</v>
      </c>
      <c r="BW196" s="2" t="n">
        <v>0</v>
      </c>
      <c r="BX196" s="2" t="n">
        <v>0</v>
      </c>
      <c r="BY196" s="2" t="n">
        <v>0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n">
        <v>0</v>
      </c>
      <c r="CQ196" s="2" t="n">
        <v>0</v>
      </c>
      <c r="CR196" s="2" t="n">
        <v>0</v>
      </c>
      <c r="CS196" s="2" t="n">
        <v>0</v>
      </c>
      <c r="CT196" s="2" t="n">
        <v>0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n">
        <v>0</v>
      </c>
      <c r="DD196" s="2" t="n">
        <v>0</v>
      </c>
      <c r="DE196" s="2" t="n">
        <v>0</v>
      </c>
      <c r="DF196" s="2" t="n">
        <v>0</v>
      </c>
      <c r="DG196" s="2" t="n">
        <v>0</v>
      </c>
      <c r="DH196" s="2" t="n">
        <v>0</v>
      </c>
      <c r="DI196" s="2" t="n">
        <v>0</v>
      </c>
      <c r="DJ196" s="2" t="n">
        <v>0</v>
      </c>
      <c r="DK196" s="2" t="n">
        <v>0</v>
      </c>
      <c r="DL196" s="2" t="n">
        <v>0</v>
      </c>
      <c r="DM196" s="2" t="n">
        <v>0</v>
      </c>
      <c r="DN196" s="2" t="n">
        <v>0</v>
      </c>
      <c r="DO196" s="2" t="n">
        <v>0</v>
      </c>
      <c r="DP196" s="2" t="n">
        <v>0</v>
      </c>
      <c r="DQ196" s="2" t="n">
        <v>0</v>
      </c>
      <c r="DR196" s="2" t="n">
        <v>0</v>
      </c>
      <c r="DS196" s="2" t="n">
        <v>0</v>
      </c>
      <c r="DT196" s="2" t="n">
        <v>0</v>
      </c>
      <c r="DU196" s="2" t="n">
        <v>0</v>
      </c>
      <c r="DV196" s="2" t="n">
        <v>0</v>
      </c>
      <c r="DW196" s="2" t="n">
        <v>0</v>
      </c>
      <c r="DX196" s="2" t="n">
        <v>0</v>
      </c>
      <c r="DY196" s="2" t="n">
        <v>0</v>
      </c>
      <c r="DZ196" s="2" t="n">
        <v>0</v>
      </c>
      <c r="EA196" s="2" t="n">
        <v>0</v>
      </c>
      <c r="EB196" s="2" t="n">
        <v>0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0</v>
      </c>
      <c r="EM196" s="2" t="n">
        <v>0</v>
      </c>
      <c r="EN196" s="2" t="n">
        <v>0</v>
      </c>
      <c r="EO196" s="2" t="n">
        <v>0</v>
      </c>
      <c r="EP196" s="2" t="n">
        <v>0</v>
      </c>
      <c r="EQ196" s="2" t="n">
        <v>0</v>
      </c>
      <c r="ER196" s="2" t="n">
        <v>0</v>
      </c>
      <c r="ES196" s="2" t="n">
        <v>0</v>
      </c>
    </row>
    <row r="197">
      <c r="A197" s="2" t="n">
        <v>4</v>
      </c>
      <c r="B197" s="2" t="inlineStr">
        <is>
          <t>11.04.01.07</t>
        </is>
      </c>
      <c r="C197" s="2" t="inlineStr">
        <is>
          <t>Frete</t>
        </is>
      </c>
      <c r="D197" s="2" t="inlineStr">
        <is>
          <t>-</t>
        </is>
      </c>
      <c r="E197" s="2" t="inlineStr">
        <is>
          <t>-</t>
        </is>
      </c>
      <c r="F197" s="2" t="n">
        <v>7000</v>
      </c>
      <c r="G197" s="2" t="n">
        <v>0</v>
      </c>
      <c r="H197" s="2" t="n">
        <v>7000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0</v>
      </c>
      <c r="DD197" s="2" t="n">
        <v>0</v>
      </c>
      <c r="DE197" s="2" t="n">
        <v>0</v>
      </c>
      <c r="DF197" s="2" t="n">
        <v>0</v>
      </c>
      <c r="DG197" s="2" t="n">
        <v>0</v>
      </c>
      <c r="DH197" s="2" t="n">
        <v>0</v>
      </c>
      <c r="DI197" s="2" t="n">
        <v>0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0</v>
      </c>
      <c r="DW197" s="2" t="n">
        <v>0</v>
      </c>
      <c r="DX197" s="2" t="n">
        <v>0</v>
      </c>
      <c r="DY197" s="2" t="n">
        <v>0</v>
      </c>
      <c r="DZ197" s="2" t="n">
        <v>0</v>
      </c>
      <c r="EA197" s="2" t="n">
        <v>0</v>
      </c>
      <c r="EB197" s="2" t="n">
        <v>0</v>
      </c>
      <c r="EC197" s="2" t="n">
        <v>0</v>
      </c>
      <c r="ED197" s="2" t="n">
        <v>0</v>
      </c>
      <c r="EE197" s="2" t="n">
        <v>0</v>
      </c>
      <c r="EF197" s="2" t="n">
        <v>0</v>
      </c>
      <c r="EG197" s="2" t="n">
        <v>0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0</v>
      </c>
      <c r="EM197" s="2" t="n">
        <v>0</v>
      </c>
      <c r="EN197" s="2" t="n">
        <v>0</v>
      </c>
      <c r="EO197" s="2" t="n">
        <v>0</v>
      </c>
      <c r="EP197" s="2" t="n">
        <v>0</v>
      </c>
      <c r="EQ197" s="2" t="n">
        <v>0</v>
      </c>
      <c r="ER197" s="2" t="n">
        <v>0</v>
      </c>
      <c r="ES197" s="2" t="n">
        <v>0</v>
      </c>
    </row>
    <row r="198">
      <c r="A198" s="2" t="n">
        <v>4</v>
      </c>
      <c r="B198" s="2" t="inlineStr">
        <is>
          <t>11.04.01.08</t>
        </is>
      </c>
      <c r="C198" s="2" t="inlineStr">
        <is>
          <t>Manutenção preventiva/projetos</t>
        </is>
      </c>
      <c r="D198" s="2" t="inlineStr">
        <is>
          <t>-</t>
        </is>
      </c>
      <c r="E198" s="2" t="inlineStr">
        <is>
          <t>-</t>
        </is>
      </c>
      <c r="F198" s="2" t="n">
        <v>8700</v>
      </c>
      <c r="G198" s="2" t="n">
        <v>0</v>
      </c>
      <c r="H198" s="2" t="n">
        <v>8700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0</v>
      </c>
      <c r="DD198" s="2" t="n">
        <v>0</v>
      </c>
      <c r="DE198" s="2" t="n">
        <v>0</v>
      </c>
      <c r="DF198" s="2" t="n">
        <v>0</v>
      </c>
      <c r="DG198" s="2" t="n">
        <v>0</v>
      </c>
      <c r="DH198" s="2" t="n">
        <v>0</v>
      </c>
      <c r="DI198" s="2" t="n">
        <v>0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0</v>
      </c>
      <c r="DW198" s="2" t="n">
        <v>0</v>
      </c>
      <c r="DX198" s="2" t="n">
        <v>0</v>
      </c>
      <c r="DY198" s="2" t="n">
        <v>0</v>
      </c>
      <c r="DZ198" s="2" t="n">
        <v>0</v>
      </c>
      <c r="EA198" s="2" t="n">
        <v>0</v>
      </c>
      <c r="EB198" s="2" t="n">
        <v>0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0</v>
      </c>
      <c r="EM198" s="2" t="n">
        <v>0</v>
      </c>
      <c r="EN198" s="2" t="n">
        <v>0</v>
      </c>
      <c r="EO198" s="2" t="n">
        <v>0</v>
      </c>
      <c r="EP198" s="2" t="n">
        <v>0</v>
      </c>
      <c r="EQ198" s="2" t="n">
        <v>0</v>
      </c>
      <c r="ER198" s="2" t="n">
        <v>0</v>
      </c>
      <c r="ES198" s="2" t="n">
        <v>0</v>
      </c>
    </row>
    <row r="199">
      <c r="A199" s="2" t="n">
        <v>3</v>
      </c>
      <c r="B199" s="2" t="inlineStr">
        <is>
          <t>11.04.02</t>
        </is>
      </c>
      <c r="C199" s="2" t="inlineStr">
        <is>
          <t>Gruas</t>
        </is>
      </c>
      <c r="D199" s="2" t="inlineStr">
        <is>
          <t>-</t>
        </is>
      </c>
      <c r="E199" s="2" t="inlineStr">
        <is>
          <t>-</t>
        </is>
      </c>
      <c r="F199" s="2" t="n">
        <v>1326196.6</v>
      </c>
      <c r="G199" s="2" t="n">
        <v>0</v>
      </c>
      <c r="H199" s="2" t="n">
        <v>1326196.6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0</v>
      </c>
      <c r="BT199" s="2" t="n">
        <v>0</v>
      </c>
      <c r="BU199" s="2" t="n">
        <v>0</v>
      </c>
      <c r="BV199" s="2" t="n">
        <v>0</v>
      </c>
      <c r="BW199" s="2" t="n">
        <v>0</v>
      </c>
      <c r="BX199" s="2" t="n">
        <v>0</v>
      </c>
      <c r="BY199" s="2" t="n">
        <v>0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0</v>
      </c>
      <c r="CN199" s="2" t="n">
        <v>0</v>
      </c>
      <c r="CO199" s="2" t="n">
        <v>0</v>
      </c>
      <c r="CP199" s="2" t="n">
        <v>0</v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0</v>
      </c>
      <c r="DD199" s="2" t="n">
        <v>0</v>
      </c>
      <c r="DE199" s="2" t="n">
        <v>0</v>
      </c>
      <c r="DF199" s="2" t="n">
        <v>0</v>
      </c>
      <c r="DG199" s="2" t="n">
        <v>0</v>
      </c>
      <c r="DH199" s="2" t="n">
        <v>0</v>
      </c>
      <c r="DI199" s="2" t="n">
        <v>0</v>
      </c>
      <c r="DJ199" s="2" t="n">
        <v>0</v>
      </c>
      <c r="DK199" s="2" t="n">
        <v>0</v>
      </c>
      <c r="DL199" s="2" t="n">
        <v>0</v>
      </c>
      <c r="DM199" s="2" t="n">
        <v>0</v>
      </c>
      <c r="DN199" s="2" t="n">
        <v>0</v>
      </c>
      <c r="DO199" s="2" t="n">
        <v>0</v>
      </c>
      <c r="DP199" s="2" t="n">
        <v>0</v>
      </c>
      <c r="DQ199" s="2" t="n">
        <v>0</v>
      </c>
      <c r="DR199" s="2" t="n">
        <v>0</v>
      </c>
      <c r="DS199" s="2" t="n">
        <v>0</v>
      </c>
      <c r="DT199" s="2" t="n">
        <v>0</v>
      </c>
      <c r="DU199" s="2" t="n">
        <v>0</v>
      </c>
      <c r="DV199" s="2" t="n">
        <v>0</v>
      </c>
      <c r="DW199" s="2" t="n">
        <v>0</v>
      </c>
      <c r="DX199" s="2" t="n">
        <v>0</v>
      </c>
      <c r="DY199" s="2" t="n">
        <v>0</v>
      </c>
      <c r="DZ199" s="2" t="n">
        <v>0</v>
      </c>
      <c r="EA199" s="2" t="n">
        <v>0</v>
      </c>
      <c r="EB199" s="2" t="n">
        <v>0</v>
      </c>
      <c r="EC199" s="2" t="n">
        <v>0</v>
      </c>
      <c r="ED199" s="2" t="n">
        <v>0</v>
      </c>
      <c r="EE199" s="2" t="n">
        <v>0</v>
      </c>
      <c r="EF199" s="2" t="n">
        <v>0</v>
      </c>
      <c r="EG199" s="2" t="n">
        <v>0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0</v>
      </c>
      <c r="EM199" s="2" t="n">
        <v>0</v>
      </c>
      <c r="EN199" s="2" t="n">
        <v>0</v>
      </c>
      <c r="EO199" s="2" t="n">
        <v>0</v>
      </c>
      <c r="EP199" s="2" t="n">
        <v>0</v>
      </c>
      <c r="EQ199" s="2" t="n">
        <v>0</v>
      </c>
      <c r="ER199" s="2" t="n">
        <v>0</v>
      </c>
      <c r="ES199" s="2" t="n">
        <v>0</v>
      </c>
    </row>
    <row r="200">
      <c r="A200" s="2" t="n">
        <v>4</v>
      </c>
      <c r="B200" s="2" t="inlineStr">
        <is>
          <t>11.04.02.01</t>
        </is>
      </c>
      <c r="C200" s="2" t="inlineStr">
        <is>
          <t>Locação grua de grande porte - 44 horas semanais de uso</t>
        </is>
      </c>
      <c r="D200" s="2" t="inlineStr">
        <is>
          <t>-</t>
        </is>
      </c>
      <c r="E200" s="2" t="inlineStr">
        <is>
          <t>-</t>
        </is>
      </c>
      <c r="F200" s="2" t="n">
        <v>550000</v>
      </c>
      <c r="G200" s="2" t="n">
        <v>0</v>
      </c>
      <c r="H200" s="2" t="n">
        <v>550000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0</v>
      </c>
      <c r="BT200" s="2" t="n">
        <v>0</v>
      </c>
      <c r="BU200" s="2" t="n">
        <v>0</v>
      </c>
      <c r="BV200" s="2" t="n">
        <v>0</v>
      </c>
      <c r="BW200" s="2" t="n">
        <v>0</v>
      </c>
      <c r="BX200" s="2" t="n">
        <v>0</v>
      </c>
      <c r="BY200" s="2" t="n">
        <v>0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n">
        <v>0</v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0</v>
      </c>
      <c r="CV200" s="2" t="n">
        <v>0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0</v>
      </c>
      <c r="DD200" s="2" t="n">
        <v>0</v>
      </c>
      <c r="DE200" s="2" t="n">
        <v>0</v>
      </c>
      <c r="DF200" s="2" t="n">
        <v>0</v>
      </c>
      <c r="DG200" s="2" t="n">
        <v>0</v>
      </c>
      <c r="DH200" s="2" t="n">
        <v>0</v>
      </c>
      <c r="DI200" s="2" t="n">
        <v>0</v>
      </c>
      <c r="DJ200" s="2" t="n">
        <v>0</v>
      </c>
      <c r="DK200" s="2" t="n">
        <v>0</v>
      </c>
      <c r="DL200" s="2" t="n">
        <v>0</v>
      </c>
      <c r="DM200" s="2" t="n">
        <v>0</v>
      </c>
      <c r="DN200" s="2" t="n">
        <v>0</v>
      </c>
      <c r="DO200" s="2" t="n">
        <v>0</v>
      </c>
      <c r="DP200" s="2" t="n">
        <v>0</v>
      </c>
      <c r="DQ200" s="2" t="n">
        <v>0</v>
      </c>
      <c r="DR200" s="2" t="n">
        <v>0</v>
      </c>
      <c r="DS200" s="2" t="n">
        <v>0</v>
      </c>
      <c r="DT200" s="2" t="n">
        <v>0</v>
      </c>
      <c r="DU200" s="2" t="n">
        <v>0</v>
      </c>
      <c r="DV200" s="2" t="n">
        <v>0</v>
      </c>
      <c r="DW200" s="2" t="n">
        <v>0</v>
      </c>
      <c r="DX200" s="2" t="n">
        <v>0</v>
      </c>
      <c r="DY200" s="2" t="n">
        <v>0</v>
      </c>
      <c r="DZ200" s="2" t="n">
        <v>0</v>
      </c>
      <c r="EA200" s="2" t="n">
        <v>0</v>
      </c>
      <c r="EB200" s="2" t="n">
        <v>0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0</v>
      </c>
      <c r="EI200" s="2" t="n">
        <v>0</v>
      </c>
      <c r="EJ200" s="2" t="n">
        <v>0</v>
      </c>
      <c r="EK200" s="2" t="n">
        <v>0</v>
      </c>
      <c r="EL200" s="2" t="n">
        <v>0</v>
      </c>
      <c r="EM200" s="2" t="n">
        <v>0</v>
      </c>
      <c r="EN200" s="2" t="n">
        <v>0</v>
      </c>
      <c r="EO200" s="2" t="n">
        <v>0</v>
      </c>
      <c r="EP200" s="2" t="n">
        <v>0</v>
      </c>
      <c r="EQ200" s="2" t="n">
        <v>0</v>
      </c>
      <c r="ER200" s="2" t="n">
        <v>0</v>
      </c>
      <c r="ES200" s="2" t="n">
        <v>0</v>
      </c>
    </row>
    <row r="201">
      <c r="A201" s="2" t="n">
        <v>4</v>
      </c>
      <c r="B201" s="2" t="inlineStr">
        <is>
          <t>11.04.02.02</t>
        </is>
      </c>
      <c r="C201" s="2" t="inlineStr">
        <is>
          <t>Operador da Grua - Mensal</t>
        </is>
      </c>
      <c r="D201" s="2" t="inlineStr">
        <is>
          <t>-</t>
        </is>
      </c>
      <c r="E201" s="2" t="inlineStr">
        <is>
          <t>-</t>
        </is>
      </c>
      <c r="F201" s="2" t="n">
        <v>224400</v>
      </c>
      <c r="G201" s="2" t="n">
        <v>0</v>
      </c>
      <c r="H201" s="2" t="n">
        <v>224400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0</v>
      </c>
      <c r="BU201" s="2" t="n">
        <v>0</v>
      </c>
      <c r="BV201" s="2" t="n">
        <v>0</v>
      </c>
      <c r="BW201" s="2" t="n">
        <v>0</v>
      </c>
      <c r="BX201" s="2" t="n">
        <v>0</v>
      </c>
      <c r="BY201" s="2" t="n">
        <v>0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n">
        <v>0</v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0</v>
      </c>
      <c r="DD201" s="2" t="n">
        <v>0</v>
      </c>
      <c r="DE201" s="2" t="n">
        <v>0</v>
      </c>
      <c r="DF201" s="2" t="n">
        <v>0</v>
      </c>
      <c r="DG201" s="2" t="n">
        <v>0</v>
      </c>
      <c r="DH201" s="2" t="n">
        <v>0</v>
      </c>
      <c r="DI201" s="2" t="n">
        <v>0</v>
      </c>
      <c r="DJ201" s="2" t="n">
        <v>0</v>
      </c>
      <c r="DK201" s="2" t="n">
        <v>0</v>
      </c>
      <c r="DL201" s="2" t="n">
        <v>0</v>
      </c>
      <c r="DM201" s="2" t="n">
        <v>0</v>
      </c>
      <c r="DN201" s="2" t="n">
        <v>0</v>
      </c>
      <c r="DO201" s="2" t="n">
        <v>0</v>
      </c>
      <c r="DP201" s="2" t="n">
        <v>0</v>
      </c>
      <c r="DQ201" s="2" t="n">
        <v>0</v>
      </c>
      <c r="DR201" s="2" t="n">
        <v>0</v>
      </c>
      <c r="DS201" s="2" t="n">
        <v>0</v>
      </c>
      <c r="DT201" s="2" t="n">
        <v>0</v>
      </c>
      <c r="DU201" s="2" t="n">
        <v>0</v>
      </c>
      <c r="DV201" s="2" t="n">
        <v>0</v>
      </c>
      <c r="DW201" s="2" t="n">
        <v>0</v>
      </c>
      <c r="DX201" s="2" t="n">
        <v>0</v>
      </c>
      <c r="DY201" s="2" t="n">
        <v>0</v>
      </c>
      <c r="DZ201" s="2" t="n">
        <v>0</v>
      </c>
      <c r="EA201" s="2" t="n">
        <v>0</v>
      </c>
      <c r="EB201" s="2" t="n">
        <v>0</v>
      </c>
      <c r="EC201" s="2" t="n">
        <v>0</v>
      </c>
      <c r="ED201" s="2" t="n">
        <v>0</v>
      </c>
      <c r="EE201" s="2" t="n">
        <v>0</v>
      </c>
      <c r="EF201" s="2" t="n">
        <v>0</v>
      </c>
      <c r="EG201" s="2" t="n">
        <v>0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0</v>
      </c>
      <c r="EM201" s="2" t="n">
        <v>0</v>
      </c>
      <c r="EN201" s="2" t="n">
        <v>0</v>
      </c>
      <c r="EO201" s="2" t="n">
        <v>0</v>
      </c>
      <c r="EP201" s="2" t="n">
        <v>0</v>
      </c>
      <c r="EQ201" s="2" t="n">
        <v>0</v>
      </c>
      <c r="ER201" s="2" t="n">
        <v>0</v>
      </c>
      <c r="ES201" s="2" t="n">
        <v>0</v>
      </c>
    </row>
    <row r="202">
      <c r="A202" s="2" t="n">
        <v>4</v>
      </c>
      <c r="B202" s="2" t="inlineStr">
        <is>
          <t>11.04.02.03</t>
        </is>
      </c>
      <c r="C202" s="2" t="inlineStr">
        <is>
          <t>Operador da Grua - Hora extra</t>
        </is>
      </c>
      <c r="D202" s="2" t="inlineStr">
        <is>
          <t>-</t>
        </is>
      </c>
      <c r="E202" s="2" t="inlineStr">
        <is>
          <t>-</t>
        </is>
      </c>
      <c r="F202" s="2" t="n">
        <v>38946.6</v>
      </c>
      <c r="G202" s="2" t="n">
        <v>0</v>
      </c>
      <c r="H202" s="2" t="n">
        <v>38946.6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0</v>
      </c>
      <c r="BV202" s="2" t="n">
        <v>0</v>
      </c>
      <c r="BW202" s="2" t="n">
        <v>0</v>
      </c>
      <c r="BX202" s="2" t="n">
        <v>0</v>
      </c>
      <c r="BY202" s="2" t="n">
        <v>0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>0</v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0</v>
      </c>
      <c r="DD202" s="2" t="n">
        <v>0</v>
      </c>
      <c r="DE202" s="2" t="n">
        <v>0</v>
      </c>
      <c r="DF202" s="2" t="n">
        <v>0</v>
      </c>
      <c r="DG202" s="2" t="n">
        <v>0</v>
      </c>
      <c r="DH202" s="2" t="n">
        <v>0</v>
      </c>
      <c r="DI202" s="2" t="n">
        <v>0</v>
      </c>
      <c r="DJ202" s="2" t="n">
        <v>0</v>
      </c>
      <c r="DK202" s="2" t="n">
        <v>0</v>
      </c>
      <c r="DL202" s="2" t="n">
        <v>0</v>
      </c>
      <c r="DM202" s="2" t="n">
        <v>0</v>
      </c>
      <c r="DN202" s="2" t="n">
        <v>0</v>
      </c>
      <c r="DO202" s="2" t="n">
        <v>0</v>
      </c>
      <c r="DP202" s="2" t="n">
        <v>0</v>
      </c>
      <c r="DQ202" s="2" t="n">
        <v>0</v>
      </c>
      <c r="DR202" s="2" t="n">
        <v>0</v>
      </c>
      <c r="DS202" s="2" t="n">
        <v>0</v>
      </c>
      <c r="DT202" s="2" t="n">
        <v>0</v>
      </c>
      <c r="DU202" s="2" t="n">
        <v>0</v>
      </c>
      <c r="DV202" s="2" t="n">
        <v>0</v>
      </c>
      <c r="DW202" s="2" t="n">
        <v>0</v>
      </c>
      <c r="DX202" s="2" t="n">
        <v>0</v>
      </c>
      <c r="DY202" s="2" t="n">
        <v>0</v>
      </c>
      <c r="DZ202" s="2" t="n">
        <v>0</v>
      </c>
      <c r="EA202" s="2" t="n">
        <v>0</v>
      </c>
      <c r="EB202" s="2" t="n">
        <v>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0</v>
      </c>
      <c r="EM202" s="2" t="n">
        <v>0</v>
      </c>
      <c r="EN202" s="2" t="n">
        <v>0</v>
      </c>
      <c r="EO202" s="2" t="n">
        <v>0</v>
      </c>
      <c r="EP202" s="2" t="n">
        <v>0</v>
      </c>
      <c r="EQ202" s="2" t="n">
        <v>0</v>
      </c>
      <c r="ER202" s="2" t="n">
        <v>0</v>
      </c>
      <c r="ES202" s="2" t="n">
        <v>0</v>
      </c>
    </row>
    <row r="203">
      <c r="A203" s="2" t="n">
        <v>4</v>
      </c>
      <c r="B203" s="2" t="inlineStr">
        <is>
          <t>11.04.02.04</t>
        </is>
      </c>
      <c r="C203" s="2" t="inlineStr">
        <is>
          <t>Fundação</t>
        </is>
      </c>
      <c r="D203" s="2" t="inlineStr">
        <is>
          <t>-</t>
        </is>
      </c>
      <c r="E203" s="2" t="inlineStr">
        <is>
          <t>-</t>
        </is>
      </c>
      <c r="F203" s="2" t="n">
        <v>150000</v>
      </c>
      <c r="G203" s="2" t="n">
        <v>0</v>
      </c>
      <c r="H203" s="2" t="n">
        <v>150000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n">
        <v>0</v>
      </c>
      <c r="BT203" s="2" t="n">
        <v>0</v>
      </c>
      <c r="BU203" s="2" t="n">
        <v>0</v>
      </c>
      <c r="BV203" s="2" t="n">
        <v>0</v>
      </c>
      <c r="BW203" s="2" t="n">
        <v>0</v>
      </c>
      <c r="BX203" s="2" t="n">
        <v>0</v>
      </c>
      <c r="BY203" s="2" t="n">
        <v>0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n">
        <v>0</v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0</v>
      </c>
      <c r="DD203" s="2" t="n">
        <v>0</v>
      </c>
      <c r="DE203" s="2" t="n">
        <v>0</v>
      </c>
      <c r="DF203" s="2" t="n">
        <v>0</v>
      </c>
      <c r="DG203" s="2" t="n">
        <v>0</v>
      </c>
      <c r="DH203" s="2" t="n">
        <v>0</v>
      </c>
      <c r="DI203" s="2" t="n">
        <v>0</v>
      </c>
      <c r="DJ203" s="2" t="n">
        <v>0</v>
      </c>
      <c r="DK203" s="2" t="n">
        <v>0</v>
      </c>
      <c r="DL203" s="2" t="n">
        <v>0</v>
      </c>
      <c r="DM203" s="2" t="n">
        <v>0</v>
      </c>
      <c r="DN203" s="2" t="n">
        <v>0</v>
      </c>
      <c r="DO203" s="2" t="n">
        <v>0</v>
      </c>
      <c r="DP203" s="2" t="n">
        <v>0</v>
      </c>
      <c r="DQ203" s="2" t="n">
        <v>0</v>
      </c>
      <c r="DR203" s="2" t="n">
        <v>0</v>
      </c>
      <c r="DS203" s="2" t="n">
        <v>0</v>
      </c>
      <c r="DT203" s="2" t="n">
        <v>0</v>
      </c>
      <c r="DU203" s="2" t="n">
        <v>0</v>
      </c>
      <c r="DV203" s="2" t="n">
        <v>0</v>
      </c>
      <c r="DW203" s="2" t="n">
        <v>0</v>
      </c>
      <c r="DX203" s="2" t="n">
        <v>0</v>
      </c>
      <c r="DY203" s="2" t="n">
        <v>0</v>
      </c>
      <c r="DZ203" s="2" t="n">
        <v>0</v>
      </c>
      <c r="EA203" s="2" t="n">
        <v>0</v>
      </c>
      <c r="EB203" s="2" t="n">
        <v>0</v>
      </c>
      <c r="EC203" s="2" t="n">
        <v>0</v>
      </c>
      <c r="ED203" s="2" t="n">
        <v>0</v>
      </c>
      <c r="EE203" s="2" t="n">
        <v>0</v>
      </c>
      <c r="EF203" s="2" t="n">
        <v>0</v>
      </c>
      <c r="EG203" s="2" t="n">
        <v>0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0</v>
      </c>
      <c r="EM203" s="2" t="n">
        <v>0</v>
      </c>
      <c r="EN203" s="2" t="n">
        <v>0</v>
      </c>
      <c r="EO203" s="2" t="n">
        <v>0</v>
      </c>
      <c r="EP203" s="2" t="n">
        <v>0</v>
      </c>
      <c r="EQ203" s="2" t="n">
        <v>0</v>
      </c>
      <c r="ER203" s="2" t="n">
        <v>0</v>
      </c>
      <c r="ES203" s="2" t="n">
        <v>0</v>
      </c>
    </row>
    <row r="204">
      <c r="A204" s="2" t="n">
        <v>4</v>
      </c>
      <c r="B204" s="2" t="inlineStr">
        <is>
          <t>11.04.02.05</t>
        </is>
      </c>
      <c r="C204" s="2" t="inlineStr">
        <is>
          <t>Acessórios para montagem  - Grua</t>
        </is>
      </c>
      <c r="D204" s="2" t="inlineStr">
        <is>
          <t>-</t>
        </is>
      </c>
      <c r="E204" s="2" t="inlineStr">
        <is>
          <t>-</t>
        </is>
      </c>
      <c r="F204" s="2" t="n">
        <v>12000</v>
      </c>
      <c r="G204" s="2" t="n">
        <v>0</v>
      </c>
      <c r="H204" s="2" t="n">
        <v>12000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0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0</v>
      </c>
      <c r="DD204" s="2" t="n">
        <v>0</v>
      </c>
      <c r="DE204" s="2" t="n">
        <v>0</v>
      </c>
      <c r="DF204" s="2" t="n">
        <v>0</v>
      </c>
      <c r="DG204" s="2" t="n">
        <v>0</v>
      </c>
      <c r="DH204" s="2" t="n">
        <v>0</v>
      </c>
      <c r="DI204" s="2" t="n">
        <v>0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0</v>
      </c>
      <c r="DW204" s="2" t="n">
        <v>0</v>
      </c>
      <c r="DX204" s="2" t="n">
        <v>0</v>
      </c>
      <c r="DY204" s="2" t="n">
        <v>0</v>
      </c>
      <c r="DZ204" s="2" t="n">
        <v>0</v>
      </c>
      <c r="EA204" s="2" t="n">
        <v>0</v>
      </c>
      <c r="EB204" s="2" t="n">
        <v>0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0</v>
      </c>
      <c r="EM204" s="2" t="n">
        <v>0</v>
      </c>
      <c r="EN204" s="2" t="n">
        <v>0</v>
      </c>
      <c r="EO204" s="2" t="n">
        <v>0</v>
      </c>
      <c r="EP204" s="2" t="n">
        <v>0</v>
      </c>
      <c r="EQ204" s="2" t="n">
        <v>0</v>
      </c>
      <c r="ER204" s="2" t="n">
        <v>0</v>
      </c>
      <c r="ES204" s="2" t="n">
        <v>0</v>
      </c>
    </row>
    <row r="205">
      <c r="A205" s="2" t="n">
        <v>4</v>
      </c>
      <c r="B205" s="2" t="inlineStr">
        <is>
          <t>11.04.02.06</t>
        </is>
      </c>
      <c r="C205" s="2" t="inlineStr">
        <is>
          <t>Quadro eletrico - Grua</t>
        </is>
      </c>
      <c r="D205" s="2" t="inlineStr">
        <is>
          <t>-</t>
        </is>
      </c>
      <c r="E205" s="2" t="inlineStr">
        <is>
          <t>-</t>
        </is>
      </c>
      <c r="F205" s="2" t="n">
        <v>58150</v>
      </c>
      <c r="G205" s="2" t="n">
        <v>0</v>
      </c>
      <c r="H205" s="2" t="n">
        <v>58150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0</v>
      </c>
      <c r="DD205" s="2" t="n">
        <v>0</v>
      </c>
      <c r="DE205" s="2" t="n">
        <v>0</v>
      </c>
      <c r="DF205" s="2" t="n">
        <v>0</v>
      </c>
      <c r="DG205" s="2" t="n">
        <v>0</v>
      </c>
      <c r="DH205" s="2" t="n">
        <v>0</v>
      </c>
      <c r="DI205" s="2" t="n">
        <v>0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0</v>
      </c>
      <c r="DW205" s="2" t="n">
        <v>0</v>
      </c>
      <c r="DX205" s="2" t="n">
        <v>0</v>
      </c>
      <c r="DY205" s="2" t="n">
        <v>0</v>
      </c>
      <c r="DZ205" s="2" t="n">
        <v>0</v>
      </c>
      <c r="EA205" s="2" t="n">
        <v>0</v>
      </c>
      <c r="EB205" s="2" t="n">
        <v>0</v>
      </c>
      <c r="EC205" s="2" t="n">
        <v>0</v>
      </c>
      <c r="ED205" s="2" t="n">
        <v>0</v>
      </c>
      <c r="EE205" s="2" t="n">
        <v>0</v>
      </c>
      <c r="EF205" s="2" t="n">
        <v>0</v>
      </c>
      <c r="EG205" s="2" t="n">
        <v>0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0</v>
      </c>
      <c r="EM205" s="2" t="n">
        <v>0</v>
      </c>
      <c r="EN205" s="2" t="n">
        <v>0</v>
      </c>
      <c r="EO205" s="2" t="n">
        <v>0</v>
      </c>
      <c r="EP205" s="2" t="n">
        <v>0</v>
      </c>
      <c r="EQ205" s="2" t="n">
        <v>0</v>
      </c>
      <c r="ER205" s="2" t="n">
        <v>0</v>
      </c>
      <c r="ES205" s="2" t="n">
        <v>0</v>
      </c>
    </row>
    <row r="206">
      <c r="A206" s="2" t="n">
        <v>4</v>
      </c>
      <c r="B206" s="2" t="inlineStr">
        <is>
          <t>11.04.02.07</t>
        </is>
      </c>
      <c r="C206" s="2" t="inlineStr">
        <is>
          <t>Chumbador - Grua</t>
        </is>
      </c>
      <c r="D206" s="2" t="inlineStr">
        <is>
          <t>-</t>
        </is>
      </c>
      <c r="E206" s="2" t="inlineStr">
        <is>
          <t>-</t>
        </is>
      </c>
      <c r="F206" s="2" t="n">
        <v>10000</v>
      </c>
      <c r="G206" s="2" t="n">
        <v>0</v>
      </c>
      <c r="H206" s="2" t="n">
        <v>10000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n">
        <v>0</v>
      </c>
      <c r="BT206" s="2" t="n">
        <v>0</v>
      </c>
      <c r="BU206" s="2" t="n">
        <v>0</v>
      </c>
      <c r="BV206" s="2" t="n">
        <v>0</v>
      </c>
      <c r="BW206" s="2" t="n">
        <v>0</v>
      </c>
      <c r="BX206" s="2" t="n">
        <v>0</v>
      </c>
      <c r="BY206" s="2" t="n">
        <v>0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>0</v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0</v>
      </c>
      <c r="CV206" s="2" t="n">
        <v>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0</v>
      </c>
      <c r="DD206" s="2" t="n">
        <v>0</v>
      </c>
      <c r="DE206" s="2" t="n">
        <v>0</v>
      </c>
      <c r="DF206" s="2" t="n">
        <v>0</v>
      </c>
      <c r="DG206" s="2" t="n">
        <v>0</v>
      </c>
      <c r="DH206" s="2" t="n">
        <v>0</v>
      </c>
      <c r="DI206" s="2" t="n">
        <v>0</v>
      </c>
      <c r="DJ206" s="2" t="n">
        <v>0</v>
      </c>
      <c r="DK206" s="2" t="n">
        <v>0</v>
      </c>
      <c r="DL206" s="2" t="n">
        <v>0</v>
      </c>
      <c r="DM206" s="2" t="n">
        <v>0</v>
      </c>
      <c r="DN206" s="2" t="n">
        <v>0</v>
      </c>
      <c r="DO206" s="2" t="n">
        <v>0</v>
      </c>
      <c r="DP206" s="2" t="n">
        <v>0</v>
      </c>
      <c r="DQ206" s="2" t="n">
        <v>0</v>
      </c>
      <c r="DR206" s="2" t="n">
        <v>0</v>
      </c>
      <c r="DS206" s="2" t="n">
        <v>0</v>
      </c>
      <c r="DT206" s="2" t="n">
        <v>0</v>
      </c>
      <c r="DU206" s="2" t="n">
        <v>0</v>
      </c>
      <c r="DV206" s="2" t="n">
        <v>0</v>
      </c>
      <c r="DW206" s="2" t="n">
        <v>0</v>
      </c>
      <c r="DX206" s="2" t="n">
        <v>0</v>
      </c>
      <c r="DY206" s="2" t="n">
        <v>0</v>
      </c>
      <c r="DZ206" s="2" t="n">
        <v>0</v>
      </c>
      <c r="EA206" s="2" t="n">
        <v>0</v>
      </c>
      <c r="EB206" s="2" t="n">
        <v>0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0</v>
      </c>
      <c r="EM206" s="2" t="n">
        <v>0</v>
      </c>
      <c r="EN206" s="2" t="n">
        <v>0</v>
      </c>
      <c r="EO206" s="2" t="n">
        <v>0</v>
      </c>
      <c r="EP206" s="2" t="n">
        <v>0</v>
      </c>
      <c r="EQ206" s="2" t="n">
        <v>0</v>
      </c>
      <c r="ER206" s="2" t="n">
        <v>0</v>
      </c>
      <c r="ES206" s="2" t="n">
        <v>0</v>
      </c>
    </row>
    <row r="207">
      <c r="A207" s="2" t="n">
        <v>4</v>
      </c>
      <c r="B207" s="2" t="inlineStr">
        <is>
          <t>11.04.02.08</t>
        </is>
      </c>
      <c r="C207" s="2" t="inlineStr">
        <is>
          <t>Porta paletes 2500 Kg - Grua</t>
        </is>
      </c>
      <c r="D207" s="2" t="inlineStr">
        <is>
          <t>-</t>
        </is>
      </c>
      <c r="E207" s="2" t="inlineStr">
        <is>
          <t>-</t>
        </is>
      </c>
      <c r="F207" s="2" t="n">
        <v>4000</v>
      </c>
      <c r="G207" s="2" t="n">
        <v>0</v>
      </c>
      <c r="H207" s="2" t="n">
        <v>4000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0</v>
      </c>
      <c r="BU207" s="2" t="n">
        <v>0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n">
        <v>0</v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0</v>
      </c>
      <c r="DD207" s="2" t="n">
        <v>0</v>
      </c>
      <c r="DE207" s="2" t="n">
        <v>0</v>
      </c>
      <c r="DF207" s="2" t="n">
        <v>0</v>
      </c>
      <c r="DG207" s="2" t="n">
        <v>0</v>
      </c>
      <c r="DH207" s="2" t="n">
        <v>0</v>
      </c>
      <c r="DI207" s="2" t="n">
        <v>0</v>
      </c>
      <c r="DJ207" s="2" t="n">
        <v>0</v>
      </c>
      <c r="DK207" s="2" t="n">
        <v>0</v>
      </c>
      <c r="DL207" s="2" t="n">
        <v>0</v>
      </c>
      <c r="DM207" s="2" t="n">
        <v>0</v>
      </c>
      <c r="DN207" s="2" t="n">
        <v>0</v>
      </c>
      <c r="DO207" s="2" t="n">
        <v>0</v>
      </c>
      <c r="DP207" s="2" t="n">
        <v>0</v>
      </c>
      <c r="DQ207" s="2" t="n">
        <v>0</v>
      </c>
      <c r="DR207" s="2" t="n">
        <v>0</v>
      </c>
      <c r="DS207" s="2" t="n">
        <v>0</v>
      </c>
      <c r="DT207" s="2" t="n">
        <v>0</v>
      </c>
      <c r="DU207" s="2" t="n">
        <v>0</v>
      </c>
      <c r="DV207" s="2" t="n">
        <v>0</v>
      </c>
      <c r="DW207" s="2" t="n">
        <v>0</v>
      </c>
      <c r="DX207" s="2" t="n">
        <v>0</v>
      </c>
      <c r="DY207" s="2" t="n">
        <v>0</v>
      </c>
      <c r="DZ207" s="2" t="n">
        <v>0</v>
      </c>
      <c r="EA207" s="2" t="n">
        <v>0</v>
      </c>
      <c r="EB207" s="2" t="n">
        <v>0</v>
      </c>
      <c r="EC207" s="2" t="n">
        <v>0</v>
      </c>
      <c r="ED207" s="2" t="n">
        <v>0</v>
      </c>
      <c r="EE207" s="2" t="n">
        <v>0</v>
      </c>
      <c r="EF207" s="2" t="n">
        <v>0</v>
      </c>
      <c r="EG207" s="2" t="n">
        <v>0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0</v>
      </c>
      <c r="EM207" s="2" t="n">
        <v>0</v>
      </c>
      <c r="EN207" s="2" t="n">
        <v>0</v>
      </c>
      <c r="EO207" s="2" t="n">
        <v>0</v>
      </c>
      <c r="EP207" s="2" t="n">
        <v>0</v>
      </c>
      <c r="EQ207" s="2" t="n">
        <v>0</v>
      </c>
      <c r="ER207" s="2" t="n">
        <v>0</v>
      </c>
      <c r="ES207" s="2" t="n">
        <v>0</v>
      </c>
    </row>
    <row r="208">
      <c r="A208" s="2" t="n">
        <v>4</v>
      </c>
      <c r="B208" s="2" t="inlineStr">
        <is>
          <t>11.04.02.09</t>
        </is>
      </c>
      <c r="C208" s="2" t="inlineStr">
        <is>
          <t>Plataforma de descarga 2000 Kg - Grua</t>
        </is>
      </c>
      <c r="D208" s="2" t="inlineStr">
        <is>
          <t>-</t>
        </is>
      </c>
      <c r="E208" s="2" t="inlineStr">
        <is>
          <t>-</t>
        </is>
      </c>
      <c r="F208" s="2" t="n">
        <v>4000</v>
      </c>
      <c r="G208" s="2" t="n">
        <v>0</v>
      </c>
      <c r="H208" s="2" t="n">
        <v>4000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0</v>
      </c>
      <c r="BQ208" s="2" t="n">
        <v>0</v>
      </c>
      <c r="BR208" s="2" t="n">
        <v>0</v>
      </c>
      <c r="BS208" s="2" t="n">
        <v>0</v>
      </c>
      <c r="BT208" s="2" t="n">
        <v>0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n">
        <v>0</v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0</v>
      </c>
      <c r="DK208" s="2" t="n">
        <v>0</v>
      </c>
      <c r="DL208" s="2" t="n">
        <v>0</v>
      </c>
      <c r="DM208" s="2" t="n">
        <v>0</v>
      </c>
      <c r="DN208" s="2" t="n">
        <v>0</v>
      </c>
      <c r="DO208" s="2" t="n">
        <v>0</v>
      </c>
      <c r="DP208" s="2" t="n">
        <v>0</v>
      </c>
      <c r="DQ208" s="2" t="n">
        <v>0</v>
      </c>
      <c r="DR208" s="2" t="n">
        <v>0</v>
      </c>
      <c r="DS208" s="2" t="n">
        <v>0</v>
      </c>
      <c r="DT208" s="2" t="n">
        <v>0</v>
      </c>
      <c r="DU208" s="2" t="n">
        <v>0</v>
      </c>
      <c r="DV208" s="2" t="n">
        <v>0</v>
      </c>
      <c r="DW208" s="2" t="n">
        <v>0</v>
      </c>
      <c r="DX208" s="2" t="n">
        <v>0</v>
      </c>
      <c r="DY208" s="2" t="n">
        <v>0</v>
      </c>
      <c r="DZ208" s="2" t="n">
        <v>0</v>
      </c>
      <c r="EA208" s="2" t="n">
        <v>0</v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0</v>
      </c>
      <c r="EM208" s="2" t="n">
        <v>0</v>
      </c>
      <c r="EN208" s="2" t="n">
        <v>0</v>
      </c>
      <c r="EO208" s="2" t="n">
        <v>0</v>
      </c>
      <c r="EP208" s="2" t="n">
        <v>0</v>
      </c>
      <c r="EQ208" s="2" t="n">
        <v>0</v>
      </c>
      <c r="ER208" s="2" t="n">
        <v>0</v>
      </c>
      <c r="ES208" s="2" t="n">
        <v>0</v>
      </c>
    </row>
    <row r="209">
      <c r="A209" s="2" t="n">
        <v>4</v>
      </c>
      <c r="B209" s="2" t="inlineStr">
        <is>
          <t>11.04.02.10</t>
        </is>
      </c>
      <c r="C209" s="2" t="inlineStr">
        <is>
          <t>Materiais para içamento de cargas - Grua</t>
        </is>
      </c>
      <c r="D209" s="2" t="inlineStr">
        <is>
          <t>-</t>
        </is>
      </c>
      <c r="E209" s="2" t="inlineStr">
        <is>
          <t>-</t>
        </is>
      </c>
      <c r="F209" s="2" t="n">
        <v>50000</v>
      </c>
      <c r="G209" s="2" t="n">
        <v>0</v>
      </c>
      <c r="H209" s="2" t="n">
        <v>50000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0</v>
      </c>
      <c r="BQ209" s="2" t="n">
        <v>0</v>
      </c>
      <c r="BR209" s="2" t="n">
        <v>0</v>
      </c>
      <c r="BS209" s="2" t="n">
        <v>0</v>
      </c>
      <c r="BT209" s="2" t="n">
        <v>0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n">
        <v>0</v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0</v>
      </c>
      <c r="DK209" s="2" t="n">
        <v>0</v>
      </c>
      <c r="DL209" s="2" t="n">
        <v>0</v>
      </c>
      <c r="DM209" s="2" t="n">
        <v>0</v>
      </c>
      <c r="DN209" s="2" t="n">
        <v>0</v>
      </c>
      <c r="DO209" s="2" t="n">
        <v>0</v>
      </c>
      <c r="DP209" s="2" t="n">
        <v>0</v>
      </c>
      <c r="DQ209" s="2" t="n">
        <v>0</v>
      </c>
      <c r="DR209" s="2" t="n">
        <v>0</v>
      </c>
      <c r="DS209" s="2" t="n">
        <v>0</v>
      </c>
      <c r="DT209" s="2" t="n">
        <v>0</v>
      </c>
      <c r="DU209" s="2" t="n">
        <v>0</v>
      </c>
      <c r="DV209" s="2" t="n">
        <v>0</v>
      </c>
      <c r="DW209" s="2" t="n">
        <v>0</v>
      </c>
      <c r="DX209" s="2" t="n">
        <v>0</v>
      </c>
      <c r="DY209" s="2" t="n">
        <v>0</v>
      </c>
      <c r="DZ209" s="2" t="n">
        <v>0</v>
      </c>
      <c r="EA209" s="2" t="n">
        <v>0</v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0</v>
      </c>
      <c r="EM209" s="2" t="n">
        <v>0</v>
      </c>
      <c r="EN209" s="2" t="n">
        <v>0</v>
      </c>
      <c r="EO209" s="2" t="n">
        <v>0</v>
      </c>
      <c r="EP209" s="2" t="n">
        <v>0</v>
      </c>
      <c r="EQ209" s="2" t="n">
        <v>0</v>
      </c>
      <c r="ER209" s="2" t="n">
        <v>0</v>
      </c>
      <c r="ES209" s="2" t="n">
        <v>0</v>
      </c>
    </row>
    <row r="210">
      <c r="A210" s="2" t="n">
        <v>4</v>
      </c>
      <c r="B210" s="2" t="inlineStr">
        <is>
          <t>11.04.02.11</t>
        </is>
      </c>
      <c r="C210" s="2" t="inlineStr">
        <is>
          <t>Frete - Grua</t>
        </is>
      </c>
      <c r="D210" s="2" t="inlineStr">
        <is>
          <t>-</t>
        </is>
      </c>
      <c r="E210" s="2" t="inlineStr">
        <is>
          <t>-</t>
        </is>
      </c>
      <c r="F210" s="2" t="n">
        <v>45000</v>
      </c>
      <c r="G210" s="2" t="n">
        <v>0</v>
      </c>
      <c r="H210" s="2" t="n">
        <v>45000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0</v>
      </c>
      <c r="BU210" s="2" t="n">
        <v>0</v>
      </c>
      <c r="BV210" s="2" t="n">
        <v>0</v>
      </c>
      <c r="BW210" s="2" t="n">
        <v>0</v>
      </c>
      <c r="BX210" s="2" t="n">
        <v>0</v>
      </c>
      <c r="BY210" s="2" t="n">
        <v>0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n">
        <v>0</v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0</v>
      </c>
      <c r="CV210" s="2" t="n">
        <v>0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n">
        <v>0</v>
      </c>
      <c r="DD210" s="2" t="n">
        <v>0</v>
      </c>
      <c r="DE210" s="2" t="n">
        <v>0</v>
      </c>
      <c r="DF210" s="2" t="n">
        <v>0</v>
      </c>
      <c r="DG210" s="2" t="n">
        <v>0</v>
      </c>
      <c r="DH210" s="2" t="n">
        <v>0</v>
      </c>
      <c r="DI210" s="2" t="n">
        <v>0</v>
      </c>
      <c r="DJ210" s="2" t="n">
        <v>0</v>
      </c>
      <c r="DK210" s="2" t="n">
        <v>0</v>
      </c>
      <c r="DL210" s="2" t="n">
        <v>0</v>
      </c>
      <c r="DM210" s="2" t="n">
        <v>0</v>
      </c>
      <c r="DN210" s="2" t="n">
        <v>0</v>
      </c>
      <c r="DO210" s="2" t="n">
        <v>0</v>
      </c>
      <c r="DP210" s="2" t="n">
        <v>0</v>
      </c>
      <c r="DQ210" s="2" t="n">
        <v>0</v>
      </c>
      <c r="DR210" s="2" t="n">
        <v>0</v>
      </c>
      <c r="DS210" s="2" t="n">
        <v>0</v>
      </c>
      <c r="DT210" s="2" t="n">
        <v>0</v>
      </c>
      <c r="DU210" s="2" t="n">
        <v>0</v>
      </c>
      <c r="DV210" s="2" t="n">
        <v>0</v>
      </c>
      <c r="DW210" s="2" t="n">
        <v>0</v>
      </c>
      <c r="DX210" s="2" t="n">
        <v>0</v>
      </c>
      <c r="DY210" s="2" t="n">
        <v>0</v>
      </c>
      <c r="DZ210" s="2" t="n">
        <v>0</v>
      </c>
      <c r="EA210" s="2" t="n">
        <v>0</v>
      </c>
      <c r="EB210" s="2" t="n">
        <v>0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0</v>
      </c>
      <c r="EM210" s="2" t="n">
        <v>0</v>
      </c>
      <c r="EN210" s="2" t="n">
        <v>0</v>
      </c>
      <c r="EO210" s="2" t="n">
        <v>0</v>
      </c>
      <c r="EP210" s="2" t="n">
        <v>0</v>
      </c>
      <c r="EQ210" s="2" t="n">
        <v>0</v>
      </c>
      <c r="ER210" s="2" t="n">
        <v>0</v>
      </c>
      <c r="ES210" s="2" t="n">
        <v>0</v>
      </c>
    </row>
    <row r="211">
      <c r="A211" s="2" t="n">
        <v>4</v>
      </c>
      <c r="B211" s="2" t="inlineStr">
        <is>
          <t>11.04.02.12</t>
        </is>
      </c>
      <c r="C211" s="2" t="inlineStr">
        <is>
          <t>Mão-de-obra de montagem - Grua</t>
        </is>
      </c>
      <c r="D211" s="2" t="inlineStr">
        <is>
          <t>-</t>
        </is>
      </c>
      <c r="E211" s="2" t="inlineStr">
        <is>
          <t>-</t>
        </is>
      </c>
      <c r="F211" s="2" t="n">
        <v>15000</v>
      </c>
      <c r="G211" s="2" t="n">
        <v>0</v>
      </c>
      <c r="H211" s="2" t="n">
        <v>15000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0</v>
      </c>
      <c r="CV211" s="2" t="n">
        <v>0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0</v>
      </c>
      <c r="DD211" s="2" t="n">
        <v>0</v>
      </c>
      <c r="DE211" s="2" t="n">
        <v>0</v>
      </c>
      <c r="DF211" s="2" t="n">
        <v>0</v>
      </c>
      <c r="DG211" s="2" t="n">
        <v>0</v>
      </c>
      <c r="DH211" s="2" t="n">
        <v>0</v>
      </c>
      <c r="DI211" s="2" t="n">
        <v>0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0</v>
      </c>
      <c r="DW211" s="2" t="n">
        <v>0</v>
      </c>
      <c r="DX211" s="2" t="n">
        <v>0</v>
      </c>
      <c r="DY211" s="2" t="n">
        <v>0</v>
      </c>
      <c r="DZ211" s="2" t="n">
        <v>0</v>
      </c>
      <c r="EA211" s="2" t="n">
        <v>0</v>
      </c>
      <c r="EB211" s="2" t="n">
        <v>0</v>
      </c>
      <c r="EC211" s="2" t="n">
        <v>0</v>
      </c>
      <c r="ED211" s="2" t="n">
        <v>0</v>
      </c>
      <c r="EE211" s="2" t="n">
        <v>0</v>
      </c>
      <c r="EF211" s="2" t="n">
        <v>0</v>
      </c>
      <c r="EG211" s="2" t="n">
        <v>0</v>
      </c>
      <c r="EH211" s="2" t="n">
        <v>0</v>
      </c>
      <c r="EI211" s="2" t="n">
        <v>0</v>
      </c>
      <c r="EJ211" s="2" t="n">
        <v>0</v>
      </c>
      <c r="EK211" s="2" t="n">
        <v>0</v>
      </c>
      <c r="EL211" s="2" t="n">
        <v>0</v>
      </c>
      <c r="EM211" s="2" t="n">
        <v>0</v>
      </c>
      <c r="EN211" s="2" t="n">
        <v>0</v>
      </c>
      <c r="EO211" s="2" t="n">
        <v>0</v>
      </c>
      <c r="EP211" s="2" t="n">
        <v>0</v>
      </c>
      <c r="EQ211" s="2" t="n">
        <v>0</v>
      </c>
      <c r="ER211" s="2" t="n">
        <v>0</v>
      </c>
      <c r="ES211" s="2" t="n">
        <v>0</v>
      </c>
    </row>
    <row r="212">
      <c r="A212" s="2" t="n">
        <v>4</v>
      </c>
      <c r="B212" s="2" t="inlineStr">
        <is>
          <t>11.04.02.13</t>
        </is>
      </c>
      <c r="C212" s="2" t="inlineStr">
        <is>
          <t>Mão-de-obra de desmontagem - Grua</t>
        </is>
      </c>
      <c r="D212" s="2" t="inlineStr">
        <is>
          <t>-</t>
        </is>
      </c>
      <c r="E212" s="2" t="inlineStr">
        <is>
          <t>-</t>
        </is>
      </c>
      <c r="F212" s="2" t="n">
        <v>27000</v>
      </c>
      <c r="G212" s="2" t="n">
        <v>0</v>
      </c>
      <c r="H212" s="2" t="n">
        <v>27000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0</v>
      </c>
      <c r="DW212" s="2" t="n">
        <v>0</v>
      </c>
      <c r="DX212" s="2" t="n">
        <v>0</v>
      </c>
      <c r="DY212" s="2" t="n">
        <v>0</v>
      </c>
      <c r="DZ212" s="2" t="n">
        <v>0</v>
      </c>
      <c r="EA212" s="2" t="n">
        <v>0</v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0</v>
      </c>
      <c r="EM212" s="2" t="n">
        <v>0</v>
      </c>
      <c r="EN212" s="2" t="n">
        <v>0</v>
      </c>
      <c r="EO212" s="2" t="n">
        <v>0</v>
      </c>
      <c r="EP212" s="2" t="n">
        <v>0</v>
      </c>
      <c r="EQ212" s="2" t="n">
        <v>0</v>
      </c>
      <c r="ER212" s="2" t="n">
        <v>0</v>
      </c>
      <c r="ES212" s="2" t="n">
        <v>0</v>
      </c>
    </row>
    <row r="213">
      <c r="A213" s="2" t="n">
        <v>4</v>
      </c>
      <c r="B213" s="2" t="inlineStr">
        <is>
          <t>11.04.02.14</t>
        </is>
      </c>
      <c r="C213" s="2" t="inlineStr">
        <is>
          <t>Telescopagem  - Grua</t>
        </is>
      </c>
      <c r="D213" s="2" t="inlineStr">
        <is>
          <t>-</t>
        </is>
      </c>
      <c r="E213" s="2" t="inlineStr">
        <is>
          <t>-</t>
        </is>
      </c>
      <c r="F213" s="2" t="n">
        <v>36000</v>
      </c>
      <c r="G213" s="2" t="n">
        <v>0</v>
      </c>
      <c r="H213" s="2" t="n">
        <v>36000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n">
        <v>0</v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0</v>
      </c>
      <c r="DK213" s="2" t="n">
        <v>0</v>
      </c>
      <c r="DL213" s="2" t="n">
        <v>0</v>
      </c>
      <c r="DM213" s="2" t="n">
        <v>0</v>
      </c>
      <c r="DN213" s="2" t="n">
        <v>0</v>
      </c>
      <c r="DO213" s="2" t="n">
        <v>0</v>
      </c>
      <c r="DP213" s="2" t="n">
        <v>0</v>
      </c>
      <c r="DQ213" s="2" t="n">
        <v>0</v>
      </c>
      <c r="DR213" s="2" t="n">
        <v>0</v>
      </c>
      <c r="DS213" s="2" t="n">
        <v>0</v>
      </c>
      <c r="DT213" s="2" t="n">
        <v>0</v>
      </c>
      <c r="DU213" s="2" t="n">
        <v>0</v>
      </c>
      <c r="DV213" s="2" t="n">
        <v>0</v>
      </c>
      <c r="DW213" s="2" t="n">
        <v>0</v>
      </c>
      <c r="DX213" s="2" t="n">
        <v>0</v>
      </c>
      <c r="DY213" s="2" t="n">
        <v>0</v>
      </c>
      <c r="DZ213" s="2" t="n">
        <v>0</v>
      </c>
      <c r="EA213" s="2" t="n">
        <v>0</v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0</v>
      </c>
      <c r="EM213" s="2" t="n">
        <v>0</v>
      </c>
      <c r="EN213" s="2" t="n">
        <v>0</v>
      </c>
      <c r="EO213" s="2" t="n">
        <v>0</v>
      </c>
      <c r="EP213" s="2" t="n">
        <v>0</v>
      </c>
      <c r="EQ213" s="2" t="n">
        <v>0</v>
      </c>
      <c r="ER213" s="2" t="n">
        <v>0</v>
      </c>
      <c r="ES213" s="2" t="n">
        <v>0</v>
      </c>
    </row>
    <row r="214">
      <c r="A214" s="2" t="n">
        <v>4</v>
      </c>
      <c r="B214" s="2" t="inlineStr">
        <is>
          <t>11.04.02.15</t>
        </is>
      </c>
      <c r="C214" s="2" t="inlineStr">
        <is>
          <t>Indenização na entrega (limpeza geral, pintura pontual, ensaios não destrutivo no motor) - Grua</t>
        </is>
      </c>
      <c r="D214" s="2" t="inlineStr">
        <is>
          <t>-</t>
        </is>
      </c>
      <c r="E214" s="2" t="inlineStr">
        <is>
          <t>-</t>
        </is>
      </c>
      <c r="F214" s="2" t="n">
        <v>25000</v>
      </c>
      <c r="G214" s="2" t="n">
        <v>0</v>
      </c>
      <c r="H214" s="2" t="n">
        <v>25000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0</v>
      </c>
      <c r="BQ214" s="2" t="n">
        <v>0</v>
      </c>
      <c r="BR214" s="2" t="n">
        <v>0</v>
      </c>
      <c r="BS214" s="2" t="n">
        <v>0</v>
      </c>
      <c r="BT214" s="2" t="n">
        <v>0</v>
      </c>
      <c r="BU214" s="2" t="n">
        <v>0</v>
      </c>
      <c r="BV214" s="2" t="n">
        <v>0</v>
      </c>
      <c r="BW214" s="2" t="n">
        <v>0</v>
      </c>
      <c r="BX214" s="2" t="n">
        <v>0</v>
      </c>
      <c r="BY214" s="2" t="n">
        <v>0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n">
        <v>0</v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0</v>
      </c>
      <c r="CV214" s="2" t="n">
        <v>0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0</v>
      </c>
      <c r="DD214" s="2" t="n">
        <v>0</v>
      </c>
      <c r="DE214" s="2" t="n">
        <v>0</v>
      </c>
      <c r="DF214" s="2" t="n">
        <v>0</v>
      </c>
      <c r="DG214" s="2" t="n">
        <v>0</v>
      </c>
      <c r="DH214" s="2" t="n">
        <v>0</v>
      </c>
      <c r="DI214" s="2" t="n">
        <v>0</v>
      </c>
      <c r="DJ214" s="2" t="n">
        <v>0</v>
      </c>
      <c r="DK214" s="2" t="n">
        <v>0</v>
      </c>
      <c r="DL214" s="2" t="n">
        <v>0</v>
      </c>
      <c r="DM214" s="2" t="n">
        <v>0</v>
      </c>
      <c r="DN214" s="2" t="n">
        <v>0</v>
      </c>
      <c r="DO214" s="2" t="n">
        <v>0</v>
      </c>
      <c r="DP214" s="2" t="n">
        <v>0</v>
      </c>
      <c r="DQ214" s="2" t="n">
        <v>0</v>
      </c>
      <c r="DR214" s="2" t="n">
        <v>0</v>
      </c>
      <c r="DS214" s="2" t="n">
        <v>0</v>
      </c>
      <c r="DT214" s="2" t="n">
        <v>0</v>
      </c>
      <c r="DU214" s="2" t="n">
        <v>0</v>
      </c>
      <c r="DV214" s="2" t="n">
        <v>0</v>
      </c>
      <c r="DW214" s="2" t="n">
        <v>0</v>
      </c>
      <c r="DX214" s="2" t="n">
        <v>0</v>
      </c>
      <c r="DY214" s="2" t="n">
        <v>0</v>
      </c>
      <c r="DZ214" s="2" t="n">
        <v>0</v>
      </c>
      <c r="EA214" s="2" t="n">
        <v>0</v>
      </c>
      <c r="EB214" s="2" t="n">
        <v>0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0</v>
      </c>
      <c r="EM214" s="2" t="n">
        <v>0</v>
      </c>
      <c r="EN214" s="2" t="n">
        <v>0</v>
      </c>
      <c r="EO214" s="2" t="n">
        <v>0</v>
      </c>
      <c r="EP214" s="2" t="n">
        <v>0</v>
      </c>
      <c r="EQ214" s="2" t="n">
        <v>0</v>
      </c>
      <c r="ER214" s="2" t="n">
        <v>0</v>
      </c>
      <c r="ES214" s="2" t="n">
        <v>0</v>
      </c>
    </row>
    <row r="215">
      <c r="A215" s="2" t="n">
        <v>4</v>
      </c>
      <c r="B215" s="2" t="inlineStr">
        <is>
          <t>11.04.02.16</t>
        </is>
      </c>
      <c r="C215" s="2" t="inlineStr">
        <is>
          <t>Manutenção preventiva -Grua</t>
        </is>
      </c>
      <c r="D215" s="2" t="inlineStr">
        <is>
          <t>-</t>
        </is>
      </c>
      <c r="E215" s="2" t="inlineStr">
        <is>
          <t>-</t>
        </is>
      </c>
      <c r="F215" s="2" t="n">
        <v>55000</v>
      </c>
      <c r="G215" s="2" t="n">
        <v>0</v>
      </c>
      <c r="H215" s="2" t="n">
        <v>55000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0</v>
      </c>
      <c r="BU215" s="2" t="n">
        <v>0</v>
      </c>
      <c r="BV215" s="2" t="n">
        <v>0</v>
      </c>
      <c r="BW215" s="2" t="n">
        <v>0</v>
      </c>
      <c r="BX215" s="2" t="n">
        <v>0</v>
      </c>
      <c r="BY215" s="2" t="n">
        <v>0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0</v>
      </c>
      <c r="CN215" s="2" t="n">
        <v>0</v>
      </c>
      <c r="CO215" s="2" t="n">
        <v>0</v>
      </c>
      <c r="CP215" s="2" t="n">
        <v>0</v>
      </c>
      <c r="CQ215" s="2" t="n">
        <v>0</v>
      </c>
      <c r="CR215" s="2" t="n">
        <v>0</v>
      </c>
      <c r="CS215" s="2" t="n">
        <v>0</v>
      </c>
      <c r="CT215" s="2" t="n">
        <v>0</v>
      </c>
      <c r="CU215" s="2" t="n">
        <v>0</v>
      </c>
      <c r="CV215" s="2" t="n">
        <v>0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0</v>
      </c>
      <c r="DD215" s="2" t="n">
        <v>0</v>
      </c>
      <c r="DE215" s="2" t="n">
        <v>0</v>
      </c>
      <c r="DF215" s="2" t="n">
        <v>0</v>
      </c>
      <c r="DG215" s="2" t="n">
        <v>0</v>
      </c>
      <c r="DH215" s="2" t="n">
        <v>0</v>
      </c>
      <c r="DI215" s="2" t="n">
        <v>0</v>
      </c>
      <c r="DJ215" s="2" t="n">
        <v>0</v>
      </c>
      <c r="DK215" s="2" t="n">
        <v>0</v>
      </c>
      <c r="DL215" s="2" t="n">
        <v>0</v>
      </c>
      <c r="DM215" s="2" t="n">
        <v>0</v>
      </c>
      <c r="DN215" s="2" t="n">
        <v>0</v>
      </c>
      <c r="DO215" s="2" t="n">
        <v>0</v>
      </c>
      <c r="DP215" s="2" t="n">
        <v>0</v>
      </c>
      <c r="DQ215" s="2" t="n">
        <v>0</v>
      </c>
      <c r="DR215" s="2" t="n">
        <v>0</v>
      </c>
      <c r="DS215" s="2" t="n">
        <v>0</v>
      </c>
      <c r="DT215" s="2" t="n">
        <v>0</v>
      </c>
      <c r="DU215" s="2" t="n">
        <v>0</v>
      </c>
      <c r="DV215" s="2" t="n">
        <v>0</v>
      </c>
      <c r="DW215" s="2" t="n">
        <v>0</v>
      </c>
      <c r="DX215" s="2" t="n">
        <v>0</v>
      </c>
      <c r="DY215" s="2" t="n">
        <v>0</v>
      </c>
      <c r="DZ215" s="2" t="n">
        <v>0</v>
      </c>
      <c r="EA215" s="2" t="n">
        <v>0</v>
      </c>
      <c r="EB215" s="2" t="n">
        <v>0</v>
      </c>
      <c r="EC215" s="2" t="n">
        <v>0</v>
      </c>
      <c r="ED215" s="2" t="n">
        <v>0</v>
      </c>
      <c r="EE215" s="2" t="n">
        <v>0</v>
      </c>
      <c r="EF215" s="2" t="n">
        <v>0</v>
      </c>
      <c r="EG215" s="2" t="n">
        <v>0</v>
      </c>
      <c r="EH215" s="2" t="n">
        <v>0</v>
      </c>
      <c r="EI215" s="2" t="n">
        <v>0</v>
      </c>
      <c r="EJ215" s="2" t="n">
        <v>0</v>
      </c>
      <c r="EK215" s="2" t="n">
        <v>0</v>
      </c>
      <c r="EL215" s="2" t="n">
        <v>0</v>
      </c>
      <c r="EM215" s="2" t="n">
        <v>0</v>
      </c>
      <c r="EN215" s="2" t="n">
        <v>0</v>
      </c>
      <c r="EO215" s="2" t="n">
        <v>0</v>
      </c>
      <c r="EP215" s="2" t="n">
        <v>0</v>
      </c>
      <c r="EQ215" s="2" t="n">
        <v>0</v>
      </c>
      <c r="ER215" s="2" t="n">
        <v>0</v>
      </c>
      <c r="ES215" s="2" t="n">
        <v>0</v>
      </c>
    </row>
    <row r="216">
      <c r="A216" s="2" t="n">
        <v>4</v>
      </c>
      <c r="B216" s="2" t="inlineStr">
        <is>
          <t>11.04.02.17</t>
        </is>
      </c>
      <c r="C216" s="2" t="inlineStr">
        <is>
          <t>Manutenção corretiva -Grua</t>
        </is>
      </c>
      <c r="D216" s="2" t="inlineStr">
        <is>
          <t>-</t>
        </is>
      </c>
      <c r="E216" s="2" t="inlineStr">
        <is>
          <t>-</t>
        </is>
      </c>
      <c r="F216" s="2" t="n">
        <v>13200</v>
      </c>
      <c r="G216" s="2" t="n">
        <v>0</v>
      </c>
      <c r="H216" s="2" t="n">
        <v>13200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0</v>
      </c>
      <c r="BU216" s="2" t="n">
        <v>0</v>
      </c>
      <c r="BV216" s="2" t="n">
        <v>0</v>
      </c>
      <c r="BW216" s="2" t="n">
        <v>0</v>
      </c>
      <c r="BX216" s="2" t="n">
        <v>0</v>
      </c>
      <c r="BY216" s="2" t="n">
        <v>0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>0</v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0</v>
      </c>
      <c r="CV216" s="2" t="n">
        <v>0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0</v>
      </c>
      <c r="DD216" s="2" t="n">
        <v>0</v>
      </c>
      <c r="DE216" s="2" t="n">
        <v>0</v>
      </c>
      <c r="DF216" s="2" t="n">
        <v>0</v>
      </c>
      <c r="DG216" s="2" t="n">
        <v>0</v>
      </c>
      <c r="DH216" s="2" t="n">
        <v>0</v>
      </c>
      <c r="DI216" s="2" t="n">
        <v>0</v>
      </c>
      <c r="DJ216" s="2" t="n">
        <v>0</v>
      </c>
      <c r="DK216" s="2" t="n">
        <v>0</v>
      </c>
      <c r="DL216" s="2" t="n">
        <v>0</v>
      </c>
      <c r="DM216" s="2" t="n">
        <v>0</v>
      </c>
      <c r="DN216" s="2" t="n">
        <v>0</v>
      </c>
      <c r="DO216" s="2" t="n">
        <v>0</v>
      </c>
      <c r="DP216" s="2" t="n">
        <v>0</v>
      </c>
      <c r="DQ216" s="2" t="n">
        <v>0</v>
      </c>
      <c r="DR216" s="2" t="n">
        <v>0</v>
      </c>
      <c r="DS216" s="2" t="n">
        <v>0</v>
      </c>
      <c r="DT216" s="2" t="n">
        <v>0</v>
      </c>
      <c r="DU216" s="2" t="n">
        <v>0</v>
      </c>
      <c r="DV216" s="2" t="n">
        <v>0</v>
      </c>
      <c r="DW216" s="2" t="n">
        <v>0</v>
      </c>
      <c r="DX216" s="2" t="n">
        <v>0</v>
      </c>
      <c r="DY216" s="2" t="n">
        <v>0</v>
      </c>
      <c r="DZ216" s="2" t="n">
        <v>0</v>
      </c>
      <c r="EA216" s="2" t="n">
        <v>0</v>
      </c>
      <c r="EB216" s="2" t="n">
        <v>0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0</v>
      </c>
      <c r="EM216" s="2" t="n">
        <v>0</v>
      </c>
      <c r="EN216" s="2" t="n">
        <v>0</v>
      </c>
      <c r="EO216" s="2" t="n">
        <v>0</v>
      </c>
      <c r="EP216" s="2" t="n">
        <v>0</v>
      </c>
      <c r="EQ216" s="2" t="n">
        <v>0</v>
      </c>
      <c r="ER216" s="2" t="n">
        <v>0</v>
      </c>
      <c r="ES216" s="2" t="n">
        <v>0</v>
      </c>
    </row>
    <row r="217">
      <c r="A217" s="2" t="n">
        <v>4</v>
      </c>
      <c r="B217" s="2" t="inlineStr">
        <is>
          <t>11.04.02.18</t>
        </is>
      </c>
      <c r="C217" s="2" t="inlineStr">
        <is>
          <t>Treinamento de sinaleiros/amarradores de carga - Grua</t>
        </is>
      </c>
      <c r="D217" s="2" t="inlineStr">
        <is>
          <t>-</t>
        </is>
      </c>
      <c r="E217" s="2" t="inlineStr">
        <is>
          <t>-</t>
        </is>
      </c>
      <c r="F217" s="2" t="n">
        <v>2000</v>
      </c>
      <c r="G217" s="2" t="n">
        <v>0</v>
      </c>
      <c r="H217" s="2" t="n">
        <v>2000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0</v>
      </c>
      <c r="BU217" s="2" t="n">
        <v>0</v>
      </c>
      <c r="BV217" s="2" t="n">
        <v>0</v>
      </c>
      <c r="BW217" s="2" t="n">
        <v>0</v>
      </c>
      <c r="BX217" s="2" t="n">
        <v>0</v>
      </c>
      <c r="BY217" s="2" t="n">
        <v>0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n">
        <v>0</v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0</v>
      </c>
      <c r="CV217" s="2" t="n">
        <v>0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0</v>
      </c>
      <c r="DD217" s="2" t="n">
        <v>0</v>
      </c>
      <c r="DE217" s="2" t="n">
        <v>0</v>
      </c>
      <c r="DF217" s="2" t="n">
        <v>0</v>
      </c>
      <c r="DG217" s="2" t="n">
        <v>0</v>
      </c>
      <c r="DH217" s="2" t="n">
        <v>0</v>
      </c>
      <c r="DI217" s="2" t="n">
        <v>0</v>
      </c>
      <c r="DJ217" s="2" t="n">
        <v>0</v>
      </c>
      <c r="DK217" s="2" t="n">
        <v>0</v>
      </c>
      <c r="DL217" s="2" t="n">
        <v>0</v>
      </c>
      <c r="DM217" s="2" t="n">
        <v>0</v>
      </c>
      <c r="DN217" s="2" t="n">
        <v>0</v>
      </c>
      <c r="DO217" s="2" t="n">
        <v>0</v>
      </c>
      <c r="DP217" s="2" t="n">
        <v>0</v>
      </c>
      <c r="DQ217" s="2" t="n">
        <v>0</v>
      </c>
      <c r="DR217" s="2" t="n">
        <v>0</v>
      </c>
      <c r="DS217" s="2" t="n">
        <v>0</v>
      </c>
      <c r="DT217" s="2" t="n">
        <v>0</v>
      </c>
      <c r="DU217" s="2" t="n">
        <v>0</v>
      </c>
      <c r="DV217" s="2" t="n">
        <v>0</v>
      </c>
      <c r="DW217" s="2" t="n">
        <v>0</v>
      </c>
      <c r="DX217" s="2" t="n">
        <v>0</v>
      </c>
      <c r="DY217" s="2" t="n">
        <v>0</v>
      </c>
      <c r="DZ217" s="2" t="n">
        <v>0</v>
      </c>
      <c r="EA217" s="2" t="n">
        <v>0</v>
      </c>
      <c r="EB217" s="2" t="n">
        <v>0</v>
      </c>
      <c r="EC217" s="2" t="n">
        <v>0</v>
      </c>
      <c r="ED217" s="2" t="n">
        <v>0</v>
      </c>
      <c r="EE217" s="2" t="n">
        <v>0</v>
      </c>
      <c r="EF217" s="2" t="n">
        <v>0</v>
      </c>
      <c r="EG217" s="2" t="n">
        <v>0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0</v>
      </c>
      <c r="EM217" s="2" t="n">
        <v>0</v>
      </c>
      <c r="EN217" s="2" t="n">
        <v>0</v>
      </c>
      <c r="EO217" s="2" t="n">
        <v>0</v>
      </c>
      <c r="EP217" s="2" t="n">
        <v>0</v>
      </c>
      <c r="EQ217" s="2" t="n">
        <v>0</v>
      </c>
      <c r="ER217" s="2" t="n">
        <v>0</v>
      </c>
      <c r="ES217" s="2" t="n">
        <v>0</v>
      </c>
    </row>
    <row r="218">
      <c r="A218" s="2" t="n">
        <v>4</v>
      </c>
      <c r="B218" s="2" t="inlineStr">
        <is>
          <t>11.04.02.19</t>
        </is>
      </c>
      <c r="C218" s="2" t="inlineStr">
        <is>
          <t>Plano de cargas - consultoria calculista</t>
        </is>
      </c>
      <c r="D218" s="2" t="inlineStr">
        <is>
          <t>-</t>
        </is>
      </c>
      <c r="E218" s="2" t="inlineStr">
        <is>
          <t>-</t>
        </is>
      </c>
      <c r="F218" s="2" t="n">
        <v>2500</v>
      </c>
      <c r="G218" s="2" t="n">
        <v>0</v>
      </c>
      <c r="H218" s="2" t="n">
        <v>2500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0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0</v>
      </c>
      <c r="DW218" s="2" t="n">
        <v>0</v>
      </c>
      <c r="DX218" s="2" t="n">
        <v>0</v>
      </c>
      <c r="DY218" s="2" t="n">
        <v>0</v>
      </c>
      <c r="DZ218" s="2" t="n">
        <v>0</v>
      </c>
      <c r="EA218" s="2" t="n">
        <v>0</v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0</v>
      </c>
      <c r="EM218" s="2" t="n">
        <v>0</v>
      </c>
      <c r="EN218" s="2" t="n">
        <v>0</v>
      </c>
      <c r="EO218" s="2" t="n">
        <v>0</v>
      </c>
      <c r="EP218" s="2" t="n">
        <v>0</v>
      </c>
      <c r="EQ218" s="2" t="n">
        <v>0</v>
      </c>
      <c r="ER218" s="2" t="n">
        <v>0</v>
      </c>
      <c r="ES218" s="2" t="n">
        <v>0</v>
      </c>
    </row>
    <row r="219">
      <c r="A219" s="2" t="n">
        <v>4</v>
      </c>
      <c r="B219" s="2" t="inlineStr">
        <is>
          <t>11.04.02.20</t>
        </is>
      </c>
      <c r="C219" s="2" t="inlineStr">
        <is>
          <t>Execução de aterramento com ART</t>
        </is>
      </c>
      <c r="D219" s="2" t="inlineStr">
        <is>
          <t>-</t>
        </is>
      </c>
      <c r="E219" s="2" t="inlineStr">
        <is>
          <t>-</t>
        </is>
      </c>
      <c r="F219" s="2" t="n">
        <v>4000</v>
      </c>
      <c r="G219" s="2" t="n">
        <v>0</v>
      </c>
      <c r="H219" s="2" t="n">
        <v>4000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0</v>
      </c>
      <c r="DD219" s="2" t="n">
        <v>0</v>
      </c>
      <c r="DE219" s="2" t="n">
        <v>0</v>
      </c>
      <c r="DF219" s="2" t="n">
        <v>0</v>
      </c>
      <c r="DG219" s="2" t="n">
        <v>0</v>
      </c>
      <c r="DH219" s="2" t="n">
        <v>0</v>
      </c>
      <c r="DI219" s="2" t="n">
        <v>0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0</v>
      </c>
      <c r="DW219" s="2" t="n">
        <v>0</v>
      </c>
      <c r="DX219" s="2" t="n">
        <v>0</v>
      </c>
      <c r="DY219" s="2" t="n">
        <v>0</v>
      </c>
      <c r="DZ219" s="2" t="n">
        <v>0</v>
      </c>
      <c r="EA219" s="2" t="n">
        <v>0</v>
      </c>
      <c r="EB219" s="2" t="n">
        <v>0</v>
      </c>
      <c r="EC219" s="2" t="n">
        <v>0</v>
      </c>
      <c r="ED219" s="2" t="n">
        <v>0</v>
      </c>
      <c r="EE219" s="2" t="n">
        <v>0</v>
      </c>
      <c r="EF219" s="2" t="n">
        <v>0</v>
      </c>
      <c r="EG219" s="2" t="n">
        <v>0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0</v>
      </c>
      <c r="EM219" s="2" t="n">
        <v>0</v>
      </c>
      <c r="EN219" s="2" t="n">
        <v>0</v>
      </c>
      <c r="EO219" s="2" t="n">
        <v>0</v>
      </c>
      <c r="EP219" s="2" t="n">
        <v>0</v>
      </c>
      <c r="EQ219" s="2" t="n">
        <v>0</v>
      </c>
      <c r="ER219" s="2" t="n">
        <v>0</v>
      </c>
      <c r="ES219" s="2" t="n">
        <v>0</v>
      </c>
    </row>
    <row r="220">
      <c r="A220" s="2" t="n">
        <v>2</v>
      </c>
      <c r="B220" s="2" t="inlineStr">
        <is>
          <t>11.05</t>
        </is>
      </c>
      <c r="C220" s="2" t="inlineStr">
        <is>
          <t>Equipamentos para execução de fachadas</t>
        </is>
      </c>
      <c r="D220" s="2" t="inlineStr">
        <is>
          <t>-</t>
        </is>
      </c>
      <c r="E220" s="2" t="inlineStr">
        <is>
          <t>-</t>
        </is>
      </c>
      <c r="F220" s="2" t="n">
        <v>1622743.323512384</v>
      </c>
      <c r="G220" s="2" t="n">
        <v>0</v>
      </c>
      <c r="H220" s="2" t="n">
        <v>1622743.323512384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0</v>
      </c>
      <c r="BV220" s="2" t="n">
        <v>0</v>
      </c>
      <c r="BW220" s="2" t="n">
        <v>0</v>
      </c>
      <c r="BX220" s="2" t="n">
        <v>0</v>
      </c>
      <c r="BY220" s="2" t="n">
        <v>0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n">
        <v>0</v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0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0</v>
      </c>
      <c r="DK220" s="2" t="n">
        <v>0</v>
      </c>
      <c r="DL220" s="2" t="n">
        <v>0</v>
      </c>
      <c r="DM220" s="2" t="n">
        <v>0</v>
      </c>
      <c r="DN220" s="2" t="n">
        <v>0</v>
      </c>
      <c r="DO220" s="2" t="n">
        <v>0</v>
      </c>
      <c r="DP220" s="2" t="n">
        <v>0</v>
      </c>
      <c r="DQ220" s="2" t="n">
        <v>0</v>
      </c>
      <c r="DR220" s="2" t="n">
        <v>0</v>
      </c>
      <c r="DS220" s="2" t="n">
        <v>0</v>
      </c>
      <c r="DT220" s="2" t="n">
        <v>0</v>
      </c>
      <c r="DU220" s="2" t="n">
        <v>0</v>
      </c>
      <c r="DV220" s="2" t="n">
        <v>0</v>
      </c>
      <c r="DW220" s="2" t="n">
        <v>0</v>
      </c>
      <c r="DX220" s="2" t="n">
        <v>0</v>
      </c>
      <c r="DY220" s="2" t="n">
        <v>0</v>
      </c>
      <c r="DZ220" s="2" t="n">
        <v>0</v>
      </c>
      <c r="EA220" s="2" t="n">
        <v>0</v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0</v>
      </c>
      <c r="EM220" s="2" t="n">
        <v>0</v>
      </c>
      <c r="EN220" s="2" t="n">
        <v>0</v>
      </c>
      <c r="EO220" s="2" t="n">
        <v>0</v>
      </c>
      <c r="EP220" s="2" t="n">
        <v>0</v>
      </c>
      <c r="EQ220" s="2" t="n">
        <v>0</v>
      </c>
      <c r="ER220" s="2" t="n">
        <v>0</v>
      </c>
      <c r="ES220" s="2" t="n">
        <v>0</v>
      </c>
    </row>
    <row r="221">
      <c r="A221" s="2" t="n">
        <v>3</v>
      </c>
      <c r="B221" s="2" t="inlineStr">
        <is>
          <t>11.05.01</t>
        </is>
      </c>
      <c r="C221" s="2" t="inlineStr">
        <is>
          <t>Sistema de telas</t>
        </is>
      </c>
      <c r="D221" s="2" t="inlineStr">
        <is>
          <t>-</t>
        </is>
      </c>
      <c r="E221" s="2" t="inlineStr">
        <is>
          <t>-</t>
        </is>
      </c>
      <c r="F221" s="2" t="n">
        <v>585210.168988365</v>
      </c>
      <c r="G221" s="2" t="n">
        <v>0</v>
      </c>
      <c r="H221" s="2" t="n">
        <v>585210.168988365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0</v>
      </c>
      <c r="BV221" s="2" t="n">
        <v>0</v>
      </c>
      <c r="BW221" s="2" t="n">
        <v>0</v>
      </c>
      <c r="BX221" s="2" t="n">
        <v>0</v>
      </c>
      <c r="BY221" s="2" t="n">
        <v>0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0</v>
      </c>
      <c r="CN221" s="2" t="n">
        <v>0</v>
      </c>
      <c r="CO221" s="2" t="n">
        <v>0</v>
      </c>
      <c r="CP221" s="2" t="n">
        <v>0</v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0</v>
      </c>
      <c r="CV221" s="2" t="n">
        <v>0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0</v>
      </c>
      <c r="DD221" s="2" t="n">
        <v>0</v>
      </c>
      <c r="DE221" s="2" t="n">
        <v>0</v>
      </c>
      <c r="DF221" s="2" t="n">
        <v>0</v>
      </c>
      <c r="DG221" s="2" t="n">
        <v>0</v>
      </c>
      <c r="DH221" s="2" t="n">
        <v>0</v>
      </c>
      <c r="DI221" s="2" t="n">
        <v>0</v>
      </c>
      <c r="DJ221" s="2" t="n">
        <v>0</v>
      </c>
      <c r="DK221" s="2" t="n">
        <v>0</v>
      </c>
      <c r="DL221" s="2" t="n">
        <v>0</v>
      </c>
      <c r="DM221" s="2" t="n">
        <v>0</v>
      </c>
      <c r="DN221" s="2" t="n">
        <v>0</v>
      </c>
      <c r="DO221" s="2" t="n">
        <v>0</v>
      </c>
      <c r="DP221" s="2" t="n">
        <v>0</v>
      </c>
      <c r="DQ221" s="2" t="n">
        <v>0</v>
      </c>
      <c r="DR221" s="2" t="n">
        <v>0</v>
      </c>
      <c r="DS221" s="2" t="n">
        <v>0</v>
      </c>
      <c r="DT221" s="2" t="n">
        <v>0</v>
      </c>
      <c r="DU221" s="2" t="n">
        <v>0</v>
      </c>
      <c r="DV221" s="2" t="n">
        <v>0</v>
      </c>
      <c r="DW221" s="2" t="n">
        <v>0</v>
      </c>
      <c r="DX221" s="2" t="n">
        <v>0</v>
      </c>
      <c r="DY221" s="2" t="n">
        <v>0</v>
      </c>
      <c r="DZ221" s="2" t="n">
        <v>0</v>
      </c>
      <c r="EA221" s="2" t="n">
        <v>0</v>
      </c>
      <c r="EB221" s="2" t="n">
        <v>0</v>
      </c>
      <c r="EC221" s="2" t="n">
        <v>0</v>
      </c>
      <c r="ED221" s="2" t="n">
        <v>0</v>
      </c>
      <c r="EE221" s="2" t="n">
        <v>0</v>
      </c>
      <c r="EF221" s="2" t="n">
        <v>0</v>
      </c>
      <c r="EG221" s="2" t="n">
        <v>0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0</v>
      </c>
      <c r="EM221" s="2" t="n">
        <v>0</v>
      </c>
      <c r="EN221" s="2" t="n">
        <v>0</v>
      </c>
      <c r="EO221" s="2" t="n">
        <v>0</v>
      </c>
      <c r="EP221" s="2" t="n">
        <v>0</v>
      </c>
      <c r="EQ221" s="2" t="n">
        <v>0</v>
      </c>
      <c r="ER221" s="2" t="n">
        <v>0</v>
      </c>
      <c r="ES221" s="2" t="n">
        <v>0</v>
      </c>
    </row>
    <row r="222">
      <c r="A222" s="2" t="n">
        <v>4</v>
      </c>
      <c r="B222" s="2" t="inlineStr">
        <is>
          <t>11.05.01.01</t>
        </is>
      </c>
      <c r="C222" s="2" t="inlineStr">
        <is>
          <t>Sistema de telas - SLQA e rede piso a piso</t>
        </is>
      </c>
      <c r="D222" s="2" t="inlineStr">
        <is>
          <t>-</t>
        </is>
      </c>
      <c r="E222" s="2" t="inlineStr">
        <is>
          <t>-</t>
        </is>
      </c>
      <c r="F222" s="2" t="n">
        <v>490500</v>
      </c>
      <c r="G222" s="2" t="n">
        <v>0</v>
      </c>
      <c r="H222" s="2" t="n">
        <v>490500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0</v>
      </c>
      <c r="BV222" s="2" t="n">
        <v>0</v>
      </c>
      <c r="BW222" s="2" t="n">
        <v>0</v>
      </c>
      <c r="BX222" s="2" t="n">
        <v>0</v>
      </c>
      <c r="BY222" s="2" t="n">
        <v>0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>0</v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0</v>
      </c>
      <c r="DD222" s="2" t="n">
        <v>0</v>
      </c>
      <c r="DE222" s="2" t="n">
        <v>0</v>
      </c>
      <c r="DF222" s="2" t="n">
        <v>0</v>
      </c>
      <c r="DG222" s="2" t="n">
        <v>0</v>
      </c>
      <c r="DH222" s="2" t="n">
        <v>0</v>
      </c>
      <c r="DI222" s="2" t="n">
        <v>0</v>
      </c>
      <c r="DJ222" s="2" t="n">
        <v>0</v>
      </c>
      <c r="DK222" s="2" t="n">
        <v>0</v>
      </c>
      <c r="DL222" s="2" t="n">
        <v>0</v>
      </c>
      <c r="DM222" s="2" t="n">
        <v>0</v>
      </c>
      <c r="DN222" s="2" t="n">
        <v>0</v>
      </c>
      <c r="DO222" s="2" t="n">
        <v>0</v>
      </c>
      <c r="DP222" s="2" t="n">
        <v>0</v>
      </c>
      <c r="DQ222" s="2" t="n">
        <v>0</v>
      </c>
      <c r="DR222" s="2" t="n">
        <v>0</v>
      </c>
      <c r="DS222" s="2" t="n">
        <v>0</v>
      </c>
      <c r="DT222" s="2" t="n">
        <v>0</v>
      </c>
      <c r="DU222" s="2" t="n">
        <v>0</v>
      </c>
      <c r="DV222" s="2" t="n">
        <v>0</v>
      </c>
      <c r="DW222" s="2" t="n">
        <v>0</v>
      </c>
      <c r="DX222" s="2" t="n">
        <v>0</v>
      </c>
      <c r="DY222" s="2" t="n">
        <v>0</v>
      </c>
      <c r="DZ222" s="2" t="n">
        <v>0</v>
      </c>
      <c r="EA222" s="2" t="n">
        <v>0</v>
      </c>
      <c r="EB222" s="2" t="n">
        <v>0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0</v>
      </c>
      <c r="EM222" s="2" t="n">
        <v>0</v>
      </c>
      <c r="EN222" s="2" t="n">
        <v>0</v>
      </c>
      <c r="EO222" s="2" t="n">
        <v>0</v>
      </c>
      <c r="EP222" s="2" t="n">
        <v>0</v>
      </c>
      <c r="EQ222" s="2" t="n">
        <v>0</v>
      </c>
      <c r="ER222" s="2" t="n">
        <v>0</v>
      </c>
      <c r="ES222" s="2" t="n">
        <v>0</v>
      </c>
    </row>
    <row r="223">
      <c r="A223" s="2" t="n">
        <v>4</v>
      </c>
      <c r="B223" s="2" t="inlineStr">
        <is>
          <t>11.05.01.02</t>
        </is>
      </c>
      <c r="C223" s="2" t="inlineStr">
        <is>
          <t>Entelamento de fachada</t>
        </is>
      </c>
      <c r="D223" s="2" t="inlineStr">
        <is>
          <t>-</t>
        </is>
      </c>
      <c r="E223" s="2" t="inlineStr">
        <is>
          <t>-</t>
        </is>
      </c>
      <c r="F223" s="2" t="n">
        <v>94710.168988365</v>
      </c>
      <c r="G223" s="2" t="n">
        <v>0</v>
      </c>
      <c r="H223" s="2" t="n">
        <v>94710.168988365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  <c r="BU223" s="2" t="n">
        <v>0</v>
      </c>
      <c r="BV223" s="2" t="n">
        <v>0</v>
      </c>
      <c r="BW223" s="2" t="n">
        <v>0</v>
      </c>
      <c r="BX223" s="2" t="n">
        <v>0</v>
      </c>
      <c r="BY223" s="2" t="n">
        <v>0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0</v>
      </c>
      <c r="CN223" s="2" t="n">
        <v>0</v>
      </c>
      <c r="CO223" s="2" t="n">
        <v>0</v>
      </c>
      <c r="CP223" s="2" t="n">
        <v>0</v>
      </c>
      <c r="CQ223" s="2" t="n">
        <v>0</v>
      </c>
      <c r="CR223" s="2" t="n">
        <v>0</v>
      </c>
      <c r="CS223" s="2" t="n">
        <v>0</v>
      </c>
      <c r="CT223" s="2" t="n">
        <v>0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0</v>
      </c>
      <c r="DD223" s="2" t="n">
        <v>0</v>
      </c>
      <c r="DE223" s="2" t="n">
        <v>0</v>
      </c>
      <c r="DF223" s="2" t="n">
        <v>0</v>
      </c>
      <c r="DG223" s="2" t="n">
        <v>0</v>
      </c>
      <c r="DH223" s="2" t="n">
        <v>0</v>
      </c>
      <c r="DI223" s="2" t="n">
        <v>0</v>
      </c>
      <c r="DJ223" s="2" t="n">
        <v>0</v>
      </c>
      <c r="DK223" s="2" t="n">
        <v>0</v>
      </c>
      <c r="DL223" s="2" t="n">
        <v>0</v>
      </c>
      <c r="DM223" s="2" t="n">
        <v>0</v>
      </c>
      <c r="DN223" s="2" t="n">
        <v>0</v>
      </c>
      <c r="DO223" s="2" t="n">
        <v>0</v>
      </c>
      <c r="DP223" s="2" t="n">
        <v>0</v>
      </c>
      <c r="DQ223" s="2" t="n">
        <v>0</v>
      </c>
      <c r="DR223" s="2" t="n">
        <v>0</v>
      </c>
      <c r="DS223" s="2" t="n">
        <v>0</v>
      </c>
      <c r="DT223" s="2" t="n">
        <v>0</v>
      </c>
      <c r="DU223" s="2" t="n">
        <v>0</v>
      </c>
      <c r="DV223" s="2" t="n">
        <v>0</v>
      </c>
      <c r="DW223" s="2" t="n">
        <v>0</v>
      </c>
      <c r="DX223" s="2" t="n">
        <v>0</v>
      </c>
      <c r="DY223" s="2" t="n">
        <v>0</v>
      </c>
      <c r="DZ223" s="2" t="n">
        <v>0</v>
      </c>
      <c r="EA223" s="2" t="n">
        <v>0</v>
      </c>
      <c r="EB223" s="2" t="n">
        <v>0</v>
      </c>
      <c r="EC223" s="2" t="n">
        <v>0</v>
      </c>
      <c r="ED223" s="2" t="n">
        <v>0</v>
      </c>
      <c r="EE223" s="2" t="n">
        <v>0</v>
      </c>
      <c r="EF223" s="2" t="n">
        <v>0</v>
      </c>
      <c r="EG223" s="2" t="n">
        <v>0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0</v>
      </c>
      <c r="EM223" s="2" t="n">
        <v>0</v>
      </c>
      <c r="EN223" s="2" t="n">
        <v>0</v>
      </c>
      <c r="EO223" s="2" t="n">
        <v>0</v>
      </c>
      <c r="EP223" s="2" t="n">
        <v>0</v>
      </c>
      <c r="EQ223" s="2" t="n">
        <v>0</v>
      </c>
      <c r="ER223" s="2" t="n">
        <v>0</v>
      </c>
      <c r="ES223" s="2" t="n">
        <v>0</v>
      </c>
    </row>
    <row r="224">
      <c r="A224" s="2" t="n">
        <v>3</v>
      </c>
      <c r="B224" s="2" t="inlineStr">
        <is>
          <t>11.05.02</t>
        </is>
      </c>
      <c r="C224" s="2" t="inlineStr">
        <is>
          <t>Andaime para fachadas</t>
        </is>
      </c>
      <c r="D224" s="2" t="inlineStr">
        <is>
          <t>-</t>
        </is>
      </c>
      <c r="E224" s="2" t="inlineStr">
        <is>
          <t>-</t>
        </is>
      </c>
      <c r="F224" s="2" t="n">
        <v>614691.8750792982</v>
      </c>
      <c r="G224" s="2" t="n">
        <v>0</v>
      </c>
      <c r="H224" s="2" t="n">
        <v>614691.8750792982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0</v>
      </c>
      <c r="BU224" s="2" t="n">
        <v>0</v>
      </c>
      <c r="BV224" s="2" t="n">
        <v>0</v>
      </c>
      <c r="BW224" s="2" t="n">
        <v>0</v>
      </c>
      <c r="BX224" s="2" t="n">
        <v>0</v>
      </c>
      <c r="BY224" s="2" t="n">
        <v>0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>0</v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0</v>
      </c>
      <c r="CV224" s="2" t="n">
        <v>0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0</v>
      </c>
      <c r="DD224" s="2" t="n">
        <v>0</v>
      </c>
      <c r="DE224" s="2" t="n">
        <v>0</v>
      </c>
      <c r="DF224" s="2" t="n">
        <v>0</v>
      </c>
      <c r="DG224" s="2" t="n">
        <v>0</v>
      </c>
      <c r="DH224" s="2" t="n">
        <v>0</v>
      </c>
      <c r="DI224" s="2" t="n">
        <v>0</v>
      </c>
      <c r="DJ224" s="2" t="n">
        <v>0</v>
      </c>
      <c r="DK224" s="2" t="n">
        <v>0</v>
      </c>
      <c r="DL224" s="2" t="n">
        <v>0</v>
      </c>
      <c r="DM224" s="2" t="n">
        <v>0</v>
      </c>
      <c r="DN224" s="2" t="n">
        <v>0</v>
      </c>
      <c r="DO224" s="2" t="n">
        <v>0</v>
      </c>
      <c r="DP224" s="2" t="n">
        <v>0</v>
      </c>
      <c r="DQ224" s="2" t="n">
        <v>0</v>
      </c>
      <c r="DR224" s="2" t="n">
        <v>0</v>
      </c>
      <c r="DS224" s="2" t="n">
        <v>0</v>
      </c>
      <c r="DT224" s="2" t="n">
        <v>0</v>
      </c>
      <c r="DU224" s="2" t="n">
        <v>0</v>
      </c>
      <c r="DV224" s="2" t="n">
        <v>0</v>
      </c>
      <c r="DW224" s="2" t="n">
        <v>0</v>
      </c>
      <c r="DX224" s="2" t="n">
        <v>0</v>
      </c>
      <c r="DY224" s="2" t="n">
        <v>0</v>
      </c>
      <c r="DZ224" s="2" t="n">
        <v>0</v>
      </c>
      <c r="EA224" s="2" t="n">
        <v>0</v>
      </c>
      <c r="EB224" s="2" t="n">
        <v>0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0</v>
      </c>
      <c r="EM224" s="2" t="n">
        <v>0</v>
      </c>
      <c r="EN224" s="2" t="n">
        <v>0</v>
      </c>
      <c r="EO224" s="2" t="n">
        <v>0</v>
      </c>
      <c r="EP224" s="2" t="n">
        <v>0</v>
      </c>
      <c r="EQ224" s="2" t="n">
        <v>0</v>
      </c>
      <c r="ER224" s="2" t="n">
        <v>0</v>
      </c>
      <c r="ES224" s="2" t="n">
        <v>0</v>
      </c>
    </row>
    <row r="225">
      <c r="A225" s="2" t="n">
        <v>4</v>
      </c>
      <c r="B225" s="2" t="inlineStr">
        <is>
          <t>11.05.02.01</t>
        </is>
      </c>
      <c r="C225" s="2" t="inlineStr">
        <is>
          <t>Locação mensal de andaime fachadeiro</t>
        </is>
      </c>
      <c r="D225" s="2" t="inlineStr">
        <is>
          <t>-</t>
        </is>
      </c>
      <c r="E225" s="2" t="inlineStr">
        <is>
          <t>-</t>
        </is>
      </c>
      <c r="F225" s="2" t="n">
        <v>513497.5121781588</v>
      </c>
      <c r="G225" s="2" t="n">
        <v>0</v>
      </c>
      <c r="H225" s="2" t="n">
        <v>513497.5121781588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0</v>
      </c>
      <c r="CV225" s="2" t="n">
        <v>0</v>
      </c>
      <c r="CW225" s="2" t="n">
        <v>0</v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n">
        <v>0</v>
      </c>
      <c r="DD225" s="2" t="n">
        <v>0</v>
      </c>
      <c r="DE225" s="2" t="n">
        <v>0</v>
      </c>
      <c r="DF225" s="2" t="n">
        <v>0</v>
      </c>
      <c r="DG225" s="2" t="n">
        <v>0</v>
      </c>
      <c r="DH225" s="2" t="n">
        <v>0</v>
      </c>
      <c r="DI225" s="2" t="n">
        <v>0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0</v>
      </c>
      <c r="DW225" s="2" t="n">
        <v>0</v>
      </c>
      <c r="DX225" s="2" t="n">
        <v>0</v>
      </c>
      <c r="DY225" s="2" t="n">
        <v>0</v>
      </c>
      <c r="DZ225" s="2" t="n">
        <v>0</v>
      </c>
      <c r="EA225" s="2" t="n">
        <v>0</v>
      </c>
      <c r="EB225" s="2" t="n">
        <v>0</v>
      </c>
      <c r="EC225" s="2" t="n">
        <v>0</v>
      </c>
      <c r="ED225" s="2" t="n">
        <v>0</v>
      </c>
      <c r="EE225" s="2" t="n">
        <v>0</v>
      </c>
      <c r="EF225" s="2" t="n">
        <v>0</v>
      </c>
      <c r="EG225" s="2" t="n">
        <v>0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0</v>
      </c>
      <c r="EM225" s="2" t="n">
        <v>0</v>
      </c>
      <c r="EN225" s="2" t="n">
        <v>0</v>
      </c>
      <c r="EO225" s="2" t="n">
        <v>0</v>
      </c>
      <c r="EP225" s="2" t="n">
        <v>0</v>
      </c>
      <c r="EQ225" s="2" t="n">
        <v>0</v>
      </c>
      <c r="ER225" s="2" t="n">
        <v>0</v>
      </c>
      <c r="ES225" s="2" t="n">
        <v>0</v>
      </c>
    </row>
    <row r="226">
      <c r="A226" s="2" t="n">
        <v>4</v>
      </c>
      <c r="B226" s="2" t="inlineStr">
        <is>
          <t>11.05.02.02</t>
        </is>
      </c>
      <c r="C226" s="2" t="inlineStr">
        <is>
          <t>Mão-de-obra de montagem de andaime fachadeiro</t>
        </is>
      </c>
      <c r="D226" s="2" t="inlineStr">
        <is>
          <t>-</t>
        </is>
      </c>
      <c r="E226" s="2" t="inlineStr">
        <is>
          <t>-</t>
        </is>
      </c>
      <c r="F226" s="2" t="n">
        <v>50597.18145056971</v>
      </c>
      <c r="G226" s="2" t="n">
        <v>0</v>
      </c>
      <c r="H226" s="2" t="n">
        <v>50597.18145056971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0</v>
      </c>
      <c r="CV226" s="2" t="n">
        <v>0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0</v>
      </c>
      <c r="DD226" s="2" t="n">
        <v>0</v>
      </c>
      <c r="DE226" s="2" t="n">
        <v>0</v>
      </c>
      <c r="DF226" s="2" t="n">
        <v>0</v>
      </c>
      <c r="DG226" s="2" t="n">
        <v>0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0</v>
      </c>
      <c r="DW226" s="2" t="n">
        <v>0</v>
      </c>
      <c r="DX226" s="2" t="n">
        <v>0</v>
      </c>
      <c r="DY226" s="2" t="n">
        <v>0</v>
      </c>
      <c r="DZ226" s="2" t="n">
        <v>0</v>
      </c>
      <c r="EA226" s="2" t="n">
        <v>0</v>
      </c>
      <c r="EB226" s="2" t="n">
        <v>0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0</v>
      </c>
      <c r="EM226" s="2" t="n">
        <v>0</v>
      </c>
      <c r="EN226" s="2" t="n">
        <v>0</v>
      </c>
      <c r="EO226" s="2" t="n">
        <v>0</v>
      </c>
      <c r="EP226" s="2" t="n">
        <v>0</v>
      </c>
      <c r="EQ226" s="2" t="n">
        <v>0</v>
      </c>
      <c r="ER226" s="2" t="n">
        <v>0</v>
      </c>
      <c r="ES226" s="2" t="n">
        <v>0</v>
      </c>
    </row>
    <row r="227">
      <c r="A227" s="2" t="n">
        <v>4</v>
      </c>
      <c r="B227" s="2" t="inlineStr">
        <is>
          <t>11.05.02.03</t>
        </is>
      </c>
      <c r="C227" s="2" t="inlineStr">
        <is>
          <t>Mão-de-obra de desmontagem de andaime fachadeiro</t>
        </is>
      </c>
      <c r="D227" s="2" t="inlineStr">
        <is>
          <t>-</t>
        </is>
      </c>
      <c r="E227" s="2" t="inlineStr">
        <is>
          <t>-</t>
        </is>
      </c>
      <c r="F227" s="2" t="n">
        <v>50597.18145056971</v>
      </c>
      <c r="G227" s="2" t="n">
        <v>0</v>
      </c>
      <c r="H227" s="2" t="n">
        <v>50597.18145056971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0</v>
      </c>
      <c r="BU227" s="2" t="n">
        <v>0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n">
        <v>0</v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0</v>
      </c>
      <c r="CV227" s="2" t="n">
        <v>0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0</v>
      </c>
      <c r="DD227" s="2" t="n">
        <v>0</v>
      </c>
      <c r="DE227" s="2" t="n">
        <v>0</v>
      </c>
      <c r="DF227" s="2" t="n">
        <v>0</v>
      </c>
      <c r="DG227" s="2" t="n">
        <v>0</v>
      </c>
      <c r="DH227" s="2" t="n">
        <v>0</v>
      </c>
      <c r="DI227" s="2" t="n">
        <v>0</v>
      </c>
      <c r="DJ227" s="2" t="n">
        <v>0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0</v>
      </c>
      <c r="DP227" s="2" t="n">
        <v>0</v>
      </c>
      <c r="DQ227" s="2" t="n">
        <v>0</v>
      </c>
      <c r="DR227" s="2" t="n">
        <v>0</v>
      </c>
      <c r="DS227" s="2" t="n">
        <v>0</v>
      </c>
      <c r="DT227" s="2" t="n">
        <v>0</v>
      </c>
      <c r="DU227" s="2" t="n">
        <v>0</v>
      </c>
      <c r="DV227" s="2" t="n">
        <v>0</v>
      </c>
      <c r="DW227" s="2" t="n">
        <v>0</v>
      </c>
      <c r="DX227" s="2" t="n">
        <v>0</v>
      </c>
      <c r="DY227" s="2" t="n">
        <v>0</v>
      </c>
      <c r="DZ227" s="2" t="n">
        <v>0</v>
      </c>
      <c r="EA227" s="2" t="n">
        <v>0</v>
      </c>
      <c r="EB227" s="2" t="n">
        <v>0</v>
      </c>
      <c r="EC227" s="2" t="n">
        <v>0</v>
      </c>
      <c r="ED227" s="2" t="n">
        <v>0</v>
      </c>
      <c r="EE227" s="2" t="n">
        <v>0</v>
      </c>
      <c r="EF227" s="2" t="n">
        <v>0</v>
      </c>
      <c r="EG227" s="2" t="n">
        <v>0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0</v>
      </c>
      <c r="EM227" s="2" t="n">
        <v>0</v>
      </c>
      <c r="EN227" s="2" t="n">
        <v>0</v>
      </c>
      <c r="EO227" s="2" t="n">
        <v>0</v>
      </c>
      <c r="EP227" s="2" t="n">
        <v>0</v>
      </c>
      <c r="EQ227" s="2" t="n">
        <v>0</v>
      </c>
      <c r="ER227" s="2" t="n">
        <v>0</v>
      </c>
      <c r="ES227" s="2" t="n">
        <v>0</v>
      </c>
    </row>
    <row r="228">
      <c r="A228" s="2" t="n">
        <v>3</v>
      </c>
      <c r="B228" s="2" t="inlineStr">
        <is>
          <t>11.05.03</t>
        </is>
      </c>
      <c r="C228" s="2" t="inlineStr">
        <is>
          <t>Andaime suspenso tipo plataforma</t>
        </is>
      </c>
      <c r="D228" s="2" t="inlineStr">
        <is>
          <t>-</t>
        </is>
      </c>
      <c r="E228" s="2" t="inlineStr">
        <is>
          <t>-</t>
        </is>
      </c>
      <c r="F228" s="2" t="n">
        <v>422841.2794447206</v>
      </c>
      <c r="G228" s="2" t="n">
        <v>0</v>
      </c>
      <c r="H228" s="2" t="n">
        <v>422841.2794447206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0</v>
      </c>
      <c r="BV228" s="2" t="n">
        <v>0</v>
      </c>
      <c r="BW228" s="2" t="n">
        <v>0</v>
      </c>
      <c r="BX228" s="2" t="n">
        <v>0</v>
      </c>
      <c r="BY228" s="2" t="n">
        <v>0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>0</v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0</v>
      </c>
      <c r="CV228" s="2" t="n">
        <v>0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0</v>
      </c>
      <c r="DD228" s="2" t="n">
        <v>0</v>
      </c>
      <c r="DE228" s="2" t="n">
        <v>0</v>
      </c>
      <c r="DF228" s="2" t="n">
        <v>0</v>
      </c>
      <c r="DG228" s="2" t="n">
        <v>0</v>
      </c>
      <c r="DH228" s="2" t="n">
        <v>0</v>
      </c>
      <c r="DI228" s="2" t="n">
        <v>0</v>
      </c>
      <c r="DJ228" s="2" t="n">
        <v>0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0</v>
      </c>
      <c r="DW228" s="2" t="n">
        <v>0</v>
      </c>
      <c r="DX228" s="2" t="n">
        <v>0</v>
      </c>
      <c r="DY228" s="2" t="n">
        <v>0</v>
      </c>
      <c r="DZ228" s="2" t="n">
        <v>0</v>
      </c>
      <c r="EA228" s="2" t="n">
        <v>0</v>
      </c>
      <c r="EB228" s="2" t="n">
        <v>0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0</v>
      </c>
      <c r="EM228" s="2" t="n">
        <v>0</v>
      </c>
      <c r="EN228" s="2" t="n">
        <v>0</v>
      </c>
      <c r="EO228" s="2" t="n">
        <v>0</v>
      </c>
      <c r="EP228" s="2" t="n">
        <v>0</v>
      </c>
      <c r="EQ228" s="2" t="n">
        <v>0</v>
      </c>
      <c r="ER228" s="2" t="n">
        <v>0</v>
      </c>
      <c r="ES228" s="2" t="n">
        <v>0</v>
      </c>
    </row>
    <row r="229">
      <c r="A229" s="2" t="n">
        <v>4</v>
      </c>
      <c r="B229" s="2" t="inlineStr">
        <is>
          <t>11.05.03.01</t>
        </is>
      </c>
      <c r="C229" s="2" t="inlineStr">
        <is>
          <t>Locação mensal</t>
        </is>
      </c>
      <c r="D229" s="2" t="inlineStr">
        <is>
          <t>-</t>
        </is>
      </c>
      <c r="E229" s="2" t="inlineStr">
        <is>
          <t>-</t>
        </is>
      </c>
      <c r="F229" s="2" t="n">
        <v>389760</v>
      </c>
      <c r="G229" s="2" t="n">
        <v>0</v>
      </c>
      <c r="H229" s="2" t="n">
        <v>389760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0</v>
      </c>
      <c r="BV229" s="2" t="n">
        <v>0</v>
      </c>
      <c r="BW229" s="2" t="n">
        <v>0</v>
      </c>
      <c r="BX229" s="2" t="n">
        <v>0</v>
      </c>
      <c r="BY229" s="2" t="n">
        <v>0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n">
        <v>0</v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0</v>
      </c>
      <c r="CV229" s="2" t="n">
        <v>0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0</v>
      </c>
      <c r="DD229" s="2" t="n">
        <v>0</v>
      </c>
      <c r="DE229" s="2" t="n">
        <v>0</v>
      </c>
      <c r="DF229" s="2" t="n">
        <v>0</v>
      </c>
      <c r="DG229" s="2" t="n">
        <v>0</v>
      </c>
      <c r="DH229" s="2" t="n">
        <v>0</v>
      </c>
      <c r="DI229" s="2" t="n">
        <v>0</v>
      </c>
      <c r="DJ229" s="2" t="n">
        <v>0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0</v>
      </c>
      <c r="DW229" s="2" t="n">
        <v>0</v>
      </c>
      <c r="DX229" s="2" t="n">
        <v>0</v>
      </c>
      <c r="DY229" s="2" t="n">
        <v>0</v>
      </c>
      <c r="DZ229" s="2" t="n">
        <v>0</v>
      </c>
      <c r="EA229" s="2" t="n">
        <v>0</v>
      </c>
      <c r="EB229" s="2" t="n">
        <v>0</v>
      </c>
      <c r="EC229" s="2" t="n">
        <v>0</v>
      </c>
      <c r="ED229" s="2" t="n">
        <v>0</v>
      </c>
      <c r="EE229" s="2" t="n">
        <v>0</v>
      </c>
      <c r="EF229" s="2" t="n">
        <v>0</v>
      </c>
      <c r="EG229" s="2" t="n">
        <v>0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0</v>
      </c>
      <c r="EM229" s="2" t="n">
        <v>0</v>
      </c>
      <c r="EN229" s="2" t="n">
        <v>0</v>
      </c>
      <c r="EO229" s="2" t="n">
        <v>0</v>
      </c>
      <c r="EP229" s="2" t="n">
        <v>0</v>
      </c>
      <c r="EQ229" s="2" t="n">
        <v>0</v>
      </c>
      <c r="ER229" s="2" t="n">
        <v>0</v>
      </c>
      <c r="ES229" s="2" t="n">
        <v>0</v>
      </c>
    </row>
    <row r="230">
      <c r="A230" s="2" t="n">
        <v>4</v>
      </c>
      <c r="B230" s="2" t="inlineStr">
        <is>
          <t>11.05.03.02</t>
        </is>
      </c>
      <c r="C230" s="2" t="inlineStr">
        <is>
          <t>Mão-de-obra de montagem</t>
        </is>
      </c>
      <c r="D230" s="2" t="inlineStr">
        <is>
          <t>-</t>
        </is>
      </c>
      <c r="E230" s="2" t="inlineStr">
        <is>
          <t>-</t>
        </is>
      </c>
      <c r="F230" s="2" t="n">
        <v>13350.6397223603</v>
      </c>
      <c r="G230" s="2" t="n">
        <v>0</v>
      </c>
      <c r="H230" s="2" t="n">
        <v>13350.6397223603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0</v>
      </c>
      <c r="BV230" s="2" t="n">
        <v>0</v>
      </c>
      <c r="BW230" s="2" t="n">
        <v>0</v>
      </c>
      <c r="BX230" s="2" t="n">
        <v>0</v>
      </c>
      <c r="BY230" s="2" t="n">
        <v>0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>0</v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0</v>
      </c>
      <c r="CV230" s="2" t="n">
        <v>0</v>
      </c>
      <c r="CW230" s="2" t="n">
        <v>0</v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n">
        <v>0</v>
      </c>
      <c r="DD230" s="2" t="n">
        <v>0</v>
      </c>
      <c r="DE230" s="2" t="n">
        <v>0</v>
      </c>
      <c r="DF230" s="2" t="n">
        <v>0</v>
      </c>
      <c r="DG230" s="2" t="n">
        <v>0</v>
      </c>
      <c r="DH230" s="2" t="n">
        <v>0</v>
      </c>
      <c r="DI230" s="2" t="n">
        <v>0</v>
      </c>
      <c r="DJ230" s="2" t="n">
        <v>0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0</v>
      </c>
      <c r="DW230" s="2" t="n">
        <v>0</v>
      </c>
      <c r="DX230" s="2" t="n">
        <v>0</v>
      </c>
      <c r="DY230" s="2" t="n">
        <v>0</v>
      </c>
      <c r="DZ230" s="2" t="n">
        <v>0</v>
      </c>
      <c r="EA230" s="2" t="n">
        <v>0</v>
      </c>
      <c r="EB230" s="2" t="n">
        <v>0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0</v>
      </c>
      <c r="EM230" s="2" t="n">
        <v>0</v>
      </c>
      <c r="EN230" s="2" t="n">
        <v>0</v>
      </c>
      <c r="EO230" s="2" t="n">
        <v>0</v>
      </c>
      <c r="EP230" s="2" t="n">
        <v>0</v>
      </c>
      <c r="EQ230" s="2" t="n">
        <v>0</v>
      </c>
      <c r="ER230" s="2" t="n">
        <v>0</v>
      </c>
      <c r="ES230" s="2" t="n">
        <v>0</v>
      </c>
    </row>
    <row r="231">
      <c r="A231" s="2" t="n">
        <v>4</v>
      </c>
      <c r="B231" s="2" t="inlineStr">
        <is>
          <t>11.05.03.03</t>
        </is>
      </c>
      <c r="C231" s="2" t="inlineStr">
        <is>
          <t>Mão-de-obra de desmontagem</t>
        </is>
      </c>
      <c r="D231" s="2" t="inlineStr">
        <is>
          <t>-</t>
        </is>
      </c>
      <c r="E231" s="2" t="inlineStr">
        <is>
          <t>-</t>
        </is>
      </c>
      <c r="F231" s="2" t="n">
        <v>13350.6397223603</v>
      </c>
      <c r="G231" s="2" t="n">
        <v>0</v>
      </c>
      <c r="H231" s="2" t="n">
        <v>13350.6397223603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0</v>
      </c>
      <c r="BU231" s="2" t="n">
        <v>0</v>
      </c>
      <c r="BV231" s="2" t="n">
        <v>0</v>
      </c>
      <c r="BW231" s="2" t="n">
        <v>0</v>
      </c>
      <c r="BX231" s="2" t="n">
        <v>0</v>
      </c>
      <c r="BY231" s="2" t="n">
        <v>0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0</v>
      </c>
      <c r="CN231" s="2" t="n">
        <v>0</v>
      </c>
      <c r="CO231" s="2" t="n">
        <v>0</v>
      </c>
      <c r="CP231" s="2" t="n">
        <v>0</v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0</v>
      </c>
      <c r="CV231" s="2" t="n">
        <v>0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0</v>
      </c>
      <c r="DD231" s="2" t="n">
        <v>0</v>
      </c>
      <c r="DE231" s="2" t="n">
        <v>0</v>
      </c>
      <c r="DF231" s="2" t="n">
        <v>0</v>
      </c>
      <c r="DG231" s="2" t="n">
        <v>0</v>
      </c>
      <c r="DH231" s="2" t="n">
        <v>0</v>
      </c>
      <c r="DI231" s="2" t="n">
        <v>0</v>
      </c>
      <c r="DJ231" s="2" t="n">
        <v>0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0</v>
      </c>
      <c r="DR231" s="2" t="n">
        <v>0</v>
      </c>
      <c r="DS231" s="2" t="n">
        <v>0</v>
      </c>
      <c r="DT231" s="2" t="n">
        <v>0</v>
      </c>
      <c r="DU231" s="2" t="n">
        <v>0</v>
      </c>
      <c r="DV231" s="2" t="n">
        <v>0</v>
      </c>
      <c r="DW231" s="2" t="n">
        <v>0</v>
      </c>
      <c r="DX231" s="2" t="n">
        <v>0</v>
      </c>
      <c r="DY231" s="2" t="n">
        <v>0</v>
      </c>
      <c r="DZ231" s="2" t="n">
        <v>0</v>
      </c>
      <c r="EA231" s="2" t="n">
        <v>0</v>
      </c>
      <c r="EB231" s="2" t="n">
        <v>0</v>
      </c>
      <c r="EC231" s="2" t="n">
        <v>0</v>
      </c>
      <c r="ED231" s="2" t="n">
        <v>0</v>
      </c>
      <c r="EE231" s="2" t="n">
        <v>0</v>
      </c>
      <c r="EF231" s="2" t="n">
        <v>0</v>
      </c>
      <c r="EG231" s="2" t="n">
        <v>0</v>
      </c>
      <c r="EH231" s="2" t="n">
        <v>0</v>
      </c>
      <c r="EI231" s="2" t="n">
        <v>0</v>
      </c>
      <c r="EJ231" s="2" t="n">
        <v>0</v>
      </c>
      <c r="EK231" s="2" t="n">
        <v>0</v>
      </c>
      <c r="EL231" s="2" t="n">
        <v>0</v>
      </c>
      <c r="EM231" s="2" t="n">
        <v>0</v>
      </c>
      <c r="EN231" s="2" t="n">
        <v>0</v>
      </c>
      <c r="EO231" s="2" t="n">
        <v>0</v>
      </c>
      <c r="EP231" s="2" t="n">
        <v>0</v>
      </c>
      <c r="EQ231" s="2" t="n">
        <v>0</v>
      </c>
      <c r="ER231" s="2" t="n">
        <v>0</v>
      </c>
      <c r="ES231" s="2" t="n">
        <v>0</v>
      </c>
    </row>
    <row r="232">
      <c r="A232" s="2" t="n">
        <v>4</v>
      </c>
      <c r="B232" s="2" t="inlineStr">
        <is>
          <t>11.05.03.04</t>
        </is>
      </c>
      <c r="C232" s="2" t="inlineStr">
        <is>
          <t>Acessórios para montagem</t>
        </is>
      </c>
      <c r="D232" s="2" t="inlineStr">
        <is>
          <t>-</t>
        </is>
      </c>
      <c r="E232" s="2" t="inlineStr">
        <is>
          <t>-</t>
        </is>
      </c>
      <c r="F232" s="2" t="n">
        <v>6380</v>
      </c>
      <c r="G232" s="2" t="n">
        <v>0</v>
      </c>
      <c r="H232" s="2" t="n">
        <v>6380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0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0</v>
      </c>
      <c r="DW232" s="2" t="n">
        <v>0</v>
      </c>
      <c r="DX232" s="2" t="n">
        <v>0</v>
      </c>
      <c r="DY232" s="2" t="n">
        <v>0</v>
      </c>
      <c r="DZ232" s="2" t="n">
        <v>0</v>
      </c>
      <c r="EA232" s="2" t="n">
        <v>0</v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0</v>
      </c>
      <c r="EM232" s="2" t="n">
        <v>0</v>
      </c>
      <c r="EN232" s="2" t="n">
        <v>0</v>
      </c>
      <c r="EO232" s="2" t="n">
        <v>0</v>
      </c>
      <c r="EP232" s="2" t="n">
        <v>0</v>
      </c>
      <c r="EQ232" s="2" t="n">
        <v>0</v>
      </c>
      <c r="ER232" s="2" t="n">
        <v>0</v>
      </c>
      <c r="ES232" s="2" t="n">
        <v>0</v>
      </c>
    </row>
    <row r="233">
      <c r="A233" s="2" t="n">
        <v>2</v>
      </c>
      <c r="B233" s="2" t="inlineStr">
        <is>
          <t>11.06</t>
        </is>
      </c>
      <c r="C233" s="2" t="inlineStr">
        <is>
          <t>Equipamentos de Proteção Coletiva</t>
        </is>
      </c>
      <c r="D233" s="2" t="inlineStr">
        <is>
          <t>-</t>
        </is>
      </c>
      <c r="E233" s="2" t="inlineStr">
        <is>
          <t>-</t>
        </is>
      </c>
      <c r="F233" s="2" t="n">
        <v>308613.4361568453</v>
      </c>
      <c r="G233" s="2" t="n">
        <v>0</v>
      </c>
      <c r="H233" s="2" t="n">
        <v>308613.4361568453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0</v>
      </c>
      <c r="DD233" s="2" t="n">
        <v>0</v>
      </c>
      <c r="DE233" s="2" t="n">
        <v>0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0</v>
      </c>
      <c r="DW233" s="2" t="n">
        <v>0</v>
      </c>
      <c r="DX233" s="2" t="n">
        <v>0</v>
      </c>
      <c r="DY233" s="2" t="n">
        <v>0</v>
      </c>
      <c r="DZ233" s="2" t="n">
        <v>0</v>
      </c>
      <c r="EA233" s="2" t="n">
        <v>0</v>
      </c>
      <c r="EB233" s="2" t="n">
        <v>0</v>
      </c>
      <c r="EC233" s="2" t="n">
        <v>0</v>
      </c>
      <c r="ED233" s="2" t="n">
        <v>0</v>
      </c>
      <c r="EE233" s="2" t="n">
        <v>0</v>
      </c>
      <c r="EF233" s="2" t="n">
        <v>0</v>
      </c>
      <c r="EG233" s="2" t="n">
        <v>0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0</v>
      </c>
      <c r="EM233" s="2" t="n">
        <v>0</v>
      </c>
      <c r="EN233" s="2" t="n">
        <v>0</v>
      </c>
      <c r="EO233" s="2" t="n">
        <v>0</v>
      </c>
      <c r="EP233" s="2" t="n">
        <v>0</v>
      </c>
      <c r="EQ233" s="2" t="n">
        <v>0</v>
      </c>
      <c r="ER233" s="2" t="n">
        <v>0</v>
      </c>
      <c r="ES233" s="2" t="n">
        <v>0</v>
      </c>
    </row>
    <row r="234">
      <c r="A234" s="2" t="n">
        <v>3</v>
      </c>
      <c r="B234" s="2" t="inlineStr">
        <is>
          <t>11.06.01</t>
        </is>
      </c>
      <c r="C234" s="2" t="inlineStr">
        <is>
          <t>Guarda-corpo de madeira H=120cm para proteção perimetral de lajes</t>
        </is>
      </c>
      <c r="D234" s="2" t="inlineStr">
        <is>
          <t>-</t>
        </is>
      </c>
      <c r="E234" s="2" t="inlineStr">
        <is>
          <t>-</t>
        </is>
      </c>
      <c r="F234" s="2" t="n">
        <v>111518.9866666666</v>
      </c>
      <c r="G234" s="2" t="n">
        <v>0</v>
      </c>
      <c r="H234" s="2" t="n">
        <v>111518.9866666666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0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n">
        <v>0</v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0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0</v>
      </c>
      <c r="DT234" s="2" t="n">
        <v>0</v>
      </c>
      <c r="DU234" s="2" t="n">
        <v>0</v>
      </c>
      <c r="DV234" s="2" t="n">
        <v>0</v>
      </c>
      <c r="DW234" s="2" t="n">
        <v>0</v>
      </c>
      <c r="DX234" s="2" t="n">
        <v>0</v>
      </c>
      <c r="DY234" s="2" t="n">
        <v>0</v>
      </c>
      <c r="DZ234" s="2" t="n">
        <v>0</v>
      </c>
      <c r="EA234" s="2" t="n">
        <v>0</v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0</v>
      </c>
      <c r="EM234" s="2" t="n">
        <v>0</v>
      </c>
      <c r="EN234" s="2" t="n">
        <v>0</v>
      </c>
      <c r="EO234" s="2" t="n">
        <v>0</v>
      </c>
      <c r="EP234" s="2" t="n">
        <v>0</v>
      </c>
      <c r="EQ234" s="2" t="n">
        <v>0</v>
      </c>
      <c r="ER234" s="2" t="n">
        <v>0</v>
      </c>
      <c r="ES234" s="2" t="n">
        <v>0</v>
      </c>
    </row>
    <row r="235">
      <c r="A235" s="2" t="n">
        <v>3</v>
      </c>
      <c r="B235" s="2" t="inlineStr">
        <is>
          <t>11.06.02</t>
        </is>
      </c>
      <c r="C235" s="2" t="inlineStr">
        <is>
          <t>Guarda-corpo de madeira H=120cm para proteção provisória de escadarias</t>
        </is>
      </c>
      <c r="D235" s="2" t="inlineStr">
        <is>
          <t>-</t>
        </is>
      </c>
      <c r="E235" s="2" t="inlineStr">
        <is>
          <t>-</t>
        </is>
      </c>
      <c r="F235" s="2" t="n">
        <v>31626.61333333333</v>
      </c>
      <c r="G235" s="2" t="n">
        <v>0</v>
      </c>
      <c r="H235" s="2" t="n">
        <v>31626.61333333333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0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n">
        <v>0</v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0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0</v>
      </c>
      <c r="DW235" s="2" t="n">
        <v>0</v>
      </c>
      <c r="DX235" s="2" t="n">
        <v>0</v>
      </c>
      <c r="DY235" s="2" t="n">
        <v>0</v>
      </c>
      <c r="DZ235" s="2" t="n">
        <v>0</v>
      </c>
      <c r="EA235" s="2" t="n">
        <v>0</v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0</v>
      </c>
      <c r="EM235" s="2" t="n">
        <v>0</v>
      </c>
      <c r="EN235" s="2" t="n">
        <v>0</v>
      </c>
      <c r="EO235" s="2" t="n">
        <v>0</v>
      </c>
      <c r="EP235" s="2" t="n">
        <v>0</v>
      </c>
      <c r="EQ235" s="2" t="n">
        <v>0</v>
      </c>
      <c r="ER235" s="2" t="n">
        <v>0</v>
      </c>
      <c r="ES235" s="2" t="n">
        <v>0</v>
      </c>
    </row>
    <row r="236">
      <c r="A236" s="2" t="n">
        <v>3</v>
      </c>
      <c r="B236" s="2" t="inlineStr">
        <is>
          <t>11.06.03</t>
        </is>
      </c>
      <c r="C236" s="2" t="inlineStr">
        <is>
          <t>Linha de vida - cabo de aço</t>
        </is>
      </c>
      <c r="D236" s="2" t="inlineStr">
        <is>
          <t>-</t>
        </is>
      </c>
      <c r="E236" s="2" t="inlineStr">
        <is>
          <t>-</t>
        </is>
      </c>
      <c r="F236" s="2" t="n">
        <v>93019.83615684534</v>
      </c>
      <c r="G236" s="2" t="n">
        <v>0</v>
      </c>
      <c r="H236" s="2" t="n">
        <v>93019.83615684534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0</v>
      </c>
      <c r="BU236" s="2" t="n">
        <v>0</v>
      </c>
      <c r="BV236" s="2" t="n">
        <v>0</v>
      </c>
      <c r="BW236" s="2" t="n">
        <v>0</v>
      </c>
      <c r="BX236" s="2" t="n">
        <v>0</v>
      </c>
      <c r="BY236" s="2" t="n">
        <v>0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0</v>
      </c>
      <c r="CN236" s="2" t="n">
        <v>0</v>
      </c>
      <c r="CO236" s="2" t="n">
        <v>0</v>
      </c>
      <c r="CP236" s="2" t="n">
        <v>0</v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0</v>
      </c>
      <c r="CV236" s="2" t="n">
        <v>0</v>
      </c>
      <c r="CW236" s="2" t="n">
        <v>0</v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0</v>
      </c>
      <c r="DD236" s="2" t="n">
        <v>0</v>
      </c>
      <c r="DE236" s="2" t="n">
        <v>0</v>
      </c>
      <c r="DF236" s="2" t="n">
        <v>0</v>
      </c>
      <c r="DG236" s="2" t="n">
        <v>0</v>
      </c>
      <c r="DH236" s="2" t="n">
        <v>0</v>
      </c>
      <c r="DI236" s="2" t="n">
        <v>0</v>
      </c>
      <c r="DJ236" s="2" t="n">
        <v>0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0</v>
      </c>
      <c r="DT236" s="2" t="n">
        <v>0</v>
      </c>
      <c r="DU236" s="2" t="n">
        <v>0</v>
      </c>
      <c r="DV236" s="2" t="n">
        <v>0</v>
      </c>
      <c r="DW236" s="2" t="n">
        <v>0</v>
      </c>
      <c r="DX236" s="2" t="n">
        <v>0</v>
      </c>
      <c r="DY236" s="2" t="n">
        <v>0</v>
      </c>
      <c r="DZ236" s="2" t="n">
        <v>0</v>
      </c>
      <c r="EA236" s="2" t="n">
        <v>0</v>
      </c>
      <c r="EB236" s="2" t="n">
        <v>0</v>
      </c>
      <c r="EC236" s="2" t="n">
        <v>0</v>
      </c>
      <c r="ED236" s="2" t="n">
        <v>0</v>
      </c>
      <c r="EE236" s="2" t="n">
        <v>0</v>
      </c>
      <c r="EF236" s="2" t="n">
        <v>0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0</v>
      </c>
      <c r="EM236" s="2" t="n">
        <v>0</v>
      </c>
      <c r="EN236" s="2" t="n">
        <v>0</v>
      </c>
      <c r="EO236" s="2" t="n">
        <v>0</v>
      </c>
      <c r="EP236" s="2" t="n">
        <v>0</v>
      </c>
      <c r="EQ236" s="2" t="n">
        <v>0</v>
      </c>
      <c r="ER236" s="2" t="n">
        <v>0</v>
      </c>
      <c r="ES236" s="2" t="n">
        <v>0</v>
      </c>
    </row>
    <row r="237">
      <c r="A237" s="2" t="n">
        <v>3</v>
      </c>
      <c r="B237" s="2" t="inlineStr">
        <is>
          <t>11.06.04</t>
        </is>
      </c>
      <c r="C237" s="2" t="inlineStr">
        <is>
          <t>Linha de vida - Tubo</t>
        </is>
      </c>
      <c r="D237" s="2" t="inlineStr">
        <is>
          <t>-</t>
        </is>
      </c>
      <c r="E237" s="2" t="inlineStr">
        <is>
          <t>-</t>
        </is>
      </c>
      <c r="F237" s="2" t="n">
        <v>47448</v>
      </c>
      <c r="G237" s="2" t="n">
        <v>0</v>
      </c>
      <c r="H237" s="2" t="n">
        <v>47448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0</v>
      </c>
      <c r="BT237" s="2" t="n">
        <v>0</v>
      </c>
      <c r="BU237" s="2" t="n">
        <v>0</v>
      </c>
      <c r="BV237" s="2" t="n">
        <v>0</v>
      </c>
      <c r="BW237" s="2" t="n">
        <v>0</v>
      </c>
      <c r="BX237" s="2" t="n">
        <v>0</v>
      </c>
      <c r="BY237" s="2" t="n">
        <v>0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0</v>
      </c>
      <c r="CN237" s="2" t="n">
        <v>0</v>
      </c>
      <c r="CO237" s="2" t="n">
        <v>0</v>
      </c>
      <c r="CP237" s="2" t="n">
        <v>0</v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0</v>
      </c>
      <c r="CV237" s="2" t="n">
        <v>0</v>
      </c>
      <c r="CW237" s="2" t="n">
        <v>0</v>
      </c>
      <c r="CX237" s="2" t="n">
        <v>0</v>
      </c>
      <c r="CY237" s="2" t="n">
        <v>0</v>
      </c>
      <c r="CZ237" s="2" t="n">
        <v>0</v>
      </c>
      <c r="DA237" s="2" t="n">
        <v>0</v>
      </c>
      <c r="DB237" s="2" t="n">
        <v>0</v>
      </c>
      <c r="DC237" s="2" t="n">
        <v>0</v>
      </c>
      <c r="DD237" s="2" t="n">
        <v>0</v>
      </c>
      <c r="DE237" s="2" t="n">
        <v>0</v>
      </c>
      <c r="DF237" s="2" t="n">
        <v>0</v>
      </c>
      <c r="DG237" s="2" t="n">
        <v>0</v>
      </c>
      <c r="DH237" s="2" t="n">
        <v>0</v>
      </c>
      <c r="DI237" s="2" t="n">
        <v>0</v>
      </c>
      <c r="DJ237" s="2" t="n">
        <v>0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0</v>
      </c>
      <c r="DT237" s="2" t="n">
        <v>0</v>
      </c>
      <c r="DU237" s="2" t="n">
        <v>0</v>
      </c>
      <c r="DV237" s="2" t="n">
        <v>0</v>
      </c>
      <c r="DW237" s="2" t="n">
        <v>0</v>
      </c>
      <c r="DX237" s="2" t="n">
        <v>0</v>
      </c>
      <c r="DY237" s="2" t="n">
        <v>0</v>
      </c>
      <c r="DZ237" s="2" t="n">
        <v>0</v>
      </c>
      <c r="EA237" s="2" t="n">
        <v>0</v>
      </c>
      <c r="EB237" s="2" t="n">
        <v>0</v>
      </c>
      <c r="EC237" s="2" t="n">
        <v>0</v>
      </c>
      <c r="ED237" s="2" t="n">
        <v>0</v>
      </c>
      <c r="EE237" s="2" t="n">
        <v>0</v>
      </c>
      <c r="EF237" s="2" t="n">
        <v>0</v>
      </c>
      <c r="EG237" s="2" t="n">
        <v>0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0</v>
      </c>
      <c r="EM237" s="2" t="n">
        <v>0</v>
      </c>
      <c r="EN237" s="2" t="n">
        <v>0</v>
      </c>
      <c r="EO237" s="2" t="n">
        <v>0</v>
      </c>
      <c r="EP237" s="2" t="n">
        <v>0</v>
      </c>
      <c r="EQ237" s="2" t="n">
        <v>0</v>
      </c>
      <c r="ER237" s="2" t="n">
        <v>0</v>
      </c>
      <c r="ES237" s="2" t="n">
        <v>0</v>
      </c>
    </row>
    <row r="238">
      <c r="A238" s="2" t="n">
        <v>3</v>
      </c>
      <c r="B238" s="2" t="inlineStr">
        <is>
          <t>11.06.05</t>
        </is>
      </c>
      <c r="C238" s="2" t="inlineStr">
        <is>
          <t>Madeiramento para EPCs diversos não explicitados.</t>
        </is>
      </c>
      <c r="D238" s="2" t="inlineStr">
        <is>
          <t>-</t>
        </is>
      </c>
      <c r="E238" s="2" t="inlineStr">
        <is>
          <t>-</t>
        </is>
      </c>
      <c r="F238" s="2" t="n">
        <v>20000</v>
      </c>
      <c r="G238" s="2" t="n">
        <v>0</v>
      </c>
      <c r="H238" s="2" t="n">
        <v>20000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0</v>
      </c>
      <c r="BQ238" s="2" t="n">
        <v>0</v>
      </c>
      <c r="BR238" s="2" t="n">
        <v>0</v>
      </c>
      <c r="BS238" s="2" t="n">
        <v>0</v>
      </c>
      <c r="BT238" s="2" t="n">
        <v>0</v>
      </c>
      <c r="BU238" s="2" t="n">
        <v>0</v>
      </c>
      <c r="BV238" s="2" t="n">
        <v>0</v>
      </c>
      <c r="BW238" s="2" t="n">
        <v>0</v>
      </c>
      <c r="BX238" s="2" t="n">
        <v>0</v>
      </c>
      <c r="BY238" s="2" t="n">
        <v>0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0</v>
      </c>
      <c r="CN238" s="2" t="n">
        <v>0</v>
      </c>
      <c r="CO238" s="2" t="n">
        <v>0</v>
      </c>
      <c r="CP238" s="2" t="n">
        <v>0</v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0</v>
      </c>
      <c r="CV238" s="2" t="n">
        <v>0</v>
      </c>
      <c r="CW238" s="2" t="n">
        <v>0</v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0</v>
      </c>
      <c r="DD238" s="2" t="n">
        <v>0</v>
      </c>
      <c r="DE238" s="2" t="n">
        <v>0</v>
      </c>
      <c r="DF238" s="2" t="n">
        <v>0</v>
      </c>
      <c r="DG238" s="2" t="n">
        <v>0</v>
      </c>
      <c r="DH238" s="2" t="n">
        <v>0</v>
      </c>
      <c r="DI238" s="2" t="n">
        <v>0</v>
      </c>
      <c r="DJ238" s="2" t="n">
        <v>0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0</v>
      </c>
      <c r="DQ238" s="2" t="n">
        <v>0</v>
      </c>
      <c r="DR238" s="2" t="n">
        <v>0</v>
      </c>
      <c r="DS238" s="2" t="n">
        <v>0</v>
      </c>
      <c r="DT238" s="2" t="n">
        <v>0</v>
      </c>
      <c r="DU238" s="2" t="n">
        <v>0</v>
      </c>
      <c r="DV238" s="2" t="n">
        <v>0</v>
      </c>
      <c r="DW238" s="2" t="n">
        <v>0</v>
      </c>
      <c r="DX238" s="2" t="n">
        <v>0</v>
      </c>
      <c r="DY238" s="2" t="n">
        <v>0</v>
      </c>
      <c r="DZ238" s="2" t="n">
        <v>0</v>
      </c>
      <c r="EA238" s="2" t="n">
        <v>0</v>
      </c>
      <c r="EB238" s="2" t="n">
        <v>0</v>
      </c>
      <c r="EC238" s="2" t="n">
        <v>0</v>
      </c>
      <c r="ED238" s="2" t="n">
        <v>0</v>
      </c>
      <c r="EE238" s="2" t="n">
        <v>0</v>
      </c>
      <c r="EF238" s="2" t="n">
        <v>0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0</v>
      </c>
      <c r="EM238" s="2" t="n">
        <v>0</v>
      </c>
      <c r="EN238" s="2" t="n">
        <v>0</v>
      </c>
      <c r="EO238" s="2" t="n">
        <v>0</v>
      </c>
      <c r="EP238" s="2" t="n">
        <v>0</v>
      </c>
      <c r="EQ238" s="2" t="n">
        <v>0</v>
      </c>
      <c r="ER238" s="2" t="n">
        <v>0</v>
      </c>
      <c r="ES238" s="2" t="n">
        <v>0</v>
      </c>
    </row>
    <row r="239">
      <c r="A239" s="2" t="n">
        <v>3</v>
      </c>
      <c r="B239" s="2" t="inlineStr">
        <is>
          <t>11.06.06</t>
        </is>
      </c>
      <c r="C239" s="2" t="inlineStr">
        <is>
          <t>Placas de Sinalização</t>
        </is>
      </c>
      <c r="D239" s="2" t="inlineStr">
        <is>
          <t>-</t>
        </is>
      </c>
      <c r="E239" s="2" t="inlineStr">
        <is>
          <t>-</t>
        </is>
      </c>
      <c r="F239" s="2" t="n">
        <v>5000</v>
      </c>
      <c r="G239" s="2" t="n">
        <v>0</v>
      </c>
      <c r="H239" s="2" t="n">
        <v>5000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0</v>
      </c>
      <c r="DD239" s="2" t="n">
        <v>0</v>
      </c>
      <c r="DE239" s="2" t="n">
        <v>0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0</v>
      </c>
      <c r="DW239" s="2" t="n">
        <v>0</v>
      </c>
      <c r="DX239" s="2" t="n">
        <v>0</v>
      </c>
      <c r="DY239" s="2" t="n">
        <v>0</v>
      </c>
      <c r="DZ239" s="2" t="n">
        <v>0</v>
      </c>
      <c r="EA239" s="2" t="n">
        <v>0</v>
      </c>
      <c r="EB239" s="2" t="n">
        <v>0</v>
      </c>
      <c r="EC239" s="2" t="n">
        <v>0</v>
      </c>
      <c r="ED239" s="2" t="n">
        <v>0</v>
      </c>
      <c r="EE239" s="2" t="n">
        <v>0</v>
      </c>
      <c r="EF239" s="2" t="n">
        <v>0</v>
      </c>
      <c r="EG239" s="2" t="n">
        <v>0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0</v>
      </c>
      <c r="EM239" s="2" t="n">
        <v>0</v>
      </c>
      <c r="EN239" s="2" t="n">
        <v>0</v>
      </c>
      <c r="EO239" s="2" t="n">
        <v>0</v>
      </c>
      <c r="EP239" s="2" t="n">
        <v>0</v>
      </c>
      <c r="EQ239" s="2" t="n">
        <v>0</v>
      </c>
      <c r="ER239" s="2" t="n">
        <v>0</v>
      </c>
      <c r="ES239" s="2" t="n">
        <v>0</v>
      </c>
    </row>
    <row r="240">
      <c r="A240" s="2" t="n">
        <v>1</v>
      </c>
      <c r="B240" s="2" t="inlineStr">
        <is>
          <t>12</t>
        </is>
      </c>
      <c r="C240" s="2" t="inlineStr">
        <is>
          <t>SERVIÇOS INICIAIS</t>
        </is>
      </c>
      <c r="D240" s="2" t="inlineStr">
        <is>
          <t>23/06/2025</t>
        </is>
      </c>
      <c r="E240" s="2" t="inlineStr">
        <is>
          <t>25/07/2025</t>
        </is>
      </c>
      <c r="F240" s="2" t="n">
        <v>175350.9286625556</v>
      </c>
      <c r="G240" s="2" t="n">
        <v>0</v>
      </c>
      <c r="H240" s="2" t="n">
        <v>175350.9286625556</v>
      </c>
      <c r="I240" s="2" t="n">
        <v>15.31</v>
      </c>
      <c r="J240" s="2" t="n">
        <v>15.31</v>
      </c>
      <c r="K240" s="2" t="n">
        <v>0</v>
      </c>
      <c r="L240" s="2" t="n">
        <v>100</v>
      </c>
      <c r="M240" s="2" t="n">
        <v>100</v>
      </c>
      <c r="N240" s="2" t="n">
        <v>0</v>
      </c>
      <c r="O240" s="2" t="n">
        <v>100</v>
      </c>
      <c r="P240" s="2" t="n">
        <v>100</v>
      </c>
      <c r="Q240" s="2" t="n">
        <v>0</v>
      </c>
      <c r="R240" s="2" t="n">
        <v>100</v>
      </c>
      <c r="S240" s="2" t="n">
        <v>100</v>
      </c>
      <c r="T240" s="2" t="n">
        <v>100</v>
      </c>
      <c r="U240" s="2" t="n">
        <v>100</v>
      </c>
      <c r="V240" s="2" t="n">
        <v>100</v>
      </c>
      <c r="W240" s="2" t="n">
        <v>100</v>
      </c>
      <c r="X240" s="2" t="n">
        <v>100</v>
      </c>
      <c r="Y240" s="2" t="n">
        <v>100</v>
      </c>
      <c r="Z240" s="2" t="n">
        <v>100</v>
      </c>
      <c r="AA240" s="2" t="n">
        <v>100</v>
      </c>
      <c r="AB240" s="2" t="n">
        <v>100</v>
      </c>
      <c r="AC240" s="2" t="n">
        <v>100</v>
      </c>
      <c r="AD240" s="2" t="n">
        <v>100</v>
      </c>
      <c r="AE240" s="2" t="n">
        <v>100</v>
      </c>
      <c r="AF240" s="2" t="n">
        <v>100</v>
      </c>
      <c r="AG240" s="2" t="n">
        <v>100</v>
      </c>
      <c r="AH240" s="2" t="n">
        <v>100</v>
      </c>
      <c r="AI240" s="2" t="n">
        <v>100</v>
      </c>
      <c r="AJ240" s="2" t="n">
        <v>100</v>
      </c>
      <c r="AK240" s="2" t="n">
        <v>100</v>
      </c>
      <c r="AL240" s="2" t="n">
        <v>100</v>
      </c>
      <c r="AM240" s="2" t="n">
        <v>100</v>
      </c>
      <c r="AN240" s="2" t="n">
        <v>100</v>
      </c>
      <c r="AO240" s="2" t="n">
        <v>100</v>
      </c>
      <c r="AP240" s="2" t="n">
        <v>100</v>
      </c>
      <c r="AQ240" s="2" t="n">
        <v>100</v>
      </c>
      <c r="AR240" s="2" t="n">
        <v>100</v>
      </c>
      <c r="AS240" s="2" t="n">
        <v>100</v>
      </c>
      <c r="AT240" s="2" t="n">
        <v>100</v>
      </c>
      <c r="AU240" s="2" t="n">
        <v>100</v>
      </c>
      <c r="AV240" s="2" t="n">
        <v>100</v>
      </c>
      <c r="AW240" s="2" t="n">
        <v>100</v>
      </c>
      <c r="AX240" s="2" t="n">
        <v>100</v>
      </c>
      <c r="AY240" s="2" t="n">
        <v>100</v>
      </c>
      <c r="AZ240" s="2" t="n">
        <v>100</v>
      </c>
      <c r="BA240" s="2" t="n">
        <v>100</v>
      </c>
      <c r="BB240" s="2" t="n">
        <v>100</v>
      </c>
      <c r="BC240" s="2" t="n">
        <v>100</v>
      </c>
      <c r="BD240" s="2" t="n">
        <v>100</v>
      </c>
      <c r="BE240" s="2" t="n">
        <v>100</v>
      </c>
      <c r="BF240" s="2" t="n">
        <v>100</v>
      </c>
      <c r="BG240" s="2" t="n">
        <v>100</v>
      </c>
      <c r="BH240" s="2" t="n">
        <v>100</v>
      </c>
      <c r="BI240" s="2" t="n">
        <v>100</v>
      </c>
      <c r="BJ240" s="2" t="n">
        <v>100</v>
      </c>
      <c r="BK240" s="2" t="n">
        <v>100</v>
      </c>
      <c r="BL240" s="2" t="n">
        <v>100</v>
      </c>
      <c r="BM240" s="2" t="n">
        <v>100</v>
      </c>
      <c r="BN240" s="2" t="n">
        <v>100</v>
      </c>
      <c r="BO240" s="2" t="n">
        <v>100</v>
      </c>
      <c r="BP240" s="2" t="n">
        <v>100</v>
      </c>
      <c r="BQ240" s="2" t="n">
        <v>100</v>
      </c>
      <c r="BR240" s="2" t="n">
        <v>100</v>
      </c>
      <c r="BS240" s="2" t="n">
        <v>100</v>
      </c>
      <c r="BT240" s="2" t="n">
        <v>100</v>
      </c>
      <c r="BU240" s="2" t="n">
        <v>100</v>
      </c>
      <c r="BV240" s="2" t="n">
        <v>100</v>
      </c>
      <c r="BW240" s="2" t="n">
        <v>100</v>
      </c>
      <c r="BX240" s="2" t="n">
        <v>100</v>
      </c>
      <c r="BY240" s="2" t="n">
        <v>100</v>
      </c>
      <c r="BZ240" s="2" t="n">
        <v>100</v>
      </c>
      <c r="CA240" s="2" t="n">
        <v>100</v>
      </c>
      <c r="CB240" s="2" t="n">
        <v>100</v>
      </c>
      <c r="CC240" s="2" t="n">
        <v>100</v>
      </c>
      <c r="CD240" s="2" t="n">
        <v>100</v>
      </c>
      <c r="CE240" s="2" t="n">
        <v>100</v>
      </c>
      <c r="CF240" s="2" t="n">
        <v>100</v>
      </c>
      <c r="CG240" s="2" t="n">
        <v>100</v>
      </c>
      <c r="CH240" s="2" t="n">
        <v>100</v>
      </c>
      <c r="CI240" s="2" t="n">
        <v>100</v>
      </c>
      <c r="CJ240" s="2" t="n">
        <v>100</v>
      </c>
      <c r="CK240" s="2" t="n">
        <v>100</v>
      </c>
      <c r="CL240" s="2" t="n">
        <v>100</v>
      </c>
      <c r="CM240" s="2" t="n">
        <v>100</v>
      </c>
      <c r="CN240" s="2" t="n">
        <v>100</v>
      </c>
      <c r="CO240" s="2" t="n">
        <v>100</v>
      </c>
      <c r="CP240" s="2" t="n">
        <v>100</v>
      </c>
      <c r="CQ240" s="2" t="n">
        <v>100</v>
      </c>
      <c r="CR240" s="2" t="n">
        <v>100</v>
      </c>
      <c r="CS240" s="2" t="n">
        <v>100</v>
      </c>
      <c r="CT240" s="2" t="n">
        <v>100</v>
      </c>
      <c r="CU240" s="2" t="n">
        <v>100</v>
      </c>
      <c r="CV240" s="2" t="n">
        <v>100</v>
      </c>
      <c r="CW240" s="2" t="n">
        <v>100</v>
      </c>
      <c r="CX240" s="2" t="n">
        <v>100</v>
      </c>
      <c r="CY240" s="2" t="n">
        <v>100</v>
      </c>
      <c r="CZ240" s="2" t="n">
        <v>100</v>
      </c>
      <c r="DA240" s="2" t="n">
        <v>100</v>
      </c>
      <c r="DB240" s="2" t="n">
        <v>100</v>
      </c>
      <c r="DC240" s="2" t="n">
        <v>100</v>
      </c>
      <c r="DD240" s="2" t="n">
        <v>100</v>
      </c>
      <c r="DE240" s="2" t="n">
        <v>100</v>
      </c>
      <c r="DF240" s="2" t="n">
        <v>100</v>
      </c>
      <c r="DG240" s="2" t="n">
        <v>100</v>
      </c>
      <c r="DH240" s="2" t="n">
        <v>100</v>
      </c>
      <c r="DI240" s="2" t="n">
        <v>100</v>
      </c>
      <c r="DJ240" s="2" t="n">
        <v>100</v>
      </c>
      <c r="DK240" s="2" t="n">
        <v>100</v>
      </c>
      <c r="DL240" s="2" t="n">
        <v>100</v>
      </c>
      <c r="DM240" s="2" t="n">
        <v>100</v>
      </c>
      <c r="DN240" s="2" t="n">
        <v>100</v>
      </c>
      <c r="DO240" s="2" t="n">
        <v>100</v>
      </c>
      <c r="DP240" s="2" t="n">
        <v>100</v>
      </c>
      <c r="DQ240" s="2" t="n">
        <v>100</v>
      </c>
      <c r="DR240" s="2" t="n">
        <v>100</v>
      </c>
      <c r="DS240" s="2" t="n">
        <v>100</v>
      </c>
      <c r="DT240" s="2" t="n">
        <v>100</v>
      </c>
      <c r="DU240" s="2" t="n">
        <v>100</v>
      </c>
      <c r="DV240" s="2" t="n">
        <v>100</v>
      </c>
      <c r="DW240" s="2" t="n">
        <v>100</v>
      </c>
      <c r="DX240" s="2" t="n">
        <v>100</v>
      </c>
      <c r="DY240" s="2" t="n">
        <v>100</v>
      </c>
      <c r="DZ240" s="2" t="n">
        <v>100</v>
      </c>
      <c r="EA240" s="2" t="n">
        <v>100</v>
      </c>
      <c r="EB240" s="2" t="n">
        <v>100</v>
      </c>
      <c r="EC240" s="2" t="n">
        <v>100</v>
      </c>
      <c r="ED240" s="2" t="n">
        <v>100</v>
      </c>
      <c r="EE240" s="2" t="n">
        <v>100</v>
      </c>
      <c r="EF240" s="2" t="n">
        <v>100</v>
      </c>
      <c r="EG240" s="2" t="n">
        <v>100</v>
      </c>
      <c r="EH240" s="2" t="n">
        <v>100</v>
      </c>
      <c r="EI240" s="2" t="n">
        <v>100</v>
      </c>
      <c r="EJ240" s="2" t="n">
        <v>100</v>
      </c>
      <c r="EK240" s="2" t="n">
        <v>100</v>
      </c>
      <c r="EL240" s="2" t="n">
        <v>100</v>
      </c>
      <c r="EM240" s="2" t="n">
        <v>100</v>
      </c>
      <c r="EN240" s="2" t="n">
        <v>100</v>
      </c>
      <c r="EO240" s="2" t="n">
        <v>100</v>
      </c>
      <c r="EP240" s="2" t="n">
        <v>100</v>
      </c>
      <c r="EQ240" s="2" t="n">
        <v>100</v>
      </c>
      <c r="ER240" s="2" t="n">
        <v>100</v>
      </c>
      <c r="ES240" s="2" t="n">
        <v>100</v>
      </c>
    </row>
    <row r="241">
      <c r="A241" s="2" t="n">
        <v>2</v>
      </c>
      <c r="B241" s="2" t="inlineStr">
        <is>
          <t>12.01</t>
        </is>
      </c>
      <c r="C241" s="2" t="inlineStr">
        <is>
          <t>Locação da obra</t>
        </is>
      </c>
      <c r="D241" s="2" t="inlineStr">
        <is>
          <t>23/06/2025</t>
        </is>
      </c>
      <c r="E241" s="2" t="inlineStr">
        <is>
          <t>04/07/2025</t>
        </is>
      </c>
      <c r="F241" s="2" t="n">
        <v>44750.92866255562</v>
      </c>
      <c r="G241" s="2" t="n">
        <v>0</v>
      </c>
      <c r="H241" s="2" t="n">
        <v>44750.92866255562</v>
      </c>
      <c r="I241" s="2" t="n">
        <v>60</v>
      </c>
      <c r="J241" s="2" t="n">
        <v>60</v>
      </c>
      <c r="K241" s="2" t="n">
        <v>0</v>
      </c>
      <c r="L241" s="2" t="n">
        <v>100</v>
      </c>
      <c r="M241" s="2" t="n">
        <v>100</v>
      </c>
      <c r="N241" s="2" t="n">
        <v>0</v>
      </c>
      <c r="O241" s="2" t="n">
        <v>100</v>
      </c>
      <c r="P241" s="2" t="n">
        <v>100</v>
      </c>
      <c r="Q241" s="2" t="n">
        <v>0</v>
      </c>
      <c r="R241" s="2" t="n">
        <v>100</v>
      </c>
      <c r="S241" s="2" t="n">
        <v>100</v>
      </c>
      <c r="T241" s="2" t="n">
        <v>100</v>
      </c>
      <c r="U241" s="2" t="n">
        <v>100</v>
      </c>
      <c r="V241" s="2" t="n">
        <v>100</v>
      </c>
      <c r="W241" s="2" t="n">
        <v>100</v>
      </c>
      <c r="X241" s="2" t="n">
        <v>100</v>
      </c>
      <c r="Y241" s="2" t="n">
        <v>100</v>
      </c>
      <c r="Z241" s="2" t="n">
        <v>100</v>
      </c>
      <c r="AA241" s="2" t="n">
        <v>100</v>
      </c>
      <c r="AB241" s="2" t="n">
        <v>100</v>
      </c>
      <c r="AC241" s="2" t="n">
        <v>100</v>
      </c>
      <c r="AD241" s="2" t="n">
        <v>100</v>
      </c>
      <c r="AE241" s="2" t="n">
        <v>100</v>
      </c>
      <c r="AF241" s="2" t="n">
        <v>100</v>
      </c>
      <c r="AG241" s="2" t="n">
        <v>100</v>
      </c>
      <c r="AH241" s="2" t="n">
        <v>100</v>
      </c>
      <c r="AI241" s="2" t="n">
        <v>100</v>
      </c>
      <c r="AJ241" s="2" t="n">
        <v>100</v>
      </c>
      <c r="AK241" s="2" t="n">
        <v>100</v>
      </c>
      <c r="AL241" s="2" t="n">
        <v>100</v>
      </c>
      <c r="AM241" s="2" t="n">
        <v>100</v>
      </c>
      <c r="AN241" s="2" t="n">
        <v>100</v>
      </c>
      <c r="AO241" s="2" t="n">
        <v>100</v>
      </c>
      <c r="AP241" s="2" t="n">
        <v>100</v>
      </c>
      <c r="AQ241" s="2" t="n">
        <v>100</v>
      </c>
      <c r="AR241" s="2" t="n">
        <v>100</v>
      </c>
      <c r="AS241" s="2" t="n">
        <v>100</v>
      </c>
      <c r="AT241" s="2" t="n">
        <v>100</v>
      </c>
      <c r="AU241" s="2" t="n">
        <v>100</v>
      </c>
      <c r="AV241" s="2" t="n">
        <v>100</v>
      </c>
      <c r="AW241" s="2" t="n">
        <v>100</v>
      </c>
      <c r="AX241" s="2" t="n">
        <v>100</v>
      </c>
      <c r="AY241" s="2" t="n">
        <v>100</v>
      </c>
      <c r="AZ241" s="2" t="n">
        <v>100</v>
      </c>
      <c r="BA241" s="2" t="n">
        <v>100</v>
      </c>
      <c r="BB241" s="2" t="n">
        <v>100</v>
      </c>
      <c r="BC241" s="2" t="n">
        <v>100</v>
      </c>
      <c r="BD241" s="2" t="n">
        <v>100</v>
      </c>
      <c r="BE241" s="2" t="n">
        <v>100</v>
      </c>
      <c r="BF241" s="2" t="n">
        <v>100</v>
      </c>
      <c r="BG241" s="2" t="n">
        <v>100</v>
      </c>
      <c r="BH241" s="2" t="n">
        <v>100</v>
      </c>
      <c r="BI241" s="2" t="n">
        <v>100</v>
      </c>
      <c r="BJ241" s="2" t="n">
        <v>100</v>
      </c>
      <c r="BK241" s="2" t="n">
        <v>100</v>
      </c>
      <c r="BL241" s="2" t="n">
        <v>100</v>
      </c>
      <c r="BM241" s="2" t="n">
        <v>100</v>
      </c>
      <c r="BN241" s="2" t="n">
        <v>100</v>
      </c>
      <c r="BO241" s="2" t="n">
        <v>100</v>
      </c>
      <c r="BP241" s="2" t="n">
        <v>100</v>
      </c>
      <c r="BQ241" s="2" t="n">
        <v>100</v>
      </c>
      <c r="BR241" s="2" t="n">
        <v>100</v>
      </c>
      <c r="BS241" s="2" t="n">
        <v>100</v>
      </c>
      <c r="BT241" s="2" t="n">
        <v>100</v>
      </c>
      <c r="BU241" s="2" t="n">
        <v>100</v>
      </c>
      <c r="BV241" s="2" t="n">
        <v>100</v>
      </c>
      <c r="BW241" s="2" t="n">
        <v>100</v>
      </c>
      <c r="BX241" s="2" t="n">
        <v>100</v>
      </c>
      <c r="BY241" s="2" t="n">
        <v>100</v>
      </c>
      <c r="BZ241" s="2" t="n">
        <v>100</v>
      </c>
      <c r="CA241" s="2" t="n">
        <v>100</v>
      </c>
      <c r="CB241" s="2" t="n">
        <v>100</v>
      </c>
      <c r="CC241" s="2" t="n">
        <v>100</v>
      </c>
      <c r="CD241" s="2" t="n">
        <v>100</v>
      </c>
      <c r="CE241" s="2" t="n">
        <v>100</v>
      </c>
      <c r="CF241" s="2" t="n">
        <v>100</v>
      </c>
      <c r="CG241" s="2" t="n">
        <v>100</v>
      </c>
      <c r="CH241" s="2" t="n">
        <v>100</v>
      </c>
      <c r="CI241" s="2" t="n">
        <v>100</v>
      </c>
      <c r="CJ241" s="2" t="n">
        <v>100</v>
      </c>
      <c r="CK241" s="2" t="n">
        <v>100</v>
      </c>
      <c r="CL241" s="2" t="n">
        <v>100</v>
      </c>
      <c r="CM241" s="2" t="n">
        <v>100</v>
      </c>
      <c r="CN241" s="2" t="n">
        <v>100</v>
      </c>
      <c r="CO241" s="2" t="n">
        <v>100</v>
      </c>
      <c r="CP241" s="2" t="n">
        <v>100</v>
      </c>
      <c r="CQ241" s="2" t="n">
        <v>100</v>
      </c>
      <c r="CR241" s="2" t="n">
        <v>100</v>
      </c>
      <c r="CS241" s="2" t="n">
        <v>100</v>
      </c>
      <c r="CT241" s="2" t="n">
        <v>100</v>
      </c>
      <c r="CU241" s="2" t="n">
        <v>100</v>
      </c>
      <c r="CV241" s="2" t="n">
        <v>100</v>
      </c>
      <c r="CW241" s="2" t="n">
        <v>100</v>
      </c>
      <c r="CX241" s="2" t="n">
        <v>100</v>
      </c>
      <c r="CY241" s="2" t="n">
        <v>100</v>
      </c>
      <c r="CZ241" s="2" t="n">
        <v>100</v>
      </c>
      <c r="DA241" s="2" t="n">
        <v>100</v>
      </c>
      <c r="DB241" s="2" t="n">
        <v>100</v>
      </c>
      <c r="DC241" s="2" t="n">
        <v>100</v>
      </c>
      <c r="DD241" s="2" t="n">
        <v>100</v>
      </c>
      <c r="DE241" s="2" t="n">
        <v>100</v>
      </c>
      <c r="DF241" s="2" t="n">
        <v>100</v>
      </c>
      <c r="DG241" s="2" t="n">
        <v>100</v>
      </c>
      <c r="DH241" s="2" t="n">
        <v>100</v>
      </c>
      <c r="DI241" s="2" t="n">
        <v>100</v>
      </c>
      <c r="DJ241" s="2" t="n">
        <v>100</v>
      </c>
      <c r="DK241" s="2" t="n">
        <v>100</v>
      </c>
      <c r="DL241" s="2" t="n">
        <v>100</v>
      </c>
      <c r="DM241" s="2" t="n">
        <v>100</v>
      </c>
      <c r="DN241" s="2" t="n">
        <v>100</v>
      </c>
      <c r="DO241" s="2" t="n">
        <v>100</v>
      </c>
      <c r="DP241" s="2" t="n">
        <v>100</v>
      </c>
      <c r="DQ241" s="2" t="n">
        <v>100</v>
      </c>
      <c r="DR241" s="2" t="n">
        <v>100</v>
      </c>
      <c r="DS241" s="2" t="n">
        <v>100</v>
      </c>
      <c r="DT241" s="2" t="n">
        <v>100</v>
      </c>
      <c r="DU241" s="2" t="n">
        <v>100</v>
      </c>
      <c r="DV241" s="2" t="n">
        <v>100</v>
      </c>
      <c r="DW241" s="2" t="n">
        <v>100</v>
      </c>
      <c r="DX241" s="2" t="n">
        <v>100</v>
      </c>
      <c r="DY241" s="2" t="n">
        <v>100</v>
      </c>
      <c r="DZ241" s="2" t="n">
        <v>100</v>
      </c>
      <c r="EA241" s="2" t="n">
        <v>100</v>
      </c>
      <c r="EB241" s="2" t="n">
        <v>100</v>
      </c>
      <c r="EC241" s="2" t="n">
        <v>100</v>
      </c>
      <c r="ED241" s="2" t="n">
        <v>100</v>
      </c>
      <c r="EE241" s="2" t="n">
        <v>100</v>
      </c>
      <c r="EF241" s="2" t="n">
        <v>100</v>
      </c>
      <c r="EG241" s="2" t="n">
        <v>100</v>
      </c>
      <c r="EH241" s="2" t="n">
        <v>100</v>
      </c>
      <c r="EI241" s="2" t="n">
        <v>100</v>
      </c>
      <c r="EJ241" s="2" t="n">
        <v>100</v>
      </c>
      <c r="EK241" s="2" t="n">
        <v>100</v>
      </c>
      <c r="EL241" s="2" t="n">
        <v>100</v>
      </c>
      <c r="EM241" s="2" t="n">
        <v>100</v>
      </c>
      <c r="EN241" s="2" t="n">
        <v>100</v>
      </c>
      <c r="EO241" s="2" t="n">
        <v>100</v>
      </c>
      <c r="EP241" s="2" t="n">
        <v>100</v>
      </c>
      <c r="EQ241" s="2" t="n">
        <v>100</v>
      </c>
      <c r="ER241" s="2" t="n">
        <v>100</v>
      </c>
      <c r="ES241" s="2" t="n">
        <v>100</v>
      </c>
    </row>
    <row r="242">
      <c r="A242" s="2" t="n">
        <v>3</v>
      </c>
      <c r="B242" s="2" t="inlineStr">
        <is>
          <t>12.01.01</t>
        </is>
      </c>
      <c r="C242" s="2" t="inlineStr">
        <is>
          <t>Locação da obra</t>
        </is>
      </c>
      <c r="D242" s="2" t="inlineStr">
        <is>
          <t>23/06/2025</t>
        </is>
      </c>
      <c r="E242" s="2" t="inlineStr">
        <is>
          <t>04/07/2025</t>
        </is>
      </c>
      <c r="F242" s="2" t="n">
        <v>44750.92866255562</v>
      </c>
      <c r="G242" s="2" t="n">
        <v>0</v>
      </c>
      <c r="H242" s="2" t="n">
        <v>44750.92866255562</v>
      </c>
      <c r="I242" s="2" t="n">
        <v>60</v>
      </c>
      <c r="J242" s="2" t="n">
        <v>60</v>
      </c>
      <c r="K242" s="2" t="n">
        <v>0</v>
      </c>
      <c r="L242" s="2" t="n">
        <v>100</v>
      </c>
      <c r="M242" s="2" t="n">
        <v>100</v>
      </c>
      <c r="N242" s="2" t="n">
        <v>0</v>
      </c>
      <c r="O242" s="2" t="n">
        <v>100</v>
      </c>
      <c r="P242" s="2" t="n">
        <v>100</v>
      </c>
      <c r="Q242" s="2" t="n">
        <v>0</v>
      </c>
      <c r="R242" s="2" t="n">
        <v>100</v>
      </c>
      <c r="S242" s="2" t="n">
        <v>100</v>
      </c>
      <c r="T242" s="2" t="n">
        <v>100</v>
      </c>
      <c r="U242" s="2" t="n">
        <v>100</v>
      </c>
      <c r="V242" s="2" t="n">
        <v>100</v>
      </c>
      <c r="W242" s="2" t="n">
        <v>100</v>
      </c>
      <c r="X242" s="2" t="n">
        <v>100</v>
      </c>
      <c r="Y242" s="2" t="n">
        <v>100</v>
      </c>
      <c r="Z242" s="2" t="n">
        <v>100</v>
      </c>
      <c r="AA242" s="2" t="n">
        <v>100</v>
      </c>
      <c r="AB242" s="2" t="n">
        <v>100</v>
      </c>
      <c r="AC242" s="2" t="n">
        <v>100</v>
      </c>
      <c r="AD242" s="2" t="n">
        <v>100</v>
      </c>
      <c r="AE242" s="2" t="n">
        <v>100</v>
      </c>
      <c r="AF242" s="2" t="n">
        <v>100</v>
      </c>
      <c r="AG242" s="2" t="n">
        <v>100</v>
      </c>
      <c r="AH242" s="2" t="n">
        <v>100</v>
      </c>
      <c r="AI242" s="2" t="n">
        <v>100</v>
      </c>
      <c r="AJ242" s="2" t="n">
        <v>100</v>
      </c>
      <c r="AK242" s="2" t="n">
        <v>100</v>
      </c>
      <c r="AL242" s="2" t="n">
        <v>100</v>
      </c>
      <c r="AM242" s="2" t="n">
        <v>100</v>
      </c>
      <c r="AN242" s="2" t="n">
        <v>100</v>
      </c>
      <c r="AO242" s="2" t="n">
        <v>100</v>
      </c>
      <c r="AP242" s="2" t="n">
        <v>100</v>
      </c>
      <c r="AQ242" s="2" t="n">
        <v>100</v>
      </c>
      <c r="AR242" s="2" t="n">
        <v>100</v>
      </c>
      <c r="AS242" s="2" t="n">
        <v>100</v>
      </c>
      <c r="AT242" s="2" t="n">
        <v>100</v>
      </c>
      <c r="AU242" s="2" t="n">
        <v>100</v>
      </c>
      <c r="AV242" s="2" t="n">
        <v>100</v>
      </c>
      <c r="AW242" s="2" t="n">
        <v>100</v>
      </c>
      <c r="AX242" s="2" t="n">
        <v>100</v>
      </c>
      <c r="AY242" s="2" t="n">
        <v>100</v>
      </c>
      <c r="AZ242" s="2" t="n">
        <v>100</v>
      </c>
      <c r="BA242" s="2" t="n">
        <v>100</v>
      </c>
      <c r="BB242" s="2" t="n">
        <v>100</v>
      </c>
      <c r="BC242" s="2" t="n">
        <v>100</v>
      </c>
      <c r="BD242" s="2" t="n">
        <v>100</v>
      </c>
      <c r="BE242" s="2" t="n">
        <v>100</v>
      </c>
      <c r="BF242" s="2" t="n">
        <v>100</v>
      </c>
      <c r="BG242" s="2" t="n">
        <v>100</v>
      </c>
      <c r="BH242" s="2" t="n">
        <v>100</v>
      </c>
      <c r="BI242" s="2" t="n">
        <v>100</v>
      </c>
      <c r="BJ242" s="2" t="n">
        <v>100</v>
      </c>
      <c r="BK242" s="2" t="n">
        <v>100</v>
      </c>
      <c r="BL242" s="2" t="n">
        <v>100</v>
      </c>
      <c r="BM242" s="2" t="n">
        <v>100</v>
      </c>
      <c r="BN242" s="2" t="n">
        <v>100</v>
      </c>
      <c r="BO242" s="2" t="n">
        <v>100</v>
      </c>
      <c r="BP242" s="2" t="n">
        <v>100</v>
      </c>
      <c r="BQ242" s="2" t="n">
        <v>100</v>
      </c>
      <c r="BR242" s="2" t="n">
        <v>100</v>
      </c>
      <c r="BS242" s="2" t="n">
        <v>100</v>
      </c>
      <c r="BT242" s="2" t="n">
        <v>100</v>
      </c>
      <c r="BU242" s="2" t="n">
        <v>100</v>
      </c>
      <c r="BV242" s="2" t="n">
        <v>100</v>
      </c>
      <c r="BW242" s="2" t="n">
        <v>100</v>
      </c>
      <c r="BX242" s="2" t="n">
        <v>100</v>
      </c>
      <c r="BY242" s="2" t="n">
        <v>100</v>
      </c>
      <c r="BZ242" s="2" t="n">
        <v>100</v>
      </c>
      <c r="CA242" s="2" t="n">
        <v>100</v>
      </c>
      <c r="CB242" s="2" t="n">
        <v>100</v>
      </c>
      <c r="CC242" s="2" t="n">
        <v>100</v>
      </c>
      <c r="CD242" s="2" t="n">
        <v>100</v>
      </c>
      <c r="CE242" s="2" t="n">
        <v>100</v>
      </c>
      <c r="CF242" s="2" t="n">
        <v>100</v>
      </c>
      <c r="CG242" s="2" t="n">
        <v>100</v>
      </c>
      <c r="CH242" s="2" t="n">
        <v>100</v>
      </c>
      <c r="CI242" s="2" t="n">
        <v>100</v>
      </c>
      <c r="CJ242" s="2" t="n">
        <v>100</v>
      </c>
      <c r="CK242" s="2" t="n">
        <v>100</v>
      </c>
      <c r="CL242" s="2" t="n">
        <v>100</v>
      </c>
      <c r="CM242" s="2" t="n">
        <v>100</v>
      </c>
      <c r="CN242" s="2" t="n">
        <v>100</v>
      </c>
      <c r="CO242" s="2" t="n">
        <v>100</v>
      </c>
      <c r="CP242" s="2" t="n">
        <v>100</v>
      </c>
      <c r="CQ242" s="2" t="n">
        <v>100</v>
      </c>
      <c r="CR242" s="2" t="n">
        <v>100</v>
      </c>
      <c r="CS242" s="2" t="n">
        <v>100</v>
      </c>
      <c r="CT242" s="2" t="n">
        <v>100</v>
      </c>
      <c r="CU242" s="2" t="n">
        <v>100</v>
      </c>
      <c r="CV242" s="2" t="n">
        <v>100</v>
      </c>
      <c r="CW242" s="2" t="n">
        <v>100</v>
      </c>
      <c r="CX242" s="2" t="n">
        <v>100</v>
      </c>
      <c r="CY242" s="2" t="n">
        <v>100</v>
      </c>
      <c r="CZ242" s="2" t="n">
        <v>100</v>
      </c>
      <c r="DA242" s="2" t="n">
        <v>100</v>
      </c>
      <c r="DB242" s="2" t="n">
        <v>100</v>
      </c>
      <c r="DC242" s="2" t="n">
        <v>100</v>
      </c>
      <c r="DD242" s="2" t="n">
        <v>100</v>
      </c>
      <c r="DE242" s="2" t="n">
        <v>100</v>
      </c>
      <c r="DF242" s="2" t="n">
        <v>100</v>
      </c>
      <c r="DG242" s="2" t="n">
        <v>100</v>
      </c>
      <c r="DH242" s="2" t="n">
        <v>100</v>
      </c>
      <c r="DI242" s="2" t="n">
        <v>100</v>
      </c>
      <c r="DJ242" s="2" t="n">
        <v>100</v>
      </c>
      <c r="DK242" s="2" t="n">
        <v>100</v>
      </c>
      <c r="DL242" s="2" t="n">
        <v>100</v>
      </c>
      <c r="DM242" s="2" t="n">
        <v>100</v>
      </c>
      <c r="DN242" s="2" t="n">
        <v>100</v>
      </c>
      <c r="DO242" s="2" t="n">
        <v>100</v>
      </c>
      <c r="DP242" s="2" t="n">
        <v>100</v>
      </c>
      <c r="DQ242" s="2" t="n">
        <v>100</v>
      </c>
      <c r="DR242" s="2" t="n">
        <v>100</v>
      </c>
      <c r="DS242" s="2" t="n">
        <v>100</v>
      </c>
      <c r="DT242" s="2" t="n">
        <v>100</v>
      </c>
      <c r="DU242" s="2" t="n">
        <v>100</v>
      </c>
      <c r="DV242" s="2" t="n">
        <v>100</v>
      </c>
      <c r="DW242" s="2" t="n">
        <v>100</v>
      </c>
      <c r="DX242" s="2" t="n">
        <v>100</v>
      </c>
      <c r="DY242" s="2" t="n">
        <v>100</v>
      </c>
      <c r="DZ242" s="2" t="n">
        <v>100</v>
      </c>
      <c r="EA242" s="2" t="n">
        <v>100</v>
      </c>
      <c r="EB242" s="2" t="n">
        <v>100</v>
      </c>
      <c r="EC242" s="2" t="n">
        <v>100</v>
      </c>
      <c r="ED242" s="2" t="n">
        <v>100</v>
      </c>
      <c r="EE242" s="2" t="n">
        <v>100</v>
      </c>
      <c r="EF242" s="2" t="n">
        <v>100</v>
      </c>
      <c r="EG242" s="2" t="n">
        <v>100</v>
      </c>
      <c r="EH242" s="2" t="n">
        <v>100</v>
      </c>
      <c r="EI242" s="2" t="n">
        <v>100</v>
      </c>
      <c r="EJ242" s="2" t="n">
        <v>100</v>
      </c>
      <c r="EK242" s="2" t="n">
        <v>100</v>
      </c>
      <c r="EL242" s="2" t="n">
        <v>100</v>
      </c>
      <c r="EM242" s="2" t="n">
        <v>100</v>
      </c>
      <c r="EN242" s="2" t="n">
        <v>100</v>
      </c>
      <c r="EO242" s="2" t="n">
        <v>100</v>
      </c>
      <c r="EP242" s="2" t="n">
        <v>100</v>
      </c>
      <c r="EQ242" s="2" t="n">
        <v>100</v>
      </c>
      <c r="ER242" s="2" t="n">
        <v>100</v>
      </c>
      <c r="ES242" s="2" t="n">
        <v>100</v>
      </c>
    </row>
    <row r="243">
      <c r="A243" s="2" t="n">
        <v>2</v>
      </c>
      <c r="B243" s="2" t="inlineStr">
        <is>
          <t>12.02</t>
        </is>
      </c>
      <c r="C243" s="2" t="inlineStr">
        <is>
          <t>Demolições</t>
        </is>
      </c>
      <c r="D243" s="2" t="inlineStr">
        <is>
          <t>07/07/2025</t>
        </is>
      </c>
      <c r="E243" s="2" t="inlineStr">
        <is>
          <t>25/07/2025</t>
        </is>
      </c>
      <c r="F243" s="2" t="n">
        <v>130600</v>
      </c>
      <c r="G243" s="2" t="n">
        <v>0</v>
      </c>
      <c r="H243" s="2" t="n">
        <v>130600</v>
      </c>
      <c r="I243" s="2" t="n">
        <v>0</v>
      </c>
      <c r="J243" s="2" t="n">
        <v>0</v>
      </c>
      <c r="K243" s="2" t="n">
        <v>0</v>
      </c>
      <c r="L243" s="2" t="n">
        <v>100</v>
      </c>
      <c r="M243" s="2" t="n">
        <v>100</v>
      </c>
      <c r="N243" s="2" t="n">
        <v>0</v>
      </c>
      <c r="O243" s="2" t="n">
        <v>100</v>
      </c>
      <c r="P243" s="2" t="n">
        <v>100</v>
      </c>
      <c r="Q243" s="2" t="n">
        <v>0</v>
      </c>
      <c r="R243" s="2" t="n">
        <v>100</v>
      </c>
      <c r="S243" s="2" t="n">
        <v>100</v>
      </c>
      <c r="T243" s="2" t="n">
        <v>100</v>
      </c>
      <c r="U243" s="2" t="n">
        <v>100</v>
      </c>
      <c r="V243" s="2" t="n">
        <v>100</v>
      </c>
      <c r="W243" s="2" t="n">
        <v>100</v>
      </c>
      <c r="X243" s="2" t="n">
        <v>100</v>
      </c>
      <c r="Y243" s="2" t="n">
        <v>100</v>
      </c>
      <c r="Z243" s="2" t="n">
        <v>100</v>
      </c>
      <c r="AA243" s="2" t="n">
        <v>100</v>
      </c>
      <c r="AB243" s="2" t="n">
        <v>100</v>
      </c>
      <c r="AC243" s="2" t="n">
        <v>100</v>
      </c>
      <c r="AD243" s="2" t="n">
        <v>100</v>
      </c>
      <c r="AE243" s="2" t="n">
        <v>100</v>
      </c>
      <c r="AF243" s="2" t="n">
        <v>100</v>
      </c>
      <c r="AG243" s="2" t="n">
        <v>100</v>
      </c>
      <c r="AH243" s="2" t="n">
        <v>100</v>
      </c>
      <c r="AI243" s="2" t="n">
        <v>100</v>
      </c>
      <c r="AJ243" s="2" t="n">
        <v>100</v>
      </c>
      <c r="AK243" s="2" t="n">
        <v>100</v>
      </c>
      <c r="AL243" s="2" t="n">
        <v>100</v>
      </c>
      <c r="AM243" s="2" t="n">
        <v>100</v>
      </c>
      <c r="AN243" s="2" t="n">
        <v>100</v>
      </c>
      <c r="AO243" s="2" t="n">
        <v>100</v>
      </c>
      <c r="AP243" s="2" t="n">
        <v>100</v>
      </c>
      <c r="AQ243" s="2" t="n">
        <v>100</v>
      </c>
      <c r="AR243" s="2" t="n">
        <v>100</v>
      </c>
      <c r="AS243" s="2" t="n">
        <v>100</v>
      </c>
      <c r="AT243" s="2" t="n">
        <v>100</v>
      </c>
      <c r="AU243" s="2" t="n">
        <v>100</v>
      </c>
      <c r="AV243" s="2" t="n">
        <v>100</v>
      </c>
      <c r="AW243" s="2" t="n">
        <v>100</v>
      </c>
      <c r="AX243" s="2" t="n">
        <v>100</v>
      </c>
      <c r="AY243" s="2" t="n">
        <v>100</v>
      </c>
      <c r="AZ243" s="2" t="n">
        <v>100</v>
      </c>
      <c r="BA243" s="2" t="n">
        <v>100</v>
      </c>
      <c r="BB243" s="2" t="n">
        <v>100</v>
      </c>
      <c r="BC243" s="2" t="n">
        <v>100</v>
      </c>
      <c r="BD243" s="2" t="n">
        <v>100</v>
      </c>
      <c r="BE243" s="2" t="n">
        <v>100</v>
      </c>
      <c r="BF243" s="2" t="n">
        <v>100</v>
      </c>
      <c r="BG243" s="2" t="n">
        <v>100</v>
      </c>
      <c r="BH243" s="2" t="n">
        <v>100</v>
      </c>
      <c r="BI243" s="2" t="n">
        <v>100</v>
      </c>
      <c r="BJ243" s="2" t="n">
        <v>100</v>
      </c>
      <c r="BK243" s="2" t="n">
        <v>100</v>
      </c>
      <c r="BL243" s="2" t="n">
        <v>100</v>
      </c>
      <c r="BM243" s="2" t="n">
        <v>100</v>
      </c>
      <c r="BN243" s="2" t="n">
        <v>100</v>
      </c>
      <c r="BO243" s="2" t="n">
        <v>100</v>
      </c>
      <c r="BP243" s="2" t="n">
        <v>100</v>
      </c>
      <c r="BQ243" s="2" t="n">
        <v>100</v>
      </c>
      <c r="BR243" s="2" t="n">
        <v>100</v>
      </c>
      <c r="BS243" s="2" t="n">
        <v>100</v>
      </c>
      <c r="BT243" s="2" t="n">
        <v>100</v>
      </c>
      <c r="BU243" s="2" t="n">
        <v>100</v>
      </c>
      <c r="BV243" s="2" t="n">
        <v>100</v>
      </c>
      <c r="BW243" s="2" t="n">
        <v>100</v>
      </c>
      <c r="BX243" s="2" t="n">
        <v>100</v>
      </c>
      <c r="BY243" s="2" t="n">
        <v>100</v>
      </c>
      <c r="BZ243" s="2" t="n">
        <v>100</v>
      </c>
      <c r="CA243" s="2" t="n">
        <v>100</v>
      </c>
      <c r="CB243" s="2" t="n">
        <v>100</v>
      </c>
      <c r="CC243" s="2" t="n">
        <v>100</v>
      </c>
      <c r="CD243" s="2" t="n">
        <v>100</v>
      </c>
      <c r="CE243" s="2" t="n">
        <v>100</v>
      </c>
      <c r="CF243" s="2" t="n">
        <v>100</v>
      </c>
      <c r="CG243" s="2" t="n">
        <v>100</v>
      </c>
      <c r="CH243" s="2" t="n">
        <v>100</v>
      </c>
      <c r="CI243" s="2" t="n">
        <v>100</v>
      </c>
      <c r="CJ243" s="2" t="n">
        <v>100</v>
      </c>
      <c r="CK243" s="2" t="n">
        <v>100</v>
      </c>
      <c r="CL243" s="2" t="n">
        <v>100</v>
      </c>
      <c r="CM243" s="2" t="n">
        <v>100</v>
      </c>
      <c r="CN243" s="2" t="n">
        <v>100</v>
      </c>
      <c r="CO243" s="2" t="n">
        <v>100</v>
      </c>
      <c r="CP243" s="2" t="n">
        <v>100</v>
      </c>
      <c r="CQ243" s="2" t="n">
        <v>100</v>
      </c>
      <c r="CR243" s="2" t="n">
        <v>100</v>
      </c>
      <c r="CS243" s="2" t="n">
        <v>100</v>
      </c>
      <c r="CT243" s="2" t="n">
        <v>100</v>
      </c>
      <c r="CU243" s="2" t="n">
        <v>100</v>
      </c>
      <c r="CV243" s="2" t="n">
        <v>100</v>
      </c>
      <c r="CW243" s="2" t="n">
        <v>100</v>
      </c>
      <c r="CX243" s="2" t="n">
        <v>100</v>
      </c>
      <c r="CY243" s="2" t="n">
        <v>100</v>
      </c>
      <c r="CZ243" s="2" t="n">
        <v>100</v>
      </c>
      <c r="DA243" s="2" t="n">
        <v>100</v>
      </c>
      <c r="DB243" s="2" t="n">
        <v>100</v>
      </c>
      <c r="DC243" s="2" t="n">
        <v>100</v>
      </c>
      <c r="DD243" s="2" t="n">
        <v>100</v>
      </c>
      <c r="DE243" s="2" t="n">
        <v>100</v>
      </c>
      <c r="DF243" s="2" t="n">
        <v>100</v>
      </c>
      <c r="DG243" s="2" t="n">
        <v>100</v>
      </c>
      <c r="DH243" s="2" t="n">
        <v>100</v>
      </c>
      <c r="DI243" s="2" t="n">
        <v>100</v>
      </c>
      <c r="DJ243" s="2" t="n">
        <v>100</v>
      </c>
      <c r="DK243" s="2" t="n">
        <v>100</v>
      </c>
      <c r="DL243" s="2" t="n">
        <v>100</v>
      </c>
      <c r="DM243" s="2" t="n">
        <v>100</v>
      </c>
      <c r="DN243" s="2" t="n">
        <v>100</v>
      </c>
      <c r="DO243" s="2" t="n">
        <v>100</v>
      </c>
      <c r="DP243" s="2" t="n">
        <v>100</v>
      </c>
      <c r="DQ243" s="2" t="n">
        <v>100</v>
      </c>
      <c r="DR243" s="2" t="n">
        <v>100</v>
      </c>
      <c r="DS243" s="2" t="n">
        <v>100</v>
      </c>
      <c r="DT243" s="2" t="n">
        <v>100</v>
      </c>
      <c r="DU243" s="2" t="n">
        <v>100</v>
      </c>
      <c r="DV243" s="2" t="n">
        <v>100</v>
      </c>
      <c r="DW243" s="2" t="n">
        <v>100</v>
      </c>
      <c r="DX243" s="2" t="n">
        <v>100</v>
      </c>
      <c r="DY243" s="2" t="n">
        <v>100</v>
      </c>
      <c r="DZ243" s="2" t="n">
        <v>100</v>
      </c>
      <c r="EA243" s="2" t="n">
        <v>100</v>
      </c>
      <c r="EB243" s="2" t="n">
        <v>100</v>
      </c>
      <c r="EC243" s="2" t="n">
        <v>100</v>
      </c>
      <c r="ED243" s="2" t="n">
        <v>100</v>
      </c>
      <c r="EE243" s="2" t="n">
        <v>100</v>
      </c>
      <c r="EF243" s="2" t="n">
        <v>100</v>
      </c>
      <c r="EG243" s="2" t="n">
        <v>100</v>
      </c>
      <c r="EH243" s="2" t="n">
        <v>100</v>
      </c>
      <c r="EI243" s="2" t="n">
        <v>100</v>
      </c>
      <c r="EJ243" s="2" t="n">
        <v>100</v>
      </c>
      <c r="EK243" s="2" t="n">
        <v>100</v>
      </c>
      <c r="EL243" s="2" t="n">
        <v>100</v>
      </c>
      <c r="EM243" s="2" t="n">
        <v>100</v>
      </c>
      <c r="EN243" s="2" t="n">
        <v>100</v>
      </c>
      <c r="EO243" s="2" t="n">
        <v>100</v>
      </c>
      <c r="EP243" s="2" t="n">
        <v>100</v>
      </c>
      <c r="EQ243" s="2" t="n">
        <v>100</v>
      </c>
      <c r="ER243" s="2" t="n">
        <v>100</v>
      </c>
      <c r="ES243" s="2" t="n">
        <v>100</v>
      </c>
    </row>
    <row r="244">
      <c r="A244" s="2" t="n">
        <v>3</v>
      </c>
      <c r="B244" s="2" t="inlineStr">
        <is>
          <t>12.02.01</t>
        </is>
      </c>
      <c r="C244" s="2" t="inlineStr">
        <is>
          <t>Supressão Arborea</t>
        </is>
      </c>
      <c r="D244" s="2" t="inlineStr">
        <is>
          <t>07/07/2025</t>
        </is>
      </c>
      <c r="E244" s="2" t="inlineStr">
        <is>
          <t>25/07/2025</t>
        </is>
      </c>
      <c r="F244" s="2" t="n">
        <v>50600</v>
      </c>
      <c r="G244" s="2" t="n">
        <v>0</v>
      </c>
      <c r="H244" s="2" t="n">
        <v>50600</v>
      </c>
      <c r="I244" s="2" t="n">
        <v>0</v>
      </c>
      <c r="J244" s="2" t="n">
        <v>0</v>
      </c>
      <c r="K244" s="2" t="n">
        <v>0</v>
      </c>
      <c r="L244" s="2" t="n">
        <v>100</v>
      </c>
      <c r="M244" s="2" t="n">
        <v>100</v>
      </c>
      <c r="N244" s="2" t="n">
        <v>0</v>
      </c>
      <c r="O244" s="2" t="n">
        <v>100</v>
      </c>
      <c r="P244" s="2" t="n">
        <v>100</v>
      </c>
      <c r="Q244" s="2" t="n">
        <v>0</v>
      </c>
      <c r="R244" s="2" t="n">
        <v>100</v>
      </c>
      <c r="S244" s="2" t="n">
        <v>100</v>
      </c>
      <c r="T244" s="2" t="n">
        <v>100</v>
      </c>
      <c r="U244" s="2" t="n">
        <v>100</v>
      </c>
      <c r="V244" s="2" t="n">
        <v>100</v>
      </c>
      <c r="W244" s="2" t="n">
        <v>100</v>
      </c>
      <c r="X244" s="2" t="n">
        <v>100</v>
      </c>
      <c r="Y244" s="2" t="n">
        <v>100</v>
      </c>
      <c r="Z244" s="2" t="n">
        <v>100</v>
      </c>
      <c r="AA244" s="2" t="n">
        <v>100</v>
      </c>
      <c r="AB244" s="2" t="n">
        <v>100</v>
      </c>
      <c r="AC244" s="2" t="n">
        <v>100</v>
      </c>
      <c r="AD244" s="2" t="n">
        <v>100</v>
      </c>
      <c r="AE244" s="2" t="n">
        <v>100</v>
      </c>
      <c r="AF244" s="2" t="n">
        <v>100</v>
      </c>
      <c r="AG244" s="2" t="n">
        <v>100</v>
      </c>
      <c r="AH244" s="2" t="n">
        <v>100</v>
      </c>
      <c r="AI244" s="2" t="n">
        <v>100</v>
      </c>
      <c r="AJ244" s="2" t="n">
        <v>100</v>
      </c>
      <c r="AK244" s="2" t="n">
        <v>100</v>
      </c>
      <c r="AL244" s="2" t="n">
        <v>100</v>
      </c>
      <c r="AM244" s="2" t="n">
        <v>100</v>
      </c>
      <c r="AN244" s="2" t="n">
        <v>100</v>
      </c>
      <c r="AO244" s="2" t="n">
        <v>100</v>
      </c>
      <c r="AP244" s="2" t="n">
        <v>100</v>
      </c>
      <c r="AQ244" s="2" t="n">
        <v>100</v>
      </c>
      <c r="AR244" s="2" t="n">
        <v>100</v>
      </c>
      <c r="AS244" s="2" t="n">
        <v>100</v>
      </c>
      <c r="AT244" s="2" t="n">
        <v>100</v>
      </c>
      <c r="AU244" s="2" t="n">
        <v>100</v>
      </c>
      <c r="AV244" s="2" t="n">
        <v>100</v>
      </c>
      <c r="AW244" s="2" t="n">
        <v>100</v>
      </c>
      <c r="AX244" s="2" t="n">
        <v>100</v>
      </c>
      <c r="AY244" s="2" t="n">
        <v>100</v>
      </c>
      <c r="AZ244" s="2" t="n">
        <v>100</v>
      </c>
      <c r="BA244" s="2" t="n">
        <v>100</v>
      </c>
      <c r="BB244" s="2" t="n">
        <v>100</v>
      </c>
      <c r="BC244" s="2" t="n">
        <v>100</v>
      </c>
      <c r="BD244" s="2" t="n">
        <v>100</v>
      </c>
      <c r="BE244" s="2" t="n">
        <v>100</v>
      </c>
      <c r="BF244" s="2" t="n">
        <v>100</v>
      </c>
      <c r="BG244" s="2" t="n">
        <v>100</v>
      </c>
      <c r="BH244" s="2" t="n">
        <v>100</v>
      </c>
      <c r="BI244" s="2" t="n">
        <v>100</v>
      </c>
      <c r="BJ244" s="2" t="n">
        <v>100</v>
      </c>
      <c r="BK244" s="2" t="n">
        <v>100</v>
      </c>
      <c r="BL244" s="2" t="n">
        <v>100</v>
      </c>
      <c r="BM244" s="2" t="n">
        <v>100</v>
      </c>
      <c r="BN244" s="2" t="n">
        <v>100</v>
      </c>
      <c r="BO244" s="2" t="n">
        <v>100</v>
      </c>
      <c r="BP244" s="2" t="n">
        <v>100</v>
      </c>
      <c r="BQ244" s="2" t="n">
        <v>100</v>
      </c>
      <c r="BR244" s="2" t="n">
        <v>100</v>
      </c>
      <c r="BS244" s="2" t="n">
        <v>100</v>
      </c>
      <c r="BT244" s="2" t="n">
        <v>100</v>
      </c>
      <c r="BU244" s="2" t="n">
        <v>100</v>
      </c>
      <c r="BV244" s="2" t="n">
        <v>100</v>
      </c>
      <c r="BW244" s="2" t="n">
        <v>100</v>
      </c>
      <c r="BX244" s="2" t="n">
        <v>100</v>
      </c>
      <c r="BY244" s="2" t="n">
        <v>100</v>
      </c>
      <c r="BZ244" s="2" t="n">
        <v>100</v>
      </c>
      <c r="CA244" s="2" t="n">
        <v>100</v>
      </c>
      <c r="CB244" s="2" t="n">
        <v>100</v>
      </c>
      <c r="CC244" s="2" t="n">
        <v>100</v>
      </c>
      <c r="CD244" s="2" t="n">
        <v>100</v>
      </c>
      <c r="CE244" s="2" t="n">
        <v>100</v>
      </c>
      <c r="CF244" s="2" t="n">
        <v>100</v>
      </c>
      <c r="CG244" s="2" t="n">
        <v>100</v>
      </c>
      <c r="CH244" s="2" t="n">
        <v>100</v>
      </c>
      <c r="CI244" s="2" t="n">
        <v>100</v>
      </c>
      <c r="CJ244" s="2" t="n">
        <v>100</v>
      </c>
      <c r="CK244" s="2" t="n">
        <v>100</v>
      </c>
      <c r="CL244" s="2" t="n">
        <v>100</v>
      </c>
      <c r="CM244" s="2" t="n">
        <v>100</v>
      </c>
      <c r="CN244" s="2" t="n">
        <v>100</v>
      </c>
      <c r="CO244" s="2" t="n">
        <v>100</v>
      </c>
      <c r="CP244" s="2" t="n">
        <v>100</v>
      </c>
      <c r="CQ244" s="2" t="n">
        <v>100</v>
      </c>
      <c r="CR244" s="2" t="n">
        <v>100</v>
      </c>
      <c r="CS244" s="2" t="n">
        <v>100</v>
      </c>
      <c r="CT244" s="2" t="n">
        <v>100</v>
      </c>
      <c r="CU244" s="2" t="n">
        <v>100</v>
      </c>
      <c r="CV244" s="2" t="n">
        <v>100</v>
      </c>
      <c r="CW244" s="2" t="n">
        <v>100</v>
      </c>
      <c r="CX244" s="2" t="n">
        <v>100</v>
      </c>
      <c r="CY244" s="2" t="n">
        <v>100</v>
      </c>
      <c r="CZ244" s="2" t="n">
        <v>100</v>
      </c>
      <c r="DA244" s="2" t="n">
        <v>100</v>
      </c>
      <c r="DB244" s="2" t="n">
        <v>100</v>
      </c>
      <c r="DC244" s="2" t="n">
        <v>100</v>
      </c>
      <c r="DD244" s="2" t="n">
        <v>100</v>
      </c>
      <c r="DE244" s="2" t="n">
        <v>100</v>
      </c>
      <c r="DF244" s="2" t="n">
        <v>100</v>
      </c>
      <c r="DG244" s="2" t="n">
        <v>100</v>
      </c>
      <c r="DH244" s="2" t="n">
        <v>100</v>
      </c>
      <c r="DI244" s="2" t="n">
        <v>100</v>
      </c>
      <c r="DJ244" s="2" t="n">
        <v>100</v>
      </c>
      <c r="DK244" s="2" t="n">
        <v>100</v>
      </c>
      <c r="DL244" s="2" t="n">
        <v>100</v>
      </c>
      <c r="DM244" s="2" t="n">
        <v>100</v>
      </c>
      <c r="DN244" s="2" t="n">
        <v>100</v>
      </c>
      <c r="DO244" s="2" t="n">
        <v>100</v>
      </c>
      <c r="DP244" s="2" t="n">
        <v>100</v>
      </c>
      <c r="DQ244" s="2" t="n">
        <v>100</v>
      </c>
      <c r="DR244" s="2" t="n">
        <v>100</v>
      </c>
      <c r="DS244" s="2" t="n">
        <v>100</v>
      </c>
      <c r="DT244" s="2" t="n">
        <v>100</v>
      </c>
      <c r="DU244" s="2" t="n">
        <v>100</v>
      </c>
      <c r="DV244" s="2" t="n">
        <v>100</v>
      </c>
      <c r="DW244" s="2" t="n">
        <v>100</v>
      </c>
      <c r="DX244" s="2" t="n">
        <v>100</v>
      </c>
      <c r="DY244" s="2" t="n">
        <v>100</v>
      </c>
      <c r="DZ244" s="2" t="n">
        <v>100</v>
      </c>
      <c r="EA244" s="2" t="n">
        <v>100</v>
      </c>
      <c r="EB244" s="2" t="n">
        <v>100</v>
      </c>
      <c r="EC244" s="2" t="n">
        <v>100</v>
      </c>
      <c r="ED244" s="2" t="n">
        <v>100</v>
      </c>
      <c r="EE244" s="2" t="n">
        <v>100</v>
      </c>
      <c r="EF244" s="2" t="n">
        <v>100</v>
      </c>
      <c r="EG244" s="2" t="n">
        <v>100</v>
      </c>
      <c r="EH244" s="2" t="n">
        <v>100</v>
      </c>
      <c r="EI244" s="2" t="n">
        <v>100</v>
      </c>
      <c r="EJ244" s="2" t="n">
        <v>100</v>
      </c>
      <c r="EK244" s="2" t="n">
        <v>100</v>
      </c>
      <c r="EL244" s="2" t="n">
        <v>100</v>
      </c>
      <c r="EM244" s="2" t="n">
        <v>100</v>
      </c>
      <c r="EN244" s="2" t="n">
        <v>100</v>
      </c>
      <c r="EO244" s="2" t="n">
        <v>100</v>
      </c>
      <c r="EP244" s="2" t="n">
        <v>100</v>
      </c>
      <c r="EQ244" s="2" t="n">
        <v>100</v>
      </c>
      <c r="ER244" s="2" t="n">
        <v>100</v>
      </c>
      <c r="ES244" s="2" t="n">
        <v>100</v>
      </c>
    </row>
    <row r="245">
      <c r="A245" s="2" t="n">
        <v>3</v>
      </c>
      <c r="B245" s="2" t="inlineStr">
        <is>
          <t>12.02.02</t>
        </is>
      </c>
      <c r="C245" s="2" t="inlineStr">
        <is>
          <t>Custos de desmobilização pavilhão e igreja provisória</t>
        </is>
      </c>
      <c r="D245" s="2" t="inlineStr">
        <is>
          <t>07/07/2025</t>
        </is>
      </c>
      <c r="E245" s="2" t="inlineStr">
        <is>
          <t>25/07/2025</t>
        </is>
      </c>
      <c r="F245" s="2" t="n">
        <v>80000</v>
      </c>
      <c r="G245" s="2" t="n">
        <v>0</v>
      </c>
      <c r="H245" s="2" t="n">
        <v>80000</v>
      </c>
      <c r="I245" s="2" t="n">
        <v>0</v>
      </c>
      <c r="J245" s="2" t="n">
        <v>0</v>
      </c>
      <c r="K245" s="2" t="n">
        <v>0</v>
      </c>
      <c r="L245" s="2" t="n">
        <v>100</v>
      </c>
      <c r="M245" s="2" t="n">
        <v>100</v>
      </c>
      <c r="N245" s="2" t="n">
        <v>0</v>
      </c>
      <c r="O245" s="2" t="n">
        <v>100</v>
      </c>
      <c r="P245" s="2" t="n">
        <v>100</v>
      </c>
      <c r="Q245" s="2" t="n">
        <v>0</v>
      </c>
      <c r="R245" s="2" t="n">
        <v>100</v>
      </c>
      <c r="S245" s="2" t="n">
        <v>100</v>
      </c>
      <c r="T245" s="2" t="n">
        <v>100</v>
      </c>
      <c r="U245" s="2" t="n">
        <v>100</v>
      </c>
      <c r="V245" s="2" t="n">
        <v>100</v>
      </c>
      <c r="W245" s="2" t="n">
        <v>100</v>
      </c>
      <c r="X245" s="2" t="n">
        <v>100</v>
      </c>
      <c r="Y245" s="2" t="n">
        <v>100</v>
      </c>
      <c r="Z245" s="2" t="n">
        <v>100</v>
      </c>
      <c r="AA245" s="2" t="n">
        <v>100</v>
      </c>
      <c r="AB245" s="2" t="n">
        <v>100</v>
      </c>
      <c r="AC245" s="2" t="n">
        <v>100</v>
      </c>
      <c r="AD245" s="2" t="n">
        <v>100</v>
      </c>
      <c r="AE245" s="2" t="n">
        <v>100</v>
      </c>
      <c r="AF245" s="2" t="n">
        <v>100</v>
      </c>
      <c r="AG245" s="2" t="n">
        <v>100</v>
      </c>
      <c r="AH245" s="2" t="n">
        <v>100</v>
      </c>
      <c r="AI245" s="2" t="n">
        <v>100</v>
      </c>
      <c r="AJ245" s="2" t="n">
        <v>100</v>
      </c>
      <c r="AK245" s="2" t="n">
        <v>100</v>
      </c>
      <c r="AL245" s="2" t="n">
        <v>100</v>
      </c>
      <c r="AM245" s="2" t="n">
        <v>100</v>
      </c>
      <c r="AN245" s="2" t="n">
        <v>100</v>
      </c>
      <c r="AO245" s="2" t="n">
        <v>100</v>
      </c>
      <c r="AP245" s="2" t="n">
        <v>100</v>
      </c>
      <c r="AQ245" s="2" t="n">
        <v>100</v>
      </c>
      <c r="AR245" s="2" t="n">
        <v>100</v>
      </c>
      <c r="AS245" s="2" t="n">
        <v>100</v>
      </c>
      <c r="AT245" s="2" t="n">
        <v>100</v>
      </c>
      <c r="AU245" s="2" t="n">
        <v>100</v>
      </c>
      <c r="AV245" s="2" t="n">
        <v>100</v>
      </c>
      <c r="AW245" s="2" t="n">
        <v>100</v>
      </c>
      <c r="AX245" s="2" t="n">
        <v>100</v>
      </c>
      <c r="AY245" s="2" t="n">
        <v>100</v>
      </c>
      <c r="AZ245" s="2" t="n">
        <v>100</v>
      </c>
      <c r="BA245" s="2" t="n">
        <v>100</v>
      </c>
      <c r="BB245" s="2" t="n">
        <v>100</v>
      </c>
      <c r="BC245" s="2" t="n">
        <v>100</v>
      </c>
      <c r="BD245" s="2" t="n">
        <v>100</v>
      </c>
      <c r="BE245" s="2" t="n">
        <v>100</v>
      </c>
      <c r="BF245" s="2" t="n">
        <v>100</v>
      </c>
      <c r="BG245" s="2" t="n">
        <v>100</v>
      </c>
      <c r="BH245" s="2" t="n">
        <v>100</v>
      </c>
      <c r="BI245" s="2" t="n">
        <v>100</v>
      </c>
      <c r="BJ245" s="2" t="n">
        <v>100</v>
      </c>
      <c r="BK245" s="2" t="n">
        <v>100</v>
      </c>
      <c r="BL245" s="2" t="n">
        <v>100</v>
      </c>
      <c r="BM245" s="2" t="n">
        <v>100</v>
      </c>
      <c r="BN245" s="2" t="n">
        <v>100</v>
      </c>
      <c r="BO245" s="2" t="n">
        <v>100</v>
      </c>
      <c r="BP245" s="2" t="n">
        <v>100</v>
      </c>
      <c r="BQ245" s="2" t="n">
        <v>100</v>
      </c>
      <c r="BR245" s="2" t="n">
        <v>100</v>
      </c>
      <c r="BS245" s="2" t="n">
        <v>100</v>
      </c>
      <c r="BT245" s="2" t="n">
        <v>100</v>
      </c>
      <c r="BU245" s="2" t="n">
        <v>100</v>
      </c>
      <c r="BV245" s="2" t="n">
        <v>100</v>
      </c>
      <c r="BW245" s="2" t="n">
        <v>100</v>
      </c>
      <c r="BX245" s="2" t="n">
        <v>100</v>
      </c>
      <c r="BY245" s="2" t="n">
        <v>100</v>
      </c>
      <c r="BZ245" s="2" t="n">
        <v>100</v>
      </c>
      <c r="CA245" s="2" t="n">
        <v>100</v>
      </c>
      <c r="CB245" s="2" t="n">
        <v>100</v>
      </c>
      <c r="CC245" s="2" t="n">
        <v>100</v>
      </c>
      <c r="CD245" s="2" t="n">
        <v>100</v>
      </c>
      <c r="CE245" s="2" t="n">
        <v>100</v>
      </c>
      <c r="CF245" s="2" t="n">
        <v>100</v>
      </c>
      <c r="CG245" s="2" t="n">
        <v>100</v>
      </c>
      <c r="CH245" s="2" t="n">
        <v>100</v>
      </c>
      <c r="CI245" s="2" t="n">
        <v>100</v>
      </c>
      <c r="CJ245" s="2" t="n">
        <v>100</v>
      </c>
      <c r="CK245" s="2" t="n">
        <v>100</v>
      </c>
      <c r="CL245" s="2" t="n">
        <v>100</v>
      </c>
      <c r="CM245" s="2" t="n">
        <v>100</v>
      </c>
      <c r="CN245" s="2" t="n">
        <v>100</v>
      </c>
      <c r="CO245" s="2" t="n">
        <v>100</v>
      </c>
      <c r="CP245" s="2" t="n">
        <v>100</v>
      </c>
      <c r="CQ245" s="2" t="n">
        <v>100</v>
      </c>
      <c r="CR245" s="2" t="n">
        <v>100</v>
      </c>
      <c r="CS245" s="2" t="n">
        <v>100</v>
      </c>
      <c r="CT245" s="2" t="n">
        <v>100</v>
      </c>
      <c r="CU245" s="2" t="n">
        <v>100</v>
      </c>
      <c r="CV245" s="2" t="n">
        <v>100</v>
      </c>
      <c r="CW245" s="2" t="n">
        <v>100</v>
      </c>
      <c r="CX245" s="2" t="n">
        <v>100</v>
      </c>
      <c r="CY245" s="2" t="n">
        <v>100</v>
      </c>
      <c r="CZ245" s="2" t="n">
        <v>100</v>
      </c>
      <c r="DA245" s="2" t="n">
        <v>100</v>
      </c>
      <c r="DB245" s="2" t="n">
        <v>100</v>
      </c>
      <c r="DC245" s="2" t="n">
        <v>100</v>
      </c>
      <c r="DD245" s="2" t="n">
        <v>100</v>
      </c>
      <c r="DE245" s="2" t="n">
        <v>100</v>
      </c>
      <c r="DF245" s="2" t="n">
        <v>100</v>
      </c>
      <c r="DG245" s="2" t="n">
        <v>100</v>
      </c>
      <c r="DH245" s="2" t="n">
        <v>100</v>
      </c>
      <c r="DI245" s="2" t="n">
        <v>100</v>
      </c>
      <c r="DJ245" s="2" t="n">
        <v>100</v>
      </c>
      <c r="DK245" s="2" t="n">
        <v>100</v>
      </c>
      <c r="DL245" s="2" t="n">
        <v>100</v>
      </c>
      <c r="DM245" s="2" t="n">
        <v>100</v>
      </c>
      <c r="DN245" s="2" t="n">
        <v>100</v>
      </c>
      <c r="DO245" s="2" t="n">
        <v>100</v>
      </c>
      <c r="DP245" s="2" t="n">
        <v>100</v>
      </c>
      <c r="DQ245" s="2" t="n">
        <v>100</v>
      </c>
      <c r="DR245" s="2" t="n">
        <v>100</v>
      </c>
      <c r="DS245" s="2" t="n">
        <v>100</v>
      </c>
      <c r="DT245" s="2" t="n">
        <v>100</v>
      </c>
      <c r="DU245" s="2" t="n">
        <v>100</v>
      </c>
      <c r="DV245" s="2" t="n">
        <v>100</v>
      </c>
      <c r="DW245" s="2" t="n">
        <v>100</v>
      </c>
      <c r="DX245" s="2" t="n">
        <v>100</v>
      </c>
      <c r="DY245" s="2" t="n">
        <v>100</v>
      </c>
      <c r="DZ245" s="2" t="n">
        <v>100</v>
      </c>
      <c r="EA245" s="2" t="n">
        <v>100</v>
      </c>
      <c r="EB245" s="2" t="n">
        <v>100</v>
      </c>
      <c r="EC245" s="2" t="n">
        <v>100</v>
      </c>
      <c r="ED245" s="2" t="n">
        <v>100</v>
      </c>
      <c r="EE245" s="2" t="n">
        <v>100</v>
      </c>
      <c r="EF245" s="2" t="n">
        <v>100</v>
      </c>
      <c r="EG245" s="2" t="n">
        <v>100</v>
      </c>
      <c r="EH245" s="2" t="n">
        <v>100</v>
      </c>
      <c r="EI245" s="2" t="n">
        <v>100</v>
      </c>
      <c r="EJ245" s="2" t="n">
        <v>100</v>
      </c>
      <c r="EK245" s="2" t="n">
        <v>100</v>
      </c>
      <c r="EL245" s="2" t="n">
        <v>100</v>
      </c>
      <c r="EM245" s="2" t="n">
        <v>100</v>
      </c>
      <c r="EN245" s="2" t="n">
        <v>100</v>
      </c>
      <c r="EO245" s="2" t="n">
        <v>100</v>
      </c>
      <c r="EP245" s="2" t="n">
        <v>100</v>
      </c>
      <c r="EQ245" s="2" t="n">
        <v>100</v>
      </c>
      <c r="ER245" s="2" t="n">
        <v>100</v>
      </c>
      <c r="ES245" s="2" t="n">
        <v>100</v>
      </c>
    </row>
    <row r="246">
      <c r="A246" s="2" t="n">
        <v>1</v>
      </c>
      <c r="B246" s="2" t="inlineStr">
        <is>
          <t>13</t>
        </is>
      </c>
      <c r="C246" s="2" t="inlineStr">
        <is>
          <t>CONTENÇÕES</t>
        </is>
      </c>
      <c r="D246" s="2" t="inlineStr">
        <is>
          <t>21/07/2025</t>
        </is>
      </c>
      <c r="E246" s="2" t="inlineStr">
        <is>
          <t>11/05/2027</t>
        </is>
      </c>
      <c r="F246" s="2" t="n">
        <v>1644553.518869865</v>
      </c>
      <c r="G246" s="2" t="n">
        <v>0</v>
      </c>
      <c r="H246" s="2" t="n">
        <v>1644553.518869865</v>
      </c>
      <c r="I246" s="2" t="n">
        <v>0</v>
      </c>
      <c r="J246" s="2" t="n">
        <v>0</v>
      </c>
      <c r="K246" s="2" t="n">
        <v>0</v>
      </c>
      <c r="L246" s="2" t="n">
        <v>32.58</v>
      </c>
      <c r="M246" s="2" t="n">
        <v>32.58</v>
      </c>
      <c r="N246" s="2" t="n">
        <v>0</v>
      </c>
      <c r="O246" s="2" t="n">
        <v>68.78</v>
      </c>
      <c r="P246" s="2" t="n">
        <v>68.78</v>
      </c>
      <c r="Q246" s="2" t="n">
        <v>0</v>
      </c>
      <c r="R246" s="2" t="n">
        <v>72.62</v>
      </c>
      <c r="S246" s="2" t="n">
        <v>72.62</v>
      </c>
      <c r="T246" s="2" t="n">
        <v>52.95</v>
      </c>
      <c r="U246" s="2" t="n">
        <v>77.3</v>
      </c>
      <c r="V246" s="2" t="n">
        <v>77.3</v>
      </c>
      <c r="W246" s="2" t="n">
        <v>57.35</v>
      </c>
      <c r="X246" s="2" t="n">
        <v>77.3</v>
      </c>
      <c r="Y246" s="2" t="n">
        <v>77.3</v>
      </c>
      <c r="Z246" s="2" t="n">
        <v>57.35</v>
      </c>
      <c r="AA246" s="2" t="n">
        <v>77.3</v>
      </c>
      <c r="AB246" s="2" t="n">
        <v>77.3</v>
      </c>
      <c r="AC246" s="2" t="n">
        <v>57.35</v>
      </c>
      <c r="AD246" s="2" t="n">
        <v>77.3</v>
      </c>
      <c r="AE246" s="2" t="n">
        <v>77.3</v>
      </c>
      <c r="AF246" s="2" t="n">
        <v>57.35</v>
      </c>
      <c r="AG246" s="2" t="n">
        <v>77.3</v>
      </c>
      <c r="AH246" s="2" t="n">
        <v>77.3</v>
      </c>
      <c r="AI246" s="2" t="n">
        <v>57.35</v>
      </c>
      <c r="AJ246" s="2" t="n">
        <v>77.3</v>
      </c>
      <c r="AK246" s="2" t="n">
        <v>77.3</v>
      </c>
      <c r="AL246" s="2" t="n">
        <v>57.35</v>
      </c>
      <c r="AM246" s="2" t="n">
        <v>77.3</v>
      </c>
      <c r="AN246" s="2" t="n">
        <v>77.3</v>
      </c>
      <c r="AO246" s="2" t="n">
        <v>57.35</v>
      </c>
      <c r="AP246" s="2" t="n">
        <v>77.3</v>
      </c>
      <c r="AQ246" s="2" t="n">
        <v>77.3</v>
      </c>
      <c r="AR246" s="2" t="n">
        <v>72.08</v>
      </c>
      <c r="AS246" s="2" t="n">
        <v>77.3</v>
      </c>
      <c r="AT246" s="2" t="n">
        <v>77.3</v>
      </c>
      <c r="AU246" s="2" t="n">
        <v>75.43000000000001</v>
      </c>
      <c r="AV246" s="2" t="n">
        <v>77.3</v>
      </c>
      <c r="AW246" s="2" t="n">
        <v>77.3</v>
      </c>
      <c r="AX246" s="2" t="n">
        <v>75.23</v>
      </c>
      <c r="AY246" s="2" t="n">
        <v>77.3</v>
      </c>
      <c r="AZ246" s="2" t="n">
        <v>77.3</v>
      </c>
      <c r="BA246" s="2" t="n">
        <v>75.23</v>
      </c>
      <c r="BB246" s="2" t="n">
        <v>77.56999999999999</v>
      </c>
      <c r="BC246" s="2" t="n">
        <v>77.3</v>
      </c>
      <c r="BD246" s="2" t="n">
        <v>75.23</v>
      </c>
      <c r="BE246" s="2" t="n">
        <v>82.18000000000001</v>
      </c>
      <c r="BF246" s="2" t="n">
        <v>83.42</v>
      </c>
      <c r="BG246" s="2" t="n">
        <v>75.23</v>
      </c>
      <c r="BH246" s="2" t="n">
        <v>94.62</v>
      </c>
      <c r="BI246" s="2" t="n">
        <v>95.87</v>
      </c>
      <c r="BJ246" s="2" t="n">
        <v>75.23</v>
      </c>
      <c r="BK246" s="2" t="n">
        <v>97.06999999999999</v>
      </c>
      <c r="BL246" s="2" t="n">
        <v>97.06999999999999</v>
      </c>
      <c r="BM246" s="2" t="n">
        <v>75.23</v>
      </c>
      <c r="BN246" s="2" t="n">
        <v>97.06999999999999</v>
      </c>
      <c r="BO246" s="2" t="n">
        <v>97.06999999999999</v>
      </c>
      <c r="BP246" s="2" t="n">
        <v>75.23</v>
      </c>
      <c r="BQ246" s="2" t="n">
        <v>97.06999999999999</v>
      </c>
      <c r="BR246" s="2" t="n">
        <v>97.06999999999999</v>
      </c>
      <c r="BS246" s="2" t="n">
        <v>75.23</v>
      </c>
      <c r="BT246" s="2" t="n">
        <v>97.06999999999999</v>
      </c>
      <c r="BU246" s="2" t="n">
        <v>97.06999999999999</v>
      </c>
      <c r="BV246" s="2" t="n">
        <v>75.23</v>
      </c>
      <c r="BW246" s="2" t="n">
        <v>99.06999999999999</v>
      </c>
      <c r="BX246" s="2" t="n">
        <v>99.06999999999999</v>
      </c>
      <c r="BY246" s="2" t="n">
        <v>75.23</v>
      </c>
      <c r="BZ246" s="2" t="n">
        <v>100</v>
      </c>
      <c r="CA246" s="2" t="n">
        <v>100</v>
      </c>
      <c r="CB246" s="2" t="n">
        <v>75.23</v>
      </c>
      <c r="CC246" s="2" t="n">
        <v>100</v>
      </c>
      <c r="CD246" s="2" t="n">
        <v>100</v>
      </c>
      <c r="CE246" s="2" t="n">
        <v>75.23</v>
      </c>
      <c r="CF246" s="2" t="n">
        <v>100</v>
      </c>
      <c r="CG246" s="2" t="n">
        <v>100</v>
      </c>
      <c r="CH246" s="2" t="n">
        <v>75.23</v>
      </c>
      <c r="CI246" s="2" t="n">
        <v>100</v>
      </c>
      <c r="CJ246" s="2" t="n">
        <v>100</v>
      </c>
      <c r="CK246" s="2" t="n">
        <v>75.23</v>
      </c>
      <c r="CL246" s="2" t="n">
        <v>100</v>
      </c>
      <c r="CM246" s="2" t="n">
        <v>100</v>
      </c>
      <c r="CN246" s="2" t="n">
        <v>75.23</v>
      </c>
      <c r="CO246" s="2" t="n">
        <v>100</v>
      </c>
      <c r="CP246" s="2" t="n">
        <v>100</v>
      </c>
      <c r="CQ246" s="2" t="n">
        <v>75.23</v>
      </c>
      <c r="CR246" s="2" t="n">
        <v>100</v>
      </c>
      <c r="CS246" s="2" t="n">
        <v>100</v>
      </c>
      <c r="CT246" s="2" t="n">
        <v>75.23</v>
      </c>
      <c r="CU246" s="2" t="n">
        <v>100</v>
      </c>
      <c r="CV246" s="2" t="n">
        <v>100</v>
      </c>
      <c r="CW246" s="2" t="n">
        <v>75.23</v>
      </c>
      <c r="CX246" s="2" t="n">
        <v>100</v>
      </c>
      <c r="CY246" s="2" t="n">
        <v>100</v>
      </c>
      <c r="CZ246" s="2" t="n">
        <v>75.23</v>
      </c>
      <c r="DA246" s="2" t="n">
        <v>100</v>
      </c>
      <c r="DB246" s="2" t="n">
        <v>100</v>
      </c>
      <c r="DC246" s="2" t="n">
        <v>75.23</v>
      </c>
      <c r="DD246" s="2" t="n">
        <v>100</v>
      </c>
      <c r="DE246" s="2" t="n">
        <v>100</v>
      </c>
      <c r="DF246" s="2" t="n">
        <v>75.23</v>
      </c>
      <c r="DG246" s="2" t="n">
        <v>100</v>
      </c>
      <c r="DH246" s="2" t="n">
        <v>100</v>
      </c>
      <c r="DI246" s="2" t="n">
        <v>75.23</v>
      </c>
      <c r="DJ246" s="2" t="n">
        <v>100</v>
      </c>
      <c r="DK246" s="2" t="n">
        <v>100</v>
      </c>
      <c r="DL246" s="2" t="n">
        <v>75.23</v>
      </c>
      <c r="DM246" s="2" t="n">
        <v>100</v>
      </c>
      <c r="DN246" s="2" t="n">
        <v>100</v>
      </c>
      <c r="DO246" s="2" t="n">
        <v>75.23</v>
      </c>
      <c r="DP246" s="2" t="n">
        <v>100</v>
      </c>
      <c r="DQ246" s="2" t="n">
        <v>100</v>
      </c>
      <c r="DR246" s="2" t="n">
        <v>75.23</v>
      </c>
      <c r="DS246" s="2" t="n">
        <v>100</v>
      </c>
      <c r="DT246" s="2" t="n">
        <v>100</v>
      </c>
      <c r="DU246" s="2" t="n">
        <v>75.23</v>
      </c>
      <c r="DV246" s="2" t="n">
        <v>100</v>
      </c>
      <c r="DW246" s="2" t="n">
        <v>100</v>
      </c>
      <c r="DX246" s="2" t="n">
        <v>75.23</v>
      </c>
      <c r="DY246" s="2" t="n">
        <v>100</v>
      </c>
      <c r="DZ246" s="2" t="n">
        <v>100</v>
      </c>
      <c r="EA246" s="2" t="n">
        <v>75.23</v>
      </c>
      <c r="EB246" s="2" t="n">
        <v>100</v>
      </c>
      <c r="EC246" s="2" t="n">
        <v>100</v>
      </c>
      <c r="ED246" s="2" t="n">
        <v>75.23</v>
      </c>
      <c r="EE246" s="2" t="n">
        <v>100</v>
      </c>
      <c r="EF246" s="2" t="n">
        <v>100</v>
      </c>
      <c r="EG246" s="2" t="n">
        <v>75.23</v>
      </c>
      <c r="EH246" s="2" t="n">
        <v>100</v>
      </c>
      <c r="EI246" s="2" t="n">
        <v>100</v>
      </c>
      <c r="EJ246" s="2" t="n">
        <v>75.23</v>
      </c>
      <c r="EK246" s="2" t="n">
        <v>100</v>
      </c>
      <c r="EL246" s="2" t="n">
        <v>100</v>
      </c>
      <c r="EM246" s="2" t="n">
        <v>75.23</v>
      </c>
      <c r="EN246" s="2" t="n">
        <v>100</v>
      </c>
      <c r="EO246" s="2" t="n">
        <v>100</v>
      </c>
      <c r="EP246" s="2" t="n">
        <v>75.23</v>
      </c>
      <c r="EQ246" s="2" t="n">
        <v>100</v>
      </c>
      <c r="ER246" s="2" t="n">
        <v>100</v>
      </c>
      <c r="ES246" s="2" t="n">
        <v>75.23</v>
      </c>
    </row>
    <row r="247">
      <c r="A247" s="2" t="n">
        <v>2</v>
      </c>
      <c r="B247" s="2" t="inlineStr">
        <is>
          <t>13.01</t>
        </is>
      </c>
      <c r="C247" s="2" t="inlineStr">
        <is>
          <t>Estacas Escavadas - Estacas tipo Hélice Contínua Monitorada</t>
        </is>
      </c>
      <c r="D247" s="2" t="inlineStr">
        <is>
          <t>21/07/2025</t>
        </is>
      </c>
      <c r="E247" s="2" t="inlineStr">
        <is>
          <t>14/08/2025</t>
        </is>
      </c>
      <c r="F247" s="2" t="n">
        <v>1131182.268746388</v>
      </c>
      <c r="G247" s="2" t="n">
        <v>0</v>
      </c>
      <c r="H247" s="2" t="n">
        <v>1131182.268746388</v>
      </c>
      <c r="I247" s="2" t="n">
        <v>0</v>
      </c>
      <c r="J247" s="2" t="n">
        <v>0</v>
      </c>
      <c r="K247" s="2" t="n">
        <v>0</v>
      </c>
      <c r="L247" s="2" t="n">
        <v>47.37</v>
      </c>
      <c r="M247" s="2" t="n">
        <v>47.37</v>
      </c>
      <c r="N247" s="2" t="n">
        <v>0</v>
      </c>
      <c r="O247" s="2" t="n">
        <v>100</v>
      </c>
      <c r="P247" s="2" t="n">
        <v>100</v>
      </c>
      <c r="Q247" s="2" t="n">
        <v>0</v>
      </c>
      <c r="R247" s="2" t="n">
        <v>100</v>
      </c>
      <c r="S247" s="2" t="n">
        <v>100</v>
      </c>
      <c r="T247" s="2" t="n">
        <v>71</v>
      </c>
      <c r="U247" s="2" t="n">
        <v>100</v>
      </c>
      <c r="V247" s="2" t="n">
        <v>100</v>
      </c>
      <c r="W247" s="2" t="n">
        <v>71</v>
      </c>
      <c r="X247" s="2" t="n">
        <v>100</v>
      </c>
      <c r="Y247" s="2" t="n">
        <v>100</v>
      </c>
      <c r="Z247" s="2" t="n">
        <v>71</v>
      </c>
      <c r="AA247" s="2" t="n">
        <v>100</v>
      </c>
      <c r="AB247" s="2" t="n">
        <v>100</v>
      </c>
      <c r="AC247" s="2" t="n">
        <v>71</v>
      </c>
      <c r="AD247" s="2" t="n">
        <v>100</v>
      </c>
      <c r="AE247" s="2" t="n">
        <v>100</v>
      </c>
      <c r="AF247" s="2" t="n">
        <v>71</v>
      </c>
      <c r="AG247" s="2" t="n">
        <v>100</v>
      </c>
      <c r="AH247" s="2" t="n">
        <v>100</v>
      </c>
      <c r="AI247" s="2" t="n">
        <v>71</v>
      </c>
      <c r="AJ247" s="2" t="n">
        <v>100</v>
      </c>
      <c r="AK247" s="2" t="n">
        <v>100</v>
      </c>
      <c r="AL247" s="2" t="n">
        <v>71</v>
      </c>
      <c r="AM247" s="2" t="n">
        <v>100</v>
      </c>
      <c r="AN247" s="2" t="n">
        <v>100</v>
      </c>
      <c r="AO247" s="2" t="n">
        <v>71</v>
      </c>
      <c r="AP247" s="2" t="n">
        <v>100</v>
      </c>
      <c r="AQ247" s="2" t="n">
        <v>100</v>
      </c>
      <c r="AR247" s="2" t="n">
        <v>92.41</v>
      </c>
      <c r="AS247" s="2" t="n">
        <v>100</v>
      </c>
      <c r="AT247" s="2" t="n">
        <v>100</v>
      </c>
      <c r="AU247" s="2" t="n">
        <v>97.29000000000001</v>
      </c>
      <c r="AV247" s="2" t="n">
        <v>100</v>
      </c>
      <c r="AW247" s="2" t="n">
        <v>100</v>
      </c>
      <c r="AX247" s="2" t="n">
        <v>97</v>
      </c>
      <c r="AY247" s="2" t="n">
        <v>100</v>
      </c>
      <c r="AZ247" s="2" t="n">
        <v>100</v>
      </c>
      <c r="BA247" s="2" t="n">
        <v>97</v>
      </c>
      <c r="BB247" s="2" t="n">
        <v>100</v>
      </c>
      <c r="BC247" s="2" t="n">
        <v>100</v>
      </c>
      <c r="BD247" s="2" t="n">
        <v>97</v>
      </c>
      <c r="BE247" s="2" t="n">
        <v>100</v>
      </c>
      <c r="BF247" s="2" t="n">
        <v>100</v>
      </c>
      <c r="BG247" s="2" t="n">
        <v>97</v>
      </c>
      <c r="BH247" s="2" t="n">
        <v>100</v>
      </c>
      <c r="BI247" s="2" t="n">
        <v>100</v>
      </c>
      <c r="BJ247" s="2" t="n">
        <v>97</v>
      </c>
      <c r="BK247" s="2" t="n">
        <v>100</v>
      </c>
      <c r="BL247" s="2" t="n">
        <v>100</v>
      </c>
      <c r="BM247" s="2" t="n">
        <v>97</v>
      </c>
      <c r="BN247" s="2" t="n">
        <v>100</v>
      </c>
      <c r="BO247" s="2" t="n">
        <v>100</v>
      </c>
      <c r="BP247" s="2" t="n">
        <v>97</v>
      </c>
      <c r="BQ247" s="2" t="n">
        <v>100</v>
      </c>
      <c r="BR247" s="2" t="n">
        <v>100</v>
      </c>
      <c r="BS247" s="2" t="n">
        <v>97</v>
      </c>
      <c r="BT247" s="2" t="n">
        <v>100</v>
      </c>
      <c r="BU247" s="2" t="n">
        <v>100</v>
      </c>
      <c r="BV247" s="2" t="n">
        <v>97</v>
      </c>
      <c r="BW247" s="2" t="n">
        <v>100</v>
      </c>
      <c r="BX247" s="2" t="n">
        <v>100</v>
      </c>
      <c r="BY247" s="2" t="n">
        <v>97</v>
      </c>
      <c r="BZ247" s="2" t="n">
        <v>100</v>
      </c>
      <c r="CA247" s="2" t="n">
        <v>100</v>
      </c>
      <c r="CB247" s="2" t="n">
        <v>97</v>
      </c>
      <c r="CC247" s="2" t="n">
        <v>100</v>
      </c>
      <c r="CD247" s="2" t="n">
        <v>100</v>
      </c>
      <c r="CE247" s="2" t="n">
        <v>97</v>
      </c>
      <c r="CF247" s="2" t="n">
        <v>100</v>
      </c>
      <c r="CG247" s="2" t="n">
        <v>100</v>
      </c>
      <c r="CH247" s="2" t="n">
        <v>97</v>
      </c>
      <c r="CI247" s="2" t="n">
        <v>100</v>
      </c>
      <c r="CJ247" s="2" t="n">
        <v>100</v>
      </c>
      <c r="CK247" s="2" t="n">
        <v>97</v>
      </c>
      <c r="CL247" s="2" t="n">
        <v>100</v>
      </c>
      <c r="CM247" s="2" t="n">
        <v>100</v>
      </c>
      <c r="CN247" s="2" t="n">
        <v>97</v>
      </c>
      <c r="CO247" s="2" t="n">
        <v>100</v>
      </c>
      <c r="CP247" s="2" t="n">
        <v>100</v>
      </c>
      <c r="CQ247" s="2" t="n">
        <v>97</v>
      </c>
      <c r="CR247" s="2" t="n">
        <v>100</v>
      </c>
      <c r="CS247" s="2" t="n">
        <v>100</v>
      </c>
      <c r="CT247" s="2" t="n">
        <v>97</v>
      </c>
      <c r="CU247" s="2" t="n">
        <v>100</v>
      </c>
      <c r="CV247" s="2" t="n">
        <v>100</v>
      </c>
      <c r="CW247" s="2" t="n">
        <v>97</v>
      </c>
      <c r="CX247" s="2" t="n">
        <v>100</v>
      </c>
      <c r="CY247" s="2" t="n">
        <v>100</v>
      </c>
      <c r="CZ247" s="2" t="n">
        <v>97</v>
      </c>
      <c r="DA247" s="2" t="n">
        <v>100</v>
      </c>
      <c r="DB247" s="2" t="n">
        <v>100</v>
      </c>
      <c r="DC247" s="2" t="n">
        <v>97</v>
      </c>
      <c r="DD247" s="2" t="n">
        <v>100</v>
      </c>
      <c r="DE247" s="2" t="n">
        <v>100</v>
      </c>
      <c r="DF247" s="2" t="n">
        <v>97</v>
      </c>
      <c r="DG247" s="2" t="n">
        <v>100</v>
      </c>
      <c r="DH247" s="2" t="n">
        <v>100</v>
      </c>
      <c r="DI247" s="2" t="n">
        <v>97</v>
      </c>
      <c r="DJ247" s="2" t="n">
        <v>100</v>
      </c>
      <c r="DK247" s="2" t="n">
        <v>100</v>
      </c>
      <c r="DL247" s="2" t="n">
        <v>97</v>
      </c>
      <c r="DM247" s="2" t="n">
        <v>100</v>
      </c>
      <c r="DN247" s="2" t="n">
        <v>100</v>
      </c>
      <c r="DO247" s="2" t="n">
        <v>97</v>
      </c>
      <c r="DP247" s="2" t="n">
        <v>100</v>
      </c>
      <c r="DQ247" s="2" t="n">
        <v>100</v>
      </c>
      <c r="DR247" s="2" t="n">
        <v>97</v>
      </c>
      <c r="DS247" s="2" t="n">
        <v>100</v>
      </c>
      <c r="DT247" s="2" t="n">
        <v>100</v>
      </c>
      <c r="DU247" s="2" t="n">
        <v>97</v>
      </c>
      <c r="DV247" s="2" t="n">
        <v>100</v>
      </c>
      <c r="DW247" s="2" t="n">
        <v>100</v>
      </c>
      <c r="DX247" s="2" t="n">
        <v>97</v>
      </c>
      <c r="DY247" s="2" t="n">
        <v>100</v>
      </c>
      <c r="DZ247" s="2" t="n">
        <v>100</v>
      </c>
      <c r="EA247" s="2" t="n">
        <v>97</v>
      </c>
      <c r="EB247" s="2" t="n">
        <v>100</v>
      </c>
      <c r="EC247" s="2" t="n">
        <v>100</v>
      </c>
      <c r="ED247" s="2" t="n">
        <v>97</v>
      </c>
      <c r="EE247" s="2" t="n">
        <v>100</v>
      </c>
      <c r="EF247" s="2" t="n">
        <v>100</v>
      </c>
      <c r="EG247" s="2" t="n">
        <v>97</v>
      </c>
      <c r="EH247" s="2" t="n">
        <v>100</v>
      </c>
      <c r="EI247" s="2" t="n">
        <v>100</v>
      </c>
      <c r="EJ247" s="2" t="n">
        <v>97</v>
      </c>
      <c r="EK247" s="2" t="n">
        <v>100</v>
      </c>
      <c r="EL247" s="2" t="n">
        <v>100</v>
      </c>
      <c r="EM247" s="2" t="n">
        <v>97</v>
      </c>
      <c r="EN247" s="2" t="n">
        <v>100</v>
      </c>
      <c r="EO247" s="2" t="n">
        <v>100</v>
      </c>
      <c r="EP247" s="2" t="n">
        <v>97</v>
      </c>
      <c r="EQ247" s="2" t="n">
        <v>100</v>
      </c>
      <c r="ER247" s="2" t="n">
        <v>100</v>
      </c>
      <c r="ES247" s="2" t="n">
        <v>97</v>
      </c>
    </row>
    <row r="248">
      <c r="A248" s="2" t="n">
        <v>3</v>
      </c>
      <c r="B248" s="2" t="inlineStr">
        <is>
          <t>13.01.01</t>
        </is>
      </c>
      <c r="C248" s="2" t="inlineStr">
        <is>
          <t>Taxa de mobilização e desmobilização do empreiteiro</t>
        </is>
      </c>
      <c r="D248" s="2" t="inlineStr">
        <is>
          <t>21/07/2025</t>
        </is>
      </c>
      <c r="E248" s="2" t="inlineStr">
        <is>
          <t>14/08/2025</t>
        </is>
      </c>
      <c r="F248" s="2" t="n">
        <v>46000</v>
      </c>
      <c r="G248" s="2" t="n">
        <v>0</v>
      </c>
      <c r="H248" s="2" t="n">
        <v>46000</v>
      </c>
      <c r="I248" s="2" t="n">
        <v>0</v>
      </c>
      <c r="J248" s="2" t="n">
        <v>0</v>
      </c>
      <c r="K248" s="2" t="n">
        <v>0</v>
      </c>
      <c r="L248" s="2" t="n">
        <v>47.37</v>
      </c>
      <c r="M248" s="2" t="n">
        <v>47.37</v>
      </c>
      <c r="N248" s="2" t="n">
        <v>0</v>
      </c>
      <c r="O248" s="2" t="n">
        <v>100</v>
      </c>
      <c r="P248" s="2" t="n">
        <v>100</v>
      </c>
      <c r="Q248" s="2" t="n">
        <v>0</v>
      </c>
      <c r="R248" s="2" t="n">
        <v>100</v>
      </c>
      <c r="S248" s="2" t="n">
        <v>100</v>
      </c>
      <c r="T248" s="2" t="n">
        <v>71</v>
      </c>
      <c r="U248" s="2" t="n">
        <v>100</v>
      </c>
      <c r="V248" s="2" t="n">
        <v>100</v>
      </c>
      <c r="W248" s="2" t="n">
        <v>71</v>
      </c>
      <c r="X248" s="2" t="n">
        <v>100</v>
      </c>
      <c r="Y248" s="2" t="n">
        <v>100</v>
      </c>
      <c r="Z248" s="2" t="n">
        <v>71</v>
      </c>
      <c r="AA248" s="2" t="n">
        <v>100</v>
      </c>
      <c r="AB248" s="2" t="n">
        <v>100</v>
      </c>
      <c r="AC248" s="2" t="n">
        <v>71</v>
      </c>
      <c r="AD248" s="2" t="n">
        <v>100</v>
      </c>
      <c r="AE248" s="2" t="n">
        <v>100</v>
      </c>
      <c r="AF248" s="2" t="n">
        <v>71</v>
      </c>
      <c r="AG248" s="2" t="n">
        <v>100</v>
      </c>
      <c r="AH248" s="2" t="n">
        <v>100</v>
      </c>
      <c r="AI248" s="2" t="n">
        <v>71</v>
      </c>
      <c r="AJ248" s="2" t="n">
        <v>100</v>
      </c>
      <c r="AK248" s="2" t="n">
        <v>100</v>
      </c>
      <c r="AL248" s="2" t="n">
        <v>71</v>
      </c>
      <c r="AM248" s="2" t="n">
        <v>100</v>
      </c>
      <c r="AN248" s="2" t="n">
        <v>100</v>
      </c>
      <c r="AO248" s="2" t="n">
        <v>71</v>
      </c>
      <c r="AP248" s="2" t="n">
        <v>100</v>
      </c>
      <c r="AQ248" s="2" t="n">
        <v>100</v>
      </c>
      <c r="AR248" s="2" t="n">
        <v>92.41</v>
      </c>
      <c r="AS248" s="2" t="n">
        <v>100</v>
      </c>
      <c r="AT248" s="2" t="n">
        <v>100</v>
      </c>
      <c r="AU248" s="2" t="n">
        <v>97.29000000000001</v>
      </c>
      <c r="AV248" s="2" t="n">
        <v>100</v>
      </c>
      <c r="AW248" s="2" t="n">
        <v>100</v>
      </c>
      <c r="AX248" s="2" t="n">
        <v>97</v>
      </c>
      <c r="AY248" s="2" t="n">
        <v>100</v>
      </c>
      <c r="AZ248" s="2" t="n">
        <v>100</v>
      </c>
      <c r="BA248" s="2" t="n">
        <v>97</v>
      </c>
      <c r="BB248" s="2" t="n">
        <v>100</v>
      </c>
      <c r="BC248" s="2" t="n">
        <v>100</v>
      </c>
      <c r="BD248" s="2" t="n">
        <v>97</v>
      </c>
      <c r="BE248" s="2" t="n">
        <v>100</v>
      </c>
      <c r="BF248" s="2" t="n">
        <v>100</v>
      </c>
      <c r="BG248" s="2" t="n">
        <v>97</v>
      </c>
      <c r="BH248" s="2" t="n">
        <v>100</v>
      </c>
      <c r="BI248" s="2" t="n">
        <v>100</v>
      </c>
      <c r="BJ248" s="2" t="n">
        <v>97</v>
      </c>
      <c r="BK248" s="2" t="n">
        <v>100</v>
      </c>
      <c r="BL248" s="2" t="n">
        <v>100</v>
      </c>
      <c r="BM248" s="2" t="n">
        <v>97</v>
      </c>
      <c r="BN248" s="2" t="n">
        <v>100</v>
      </c>
      <c r="BO248" s="2" t="n">
        <v>100</v>
      </c>
      <c r="BP248" s="2" t="n">
        <v>97</v>
      </c>
      <c r="BQ248" s="2" t="n">
        <v>100</v>
      </c>
      <c r="BR248" s="2" t="n">
        <v>100</v>
      </c>
      <c r="BS248" s="2" t="n">
        <v>97</v>
      </c>
      <c r="BT248" s="2" t="n">
        <v>100</v>
      </c>
      <c r="BU248" s="2" t="n">
        <v>100</v>
      </c>
      <c r="BV248" s="2" t="n">
        <v>97</v>
      </c>
      <c r="BW248" s="2" t="n">
        <v>100</v>
      </c>
      <c r="BX248" s="2" t="n">
        <v>100</v>
      </c>
      <c r="BY248" s="2" t="n">
        <v>97</v>
      </c>
      <c r="BZ248" s="2" t="n">
        <v>100</v>
      </c>
      <c r="CA248" s="2" t="n">
        <v>100</v>
      </c>
      <c r="CB248" s="2" t="n">
        <v>97</v>
      </c>
      <c r="CC248" s="2" t="n">
        <v>100</v>
      </c>
      <c r="CD248" s="2" t="n">
        <v>100</v>
      </c>
      <c r="CE248" s="2" t="n">
        <v>97</v>
      </c>
      <c r="CF248" s="2" t="n">
        <v>100</v>
      </c>
      <c r="CG248" s="2" t="n">
        <v>100</v>
      </c>
      <c r="CH248" s="2" t="n">
        <v>97</v>
      </c>
      <c r="CI248" s="2" t="n">
        <v>100</v>
      </c>
      <c r="CJ248" s="2" t="n">
        <v>100</v>
      </c>
      <c r="CK248" s="2" t="n">
        <v>97</v>
      </c>
      <c r="CL248" s="2" t="n">
        <v>100</v>
      </c>
      <c r="CM248" s="2" t="n">
        <v>100</v>
      </c>
      <c r="CN248" s="2" t="n">
        <v>97</v>
      </c>
      <c r="CO248" s="2" t="n">
        <v>100</v>
      </c>
      <c r="CP248" s="2" t="n">
        <v>100</v>
      </c>
      <c r="CQ248" s="2" t="n">
        <v>97</v>
      </c>
      <c r="CR248" s="2" t="n">
        <v>100</v>
      </c>
      <c r="CS248" s="2" t="n">
        <v>100</v>
      </c>
      <c r="CT248" s="2" t="n">
        <v>97</v>
      </c>
      <c r="CU248" s="2" t="n">
        <v>100</v>
      </c>
      <c r="CV248" s="2" t="n">
        <v>100</v>
      </c>
      <c r="CW248" s="2" t="n">
        <v>97</v>
      </c>
      <c r="CX248" s="2" t="n">
        <v>100</v>
      </c>
      <c r="CY248" s="2" t="n">
        <v>100</v>
      </c>
      <c r="CZ248" s="2" t="n">
        <v>97</v>
      </c>
      <c r="DA248" s="2" t="n">
        <v>100</v>
      </c>
      <c r="DB248" s="2" t="n">
        <v>100</v>
      </c>
      <c r="DC248" s="2" t="n">
        <v>97</v>
      </c>
      <c r="DD248" s="2" t="n">
        <v>100</v>
      </c>
      <c r="DE248" s="2" t="n">
        <v>100</v>
      </c>
      <c r="DF248" s="2" t="n">
        <v>97</v>
      </c>
      <c r="DG248" s="2" t="n">
        <v>100</v>
      </c>
      <c r="DH248" s="2" t="n">
        <v>100</v>
      </c>
      <c r="DI248" s="2" t="n">
        <v>97</v>
      </c>
      <c r="DJ248" s="2" t="n">
        <v>100</v>
      </c>
      <c r="DK248" s="2" t="n">
        <v>100</v>
      </c>
      <c r="DL248" s="2" t="n">
        <v>97</v>
      </c>
      <c r="DM248" s="2" t="n">
        <v>100</v>
      </c>
      <c r="DN248" s="2" t="n">
        <v>100</v>
      </c>
      <c r="DO248" s="2" t="n">
        <v>97</v>
      </c>
      <c r="DP248" s="2" t="n">
        <v>100</v>
      </c>
      <c r="DQ248" s="2" t="n">
        <v>100</v>
      </c>
      <c r="DR248" s="2" t="n">
        <v>97</v>
      </c>
      <c r="DS248" s="2" t="n">
        <v>100</v>
      </c>
      <c r="DT248" s="2" t="n">
        <v>100</v>
      </c>
      <c r="DU248" s="2" t="n">
        <v>97</v>
      </c>
      <c r="DV248" s="2" t="n">
        <v>100</v>
      </c>
      <c r="DW248" s="2" t="n">
        <v>100</v>
      </c>
      <c r="DX248" s="2" t="n">
        <v>97</v>
      </c>
      <c r="DY248" s="2" t="n">
        <v>100</v>
      </c>
      <c r="DZ248" s="2" t="n">
        <v>100</v>
      </c>
      <c r="EA248" s="2" t="n">
        <v>97</v>
      </c>
      <c r="EB248" s="2" t="n">
        <v>100</v>
      </c>
      <c r="EC248" s="2" t="n">
        <v>100</v>
      </c>
      <c r="ED248" s="2" t="n">
        <v>97</v>
      </c>
      <c r="EE248" s="2" t="n">
        <v>100</v>
      </c>
      <c r="EF248" s="2" t="n">
        <v>100</v>
      </c>
      <c r="EG248" s="2" t="n">
        <v>97</v>
      </c>
      <c r="EH248" s="2" t="n">
        <v>100</v>
      </c>
      <c r="EI248" s="2" t="n">
        <v>100</v>
      </c>
      <c r="EJ248" s="2" t="n">
        <v>97</v>
      </c>
      <c r="EK248" s="2" t="n">
        <v>100</v>
      </c>
      <c r="EL248" s="2" t="n">
        <v>100</v>
      </c>
      <c r="EM248" s="2" t="n">
        <v>97</v>
      </c>
      <c r="EN248" s="2" t="n">
        <v>100</v>
      </c>
      <c r="EO248" s="2" t="n">
        <v>100</v>
      </c>
      <c r="EP248" s="2" t="n">
        <v>97</v>
      </c>
      <c r="EQ248" s="2" t="n">
        <v>100</v>
      </c>
      <c r="ER248" s="2" t="n">
        <v>100</v>
      </c>
      <c r="ES248" s="2" t="n">
        <v>97</v>
      </c>
    </row>
    <row r="249">
      <c r="A249" s="2" t="n">
        <v>3</v>
      </c>
      <c r="B249" s="2" t="inlineStr">
        <is>
          <t>13.01.02</t>
        </is>
      </c>
      <c r="C249" s="2" t="inlineStr">
        <is>
          <t>Estaca Hélice - Perfuração com Ø 0,50m</t>
        </is>
      </c>
      <c r="D249" s="2" t="inlineStr">
        <is>
          <t>21/07/2025</t>
        </is>
      </c>
      <c r="E249" s="2" t="inlineStr">
        <is>
          <t>14/08/2025</t>
        </is>
      </c>
      <c r="F249" s="2" t="n">
        <v>74998.39999999999</v>
      </c>
      <c r="G249" s="2" t="n">
        <v>0</v>
      </c>
      <c r="H249" s="2" t="n">
        <v>74998.39999999999</v>
      </c>
      <c r="I249" s="2" t="n">
        <v>0</v>
      </c>
      <c r="J249" s="2" t="n">
        <v>0</v>
      </c>
      <c r="K249" s="2" t="n">
        <v>0</v>
      </c>
      <c r="L249" s="2" t="n">
        <v>47.37</v>
      </c>
      <c r="M249" s="2" t="n">
        <v>47.37</v>
      </c>
      <c r="N249" s="2" t="n">
        <v>0</v>
      </c>
      <c r="O249" s="2" t="n">
        <v>100</v>
      </c>
      <c r="P249" s="2" t="n">
        <v>100</v>
      </c>
      <c r="Q249" s="2" t="n">
        <v>0</v>
      </c>
      <c r="R249" s="2" t="n">
        <v>100</v>
      </c>
      <c r="S249" s="2" t="n">
        <v>100</v>
      </c>
      <c r="T249" s="2" t="n">
        <v>71</v>
      </c>
      <c r="U249" s="2" t="n">
        <v>100</v>
      </c>
      <c r="V249" s="2" t="n">
        <v>100</v>
      </c>
      <c r="W249" s="2" t="n">
        <v>71</v>
      </c>
      <c r="X249" s="2" t="n">
        <v>100</v>
      </c>
      <c r="Y249" s="2" t="n">
        <v>100</v>
      </c>
      <c r="Z249" s="2" t="n">
        <v>71</v>
      </c>
      <c r="AA249" s="2" t="n">
        <v>100</v>
      </c>
      <c r="AB249" s="2" t="n">
        <v>100</v>
      </c>
      <c r="AC249" s="2" t="n">
        <v>71</v>
      </c>
      <c r="AD249" s="2" t="n">
        <v>100</v>
      </c>
      <c r="AE249" s="2" t="n">
        <v>100</v>
      </c>
      <c r="AF249" s="2" t="n">
        <v>71</v>
      </c>
      <c r="AG249" s="2" t="n">
        <v>100</v>
      </c>
      <c r="AH249" s="2" t="n">
        <v>100</v>
      </c>
      <c r="AI249" s="2" t="n">
        <v>71</v>
      </c>
      <c r="AJ249" s="2" t="n">
        <v>100</v>
      </c>
      <c r="AK249" s="2" t="n">
        <v>100</v>
      </c>
      <c r="AL249" s="2" t="n">
        <v>71</v>
      </c>
      <c r="AM249" s="2" t="n">
        <v>100</v>
      </c>
      <c r="AN249" s="2" t="n">
        <v>100</v>
      </c>
      <c r="AO249" s="2" t="n">
        <v>71</v>
      </c>
      <c r="AP249" s="2" t="n">
        <v>100</v>
      </c>
      <c r="AQ249" s="2" t="n">
        <v>100</v>
      </c>
      <c r="AR249" s="2" t="n">
        <v>92.41</v>
      </c>
      <c r="AS249" s="2" t="n">
        <v>100</v>
      </c>
      <c r="AT249" s="2" t="n">
        <v>100</v>
      </c>
      <c r="AU249" s="2" t="n">
        <v>97.29000000000001</v>
      </c>
      <c r="AV249" s="2" t="n">
        <v>100</v>
      </c>
      <c r="AW249" s="2" t="n">
        <v>100</v>
      </c>
      <c r="AX249" s="2" t="n">
        <v>97</v>
      </c>
      <c r="AY249" s="2" t="n">
        <v>100</v>
      </c>
      <c r="AZ249" s="2" t="n">
        <v>100</v>
      </c>
      <c r="BA249" s="2" t="n">
        <v>97</v>
      </c>
      <c r="BB249" s="2" t="n">
        <v>100</v>
      </c>
      <c r="BC249" s="2" t="n">
        <v>100</v>
      </c>
      <c r="BD249" s="2" t="n">
        <v>97</v>
      </c>
      <c r="BE249" s="2" t="n">
        <v>100</v>
      </c>
      <c r="BF249" s="2" t="n">
        <v>100</v>
      </c>
      <c r="BG249" s="2" t="n">
        <v>97</v>
      </c>
      <c r="BH249" s="2" t="n">
        <v>100</v>
      </c>
      <c r="BI249" s="2" t="n">
        <v>100</v>
      </c>
      <c r="BJ249" s="2" t="n">
        <v>97</v>
      </c>
      <c r="BK249" s="2" t="n">
        <v>100</v>
      </c>
      <c r="BL249" s="2" t="n">
        <v>100</v>
      </c>
      <c r="BM249" s="2" t="n">
        <v>97</v>
      </c>
      <c r="BN249" s="2" t="n">
        <v>100</v>
      </c>
      <c r="BO249" s="2" t="n">
        <v>100</v>
      </c>
      <c r="BP249" s="2" t="n">
        <v>97</v>
      </c>
      <c r="BQ249" s="2" t="n">
        <v>100</v>
      </c>
      <c r="BR249" s="2" t="n">
        <v>100</v>
      </c>
      <c r="BS249" s="2" t="n">
        <v>97</v>
      </c>
      <c r="BT249" s="2" t="n">
        <v>100</v>
      </c>
      <c r="BU249" s="2" t="n">
        <v>100</v>
      </c>
      <c r="BV249" s="2" t="n">
        <v>97</v>
      </c>
      <c r="BW249" s="2" t="n">
        <v>100</v>
      </c>
      <c r="BX249" s="2" t="n">
        <v>100</v>
      </c>
      <c r="BY249" s="2" t="n">
        <v>97</v>
      </c>
      <c r="BZ249" s="2" t="n">
        <v>100</v>
      </c>
      <c r="CA249" s="2" t="n">
        <v>100</v>
      </c>
      <c r="CB249" s="2" t="n">
        <v>97</v>
      </c>
      <c r="CC249" s="2" t="n">
        <v>100</v>
      </c>
      <c r="CD249" s="2" t="n">
        <v>100</v>
      </c>
      <c r="CE249" s="2" t="n">
        <v>97</v>
      </c>
      <c r="CF249" s="2" t="n">
        <v>100</v>
      </c>
      <c r="CG249" s="2" t="n">
        <v>100</v>
      </c>
      <c r="CH249" s="2" t="n">
        <v>97</v>
      </c>
      <c r="CI249" s="2" t="n">
        <v>100</v>
      </c>
      <c r="CJ249" s="2" t="n">
        <v>100</v>
      </c>
      <c r="CK249" s="2" t="n">
        <v>97</v>
      </c>
      <c r="CL249" s="2" t="n">
        <v>100</v>
      </c>
      <c r="CM249" s="2" t="n">
        <v>100</v>
      </c>
      <c r="CN249" s="2" t="n">
        <v>97</v>
      </c>
      <c r="CO249" s="2" t="n">
        <v>100</v>
      </c>
      <c r="CP249" s="2" t="n">
        <v>100</v>
      </c>
      <c r="CQ249" s="2" t="n">
        <v>97</v>
      </c>
      <c r="CR249" s="2" t="n">
        <v>100</v>
      </c>
      <c r="CS249" s="2" t="n">
        <v>100</v>
      </c>
      <c r="CT249" s="2" t="n">
        <v>97</v>
      </c>
      <c r="CU249" s="2" t="n">
        <v>100</v>
      </c>
      <c r="CV249" s="2" t="n">
        <v>100</v>
      </c>
      <c r="CW249" s="2" t="n">
        <v>97</v>
      </c>
      <c r="CX249" s="2" t="n">
        <v>100</v>
      </c>
      <c r="CY249" s="2" t="n">
        <v>100</v>
      </c>
      <c r="CZ249" s="2" t="n">
        <v>97</v>
      </c>
      <c r="DA249" s="2" t="n">
        <v>100</v>
      </c>
      <c r="DB249" s="2" t="n">
        <v>100</v>
      </c>
      <c r="DC249" s="2" t="n">
        <v>97</v>
      </c>
      <c r="DD249" s="2" t="n">
        <v>100</v>
      </c>
      <c r="DE249" s="2" t="n">
        <v>100</v>
      </c>
      <c r="DF249" s="2" t="n">
        <v>97</v>
      </c>
      <c r="DG249" s="2" t="n">
        <v>100</v>
      </c>
      <c r="DH249" s="2" t="n">
        <v>100</v>
      </c>
      <c r="DI249" s="2" t="n">
        <v>97</v>
      </c>
      <c r="DJ249" s="2" t="n">
        <v>100</v>
      </c>
      <c r="DK249" s="2" t="n">
        <v>100</v>
      </c>
      <c r="DL249" s="2" t="n">
        <v>97</v>
      </c>
      <c r="DM249" s="2" t="n">
        <v>100</v>
      </c>
      <c r="DN249" s="2" t="n">
        <v>100</v>
      </c>
      <c r="DO249" s="2" t="n">
        <v>97</v>
      </c>
      <c r="DP249" s="2" t="n">
        <v>100</v>
      </c>
      <c r="DQ249" s="2" t="n">
        <v>100</v>
      </c>
      <c r="DR249" s="2" t="n">
        <v>97</v>
      </c>
      <c r="DS249" s="2" t="n">
        <v>100</v>
      </c>
      <c r="DT249" s="2" t="n">
        <v>100</v>
      </c>
      <c r="DU249" s="2" t="n">
        <v>97</v>
      </c>
      <c r="DV249" s="2" t="n">
        <v>100</v>
      </c>
      <c r="DW249" s="2" t="n">
        <v>100</v>
      </c>
      <c r="DX249" s="2" t="n">
        <v>97</v>
      </c>
      <c r="DY249" s="2" t="n">
        <v>100</v>
      </c>
      <c r="DZ249" s="2" t="n">
        <v>100</v>
      </c>
      <c r="EA249" s="2" t="n">
        <v>97</v>
      </c>
      <c r="EB249" s="2" t="n">
        <v>100</v>
      </c>
      <c r="EC249" s="2" t="n">
        <v>100</v>
      </c>
      <c r="ED249" s="2" t="n">
        <v>97</v>
      </c>
      <c r="EE249" s="2" t="n">
        <v>100</v>
      </c>
      <c r="EF249" s="2" t="n">
        <v>100</v>
      </c>
      <c r="EG249" s="2" t="n">
        <v>97</v>
      </c>
      <c r="EH249" s="2" t="n">
        <v>100</v>
      </c>
      <c r="EI249" s="2" t="n">
        <v>100</v>
      </c>
      <c r="EJ249" s="2" t="n">
        <v>97</v>
      </c>
      <c r="EK249" s="2" t="n">
        <v>100</v>
      </c>
      <c r="EL249" s="2" t="n">
        <v>100</v>
      </c>
      <c r="EM249" s="2" t="n">
        <v>97</v>
      </c>
      <c r="EN249" s="2" t="n">
        <v>100</v>
      </c>
      <c r="EO249" s="2" t="n">
        <v>100</v>
      </c>
      <c r="EP249" s="2" t="n">
        <v>97</v>
      </c>
      <c r="EQ249" s="2" t="n">
        <v>100</v>
      </c>
      <c r="ER249" s="2" t="n">
        <v>100</v>
      </c>
      <c r="ES249" s="2" t="n">
        <v>97</v>
      </c>
    </row>
    <row r="250">
      <c r="A250" s="2" t="n">
        <v>3</v>
      </c>
      <c r="B250" s="2" t="inlineStr">
        <is>
          <t>13.01.03</t>
        </is>
      </c>
      <c r="C250" s="2" t="inlineStr">
        <is>
          <t>Estaca Hélice - Perfuração com Ø 0,60m</t>
        </is>
      </c>
      <c r="D250" s="2" t="inlineStr">
        <is>
          <t>21/07/2025</t>
        </is>
      </c>
      <c r="E250" s="2" t="inlineStr">
        <is>
          <t>14/08/2025</t>
        </is>
      </c>
      <c r="F250" s="2" t="n">
        <v>87216</v>
      </c>
      <c r="G250" s="2" t="n">
        <v>0</v>
      </c>
      <c r="H250" s="2" t="n">
        <v>87216</v>
      </c>
      <c r="I250" s="2" t="n">
        <v>0</v>
      </c>
      <c r="J250" s="2" t="n">
        <v>0</v>
      </c>
      <c r="K250" s="2" t="n">
        <v>0</v>
      </c>
      <c r="L250" s="2" t="n">
        <v>47.37</v>
      </c>
      <c r="M250" s="2" t="n">
        <v>47.37</v>
      </c>
      <c r="N250" s="2" t="n">
        <v>0</v>
      </c>
      <c r="O250" s="2" t="n">
        <v>100</v>
      </c>
      <c r="P250" s="2" t="n">
        <v>100</v>
      </c>
      <c r="Q250" s="2" t="n">
        <v>0</v>
      </c>
      <c r="R250" s="2" t="n">
        <v>100</v>
      </c>
      <c r="S250" s="2" t="n">
        <v>100</v>
      </c>
      <c r="T250" s="2" t="n">
        <v>71</v>
      </c>
      <c r="U250" s="2" t="n">
        <v>100</v>
      </c>
      <c r="V250" s="2" t="n">
        <v>100</v>
      </c>
      <c r="W250" s="2" t="n">
        <v>71</v>
      </c>
      <c r="X250" s="2" t="n">
        <v>100</v>
      </c>
      <c r="Y250" s="2" t="n">
        <v>100</v>
      </c>
      <c r="Z250" s="2" t="n">
        <v>71</v>
      </c>
      <c r="AA250" s="2" t="n">
        <v>100</v>
      </c>
      <c r="AB250" s="2" t="n">
        <v>100</v>
      </c>
      <c r="AC250" s="2" t="n">
        <v>71</v>
      </c>
      <c r="AD250" s="2" t="n">
        <v>100</v>
      </c>
      <c r="AE250" s="2" t="n">
        <v>100</v>
      </c>
      <c r="AF250" s="2" t="n">
        <v>71</v>
      </c>
      <c r="AG250" s="2" t="n">
        <v>100</v>
      </c>
      <c r="AH250" s="2" t="n">
        <v>100</v>
      </c>
      <c r="AI250" s="2" t="n">
        <v>71</v>
      </c>
      <c r="AJ250" s="2" t="n">
        <v>100</v>
      </c>
      <c r="AK250" s="2" t="n">
        <v>100</v>
      </c>
      <c r="AL250" s="2" t="n">
        <v>71</v>
      </c>
      <c r="AM250" s="2" t="n">
        <v>100</v>
      </c>
      <c r="AN250" s="2" t="n">
        <v>100</v>
      </c>
      <c r="AO250" s="2" t="n">
        <v>71</v>
      </c>
      <c r="AP250" s="2" t="n">
        <v>100</v>
      </c>
      <c r="AQ250" s="2" t="n">
        <v>100</v>
      </c>
      <c r="AR250" s="2" t="n">
        <v>92.41</v>
      </c>
      <c r="AS250" s="2" t="n">
        <v>100</v>
      </c>
      <c r="AT250" s="2" t="n">
        <v>100</v>
      </c>
      <c r="AU250" s="2" t="n">
        <v>97.29000000000001</v>
      </c>
      <c r="AV250" s="2" t="n">
        <v>100</v>
      </c>
      <c r="AW250" s="2" t="n">
        <v>100</v>
      </c>
      <c r="AX250" s="2" t="n">
        <v>97</v>
      </c>
      <c r="AY250" s="2" t="n">
        <v>100</v>
      </c>
      <c r="AZ250" s="2" t="n">
        <v>100</v>
      </c>
      <c r="BA250" s="2" t="n">
        <v>97</v>
      </c>
      <c r="BB250" s="2" t="n">
        <v>100</v>
      </c>
      <c r="BC250" s="2" t="n">
        <v>100</v>
      </c>
      <c r="BD250" s="2" t="n">
        <v>97</v>
      </c>
      <c r="BE250" s="2" t="n">
        <v>100</v>
      </c>
      <c r="BF250" s="2" t="n">
        <v>100</v>
      </c>
      <c r="BG250" s="2" t="n">
        <v>97</v>
      </c>
      <c r="BH250" s="2" t="n">
        <v>100</v>
      </c>
      <c r="BI250" s="2" t="n">
        <v>100</v>
      </c>
      <c r="BJ250" s="2" t="n">
        <v>97</v>
      </c>
      <c r="BK250" s="2" t="n">
        <v>100</v>
      </c>
      <c r="BL250" s="2" t="n">
        <v>100</v>
      </c>
      <c r="BM250" s="2" t="n">
        <v>97</v>
      </c>
      <c r="BN250" s="2" t="n">
        <v>100</v>
      </c>
      <c r="BO250" s="2" t="n">
        <v>100</v>
      </c>
      <c r="BP250" s="2" t="n">
        <v>97</v>
      </c>
      <c r="BQ250" s="2" t="n">
        <v>100</v>
      </c>
      <c r="BR250" s="2" t="n">
        <v>100</v>
      </c>
      <c r="BS250" s="2" t="n">
        <v>97</v>
      </c>
      <c r="BT250" s="2" t="n">
        <v>100</v>
      </c>
      <c r="BU250" s="2" t="n">
        <v>100</v>
      </c>
      <c r="BV250" s="2" t="n">
        <v>97</v>
      </c>
      <c r="BW250" s="2" t="n">
        <v>100</v>
      </c>
      <c r="BX250" s="2" t="n">
        <v>100</v>
      </c>
      <c r="BY250" s="2" t="n">
        <v>97</v>
      </c>
      <c r="BZ250" s="2" t="n">
        <v>100</v>
      </c>
      <c r="CA250" s="2" t="n">
        <v>100</v>
      </c>
      <c r="CB250" s="2" t="n">
        <v>97</v>
      </c>
      <c r="CC250" s="2" t="n">
        <v>100</v>
      </c>
      <c r="CD250" s="2" t="n">
        <v>100</v>
      </c>
      <c r="CE250" s="2" t="n">
        <v>97</v>
      </c>
      <c r="CF250" s="2" t="n">
        <v>100</v>
      </c>
      <c r="CG250" s="2" t="n">
        <v>100</v>
      </c>
      <c r="CH250" s="2" t="n">
        <v>97</v>
      </c>
      <c r="CI250" s="2" t="n">
        <v>100</v>
      </c>
      <c r="CJ250" s="2" t="n">
        <v>100</v>
      </c>
      <c r="CK250" s="2" t="n">
        <v>97</v>
      </c>
      <c r="CL250" s="2" t="n">
        <v>100</v>
      </c>
      <c r="CM250" s="2" t="n">
        <v>100</v>
      </c>
      <c r="CN250" s="2" t="n">
        <v>97</v>
      </c>
      <c r="CO250" s="2" t="n">
        <v>100</v>
      </c>
      <c r="CP250" s="2" t="n">
        <v>100</v>
      </c>
      <c r="CQ250" s="2" t="n">
        <v>97</v>
      </c>
      <c r="CR250" s="2" t="n">
        <v>100</v>
      </c>
      <c r="CS250" s="2" t="n">
        <v>100</v>
      </c>
      <c r="CT250" s="2" t="n">
        <v>97</v>
      </c>
      <c r="CU250" s="2" t="n">
        <v>100</v>
      </c>
      <c r="CV250" s="2" t="n">
        <v>100</v>
      </c>
      <c r="CW250" s="2" t="n">
        <v>97</v>
      </c>
      <c r="CX250" s="2" t="n">
        <v>100</v>
      </c>
      <c r="CY250" s="2" t="n">
        <v>100</v>
      </c>
      <c r="CZ250" s="2" t="n">
        <v>97</v>
      </c>
      <c r="DA250" s="2" t="n">
        <v>100</v>
      </c>
      <c r="DB250" s="2" t="n">
        <v>100</v>
      </c>
      <c r="DC250" s="2" t="n">
        <v>97</v>
      </c>
      <c r="DD250" s="2" t="n">
        <v>100</v>
      </c>
      <c r="DE250" s="2" t="n">
        <v>100</v>
      </c>
      <c r="DF250" s="2" t="n">
        <v>97</v>
      </c>
      <c r="DG250" s="2" t="n">
        <v>100</v>
      </c>
      <c r="DH250" s="2" t="n">
        <v>100</v>
      </c>
      <c r="DI250" s="2" t="n">
        <v>97</v>
      </c>
      <c r="DJ250" s="2" t="n">
        <v>100</v>
      </c>
      <c r="DK250" s="2" t="n">
        <v>100</v>
      </c>
      <c r="DL250" s="2" t="n">
        <v>97</v>
      </c>
      <c r="DM250" s="2" t="n">
        <v>100</v>
      </c>
      <c r="DN250" s="2" t="n">
        <v>100</v>
      </c>
      <c r="DO250" s="2" t="n">
        <v>97</v>
      </c>
      <c r="DP250" s="2" t="n">
        <v>100</v>
      </c>
      <c r="DQ250" s="2" t="n">
        <v>100</v>
      </c>
      <c r="DR250" s="2" t="n">
        <v>97</v>
      </c>
      <c r="DS250" s="2" t="n">
        <v>100</v>
      </c>
      <c r="DT250" s="2" t="n">
        <v>100</v>
      </c>
      <c r="DU250" s="2" t="n">
        <v>97</v>
      </c>
      <c r="DV250" s="2" t="n">
        <v>100</v>
      </c>
      <c r="DW250" s="2" t="n">
        <v>100</v>
      </c>
      <c r="DX250" s="2" t="n">
        <v>97</v>
      </c>
      <c r="DY250" s="2" t="n">
        <v>100</v>
      </c>
      <c r="DZ250" s="2" t="n">
        <v>100</v>
      </c>
      <c r="EA250" s="2" t="n">
        <v>97</v>
      </c>
      <c r="EB250" s="2" t="n">
        <v>100</v>
      </c>
      <c r="EC250" s="2" t="n">
        <v>100</v>
      </c>
      <c r="ED250" s="2" t="n">
        <v>97</v>
      </c>
      <c r="EE250" s="2" t="n">
        <v>100</v>
      </c>
      <c r="EF250" s="2" t="n">
        <v>100</v>
      </c>
      <c r="EG250" s="2" t="n">
        <v>97</v>
      </c>
      <c r="EH250" s="2" t="n">
        <v>100</v>
      </c>
      <c r="EI250" s="2" t="n">
        <v>100</v>
      </c>
      <c r="EJ250" s="2" t="n">
        <v>97</v>
      </c>
      <c r="EK250" s="2" t="n">
        <v>100</v>
      </c>
      <c r="EL250" s="2" t="n">
        <v>100</v>
      </c>
      <c r="EM250" s="2" t="n">
        <v>97</v>
      </c>
      <c r="EN250" s="2" t="n">
        <v>100</v>
      </c>
      <c r="EO250" s="2" t="n">
        <v>100</v>
      </c>
      <c r="EP250" s="2" t="n">
        <v>97</v>
      </c>
      <c r="EQ250" s="2" t="n">
        <v>100</v>
      </c>
      <c r="ER250" s="2" t="n">
        <v>100</v>
      </c>
      <c r="ES250" s="2" t="n">
        <v>97</v>
      </c>
    </row>
    <row r="251">
      <c r="A251" s="2" t="n">
        <v>3</v>
      </c>
      <c r="B251" s="2" t="inlineStr">
        <is>
          <t>13.01.04</t>
        </is>
      </c>
      <c r="C251" s="2" t="inlineStr">
        <is>
          <t>Concreto bombeável fluido especial para estaca hélice</t>
        </is>
      </c>
      <c r="D251" s="2" t="inlineStr">
        <is>
          <t>21/07/2025</t>
        </is>
      </c>
      <c r="E251" s="2" t="inlineStr">
        <is>
          <t>14/08/2025</t>
        </is>
      </c>
      <c r="F251" s="2" t="n">
        <v>300153.49</v>
      </c>
      <c r="G251" s="2" t="n">
        <v>0</v>
      </c>
      <c r="H251" s="2" t="n">
        <v>300153.49</v>
      </c>
      <c r="I251" s="2" t="n">
        <v>0</v>
      </c>
      <c r="J251" s="2" t="n">
        <v>0</v>
      </c>
      <c r="K251" s="2" t="n">
        <v>0</v>
      </c>
      <c r="L251" s="2" t="n">
        <v>47.37</v>
      </c>
      <c r="M251" s="2" t="n">
        <v>47.37</v>
      </c>
      <c r="N251" s="2" t="n">
        <v>0</v>
      </c>
      <c r="O251" s="2" t="n">
        <v>100</v>
      </c>
      <c r="P251" s="2" t="n">
        <v>100</v>
      </c>
      <c r="Q251" s="2" t="n">
        <v>0</v>
      </c>
      <c r="R251" s="2" t="n">
        <v>100</v>
      </c>
      <c r="S251" s="2" t="n">
        <v>100</v>
      </c>
      <c r="T251" s="2" t="n">
        <v>71</v>
      </c>
      <c r="U251" s="2" t="n">
        <v>100</v>
      </c>
      <c r="V251" s="2" t="n">
        <v>100</v>
      </c>
      <c r="W251" s="2" t="n">
        <v>71</v>
      </c>
      <c r="X251" s="2" t="n">
        <v>100</v>
      </c>
      <c r="Y251" s="2" t="n">
        <v>100</v>
      </c>
      <c r="Z251" s="2" t="n">
        <v>71</v>
      </c>
      <c r="AA251" s="2" t="n">
        <v>100</v>
      </c>
      <c r="AB251" s="2" t="n">
        <v>100</v>
      </c>
      <c r="AC251" s="2" t="n">
        <v>71</v>
      </c>
      <c r="AD251" s="2" t="n">
        <v>100</v>
      </c>
      <c r="AE251" s="2" t="n">
        <v>100</v>
      </c>
      <c r="AF251" s="2" t="n">
        <v>71</v>
      </c>
      <c r="AG251" s="2" t="n">
        <v>100</v>
      </c>
      <c r="AH251" s="2" t="n">
        <v>100</v>
      </c>
      <c r="AI251" s="2" t="n">
        <v>71</v>
      </c>
      <c r="AJ251" s="2" t="n">
        <v>100</v>
      </c>
      <c r="AK251" s="2" t="n">
        <v>100</v>
      </c>
      <c r="AL251" s="2" t="n">
        <v>71</v>
      </c>
      <c r="AM251" s="2" t="n">
        <v>100</v>
      </c>
      <c r="AN251" s="2" t="n">
        <v>100</v>
      </c>
      <c r="AO251" s="2" t="n">
        <v>71</v>
      </c>
      <c r="AP251" s="2" t="n">
        <v>100</v>
      </c>
      <c r="AQ251" s="2" t="n">
        <v>100</v>
      </c>
      <c r="AR251" s="2" t="n">
        <v>92.41</v>
      </c>
      <c r="AS251" s="2" t="n">
        <v>100</v>
      </c>
      <c r="AT251" s="2" t="n">
        <v>100</v>
      </c>
      <c r="AU251" s="2" t="n">
        <v>97.29000000000001</v>
      </c>
      <c r="AV251" s="2" t="n">
        <v>100</v>
      </c>
      <c r="AW251" s="2" t="n">
        <v>100</v>
      </c>
      <c r="AX251" s="2" t="n">
        <v>97</v>
      </c>
      <c r="AY251" s="2" t="n">
        <v>100</v>
      </c>
      <c r="AZ251" s="2" t="n">
        <v>100</v>
      </c>
      <c r="BA251" s="2" t="n">
        <v>97</v>
      </c>
      <c r="BB251" s="2" t="n">
        <v>100</v>
      </c>
      <c r="BC251" s="2" t="n">
        <v>100</v>
      </c>
      <c r="BD251" s="2" t="n">
        <v>97</v>
      </c>
      <c r="BE251" s="2" t="n">
        <v>100</v>
      </c>
      <c r="BF251" s="2" t="n">
        <v>100</v>
      </c>
      <c r="BG251" s="2" t="n">
        <v>97</v>
      </c>
      <c r="BH251" s="2" t="n">
        <v>100</v>
      </c>
      <c r="BI251" s="2" t="n">
        <v>100</v>
      </c>
      <c r="BJ251" s="2" t="n">
        <v>97</v>
      </c>
      <c r="BK251" s="2" t="n">
        <v>100</v>
      </c>
      <c r="BL251" s="2" t="n">
        <v>100</v>
      </c>
      <c r="BM251" s="2" t="n">
        <v>97</v>
      </c>
      <c r="BN251" s="2" t="n">
        <v>100</v>
      </c>
      <c r="BO251" s="2" t="n">
        <v>100</v>
      </c>
      <c r="BP251" s="2" t="n">
        <v>97</v>
      </c>
      <c r="BQ251" s="2" t="n">
        <v>100</v>
      </c>
      <c r="BR251" s="2" t="n">
        <v>100</v>
      </c>
      <c r="BS251" s="2" t="n">
        <v>97</v>
      </c>
      <c r="BT251" s="2" t="n">
        <v>100</v>
      </c>
      <c r="BU251" s="2" t="n">
        <v>100</v>
      </c>
      <c r="BV251" s="2" t="n">
        <v>97</v>
      </c>
      <c r="BW251" s="2" t="n">
        <v>100</v>
      </c>
      <c r="BX251" s="2" t="n">
        <v>100</v>
      </c>
      <c r="BY251" s="2" t="n">
        <v>97</v>
      </c>
      <c r="BZ251" s="2" t="n">
        <v>100</v>
      </c>
      <c r="CA251" s="2" t="n">
        <v>100</v>
      </c>
      <c r="CB251" s="2" t="n">
        <v>97</v>
      </c>
      <c r="CC251" s="2" t="n">
        <v>100</v>
      </c>
      <c r="CD251" s="2" t="n">
        <v>100</v>
      </c>
      <c r="CE251" s="2" t="n">
        <v>97</v>
      </c>
      <c r="CF251" s="2" t="n">
        <v>100</v>
      </c>
      <c r="CG251" s="2" t="n">
        <v>100</v>
      </c>
      <c r="CH251" s="2" t="n">
        <v>97</v>
      </c>
      <c r="CI251" s="2" t="n">
        <v>100</v>
      </c>
      <c r="CJ251" s="2" t="n">
        <v>100</v>
      </c>
      <c r="CK251" s="2" t="n">
        <v>97</v>
      </c>
      <c r="CL251" s="2" t="n">
        <v>100</v>
      </c>
      <c r="CM251" s="2" t="n">
        <v>100</v>
      </c>
      <c r="CN251" s="2" t="n">
        <v>97</v>
      </c>
      <c r="CO251" s="2" t="n">
        <v>100</v>
      </c>
      <c r="CP251" s="2" t="n">
        <v>100</v>
      </c>
      <c r="CQ251" s="2" t="n">
        <v>97</v>
      </c>
      <c r="CR251" s="2" t="n">
        <v>100</v>
      </c>
      <c r="CS251" s="2" t="n">
        <v>100</v>
      </c>
      <c r="CT251" s="2" t="n">
        <v>97</v>
      </c>
      <c r="CU251" s="2" t="n">
        <v>100</v>
      </c>
      <c r="CV251" s="2" t="n">
        <v>100</v>
      </c>
      <c r="CW251" s="2" t="n">
        <v>97</v>
      </c>
      <c r="CX251" s="2" t="n">
        <v>100</v>
      </c>
      <c r="CY251" s="2" t="n">
        <v>100</v>
      </c>
      <c r="CZ251" s="2" t="n">
        <v>97</v>
      </c>
      <c r="DA251" s="2" t="n">
        <v>100</v>
      </c>
      <c r="DB251" s="2" t="n">
        <v>100</v>
      </c>
      <c r="DC251" s="2" t="n">
        <v>97</v>
      </c>
      <c r="DD251" s="2" t="n">
        <v>100</v>
      </c>
      <c r="DE251" s="2" t="n">
        <v>100</v>
      </c>
      <c r="DF251" s="2" t="n">
        <v>97</v>
      </c>
      <c r="DG251" s="2" t="n">
        <v>100</v>
      </c>
      <c r="DH251" s="2" t="n">
        <v>100</v>
      </c>
      <c r="DI251" s="2" t="n">
        <v>97</v>
      </c>
      <c r="DJ251" s="2" t="n">
        <v>100</v>
      </c>
      <c r="DK251" s="2" t="n">
        <v>100</v>
      </c>
      <c r="DL251" s="2" t="n">
        <v>97</v>
      </c>
      <c r="DM251" s="2" t="n">
        <v>100</v>
      </c>
      <c r="DN251" s="2" t="n">
        <v>100</v>
      </c>
      <c r="DO251" s="2" t="n">
        <v>97</v>
      </c>
      <c r="DP251" s="2" t="n">
        <v>100</v>
      </c>
      <c r="DQ251" s="2" t="n">
        <v>100</v>
      </c>
      <c r="DR251" s="2" t="n">
        <v>97</v>
      </c>
      <c r="DS251" s="2" t="n">
        <v>100</v>
      </c>
      <c r="DT251" s="2" t="n">
        <v>100</v>
      </c>
      <c r="DU251" s="2" t="n">
        <v>97</v>
      </c>
      <c r="DV251" s="2" t="n">
        <v>100</v>
      </c>
      <c r="DW251" s="2" t="n">
        <v>100</v>
      </c>
      <c r="DX251" s="2" t="n">
        <v>97</v>
      </c>
      <c r="DY251" s="2" t="n">
        <v>100</v>
      </c>
      <c r="DZ251" s="2" t="n">
        <v>100</v>
      </c>
      <c r="EA251" s="2" t="n">
        <v>97</v>
      </c>
      <c r="EB251" s="2" t="n">
        <v>100</v>
      </c>
      <c r="EC251" s="2" t="n">
        <v>100</v>
      </c>
      <c r="ED251" s="2" t="n">
        <v>97</v>
      </c>
      <c r="EE251" s="2" t="n">
        <v>100</v>
      </c>
      <c r="EF251" s="2" t="n">
        <v>100</v>
      </c>
      <c r="EG251" s="2" t="n">
        <v>97</v>
      </c>
      <c r="EH251" s="2" t="n">
        <v>100</v>
      </c>
      <c r="EI251" s="2" t="n">
        <v>100</v>
      </c>
      <c r="EJ251" s="2" t="n">
        <v>97</v>
      </c>
      <c r="EK251" s="2" t="n">
        <v>100</v>
      </c>
      <c r="EL251" s="2" t="n">
        <v>100</v>
      </c>
      <c r="EM251" s="2" t="n">
        <v>97</v>
      </c>
      <c r="EN251" s="2" t="n">
        <v>100</v>
      </c>
      <c r="EO251" s="2" t="n">
        <v>100</v>
      </c>
      <c r="EP251" s="2" t="n">
        <v>97</v>
      </c>
      <c r="EQ251" s="2" t="n">
        <v>100</v>
      </c>
      <c r="ER251" s="2" t="n">
        <v>100</v>
      </c>
      <c r="ES251" s="2" t="n">
        <v>97</v>
      </c>
    </row>
    <row r="252">
      <c r="A252" s="2" t="n">
        <v>3</v>
      </c>
      <c r="B252" s="2" t="inlineStr">
        <is>
          <t>13.01.05</t>
        </is>
      </c>
      <c r="C252" s="2" t="inlineStr">
        <is>
          <t>Locação de bomba de concreto estacionária para concretagens de estaca</t>
        </is>
      </c>
      <c r="D252" s="2" t="inlineStr">
        <is>
          <t>21/07/2025</t>
        </is>
      </c>
      <c r="E252" s="2" t="inlineStr">
        <is>
          <t>14/08/2025</t>
        </is>
      </c>
      <c r="F252" s="2" t="n">
        <v>54000</v>
      </c>
      <c r="G252" s="2" t="n">
        <v>0</v>
      </c>
      <c r="H252" s="2" t="n">
        <v>54000</v>
      </c>
      <c r="I252" s="2" t="n">
        <v>0</v>
      </c>
      <c r="J252" s="2" t="n">
        <v>0</v>
      </c>
      <c r="K252" s="2" t="n">
        <v>0</v>
      </c>
      <c r="L252" s="2" t="n">
        <v>47.37</v>
      </c>
      <c r="M252" s="2" t="n">
        <v>47.37</v>
      </c>
      <c r="N252" s="2" t="n">
        <v>0</v>
      </c>
      <c r="O252" s="2" t="n">
        <v>100</v>
      </c>
      <c r="P252" s="2" t="n">
        <v>100</v>
      </c>
      <c r="Q252" s="2" t="n">
        <v>0</v>
      </c>
      <c r="R252" s="2" t="n">
        <v>100</v>
      </c>
      <c r="S252" s="2" t="n">
        <v>100</v>
      </c>
      <c r="T252" s="2" t="n">
        <v>71</v>
      </c>
      <c r="U252" s="2" t="n">
        <v>100</v>
      </c>
      <c r="V252" s="2" t="n">
        <v>100</v>
      </c>
      <c r="W252" s="2" t="n">
        <v>71</v>
      </c>
      <c r="X252" s="2" t="n">
        <v>100</v>
      </c>
      <c r="Y252" s="2" t="n">
        <v>100</v>
      </c>
      <c r="Z252" s="2" t="n">
        <v>71</v>
      </c>
      <c r="AA252" s="2" t="n">
        <v>100</v>
      </c>
      <c r="AB252" s="2" t="n">
        <v>100</v>
      </c>
      <c r="AC252" s="2" t="n">
        <v>71</v>
      </c>
      <c r="AD252" s="2" t="n">
        <v>100</v>
      </c>
      <c r="AE252" s="2" t="n">
        <v>100</v>
      </c>
      <c r="AF252" s="2" t="n">
        <v>71</v>
      </c>
      <c r="AG252" s="2" t="n">
        <v>100</v>
      </c>
      <c r="AH252" s="2" t="n">
        <v>100</v>
      </c>
      <c r="AI252" s="2" t="n">
        <v>71</v>
      </c>
      <c r="AJ252" s="2" t="n">
        <v>100</v>
      </c>
      <c r="AK252" s="2" t="n">
        <v>100</v>
      </c>
      <c r="AL252" s="2" t="n">
        <v>71</v>
      </c>
      <c r="AM252" s="2" t="n">
        <v>100</v>
      </c>
      <c r="AN252" s="2" t="n">
        <v>100</v>
      </c>
      <c r="AO252" s="2" t="n">
        <v>71</v>
      </c>
      <c r="AP252" s="2" t="n">
        <v>100</v>
      </c>
      <c r="AQ252" s="2" t="n">
        <v>100</v>
      </c>
      <c r="AR252" s="2" t="n">
        <v>92.41</v>
      </c>
      <c r="AS252" s="2" t="n">
        <v>100</v>
      </c>
      <c r="AT252" s="2" t="n">
        <v>100</v>
      </c>
      <c r="AU252" s="2" t="n">
        <v>97.29000000000001</v>
      </c>
      <c r="AV252" s="2" t="n">
        <v>100</v>
      </c>
      <c r="AW252" s="2" t="n">
        <v>100</v>
      </c>
      <c r="AX252" s="2" t="n">
        <v>97</v>
      </c>
      <c r="AY252" s="2" t="n">
        <v>100</v>
      </c>
      <c r="AZ252" s="2" t="n">
        <v>100</v>
      </c>
      <c r="BA252" s="2" t="n">
        <v>97</v>
      </c>
      <c r="BB252" s="2" t="n">
        <v>100</v>
      </c>
      <c r="BC252" s="2" t="n">
        <v>100</v>
      </c>
      <c r="BD252" s="2" t="n">
        <v>97</v>
      </c>
      <c r="BE252" s="2" t="n">
        <v>100</v>
      </c>
      <c r="BF252" s="2" t="n">
        <v>100</v>
      </c>
      <c r="BG252" s="2" t="n">
        <v>97</v>
      </c>
      <c r="BH252" s="2" t="n">
        <v>100</v>
      </c>
      <c r="BI252" s="2" t="n">
        <v>100</v>
      </c>
      <c r="BJ252" s="2" t="n">
        <v>97</v>
      </c>
      <c r="BK252" s="2" t="n">
        <v>100</v>
      </c>
      <c r="BL252" s="2" t="n">
        <v>100</v>
      </c>
      <c r="BM252" s="2" t="n">
        <v>97</v>
      </c>
      <c r="BN252" s="2" t="n">
        <v>100</v>
      </c>
      <c r="BO252" s="2" t="n">
        <v>100</v>
      </c>
      <c r="BP252" s="2" t="n">
        <v>97</v>
      </c>
      <c r="BQ252" s="2" t="n">
        <v>100</v>
      </c>
      <c r="BR252" s="2" t="n">
        <v>100</v>
      </c>
      <c r="BS252" s="2" t="n">
        <v>97</v>
      </c>
      <c r="BT252" s="2" t="n">
        <v>100</v>
      </c>
      <c r="BU252" s="2" t="n">
        <v>100</v>
      </c>
      <c r="BV252" s="2" t="n">
        <v>97</v>
      </c>
      <c r="BW252" s="2" t="n">
        <v>100</v>
      </c>
      <c r="BX252" s="2" t="n">
        <v>100</v>
      </c>
      <c r="BY252" s="2" t="n">
        <v>97</v>
      </c>
      <c r="BZ252" s="2" t="n">
        <v>100</v>
      </c>
      <c r="CA252" s="2" t="n">
        <v>100</v>
      </c>
      <c r="CB252" s="2" t="n">
        <v>97</v>
      </c>
      <c r="CC252" s="2" t="n">
        <v>100</v>
      </c>
      <c r="CD252" s="2" t="n">
        <v>100</v>
      </c>
      <c r="CE252" s="2" t="n">
        <v>97</v>
      </c>
      <c r="CF252" s="2" t="n">
        <v>100</v>
      </c>
      <c r="CG252" s="2" t="n">
        <v>100</v>
      </c>
      <c r="CH252" s="2" t="n">
        <v>97</v>
      </c>
      <c r="CI252" s="2" t="n">
        <v>100</v>
      </c>
      <c r="CJ252" s="2" t="n">
        <v>100</v>
      </c>
      <c r="CK252" s="2" t="n">
        <v>97</v>
      </c>
      <c r="CL252" s="2" t="n">
        <v>100</v>
      </c>
      <c r="CM252" s="2" t="n">
        <v>100</v>
      </c>
      <c r="CN252" s="2" t="n">
        <v>97</v>
      </c>
      <c r="CO252" s="2" t="n">
        <v>100</v>
      </c>
      <c r="CP252" s="2" t="n">
        <v>100</v>
      </c>
      <c r="CQ252" s="2" t="n">
        <v>97</v>
      </c>
      <c r="CR252" s="2" t="n">
        <v>100</v>
      </c>
      <c r="CS252" s="2" t="n">
        <v>100</v>
      </c>
      <c r="CT252" s="2" t="n">
        <v>97</v>
      </c>
      <c r="CU252" s="2" t="n">
        <v>100</v>
      </c>
      <c r="CV252" s="2" t="n">
        <v>100</v>
      </c>
      <c r="CW252" s="2" t="n">
        <v>97</v>
      </c>
      <c r="CX252" s="2" t="n">
        <v>100</v>
      </c>
      <c r="CY252" s="2" t="n">
        <v>100</v>
      </c>
      <c r="CZ252" s="2" t="n">
        <v>97</v>
      </c>
      <c r="DA252" s="2" t="n">
        <v>100</v>
      </c>
      <c r="DB252" s="2" t="n">
        <v>100</v>
      </c>
      <c r="DC252" s="2" t="n">
        <v>97</v>
      </c>
      <c r="DD252" s="2" t="n">
        <v>100</v>
      </c>
      <c r="DE252" s="2" t="n">
        <v>100</v>
      </c>
      <c r="DF252" s="2" t="n">
        <v>97</v>
      </c>
      <c r="DG252" s="2" t="n">
        <v>100</v>
      </c>
      <c r="DH252" s="2" t="n">
        <v>100</v>
      </c>
      <c r="DI252" s="2" t="n">
        <v>97</v>
      </c>
      <c r="DJ252" s="2" t="n">
        <v>100</v>
      </c>
      <c r="DK252" s="2" t="n">
        <v>100</v>
      </c>
      <c r="DL252" s="2" t="n">
        <v>97</v>
      </c>
      <c r="DM252" s="2" t="n">
        <v>100</v>
      </c>
      <c r="DN252" s="2" t="n">
        <v>100</v>
      </c>
      <c r="DO252" s="2" t="n">
        <v>97</v>
      </c>
      <c r="DP252" s="2" t="n">
        <v>100</v>
      </c>
      <c r="DQ252" s="2" t="n">
        <v>100</v>
      </c>
      <c r="DR252" s="2" t="n">
        <v>97</v>
      </c>
      <c r="DS252" s="2" t="n">
        <v>100</v>
      </c>
      <c r="DT252" s="2" t="n">
        <v>100</v>
      </c>
      <c r="DU252" s="2" t="n">
        <v>97</v>
      </c>
      <c r="DV252" s="2" t="n">
        <v>100</v>
      </c>
      <c r="DW252" s="2" t="n">
        <v>100</v>
      </c>
      <c r="DX252" s="2" t="n">
        <v>97</v>
      </c>
      <c r="DY252" s="2" t="n">
        <v>100</v>
      </c>
      <c r="DZ252" s="2" t="n">
        <v>100</v>
      </c>
      <c r="EA252" s="2" t="n">
        <v>97</v>
      </c>
      <c r="EB252" s="2" t="n">
        <v>100</v>
      </c>
      <c r="EC252" s="2" t="n">
        <v>100</v>
      </c>
      <c r="ED252" s="2" t="n">
        <v>97</v>
      </c>
      <c r="EE252" s="2" t="n">
        <v>100</v>
      </c>
      <c r="EF252" s="2" t="n">
        <v>100</v>
      </c>
      <c r="EG252" s="2" t="n">
        <v>97</v>
      </c>
      <c r="EH252" s="2" t="n">
        <v>100</v>
      </c>
      <c r="EI252" s="2" t="n">
        <v>100</v>
      </c>
      <c r="EJ252" s="2" t="n">
        <v>97</v>
      </c>
      <c r="EK252" s="2" t="n">
        <v>100</v>
      </c>
      <c r="EL252" s="2" t="n">
        <v>100</v>
      </c>
      <c r="EM252" s="2" t="n">
        <v>97</v>
      </c>
      <c r="EN252" s="2" t="n">
        <v>100</v>
      </c>
      <c r="EO252" s="2" t="n">
        <v>100</v>
      </c>
      <c r="EP252" s="2" t="n">
        <v>97</v>
      </c>
      <c r="EQ252" s="2" t="n">
        <v>100</v>
      </c>
      <c r="ER252" s="2" t="n">
        <v>100</v>
      </c>
      <c r="ES252" s="2" t="n">
        <v>97</v>
      </c>
    </row>
    <row r="253">
      <c r="A253" s="2" t="n">
        <v>3</v>
      </c>
      <c r="B253" s="2" t="inlineStr">
        <is>
          <t>13.01.06</t>
        </is>
      </c>
      <c r="C253" s="2" t="inlineStr">
        <is>
          <t>Bucha de argamassa de cimento e areia para limpeza e lubrificação de bomba</t>
        </is>
      </c>
      <c r="D253" s="2" t="inlineStr">
        <is>
          <t>21/07/2025</t>
        </is>
      </c>
      <c r="E253" s="2" t="inlineStr">
        <is>
          <t>14/08/2025</t>
        </is>
      </c>
      <c r="F253" s="2" t="n">
        <v>5209.406746388207</v>
      </c>
      <c r="G253" s="2" t="n">
        <v>0</v>
      </c>
      <c r="H253" s="2" t="n">
        <v>5209.406746388207</v>
      </c>
      <c r="I253" s="2" t="n">
        <v>0</v>
      </c>
      <c r="J253" s="2" t="n">
        <v>0</v>
      </c>
      <c r="K253" s="2" t="n">
        <v>0</v>
      </c>
      <c r="L253" s="2" t="n">
        <v>47.37</v>
      </c>
      <c r="M253" s="2" t="n">
        <v>47.37</v>
      </c>
      <c r="N253" s="2" t="n">
        <v>0</v>
      </c>
      <c r="O253" s="2" t="n">
        <v>100</v>
      </c>
      <c r="P253" s="2" t="n">
        <v>100</v>
      </c>
      <c r="Q253" s="2" t="n">
        <v>0</v>
      </c>
      <c r="R253" s="2" t="n">
        <v>100</v>
      </c>
      <c r="S253" s="2" t="n">
        <v>100</v>
      </c>
      <c r="T253" s="2" t="n">
        <v>71</v>
      </c>
      <c r="U253" s="2" t="n">
        <v>100</v>
      </c>
      <c r="V253" s="2" t="n">
        <v>100</v>
      </c>
      <c r="W253" s="2" t="n">
        <v>71</v>
      </c>
      <c r="X253" s="2" t="n">
        <v>100</v>
      </c>
      <c r="Y253" s="2" t="n">
        <v>100</v>
      </c>
      <c r="Z253" s="2" t="n">
        <v>71</v>
      </c>
      <c r="AA253" s="2" t="n">
        <v>100</v>
      </c>
      <c r="AB253" s="2" t="n">
        <v>100</v>
      </c>
      <c r="AC253" s="2" t="n">
        <v>71</v>
      </c>
      <c r="AD253" s="2" t="n">
        <v>100</v>
      </c>
      <c r="AE253" s="2" t="n">
        <v>100</v>
      </c>
      <c r="AF253" s="2" t="n">
        <v>71</v>
      </c>
      <c r="AG253" s="2" t="n">
        <v>100</v>
      </c>
      <c r="AH253" s="2" t="n">
        <v>100</v>
      </c>
      <c r="AI253" s="2" t="n">
        <v>71</v>
      </c>
      <c r="AJ253" s="2" t="n">
        <v>100</v>
      </c>
      <c r="AK253" s="2" t="n">
        <v>100</v>
      </c>
      <c r="AL253" s="2" t="n">
        <v>71</v>
      </c>
      <c r="AM253" s="2" t="n">
        <v>100</v>
      </c>
      <c r="AN253" s="2" t="n">
        <v>100</v>
      </c>
      <c r="AO253" s="2" t="n">
        <v>71</v>
      </c>
      <c r="AP253" s="2" t="n">
        <v>100</v>
      </c>
      <c r="AQ253" s="2" t="n">
        <v>100</v>
      </c>
      <c r="AR253" s="2" t="n">
        <v>92.41</v>
      </c>
      <c r="AS253" s="2" t="n">
        <v>100</v>
      </c>
      <c r="AT253" s="2" t="n">
        <v>100</v>
      </c>
      <c r="AU253" s="2" t="n">
        <v>97.29000000000001</v>
      </c>
      <c r="AV253" s="2" t="n">
        <v>100</v>
      </c>
      <c r="AW253" s="2" t="n">
        <v>100</v>
      </c>
      <c r="AX253" s="2" t="n">
        <v>97</v>
      </c>
      <c r="AY253" s="2" t="n">
        <v>100</v>
      </c>
      <c r="AZ253" s="2" t="n">
        <v>100</v>
      </c>
      <c r="BA253" s="2" t="n">
        <v>97</v>
      </c>
      <c r="BB253" s="2" t="n">
        <v>100</v>
      </c>
      <c r="BC253" s="2" t="n">
        <v>100</v>
      </c>
      <c r="BD253" s="2" t="n">
        <v>97</v>
      </c>
      <c r="BE253" s="2" t="n">
        <v>100</v>
      </c>
      <c r="BF253" s="2" t="n">
        <v>100</v>
      </c>
      <c r="BG253" s="2" t="n">
        <v>97</v>
      </c>
      <c r="BH253" s="2" t="n">
        <v>100</v>
      </c>
      <c r="BI253" s="2" t="n">
        <v>100</v>
      </c>
      <c r="BJ253" s="2" t="n">
        <v>97</v>
      </c>
      <c r="BK253" s="2" t="n">
        <v>100</v>
      </c>
      <c r="BL253" s="2" t="n">
        <v>100</v>
      </c>
      <c r="BM253" s="2" t="n">
        <v>97</v>
      </c>
      <c r="BN253" s="2" t="n">
        <v>100</v>
      </c>
      <c r="BO253" s="2" t="n">
        <v>100</v>
      </c>
      <c r="BP253" s="2" t="n">
        <v>97</v>
      </c>
      <c r="BQ253" s="2" t="n">
        <v>100</v>
      </c>
      <c r="BR253" s="2" t="n">
        <v>100</v>
      </c>
      <c r="BS253" s="2" t="n">
        <v>97</v>
      </c>
      <c r="BT253" s="2" t="n">
        <v>100</v>
      </c>
      <c r="BU253" s="2" t="n">
        <v>100</v>
      </c>
      <c r="BV253" s="2" t="n">
        <v>97</v>
      </c>
      <c r="BW253" s="2" t="n">
        <v>100</v>
      </c>
      <c r="BX253" s="2" t="n">
        <v>100</v>
      </c>
      <c r="BY253" s="2" t="n">
        <v>97</v>
      </c>
      <c r="BZ253" s="2" t="n">
        <v>100</v>
      </c>
      <c r="CA253" s="2" t="n">
        <v>100</v>
      </c>
      <c r="CB253" s="2" t="n">
        <v>97</v>
      </c>
      <c r="CC253" s="2" t="n">
        <v>100</v>
      </c>
      <c r="CD253" s="2" t="n">
        <v>100</v>
      </c>
      <c r="CE253" s="2" t="n">
        <v>97</v>
      </c>
      <c r="CF253" s="2" t="n">
        <v>100</v>
      </c>
      <c r="CG253" s="2" t="n">
        <v>100</v>
      </c>
      <c r="CH253" s="2" t="n">
        <v>97</v>
      </c>
      <c r="CI253" s="2" t="n">
        <v>100</v>
      </c>
      <c r="CJ253" s="2" t="n">
        <v>100</v>
      </c>
      <c r="CK253" s="2" t="n">
        <v>97</v>
      </c>
      <c r="CL253" s="2" t="n">
        <v>100</v>
      </c>
      <c r="CM253" s="2" t="n">
        <v>100</v>
      </c>
      <c r="CN253" s="2" t="n">
        <v>97</v>
      </c>
      <c r="CO253" s="2" t="n">
        <v>100</v>
      </c>
      <c r="CP253" s="2" t="n">
        <v>100</v>
      </c>
      <c r="CQ253" s="2" t="n">
        <v>97</v>
      </c>
      <c r="CR253" s="2" t="n">
        <v>100</v>
      </c>
      <c r="CS253" s="2" t="n">
        <v>100</v>
      </c>
      <c r="CT253" s="2" t="n">
        <v>97</v>
      </c>
      <c r="CU253" s="2" t="n">
        <v>100</v>
      </c>
      <c r="CV253" s="2" t="n">
        <v>100</v>
      </c>
      <c r="CW253" s="2" t="n">
        <v>97</v>
      </c>
      <c r="CX253" s="2" t="n">
        <v>100</v>
      </c>
      <c r="CY253" s="2" t="n">
        <v>100</v>
      </c>
      <c r="CZ253" s="2" t="n">
        <v>97</v>
      </c>
      <c r="DA253" s="2" t="n">
        <v>100</v>
      </c>
      <c r="DB253" s="2" t="n">
        <v>100</v>
      </c>
      <c r="DC253" s="2" t="n">
        <v>97</v>
      </c>
      <c r="DD253" s="2" t="n">
        <v>100</v>
      </c>
      <c r="DE253" s="2" t="n">
        <v>100</v>
      </c>
      <c r="DF253" s="2" t="n">
        <v>97</v>
      </c>
      <c r="DG253" s="2" t="n">
        <v>100</v>
      </c>
      <c r="DH253" s="2" t="n">
        <v>100</v>
      </c>
      <c r="DI253" s="2" t="n">
        <v>97</v>
      </c>
      <c r="DJ253" s="2" t="n">
        <v>100</v>
      </c>
      <c r="DK253" s="2" t="n">
        <v>100</v>
      </c>
      <c r="DL253" s="2" t="n">
        <v>97</v>
      </c>
      <c r="DM253" s="2" t="n">
        <v>100</v>
      </c>
      <c r="DN253" s="2" t="n">
        <v>100</v>
      </c>
      <c r="DO253" s="2" t="n">
        <v>97</v>
      </c>
      <c r="DP253" s="2" t="n">
        <v>100</v>
      </c>
      <c r="DQ253" s="2" t="n">
        <v>100</v>
      </c>
      <c r="DR253" s="2" t="n">
        <v>97</v>
      </c>
      <c r="DS253" s="2" t="n">
        <v>100</v>
      </c>
      <c r="DT253" s="2" t="n">
        <v>100</v>
      </c>
      <c r="DU253" s="2" t="n">
        <v>97</v>
      </c>
      <c r="DV253" s="2" t="n">
        <v>100</v>
      </c>
      <c r="DW253" s="2" t="n">
        <v>100</v>
      </c>
      <c r="DX253" s="2" t="n">
        <v>97</v>
      </c>
      <c r="DY253" s="2" t="n">
        <v>100</v>
      </c>
      <c r="DZ253" s="2" t="n">
        <v>100</v>
      </c>
      <c r="EA253" s="2" t="n">
        <v>97</v>
      </c>
      <c r="EB253" s="2" t="n">
        <v>100</v>
      </c>
      <c r="EC253" s="2" t="n">
        <v>100</v>
      </c>
      <c r="ED253" s="2" t="n">
        <v>97</v>
      </c>
      <c r="EE253" s="2" t="n">
        <v>100</v>
      </c>
      <c r="EF253" s="2" t="n">
        <v>100</v>
      </c>
      <c r="EG253" s="2" t="n">
        <v>97</v>
      </c>
      <c r="EH253" s="2" t="n">
        <v>100</v>
      </c>
      <c r="EI253" s="2" t="n">
        <v>100</v>
      </c>
      <c r="EJ253" s="2" t="n">
        <v>97</v>
      </c>
      <c r="EK253" s="2" t="n">
        <v>100</v>
      </c>
      <c r="EL253" s="2" t="n">
        <v>100</v>
      </c>
      <c r="EM253" s="2" t="n">
        <v>97</v>
      </c>
      <c r="EN253" s="2" t="n">
        <v>100</v>
      </c>
      <c r="EO253" s="2" t="n">
        <v>100</v>
      </c>
      <c r="EP253" s="2" t="n">
        <v>97</v>
      </c>
      <c r="EQ253" s="2" t="n">
        <v>100</v>
      </c>
      <c r="ER253" s="2" t="n">
        <v>100</v>
      </c>
      <c r="ES253" s="2" t="n">
        <v>97</v>
      </c>
    </row>
    <row r="254">
      <c r="A254" s="2" t="n">
        <v>3</v>
      </c>
      <c r="B254" s="2" t="inlineStr">
        <is>
          <t>13.01.07</t>
        </is>
      </c>
      <c r="C254" s="2" t="inlineStr">
        <is>
          <t>Armadura Ca-50 adquirido cortado e dobrado, montagem e posicionamento no canteiro</t>
        </is>
      </c>
      <c r="D254" s="2" t="inlineStr">
        <is>
          <t>21/07/2025</t>
        </is>
      </c>
      <c r="E254" s="2" t="inlineStr">
        <is>
          <t>14/08/2025</t>
        </is>
      </c>
      <c r="F254" s="2" t="n">
        <v>185200</v>
      </c>
      <c r="G254" s="2" t="n">
        <v>0</v>
      </c>
      <c r="H254" s="2" t="n">
        <v>185200</v>
      </c>
      <c r="I254" s="2" t="n">
        <v>0</v>
      </c>
      <c r="J254" s="2" t="n">
        <v>0</v>
      </c>
      <c r="K254" s="2" t="n">
        <v>0</v>
      </c>
      <c r="L254" s="2" t="n">
        <v>47.37</v>
      </c>
      <c r="M254" s="2" t="n">
        <v>47.37</v>
      </c>
      <c r="N254" s="2" t="n">
        <v>0</v>
      </c>
      <c r="O254" s="2" t="n">
        <v>100</v>
      </c>
      <c r="P254" s="2" t="n">
        <v>100</v>
      </c>
      <c r="Q254" s="2" t="n">
        <v>0</v>
      </c>
      <c r="R254" s="2" t="n">
        <v>100</v>
      </c>
      <c r="S254" s="2" t="n">
        <v>100</v>
      </c>
      <c r="T254" s="2" t="n">
        <v>71</v>
      </c>
      <c r="U254" s="2" t="n">
        <v>100</v>
      </c>
      <c r="V254" s="2" t="n">
        <v>100</v>
      </c>
      <c r="W254" s="2" t="n">
        <v>71</v>
      </c>
      <c r="X254" s="2" t="n">
        <v>100</v>
      </c>
      <c r="Y254" s="2" t="n">
        <v>100</v>
      </c>
      <c r="Z254" s="2" t="n">
        <v>71</v>
      </c>
      <c r="AA254" s="2" t="n">
        <v>100</v>
      </c>
      <c r="AB254" s="2" t="n">
        <v>100</v>
      </c>
      <c r="AC254" s="2" t="n">
        <v>71</v>
      </c>
      <c r="AD254" s="2" t="n">
        <v>100</v>
      </c>
      <c r="AE254" s="2" t="n">
        <v>100</v>
      </c>
      <c r="AF254" s="2" t="n">
        <v>71</v>
      </c>
      <c r="AG254" s="2" t="n">
        <v>100</v>
      </c>
      <c r="AH254" s="2" t="n">
        <v>100</v>
      </c>
      <c r="AI254" s="2" t="n">
        <v>71</v>
      </c>
      <c r="AJ254" s="2" t="n">
        <v>100</v>
      </c>
      <c r="AK254" s="2" t="n">
        <v>100</v>
      </c>
      <c r="AL254" s="2" t="n">
        <v>71</v>
      </c>
      <c r="AM254" s="2" t="n">
        <v>100</v>
      </c>
      <c r="AN254" s="2" t="n">
        <v>100</v>
      </c>
      <c r="AO254" s="2" t="n">
        <v>71</v>
      </c>
      <c r="AP254" s="2" t="n">
        <v>100</v>
      </c>
      <c r="AQ254" s="2" t="n">
        <v>100</v>
      </c>
      <c r="AR254" s="2" t="n">
        <v>92.41</v>
      </c>
      <c r="AS254" s="2" t="n">
        <v>100</v>
      </c>
      <c r="AT254" s="2" t="n">
        <v>100</v>
      </c>
      <c r="AU254" s="2" t="n">
        <v>97.29000000000001</v>
      </c>
      <c r="AV254" s="2" t="n">
        <v>100</v>
      </c>
      <c r="AW254" s="2" t="n">
        <v>100</v>
      </c>
      <c r="AX254" s="2" t="n">
        <v>97</v>
      </c>
      <c r="AY254" s="2" t="n">
        <v>100</v>
      </c>
      <c r="AZ254" s="2" t="n">
        <v>100</v>
      </c>
      <c r="BA254" s="2" t="n">
        <v>97</v>
      </c>
      <c r="BB254" s="2" t="n">
        <v>100</v>
      </c>
      <c r="BC254" s="2" t="n">
        <v>100</v>
      </c>
      <c r="BD254" s="2" t="n">
        <v>97</v>
      </c>
      <c r="BE254" s="2" t="n">
        <v>100</v>
      </c>
      <c r="BF254" s="2" t="n">
        <v>100</v>
      </c>
      <c r="BG254" s="2" t="n">
        <v>97</v>
      </c>
      <c r="BH254" s="2" t="n">
        <v>100</v>
      </c>
      <c r="BI254" s="2" t="n">
        <v>100</v>
      </c>
      <c r="BJ254" s="2" t="n">
        <v>97</v>
      </c>
      <c r="BK254" s="2" t="n">
        <v>100</v>
      </c>
      <c r="BL254" s="2" t="n">
        <v>100</v>
      </c>
      <c r="BM254" s="2" t="n">
        <v>97</v>
      </c>
      <c r="BN254" s="2" t="n">
        <v>100</v>
      </c>
      <c r="BO254" s="2" t="n">
        <v>100</v>
      </c>
      <c r="BP254" s="2" t="n">
        <v>97</v>
      </c>
      <c r="BQ254" s="2" t="n">
        <v>100</v>
      </c>
      <c r="BR254" s="2" t="n">
        <v>100</v>
      </c>
      <c r="BS254" s="2" t="n">
        <v>97</v>
      </c>
      <c r="BT254" s="2" t="n">
        <v>100</v>
      </c>
      <c r="BU254" s="2" t="n">
        <v>100</v>
      </c>
      <c r="BV254" s="2" t="n">
        <v>97</v>
      </c>
      <c r="BW254" s="2" t="n">
        <v>100</v>
      </c>
      <c r="BX254" s="2" t="n">
        <v>100</v>
      </c>
      <c r="BY254" s="2" t="n">
        <v>97</v>
      </c>
      <c r="BZ254" s="2" t="n">
        <v>100</v>
      </c>
      <c r="CA254" s="2" t="n">
        <v>100</v>
      </c>
      <c r="CB254" s="2" t="n">
        <v>97</v>
      </c>
      <c r="CC254" s="2" t="n">
        <v>100</v>
      </c>
      <c r="CD254" s="2" t="n">
        <v>100</v>
      </c>
      <c r="CE254" s="2" t="n">
        <v>97</v>
      </c>
      <c r="CF254" s="2" t="n">
        <v>100</v>
      </c>
      <c r="CG254" s="2" t="n">
        <v>100</v>
      </c>
      <c r="CH254" s="2" t="n">
        <v>97</v>
      </c>
      <c r="CI254" s="2" t="n">
        <v>100</v>
      </c>
      <c r="CJ254" s="2" t="n">
        <v>100</v>
      </c>
      <c r="CK254" s="2" t="n">
        <v>97</v>
      </c>
      <c r="CL254" s="2" t="n">
        <v>100</v>
      </c>
      <c r="CM254" s="2" t="n">
        <v>100</v>
      </c>
      <c r="CN254" s="2" t="n">
        <v>97</v>
      </c>
      <c r="CO254" s="2" t="n">
        <v>100</v>
      </c>
      <c r="CP254" s="2" t="n">
        <v>100</v>
      </c>
      <c r="CQ254" s="2" t="n">
        <v>97</v>
      </c>
      <c r="CR254" s="2" t="n">
        <v>100</v>
      </c>
      <c r="CS254" s="2" t="n">
        <v>100</v>
      </c>
      <c r="CT254" s="2" t="n">
        <v>97</v>
      </c>
      <c r="CU254" s="2" t="n">
        <v>100</v>
      </c>
      <c r="CV254" s="2" t="n">
        <v>100</v>
      </c>
      <c r="CW254" s="2" t="n">
        <v>97</v>
      </c>
      <c r="CX254" s="2" t="n">
        <v>100</v>
      </c>
      <c r="CY254" s="2" t="n">
        <v>100</v>
      </c>
      <c r="CZ254" s="2" t="n">
        <v>97</v>
      </c>
      <c r="DA254" s="2" t="n">
        <v>100</v>
      </c>
      <c r="DB254" s="2" t="n">
        <v>100</v>
      </c>
      <c r="DC254" s="2" t="n">
        <v>97</v>
      </c>
      <c r="DD254" s="2" t="n">
        <v>100</v>
      </c>
      <c r="DE254" s="2" t="n">
        <v>100</v>
      </c>
      <c r="DF254" s="2" t="n">
        <v>97</v>
      </c>
      <c r="DG254" s="2" t="n">
        <v>100</v>
      </c>
      <c r="DH254" s="2" t="n">
        <v>100</v>
      </c>
      <c r="DI254" s="2" t="n">
        <v>97</v>
      </c>
      <c r="DJ254" s="2" t="n">
        <v>100</v>
      </c>
      <c r="DK254" s="2" t="n">
        <v>100</v>
      </c>
      <c r="DL254" s="2" t="n">
        <v>97</v>
      </c>
      <c r="DM254" s="2" t="n">
        <v>100</v>
      </c>
      <c r="DN254" s="2" t="n">
        <v>100</v>
      </c>
      <c r="DO254" s="2" t="n">
        <v>97</v>
      </c>
      <c r="DP254" s="2" t="n">
        <v>100</v>
      </c>
      <c r="DQ254" s="2" t="n">
        <v>100</v>
      </c>
      <c r="DR254" s="2" t="n">
        <v>97</v>
      </c>
      <c r="DS254" s="2" t="n">
        <v>100</v>
      </c>
      <c r="DT254" s="2" t="n">
        <v>100</v>
      </c>
      <c r="DU254" s="2" t="n">
        <v>97</v>
      </c>
      <c r="DV254" s="2" t="n">
        <v>100</v>
      </c>
      <c r="DW254" s="2" t="n">
        <v>100</v>
      </c>
      <c r="DX254" s="2" t="n">
        <v>97</v>
      </c>
      <c r="DY254" s="2" t="n">
        <v>100</v>
      </c>
      <c r="DZ254" s="2" t="n">
        <v>100</v>
      </c>
      <c r="EA254" s="2" t="n">
        <v>97</v>
      </c>
      <c r="EB254" s="2" t="n">
        <v>100</v>
      </c>
      <c r="EC254" s="2" t="n">
        <v>100</v>
      </c>
      <c r="ED254" s="2" t="n">
        <v>97</v>
      </c>
      <c r="EE254" s="2" t="n">
        <v>100</v>
      </c>
      <c r="EF254" s="2" t="n">
        <v>100</v>
      </c>
      <c r="EG254" s="2" t="n">
        <v>97</v>
      </c>
      <c r="EH254" s="2" t="n">
        <v>100</v>
      </c>
      <c r="EI254" s="2" t="n">
        <v>100</v>
      </c>
      <c r="EJ254" s="2" t="n">
        <v>97</v>
      </c>
      <c r="EK254" s="2" t="n">
        <v>100</v>
      </c>
      <c r="EL254" s="2" t="n">
        <v>100</v>
      </c>
      <c r="EM254" s="2" t="n">
        <v>97</v>
      </c>
      <c r="EN254" s="2" t="n">
        <v>100</v>
      </c>
      <c r="EO254" s="2" t="n">
        <v>100</v>
      </c>
      <c r="EP254" s="2" t="n">
        <v>97</v>
      </c>
      <c r="EQ254" s="2" t="n">
        <v>100</v>
      </c>
      <c r="ER254" s="2" t="n">
        <v>100</v>
      </c>
      <c r="ES254" s="2" t="n">
        <v>97</v>
      </c>
    </row>
    <row r="255">
      <c r="A255" s="2" t="n">
        <v>3</v>
      </c>
      <c r="B255" s="2" t="inlineStr">
        <is>
          <t>13.01.08</t>
        </is>
      </c>
      <c r="C255" s="2" t="inlineStr">
        <is>
          <t>Arrasamento de cabeça de estacas com martelete</t>
        </is>
      </c>
      <c r="D255" s="2" t="inlineStr">
        <is>
          <t>21/07/2025</t>
        </is>
      </c>
      <c r="E255" s="2" t="inlineStr">
        <is>
          <t>14/08/2025</t>
        </is>
      </c>
      <c r="F255" s="2" t="n">
        <v>48000</v>
      </c>
      <c r="G255" s="2" t="n">
        <v>0</v>
      </c>
      <c r="H255" s="2" t="n">
        <v>48000</v>
      </c>
      <c r="I255" s="2" t="n">
        <v>0</v>
      </c>
      <c r="J255" s="2" t="n">
        <v>0</v>
      </c>
      <c r="K255" s="2" t="n">
        <v>0</v>
      </c>
      <c r="L255" s="2" t="n">
        <v>47.37</v>
      </c>
      <c r="M255" s="2" t="n">
        <v>47.37</v>
      </c>
      <c r="N255" s="2" t="n">
        <v>0</v>
      </c>
      <c r="O255" s="2" t="n">
        <v>100</v>
      </c>
      <c r="P255" s="2" t="n">
        <v>100</v>
      </c>
      <c r="Q255" s="2" t="n">
        <v>0</v>
      </c>
      <c r="R255" s="2" t="n">
        <v>100</v>
      </c>
      <c r="S255" s="2" t="n">
        <v>100</v>
      </c>
      <c r="T255" s="2" t="n">
        <v>71</v>
      </c>
      <c r="U255" s="2" t="n">
        <v>100</v>
      </c>
      <c r="V255" s="2" t="n">
        <v>100</v>
      </c>
      <c r="W255" s="2" t="n">
        <v>71</v>
      </c>
      <c r="X255" s="2" t="n">
        <v>100</v>
      </c>
      <c r="Y255" s="2" t="n">
        <v>100</v>
      </c>
      <c r="Z255" s="2" t="n">
        <v>71</v>
      </c>
      <c r="AA255" s="2" t="n">
        <v>100</v>
      </c>
      <c r="AB255" s="2" t="n">
        <v>100</v>
      </c>
      <c r="AC255" s="2" t="n">
        <v>71</v>
      </c>
      <c r="AD255" s="2" t="n">
        <v>100</v>
      </c>
      <c r="AE255" s="2" t="n">
        <v>100</v>
      </c>
      <c r="AF255" s="2" t="n">
        <v>71</v>
      </c>
      <c r="AG255" s="2" t="n">
        <v>100</v>
      </c>
      <c r="AH255" s="2" t="n">
        <v>100</v>
      </c>
      <c r="AI255" s="2" t="n">
        <v>71</v>
      </c>
      <c r="AJ255" s="2" t="n">
        <v>100</v>
      </c>
      <c r="AK255" s="2" t="n">
        <v>100</v>
      </c>
      <c r="AL255" s="2" t="n">
        <v>71</v>
      </c>
      <c r="AM255" s="2" t="n">
        <v>100</v>
      </c>
      <c r="AN255" s="2" t="n">
        <v>100</v>
      </c>
      <c r="AO255" s="2" t="n">
        <v>71</v>
      </c>
      <c r="AP255" s="2" t="n">
        <v>100</v>
      </c>
      <c r="AQ255" s="2" t="n">
        <v>100</v>
      </c>
      <c r="AR255" s="2" t="n">
        <v>92.41</v>
      </c>
      <c r="AS255" s="2" t="n">
        <v>100</v>
      </c>
      <c r="AT255" s="2" t="n">
        <v>100</v>
      </c>
      <c r="AU255" s="2" t="n">
        <v>97.29000000000001</v>
      </c>
      <c r="AV255" s="2" t="n">
        <v>100</v>
      </c>
      <c r="AW255" s="2" t="n">
        <v>100</v>
      </c>
      <c r="AX255" s="2" t="n">
        <v>97</v>
      </c>
      <c r="AY255" s="2" t="n">
        <v>100</v>
      </c>
      <c r="AZ255" s="2" t="n">
        <v>100</v>
      </c>
      <c r="BA255" s="2" t="n">
        <v>97</v>
      </c>
      <c r="BB255" s="2" t="n">
        <v>100</v>
      </c>
      <c r="BC255" s="2" t="n">
        <v>100</v>
      </c>
      <c r="BD255" s="2" t="n">
        <v>97</v>
      </c>
      <c r="BE255" s="2" t="n">
        <v>100</v>
      </c>
      <c r="BF255" s="2" t="n">
        <v>100</v>
      </c>
      <c r="BG255" s="2" t="n">
        <v>97</v>
      </c>
      <c r="BH255" s="2" t="n">
        <v>100</v>
      </c>
      <c r="BI255" s="2" t="n">
        <v>100</v>
      </c>
      <c r="BJ255" s="2" t="n">
        <v>97</v>
      </c>
      <c r="BK255" s="2" t="n">
        <v>100</v>
      </c>
      <c r="BL255" s="2" t="n">
        <v>100</v>
      </c>
      <c r="BM255" s="2" t="n">
        <v>97</v>
      </c>
      <c r="BN255" s="2" t="n">
        <v>100</v>
      </c>
      <c r="BO255" s="2" t="n">
        <v>100</v>
      </c>
      <c r="BP255" s="2" t="n">
        <v>97</v>
      </c>
      <c r="BQ255" s="2" t="n">
        <v>100</v>
      </c>
      <c r="BR255" s="2" t="n">
        <v>100</v>
      </c>
      <c r="BS255" s="2" t="n">
        <v>97</v>
      </c>
      <c r="BT255" s="2" t="n">
        <v>100</v>
      </c>
      <c r="BU255" s="2" t="n">
        <v>100</v>
      </c>
      <c r="BV255" s="2" t="n">
        <v>97</v>
      </c>
      <c r="BW255" s="2" t="n">
        <v>100</v>
      </c>
      <c r="BX255" s="2" t="n">
        <v>100</v>
      </c>
      <c r="BY255" s="2" t="n">
        <v>97</v>
      </c>
      <c r="BZ255" s="2" t="n">
        <v>100</v>
      </c>
      <c r="CA255" s="2" t="n">
        <v>100</v>
      </c>
      <c r="CB255" s="2" t="n">
        <v>97</v>
      </c>
      <c r="CC255" s="2" t="n">
        <v>100</v>
      </c>
      <c r="CD255" s="2" t="n">
        <v>100</v>
      </c>
      <c r="CE255" s="2" t="n">
        <v>97</v>
      </c>
      <c r="CF255" s="2" t="n">
        <v>100</v>
      </c>
      <c r="CG255" s="2" t="n">
        <v>100</v>
      </c>
      <c r="CH255" s="2" t="n">
        <v>97</v>
      </c>
      <c r="CI255" s="2" t="n">
        <v>100</v>
      </c>
      <c r="CJ255" s="2" t="n">
        <v>100</v>
      </c>
      <c r="CK255" s="2" t="n">
        <v>97</v>
      </c>
      <c r="CL255" s="2" t="n">
        <v>100</v>
      </c>
      <c r="CM255" s="2" t="n">
        <v>100</v>
      </c>
      <c r="CN255" s="2" t="n">
        <v>97</v>
      </c>
      <c r="CO255" s="2" t="n">
        <v>100</v>
      </c>
      <c r="CP255" s="2" t="n">
        <v>100</v>
      </c>
      <c r="CQ255" s="2" t="n">
        <v>97</v>
      </c>
      <c r="CR255" s="2" t="n">
        <v>100</v>
      </c>
      <c r="CS255" s="2" t="n">
        <v>100</v>
      </c>
      <c r="CT255" s="2" t="n">
        <v>97</v>
      </c>
      <c r="CU255" s="2" t="n">
        <v>100</v>
      </c>
      <c r="CV255" s="2" t="n">
        <v>100</v>
      </c>
      <c r="CW255" s="2" t="n">
        <v>97</v>
      </c>
      <c r="CX255" s="2" t="n">
        <v>100</v>
      </c>
      <c r="CY255" s="2" t="n">
        <v>100</v>
      </c>
      <c r="CZ255" s="2" t="n">
        <v>97</v>
      </c>
      <c r="DA255" s="2" t="n">
        <v>100</v>
      </c>
      <c r="DB255" s="2" t="n">
        <v>100</v>
      </c>
      <c r="DC255" s="2" t="n">
        <v>97</v>
      </c>
      <c r="DD255" s="2" t="n">
        <v>100</v>
      </c>
      <c r="DE255" s="2" t="n">
        <v>100</v>
      </c>
      <c r="DF255" s="2" t="n">
        <v>97</v>
      </c>
      <c r="DG255" s="2" t="n">
        <v>100</v>
      </c>
      <c r="DH255" s="2" t="n">
        <v>100</v>
      </c>
      <c r="DI255" s="2" t="n">
        <v>97</v>
      </c>
      <c r="DJ255" s="2" t="n">
        <v>100</v>
      </c>
      <c r="DK255" s="2" t="n">
        <v>100</v>
      </c>
      <c r="DL255" s="2" t="n">
        <v>97</v>
      </c>
      <c r="DM255" s="2" t="n">
        <v>100</v>
      </c>
      <c r="DN255" s="2" t="n">
        <v>100</v>
      </c>
      <c r="DO255" s="2" t="n">
        <v>97</v>
      </c>
      <c r="DP255" s="2" t="n">
        <v>100</v>
      </c>
      <c r="DQ255" s="2" t="n">
        <v>100</v>
      </c>
      <c r="DR255" s="2" t="n">
        <v>97</v>
      </c>
      <c r="DS255" s="2" t="n">
        <v>100</v>
      </c>
      <c r="DT255" s="2" t="n">
        <v>100</v>
      </c>
      <c r="DU255" s="2" t="n">
        <v>97</v>
      </c>
      <c r="DV255" s="2" t="n">
        <v>100</v>
      </c>
      <c r="DW255" s="2" t="n">
        <v>100</v>
      </c>
      <c r="DX255" s="2" t="n">
        <v>97</v>
      </c>
      <c r="DY255" s="2" t="n">
        <v>100</v>
      </c>
      <c r="DZ255" s="2" t="n">
        <v>100</v>
      </c>
      <c r="EA255" s="2" t="n">
        <v>97</v>
      </c>
      <c r="EB255" s="2" t="n">
        <v>100</v>
      </c>
      <c r="EC255" s="2" t="n">
        <v>100</v>
      </c>
      <c r="ED255" s="2" t="n">
        <v>97</v>
      </c>
      <c r="EE255" s="2" t="n">
        <v>100</v>
      </c>
      <c r="EF255" s="2" t="n">
        <v>100</v>
      </c>
      <c r="EG255" s="2" t="n">
        <v>97</v>
      </c>
      <c r="EH255" s="2" t="n">
        <v>100</v>
      </c>
      <c r="EI255" s="2" t="n">
        <v>100</v>
      </c>
      <c r="EJ255" s="2" t="n">
        <v>97</v>
      </c>
      <c r="EK255" s="2" t="n">
        <v>100</v>
      </c>
      <c r="EL255" s="2" t="n">
        <v>100</v>
      </c>
      <c r="EM255" s="2" t="n">
        <v>97</v>
      </c>
      <c r="EN255" s="2" t="n">
        <v>100</v>
      </c>
      <c r="EO255" s="2" t="n">
        <v>100</v>
      </c>
      <c r="EP255" s="2" t="n">
        <v>97</v>
      </c>
      <c r="EQ255" s="2" t="n">
        <v>100</v>
      </c>
      <c r="ER255" s="2" t="n">
        <v>100</v>
      </c>
      <c r="ES255" s="2" t="n">
        <v>97</v>
      </c>
    </row>
    <row r="256">
      <c r="A256" s="2" t="n">
        <v>3</v>
      </c>
      <c r="B256" s="2" t="inlineStr">
        <is>
          <t>13.01.09</t>
        </is>
      </c>
      <c r="C256" s="2" t="inlineStr">
        <is>
          <t>Retirada de terra com caminhão basculante</t>
        </is>
      </c>
      <c r="D256" s="2" t="inlineStr">
        <is>
          <t>21/07/2025</t>
        </is>
      </c>
      <c r="E256" s="2" t="inlineStr">
        <is>
          <t>14/08/2025</t>
        </is>
      </c>
      <c r="F256" s="2" t="n">
        <v>23354.972</v>
      </c>
      <c r="G256" s="2" t="n">
        <v>0</v>
      </c>
      <c r="H256" s="2" t="n">
        <v>23354.972</v>
      </c>
      <c r="I256" s="2" t="n">
        <v>0</v>
      </c>
      <c r="J256" s="2" t="n">
        <v>0</v>
      </c>
      <c r="K256" s="2" t="n">
        <v>0</v>
      </c>
      <c r="L256" s="2" t="n">
        <v>47.37</v>
      </c>
      <c r="M256" s="2" t="n">
        <v>47.37</v>
      </c>
      <c r="N256" s="2" t="n">
        <v>0</v>
      </c>
      <c r="O256" s="2" t="n">
        <v>100</v>
      </c>
      <c r="P256" s="2" t="n">
        <v>100</v>
      </c>
      <c r="Q256" s="2" t="n">
        <v>0</v>
      </c>
      <c r="R256" s="2" t="n">
        <v>100</v>
      </c>
      <c r="S256" s="2" t="n">
        <v>100</v>
      </c>
      <c r="T256" s="2" t="n">
        <v>71</v>
      </c>
      <c r="U256" s="2" t="n">
        <v>100</v>
      </c>
      <c r="V256" s="2" t="n">
        <v>100</v>
      </c>
      <c r="W256" s="2" t="n">
        <v>71</v>
      </c>
      <c r="X256" s="2" t="n">
        <v>100</v>
      </c>
      <c r="Y256" s="2" t="n">
        <v>100</v>
      </c>
      <c r="Z256" s="2" t="n">
        <v>71</v>
      </c>
      <c r="AA256" s="2" t="n">
        <v>100</v>
      </c>
      <c r="AB256" s="2" t="n">
        <v>100</v>
      </c>
      <c r="AC256" s="2" t="n">
        <v>71</v>
      </c>
      <c r="AD256" s="2" t="n">
        <v>100</v>
      </c>
      <c r="AE256" s="2" t="n">
        <v>100</v>
      </c>
      <c r="AF256" s="2" t="n">
        <v>71</v>
      </c>
      <c r="AG256" s="2" t="n">
        <v>100</v>
      </c>
      <c r="AH256" s="2" t="n">
        <v>100</v>
      </c>
      <c r="AI256" s="2" t="n">
        <v>71</v>
      </c>
      <c r="AJ256" s="2" t="n">
        <v>100</v>
      </c>
      <c r="AK256" s="2" t="n">
        <v>100</v>
      </c>
      <c r="AL256" s="2" t="n">
        <v>71</v>
      </c>
      <c r="AM256" s="2" t="n">
        <v>100</v>
      </c>
      <c r="AN256" s="2" t="n">
        <v>100</v>
      </c>
      <c r="AO256" s="2" t="n">
        <v>71</v>
      </c>
      <c r="AP256" s="2" t="n">
        <v>100</v>
      </c>
      <c r="AQ256" s="2" t="n">
        <v>100</v>
      </c>
      <c r="AR256" s="2" t="n">
        <v>92.41</v>
      </c>
      <c r="AS256" s="2" t="n">
        <v>100</v>
      </c>
      <c r="AT256" s="2" t="n">
        <v>100</v>
      </c>
      <c r="AU256" s="2" t="n">
        <v>97.29000000000001</v>
      </c>
      <c r="AV256" s="2" t="n">
        <v>100</v>
      </c>
      <c r="AW256" s="2" t="n">
        <v>100</v>
      </c>
      <c r="AX256" s="2" t="n">
        <v>97</v>
      </c>
      <c r="AY256" s="2" t="n">
        <v>100</v>
      </c>
      <c r="AZ256" s="2" t="n">
        <v>100</v>
      </c>
      <c r="BA256" s="2" t="n">
        <v>97</v>
      </c>
      <c r="BB256" s="2" t="n">
        <v>100</v>
      </c>
      <c r="BC256" s="2" t="n">
        <v>100</v>
      </c>
      <c r="BD256" s="2" t="n">
        <v>97</v>
      </c>
      <c r="BE256" s="2" t="n">
        <v>100</v>
      </c>
      <c r="BF256" s="2" t="n">
        <v>100</v>
      </c>
      <c r="BG256" s="2" t="n">
        <v>97</v>
      </c>
      <c r="BH256" s="2" t="n">
        <v>100</v>
      </c>
      <c r="BI256" s="2" t="n">
        <v>100</v>
      </c>
      <c r="BJ256" s="2" t="n">
        <v>97</v>
      </c>
      <c r="BK256" s="2" t="n">
        <v>100</v>
      </c>
      <c r="BL256" s="2" t="n">
        <v>100</v>
      </c>
      <c r="BM256" s="2" t="n">
        <v>97</v>
      </c>
      <c r="BN256" s="2" t="n">
        <v>100</v>
      </c>
      <c r="BO256" s="2" t="n">
        <v>100</v>
      </c>
      <c r="BP256" s="2" t="n">
        <v>97</v>
      </c>
      <c r="BQ256" s="2" t="n">
        <v>100</v>
      </c>
      <c r="BR256" s="2" t="n">
        <v>100</v>
      </c>
      <c r="BS256" s="2" t="n">
        <v>97</v>
      </c>
      <c r="BT256" s="2" t="n">
        <v>100</v>
      </c>
      <c r="BU256" s="2" t="n">
        <v>100</v>
      </c>
      <c r="BV256" s="2" t="n">
        <v>97</v>
      </c>
      <c r="BW256" s="2" t="n">
        <v>100</v>
      </c>
      <c r="BX256" s="2" t="n">
        <v>100</v>
      </c>
      <c r="BY256" s="2" t="n">
        <v>97</v>
      </c>
      <c r="BZ256" s="2" t="n">
        <v>100</v>
      </c>
      <c r="CA256" s="2" t="n">
        <v>100</v>
      </c>
      <c r="CB256" s="2" t="n">
        <v>97</v>
      </c>
      <c r="CC256" s="2" t="n">
        <v>100</v>
      </c>
      <c r="CD256" s="2" t="n">
        <v>100</v>
      </c>
      <c r="CE256" s="2" t="n">
        <v>97</v>
      </c>
      <c r="CF256" s="2" t="n">
        <v>100</v>
      </c>
      <c r="CG256" s="2" t="n">
        <v>100</v>
      </c>
      <c r="CH256" s="2" t="n">
        <v>97</v>
      </c>
      <c r="CI256" s="2" t="n">
        <v>100</v>
      </c>
      <c r="CJ256" s="2" t="n">
        <v>100</v>
      </c>
      <c r="CK256" s="2" t="n">
        <v>97</v>
      </c>
      <c r="CL256" s="2" t="n">
        <v>100</v>
      </c>
      <c r="CM256" s="2" t="n">
        <v>100</v>
      </c>
      <c r="CN256" s="2" t="n">
        <v>97</v>
      </c>
      <c r="CO256" s="2" t="n">
        <v>100</v>
      </c>
      <c r="CP256" s="2" t="n">
        <v>100</v>
      </c>
      <c r="CQ256" s="2" t="n">
        <v>97</v>
      </c>
      <c r="CR256" s="2" t="n">
        <v>100</v>
      </c>
      <c r="CS256" s="2" t="n">
        <v>100</v>
      </c>
      <c r="CT256" s="2" t="n">
        <v>97</v>
      </c>
      <c r="CU256" s="2" t="n">
        <v>100</v>
      </c>
      <c r="CV256" s="2" t="n">
        <v>100</v>
      </c>
      <c r="CW256" s="2" t="n">
        <v>97</v>
      </c>
      <c r="CX256" s="2" t="n">
        <v>100</v>
      </c>
      <c r="CY256" s="2" t="n">
        <v>100</v>
      </c>
      <c r="CZ256" s="2" t="n">
        <v>97</v>
      </c>
      <c r="DA256" s="2" t="n">
        <v>100</v>
      </c>
      <c r="DB256" s="2" t="n">
        <v>100</v>
      </c>
      <c r="DC256" s="2" t="n">
        <v>97</v>
      </c>
      <c r="DD256" s="2" t="n">
        <v>100</v>
      </c>
      <c r="DE256" s="2" t="n">
        <v>100</v>
      </c>
      <c r="DF256" s="2" t="n">
        <v>97</v>
      </c>
      <c r="DG256" s="2" t="n">
        <v>100</v>
      </c>
      <c r="DH256" s="2" t="n">
        <v>100</v>
      </c>
      <c r="DI256" s="2" t="n">
        <v>97</v>
      </c>
      <c r="DJ256" s="2" t="n">
        <v>100</v>
      </c>
      <c r="DK256" s="2" t="n">
        <v>100</v>
      </c>
      <c r="DL256" s="2" t="n">
        <v>97</v>
      </c>
      <c r="DM256" s="2" t="n">
        <v>100</v>
      </c>
      <c r="DN256" s="2" t="n">
        <v>100</v>
      </c>
      <c r="DO256" s="2" t="n">
        <v>97</v>
      </c>
      <c r="DP256" s="2" t="n">
        <v>100</v>
      </c>
      <c r="DQ256" s="2" t="n">
        <v>100</v>
      </c>
      <c r="DR256" s="2" t="n">
        <v>97</v>
      </c>
      <c r="DS256" s="2" t="n">
        <v>100</v>
      </c>
      <c r="DT256" s="2" t="n">
        <v>100</v>
      </c>
      <c r="DU256" s="2" t="n">
        <v>97</v>
      </c>
      <c r="DV256" s="2" t="n">
        <v>100</v>
      </c>
      <c r="DW256" s="2" t="n">
        <v>100</v>
      </c>
      <c r="DX256" s="2" t="n">
        <v>97</v>
      </c>
      <c r="DY256" s="2" t="n">
        <v>100</v>
      </c>
      <c r="DZ256" s="2" t="n">
        <v>100</v>
      </c>
      <c r="EA256" s="2" t="n">
        <v>97</v>
      </c>
      <c r="EB256" s="2" t="n">
        <v>100</v>
      </c>
      <c r="EC256" s="2" t="n">
        <v>100</v>
      </c>
      <c r="ED256" s="2" t="n">
        <v>97</v>
      </c>
      <c r="EE256" s="2" t="n">
        <v>100</v>
      </c>
      <c r="EF256" s="2" t="n">
        <v>100</v>
      </c>
      <c r="EG256" s="2" t="n">
        <v>97</v>
      </c>
      <c r="EH256" s="2" t="n">
        <v>100</v>
      </c>
      <c r="EI256" s="2" t="n">
        <v>100</v>
      </c>
      <c r="EJ256" s="2" t="n">
        <v>97</v>
      </c>
      <c r="EK256" s="2" t="n">
        <v>100</v>
      </c>
      <c r="EL256" s="2" t="n">
        <v>100</v>
      </c>
      <c r="EM256" s="2" t="n">
        <v>97</v>
      </c>
      <c r="EN256" s="2" t="n">
        <v>100</v>
      </c>
      <c r="EO256" s="2" t="n">
        <v>100</v>
      </c>
      <c r="EP256" s="2" t="n">
        <v>97</v>
      </c>
      <c r="EQ256" s="2" t="n">
        <v>100</v>
      </c>
      <c r="ER256" s="2" t="n">
        <v>100</v>
      </c>
      <c r="ES256" s="2" t="n">
        <v>97</v>
      </c>
    </row>
    <row r="257">
      <c r="A257" s="2" t="n">
        <v>3</v>
      </c>
      <c r="B257" s="2" t="inlineStr">
        <is>
          <t>13.01.10</t>
        </is>
      </c>
      <c r="C257" s="2" t="inlineStr">
        <is>
          <t>Embocamento</t>
        </is>
      </c>
      <c r="D257" s="2" t="inlineStr">
        <is>
          <t>21/07/2025</t>
        </is>
      </c>
      <c r="E257" s="2" t="inlineStr">
        <is>
          <t>14/08/2025</t>
        </is>
      </c>
      <c r="F257" s="2" t="n">
        <v>7200</v>
      </c>
      <c r="G257" s="2" t="n">
        <v>0</v>
      </c>
      <c r="H257" s="2" t="n">
        <v>7200</v>
      </c>
      <c r="I257" s="2" t="n">
        <v>0</v>
      </c>
      <c r="J257" s="2" t="n">
        <v>0</v>
      </c>
      <c r="K257" s="2" t="n">
        <v>0</v>
      </c>
      <c r="L257" s="2" t="n">
        <v>47.37</v>
      </c>
      <c r="M257" s="2" t="n">
        <v>47.37</v>
      </c>
      <c r="N257" s="2" t="n">
        <v>0</v>
      </c>
      <c r="O257" s="2" t="n">
        <v>100</v>
      </c>
      <c r="P257" s="2" t="n">
        <v>100</v>
      </c>
      <c r="Q257" s="2" t="n">
        <v>0</v>
      </c>
      <c r="R257" s="2" t="n">
        <v>100</v>
      </c>
      <c r="S257" s="2" t="n">
        <v>100</v>
      </c>
      <c r="T257" s="2" t="n">
        <v>71</v>
      </c>
      <c r="U257" s="2" t="n">
        <v>100</v>
      </c>
      <c r="V257" s="2" t="n">
        <v>100</v>
      </c>
      <c r="W257" s="2" t="n">
        <v>71</v>
      </c>
      <c r="X257" s="2" t="n">
        <v>100</v>
      </c>
      <c r="Y257" s="2" t="n">
        <v>100</v>
      </c>
      <c r="Z257" s="2" t="n">
        <v>71</v>
      </c>
      <c r="AA257" s="2" t="n">
        <v>100</v>
      </c>
      <c r="AB257" s="2" t="n">
        <v>100</v>
      </c>
      <c r="AC257" s="2" t="n">
        <v>71</v>
      </c>
      <c r="AD257" s="2" t="n">
        <v>100</v>
      </c>
      <c r="AE257" s="2" t="n">
        <v>100</v>
      </c>
      <c r="AF257" s="2" t="n">
        <v>71</v>
      </c>
      <c r="AG257" s="2" t="n">
        <v>100</v>
      </c>
      <c r="AH257" s="2" t="n">
        <v>100</v>
      </c>
      <c r="AI257" s="2" t="n">
        <v>71</v>
      </c>
      <c r="AJ257" s="2" t="n">
        <v>100</v>
      </c>
      <c r="AK257" s="2" t="n">
        <v>100</v>
      </c>
      <c r="AL257" s="2" t="n">
        <v>71</v>
      </c>
      <c r="AM257" s="2" t="n">
        <v>100</v>
      </c>
      <c r="AN257" s="2" t="n">
        <v>100</v>
      </c>
      <c r="AO257" s="2" t="n">
        <v>71</v>
      </c>
      <c r="AP257" s="2" t="n">
        <v>100</v>
      </c>
      <c r="AQ257" s="2" t="n">
        <v>100</v>
      </c>
      <c r="AR257" s="2" t="n">
        <v>92.41</v>
      </c>
      <c r="AS257" s="2" t="n">
        <v>100</v>
      </c>
      <c r="AT257" s="2" t="n">
        <v>100</v>
      </c>
      <c r="AU257" s="2" t="n">
        <v>97.29000000000001</v>
      </c>
      <c r="AV257" s="2" t="n">
        <v>100</v>
      </c>
      <c r="AW257" s="2" t="n">
        <v>100</v>
      </c>
      <c r="AX257" s="2" t="n">
        <v>97</v>
      </c>
      <c r="AY257" s="2" t="n">
        <v>100</v>
      </c>
      <c r="AZ257" s="2" t="n">
        <v>100</v>
      </c>
      <c r="BA257" s="2" t="n">
        <v>97</v>
      </c>
      <c r="BB257" s="2" t="n">
        <v>100</v>
      </c>
      <c r="BC257" s="2" t="n">
        <v>100</v>
      </c>
      <c r="BD257" s="2" t="n">
        <v>97</v>
      </c>
      <c r="BE257" s="2" t="n">
        <v>100</v>
      </c>
      <c r="BF257" s="2" t="n">
        <v>100</v>
      </c>
      <c r="BG257" s="2" t="n">
        <v>97</v>
      </c>
      <c r="BH257" s="2" t="n">
        <v>100</v>
      </c>
      <c r="BI257" s="2" t="n">
        <v>100</v>
      </c>
      <c r="BJ257" s="2" t="n">
        <v>97</v>
      </c>
      <c r="BK257" s="2" t="n">
        <v>100</v>
      </c>
      <c r="BL257" s="2" t="n">
        <v>100</v>
      </c>
      <c r="BM257" s="2" t="n">
        <v>97</v>
      </c>
      <c r="BN257" s="2" t="n">
        <v>100</v>
      </c>
      <c r="BO257" s="2" t="n">
        <v>100</v>
      </c>
      <c r="BP257" s="2" t="n">
        <v>97</v>
      </c>
      <c r="BQ257" s="2" t="n">
        <v>100</v>
      </c>
      <c r="BR257" s="2" t="n">
        <v>100</v>
      </c>
      <c r="BS257" s="2" t="n">
        <v>97</v>
      </c>
      <c r="BT257" s="2" t="n">
        <v>100</v>
      </c>
      <c r="BU257" s="2" t="n">
        <v>100</v>
      </c>
      <c r="BV257" s="2" t="n">
        <v>97</v>
      </c>
      <c r="BW257" s="2" t="n">
        <v>100</v>
      </c>
      <c r="BX257" s="2" t="n">
        <v>100</v>
      </c>
      <c r="BY257" s="2" t="n">
        <v>97</v>
      </c>
      <c r="BZ257" s="2" t="n">
        <v>100</v>
      </c>
      <c r="CA257" s="2" t="n">
        <v>100</v>
      </c>
      <c r="CB257" s="2" t="n">
        <v>97</v>
      </c>
      <c r="CC257" s="2" t="n">
        <v>100</v>
      </c>
      <c r="CD257" s="2" t="n">
        <v>100</v>
      </c>
      <c r="CE257" s="2" t="n">
        <v>97</v>
      </c>
      <c r="CF257" s="2" t="n">
        <v>100</v>
      </c>
      <c r="CG257" s="2" t="n">
        <v>100</v>
      </c>
      <c r="CH257" s="2" t="n">
        <v>97</v>
      </c>
      <c r="CI257" s="2" t="n">
        <v>100</v>
      </c>
      <c r="CJ257" s="2" t="n">
        <v>100</v>
      </c>
      <c r="CK257" s="2" t="n">
        <v>97</v>
      </c>
      <c r="CL257" s="2" t="n">
        <v>100</v>
      </c>
      <c r="CM257" s="2" t="n">
        <v>100</v>
      </c>
      <c r="CN257" s="2" t="n">
        <v>97</v>
      </c>
      <c r="CO257" s="2" t="n">
        <v>100</v>
      </c>
      <c r="CP257" s="2" t="n">
        <v>100</v>
      </c>
      <c r="CQ257" s="2" t="n">
        <v>97</v>
      </c>
      <c r="CR257" s="2" t="n">
        <v>100</v>
      </c>
      <c r="CS257" s="2" t="n">
        <v>100</v>
      </c>
      <c r="CT257" s="2" t="n">
        <v>97</v>
      </c>
      <c r="CU257" s="2" t="n">
        <v>100</v>
      </c>
      <c r="CV257" s="2" t="n">
        <v>100</v>
      </c>
      <c r="CW257" s="2" t="n">
        <v>97</v>
      </c>
      <c r="CX257" s="2" t="n">
        <v>100</v>
      </c>
      <c r="CY257" s="2" t="n">
        <v>100</v>
      </c>
      <c r="CZ257" s="2" t="n">
        <v>97</v>
      </c>
      <c r="DA257" s="2" t="n">
        <v>100</v>
      </c>
      <c r="DB257" s="2" t="n">
        <v>100</v>
      </c>
      <c r="DC257" s="2" t="n">
        <v>97</v>
      </c>
      <c r="DD257" s="2" t="n">
        <v>100</v>
      </c>
      <c r="DE257" s="2" t="n">
        <v>100</v>
      </c>
      <c r="DF257" s="2" t="n">
        <v>97</v>
      </c>
      <c r="DG257" s="2" t="n">
        <v>100</v>
      </c>
      <c r="DH257" s="2" t="n">
        <v>100</v>
      </c>
      <c r="DI257" s="2" t="n">
        <v>97</v>
      </c>
      <c r="DJ257" s="2" t="n">
        <v>100</v>
      </c>
      <c r="DK257" s="2" t="n">
        <v>100</v>
      </c>
      <c r="DL257" s="2" t="n">
        <v>97</v>
      </c>
      <c r="DM257" s="2" t="n">
        <v>100</v>
      </c>
      <c r="DN257" s="2" t="n">
        <v>100</v>
      </c>
      <c r="DO257" s="2" t="n">
        <v>97</v>
      </c>
      <c r="DP257" s="2" t="n">
        <v>100</v>
      </c>
      <c r="DQ257" s="2" t="n">
        <v>100</v>
      </c>
      <c r="DR257" s="2" t="n">
        <v>97</v>
      </c>
      <c r="DS257" s="2" t="n">
        <v>100</v>
      </c>
      <c r="DT257" s="2" t="n">
        <v>100</v>
      </c>
      <c r="DU257" s="2" t="n">
        <v>97</v>
      </c>
      <c r="DV257" s="2" t="n">
        <v>100</v>
      </c>
      <c r="DW257" s="2" t="n">
        <v>100</v>
      </c>
      <c r="DX257" s="2" t="n">
        <v>97</v>
      </c>
      <c r="DY257" s="2" t="n">
        <v>100</v>
      </c>
      <c r="DZ257" s="2" t="n">
        <v>100</v>
      </c>
      <c r="EA257" s="2" t="n">
        <v>97</v>
      </c>
      <c r="EB257" s="2" t="n">
        <v>100</v>
      </c>
      <c r="EC257" s="2" t="n">
        <v>100</v>
      </c>
      <c r="ED257" s="2" t="n">
        <v>97</v>
      </c>
      <c r="EE257" s="2" t="n">
        <v>100</v>
      </c>
      <c r="EF257" s="2" t="n">
        <v>100</v>
      </c>
      <c r="EG257" s="2" t="n">
        <v>97</v>
      </c>
      <c r="EH257" s="2" t="n">
        <v>100</v>
      </c>
      <c r="EI257" s="2" t="n">
        <v>100</v>
      </c>
      <c r="EJ257" s="2" t="n">
        <v>97</v>
      </c>
      <c r="EK257" s="2" t="n">
        <v>100</v>
      </c>
      <c r="EL257" s="2" t="n">
        <v>100</v>
      </c>
      <c r="EM257" s="2" t="n">
        <v>97</v>
      </c>
      <c r="EN257" s="2" t="n">
        <v>100</v>
      </c>
      <c r="EO257" s="2" t="n">
        <v>100</v>
      </c>
      <c r="EP257" s="2" t="n">
        <v>97</v>
      </c>
      <c r="EQ257" s="2" t="n">
        <v>100</v>
      </c>
      <c r="ER257" s="2" t="n">
        <v>100</v>
      </c>
      <c r="ES257" s="2" t="n">
        <v>97</v>
      </c>
    </row>
    <row r="258">
      <c r="A258" s="2" t="n">
        <v>3</v>
      </c>
      <c r="B258" s="2" t="inlineStr">
        <is>
          <t>13.01.11</t>
        </is>
      </c>
      <c r="C258" s="2" t="inlineStr">
        <is>
          <t>Estacas para a contenção do bloco do elevador</t>
        </is>
      </c>
      <c r="D258" s="2" t="inlineStr">
        <is>
          <t>21/07/2025</t>
        </is>
      </c>
      <c r="E258" s="2" t="inlineStr">
        <is>
          <t>14/08/2025</t>
        </is>
      </c>
      <c r="F258" s="2" t="n">
        <v>275850</v>
      </c>
      <c r="G258" s="2" t="n">
        <v>0</v>
      </c>
      <c r="H258" s="2" t="n">
        <v>275850</v>
      </c>
      <c r="I258" s="2" t="n">
        <v>0</v>
      </c>
      <c r="J258" s="2" t="n">
        <v>0</v>
      </c>
      <c r="K258" s="2" t="n">
        <v>0</v>
      </c>
      <c r="L258" s="2" t="n">
        <v>47.37</v>
      </c>
      <c r="M258" s="2" t="n">
        <v>47.37</v>
      </c>
      <c r="N258" s="2" t="n">
        <v>0</v>
      </c>
      <c r="O258" s="2" t="n">
        <v>100</v>
      </c>
      <c r="P258" s="2" t="n">
        <v>100</v>
      </c>
      <c r="Q258" s="2" t="n">
        <v>0</v>
      </c>
      <c r="R258" s="2" t="n">
        <v>100</v>
      </c>
      <c r="S258" s="2" t="n">
        <v>100</v>
      </c>
      <c r="T258" s="2" t="n">
        <v>71</v>
      </c>
      <c r="U258" s="2" t="n">
        <v>100</v>
      </c>
      <c r="V258" s="2" t="n">
        <v>100</v>
      </c>
      <c r="W258" s="2" t="n">
        <v>71</v>
      </c>
      <c r="X258" s="2" t="n">
        <v>100</v>
      </c>
      <c r="Y258" s="2" t="n">
        <v>100</v>
      </c>
      <c r="Z258" s="2" t="n">
        <v>71</v>
      </c>
      <c r="AA258" s="2" t="n">
        <v>100</v>
      </c>
      <c r="AB258" s="2" t="n">
        <v>100</v>
      </c>
      <c r="AC258" s="2" t="n">
        <v>71</v>
      </c>
      <c r="AD258" s="2" t="n">
        <v>100</v>
      </c>
      <c r="AE258" s="2" t="n">
        <v>100</v>
      </c>
      <c r="AF258" s="2" t="n">
        <v>71</v>
      </c>
      <c r="AG258" s="2" t="n">
        <v>100</v>
      </c>
      <c r="AH258" s="2" t="n">
        <v>100</v>
      </c>
      <c r="AI258" s="2" t="n">
        <v>71</v>
      </c>
      <c r="AJ258" s="2" t="n">
        <v>100</v>
      </c>
      <c r="AK258" s="2" t="n">
        <v>100</v>
      </c>
      <c r="AL258" s="2" t="n">
        <v>71</v>
      </c>
      <c r="AM258" s="2" t="n">
        <v>100</v>
      </c>
      <c r="AN258" s="2" t="n">
        <v>100</v>
      </c>
      <c r="AO258" s="2" t="n">
        <v>71</v>
      </c>
      <c r="AP258" s="2" t="n">
        <v>100</v>
      </c>
      <c r="AQ258" s="2" t="n">
        <v>100</v>
      </c>
      <c r="AR258" s="2" t="n">
        <v>92.41</v>
      </c>
      <c r="AS258" s="2" t="n">
        <v>100</v>
      </c>
      <c r="AT258" s="2" t="n">
        <v>100</v>
      </c>
      <c r="AU258" s="2" t="n">
        <v>97.29000000000001</v>
      </c>
      <c r="AV258" s="2" t="n">
        <v>100</v>
      </c>
      <c r="AW258" s="2" t="n">
        <v>100</v>
      </c>
      <c r="AX258" s="2" t="n">
        <v>97</v>
      </c>
      <c r="AY258" s="2" t="n">
        <v>100</v>
      </c>
      <c r="AZ258" s="2" t="n">
        <v>100</v>
      </c>
      <c r="BA258" s="2" t="n">
        <v>97</v>
      </c>
      <c r="BB258" s="2" t="n">
        <v>100</v>
      </c>
      <c r="BC258" s="2" t="n">
        <v>100</v>
      </c>
      <c r="BD258" s="2" t="n">
        <v>97</v>
      </c>
      <c r="BE258" s="2" t="n">
        <v>100</v>
      </c>
      <c r="BF258" s="2" t="n">
        <v>100</v>
      </c>
      <c r="BG258" s="2" t="n">
        <v>97</v>
      </c>
      <c r="BH258" s="2" t="n">
        <v>100</v>
      </c>
      <c r="BI258" s="2" t="n">
        <v>100</v>
      </c>
      <c r="BJ258" s="2" t="n">
        <v>97</v>
      </c>
      <c r="BK258" s="2" t="n">
        <v>100</v>
      </c>
      <c r="BL258" s="2" t="n">
        <v>100</v>
      </c>
      <c r="BM258" s="2" t="n">
        <v>97</v>
      </c>
      <c r="BN258" s="2" t="n">
        <v>100</v>
      </c>
      <c r="BO258" s="2" t="n">
        <v>100</v>
      </c>
      <c r="BP258" s="2" t="n">
        <v>97</v>
      </c>
      <c r="BQ258" s="2" t="n">
        <v>100</v>
      </c>
      <c r="BR258" s="2" t="n">
        <v>100</v>
      </c>
      <c r="BS258" s="2" t="n">
        <v>97</v>
      </c>
      <c r="BT258" s="2" t="n">
        <v>100</v>
      </c>
      <c r="BU258" s="2" t="n">
        <v>100</v>
      </c>
      <c r="BV258" s="2" t="n">
        <v>97</v>
      </c>
      <c r="BW258" s="2" t="n">
        <v>100</v>
      </c>
      <c r="BX258" s="2" t="n">
        <v>100</v>
      </c>
      <c r="BY258" s="2" t="n">
        <v>97</v>
      </c>
      <c r="BZ258" s="2" t="n">
        <v>100</v>
      </c>
      <c r="CA258" s="2" t="n">
        <v>100</v>
      </c>
      <c r="CB258" s="2" t="n">
        <v>97</v>
      </c>
      <c r="CC258" s="2" t="n">
        <v>100</v>
      </c>
      <c r="CD258" s="2" t="n">
        <v>100</v>
      </c>
      <c r="CE258" s="2" t="n">
        <v>97</v>
      </c>
      <c r="CF258" s="2" t="n">
        <v>100</v>
      </c>
      <c r="CG258" s="2" t="n">
        <v>100</v>
      </c>
      <c r="CH258" s="2" t="n">
        <v>97</v>
      </c>
      <c r="CI258" s="2" t="n">
        <v>100</v>
      </c>
      <c r="CJ258" s="2" t="n">
        <v>100</v>
      </c>
      <c r="CK258" s="2" t="n">
        <v>97</v>
      </c>
      <c r="CL258" s="2" t="n">
        <v>100</v>
      </c>
      <c r="CM258" s="2" t="n">
        <v>100</v>
      </c>
      <c r="CN258" s="2" t="n">
        <v>97</v>
      </c>
      <c r="CO258" s="2" t="n">
        <v>100</v>
      </c>
      <c r="CP258" s="2" t="n">
        <v>100</v>
      </c>
      <c r="CQ258" s="2" t="n">
        <v>97</v>
      </c>
      <c r="CR258" s="2" t="n">
        <v>100</v>
      </c>
      <c r="CS258" s="2" t="n">
        <v>100</v>
      </c>
      <c r="CT258" s="2" t="n">
        <v>97</v>
      </c>
      <c r="CU258" s="2" t="n">
        <v>100</v>
      </c>
      <c r="CV258" s="2" t="n">
        <v>100</v>
      </c>
      <c r="CW258" s="2" t="n">
        <v>97</v>
      </c>
      <c r="CX258" s="2" t="n">
        <v>100</v>
      </c>
      <c r="CY258" s="2" t="n">
        <v>100</v>
      </c>
      <c r="CZ258" s="2" t="n">
        <v>97</v>
      </c>
      <c r="DA258" s="2" t="n">
        <v>100</v>
      </c>
      <c r="DB258" s="2" t="n">
        <v>100</v>
      </c>
      <c r="DC258" s="2" t="n">
        <v>97</v>
      </c>
      <c r="DD258" s="2" t="n">
        <v>100</v>
      </c>
      <c r="DE258" s="2" t="n">
        <v>100</v>
      </c>
      <c r="DF258" s="2" t="n">
        <v>97</v>
      </c>
      <c r="DG258" s="2" t="n">
        <v>100</v>
      </c>
      <c r="DH258" s="2" t="n">
        <v>100</v>
      </c>
      <c r="DI258" s="2" t="n">
        <v>97</v>
      </c>
      <c r="DJ258" s="2" t="n">
        <v>100</v>
      </c>
      <c r="DK258" s="2" t="n">
        <v>100</v>
      </c>
      <c r="DL258" s="2" t="n">
        <v>97</v>
      </c>
      <c r="DM258" s="2" t="n">
        <v>100</v>
      </c>
      <c r="DN258" s="2" t="n">
        <v>100</v>
      </c>
      <c r="DO258" s="2" t="n">
        <v>97</v>
      </c>
      <c r="DP258" s="2" t="n">
        <v>100</v>
      </c>
      <c r="DQ258" s="2" t="n">
        <v>100</v>
      </c>
      <c r="DR258" s="2" t="n">
        <v>97</v>
      </c>
      <c r="DS258" s="2" t="n">
        <v>100</v>
      </c>
      <c r="DT258" s="2" t="n">
        <v>100</v>
      </c>
      <c r="DU258" s="2" t="n">
        <v>97</v>
      </c>
      <c r="DV258" s="2" t="n">
        <v>100</v>
      </c>
      <c r="DW258" s="2" t="n">
        <v>100</v>
      </c>
      <c r="DX258" s="2" t="n">
        <v>97</v>
      </c>
      <c r="DY258" s="2" t="n">
        <v>100</v>
      </c>
      <c r="DZ258" s="2" t="n">
        <v>100</v>
      </c>
      <c r="EA258" s="2" t="n">
        <v>97</v>
      </c>
      <c r="EB258" s="2" t="n">
        <v>100</v>
      </c>
      <c r="EC258" s="2" t="n">
        <v>100</v>
      </c>
      <c r="ED258" s="2" t="n">
        <v>97</v>
      </c>
      <c r="EE258" s="2" t="n">
        <v>100</v>
      </c>
      <c r="EF258" s="2" t="n">
        <v>100</v>
      </c>
      <c r="EG258" s="2" t="n">
        <v>97</v>
      </c>
      <c r="EH258" s="2" t="n">
        <v>100</v>
      </c>
      <c r="EI258" s="2" t="n">
        <v>100</v>
      </c>
      <c r="EJ258" s="2" t="n">
        <v>97</v>
      </c>
      <c r="EK258" s="2" t="n">
        <v>100</v>
      </c>
      <c r="EL258" s="2" t="n">
        <v>100</v>
      </c>
      <c r="EM258" s="2" t="n">
        <v>97</v>
      </c>
      <c r="EN258" s="2" t="n">
        <v>100</v>
      </c>
      <c r="EO258" s="2" t="n">
        <v>100</v>
      </c>
      <c r="EP258" s="2" t="n">
        <v>97</v>
      </c>
      <c r="EQ258" s="2" t="n">
        <v>100</v>
      </c>
      <c r="ER258" s="2" t="n">
        <v>100</v>
      </c>
      <c r="ES258" s="2" t="n">
        <v>97</v>
      </c>
    </row>
    <row r="259">
      <c r="A259" s="2" t="n">
        <v>3</v>
      </c>
      <c r="B259" s="2" t="inlineStr">
        <is>
          <t>13.01.12</t>
        </is>
      </c>
      <c r="C259" s="2" t="inlineStr">
        <is>
          <t>Contenção em solo grampeado para igreja provisória</t>
        </is>
      </c>
      <c r="D259" s="2" t="inlineStr">
        <is>
          <t>21/07/2025</t>
        </is>
      </c>
      <c r="E259" s="2" t="inlineStr">
        <is>
          <t>14/08/2025</t>
        </is>
      </c>
      <c r="F259" s="2" t="n">
        <v>24000</v>
      </c>
      <c r="G259" s="2" t="n">
        <v>0</v>
      </c>
      <c r="H259" s="2" t="n">
        <v>24000</v>
      </c>
      <c r="I259" s="2" t="n">
        <v>0</v>
      </c>
      <c r="J259" s="2" t="n">
        <v>0</v>
      </c>
      <c r="K259" s="2" t="n">
        <v>0</v>
      </c>
      <c r="L259" s="2" t="n">
        <v>47.37</v>
      </c>
      <c r="M259" s="2" t="n">
        <v>47.37</v>
      </c>
      <c r="N259" s="2" t="n">
        <v>0</v>
      </c>
      <c r="O259" s="2" t="n">
        <v>100</v>
      </c>
      <c r="P259" s="2" t="n">
        <v>100</v>
      </c>
      <c r="Q259" s="2" t="n">
        <v>0</v>
      </c>
      <c r="R259" s="2" t="n">
        <v>100</v>
      </c>
      <c r="S259" s="2" t="n">
        <v>100</v>
      </c>
      <c r="T259" s="2" t="n">
        <v>71</v>
      </c>
      <c r="U259" s="2" t="n">
        <v>100</v>
      </c>
      <c r="V259" s="2" t="n">
        <v>100</v>
      </c>
      <c r="W259" s="2" t="n">
        <v>71</v>
      </c>
      <c r="X259" s="2" t="n">
        <v>100</v>
      </c>
      <c r="Y259" s="2" t="n">
        <v>100</v>
      </c>
      <c r="Z259" s="2" t="n">
        <v>71</v>
      </c>
      <c r="AA259" s="2" t="n">
        <v>100</v>
      </c>
      <c r="AB259" s="2" t="n">
        <v>100</v>
      </c>
      <c r="AC259" s="2" t="n">
        <v>71</v>
      </c>
      <c r="AD259" s="2" t="n">
        <v>100</v>
      </c>
      <c r="AE259" s="2" t="n">
        <v>100</v>
      </c>
      <c r="AF259" s="2" t="n">
        <v>71</v>
      </c>
      <c r="AG259" s="2" t="n">
        <v>100</v>
      </c>
      <c r="AH259" s="2" t="n">
        <v>100</v>
      </c>
      <c r="AI259" s="2" t="n">
        <v>71</v>
      </c>
      <c r="AJ259" s="2" t="n">
        <v>100</v>
      </c>
      <c r="AK259" s="2" t="n">
        <v>100</v>
      </c>
      <c r="AL259" s="2" t="n">
        <v>71</v>
      </c>
      <c r="AM259" s="2" t="n">
        <v>100</v>
      </c>
      <c r="AN259" s="2" t="n">
        <v>100</v>
      </c>
      <c r="AO259" s="2" t="n">
        <v>71</v>
      </c>
      <c r="AP259" s="2" t="n">
        <v>100</v>
      </c>
      <c r="AQ259" s="2" t="n">
        <v>100</v>
      </c>
      <c r="AR259" s="2" t="n">
        <v>92.41</v>
      </c>
      <c r="AS259" s="2" t="n">
        <v>100</v>
      </c>
      <c r="AT259" s="2" t="n">
        <v>100</v>
      </c>
      <c r="AU259" s="2" t="n">
        <v>97.29000000000001</v>
      </c>
      <c r="AV259" s="2" t="n">
        <v>100</v>
      </c>
      <c r="AW259" s="2" t="n">
        <v>100</v>
      </c>
      <c r="AX259" s="2" t="n">
        <v>97</v>
      </c>
      <c r="AY259" s="2" t="n">
        <v>100</v>
      </c>
      <c r="AZ259" s="2" t="n">
        <v>100</v>
      </c>
      <c r="BA259" s="2" t="n">
        <v>97</v>
      </c>
      <c r="BB259" s="2" t="n">
        <v>100</v>
      </c>
      <c r="BC259" s="2" t="n">
        <v>100</v>
      </c>
      <c r="BD259" s="2" t="n">
        <v>97</v>
      </c>
      <c r="BE259" s="2" t="n">
        <v>100</v>
      </c>
      <c r="BF259" s="2" t="n">
        <v>100</v>
      </c>
      <c r="BG259" s="2" t="n">
        <v>97</v>
      </c>
      <c r="BH259" s="2" t="n">
        <v>100</v>
      </c>
      <c r="BI259" s="2" t="n">
        <v>100</v>
      </c>
      <c r="BJ259" s="2" t="n">
        <v>97</v>
      </c>
      <c r="BK259" s="2" t="n">
        <v>100</v>
      </c>
      <c r="BL259" s="2" t="n">
        <v>100</v>
      </c>
      <c r="BM259" s="2" t="n">
        <v>97</v>
      </c>
      <c r="BN259" s="2" t="n">
        <v>100</v>
      </c>
      <c r="BO259" s="2" t="n">
        <v>100</v>
      </c>
      <c r="BP259" s="2" t="n">
        <v>97</v>
      </c>
      <c r="BQ259" s="2" t="n">
        <v>100</v>
      </c>
      <c r="BR259" s="2" t="n">
        <v>100</v>
      </c>
      <c r="BS259" s="2" t="n">
        <v>97</v>
      </c>
      <c r="BT259" s="2" t="n">
        <v>100</v>
      </c>
      <c r="BU259" s="2" t="n">
        <v>100</v>
      </c>
      <c r="BV259" s="2" t="n">
        <v>97</v>
      </c>
      <c r="BW259" s="2" t="n">
        <v>100</v>
      </c>
      <c r="BX259" s="2" t="n">
        <v>100</v>
      </c>
      <c r="BY259" s="2" t="n">
        <v>97</v>
      </c>
      <c r="BZ259" s="2" t="n">
        <v>100</v>
      </c>
      <c r="CA259" s="2" t="n">
        <v>100</v>
      </c>
      <c r="CB259" s="2" t="n">
        <v>97</v>
      </c>
      <c r="CC259" s="2" t="n">
        <v>100</v>
      </c>
      <c r="CD259" s="2" t="n">
        <v>100</v>
      </c>
      <c r="CE259" s="2" t="n">
        <v>97</v>
      </c>
      <c r="CF259" s="2" t="n">
        <v>100</v>
      </c>
      <c r="CG259" s="2" t="n">
        <v>100</v>
      </c>
      <c r="CH259" s="2" t="n">
        <v>97</v>
      </c>
      <c r="CI259" s="2" t="n">
        <v>100</v>
      </c>
      <c r="CJ259" s="2" t="n">
        <v>100</v>
      </c>
      <c r="CK259" s="2" t="n">
        <v>97</v>
      </c>
      <c r="CL259" s="2" t="n">
        <v>100</v>
      </c>
      <c r="CM259" s="2" t="n">
        <v>100</v>
      </c>
      <c r="CN259" s="2" t="n">
        <v>97</v>
      </c>
      <c r="CO259" s="2" t="n">
        <v>100</v>
      </c>
      <c r="CP259" s="2" t="n">
        <v>100</v>
      </c>
      <c r="CQ259" s="2" t="n">
        <v>97</v>
      </c>
      <c r="CR259" s="2" t="n">
        <v>100</v>
      </c>
      <c r="CS259" s="2" t="n">
        <v>100</v>
      </c>
      <c r="CT259" s="2" t="n">
        <v>97</v>
      </c>
      <c r="CU259" s="2" t="n">
        <v>100</v>
      </c>
      <c r="CV259" s="2" t="n">
        <v>100</v>
      </c>
      <c r="CW259" s="2" t="n">
        <v>97</v>
      </c>
      <c r="CX259" s="2" t="n">
        <v>100</v>
      </c>
      <c r="CY259" s="2" t="n">
        <v>100</v>
      </c>
      <c r="CZ259" s="2" t="n">
        <v>97</v>
      </c>
      <c r="DA259" s="2" t="n">
        <v>100</v>
      </c>
      <c r="DB259" s="2" t="n">
        <v>100</v>
      </c>
      <c r="DC259" s="2" t="n">
        <v>97</v>
      </c>
      <c r="DD259" s="2" t="n">
        <v>100</v>
      </c>
      <c r="DE259" s="2" t="n">
        <v>100</v>
      </c>
      <c r="DF259" s="2" t="n">
        <v>97</v>
      </c>
      <c r="DG259" s="2" t="n">
        <v>100</v>
      </c>
      <c r="DH259" s="2" t="n">
        <v>100</v>
      </c>
      <c r="DI259" s="2" t="n">
        <v>97</v>
      </c>
      <c r="DJ259" s="2" t="n">
        <v>100</v>
      </c>
      <c r="DK259" s="2" t="n">
        <v>100</v>
      </c>
      <c r="DL259" s="2" t="n">
        <v>97</v>
      </c>
      <c r="DM259" s="2" t="n">
        <v>100</v>
      </c>
      <c r="DN259" s="2" t="n">
        <v>100</v>
      </c>
      <c r="DO259" s="2" t="n">
        <v>97</v>
      </c>
      <c r="DP259" s="2" t="n">
        <v>100</v>
      </c>
      <c r="DQ259" s="2" t="n">
        <v>100</v>
      </c>
      <c r="DR259" s="2" t="n">
        <v>97</v>
      </c>
      <c r="DS259" s="2" t="n">
        <v>100</v>
      </c>
      <c r="DT259" s="2" t="n">
        <v>100</v>
      </c>
      <c r="DU259" s="2" t="n">
        <v>97</v>
      </c>
      <c r="DV259" s="2" t="n">
        <v>100</v>
      </c>
      <c r="DW259" s="2" t="n">
        <v>100</v>
      </c>
      <c r="DX259" s="2" t="n">
        <v>97</v>
      </c>
      <c r="DY259" s="2" t="n">
        <v>100</v>
      </c>
      <c r="DZ259" s="2" t="n">
        <v>100</v>
      </c>
      <c r="EA259" s="2" t="n">
        <v>97</v>
      </c>
      <c r="EB259" s="2" t="n">
        <v>100</v>
      </c>
      <c r="EC259" s="2" t="n">
        <v>100</v>
      </c>
      <c r="ED259" s="2" t="n">
        <v>97</v>
      </c>
      <c r="EE259" s="2" t="n">
        <v>100</v>
      </c>
      <c r="EF259" s="2" t="n">
        <v>100</v>
      </c>
      <c r="EG259" s="2" t="n">
        <v>97</v>
      </c>
      <c r="EH259" s="2" t="n">
        <v>100</v>
      </c>
      <c r="EI259" s="2" t="n">
        <v>100</v>
      </c>
      <c r="EJ259" s="2" t="n">
        <v>97</v>
      </c>
      <c r="EK259" s="2" t="n">
        <v>100</v>
      </c>
      <c r="EL259" s="2" t="n">
        <v>100</v>
      </c>
      <c r="EM259" s="2" t="n">
        <v>97</v>
      </c>
      <c r="EN259" s="2" t="n">
        <v>100</v>
      </c>
      <c r="EO259" s="2" t="n">
        <v>100</v>
      </c>
      <c r="EP259" s="2" t="n">
        <v>97</v>
      </c>
      <c r="EQ259" s="2" t="n">
        <v>100</v>
      </c>
      <c r="ER259" s="2" t="n">
        <v>100</v>
      </c>
      <c r="ES259" s="2" t="n">
        <v>97</v>
      </c>
    </row>
    <row r="260">
      <c r="A260" s="2" t="n">
        <v>2</v>
      </c>
      <c r="B260" s="2" t="inlineStr">
        <is>
          <t>13.02</t>
        </is>
      </c>
      <c r="C260" s="2" t="inlineStr">
        <is>
          <t>Viga de equalização de movimentos</t>
        </is>
      </c>
      <c r="D260" s="2" t="inlineStr">
        <is>
          <t>01/09/2025</t>
        </is>
      </c>
      <c r="E260" s="2" t="inlineStr">
        <is>
          <t>27/10/2025</t>
        </is>
      </c>
      <c r="F260" s="2" t="n">
        <v>140024.096915142</v>
      </c>
      <c r="G260" s="2" t="n">
        <v>0</v>
      </c>
      <c r="H260" s="2" t="n">
        <v>140024.096915142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45</v>
      </c>
      <c r="S260" s="2" t="n">
        <v>45</v>
      </c>
      <c r="T260" s="2" t="n">
        <v>48.33</v>
      </c>
      <c r="U260" s="2" t="n">
        <v>100</v>
      </c>
      <c r="V260" s="2" t="n">
        <v>100</v>
      </c>
      <c r="W260" s="2" t="n">
        <v>100</v>
      </c>
      <c r="X260" s="2" t="n">
        <v>100</v>
      </c>
      <c r="Y260" s="2" t="n">
        <v>100</v>
      </c>
      <c r="Z260" s="2" t="n">
        <v>100</v>
      </c>
      <c r="AA260" s="2" t="n">
        <v>100</v>
      </c>
      <c r="AB260" s="2" t="n">
        <v>100</v>
      </c>
      <c r="AC260" s="2" t="n">
        <v>100</v>
      </c>
      <c r="AD260" s="2" t="n">
        <v>100</v>
      </c>
      <c r="AE260" s="2" t="n">
        <v>100</v>
      </c>
      <c r="AF260" s="2" t="n">
        <v>100</v>
      </c>
      <c r="AG260" s="2" t="n">
        <v>100</v>
      </c>
      <c r="AH260" s="2" t="n">
        <v>100</v>
      </c>
      <c r="AI260" s="2" t="n">
        <v>100</v>
      </c>
      <c r="AJ260" s="2" t="n">
        <v>100</v>
      </c>
      <c r="AK260" s="2" t="n">
        <v>100</v>
      </c>
      <c r="AL260" s="2" t="n">
        <v>100</v>
      </c>
      <c r="AM260" s="2" t="n">
        <v>100</v>
      </c>
      <c r="AN260" s="2" t="n">
        <v>100</v>
      </c>
      <c r="AO260" s="2" t="n">
        <v>100</v>
      </c>
      <c r="AP260" s="2" t="n">
        <v>100</v>
      </c>
      <c r="AQ260" s="2" t="n">
        <v>100</v>
      </c>
      <c r="AR260" s="2" t="n">
        <v>100</v>
      </c>
      <c r="AS260" s="2" t="n">
        <v>100</v>
      </c>
      <c r="AT260" s="2" t="n">
        <v>100</v>
      </c>
      <c r="AU260" s="2" t="n">
        <v>100</v>
      </c>
      <c r="AV260" s="2" t="n">
        <v>100</v>
      </c>
      <c r="AW260" s="2" t="n">
        <v>100</v>
      </c>
      <c r="AX260" s="2" t="n">
        <v>100</v>
      </c>
      <c r="AY260" s="2" t="n">
        <v>100</v>
      </c>
      <c r="AZ260" s="2" t="n">
        <v>100</v>
      </c>
      <c r="BA260" s="2" t="n">
        <v>100</v>
      </c>
      <c r="BB260" s="2" t="n">
        <v>100</v>
      </c>
      <c r="BC260" s="2" t="n">
        <v>100</v>
      </c>
      <c r="BD260" s="2" t="n">
        <v>100</v>
      </c>
      <c r="BE260" s="2" t="n">
        <v>100</v>
      </c>
      <c r="BF260" s="2" t="n">
        <v>100</v>
      </c>
      <c r="BG260" s="2" t="n">
        <v>100</v>
      </c>
      <c r="BH260" s="2" t="n">
        <v>100</v>
      </c>
      <c r="BI260" s="2" t="n">
        <v>100</v>
      </c>
      <c r="BJ260" s="2" t="n">
        <v>100</v>
      </c>
      <c r="BK260" s="2" t="n">
        <v>100</v>
      </c>
      <c r="BL260" s="2" t="n">
        <v>100</v>
      </c>
      <c r="BM260" s="2" t="n">
        <v>100</v>
      </c>
      <c r="BN260" s="2" t="n">
        <v>100</v>
      </c>
      <c r="BO260" s="2" t="n">
        <v>100</v>
      </c>
      <c r="BP260" s="2" t="n">
        <v>100</v>
      </c>
      <c r="BQ260" s="2" t="n">
        <v>100</v>
      </c>
      <c r="BR260" s="2" t="n">
        <v>100</v>
      </c>
      <c r="BS260" s="2" t="n">
        <v>100</v>
      </c>
      <c r="BT260" s="2" t="n">
        <v>100</v>
      </c>
      <c r="BU260" s="2" t="n">
        <v>100</v>
      </c>
      <c r="BV260" s="2" t="n">
        <v>100</v>
      </c>
      <c r="BW260" s="2" t="n">
        <v>100</v>
      </c>
      <c r="BX260" s="2" t="n">
        <v>100</v>
      </c>
      <c r="BY260" s="2" t="n">
        <v>100</v>
      </c>
      <c r="BZ260" s="2" t="n">
        <v>100</v>
      </c>
      <c r="CA260" s="2" t="n">
        <v>100</v>
      </c>
      <c r="CB260" s="2" t="n">
        <v>100</v>
      </c>
      <c r="CC260" s="2" t="n">
        <v>100</v>
      </c>
      <c r="CD260" s="2" t="n">
        <v>100</v>
      </c>
      <c r="CE260" s="2" t="n">
        <v>100</v>
      </c>
      <c r="CF260" s="2" t="n">
        <v>100</v>
      </c>
      <c r="CG260" s="2" t="n">
        <v>100</v>
      </c>
      <c r="CH260" s="2" t="n">
        <v>100</v>
      </c>
      <c r="CI260" s="2" t="n">
        <v>100</v>
      </c>
      <c r="CJ260" s="2" t="n">
        <v>100</v>
      </c>
      <c r="CK260" s="2" t="n">
        <v>100</v>
      </c>
      <c r="CL260" s="2" t="n">
        <v>100</v>
      </c>
      <c r="CM260" s="2" t="n">
        <v>100</v>
      </c>
      <c r="CN260" s="2" t="n">
        <v>100</v>
      </c>
      <c r="CO260" s="2" t="n">
        <v>100</v>
      </c>
      <c r="CP260" s="2" t="n">
        <v>100</v>
      </c>
      <c r="CQ260" s="2" t="n">
        <v>100</v>
      </c>
      <c r="CR260" s="2" t="n">
        <v>100</v>
      </c>
      <c r="CS260" s="2" t="n">
        <v>100</v>
      </c>
      <c r="CT260" s="2" t="n">
        <v>100</v>
      </c>
      <c r="CU260" s="2" t="n">
        <v>100</v>
      </c>
      <c r="CV260" s="2" t="n">
        <v>100</v>
      </c>
      <c r="CW260" s="2" t="n">
        <v>100</v>
      </c>
      <c r="CX260" s="2" t="n">
        <v>100</v>
      </c>
      <c r="CY260" s="2" t="n">
        <v>100</v>
      </c>
      <c r="CZ260" s="2" t="n">
        <v>100</v>
      </c>
      <c r="DA260" s="2" t="n">
        <v>100</v>
      </c>
      <c r="DB260" s="2" t="n">
        <v>100</v>
      </c>
      <c r="DC260" s="2" t="n">
        <v>100</v>
      </c>
      <c r="DD260" s="2" t="n">
        <v>100</v>
      </c>
      <c r="DE260" s="2" t="n">
        <v>100</v>
      </c>
      <c r="DF260" s="2" t="n">
        <v>100</v>
      </c>
      <c r="DG260" s="2" t="n">
        <v>100</v>
      </c>
      <c r="DH260" s="2" t="n">
        <v>100</v>
      </c>
      <c r="DI260" s="2" t="n">
        <v>100</v>
      </c>
      <c r="DJ260" s="2" t="n">
        <v>100</v>
      </c>
      <c r="DK260" s="2" t="n">
        <v>100</v>
      </c>
      <c r="DL260" s="2" t="n">
        <v>100</v>
      </c>
      <c r="DM260" s="2" t="n">
        <v>100</v>
      </c>
      <c r="DN260" s="2" t="n">
        <v>100</v>
      </c>
      <c r="DO260" s="2" t="n">
        <v>100</v>
      </c>
      <c r="DP260" s="2" t="n">
        <v>100</v>
      </c>
      <c r="DQ260" s="2" t="n">
        <v>100</v>
      </c>
      <c r="DR260" s="2" t="n">
        <v>100</v>
      </c>
      <c r="DS260" s="2" t="n">
        <v>100</v>
      </c>
      <c r="DT260" s="2" t="n">
        <v>100</v>
      </c>
      <c r="DU260" s="2" t="n">
        <v>100</v>
      </c>
      <c r="DV260" s="2" t="n">
        <v>100</v>
      </c>
      <c r="DW260" s="2" t="n">
        <v>100</v>
      </c>
      <c r="DX260" s="2" t="n">
        <v>100</v>
      </c>
      <c r="DY260" s="2" t="n">
        <v>100</v>
      </c>
      <c r="DZ260" s="2" t="n">
        <v>100</v>
      </c>
      <c r="EA260" s="2" t="n">
        <v>100</v>
      </c>
      <c r="EB260" s="2" t="n">
        <v>100</v>
      </c>
      <c r="EC260" s="2" t="n">
        <v>100</v>
      </c>
      <c r="ED260" s="2" t="n">
        <v>100</v>
      </c>
      <c r="EE260" s="2" t="n">
        <v>100</v>
      </c>
      <c r="EF260" s="2" t="n">
        <v>100</v>
      </c>
      <c r="EG260" s="2" t="n">
        <v>100</v>
      </c>
      <c r="EH260" s="2" t="n">
        <v>100</v>
      </c>
      <c r="EI260" s="2" t="n">
        <v>100</v>
      </c>
      <c r="EJ260" s="2" t="n">
        <v>100</v>
      </c>
      <c r="EK260" s="2" t="n">
        <v>100</v>
      </c>
      <c r="EL260" s="2" t="n">
        <v>100</v>
      </c>
      <c r="EM260" s="2" t="n">
        <v>100</v>
      </c>
      <c r="EN260" s="2" t="n">
        <v>100</v>
      </c>
      <c r="EO260" s="2" t="n">
        <v>100</v>
      </c>
      <c r="EP260" s="2" t="n">
        <v>100</v>
      </c>
      <c r="EQ260" s="2" t="n">
        <v>100</v>
      </c>
      <c r="ER260" s="2" t="n">
        <v>100</v>
      </c>
      <c r="ES260" s="2" t="n">
        <v>100</v>
      </c>
    </row>
    <row r="261">
      <c r="A261" s="2" t="n">
        <v>3</v>
      </c>
      <c r="B261" s="2" t="inlineStr">
        <is>
          <t>13.02.01</t>
        </is>
      </c>
      <c r="C261" s="2" t="inlineStr">
        <is>
          <t>Formas para vigas</t>
        </is>
      </c>
      <c r="D261" s="2" t="inlineStr">
        <is>
          <t>01/09/2025</t>
        </is>
      </c>
      <c r="E261" s="2" t="inlineStr">
        <is>
          <t>27/10/2025</t>
        </is>
      </c>
      <c r="F261" s="2" t="n">
        <v>39205.05</v>
      </c>
      <c r="G261" s="2" t="n">
        <v>0</v>
      </c>
      <c r="H261" s="2" t="n">
        <v>39205.05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45</v>
      </c>
      <c r="S261" s="2" t="n">
        <v>45</v>
      </c>
      <c r="T261" s="2" t="n">
        <v>48.33</v>
      </c>
      <c r="U261" s="2" t="n">
        <v>100</v>
      </c>
      <c r="V261" s="2" t="n">
        <v>100</v>
      </c>
      <c r="W261" s="2" t="n">
        <v>100</v>
      </c>
      <c r="X261" s="2" t="n">
        <v>100</v>
      </c>
      <c r="Y261" s="2" t="n">
        <v>100</v>
      </c>
      <c r="Z261" s="2" t="n">
        <v>100</v>
      </c>
      <c r="AA261" s="2" t="n">
        <v>100</v>
      </c>
      <c r="AB261" s="2" t="n">
        <v>100</v>
      </c>
      <c r="AC261" s="2" t="n">
        <v>100</v>
      </c>
      <c r="AD261" s="2" t="n">
        <v>100</v>
      </c>
      <c r="AE261" s="2" t="n">
        <v>100</v>
      </c>
      <c r="AF261" s="2" t="n">
        <v>100</v>
      </c>
      <c r="AG261" s="2" t="n">
        <v>100</v>
      </c>
      <c r="AH261" s="2" t="n">
        <v>100</v>
      </c>
      <c r="AI261" s="2" t="n">
        <v>100</v>
      </c>
      <c r="AJ261" s="2" t="n">
        <v>100</v>
      </c>
      <c r="AK261" s="2" t="n">
        <v>100</v>
      </c>
      <c r="AL261" s="2" t="n">
        <v>100</v>
      </c>
      <c r="AM261" s="2" t="n">
        <v>100</v>
      </c>
      <c r="AN261" s="2" t="n">
        <v>100</v>
      </c>
      <c r="AO261" s="2" t="n">
        <v>100</v>
      </c>
      <c r="AP261" s="2" t="n">
        <v>100</v>
      </c>
      <c r="AQ261" s="2" t="n">
        <v>100</v>
      </c>
      <c r="AR261" s="2" t="n">
        <v>100</v>
      </c>
      <c r="AS261" s="2" t="n">
        <v>100</v>
      </c>
      <c r="AT261" s="2" t="n">
        <v>100</v>
      </c>
      <c r="AU261" s="2" t="n">
        <v>100</v>
      </c>
      <c r="AV261" s="2" t="n">
        <v>100</v>
      </c>
      <c r="AW261" s="2" t="n">
        <v>100</v>
      </c>
      <c r="AX261" s="2" t="n">
        <v>100</v>
      </c>
      <c r="AY261" s="2" t="n">
        <v>100</v>
      </c>
      <c r="AZ261" s="2" t="n">
        <v>100</v>
      </c>
      <c r="BA261" s="2" t="n">
        <v>100</v>
      </c>
      <c r="BB261" s="2" t="n">
        <v>100</v>
      </c>
      <c r="BC261" s="2" t="n">
        <v>100</v>
      </c>
      <c r="BD261" s="2" t="n">
        <v>100</v>
      </c>
      <c r="BE261" s="2" t="n">
        <v>100</v>
      </c>
      <c r="BF261" s="2" t="n">
        <v>100</v>
      </c>
      <c r="BG261" s="2" t="n">
        <v>100</v>
      </c>
      <c r="BH261" s="2" t="n">
        <v>100</v>
      </c>
      <c r="BI261" s="2" t="n">
        <v>100</v>
      </c>
      <c r="BJ261" s="2" t="n">
        <v>100</v>
      </c>
      <c r="BK261" s="2" t="n">
        <v>100</v>
      </c>
      <c r="BL261" s="2" t="n">
        <v>100</v>
      </c>
      <c r="BM261" s="2" t="n">
        <v>100</v>
      </c>
      <c r="BN261" s="2" t="n">
        <v>100</v>
      </c>
      <c r="BO261" s="2" t="n">
        <v>100</v>
      </c>
      <c r="BP261" s="2" t="n">
        <v>100</v>
      </c>
      <c r="BQ261" s="2" t="n">
        <v>100</v>
      </c>
      <c r="BR261" s="2" t="n">
        <v>100</v>
      </c>
      <c r="BS261" s="2" t="n">
        <v>100</v>
      </c>
      <c r="BT261" s="2" t="n">
        <v>100</v>
      </c>
      <c r="BU261" s="2" t="n">
        <v>100</v>
      </c>
      <c r="BV261" s="2" t="n">
        <v>100</v>
      </c>
      <c r="BW261" s="2" t="n">
        <v>100</v>
      </c>
      <c r="BX261" s="2" t="n">
        <v>100</v>
      </c>
      <c r="BY261" s="2" t="n">
        <v>100</v>
      </c>
      <c r="BZ261" s="2" t="n">
        <v>100</v>
      </c>
      <c r="CA261" s="2" t="n">
        <v>100</v>
      </c>
      <c r="CB261" s="2" t="n">
        <v>100</v>
      </c>
      <c r="CC261" s="2" t="n">
        <v>100</v>
      </c>
      <c r="CD261" s="2" t="n">
        <v>100</v>
      </c>
      <c r="CE261" s="2" t="n">
        <v>100</v>
      </c>
      <c r="CF261" s="2" t="n">
        <v>100</v>
      </c>
      <c r="CG261" s="2" t="n">
        <v>100</v>
      </c>
      <c r="CH261" s="2" t="n">
        <v>100</v>
      </c>
      <c r="CI261" s="2" t="n">
        <v>100</v>
      </c>
      <c r="CJ261" s="2" t="n">
        <v>100</v>
      </c>
      <c r="CK261" s="2" t="n">
        <v>100</v>
      </c>
      <c r="CL261" s="2" t="n">
        <v>100</v>
      </c>
      <c r="CM261" s="2" t="n">
        <v>100</v>
      </c>
      <c r="CN261" s="2" t="n">
        <v>100</v>
      </c>
      <c r="CO261" s="2" t="n">
        <v>100</v>
      </c>
      <c r="CP261" s="2" t="n">
        <v>100</v>
      </c>
      <c r="CQ261" s="2" t="n">
        <v>100</v>
      </c>
      <c r="CR261" s="2" t="n">
        <v>100</v>
      </c>
      <c r="CS261" s="2" t="n">
        <v>100</v>
      </c>
      <c r="CT261" s="2" t="n">
        <v>100</v>
      </c>
      <c r="CU261" s="2" t="n">
        <v>100</v>
      </c>
      <c r="CV261" s="2" t="n">
        <v>100</v>
      </c>
      <c r="CW261" s="2" t="n">
        <v>100</v>
      </c>
      <c r="CX261" s="2" t="n">
        <v>100</v>
      </c>
      <c r="CY261" s="2" t="n">
        <v>100</v>
      </c>
      <c r="CZ261" s="2" t="n">
        <v>100</v>
      </c>
      <c r="DA261" s="2" t="n">
        <v>100</v>
      </c>
      <c r="DB261" s="2" t="n">
        <v>100</v>
      </c>
      <c r="DC261" s="2" t="n">
        <v>100</v>
      </c>
      <c r="DD261" s="2" t="n">
        <v>100</v>
      </c>
      <c r="DE261" s="2" t="n">
        <v>100</v>
      </c>
      <c r="DF261" s="2" t="n">
        <v>100</v>
      </c>
      <c r="DG261" s="2" t="n">
        <v>100</v>
      </c>
      <c r="DH261" s="2" t="n">
        <v>100</v>
      </c>
      <c r="DI261" s="2" t="n">
        <v>100</v>
      </c>
      <c r="DJ261" s="2" t="n">
        <v>100</v>
      </c>
      <c r="DK261" s="2" t="n">
        <v>100</v>
      </c>
      <c r="DL261" s="2" t="n">
        <v>100</v>
      </c>
      <c r="DM261" s="2" t="n">
        <v>100</v>
      </c>
      <c r="DN261" s="2" t="n">
        <v>100</v>
      </c>
      <c r="DO261" s="2" t="n">
        <v>100</v>
      </c>
      <c r="DP261" s="2" t="n">
        <v>100</v>
      </c>
      <c r="DQ261" s="2" t="n">
        <v>100</v>
      </c>
      <c r="DR261" s="2" t="n">
        <v>100</v>
      </c>
      <c r="DS261" s="2" t="n">
        <v>100</v>
      </c>
      <c r="DT261" s="2" t="n">
        <v>100</v>
      </c>
      <c r="DU261" s="2" t="n">
        <v>100</v>
      </c>
      <c r="DV261" s="2" t="n">
        <v>100</v>
      </c>
      <c r="DW261" s="2" t="n">
        <v>100</v>
      </c>
      <c r="DX261" s="2" t="n">
        <v>100</v>
      </c>
      <c r="DY261" s="2" t="n">
        <v>100</v>
      </c>
      <c r="DZ261" s="2" t="n">
        <v>100</v>
      </c>
      <c r="EA261" s="2" t="n">
        <v>100</v>
      </c>
      <c r="EB261" s="2" t="n">
        <v>100</v>
      </c>
      <c r="EC261" s="2" t="n">
        <v>100</v>
      </c>
      <c r="ED261" s="2" t="n">
        <v>100</v>
      </c>
      <c r="EE261" s="2" t="n">
        <v>100</v>
      </c>
      <c r="EF261" s="2" t="n">
        <v>100</v>
      </c>
      <c r="EG261" s="2" t="n">
        <v>100</v>
      </c>
      <c r="EH261" s="2" t="n">
        <v>100</v>
      </c>
      <c r="EI261" s="2" t="n">
        <v>100</v>
      </c>
      <c r="EJ261" s="2" t="n">
        <v>100</v>
      </c>
      <c r="EK261" s="2" t="n">
        <v>100</v>
      </c>
      <c r="EL261" s="2" t="n">
        <v>100</v>
      </c>
      <c r="EM261" s="2" t="n">
        <v>100</v>
      </c>
      <c r="EN261" s="2" t="n">
        <v>100</v>
      </c>
      <c r="EO261" s="2" t="n">
        <v>100</v>
      </c>
      <c r="EP261" s="2" t="n">
        <v>100</v>
      </c>
      <c r="EQ261" s="2" t="n">
        <v>100</v>
      </c>
      <c r="ER261" s="2" t="n">
        <v>100</v>
      </c>
      <c r="ES261" s="2" t="n">
        <v>100</v>
      </c>
    </row>
    <row r="262">
      <c r="A262" s="2" t="n">
        <v>3</v>
      </c>
      <c r="B262" s="2" t="inlineStr">
        <is>
          <t>13.02.02</t>
        </is>
      </c>
      <c r="C262" s="2" t="inlineStr">
        <is>
          <t>Armadura Ca-50 adquirido cortado e dobrado, montagem e posicionamento no canteiro</t>
        </is>
      </c>
      <c r="D262" s="2" t="inlineStr">
        <is>
          <t>01/09/2025</t>
        </is>
      </c>
      <c r="E262" s="2" t="inlineStr">
        <is>
          <t>27/10/2025</t>
        </is>
      </c>
      <c r="F262" s="2" t="n">
        <v>65498.46925572262</v>
      </c>
      <c r="G262" s="2" t="n">
        <v>0</v>
      </c>
      <c r="H262" s="2" t="n">
        <v>65498.46925572262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45</v>
      </c>
      <c r="S262" s="2" t="n">
        <v>45</v>
      </c>
      <c r="T262" s="2" t="n">
        <v>48.33</v>
      </c>
      <c r="U262" s="2" t="n">
        <v>100</v>
      </c>
      <c r="V262" s="2" t="n">
        <v>100</v>
      </c>
      <c r="W262" s="2" t="n">
        <v>100</v>
      </c>
      <c r="X262" s="2" t="n">
        <v>100</v>
      </c>
      <c r="Y262" s="2" t="n">
        <v>100</v>
      </c>
      <c r="Z262" s="2" t="n">
        <v>100</v>
      </c>
      <c r="AA262" s="2" t="n">
        <v>100</v>
      </c>
      <c r="AB262" s="2" t="n">
        <v>100</v>
      </c>
      <c r="AC262" s="2" t="n">
        <v>100</v>
      </c>
      <c r="AD262" s="2" t="n">
        <v>100</v>
      </c>
      <c r="AE262" s="2" t="n">
        <v>100</v>
      </c>
      <c r="AF262" s="2" t="n">
        <v>100</v>
      </c>
      <c r="AG262" s="2" t="n">
        <v>100</v>
      </c>
      <c r="AH262" s="2" t="n">
        <v>100</v>
      </c>
      <c r="AI262" s="2" t="n">
        <v>100</v>
      </c>
      <c r="AJ262" s="2" t="n">
        <v>100</v>
      </c>
      <c r="AK262" s="2" t="n">
        <v>100</v>
      </c>
      <c r="AL262" s="2" t="n">
        <v>100</v>
      </c>
      <c r="AM262" s="2" t="n">
        <v>100</v>
      </c>
      <c r="AN262" s="2" t="n">
        <v>100</v>
      </c>
      <c r="AO262" s="2" t="n">
        <v>100</v>
      </c>
      <c r="AP262" s="2" t="n">
        <v>100</v>
      </c>
      <c r="AQ262" s="2" t="n">
        <v>100</v>
      </c>
      <c r="AR262" s="2" t="n">
        <v>100</v>
      </c>
      <c r="AS262" s="2" t="n">
        <v>100</v>
      </c>
      <c r="AT262" s="2" t="n">
        <v>100</v>
      </c>
      <c r="AU262" s="2" t="n">
        <v>100</v>
      </c>
      <c r="AV262" s="2" t="n">
        <v>100</v>
      </c>
      <c r="AW262" s="2" t="n">
        <v>100</v>
      </c>
      <c r="AX262" s="2" t="n">
        <v>100</v>
      </c>
      <c r="AY262" s="2" t="n">
        <v>100</v>
      </c>
      <c r="AZ262" s="2" t="n">
        <v>100</v>
      </c>
      <c r="BA262" s="2" t="n">
        <v>100</v>
      </c>
      <c r="BB262" s="2" t="n">
        <v>100</v>
      </c>
      <c r="BC262" s="2" t="n">
        <v>100</v>
      </c>
      <c r="BD262" s="2" t="n">
        <v>100</v>
      </c>
      <c r="BE262" s="2" t="n">
        <v>100</v>
      </c>
      <c r="BF262" s="2" t="n">
        <v>100</v>
      </c>
      <c r="BG262" s="2" t="n">
        <v>100</v>
      </c>
      <c r="BH262" s="2" t="n">
        <v>100</v>
      </c>
      <c r="BI262" s="2" t="n">
        <v>100</v>
      </c>
      <c r="BJ262" s="2" t="n">
        <v>100</v>
      </c>
      <c r="BK262" s="2" t="n">
        <v>100</v>
      </c>
      <c r="BL262" s="2" t="n">
        <v>100</v>
      </c>
      <c r="BM262" s="2" t="n">
        <v>100</v>
      </c>
      <c r="BN262" s="2" t="n">
        <v>100</v>
      </c>
      <c r="BO262" s="2" t="n">
        <v>100</v>
      </c>
      <c r="BP262" s="2" t="n">
        <v>100</v>
      </c>
      <c r="BQ262" s="2" t="n">
        <v>100</v>
      </c>
      <c r="BR262" s="2" t="n">
        <v>100</v>
      </c>
      <c r="BS262" s="2" t="n">
        <v>100</v>
      </c>
      <c r="BT262" s="2" t="n">
        <v>100</v>
      </c>
      <c r="BU262" s="2" t="n">
        <v>100</v>
      </c>
      <c r="BV262" s="2" t="n">
        <v>100</v>
      </c>
      <c r="BW262" s="2" t="n">
        <v>100</v>
      </c>
      <c r="BX262" s="2" t="n">
        <v>100</v>
      </c>
      <c r="BY262" s="2" t="n">
        <v>100</v>
      </c>
      <c r="BZ262" s="2" t="n">
        <v>100</v>
      </c>
      <c r="CA262" s="2" t="n">
        <v>100</v>
      </c>
      <c r="CB262" s="2" t="n">
        <v>100</v>
      </c>
      <c r="CC262" s="2" t="n">
        <v>100</v>
      </c>
      <c r="CD262" s="2" t="n">
        <v>100</v>
      </c>
      <c r="CE262" s="2" t="n">
        <v>100</v>
      </c>
      <c r="CF262" s="2" t="n">
        <v>100</v>
      </c>
      <c r="CG262" s="2" t="n">
        <v>100</v>
      </c>
      <c r="CH262" s="2" t="n">
        <v>100</v>
      </c>
      <c r="CI262" s="2" t="n">
        <v>100</v>
      </c>
      <c r="CJ262" s="2" t="n">
        <v>100</v>
      </c>
      <c r="CK262" s="2" t="n">
        <v>100</v>
      </c>
      <c r="CL262" s="2" t="n">
        <v>100</v>
      </c>
      <c r="CM262" s="2" t="n">
        <v>100</v>
      </c>
      <c r="CN262" s="2" t="n">
        <v>100</v>
      </c>
      <c r="CO262" s="2" t="n">
        <v>100</v>
      </c>
      <c r="CP262" s="2" t="n">
        <v>100</v>
      </c>
      <c r="CQ262" s="2" t="n">
        <v>100</v>
      </c>
      <c r="CR262" s="2" t="n">
        <v>100</v>
      </c>
      <c r="CS262" s="2" t="n">
        <v>100</v>
      </c>
      <c r="CT262" s="2" t="n">
        <v>100</v>
      </c>
      <c r="CU262" s="2" t="n">
        <v>100</v>
      </c>
      <c r="CV262" s="2" t="n">
        <v>100</v>
      </c>
      <c r="CW262" s="2" t="n">
        <v>100</v>
      </c>
      <c r="CX262" s="2" t="n">
        <v>100</v>
      </c>
      <c r="CY262" s="2" t="n">
        <v>100</v>
      </c>
      <c r="CZ262" s="2" t="n">
        <v>100</v>
      </c>
      <c r="DA262" s="2" t="n">
        <v>100</v>
      </c>
      <c r="DB262" s="2" t="n">
        <v>100</v>
      </c>
      <c r="DC262" s="2" t="n">
        <v>100</v>
      </c>
      <c r="DD262" s="2" t="n">
        <v>100</v>
      </c>
      <c r="DE262" s="2" t="n">
        <v>100</v>
      </c>
      <c r="DF262" s="2" t="n">
        <v>100</v>
      </c>
      <c r="DG262" s="2" t="n">
        <v>100</v>
      </c>
      <c r="DH262" s="2" t="n">
        <v>100</v>
      </c>
      <c r="DI262" s="2" t="n">
        <v>100</v>
      </c>
      <c r="DJ262" s="2" t="n">
        <v>100</v>
      </c>
      <c r="DK262" s="2" t="n">
        <v>100</v>
      </c>
      <c r="DL262" s="2" t="n">
        <v>100</v>
      </c>
      <c r="DM262" s="2" t="n">
        <v>100</v>
      </c>
      <c r="DN262" s="2" t="n">
        <v>100</v>
      </c>
      <c r="DO262" s="2" t="n">
        <v>100</v>
      </c>
      <c r="DP262" s="2" t="n">
        <v>100</v>
      </c>
      <c r="DQ262" s="2" t="n">
        <v>100</v>
      </c>
      <c r="DR262" s="2" t="n">
        <v>100</v>
      </c>
      <c r="DS262" s="2" t="n">
        <v>100</v>
      </c>
      <c r="DT262" s="2" t="n">
        <v>100</v>
      </c>
      <c r="DU262" s="2" t="n">
        <v>100</v>
      </c>
      <c r="DV262" s="2" t="n">
        <v>100</v>
      </c>
      <c r="DW262" s="2" t="n">
        <v>100</v>
      </c>
      <c r="DX262" s="2" t="n">
        <v>100</v>
      </c>
      <c r="DY262" s="2" t="n">
        <v>100</v>
      </c>
      <c r="DZ262" s="2" t="n">
        <v>100</v>
      </c>
      <c r="EA262" s="2" t="n">
        <v>100</v>
      </c>
      <c r="EB262" s="2" t="n">
        <v>100</v>
      </c>
      <c r="EC262" s="2" t="n">
        <v>100</v>
      </c>
      <c r="ED262" s="2" t="n">
        <v>100</v>
      </c>
      <c r="EE262" s="2" t="n">
        <v>100</v>
      </c>
      <c r="EF262" s="2" t="n">
        <v>100</v>
      </c>
      <c r="EG262" s="2" t="n">
        <v>100</v>
      </c>
      <c r="EH262" s="2" t="n">
        <v>100</v>
      </c>
      <c r="EI262" s="2" t="n">
        <v>100</v>
      </c>
      <c r="EJ262" s="2" t="n">
        <v>100</v>
      </c>
      <c r="EK262" s="2" t="n">
        <v>100</v>
      </c>
      <c r="EL262" s="2" t="n">
        <v>100</v>
      </c>
      <c r="EM262" s="2" t="n">
        <v>100</v>
      </c>
      <c r="EN262" s="2" t="n">
        <v>100</v>
      </c>
      <c r="EO262" s="2" t="n">
        <v>100</v>
      </c>
      <c r="EP262" s="2" t="n">
        <v>100</v>
      </c>
      <c r="EQ262" s="2" t="n">
        <v>100</v>
      </c>
      <c r="ER262" s="2" t="n">
        <v>100</v>
      </c>
      <c r="ES262" s="2" t="n">
        <v>100</v>
      </c>
    </row>
    <row r="263">
      <c r="A263" s="2" t="n">
        <v>3</v>
      </c>
      <c r="B263" s="2" t="inlineStr">
        <is>
          <t>13.02.03</t>
        </is>
      </c>
      <c r="C263" s="2" t="inlineStr">
        <is>
          <t>Concreto bombeado Fck=30Mpa para superestrutura</t>
        </is>
      </c>
      <c r="D263" s="2" t="inlineStr">
        <is>
          <t>01/09/2025</t>
        </is>
      </c>
      <c r="E263" s="2" t="inlineStr">
        <is>
          <t>27/10/2025</t>
        </is>
      </c>
      <c r="F263" s="2" t="n">
        <v>35320.57765941939</v>
      </c>
      <c r="G263" s="2" t="n">
        <v>0</v>
      </c>
      <c r="H263" s="2" t="n">
        <v>35320.57765941939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45</v>
      </c>
      <c r="S263" s="2" t="n">
        <v>45</v>
      </c>
      <c r="T263" s="2" t="n">
        <v>48.33</v>
      </c>
      <c r="U263" s="2" t="n">
        <v>100</v>
      </c>
      <c r="V263" s="2" t="n">
        <v>100</v>
      </c>
      <c r="W263" s="2" t="n">
        <v>100</v>
      </c>
      <c r="X263" s="2" t="n">
        <v>100</v>
      </c>
      <c r="Y263" s="2" t="n">
        <v>100</v>
      </c>
      <c r="Z263" s="2" t="n">
        <v>100</v>
      </c>
      <c r="AA263" s="2" t="n">
        <v>100</v>
      </c>
      <c r="AB263" s="2" t="n">
        <v>100</v>
      </c>
      <c r="AC263" s="2" t="n">
        <v>100</v>
      </c>
      <c r="AD263" s="2" t="n">
        <v>100</v>
      </c>
      <c r="AE263" s="2" t="n">
        <v>100</v>
      </c>
      <c r="AF263" s="2" t="n">
        <v>100</v>
      </c>
      <c r="AG263" s="2" t="n">
        <v>100</v>
      </c>
      <c r="AH263" s="2" t="n">
        <v>100</v>
      </c>
      <c r="AI263" s="2" t="n">
        <v>100</v>
      </c>
      <c r="AJ263" s="2" t="n">
        <v>100</v>
      </c>
      <c r="AK263" s="2" t="n">
        <v>100</v>
      </c>
      <c r="AL263" s="2" t="n">
        <v>100</v>
      </c>
      <c r="AM263" s="2" t="n">
        <v>100</v>
      </c>
      <c r="AN263" s="2" t="n">
        <v>100</v>
      </c>
      <c r="AO263" s="2" t="n">
        <v>100</v>
      </c>
      <c r="AP263" s="2" t="n">
        <v>100</v>
      </c>
      <c r="AQ263" s="2" t="n">
        <v>100</v>
      </c>
      <c r="AR263" s="2" t="n">
        <v>100</v>
      </c>
      <c r="AS263" s="2" t="n">
        <v>100</v>
      </c>
      <c r="AT263" s="2" t="n">
        <v>100</v>
      </c>
      <c r="AU263" s="2" t="n">
        <v>100</v>
      </c>
      <c r="AV263" s="2" t="n">
        <v>100</v>
      </c>
      <c r="AW263" s="2" t="n">
        <v>100</v>
      </c>
      <c r="AX263" s="2" t="n">
        <v>100</v>
      </c>
      <c r="AY263" s="2" t="n">
        <v>100</v>
      </c>
      <c r="AZ263" s="2" t="n">
        <v>100</v>
      </c>
      <c r="BA263" s="2" t="n">
        <v>100</v>
      </c>
      <c r="BB263" s="2" t="n">
        <v>100</v>
      </c>
      <c r="BC263" s="2" t="n">
        <v>100</v>
      </c>
      <c r="BD263" s="2" t="n">
        <v>100</v>
      </c>
      <c r="BE263" s="2" t="n">
        <v>100</v>
      </c>
      <c r="BF263" s="2" t="n">
        <v>100</v>
      </c>
      <c r="BG263" s="2" t="n">
        <v>100</v>
      </c>
      <c r="BH263" s="2" t="n">
        <v>100</v>
      </c>
      <c r="BI263" s="2" t="n">
        <v>100</v>
      </c>
      <c r="BJ263" s="2" t="n">
        <v>100</v>
      </c>
      <c r="BK263" s="2" t="n">
        <v>100</v>
      </c>
      <c r="BL263" s="2" t="n">
        <v>100</v>
      </c>
      <c r="BM263" s="2" t="n">
        <v>100</v>
      </c>
      <c r="BN263" s="2" t="n">
        <v>100</v>
      </c>
      <c r="BO263" s="2" t="n">
        <v>100</v>
      </c>
      <c r="BP263" s="2" t="n">
        <v>100</v>
      </c>
      <c r="BQ263" s="2" t="n">
        <v>100</v>
      </c>
      <c r="BR263" s="2" t="n">
        <v>100</v>
      </c>
      <c r="BS263" s="2" t="n">
        <v>100</v>
      </c>
      <c r="BT263" s="2" t="n">
        <v>100</v>
      </c>
      <c r="BU263" s="2" t="n">
        <v>100</v>
      </c>
      <c r="BV263" s="2" t="n">
        <v>100</v>
      </c>
      <c r="BW263" s="2" t="n">
        <v>100</v>
      </c>
      <c r="BX263" s="2" t="n">
        <v>100</v>
      </c>
      <c r="BY263" s="2" t="n">
        <v>100</v>
      </c>
      <c r="BZ263" s="2" t="n">
        <v>100</v>
      </c>
      <c r="CA263" s="2" t="n">
        <v>100</v>
      </c>
      <c r="CB263" s="2" t="n">
        <v>100</v>
      </c>
      <c r="CC263" s="2" t="n">
        <v>100</v>
      </c>
      <c r="CD263" s="2" t="n">
        <v>100</v>
      </c>
      <c r="CE263" s="2" t="n">
        <v>100</v>
      </c>
      <c r="CF263" s="2" t="n">
        <v>100</v>
      </c>
      <c r="CG263" s="2" t="n">
        <v>100</v>
      </c>
      <c r="CH263" s="2" t="n">
        <v>100</v>
      </c>
      <c r="CI263" s="2" t="n">
        <v>100</v>
      </c>
      <c r="CJ263" s="2" t="n">
        <v>100</v>
      </c>
      <c r="CK263" s="2" t="n">
        <v>100</v>
      </c>
      <c r="CL263" s="2" t="n">
        <v>100</v>
      </c>
      <c r="CM263" s="2" t="n">
        <v>100</v>
      </c>
      <c r="CN263" s="2" t="n">
        <v>100</v>
      </c>
      <c r="CO263" s="2" t="n">
        <v>100</v>
      </c>
      <c r="CP263" s="2" t="n">
        <v>100</v>
      </c>
      <c r="CQ263" s="2" t="n">
        <v>100</v>
      </c>
      <c r="CR263" s="2" t="n">
        <v>100</v>
      </c>
      <c r="CS263" s="2" t="n">
        <v>100</v>
      </c>
      <c r="CT263" s="2" t="n">
        <v>100</v>
      </c>
      <c r="CU263" s="2" t="n">
        <v>100</v>
      </c>
      <c r="CV263" s="2" t="n">
        <v>100</v>
      </c>
      <c r="CW263" s="2" t="n">
        <v>100</v>
      </c>
      <c r="CX263" s="2" t="n">
        <v>100</v>
      </c>
      <c r="CY263" s="2" t="n">
        <v>100</v>
      </c>
      <c r="CZ263" s="2" t="n">
        <v>100</v>
      </c>
      <c r="DA263" s="2" t="n">
        <v>100</v>
      </c>
      <c r="DB263" s="2" t="n">
        <v>100</v>
      </c>
      <c r="DC263" s="2" t="n">
        <v>100</v>
      </c>
      <c r="DD263" s="2" t="n">
        <v>100</v>
      </c>
      <c r="DE263" s="2" t="n">
        <v>100</v>
      </c>
      <c r="DF263" s="2" t="n">
        <v>100</v>
      </c>
      <c r="DG263" s="2" t="n">
        <v>100</v>
      </c>
      <c r="DH263" s="2" t="n">
        <v>100</v>
      </c>
      <c r="DI263" s="2" t="n">
        <v>100</v>
      </c>
      <c r="DJ263" s="2" t="n">
        <v>100</v>
      </c>
      <c r="DK263" s="2" t="n">
        <v>100</v>
      </c>
      <c r="DL263" s="2" t="n">
        <v>100</v>
      </c>
      <c r="DM263" s="2" t="n">
        <v>100</v>
      </c>
      <c r="DN263" s="2" t="n">
        <v>100</v>
      </c>
      <c r="DO263" s="2" t="n">
        <v>100</v>
      </c>
      <c r="DP263" s="2" t="n">
        <v>100</v>
      </c>
      <c r="DQ263" s="2" t="n">
        <v>100</v>
      </c>
      <c r="DR263" s="2" t="n">
        <v>100</v>
      </c>
      <c r="DS263" s="2" t="n">
        <v>100</v>
      </c>
      <c r="DT263" s="2" t="n">
        <v>100</v>
      </c>
      <c r="DU263" s="2" t="n">
        <v>100</v>
      </c>
      <c r="DV263" s="2" t="n">
        <v>100</v>
      </c>
      <c r="DW263" s="2" t="n">
        <v>100</v>
      </c>
      <c r="DX263" s="2" t="n">
        <v>100</v>
      </c>
      <c r="DY263" s="2" t="n">
        <v>100</v>
      </c>
      <c r="DZ263" s="2" t="n">
        <v>100</v>
      </c>
      <c r="EA263" s="2" t="n">
        <v>100</v>
      </c>
      <c r="EB263" s="2" t="n">
        <v>100</v>
      </c>
      <c r="EC263" s="2" t="n">
        <v>100</v>
      </c>
      <c r="ED263" s="2" t="n">
        <v>100</v>
      </c>
      <c r="EE263" s="2" t="n">
        <v>100</v>
      </c>
      <c r="EF263" s="2" t="n">
        <v>100</v>
      </c>
      <c r="EG263" s="2" t="n">
        <v>100</v>
      </c>
      <c r="EH263" s="2" t="n">
        <v>100</v>
      </c>
      <c r="EI263" s="2" t="n">
        <v>100</v>
      </c>
      <c r="EJ263" s="2" t="n">
        <v>100</v>
      </c>
      <c r="EK263" s="2" t="n">
        <v>100</v>
      </c>
      <c r="EL263" s="2" t="n">
        <v>100</v>
      </c>
      <c r="EM263" s="2" t="n">
        <v>100</v>
      </c>
      <c r="EN263" s="2" t="n">
        <v>100</v>
      </c>
      <c r="EO263" s="2" t="n">
        <v>100</v>
      </c>
      <c r="EP263" s="2" t="n">
        <v>100</v>
      </c>
      <c r="EQ263" s="2" t="n">
        <v>100</v>
      </c>
      <c r="ER263" s="2" t="n">
        <v>100</v>
      </c>
      <c r="ES263" s="2" t="n">
        <v>100</v>
      </c>
    </row>
    <row r="264">
      <c r="A264" s="2" t="n">
        <v>2</v>
      </c>
      <c r="B264" s="2" t="inlineStr">
        <is>
          <t>13.03</t>
        </is>
      </c>
      <c r="C264" s="2" t="inlineStr">
        <is>
          <t>Fechamento da cortina - Especificar sistema utilizado</t>
        </is>
      </c>
      <c r="D264" s="2" t="inlineStr">
        <is>
          <t>19/10/2026</t>
        </is>
      </c>
      <c r="E264" s="2" t="inlineStr">
        <is>
          <t>30/11/2026</t>
        </is>
      </c>
      <c r="F264" s="2" t="n">
        <v>291934.9669827626</v>
      </c>
      <c r="G264" s="2" t="n">
        <v>0</v>
      </c>
      <c r="H264" s="2" t="n">
        <v>291934.9669827626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20.69</v>
      </c>
      <c r="BF264" s="2" t="n">
        <v>34.48</v>
      </c>
      <c r="BG264" s="2" t="n">
        <v>0</v>
      </c>
      <c r="BH264" s="2" t="n">
        <v>86.20999999999999</v>
      </c>
      <c r="BI264" s="2" t="n">
        <v>100</v>
      </c>
      <c r="BJ264" s="2" t="n">
        <v>0</v>
      </c>
      <c r="BK264" s="2" t="n">
        <v>100</v>
      </c>
      <c r="BL264" s="2" t="n">
        <v>100</v>
      </c>
      <c r="BM264" s="2" t="n">
        <v>0</v>
      </c>
      <c r="BN264" s="2" t="n">
        <v>100</v>
      </c>
      <c r="BO264" s="2" t="n">
        <v>100</v>
      </c>
      <c r="BP264" s="2" t="n">
        <v>0</v>
      </c>
      <c r="BQ264" s="2" t="n">
        <v>100</v>
      </c>
      <c r="BR264" s="2" t="n">
        <v>100</v>
      </c>
      <c r="BS264" s="2" t="n">
        <v>0</v>
      </c>
      <c r="BT264" s="2" t="n">
        <v>100</v>
      </c>
      <c r="BU264" s="2" t="n">
        <v>100</v>
      </c>
      <c r="BV264" s="2" t="n">
        <v>0</v>
      </c>
      <c r="BW264" s="2" t="n">
        <v>100</v>
      </c>
      <c r="BX264" s="2" t="n">
        <v>100</v>
      </c>
      <c r="BY264" s="2" t="n">
        <v>0</v>
      </c>
      <c r="BZ264" s="2" t="n">
        <v>100</v>
      </c>
      <c r="CA264" s="2" t="n">
        <v>100</v>
      </c>
      <c r="CB264" s="2" t="n">
        <v>0</v>
      </c>
      <c r="CC264" s="2" t="n">
        <v>100</v>
      </c>
      <c r="CD264" s="2" t="n">
        <v>100</v>
      </c>
      <c r="CE264" s="2" t="n">
        <v>0</v>
      </c>
      <c r="CF264" s="2" t="n">
        <v>100</v>
      </c>
      <c r="CG264" s="2" t="n">
        <v>100</v>
      </c>
      <c r="CH264" s="2" t="n">
        <v>0</v>
      </c>
      <c r="CI264" s="2" t="n">
        <v>100</v>
      </c>
      <c r="CJ264" s="2" t="n">
        <v>100</v>
      </c>
      <c r="CK264" s="2" t="n">
        <v>0</v>
      </c>
      <c r="CL264" s="2" t="n">
        <v>100</v>
      </c>
      <c r="CM264" s="2" t="n">
        <v>100</v>
      </c>
      <c r="CN264" s="2" t="n">
        <v>0</v>
      </c>
      <c r="CO264" s="2" t="n">
        <v>100</v>
      </c>
      <c r="CP264" s="2" t="n">
        <v>100</v>
      </c>
      <c r="CQ264" s="2" t="n">
        <v>0</v>
      </c>
      <c r="CR264" s="2" t="n">
        <v>100</v>
      </c>
      <c r="CS264" s="2" t="n">
        <v>100</v>
      </c>
      <c r="CT264" s="2" t="n">
        <v>0</v>
      </c>
      <c r="CU264" s="2" t="n">
        <v>100</v>
      </c>
      <c r="CV264" s="2" t="n">
        <v>100</v>
      </c>
      <c r="CW264" s="2" t="n">
        <v>0</v>
      </c>
      <c r="CX264" s="2" t="n">
        <v>100</v>
      </c>
      <c r="CY264" s="2" t="n">
        <v>100</v>
      </c>
      <c r="CZ264" s="2" t="n">
        <v>0</v>
      </c>
      <c r="DA264" s="2" t="n">
        <v>100</v>
      </c>
      <c r="DB264" s="2" t="n">
        <v>100</v>
      </c>
      <c r="DC264" s="2" t="n">
        <v>0</v>
      </c>
      <c r="DD264" s="2" t="n">
        <v>100</v>
      </c>
      <c r="DE264" s="2" t="n">
        <v>100</v>
      </c>
      <c r="DF264" s="2" t="n">
        <v>0</v>
      </c>
      <c r="DG264" s="2" t="n">
        <v>100</v>
      </c>
      <c r="DH264" s="2" t="n">
        <v>100</v>
      </c>
      <c r="DI264" s="2" t="n">
        <v>0</v>
      </c>
      <c r="DJ264" s="2" t="n">
        <v>100</v>
      </c>
      <c r="DK264" s="2" t="n">
        <v>100</v>
      </c>
      <c r="DL264" s="2" t="n">
        <v>0</v>
      </c>
      <c r="DM264" s="2" t="n">
        <v>100</v>
      </c>
      <c r="DN264" s="2" t="n">
        <v>100</v>
      </c>
      <c r="DO264" s="2" t="n">
        <v>0</v>
      </c>
      <c r="DP264" s="2" t="n">
        <v>100</v>
      </c>
      <c r="DQ264" s="2" t="n">
        <v>100</v>
      </c>
      <c r="DR264" s="2" t="n">
        <v>0</v>
      </c>
      <c r="DS264" s="2" t="n">
        <v>100</v>
      </c>
      <c r="DT264" s="2" t="n">
        <v>100</v>
      </c>
      <c r="DU264" s="2" t="n">
        <v>0</v>
      </c>
      <c r="DV264" s="2" t="n">
        <v>100</v>
      </c>
      <c r="DW264" s="2" t="n">
        <v>100</v>
      </c>
      <c r="DX264" s="2" t="n">
        <v>0</v>
      </c>
      <c r="DY264" s="2" t="n">
        <v>100</v>
      </c>
      <c r="DZ264" s="2" t="n">
        <v>100</v>
      </c>
      <c r="EA264" s="2" t="n">
        <v>0</v>
      </c>
      <c r="EB264" s="2" t="n">
        <v>100</v>
      </c>
      <c r="EC264" s="2" t="n">
        <v>100</v>
      </c>
      <c r="ED264" s="2" t="n">
        <v>0</v>
      </c>
      <c r="EE264" s="2" t="n">
        <v>100</v>
      </c>
      <c r="EF264" s="2" t="n">
        <v>100</v>
      </c>
      <c r="EG264" s="2" t="n">
        <v>0</v>
      </c>
      <c r="EH264" s="2" t="n">
        <v>100</v>
      </c>
      <c r="EI264" s="2" t="n">
        <v>100</v>
      </c>
      <c r="EJ264" s="2" t="n">
        <v>0</v>
      </c>
      <c r="EK264" s="2" t="n">
        <v>100</v>
      </c>
      <c r="EL264" s="2" t="n">
        <v>100</v>
      </c>
      <c r="EM264" s="2" t="n">
        <v>0</v>
      </c>
      <c r="EN264" s="2" t="n">
        <v>100</v>
      </c>
      <c r="EO264" s="2" t="n">
        <v>100</v>
      </c>
      <c r="EP264" s="2" t="n">
        <v>0</v>
      </c>
      <c r="EQ264" s="2" t="n">
        <v>100</v>
      </c>
      <c r="ER264" s="2" t="n">
        <v>100</v>
      </c>
      <c r="ES264" s="2" t="n">
        <v>0</v>
      </c>
    </row>
    <row r="265">
      <c r="A265" s="2" t="n">
        <v>3</v>
      </c>
      <c r="B265" s="2" t="inlineStr">
        <is>
          <t>13.03.01</t>
        </is>
      </c>
      <c r="C265" s="2" t="inlineStr">
        <is>
          <t>Formas para superestrutura</t>
        </is>
      </c>
      <c r="D265" s="2" t="inlineStr">
        <is>
          <t>19/10/2026</t>
        </is>
      </c>
      <c r="E265" s="2" t="inlineStr">
        <is>
          <t>30/11/2026</t>
        </is>
      </c>
      <c r="F265" s="2" t="n">
        <v>95268.645</v>
      </c>
      <c r="G265" s="2" t="n">
        <v>0</v>
      </c>
      <c r="H265" s="2" t="n">
        <v>95268.645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20.69</v>
      </c>
      <c r="BF265" s="2" t="n">
        <v>34.48</v>
      </c>
      <c r="BG265" s="2" t="n">
        <v>0</v>
      </c>
      <c r="BH265" s="2" t="n">
        <v>86.20999999999999</v>
      </c>
      <c r="BI265" s="2" t="n">
        <v>100</v>
      </c>
      <c r="BJ265" s="2" t="n">
        <v>0</v>
      </c>
      <c r="BK265" s="2" t="n">
        <v>100</v>
      </c>
      <c r="BL265" s="2" t="n">
        <v>100</v>
      </c>
      <c r="BM265" s="2" t="n">
        <v>0</v>
      </c>
      <c r="BN265" s="2" t="n">
        <v>100</v>
      </c>
      <c r="BO265" s="2" t="n">
        <v>100</v>
      </c>
      <c r="BP265" s="2" t="n">
        <v>0</v>
      </c>
      <c r="BQ265" s="2" t="n">
        <v>100</v>
      </c>
      <c r="BR265" s="2" t="n">
        <v>100</v>
      </c>
      <c r="BS265" s="2" t="n">
        <v>0</v>
      </c>
      <c r="BT265" s="2" t="n">
        <v>100</v>
      </c>
      <c r="BU265" s="2" t="n">
        <v>100</v>
      </c>
      <c r="BV265" s="2" t="n">
        <v>0</v>
      </c>
      <c r="BW265" s="2" t="n">
        <v>100</v>
      </c>
      <c r="BX265" s="2" t="n">
        <v>100</v>
      </c>
      <c r="BY265" s="2" t="n">
        <v>0</v>
      </c>
      <c r="BZ265" s="2" t="n">
        <v>100</v>
      </c>
      <c r="CA265" s="2" t="n">
        <v>100</v>
      </c>
      <c r="CB265" s="2" t="n">
        <v>0</v>
      </c>
      <c r="CC265" s="2" t="n">
        <v>100</v>
      </c>
      <c r="CD265" s="2" t="n">
        <v>100</v>
      </c>
      <c r="CE265" s="2" t="n">
        <v>0</v>
      </c>
      <c r="CF265" s="2" t="n">
        <v>100</v>
      </c>
      <c r="CG265" s="2" t="n">
        <v>100</v>
      </c>
      <c r="CH265" s="2" t="n">
        <v>0</v>
      </c>
      <c r="CI265" s="2" t="n">
        <v>100</v>
      </c>
      <c r="CJ265" s="2" t="n">
        <v>100</v>
      </c>
      <c r="CK265" s="2" t="n">
        <v>0</v>
      </c>
      <c r="CL265" s="2" t="n">
        <v>100</v>
      </c>
      <c r="CM265" s="2" t="n">
        <v>100</v>
      </c>
      <c r="CN265" s="2" t="n">
        <v>0</v>
      </c>
      <c r="CO265" s="2" t="n">
        <v>100</v>
      </c>
      <c r="CP265" s="2" t="n">
        <v>100</v>
      </c>
      <c r="CQ265" s="2" t="n">
        <v>0</v>
      </c>
      <c r="CR265" s="2" t="n">
        <v>100</v>
      </c>
      <c r="CS265" s="2" t="n">
        <v>100</v>
      </c>
      <c r="CT265" s="2" t="n">
        <v>0</v>
      </c>
      <c r="CU265" s="2" t="n">
        <v>100</v>
      </c>
      <c r="CV265" s="2" t="n">
        <v>100</v>
      </c>
      <c r="CW265" s="2" t="n">
        <v>0</v>
      </c>
      <c r="CX265" s="2" t="n">
        <v>100</v>
      </c>
      <c r="CY265" s="2" t="n">
        <v>100</v>
      </c>
      <c r="CZ265" s="2" t="n">
        <v>0</v>
      </c>
      <c r="DA265" s="2" t="n">
        <v>100</v>
      </c>
      <c r="DB265" s="2" t="n">
        <v>100</v>
      </c>
      <c r="DC265" s="2" t="n">
        <v>0</v>
      </c>
      <c r="DD265" s="2" t="n">
        <v>100</v>
      </c>
      <c r="DE265" s="2" t="n">
        <v>100</v>
      </c>
      <c r="DF265" s="2" t="n">
        <v>0</v>
      </c>
      <c r="DG265" s="2" t="n">
        <v>100</v>
      </c>
      <c r="DH265" s="2" t="n">
        <v>100</v>
      </c>
      <c r="DI265" s="2" t="n">
        <v>0</v>
      </c>
      <c r="DJ265" s="2" t="n">
        <v>100</v>
      </c>
      <c r="DK265" s="2" t="n">
        <v>100</v>
      </c>
      <c r="DL265" s="2" t="n">
        <v>0</v>
      </c>
      <c r="DM265" s="2" t="n">
        <v>100</v>
      </c>
      <c r="DN265" s="2" t="n">
        <v>100</v>
      </c>
      <c r="DO265" s="2" t="n">
        <v>0</v>
      </c>
      <c r="DP265" s="2" t="n">
        <v>100</v>
      </c>
      <c r="DQ265" s="2" t="n">
        <v>100</v>
      </c>
      <c r="DR265" s="2" t="n">
        <v>0</v>
      </c>
      <c r="DS265" s="2" t="n">
        <v>100</v>
      </c>
      <c r="DT265" s="2" t="n">
        <v>100</v>
      </c>
      <c r="DU265" s="2" t="n">
        <v>0</v>
      </c>
      <c r="DV265" s="2" t="n">
        <v>100</v>
      </c>
      <c r="DW265" s="2" t="n">
        <v>100</v>
      </c>
      <c r="DX265" s="2" t="n">
        <v>0</v>
      </c>
      <c r="DY265" s="2" t="n">
        <v>100</v>
      </c>
      <c r="DZ265" s="2" t="n">
        <v>100</v>
      </c>
      <c r="EA265" s="2" t="n">
        <v>0</v>
      </c>
      <c r="EB265" s="2" t="n">
        <v>100</v>
      </c>
      <c r="EC265" s="2" t="n">
        <v>100</v>
      </c>
      <c r="ED265" s="2" t="n">
        <v>0</v>
      </c>
      <c r="EE265" s="2" t="n">
        <v>100</v>
      </c>
      <c r="EF265" s="2" t="n">
        <v>100</v>
      </c>
      <c r="EG265" s="2" t="n">
        <v>0</v>
      </c>
      <c r="EH265" s="2" t="n">
        <v>100</v>
      </c>
      <c r="EI265" s="2" t="n">
        <v>100</v>
      </c>
      <c r="EJ265" s="2" t="n">
        <v>0</v>
      </c>
      <c r="EK265" s="2" t="n">
        <v>100</v>
      </c>
      <c r="EL265" s="2" t="n">
        <v>100</v>
      </c>
      <c r="EM265" s="2" t="n">
        <v>0</v>
      </c>
      <c r="EN265" s="2" t="n">
        <v>100</v>
      </c>
      <c r="EO265" s="2" t="n">
        <v>100</v>
      </c>
      <c r="EP265" s="2" t="n">
        <v>0</v>
      </c>
      <c r="EQ265" s="2" t="n">
        <v>100</v>
      </c>
      <c r="ER265" s="2" t="n">
        <v>100</v>
      </c>
      <c r="ES265" s="2" t="n">
        <v>0</v>
      </c>
    </row>
    <row r="266">
      <c r="A266" s="2" t="n">
        <v>3</v>
      </c>
      <c r="B266" s="2" t="inlineStr">
        <is>
          <t>13.03.02</t>
        </is>
      </c>
      <c r="C266" s="2" t="inlineStr">
        <is>
          <t>Armadura Ca-50 adquirido cortado e dobrado, montagem e posicionamento no canteiro</t>
        </is>
      </c>
      <c r="D266" s="2" t="inlineStr">
        <is>
          <t>19/10/2026</t>
        </is>
      </c>
      <c r="E266" s="2" t="inlineStr">
        <is>
          <t>30/11/2026</t>
        </is>
      </c>
      <c r="F266" s="2" t="n">
        <v>127765.9837137593</v>
      </c>
      <c r="G266" s="2" t="n">
        <v>0</v>
      </c>
      <c r="H266" s="2" t="n">
        <v>127765.9837137593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20.69</v>
      </c>
      <c r="BF266" s="2" t="n">
        <v>34.48</v>
      </c>
      <c r="BG266" s="2" t="n">
        <v>0</v>
      </c>
      <c r="BH266" s="2" t="n">
        <v>86.20999999999999</v>
      </c>
      <c r="BI266" s="2" t="n">
        <v>100</v>
      </c>
      <c r="BJ266" s="2" t="n">
        <v>0</v>
      </c>
      <c r="BK266" s="2" t="n">
        <v>100</v>
      </c>
      <c r="BL266" s="2" t="n">
        <v>100</v>
      </c>
      <c r="BM266" s="2" t="n">
        <v>0</v>
      </c>
      <c r="BN266" s="2" t="n">
        <v>100</v>
      </c>
      <c r="BO266" s="2" t="n">
        <v>100</v>
      </c>
      <c r="BP266" s="2" t="n">
        <v>0</v>
      </c>
      <c r="BQ266" s="2" t="n">
        <v>100</v>
      </c>
      <c r="BR266" s="2" t="n">
        <v>100</v>
      </c>
      <c r="BS266" s="2" t="n">
        <v>0</v>
      </c>
      <c r="BT266" s="2" t="n">
        <v>100</v>
      </c>
      <c r="BU266" s="2" t="n">
        <v>100</v>
      </c>
      <c r="BV266" s="2" t="n">
        <v>0</v>
      </c>
      <c r="BW266" s="2" t="n">
        <v>100</v>
      </c>
      <c r="BX266" s="2" t="n">
        <v>100</v>
      </c>
      <c r="BY266" s="2" t="n">
        <v>0</v>
      </c>
      <c r="BZ266" s="2" t="n">
        <v>100</v>
      </c>
      <c r="CA266" s="2" t="n">
        <v>100</v>
      </c>
      <c r="CB266" s="2" t="n">
        <v>0</v>
      </c>
      <c r="CC266" s="2" t="n">
        <v>100</v>
      </c>
      <c r="CD266" s="2" t="n">
        <v>100</v>
      </c>
      <c r="CE266" s="2" t="n">
        <v>0</v>
      </c>
      <c r="CF266" s="2" t="n">
        <v>100</v>
      </c>
      <c r="CG266" s="2" t="n">
        <v>100</v>
      </c>
      <c r="CH266" s="2" t="n">
        <v>0</v>
      </c>
      <c r="CI266" s="2" t="n">
        <v>100</v>
      </c>
      <c r="CJ266" s="2" t="n">
        <v>100</v>
      </c>
      <c r="CK266" s="2" t="n">
        <v>0</v>
      </c>
      <c r="CL266" s="2" t="n">
        <v>100</v>
      </c>
      <c r="CM266" s="2" t="n">
        <v>100</v>
      </c>
      <c r="CN266" s="2" t="n">
        <v>0</v>
      </c>
      <c r="CO266" s="2" t="n">
        <v>100</v>
      </c>
      <c r="CP266" s="2" t="n">
        <v>100</v>
      </c>
      <c r="CQ266" s="2" t="n">
        <v>0</v>
      </c>
      <c r="CR266" s="2" t="n">
        <v>100</v>
      </c>
      <c r="CS266" s="2" t="n">
        <v>100</v>
      </c>
      <c r="CT266" s="2" t="n">
        <v>0</v>
      </c>
      <c r="CU266" s="2" t="n">
        <v>100</v>
      </c>
      <c r="CV266" s="2" t="n">
        <v>100</v>
      </c>
      <c r="CW266" s="2" t="n">
        <v>0</v>
      </c>
      <c r="CX266" s="2" t="n">
        <v>100</v>
      </c>
      <c r="CY266" s="2" t="n">
        <v>100</v>
      </c>
      <c r="CZ266" s="2" t="n">
        <v>0</v>
      </c>
      <c r="DA266" s="2" t="n">
        <v>100</v>
      </c>
      <c r="DB266" s="2" t="n">
        <v>100</v>
      </c>
      <c r="DC266" s="2" t="n">
        <v>0</v>
      </c>
      <c r="DD266" s="2" t="n">
        <v>100</v>
      </c>
      <c r="DE266" s="2" t="n">
        <v>100</v>
      </c>
      <c r="DF266" s="2" t="n">
        <v>0</v>
      </c>
      <c r="DG266" s="2" t="n">
        <v>100</v>
      </c>
      <c r="DH266" s="2" t="n">
        <v>100</v>
      </c>
      <c r="DI266" s="2" t="n">
        <v>0</v>
      </c>
      <c r="DJ266" s="2" t="n">
        <v>100</v>
      </c>
      <c r="DK266" s="2" t="n">
        <v>100</v>
      </c>
      <c r="DL266" s="2" t="n">
        <v>0</v>
      </c>
      <c r="DM266" s="2" t="n">
        <v>100</v>
      </c>
      <c r="DN266" s="2" t="n">
        <v>100</v>
      </c>
      <c r="DO266" s="2" t="n">
        <v>0</v>
      </c>
      <c r="DP266" s="2" t="n">
        <v>100</v>
      </c>
      <c r="DQ266" s="2" t="n">
        <v>100</v>
      </c>
      <c r="DR266" s="2" t="n">
        <v>0</v>
      </c>
      <c r="DS266" s="2" t="n">
        <v>100</v>
      </c>
      <c r="DT266" s="2" t="n">
        <v>100</v>
      </c>
      <c r="DU266" s="2" t="n">
        <v>0</v>
      </c>
      <c r="DV266" s="2" t="n">
        <v>100</v>
      </c>
      <c r="DW266" s="2" t="n">
        <v>100</v>
      </c>
      <c r="DX266" s="2" t="n">
        <v>0</v>
      </c>
      <c r="DY266" s="2" t="n">
        <v>100</v>
      </c>
      <c r="DZ266" s="2" t="n">
        <v>100</v>
      </c>
      <c r="EA266" s="2" t="n">
        <v>0</v>
      </c>
      <c r="EB266" s="2" t="n">
        <v>100</v>
      </c>
      <c r="EC266" s="2" t="n">
        <v>100</v>
      </c>
      <c r="ED266" s="2" t="n">
        <v>0</v>
      </c>
      <c r="EE266" s="2" t="n">
        <v>100</v>
      </c>
      <c r="EF266" s="2" t="n">
        <v>100</v>
      </c>
      <c r="EG266" s="2" t="n">
        <v>0</v>
      </c>
      <c r="EH266" s="2" t="n">
        <v>100</v>
      </c>
      <c r="EI266" s="2" t="n">
        <v>100</v>
      </c>
      <c r="EJ266" s="2" t="n">
        <v>0</v>
      </c>
      <c r="EK266" s="2" t="n">
        <v>100</v>
      </c>
      <c r="EL266" s="2" t="n">
        <v>100</v>
      </c>
      <c r="EM266" s="2" t="n">
        <v>0</v>
      </c>
      <c r="EN266" s="2" t="n">
        <v>100</v>
      </c>
      <c r="EO266" s="2" t="n">
        <v>100</v>
      </c>
      <c r="EP266" s="2" t="n">
        <v>0</v>
      </c>
      <c r="EQ266" s="2" t="n">
        <v>100</v>
      </c>
      <c r="ER266" s="2" t="n">
        <v>100</v>
      </c>
      <c r="ES266" s="2" t="n">
        <v>0</v>
      </c>
    </row>
    <row r="267">
      <c r="A267" s="2" t="n">
        <v>3</v>
      </c>
      <c r="B267" s="2" t="inlineStr">
        <is>
          <t>13.03.03</t>
        </is>
      </c>
      <c r="C267" s="2" t="inlineStr">
        <is>
          <t>Concreto bombeado Fck=30Mpa para superestrutura</t>
        </is>
      </c>
      <c r="D267" s="2" t="inlineStr">
        <is>
          <t>19/10/2026</t>
        </is>
      </c>
      <c r="E267" s="2" t="inlineStr">
        <is>
          <t>30/11/2026</t>
        </is>
      </c>
      <c r="F267" s="2" t="n">
        <v>68900.33826900335</v>
      </c>
      <c r="G267" s="2" t="n">
        <v>0</v>
      </c>
      <c r="H267" s="2" t="n">
        <v>68900.33826900335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20.69</v>
      </c>
      <c r="BF267" s="2" t="n">
        <v>34.48</v>
      </c>
      <c r="BG267" s="2" t="n">
        <v>0</v>
      </c>
      <c r="BH267" s="2" t="n">
        <v>86.20999999999999</v>
      </c>
      <c r="BI267" s="2" t="n">
        <v>100</v>
      </c>
      <c r="BJ267" s="2" t="n">
        <v>0</v>
      </c>
      <c r="BK267" s="2" t="n">
        <v>100</v>
      </c>
      <c r="BL267" s="2" t="n">
        <v>100</v>
      </c>
      <c r="BM267" s="2" t="n">
        <v>0</v>
      </c>
      <c r="BN267" s="2" t="n">
        <v>100</v>
      </c>
      <c r="BO267" s="2" t="n">
        <v>100</v>
      </c>
      <c r="BP267" s="2" t="n">
        <v>0</v>
      </c>
      <c r="BQ267" s="2" t="n">
        <v>100</v>
      </c>
      <c r="BR267" s="2" t="n">
        <v>100</v>
      </c>
      <c r="BS267" s="2" t="n">
        <v>0</v>
      </c>
      <c r="BT267" s="2" t="n">
        <v>100</v>
      </c>
      <c r="BU267" s="2" t="n">
        <v>100</v>
      </c>
      <c r="BV267" s="2" t="n">
        <v>0</v>
      </c>
      <c r="BW267" s="2" t="n">
        <v>100</v>
      </c>
      <c r="BX267" s="2" t="n">
        <v>100</v>
      </c>
      <c r="BY267" s="2" t="n">
        <v>0</v>
      </c>
      <c r="BZ267" s="2" t="n">
        <v>100</v>
      </c>
      <c r="CA267" s="2" t="n">
        <v>100</v>
      </c>
      <c r="CB267" s="2" t="n">
        <v>0</v>
      </c>
      <c r="CC267" s="2" t="n">
        <v>100</v>
      </c>
      <c r="CD267" s="2" t="n">
        <v>100</v>
      </c>
      <c r="CE267" s="2" t="n">
        <v>0</v>
      </c>
      <c r="CF267" s="2" t="n">
        <v>100</v>
      </c>
      <c r="CG267" s="2" t="n">
        <v>100</v>
      </c>
      <c r="CH267" s="2" t="n">
        <v>0</v>
      </c>
      <c r="CI267" s="2" t="n">
        <v>100</v>
      </c>
      <c r="CJ267" s="2" t="n">
        <v>100</v>
      </c>
      <c r="CK267" s="2" t="n">
        <v>0</v>
      </c>
      <c r="CL267" s="2" t="n">
        <v>100</v>
      </c>
      <c r="CM267" s="2" t="n">
        <v>100</v>
      </c>
      <c r="CN267" s="2" t="n">
        <v>0</v>
      </c>
      <c r="CO267" s="2" t="n">
        <v>100</v>
      </c>
      <c r="CP267" s="2" t="n">
        <v>100</v>
      </c>
      <c r="CQ267" s="2" t="n">
        <v>0</v>
      </c>
      <c r="CR267" s="2" t="n">
        <v>100</v>
      </c>
      <c r="CS267" s="2" t="n">
        <v>100</v>
      </c>
      <c r="CT267" s="2" t="n">
        <v>0</v>
      </c>
      <c r="CU267" s="2" t="n">
        <v>100</v>
      </c>
      <c r="CV267" s="2" t="n">
        <v>100</v>
      </c>
      <c r="CW267" s="2" t="n">
        <v>0</v>
      </c>
      <c r="CX267" s="2" t="n">
        <v>100</v>
      </c>
      <c r="CY267" s="2" t="n">
        <v>100</v>
      </c>
      <c r="CZ267" s="2" t="n">
        <v>0</v>
      </c>
      <c r="DA267" s="2" t="n">
        <v>100</v>
      </c>
      <c r="DB267" s="2" t="n">
        <v>100</v>
      </c>
      <c r="DC267" s="2" t="n">
        <v>0</v>
      </c>
      <c r="DD267" s="2" t="n">
        <v>100</v>
      </c>
      <c r="DE267" s="2" t="n">
        <v>100</v>
      </c>
      <c r="DF267" s="2" t="n">
        <v>0</v>
      </c>
      <c r="DG267" s="2" t="n">
        <v>100</v>
      </c>
      <c r="DH267" s="2" t="n">
        <v>100</v>
      </c>
      <c r="DI267" s="2" t="n">
        <v>0</v>
      </c>
      <c r="DJ267" s="2" t="n">
        <v>100</v>
      </c>
      <c r="DK267" s="2" t="n">
        <v>100</v>
      </c>
      <c r="DL267" s="2" t="n">
        <v>0</v>
      </c>
      <c r="DM267" s="2" t="n">
        <v>100</v>
      </c>
      <c r="DN267" s="2" t="n">
        <v>100</v>
      </c>
      <c r="DO267" s="2" t="n">
        <v>0</v>
      </c>
      <c r="DP267" s="2" t="n">
        <v>100</v>
      </c>
      <c r="DQ267" s="2" t="n">
        <v>100</v>
      </c>
      <c r="DR267" s="2" t="n">
        <v>0</v>
      </c>
      <c r="DS267" s="2" t="n">
        <v>100</v>
      </c>
      <c r="DT267" s="2" t="n">
        <v>100</v>
      </c>
      <c r="DU267" s="2" t="n">
        <v>0</v>
      </c>
      <c r="DV267" s="2" t="n">
        <v>100</v>
      </c>
      <c r="DW267" s="2" t="n">
        <v>100</v>
      </c>
      <c r="DX267" s="2" t="n">
        <v>0</v>
      </c>
      <c r="DY267" s="2" t="n">
        <v>100</v>
      </c>
      <c r="DZ267" s="2" t="n">
        <v>100</v>
      </c>
      <c r="EA267" s="2" t="n">
        <v>0</v>
      </c>
      <c r="EB267" s="2" t="n">
        <v>100</v>
      </c>
      <c r="EC267" s="2" t="n">
        <v>100</v>
      </c>
      <c r="ED267" s="2" t="n">
        <v>0</v>
      </c>
      <c r="EE267" s="2" t="n">
        <v>100</v>
      </c>
      <c r="EF267" s="2" t="n">
        <v>100</v>
      </c>
      <c r="EG267" s="2" t="n">
        <v>0</v>
      </c>
      <c r="EH267" s="2" t="n">
        <v>100</v>
      </c>
      <c r="EI267" s="2" t="n">
        <v>100</v>
      </c>
      <c r="EJ267" s="2" t="n">
        <v>0</v>
      </c>
      <c r="EK267" s="2" t="n">
        <v>100</v>
      </c>
      <c r="EL267" s="2" t="n">
        <v>100</v>
      </c>
      <c r="EM267" s="2" t="n">
        <v>0</v>
      </c>
      <c r="EN267" s="2" t="n">
        <v>100</v>
      </c>
      <c r="EO267" s="2" t="n">
        <v>100</v>
      </c>
      <c r="EP267" s="2" t="n">
        <v>0</v>
      </c>
      <c r="EQ267" s="2" t="n">
        <v>100</v>
      </c>
      <c r="ER267" s="2" t="n">
        <v>100</v>
      </c>
      <c r="ES267" s="2" t="n">
        <v>0</v>
      </c>
    </row>
    <row r="268">
      <c r="A268" s="2" t="n">
        <v>2</v>
      </c>
      <c r="B268" s="2" t="inlineStr">
        <is>
          <t>13.04</t>
        </is>
      </c>
      <c r="C268" s="2" t="inlineStr">
        <is>
          <t>Tratamento de contenções</t>
        </is>
      </c>
      <c r="D268" s="2" t="inlineStr">
        <is>
          <t>13/11/2026</t>
        </is>
      </c>
      <c r="E268" s="2" t="inlineStr">
        <is>
          <t>23/12/2026</t>
        </is>
      </c>
      <c r="F268" s="2" t="n">
        <v>33229.6722</v>
      </c>
      <c r="G268" s="2" t="n">
        <v>0</v>
      </c>
      <c r="H268" s="2" t="n">
        <v>33229.6722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13.33</v>
      </c>
      <c r="BC268" s="2" t="n">
        <v>0</v>
      </c>
      <c r="BD268" s="2" t="n">
        <v>0</v>
      </c>
      <c r="BE268" s="2" t="n">
        <v>60</v>
      </c>
      <c r="BF268" s="2" t="n">
        <v>0</v>
      </c>
      <c r="BG268" s="2" t="n">
        <v>0</v>
      </c>
      <c r="BH268" s="2" t="n">
        <v>100</v>
      </c>
      <c r="BI268" s="2" t="n">
        <v>40.74</v>
      </c>
      <c r="BJ268" s="2" t="n">
        <v>0</v>
      </c>
      <c r="BK268" s="2" t="n">
        <v>100</v>
      </c>
      <c r="BL268" s="2" t="n">
        <v>100</v>
      </c>
      <c r="BM268" s="2" t="n">
        <v>0</v>
      </c>
      <c r="BN268" s="2" t="n">
        <v>100</v>
      </c>
      <c r="BO268" s="2" t="n">
        <v>100</v>
      </c>
      <c r="BP268" s="2" t="n">
        <v>0</v>
      </c>
      <c r="BQ268" s="2" t="n">
        <v>100</v>
      </c>
      <c r="BR268" s="2" t="n">
        <v>100</v>
      </c>
      <c r="BS268" s="2" t="n">
        <v>0</v>
      </c>
      <c r="BT268" s="2" t="n">
        <v>100</v>
      </c>
      <c r="BU268" s="2" t="n">
        <v>100</v>
      </c>
      <c r="BV268" s="2" t="n">
        <v>0</v>
      </c>
      <c r="BW268" s="2" t="n">
        <v>100</v>
      </c>
      <c r="BX268" s="2" t="n">
        <v>100</v>
      </c>
      <c r="BY268" s="2" t="n">
        <v>0</v>
      </c>
      <c r="BZ268" s="2" t="n">
        <v>100</v>
      </c>
      <c r="CA268" s="2" t="n">
        <v>100</v>
      </c>
      <c r="CB268" s="2" t="n">
        <v>0</v>
      </c>
      <c r="CC268" s="2" t="n">
        <v>100</v>
      </c>
      <c r="CD268" s="2" t="n">
        <v>100</v>
      </c>
      <c r="CE268" s="2" t="n">
        <v>0</v>
      </c>
      <c r="CF268" s="2" t="n">
        <v>100</v>
      </c>
      <c r="CG268" s="2" t="n">
        <v>100</v>
      </c>
      <c r="CH268" s="2" t="n">
        <v>0</v>
      </c>
      <c r="CI268" s="2" t="n">
        <v>100</v>
      </c>
      <c r="CJ268" s="2" t="n">
        <v>100</v>
      </c>
      <c r="CK268" s="2" t="n">
        <v>0</v>
      </c>
      <c r="CL268" s="2" t="n">
        <v>100</v>
      </c>
      <c r="CM268" s="2" t="n">
        <v>100</v>
      </c>
      <c r="CN268" s="2" t="n">
        <v>0</v>
      </c>
      <c r="CO268" s="2" t="n">
        <v>100</v>
      </c>
      <c r="CP268" s="2" t="n">
        <v>100</v>
      </c>
      <c r="CQ268" s="2" t="n">
        <v>0</v>
      </c>
      <c r="CR268" s="2" t="n">
        <v>100</v>
      </c>
      <c r="CS268" s="2" t="n">
        <v>100</v>
      </c>
      <c r="CT268" s="2" t="n">
        <v>0</v>
      </c>
      <c r="CU268" s="2" t="n">
        <v>100</v>
      </c>
      <c r="CV268" s="2" t="n">
        <v>100</v>
      </c>
      <c r="CW268" s="2" t="n">
        <v>0</v>
      </c>
      <c r="CX268" s="2" t="n">
        <v>100</v>
      </c>
      <c r="CY268" s="2" t="n">
        <v>100</v>
      </c>
      <c r="CZ268" s="2" t="n">
        <v>0</v>
      </c>
      <c r="DA268" s="2" t="n">
        <v>100</v>
      </c>
      <c r="DB268" s="2" t="n">
        <v>100</v>
      </c>
      <c r="DC268" s="2" t="n">
        <v>0</v>
      </c>
      <c r="DD268" s="2" t="n">
        <v>100</v>
      </c>
      <c r="DE268" s="2" t="n">
        <v>100</v>
      </c>
      <c r="DF268" s="2" t="n">
        <v>0</v>
      </c>
      <c r="DG268" s="2" t="n">
        <v>100</v>
      </c>
      <c r="DH268" s="2" t="n">
        <v>100</v>
      </c>
      <c r="DI268" s="2" t="n">
        <v>0</v>
      </c>
      <c r="DJ268" s="2" t="n">
        <v>100</v>
      </c>
      <c r="DK268" s="2" t="n">
        <v>100</v>
      </c>
      <c r="DL268" s="2" t="n">
        <v>0</v>
      </c>
      <c r="DM268" s="2" t="n">
        <v>100</v>
      </c>
      <c r="DN268" s="2" t="n">
        <v>100</v>
      </c>
      <c r="DO268" s="2" t="n">
        <v>0</v>
      </c>
      <c r="DP268" s="2" t="n">
        <v>100</v>
      </c>
      <c r="DQ268" s="2" t="n">
        <v>100</v>
      </c>
      <c r="DR268" s="2" t="n">
        <v>0</v>
      </c>
      <c r="DS268" s="2" t="n">
        <v>100</v>
      </c>
      <c r="DT268" s="2" t="n">
        <v>100</v>
      </c>
      <c r="DU268" s="2" t="n">
        <v>0</v>
      </c>
      <c r="DV268" s="2" t="n">
        <v>100</v>
      </c>
      <c r="DW268" s="2" t="n">
        <v>100</v>
      </c>
      <c r="DX268" s="2" t="n">
        <v>0</v>
      </c>
      <c r="DY268" s="2" t="n">
        <v>100</v>
      </c>
      <c r="DZ268" s="2" t="n">
        <v>100</v>
      </c>
      <c r="EA268" s="2" t="n">
        <v>0</v>
      </c>
      <c r="EB268" s="2" t="n">
        <v>100</v>
      </c>
      <c r="EC268" s="2" t="n">
        <v>100</v>
      </c>
      <c r="ED268" s="2" t="n">
        <v>0</v>
      </c>
      <c r="EE268" s="2" t="n">
        <v>100</v>
      </c>
      <c r="EF268" s="2" t="n">
        <v>100</v>
      </c>
      <c r="EG268" s="2" t="n">
        <v>0</v>
      </c>
      <c r="EH268" s="2" t="n">
        <v>100</v>
      </c>
      <c r="EI268" s="2" t="n">
        <v>100</v>
      </c>
      <c r="EJ268" s="2" t="n">
        <v>0</v>
      </c>
      <c r="EK268" s="2" t="n">
        <v>100</v>
      </c>
      <c r="EL268" s="2" t="n">
        <v>100</v>
      </c>
      <c r="EM268" s="2" t="n">
        <v>0</v>
      </c>
      <c r="EN268" s="2" t="n">
        <v>100</v>
      </c>
      <c r="EO268" s="2" t="n">
        <v>100</v>
      </c>
      <c r="EP268" s="2" t="n">
        <v>0</v>
      </c>
      <c r="EQ268" s="2" t="n">
        <v>100</v>
      </c>
      <c r="ER268" s="2" t="n">
        <v>100</v>
      </c>
      <c r="ES268" s="2" t="n">
        <v>0</v>
      </c>
    </row>
    <row r="269">
      <c r="A269" s="2" t="n">
        <v>3</v>
      </c>
      <c r="B269" s="2" t="inlineStr">
        <is>
          <t>13.04.01</t>
        </is>
      </c>
      <c r="C269" s="2" t="inlineStr">
        <is>
          <t>Impermeabilização de contenções</t>
        </is>
      </c>
      <c r="D269" s="2" t="inlineStr">
        <is>
          <t>13/11/2026</t>
        </is>
      </c>
      <c r="E269" s="2" t="inlineStr">
        <is>
          <t>23/12/2026</t>
        </is>
      </c>
      <c r="F269" s="2" t="n">
        <v>16614.8361</v>
      </c>
      <c r="G269" s="2" t="n">
        <v>0</v>
      </c>
      <c r="H269" s="2" t="n">
        <v>16614.8361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13.33</v>
      </c>
      <c r="BC269" s="2" t="n">
        <v>0</v>
      </c>
      <c r="BD269" s="2" t="n">
        <v>0</v>
      </c>
      <c r="BE269" s="2" t="n">
        <v>60</v>
      </c>
      <c r="BF269" s="2" t="n">
        <v>0</v>
      </c>
      <c r="BG269" s="2" t="n">
        <v>0</v>
      </c>
      <c r="BH269" s="2" t="n">
        <v>100</v>
      </c>
      <c r="BI269" s="2" t="n">
        <v>40.74</v>
      </c>
      <c r="BJ269" s="2" t="n">
        <v>0</v>
      </c>
      <c r="BK269" s="2" t="n">
        <v>100</v>
      </c>
      <c r="BL269" s="2" t="n">
        <v>100</v>
      </c>
      <c r="BM269" s="2" t="n">
        <v>0</v>
      </c>
      <c r="BN269" s="2" t="n">
        <v>100</v>
      </c>
      <c r="BO269" s="2" t="n">
        <v>100</v>
      </c>
      <c r="BP269" s="2" t="n">
        <v>0</v>
      </c>
      <c r="BQ269" s="2" t="n">
        <v>100</v>
      </c>
      <c r="BR269" s="2" t="n">
        <v>100</v>
      </c>
      <c r="BS269" s="2" t="n">
        <v>0</v>
      </c>
      <c r="BT269" s="2" t="n">
        <v>100</v>
      </c>
      <c r="BU269" s="2" t="n">
        <v>100</v>
      </c>
      <c r="BV269" s="2" t="n">
        <v>0</v>
      </c>
      <c r="BW269" s="2" t="n">
        <v>100</v>
      </c>
      <c r="BX269" s="2" t="n">
        <v>100</v>
      </c>
      <c r="BY269" s="2" t="n">
        <v>0</v>
      </c>
      <c r="BZ269" s="2" t="n">
        <v>100</v>
      </c>
      <c r="CA269" s="2" t="n">
        <v>100</v>
      </c>
      <c r="CB269" s="2" t="n">
        <v>0</v>
      </c>
      <c r="CC269" s="2" t="n">
        <v>100</v>
      </c>
      <c r="CD269" s="2" t="n">
        <v>100</v>
      </c>
      <c r="CE269" s="2" t="n">
        <v>0</v>
      </c>
      <c r="CF269" s="2" t="n">
        <v>100</v>
      </c>
      <c r="CG269" s="2" t="n">
        <v>100</v>
      </c>
      <c r="CH269" s="2" t="n">
        <v>0</v>
      </c>
      <c r="CI269" s="2" t="n">
        <v>100</v>
      </c>
      <c r="CJ269" s="2" t="n">
        <v>100</v>
      </c>
      <c r="CK269" s="2" t="n">
        <v>0</v>
      </c>
      <c r="CL269" s="2" t="n">
        <v>100</v>
      </c>
      <c r="CM269" s="2" t="n">
        <v>100</v>
      </c>
      <c r="CN269" s="2" t="n">
        <v>0</v>
      </c>
      <c r="CO269" s="2" t="n">
        <v>100</v>
      </c>
      <c r="CP269" s="2" t="n">
        <v>100</v>
      </c>
      <c r="CQ269" s="2" t="n">
        <v>0</v>
      </c>
      <c r="CR269" s="2" t="n">
        <v>100</v>
      </c>
      <c r="CS269" s="2" t="n">
        <v>100</v>
      </c>
      <c r="CT269" s="2" t="n">
        <v>0</v>
      </c>
      <c r="CU269" s="2" t="n">
        <v>100</v>
      </c>
      <c r="CV269" s="2" t="n">
        <v>100</v>
      </c>
      <c r="CW269" s="2" t="n">
        <v>0</v>
      </c>
      <c r="CX269" s="2" t="n">
        <v>100</v>
      </c>
      <c r="CY269" s="2" t="n">
        <v>100</v>
      </c>
      <c r="CZ269" s="2" t="n">
        <v>0</v>
      </c>
      <c r="DA269" s="2" t="n">
        <v>100</v>
      </c>
      <c r="DB269" s="2" t="n">
        <v>100</v>
      </c>
      <c r="DC269" s="2" t="n">
        <v>0</v>
      </c>
      <c r="DD269" s="2" t="n">
        <v>100</v>
      </c>
      <c r="DE269" s="2" t="n">
        <v>100</v>
      </c>
      <c r="DF269" s="2" t="n">
        <v>0</v>
      </c>
      <c r="DG269" s="2" t="n">
        <v>100</v>
      </c>
      <c r="DH269" s="2" t="n">
        <v>100</v>
      </c>
      <c r="DI269" s="2" t="n">
        <v>0</v>
      </c>
      <c r="DJ269" s="2" t="n">
        <v>100</v>
      </c>
      <c r="DK269" s="2" t="n">
        <v>100</v>
      </c>
      <c r="DL269" s="2" t="n">
        <v>0</v>
      </c>
      <c r="DM269" s="2" t="n">
        <v>100</v>
      </c>
      <c r="DN269" s="2" t="n">
        <v>100</v>
      </c>
      <c r="DO269" s="2" t="n">
        <v>0</v>
      </c>
      <c r="DP269" s="2" t="n">
        <v>100</v>
      </c>
      <c r="DQ269" s="2" t="n">
        <v>100</v>
      </c>
      <c r="DR269" s="2" t="n">
        <v>0</v>
      </c>
      <c r="DS269" s="2" t="n">
        <v>100</v>
      </c>
      <c r="DT269" s="2" t="n">
        <v>100</v>
      </c>
      <c r="DU269" s="2" t="n">
        <v>0</v>
      </c>
      <c r="DV269" s="2" t="n">
        <v>100</v>
      </c>
      <c r="DW269" s="2" t="n">
        <v>100</v>
      </c>
      <c r="DX269" s="2" t="n">
        <v>0</v>
      </c>
      <c r="DY269" s="2" t="n">
        <v>100</v>
      </c>
      <c r="DZ269" s="2" t="n">
        <v>100</v>
      </c>
      <c r="EA269" s="2" t="n">
        <v>0</v>
      </c>
      <c r="EB269" s="2" t="n">
        <v>100</v>
      </c>
      <c r="EC269" s="2" t="n">
        <v>100</v>
      </c>
      <c r="ED269" s="2" t="n">
        <v>0</v>
      </c>
      <c r="EE269" s="2" t="n">
        <v>100</v>
      </c>
      <c r="EF269" s="2" t="n">
        <v>100</v>
      </c>
      <c r="EG269" s="2" t="n">
        <v>0</v>
      </c>
      <c r="EH269" s="2" t="n">
        <v>100</v>
      </c>
      <c r="EI269" s="2" t="n">
        <v>100</v>
      </c>
      <c r="EJ269" s="2" t="n">
        <v>0</v>
      </c>
      <c r="EK269" s="2" t="n">
        <v>100</v>
      </c>
      <c r="EL269" s="2" t="n">
        <v>100</v>
      </c>
      <c r="EM269" s="2" t="n">
        <v>0</v>
      </c>
      <c r="EN269" s="2" t="n">
        <v>100</v>
      </c>
      <c r="EO269" s="2" t="n">
        <v>100</v>
      </c>
      <c r="EP269" s="2" t="n">
        <v>0</v>
      </c>
      <c r="EQ269" s="2" t="n">
        <v>100</v>
      </c>
      <c r="ER269" s="2" t="n">
        <v>100</v>
      </c>
      <c r="ES269" s="2" t="n">
        <v>0</v>
      </c>
    </row>
    <row r="270">
      <c r="A270" s="2" t="n">
        <v>3</v>
      </c>
      <c r="B270" s="2" t="inlineStr">
        <is>
          <t>13.04.02</t>
        </is>
      </c>
      <c r="C270" s="2" t="inlineStr">
        <is>
          <t>Drenagem para contenções</t>
        </is>
      </c>
      <c r="D270" s="2" t="inlineStr">
        <is>
          <t>13/11/2026</t>
        </is>
      </c>
      <c r="E270" s="2" t="inlineStr">
        <is>
          <t>23/12/2026</t>
        </is>
      </c>
      <c r="F270" s="2" t="n">
        <v>16614.8361</v>
      </c>
      <c r="G270" s="2" t="n">
        <v>0</v>
      </c>
      <c r="H270" s="2" t="n">
        <v>16614.8361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13.33</v>
      </c>
      <c r="BC270" s="2" t="n">
        <v>0</v>
      </c>
      <c r="BD270" s="2" t="n">
        <v>0</v>
      </c>
      <c r="BE270" s="2" t="n">
        <v>60</v>
      </c>
      <c r="BF270" s="2" t="n">
        <v>0</v>
      </c>
      <c r="BG270" s="2" t="n">
        <v>0</v>
      </c>
      <c r="BH270" s="2" t="n">
        <v>100</v>
      </c>
      <c r="BI270" s="2" t="n">
        <v>40.74</v>
      </c>
      <c r="BJ270" s="2" t="n">
        <v>0</v>
      </c>
      <c r="BK270" s="2" t="n">
        <v>100</v>
      </c>
      <c r="BL270" s="2" t="n">
        <v>100</v>
      </c>
      <c r="BM270" s="2" t="n">
        <v>0</v>
      </c>
      <c r="BN270" s="2" t="n">
        <v>100</v>
      </c>
      <c r="BO270" s="2" t="n">
        <v>100</v>
      </c>
      <c r="BP270" s="2" t="n">
        <v>0</v>
      </c>
      <c r="BQ270" s="2" t="n">
        <v>100</v>
      </c>
      <c r="BR270" s="2" t="n">
        <v>100</v>
      </c>
      <c r="BS270" s="2" t="n">
        <v>0</v>
      </c>
      <c r="BT270" s="2" t="n">
        <v>100</v>
      </c>
      <c r="BU270" s="2" t="n">
        <v>100</v>
      </c>
      <c r="BV270" s="2" t="n">
        <v>0</v>
      </c>
      <c r="BW270" s="2" t="n">
        <v>100</v>
      </c>
      <c r="BX270" s="2" t="n">
        <v>100</v>
      </c>
      <c r="BY270" s="2" t="n">
        <v>0</v>
      </c>
      <c r="BZ270" s="2" t="n">
        <v>100</v>
      </c>
      <c r="CA270" s="2" t="n">
        <v>100</v>
      </c>
      <c r="CB270" s="2" t="n">
        <v>0</v>
      </c>
      <c r="CC270" s="2" t="n">
        <v>100</v>
      </c>
      <c r="CD270" s="2" t="n">
        <v>100</v>
      </c>
      <c r="CE270" s="2" t="n">
        <v>0</v>
      </c>
      <c r="CF270" s="2" t="n">
        <v>100</v>
      </c>
      <c r="CG270" s="2" t="n">
        <v>100</v>
      </c>
      <c r="CH270" s="2" t="n">
        <v>0</v>
      </c>
      <c r="CI270" s="2" t="n">
        <v>100</v>
      </c>
      <c r="CJ270" s="2" t="n">
        <v>100</v>
      </c>
      <c r="CK270" s="2" t="n">
        <v>0</v>
      </c>
      <c r="CL270" s="2" t="n">
        <v>100</v>
      </c>
      <c r="CM270" s="2" t="n">
        <v>100</v>
      </c>
      <c r="CN270" s="2" t="n">
        <v>0</v>
      </c>
      <c r="CO270" s="2" t="n">
        <v>100</v>
      </c>
      <c r="CP270" s="2" t="n">
        <v>100</v>
      </c>
      <c r="CQ270" s="2" t="n">
        <v>0</v>
      </c>
      <c r="CR270" s="2" t="n">
        <v>100</v>
      </c>
      <c r="CS270" s="2" t="n">
        <v>100</v>
      </c>
      <c r="CT270" s="2" t="n">
        <v>0</v>
      </c>
      <c r="CU270" s="2" t="n">
        <v>100</v>
      </c>
      <c r="CV270" s="2" t="n">
        <v>100</v>
      </c>
      <c r="CW270" s="2" t="n">
        <v>0</v>
      </c>
      <c r="CX270" s="2" t="n">
        <v>100</v>
      </c>
      <c r="CY270" s="2" t="n">
        <v>100</v>
      </c>
      <c r="CZ270" s="2" t="n">
        <v>0</v>
      </c>
      <c r="DA270" s="2" t="n">
        <v>100</v>
      </c>
      <c r="DB270" s="2" t="n">
        <v>100</v>
      </c>
      <c r="DC270" s="2" t="n">
        <v>0</v>
      </c>
      <c r="DD270" s="2" t="n">
        <v>100</v>
      </c>
      <c r="DE270" s="2" t="n">
        <v>100</v>
      </c>
      <c r="DF270" s="2" t="n">
        <v>0</v>
      </c>
      <c r="DG270" s="2" t="n">
        <v>100</v>
      </c>
      <c r="DH270" s="2" t="n">
        <v>100</v>
      </c>
      <c r="DI270" s="2" t="n">
        <v>0</v>
      </c>
      <c r="DJ270" s="2" t="n">
        <v>100</v>
      </c>
      <c r="DK270" s="2" t="n">
        <v>100</v>
      </c>
      <c r="DL270" s="2" t="n">
        <v>0</v>
      </c>
      <c r="DM270" s="2" t="n">
        <v>100</v>
      </c>
      <c r="DN270" s="2" t="n">
        <v>100</v>
      </c>
      <c r="DO270" s="2" t="n">
        <v>0</v>
      </c>
      <c r="DP270" s="2" t="n">
        <v>100</v>
      </c>
      <c r="DQ270" s="2" t="n">
        <v>100</v>
      </c>
      <c r="DR270" s="2" t="n">
        <v>0</v>
      </c>
      <c r="DS270" s="2" t="n">
        <v>100</v>
      </c>
      <c r="DT270" s="2" t="n">
        <v>100</v>
      </c>
      <c r="DU270" s="2" t="n">
        <v>0</v>
      </c>
      <c r="DV270" s="2" t="n">
        <v>100</v>
      </c>
      <c r="DW270" s="2" t="n">
        <v>100</v>
      </c>
      <c r="DX270" s="2" t="n">
        <v>0</v>
      </c>
      <c r="DY270" s="2" t="n">
        <v>100</v>
      </c>
      <c r="DZ270" s="2" t="n">
        <v>100</v>
      </c>
      <c r="EA270" s="2" t="n">
        <v>0</v>
      </c>
      <c r="EB270" s="2" t="n">
        <v>100</v>
      </c>
      <c r="EC270" s="2" t="n">
        <v>100</v>
      </c>
      <c r="ED270" s="2" t="n">
        <v>0</v>
      </c>
      <c r="EE270" s="2" t="n">
        <v>100</v>
      </c>
      <c r="EF270" s="2" t="n">
        <v>100</v>
      </c>
      <c r="EG270" s="2" t="n">
        <v>0</v>
      </c>
      <c r="EH270" s="2" t="n">
        <v>100</v>
      </c>
      <c r="EI270" s="2" t="n">
        <v>100</v>
      </c>
      <c r="EJ270" s="2" t="n">
        <v>0</v>
      </c>
      <c r="EK270" s="2" t="n">
        <v>100</v>
      </c>
      <c r="EL270" s="2" t="n">
        <v>100</v>
      </c>
      <c r="EM270" s="2" t="n">
        <v>0</v>
      </c>
      <c r="EN270" s="2" t="n">
        <v>100</v>
      </c>
      <c r="EO270" s="2" t="n">
        <v>100</v>
      </c>
      <c r="EP270" s="2" t="n">
        <v>0</v>
      </c>
      <c r="EQ270" s="2" t="n">
        <v>100</v>
      </c>
      <c r="ER270" s="2" t="n">
        <v>100</v>
      </c>
      <c r="ES270" s="2" t="n">
        <v>0</v>
      </c>
    </row>
    <row r="271">
      <c r="A271" s="2" t="n">
        <v>2</v>
      </c>
      <c r="B271" s="2" t="inlineStr">
        <is>
          <t>13.05</t>
        </is>
      </c>
      <c r="C271" s="2" t="inlineStr">
        <is>
          <t>Alvenaria de blocos cerâmicos para isolamento de contenções</t>
        </is>
      </c>
      <c r="D271" s="2" t="inlineStr">
        <is>
          <t>09/04/2027</t>
        </is>
      </c>
      <c r="E271" s="2" t="inlineStr">
        <is>
          <t>11/05/2027</t>
        </is>
      </c>
      <c r="F271" s="2" t="n">
        <v>48182.51402557208</v>
      </c>
      <c r="G271" s="2" t="n">
        <v>0</v>
      </c>
      <c r="H271" s="2" t="n">
        <v>48182.51402557208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0</v>
      </c>
      <c r="BQ271" s="2" t="n">
        <v>0</v>
      </c>
      <c r="BR271" s="2" t="n">
        <v>0</v>
      </c>
      <c r="BS271" s="2" t="n">
        <v>0</v>
      </c>
      <c r="BT271" s="2" t="n">
        <v>0</v>
      </c>
      <c r="BU271" s="2" t="n">
        <v>0</v>
      </c>
      <c r="BV271" s="2" t="n">
        <v>0</v>
      </c>
      <c r="BW271" s="2" t="n">
        <v>68.18000000000001</v>
      </c>
      <c r="BX271" s="2" t="n">
        <v>68.18000000000001</v>
      </c>
      <c r="BY271" s="2" t="n">
        <v>0</v>
      </c>
      <c r="BZ271" s="2" t="n">
        <v>100</v>
      </c>
      <c r="CA271" s="2" t="n">
        <v>100</v>
      </c>
      <c r="CB271" s="2" t="n">
        <v>0</v>
      </c>
      <c r="CC271" s="2" t="n">
        <v>100</v>
      </c>
      <c r="CD271" s="2" t="n">
        <v>100</v>
      </c>
      <c r="CE271" s="2" t="n">
        <v>0</v>
      </c>
      <c r="CF271" s="2" t="n">
        <v>100</v>
      </c>
      <c r="CG271" s="2" t="n">
        <v>100</v>
      </c>
      <c r="CH271" s="2" t="n">
        <v>0</v>
      </c>
      <c r="CI271" s="2" t="n">
        <v>100</v>
      </c>
      <c r="CJ271" s="2" t="n">
        <v>100</v>
      </c>
      <c r="CK271" s="2" t="n">
        <v>0</v>
      </c>
      <c r="CL271" s="2" t="n">
        <v>100</v>
      </c>
      <c r="CM271" s="2" t="n">
        <v>100</v>
      </c>
      <c r="CN271" s="2" t="n">
        <v>0</v>
      </c>
      <c r="CO271" s="2" t="n">
        <v>100</v>
      </c>
      <c r="CP271" s="2" t="n">
        <v>100</v>
      </c>
      <c r="CQ271" s="2" t="n">
        <v>0</v>
      </c>
      <c r="CR271" s="2" t="n">
        <v>100</v>
      </c>
      <c r="CS271" s="2" t="n">
        <v>100</v>
      </c>
      <c r="CT271" s="2" t="n">
        <v>0</v>
      </c>
      <c r="CU271" s="2" t="n">
        <v>100</v>
      </c>
      <c r="CV271" s="2" t="n">
        <v>100</v>
      </c>
      <c r="CW271" s="2" t="n">
        <v>0</v>
      </c>
      <c r="CX271" s="2" t="n">
        <v>100</v>
      </c>
      <c r="CY271" s="2" t="n">
        <v>100</v>
      </c>
      <c r="CZ271" s="2" t="n">
        <v>0</v>
      </c>
      <c r="DA271" s="2" t="n">
        <v>100</v>
      </c>
      <c r="DB271" s="2" t="n">
        <v>100</v>
      </c>
      <c r="DC271" s="2" t="n">
        <v>0</v>
      </c>
      <c r="DD271" s="2" t="n">
        <v>100</v>
      </c>
      <c r="DE271" s="2" t="n">
        <v>100</v>
      </c>
      <c r="DF271" s="2" t="n">
        <v>0</v>
      </c>
      <c r="DG271" s="2" t="n">
        <v>100</v>
      </c>
      <c r="DH271" s="2" t="n">
        <v>100</v>
      </c>
      <c r="DI271" s="2" t="n">
        <v>0</v>
      </c>
      <c r="DJ271" s="2" t="n">
        <v>100</v>
      </c>
      <c r="DK271" s="2" t="n">
        <v>100</v>
      </c>
      <c r="DL271" s="2" t="n">
        <v>0</v>
      </c>
      <c r="DM271" s="2" t="n">
        <v>100</v>
      </c>
      <c r="DN271" s="2" t="n">
        <v>100</v>
      </c>
      <c r="DO271" s="2" t="n">
        <v>0</v>
      </c>
      <c r="DP271" s="2" t="n">
        <v>100</v>
      </c>
      <c r="DQ271" s="2" t="n">
        <v>100</v>
      </c>
      <c r="DR271" s="2" t="n">
        <v>0</v>
      </c>
      <c r="DS271" s="2" t="n">
        <v>100</v>
      </c>
      <c r="DT271" s="2" t="n">
        <v>100</v>
      </c>
      <c r="DU271" s="2" t="n">
        <v>0</v>
      </c>
      <c r="DV271" s="2" t="n">
        <v>100</v>
      </c>
      <c r="DW271" s="2" t="n">
        <v>100</v>
      </c>
      <c r="DX271" s="2" t="n">
        <v>0</v>
      </c>
      <c r="DY271" s="2" t="n">
        <v>100</v>
      </c>
      <c r="DZ271" s="2" t="n">
        <v>100</v>
      </c>
      <c r="EA271" s="2" t="n">
        <v>0</v>
      </c>
      <c r="EB271" s="2" t="n">
        <v>100</v>
      </c>
      <c r="EC271" s="2" t="n">
        <v>100</v>
      </c>
      <c r="ED271" s="2" t="n">
        <v>0</v>
      </c>
      <c r="EE271" s="2" t="n">
        <v>100</v>
      </c>
      <c r="EF271" s="2" t="n">
        <v>100</v>
      </c>
      <c r="EG271" s="2" t="n">
        <v>0</v>
      </c>
      <c r="EH271" s="2" t="n">
        <v>100</v>
      </c>
      <c r="EI271" s="2" t="n">
        <v>100</v>
      </c>
      <c r="EJ271" s="2" t="n">
        <v>0</v>
      </c>
      <c r="EK271" s="2" t="n">
        <v>100</v>
      </c>
      <c r="EL271" s="2" t="n">
        <v>100</v>
      </c>
      <c r="EM271" s="2" t="n">
        <v>0</v>
      </c>
      <c r="EN271" s="2" t="n">
        <v>100</v>
      </c>
      <c r="EO271" s="2" t="n">
        <v>100</v>
      </c>
      <c r="EP271" s="2" t="n">
        <v>0</v>
      </c>
      <c r="EQ271" s="2" t="n">
        <v>100</v>
      </c>
      <c r="ER271" s="2" t="n">
        <v>100</v>
      </c>
      <c r="ES271" s="2" t="n">
        <v>0</v>
      </c>
    </row>
    <row r="272">
      <c r="A272" s="2" t="n">
        <v>3</v>
      </c>
      <c r="B272" s="2" t="inlineStr">
        <is>
          <t>13.05.01</t>
        </is>
      </c>
      <c r="C272" s="2" t="inlineStr">
        <is>
          <t>Demarcação de alvenaria de vedação com blocos cerâmicos esp.9cm</t>
        </is>
      </c>
      <c r="D272" s="2" t="inlineStr">
        <is>
          <t>09/04/2027</t>
        </is>
      </c>
      <c r="E272" s="2" t="inlineStr">
        <is>
          <t>11/05/2027</t>
        </is>
      </c>
      <c r="F272" s="2" t="n">
        <v>4467.03775524</v>
      </c>
      <c r="G272" s="2" t="n">
        <v>0</v>
      </c>
      <c r="H272" s="2" t="n">
        <v>4467.03775524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0</v>
      </c>
      <c r="BQ272" s="2" t="n">
        <v>0</v>
      </c>
      <c r="BR272" s="2" t="n">
        <v>0</v>
      </c>
      <c r="BS272" s="2" t="n">
        <v>0</v>
      </c>
      <c r="BT272" s="2" t="n">
        <v>0</v>
      </c>
      <c r="BU272" s="2" t="n">
        <v>0</v>
      </c>
      <c r="BV272" s="2" t="n">
        <v>0</v>
      </c>
      <c r="BW272" s="2" t="n">
        <v>68.18000000000001</v>
      </c>
      <c r="BX272" s="2" t="n">
        <v>68.18000000000001</v>
      </c>
      <c r="BY272" s="2" t="n">
        <v>0</v>
      </c>
      <c r="BZ272" s="2" t="n">
        <v>100</v>
      </c>
      <c r="CA272" s="2" t="n">
        <v>100</v>
      </c>
      <c r="CB272" s="2" t="n">
        <v>0</v>
      </c>
      <c r="CC272" s="2" t="n">
        <v>100</v>
      </c>
      <c r="CD272" s="2" t="n">
        <v>100</v>
      </c>
      <c r="CE272" s="2" t="n">
        <v>0</v>
      </c>
      <c r="CF272" s="2" t="n">
        <v>100</v>
      </c>
      <c r="CG272" s="2" t="n">
        <v>100</v>
      </c>
      <c r="CH272" s="2" t="n">
        <v>0</v>
      </c>
      <c r="CI272" s="2" t="n">
        <v>100</v>
      </c>
      <c r="CJ272" s="2" t="n">
        <v>100</v>
      </c>
      <c r="CK272" s="2" t="n">
        <v>0</v>
      </c>
      <c r="CL272" s="2" t="n">
        <v>100</v>
      </c>
      <c r="CM272" s="2" t="n">
        <v>100</v>
      </c>
      <c r="CN272" s="2" t="n">
        <v>0</v>
      </c>
      <c r="CO272" s="2" t="n">
        <v>100</v>
      </c>
      <c r="CP272" s="2" t="n">
        <v>100</v>
      </c>
      <c r="CQ272" s="2" t="n">
        <v>0</v>
      </c>
      <c r="CR272" s="2" t="n">
        <v>100</v>
      </c>
      <c r="CS272" s="2" t="n">
        <v>100</v>
      </c>
      <c r="CT272" s="2" t="n">
        <v>0</v>
      </c>
      <c r="CU272" s="2" t="n">
        <v>100</v>
      </c>
      <c r="CV272" s="2" t="n">
        <v>100</v>
      </c>
      <c r="CW272" s="2" t="n">
        <v>0</v>
      </c>
      <c r="CX272" s="2" t="n">
        <v>100</v>
      </c>
      <c r="CY272" s="2" t="n">
        <v>100</v>
      </c>
      <c r="CZ272" s="2" t="n">
        <v>0</v>
      </c>
      <c r="DA272" s="2" t="n">
        <v>100</v>
      </c>
      <c r="DB272" s="2" t="n">
        <v>100</v>
      </c>
      <c r="DC272" s="2" t="n">
        <v>0</v>
      </c>
      <c r="DD272" s="2" t="n">
        <v>100</v>
      </c>
      <c r="DE272" s="2" t="n">
        <v>100</v>
      </c>
      <c r="DF272" s="2" t="n">
        <v>0</v>
      </c>
      <c r="DG272" s="2" t="n">
        <v>100</v>
      </c>
      <c r="DH272" s="2" t="n">
        <v>100</v>
      </c>
      <c r="DI272" s="2" t="n">
        <v>0</v>
      </c>
      <c r="DJ272" s="2" t="n">
        <v>100</v>
      </c>
      <c r="DK272" s="2" t="n">
        <v>100</v>
      </c>
      <c r="DL272" s="2" t="n">
        <v>0</v>
      </c>
      <c r="DM272" s="2" t="n">
        <v>100</v>
      </c>
      <c r="DN272" s="2" t="n">
        <v>100</v>
      </c>
      <c r="DO272" s="2" t="n">
        <v>0</v>
      </c>
      <c r="DP272" s="2" t="n">
        <v>100</v>
      </c>
      <c r="DQ272" s="2" t="n">
        <v>100</v>
      </c>
      <c r="DR272" s="2" t="n">
        <v>0</v>
      </c>
      <c r="DS272" s="2" t="n">
        <v>100</v>
      </c>
      <c r="DT272" s="2" t="n">
        <v>100</v>
      </c>
      <c r="DU272" s="2" t="n">
        <v>0</v>
      </c>
      <c r="DV272" s="2" t="n">
        <v>100</v>
      </c>
      <c r="DW272" s="2" t="n">
        <v>100</v>
      </c>
      <c r="DX272" s="2" t="n">
        <v>0</v>
      </c>
      <c r="DY272" s="2" t="n">
        <v>100</v>
      </c>
      <c r="DZ272" s="2" t="n">
        <v>100</v>
      </c>
      <c r="EA272" s="2" t="n">
        <v>0</v>
      </c>
      <c r="EB272" s="2" t="n">
        <v>100</v>
      </c>
      <c r="EC272" s="2" t="n">
        <v>100</v>
      </c>
      <c r="ED272" s="2" t="n">
        <v>0</v>
      </c>
      <c r="EE272" s="2" t="n">
        <v>100</v>
      </c>
      <c r="EF272" s="2" t="n">
        <v>100</v>
      </c>
      <c r="EG272" s="2" t="n">
        <v>0</v>
      </c>
      <c r="EH272" s="2" t="n">
        <v>100</v>
      </c>
      <c r="EI272" s="2" t="n">
        <v>100</v>
      </c>
      <c r="EJ272" s="2" t="n">
        <v>0</v>
      </c>
      <c r="EK272" s="2" t="n">
        <v>100</v>
      </c>
      <c r="EL272" s="2" t="n">
        <v>100</v>
      </c>
      <c r="EM272" s="2" t="n">
        <v>0</v>
      </c>
      <c r="EN272" s="2" t="n">
        <v>100</v>
      </c>
      <c r="EO272" s="2" t="n">
        <v>100</v>
      </c>
      <c r="EP272" s="2" t="n">
        <v>0</v>
      </c>
      <c r="EQ272" s="2" t="n">
        <v>100</v>
      </c>
      <c r="ER272" s="2" t="n">
        <v>100</v>
      </c>
      <c r="ES272" s="2" t="n">
        <v>0</v>
      </c>
    </row>
    <row r="273">
      <c r="A273" s="2" t="n">
        <v>3</v>
      </c>
      <c r="B273" s="2" t="inlineStr">
        <is>
          <t>13.05.02</t>
        </is>
      </c>
      <c r="C273" s="2" t="inlineStr">
        <is>
          <t>Alvenaria de vedação com blocos cerâmicos esp. 9cm</t>
        </is>
      </c>
      <c r="D273" s="2" t="inlineStr">
        <is>
          <t>09/04/2027</t>
        </is>
      </c>
      <c r="E273" s="2" t="inlineStr">
        <is>
          <t>11/05/2027</t>
        </is>
      </c>
      <c r="F273" s="2" t="n">
        <v>42736.38493272</v>
      </c>
      <c r="G273" s="2" t="n">
        <v>0</v>
      </c>
      <c r="H273" s="2" t="n">
        <v>42736.38493272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0</v>
      </c>
      <c r="BQ273" s="2" t="n">
        <v>0</v>
      </c>
      <c r="BR273" s="2" t="n">
        <v>0</v>
      </c>
      <c r="BS273" s="2" t="n">
        <v>0</v>
      </c>
      <c r="BT273" s="2" t="n">
        <v>0</v>
      </c>
      <c r="BU273" s="2" t="n">
        <v>0</v>
      </c>
      <c r="BV273" s="2" t="n">
        <v>0</v>
      </c>
      <c r="BW273" s="2" t="n">
        <v>68.18000000000001</v>
      </c>
      <c r="BX273" s="2" t="n">
        <v>68.18000000000001</v>
      </c>
      <c r="BY273" s="2" t="n">
        <v>0</v>
      </c>
      <c r="BZ273" s="2" t="n">
        <v>100</v>
      </c>
      <c r="CA273" s="2" t="n">
        <v>100</v>
      </c>
      <c r="CB273" s="2" t="n">
        <v>0</v>
      </c>
      <c r="CC273" s="2" t="n">
        <v>100</v>
      </c>
      <c r="CD273" s="2" t="n">
        <v>100</v>
      </c>
      <c r="CE273" s="2" t="n">
        <v>0</v>
      </c>
      <c r="CF273" s="2" t="n">
        <v>100</v>
      </c>
      <c r="CG273" s="2" t="n">
        <v>100</v>
      </c>
      <c r="CH273" s="2" t="n">
        <v>0</v>
      </c>
      <c r="CI273" s="2" t="n">
        <v>100</v>
      </c>
      <c r="CJ273" s="2" t="n">
        <v>100</v>
      </c>
      <c r="CK273" s="2" t="n">
        <v>0</v>
      </c>
      <c r="CL273" s="2" t="n">
        <v>100</v>
      </c>
      <c r="CM273" s="2" t="n">
        <v>100</v>
      </c>
      <c r="CN273" s="2" t="n">
        <v>0</v>
      </c>
      <c r="CO273" s="2" t="n">
        <v>100</v>
      </c>
      <c r="CP273" s="2" t="n">
        <v>100</v>
      </c>
      <c r="CQ273" s="2" t="n">
        <v>0</v>
      </c>
      <c r="CR273" s="2" t="n">
        <v>100</v>
      </c>
      <c r="CS273" s="2" t="n">
        <v>100</v>
      </c>
      <c r="CT273" s="2" t="n">
        <v>0</v>
      </c>
      <c r="CU273" s="2" t="n">
        <v>100</v>
      </c>
      <c r="CV273" s="2" t="n">
        <v>100</v>
      </c>
      <c r="CW273" s="2" t="n">
        <v>0</v>
      </c>
      <c r="CX273" s="2" t="n">
        <v>100</v>
      </c>
      <c r="CY273" s="2" t="n">
        <v>100</v>
      </c>
      <c r="CZ273" s="2" t="n">
        <v>0</v>
      </c>
      <c r="DA273" s="2" t="n">
        <v>100</v>
      </c>
      <c r="DB273" s="2" t="n">
        <v>100</v>
      </c>
      <c r="DC273" s="2" t="n">
        <v>0</v>
      </c>
      <c r="DD273" s="2" t="n">
        <v>100</v>
      </c>
      <c r="DE273" s="2" t="n">
        <v>100</v>
      </c>
      <c r="DF273" s="2" t="n">
        <v>0</v>
      </c>
      <c r="DG273" s="2" t="n">
        <v>100</v>
      </c>
      <c r="DH273" s="2" t="n">
        <v>100</v>
      </c>
      <c r="DI273" s="2" t="n">
        <v>0</v>
      </c>
      <c r="DJ273" s="2" t="n">
        <v>100</v>
      </c>
      <c r="DK273" s="2" t="n">
        <v>100</v>
      </c>
      <c r="DL273" s="2" t="n">
        <v>0</v>
      </c>
      <c r="DM273" s="2" t="n">
        <v>100</v>
      </c>
      <c r="DN273" s="2" t="n">
        <v>100</v>
      </c>
      <c r="DO273" s="2" t="n">
        <v>0</v>
      </c>
      <c r="DP273" s="2" t="n">
        <v>100</v>
      </c>
      <c r="DQ273" s="2" t="n">
        <v>100</v>
      </c>
      <c r="DR273" s="2" t="n">
        <v>0</v>
      </c>
      <c r="DS273" s="2" t="n">
        <v>100</v>
      </c>
      <c r="DT273" s="2" t="n">
        <v>100</v>
      </c>
      <c r="DU273" s="2" t="n">
        <v>0</v>
      </c>
      <c r="DV273" s="2" t="n">
        <v>100</v>
      </c>
      <c r="DW273" s="2" t="n">
        <v>100</v>
      </c>
      <c r="DX273" s="2" t="n">
        <v>0</v>
      </c>
      <c r="DY273" s="2" t="n">
        <v>100</v>
      </c>
      <c r="DZ273" s="2" t="n">
        <v>100</v>
      </c>
      <c r="EA273" s="2" t="n">
        <v>0</v>
      </c>
      <c r="EB273" s="2" t="n">
        <v>100</v>
      </c>
      <c r="EC273" s="2" t="n">
        <v>100</v>
      </c>
      <c r="ED273" s="2" t="n">
        <v>0</v>
      </c>
      <c r="EE273" s="2" t="n">
        <v>100</v>
      </c>
      <c r="EF273" s="2" t="n">
        <v>100</v>
      </c>
      <c r="EG273" s="2" t="n">
        <v>0</v>
      </c>
      <c r="EH273" s="2" t="n">
        <v>100</v>
      </c>
      <c r="EI273" s="2" t="n">
        <v>100</v>
      </c>
      <c r="EJ273" s="2" t="n">
        <v>0</v>
      </c>
      <c r="EK273" s="2" t="n">
        <v>100</v>
      </c>
      <c r="EL273" s="2" t="n">
        <v>100</v>
      </c>
      <c r="EM273" s="2" t="n">
        <v>0</v>
      </c>
      <c r="EN273" s="2" t="n">
        <v>100</v>
      </c>
      <c r="EO273" s="2" t="n">
        <v>100</v>
      </c>
      <c r="EP273" s="2" t="n">
        <v>0</v>
      </c>
      <c r="EQ273" s="2" t="n">
        <v>100</v>
      </c>
      <c r="ER273" s="2" t="n">
        <v>100</v>
      </c>
      <c r="ES273" s="2" t="n">
        <v>0</v>
      </c>
    </row>
    <row r="274">
      <c r="A274" s="2" t="n">
        <v>3</v>
      </c>
      <c r="B274" s="2" t="inlineStr">
        <is>
          <t>13.05.03</t>
        </is>
      </c>
      <c r="C274" s="2" t="inlineStr">
        <is>
          <t>Encunhamento com espuma expansiva de poliuretano</t>
        </is>
      </c>
      <c r="D274" s="2" t="inlineStr">
        <is>
          <t>09/04/2027</t>
        </is>
      </c>
      <c r="E274" s="2" t="inlineStr">
        <is>
          <t>11/05/2027</t>
        </is>
      </c>
      <c r="F274" s="2" t="n">
        <v>979.0913376120802</v>
      </c>
      <c r="G274" s="2" t="n">
        <v>0</v>
      </c>
      <c r="H274" s="2" t="n">
        <v>979.0913376120802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68.18000000000001</v>
      </c>
      <c r="BX274" s="2" t="n">
        <v>68.18000000000001</v>
      </c>
      <c r="BY274" s="2" t="n">
        <v>0</v>
      </c>
      <c r="BZ274" s="2" t="n">
        <v>100</v>
      </c>
      <c r="CA274" s="2" t="n">
        <v>100</v>
      </c>
      <c r="CB274" s="2" t="n">
        <v>0</v>
      </c>
      <c r="CC274" s="2" t="n">
        <v>100</v>
      </c>
      <c r="CD274" s="2" t="n">
        <v>100</v>
      </c>
      <c r="CE274" s="2" t="n">
        <v>0</v>
      </c>
      <c r="CF274" s="2" t="n">
        <v>100</v>
      </c>
      <c r="CG274" s="2" t="n">
        <v>100</v>
      </c>
      <c r="CH274" s="2" t="n">
        <v>0</v>
      </c>
      <c r="CI274" s="2" t="n">
        <v>100</v>
      </c>
      <c r="CJ274" s="2" t="n">
        <v>100</v>
      </c>
      <c r="CK274" s="2" t="n">
        <v>0</v>
      </c>
      <c r="CL274" s="2" t="n">
        <v>100</v>
      </c>
      <c r="CM274" s="2" t="n">
        <v>100</v>
      </c>
      <c r="CN274" s="2" t="n">
        <v>0</v>
      </c>
      <c r="CO274" s="2" t="n">
        <v>100</v>
      </c>
      <c r="CP274" s="2" t="n">
        <v>100</v>
      </c>
      <c r="CQ274" s="2" t="n">
        <v>0</v>
      </c>
      <c r="CR274" s="2" t="n">
        <v>100</v>
      </c>
      <c r="CS274" s="2" t="n">
        <v>100</v>
      </c>
      <c r="CT274" s="2" t="n">
        <v>0</v>
      </c>
      <c r="CU274" s="2" t="n">
        <v>100</v>
      </c>
      <c r="CV274" s="2" t="n">
        <v>100</v>
      </c>
      <c r="CW274" s="2" t="n">
        <v>0</v>
      </c>
      <c r="CX274" s="2" t="n">
        <v>100</v>
      </c>
      <c r="CY274" s="2" t="n">
        <v>100</v>
      </c>
      <c r="CZ274" s="2" t="n">
        <v>0</v>
      </c>
      <c r="DA274" s="2" t="n">
        <v>100</v>
      </c>
      <c r="DB274" s="2" t="n">
        <v>100</v>
      </c>
      <c r="DC274" s="2" t="n">
        <v>0</v>
      </c>
      <c r="DD274" s="2" t="n">
        <v>100</v>
      </c>
      <c r="DE274" s="2" t="n">
        <v>100</v>
      </c>
      <c r="DF274" s="2" t="n">
        <v>0</v>
      </c>
      <c r="DG274" s="2" t="n">
        <v>100</v>
      </c>
      <c r="DH274" s="2" t="n">
        <v>100</v>
      </c>
      <c r="DI274" s="2" t="n">
        <v>0</v>
      </c>
      <c r="DJ274" s="2" t="n">
        <v>100</v>
      </c>
      <c r="DK274" s="2" t="n">
        <v>100</v>
      </c>
      <c r="DL274" s="2" t="n">
        <v>0</v>
      </c>
      <c r="DM274" s="2" t="n">
        <v>100</v>
      </c>
      <c r="DN274" s="2" t="n">
        <v>100</v>
      </c>
      <c r="DO274" s="2" t="n">
        <v>0</v>
      </c>
      <c r="DP274" s="2" t="n">
        <v>100</v>
      </c>
      <c r="DQ274" s="2" t="n">
        <v>100</v>
      </c>
      <c r="DR274" s="2" t="n">
        <v>0</v>
      </c>
      <c r="DS274" s="2" t="n">
        <v>100</v>
      </c>
      <c r="DT274" s="2" t="n">
        <v>100</v>
      </c>
      <c r="DU274" s="2" t="n">
        <v>0</v>
      </c>
      <c r="DV274" s="2" t="n">
        <v>100</v>
      </c>
      <c r="DW274" s="2" t="n">
        <v>100</v>
      </c>
      <c r="DX274" s="2" t="n">
        <v>0</v>
      </c>
      <c r="DY274" s="2" t="n">
        <v>100</v>
      </c>
      <c r="DZ274" s="2" t="n">
        <v>100</v>
      </c>
      <c r="EA274" s="2" t="n">
        <v>0</v>
      </c>
      <c r="EB274" s="2" t="n">
        <v>100</v>
      </c>
      <c r="EC274" s="2" t="n">
        <v>100</v>
      </c>
      <c r="ED274" s="2" t="n">
        <v>0</v>
      </c>
      <c r="EE274" s="2" t="n">
        <v>100</v>
      </c>
      <c r="EF274" s="2" t="n">
        <v>100</v>
      </c>
      <c r="EG274" s="2" t="n">
        <v>0</v>
      </c>
      <c r="EH274" s="2" t="n">
        <v>100</v>
      </c>
      <c r="EI274" s="2" t="n">
        <v>100</v>
      </c>
      <c r="EJ274" s="2" t="n">
        <v>0</v>
      </c>
      <c r="EK274" s="2" t="n">
        <v>100</v>
      </c>
      <c r="EL274" s="2" t="n">
        <v>100</v>
      </c>
      <c r="EM274" s="2" t="n">
        <v>0</v>
      </c>
      <c r="EN274" s="2" t="n">
        <v>100</v>
      </c>
      <c r="EO274" s="2" t="n">
        <v>100</v>
      </c>
      <c r="EP274" s="2" t="n">
        <v>0</v>
      </c>
      <c r="EQ274" s="2" t="n">
        <v>100</v>
      </c>
      <c r="ER274" s="2" t="n">
        <v>100</v>
      </c>
      <c r="ES274" s="2" t="n">
        <v>0</v>
      </c>
    </row>
    <row r="275">
      <c r="A275" s="2" t="n">
        <v>1</v>
      </c>
      <c r="B275" s="2" t="inlineStr">
        <is>
          <t>14</t>
        </is>
      </c>
      <c r="C275" s="2" t="inlineStr">
        <is>
          <t>TERRAPLENAGEM</t>
        </is>
      </c>
      <c r="D275" s="2" t="inlineStr">
        <is>
          <t>03/03/2026</t>
        </is>
      </c>
      <c r="E275" s="2" t="inlineStr">
        <is>
          <t>16/10/2026</t>
        </is>
      </c>
      <c r="F275" s="2" t="n">
        <v>1259784.463796523</v>
      </c>
      <c r="G275" s="2" t="n">
        <v>0</v>
      </c>
      <c r="H275" s="2" t="n">
        <v>1259784.463796523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14.87</v>
      </c>
      <c r="AG275" s="2" t="n">
        <v>0</v>
      </c>
      <c r="AH275" s="2" t="n">
        <v>0</v>
      </c>
      <c r="AI275" s="2" t="n">
        <v>16.98</v>
      </c>
      <c r="AJ275" s="2" t="n">
        <v>60.2</v>
      </c>
      <c r="AK275" s="2" t="n">
        <v>47.53</v>
      </c>
      <c r="AL275" s="2" t="n">
        <v>41.31</v>
      </c>
      <c r="AM275" s="2" t="n">
        <v>86</v>
      </c>
      <c r="AN275" s="2" t="n">
        <v>86</v>
      </c>
      <c r="AO275" s="2" t="n">
        <v>86</v>
      </c>
      <c r="AP275" s="2" t="n">
        <v>86</v>
      </c>
      <c r="AQ275" s="2" t="n">
        <v>86</v>
      </c>
      <c r="AR275" s="2" t="n">
        <v>86</v>
      </c>
      <c r="AS275" s="2" t="n">
        <v>86</v>
      </c>
      <c r="AT275" s="2" t="n">
        <v>86</v>
      </c>
      <c r="AU275" s="2" t="n">
        <v>86</v>
      </c>
      <c r="AV275" s="2" t="n">
        <v>86</v>
      </c>
      <c r="AW275" s="2" t="n">
        <v>86</v>
      </c>
      <c r="AX275" s="2" t="n">
        <v>86</v>
      </c>
      <c r="AY275" s="2" t="n">
        <v>86</v>
      </c>
      <c r="AZ275" s="2" t="n">
        <v>86</v>
      </c>
      <c r="BA275" s="2" t="n">
        <v>86</v>
      </c>
      <c r="BB275" s="2" t="n">
        <v>86</v>
      </c>
      <c r="BC275" s="2" t="n">
        <v>94.5</v>
      </c>
      <c r="BD275" s="2" t="n">
        <v>86</v>
      </c>
      <c r="BE275" s="2" t="n">
        <v>100</v>
      </c>
      <c r="BF275" s="2" t="n">
        <v>100</v>
      </c>
      <c r="BG275" s="2" t="n">
        <v>86</v>
      </c>
      <c r="BH275" s="2" t="n">
        <v>100</v>
      </c>
      <c r="BI275" s="2" t="n">
        <v>100</v>
      </c>
      <c r="BJ275" s="2" t="n">
        <v>86</v>
      </c>
      <c r="BK275" s="2" t="n">
        <v>100</v>
      </c>
      <c r="BL275" s="2" t="n">
        <v>100</v>
      </c>
      <c r="BM275" s="2" t="n">
        <v>86</v>
      </c>
      <c r="BN275" s="2" t="n">
        <v>100</v>
      </c>
      <c r="BO275" s="2" t="n">
        <v>100</v>
      </c>
      <c r="BP275" s="2" t="n">
        <v>86</v>
      </c>
      <c r="BQ275" s="2" t="n">
        <v>100</v>
      </c>
      <c r="BR275" s="2" t="n">
        <v>100</v>
      </c>
      <c r="BS275" s="2" t="n">
        <v>86</v>
      </c>
      <c r="BT275" s="2" t="n">
        <v>100</v>
      </c>
      <c r="BU275" s="2" t="n">
        <v>100</v>
      </c>
      <c r="BV275" s="2" t="n">
        <v>86</v>
      </c>
      <c r="BW275" s="2" t="n">
        <v>100</v>
      </c>
      <c r="BX275" s="2" t="n">
        <v>100</v>
      </c>
      <c r="BY275" s="2" t="n">
        <v>86</v>
      </c>
      <c r="BZ275" s="2" t="n">
        <v>100</v>
      </c>
      <c r="CA275" s="2" t="n">
        <v>100</v>
      </c>
      <c r="CB275" s="2" t="n">
        <v>86</v>
      </c>
      <c r="CC275" s="2" t="n">
        <v>100</v>
      </c>
      <c r="CD275" s="2" t="n">
        <v>100</v>
      </c>
      <c r="CE275" s="2" t="n">
        <v>86</v>
      </c>
      <c r="CF275" s="2" t="n">
        <v>100</v>
      </c>
      <c r="CG275" s="2" t="n">
        <v>100</v>
      </c>
      <c r="CH275" s="2" t="n">
        <v>86</v>
      </c>
      <c r="CI275" s="2" t="n">
        <v>100</v>
      </c>
      <c r="CJ275" s="2" t="n">
        <v>100</v>
      </c>
      <c r="CK275" s="2" t="n">
        <v>86</v>
      </c>
      <c r="CL275" s="2" t="n">
        <v>100</v>
      </c>
      <c r="CM275" s="2" t="n">
        <v>100</v>
      </c>
      <c r="CN275" s="2" t="n">
        <v>86</v>
      </c>
      <c r="CO275" s="2" t="n">
        <v>100</v>
      </c>
      <c r="CP275" s="2" t="n">
        <v>100</v>
      </c>
      <c r="CQ275" s="2" t="n">
        <v>86</v>
      </c>
      <c r="CR275" s="2" t="n">
        <v>100</v>
      </c>
      <c r="CS275" s="2" t="n">
        <v>100</v>
      </c>
      <c r="CT275" s="2" t="n">
        <v>86</v>
      </c>
      <c r="CU275" s="2" t="n">
        <v>100</v>
      </c>
      <c r="CV275" s="2" t="n">
        <v>100</v>
      </c>
      <c r="CW275" s="2" t="n">
        <v>86</v>
      </c>
      <c r="CX275" s="2" t="n">
        <v>100</v>
      </c>
      <c r="CY275" s="2" t="n">
        <v>100</v>
      </c>
      <c r="CZ275" s="2" t="n">
        <v>86</v>
      </c>
      <c r="DA275" s="2" t="n">
        <v>100</v>
      </c>
      <c r="DB275" s="2" t="n">
        <v>100</v>
      </c>
      <c r="DC275" s="2" t="n">
        <v>86</v>
      </c>
      <c r="DD275" s="2" t="n">
        <v>100</v>
      </c>
      <c r="DE275" s="2" t="n">
        <v>100</v>
      </c>
      <c r="DF275" s="2" t="n">
        <v>86</v>
      </c>
      <c r="DG275" s="2" t="n">
        <v>100</v>
      </c>
      <c r="DH275" s="2" t="n">
        <v>100</v>
      </c>
      <c r="DI275" s="2" t="n">
        <v>86</v>
      </c>
      <c r="DJ275" s="2" t="n">
        <v>100</v>
      </c>
      <c r="DK275" s="2" t="n">
        <v>100</v>
      </c>
      <c r="DL275" s="2" t="n">
        <v>86</v>
      </c>
      <c r="DM275" s="2" t="n">
        <v>100</v>
      </c>
      <c r="DN275" s="2" t="n">
        <v>100</v>
      </c>
      <c r="DO275" s="2" t="n">
        <v>86</v>
      </c>
      <c r="DP275" s="2" t="n">
        <v>100</v>
      </c>
      <c r="DQ275" s="2" t="n">
        <v>100</v>
      </c>
      <c r="DR275" s="2" t="n">
        <v>86</v>
      </c>
      <c r="DS275" s="2" t="n">
        <v>100</v>
      </c>
      <c r="DT275" s="2" t="n">
        <v>100</v>
      </c>
      <c r="DU275" s="2" t="n">
        <v>86</v>
      </c>
      <c r="DV275" s="2" t="n">
        <v>100</v>
      </c>
      <c r="DW275" s="2" t="n">
        <v>100</v>
      </c>
      <c r="DX275" s="2" t="n">
        <v>86</v>
      </c>
      <c r="DY275" s="2" t="n">
        <v>100</v>
      </c>
      <c r="DZ275" s="2" t="n">
        <v>100</v>
      </c>
      <c r="EA275" s="2" t="n">
        <v>86</v>
      </c>
      <c r="EB275" s="2" t="n">
        <v>100</v>
      </c>
      <c r="EC275" s="2" t="n">
        <v>100</v>
      </c>
      <c r="ED275" s="2" t="n">
        <v>86</v>
      </c>
      <c r="EE275" s="2" t="n">
        <v>100</v>
      </c>
      <c r="EF275" s="2" t="n">
        <v>100</v>
      </c>
      <c r="EG275" s="2" t="n">
        <v>86</v>
      </c>
      <c r="EH275" s="2" t="n">
        <v>100</v>
      </c>
      <c r="EI275" s="2" t="n">
        <v>100</v>
      </c>
      <c r="EJ275" s="2" t="n">
        <v>86</v>
      </c>
      <c r="EK275" s="2" t="n">
        <v>100</v>
      </c>
      <c r="EL275" s="2" t="n">
        <v>100</v>
      </c>
      <c r="EM275" s="2" t="n">
        <v>86</v>
      </c>
      <c r="EN275" s="2" t="n">
        <v>100</v>
      </c>
      <c r="EO275" s="2" t="n">
        <v>100</v>
      </c>
      <c r="EP275" s="2" t="n">
        <v>86</v>
      </c>
      <c r="EQ275" s="2" t="n">
        <v>100</v>
      </c>
      <c r="ER275" s="2" t="n">
        <v>100</v>
      </c>
      <c r="ES275" s="2" t="n">
        <v>86</v>
      </c>
    </row>
    <row r="276">
      <c r="A276" s="2" t="n">
        <v>2</v>
      </c>
      <c r="B276" s="2" t="inlineStr">
        <is>
          <t>14.01</t>
        </is>
      </c>
      <c r="C276" s="2" t="inlineStr">
        <is>
          <t>Corte e retirada de terra</t>
        </is>
      </c>
      <c r="D276" s="2" t="inlineStr">
        <is>
          <t>03/03/2026</t>
        </is>
      </c>
      <c r="E276" s="2" t="inlineStr">
        <is>
          <t>16/10/2026</t>
        </is>
      </c>
      <c r="F276" s="2" t="n">
        <v>1059392.299796523</v>
      </c>
      <c r="G276" s="2" t="n">
        <v>0</v>
      </c>
      <c r="H276" s="2" t="n">
        <v>1059392.299796523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14.87</v>
      </c>
      <c r="AG276" s="2" t="n">
        <v>0</v>
      </c>
      <c r="AH276" s="2" t="n">
        <v>0</v>
      </c>
      <c r="AI276" s="2" t="n">
        <v>16.98</v>
      </c>
      <c r="AJ276" s="2" t="n">
        <v>60.2</v>
      </c>
      <c r="AK276" s="2" t="n">
        <v>47.53</v>
      </c>
      <c r="AL276" s="2" t="n">
        <v>41.31</v>
      </c>
      <c r="AM276" s="2" t="n">
        <v>86</v>
      </c>
      <c r="AN276" s="2" t="n">
        <v>86</v>
      </c>
      <c r="AO276" s="2" t="n">
        <v>86</v>
      </c>
      <c r="AP276" s="2" t="n">
        <v>86</v>
      </c>
      <c r="AQ276" s="2" t="n">
        <v>86</v>
      </c>
      <c r="AR276" s="2" t="n">
        <v>86</v>
      </c>
      <c r="AS276" s="2" t="n">
        <v>86</v>
      </c>
      <c r="AT276" s="2" t="n">
        <v>86</v>
      </c>
      <c r="AU276" s="2" t="n">
        <v>86</v>
      </c>
      <c r="AV276" s="2" t="n">
        <v>86</v>
      </c>
      <c r="AW276" s="2" t="n">
        <v>86</v>
      </c>
      <c r="AX276" s="2" t="n">
        <v>86</v>
      </c>
      <c r="AY276" s="2" t="n">
        <v>86</v>
      </c>
      <c r="AZ276" s="2" t="n">
        <v>86</v>
      </c>
      <c r="BA276" s="2" t="n">
        <v>86</v>
      </c>
      <c r="BB276" s="2" t="n">
        <v>86</v>
      </c>
      <c r="BC276" s="2" t="n">
        <v>94.5</v>
      </c>
      <c r="BD276" s="2" t="n">
        <v>86</v>
      </c>
      <c r="BE276" s="2" t="n">
        <v>100</v>
      </c>
      <c r="BF276" s="2" t="n">
        <v>100</v>
      </c>
      <c r="BG276" s="2" t="n">
        <v>86</v>
      </c>
      <c r="BH276" s="2" t="n">
        <v>100</v>
      </c>
      <c r="BI276" s="2" t="n">
        <v>100</v>
      </c>
      <c r="BJ276" s="2" t="n">
        <v>86</v>
      </c>
      <c r="BK276" s="2" t="n">
        <v>100</v>
      </c>
      <c r="BL276" s="2" t="n">
        <v>100</v>
      </c>
      <c r="BM276" s="2" t="n">
        <v>86</v>
      </c>
      <c r="BN276" s="2" t="n">
        <v>100</v>
      </c>
      <c r="BO276" s="2" t="n">
        <v>100</v>
      </c>
      <c r="BP276" s="2" t="n">
        <v>86</v>
      </c>
      <c r="BQ276" s="2" t="n">
        <v>100</v>
      </c>
      <c r="BR276" s="2" t="n">
        <v>100</v>
      </c>
      <c r="BS276" s="2" t="n">
        <v>86</v>
      </c>
      <c r="BT276" s="2" t="n">
        <v>100</v>
      </c>
      <c r="BU276" s="2" t="n">
        <v>100</v>
      </c>
      <c r="BV276" s="2" t="n">
        <v>86</v>
      </c>
      <c r="BW276" s="2" t="n">
        <v>100</v>
      </c>
      <c r="BX276" s="2" t="n">
        <v>100</v>
      </c>
      <c r="BY276" s="2" t="n">
        <v>86</v>
      </c>
      <c r="BZ276" s="2" t="n">
        <v>100</v>
      </c>
      <c r="CA276" s="2" t="n">
        <v>100</v>
      </c>
      <c r="CB276" s="2" t="n">
        <v>86</v>
      </c>
      <c r="CC276" s="2" t="n">
        <v>100</v>
      </c>
      <c r="CD276" s="2" t="n">
        <v>100</v>
      </c>
      <c r="CE276" s="2" t="n">
        <v>86</v>
      </c>
      <c r="CF276" s="2" t="n">
        <v>100</v>
      </c>
      <c r="CG276" s="2" t="n">
        <v>100</v>
      </c>
      <c r="CH276" s="2" t="n">
        <v>86</v>
      </c>
      <c r="CI276" s="2" t="n">
        <v>100</v>
      </c>
      <c r="CJ276" s="2" t="n">
        <v>100</v>
      </c>
      <c r="CK276" s="2" t="n">
        <v>86</v>
      </c>
      <c r="CL276" s="2" t="n">
        <v>100</v>
      </c>
      <c r="CM276" s="2" t="n">
        <v>100</v>
      </c>
      <c r="CN276" s="2" t="n">
        <v>86</v>
      </c>
      <c r="CO276" s="2" t="n">
        <v>100</v>
      </c>
      <c r="CP276" s="2" t="n">
        <v>100</v>
      </c>
      <c r="CQ276" s="2" t="n">
        <v>86</v>
      </c>
      <c r="CR276" s="2" t="n">
        <v>100</v>
      </c>
      <c r="CS276" s="2" t="n">
        <v>100</v>
      </c>
      <c r="CT276" s="2" t="n">
        <v>86</v>
      </c>
      <c r="CU276" s="2" t="n">
        <v>100</v>
      </c>
      <c r="CV276" s="2" t="n">
        <v>100</v>
      </c>
      <c r="CW276" s="2" t="n">
        <v>86</v>
      </c>
      <c r="CX276" s="2" t="n">
        <v>100</v>
      </c>
      <c r="CY276" s="2" t="n">
        <v>100</v>
      </c>
      <c r="CZ276" s="2" t="n">
        <v>86</v>
      </c>
      <c r="DA276" s="2" t="n">
        <v>100</v>
      </c>
      <c r="DB276" s="2" t="n">
        <v>100</v>
      </c>
      <c r="DC276" s="2" t="n">
        <v>86</v>
      </c>
      <c r="DD276" s="2" t="n">
        <v>100</v>
      </c>
      <c r="DE276" s="2" t="n">
        <v>100</v>
      </c>
      <c r="DF276" s="2" t="n">
        <v>86</v>
      </c>
      <c r="DG276" s="2" t="n">
        <v>100</v>
      </c>
      <c r="DH276" s="2" t="n">
        <v>100</v>
      </c>
      <c r="DI276" s="2" t="n">
        <v>86</v>
      </c>
      <c r="DJ276" s="2" t="n">
        <v>100</v>
      </c>
      <c r="DK276" s="2" t="n">
        <v>100</v>
      </c>
      <c r="DL276" s="2" t="n">
        <v>86</v>
      </c>
      <c r="DM276" s="2" t="n">
        <v>100</v>
      </c>
      <c r="DN276" s="2" t="n">
        <v>100</v>
      </c>
      <c r="DO276" s="2" t="n">
        <v>86</v>
      </c>
      <c r="DP276" s="2" t="n">
        <v>100</v>
      </c>
      <c r="DQ276" s="2" t="n">
        <v>100</v>
      </c>
      <c r="DR276" s="2" t="n">
        <v>86</v>
      </c>
      <c r="DS276" s="2" t="n">
        <v>100</v>
      </c>
      <c r="DT276" s="2" t="n">
        <v>100</v>
      </c>
      <c r="DU276" s="2" t="n">
        <v>86</v>
      </c>
      <c r="DV276" s="2" t="n">
        <v>100</v>
      </c>
      <c r="DW276" s="2" t="n">
        <v>100</v>
      </c>
      <c r="DX276" s="2" t="n">
        <v>86</v>
      </c>
      <c r="DY276" s="2" t="n">
        <v>100</v>
      </c>
      <c r="DZ276" s="2" t="n">
        <v>100</v>
      </c>
      <c r="EA276" s="2" t="n">
        <v>86</v>
      </c>
      <c r="EB276" s="2" t="n">
        <v>100</v>
      </c>
      <c r="EC276" s="2" t="n">
        <v>100</v>
      </c>
      <c r="ED276" s="2" t="n">
        <v>86</v>
      </c>
      <c r="EE276" s="2" t="n">
        <v>100</v>
      </c>
      <c r="EF276" s="2" t="n">
        <v>100</v>
      </c>
      <c r="EG276" s="2" t="n">
        <v>86</v>
      </c>
      <c r="EH276" s="2" t="n">
        <v>100</v>
      </c>
      <c r="EI276" s="2" t="n">
        <v>100</v>
      </c>
      <c r="EJ276" s="2" t="n">
        <v>86</v>
      </c>
      <c r="EK276" s="2" t="n">
        <v>100</v>
      </c>
      <c r="EL276" s="2" t="n">
        <v>100</v>
      </c>
      <c r="EM276" s="2" t="n">
        <v>86</v>
      </c>
      <c r="EN276" s="2" t="n">
        <v>100</v>
      </c>
      <c r="EO276" s="2" t="n">
        <v>100</v>
      </c>
      <c r="EP276" s="2" t="n">
        <v>86</v>
      </c>
      <c r="EQ276" s="2" t="n">
        <v>100</v>
      </c>
      <c r="ER276" s="2" t="n">
        <v>100</v>
      </c>
      <c r="ES276" s="2" t="n">
        <v>86</v>
      </c>
    </row>
    <row r="277">
      <c r="A277" s="2" t="n">
        <v>3</v>
      </c>
      <c r="B277" s="2" t="inlineStr">
        <is>
          <t>14.01.01</t>
        </is>
      </c>
      <c r="C277" s="2" t="inlineStr">
        <is>
          <t>Retirada de terra com caminhão basculante - 1º fase + talude</t>
        </is>
      </c>
      <c r="D277" s="2" t="inlineStr">
        <is>
          <t>03/03/2026</t>
        </is>
      </c>
      <c r="E277" s="2" t="inlineStr">
        <is>
          <t>16/10/2026</t>
        </is>
      </c>
      <c r="F277" s="2" t="n">
        <v>915923.6535000001</v>
      </c>
      <c r="G277" s="2" t="n">
        <v>0</v>
      </c>
      <c r="H277" s="2" t="n">
        <v>915923.6535000001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14.87</v>
      </c>
      <c r="AG277" s="2" t="n">
        <v>0</v>
      </c>
      <c r="AH277" s="2" t="n">
        <v>0</v>
      </c>
      <c r="AI277" s="2" t="n">
        <v>16.98</v>
      </c>
      <c r="AJ277" s="2" t="n">
        <v>60.2</v>
      </c>
      <c r="AK277" s="2" t="n">
        <v>47.53</v>
      </c>
      <c r="AL277" s="2" t="n">
        <v>41.31</v>
      </c>
      <c r="AM277" s="2" t="n">
        <v>86</v>
      </c>
      <c r="AN277" s="2" t="n">
        <v>86</v>
      </c>
      <c r="AO277" s="2" t="n">
        <v>86</v>
      </c>
      <c r="AP277" s="2" t="n">
        <v>86</v>
      </c>
      <c r="AQ277" s="2" t="n">
        <v>86</v>
      </c>
      <c r="AR277" s="2" t="n">
        <v>86</v>
      </c>
      <c r="AS277" s="2" t="n">
        <v>86</v>
      </c>
      <c r="AT277" s="2" t="n">
        <v>86</v>
      </c>
      <c r="AU277" s="2" t="n">
        <v>86</v>
      </c>
      <c r="AV277" s="2" t="n">
        <v>86</v>
      </c>
      <c r="AW277" s="2" t="n">
        <v>86</v>
      </c>
      <c r="AX277" s="2" t="n">
        <v>86</v>
      </c>
      <c r="AY277" s="2" t="n">
        <v>86</v>
      </c>
      <c r="AZ277" s="2" t="n">
        <v>86</v>
      </c>
      <c r="BA277" s="2" t="n">
        <v>86</v>
      </c>
      <c r="BB277" s="2" t="n">
        <v>86</v>
      </c>
      <c r="BC277" s="2" t="n">
        <v>94.5</v>
      </c>
      <c r="BD277" s="2" t="n">
        <v>86</v>
      </c>
      <c r="BE277" s="2" t="n">
        <v>100</v>
      </c>
      <c r="BF277" s="2" t="n">
        <v>100</v>
      </c>
      <c r="BG277" s="2" t="n">
        <v>86</v>
      </c>
      <c r="BH277" s="2" t="n">
        <v>100</v>
      </c>
      <c r="BI277" s="2" t="n">
        <v>100</v>
      </c>
      <c r="BJ277" s="2" t="n">
        <v>86</v>
      </c>
      <c r="BK277" s="2" t="n">
        <v>100</v>
      </c>
      <c r="BL277" s="2" t="n">
        <v>100</v>
      </c>
      <c r="BM277" s="2" t="n">
        <v>86</v>
      </c>
      <c r="BN277" s="2" t="n">
        <v>100</v>
      </c>
      <c r="BO277" s="2" t="n">
        <v>100</v>
      </c>
      <c r="BP277" s="2" t="n">
        <v>86</v>
      </c>
      <c r="BQ277" s="2" t="n">
        <v>100</v>
      </c>
      <c r="BR277" s="2" t="n">
        <v>100</v>
      </c>
      <c r="BS277" s="2" t="n">
        <v>86</v>
      </c>
      <c r="BT277" s="2" t="n">
        <v>100</v>
      </c>
      <c r="BU277" s="2" t="n">
        <v>100</v>
      </c>
      <c r="BV277" s="2" t="n">
        <v>86</v>
      </c>
      <c r="BW277" s="2" t="n">
        <v>100</v>
      </c>
      <c r="BX277" s="2" t="n">
        <v>100</v>
      </c>
      <c r="BY277" s="2" t="n">
        <v>86</v>
      </c>
      <c r="BZ277" s="2" t="n">
        <v>100</v>
      </c>
      <c r="CA277" s="2" t="n">
        <v>100</v>
      </c>
      <c r="CB277" s="2" t="n">
        <v>86</v>
      </c>
      <c r="CC277" s="2" t="n">
        <v>100</v>
      </c>
      <c r="CD277" s="2" t="n">
        <v>100</v>
      </c>
      <c r="CE277" s="2" t="n">
        <v>86</v>
      </c>
      <c r="CF277" s="2" t="n">
        <v>100</v>
      </c>
      <c r="CG277" s="2" t="n">
        <v>100</v>
      </c>
      <c r="CH277" s="2" t="n">
        <v>86</v>
      </c>
      <c r="CI277" s="2" t="n">
        <v>100</v>
      </c>
      <c r="CJ277" s="2" t="n">
        <v>100</v>
      </c>
      <c r="CK277" s="2" t="n">
        <v>86</v>
      </c>
      <c r="CL277" s="2" t="n">
        <v>100</v>
      </c>
      <c r="CM277" s="2" t="n">
        <v>100</v>
      </c>
      <c r="CN277" s="2" t="n">
        <v>86</v>
      </c>
      <c r="CO277" s="2" t="n">
        <v>100</v>
      </c>
      <c r="CP277" s="2" t="n">
        <v>100</v>
      </c>
      <c r="CQ277" s="2" t="n">
        <v>86</v>
      </c>
      <c r="CR277" s="2" t="n">
        <v>100</v>
      </c>
      <c r="CS277" s="2" t="n">
        <v>100</v>
      </c>
      <c r="CT277" s="2" t="n">
        <v>86</v>
      </c>
      <c r="CU277" s="2" t="n">
        <v>100</v>
      </c>
      <c r="CV277" s="2" t="n">
        <v>100</v>
      </c>
      <c r="CW277" s="2" t="n">
        <v>86</v>
      </c>
      <c r="CX277" s="2" t="n">
        <v>100</v>
      </c>
      <c r="CY277" s="2" t="n">
        <v>100</v>
      </c>
      <c r="CZ277" s="2" t="n">
        <v>86</v>
      </c>
      <c r="DA277" s="2" t="n">
        <v>100</v>
      </c>
      <c r="DB277" s="2" t="n">
        <v>100</v>
      </c>
      <c r="DC277" s="2" t="n">
        <v>86</v>
      </c>
      <c r="DD277" s="2" t="n">
        <v>100</v>
      </c>
      <c r="DE277" s="2" t="n">
        <v>100</v>
      </c>
      <c r="DF277" s="2" t="n">
        <v>86</v>
      </c>
      <c r="DG277" s="2" t="n">
        <v>100</v>
      </c>
      <c r="DH277" s="2" t="n">
        <v>100</v>
      </c>
      <c r="DI277" s="2" t="n">
        <v>86</v>
      </c>
      <c r="DJ277" s="2" t="n">
        <v>100</v>
      </c>
      <c r="DK277" s="2" t="n">
        <v>100</v>
      </c>
      <c r="DL277" s="2" t="n">
        <v>86</v>
      </c>
      <c r="DM277" s="2" t="n">
        <v>100</v>
      </c>
      <c r="DN277" s="2" t="n">
        <v>100</v>
      </c>
      <c r="DO277" s="2" t="n">
        <v>86</v>
      </c>
      <c r="DP277" s="2" t="n">
        <v>100</v>
      </c>
      <c r="DQ277" s="2" t="n">
        <v>100</v>
      </c>
      <c r="DR277" s="2" t="n">
        <v>86</v>
      </c>
      <c r="DS277" s="2" t="n">
        <v>100</v>
      </c>
      <c r="DT277" s="2" t="n">
        <v>100</v>
      </c>
      <c r="DU277" s="2" t="n">
        <v>86</v>
      </c>
      <c r="DV277" s="2" t="n">
        <v>100</v>
      </c>
      <c r="DW277" s="2" t="n">
        <v>100</v>
      </c>
      <c r="DX277" s="2" t="n">
        <v>86</v>
      </c>
      <c r="DY277" s="2" t="n">
        <v>100</v>
      </c>
      <c r="DZ277" s="2" t="n">
        <v>100</v>
      </c>
      <c r="EA277" s="2" t="n">
        <v>86</v>
      </c>
      <c r="EB277" s="2" t="n">
        <v>100</v>
      </c>
      <c r="EC277" s="2" t="n">
        <v>100</v>
      </c>
      <c r="ED277" s="2" t="n">
        <v>86</v>
      </c>
      <c r="EE277" s="2" t="n">
        <v>100</v>
      </c>
      <c r="EF277" s="2" t="n">
        <v>100</v>
      </c>
      <c r="EG277" s="2" t="n">
        <v>86</v>
      </c>
      <c r="EH277" s="2" t="n">
        <v>100</v>
      </c>
      <c r="EI277" s="2" t="n">
        <v>100</v>
      </c>
      <c r="EJ277" s="2" t="n">
        <v>86</v>
      </c>
      <c r="EK277" s="2" t="n">
        <v>100</v>
      </c>
      <c r="EL277" s="2" t="n">
        <v>100</v>
      </c>
      <c r="EM277" s="2" t="n">
        <v>86</v>
      </c>
      <c r="EN277" s="2" t="n">
        <v>100</v>
      </c>
      <c r="EO277" s="2" t="n">
        <v>100</v>
      </c>
      <c r="EP277" s="2" t="n">
        <v>86</v>
      </c>
      <c r="EQ277" s="2" t="n">
        <v>100</v>
      </c>
      <c r="ER277" s="2" t="n">
        <v>100</v>
      </c>
      <c r="ES277" s="2" t="n">
        <v>86</v>
      </c>
    </row>
    <row r="278">
      <c r="A278" s="2" t="n">
        <v>3</v>
      </c>
      <c r="B278" s="2" t="inlineStr">
        <is>
          <t>14.01.02</t>
        </is>
      </c>
      <c r="C278" s="2" t="inlineStr">
        <is>
          <t>Construção de lava-rodas no portão da obra</t>
        </is>
      </c>
      <c r="D278" s="2" t="inlineStr">
        <is>
          <t>03/03/2026</t>
        </is>
      </c>
      <c r="E278" s="2" t="inlineStr">
        <is>
          <t>16/10/2026</t>
        </is>
      </c>
      <c r="F278" s="2" t="n">
        <v>14368.64629652275</v>
      </c>
      <c r="G278" s="2" t="n">
        <v>0</v>
      </c>
      <c r="H278" s="2" t="n">
        <v>14368.64629652275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14.87</v>
      </c>
      <c r="AG278" s="2" t="n">
        <v>0</v>
      </c>
      <c r="AH278" s="2" t="n">
        <v>0</v>
      </c>
      <c r="AI278" s="2" t="n">
        <v>16.98</v>
      </c>
      <c r="AJ278" s="2" t="n">
        <v>60.2</v>
      </c>
      <c r="AK278" s="2" t="n">
        <v>47.53</v>
      </c>
      <c r="AL278" s="2" t="n">
        <v>41.31</v>
      </c>
      <c r="AM278" s="2" t="n">
        <v>86</v>
      </c>
      <c r="AN278" s="2" t="n">
        <v>86</v>
      </c>
      <c r="AO278" s="2" t="n">
        <v>86</v>
      </c>
      <c r="AP278" s="2" t="n">
        <v>86</v>
      </c>
      <c r="AQ278" s="2" t="n">
        <v>86</v>
      </c>
      <c r="AR278" s="2" t="n">
        <v>86</v>
      </c>
      <c r="AS278" s="2" t="n">
        <v>86</v>
      </c>
      <c r="AT278" s="2" t="n">
        <v>86</v>
      </c>
      <c r="AU278" s="2" t="n">
        <v>86</v>
      </c>
      <c r="AV278" s="2" t="n">
        <v>86</v>
      </c>
      <c r="AW278" s="2" t="n">
        <v>86</v>
      </c>
      <c r="AX278" s="2" t="n">
        <v>86</v>
      </c>
      <c r="AY278" s="2" t="n">
        <v>86</v>
      </c>
      <c r="AZ278" s="2" t="n">
        <v>86</v>
      </c>
      <c r="BA278" s="2" t="n">
        <v>86</v>
      </c>
      <c r="BB278" s="2" t="n">
        <v>86</v>
      </c>
      <c r="BC278" s="2" t="n">
        <v>94.5</v>
      </c>
      <c r="BD278" s="2" t="n">
        <v>86</v>
      </c>
      <c r="BE278" s="2" t="n">
        <v>100</v>
      </c>
      <c r="BF278" s="2" t="n">
        <v>100</v>
      </c>
      <c r="BG278" s="2" t="n">
        <v>86</v>
      </c>
      <c r="BH278" s="2" t="n">
        <v>100</v>
      </c>
      <c r="BI278" s="2" t="n">
        <v>100</v>
      </c>
      <c r="BJ278" s="2" t="n">
        <v>86</v>
      </c>
      <c r="BK278" s="2" t="n">
        <v>100</v>
      </c>
      <c r="BL278" s="2" t="n">
        <v>100</v>
      </c>
      <c r="BM278" s="2" t="n">
        <v>86</v>
      </c>
      <c r="BN278" s="2" t="n">
        <v>100</v>
      </c>
      <c r="BO278" s="2" t="n">
        <v>100</v>
      </c>
      <c r="BP278" s="2" t="n">
        <v>86</v>
      </c>
      <c r="BQ278" s="2" t="n">
        <v>100</v>
      </c>
      <c r="BR278" s="2" t="n">
        <v>100</v>
      </c>
      <c r="BS278" s="2" t="n">
        <v>86</v>
      </c>
      <c r="BT278" s="2" t="n">
        <v>100</v>
      </c>
      <c r="BU278" s="2" t="n">
        <v>100</v>
      </c>
      <c r="BV278" s="2" t="n">
        <v>86</v>
      </c>
      <c r="BW278" s="2" t="n">
        <v>100</v>
      </c>
      <c r="BX278" s="2" t="n">
        <v>100</v>
      </c>
      <c r="BY278" s="2" t="n">
        <v>86</v>
      </c>
      <c r="BZ278" s="2" t="n">
        <v>100</v>
      </c>
      <c r="CA278" s="2" t="n">
        <v>100</v>
      </c>
      <c r="CB278" s="2" t="n">
        <v>86</v>
      </c>
      <c r="CC278" s="2" t="n">
        <v>100</v>
      </c>
      <c r="CD278" s="2" t="n">
        <v>100</v>
      </c>
      <c r="CE278" s="2" t="n">
        <v>86</v>
      </c>
      <c r="CF278" s="2" t="n">
        <v>100</v>
      </c>
      <c r="CG278" s="2" t="n">
        <v>100</v>
      </c>
      <c r="CH278" s="2" t="n">
        <v>86</v>
      </c>
      <c r="CI278" s="2" t="n">
        <v>100</v>
      </c>
      <c r="CJ278" s="2" t="n">
        <v>100</v>
      </c>
      <c r="CK278" s="2" t="n">
        <v>86</v>
      </c>
      <c r="CL278" s="2" t="n">
        <v>100</v>
      </c>
      <c r="CM278" s="2" t="n">
        <v>100</v>
      </c>
      <c r="CN278" s="2" t="n">
        <v>86</v>
      </c>
      <c r="CO278" s="2" t="n">
        <v>100</v>
      </c>
      <c r="CP278" s="2" t="n">
        <v>100</v>
      </c>
      <c r="CQ278" s="2" t="n">
        <v>86</v>
      </c>
      <c r="CR278" s="2" t="n">
        <v>100</v>
      </c>
      <c r="CS278" s="2" t="n">
        <v>100</v>
      </c>
      <c r="CT278" s="2" t="n">
        <v>86</v>
      </c>
      <c r="CU278" s="2" t="n">
        <v>100</v>
      </c>
      <c r="CV278" s="2" t="n">
        <v>100</v>
      </c>
      <c r="CW278" s="2" t="n">
        <v>86</v>
      </c>
      <c r="CX278" s="2" t="n">
        <v>100</v>
      </c>
      <c r="CY278" s="2" t="n">
        <v>100</v>
      </c>
      <c r="CZ278" s="2" t="n">
        <v>86</v>
      </c>
      <c r="DA278" s="2" t="n">
        <v>100</v>
      </c>
      <c r="DB278" s="2" t="n">
        <v>100</v>
      </c>
      <c r="DC278" s="2" t="n">
        <v>86</v>
      </c>
      <c r="DD278" s="2" t="n">
        <v>100</v>
      </c>
      <c r="DE278" s="2" t="n">
        <v>100</v>
      </c>
      <c r="DF278" s="2" t="n">
        <v>86</v>
      </c>
      <c r="DG278" s="2" t="n">
        <v>100</v>
      </c>
      <c r="DH278" s="2" t="n">
        <v>100</v>
      </c>
      <c r="DI278" s="2" t="n">
        <v>86</v>
      </c>
      <c r="DJ278" s="2" t="n">
        <v>100</v>
      </c>
      <c r="DK278" s="2" t="n">
        <v>100</v>
      </c>
      <c r="DL278" s="2" t="n">
        <v>86</v>
      </c>
      <c r="DM278" s="2" t="n">
        <v>100</v>
      </c>
      <c r="DN278" s="2" t="n">
        <v>100</v>
      </c>
      <c r="DO278" s="2" t="n">
        <v>86</v>
      </c>
      <c r="DP278" s="2" t="n">
        <v>100</v>
      </c>
      <c r="DQ278" s="2" t="n">
        <v>100</v>
      </c>
      <c r="DR278" s="2" t="n">
        <v>86</v>
      </c>
      <c r="DS278" s="2" t="n">
        <v>100</v>
      </c>
      <c r="DT278" s="2" t="n">
        <v>100</v>
      </c>
      <c r="DU278" s="2" t="n">
        <v>86</v>
      </c>
      <c r="DV278" s="2" t="n">
        <v>100</v>
      </c>
      <c r="DW278" s="2" t="n">
        <v>100</v>
      </c>
      <c r="DX278" s="2" t="n">
        <v>86</v>
      </c>
      <c r="DY278" s="2" t="n">
        <v>100</v>
      </c>
      <c r="DZ278" s="2" t="n">
        <v>100</v>
      </c>
      <c r="EA278" s="2" t="n">
        <v>86</v>
      </c>
      <c r="EB278" s="2" t="n">
        <v>100</v>
      </c>
      <c r="EC278" s="2" t="n">
        <v>100</v>
      </c>
      <c r="ED278" s="2" t="n">
        <v>86</v>
      </c>
      <c r="EE278" s="2" t="n">
        <v>100</v>
      </c>
      <c r="EF278" s="2" t="n">
        <v>100</v>
      </c>
      <c r="EG278" s="2" t="n">
        <v>86</v>
      </c>
      <c r="EH278" s="2" t="n">
        <v>100</v>
      </c>
      <c r="EI278" s="2" t="n">
        <v>100</v>
      </c>
      <c r="EJ278" s="2" t="n">
        <v>86</v>
      </c>
      <c r="EK278" s="2" t="n">
        <v>100</v>
      </c>
      <c r="EL278" s="2" t="n">
        <v>100</v>
      </c>
      <c r="EM278" s="2" t="n">
        <v>86</v>
      </c>
      <c r="EN278" s="2" t="n">
        <v>100</v>
      </c>
      <c r="EO278" s="2" t="n">
        <v>100</v>
      </c>
      <c r="EP278" s="2" t="n">
        <v>86</v>
      </c>
      <c r="EQ278" s="2" t="n">
        <v>100</v>
      </c>
      <c r="ER278" s="2" t="n">
        <v>100</v>
      </c>
      <c r="ES278" s="2" t="n">
        <v>86</v>
      </c>
    </row>
    <row r="279">
      <c r="A279" s="2" t="n">
        <v>3</v>
      </c>
      <c r="B279" s="2" t="inlineStr">
        <is>
          <t>14.01.03</t>
        </is>
      </c>
      <c r="C279" s="2" t="inlineStr">
        <is>
          <t>Preparo base do terreno - Rachão</t>
        </is>
      </c>
      <c r="D279" s="2" t="inlineStr">
        <is>
          <t>03/03/2026</t>
        </is>
      </c>
      <c r="E279" s="2" t="inlineStr">
        <is>
          <t>16/10/2026</t>
        </is>
      </c>
      <c r="F279" s="2" t="n">
        <v>80000</v>
      </c>
      <c r="G279" s="2" t="n">
        <v>0</v>
      </c>
      <c r="H279" s="2" t="n">
        <v>80000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14.87</v>
      </c>
      <c r="AG279" s="2" t="n">
        <v>0</v>
      </c>
      <c r="AH279" s="2" t="n">
        <v>0</v>
      </c>
      <c r="AI279" s="2" t="n">
        <v>16.98</v>
      </c>
      <c r="AJ279" s="2" t="n">
        <v>60.2</v>
      </c>
      <c r="AK279" s="2" t="n">
        <v>47.53</v>
      </c>
      <c r="AL279" s="2" t="n">
        <v>41.31</v>
      </c>
      <c r="AM279" s="2" t="n">
        <v>86</v>
      </c>
      <c r="AN279" s="2" t="n">
        <v>86</v>
      </c>
      <c r="AO279" s="2" t="n">
        <v>86</v>
      </c>
      <c r="AP279" s="2" t="n">
        <v>86</v>
      </c>
      <c r="AQ279" s="2" t="n">
        <v>86</v>
      </c>
      <c r="AR279" s="2" t="n">
        <v>86</v>
      </c>
      <c r="AS279" s="2" t="n">
        <v>86</v>
      </c>
      <c r="AT279" s="2" t="n">
        <v>86</v>
      </c>
      <c r="AU279" s="2" t="n">
        <v>86</v>
      </c>
      <c r="AV279" s="2" t="n">
        <v>86</v>
      </c>
      <c r="AW279" s="2" t="n">
        <v>86</v>
      </c>
      <c r="AX279" s="2" t="n">
        <v>86</v>
      </c>
      <c r="AY279" s="2" t="n">
        <v>86</v>
      </c>
      <c r="AZ279" s="2" t="n">
        <v>86</v>
      </c>
      <c r="BA279" s="2" t="n">
        <v>86</v>
      </c>
      <c r="BB279" s="2" t="n">
        <v>86</v>
      </c>
      <c r="BC279" s="2" t="n">
        <v>94.5</v>
      </c>
      <c r="BD279" s="2" t="n">
        <v>86</v>
      </c>
      <c r="BE279" s="2" t="n">
        <v>100</v>
      </c>
      <c r="BF279" s="2" t="n">
        <v>100</v>
      </c>
      <c r="BG279" s="2" t="n">
        <v>86</v>
      </c>
      <c r="BH279" s="2" t="n">
        <v>100</v>
      </c>
      <c r="BI279" s="2" t="n">
        <v>100</v>
      </c>
      <c r="BJ279" s="2" t="n">
        <v>86</v>
      </c>
      <c r="BK279" s="2" t="n">
        <v>100</v>
      </c>
      <c r="BL279" s="2" t="n">
        <v>100</v>
      </c>
      <c r="BM279" s="2" t="n">
        <v>86</v>
      </c>
      <c r="BN279" s="2" t="n">
        <v>100</v>
      </c>
      <c r="BO279" s="2" t="n">
        <v>100</v>
      </c>
      <c r="BP279" s="2" t="n">
        <v>86</v>
      </c>
      <c r="BQ279" s="2" t="n">
        <v>100</v>
      </c>
      <c r="BR279" s="2" t="n">
        <v>100</v>
      </c>
      <c r="BS279" s="2" t="n">
        <v>86</v>
      </c>
      <c r="BT279" s="2" t="n">
        <v>100</v>
      </c>
      <c r="BU279" s="2" t="n">
        <v>100</v>
      </c>
      <c r="BV279" s="2" t="n">
        <v>86</v>
      </c>
      <c r="BW279" s="2" t="n">
        <v>100</v>
      </c>
      <c r="BX279" s="2" t="n">
        <v>100</v>
      </c>
      <c r="BY279" s="2" t="n">
        <v>86</v>
      </c>
      <c r="BZ279" s="2" t="n">
        <v>100</v>
      </c>
      <c r="CA279" s="2" t="n">
        <v>100</v>
      </c>
      <c r="CB279" s="2" t="n">
        <v>86</v>
      </c>
      <c r="CC279" s="2" t="n">
        <v>100</v>
      </c>
      <c r="CD279" s="2" t="n">
        <v>100</v>
      </c>
      <c r="CE279" s="2" t="n">
        <v>86</v>
      </c>
      <c r="CF279" s="2" t="n">
        <v>100</v>
      </c>
      <c r="CG279" s="2" t="n">
        <v>100</v>
      </c>
      <c r="CH279" s="2" t="n">
        <v>86</v>
      </c>
      <c r="CI279" s="2" t="n">
        <v>100</v>
      </c>
      <c r="CJ279" s="2" t="n">
        <v>100</v>
      </c>
      <c r="CK279" s="2" t="n">
        <v>86</v>
      </c>
      <c r="CL279" s="2" t="n">
        <v>100</v>
      </c>
      <c r="CM279" s="2" t="n">
        <v>100</v>
      </c>
      <c r="CN279" s="2" t="n">
        <v>86</v>
      </c>
      <c r="CO279" s="2" t="n">
        <v>100</v>
      </c>
      <c r="CP279" s="2" t="n">
        <v>100</v>
      </c>
      <c r="CQ279" s="2" t="n">
        <v>86</v>
      </c>
      <c r="CR279" s="2" t="n">
        <v>100</v>
      </c>
      <c r="CS279" s="2" t="n">
        <v>100</v>
      </c>
      <c r="CT279" s="2" t="n">
        <v>86</v>
      </c>
      <c r="CU279" s="2" t="n">
        <v>100</v>
      </c>
      <c r="CV279" s="2" t="n">
        <v>100</v>
      </c>
      <c r="CW279" s="2" t="n">
        <v>86</v>
      </c>
      <c r="CX279" s="2" t="n">
        <v>100</v>
      </c>
      <c r="CY279" s="2" t="n">
        <v>100</v>
      </c>
      <c r="CZ279" s="2" t="n">
        <v>86</v>
      </c>
      <c r="DA279" s="2" t="n">
        <v>100</v>
      </c>
      <c r="DB279" s="2" t="n">
        <v>100</v>
      </c>
      <c r="DC279" s="2" t="n">
        <v>86</v>
      </c>
      <c r="DD279" s="2" t="n">
        <v>100</v>
      </c>
      <c r="DE279" s="2" t="n">
        <v>100</v>
      </c>
      <c r="DF279" s="2" t="n">
        <v>86</v>
      </c>
      <c r="DG279" s="2" t="n">
        <v>100</v>
      </c>
      <c r="DH279" s="2" t="n">
        <v>100</v>
      </c>
      <c r="DI279" s="2" t="n">
        <v>86</v>
      </c>
      <c r="DJ279" s="2" t="n">
        <v>100</v>
      </c>
      <c r="DK279" s="2" t="n">
        <v>100</v>
      </c>
      <c r="DL279" s="2" t="n">
        <v>86</v>
      </c>
      <c r="DM279" s="2" t="n">
        <v>100</v>
      </c>
      <c r="DN279" s="2" t="n">
        <v>100</v>
      </c>
      <c r="DO279" s="2" t="n">
        <v>86</v>
      </c>
      <c r="DP279" s="2" t="n">
        <v>100</v>
      </c>
      <c r="DQ279" s="2" t="n">
        <v>100</v>
      </c>
      <c r="DR279" s="2" t="n">
        <v>86</v>
      </c>
      <c r="DS279" s="2" t="n">
        <v>100</v>
      </c>
      <c r="DT279" s="2" t="n">
        <v>100</v>
      </c>
      <c r="DU279" s="2" t="n">
        <v>86</v>
      </c>
      <c r="DV279" s="2" t="n">
        <v>100</v>
      </c>
      <c r="DW279" s="2" t="n">
        <v>100</v>
      </c>
      <c r="DX279" s="2" t="n">
        <v>86</v>
      </c>
      <c r="DY279" s="2" t="n">
        <v>100</v>
      </c>
      <c r="DZ279" s="2" t="n">
        <v>100</v>
      </c>
      <c r="EA279" s="2" t="n">
        <v>86</v>
      </c>
      <c r="EB279" s="2" t="n">
        <v>100</v>
      </c>
      <c r="EC279" s="2" t="n">
        <v>100</v>
      </c>
      <c r="ED279" s="2" t="n">
        <v>86</v>
      </c>
      <c r="EE279" s="2" t="n">
        <v>100</v>
      </c>
      <c r="EF279" s="2" t="n">
        <v>100</v>
      </c>
      <c r="EG279" s="2" t="n">
        <v>86</v>
      </c>
      <c r="EH279" s="2" t="n">
        <v>100</v>
      </c>
      <c r="EI279" s="2" t="n">
        <v>100</v>
      </c>
      <c r="EJ279" s="2" t="n">
        <v>86</v>
      </c>
      <c r="EK279" s="2" t="n">
        <v>100</v>
      </c>
      <c r="EL279" s="2" t="n">
        <v>100</v>
      </c>
      <c r="EM279" s="2" t="n">
        <v>86</v>
      </c>
      <c r="EN279" s="2" t="n">
        <v>100</v>
      </c>
      <c r="EO279" s="2" t="n">
        <v>100</v>
      </c>
      <c r="EP279" s="2" t="n">
        <v>86</v>
      </c>
      <c r="EQ279" s="2" t="n">
        <v>100</v>
      </c>
      <c r="ER279" s="2" t="n">
        <v>100</v>
      </c>
      <c r="ES279" s="2" t="n">
        <v>86</v>
      </c>
    </row>
    <row r="280">
      <c r="A280" s="2" t="n">
        <v>3</v>
      </c>
      <c r="B280" s="2" t="inlineStr">
        <is>
          <t>14.01.04</t>
        </is>
      </c>
      <c r="C280" s="2" t="inlineStr">
        <is>
          <t>Locação de Escavadeira Hidraulica - Considerando H.E aos sábados</t>
        </is>
      </c>
      <c r="D280" s="2" t="inlineStr">
        <is>
          <t>03/03/2026</t>
        </is>
      </c>
      <c r="E280" s="2" t="inlineStr">
        <is>
          <t>16/10/2026</t>
        </is>
      </c>
      <c r="F280" s="2" t="n">
        <v>49100</v>
      </c>
      <c r="G280" s="2" t="n">
        <v>0</v>
      </c>
      <c r="H280" s="2" t="n">
        <v>49100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14.87</v>
      </c>
      <c r="AG280" s="2" t="n">
        <v>0</v>
      </c>
      <c r="AH280" s="2" t="n">
        <v>0</v>
      </c>
      <c r="AI280" s="2" t="n">
        <v>16.98</v>
      </c>
      <c r="AJ280" s="2" t="n">
        <v>60.2</v>
      </c>
      <c r="AK280" s="2" t="n">
        <v>47.53</v>
      </c>
      <c r="AL280" s="2" t="n">
        <v>41.31</v>
      </c>
      <c r="AM280" s="2" t="n">
        <v>86</v>
      </c>
      <c r="AN280" s="2" t="n">
        <v>86</v>
      </c>
      <c r="AO280" s="2" t="n">
        <v>86</v>
      </c>
      <c r="AP280" s="2" t="n">
        <v>86</v>
      </c>
      <c r="AQ280" s="2" t="n">
        <v>86</v>
      </c>
      <c r="AR280" s="2" t="n">
        <v>86</v>
      </c>
      <c r="AS280" s="2" t="n">
        <v>86</v>
      </c>
      <c r="AT280" s="2" t="n">
        <v>86</v>
      </c>
      <c r="AU280" s="2" t="n">
        <v>86</v>
      </c>
      <c r="AV280" s="2" t="n">
        <v>86</v>
      </c>
      <c r="AW280" s="2" t="n">
        <v>86</v>
      </c>
      <c r="AX280" s="2" t="n">
        <v>86</v>
      </c>
      <c r="AY280" s="2" t="n">
        <v>86</v>
      </c>
      <c r="AZ280" s="2" t="n">
        <v>86</v>
      </c>
      <c r="BA280" s="2" t="n">
        <v>86</v>
      </c>
      <c r="BB280" s="2" t="n">
        <v>86</v>
      </c>
      <c r="BC280" s="2" t="n">
        <v>94.5</v>
      </c>
      <c r="BD280" s="2" t="n">
        <v>86</v>
      </c>
      <c r="BE280" s="2" t="n">
        <v>100</v>
      </c>
      <c r="BF280" s="2" t="n">
        <v>100</v>
      </c>
      <c r="BG280" s="2" t="n">
        <v>86</v>
      </c>
      <c r="BH280" s="2" t="n">
        <v>100</v>
      </c>
      <c r="BI280" s="2" t="n">
        <v>100</v>
      </c>
      <c r="BJ280" s="2" t="n">
        <v>86</v>
      </c>
      <c r="BK280" s="2" t="n">
        <v>100</v>
      </c>
      <c r="BL280" s="2" t="n">
        <v>100</v>
      </c>
      <c r="BM280" s="2" t="n">
        <v>86</v>
      </c>
      <c r="BN280" s="2" t="n">
        <v>100</v>
      </c>
      <c r="BO280" s="2" t="n">
        <v>100</v>
      </c>
      <c r="BP280" s="2" t="n">
        <v>86</v>
      </c>
      <c r="BQ280" s="2" t="n">
        <v>100</v>
      </c>
      <c r="BR280" s="2" t="n">
        <v>100</v>
      </c>
      <c r="BS280" s="2" t="n">
        <v>86</v>
      </c>
      <c r="BT280" s="2" t="n">
        <v>100</v>
      </c>
      <c r="BU280" s="2" t="n">
        <v>100</v>
      </c>
      <c r="BV280" s="2" t="n">
        <v>86</v>
      </c>
      <c r="BW280" s="2" t="n">
        <v>100</v>
      </c>
      <c r="BX280" s="2" t="n">
        <v>100</v>
      </c>
      <c r="BY280" s="2" t="n">
        <v>86</v>
      </c>
      <c r="BZ280" s="2" t="n">
        <v>100</v>
      </c>
      <c r="CA280" s="2" t="n">
        <v>100</v>
      </c>
      <c r="CB280" s="2" t="n">
        <v>86</v>
      </c>
      <c r="CC280" s="2" t="n">
        <v>100</v>
      </c>
      <c r="CD280" s="2" t="n">
        <v>100</v>
      </c>
      <c r="CE280" s="2" t="n">
        <v>86</v>
      </c>
      <c r="CF280" s="2" t="n">
        <v>100</v>
      </c>
      <c r="CG280" s="2" t="n">
        <v>100</v>
      </c>
      <c r="CH280" s="2" t="n">
        <v>86</v>
      </c>
      <c r="CI280" s="2" t="n">
        <v>100</v>
      </c>
      <c r="CJ280" s="2" t="n">
        <v>100</v>
      </c>
      <c r="CK280" s="2" t="n">
        <v>86</v>
      </c>
      <c r="CL280" s="2" t="n">
        <v>100</v>
      </c>
      <c r="CM280" s="2" t="n">
        <v>100</v>
      </c>
      <c r="CN280" s="2" t="n">
        <v>86</v>
      </c>
      <c r="CO280" s="2" t="n">
        <v>100</v>
      </c>
      <c r="CP280" s="2" t="n">
        <v>100</v>
      </c>
      <c r="CQ280" s="2" t="n">
        <v>86</v>
      </c>
      <c r="CR280" s="2" t="n">
        <v>100</v>
      </c>
      <c r="CS280" s="2" t="n">
        <v>100</v>
      </c>
      <c r="CT280" s="2" t="n">
        <v>86</v>
      </c>
      <c r="CU280" s="2" t="n">
        <v>100</v>
      </c>
      <c r="CV280" s="2" t="n">
        <v>100</v>
      </c>
      <c r="CW280" s="2" t="n">
        <v>86</v>
      </c>
      <c r="CX280" s="2" t="n">
        <v>100</v>
      </c>
      <c r="CY280" s="2" t="n">
        <v>100</v>
      </c>
      <c r="CZ280" s="2" t="n">
        <v>86</v>
      </c>
      <c r="DA280" s="2" t="n">
        <v>100</v>
      </c>
      <c r="DB280" s="2" t="n">
        <v>100</v>
      </c>
      <c r="DC280" s="2" t="n">
        <v>86</v>
      </c>
      <c r="DD280" s="2" t="n">
        <v>100</v>
      </c>
      <c r="DE280" s="2" t="n">
        <v>100</v>
      </c>
      <c r="DF280" s="2" t="n">
        <v>86</v>
      </c>
      <c r="DG280" s="2" t="n">
        <v>100</v>
      </c>
      <c r="DH280" s="2" t="n">
        <v>100</v>
      </c>
      <c r="DI280" s="2" t="n">
        <v>86</v>
      </c>
      <c r="DJ280" s="2" t="n">
        <v>100</v>
      </c>
      <c r="DK280" s="2" t="n">
        <v>100</v>
      </c>
      <c r="DL280" s="2" t="n">
        <v>86</v>
      </c>
      <c r="DM280" s="2" t="n">
        <v>100</v>
      </c>
      <c r="DN280" s="2" t="n">
        <v>100</v>
      </c>
      <c r="DO280" s="2" t="n">
        <v>86</v>
      </c>
      <c r="DP280" s="2" t="n">
        <v>100</v>
      </c>
      <c r="DQ280" s="2" t="n">
        <v>100</v>
      </c>
      <c r="DR280" s="2" t="n">
        <v>86</v>
      </c>
      <c r="DS280" s="2" t="n">
        <v>100</v>
      </c>
      <c r="DT280" s="2" t="n">
        <v>100</v>
      </c>
      <c r="DU280" s="2" t="n">
        <v>86</v>
      </c>
      <c r="DV280" s="2" t="n">
        <v>100</v>
      </c>
      <c r="DW280" s="2" t="n">
        <v>100</v>
      </c>
      <c r="DX280" s="2" t="n">
        <v>86</v>
      </c>
      <c r="DY280" s="2" t="n">
        <v>100</v>
      </c>
      <c r="DZ280" s="2" t="n">
        <v>100</v>
      </c>
      <c r="EA280" s="2" t="n">
        <v>86</v>
      </c>
      <c r="EB280" s="2" t="n">
        <v>100</v>
      </c>
      <c r="EC280" s="2" t="n">
        <v>100</v>
      </c>
      <c r="ED280" s="2" t="n">
        <v>86</v>
      </c>
      <c r="EE280" s="2" t="n">
        <v>100</v>
      </c>
      <c r="EF280" s="2" t="n">
        <v>100</v>
      </c>
      <c r="EG280" s="2" t="n">
        <v>86</v>
      </c>
      <c r="EH280" s="2" t="n">
        <v>100</v>
      </c>
      <c r="EI280" s="2" t="n">
        <v>100</v>
      </c>
      <c r="EJ280" s="2" t="n">
        <v>86</v>
      </c>
      <c r="EK280" s="2" t="n">
        <v>100</v>
      </c>
      <c r="EL280" s="2" t="n">
        <v>100</v>
      </c>
      <c r="EM280" s="2" t="n">
        <v>86</v>
      </c>
      <c r="EN280" s="2" t="n">
        <v>100</v>
      </c>
      <c r="EO280" s="2" t="n">
        <v>100</v>
      </c>
      <c r="EP280" s="2" t="n">
        <v>86</v>
      </c>
      <c r="EQ280" s="2" t="n">
        <v>100</v>
      </c>
      <c r="ER280" s="2" t="n">
        <v>100</v>
      </c>
      <c r="ES280" s="2" t="n">
        <v>86</v>
      </c>
    </row>
    <row r="281">
      <c r="A281" s="2" t="n">
        <v>2</v>
      </c>
      <c r="B281" s="2" t="inlineStr">
        <is>
          <t>14.02</t>
        </is>
      </c>
      <c r="C281" s="2" t="inlineStr">
        <is>
          <t>Rebaixamento de lençol freático</t>
        </is>
      </c>
      <c r="D281" s="2" t="inlineStr">
        <is>
          <t>03/03/2026</t>
        </is>
      </c>
      <c r="E281" s="2" t="inlineStr">
        <is>
          <t>16/10/2026</t>
        </is>
      </c>
      <c r="F281" s="2" t="n">
        <v>200392.164</v>
      </c>
      <c r="G281" s="2" t="n">
        <v>0</v>
      </c>
      <c r="H281" s="2" t="n">
        <v>200392.164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14.87</v>
      </c>
      <c r="AG281" s="2" t="n">
        <v>0</v>
      </c>
      <c r="AH281" s="2" t="n">
        <v>0</v>
      </c>
      <c r="AI281" s="2" t="n">
        <v>16.98</v>
      </c>
      <c r="AJ281" s="2" t="n">
        <v>60.2</v>
      </c>
      <c r="AK281" s="2" t="n">
        <v>47.53</v>
      </c>
      <c r="AL281" s="2" t="n">
        <v>41.31</v>
      </c>
      <c r="AM281" s="2" t="n">
        <v>86</v>
      </c>
      <c r="AN281" s="2" t="n">
        <v>86</v>
      </c>
      <c r="AO281" s="2" t="n">
        <v>86</v>
      </c>
      <c r="AP281" s="2" t="n">
        <v>86</v>
      </c>
      <c r="AQ281" s="2" t="n">
        <v>86</v>
      </c>
      <c r="AR281" s="2" t="n">
        <v>86</v>
      </c>
      <c r="AS281" s="2" t="n">
        <v>86</v>
      </c>
      <c r="AT281" s="2" t="n">
        <v>86</v>
      </c>
      <c r="AU281" s="2" t="n">
        <v>86</v>
      </c>
      <c r="AV281" s="2" t="n">
        <v>86</v>
      </c>
      <c r="AW281" s="2" t="n">
        <v>86</v>
      </c>
      <c r="AX281" s="2" t="n">
        <v>86</v>
      </c>
      <c r="AY281" s="2" t="n">
        <v>86</v>
      </c>
      <c r="AZ281" s="2" t="n">
        <v>86</v>
      </c>
      <c r="BA281" s="2" t="n">
        <v>86</v>
      </c>
      <c r="BB281" s="2" t="n">
        <v>86</v>
      </c>
      <c r="BC281" s="2" t="n">
        <v>94.5</v>
      </c>
      <c r="BD281" s="2" t="n">
        <v>86</v>
      </c>
      <c r="BE281" s="2" t="n">
        <v>100</v>
      </c>
      <c r="BF281" s="2" t="n">
        <v>100</v>
      </c>
      <c r="BG281" s="2" t="n">
        <v>86</v>
      </c>
      <c r="BH281" s="2" t="n">
        <v>100</v>
      </c>
      <c r="BI281" s="2" t="n">
        <v>100</v>
      </c>
      <c r="BJ281" s="2" t="n">
        <v>86</v>
      </c>
      <c r="BK281" s="2" t="n">
        <v>100</v>
      </c>
      <c r="BL281" s="2" t="n">
        <v>100</v>
      </c>
      <c r="BM281" s="2" t="n">
        <v>86</v>
      </c>
      <c r="BN281" s="2" t="n">
        <v>100</v>
      </c>
      <c r="BO281" s="2" t="n">
        <v>100</v>
      </c>
      <c r="BP281" s="2" t="n">
        <v>86</v>
      </c>
      <c r="BQ281" s="2" t="n">
        <v>100</v>
      </c>
      <c r="BR281" s="2" t="n">
        <v>100</v>
      </c>
      <c r="BS281" s="2" t="n">
        <v>86</v>
      </c>
      <c r="BT281" s="2" t="n">
        <v>100</v>
      </c>
      <c r="BU281" s="2" t="n">
        <v>100</v>
      </c>
      <c r="BV281" s="2" t="n">
        <v>86</v>
      </c>
      <c r="BW281" s="2" t="n">
        <v>100</v>
      </c>
      <c r="BX281" s="2" t="n">
        <v>100</v>
      </c>
      <c r="BY281" s="2" t="n">
        <v>86</v>
      </c>
      <c r="BZ281" s="2" t="n">
        <v>100</v>
      </c>
      <c r="CA281" s="2" t="n">
        <v>100</v>
      </c>
      <c r="CB281" s="2" t="n">
        <v>86</v>
      </c>
      <c r="CC281" s="2" t="n">
        <v>100</v>
      </c>
      <c r="CD281" s="2" t="n">
        <v>100</v>
      </c>
      <c r="CE281" s="2" t="n">
        <v>86</v>
      </c>
      <c r="CF281" s="2" t="n">
        <v>100</v>
      </c>
      <c r="CG281" s="2" t="n">
        <v>100</v>
      </c>
      <c r="CH281" s="2" t="n">
        <v>86</v>
      </c>
      <c r="CI281" s="2" t="n">
        <v>100</v>
      </c>
      <c r="CJ281" s="2" t="n">
        <v>100</v>
      </c>
      <c r="CK281" s="2" t="n">
        <v>86</v>
      </c>
      <c r="CL281" s="2" t="n">
        <v>100</v>
      </c>
      <c r="CM281" s="2" t="n">
        <v>100</v>
      </c>
      <c r="CN281" s="2" t="n">
        <v>86</v>
      </c>
      <c r="CO281" s="2" t="n">
        <v>100</v>
      </c>
      <c r="CP281" s="2" t="n">
        <v>100</v>
      </c>
      <c r="CQ281" s="2" t="n">
        <v>86</v>
      </c>
      <c r="CR281" s="2" t="n">
        <v>100</v>
      </c>
      <c r="CS281" s="2" t="n">
        <v>100</v>
      </c>
      <c r="CT281" s="2" t="n">
        <v>86</v>
      </c>
      <c r="CU281" s="2" t="n">
        <v>100</v>
      </c>
      <c r="CV281" s="2" t="n">
        <v>100</v>
      </c>
      <c r="CW281" s="2" t="n">
        <v>86</v>
      </c>
      <c r="CX281" s="2" t="n">
        <v>100</v>
      </c>
      <c r="CY281" s="2" t="n">
        <v>100</v>
      </c>
      <c r="CZ281" s="2" t="n">
        <v>86</v>
      </c>
      <c r="DA281" s="2" t="n">
        <v>100</v>
      </c>
      <c r="DB281" s="2" t="n">
        <v>100</v>
      </c>
      <c r="DC281" s="2" t="n">
        <v>86</v>
      </c>
      <c r="DD281" s="2" t="n">
        <v>100</v>
      </c>
      <c r="DE281" s="2" t="n">
        <v>100</v>
      </c>
      <c r="DF281" s="2" t="n">
        <v>86</v>
      </c>
      <c r="DG281" s="2" t="n">
        <v>100</v>
      </c>
      <c r="DH281" s="2" t="n">
        <v>100</v>
      </c>
      <c r="DI281" s="2" t="n">
        <v>86</v>
      </c>
      <c r="DJ281" s="2" t="n">
        <v>100</v>
      </c>
      <c r="DK281" s="2" t="n">
        <v>100</v>
      </c>
      <c r="DL281" s="2" t="n">
        <v>86</v>
      </c>
      <c r="DM281" s="2" t="n">
        <v>100</v>
      </c>
      <c r="DN281" s="2" t="n">
        <v>100</v>
      </c>
      <c r="DO281" s="2" t="n">
        <v>86</v>
      </c>
      <c r="DP281" s="2" t="n">
        <v>100</v>
      </c>
      <c r="DQ281" s="2" t="n">
        <v>100</v>
      </c>
      <c r="DR281" s="2" t="n">
        <v>86</v>
      </c>
      <c r="DS281" s="2" t="n">
        <v>100</v>
      </c>
      <c r="DT281" s="2" t="n">
        <v>100</v>
      </c>
      <c r="DU281" s="2" t="n">
        <v>86</v>
      </c>
      <c r="DV281" s="2" t="n">
        <v>100</v>
      </c>
      <c r="DW281" s="2" t="n">
        <v>100</v>
      </c>
      <c r="DX281" s="2" t="n">
        <v>86</v>
      </c>
      <c r="DY281" s="2" t="n">
        <v>100</v>
      </c>
      <c r="DZ281" s="2" t="n">
        <v>100</v>
      </c>
      <c r="EA281" s="2" t="n">
        <v>86</v>
      </c>
      <c r="EB281" s="2" t="n">
        <v>100</v>
      </c>
      <c r="EC281" s="2" t="n">
        <v>100</v>
      </c>
      <c r="ED281" s="2" t="n">
        <v>86</v>
      </c>
      <c r="EE281" s="2" t="n">
        <v>100</v>
      </c>
      <c r="EF281" s="2" t="n">
        <v>100</v>
      </c>
      <c r="EG281" s="2" t="n">
        <v>86</v>
      </c>
      <c r="EH281" s="2" t="n">
        <v>100</v>
      </c>
      <c r="EI281" s="2" t="n">
        <v>100</v>
      </c>
      <c r="EJ281" s="2" t="n">
        <v>86</v>
      </c>
      <c r="EK281" s="2" t="n">
        <v>100</v>
      </c>
      <c r="EL281" s="2" t="n">
        <v>100</v>
      </c>
      <c r="EM281" s="2" t="n">
        <v>86</v>
      </c>
      <c r="EN281" s="2" t="n">
        <v>100</v>
      </c>
      <c r="EO281" s="2" t="n">
        <v>100</v>
      </c>
      <c r="EP281" s="2" t="n">
        <v>86</v>
      </c>
      <c r="EQ281" s="2" t="n">
        <v>100</v>
      </c>
      <c r="ER281" s="2" t="n">
        <v>100</v>
      </c>
      <c r="ES281" s="2" t="n">
        <v>86</v>
      </c>
    </row>
    <row r="282">
      <c r="A282" s="2" t="n">
        <v>3</v>
      </c>
      <c r="B282" s="2" t="inlineStr">
        <is>
          <t>14.02.01</t>
        </is>
      </c>
      <c r="C282" s="2" t="inlineStr">
        <is>
          <t>Bombas, mangueiras, instalações elétricas</t>
        </is>
      </c>
      <c r="D282" s="2" t="inlineStr">
        <is>
          <t>03/03/2026</t>
        </is>
      </c>
      <c r="E282" s="2" t="inlineStr">
        <is>
          <t>16/10/2026</t>
        </is>
      </c>
      <c r="F282" s="2" t="n">
        <v>50000</v>
      </c>
      <c r="G282" s="2" t="n">
        <v>0</v>
      </c>
      <c r="H282" s="2" t="n">
        <v>50000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14.87</v>
      </c>
      <c r="AG282" s="2" t="n">
        <v>0</v>
      </c>
      <c r="AH282" s="2" t="n">
        <v>0</v>
      </c>
      <c r="AI282" s="2" t="n">
        <v>16.98</v>
      </c>
      <c r="AJ282" s="2" t="n">
        <v>60.2</v>
      </c>
      <c r="AK282" s="2" t="n">
        <v>47.53</v>
      </c>
      <c r="AL282" s="2" t="n">
        <v>41.31</v>
      </c>
      <c r="AM282" s="2" t="n">
        <v>86</v>
      </c>
      <c r="AN282" s="2" t="n">
        <v>86</v>
      </c>
      <c r="AO282" s="2" t="n">
        <v>86</v>
      </c>
      <c r="AP282" s="2" t="n">
        <v>86</v>
      </c>
      <c r="AQ282" s="2" t="n">
        <v>86</v>
      </c>
      <c r="AR282" s="2" t="n">
        <v>86</v>
      </c>
      <c r="AS282" s="2" t="n">
        <v>86</v>
      </c>
      <c r="AT282" s="2" t="n">
        <v>86</v>
      </c>
      <c r="AU282" s="2" t="n">
        <v>86</v>
      </c>
      <c r="AV282" s="2" t="n">
        <v>86</v>
      </c>
      <c r="AW282" s="2" t="n">
        <v>86</v>
      </c>
      <c r="AX282" s="2" t="n">
        <v>86</v>
      </c>
      <c r="AY282" s="2" t="n">
        <v>86</v>
      </c>
      <c r="AZ282" s="2" t="n">
        <v>86</v>
      </c>
      <c r="BA282" s="2" t="n">
        <v>86</v>
      </c>
      <c r="BB282" s="2" t="n">
        <v>86</v>
      </c>
      <c r="BC282" s="2" t="n">
        <v>94.5</v>
      </c>
      <c r="BD282" s="2" t="n">
        <v>86</v>
      </c>
      <c r="BE282" s="2" t="n">
        <v>100</v>
      </c>
      <c r="BF282" s="2" t="n">
        <v>100</v>
      </c>
      <c r="BG282" s="2" t="n">
        <v>86</v>
      </c>
      <c r="BH282" s="2" t="n">
        <v>100</v>
      </c>
      <c r="BI282" s="2" t="n">
        <v>100</v>
      </c>
      <c r="BJ282" s="2" t="n">
        <v>86</v>
      </c>
      <c r="BK282" s="2" t="n">
        <v>100</v>
      </c>
      <c r="BL282" s="2" t="n">
        <v>100</v>
      </c>
      <c r="BM282" s="2" t="n">
        <v>86</v>
      </c>
      <c r="BN282" s="2" t="n">
        <v>100</v>
      </c>
      <c r="BO282" s="2" t="n">
        <v>100</v>
      </c>
      <c r="BP282" s="2" t="n">
        <v>86</v>
      </c>
      <c r="BQ282" s="2" t="n">
        <v>100</v>
      </c>
      <c r="BR282" s="2" t="n">
        <v>100</v>
      </c>
      <c r="BS282" s="2" t="n">
        <v>86</v>
      </c>
      <c r="BT282" s="2" t="n">
        <v>100</v>
      </c>
      <c r="BU282" s="2" t="n">
        <v>100</v>
      </c>
      <c r="BV282" s="2" t="n">
        <v>86</v>
      </c>
      <c r="BW282" s="2" t="n">
        <v>100</v>
      </c>
      <c r="BX282" s="2" t="n">
        <v>100</v>
      </c>
      <c r="BY282" s="2" t="n">
        <v>86</v>
      </c>
      <c r="BZ282" s="2" t="n">
        <v>100</v>
      </c>
      <c r="CA282" s="2" t="n">
        <v>100</v>
      </c>
      <c r="CB282" s="2" t="n">
        <v>86</v>
      </c>
      <c r="CC282" s="2" t="n">
        <v>100</v>
      </c>
      <c r="CD282" s="2" t="n">
        <v>100</v>
      </c>
      <c r="CE282" s="2" t="n">
        <v>86</v>
      </c>
      <c r="CF282" s="2" t="n">
        <v>100</v>
      </c>
      <c r="CG282" s="2" t="n">
        <v>100</v>
      </c>
      <c r="CH282" s="2" t="n">
        <v>86</v>
      </c>
      <c r="CI282" s="2" t="n">
        <v>100</v>
      </c>
      <c r="CJ282" s="2" t="n">
        <v>100</v>
      </c>
      <c r="CK282" s="2" t="n">
        <v>86</v>
      </c>
      <c r="CL282" s="2" t="n">
        <v>100</v>
      </c>
      <c r="CM282" s="2" t="n">
        <v>100</v>
      </c>
      <c r="CN282" s="2" t="n">
        <v>86</v>
      </c>
      <c r="CO282" s="2" t="n">
        <v>100</v>
      </c>
      <c r="CP282" s="2" t="n">
        <v>100</v>
      </c>
      <c r="CQ282" s="2" t="n">
        <v>86</v>
      </c>
      <c r="CR282" s="2" t="n">
        <v>100</v>
      </c>
      <c r="CS282" s="2" t="n">
        <v>100</v>
      </c>
      <c r="CT282" s="2" t="n">
        <v>86</v>
      </c>
      <c r="CU282" s="2" t="n">
        <v>100</v>
      </c>
      <c r="CV282" s="2" t="n">
        <v>100</v>
      </c>
      <c r="CW282" s="2" t="n">
        <v>86</v>
      </c>
      <c r="CX282" s="2" t="n">
        <v>100</v>
      </c>
      <c r="CY282" s="2" t="n">
        <v>100</v>
      </c>
      <c r="CZ282" s="2" t="n">
        <v>86</v>
      </c>
      <c r="DA282" s="2" t="n">
        <v>100</v>
      </c>
      <c r="DB282" s="2" t="n">
        <v>100</v>
      </c>
      <c r="DC282" s="2" t="n">
        <v>86</v>
      </c>
      <c r="DD282" s="2" t="n">
        <v>100</v>
      </c>
      <c r="DE282" s="2" t="n">
        <v>100</v>
      </c>
      <c r="DF282" s="2" t="n">
        <v>86</v>
      </c>
      <c r="DG282" s="2" t="n">
        <v>100</v>
      </c>
      <c r="DH282" s="2" t="n">
        <v>100</v>
      </c>
      <c r="DI282" s="2" t="n">
        <v>86</v>
      </c>
      <c r="DJ282" s="2" t="n">
        <v>100</v>
      </c>
      <c r="DK282" s="2" t="n">
        <v>100</v>
      </c>
      <c r="DL282" s="2" t="n">
        <v>86</v>
      </c>
      <c r="DM282" s="2" t="n">
        <v>100</v>
      </c>
      <c r="DN282" s="2" t="n">
        <v>100</v>
      </c>
      <c r="DO282" s="2" t="n">
        <v>86</v>
      </c>
      <c r="DP282" s="2" t="n">
        <v>100</v>
      </c>
      <c r="DQ282" s="2" t="n">
        <v>100</v>
      </c>
      <c r="DR282" s="2" t="n">
        <v>86</v>
      </c>
      <c r="DS282" s="2" t="n">
        <v>100</v>
      </c>
      <c r="DT282" s="2" t="n">
        <v>100</v>
      </c>
      <c r="DU282" s="2" t="n">
        <v>86</v>
      </c>
      <c r="DV282" s="2" t="n">
        <v>100</v>
      </c>
      <c r="DW282" s="2" t="n">
        <v>100</v>
      </c>
      <c r="DX282" s="2" t="n">
        <v>86</v>
      </c>
      <c r="DY282" s="2" t="n">
        <v>100</v>
      </c>
      <c r="DZ282" s="2" t="n">
        <v>100</v>
      </c>
      <c r="EA282" s="2" t="n">
        <v>86</v>
      </c>
      <c r="EB282" s="2" t="n">
        <v>100</v>
      </c>
      <c r="EC282" s="2" t="n">
        <v>100</v>
      </c>
      <c r="ED282" s="2" t="n">
        <v>86</v>
      </c>
      <c r="EE282" s="2" t="n">
        <v>100</v>
      </c>
      <c r="EF282" s="2" t="n">
        <v>100</v>
      </c>
      <c r="EG282" s="2" t="n">
        <v>86</v>
      </c>
      <c r="EH282" s="2" t="n">
        <v>100</v>
      </c>
      <c r="EI282" s="2" t="n">
        <v>100</v>
      </c>
      <c r="EJ282" s="2" t="n">
        <v>86</v>
      </c>
      <c r="EK282" s="2" t="n">
        <v>100</v>
      </c>
      <c r="EL282" s="2" t="n">
        <v>100</v>
      </c>
      <c r="EM282" s="2" t="n">
        <v>86</v>
      </c>
      <c r="EN282" s="2" t="n">
        <v>100</v>
      </c>
      <c r="EO282" s="2" t="n">
        <v>100</v>
      </c>
      <c r="EP282" s="2" t="n">
        <v>86</v>
      </c>
      <c r="EQ282" s="2" t="n">
        <v>100</v>
      </c>
      <c r="ER282" s="2" t="n">
        <v>100</v>
      </c>
      <c r="ES282" s="2" t="n">
        <v>86</v>
      </c>
    </row>
    <row r="283">
      <c r="A283" s="2" t="n">
        <v>3</v>
      </c>
      <c r="B283" s="2" t="inlineStr">
        <is>
          <t>14.02.02</t>
        </is>
      </c>
      <c r="C283" s="2" t="inlineStr">
        <is>
          <t>Perfuração com Ø 1,10cm</t>
        </is>
      </c>
      <c r="D283" s="2" t="inlineStr">
        <is>
          <t>03/03/2026</t>
        </is>
      </c>
      <c r="E283" s="2" t="inlineStr">
        <is>
          <t>16/10/2026</t>
        </is>
      </c>
      <c r="F283" s="2" t="n">
        <v>70560</v>
      </c>
      <c r="G283" s="2" t="n">
        <v>0</v>
      </c>
      <c r="H283" s="2" t="n">
        <v>70560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14.87</v>
      </c>
      <c r="AG283" s="2" t="n">
        <v>0</v>
      </c>
      <c r="AH283" s="2" t="n">
        <v>0</v>
      </c>
      <c r="AI283" s="2" t="n">
        <v>16.98</v>
      </c>
      <c r="AJ283" s="2" t="n">
        <v>60.2</v>
      </c>
      <c r="AK283" s="2" t="n">
        <v>47.53</v>
      </c>
      <c r="AL283" s="2" t="n">
        <v>41.31</v>
      </c>
      <c r="AM283" s="2" t="n">
        <v>86</v>
      </c>
      <c r="AN283" s="2" t="n">
        <v>86</v>
      </c>
      <c r="AO283" s="2" t="n">
        <v>86</v>
      </c>
      <c r="AP283" s="2" t="n">
        <v>86</v>
      </c>
      <c r="AQ283" s="2" t="n">
        <v>86</v>
      </c>
      <c r="AR283" s="2" t="n">
        <v>86</v>
      </c>
      <c r="AS283" s="2" t="n">
        <v>86</v>
      </c>
      <c r="AT283" s="2" t="n">
        <v>86</v>
      </c>
      <c r="AU283" s="2" t="n">
        <v>86</v>
      </c>
      <c r="AV283" s="2" t="n">
        <v>86</v>
      </c>
      <c r="AW283" s="2" t="n">
        <v>86</v>
      </c>
      <c r="AX283" s="2" t="n">
        <v>86</v>
      </c>
      <c r="AY283" s="2" t="n">
        <v>86</v>
      </c>
      <c r="AZ283" s="2" t="n">
        <v>86</v>
      </c>
      <c r="BA283" s="2" t="n">
        <v>86</v>
      </c>
      <c r="BB283" s="2" t="n">
        <v>86</v>
      </c>
      <c r="BC283" s="2" t="n">
        <v>94.5</v>
      </c>
      <c r="BD283" s="2" t="n">
        <v>86</v>
      </c>
      <c r="BE283" s="2" t="n">
        <v>100</v>
      </c>
      <c r="BF283" s="2" t="n">
        <v>100</v>
      </c>
      <c r="BG283" s="2" t="n">
        <v>86</v>
      </c>
      <c r="BH283" s="2" t="n">
        <v>100</v>
      </c>
      <c r="BI283" s="2" t="n">
        <v>100</v>
      </c>
      <c r="BJ283" s="2" t="n">
        <v>86</v>
      </c>
      <c r="BK283" s="2" t="n">
        <v>100</v>
      </c>
      <c r="BL283" s="2" t="n">
        <v>100</v>
      </c>
      <c r="BM283" s="2" t="n">
        <v>86</v>
      </c>
      <c r="BN283" s="2" t="n">
        <v>100</v>
      </c>
      <c r="BO283" s="2" t="n">
        <v>100</v>
      </c>
      <c r="BP283" s="2" t="n">
        <v>86</v>
      </c>
      <c r="BQ283" s="2" t="n">
        <v>100</v>
      </c>
      <c r="BR283" s="2" t="n">
        <v>100</v>
      </c>
      <c r="BS283" s="2" t="n">
        <v>86</v>
      </c>
      <c r="BT283" s="2" t="n">
        <v>100</v>
      </c>
      <c r="BU283" s="2" t="n">
        <v>100</v>
      </c>
      <c r="BV283" s="2" t="n">
        <v>86</v>
      </c>
      <c r="BW283" s="2" t="n">
        <v>100</v>
      </c>
      <c r="BX283" s="2" t="n">
        <v>100</v>
      </c>
      <c r="BY283" s="2" t="n">
        <v>86</v>
      </c>
      <c r="BZ283" s="2" t="n">
        <v>100</v>
      </c>
      <c r="CA283" s="2" t="n">
        <v>100</v>
      </c>
      <c r="CB283" s="2" t="n">
        <v>86</v>
      </c>
      <c r="CC283" s="2" t="n">
        <v>100</v>
      </c>
      <c r="CD283" s="2" t="n">
        <v>100</v>
      </c>
      <c r="CE283" s="2" t="n">
        <v>86</v>
      </c>
      <c r="CF283" s="2" t="n">
        <v>100</v>
      </c>
      <c r="CG283" s="2" t="n">
        <v>100</v>
      </c>
      <c r="CH283" s="2" t="n">
        <v>86</v>
      </c>
      <c r="CI283" s="2" t="n">
        <v>100</v>
      </c>
      <c r="CJ283" s="2" t="n">
        <v>100</v>
      </c>
      <c r="CK283" s="2" t="n">
        <v>86</v>
      </c>
      <c r="CL283" s="2" t="n">
        <v>100</v>
      </c>
      <c r="CM283" s="2" t="n">
        <v>100</v>
      </c>
      <c r="CN283" s="2" t="n">
        <v>86</v>
      </c>
      <c r="CO283" s="2" t="n">
        <v>100</v>
      </c>
      <c r="CP283" s="2" t="n">
        <v>100</v>
      </c>
      <c r="CQ283" s="2" t="n">
        <v>86</v>
      </c>
      <c r="CR283" s="2" t="n">
        <v>100</v>
      </c>
      <c r="CS283" s="2" t="n">
        <v>100</v>
      </c>
      <c r="CT283" s="2" t="n">
        <v>86</v>
      </c>
      <c r="CU283" s="2" t="n">
        <v>100</v>
      </c>
      <c r="CV283" s="2" t="n">
        <v>100</v>
      </c>
      <c r="CW283" s="2" t="n">
        <v>86</v>
      </c>
      <c r="CX283" s="2" t="n">
        <v>100</v>
      </c>
      <c r="CY283" s="2" t="n">
        <v>100</v>
      </c>
      <c r="CZ283" s="2" t="n">
        <v>86</v>
      </c>
      <c r="DA283" s="2" t="n">
        <v>100</v>
      </c>
      <c r="DB283" s="2" t="n">
        <v>100</v>
      </c>
      <c r="DC283" s="2" t="n">
        <v>86</v>
      </c>
      <c r="DD283" s="2" t="n">
        <v>100</v>
      </c>
      <c r="DE283" s="2" t="n">
        <v>100</v>
      </c>
      <c r="DF283" s="2" t="n">
        <v>86</v>
      </c>
      <c r="DG283" s="2" t="n">
        <v>100</v>
      </c>
      <c r="DH283" s="2" t="n">
        <v>100</v>
      </c>
      <c r="DI283" s="2" t="n">
        <v>86</v>
      </c>
      <c r="DJ283" s="2" t="n">
        <v>100</v>
      </c>
      <c r="DK283" s="2" t="n">
        <v>100</v>
      </c>
      <c r="DL283" s="2" t="n">
        <v>86</v>
      </c>
      <c r="DM283" s="2" t="n">
        <v>100</v>
      </c>
      <c r="DN283" s="2" t="n">
        <v>100</v>
      </c>
      <c r="DO283" s="2" t="n">
        <v>86</v>
      </c>
      <c r="DP283" s="2" t="n">
        <v>100</v>
      </c>
      <c r="DQ283" s="2" t="n">
        <v>100</v>
      </c>
      <c r="DR283" s="2" t="n">
        <v>86</v>
      </c>
      <c r="DS283" s="2" t="n">
        <v>100</v>
      </c>
      <c r="DT283" s="2" t="n">
        <v>100</v>
      </c>
      <c r="DU283" s="2" t="n">
        <v>86</v>
      </c>
      <c r="DV283" s="2" t="n">
        <v>100</v>
      </c>
      <c r="DW283" s="2" t="n">
        <v>100</v>
      </c>
      <c r="DX283" s="2" t="n">
        <v>86</v>
      </c>
      <c r="DY283" s="2" t="n">
        <v>100</v>
      </c>
      <c r="DZ283" s="2" t="n">
        <v>100</v>
      </c>
      <c r="EA283" s="2" t="n">
        <v>86</v>
      </c>
      <c r="EB283" s="2" t="n">
        <v>100</v>
      </c>
      <c r="EC283" s="2" t="n">
        <v>100</v>
      </c>
      <c r="ED283" s="2" t="n">
        <v>86</v>
      </c>
      <c r="EE283" s="2" t="n">
        <v>100</v>
      </c>
      <c r="EF283" s="2" t="n">
        <v>100</v>
      </c>
      <c r="EG283" s="2" t="n">
        <v>86</v>
      </c>
      <c r="EH283" s="2" t="n">
        <v>100</v>
      </c>
      <c r="EI283" s="2" t="n">
        <v>100</v>
      </c>
      <c r="EJ283" s="2" t="n">
        <v>86</v>
      </c>
      <c r="EK283" s="2" t="n">
        <v>100</v>
      </c>
      <c r="EL283" s="2" t="n">
        <v>100</v>
      </c>
      <c r="EM283" s="2" t="n">
        <v>86</v>
      </c>
      <c r="EN283" s="2" t="n">
        <v>100</v>
      </c>
      <c r="EO283" s="2" t="n">
        <v>100</v>
      </c>
      <c r="EP283" s="2" t="n">
        <v>86</v>
      </c>
      <c r="EQ283" s="2" t="n">
        <v>100</v>
      </c>
      <c r="ER283" s="2" t="n">
        <v>100</v>
      </c>
      <c r="ES283" s="2" t="n">
        <v>86</v>
      </c>
    </row>
    <row r="284">
      <c r="A284" s="2" t="n">
        <v>3</v>
      </c>
      <c r="B284" s="2" t="inlineStr">
        <is>
          <t>14.02.03</t>
        </is>
      </c>
      <c r="C284" s="2" t="inlineStr">
        <is>
          <t>Tubo PEAD KNTS - 6M (MAT)</t>
        </is>
      </c>
      <c r="D284" s="2" t="inlineStr">
        <is>
          <t>03/03/2026</t>
        </is>
      </c>
      <c r="E284" s="2" t="inlineStr">
        <is>
          <t>16/10/2026</t>
        </is>
      </c>
      <c r="F284" s="2" t="n">
        <v>70393.8</v>
      </c>
      <c r="G284" s="2" t="n">
        <v>0</v>
      </c>
      <c r="H284" s="2" t="n">
        <v>70393.8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14.87</v>
      </c>
      <c r="AG284" s="2" t="n">
        <v>0</v>
      </c>
      <c r="AH284" s="2" t="n">
        <v>0</v>
      </c>
      <c r="AI284" s="2" t="n">
        <v>16.98</v>
      </c>
      <c r="AJ284" s="2" t="n">
        <v>60.2</v>
      </c>
      <c r="AK284" s="2" t="n">
        <v>47.53</v>
      </c>
      <c r="AL284" s="2" t="n">
        <v>41.31</v>
      </c>
      <c r="AM284" s="2" t="n">
        <v>86</v>
      </c>
      <c r="AN284" s="2" t="n">
        <v>86</v>
      </c>
      <c r="AO284" s="2" t="n">
        <v>86</v>
      </c>
      <c r="AP284" s="2" t="n">
        <v>86</v>
      </c>
      <c r="AQ284" s="2" t="n">
        <v>86</v>
      </c>
      <c r="AR284" s="2" t="n">
        <v>86</v>
      </c>
      <c r="AS284" s="2" t="n">
        <v>86</v>
      </c>
      <c r="AT284" s="2" t="n">
        <v>86</v>
      </c>
      <c r="AU284" s="2" t="n">
        <v>86</v>
      </c>
      <c r="AV284" s="2" t="n">
        <v>86</v>
      </c>
      <c r="AW284" s="2" t="n">
        <v>86</v>
      </c>
      <c r="AX284" s="2" t="n">
        <v>86</v>
      </c>
      <c r="AY284" s="2" t="n">
        <v>86</v>
      </c>
      <c r="AZ284" s="2" t="n">
        <v>86</v>
      </c>
      <c r="BA284" s="2" t="n">
        <v>86</v>
      </c>
      <c r="BB284" s="2" t="n">
        <v>86</v>
      </c>
      <c r="BC284" s="2" t="n">
        <v>94.5</v>
      </c>
      <c r="BD284" s="2" t="n">
        <v>86</v>
      </c>
      <c r="BE284" s="2" t="n">
        <v>100</v>
      </c>
      <c r="BF284" s="2" t="n">
        <v>100</v>
      </c>
      <c r="BG284" s="2" t="n">
        <v>86</v>
      </c>
      <c r="BH284" s="2" t="n">
        <v>100</v>
      </c>
      <c r="BI284" s="2" t="n">
        <v>100</v>
      </c>
      <c r="BJ284" s="2" t="n">
        <v>86</v>
      </c>
      <c r="BK284" s="2" t="n">
        <v>100</v>
      </c>
      <c r="BL284" s="2" t="n">
        <v>100</v>
      </c>
      <c r="BM284" s="2" t="n">
        <v>86</v>
      </c>
      <c r="BN284" s="2" t="n">
        <v>100</v>
      </c>
      <c r="BO284" s="2" t="n">
        <v>100</v>
      </c>
      <c r="BP284" s="2" t="n">
        <v>86</v>
      </c>
      <c r="BQ284" s="2" t="n">
        <v>100</v>
      </c>
      <c r="BR284" s="2" t="n">
        <v>100</v>
      </c>
      <c r="BS284" s="2" t="n">
        <v>86</v>
      </c>
      <c r="BT284" s="2" t="n">
        <v>100</v>
      </c>
      <c r="BU284" s="2" t="n">
        <v>100</v>
      </c>
      <c r="BV284" s="2" t="n">
        <v>86</v>
      </c>
      <c r="BW284" s="2" t="n">
        <v>100</v>
      </c>
      <c r="BX284" s="2" t="n">
        <v>100</v>
      </c>
      <c r="BY284" s="2" t="n">
        <v>86</v>
      </c>
      <c r="BZ284" s="2" t="n">
        <v>100</v>
      </c>
      <c r="CA284" s="2" t="n">
        <v>100</v>
      </c>
      <c r="CB284" s="2" t="n">
        <v>86</v>
      </c>
      <c r="CC284" s="2" t="n">
        <v>100</v>
      </c>
      <c r="CD284" s="2" t="n">
        <v>100</v>
      </c>
      <c r="CE284" s="2" t="n">
        <v>86</v>
      </c>
      <c r="CF284" s="2" t="n">
        <v>100</v>
      </c>
      <c r="CG284" s="2" t="n">
        <v>100</v>
      </c>
      <c r="CH284" s="2" t="n">
        <v>86</v>
      </c>
      <c r="CI284" s="2" t="n">
        <v>100</v>
      </c>
      <c r="CJ284" s="2" t="n">
        <v>100</v>
      </c>
      <c r="CK284" s="2" t="n">
        <v>86</v>
      </c>
      <c r="CL284" s="2" t="n">
        <v>100</v>
      </c>
      <c r="CM284" s="2" t="n">
        <v>100</v>
      </c>
      <c r="CN284" s="2" t="n">
        <v>86</v>
      </c>
      <c r="CO284" s="2" t="n">
        <v>100</v>
      </c>
      <c r="CP284" s="2" t="n">
        <v>100</v>
      </c>
      <c r="CQ284" s="2" t="n">
        <v>86</v>
      </c>
      <c r="CR284" s="2" t="n">
        <v>100</v>
      </c>
      <c r="CS284" s="2" t="n">
        <v>100</v>
      </c>
      <c r="CT284" s="2" t="n">
        <v>86</v>
      </c>
      <c r="CU284" s="2" t="n">
        <v>100</v>
      </c>
      <c r="CV284" s="2" t="n">
        <v>100</v>
      </c>
      <c r="CW284" s="2" t="n">
        <v>86</v>
      </c>
      <c r="CX284" s="2" t="n">
        <v>100</v>
      </c>
      <c r="CY284" s="2" t="n">
        <v>100</v>
      </c>
      <c r="CZ284" s="2" t="n">
        <v>86</v>
      </c>
      <c r="DA284" s="2" t="n">
        <v>100</v>
      </c>
      <c r="DB284" s="2" t="n">
        <v>100</v>
      </c>
      <c r="DC284" s="2" t="n">
        <v>86</v>
      </c>
      <c r="DD284" s="2" t="n">
        <v>100</v>
      </c>
      <c r="DE284" s="2" t="n">
        <v>100</v>
      </c>
      <c r="DF284" s="2" t="n">
        <v>86</v>
      </c>
      <c r="DG284" s="2" t="n">
        <v>100</v>
      </c>
      <c r="DH284" s="2" t="n">
        <v>100</v>
      </c>
      <c r="DI284" s="2" t="n">
        <v>86</v>
      </c>
      <c r="DJ284" s="2" t="n">
        <v>100</v>
      </c>
      <c r="DK284" s="2" t="n">
        <v>100</v>
      </c>
      <c r="DL284" s="2" t="n">
        <v>86</v>
      </c>
      <c r="DM284" s="2" t="n">
        <v>100</v>
      </c>
      <c r="DN284" s="2" t="n">
        <v>100</v>
      </c>
      <c r="DO284" s="2" t="n">
        <v>86</v>
      </c>
      <c r="DP284" s="2" t="n">
        <v>100</v>
      </c>
      <c r="DQ284" s="2" t="n">
        <v>100</v>
      </c>
      <c r="DR284" s="2" t="n">
        <v>86</v>
      </c>
      <c r="DS284" s="2" t="n">
        <v>100</v>
      </c>
      <c r="DT284" s="2" t="n">
        <v>100</v>
      </c>
      <c r="DU284" s="2" t="n">
        <v>86</v>
      </c>
      <c r="DV284" s="2" t="n">
        <v>100</v>
      </c>
      <c r="DW284" s="2" t="n">
        <v>100</v>
      </c>
      <c r="DX284" s="2" t="n">
        <v>86</v>
      </c>
      <c r="DY284" s="2" t="n">
        <v>100</v>
      </c>
      <c r="DZ284" s="2" t="n">
        <v>100</v>
      </c>
      <c r="EA284" s="2" t="n">
        <v>86</v>
      </c>
      <c r="EB284" s="2" t="n">
        <v>100</v>
      </c>
      <c r="EC284" s="2" t="n">
        <v>100</v>
      </c>
      <c r="ED284" s="2" t="n">
        <v>86</v>
      </c>
      <c r="EE284" s="2" t="n">
        <v>100</v>
      </c>
      <c r="EF284" s="2" t="n">
        <v>100</v>
      </c>
      <c r="EG284" s="2" t="n">
        <v>86</v>
      </c>
      <c r="EH284" s="2" t="n">
        <v>100</v>
      </c>
      <c r="EI284" s="2" t="n">
        <v>100</v>
      </c>
      <c r="EJ284" s="2" t="n">
        <v>86</v>
      </c>
      <c r="EK284" s="2" t="n">
        <v>100</v>
      </c>
      <c r="EL284" s="2" t="n">
        <v>100</v>
      </c>
      <c r="EM284" s="2" t="n">
        <v>86</v>
      </c>
      <c r="EN284" s="2" t="n">
        <v>100</v>
      </c>
      <c r="EO284" s="2" t="n">
        <v>100</v>
      </c>
      <c r="EP284" s="2" t="n">
        <v>86</v>
      </c>
      <c r="EQ284" s="2" t="n">
        <v>100</v>
      </c>
      <c r="ER284" s="2" t="n">
        <v>100</v>
      </c>
      <c r="ES284" s="2" t="n">
        <v>86</v>
      </c>
    </row>
    <row r="285">
      <c r="A285" s="2" t="n">
        <v>3</v>
      </c>
      <c r="B285" s="2" t="inlineStr">
        <is>
          <t>14.02.04</t>
        </is>
      </c>
      <c r="C285" s="2" t="inlineStr">
        <is>
          <t>Brita 01</t>
        </is>
      </c>
      <c r="D285" s="2" t="inlineStr">
        <is>
          <t>03/03/2026</t>
        </is>
      </c>
      <c r="E285" s="2" t="inlineStr">
        <is>
          <t>16/10/2026</t>
        </is>
      </c>
      <c r="F285" s="2" t="n">
        <v>9438.364</v>
      </c>
      <c r="G285" s="2" t="n">
        <v>0</v>
      </c>
      <c r="H285" s="2" t="n">
        <v>9438.364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14.87</v>
      </c>
      <c r="AG285" s="2" t="n">
        <v>0</v>
      </c>
      <c r="AH285" s="2" t="n">
        <v>0</v>
      </c>
      <c r="AI285" s="2" t="n">
        <v>16.98</v>
      </c>
      <c r="AJ285" s="2" t="n">
        <v>60.2</v>
      </c>
      <c r="AK285" s="2" t="n">
        <v>47.53</v>
      </c>
      <c r="AL285" s="2" t="n">
        <v>41.31</v>
      </c>
      <c r="AM285" s="2" t="n">
        <v>86</v>
      </c>
      <c r="AN285" s="2" t="n">
        <v>86</v>
      </c>
      <c r="AO285" s="2" t="n">
        <v>86</v>
      </c>
      <c r="AP285" s="2" t="n">
        <v>86</v>
      </c>
      <c r="AQ285" s="2" t="n">
        <v>86</v>
      </c>
      <c r="AR285" s="2" t="n">
        <v>86</v>
      </c>
      <c r="AS285" s="2" t="n">
        <v>86</v>
      </c>
      <c r="AT285" s="2" t="n">
        <v>86</v>
      </c>
      <c r="AU285" s="2" t="n">
        <v>86</v>
      </c>
      <c r="AV285" s="2" t="n">
        <v>86</v>
      </c>
      <c r="AW285" s="2" t="n">
        <v>86</v>
      </c>
      <c r="AX285" s="2" t="n">
        <v>86</v>
      </c>
      <c r="AY285" s="2" t="n">
        <v>86</v>
      </c>
      <c r="AZ285" s="2" t="n">
        <v>86</v>
      </c>
      <c r="BA285" s="2" t="n">
        <v>86</v>
      </c>
      <c r="BB285" s="2" t="n">
        <v>86</v>
      </c>
      <c r="BC285" s="2" t="n">
        <v>94.5</v>
      </c>
      <c r="BD285" s="2" t="n">
        <v>86</v>
      </c>
      <c r="BE285" s="2" t="n">
        <v>100</v>
      </c>
      <c r="BF285" s="2" t="n">
        <v>100</v>
      </c>
      <c r="BG285" s="2" t="n">
        <v>86</v>
      </c>
      <c r="BH285" s="2" t="n">
        <v>100</v>
      </c>
      <c r="BI285" s="2" t="n">
        <v>100</v>
      </c>
      <c r="BJ285" s="2" t="n">
        <v>86</v>
      </c>
      <c r="BK285" s="2" t="n">
        <v>100</v>
      </c>
      <c r="BL285" s="2" t="n">
        <v>100</v>
      </c>
      <c r="BM285" s="2" t="n">
        <v>86</v>
      </c>
      <c r="BN285" s="2" t="n">
        <v>100</v>
      </c>
      <c r="BO285" s="2" t="n">
        <v>100</v>
      </c>
      <c r="BP285" s="2" t="n">
        <v>86</v>
      </c>
      <c r="BQ285" s="2" t="n">
        <v>100</v>
      </c>
      <c r="BR285" s="2" t="n">
        <v>100</v>
      </c>
      <c r="BS285" s="2" t="n">
        <v>86</v>
      </c>
      <c r="BT285" s="2" t="n">
        <v>100</v>
      </c>
      <c r="BU285" s="2" t="n">
        <v>100</v>
      </c>
      <c r="BV285" s="2" t="n">
        <v>86</v>
      </c>
      <c r="BW285" s="2" t="n">
        <v>100</v>
      </c>
      <c r="BX285" s="2" t="n">
        <v>100</v>
      </c>
      <c r="BY285" s="2" t="n">
        <v>86</v>
      </c>
      <c r="BZ285" s="2" t="n">
        <v>100</v>
      </c>
      <c r="CA285" s="2" t="n">
        <v>100</v>
      </c>
      <c r="CB285" s="2" t="n">
        <v>86</v>
      </c>
      <c r="CC285" s="2" t="n">
        <v>100</v>
      </c>
      <c r="CD285" s="2" t="n">
        <v>100</v>
      </c>
      <c r="CE285" s="2" t="n">
        <v>86</v>
      </c>
      <c r="CF285" s="2" t="n">
        <v>100</v>
      </c>
      <c r="CG285" s="2" t="n">
        <v>100</v>
      </c>
      <c r="CH285" s="2" t="n">
        <v>86</v>
      </c>
      <c r="CI285" s="2" t="n">
        <v>100</v>
      </c>
      <c r="CJ285" s="2" t="n">
        <v>100</v>
      </c>
      <c r="CK285" s="2" t="n">
        <v>86</v>
      </c>
      <c r="CL285" s="2" t="n">
        <v>100</v>
      </c>
      <c r="CM285" s="2" t="n">
        <v>100</v>
      </c>
      <c r="CN285" s="2" t="n">
        <v>86</v>
      </c>
      <c r="CO285" s="2" t="n">
        <v>100</v>
      </c>
      <c r="CP285" s="2" t="n">
        <v>100</v>
      </c>
      <c r="CQ285" s="2" t="n">
        <v>86</v>
      </c>
      <c r="CR285" s="2" t="n">
        <v>100</v>
      </c>
      <c r="CS285" s="2" t="n">
        <v>100</v>
      </c>
      <c r="CT285" s="2" t="n">
        <v>86</v>
      </c>
      <c r="CU285" s="2" t="n">
        <v>100</v>
      </c>
      <c r="CV285" s="2" t="n">
        <v>100</v>
      </c>
      <c r="CW285" s="2" t="n">
        <v>86</v>
      </c>
      <c r="CX285" s="2" t="n">
        <v>100</v>
      </c>
      <c r="CY285" s="2" t="n">
        <v>100</v>
      </c>
      <c r="CZ285" s="2" t="n">
        <v>86</v>
      </c>
      <c r="DA285" s="2" t="n">
        <v>100</v>
      </c>
      <c r="DB285" s="2" t="n">
        <v>100</v>
      </c>
      <c r="DC285" s="2" t="n">
        <v>86</v>
      </c>
      <c r="DD285" s="2" t="n">
        <v>100</v>
      </c>
      <c r="DE285" s="2" t="n">
        <v>100</v>
      </c>
      <c r="DF285" s="2" t="n">
        <v>86</v>
      </c>
      <c r="DG285" s="2" t="n">
        <v>100</v>
      </c>
      <c r="DH285" s="2" t="n">
        <v>100</v>
      </c>
      <c r="DI285" s="2" t="n">
        <v>86</v>
      </c>
      <c r="DJ285" s="2" t="n">
        <v>100</v>
      </c>
      <c r="DK285" s="2" t="n">
        <v>100</v>
      </c>
      <c r="DL285" s="2" t="n">
        <v>86</v>
      </c>
      <c r="DM285" s="2" t="n">
        <v>100</v>
      </c>
      <c r="DN285" s="2" t="n">
        <v>100</v>
      </c>
      <c r="DO285" s="2" t="n">
        <v>86</v>
      </c>
      <c r="DP285" s="2" t="n">
        <v>100</v>
      </c>
      <c r="DQ285" s="2" t="n">
        <v>100</v>
      </c>
      <c r="DR285" s="2" t="n">
        <v>86</v>
      </c>
      <c r="DS285" s="2" t="n">
        <v>100</v>
      </c>
      <c r="DT285" s="2" t="n">
        <v>100</v>
      </c>
      <c r="DU285" s="2" t="n">
        <v>86</v>
      </c>
      <c r="DV285" s="2" t="n">
        <v>100</v>
      </c>
      <c r="DW285" s="2" t="n">
        <v>100</v>
      </c>
      <c r="DX285" s="2" t="n">
        <v>86</v>
      </c>
      <c r="DY285" s="2" t="n">
        <v>100</v>
      </c>
      <c r="DZ285" s="2" t="n">
        <v>100</v>
      </c>
      <c r="EA285" s="2" t="n">
        <v>86</v>
      </c>
      <c r="EB285" s="2" t="n">
        <v>100</v>
      </c>
      <c r="EC285" s="2" t="n">
        <v>100</v>
      </c>
      <c r="ED285" s="2" t="n">
        <v>86</v>
      </c>
      <c r="EE285" s="2" t="n">
        <v>100</v>
      </c>
      <c r="EF285" s="2" t="n">
        <v>100</v>
      </c>
      <c r="EG285" s="2" t="n">
        <v>86</v>
      </c>
      <c r="EH285" s="2" t="n">
        <v>100</v>
      </c>
      <c r="EI285" s="2" t="n">
        <v>100</v>
      </c>
      <c r="EJ285" s="2" t="n">
        <v>86</v>
      </c>
      <c r="EK285" s="2" t="n">
        <v>100</v>
      </c>
      <c r="EL285" s="2" t="n">
        <v>100</v>
      </c>
      <c r="EM285" s="2" t="n">
        <v>86</v>
      </c>
      <c r="EN285" s="2" t="n">
        <v>100</v>
      </c>
      <c r="EO285" s="2" t="n">
        <v>100</v>
      </c>
      <c r="EP285" s="2" t="n">
        <v>86</v>
      </c>
      <c r="EQ285" s="2" t="n">
        <v>100</v>
      </c>
      <c r="ER285" s="2" t="n">
        <v>100</v>
      </c>
      <c r="ES285" s="2" t="n">
        <v>86</v>
      </c>
    </row>
    <row r="286">
      <c r="A286" s="2" t="n">
        <v>1</v>
      </c>
      <c r="B286" s="2" t="inlineStr">
        <is>
          <t>15</t>
        </is>
      </c>
      <c r="C286" s="2" t="inlineStr">
        <is>
          <t>FUNDAÇÃO PROFUNDA</t>
        </is>
      </c>
      <c r="D286" s="2" t="inlineStr">
        <is>
          <t>13/10/2025</t>
        </is>
      </c>
      <c r="E286" s="2" t="inlineStr">
        <is>
          <t>03/03/2026</t>
        </is>
      </c>
      <c r="F286" s="2" t="n">
        <v>6226579.21786988</v>
      </c>
      <c r="G286" s="2" t="n">
        <v>0</v>
      </c>
      <c r="H286" s="2" t="n">
        <v>6226579.21786988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17.44</v>
      </c>
      <c r="V286" s="2" t="n">
        <v>17.44</v>
      </c>
      <c r="W286" s="2" t="n">
        <v>21.06</v>
      </c>
      <c r="X286" s="2" t="n">
        <v>39.53</v>
      </c>
      <c r="Y286" s="2" t="n">
        <v>39.53</v>
      </c>
      <c r="Z286" s="2" t="n">
        <v>46.99</v>
      </c>
      <c r="AA286" s="2" t="n">
        <v>55.81</v>
      </c>
      <c r="AB286" s="2" t="n">
        <v>55.81</v>
      </c>
      <c r="AC286" s="2" t="n">
        <v>62.54</v>
      </c>
      <c r="AD286" s="2" t="n">
        <v>79.06999999999999</v>
      </c>
      <c r="AE286" s="2" t="n">
        <v>79.06999999999999</v>
      </c>
      <c r="AF286" s="2" t="n">
        <v>80.98</v>
      </c>
      <c r="AG286" s="2" t="n">
        <v>100</v>
      </c>
      <c r="AH286" s="2" t="n">
        <v>99.53</v>
      </c>
      <c r="AI286" s="2" t="n">
        <v>94.31</v>
      </c>
      <c r="AJ286" s="2" t="n">
        <v>100</v>
      </c>
      <c r="AK286" s="2" t="n">
        <v>100</v>
      </c>
      <c r="AL286" s="2" t="n">
        <v>99.53</v>
      </c>
      <c r="AM286" s="2" t="n">
        <v>100</v>
      </c>
      <c r="AN286" s="2" t="n">
        <v>100</v>
      </c>
      <c r="AO286" s="2" t="n">
        <v>99.53</v>
      </c>
      <c r="AP286" s="2" t="n">
        <v>100</v>
      </c>
      <c r="AQ286" s="2" t="n">
        <v>100</v>
      </c>
      <c r="AR286" s="2" t="n">
        <v>99.53</v>
      </c>
      <c r="AS286" s="2" t="n">
        <v>100</v>
      </c>
      <c r="AT286" s="2" t="n">
        <v>100</v>
      </c>
      <c r="AU286" s="2" t="n">
        <v>99.53</v>
      </c>
      <c r="AV286" s="2" t="n">
        <v>100</v>
      </c>
      <c r="AW286" s="2" t="n">
        <v>100</v>
      </c>
      <c r="AX286" s="2" t="n">
        <v>99.53</v>
      </c>
      <c r="AY286" s="2" t="n">
        <v>100</v>
      </c>
      <c r="AZ286" s="2" t="n">
        <v>100</v>
      </c>
      <c r="BA286" s="2" t="n">
        <v>99.53</v>
      </c>
      <c r="BB286" s="2" t="n">
        <v>100</v>
      </c>
      <c r="BC286" s="2" t="n">
        <v>100</v>
      </c>
      <c r="BD286" s="2" t="n">
        <v>99.53</v>
      </c>
      <c r="BE286" s="2" t="n">
        <v>100</v>
      </c>
      <c r="BF286" s="2" t="n">
        <v>100</v>
      </c>
      <c r="BG286" s="2" t="n">
        <v>99.53</v>
      </c>
      <c r="BH286" s="2" t="n">
        <v>100</v>
      </c>
      <c r="BI286" s="2" t="n">
        <v>100</v>
      </c>
      <c r="BJ286" s="2" t="n">
        <v>99.53</v>
      </c>
      <c r="BK286" s="2" t="n">
        <v>100</v>
      </c>
      <c r="BL286" s="2" t="n">
        <v>100</v>
      </c>
      <c r="BM286" s="2" t="n">
        <v>99.53</v>
      </c>
      <c r="BN286" s="2" t="n">
        <v>100</v>
      </c>
      <c r="BO286" s="2" t="n">
        <v>100</v>
      </c>
      <c r="BP286" s="2" t="n">
        <v>99.53</v>
      </c>
      <c r="BQ286" s="2" t="n">
        <v>100</v>
      </c>
      <c r="BR286" s="2" t="n">
        <v>100</v>
      </c>
      <c r="BS286" s="2" t="n">
        <v>99.53</v>
      </c>
      <c r="BT286" s="2" t="n">
        <v>100</v>
      </c>
      <c r="BU286" s="2" t="n">
        <v>100</v>
      </c>
      <c r="BV286" s="2" t="n">
        <v>99.53</v>
      </c>
      <c r="BW286" s="2" t="n">
        <v>100</v>
      </c>
      <c r="BX286" s="2" t="n">
        <v>100</v>
      </c>
      <c r="BY286" s="2" t="n">
        <v>99.53</v>
      </c>
      <c r="BZ286" s="2" t="n">
        <v>100</v>
      </c>
      <c r="CA286" s="2" t="n">
        <v>100</v>
      </c>
      <c r="CB286" s="2" t="n">
        <v>99.53</v>
      </c>
      <c r="CC286" s="2" t="n">
        <v>100</v>
      </c>
      <c r="CD286" s="2" t="n">
        <v>100</v>
      </c>
      <c r="CE286" s="2" t="n">
        <v>99.53</v>
      </c>
      <c r="CF286" s="2" t="n">
        <v>100</v>
      </c>
      <c r="CG286" s="2" t="n">
        <v>100</v>
      </c>
      <c r="CH286" s="2" t="n">
        <v>99.53</v>
      </c>
      <c r="CI286" s="2" t="n">
        <v>100</v>
      </c>
      <c r="CJ286" s="2" t="n">
        <v>100</v>
      </c>
      <c r="CK286" s="2" t="n">
        <v>99.53</v>
      </c>
      <c r="CL286" s="2" t="n">
        <v>100</v>
      </c>
      <c r="CM286" s="2" t="n">
        <v>100</v>
      </c>
      <c r="CN286" s="2" t="n">
        <v>99.53</v>
      </c>
      <c r="CO286" s="2" t="n">
        <v>100</v>
      </c>
      <c r="CP286" s="2" t="n">
        <v>100</v>
      </c>
      <c r="CQ286" s="2" t="n">
        <v>99.53</v>
      </c>
      <c r="CR286" s="2" t="n">
        <v>100</v>
      </c>
      <c r="CS286" s="2" t="n">
        <v>100</v>
      </c>
      <c r="CT286" s="2" t="n">
        <v>99.53</v>
      </c>
      <c r="CU286" s="2" t="n">
        <v>100</v>
      </c>
      <c r="CV286" s="2" t="n">
        <v>100</v>
      </c>
      <c r="CW286" s="2" t="n">
        <v>99.53</v>
      </c>
      <c r="CX286" s="2" t="n">
        <v>100</v>
      </c>
      <c r="CY286" s="2" t="n">
        <v>100</v>
      </c>
      <c r="CZ286" s="2" t="n">
        <v>99.53</v>
      </c>
      <c r="DA286" s="2" t="n">
        <v>100</v>
      </c>
      <c r="DB286" s="2" t="n">
        <v>100</v>
      </c>
      <c r="DC286" s="2" t="n">
        <v>99.53</v>
      </c>
      <c r="DD286" s="2" t="n">
        <v>100</v>
      </c>
      <c r="DE286" s="2" t="n">
        <v>100</v>
      </c>
      <c r="DF286" s="2" t="n">
        <v>99.53</v>
      </c>
      <c r="DG286" s="2" t="n">
        <v>100</v>
      </c>
      <c r="DH286" s="2" t="n">
        <v>100</v>
      </c>
      <c r="DI286" s="2" t="n">
        <v>99.53</v>
      </c>
      <c r="DJ286" s="2" t="n">
        <v>100</v>
      </c>
      <c r="DK286" s="2" t="n">
        <v>100</v>
      </c>
      <c r="DL286" s="2" t="n">
        <v>99.53</v>
      </c>
      <c r="DM286" s="2" t="n">
        <v>100</v>
      </c>
      <c r="DN286" s="2" t="n">
        <v>100</v>
      </c>
      <c r="DO286" s="2" t="n">
        <v>99.53</v>
      </c>
      <c r="DP286" s="2" t="n">
        <v>100</v>
      </c>
      <c r="DQ286" s="2" t="n">
        <v>100</v>
      </c>
      <c r="DR286" s="2" t="n">
        <v>99.53</v>
      </c>
      <c r="DS286" s="2" t="n">
        <v>100</v>
      </c>
      <c r="DT286" s="2" t="n">
        <v>100</v>
      </c>
      <c r="DU286" s="2" t="n">
        <v>99.53</v>
      </c>
      <c r="DV286" s="2" t="n">
        <v>100</v>
      </c>
      <c r="DW286" s="2" t="n">
        <v>100</v>
      </c>
      <c r="DX286" s="2" t="n">
        <v>99.53</v>
      </c>
      <c r="DY286" s="2" t="n">
        <v>100</v>
      </c>
      <c r="DZ286" s="2" t="n">
        <v>100</v>
      </c>
      <c r="EA286" s="2" t="n">
        <v>99.53</v>
      </c>
      <c r="EB286" s="2" t="n">
        <v>100</v>
      </c>
      <c r="EC286" s="2" t="n">
        <v>100</v>
      </c>
      <c r="ED286" s="2" t="n">
        <v>99.53</v>
      </c>
      <c r="EE286" s="2" t="n">
        <v>100</v>
      </c>
      <c r="EF286" s="2" t="n">
        <v>100</v>
      </c>
      <c r="EG286" s="2" t="n">
        <v>99.53</v>
      </c>
      <c r="EH286" s="2" t="n">
        <v>100</v>
      </c>
      <c r="EI286" s="2" t="n">
        <v>100</v>
      </c>
      <c r="EJ286" s="2" t="n">
        <v>99.53</v>
      </c>
      <c r="EK286" s="2" t="n">
        <v>100</v>
      </c>
      <c r="EL286" s="2" t="n">
        <v>100</v>
      </c>
      <c r="EM286" s="2" t="n">
        <v>99.53</v>
      </c>
      <c r="EN286" s="2" t="n">
        <v>100</v>
      </c>
      <c r="EO286" s="2" t="n">
        <v>100</v>
      </c>
      <c r="EP286" s="2" t="n">
        <v>99.53</v>
      </c>
      <c r="EQ286" s="2" t="n">
        <v>100</v>
      </c>
      <c r="ER286" s="2" t="n">
        <v>100</v>
      </c>
      <c r="ES286" s="2" t="n">
        <v>99.53</v>
      </c>
    </row>
    <row r="287">
      <c r="A287" s="2" t="n">
        <v>2</v>
      </c>
      <c r="B287" s="2" t="inlineStr">
        <is>
          <t>15.01</t>
        </is>
      </c>
      <c r="C287" s="2" t="inlineStr">
        <is>
          <t>Estacas Escavadas - Estacas escavadas de grande diâmetro</t>
        </is>
      </c>
      <c r="D287" s="2" t="inlineStr">
        <is>
          <t>13/10/2025</t>
        </is>
      </c>
      <c r="E287" s="2" t="inlineStr">
        <is>
          <t>03/03/2026</t>
        </is>
      </c>
      <c r="F287" s="2" t="n">
        <v>125000</v>
      </c>
      <c r="G287" s="2" t="n">
        <v>0</v>
      </c>
      <c r="H287" s="2" t="n">
        <v>125000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17.44</v>
      </c>
      <c r="V287" s="2" t="n">
        <v>17.44</v>
      </c>
      <c r="W287" s="2" t="n">
        <v>21.06</v>
      </c>
      <c r="X287" s="2" t="n">
        <v>39.53</v>
      </c>
      <c r="Y287" s="2" t="n">
        <v>39.53</v>
      </c>
      <c r="Z287" s="2" t="n">
        <v>46.99</v>
      </c>
      <c r="AA287" s="2" t="n">
        <v>55.81</v>
      </c>
      <c r="AB287" s="2" t="n">
        <v>55.81</v>
      </c>
      <c r="AC287" s="2" t="n">
        <v>62.54</v>
      </c>
      <c r="AD287" s="2" t="n">
        <v>79.06999999999999</v>
      </c>
      <c r="AE287" s="2" t="n">
        <v>79.06999999999999</v>
      </c>
      <c r="AF287" s="2" t="n">
        <v>80.98</v>
      </c>
      <c r="AG287" s="2" t="n">
        <v>100</v>
      </c>
      <c r="AH287" s="2" t="n">
        <v>99.53</v>
      </c>
      <c r="AI287" s="2" t="n">
        <v>94.31</v>
      </c>
      <c r="AJ287" s="2" t="n">
        <v>100</v>
      </c>
      <c r="AK287" s="2" t="n">
        <v>100</v>
      </c>
      <c r="AL287" s="2" t="n">
        <v>99.53</v>
      </c>
      <c r="AM287" s="2" t="n">
        <v>100</v>
      </c>
      <c r="AN287" s="2" t="n">
        <v>100</v>
      </c>
      <c r="AO287" s="2" t="n">
        <v>99.53</v>
      </c>
      <c r="AP287" s="2" t="n">
        <v>100</v>
      </c>
      <c r="AQ287" s="2" t="n">
        <v>100</v>
      </c>
      <c r="AR287" s="2" t="n">
        <v>99.53</v>
      </c>
      <c r="AS287" s="2" t="n">
        <v>100</v>
      </c>
      <c r="AT287" s="2" t="n">
        <v>100</v>
      </c>
      <c r="AU287" s="2" t="n">
        <v>99.53</v>
      </c>
      <c r="AV287" s="2" t="n">
        <v>100</v>
      </c>
      <c r="AW287" s="2" t="n">
        <v>100</v>
      </c>
      <c r="AX287" s="2" t="n">
        <v>99.53</v>
      </c>
      <c r="AY287" s="2" t="n">
        <v>100</v>
      </c>
      <c r="AZ287" s="2" t="n">
        <v>100</v>
      </c>
      <c r="BA287" s="2" t="n">
        <v>99.53</v>
      </c>
      <c r="BB287" s="2" t="n">
        <v>100</v>
      </c>
      <c r="BC287" s="2" t="n">
        <v>100</v>
      </c>
      <c r="BD287" s="2" t="n">
        <v>99.53</v>
      </c>
      <c r="BE287" s="2" t="n">
        <v>100</v>
      </c>
      <c r="BF287" s="2" t="n">
        <v>100</v>
      </c>
      <c r="BG287" s="2" t="n">
        <v>99.53</v>
      </c>
      <c r="BH287" s="2" t="n">
        <v>100</v>
      </c>
      <c r="BI287" s="2" t="n">
        <v>100</v>
      </c>
      <c r="BJ287" s="2" t="n">
        <v>99.53</v>
      </c>
      <c r="BK287" s="2" t="n">
        <v>100</v>
      </c>
      <c r="BL287" s="2" t="n">
        <v>100</v>
      </c>
      <c r="BM287" s="2" t="n">
        <v>99.53</v>
      </c>
      <c r="BN287" s="2" t="n">
        <v>100</v>
      </c>
      <c r="BO287" s="2" t="n">
        <v>100</v>
      </c>
      <c r="BP287" s="2" t="n">
        <v>99.53</v>
      </c>
      <c r="BQ287" s="2" t="n">
        <v>100</v>
      </c>
      <c r="BR287" s="2" t="n">
        <v>100</v>
      </c>
      <c r="BS287" s="2" t="n">
        <v>99.53</v>
      </c>
      <c r="BT287" s="2" t="n">
        <v>100</v>
      </c>
      <c r="BU287" s="2" t="n">
        <v>100</v>
      </c>
      <c r="BV287" s="2" t="n">
        <v>99.53</v>
      </c>
      <c r="BW287" s="2" t="n">
        <v>100</v>
      </c>
      <c r="BX287" s="2" t="n">
        <v>100</v>
      </c>
      <c r="BY287" s="2" t="n">
        <v>99.53</v>
      </c>
      <c r="BZ287" s="2" t="n">
        <v>100</v>
      </c>
      <c r="CA287" s="2" t="n">
        <v>100</v>
      </c>
      <c r="CB287" s="2" t="n">
        <v>99.53</v>
      </c>
      <c r="CC287" s="2" t="n">
        <v>100</v>
      </c>
      <c r="CD287" s="2" t="n">
        <v>100</v>
      </c>
      <c r="CE287" s="2" t="n">
        <v>99.53</v>
      </c>
      <c r="CF287" s="2" t="n">
        <v>100</v>
      </c>
      <c r="CG287" s="2" t="n">
        <v>100</v>
      </c>
      <c r="CH287" s="2" t="n">
        <v>99.53</v>
      </c>
      <c r="CI287" s="2" t="n">
        <v>100</v>
      </c>
      <c r="CJ287" s="2" t="n">
        <v>100</v>
      </c>
      <c r="CK287" s="2" t="n">
        <v>99.53</v>
      </c>
      <c r="CL287" s="2" t="n">
        <v>100</v>
      </c>
      <c r="CM287" s="2" t="n">
        <v>100</v>
      </c>
      <c r="CN287" s="2" t="n">
        <v>99.53</v>
      </c>
      <c r="CO287" s="2" t="n">
        <v>100</v>
      </c>
      <c r="CP287" s="2" t="n">
        <v>100</v>
      </c>
      <c r="CQ287" s="2" t="n">
        <v>99.53</v>
      </c>
      <c r="CR287" s="2" t="n">
        <v>100</v>
      </c>
      <c r="CS287" s="2" t="n">
        <v>100</v>
      </c>
      <c r="CT287" s="2" t="n">
        <v>99.53</v>
      </c>
      <c r="CU287" s="2" t="n">
        <v>100</v>
      </c>
      <c r="CV287" s="2" t="n">
        <v>100</v>
      </c>
      <c r="CW287" s="2" t="n">
        <v>99.53</v>
      </c>
      <c r="CX287" s="2" t="n">
        <v>100</v>
      </c>
      <c r="CY287" s="2" t="n">
        <v>100</v>
      </c>
      <c r="CZ287" s="2" t="n">
        <v>99.53</v>
      </c>
      <c r="DA287" s="2" t="n">
        <v>100</v>
      </c>
      <c r="DB287" s="2" t="n">
        <v>100</v>
      </c>
      <c r="DC287" s="2" t="n">
        <v>99.53</v>
      </c>
      <c r="DD287" s="2" t="n">
        <v>100</v>
      </c>
      <c r="DE287" s="2" t="n">
        <v>100</v>
      </c>
      <c r="DF287" s="2" t="n">
        <v>99.53</v>
      </c>
      <c r="DG287" s="2" t="n">
        <v>100</v>
      </c>
      <c r="DH287" s="2" t="n">
        <v>100</v>
      </c>
      <c r="DI287" s="2" t="n">
        <v>99.53</v>
      </c>
      <c r="DJ287" s="2" t="n">
        <v>100</v>
      </c>
      <c r="DK287" s="2" t="n">
        <v>100</v>
      </c>
      <c r="DL287" s="2" t="n">
        <v>99.53</v>
      </c>
      <c r="DM287" s="2" t="n">
        <v>100</v>
      </c>
      <c r="DN287" s="2" t="n">
        <v>100</v>
      </c>
      <c r="DO287" s="2" t="n">
        <v>99.53</v>
      </c>
      <c r="DP287" s="2" t="n">
        <v>100</v>
      </c>
      <c r="DQ287" s="2" t="n">
        <v>100</v>
      </c>
      <c r="DR287" s="2" t="n">
        <v>99.53</v>
      </c>
      <c r="DS287" s="2" t="n">
        <v>100</v>
      </c>
      <c r="DT287" s="2" t="n">
        <v>100</v>
      </c>
      <c r="DU287" s="2" t="n">
        <v>99.53</v>
      </c>
      <c r="DV287" s="2" t="n">
        <v>100</v>
      </c>
      <c r="DW287" s="2" t="n">
        <v>100</v>
      </c>
      <c r="DX287" s="2" t="n">
        <v>99.53</v>
      </c>
      <c r="DY287" s="2" t="n">
        <v>100</v>
      </c>
      <c r="DZ287" s="2" t="n">
        <v>100</v>
      </c>
      <c r="EA287" s="2" t="n">
        <v>99.53</v>
      </c>
      <c r="EB287" s="2" t="n">
        <v>100</v>
      </c>
      <c r="EC287" s="2" t="n">
        <v>100</v>
      </c>
      <c r="ED287" s="2" t="n">
        <v>99.53</v>
      </c>
      <c r="EE287" s="2" t="n">
        <v>100</v>
      </c>
      <c r="EF287" s="2" t="n">
        <v>100</v>
      </c>
      <c r="EG287" s="2" t="n">
        <v>99.53</v>
      </c>
      <c r="EH287" s="2" t="n">
        <v>100</v>
      </c>
      <c r="EI287" s="2" t="n">
        <v>100</v>
      </c>
      <c r="EJ287" s="2" t="n">
        <v>99.53</v>
      </c>
      <c r="EK287" s="2" t="n">
        <v>100</v>
      </c>
      <c r="EL287" s="2" t="n">
        <v>100</v>
      </c>
      <c r="EM287" s="2" t="n">
        <v>99.53</v>
      </c>
      <c r="EN287" s="2" t="n">
        <v>100</v>
      </c>
      <c r="EO287" s="2" t="n">
        <v>100</v>
      </c>
      <c r="EP287" s="2" t="n">
        <v>99.53</v>
      </c>
      <c r="EQ287" s="2" t="n">
        <v>100</v>
      </c>
      <c r="ER287" s="2" t="n">
        <v>100</v>
      </c>
      <c r="ES287" s="2" t="n">
        <v>99.53</v>
      </c>
    </row>
    <row r="288">
      <c r="A288" s="2" t="n">
        <v>3</v>
      </c>
      <c r="B288" s="2" t="inlineStr">
        <is>
          <t>15.01.01</t>
        </is>
      </c>
      <c r="C288" s="2" t="inlineStr">
        <is>
          <t>Taxa de mobilização do empreiteiro</t>
        </is>
      </c>
      <c r="D288" s="2" t="inlineStr">
        <is>
          <t>13/10/2025</t>
        </is>
      </c>
      <c r="E288" s="2" t="inlineStr">
        <is>
          <t>03/03/2026</t>
        </is>
      </c>
      <c r="F288" s="2" t="n">
        <v>125000</v>
      </c>
      <c r="G288" s="2" t="n">
        <v>0</v>
      </c>
      <c r="H288" s="2" t="n">
        <v>125000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17.44</v>
      </c>
      <c r="V288" s="2" t="n">
        <v>17.44</v>
      </c>
      <c r="W288" s="2" t="n">
        <v>21.06</v>
      </c>
      <c r="X288" s="2" t="n">
        <v>39.53</v>
      </c>
      <c r="Y288" s="2" t="n">
        <v>39.53</v>
      </c>
      <c r="Z288" s="2" t="n">
        <v>46.99</v>
      </c>
      <c r="AA288" s="2" t="n">
        <v>55.81</v>
      </c>
      <c r="AB288" s="2" t="n">
        <v>55.81</v>
      </c>
      <c r="AC288" s="2" t="n">
        <v>62.54</v>
      </c>
      <c r="AD288" s="2" t="n">
        <v>79.06999999999999</v>
      </c>
      <c r="AE288" s="2" t="n">
        <v>79.06999999999999</v>
      </c>
      <c r="AF288" s="2" t="n">
        <v>80.98</v>
      </c>
      <c r="AG288" s="2" t="n">
        <v>100</v>
      </c>
      <c r="AH288" s="2" t="n">
        <v>99.53</v>
      </c>
      <c r="AI288" s="2" t="n">
        <v>94.31</v>
      </c>
      <c r="AJ288" s="2" t="n">
        <v>100</v>
      </c>
      <c r="AK288" s="2" t="n">
        <v>100</v>
      </c>
      <c r="AL288" s="2" t="n">
        <v>99.53</v>
      </c>
      <c r="AM288" s="2" t="n">
        <v>100</v>
      </c>
      <c r="AN288" s="2" t="n">
        <v>100</v>
      </c>
      <c r="AO288" s="2" t="n">
        <v>99.53</v>
      </c>
      <c r="AP288" s="2" t="n">
        <v>100</v>
      </c>
      <c r="AQ288" s="2" t="n">
        <v>100</v>
      </c>
      <c r="AR288" s="2" t="n">
        <v>99.53</v>
      </c>
      <c r="AS288" s="2" t="n">
        <v>100</v>
      </c>
      <c r="AT288" s="2" t="n">
        <v>100</v>
      </c>
      <c r="AU288" s="2" t="n">
        <v>99.53</v>
      </c>
      <c r="AV288" s="2" t="n">
        <v>100</v>
      </c>
      <c r="AW288" s="2" t="n">
        <v>100</v>
      </c>
      <c r="AX288" s="2" t="n">
        <v>99.53</v>
      </c>
      <c r="AY288" s="2" t="n">
        <v>100</v>
      </c>
      <c r="AZ288" s="2" t="n">
        <v>100</v>
      </c>
      <c r="BA288" s="2" t="n">
        <v>99.53</v>
      </c>
      <c r="BB288" s="2" t="n">
        <v>100</v>
      </c>
      <c r="BC288" s="2" t="n">
        <v>100</v>
      </c>
      <c r="BD288" s="2" t="n">
        <v>99.53</v>
      </c>
      <c r="BE288" s="2" t="n">
        <v>100</v>
      </c>
      <c r="BF288" s="2" t="n">
        <v>100</v>
      </c>
      <c r="BG288" s="2" t="n">
        <v>99.53</v>
      </c>
      <c r="BH288" s="2" t="n">
        <v>100</v>
      </c>
      <c r="BI288" s="2" t="n">
        <v>100</v>
      </c>
      <c r="BJ288" s="2" t="n">
        <v>99.53</v>
      </c>
      <c r="BK288" s="2" t="n">
        <v>100</v>
      </c>
      <c r="BL288" s="2" t="n">
        <v>100</v>
      </c>
      <c r="BM288" s="2" t="n">
        <v>99.53</v>
      </c>
      <c r="BN288" s="2" t="n">
        <v>100</v>
      </c>
      <c r="BO288" s="2" t="n">
        <v>100</v>
      </c>
      <c r="BP288" s="2" t="n">
        <v>99.53</v>
      </c>
      <c r="BQ288" s="2" t="n">
        <v>100</v>
      </c>
      <c r="BR288" s="2" t="n">
        <v>100</v>
      </c>
      <c r="BS288" s="2" t="n">
        <v>99.53</v>
      </c>
      <c r="BT288" s="2" t="n">
        <v>100</v>
      </c>
      <c r="BU288" s="2" t="n">
        <v>100</v>
      </c>
      <c r="BV288" s="2" t="n">
        <v>99.53</v>
      </c>
      <c r="BW288" s="2" t="n">
        <v>100</v>
      </c>
      <c r="BX288" s="2" t="n">
        <v>100</v>
      </c>
      <c r="BY288" s="2" t="n">
        <v>99.53</v>
      </c>
      <c r="BZ288" s="2" t="n">
        <v>100</v>
      </c>
      <c r="CA288" s="2" t="n">
        <v>100</v>
      </c>
      <c r="CB288" s="2" t="n">
        <v>99.53</v>
      </c>
      <c r="CC288" s="2" t="n">
        <v>100</v>
      </c>
      <c r="CD288" s="2" t="n">
        <v>100</v>
      </c>
      <c r="CE288" s="2" t="n">
        <v>99.53</v>
      </c>
      <c r="CF288" s="2" t="n">
        <v>100</v>
      </c>
      <c r="CG288" s="2" t="n">
        <v>100</v>
      </c>
      <c r="CH288" s="2" t="n">
        <v>99.53</v>
      </c>
      <c r="CI288" s="2" t="n">
        <v>100</v>
      </c>
      <c r="CJ288" s="2" t="n">
        <v>100</v>
      </c>
      <c r="CK288" s="2" t="n">
        <v>99.53</v>
      </c>
      <c r="CL288" s="2" t="n">
        <v>100</v>
      </c>
      <c r="CM288" s="2" t="n">
        <v>100</v>
      </c>
      <c r="CN288" s="2" t="n">
        <v>99.53</v>
      </c>
      <c r="CO288" s="2" t="n">
        <v>100</v>
      </c>
      <c r="CP288" s="2" t="n">
        <v>100</v>
      </c>
      <c r="CQ288" s="2" t="n">
        <v>99.53</v>
      </c>
      <c r="CR288" s="2" t="n">
        <v>100</v>
      </c>
      <c r="CS288" s="2" t="n">
        <v>100</v>
      </c>
      <c r="CT288" s="2" t="n">
        <v>99.53</v>
      </c>
      <c r="CU288" s="2" t="n">
        <v>100</v>
      </c>
      <c r="CV288" s="2" t="n">
        <v>100</v>
      </c>
      <c r="CW288" s="2" t="n">
        <v>99.53</v>
      </c>
      <c r="CX288" s="2" t="n">
        <v>100</v>
      </c>
      <c r="CY288" s="2" t="n">
        <v>100</v>
      </c>
      <c r="CZ288" s="2" t="n">
        <v>99.53</v>
      </c>
      <c r="DA288" s="2" t="n">
        <v>100</v>
      </c>
      <c r="DB288" s="2" t="n">
        <v>100</v>
      </c>
      <c r="DC288" s="2" t="n">
        <v>99.53</v>
      </c>
      <c r="DD288" s="2" t="n">
        <v>100</v>
      </c>
      <c r="DE288" s="2" t="n">
        <v>100</v>
      </c>
      <c r="DF288" s="2" t="n">
        <v>99.53</v>
      </c>
      <c r="DG288" s="2" t="n">
        <v>100</v>
      </c>
      <c r="DH288" s="2" t="n">
        <v>100</v>
      </c>
      <c r="DI288" s="2" t="n">
        <v>99.53</v>
      </c>
      <c r="DJ288" s="2" t="n">
        <v>100</v>
      </c>
      <c r="DK288" s="2" t="n">
        <v>100</v>
      </c>
      <c r="DL288" s="2" t="n">
        <v>99.53</v>
      </c>
      <c r="DM288" s="2" t="n">
        <v>100</v>
      </c>
      <c r="DN288" s="2" t="n">
        <v>100</v>
      </c>
      <c r="DO288" s="2" t="n">
        <v>99.53</v>
      </c>
      <c r="DP288" s="2" t="n">
        <v>100</v>
      </c>
      <c r="DQ288" s="2" t="n">
        <v>100</v>
      </c>
      <c r="DR288" s="2" t="n">
        <v>99.53</v>
      </c>
      <c r="DS288" s="2" t="n">
        <v>100</v>
      </c>
      <c r="DT288" s="2" t="n">
        <v>100</v>
      </c>
      <c r="DU288" s="2" t="n">
        <v>99.53</v>
      </c>
      <c r="DV288" s="2" t="n">
        <v>100</v>
      </c>
      <c r="DW288" s="2" t="n">
        <v>100</v>
      </c>
      <c r="DX288" s="2" t="n">
        <v>99.53</v>
      </c>
      <c r="DY288" s="2" t="n">
        <v>100</v>
      </c>
      <c r="DZ288" s="2" t="n">
        <v>100</v>
      </c>
      <c r="EA288" s="2" t="n">
        <v>99.53</v>
      </c>
      <c r="EB288" s="2" t="n">
        <v>100</v>
      </c>
      <c r="EC288" s="2" t="n">
        <v>100</v>
      </c>
      <c r="ED288" s="2" t="n">
        <v>99.53</v>
      </c>
      <c r="EE288" s="2" t="n">
        <v>100</v>
      </c>
      <c r="EF288" s="2" t="n">
        <v>100</v>
      </c>
      <c r="EG288" s="2" t="n">
        <v>99.53</v>
      </c>
      <c r="EH288" s="2" t="n">
        <v>100</v>
      </c>
      <c r="EI288" s="2" t="n">
        <v>100</v>
      </c>
      <c r="EJ288" s="2" t="n">
        <v>99.53</v>
      </c>
      <c r="EK288" s="2" t="n">
        <v>100</v>
      </c>
      <c r="EL288" s="2" t="n">
        <v>100</v>
      </c>
      <c r="EM288" s="2" t="n">
        <v>99.53</v>
      </c>
      <c r="EN288" s="2" t="n">
        <v>100</v>
      </c>
      <c r="EO288" s="2" t="n">
        <v>100</v>
      </c>
      <c r="EP288" s="2" t="n">
        <v>99.53</v>
      </c>
      <c r="EQ288" s="2" t="n">
        <v>100</v>
      </c>
      <c r="ER288" s="2" t="n">
        <v>100</v>
      </c>
      <c r="ES288" s="2" t="n">
        <v>99.53</v>
      </c>
    </row>
    <row r="289">
      <c r="A289" s="2" t="n">
        <v>2</v>
      </c>
      <c r="B289" s="2" t="inlineStr">
        <is>
          <t>15.02</t>
        </is>
      </c>
      <c r="C289" s="2" t="inlineStr">
        <is>
          <t>Escavaçaõ de estaca em solo com SPT ≤ 50 golpes</t>
        </is>
      </c>
      <c r="D289" s="2" t="inlineStr">
        <is>
          <t>13/10/2025</t>
        </is>
      </c>
      <c r="E289" s="2" t="inlineStr">
        <is>
          <t>03/03/2026</t>
        </is>
      </c>
      <c r="F289" s="2" t="n">
        <v>971515.1</v>
      </c>
      <c r="G289" s="2" t="n">
        <v>0</v>
      </c>
      <c r="H289" s="2" t="n">
        <v>971515.1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17.44</v>
      </c>
      <c r="V289" s="2" t="n">
        <v>17.44</v>
      </c>
      <c r="W289" s="2" t="n">
        <v>21.06</v>
      </c>
      <c r="X289" s="2" t="n">
        <v>39.53</v>
      </c>
      <c r="Y289" s="2" t="n">
        <v>39.53</v>
      </c>
      <c r="Z289" s="2" t="n">
        <v>46.99</v>
      </c>
      <c r="AA289" s="2" t="n">
        <v>55.81</v>
      </c>
      <c r="AB289" s="2" t="n">
        <v>55.81</v>
      </c>
      <c r="AC289" s="2" t="n">
        <v>62.54</v>
      </c>
      <c r="AD289" s="2" t="n">
        <v>79.06999999999999</v>
      </c>
      <c r="AE289" s="2" t="n">
        <v>79.06999999999999</v>
      </c>
      <c r="AF289" s="2" t="n">
        <v>80.98</v>
      </c>
      <c r="AG289" s="2" t="n">
        <v>100</v>
      </c>
      <c r="AH289" s="2" t="n">
        <v>99.53</v>
      </c>
      <c r="AI289" s="2" t="n">
        <v>94.31</v>
      </c>
      <c r="AJ289" s="2" t="n">
        <v>100</v>
      </c>
      <c r="AK289" s="2" t="n">
        <v>100</v>
      </c>
      <c r="AL289" s="2" t="n">
        <v>99.53</v>
      </c>
      <c r="AM289" s="2" t="n">
        <v>100</v>
      </c>
      <c r="AN289" s="2" t="n">
        <v>100</v>
      </c>
      <c r="AO289" s="2" t="n">
        <v>99.53</v>
      </c>
      <c r="AP289" s="2" t="n">
        <v>100</v>
      </c>
      <c r="AQ289" s="2" t="n">
        <v>100</v>
      </c>
      <c r="AR289" s="2" t="n">
        <v>99.53</v>
      </c>
      <c r="AS289" s="2" t="n">
        <v>100</v>
      </c>
      <c r="AT289" s="2" t="n">
        <v>100</v>
      </c>
      <c r="AU289" s="2" t="n">
        <v>99.53</v>
      </c>
      <c r="AV289" s="2" t="n">
        <v>100</v>
      </c>
      <c r="AW289" s="2" t="n">
        <v>100</v>
      </c>
      <c r="AX289" s="2" t="n">
        <v>99.53</v>
      </c>
      <c r="AY289" s="2" t="n">
        <v>100</v>
      </c>
      <c r="AZ289" s="2" t="n">
        <v>100</v>
      </c>
      <c r="BA289" s="2" t="n">
        <v>99.53</v>
      </c>
      <c r="BB289" s="2" t="n">
        <v>100</v>
      </c>
      <c r="BC289" s="2" t="n">
        <v>100</v>
      </c>
      <c r="BD289" s="2" t="n">
        <v>99.53</v>
      </c>
      <c r="BE289" s="2" t="n">
        <v>100</v>
      </c>
      <c r="BF289" s="2" t="n">
        <v>100</v>
      </c>
      <c r="BG289" s="2" t="n">
        <v>99.53</v>
      </c>
      <c r="BH289" s="2" t="n">
        <v>100</v>
      </c>
      <c r="BI289" s="2" t="n">
        <v>100</v>
      </c>
      <c r="BJ289" s="2" t="n">
        <v>99.53</v>
      </c>
      <c r="BK289" s="2" t="n">
        <v>100</v>
      </c>
      <c r="BL289" s="2" t="n">
        <v>100</v>
      </c>
      <c r="BM289" s="2" t="n">
        <v>99.53</v>
      </c>
      <c r="BN289" s="2" t="n">
        <v>100</v>
      </c>
      <c r="BO289" s="2" t="n">
        <v>100</v>
      </c>
      <c r="BP289" s="2" t="n">
        <v>99.53</v>
      </c>
      <c r="BQ289" s="2" t="n">
        <v>100</v>
      </c>
      <c r="BR289" s="2" t="n">
        <v>100</v>
      </c>
      <c r="BS289" s="2" t="n">
        <v>99.53</v>
      </c>
      <c r="BT289" s="2" t="n">
        <v>100</v>
      </c>
      <c r="BU289" s="2" t="n">
        <v>100</v>
      </c>
      <c r="BV289" s="2" t="n">
        <v>99.53</v>
      </c>
      <c r="BW289" s="2" t="n">
        <v>100</v>
      </c>
      <c r="BX289" s="2" t="n">
        <v>100</v>
      </c>
      <c r="BY289" s="2" t="n">
        <v>99.53</v>
      </c>
      <c r="BZ289" s="2" t="n">
        <v>100</v>
      </c>
      <c r="CA289" s="2" t="n">
        <v>100</v>
      </c>
      <c r="CB289" s="2" t="n">
        <v>99.53</v>
      </c>
      <c r="CC289" s="2" t="n">
        <v>100</v>
      </c>
      <c r="CD289" s="2" t="n">
        <v>100</v>
      </c>
      <c r="CE289" s="2" t="n">
        <v>99.53</v>
      </c>
      <c r="CF289" s="2" t="n">
        <v>100</v>
      </c>
      <c r="CG289" s="2" t="n">
        <v>100</v>
      </c>
      <c r="CH289" s="2" t="n">
        <v>99.53</v>
      </c>
      <c r="CI289" s="2" t="n">
        <v>100</v>
      </c>
      <c r="CJ289" s="2" t="n">
        <v>100</v>
      </c>
      <c r="CK289" s="2" t="n">
        <v>99.53</v>
      </c>
      <c r="CL289" s="2" t="n">
        <v>100</v>
      </c>
      <c r="CM289" s="2" t="n">
        <v>100</v>
      </c>
      <c r="CN289" s="2" t="n">
        <v>99.53</v>
      </c>
      <c r="CO289" s="2" t="n">
        <v>100</v>
      </c>
      <c r="CP289" s="2" t="n">
        <v>100</v>
      </c>
      <c r="CQ289" s="2" t="n">
        <v>99.53</v>
      </c>
      <c r="CR289" s="2" t="n">
        <v>100</v>
      </c>
      <c r="CS289" s="2" t="n">
        <v>100</v>
      </c>
      <c r="CT289" s="2" t="n">
        <v>99.53</v>
      </c>
      <c r="CU289" s="2" t="n">
        <v>100</v>
      </c>
      <c r="CV289" s="2" t="n">
        <v>100</v>
      </c>
      <c r="CW289" s="2" t="n">
        <v>99.53</v>
      </c>
      <c r="CX289" s="2" t="n">
        <v>100</v>
      </c>
      <c r="CY289" s="2" t="n">
        <v>100</v>
      </c>
      <c r="CZ289" s="2" t="n">
        <v>99.53</v>
      </c>
      <c r="DA289" s="2" t="n">
        <v>100</v>
      </c>
      <c r="DB289" s="2" t="n">
        <v>100</v>
      </c>
      <c r="DC289" s="2" t="n">
        <v>99.53</v>
      </c>
      <c r="DD289" s="2" t="n">
        <v>100</v>
      </c>
      <c r="DE289" s="2" t="n">
        <v>100</v>
      </c>
      <c r="DF289" s="2" t="n">
        <v>99.53</v>
      </c>
      <c r="DG289" s="2" t="n">
        <v>100</v>
      </c>
      <c r="DH289" s="2" t="n">
        <v>100</v>
      </c>
      <c r="DI289" s="2" t="n">
        <v>99.53</v>
      </c>
      <c r="DJ289" s="2" t="n">
        <v>100</v>
      </c>
      <c r="DK289" s="2" t="n">
        <v>100</v>
      </c>
      <c r="DL289" s="2" t="n">
        <v>99.53</v>
      </c>
      <c r="DM289" s="2" t="n">
        <v>100</v>
      </c>
      <c r="DN289" s="2" t="n">
        <v>100</v>
      </c>
      <c r="DO289" s="2" t="n">
        <v>99.53</v>
      </c>
      <c r="DP289" s="2" t="n">
        <v>100</v>
      </c>
      <c r="DQ289" s="2" t="n">
        <v>100</v>
      </c>
      <c r="DR289" s="2" t="n">
        <v>99.53</v>
      </c>
      <c r="DS289" s="2" t="n">
        <v>100</v>
      </c>
      <c r="DT289" s="2" t="n">
        <v>100</v>
      </c>
      <c r="DU289" s="2" t="n">
        <v>99.53</v>
      </c>
      <c r="DV289" s="2" t="n">
        <v>100</v>
      </c>
      <c r="DW289" s="2" t="n">
        <v>100</v>
      </c>
      <c r="DX289" s="2" t="n">
        <v>99.53</v>
      </c>
      <c r="DY289" s="2" t="n">
        <v>100</v>
      </c>
      <c r="DZ289" s="2" t="n">
        <v>100</v>
      </c>
      <c r="EA289" s="2" t="n">
        <v>99.53</v>
      </c>
      <c r="EB289" s="2" t="n">
        <v>100</v>
      </c>
      <c r="EC289" s="2" t="n">
        <v>100</v>
      </c>
      <c r="ED289" s="2" t="n">
        <v>99.53</v>
      </c>
      <c r="EE289" s="2" t="n">
        <v>100</v>
      </c>
      <c r="EF289" s="2" t="n">
        <v>100</v>
      </c>
      <c r="EG289" s="2" t="n">
        <v>99.53</v>
      </c>
      <c r="EH289" s="2" t="n">
        <v>100</v>
      </c>
      <c r="EI289" s="2" t="n">
        <v>100</v>
      </c>
      <c r="EJ289" s="2" t="n">
        <v>99.53</v>
      </c>
      <c r="EK289" s="2" t="n">
        <v>100</v>
      </c>
      <c r="EL289" s="2" t="n">
        <v>100</v>
      </c>
      <c r="EM289" s="2" t="n">
        <v>99.53</v>
      </c>
      <c r="EN289" s="2" t="n">
        <v>100</v>
      </c>
      <c r="EO289" s="2" t="n">
        <v>100</v>
      </c>
      <c r="EP289" s="2" t="n">
        <v>99.53</v>
      </c>
      <c r="EQ289" s="2" t="n">
        <v>100</v>
      </c>
      <c r="ER289" s="2" t="n">
        <v>100</v>
      </c>
      <c r="ES289" s="2" t="n">
        <v>99.53</v>
      </c>
    </row>
    <row r="290">
      <c r="A290" s="2" t="n">
        <v>3</v>
      </c>
      <c r="B290" s="2" t="inlineStr">
        <is>
          <t>15.02.01</t>
        </is>
      </c>
      <c r="C290" s="2" t="inlineStr">
        <is>
          <t>Perfuração com Ø 90cm - com lama</t>
        </is>
      </c>
      <c r="D290" s="2" t="inlineStr">
        <is>
          <t>13/10/2025</t>
        </is>
      </c>
      <c r="E290" s="2" t="inlineStr">
        <is>
          <t>03/03/2026</t>
        </is>
      </c>
      <c r="F290" s="2" t="n">
        <v>214541.7</v>
      </c>
      <c r="G290" s="2" t="n">
        <v>0</v>
      </c>
      <c r="H290" s="2" t="n">
        <v>214541.7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17.44</v>
      </c>
      <c r="V290" s="2" t="n">
        <v>17.44</v>
      </c>
      <c r="W290" s="2" t="n">
        <v>21.06</v>
      </c>
      <c r="X290" s="2" t="n">
        <v>39.53</v>
      </c>
      <c r="Y290" s="2" t="n">
        <v>39.53</v>
      </c>
      <c r="Z290" s="2" t="n">
        <v>46.99</v>
      </c>
      <c r="AA290" s="2" t="n">
        <v>55.81</v>
      </c>
      <c r="AB290" s="2" t="n">
        <v>55.81</v>
      </c>
      <c r="AC290" s="2" t="n">
        <v>62.54</v>
      </c>
      <c r="AD290" s="2" t="n">
        <v>79.06999999999999</v>
      </c>
      <c r="AE290" s="2" t="n">
        <v>79.06999999999999</v>
      </c>
      <c r="AF290" s="2" t="n">
        <v>80.98</v>
      </c>
      <c r="AG290" s="2" t="n">
        <v>100</v>
      </c>
      <c r="AH290" s="2" t="n">
        <v>99.53</v>
      </c>
      <c r="AI290" s="2" t="n">
        <v>94.31</v>
      </c>
      <c r="AJ290" s="2" t="n">
        <v>100</v>
      </c>
      <c r="AK290" s="2" t="n">
        <v>100</v>
      </c>
      <c r="AL290" s="2" t="n">
        <v>99.53</v>
      </c>
      <c r="AM290" s="2" t="n">
        <v>100</v>
      </c>
      <c r="AN290" s="2" t="n">
        <v>100</v>
      </c>
      <c r="AO290" s="2" t="n">
        <v>99.53</v>
      </c>
      <c r="AP290" s="2" t="n">
        <v>100</v>
      </c>
      <c r="AQ290" s="2" t="n">
        <v>100</v>
      </c>
      <c r="AR290" s="2" t="n">
        <v>99.53</v>
      </c>
      <c r="AS290" s="2" t="n">
        <v>100</v>
      </c>
      <c r="AT290" s="2" t="n">
        <v>100</v>
      </c>
      <c r="AU290" s="2" t="n">
        <v>99.53</v>
      </c>
      <c r="AV290" s="2" t="n">
        <v>100</v>
      </c>
      <c r="AW290" s="2" t="n">
        <v>100</v>
      </c>
      <c r="AX290" s="2" t="n">
        <v>99.53</v>
      </c>
      <c r="AY290" s="2" t="n">
        <v>100</v>
      </c>
      <c r="AZ290" s="2" t="n">
        <v>100</v>
      </c>
      <c r="BA290" s="2" t="n">
        <v>99.53</v>
      </c>
      <c r="BB290" s="2" t="n">
        <v>100</v>
      </c>
      <c r="BC290" s="2" t="n">
        <v>100</v>
      </c>
      <c r="BD290" s="2" t="n">
        <v>99.53</v>
      </c>
      <c r="BE290" s="2" t="n">
        <v>100</v>
      </c>
      <c r="BF290" s="2" t="n">
        <v>100</v>
      </c>
      <c r="BG290" s="2" t="n">
        <v>99.53</v>
      </c>
      <c r="BH290" s="2" t="n">
        <v>100</v>
      </c>
      <c r="BI290" s="2" t="n">
        <v>100</v>
      </c>
      <c r="BJ290" s="2" t="n">
        <v>99.53</v>
      </c>
      <c r="BK290" s="2" t="n">
        <v>100</v>
      </c>
      <c r="BL290" s="2" t="n">
        <v>100</v>
      </c>
      <c r="BM290" s="2" t="n">
        <v>99.53</v>
      </c>
      <c r="BN290" s="2" t="n">
        <v>100</v>
      </c>
      <c r="BO290" s="2" t="n">
        <v>100</v>
      </c>
      <c r="BP290" s="2" t="n">
        <v>99.53</v>
      </c>
      <c r="BQ290" s="2" t="n">
        <v>100</v>
      </c>
      <c r="BR290" s="2" t="n">
        <v>100</v>
      </c>
      <c r="BS290" s="2" t="n">
        <v>99.53</v>
      </c>
      <c r="BT290" s="2" t="n">
        <v>100</v>
      </c>
      <c r="BU290" s="2" t="n">
        <v>100</v>
      </c>
      <c r="BV290" s="2" t="n">
        <v>99.53</v>
      </c>
      <c r="BW290" s="2" t="n">
        <v>100</v>
      </c>
      <c r="BX290" s="2" t="n">
        <v>100</v>
      </c>
      <c r="BY290" s="2" t="n">
        <v>99.53</v>
      </c>
      <c r="BZ290" s="2" t="n">
        <v>100</v>
      </c>
      <c r="CA290" s="2" t="n">
        <v>100</v>
      </c>
      <c r="CB290" s="2" t="n">
        <v>99.53</v>
      </c>
      <c r="CC290" s="2" t="n">
        <v>100</v>
      </c>
      <c r="CD290" s="2" t="n">
        <v>100</v>
      </c>
      <c r="CE290" s="2" t="n">
        <v>99.53</v>
      </c>
      <c r="CF290" s="2" t="n">
        <v>100</v>
      </c>
      <c r="CG290" s="2" t="n">
        <v>100</v>
      </c>
      <c r="CH290" s="2" t="n">
        <v>99.53</v>
      </c>
      <c r="CI290" s="2" t="n">
        <v>100</v>
      </c>
      <c r="CJ290" s="2" t="n">
        <v>100</v>
      </c>
      <c r="CK290" s="2" t="n">
        <v>99.53</v>
      </c>
      <c r="CL290" s="2" t="n">
        <v>100</v>
      </c>
      <c r="CM290" s="2" t="n">
        <v>100</v>
      </c>
      <c r="CN290" s="2" t="n">
        <v>99.53</v>
      </c>
      <c r="CO290" s="2" t="n">
        <v>100</v>
      </c>
      <c r="CP290" s="2" t="n">
        <v>100</v>
      </c>
      <c r="CQ290" s="2" t="n">
        <v>99.53</v>
      </c>
      <c r="CR290" s="2" t="n">
        <v>100</v>
      </c>
      <c r="CS290" s="2" t="n">
        <v>100</v>
      </c>
      <c r="CT290" s="2" t="n">
        <v>99.53</v>
      </c>
      <c r="CU290" s="2" t="n">
        <v>100</v>
      </c>
      <c r="CV290" s="2" t="n">
        <v>100</v>
      </c>
      <c r="CW290" s="2" t="n">
        <v>99.53</v>
      </c>
      <c r="CX290" s="2" t="n">
        <v>100</v>
      </c>
      <c r="CY290" s="2" t="n">
        <v>100</v>
      </c>
      <c r="CZ290" s="2" t="n">
        <v>99.53</v>
      </c>
      <c r="DA290" s="2" t="n">
        <v>100</v>
      </c>
      <c r="DB290" s="2" t="n">
        <v>100</v>
      </c>
      <c r="DC290" s="2" t="n">
        <v>99.53</v>
      </c>
      <c r="DD290" s="2" t="n">
        <v>100</v>
      </c>
      <c r="DE290" s="2" t="n">
        <v>100</v>
      </c>
      <c r="DF290" s="2" t="n">
        <v>99.53</v>
      </c>
      <c r="DG290" s="2" t="n">
        <v>100</v>
      </c>
      <c r="DH290" s="2" t="n">
        <v>100</v>
      </c>
      <c r="DI290" s="2" t="n">
        <v>99.53</v>
      </c>
      <c r="DJ290" s="2" t="n">
        <v>100</v>
      </c>
      <c r="DK290" s="2" t="n">
        <v>100</v>
      </c>
      <c r="DL290" s="2" t="n">
        <v>99.53</v>
      </c>
      <c r="DM290" s="2" t="n">
        <v>100</v>
      </c>
      <c r="DN290" s="2" t="n">
        <v>100</v>
      </c>
      <c r="DO290" s="2" t="n">
        <v>99.53</v>
      </c>
      <c r="DP290" s="2" t="n">
        <v>100</v>
      </c>
      <c r="DQ290" s="2" t="n">
        <v>100</v>
      </c>
      <c r="DR290" s="2" t="n">
        <v>99.53</v>
      </c>
      <c r="DS290" s="2" t="n">
        <v>100</v>
      </c>
      <c r="DT290" s="2" t="n">
        <v>100</v>
      </c>
      <c r="DU290" s="2" t="n">
        <v>99.53</v>
      </c>
      <c r="DV290" s="2" t="n">
        <v>100</v>
      </c>
      <c r="DW290" s="2" t="n">
        <v>100</v>
      </c>
      <c r="DX290" s="2" t="n">
        <v>99.53</v>
      </c>
      <c r="DY290" s="2" t="n">
        <v>100</v>
      </c>
      <c r="DZ290" s="2" t="n">
        <v>100</v>
      </c>
      <c r="EA290" s="2" t="n">
        <v>99.53</v>
      </c>
      <c r="EB290" s="2" t="n">
        <v>100</v>
      </c>
      <c r="EC290" s="2" t="n">
        <v>100</v>
      </c>
      <c r="ED290" s="2" t="n">
        <v>99.53</v>
      </c>
      <c r="EE290" s="2" t="n">
        <v>100</v>
      </c>
      <c r="EF290" s="2" t="n">
        <v>100</v>
      </c>
      <c r="EG290" s="2" t="n">
        <v>99.53</v>
      </c>
      <c r="EH290" s="2" t="n">
        <v>100</v>
      </c>
      <c r="EI290" s="2" t="n">
        <v>100</v>
      </c>
      <c r="EJ290" s="2" t="n">
        <v>99.53</v>
      </c>
      <c r="EK290" s="2" t="n">
        <v>100</v>
      </c>
      <c r="EL290" s="2" t="n">
        <v>100</v>
      </c>
      <c r="EM290" s="2" t="n">
        <v>99.53</v>
      </c>
      <c r="EN290" s="2" t="n">
        <v>100</v>
      </c>
      <c r="EO290" s="2" t="n">
        <v>100</v>
      </c>
      <c r="EP290" s="2" t="n">
        <v>99.53</v>
      </c>
      <c r="EQ290" s="2" t="n">
        <v>100</v>
      </c>
      <c r="ER290" s="2" t="n">
        <v>100</v>
      </c>
      <c r="ES290" s="2" t="n">
        <v>99.53</v>
      </c>
    </row>
    <row r="291">
      <c r="A291" s="2" t="n">
        <v>3</v>
      </c>
      <c r="B291" s="2" t="inlineStr">
        <is>
          <t>15.02.02</t>
        </is>
      </c>
      <c r="C291" s="2" t="inlineStr">
        <is>
          <t>Perfuração com Ø 100cm -com lama</t>
        </is>
      </c>
      <c r="D291" s="2" t="inlineStr">
        <is>
          <t>13/10/2025</t>
        </is>
      </c>
      <c r="E291" s="2" t="inlineStr">
        <is>
          <t>03/03/2026</t>
        </is>
      </c>
      <c r="F291" s="2" t="n">
        <v>62336</v>
      </c>
      <c r="G291" s="2" t="n">
        <v>0</v>
      </c>
      <c r="H291" s="2" t="n">
        <v>62336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17.44</v>
      </c>
      <c r="V291" s="2" t="n">
        <v>17.44</v>
      </c>
      <c r="W291" s="2" t="n">
        <v>21.06</v>
      </c>
      <c r="X291" s="2" t="n">
        <v>39.53</v>
      </c>
      <c r="Y291" s="2" t="n">
        <v>39.53</v>
      </c>
      <c r="Z291" s="2" t="n">
        <v>46.99</v>
      </c>
      <c r="AA291" s="2" t="n">
        <v>55.81</v>
      </c>
      <c r="AB291" s="2" t="n">
        <v>55.81</v>
      </c>
      <c r="AC291" s="2" t="n">
        <v>62.54</v>
      </c>
      <c r="AD291" s="2" t="n">
        <v>79.06999999999999</v>
      </c>
      <c r="AE291" s="2" t="n">
        <v>79.06999999999999</v>
      </c>
      <c r="AF291" s="2" t="n">
        <v>80.98</v>
      </c>
      <c r="AG291" s="2" t="n">
        <v>100</v>
      </c>
      <c r="AH291" s="2" t="n">
        <v>99.53</v>
      </c>
      <c r="AI291" s="2" t="n">
        <v>94.31</v>
      </c>
      <c r="AJ291" s="2" t="n">
        <v>100</v>
      </c>
      <c r="AK291" s="2" t="n">
        <v>100</v>
      </c>
      <c r="AL291" s="2" t="n">
        <v>99.53</v>
      </c>
      <c r="AM291" s="2" t="n">
        <v>100</v>
      </c>
      <c r="AN291" s="2" t="n">
        <v>100</v>
      </c>
      <c r="AO291" s="2" t="n">
        <v>99.53</v>
      </c>
      <c r="AP291" s="2" t="n">
        <v>100</v>
      </c>
      <c r="AQ291" s="2" t="n">
        <v>100</v>
      </c>
      <c r="AR291" s="2" t="n">
        <v>99.53</v>
      </c>
      <c r="AS291" s="2" t="n">
        <v>100</v>
      </c>
      <c r="AT291" s="2" t="n">
        <v>100</v>
      </c>
      <c r="AU291" s="2" t="n">
        <v>99.53</v>
      </c>
      <c r="AV291" s="2" t="n">
        <v>100</v>
      </c>
      <c r="AW291" s="2" t="n">
        <v>100</v>
      </c>
      <c r="AX291" s="2" t="n">
        <v>99.53</v>
      </c>
      <c r="AY291" s="2" t="n">
        <v>100</v>
      </c>
      <c r="AZ291" s="2" t="n">
        <v>100</v>
      </c>
      <c r="BA291" s="2" t="n">
        <v>99.53</v>
      </c>
      <c r="BB291" s="2" t="n">
        <v>100</v>
      </c>
      <c r="BC291" s="2" t="n">
        <v>100</v>
      </c>
      <c r="BD291" s="2" t="n">
        <v>99.53</v>
      </c>
      <c r="BE291" s="2" t="n">
        <v>100</v>
      </c>
      <c r="BF291" s="2" t="n">
        <v>100</v>
      </c>
      <c r="BG291" s="2" t="n">
        <v>99.53</v>
      </c>
      <c r="BH291" s="2" t="n">
        <v>100</v>
      </c>
      <c r="BI291" s="2" t="n">
        <v>100</v>
      </c>
      <c r="BJ291" s="2" t="n">
        <v>99.53</v>
      </c>
      <c r="BK291" s="2" t="n">
        <v>100</v>
      </c>
      <c r="BL291" s="2" t="n">
        <v>100</v>
      </c>
      <c r="BM291" s="2" t="n">
        <v>99.53</v>
      </c>
      <c r="BN291" s="2" t="n">
        <v>100</v>
      </c>
      <c r="BO291" s="2" t="n">
        <v>100</v>
      </c>
      <c r="BP291" s="2" t="n">
        <v>99.53</v>
      </c>
      <c r="BQ291" s="2" t="n">
        <v>100</v>
      </c>
      <c r="BR291" s="2" t="n">
        <v>100</v>
      </c>
      <c r="BS291" s="2" t="n">
        <v>99.53</v>
      </c>
      <c r="BT291" s="2" t="n">
        <v>100</v>
      </c>
      <c r="BU291" s="2" t="n">
        <v>100</v>
      </c>
      <c r="BV291" s="2" t="n">
        <v>99.53</v>
      </c>
      <c r="BW291" s="2" t="n">
        <v>100</v>
      </c>
      <c r="BX291" s="2" t="n">
        <v>100</v>
      </c>
      <c r="BY291" s="2" t="n">
        <v>99.53</v>
      </c>
      <c r="BZ291" s="2" t="n">
        <v>100</v>
      </c>
      <c r="CA291" s="2" t="n">
        <v>100</v>
      </c>
      <c r="CB291" s="2" t="n">
        <v>99.53</v>
      </c>
      <c r="CC291" s="2" t="n">
        <v>100</v>
      </c>
      <c r="CD291" s="2" t="n">
        <v>100</v>
      </c>
      <c r="CE291" s="2" t="n">
        <v>99.53</v>
      </c>
      <c r="CF291" s="2" t="n">
        <v>100</v>
      </c>
      <c r="CG291" s="2" t="n">
        <v>100</v>
      </c>
      <c r="CH291" s="2" t="n">
        <v>99.53</v>
      </c>
      <c r="CI291" s="2" t="n">
        <v>100</v>
      </c>
      <c r="CJ291" s="2" t="n">
        <v>100</v>
      </c>
      <c r="CK291" s="2" t="n">
        <v>99.53</v>
      </c>
      <c r="CL291" s="2" t="n">
        <v>100</v>
      </c>
      <c r="CM291" s="2" t="n">
        <v>100</v>
      </c>
      <c r="CN291" s="2" t="n">
        <v>99.53</v>
      </c>
      <c r="CO291" s="2" t="n">
        <v>100</v>
      </c>
      <c r="CP291" s="2" t="n">
        <v>100</v>
      </c>
      <c r="CQ291" s="2" t="n">
        <v>99.53</v>
      </c>
      <c r="CR291" s="2" t="n">
        <v>100</v>
      </c>
      <c r="CS291" s="2" t="n">
        <v>100</v>
      </c>
      <c r="CT291" s="2" t="n">
        <v>99.53</v>
      </c>
      <c r="CU291" s="2" t="n">
        <v>100</v>
      </c>
      <c r="CV291" s="2" t="n">
        <v>100</v>
      </c>
      <c r="CW291" s="2" t="n">
        <v>99.53</v>
      </c>
      <c r="CX291" s="2" t="n">
        <v>100</v>
      </c>
      <c r="CY291" s="2" t="n">
        <v>100</v>
      </c>
      <c r="CZ291" s="2" t="n">
        <v>99.53</v>
      </c>
      <c r="DA291" s="2" t="n">
        <v>100</v>
      </c>
      <c r="DB291" s="2" t="n">
        <v>100</v>
      </c>
      <c r="DC291" s="2" t="n">
        <v>99.53</v>
      </c>
      <c r="DD291" s="2" t="n">
        <v>100</v>
      </c>
      <c r="DE291" s="2" t="n">
        <v>100</v>
      </c>
      <c r="DF291" s="2" t="n">
        <v>99.53</v>
      </c>
      <c r="DG291" s="2" t="n">
        <v>100</v>
      </c>
      <c r="DH291" s="2" t="n">
        <v>100</v>
      </c>
      <c r="DI291" s="2" t="n">
        <v>99.53</v>
      </c>
      <c r="DJ291" s="2" t="n">
        <v>100</v>
      </c>
      <c r="DK291" s="2" t="n">
        <v>100</v>
      </c>
      <c r="DL291" s="2" t="n">
        <v>99.53</v>
      </c>
      <c r="DM291" s="2" t="n">
        <v>100</v>
      </c>
      <c r="DN291" s="2" t="n">
        <v>100</v>
      </c>
      <c r="DO291" s="2" t="n">
        <v>99.53</v>
      </c>
      <c r="DP291" s="2" t="n">
        <v>100</v>
      </c>
      <c r="DQ291" s="2" t="n">
        <v>100</v>
      </c>
      <c r="DR291" s="2" t="n">
        <v>99.53</v>
      </c>
      <c r="DS291" s="2" t="n">
        <v>100</v>
      </c>
      <c r="DT291" s="2" t="n">
        <v>100</v>
      </c>
      <c r="DU291" s="2" t="n">
        <v>99.53</v>
      </c>
      <c r="DV291" s="2" t="n">
        <v>100</v>
      </c>
      <c r="DW291" s="2" t="n">
        <v>100</v>
      </c>
      <c r="DX291" s="2" t="n">
        <v>99.53</v>
      </c>
      <c r="DY291" s="2" t="n">
        <v>100</v>
      </c>
      <c r="DZ291" s="2" t="n">
        <v>100</v>
      </c>
      <c r="EA291" s="2" t="n">
        <v>99.53</v>
      </c>
      <c r="EB291" s="2" t="n">
        <v>100</v>
      </c>
      <c r="EC291" s="2" t="n">
        <v>100</v>
      </c>
      <c r="ED291" s="2" t="n">
        <v>99.53</v>
      </c>
      <c r="EE291" s="2" t="n">
        <v>100</v>
      </c>
      <c r="EF291" s="2" t="n">
        <v>100</v>
      </c>
      <c r="EG291" s="2" t="n">
        <v>99.53</v>
      </c>
      <c r="EH291" s="2" t="n">
        <v>100</v>
      </c>
      <c r="EI291" s="2" t="n">
        <v>100</v>
      </c>
      <c r="EJ291" s="2" t="n">
        <v>99.53</v>
      </c>
      <c r="EK291" s="2" t="n">
        <v>100</v>
      </c>
      <c r="EL291" s="2" t="n">
        <v>100</v>
      </c>
      <c r="EM291" s="2" t="n">
        <v>99.53</v>
      </c>
      <c r="EN291" s="2" t="n">
        <v>100</v>
      </c>
      <c r="EO291" s="2" t="n">
        <v>100</v>
      </c>
      <c r="EP291" s="2" t="n">
        <v>99.53</v>
      </c>
      <c r="EQ291" s="2" t="n">
        <v>100</v>
      </c>
      <c r="ER291" s="2" t="n">
        <v>100</v>
      </c>
      <c r="ES291" s="2" t="n">
        <v>99.53</v>
      </c>
    </row>
    <row r="292">
      <c r="A292" s="2" t="n">
        <v>3</v>
      </c>
      <c r="B292" s="2" t="inlineStr">
        <is>
          <t>15.02.03</t>
        </is>
      </c>
      <c r="C292" s="2" t="inlineStr">
        <is>
          <t>Perfuração com Ø 110cm - com lama</t>
        </is>
      </c>
      <c r="D292" s="2" t="inlineStr">
        <is>
          <t>13/10/2025</t>
        </is>
      </c>
      <c r="E292" s="2" t="inlineStr">
        <is>
          <t>03/03/2026</t>
        </is>
      </c>
      <c r="F292" s="2" t="n">
        <v>102655</v>
      </c>
      <c r="G292" s="2" t="n">
        <v>0</v>
      </c>
      <c r="H292" s="2" t="n">
        <v>102655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17.44</v>
      </c>
      <c r="V292" s="2" t="n">
        <v>17.44</v>
      </c>
      <c r="W292" s="2" t="n">
        <v>21.06</v>
      </c>
      <c r="X292" s="2" t="n">
        <v>39.53</v>
      </c>
      <c r="Y292" s="2" t="n">
        <v>39.53</v>
      </c>
      <c r="Z292" s="2" t="n">
        <v>46.99</v>
      </c>
      <c r="AA292" s="2" t="n">
        <v>55.81</v>
      </c>
      <c r="AB292" s="2" t="n">
        <v>55.81</v>
      </c>
      <c r="AC292" s="2" t="n">
        <v>62.54</v>
      </c>
      <c r="AD292" s="2" t="n">
        <v>79.06999999999999</v>
      </c>
      <c r="AE292" s="2" t="n">
        <v>79.06999999999999</v>
      </c>
      <c r="AF292" s="2" t="n">
        <v>80.98</v>
      </c>
      <c r="AG292" s="2" t="n">
        <v>100</v>
      </c>
      <c r="AH292" s="2" t="n">
        <v>99.53</v>
      </c>
      <c r="AI292" s="2" t="n">
        <v>94.31</v>
      </c>
      <c r="AJ292" s="2" t="n">
        <v>100</v>
      </c>
      <c r="AK292" s="2" t="n">
        <v>100</v>
      </c>
      <c r="AL292" s="2" t="n">
        <v>99.53</v>
      </c>
      <c r="AM292" s="2" t="n">
        <v>100</v>
      </c>
      <c r="AN292" s="2" t="n">
        <v>100</v>
      </c>
      <c r="AO292" s="2" t="n">
        <v>99.53</v>
      </c>
      <c r="AP292" s="2" t="n">
        <v>100</v>
      </c>
      <c r="AQ292" s="2" t="n">
        <v>100</v>
      </c>
      <c r="AR292" s="2" t="n">
        <v>99.53</v>
      </c>
      <c r="AS292" s="2" t="n">
        <v>100</v>
      </c>
      <c r="AT292" s="2" t="n">
        <v>100</v>
      </c>
      <c r="AU292" s="2" t="n">
        <v>99.53</v>
      </c>
      <c r="AV292" s="2" t="n">
        <v>100</v>
      </c>
      <c r="AW292" s="2" t="n">
        <v>100</v>
      </c>
      <c r="AX292" s="2" t="n">
        <v>99.53</v>
      </c>
      <c r="AY292" s="2" t="n">
        <v>100</v>
      </c>
      <c r="AZ292" s="2" t="n">
        <v>100</v>
      </c>
      <c r="BA292" s="2" t="n">
        <v>99.53</v>
      </c>
      <c r="BB292" s="2" t="n">
        <v>100</v>
      </c>
      <c r="BC292" s="2" t="n">
        <v>100</v>
      </c>
      <c r="BD292" s="2" t="n">
        <v>99.53</v>
      </c>
      <c r="BE292" s="2" t="n">
        <v>100</v>
      </c>
      <c r="BF292" s="2" t="n">
        <v>100</v>
      </c>
      <c r="BG292" s="2" t="n">
        <v>99.53</v>
      </c>
      <c r="BH292" s="2" t="n">
        <v>100</v>
      </c>
      <c r="BI292" s="2" t="n">
        <v>100</v>
      </c>
      <c r="BJ292" s="2" t="n">
        <v>99.53</v>
      </c>
      <c r="BK292" s="2" t="n">
        <v>100</v>
      </c>
      <c r="BL292" s="2" t="n">
        <v>100</v>
      </c>
      <c r="BM292" s="2" t="n">
        <v>99.53</v>
      </c>
      <c r="BN292" s="2" t="n">
        <v>100</v>
      </c>
      <c r="BO292" s="2" t="n">
        <v>100</v>
      </c>
      <c r="BP292" s="2" t="n">
        <v>99.53</v>
      </c>
      <c r="BQ292" s="2" t="n">
        <v>100</v>
      </c>
      <c r="BR292" s="2" t="n">
        <v>100</v>
      </c>
      <c r="BS292" s="2" t="n">
        <v>99.53</v>
      </c>
      <c r="BT292" s="2" t="n">
        <v>100</v>
      </c>
      <c r="BU292" s="2" t="n">
        <v>100</v>
      </c>
      <c r="BV292" s="2" t="n">
        <v>99.53</v>
      </c>
      <c r="BW292" s="2" t="n">
        <v>100</v>
      </c>
      <c r="BX292" s="2" t="n">
        <v>100</v>
      </c>
      <c r="BY292" s="2" t="n">
        <v>99.53</v>
      </c>
      <c r="BZ292" s="2" t="n">
        <v>100</v>
      </c>
      <c r="CA292" s="2" t="n">
        <v>100</v>
      </c>
      <c r="CB292" s="2" t="n">
        <v>99.53</v>
      </c>
      <c r="CC292" s="2" t="n">
        <v>100</v>
      </c>
      <c r="CD292" s="2" t="n">
        <v>100</v>
      </c>
      <c r="CE292" s="2" t="n">
        <v>99.53</v>
      </c>
      <c r="CF292" s="2" t="n">
        <v>100</v>
      </c>
      <c r="CG292" s="2" t="n">
        <v>100</v>
      </c>
      <c r="CH292" s="2" t="n">
        <v>99.53</v>
      </c>
      <c r="CI292" s="2" t="n">
        <v>100</v>
      </c>
      <c r="CJ292" s="2" t="n">
        <v>100</v>
      </c>
      <c r="CK292" s="2" t="n">
        <v>99.53</v>
      </c>
      <c r="CL292" s="2" t="n">
        <v>100</v>
      </c>
      <c r="CM292" s="2" t="n">
        <v>100</v>
      </c>
      <c r="CN292" s="2" t="n">
        <v>99.53</v>
      </c>
      <c r="CO292" s="2" t="n">
        <v>100</v>
      </c>
      <c r="CP292" s="2" t="n">
        <v>100</v>
      </c>
      <c r="CQ292" s="2" t="n">
        <v>99.53</v>
      </c>
      <c r="CR292" s="2" t="n">
        <v>100</v>
      </c>
      <c r="CS292" s="2" t="n">
        <v>100</v>
      </c>
      <c r="CT292" s="2" t="n">
        <v>99.53</v>
      </c>
      <c r="CU292" s="2" t="n">
        <v>100</v>
      </c>
      <c r="CV292" s="2" t="n">
        <v>100</v>
      </c>
      <c r="CW292" s="2" t="n">
        <v>99.53</v>
      </c>
      <c r="CX292" s="2" t="n">
        <v>100</v>
      </c>
      <c r="CY292" s="2" t="n">
        <v>100</v>
      </c>
      <c r="CZ292" s="2" t="n">
        <v>99.53</v>
      </c>
      <c r="DA292" s="2" t="n">
        <v>100</v>
      </c>
      <c r="DB292" s="2" t="n">
        <v>100</v>
      </c>
      <c r="DC292" s="2" t="n">
        <v>99.53</v>
      </c>
      <c r="DD292" s="2" t="n">
        <v>100</v>
      </c>
      <c r="DE292" s="2" t="n">
        <v>100</v>
      </c>
      <c r="DF292" s="2" t="n">
        <v>99.53</v>
      </c>
      <c r="DG292" s="2" t="n">
        <v>100</v>
      </c>
      <c r="DH292" s="2" t="n">
        <v>100</v>
      </c>
      <c r="DI292" s="2" t="n">
        <v>99.53</v>
      </c>
      <c r="DJ292" s="2" t="n">
        <v>100</v>
      </c>
      <c r="DK292" s="2" t="n">
        <v>100</v>
      </c>
      <c r="DL292" s="2" t="n">
        <v>99.53</v>
      </c>
      <c r="DM292" s="2" t="n">
        <v>100</v>
      </c>
      <c r="DN292" s="2" t="n">
        <v>100</v>
      </c>
      <c r="DO292" s="2" t="n">
        <v>99.53</v>
      </c>
      <c r="DP292" s="2" t="n">
        <v>100</v>
      </c>
      <c r="DQ292" s="2" t="n">
        <v>100</v>
      </c>
      <c r="DR292" s="2" t="n">
        <v>99.53</v>
      </c>
      <c r="DS292" s="2" t="n">
        <v>100</v>
      </c>
      <c r="DT292" s="2" t="n">
        <v>100</v>
      </c>
      <c r="DU292" s="2" t="n">
        <v>99.53</v>
      </c>
      <c r="DV292" s="2" t="n">
        <v>100</v>
      </c>
      <c r="DW292" s="2" t="n">
        <v>100</v>
      </c>
      <c r="DX292" s="2" t="n">
        <v>99.53</v>
      </c>
      <c r="DY292" s="2" t="n">
        <v>100</v>
      </c>
      <c r="DZ292" s="2" t="n">
        <v>100</v>
      </c>
      <c r="EA292" s="2" t="n">
        <v>99.53</v>
      </c>
      <c r="EB292" s="2" t="n">
        <v>100</v>
      </c>
      <c r="EC292" s="2" t="n">
        <v>100</v>
      </c>
      <c r="ED292" s="2" t="n">
        <v>99.53</v>
      </c>
      <c r="EE292" s="2" t="n">
        <v>100</v>
      </c>
      <c r="EF292" s="2" t="n">
        <v>100</v>
      </c>
      <c r="EG292" s="2" t="n">
        <v>99.53</v>
      </c>
      <c r="EH292" s="2" t="n">
        <v>100</v>
      </c>
      <c r="EI292" s="2" t="n">
        <v>100</v>
      </c>
      <c r="EJ292" s="2" t="n">
        <v>99.53</v>
      </c>
      <c r="EK292" s="2" t="n">
        <v>100</v>
      </c>
      <c r="EL292" s="2" t="n">
        <v>100</v>
      </c>
      <c r="EM292" s="2" t="n">
        <v>99.53</v>
      </c>
      <c r="EN292" s="2" t="n">
        <v>100</v>
      </c>
      <c r="EO292" s="2" t="n">
        <v>100</v>
      </c>
      <c r="EP292" s="2" t="n">
        <v>99.53</v>
      </c>
      <c r="EQ292" s="2" t="n">
        <v>100</v>
      </c>
      <c r="ER292" s="2" t="n">
        <v>100</v>
      </c>
      <c r="ES292" s="2" t="n">
        <v>99.53</v>
      </c>
    </row>
    <row r="293">
      <c r="A293" s="2" t="n">
        <v>3</v>
      </c>
      <c r="B293" s="2" t="inlineStr">
        <is>
          <t>15.02.04</t>
        </is>
      </c>
      <c r="C293" s="2" t="inlineStr">
        <is>
          <t>Perfuração com Ø 120cm - com lama</t>
        </is>
      </c>
      <c r="D293" s="2" t="inlineStr">
        <is>
          <t>13/10/2025</t>
        </is>
      </c>
      <c r="E293" s="2" t="inlineStr">
        <is>
          <t>03/03/2026</t>
        </is>
      </c>
      <c r="F293" s="2" t="n">
        <v>12464</v>
      </c>
      <c r="G293" s="2" t="n">
        <v>0</v>
      </c>
      <c r="H293" s="2" t="n">
        <v>12464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17.44</v>
      </c>
      <c r="V293" s="2" t="n">
        <v>17.44</v>
      </c>
      <c r="W293" s="2" t="n">
        <v>21.06</v>
      </c>
      <c r="X293" s="2" t="n">
        <v>39.53</v>
      </c>
      <c r="Y293" s="2" t="n">
        <v>39.53</v>
      </c>
      <c r="Z293" s="2" t="n">
        <v>46.99</v>
      </c>
      <c r="AA293" s="2" t="n">
        <v>55.81</v>
      </c>
      <c r="AB293" s="2" t="n">
        <v>55.81</v>
      </c>
      <c r="AC293" s="2" t="n">
        <v>62.54</v>
      </c>
      <c r="AD293" s="2" t="n">
        <v>79.06999999999999</v>
      </c>
      <c r="AE293" s="2" t="n">
        <v>79.06999999999999</v>
      </c>
      <c r="AF293" s="2" t="n">
        <v>80.98</v>
      </c>
      <c r="AG293" s="2" t="n">
        <v>100</v>
      </c>
      <c r="AH293" s="2" t="n">
        <v>99.53</v>
      </c>
      <c r="AI293" s="2" t="n">
        <v>94.31</v>
      </c>
      <c r="AJ293" s="2" t="n">
        <v>100</v>
      </c>
      <c r="AK293" s="2" t="n">
        <v>100</v>
      </c>
      <c r="AL293" s="2" t="n">
        <v>99.53</v>
      </c>
      <c r="AM293" s="2" t="n">
        <v>100</v>
      </c>
      <c r="AN293" s="2" t="n">
        <v>100</v>
      </c>
      <c r="AO293" s="2" t="n">
        <v>99.53</v>
      </c>
      <c r="AP293" s="2" t="n">
        <v>100</v>
      </c>
      <c r="AQ293" s="2" t="n">
        <v>100</v>
      </c>
      <c r="AR293" s="2" t="n">
        <v>99.53</v>
      </c>
      <c r="AS293" s="2" t="n">
        <v>100</v>
      </c>
      <c r="AT293" s="2" t="n">
        <v>100</v>
      </c>
      <c r="AU293" s="2" t="n">
        <v>99.53</v>
      </c>
      <c r="AV293" s="2" t="n">
        <v>100</v>
      </c>
      <c r="AW293" s="2" t="n">
        <v>100</v>
      </c>
      <c r="AX293" s="2" t="n">
        <v>99.53</v>
      </c>
      <c r="AY293" s="2" t="n">
        <v>100</v>
      </c>
      <c r="AZ293" s="2" t="n">
        <v>100</v>
      </c>
      <c r="BA293" s="2" t="n">
        <v>99.53</v>
      </c>
      <c r="BB293" s="2" t="n">
        <v>100</v>
      </c>
      <c r="BC293" s="2" t="n">
        <v>100</v>
      </c>
      <c r="BD293" s="2" t="n">
        <v>99.53</v>
      </c>
      <c r="BE293" s="2" t="n">
        <v>100</v>
      </c>
      <c r="BF293" s="2" t="n">
        <v>100</v>
      </c>
      <c r="BG293" s="2" t="n">
        <v>99.53</v>
      </c>
      <c r="BH293" s="2" t="n">
        <v>100</v>
      </c>
      <c r="BI293" s="2" t="n">
        <v>100</v>
      </c>
      <c r="BJ293" s="2" t="n">
        <v>99.53</v>
      </c>
      <c r="BK293" s="2" t="n">
        <v>100</v>
      </c>
      <c r="BL293" s="2" t="n">
        <v>100</v>
      </c>
      <c r="BM293" s="2" t="n">
        <v>99.53</v>
      </c>
      <c r="BN293" s="2" t="n">
        <v>100</v>
      </c>
      <c r="BO293" s="2" t="n">
        <v>100</v>
      </c>
      <c r="BP293" s="2" t="n">
        <v>99.53</v>
      </c>
      <c r="BQ293" s="2" t="n">
        <v>100</v>
      </c>
      <c r="BR293" s="2" t="n">
        <v>100</v>
      </c>
      <c r="BS293" s="2" t="n">
        <v>99.53</v>
      </c>
      <c r="BT293" s="2" t="n">
        <v>100</v>
      </c>
      <c r="BU293" s="2" t="n">
        <v>100</v>
      </c>
      <c r="BV293" s="2" t="n">
        <v>99.53</v>
      </c>
      <c r="BW293" s="2" t="n">
        <v>100</v>
      </c>
      <c r="BX293" s="2" t="n">
        <v>100</v>
      </c>
      <c r="BY293" s="2" t="n">
        <v>99.53</v>
      </c>
      <c r="BZ293" s="2" t="n">
        <v>100</v>
      </c>
      <c r="CA293" s="2" t="n">
        <v>100</v>
      </c>
      <c r="CB293" s="2" t="n">
        <v>99.53</v>
      </c>
      <c r="CC293" s="2" t="n">
        <v>100</v>
      </c>
      <c r="CD293" s="2" t="n">
        <v>100</v>
      </c>
      <c r="CE293" s="2" t="n">
        <v>99.53</v>
      </c>
      <c r="CF293" s="2" t="n">
        <v>100</v>
      </c>
      <c r="CG293" s="2" t="n">
        <v>100</v>
      </c>
      <c r="CH293" s="2" t="n">
        <v>99.53</v>
      </c>
      <c r="CI293" s="2" t="n">
        <v>100</v>
      </c>
      <c r="CJ293" s="2" t="n">
        <v>100</v>
      </c>
      <c r="CK293" s="2" t="n">
        <v>99.53</v>
      </c>
      <c r="CL293" s="2" t="n">
        <v>100</v>
      </c>
      <c r="CM293" s="2" t="n">
        <v>100</v>
      </c>
      <c r="CN293" s="2" t="n">
        <v>99.53</v>
      </c>
      <c r="CO293" s="2" t="n">
        <v>100</v>
      </c>
      <c r="CP293" s="2" t="n">
        <v>100</v>
      </c>
      <c r="CQ293" s="2" t="n">
        <v>99.53</v>
      </c>
      <c r="CR293" s="2" t="n">
        <v>100</v>
      </c>
      <c r="CS293" s="2" t="n">
        <v>100</v>
      </c>
      <c r="CT293" s="2" t="n">
        <v>99.53</v>
      </c>
      <c r="CU293" s="2" t="n">
        <v>100</v>
      </c>
      <c r="CV293" s="2" t="n">
        <v>100</v>
      </c>
      <c r="CW293" s="2" t="n">
        <v>99.53</v>
      </c>
      <c r="CX293" s="2" t="n">
        <v>100</v>
      </c>
      <c r="CY293" s="2" t="n">
        <v>100</v>
      </c>
      <c r="CZ293" s="2" t="n">
        <v>99.53</v>
      </c>
      <c r="DA293" s="2" t="n">
        <v>100</v>
      </c>
      <c r="DB293" s="2" t="n">
        <v>100</v>
      </c>
      <c r="DC293" s="2" t="n">
        <v>99.53</v>
      </c>
      <c r="DD293" s="2" t="n">
        <v>100</v>
      </c>
      <c r="DE293" s="2" t="n">
        <v>100</v>
      </c>
      <c r="DF293" s="2" t="n">
        <v>99.53</v>
      </c>
      <c r="DG293" s="2" t="n">
        <v>100</v>
      </c>
      <c r="DH293" s="2" t="n">
        <v>100</v>
      </c>
      <c r="DI293" s="2" t="n">
        <v>99.53</v>
      </c>
      <c r="DJ293" s="2" t="n">
        <v>100</v>
      </c>
      <c r="DK293" s="2" t="n">
        <v>100</v>
      </c>
      <c r="DL293" s="2" t="n">
        <v>99.53</v>
      </c>
      <c r="DM293" s="2" t="n">
        <v>100</v>
      </c>
      <c r="DN293" s="2" t="n">
        <v>100</v>
      </c>
      <c r="DO293" s="2" t="n">
        <v>99.53</v>
      </c>
      <c r="DP293" s="2" t="n">
        <v>100</v>
      </c>
      <c r="DQ293" s="2" t="n">
        <v>100</v>
      </c>
      <c r="DR293" s="2" t="n">
        <v>99.53</v>
      </c>
      <c r="DS293" s="2" t="n">
        <v>100</v>
      </c>
      <c r="DT293" s="2" t="n">
        <v>100</v>
      </c>
      <c r="DU293" s="2" t="n">
        <v>99.53</v>
      </c>
      <c r="DV293" s="2" t="n">
        <v>100</v>
      </c>
      <c r="DW293" s="2" t="n">
        <v>100</v>
      </c>
      <c r="DX293" s="2" t="n">
        <v>99.53</v>
      </c>
      <c r="DY293" s="2" t="n">
        <v>100</v>
      </c>
      <c r="DZ293" s="2" t="n">
        <v>100</v>
      </c>
      <c r="EA293" s="2" t="n">
        <v>99.53</v>
      </c>
      <c r="EB293" s="2" t="n">
        <v>100</v>
      </c>
      <c r="EC293" s="2" t="n">
        <v>100</v>
      </c>
      <c r="ED293" s="2" t="n">
        <v>99.53</v>
      </c>
      <c r="EE293" s="2" t="n">
        <v>100</v>
      </c>
      <c r="EF293" s="2" t="n">
        <v>100</v>
      </c>
      <c r="EG293" s="2" t="n">
        <v>99.53</v>
      </c>
      <c r="EH293" s="2" t="n">
        <v>100</v>
      </c>
      <c r="EI293" s="2" t="n">
        <v>100</v>
      </c>
      <c r="EJ293" s="2" t="n">
        <v>99.53</v>
      </c>
      <c r="EK293" s="2" t="n">
        <v>100</v>
      </c>
      <c r="EL293" s="2" t="n">
        <v>100</v>
      </c>
      <c r="EM293" s="2" t="n">
        <v>99.53</v>
      </c>
      <c r="EN293" s="2" t="n">
        <v>100</v>
      </c>
      <c r="EO293" s="2" t="n">
        <v>100</v>
      </c>
      <c r="EP293" s="2" t="n">
        <v>99.53</v>
      </c>
      <c r="EQ293" s="2" t="n">
        <v>100</v>
      </c>
      <c r="ER293" s="2" t="n">
        <v>100</v>
      </c>
      <c r="ES293" s="2" t="n">
        <v>99.53</v>
      </c>
    </row>
    <row r="294">
      <c r="A294" s="2" t="n">
        <v>3</v>
      </c>
      <c r="B294" s="2" t="inlineStr">
        <is>
          <t>15.02.05</t>
        </is>
      </c>
      <c r="C294" s="2" t="inlineStr">
        <is>
          <t>Perfuração com Ø 130cm - com lama</t>
        </is>
      </c>
      <c r="D294" s="2" t="inlineStr">
        <is>
          <t>13/10/2025</t>
        </is>
      </c>
      <c r="E294" s="2" t="inlineStr">
        <is>
          <t>03/03/2026</t>
        </is>
      </c>
      <c r="F294" s="2" t="n">
        <v>96824</v>
      </c>
      <c r="G294" s="2" t="n">
        <v>0</v>
      </c>
      <c r="H294" s="2" t="n">
        <v>96824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17.44</v>
      </c>
      <c r="V294" s="2" t="n">
        <v>17.44</v>
      </c>
      <c r="W294" s="2" t="n">
        <v>21.06</v>
      </c>
      <c r="X294" s="2" t="n">
        <v>39.53</v>
      </c>
      <c r="Y294" s="2" t="n">
        <v>39.53</v>
      </c>
      <c r="Z294" s="2" t="n">
        <v>46.99</v>
      </c>
      <c r="AA294" s="2" t="n">
        <v>55.81</v>
      </c>
      <c r="AB294" s="2" t="n">
        <v>55.81</v>
      </c>
      <c r="AC294" s="2" t="n">
        <v>62.54</v>
      </c>
      <c r="AD294" s="2" t="n">
        <v>79.06999999999999</v>
      </c>
      <c r="AE294" s="2" t="n">
        <v>79.06999999999999</v>
      </c>
      <c r="AF294" s="2" t="n">
        <v>80.98</v>
      </c>
      <c r="AG294" s="2" t="n">
        <v>100</v>
      </c>
      <c r="AH294" s="2" t="n">
        <v>99.53</v>
      </c>
      <c r="AI294" s="2" t="n">
        <v>94.31</v>
      </c>
      <c r="AJ294" s="2" t="n">
        <v>100</v>
      </c>
      <c r="AK294" s="2" t="n">
        <v>100</v>
      </c>
      <c r="AL294" s="2" t="n">
        <v>99.53</v>
      </c>
      <c r="AM294" s="2" t="n">
        <v>100</v>
      </c>
      <c r="AN294" s="2" t="n">
        <v>100</v>
      </c>
      <c r="AO294" s="2" t="n">
        <v>99.53</v>
      </c>
      <c r="AP294" s="2" t="n">
        <v>100</v>
      </c>
      <c r="AQ294" s="2" t="n">
        <v>100</v>
      </c>
      <c r="AR294" s="2" t="n">
        <v>99.53</v>
      </c>
      <c r="AS294" s="2" t="n">
        <v>100</v>
      </c>
      <c r="AT294" s="2" t="n">
        <v>100</v>
      </c>
      <c r="AU294" s="2" t="n">
        <v>99.53</v>
      </c>
      <c r="AV294" s="2" t="n">
        <v>100</v>
      </c>
      <c r="AW294" s="2" t="n">
        <v>100</v>
      </c>
      <c r="AX294" s="2" t="n">
        <v>99.53</v>
      </c>
      <c r="AY294" s="2" t="n">
        <v>100</v>
      </c>
      <c r="AZ294" s="2" t="n">
        <v>100</v>
      </c>
      <c r="BA294" s="2" t="n">
        <v>99.53</v>
      </c>
      <c r="BB294" s="2" t="n">
        <v>100</v>
      </c>
      <c r="BC294" s="2" t="n">
        <v>100</v>
      </c>
      <c r="BD294" s="2" t="n">
        <v>99.53</v>
      </c>
      <c r="BE294" s="2" t="n">
        <v>100</v>
      </c>
      <c r="BF294" s="2" t="n">
        <v>100</v>
      </c>
      <c r="BG294" s="2" t="n">
        <v>99.53</v>
      </c>
      <c r="BH294" s="2" t="n">
        <v>100</v>
      </c>
      <c r="BI294" s="2" t="n">
        <v>100</v>
      </c>
      <c r="BJ294" s="2" t="n">
        <v>99.53</v>
      </c>
      <c r="BK294" s="2" t="n">
        <v>100</v>
      </c>
      <c r="BL294" s="2" t="n">
        <v>100</v>
      </c>
      <c r="BM294" s="2" t="n">
        <v>99.53</v>
      </c>
      <c r="BN294" s="2" t="n">
        <v>100</v>
      </c>
      <c r="BO294" s="2" t="n">
        <v>100</v>
      </c>
      <c r="BP294" s="2" t="n">
        <v>99.53</v>
      </c>
      <c r="BQ294" s="2" t="n">
        <v>100</v>
      </c>
      <c r="BR294" s="2" t="n">
        <v>100</v>
      </c>
      <c r="BS294" s="2" t="n">
        <v>99.53</v>
      </c>
      <c r="BT294" s="2" t="n">
        <v>100</v>
      </c>
      <c r="BU294" s="2" t="n">
        <v>100</v>
      </c>
      <c r="BV294" s="2" t="n">
        <v>99.53</v>
      </c>
      <c r="BW294" s="2" t="n">
        <v>100</v>
      </c>
      <c r="BX294" s="2" t="n">
        <v>100</v>
      </c>
      <c r="BY294" s="2" t="n">
        <v>99.53</v>
      </c>
      <c r="BZ294" s="2" t="n">
        <v>100</v>
      </c>
      <c r="CA294" s="2" t="n">
        <v>100</v>
      </c>
      <c r="CB294" s="2" t="n">
        <v>99.53</v>
      </c>
      <c r="CC294" s="2" t="n">
        <v>100</v>
      </c>
      <c r="CD294" s="2" t="n">
        <v>100</v>
      </c>
      <c r="CE294" s="2" t="n">
        <v>99.53</v>
      </c>
      <c r="CF294" s="2" t="n">
        <v>100</v>
      </c>
      <c r="CG294" s="2" t="n">
        <v>100</v>
      </c>
      <c r="CH294" s="2" t="n">
        <v>99.53</v>
      </c>
      <c r="CI294" s="2" t="n">
        <v>100</v>
      </c>
      <c r="CJ294" s="2" t="n">
        <v>100</v>
      </c>
      <c r="CK294" s="2" t="n">
        <v>99.53</v>
      </c>
      <c r="CL294" s="2" t="n">
        <v>100</v>
      </c>
      <c r="CM294" s="2" t="n">
        <v>100</v>
      </c>
      <c r="CN294" s="2" t="n">
        <v>99.53</v>
      </c>
      <c r="CO294" s="2" t="n">
        <v>100</v>
      </c>
      <c r="CP294" s="2" t="n">
        <v>100</v>
      </c>
      <c r="CQ294" s="2" t="n">
        <v>99.53</v>
      </c>
      <c r="CR294" s="2" t="n">
        <v>100</v>
      </c>
      <c r="CS294" s="2" t="n">
        <v>100</v>
      </c>
      <c r="CT294" s="2" t="n">
        <v>99.53</v>
      </c>
      <c r="CU294" s="2" t="n">
        <v>100</v>
      </c>
      <c r="CV294" s="2" t="n">
        <v>100</v>
      </c>
      <c r="CW294" s="2" t="n">
        <v>99.53</v>
      </c>
      <c r="CX294" s="2" t="n">
        <v>100</v>
      </c>
      <c r="CY294" s="2" t="n">
        <v>100</v>
      </c>
      <c r="CZ294" s="2" t="n">
        <v>99.53</v>
      </c>
      <c r="DA294" s="2" t="n">
        <v>100</v>
      </c>
      <c r="DB294" s="2" t="n">
        <v>100</v>
      </c>
      <c r="DC294" s="2" t="n">
        <v>99.53</v>
      </c>
      <c r="DD294" s="2" t="n">
        <v>100</v>
      </c>
      <c r="DE294" s="2" t="n">
        <v>100</v>
      </c>
      <c r="DF294" s="2" t="n">
        <v>99.53</v>
      </c>
      <c r="DG294" s="2" t="n">
        <v>100</v>
      </c>
      <c r="DH294" s="2" t="n">
        <v>100</v>
      </c>
      <c r="DI294" s="2" t="n">
        <v>99.53</v>
      </c>
      <c r="DJ294" s="2" t="n">
        <v>100</v>
      </c>
      <c r="DK294" s="2" t="n">
        <v>100</v>
      </c>
      <c r="DL294" s="2" t="n">
        <v>99.53</v>
      </c>
      <c r="DM294" s="2" t="n">
        <v>100</v>
      </c>
      <c r="DN294" s="2" t="n">
        <v>100</v>
      </c>
      <c r="DO294" s="2" t="n">
        <v>99.53</v>
      </c>
      <c r="DP294" s="2" t="n">
        <v>100</v>
      </c>
      <c r="DQ294" s="2" t="n">
        <v>100</v>
      </c>
      <c r="DR294" s="2" t="n">
        <v>99.53</v>
      </c>
      <c r="DS294" s="2" t="n">
        <v>100</v>
      </c>
      <c r="DT294" s="2" t="n">
        <v>100</v>
      </c>
      <c r="DU294" s="2" t="n">
        <v>99.53</v>
      </c>
      <c r="DV294" s="2" t="n">
        <v>100</v>
      </c>
      <c r="DW294" s="2" t="n">
        <v>100</v>
      </c>
      <c r="DX294" s="2" t="n">
        <v>99.53</v>
      </c>
      <c r="DY294" s="2" t="n">
        <v>100</v>
      </c>
      <c r="DZ294" s="2" t="n">
        <v>100</v>
      </c>
      <c r="EA294" s="2" t="n">
        <v>99.53</v>
      </c>
      <c r="EB294" s="2" t="n">
        <v>100</v>
      </c>
      <c r="EC294" s="2" t="n">
        <v>100</v>
      </c>
      <c r="ED294" s="2" t="n">
        <v>99.53</v>
      </c>
      <c r="EE294" s="2" t="n">
        <v>100</v>
      </c>
      <c r="EF294" s="2" t="n">
        <v>100</v>
      </c>
      <c r="EG294" s="2" t="n">
        <v>99.53</v>
      </c>
      <c r="EH294" s="2" t="n">
        <v>100</v>
      </c>
      <c r="EI294" s="2" t="n">
        <v>100</v>
      </c>
      <c r="EJ294" s="2" t="n">
        <v>99.53</v>
      </c>
      <c r="EK294" s="2" t="n">
        <v>100</v>
      </c>
      <c r="EL294" s="2" t="n">
        <v>100</v>
      </c>
      <c r="EM294" s="2" t="n">
        <v>99.53</v>
      </c>
      <c r="EN294" s="2" t="n">
        <v>100</v>
      </c>
      <c r="EO294" s="2" t="n">
        <v>100</v>
      </c>
      <c r="EP294" s="2" t="n">
        <v>99.53</v>
      </c>
      <c r="EQ294" s="2" t="n">
        <v>100</v>
      </c>
      <c r="ER294" s="2" t="n">
        <v>100</v>
      </c>
      <c r="ES294" s="2" t="n">
        <v>99.53</v>
      </c>
    </row>
    <row r="295">
      <c r="A295" s="2" t="n">
        <v>3</v>
      </c>
      <c r="B295" s="2" t="inlineStr">
        <is>
          <t>15.02.06</t>
        </is>
      </c>
      <c r="C295" s="2" t="inlineStr">
        <is>
          <t>Perfuração com Ø 140cm - com lama</t>
        </is>
      </c>
      <c r="D295" s="2" t="inlineStr">
        <is>
          <t>13/10/2025</t>
        </is>
      </c>
      <c r="E295" s="2" t="inlineStr">
        <is>
          <t>03/03/2026</t>
        </is>
      </c>
      <c r="F295" s="2" t="n">
        <v>397960</v>
      </c>
      <c r="G295" s="2" t="n">
        <v>0</v>
      </c>
      <c r="H295" s="2" t="n">
        <v>397960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17.44</v>
      </c>
      <c r="V295" s="2" t="n">
        <v>17.44</v>
      </c>
      <c r="W295" s="2" t="n">
        <v>21.06</v>
      </c>
      <c r="X295" s="2" t="n">
        <v>39.53</v>
      </c>
      <c r="Y295" s="2" t="n">
        <v>39.53</v>
      </c>
      <c r="Z295" s="2" t="n">
        <v>46.99</v>
      </c>
      <c r="AA295" s="2" t="n">
        <v>55.81</v>
      </c>
      <c r="AB295" s="2" t="n">
        <v>55.81</v>
      </c>
      <c r="AC295" s="2" t="n">
        <v>62.54</v>
      </c>
      <c r="AD295" s="2" t="n">
        <v>79.06999999999999</v>
      </c>
      <c r="AE295" s="2" t="n">
        <v>79.06999999999999</v>
      </c>
      <c r="AF295" s="2" t="n">
        <v>80.98</v>
      </c>
      <c r="AG295" s="2" t="n">
        <v>100</v>
      </c>
      <c r="AH295" s="2" t="n">
        <v>99.53</v>
      </c>
      <c r="AI295" s="2" t="n">
        <v>94.31</v>
      </c>
      <c r="AJ295" s="2" t="n">
        <v>100</v>
      </c>
      <c r="AK295" s="2" t="n">
        <v>100</v>
      </c>
      <c r="AL295" s="2" t="n">
        <v>99.53</v>
      </c>
      <c r="AM295" s="2" t="n">
        <v>100</v>
      </c>
      <c r="AN295" s="2" t="n">
        <v>100</v>
      </c>
      <c r="AO295" s="2" t="n">
        <v>99.53</v>
      </c>
      <c r="AP295" s="2" t="n">
        <v>100</v>
      </c>
      <c r="AQ295" s="2" t="n">
        <v>100</v>
      </c>
      <c r="AR295" s="2" t="n">
        <v>99.53</v>
      </c>
      <c r="AS295" s="2" t="n">
        <v>100</v>
      </c>
      <c r="AT295" s="2" t="n">
        <v>100</v>
      </c>
      <c r="AU295" s="2" t="n">
        <v>99.53</v>
      </c>
      <c r="AV295" s="2" t="n">
        <v>100</v>
      </c>
      <c r="AW295" s="2" t="n">
        <v>100</v>
      </c>
      <c r="AX295" s="2" t="n">
        <v>99.53</v>
      </c>
      <c r="AY295" s="2" t="n">
        <v>100</v>
      </c>
      <c r="AZ295" s="2" t="n">
        <v>100</v>
      </c>
      <c r="BA295" s="2" t="n">
        <v>99.53</v>
      </c>
      <c r="BB295" s="2" t="n">
        <v>100</v>
      </c>
      <c r="BC295" s="2" t="n">
        <v>100</v>
      </c>
      <c r="BD295" s="2" t="n">
        <v>99.53</v>
      </c>
      <c r="BE295" s="2" t="n">
        <v>100</v>
      </c>
      <c r="BF295" s="2" t="n">
        <v>100</v>
      </c>
      <c r="BG295" s="2" t="n">
        <v>99.53</v>
      </c>
      <c r="BH295" s="2" t="n">
        <v>100</v>
      </c>
      <c r="BI295" s="2" t="n">
        <v>100</v>
      </c>
      <c r="BJ295" s="2" t="n">
        <v>99.53</v>
      </c>
      <c r="BK295" s="2" t="n">
        <v>100</v>
      </c>
      <c r="BL295" s="2" t="n">
        <v>100</v>
      </c>
      <c r="BM295" s="2" t="n">
        <v>99.53</v>
      </c>
      <c r="BN295" s="2" t="n">
        <v>100</v>
      </c>
      <c r="BO295" s="2" t="n">
        <v>100</v>
      </c>
      <c r="BP295" s="2" t="n">
        <v>99.53</v>
      </c>
      <c r="BQ295" s="2" t="n">
        <v>100</v>
      </c>
      <c r="BR295" s="2" t="n">
        <v>100</v>
      </c>
      <c r="BS295" s="2" t="n">
        <v>99.53</v>
      </c>
      <c r="BT295" s="2" t="n">
        <v>100</v>
      </c>
      <c r="BU295" s="2" t="n">
        <v>100</v>
      </c>
      <c r="BV295" s="2" t="n">
        <v>99.53</v>
      </c>
      <c r="BW295" s="2" t="n">
        <v>100</v>
      </c>
      <c r="BX295" s="2" t="n">
        <v>100</v>
      </c>
      <c r="BY295" s="2" t="n">
        <v>99.53</v>
      </c>
      <c r="BZ295" s="2" t="n">
        <v>100</v>
      </c>
      <c r="CA295" s="2" t="n">
        <v>100</v>
      </c>
      <c r="CB295" s="2" t="n">
        <v>99.53</v>
      </c>
      <c r="CC295" s="2" t="n">
        <v>100</v>
      </c>
      <c r="CD295" s="2" t="n">
        <v>100</v>
      </c>
      <c r="CE295" s="2" t="n">
        <v>99.53</v>
      </c>
      <c r="CF295" s="2" t="n">
        <v>100</v>
      </c>
      <c r="CG295" s="2" t="n">
        <v>100</v>
      </c>
      <c r="CH295" s="2" t="n">
        <v>99.53</v>
      </c>
      <c r="CI295" s="2" t="n">
        <v>100</v>
      </c>
      <c r="CJ295" s="2" t="n">
        <v>100</v>
      </c>
      <c r="CK295" s="2" t="n">
        <v>99.53</v>
      </c>
      <c r="CL295" s="2" t="n">
        <v>100</v>
      </c>
      <c r="CM295" s="2" t="n">
        <v>100</v>
      </c>
      <c r="CN295" s="2" t="n">
        <v>99.53</v>
      </c>
      <c r="CO295" s="2" t="n">
        <v>100</v>
      </c>
      <c r="CP295" s="2" t="n">
        <v>100</v>
      </c>
      <c r="CQ295" s="2" t="n">
        <v>99.53</v>
      </c>
      <c r="CR295" s="2" t="n">
        <v>100</v>
      </c>
      <c r="CS295" s="2" t="n">
        <v>100</v>
      </c>
      <c r="CT295" s="2" t="n">
        <v>99.53</v>
      </c>
      <c r="CU295" s="2" t="n">
        <v>100</v>
      </c>
      <c r="CV295" s="2" t="n">
        <v>100</v>
      </c>
      <c r="CW295" s="2" t="n">
        <v>99.53</v>
      </c>
      <c r="CX295" s="2" t="n">
        <v>100</v>
      </c>
      <c r="CY295" s="2" t="n">
        <v>100</v>
      </c>
      <c r="CZ295" s="2" t="n">
        <v>99.53</v>
      </c>
      <c r="DA295" s="2" t="n">
        <v>100</v>
      </c>
      <c r="DB295" s="2" t="n">
        <v>100</v>
      </c>
      <c r="DC295" s="2" t="n">
        <v>99.53</v>
      </c>
      <c r="DD295" s="2" t="n">
        <v>100</v>
      </c>
      <c r="DE295" s="2" t="n">
        <v>100</v>
      </c>
      <c r="DF295" s="2" t="n">
        <v>99.53</v>
      </c>
      <c r="DG295" s="2" t="n">
        <v>100</v>
      </c>
      <c r="DH295" s="2" t="n">
        <v>100</v>
      </c>
      <c r="DI295" s="2" t="n">
        <v>99.53</v>
      </c>
      <c r="DJ295" s="2" t="n">
        <v>100</v>
      </c>
      <c r="DK295" s="2" t="n">
        <v>100</v>
      </c>
      <c r="DL295" s="2" t="n">
        <v>99.53</v>
      </c>
      <c r="DM295" s="2" t="n">
        <v>100</v>
      </c>
      <c r="DN295" s="2" t="n">
        <v>100</v>
      </c>
      <c r="DO295" s="2" t="n">
        <v>99.53</v>
      </c>
      <c r="DP295" s="2" t="n">
        <v>100</v>
      </c>
      <c r="DQ295" s="2" t="n">
        <v>100</v>
      </c>
      <c r="DR295" s="2" t="n">
        <v>99.53</v>
      </c>
      <c r="DS295" s="2" t="n">
        <v>100</v>
      </c>
      <c r="DT295" s="2" t="n">
        <v>100</v>
      </c>
      <c r="DU295" s="2" t="n">
        <v>99.53</v>
      </c>
      <c r="DV295" s="2" t="n">
        <v>100</v>
      </c>
      <c r="DW295" s="2" t="n">
        <v>100</v>
      </c>
      <c r="DX295" s="2" t="n">
        <v>99.53</v>
      </c>
      <c r="DY295" s="2" t="n">
        <v>100</v>
      </c>
      <c r="DZ295" s="2" t="n">
        <v>100</v>
      </c>
      <c r="EA295" s="2" t="n">
        <v>99.53</v>
      </c>
      <c r="EB295" s="2" t="n">
        <v>100</v>
      </c>
      <c r="EC295" s="2" t="n">
        <v>100</v>
      </c>
      <c r="ED295" s="2" t="n">
        <v>99.53</v>
      </c>
      <c r="EE295" s="2" t="n">
        <v>100</v>
      </c>
      <c r="EF295" s="2" t="n">
        <v>100</v>
      </c>
      <c r="EG295" s="2" t="n">
        <v>99.53</v>
      </c>
      <c r="EH295" s="2" t="n">
        <v>100</v>
      </c>
      <c r="EI295" s="2" t="n">
        <v>100</v>
      </c>
      <c r="EJ295" s="2" t="n">
        <v>99.53</v>
      </c>
      <c r="EK295" s="2" t="n">
        <v>100</v>
      </c>
      <c r="EL295" s="2" t="n">
        <v>100</v>
      </c>
      <c r="EM295" s="2" t="n">
        <v>99.53</v>
      </c>
      <c r="EN295" s="2" t="n">
        <v>100</v>
      </c>
      <c r="EO295" s="2" t="n">
        <v>100</v>
      </c>
      <c r="EP295" s="2" t="n">
        <v>99.53</v>
      </c>
      <c r="EQ295" s="2" t="n">
        <v>100</v>
      </c>
      <c r="ER295" s="2" t="n">
        <v>100</v>
      </c>
      <c r="ES295" s="2" t="n">
        <v>99.53</v>
      </c>
    </row>
    <row r="296">
      <c r="A296" s="2" t="n">
        <v>3</v>
      </c>
      <c r="B296" s="2" t="inlineStr">
        <is>
          <t>15.02.07</t>
        </is>
      </c>
      <c r="C296" s="2" t="inlineStr">
        <is>
          <t>Perfuração com Ø 150cm - com lama</t>
        </is>
      </c>
      <c r="D296" s="2" t="inlineStr">
        <is>
          <t>13/10/2025</t>
        </is>
      </c>
      <c r="E296" s="2" t="inlineStr">
        <is>
          <t>03/03/2026</t>
        </is>
      </c>
      <c r="F296" s="2" t="n">
        <v>84734.39999999999</v>
      </c>
      <c r="G296" s="2" t="n">
        <v>0</v>
      </c>
      <c r="H296" s="2" t="n">
        <v>84734.39999999999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17.44</v>
      </c>
      <c r="V296" s="2" t="n">
        <v>17.44</v>
      </c>
      <c r="W296" s="2" t="n">
        <v>21.06</v>
      </c>
      <c r="X296" s="2" t="n">
        <v>39.53</v>
      </c>
      <c r="Y296" s="2" t="n">
        <v>39.53</v>
      </c>
      <c r="Z296" s="2" t="n">
        <v>46.99</v>
      </c>
      <c r="AA296" s="2" t="n">
        <v>55.81</v>
      </c>
      <c r="AB296" s="2" t="n">
        <v>55.81</v>
      </c>
      <c r="AC296" s="2" t="n">
        <v>62.54</v>
      </c>
      <c r="AD296" s="2" t="n">
        <v>79.06999999999999</v>
      </c>
      <c r="AE296" s="2" t="n">
        <v>79.06999999999999</v>
      </c>
      <c r="AF296" s="2" t="n">
        <v>80.98</v>
      </c>
      <c r="AG296" s="2" t="n">
        <v>100</v>
      </c>
      <c r="AH296" s="2" t="n">
        <v>99.53</v>
      </c>
      <c r="AI296" s="2" t="n">
        <v>94.31</v>
      </c>
      <c r="AJ296" s="2" t="n">
        <v>100</v>
      </c>
      <c r="AK296" s="2" t="n">
        <v>100</v>
      </c>
      <c r="AL296" s="2" t="n">
        <v>99.53</v>
      </c>
      <c r="AM296" s="2" t="n">
        <v>100</v>
      </c>
      <c r="AN296" s="2" t="n">
        <v>100</v>
      </c>
      <c r="AO296" s="2" t="n">
        <v>99.53</v>
      </c>
      <c r="AP296" s="2" t="n">
        <v>100</v>
      </c>
      <c r="AQ296" s="2" t="n">
        <v>100</v>
      </c>
      <c r="AR296" s="2" t="n">
        <v>99.53</v>
      </c>
      <c r="AS296" s="2" t="n">
        <v>100</v>
      </c>
      <c r="AT296" s="2" t="n">
        <v>100</v>
      </c>
      <c r="AU296" s="2" t="n">
        <v>99.53</v>
      </c>
      <c r="AV296" s="2" t="n">
        <v>100</v>
      </c>
      <c r="AW296" s="2" t="n">
        <v>100</v>
      </c>
      <c r="AX296" s="2" t="n">
        <v>99.53</v>
      </c>
      <c r="AY296" s="2" t="n">
        <v>100</v>
      </c>
      <c r="AZ296" s="2" t="n">
        <v>100</v>
      </c>
      <c r="BA296" s="2" t="n">
        <v>99.53</v>
      </c>
      <c r="BB296" s="2" t="n">
        <v>100</v>
      </c>
      <c r="BC296" s="2" t="n">
        <v>100</v>
      </c>
      <c r="BD296" s="2" t="n">
        <v>99.53</v>
      </c>
      <c r="BE296" s="2" t="n">
        <v>100</v>
      </c>
      <c r="BF296" s="2" t="n">
        <v>100</v>
      </c>
      <c r="BG296" s="2" t="n">
        <v>99.53</v>
      </c>
      <c r="BH296" s="2" t="n">
        <v>100</v>
      </c>
      <c r="BI296" s="2" t="n">
        <v>100</v>
      </c>
      <c r="BJ296" s="2" t="n">
        <v>99.53</v>
      </c>
      <c r="BK296" s="2" t="n">
        <v>100</v>
      </c>
      <c r="BL296" s="2" t="n">
        <v>100</v>
      </c>
      <c r="BM296" s="2" t="n">
        <v>99.53</v>
      </c>
      <c r="BN296" s="2" t="n">
        <v>100</v>
      </c>
      <c r="BO296" s="2" t="n">
        <v>100</v>
      </c>
      <c r="BP296" s="2" t="n">
        <v>99.53</v>
      </c>
      <c r="BQ296" s="2" t="n">
        <v>100</v>
      </c>
      <c r="BR296" s="2" t="n">
        <v>100</v>
      </c>
      <c r="BS296" s="2" t="n">
        <v>99.53</v>
      </c>
      <c r="BT296" s="2" t="n">
        <v>100</v>
      </c>
      <c r="BU296" s="2" t="n">
        <v>100</v>
      </c>
      <c r="BV296" s="2" t="n">
        <v>99.53</v>
      </c>
      <c r="BW296" s="2" t="n">
        <v>100</v>
      </c>
      <c r="BX296" s="2" t="n">
        <v>100</v>
      </c>
      <c r="BY296" s="2" t="n">
        <v>99.53</v>
      </c>
      <c r="BZ296" s="2" t="n">
        <v>100</v>
      </c>
      <c r="CA296" s="2" t="n">
        <v>100</v>
      </c>
      <c r="CB296" s="2" t="n">
        <v>99.53</v>
      </c>
      <c r="CC296" s="2" t="n">
        <v>100</v>
      </c>
      <c r="CD296" s="2" t="n">
        <v>100</v>
      </c>
      <c r="CE296" s="2" t="n">
        <v>99.53</v>
      </c>
      <c r="CF296" s="2" t="n">
        <v>100</v>
      </c>
      <c r="CG296" s="2" t="n">
        <v>100</v>
      </c>
      <c r="CH296" s="2" t="n">
        <v>99.53</v>
      </c>
      <c r="CI296" s="2" t="n">
        <v>100</v>
      </c>
      <c r="CJ296" s="2" t="n">
        <v>100</v>
      </c>
      <c r="CK296" s="2" t="n">
        <v>99.53</v>
      </c>
      <c r="CL296" s="2" t="n">
        <v>100</v>
      </c>
      <c r="CM296" s="2" t="n">
        <v>100</v>
      </c>
      <c r="CN296" s="2" t="n">
        <v>99.53</v>
      </c>
      <c r="CO296" s="2" t="n">
        <v>100</v>
      </c>
      <c r="CP296" s="2" t="n">
        <v>100</v>
      </c>
      <c r="CQ296" s="2" t="n">
        <v>99.53</v>
      </c>
      <c r="CR296" s="2" t="n">
        <v>100</v>
      </c>
      <c r="CS296" s="2" t="n">
        <v>100</v>
      </c>
      <c r="CT296" s="2" t="n">
        <v>99.53</v>
      </c>
      <c r="CU296" s="2" t="n">
        <v>100</v>
      </c>
      <c r="CV296" s="2" t="n">
        <v>100</v>
      </c>
      <c r="CW296" s="2" t="n">
        <v>99.53</v>
      </c>
      <c r="CX296" s="2" t="n">
        <v>100</v>
      </c>
      <c r="CY296" s="2" t="n">
        <v>100</v>
      </c>
      <c r="CZ296" s="2" t="n">
        <v>99.53</v>
      </c>
      <c r="DA296" s="2" t="n">
        <v>100</v>
      </c>
      <c r="DB296" s="2" t="n">
        <v>100</v>
      </c>
      <c r="DC296" s="2" t="n">
        <v>99.53</v>
      </c>
      <c r="DD296" s="2" t="n">
        <v>100</v>
      </c>
      <c r="DE296" s="2" t="n">
        <v>100</v>
      </c>
      <c r="DF296" s="2" t="n">
        <v>99.53</v>
      </c>
      <c r="DG296" s="2" t="n">
        <v>100</v>
      </c>
      <c r="DH296" s="2" t="n">
        <v>100</v>
      </c>
      <c r="DI296" s="2" t="n">
        <v>99.53</v>
      </c>
      <c r="DJ296" s="2" t="n">
        <v>100</v>
      </c>
      <c r="DK296" s="2" t="n">
        <v>100</v>
      </c>
      <c r="DL296" s="2" t="n">
        <v>99.53</v>
      </c>
      <c r="DM296" s="2" t="n">
        <v>100</v>
      </c>
      <c r="DN296" s="2" t="n">
        <v>100</v>
      </c>
      <c r="DO296" s="2" t="n">
        <v>99.53</v>
      </c>
      <c r="DP296" s="2" t="n">
        <v>100</v>
      </c>
      <c r="DQ296" s="2" t="n">
        <v>100</v>
      </c>
      <c r="DR296" s="2" t="n">
        <v>99.53</v>
      </c>
      <c r="DS296" s="2" t="n">
        <v>100</v>
      </c>
      <c r="DT296" s="2" t="n">
        <v>100</v>
      </c>
      <c r="DU296" s="2" t="n">
        <v>99.53</v>
      </c>
      <c r="DV296" s="2" t="n">
        <v>100</v>
      </c>
      <c r="DW296" s="2" t="n">
        <v>100</v>
      </c>
      <c r="DX296" s="2" t="n">
        <v>99.53</v>
      </c>
      <c r="DY296" s="2" t="n">
        <v>100</v>
      </c>
      <c r="DZ296" s="2" t="n">
        <v>100</v>
      </c>
      <c r="EA296" s="2" t="n">
        <v>99.53</v>
      </c>
      <c r="EB296" s="2" t="n">
        <v>100</v>
      </c>
      <c r="EC296" s="2" t="n">
        <v>100</v>
      </c>
      <c r="ED296" s="2" t="n">
        <v>99.53</v>
      </c>
      <c r="EE296" s="2" t="n">
        <v>100</v>
      </c>
      <c r="EF296" s="2" t="n">
        <v>100</v>
      </c>
      <c r="EG296" s="2" t="n">
        <v>99.53</v>
      </c>
      <c r="EH296" s="2" t="n">
        <v>100</v>
      </c>
      <c r="EI296" s="2" t="n">
        <v>100</v>
      </c>
      <c r="EJ296" s="2" t="n">
        <v>99.53</v>
      </c>
      <c r="EK296" s="2" t="n">
        <v>100</v>
      </c>
      <c r="EL296" s="2" t="n">
        <v>100</v>
      </c>
      <c r="EM296" s="2" t="n">
        <v>99.53</v>
      </c>
      <c r="EN296" s="2" t="n">
        <v>100</v>
      </c>
      <c r="EO296" s="2" t="n">
        <v>100</v>
      </c>
      <c r="EP296" s="2" t="n">
        <v>99.53</v>
      </c>
      <c r="EQ296" s="2" t="n">
        <v>100</v>
      </c>
      <c r="ER296" s="2" t="n">
        <v>100</v>
      </c>
      <c r="ES296" s="2" t="n">
        <v>99.53</v>
      </c>
    </row>
    <row r="297">
      <c r="A297" s="2" t="n">
        <v>2</v>
      </c>
      <c r="B297" s="2" t="inlineStr">
        <is>
          <t>15.03</t>
        </is>
      </c>
      <c r="C297" s="2" t="inlineStr">
        <is>
          <t>Escavaçaõ de estaca em solo com SPT&gt; 50 golpes</t>
        </is>
      </c>
      <c r="D297" s="2" t="inlineStr">
        <is>
          <t>13/10/2025</t>
        </is>
      </c>
      <c r="E297" s="2" t="inlineStr">
        <is>
          <t>03/03/2026</t>
        </is>
      </c>
      <c r="F297" s="2" t="n">
        <v>802929.28</v>
      </c>
      <c r="G297" s="2" t="n">
        <v>0</v>
      </c>
      <c r="H297" s="2" t="n">
        <v>802929.28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17.44</v>
      </c>
      <c r="V297" s="2" t="n">
        <v>17.44</v>
      </c>
      <c r="W297" s="2" t="n">
        <v>21.06</v>
      </c>
      <c r="X297" s="2" t="n">
        <v>39.53</v>
      </c>
      <c r="Y297" s="2" t="n">
        <v>39.53</v>
      </c>
      <c r="Z297" s="2" t="n">
        <v>46.99</v>
      </c>
      <c r="AA297" s="2" t="n">
        <v>55.81</v>
      </c>
      <c r="AB297" s="2" t="n">
        <v>55.81</v>
      </c>
      <c r="AC297" s="2" t="n">
        <v>62.54</v>
      </c>
      <c r="AD297" s="2" t="n">
        <v>79.06999999999999</v>
      </c>
      <c r="AE297" s="2" t="n">
        <v>79.06999999999999</v>
      </c>
      <c r="AF297" s="2" t="n">
        <v>80.98</v>
      </c>
      <c r="AG297" s="2" t="n">
        <v>100</v>
      </c>
      <c r="AH297" s="2" t="n">
        <v>99.53</v>
      </c>
      <c r="AI297" s="2" t="n">
        <v>94.31</v>
      </c>
      <c r="AJ297" s="2" t="n">
        <v>100</v>
      </c>
      <c r="AK297" s="2" t="n">
        <v>100</v>
      </c>
      <c r="AL297" s="2" t="n">
        <v>99.53</v>
      </c>
      <c r="AM297" s="2" t="n">
        <v>100</v>
      </c>
      <c r="AN297" s="2" t="n">
        <v>100</v>
      </c>
      <c r="AO297" s="2" t="n">
        <v>99.53</v>
      </c>
      <c r="AP297" s="2" t="n">
        <v>100</v>
      </c>
      <c r="AQ297" s="2" t="n">
        <v>100</v>
      </c>
      <c r="AR297" s="2" t="n">
        <v>99.53</v>
      </c>
      <c r="AS297" s="2" t="n">
        <v>100</v>
      </c>
      <c r="AT297" s="2" t="n">
        <v>100</v>
      </c>
      <c r="AU297" s="2" t="n">
        <v>99.53</v>
      </c>
      <c r="AV297" s="2" t="n">
        <v>100</v>
      </c>
      <c r="AW297" s="2" t="n">
        <v>100</v>
      </c>
      <c r="AX297" s="2" t="n">
        <v>99.53</v>
      </c>
      <c r="AY297" s="2" t="n">
        <v>100</v>
      </c>
      <c r="AZ297" s="2" t="n">
        <v>100</v>
      </c>
      <c r="BA297" s="2" t="n">
        <v>99.53</v>
      </c>
      <c r="BB297" s="2" t="n">
        <v>100</v>
      </c>
      <c r="BC297" s="2" t="n">
        <v>100</v>
      </c>
      <c r="BD297" s="2" t="n">
        <v>99.53</v>
      </c>
      <c r="BE297" s="2" t="n">
        <v>100</v>
      </c>
      <c r="BF297" s="2" t="n">
        <v>100</v>
      </c>
      <c r="BG297" s="2" t="n">
        <v>99.53</v>
      </c>
      <c r="BH297" s="2" t="n">
        <v>100</v>
      </c>
      <c r="BI297" s="2" t="n">
        <v>100</v>
      </c>
      <c r="BJ297" s="2" t="n">
        <v>99.53</v>
      </c>
      <c r="BK297" s="2" t="n">
        <v>100</v>
      </c>
      <c r="BL297" s="2" t="n">
        <v>100</v>
      </c>
      <c r="BM297" s="2" t="n">
        <v>99.53</v>
      </c>
      <c r="BN297" s="2" t="n">
        <v>100</v>
      </c>
      <c r="BO297" s="2" t="n">
        <v>100</v>
      </c>
      <c r="BP297" s="2" t="n">
        <v>99.53</v>
      </c>
      <c r="BQ297" s="2" t="n">
        <v>100</v>
      </c>
      <c r="BR297" s="2" t="n">
        <v>100</v>
      </c>
      <c r="BS297" s="2" t="n">
        <v>99.53</v>
      </c>
      <c r="BT297" s="2" t="n">
        <v>100</v>
      </c>
      <c r="BU297" s="2" t="n">
        <v>100</v>
      </c>
      <c r="BV297" s="2" t="n">
        <v>99.53</v>
      </c>
      <c r="BW297" s="2" t="n">
        <v>100</v>
      </c>
      <c r="BX297" s="2" t="n">
        <v>100</v>
      </c>
      <c r="BY297" s="2" t="n">
        <v>99.53</v>
      </c>
      <c r="BZ297" s="2" t="n">
        <v>100</v>
      </c>
      <c r="CA297" s="2" t="n">
        <v>100</v>
      </c>
      <c r="CB297" s="2" t="n">
        <v>99.53</v>
      </c>
      <c r="CC297" s="2" t="n">
        <v>100</v>
      </c>
      <c r="CD297" s="2" t="n">
        <v>100</v>
      </c>
      <c r="CE297" s="2" t="n">
        <v>99.53</v>
      </c>
      <c r="CF297" s="2" t="n">
        <v>100</v>
      </c>
      <c r="CG297" s="2" t="n">
        <v>100</v>
      </c>
      <c r="CH297" s="2" t="n">
        <v>99.53</v>
      </c>
      <c r="CI297" s="2" t="n">
        <v>100</v>
      </c>
      <c r="CJ297" s="2" t="n">
        <v>100</v>
      </c>
      <c r="CK297" s="2" t="n">
        <v>99.53</v>
      </c>
      <c r="CL297" s="2" t="n">
        <v>100</v>
      </c>
      <c r="CM297" s="2" t="n">
        <v>100</v>
      </c>
      <c r="CN297" s="2" t="n">
        <v>99.53</v>
      </c>
      <c r="CO297" s="2" t="n">
        <v>100</v>
      </c>
      <c r="CP297" s="2" t="n">
        <v>100</v>
      </c>
      <c r="CQ297" s="2" t="n">
        <v>99.53</v>
      </c>
      <c r="CR297" s="2" t="n">
        <v>100</v>
      </c>
      <c r="CS297" s="2" t="n">
        <v>100</v>
      </c>
      <c r="CT297" s="2" t="n">
        <v>99.53</v>
      </c>
      <c r="CU297" s="2" t="n">
        <v>100</v>
      </c>
      <c r="CV297" s="2" t="n">
        <v>100</v>
      </c>
      <c r="CW297" s="2" t="n">
        <v>99.53</v>
      </c>
      <c r="CX297" s="2" t="n">
        <v>100</v>
      </c>
      <c r="CY297" s="2" t="n">
        <v>100</v>
      </c>
      <c r="CZ297" s="2" t="n">
        <v>99.53</v>
      </c>
      <c r="DA297" s="2" t="n">
        <v>100</v>
      </c>
      <c r="DB297" s="2" t="n">
        <v>100</v>
      </c>
      <c r="DC297" s="2" t="n">
        <v>99.53</v>
      </c>
      <c r="DD297" s="2" t="n">
        <v>100</v>
      </c>
      <c r="DE297" s="2" t="n">
        <v>100</v>
      </c>
      <c r="DF297" s="2" t="n">
        <v>99.53</v>
      </c>
      <c r="DG297" s="2" t="n">
        <v>100</v>
      </c>
      <c r="DH297" s="2" t="n">
        <v>100</v>
      </c>
      <c r="DI297" s="2" t="n">
        <v>99.53</v>
      </c>
      <c r="DJ297" s="2" t="n">
        <v>100</v>
      </c>
      <c r="DK297" s="2" t="n">
        <v>100</v>
      </c>
      <c r="DL297" s="2" t="n">
        <v>99.53</v>
      </c>
      <c r="DM297" s="2" t="n">
        <v>100</v>
      </c>
      <c r="DN297" s="2" t="n">
        <v>100</v>
      </c>
      <c r="DO297" s="2" t="n">
        <v>99.53</v>
      </c>
      <c r="DP297" s="2" t="n">
        <v>100</v>
      </c>
      <c r="DQ297" s="2" t="n">
        <v>100</v>
      </c>
      <c r="DR297" s="2" t="n">
        <v>99.53</v>
      </c>
      <c r="DS297" s="2" t="n">
        <v>100</v>
      </c>
      <c r="DT297" s="2" t="n">
        <v>100</v>
      </c>
      <c r="DU297" s="2" t="n">
        <v>99.53</v>
      </c>
      <c r="DV297" s="2" t="n">
        <v>100</v>
      </c>
      <c r="DW297" s="2" t="n">
        <v>100</v>
      </c>
      <c r="DX297" s="2" t="n">
        <v>99.53</v>
      </c>
      <c r="DY297" s="2" t="n">
        <v>100</v>
      </c>
      <c r="DZ297" s="2" t="n">
        <v>100</v>
      </c>
      <c r="EA297" s="2" t="n">
        <v>99.53</v>
      </c>
      <c r="EB297" s="2" t="n">
        <v>100</v>
      </c>
      <c r="EC297" s="2" t="n">
        <v>100</v>
      </c>
      <c r="ED297" s="2" t="n">
        <v>99.53</v>
      </c>
      <c r="EE297" s="2" t="n">
        <v>100</v>
      </c>
      <c r="EF297" s="2" t="n">
        <v>100</v>
      </c>
      <c r="EG297" s="2" t="n">
        <v>99.53</v>
      </c>
      <c r="EH297" s="2" t="n">
        <v>100</v>
      </c>
      <c r="EI297" s="2" t="n">
        <v>100</v>
      </c>
      <c r="EJ297" s="2" t="n">
        <v>99.53</v>
      </c>
      <c r="EK297" s="2" t="n">
        <v>100</v>
      </c>
      <c r="EL297" s="2" t="n">
        <v>100</v>
      </c>
      <c r="EM297" s="2" t="n">
        <v>99.53</v>
      </c>
      <c r="EN297" s="2" t="n">
        <v>100</v>
      </c>
      <c r="EO297" s="2" t="n">
        <v>100</v>
      </c>
      <c r="EP297" s="2" t="n">
        <v>99.53</v>
      </c>
      <c r="EQ297" s="2" t="n">
        <v>100</v>
      </c>
      <c r="ER297" s="2" t="n">
        <v>100</v>
      </c>
      <c r="ES297" s="2" t="n">
        <v>99.53</v>
      </c>
    </row>
    <row r="298">
      <c r="A298" s="2" t="n">
        <v>3</v>
      </c>
      <c r="B298" s="2" t="inlineStr">
        <is>
          <t>15.03.01</t>
        </is>
      </c>
      <c r="C298" s="2" t="inlineStr">
        <is>
          <t>Perfuração com Ø 90cm - com lama</t>
        </is>
      </c>
      <c r="D298" s="2" t="inlineStr">
        <is>
          <t>13/10/2025</t>
        </is>
      </c>
      <c r="E298" s="2" t="inlineStr">
        <is>
          <t>03/03/2026</t>
        </is>
      </c>
      <c r="F298" s="2" t="n">
        <v>98040</v>
      </c>
      <c r="G298" s="2" t="n">
        <v>0</v>
      </c>
      <c r="H298" s="2" t="n">
        <v>98040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17.44</v>
      </c>
      <c r="V298" s="2" t="n">
        <v>17.44</v>
      </c>
      <c r="W298" s="2" t="n">
        <v>21.06</v>
      </c>
      <c r="X298" s="2" t="n">
        <v>39.53</v>
      </c>
      <c r="Y298" s="2" t="n">
        <v>39.53</v>
      </c>
      <c r="Z298" s="2" t="n">
        <v>46.99</v>
      </c>
      <c r="AA298" s="2" t="n">
        <v>55.81</v>
      </c>
      <c r="AB298" s="2" t="n">
        <v>55.81</v>
      </c>
      <c r="AC298" s="2" t="n">
        <v>62.54</v>
      </c>
      <c r="AD298" s="2" t="n">
        <v>79.06999999999999</v>
      </c>
      <c r="AE298" s="2" t="n">
        <v>79.06999999999999</v>
      </c>
      <c r="AF298" s="2" t="n">
        <v>80.98</v>
      </c>
      <c r="AG298" s="2" t="n">
        <v>100</v>
      </c>
      <c r="AH298" s="2" t="n">
        <v>99.53</v>
      </c>
      <c r="AI298" s="2" t="n">
        <v>94.31</v>
      </c>
      <c r="AJ298" s="2" t="n">
        <v>100</v>
      </c>
      <c r="AK298" s="2" t="n">
        <v>100</v>
      </c>
      <c r="AL298" s="2" t="n">
        <v>99.53</v>
      </c>
      <c r="AM298" s="2" t="n">
        <v>100</v>
      </c>
      <c r="AN298" s="2" t="n">
        <v>100</v>
      </c>
      <c r="AO298" s="2" t="n">
        <v>99.53</v>
      </c>
      <c r="AP298" s="2" t="n">
        <v>100</v>
      </c>
      <c r="AQ298" s="2" t="n">
        <v>100</v>
      </c>
      <c r="AR298" s="2" t="n">
        <v>99.53</v>
      </c>
      <c r="AS298" s="2" t="n">
        <v>100</v>
      </c>
      <c r="AT298" s="2" t="n">
        <v>100</v>
      </c>
      <c r="AU298" s="2" t="n">
        <v>99.53</v>
      </c>
      <c r="AV298" s="2" t="n">
        <v>100</v>
      </c>
      <c r="AW298" s="2" t="n">
        <v>100</v>
      </c>
      <c r="AX298" s="2" t="n">
        <v>99.53</v>
      </c>
      <c r="AY298" s="2" t="n">
        <v>100</v>
      </c>
      <c r="AZ298" s="2" t="n">
        <v>100</v>
      </c>
      <c r="BA298" s="2" t="n">
        <v>99.53</v>
      </c>
      <c r="BB298" s="2" t="n">
        <v>100</v>
      </c>
      <c r="BC298" s="2" t="n">
        <v>100</v>
      </c>
      <c r="BD298" s="2" t="n">
        <v>99.53</v>
      </c>
      <c r="BE298" s="2" t="n">
        <v>100</v>
      </c>
      <c r="BF298" s="2" t="n">
        <v>100</v>
      </c>
      <c r="BG298" s="2" t="n">
        <v>99.53</v>
      </c>
      <c r="BH298" s="2" t="n">
        <v>100</v>
      </c>
      <c r="BI298" s="2" t="n">
        <v>100</v>
      </c>
      <c r="BJ298" s="2" t="n">
        <v>99.53</v>
      </c>
      <c r="BK298" s="2" t="n">
        <v>100</v>
      </c>
      <c r="BL298" s="2" t="n">
        <v>100</v>
      </c>
      <c r="BM298" s="2" t="n">
        <v>99.53</v>
      </c>
      <c r="BN298" s="2" t="n">
        <v>100</v>
      </c>
      <c r="BO298" s="2" t="n">
        <v>100</v>
      </c>
      <c r="BP298" s="2" t="n">
        <v>99.53</v>
      </c>
      <c r="BQ298" s="2" t="n">
        <v>100</v>
      </c>
      <c r="BR298" s="2" t="n">
        <v>100</v>
      </c>
      <c r="BS298" s="2" t="n">
        <v>99.53</v>
      </c>
      <c r="BT298" s="2" t="n">
        <v>100</v>
      </c>
      <c r="BU298" s="2" t="n">
        <v>100</v>
      </c>
      <c r="BV298" s="2" t="n">
        <v>99.53</v>
      </c>
      <c r="BW298" s="2" t="n">
        <v>100</v>
      </c>
      <c r="BX298" s="2" t="n">
        <v>100</v>
      </c>
      <c r="BY298" s="2" t="n">
        <v>99.53</v>
      </c>
      <c r="BZ298" s="2" t="n">
        <v>100</v>
      </c>
      <c r="CA298" s="2" t="n">
        <v>100</v>
      </c>
      <c r="CB298" s="2" t="n">
        <v>99.53</v>
      </c>
      <c r="CC298" s="2" t="n">
        <v>100</v>
      </c>
      <c r="CD298" s="2" t="n">
        <v>100</v>
      </c>
      <c r="CE298" s="2" t="n">
        <v>99.53</v>
      </c>
      <c r="CF298" s="2" t="n">
        <v>100</v>
      </c>
      <c r="CG298" s="2" t="n">
        <v>100</v>
      </c>
      <c r="CH298" s="2" t="n">
        <v>99.53</v>
      </c>
      <c r="CI298" s="2" t="n">
        <v>100</v>
      </c>
      <c r="CJ298" s="2" t="n">
        <v>100</v>
      </c>
      <c r="CK298" s="2" t="n">
        <v>99.53</v>
      </c>
      <c r="CL298" s="2" t="n">
        <v>100</v>
      </c>
      <c r="CM298" s="2" t="n">
        <v>100</v>
      </c>
      <c r="CN298" s="2" t="n">
        <v>99.53</v>
      </c>
      <c r="CO298" s="2" t="n">
        <v>100</v>
      </c>
      <c r="CP298" s="2" t="n">
        <v>100</v>
      </c>
      <c r="CQ298" s="2" t="n">
        <v>99.53</v>
      </c>
      <c r="CR298" s="2" t="n">
        <v>100</v>
      </c>
      <c r="CS298" s="2" t="n">
        <v>100</v>
      </c>
      <c r="CT298" s="2" t="n">
        <v>99.53</v>
      </c>
      <c r="CU298" s="2" t="n">
        <v>100</v>
      </c>
      <c r="CV298" s="2" t="n">
        <v>100</v>
      </c>
      <c r="CW298" s="2" t="n">
        <v>99.53</v>
      </c>
      <c r="CX298" s="2" t="n">
        <v>100</v>
      </c>
      <c r="CY298" s="2" t="n">
        <v>100</v>
      </c>
      <c r="CZ298" s="2" t="n">
        <v>99.53</v>
      </c>
      <c r="DA298" s="2" t="n">
        <v>100</v>
      </c>
      <c r="DB298" s="2" t="n">
        <v>100</v>
      </c>
      <c r="DC298" s="2" t="n">
        <v>99.53</v>
      </c>
      <c r="DD298" s="2" t="n">
        <v>100</v>
      </c>
      <c r="DE298" s="2" t="n">
        <v>100</v>
      </c>
      <c r="DF298" s="2" t="n">
        <v>99.53</v>
      </c>
      <c r="DG298" s="2" t="n">
        <v>100</v>
      </c>
      <c r="DH298" s="2" t="n">
        <v>100</v>
      </c>
      <c r="DI298" s="2" t="n">
        <v>99.53</v>
      </c>
      <c r="DJ298" s="2" t="n">
        <v>100</v>
      </c>
      <c r="DK298" s="2" t="n">
        <v>100</v>
      </c>
      <c r="DL298" s="2" t="n">
        <v>99.53</v>
      </c>
      <c r="DM298" s="2" t="n">
        <v>100</v>
      </c>
      <c r="DN298" s="2" t="n">
        <v>100</v>
      </c>
      <c r="DO298" s="2" t="n">
        <v>99.53</v>
      </c>
      <c r="DP298" s="2" t="n">
        <v>100</v>
      </c>
      <c r="DQ298" s="2" t="n">
        <v>100</v>
      </c>
      <c r="DR298" s="2" t="n">
        <v>99.53</v>
      </c>
      <c r="DS298" s="2" t="n">
        <v>100</v>
      </c>
      <c r="DT298" s="2" t="n">
        <v>100</v>
      </c>
      <c r="DU298" s="2" t="n">
        <v>99.53</v>
      </c>
      <c r="DV298" s="2" t="n">
        <v>100</v>
      </c>
      <c r="DW298" s="2" t="n">
        <v>100</v>
      </c>
      <c r="DX298" s="2" t="n">
        <v>99.53</v>
      </c>
      <c r="DY298" s="2" t="n">
        <v>100</v>
      </c>
      <c r="DZ298" s="2" t="n">
        <v>100</v>
      </c>
      <c r="EA298" s="2" t="n">
        <v>99.53</v>
      </c>
      <c r="EB298" s="2" t="n">
        <v>100</v>
      </c>
      <c r="EC298" s="2" t="n">
        <v>100</v>
      </c>
      <c r="ED298" s="2" t="n">
        <v>99.53</v>
      </c>
      <c r="EE298" s="2" t="n">
        <v>100</v>
      </c>
      <c r="EF298" s="2" t="n">
        <v>100</v>
      </c>
      <c r="EG298" s="2" t="n">
        <v>99.53</v>
      </c>
      <c r="EH298" s="2" t="n">
        <v>100</v>
      </c>
      <c r="EI298" s="2" t="n">
        <v>100</v>
      </c>
      <c r="EJ298" s="2" t="n">
        <v>99.53</v>
      </c>
      <c r="EK298" s="2" t="n">
        <v>100</v>
      </c>
      <c r="EL298" s="2" t="n">
        <v>100</v>
      </c>
      <c r="EM298" s="2" t="n">
        <v>99.53</v>
      </c>
      <c r="EN298" s="2" t="n">
        <v>100</v>
      </c>
      <c r="EO298" s="2" t="n">
        <v>100</v>
      </c>
      <c r="EP298" s="2" t="n">
        <v>99.53</v>
      </c>
      <c r="EQ298" s="2" t="n">
        <v>100</v>
      </c>
      <c r="ER298" s="2" t="n">
        <v>100</v>
      </c>
      <c r="ES298" s="2" t="n">
        <v>99.53</v>
      </c>
    </row>
    <row r="299">
      <c r="A299" s="2" t="n">
        <v>3</v>
      </c>
      <c r="B299" s="2" t="inlineStr">
        <is>
          <t>15.03.02</t>
        </is>
      </c>
      <c r="C299" s="2" t="inlineStr">
        <is>
          <t>Perfuração com Ø 100cm -com lama</t>
        </is>
      </c>
      <c r="D299" s="2" t="inlineStr">
        <is>
          <t>13/10/2025</t>
        </is>
      </c>
      <c r="E299" s="2" t="inlineStr">
        <is>
          <t>03/03/2026</t>
        </is>
      </c>
      <c r="F299" s="2" t="n">
        <v>38860.8</v>
      </c>
      <c r="G299" s="2" t="n">
        <v>0</v>
      </c>
      <c r="H299" s="2" t="n">
        <v>38860.8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17.44</v>
      </c>
      <c r="V299" s="2" t="n">
        <v>17.44</v>
      </c>
      <c r="W299" s="2" t="n">
        <v>21.06</v>
      </c>
      <c r="X299" s="2" t="n">
        <v>39.53</v>
      </c>
      <c r="Y299" s="2" t="n">
        <v>39.53</v>
      </c>
      <c r="Z299" s="2" t="n">
        <v>46.99</v>
      </c>
      <c r="AA299" s="2" t="n">
        <v>55.81</v>
      </c>
      <c r="AB299" s="2" t="n">
        <v>55.81</v>
      </c>
      <c r="AC299" s="2" t="n">
        <v>62.54</v>
      </c>
      <c r="AD299" s="2" t="n">
        <v>79.06999999999999</v>
      </c>
      <c r="AE299" s="2" t="n">
        <v>79.06999999999999</v>
      </c>
      <c r="AF299" s="2" t="n">
        <v>80.98</v>
      </c>
      <c r="AG299" s="2" t="n">
        <v>100</v>
      </c>
      <c r="AH299" s="2" t="n">
        <v>99.53</v>
      </c>
      <c r="AI299" s="2" t="n">
        <v>94.31</v>
      </c>
      <c r="AJ299" s="2" t="n">
        <v>100</v>
      </c>
      <c r="AK299" s="2" t="n">
        <v>100</v>
      </c>
      <c r="AL299" s="2" t="n">
        <v>99.53</v>
      </c>
      <c r="AM299" s="2" t="n">
        <v>100</v>
      </c>
      <c r="AN299" s="2" t="n">
        <v>100</v>
      </c>
      <c r="AO299" s="2" t="n">
        <v>99.53</v>
      </c>
      <c r="AP299" s="2" t="n">
        <v>100</v>
      </c>
      <c r="AQ299" s="2" t="n">
        <v>100</v>
      </c>
      <c r="AR299" s="2" t="n">
        <v>99.53</v>
      </c>
      <c r="AS299" s="2" t="n">
        <v>100</v>
      </c>
      <c r="AT299" s="2" t="n">
        <v>100</v>
      </c>
      <c r="AU299" s="2" t="n">
        <v>99.53</v>
      </c>
      <c r="AV299" s="2" t="n">
        <v>100</v>
      </c>
      <c r="AW299" s="2" t="n">
        <v>100</v>
      </c>
      <c r="AX299" s="2" t="n">
        <v>99.53</v>
      </c>
      <c r="AY299" s="2" t="n">
        <v>100</v>
      </c>
      <c r="AZ299" s="2" t="n">
        <v>100</v>
      </c>
      <c r="BA299" s="2" t="n">
        <v>99.53</v>
      </c>
      <c r="BB299" s="2" t="n">
        <v>100</v>
      </c>
      <c r="BC299" s="2" t="n">
        <v>100</v>
      </c>
      <c r="BD299" s="2" t="n">
        <v>99.53</v>
      </c>
      <c r="BE299" s="2" t="n">
        <v>100</v>
      </c>
      <c r="BF299" s="2" t="n">
        <v>100</v>
      </c>
      <c r="BG299" s="2" t="n">
        <v>99.53</v>
      </c>
      <c r="BH299" s="2" t="n">
        <v>100</v>
      </c>
      <c r="BI299" s="2" t="n">
        <v>100</v>
      </c>
      <c r="BJ299" s="2" t="n">
        <v>99.53</v>
      </c>
      <c r="BK299" s="2" t="n">
        <v>100</v>
      </c>
      <c r="BL299" s="2" t="n">
        <v>100</v>
      </c>
      <c r="BM299" s="2" t="n">
        <v>99.53</v>
      </c>
      <c r="BN299" s="2" t="n">
        <v>100</v>
      </c>
      <c r="BO299" s="2" t="n">
        <v>100</v>
      </c>
      <c r="BP299" s="2" t="n">
        <v>99.53</v>
      </c>
      <c r="BQ299" s="2" t="n">
        <v>100</v>
      </c>
      <c r="BR299" s="2" t="n">
        <v>100</v>
      </c>
      <c r="BS299" s="2" t="n">
        <v>99.53</v>
      </c>
      <c r="BT299" s="2" t="n">
        <v>100</v>
      </c>
      <c r="BU299" s="2" t="n">
        <v>100</v>
      </c>
      <c r="BV299" s="2" t="n">
        <v>99.53</v>
      </c>
      <c r="BW299" s="2" t="n">
        <v>100</v>
      </c>
      <c r="BX299" s="2" t="n">
        <v>100</v>
      </c>
      <c r="BY299" s="2" t="n">
        <v>99.53</v>
      </c>
      <c r="BZ299" s="2" t="n">
        <v>100</v>
      </c>
      <c r="CA299" s="2" t="n">
        <v>100</v>
      </c>
      <c r="CB299" s="2" t="n">
        <v>99.53</v>
      </c>
      <c r="CC299" s="2" t="n">
        <v>100</v>
      </c>
      <c r="CD299" s="2" t="n">
        <v>100</v>
      </c>
      <c r="CE299" s="2" t="n">
        <v>99.53</v>
      </c>
      <c r="CF299" s="2" t="n">
        <v>100</v>
      </c>
      <c r="CG299" s="2" t="n">
        <v>100</v>
      </c>
      <c r="CH299" s="2" t="n">
        <v>99.53</v>
      </c>
      <c r="CI299" s="2" t="n">
        <v>100</v>
      </c>
      <c r="CJ299" s="2" t="n">
        <v>100</v>
      </c>
      <c r="CK299" s="2" t="n">
        <v>99.53</v>
      </c>
      <c r="CL299" s="2" t="n">
        <v>100</v>
      </c>
      <c r="CM299" s="2" t="n">
        <v>100</v>
      </c>
      <c r="CN299" s="2" t="n">
        <v>99.53</v>
      </c>
      <c r="CO299" s="2" t="n">
        <v>100</v>
      </c>
      <c r="CP299" s="2" t="n">
        <v>100</v>
      </c>
      <c r="CQ299" s="2" t="n">
        <v>99.53</v>
      </c>
      <c r="CR299" s="2" t="n">
        <v>100</v>
      </c>
      <c r="CS299" s="2" t="n">
        <v>100</v>
      </c>
      <c r="CT299" s="2" t="n">
        <v>99.53</v>
      </c>
      <c r="CU299" s="2" t="n">
        <v>100</v>
      </c>
      <c r="CV299" s="2" t="n">
        <v>100</v>
      </c>
      <c r="CW299" s="2" t="n">
        <v>99.53</v>
      </c>
      <c r="CX299" s="2" t="n">
        <v>100</v>
      </c>
      <c r="CY299" s="2" t="n">
        <v>100</v>
      </c>
      <c r="CZ299" s="2" t="n">
        <v>99.53</v>
      </c>
      <c r="DA299" s="2" t="n">
        <v>100</v>
      </c>
      <c r="DB299" s="2" t="n">
        <v>100</v>
      </c>
      <c r="DC299" s="2" t="n">
        <v>99.53</v>
      </c>
      <c r="DD299" s="2" t="n">
        <v>100</v>
      </c>
      <c r="DE299" s="2" t="n">
        <v>100</v>
      </c>
      <c r="DF299" s="2" t="n">
        <v>99.53</v>
      </c>
      <c r="DG299" s="2" t="n">
        <v>100</v>
      </c>
      <c r="DH299" s="2" t="n">
        <v>100</v>
      </c>
      <c r="DI299" s="2" t="n">
        <v>99.53</v>
      </c>
      <c r="DJ299" s="2" t="n">
        <v>100</v>
      </c>
      <c r="DK299" s="2" t="n">
        <v>100</v>
      </c>
      <c r="DL299" s="2" t="n">
        <v>99.53</v>
      </c>
      <c r="DM299" s="2" t="n">
        <v>100</v>
      </c>
      <c r="DN299" s="2" t="n">
        <v>100</v>
      </c>
      <c r="DO299" s="2" t="n">
        <v>99.53</v>
      </c>
      <c r="DP299" s="2" t="n">
        <v>100</v>
      </c>
      <c r="DQ299" s="2" t="n">
        <v>100</v>
      </c>
      <c r="DR299" s="2" t="n">
        <v>99.53</v>
      </c>
      <c r="DS299" s="2" t="n">
        <v>100</v>
      </c>
      <c r="DT299" s="2" t="n">
        <v>100</v>
      </c>
      <c r="DU299" s="2" t="n">
        <v>99.53</v>
      </c>
      <c r="DV299" s="2" t="n">
        <v>100</v>
      </c>
      <c r="DW299" s="2" t="n">
        <v>100</v>
      </c>
      <c r="DX299" s="2" t="n">
        <v>99.53</v>
      </c>
      <c r="DY299" s="2" t="n">
        <v>100</v>
      </c>
      <c r="DZ299" s="2" t="n">
        <v>100</v>
      </c>
      <c r="EA299" s="2" t="n">
        <v>99.53</v>
      </c>
      <c r="EB299" s="2" t="n">
        <v>100</v>
      </c>
      <c r="EC299" s="2" t="n">
        <v>100</v>
      </c>
      <c r="ED299" s="2" t="n">
        <v>99.53</v>
      </c>
      <c r="EE299" s="2" t="n">
        <v>100</v>
      </c>
      <c r="EF299" s="2" t="n">
        <v>100</v>
      </c>
      <c r="EG299" s="2" t="n">
        <v>99.53</v>
      </c>
      <c r="EH299" s="2" t="n">
        <v>100</v>
      </c>
      <c r="EI299" s="2" t="n">
        <v>100</v>
      </c>
      <c r="EJ299" s="2" t="n">
        <v>99.53</v>
      </c>
      <c r="EK299" s="2" t="n">
        <v>100</v>
      </c>
      <c r="EL299" s="2" t="n">
        <v>100</v>
      </c>
      <c r="EM299" s="2" t="n">
        <v>99.53</v>
      </c>
      <c r="EN299" s="2" t="n">
        <v>100</v>
      </c>
      <c r="EO299" s="2" t="n">
        <v>100</v>
      </c>
      <c r="EP299" s="2" t="n">
        <v>99.53</v>
      </c>
      <c r="EQ299" s="2" t="n">
        <v>100</v>
      </c>
      <c r="ER299" s="2" t="n">
        <v>100</v>
      </c>
      <c r="ES299" s="2" t="n">
        <v>99.53</v>
      </c>
    </row>
    <row r="300">
      <c r="A300" s="2" t="n">
        <v>3</v>
      </c>
      <c r="B300" s="2" t="inlineStr">
        <is>
          <t>15.03.03</t>
        </is>
      </c>
      <c r="C300" s="2" t="inlineStr">
        <is>
          <t>Perfuração com Ø 110cm - com lama</t>
        </is>
      </c>
      <c r="D300" s="2" t="inlineStr">
        <is>
          <t>13/10/2025</t>
        </is>
      </c>
      <c r="E300" s="2" t="inlineStr">
        <is>
          <t>03/03/2026</t>
        </is>
      </c>
      <c r="F300" s="2" t="n">
        <v>75348</v>
      </c>
      <c r="G300" s="2" t="n">
        <v>0</v>
      </c>
      <c r="H300" s="2" t="n">
        <v>75348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17.44</v>
      </c>
      <c r="V300" s="2" t="n">
        <v>17.44</v>
      </c>
      <c r="W300" s="2" t="n">
        <v>21.06</v>
      </c>
      <c r="X300" s="2" t="n">
        <v>39.53</v>
      </c>
      <c r="Y300" s="2" t="n">
        <v>39.53</v>
      </c>
      <c r="Z300" s="2" t="n">
        <v>46.99</v>
      </c>
      <c r="AA300" s="2" t="n">
        <v>55.81</v>
      </c>
      <c r="AB300" s="2" t="n">
        <v>55.81</v>
      </c>
      <c r="AC300" s="2" t="n">
        <v>62.54</v>
      </c>
      <c r="AD300" s="2" t="n">
        <v>79.06999999999999</v>
      </c>
      <c r="AE300" s="2" t="n">
        <v>79.06999999999999</v>
      </c>
      <c r="AF300" s="2" t="n">
        <v>80.98</v>
      </c>
      <c r="AG300" s="2" t="n">
        <v>100</v>
      </c>
      <c r="AH300" s="2" t="n">
        <v>99.53</v>
      </c>
      <c r="AI300" s="2" t="n">
        <v>94.31</v>
      </c>
      <c r="AJ300" s="2" t="n">
        <v>100</v>
      </c>
      <c r="AK300" s="2" t="n">
        <v>100</v>
      </c>
      <c r="AL300" s="2" t="n">
        <v>99.53</v>
      </c>
      <c r="AM300" s="2" t="n">
        <v>100</v>
      </c>
      <c r="AN300" s="2" t="n">
        <v>100</v>
      </c>
      <c r="AO300" s="2" t="n">
        <v>99.53</v>
      </c>
      <c r="AP300" s="2" t="n">
        <v>100</v>
      </c>
      <c r="AQ300" s="2" t="n">
        <v>100</v>
      </c>
      <c r="AR300" s="2" t="n">
        <v>99.53</v>
      </c>
      <c r="AS300" s="2" t="n">
        <v>100</v>
      </c>
      <c r="AT300" s="2" t="n">
        <v>100</v>
      </c>
      <c r="AU300" s="2" t="n">
        <v>99.53</v>
      </c>
      <c r="AV300" s="2" t="n">
        <v>100</v>
      </c>
      <c r="AW300" s="2" t="n">
        <v>100</v>
      </c>
      <c r="AX300" s="2" t="n">
        <v>99.53</v>
      </c>
      <c r="AY300" s="2" t="n">
        <v>100</v>
      </c>
      <c r="AZ300" s="2" t="n">
        <v>100</v>
      </c>
      <c r="BA300" s="2" t="n">
        <v>99.53</v>
      </c>
      <c r="BB300" s="2" t="n">
        <v>100</v>
      </c>
      <c r="BC300" s="2" t="n">
        <v>100</v>
      </c>
      <c r="BD300" s="2" t="n">
        <v>99.53</v>
      </c>
      <c r="BE300" s="2" t="n">
        <v>100</v>
      </c>
      <c r="BF300" s="2" t="n">
        <v>100</v>
      </c>
      <c r="BG300" s="2" t="n">
        <v>99.53</v>
      </c>
      <c r="BH300" s="2" t="n">
        <v>100</v>
      </c>
      <c r="BI300" s="2" t="n">
        <v>100</v>
      </c>
      <c r="BJ300" s="2" t="n">
        <v>99.53</v>
      </c>
      <c r="BK300" s="2" t="n">
        <v>100</v>
      </c>
      <c r="BL300" s="2" t="n">
        <v>100</v>
      </c>
      <c r="BM300" s="2" t="n">
        <v>99.53</v>
      </c>
      <c r="BN300" s="2" t="n">
        <v>100</v>
      </c>
      <c r="BO300" s="2" t="n">
        <v>100</v>
      </c>
      <c r="BP300" s="2" t="n">
        <v>99.53</v>
      </c>
      <c r="BQ300" s="2" t="n">
        <v>100</v>
      </c>
      <c r="BR300" s="2" t="n">
        <v>100</v>
      </c>
      <c r="BS300" s="2" t="n">
        <v>99.53</v>
      </c>
      <c r="BT300" s="2" t="n">
        <v>100</v>
      </c>
      <c r="BU300" s="2" t="n">
        <v>100</v>
      </c>
      <c r="BV300" s="2" t="n">
        <v>99.53</v>
      </c>
      <c r="BW300" s="2" t="n">
        <v>100</v>
      </c>
      <c r="BX300" s="2" t="n">
        <v>100</v>
      </c>
      <c r="BY300" s="2" t="n">
        <v>99.53</v>
      </c>
      <c r="BZ300" s="2" t="n">
        <v>100</v>
      </c>
      <c r="CA300" s="2" t="n">
        <v>100</v>
      </c>
      <c r="CB300" s="2" t="n">
        <v>99.53</v>
      </c>
      <c r="CC300" s="2" t="n">
        <v>100</v>
      </c>
      <c r="CD300" s="2" t="n">
        <v>100</v>
      </c>
      <c r="CE300" s="2" t="n">
        <v>99.53</v>
      </c>
      <c r="CF300" s="2" t="n">
        <v>100</v>
      </c>
      <c r="CG300" s="2" t="n">
        <v>100</v>
      </c>
      <c r="CH300" s="2" t="n">
        <v>99.53</v>
      </c>
      <c r="CI300" s="2" t="n">
        <v>100</v>
      </c>
      <c r="CJ300" s="2" t="n">
        <v>100</v>
      </c>
      <c r="CK300" s="2" t="n">
        <v>99.53</v>
      </c>
      <c r="CL300" s="2" t="n">
        <v>100</v>
      </c>
      <c r="CM300" s="2" t="n">
        <v>100</v>
      </c>
      <c r="CN300" s="2" t="n">
        <v>99.53</v>
      </c>
      <c r="CO300" s="2" t="n">
        <v>100</v>
      </c>
      <c r="CP300" s="2" t="n">
        <v>100</v>
      </c>
      <c r="CQ300" s="2" t="n">
        <v>99.53</v>
      </c>
      <c r="CR300" s="2" t="n">
        <v>100</v>
      </c>
      <c r="CS300" s="2" t="n">
        <v>100</v>
      </c>
      <c r="CT300" s="2" t="n">
        <v>99.53</v>
      </c>
      <c r="CU300" s="2" t="n">
        <v>100</v>
      </c>
      <c r="CV300" s="2" t="n">
        <v>100</v>
      </c>
      <c r="CW300" s="2" t="n">
        <v>99.53</v>
      </c>
      <c r="CX300" s="2" t="n">
        <v>100</v>
      </c>
      <c r="CY300" s="2" t="n">
        <v>100</v>
      </c>
      <c r="CZ300" s="2" t="n">
        <v>99.53</v>
      </c>
      <c r="DA300" s="2" t="n">
        <v>100</v>
      </c>
      <c r="DB300" s="2" t="n">
        <v>100</v>
      </c>
      <c r="DC300" s="2" t="n">
        <v>99.53</v>
      </c>
      <c r="DD300" s="2" t="n">
        <v>100</v>
      </c>
      <c r="DE300" s="2" t="n">
        <v>100</v>
      </c>
      <c r="DF300" s="2" t="n">
        <v>99.53</v>
      </c>
      <c r="DG300" s="2" t="n">
        <v>100</v>
      </c>
      <c r="DH300" s="2" t="n">
        <v>100</v>
      </c>
      <c r="DI300" s="2" t="n">
        <v>99.53</v>
      </c>
      <c r="DJ300" s="2" t="n">
        <v>100</v>
      </c>
      <c r="DK300" s="2" t="n">
        <v>100</v>
      </c>
      <c r="DL300" s="2" t="n">
        <v>99.53</v>
      </c>
      <c r="DM300" s="2" t="n">
        <v>100</v>
      </c>
      <c r="DN300" s="2" t="n">
        <v>100</v>
      </c>
      <c r="DO300" s="2" t="n">
        <v>99.53</v>
      </c>
      <c r="DP300" s="2" t="n">
        <v>100</v>
      </c>
      <c r="DQ300" s="2" t="n">
        <v>100</v>
      </c>
      <c r="DR300" s="2" t="n">
        <v>99.53</v>
      </c>
      <c r="DS300" s="2" t="n">
        <v>100</v>
      </c>
      <c r="DT300" s="2" t="n">
        <v>100</v>
      </c>
      <c r="DU300" s="2" t="n">
        <v>99.53</v>
      </c>
      <c r="DV300" s="2" t="n">
        <v>100</v>
      </c>
      <c r="DW300" s="2" t="n">
        <v>100</v>
      </c>
      <c r="DX300" s="2" t="n">
        <v>99.53</v>
      </c>
      <c r="DY300" s="2" t="n">
        <v>100</v>
      </c>
      <c r="DZ300" s="2" t="n">
        <v>100</v>
      </c>
      <c r="EA300" s="2" t="n">
        <v>99.53</v>
      </c>
      <c r="EB300" s="2" t="n">
        <v>100</v>
      </c>
      <c r="EC300" s="2" t="n">
        <v>100</v>
      </c>
      <c r="ED300" s="2" t="n">
        <v>99.53</v>
      </c>
      <c r="EE300" s="2" t="n">
        <v>100</v>
      </c>
      <c r="EF300" s="2" t="n">
        <v>100</v>
      </c>
      <c r="EG300" s="2" t="n">
        <v>99.53</v>
      </c>
      <c r="EH300" s="2" t="n">
        <v>100</v>
      </c>
      <c r="EI300" s="2" t="n">
        <v>100</v>
      </c>
      <c r="EJ300" s="2" t="n">
        <v>99.53</v>
      </c>
      <c r="EK300" s="2" t="n">
        <v>100</v>
      </c>
      <c r="EL300" s="2" t="n">
        <v>100</v>
      </c>
      <c r="EM300" s="2" t="n">
        <v>99.53</v>
      </c>
      <c r="EN300" s="2" t="n">
        <v>100</v>
      </c>
      <c r="EO300" s="2" t="n">
        <v>100</v>
      </c>
      <c r="EP300" s="2" t="n">
        <v>99.53</v>
      </c>
      <c r="EQ300" s="2" t="n">
        <v>100</v>
      </c>
      <c r="ER300" s="2" t="n">
        <v>100</v>
      </c>
      <c r="ES300" s="2" t="n">
        <v>99.53</v>
      </c>
    </row>
    <row r="301">
      <c r="A301" s="2" t="n">
        <v>3</v>
      </c>
      <c r="B301" s="2" t="inlineStr">
        <is>
          <t>15.03.04</t>
        </is>
      </c>
      <c r="C301" s="2" t="inlineStr">
        <is>
          <t>Perfuração com Ø 120cm - com lama</t>
        </is>
      </c>
      <c r="D301" s="2" t="inlineStr">
        <is>
          <t>13/10/2025</t>
        </is>
      </c>
      <c r="E301" s="2" t="inlineStr">
        <is>
          <t>03/03/2026</t>
        </is>
      </c>
      <c r="F301" s="2" t="n">
        <v>10488</v>
      </c>
      <c r="G301" s="2" t="n">
        <v>0</v>
      </c>
      <c r="H301" s="2" t="n">
        <v>10488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17.44</v>
      </c>
      <c r="V301" s="2" t="n">
        <v>17.44</v>
      </c>
      <c r="W301" s="2" t="n">
        <v>21.06</v>
      </c>
      <c r="X301" s="2" t="n">
        <v>39.53</v>
      </c>
      <c r="Y301" s="2" t="n">
        <v>39.53</v>
      </c>
      <c r="Z301" s="2" t="n">
        <v>46.99</v>
      </c>
      <c r="AA301" s="2" t="n">
        <v>55.81</v>
      </c>
      <c r="AB301" s="2" t="n">
        <v>55.81</v>
      </c>
      <c r="AC301" s="2" t="n">
        <v>62.54</v>
      </c>
      <c r="AD301" s="2" t="n">
        <v>79.06999999999999</v>
      </c>
      <c r="AE301" s="2" t="n">
        <v>79.06999999999999</v>
      </c>
      <c r="AF301" s="2" t="n">
        <v>80.98</v>
      </c>
      <c r="AG301" s="2" t="n">
        <v>100</v>
      </c>
      <c r="AH301" s="2" t="n">
        <v>99.53</v>
      </c>
      <c r="AI301" s="2" t="n">
        <v>94.31</v>
      </c>
      <c r="AJ301" s="2" t="n">
        <v>100</v>
      </c>
      <c r="AK301" s="2" t="n">
        <v>100</v>
      </c>
      <c r="AL301" s="2" t="n">
        <v>99.53</v>
      </c>
      <c r="AM301" s="2" t="n">
        <v>100</v>
      </c>
      <c r="AN301" s="2" t="n">
        <v>100</v>
      </c>
      <c r="AO301" s="2" t="n">
        <v>99.53</v>
      </c>
      <c r="AP301" s="2" t="n">
        <v>100</v>
      </c>
      <c r="AQ301" s="2" t="n">
        <v>100</v>
      </c>
      <c r="AR301" s="2" t="n">
        <v>99.53</v>
      </c>
      <c r="AS301" s="2" t="n">
        <v>100</v>
      </c>
      <c r="AT301" s="2" t="n">
        <v>100</v>
      </c>
      <c r="AU301" s="2" t="n">
        <v>99.53</v>
      </c>
      <c r="AV301" s="2" t="n">
        <v>100</v>
      </c>
      <c r="AW301" s="2" t="n">
        <v>100</v>
      </c>
      <c r="AX301" s="2" t="n">
        <v>99.53</v>
      </c>
      <c r="AY301" s="2" t="n">
        <v>100</v>
      </c>
      <c r="AZ301" s="2" t="n">
        <v>100</v>
      </c>
      <c r="BA301" s="2" t="n">
        <v>99.53</v>
      </c>
      <c r="BB301" s="2" t="n">
        <v>100</v>
      </c>
      <c r="BC301" s="2" t="n">
        <v>100</v>
      </c>
      <c r="BD301" s="2" t="n">
        <v>99.53</v>
      </c>
      <c r="BE301" s="2" t="n">
        <v>100</v>
      </c>
      <c r="BF301" s="2" t="n">
        <v>100</v>
      </c>
      <c r="BG301" s="2" t="n">
        <v>99.53</v>
      </c>
      <c r="BH301" s="2" t="n">
        <v>100</v>
      </c>
      <c r="BI301" s="2" t="n">
        <v>100</v>
      </c>
      <c r="BJ301" s="2" t="n">
        <v>99.53</v>
      </c>
      <c r="BK301" s="2" t="n">
        <v>100</v>
      </c>
      <c r="BL301" s="2" t="n">
        <v>100</v>
      </c>
      <c r="BM301" s="2" t="n">
        <v>99.53</v>
      </c>
      <c r="BN301" s="2" t="n">
        <v>100</v>
      </c>
      <c r="BO301" s="2" t="n">
        <v>100</v>
      </c>
      <c r="BP301" s="2" t="n">
        <v>99.53</v>
      </c>
      <c r="BQ301" s="2" t="n">
        <v>100</v>
      </c>
      <c r="BR301" s="2" t="n">
        <v>100</v>
      </c>
      <c r="BS301" s="2" t="n">
        <v>99.53</v>
      </c>
      <c r="BT301" s="2" t="n">
        <v>100</v>
      </c>
      <c r="BU301" s="2" t="n">
        <v>100</v>
      </c>
      <c r="BV301" s="2" t="n">
        <v>99.53</v>
      </c>
      <c r="BW301" s="2" t="n">
        <v>100</v>
      </c>
      <c r="BX301" s="2" t="n">
        <v>100</v>
      </c>
      <c r="BY301" s="2" t="n">
        <v>99.53</v>
      </c>
      <c r="BZ301" s="2" t="n">
        <v>100</v>
      </c>
      <c r="CA301" s="2" t="n">
        <v>100</v>
      </c>
      <c r="CB301" s="2" t="n">
        <v>99.53</v>
      </c>
      <c r="CC301" s="2" t="n">
        <v>100</v>
      </c>
      <c r="CD301" s="2" t="n">
        <v>100</v>
      </c>
      <c r="CE301" s="2" t="n">
        <v>99.53</v>
      </c>
      <c r="CF301" s="2" t="n">
        <v>100</v>
      </c>
      <c r="CG301" s="2" t="n">
        <v>100</v>
      </c>
      <c r="CH301" s="2" t="n">
        <v>99.53</v>
      </c>
      <c r="CI301" s="2" t="n">
        <v>100</v>
      </c>
      <c r="CJ301" s="2" t="n">
        <v>100</v>
      </c>
      <c r="CK301" s="2" t="n">
        <v>99.53</v>
      </c>
      <c r="CL301" s="2" t="n">
        <v>100</v>
      </c>
      <c r="CM301" s="2" t="n">
        <v>100</v>
      </c>
      <c r="CN301" s="2" t="n">
        <v>99.53</v>
      </c>
      <c r="CO301" s="2" t="n">
        <v>100</v>
      </c>
      <c r="CP301" s="2" t="n">
        <v>100</v>
      </c>
      <c r="CQ301" s="2" t="n">
        <v>99.53</v>
      </c>
      <c r="CR301" s="2" t="n">
        <v>100</v>
      </c>
      <c r="CS301" s="2" t="n">
        <v>100</v>
      </c>
      <c r="CT301" s="2" t="n">
        <v>99.53</v>
      </c>
      <c r="CU301" s="2" t="n">
        <v>100</v>
      </c>
      <c r="CV301" s="2" t="n">
        <v>100</v>
      </c>
      <c r="CW301" s="2" t="n">
        <v>99.53</v>
      </c>
      <c r="CX301" s="2" t="n">
        <v>100</v>
      </c>
      <c r="CY301" s="2" t="n">
        <v>100</v>
      </c>
      <c r="CZ301" s="2" t="n">
        <v>99.53</v>
      </c>
      <c r="DA301" s="2" t="n">
        <v>100</v>
      </c>
      <c r="DB301" s="2" t="n">
        <v>100</v>
      </c>
      <c r="DC301" s="2" t="n">
        <v>99.53</v>
      </c>
      <c r="DD301" s="2" t="n">
        <v>100</v>
      </c>
      <c r="DE301" s="2" t="n">
        <v>100</v>
      </c>
      <c r="DF301" s="2" t="n">
        <v>99.53</v>
      </c>
      <c r="DG301" s="2" t="n">
        <v>100</v>
      </c>
      <c r="DH301" s="2" t="n">
        <v>100</v>
      </c>
      <c r="DI301" s="2" t="n">
        <v>99.53</v>
      </c>
      <c r="DJ301" s="2" t="n">
        <v>100</v>
      </c>
      <c r="DK301" s="2" t="n">
        <v>100</v>
      </c>
      <c r="DL301" s="2" t="n">
        <v>99.53</v>
      </c>
      <c r="DM301" s="2" t="n">
        <v>100</v>
      </c>
      <c r="DN301" s="2" t="n">
        <v>100</v>
      </c>
      <c r="DO301" s="2" t="n">
        <v>99.53</v>
      </c>
      <c r="DP301" s="2" t="n">
        <v>100</v>
      </c>
      <c r="DQ301" s="2" t="n">
        <v>100</v>
      </c>
      <c r="DR301" s="2" t="n">
        <v>99.53</v>
      </c>
      <c r="DS301" s="2" t="n">
        <v>100</v>
      </c>
      <c r="DT301" s="2" t="n">
        <v>100</v>
      </c>
      <c r="DU301" s="2" t="n">
        <v>99.53</v>
      </c>
      <c r="DV301" s="2" t="n">
        <v>100</v>
      </c>
      <c r="DW301" s="2" t="n">
        <v>100</v>
      </c>
      <c r="DX301" s="2" t="n">
        <v>99.53</v>
      </c>
      <c r="DY301" s="2" t="n">
        <v>100</v>
      </c>
      <c r="DZ301" s="2" t="n">
        <v>100</v>
      </c>
      <c r="EA301" s="2" t="n">
        <v>99.53</v>
      </c>
      <c r="EB301" s="2" t="n">
        <v>100</v>
      </c>
      <c r="EC301" s="2" t="n">
        <v>100</v>
      </c>
      <c r="ED301" s="2" t="n">
        <v>99.53</v>
      </c>
      <c r="EE301" s="2" t="n">
        <v>100</v>
      </c>
      <c r="EF301" s="2" t="n">
        <v>100</v>
      </c>
      <c r="EG301" s="2" t="n">
        <v>99.53</v>
      </c>
      <c r="EH301" s="2" t="n">
        <v>100</v>
      </c>
      <c r="EI301" s="2" t="n">
        <v>100</v>
      </c>
      <c r="EJ301" s="2" t="n">
        <v>99.53</v>
      </c>
      <c r="EK301" s="2" t="n">
        <v>100</v>
      </c>
      <c r="EL301" s="2" t="n">
        <v>100</v>
      </c>
      <c r="EM301" s="2" t="n">
        <v>99.53</v>
      </c>
      <c r="EN301" s="2" t="n">
        <v>100</v>
      </c>
      <c r="EO301" s="2" t="n">
        <v>100</v>
      </c>
      <c r="EP301" s="2" t="n">
        <v>99.53</v>
      </c>
      <c r="EQ301" s="2" t="n">
        <v>100</v>
      </c>
      <c r="ER301" s="2" t="n">
        <v>100</v>
      </c>
      <c r="ES301" s="2" t="n">
        <v>99.53</v>
      </c>
    </row>
    <row r="302">
      <c r="A302" s="2" t="n">
        <v>3</v>
      </c>
      <c r="B302" s="2" t="inlineStr">
        <is>
          <t>15.03.05</t>
        </is>
      </c>
      <c r="C302" s="2" t="inlineStr">
        <is>
          <t>Perfuração com Ø 130cm - com lama</t>
        </is>
      </c>
      <c r="D302" s="2" t="inlineStr">
        <is>
          <t>13/10/2025</t>
        </is>
      </c>
      <c r="E302" s="2" t="inlineStr">
        <is>
          <t>03/03/2026</t>
        </is>
      </c>
      <c r="F302" s="2" t="n">
        <v>91963.2</v>
      </c>
      <c r="G302" s="2" t="n">
        <v>0</v>
      </c>
      <c r="H302" s="2" t="n">
        <v>91963.2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17.44</v>
      </c>
      <c r="V302" s="2" t="n">
        <v>17.44</v>
      </c>
      <c r="W302" s="2" t="n">
        <v>21.06</v>
      </c>
      <c r="X302" s="2" t="n">
        <v>39.53</v>
      </c>
      <c r="Y302" s="2" t="n">
        <v>39.53</v>
      </c>
      <c r="Z302" s="2" t="n">
        <v>46.99</v>
      </c>
      <c r="AA302" s="2" t="n">
        <v>55.81</v>
      </c>
      <c r="AB302" s="2" t="n">
        <v>55.81</v>
      </c>
      <c r="AC302" s="2" t="n">
        <v>62.54</v>
      </c>
      <c r="AD302" s="2" t="n">
        <v>79.06999999999999</v>
      </c>
      <c r="AE302" s="2" t="n">
        <v>79.06999999999999</v>
      </c>
      <c r="AF302" s="2" t="n">
        <v>80.98</v>
      </c>
      <c r="AG302" s="2" t="n">
        <v>100</v>
      </c>
      <c r="AH302" s="2" t="n">
        <v>99.53</v>
      </c>
      <c r="AI302" s="2" t="n">
        <v>94.31</v>
      </c>
      <c r="AJ302" s="2" t="n">
        <v>100</v>
      </c>
      <c r="AK302" s="2" t="n">
        <v>100</v>
      </c>
      <c r="AL302" s="2" t="n">
        <v>99.53</v>
      </c>
      <c r="AM302" s="2" t="n">
        <v>100</v>
      </c>
      <c r="AN302" s="2" t="n">
        <v>100</v>
      </c>
      <c r="AO302" s="2" t="n">
        <v>99.53</v>
      </c>
      <c r="AP302" s="2" t="n">
        <v>100</v>
      </c>
      <c r="AQ302" s="2" t="n">
        <v>100</v>
      </c>
      <c r="AR302" s="2" t="n">
        <v>99.53</v>
      </c>
      <c r="AS302" s="2" t="n">
        <v>100</v>
      </c>
      <c r="AT302" s="2" t="n">
        <v>100</v>
      </c>
      <c r="AU302" s="2" t="n">
        <v>99.53</v>
      </c>
      <c r="AV302" s="2" t="n">
        <v>100</v>
      </c>
      <c r="AW302" s="2" t="n">
        <v>100</v>
      </c>
      <c r="AX302" s="2" t="n">
        <v>99.53</v>
      </c>
      <c r="AY302" s="2" t="n">
        <v>100</v>
      </c>
      <c r="AZ302" s="2" t="n">
        <v>100</v>
      </c>
      <c r="BA302" s="2" t="n">
        <v>99.53</v>
      </c>
      <c r="BB302" s="2" t="n">
        <v>100</v>
      </c>
      <c r="BC302" s="2" t="n">
        <v>100</v>
      </c>
      <c r="BD302" s="2" t="n">
        <v>99.53</v>
      </c>
      <c r="BE302" s="2" t="n">
        <v>100</v>
      </c>
      <c r="BF302" s="2" t="n">
        <v>100</v>
      </c>
      <c r="BG302" s="2" t="n">
        <v>99.53</v>
      </c>
      <c r="BH302" s="2" t="n">
        <v>100</v>
      </c>
      <c r="BI302" s="2" t="n">
        <v>100</v>
      </c>
      <c r="BJ302" s="2" t="n">
        <v>99.53</v>
      </c>
      <c r="BK302" s="2" t="n">
        <v>100</v>
      </c>
      <c r="BL302" s="2" t="n">
        <v>100</v>
      </c>
      <c r="BM302" s="2" t="n">
        <v>99.53</v>
      </c>
      <c r="BN302" s="2" t="n">
        <v>100</v>
      </c>
      <c r="BO302" s="2" t="n">
        <v>100</v>
      </c>
      <c r="BP302" s="2" t="n">
        <v>99.53</v>
      </c>
      <c r="BQ302" s="2" t="n">
        <v>100</v>
      </c>
      <c r="BR302" s="2" t="n">
        <v>100</v>
      </c>
      <c r="BS302" s="2" t="n">
        <v>99.53</v>
      </c>
      <c r="BT302" s="2" t="n">
        <v>100</v>
      </c>
      <c r="BU302" s="2" t="n">
        <v>100</v>
      </c>
      <c r="BV302" s="2" t="n">
        <v>99.53</v>
      </c>
      <c r="BW302" s="2" t="n">
        <v>100</v>
      </c>
      <c r="BX302" s="2" t="n">
        <v>100</v>
      </c>
      <c r="BY302" s="2" t="n">
        <v>99.53</v>
      </c>
      <c r="BZ302" s="2" t="n">
        <v>100</v>
      </c>
      <c r="CA302" s="2" t="n">
        <v>100</v>
      </c>
      <c r="CB302" s="2" t="n">
        <v>99.53</v>
      </c>
      <c r="CC302" s="2" t="n">
        <v>100</v>
      </c>
      <c r="CD302" s="2" t="n">
        <v>100</v>
      </c>
      <c r="CE302" s="2" t="n">
        <v>99.53</v>
      </c>
      <c r="CF302" s="2" t="n">
        <v>100</v>
      </c>
      <c r="CG302" s="2" t="n">
        <v>100</v>
      </c>
      <c r="CH302" s="2" t="n">
        <v>99.53</v>
      </c>
      <c r="CI302" s="2" t="n">
        <v>100</v>
      </c>
      <c r="CJ302" s="2" t="n">
        <v>100</v>
      </c>
      <c r="CK302" s="2" t="n">
        <v>99.53</v>
      </c>
      <c r="CL302" s="2" t="n">
        <v>100</v>
      </c>
      <c r="CM302" s="2" t="n">
        <v>100</v>
      </c>
      <c r="CN302" s="2" t="n">
        <v>99.53</v>
      </c>
      <c r="CO302" s="2" t="n">
        <v>100</v>
      </c>
      <c r="CP302" s="2" t="n">
        <v>100</v>
      </c>
      <c r="CQ302" s="2" t="n">
        <v>99.53</v>
      </c>
      <c r="CR302" s="2" t="n">
        <v>100</v>
      </c>
      <c r="CS302" s="2" t="n">
        <v>100</v>
      </c>
      <c r="CT302" s="2" t="n">
        <v>99.53</v>
      </c>
      <c r="CU302" s="2" t="n">
        <v>100</v>
      </c>
      <c r="CV302" s="2" t="n">
        <v>100</v>
      </c>
      <c r="CW302" s="2" t="n">
        <v>99.53</v>
      </c>
      <c r="CX302" s="2" t="n">
        <v>100</v>
      </c>
      <c r="CY302" s="2" t="n">
        <v>100</v>
      </c>
      <c r="CZ302" s="2" t="n">
        <v>99.53</v>
      </c>
      <c r="DA302" s="2" t="n">
        <v>100</v>
      </c>
      <c r="DB302" s="2" t="n">
        <v>100</v>
      </c>
      <c r="DC302" s="2" t="n">
        <v>99.53</v>
      </c>
      <c r="DD302" s="2" t="n">
        <v>100</v>
      </c>
      <c r="DE302" s="2" t="n">
        <v>100</v>
      </c>
      <c r="DF302" s="2" t="n">
        <v>99.53</v>
      </c>
      <c r="DG302" s="2" t="n">
        <v>100</v>
      </c>
      <c r="DH302" s="2" t="n">
        <v>100</v>
      </c>
      <c r="DI302" s="2" t="n">
        <v>99.53</v>
      </c>
      <c r="DJ302" s="2" t="n">
        <v>100</v>
      </c>
      <c r="DK302" s="2" t="n">
        <v>100</v>
      </c>
      <c r="DL302" s="2" t="n">
        <v>99.53</v>
      </c>
      <c r="DM302" s="2" t="n">
        <v>100</v>
      </c>
      <c r="DN302" s="2" t="n">
        <v>100</v>
      </c>
      <c r="DO302" s="2" t="n">
        <v>99.53</v>
      </c>
      <c r="DP302" s="2" t="n">
        <v>100</v>
      </c>
      <c r="DQ302" s="2" t="n">
        <v>100</v>
      </c>
      <c r="DR302" s="2" t="n">
        <v>99.53</v>
      </c>
      <c r="DS302" s="2" t="n">
        <v>100</v>
      </c>
      <c r="DT302" s="2" t="n">
        <v>100</v>
      </c>
      <c r="DU302" s="2" t="n">
        <v>99.53</v>
      </c>
      <c r="DV302" s="2" t="n">
        <v>100</v>
      </c>
      <c r="DW302" s="2" t="n">
        <v>100</v>
      </c>
      <c r="DX302" s="2" t="n">
        <v>99.53</v>
      </c>
      <c r="DY302" s="2" t="n">
        <v>100</v>
      </c>
      <c r="DZ302" s="2" t="n">
        <v>100</v>
      </c>
      <c r="EA302" s="2" t="n">
        <v>99.53</v>
      </c>
      <c r="EB302" s="2" t="n">
        <v>100</v>
      </c>
      <c r="EC302" s="2" t="n">
        <v>100</v>
      </c>
      <c r="ED302" s="2" t="n">
        <v>99.53</v>
      </c>
      <c r="EE302" s="2" t="n">
        <v>100</v>
      </c>
      <c r="EF302" s="2" t="n">
        <v>100</v>
      </c>
      <c r="EG302" s="2" t="n">
        <v>99.53</v>
      </c>
      <c r="EH302" s="2" t="n">
        <v>100</v>
      </c>
      <c r="EI302" s="2" t="n">
        <v>100</v>
      </c>
      <c r="EJ302" s="2" t="n">
        <v>99.53</v>
      </c>
      <c r="EK302" s="2" t="n">
        <v>100</v>
      </c>
      <c r="EL302" s="2" t="n">
        <v>100</v>
      </c>
      <c r="EM302" s="2" t="n">
        <v>99.53</v>
      </c>
      <c r="EN302" s="2" t="n">
        <v>100</v>
      </c>
      <c r="EO302" s="2" t="n">
        <v>100</v>
      </c>
      <c r="EP302" s="2" t="n">
        <v>99.53</v>
      </c>
      <c r="EQ302" s="2" t="n">
        <v>100</v>
      </c>
      <c r="ER302" s="2" t="n">
        <v>100</v>
      </c>
      <c r="ES302" s="2" t="n">
        <v>99.53</v>
      </c>
    </row>
    <row r="303">
      <c r="A303" s="2" t="n">
        <v>3</v>
      </c>
      <c r="B303" s="2" t="inlineStr">
        <is>
          <t>15.03.06</t>
        </is>
      </c>
      <c r="C303" s="2" t="inlineStr">
        <is>
          <t>Perfuração com Ø 140cm - com lama</t>
        </is>
      </c>
      <c r="D303" s="2" t="inlineStr">
        <is>
          <t>13/10/2025</t>
        </is>
      </c>
      <c r="E303" s="2" t="inlineStr">
        <is>
          <t>03/03/2026</t>
        </is>
      </c>
      <c r="F303" s="2" t="n">
        <v>391552</v>
      </c>
      <c r="G303" s="2" t="n">
        <v>0</v>
      </c>
      <c r="H303" s="2" t="n">
        <v>391552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17.44</v>
      </c>
      <c r="V303" s="2" t="n">
        <v>17.44</v>
      </c>
      <c r="W303" s="2" t="n">
        <v>21.06</v>
      </c>
      <c r="X303" s="2" t="n">
        <v>39.53</v>
      </c>
      <c r="Y303" s="2" t="n">
        <v>39.53</v>
      </c>
      <c r="Z303" s="2" t="n">
        <v>46.99</v>
      </c>
      <c r="AA303" s="2" t="n">
        <v>55.81</v>
      </c>
      <c r="AB303" s="2" t="n">
        <v>55.81</v>
      </c>
      <c r="AC303" s="2" t="n">
        <v>62.54</v>
      </c>
      <c r="AD303" s="2" t="n">
        <v>79.06999999999999</v>
      </c>
      <c r="AE303" s="2" t="n">
        <v>79.06999999999999</v>
      </c>
      <c r="AF303" s="2" t="n">
        <v>80.98</v>
      </c>
      <c r="AG303" s="2" t="n">
        <v>100</v>
      </c>
      <c r="AH303" s="2" t="n">
        <v>99.53</v>
      </c>
      <c r="AI303" s="2" t="n">
        <v>94.31</v>
      </c>
      <c r="AJ303" s="2" t="n">
        <v>100</v>
      </c>
      <c r="AK303" s="2" t="n">
        <v>100</v>
      </c>
      <c r="AL303" s="2" t="n">
        <v>99.53</v>
      </c>
      <c r="AM303" s="2" t="n">
        <v>100</v>
      </c>
      <c r="AN303" s="2" t="n">
        <v>100</v>
      </c>
      <c r="AO303" s="2" t="n">
        <v>99.53</v>
      </c>
      <c r="AP303" s="2" t="n">
        <v>100</v>
      </c>
      <c r="AQ303" s="2" t="n">
        <v>100</v>
      </c>
      <c r="AR303" s="2" t="n">
        <v>99.53</v>
      </c>
      <c r="AS303" s="2" t="n">
        <v>100</v>
      </c>
      <c r="AT303" s="2" t="n">
        <v>100</v>
      </c>
      <c r="AU303" s="2" t="n">
        <v>99.53</v>
      </c>
      <c r="AV303" s="2" t="n">
        <v>100</v>
      </c>
      <c r="AW303" s="2" t="n">
        <v>100</v>
      </c>
      <c r="AX303" s="2" t="n">
        <v>99.53</v>
      </c>
      <c r="AY303" s="2" t="n">
        <v>100</v>
      </c>
      <c r="AZ303" s="2" t="n">
        <v>100</v>
      </c>
      <c r="BA303" s="2" t="n">
        <v>99.53</v>
      </c>
      <c r="BB303" s="2" t="n">
        <v>100</v>
      </c>
      <c r="BC303" s="2" t="n">
        <v>100</v>
      </c>
      <c r="BD303" s="2" t="n">
        <v>99.53</v>
      </c>
      <c r="BE303" s="2" t="n">
        <v>100</v>
      </c>
      <c r="BF303" s="2" t="n">
        <v>100</v>
      </c>
      <c r="BG303" s="2" t="n">
        <v>99.53</v>
      </c>
      <c r="BH303" s="2" t="n">
        <v>100</v>
      </c>
      <c r="BI303" s="2" t="n">
        <v>100</v>
      </c>
      <c r="BJ303" s="2" t="n">
        <v>99.53</v>
      </c>
      <c r="BK303" s="2" t="n">
        <v>100</v>
      </c>
      <c r="BL303" s="2" t="n">
        <v>100</v>
      </c>
      <c r="BM303" s="2" t="n">
        <v>99.53</v>
      </c>
      <c r="BN303" s="2" t="n">
        <v>100</v>
      </c>
      <c r="BO303" s="2" t="n">
        <v>100</v>
      </c>
      <c r="BP303" s="2" t="n">
        <v>99.53</v>
      </c>
      <c r="BQ303" s="2" t="n">
        <v>100</v>
      </c>
      <c r="BR303" s="2" t="n">
        <v>100</v>
      </c>
      <c r="BS303" s="2" t="n">
        <v>99.53</v>
      </c>
      <c r="BT303" s="2" t="n">
        <v>100</v>
      </c>
      <c r="BU303" s="2" t="n">
        <v>100</v>
      </c>
      <c r="BV303" s="2" t="n">
        <v>99.53</v>
      </c>
      <c r="BW303" s="2" t="n">
        <v>100</v>
      </c>
      <c r="BX303" s="2" t="n">
        <v>100</v>
      </c>
      <c r="BY303" s="2" t="n">
        <v>99.53</v>
      </c>
      <c r="BZ303" s="2" t="n">
        <v>100</v>
      </c>
      <c r="CA303" s="2" t="n">
        <v>100</v>
      </c>
      <c r="CB303" s="2" t="n">
        <v>99.53</v>
      </c>
      <c r="CC303" s="2" t="n">
        <v>100</v>
      </c>
      <c r="CD303" s="2" t="n">
        <v>100</v>
      </c>
      <c r="CE303" s="2" t="n">
        <v>99.53</v>
      </c>
      <c r="CF303" s="2" t="n">
        <v>100</v>
      </c>
      <c r="CG303" s="2" t="n">
        <v>100</v>
      </c>
      <c r="CH303" s="2" t="n">
        <v>99.53</v>
      </c>
      <c r="CI303" s="2" t="n">
        <v>100</v>
      </c>
      <c r="CJ303" s="2" t="n">
        <v>100</v>
      </c>
      <c r="CK303" s="2" t="n">
        <v>99.53</v>
      </c>
      <c r="CL303" s="2" t="n">
        <v>100</v>
      </c>
      <c r="CM303" s="2" t="n">
        <v>100</v>
      </c>
      <c r="CN303" s="2" t="n">
        <v>99.53</v>
      </c>
      <c r="CO303" s="2" t="n">
        <v>100</v>
      </c>
      <c r="CP303" s="2" t="n">
        <v>100</v>
      </c>
      <c r="CQ303" s="2" t="n">
        <v>99.53</v>
      </c>
      <c r="CR303" s="2" t="n">
        <v>100</v>
      </c>
      <c r="CS303" s="2" t="n">
        <v>100</v>
      </c>
      <c r="CT303" s="2" t="n">
        <v>99.53</v>
      </c>
      <c r="CU303" s="2" t="n">
        <v>100</v>
      </c>
      <c r="CV303" s="2" t="n">
        <v>100</v>
      </c>
      <c r="CW303" s="2" t="n">
        <v>99.53</v>
      </c>
      <c r="CX303" s="2" t="n">
        <v>100</v>
      </c>
      <c r="CY303" s="2" t="n">
        <v>100</v>
      </c>
      <c r="CZ303" s="2" t="n">
        <v>99.53</v>
      </c>
      <c r="DA303" s="2" t="n">
        <v>100</v>
      </c>
      <c r="DB303" s="2" t="n">
        <v>100</v>
      </c>
      <c r="DC303" s="2" t="n">
        <v>99.53</v>
      </c>
      <c r="DD303" s="2" t="n">
        <v>100</v>
      </c>
      <c r="DE303" s="2" t="n">
        <v>100</v>
      </c>
      <c r="DF303" s="2" t="n">
        <v>99.53</v>
      </c>
      <c r="DG303" s="2" t="n">
        <v>100</v>
      </c>
      <c r="DH303" s="2" t="n">
        <v>100</v>
      </c>
      <c r="DI303" s="2" t="n">
        <v>99.53</v>
      </c>
      <c r="DJ303" s="2" t="n">
        <v>100</v>
      </c>
      <c r="DK303" s="2" t="n">
        <v>100</v>
      </c>
      <c r="DL303" s="2" t="n">
        <v>99.53</v>
      </c>
      <c r="DM303" s="2" t="n">
        <v>100</v>
      </c>
      <c r="DN303" s="2" t="n">
        <v>100</v>
      </c>
      <c r="DO303" s="2" t="n">
        <v>99.53</v>
      </c>
      <c r="DP303" s="2" t="n">
        <v>100</v>
      </c>
      <c r="DQ303" s="2" t="n">
        <v>100</v>
      </c>
      <c r="DR303" s="2" t="n">
        <v>99.53</v>
      </c>
      <c r="DS303" s="2" t="n">
        <v>100</v>
      </c>
      <c r="DT303" s="2" t="n">
        <v>100</v>
      </c>
      <c r="DU303" s="2" t="n">
        <v>99.53</v>
      </c>
      <c r="DV303" s="2" t="n">
        <v>100</v>
      </c>
      <c r="DW303" s="2" t="n">
        <v>100</v>
      </c>
      <c r="DX303" s="2" t="n">
        <v>99.53</v>
      </c>
      <c r="DY303" s="2" t="n">
        <v>100</v>
      </c>
      <c r="DZ303" s="2" t="n">
        <v>100</v>
      </c>
      <c r="EA303" s="2" t="n">
        <v>99.53</v>
      </c>
      <c r="EB303" s="2" t="n">
        <v>100</v>
      </c>
      <c r="EC303" s="2" t="n">
        <v>100</v>
      </c>
      <c r="ED303" s="2" t="n">
        <v>99.53</v>
      </c>
      <c r="EE303" s="2" t="n">
        <v>100</v>
      </c>
      <c r="EF303" s="2" t="n">
        <v>100</v>
      </c>
      <c r="EG303" s="2" t="n">
        <v>99.53</v>
      </c>
      <c r="EH303" s="2" t="n">
        <v>100</v>
      </c>
      <c r="EI303" s="2" t="n">
        <v>100</v>
      </c>
      <c r="EJ303" s="2" t="n">
        <v>99.53</v>
      </c>
      <c r="EK303" s="2" t="n">
        <v>100</v>
      </c>
      <c r="EL303" s="2" t="n">
        <v>100</v>
      </c>
      <c r="EM303" s="2" t="n">
        <v>99.53</v>
      </c>
      <c r="EN303" s="2" t="n">
        <v>100</v>
      </c>
      <c r="EO303" s="2" t="n">
        <v>100</v>
      </c>
      <c r="EP303" s="2" t="n">
        <v>99.53</v>
      </c>
      <c r="EQ303" s="2" t="n">
        <v>100</v>
      </c>
      <c r="ER303" s="2" t="n">
        <v>100</v>
      </c>
      <c r="ES303" s="2" t="n">
        <v>99.53</v>
      </c>
    </row>
    <row r="304">
      <c r="A304" s="2" t="n">
        <v>3</v>
      </c>
      <c r="B304" s="2" t="inlineStr">
        <is>
          <t>15.03.07</t>
        </is>
      </c>
      <c r="C304" s="2" t="inlineStr">
        <is>
          <t>Perfuração com Ø 150cm - com lama</t>
        </is>
      </c>
      <c r="D304" s="2" t="inlineStr">
        <is>
          <t>13/10/2025</t>
        </is>
      </c>
      <c r="E304" s="2" t="inlineStr">
        <is>
          <t>03/03/2026</t>
        </is>
      </c>
      <c r="F304" s="2" t="n">
        <v>96677.28</v>
      </c>
      <c r="G304" s="2" t="n">
        <v>0</v>
      </c>
      <c r="H304" s="2" t="n">
        <v>96677.28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17.44</v>
      </c>
      <c r="V304" s="2" t="n">
        <v>17.44</v>
      </c>
      <c r="W304" s="2" t="n">
        <v>21.06</v>
      </c>
      <c r="X304" s="2" t="n">
        <v>39.53</v>
      </c>
      <c r="Y304" s="2" t="n">
        <v>39.53</v>
      </c>
      <c r="Z304" s="2" t="n">
        <v>46.99</v>
      </c>
      <c r="AA304" s="2" t="n">
        <v>55.81</v>
      </c>
      <c r="AB304" s="2" t="n">
        <v>55.81</v>
      </c>
      <c r="AC304" s="2" t="n">
        <v>62.54</v>
      </c>
      <c r="AD304" s="2" t="n">
        <v>79.06999999999999</v>
      </c>
      <c r="AE304" s="2" t="n">
        <v>79.06999999999999</v>
      </c>
      <c r="AF304" s="2" t="n">
        <v>80.98</v>
      </c>
      <c r="AG304" s="2" t="n">
        <v>100</v>
      </c>
      <c r="AH304" s="2" t="n">
        <v>99.53</v>
      </c>
      <c r="AI304" s="2" t="n">
        <v>94.31</v>
      </c>
      <c r="AJ304" s="2" t="n">
        <v>100</v>
      </c>
      <c r="AK304" s="2" t="n">
        <v>100</v>
      </c>
      <c r="AL304" s="2" t="n">
        <v>99.53</v>
      </c>
      <c r="AM304" s="2" t="n">
        <v>100</v>
      </c>
      <c r="AN304" s="2" t="n">
        <v>100</v>
      </c>
      <c r="AO304" s="2" t="n">
        <v>99.53</v>
      </c>
      <c r="AP304" s="2" t="n">
        <v>100</v>
      </c>
      <c r="AQ304" s="2" t="n">
        <v>100</v>
      </c>
      <c r="AR304" s="2" t="n">
        <v>99.53</v>
      </c>
      <c r="AS304" s="2" t="n">
        <v>100</v>
      </c>
      <c r="AT304" s="2" t="n">
        <v>100</v>
      </c>
      <c r="AU304" s="2" t="n">
        <v>99.53</v>
      </c>
      <c r="AV304" s="2" t="n">
        <v>100</v>
      </c>
      <c r="AW304" s="2" t="n">
        <v>100</v>
      </c>
      <c r="AX304" s="2" t="n">
        <v>99.53</v>
      </c>
      <c r="AY304" s="2" t="n">
        <v>100</v>
      </c>
      <c r="AZ304" s="2" t="n">
        <v>100</v>
      </c>
      <c r="BA304" s="2" t="n">
        <v>99.53</v>
      </c>
      <c r="BB304" s="2" t="n">
        <v>100</v>
      </c>
      <c r="BC304" s="2" t="n">
        <v>100</v>
      </c>
      <c r="BD304" s="2" t="n">
        <v>99.53</v>
      </c>
      <c r="BE304" s="2" t="n">
        <v>100</v>
      </c>
      <c r="BF304" s="2" t="n">
        <v>100</v>
      </c>
      <c r="BG304" s="2" t="n">
        <v>99.53</v>
      </c>
      <c r="BH304" s="2" t="n">
        <v>100</v>
      </c>
      <c r="BI304" s="2" t="n">
        <v>100</v>
      </c>
      <c r="BJ304" s="2" t="n">
        <v>99.53</v>
      </c>
      <c r="BK304" s="2" t="n">
        <v>100</v>
      </c>
      <c r="BL304" s="2" t="n">
        <v>100</v>
      </c>
      <c r="BM304" s="2" t="n">
        <v>99.53</v>
      </c>
      <c r="BN304" s="2" t="n">
        <v>100</v>
      </c>
      <c r="BO304" s="2" t="n">
        <v>100</v>
      </c>
      <c r="BP304" s="2" t="n">
        <v>99.53</v>
      </c>
      <c r="BQ304" s="2" t="n">
        <v>100</v>
      </c>
      <c r="BR304" s="2" t="n">
        <v>100</v>
      </c>
      <c r="BS304" s="2" t="n">
        <v>99.53</v>
      </c>
      <c r="BT304" s="2" t="n">
        <v>100</v>
      </c>
      <c r="BU304" s="2" t="n">
        <v>100</v>
      </c>
      <c r="BV304" s="2" t="n">
        <v>99.53</v>
      </c>
      <c r="BW304" s="2" t="n">
        <v>100</v>
      </c>
      <c r="BX304" s="2" t="n">
        <v>100</v>
      </c>
      <c r="BY304" s="2" t="n">
        <v>99.53</v>
      </c>
      <c r="BZ304" s="2" t="n">
        <v>100</v>
      </c>
      <c r="CA304" s="2" t="n">
        <v>100</v>
      </c>
      <c r="CB304" s="2" t="n">
        <v>99.53</v>
      </c>
      <c r="CC304" s="2" t="n">
        <v>100</v>
      </c>
      <c r="CD304" s="2" t="n">
        <v>100</v>
      </c>
      <c r="CE304" s="2" t="n">
        <v>99.53</v>
      </c>
      <c r="CF304" s="2" t="n">
        <v>100</v>
      </c>
      <c r="CG304" s="2" t="n">
        <v>100</v>
      </c>
      <c r="CH304" s="2" t="n">
        <v>99.53</v>
      </c>
      <c r="CI304" s="2" t="n">
        <v>100</v>
      </c>
      <c r="CJ304" s="2" t="n">
        <v>100</v>
      </c>
      <c r="CK304" s="2" t="n">
        <v>99.53</v>
      </c>
      <c r="CL304" s="2" t="n">
        <v>100</v>
      </c>
      <c r="CM304" s="2" t="n">
        <v>100</v>
      </c>
      <c r="CN304" s="2" t="n">
        <v>99.53</v>
      </c>
      <c r="CO304" s="2" t="n">
        <v>100</v>
      </c>
      <c r="CP304" s="2" t="n">
        <v>100</v>
      </c>
      <c r="CQ304" s="2" t="n">
        <v>99.53</v>
      </c>
      <c r="CR304" s="2" t="n">
        <v>100</v>
      </c>
      <c r="CS304" s="2" t="n">
        <v>100</v>
      </c>
      <c r="CT304" s="2" t="n">
        <v>99.53</v>
      </c>
      <c r="CU304" s="2" t="n">
        <v>100</v>
      </c>
      <c r="CV304" s="2" t="n">
        <v>100</v>
      </c>
      <c r="CW304" s="2" t="n">
        <v>99.53</v>
      </c>
      <c r="CX304" s="2" t="n">
        <v>100</v>
      </c>
      <c r="CY304" s="2" t="n">
        <v>100</v>
      </c>
      <c r="CZ304" s="2" t="n">
        <v>99.53</v>
      </c>
      <c r="DA304" s="2" t="n">
        <v>100</v>
      </c>
      <c r="DB304" s="2" t="n">
        <v>100</v>
      </c>
      <c r="DC304" s="2" t="n">
        <v>99.53</v>
      </c>
      <c r="DD304" s="2" t="n">
        <v>100</v>
      </c>
      <c r="DE304" s="2" t="n">
        <v>100</v>
      </c>
      <c r="DF304" s="2" t="n">
        <v>99.53</v>
      </c>
      <c r="DG304" s="2" t="n">
        <v>100</v>
      </c>
      <c r="DH304" s="2" t="n">
        <v>100</v>
      </c>
      <c r="DI304" s="2" t="n">
        <v>99.53</v>
      </c>
      <c r="DJ304" s="2" t="n">
        <v>100</v>
      </c>
      <c r="DK304" s="2" t="n">
        <v>100</v>
      </c>
      <c r="DL304" s="2" t="n">
        <v>99.53</v>
      </c>
      <c r="DM304" s="2" t="n">
        <v>100</v>
      </c>
      <c r="DN304" s="2" t="n">
        <v>100</v>
      </c>
      <c r="DO304" s="2" t="n">
        <v>99.53</v>
      </c>
      <c r="DP304" s="2" t="n">
        <v>100</v>
      </c>
      <c r="DQ304" s="2" t="n">
        <v>100</v>
      </c>
      <c r="DR304" s="2" t="n">
        <v>99.53</v>
      </c>
      <c r="DS304" s="2" t="n">
        <v>100</v>
      </c>
      <c r="DT304" s="2" t="n">
        <v>100</v>
      </c>
      <c r="DU304" s="2" t="n">
        <v>99.53</v>
      </c>
      <c r="DV304" s="2" t="n">
        <v>100</v>
      </c>
      <c r="DW304" s="2" t="n">
        <v>100</v>
      </c>
      <c r="DX304" s="2" t="n">
        <v>99.53</v>
      </c>
      <c r="DY304" s="2" t="n">
        <v>100</v>
      </c>
      <c r="DZ304" s="2" t="n">
        <v>100</v>
      </c>
      <c r="EA304" s="2" t="n">
        <v>99.53</v>
      </c>
      <c r="EB304" s="2" t="n">
        <v>100</v>
      </c>
      <c r="EC304" s="2" t="n">
        <v>100</v>
      </c>
      <c r="ED304" s="2" t="n">
        <v>99.53</v>
      </c>
      <c r="EE304" s="2" t="n">
        <v>100</v>
      </c>
      <c r="EF304" s="2" t="n">
        <v>100</v>
      </c>
      <c r="EG304" s="2" t="n">
        <v>99.53</v>
      </c>
      <c r="EH304" s="2" t="n">
        <v>100</v>
      </c>
      <c r="EI304" s="2" t="n">
        <v>100</v>
      </c>
      <c r="EJ304" s="2" t="n">
        <v>99.53</v>
      </c>
      <c r="EK304" s="2" t="n">
        <v>100</v>
      </c>
      <c r="EL304" s="2" t="n">
        <v>100</v>
      </c>
      <c r="EM304" s="2" t="n">
        <v>99.53</v>
      </c>
      <c r="EN304" s="2" t="n">
        <v>100</v>
      </c>
      <c r="EO304" s="2" t="n">
        <v>100</v>
      </c>
      <c r="EP304" s="2" t="n">
        <v>99.53</v>
      </c>
      <c r="EQ304" s="2" t="n">
        <v>100</v>
      </c>
      <c r="ER304" s="2" t="n">
        <v>100</v>
      </c>
      <c r="ES304" s="2" t="n">
        <v>99.53</v>
      </c>
    </row>
    <row r="305">
      <c r="A305" s="2" t="n">
        <v>2</v>
      </c>
      <c r="B305" s="2" t="inlineStr">
        <is>
          <t>15.04</t>
        </is>
      </c>
      <c r="C305" s="2" t="inlineStr">
        <is>
          <t>Itens complementares</t>
        </is>
      </c>
      <c r="D305" s="2" t="inlineStr">
        <is>
          <t>13/10/2025</t>
        </is>
      </c>
      <c r="E305" s="2" t="inlineStr">
        <is>
          <t>03/03/2026</t>
        </is>
      </c>
      <c r="F305" s="2" t="n">
        <v>4327134.83786988</v>
      </c>
      <c r="G305" s="2" t="n">
        <v>0</v>
      </c>
      <c r="H305" s="2" t="n">
        <v>4327134.83786988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17.44</v>
      </c>
      <c r="V305" s="2" t="n">
        <v>17.44</v>
      </c>
      <c r="W305" s="2" t="n">
        <v>21.06</v>
      </c>
      <c r="X305" s="2" t="n">
        <v>39.53</v>
      </c>
      <c r="Y305" s="2" t="n">
        <v>39.53</v>
      </c>
      <c r="Z305" s="2" t="n">
        <v>46.99</v>
      </c>
      <c r="AA305" s="2" t="n">
        <v>55.81</v>
      </c>
      <c r="AB305" s="2" t="n">
        <v>55.81</v>
      </c>
      <c r="AC305" s="2" t="n">
        <v>62.54</v>
      </c>
      <c r="AD305" s="2" t="n">
        <v>79.06999999999999</v>
      </c>
      <c r="AE305" s="2" t="n">
        <v>79.06999999999999</v>
      </c>
      <c r="AF305" s="2" t="n">
        <v>80.98</v>
      </c>
      <c r="AG305" s="2" t="n">
        <v>100</v>
      </c>
      <c r="AH305" s="2" t="n">
        <v>99.53</v>
      </c>
      <c r="AI305" s="2" t="n">
        <v>94.31</v>
      </c>
      <c r="AJ305" s="2" t="n">
        <v>100</v>
      </c>
      <c r="AK305" s="2" t="n">
        <v>100</v>
      </c>
      <c r="AL305" s="2" t="n">
        <v>99.53</v>
      </c>
      <c r="AM305" s="2" t="n">
        <v>100</v>
      </c>
      <c r="AN305" s="2" t="n">
        <v>100</v>
      </c>
      <c r="AO305" s="2" t="n">
        <v>99.53</v>
      </c>
      <c r="AP305" s="2" t="n">
        <v>100</v>
      </c>
      <c r="AQ305" s="2" t="n">
        <v>100</v>
      </c>
      <c r="AR305" s="2" t="n">
        <v>99.53</v>
      </c>
      <c r="AS305" s="2" t="n">
        <v>100</v>
      </c>
      <c r="AT305" s="2" t="n">
        <v>100</v>
      </c>
      <c r="AU305" s="2" t="n">
        <v>99.53</v>
      </c>
      <c r="AV305" s="2" t="n">
        <v>100</v>
      </c>
      <c r="AW305" s="2" t="n">
        <v>100</v>
      </c>
      <c r="AX305" s="2" t="n">
        <v>99.53</v>
      </c>
      <c r="AY305" s="2" t="n">
        <v>100</v>
      </c>
      <c r="AZ305" s="2" t="n">
        <v>100</v>
      </c>
      <c r="BA305" s="2" t="n">
        <v>99.53</v>
      </c>
      <c r="BB305" s="2" t="n">
        <v>100</v>
      </c>
      <c r="BC305" s="2" t="n">
        <v>100</v>
      </c>
      <c r="BD305" s="2" t="n">
        <v>99.53</v>
      </c>
      <c r="BE305" s="2" t="n">
        <v>100</v>
      </c>
      <c r="BF305" s="2" t="n">
        <v>100</v>
      </c>
      <c r="BG305" s="2" t="n">
        <v>99.53</v>
      </c>
      <c r="BH305" s="2" t="n">
        <v>100</v>
      </c>
      <c r="BI305" s="2" t="n">
        <v>100</v>
      </c>
      <c r="BJ305" s="2" t="n">
        <v>99.53</v>
      </c>
      <c r="BK305" s="2" t="n">
        <v>100</v>
      </c>
      <c r="BL305" s="2" t="n">
        <v>100</v>
      </c>
      <c r="BM305" s="2" t="n">
        <v>99.53</v>
      </c>
      <c r="BN305" s="2" t="n">
        <v>100</v>
      </c>
      <c r="BO305" s="2" t="n">
        <v>100</v>
      </c>
      <c r="BP305" s="2" t="n">
        <v>99.53</v>
      </c>
      <c r="BQ305" s="2" t="n">
        <v>100</v>
      </c>
      <c r="BR305" s="2" t="n">
        <v>100</v>
      </c>
      <c r="BS305" s="2" t="n">
        <v>99.53</v>
      </c>
      <c r="BT305" s="2" t="n">
        <v>100</v>
      </c>
      <c r="BU305" s="2" t="n">
        <v>100</v>
      </c>
      <c r="BV305" s="2" t="n">
        <v>99.53</v>
      </c>
      <c r="BW305" s="2" t="n">
        <v>100</v>
      </c>
      <c r="BX305" s="2" t="n">
        <v>100</v>
      </c>
      <c r="BY305" s="2" t="n">
        <v>99.53</v>
      </c>
      <c r="BZ305" s="2" t="n">
        <v>100</v>
      </c>
      <c r="CA305" s="2" t="n">
        <v>100</v>
      </c>
      <c r="CB305" s="2" t="n">
        <v>99.53</v>
      </c>
      <c r="CC305" s="2" t="n">
        <v>100</v>
      </c>
      <c r="CD305" s="2" t="n">
        <v>100</v>
      </c>
      <c r="CE305" s="2" t="n">
        <v>99.53</v>
      </c>
      <c r="CF305" s="2" t="n">
        <v>100</v>
      </c>
      <c r="CG305" s="2" t="n">
        <v>100</v>
      </c>
      <c r="CH305" s="2" t="n">
        <v>99.53</v>
      </c>
      <c r="CI305" s="2" t="n">
        <v>100</v>
      </c>
      <c r="CJ305" s="2" t="n">
        <v>100</v>
      </c>
      <c r="CK305" s="2" t="n">
        <v>99.53</v>
      </c>
      <c r="CL305" s="2" t="n">
        <v>100</v>
      </c>
      <c r="CM305" s="2" t="n">
        <v>100</v>
      </c>
      <c r="CN305" s="2" t="n">
        <v>99.53</v>
      </c>
      <c r="CO305" s="2" t="n">
        <v>100</v>
      </c>
      <c r="CP305" s="2" t="n">
        <v>100</v>
      </c>
      <c r="CQ305" s="2" t="n">
        <v>99.53</v>
      </c>
      <c r="CR305" s="2" t="n">
        <v>100</v>
      </c>
      <c r="CS305" s="2" t="n">
        <v>100</v>
      </c>
      <c r="CT305" s="2" t="n">
        <v>99.53</v>
      </c>
      <c r="CU305" s="2" t="n">
        <v>100</v>
      </c>
      <c r="CV305" s="2" t="n">
        <v>100</v>
      </c>
      <c r="CW305" s="2" t="n">
        <v>99.53</v>
      </c>
      <c r="CX305" s="2" t="n">
        <v>100</v>
      </c>
      <c r="CY305" s="2" t="n">
        <v>100</v>
      </c>
      <c r="CZ305" s="2" t="n">
        <v>99.53</v>
      </c>
      <c r="DA305" s="2" t="n">
        <v>100</v>
      </c>
      <c r="DB305" s="2" t="n">
        <v>100</v>
      </c>
      <c r="DC305" s="2" t="n">
        <v>99.53</v>
      </c>
      <c r="DD305" s="2" t="n">
        <v>100</v>
      </c>
      <c r="DE305" s="2" t="n">
        <v>100</v>
      </c>
      <c r="DF305" s="2" t="n">
        <v>99.53</v>
      </c>
      <c r="DG305" s="2" t="n">
        <v>100</v>
      </c>
      <c r="DH305" s="2" t="n">
        <v>100</v>
      </c>
      <c r="DI305" s="2" t="n">
        <v>99.53</v>
      </c>
      <c r="DJ305" s="2" t="n">
        <v>100</v>
      </c>
      <c r="DK305" s="2" t="n">
        <v>100</v>
      </c>
      <c r="DL305" s="2" t="n">
        <v>99.53</v>
      </c>
      <c r="DM305" s="2" t="n">
        <v>100</v>
      </c>
      <c r="DN305" s="2" t="n">
        <v>100</v>
      </c>
      <c r="DO305" s="2" t="n">
        <v>99.53</v>
      </c>
      <c r="DP305" s="2" t="n">
        <v>100</v>
      </c>
      <c r="DQ305" s="2" t="n">
        <v>100</v>
      </c>
      <c r="DR305" s="2" t="n">
        <v>99.53</v>
      </c>
      <c r="DS305" s="2" t="n">
        <v>100</v>
      </c>
      <c r="DT305" s="2" t="n">
        <v>100</v>
      </c>
      <c r="DU305" s="2" t="n">
        <v>99.53</v>
      </c>
      <c r="DV305" s="2" t="n">
        <v>100</v>
      </c>
      <c r="DW305" s="2" t="n">
        <v>100</v>
      </c>
      <c r="DX305" s="2" t="n">
        <v>99.53</v>
      </c>
      <c r="DY305" s="2" t="n">
        <v>100</v>
      </c>
      <c r="DZ305" s="2" t="n">
        <v>100</v>
      </c>
      <c r="EA305" s="2" t="n">
        <v>99.53</v>
      </c>
      <c r="EB305" s="2" t="n">
        <v>100</v>
      </c>
      <c r="EC305" s="2" t="n">
        <v>100</v>
      </c>
      <c r="ED305" s="2" t="n">
        <v>99.53</v>
      </c>
      <c r="EE305" s="2" t="n">
        <v>100</v>
      </c>
      <c r="EF305" s="2" t="n">
        <v>100</v>
      </c>
      <c r="EG305" s="2" t="n">
        <v>99.53</v>
      </c>
      <c r="EH305" s="2" t="n">
        <v>100</v>
      </c>
      <c r="EI305" s="2" t="n">
        <v>100</v>
      </c>
      <c r="EJ305" s="2" t="n">
        <v>99.53</v>
      </c>
      <c r="EK305" s="2" t="n">
        <v>100</v>
      </c>
      <c r="EL305" s="2" t="n">
        <v>100</v>
      </c>
      <c r="EM305" s="2" t="n">
        <v>99.53</v>
      </c>
      <c r="EN305" s="2" t="n">
        <v>100</v>
      </c>
      <c r="EO305" s="2" t="n">
        <v>100</v>
      </c>
      <c r="EP305" s="2" t="n">
        <v>99.53</v>
      </c>
      <c r="EQ305" s="2" t="n">
        <v>100</v>
      </c>
      <c r="ER305" s="2" t="n">
        <v>100</v>
      </c>
      <c r="ES305" s="2" t="n">
        <v>99.53</v>
      </c>
    </row>
    <row r="306">
      <c r="A306" s="2" t="n">
        <v>3</v>
      </c>
      <c r="B306" s="2" t="inlineStr">
        <is>
          <t>15.04.01</t>
        </is>
      </c>
      <c r="C306" s="2" t="inlineStr">
        <is>
          <t>Polímero</t>
        </is>
      </c>
      <c r="D306" s="2" t="inlineStr">
        <is>
          <t>13/10/2025</t>
        </is>
      </c>
      <c r="E306" s="2" t="inlineStr">
        <is>
          <t>03/03/2026</t>
        </is>
      </c>
      <c r="F306" s="2" t="n">
        <v>330809.7</v>
      </c>
      <c r="G306" s="2" t="n">
        <v>0</v>
      </c>
      <c r="H306" s="2" t="n">
        <v>330809.7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17.44</v>
      </c>
      <c r="V306" s="2" t="n">
        <v>17.44</v>
      </c>
      <c r="W306" s="2" t="n">
        <v>21.06</v>
      </c>
      <c r="X306" s="2" t="n">
        <v>39.53</v>
      </c>
      <c r="Y306" s="2" t="n">
        <v>39.53</v>
      </c>
      <c r="Z306" s="2" t="n">
        <v>46.99</v>
      </c>
      <c r="AA306" s="2" t="n">
        <v>55.81</v>
      </c>
      <c r="AB306" s="2" t="n">
        <v>55.81</v>
      </c>
      <c r="AC306" s="2" t="n">
        <v>62.54</v>
      </c>
      <c r="AD306" s="2" t="n">
        <v>79.06999999999999</v>
      </c>
      <c r="AE306" s="2" t="n">
        <v>79.06999999999999</v>
      </c>
      <c r="AF306" s="2" t="n">
        <v>80.98</v>
      </c>
      <c r="AG306" s="2" t="n">
        <v>100</v>
      </c>
      <c r="AH306" s="2" t="n">
        <v>99.53</v>
      </c>
      <c r="AI306" s="2" t="n">
        <v>94.31</v>
      </c>
      <c r="AJ306" s="2" t="n">
        <v>100</v>
      </c>
      <c r="AK306" s="2" t="n">
        <v>100</v>
      </c>
      <c r="AL306" s="2" t="n">
        <v>99.53</v>
      </c>
      <c r="AM306" s="2" t="n">
        <v>100</v>
      </c>
      <c r="AN306" s="2" t="n">
        <v>100</v>
      </c>
      <c r="AO306" s="2" t="n">
        <v>99.53</v>
      </c>
      <c r="AP306" s="2" t="n">
        <v>100</v>
      </c>
      <c r="AQ306" s="2" t="n">
        <v>100</v>
      </c>
      <c r="AR306" s="2" t="n">
        <v>99.53</v>
      </c>
      <c r="AS306" s="2" t="n">
        <v>100</v>
      </c>
      <c r="AT306" s="2" t="n">
        <v>100</v>
      </c>
      <c r="AU306" s="2" t="n">
        <v>99.53</v>
      </c>
      <c r="AV306" s="2" t="n">
        <v>100</v>
      </c>
      <c r="AW306" s="2" t="n">
        <v>100</v>
      </c>
      <c r="AX306" s="2" t="n">
        <v>99.53</v>
      </c>
      <c r="AY306" s="2" t="n">
        <v>100</v>
      </c>
      <c r="AZ306" s="2" t="n">
        <v>100</v>
      </c>
      <c r="BA306" s="2" t="n">
        <v>99.53</v>
      </c>
      <c r="BB306" s="2" t="n">
        <v>100</v>
      </c>
      <c r="BC306" s="2" t="n">
        <v>100</v>
      </c>
      <c r="BD306" s="2" t="n">
        <v>99.53</v>
      </c>
      <c r="BE306" s="2" t="n">
        <v>100</v>
      </c>
      <c r="BF306" s="2" t="n">
        <v>100</v>
      </c>
      <c r="BG306" s="2" t="n">
        <v>99.53</v>
      </c>
      <c r="BH306" s="2" t="n">
        <v>100</v>
      </c>
      <c r="BI306" s="2" t="n">
        <v>100</v>
      </c>
      <c r="BJ306" s="2" t="n">
        <v>99.53</v>
      </c>
      <c r="BK306" s="2" t="n">
        <v>100</v>
      </c>
      <c r="BL306" s="2" t="n">
        <v>100</v>
      </c>
      <c r="BM306" s="2" t="n">
        <v>99.53</v>
      </c>
      <c r="BN306" s="2" t="n">
        <v>100</v>
      </c>
      <c r="BO306" s="2" t="n">
        <v>100</v>
      </c>
      <c r="BP306" s="2" t="n">
        <v>99.53</v>
      </c>
      <c r="BQ306" s="2" t="n">
        <v>100</v>
      </c>
      <c r="BR306" s="2" t="n">
        <v>100</v>
      </c>
      <c r="BS306" s="2" t="n">
        <v>99.53</v>
      </c>
      <c r="BT306" s="2" t="n">
        <v>100</v>
      </c>
      <c r="BU306" s="2" t="n">
        <v>100</v>
      </c>
      <c r="BV306" s="2" t="n">
        <v>99.53</v>
      </c>
      <c r="BW306" s="2" t="n">
        <v>100</v>
      </c>
      <c r="BX306" s="2" t="n">
        <v>100</v>
      </c>
      <c r="BY306" s="2" t="n">
        <v>99.53</v>
      </c>
      <c r="BZ306" s="2" t="n">
        <v>100</v>
      </c>
      <c r="CA306" s="2" t="n">
        <v>100</v>
      </c>
      <c r="CB306" s="2" t="n">
        <v>99.53</v>
      </c>
      <c r="CC306" s="2" t="n">
        <v>100</v>
      </c>
      <c r="CD306" s="2" t="n">
        <v>100</v>
      </c>
      <c r="CE306" s="2" t="n">
        <v>99.53</v>
      </c>
      <c r="CF306" s="2" t="n">
        <v>100</v>
      </c>
      <c r="CG306" s="2" t="n">
        <v>100</v>
      </c>
      <c r="CH306" s="2" t="n">
        <v>99.53</v>
      </c>
      <c r="CI306" s="2" t="n">
        <v>100</v>
      </c>
      <c r="CJ306" s="2" t="n">
        <v>100</v>
      </c>
      <c r="CK306" s="2" t="n">
        <v>99.53</v>
      </c>
      <c r="CL306" s="2" t="n">
        <v>100</v>
      </c>
      <c r="CM306" s="2" t="n">
        <v>100</v>
      </c>
      <c r="CN306" s="2" t="n">
        <v>99.53</v>
      </c>
      <c r="CO306" s="2" t="n">
        <v>100</v>
      </c>
      <c r="CP306" s="2" t="n">
        <v>100</v>
      </c>
      <c r="CQ306" s="2" t="n">
        <v>99.53</v>
      </c>
      <c r="CR306" s="2" t="n">
        <v>100</v>
      </c>
      <c r="CS306" s="2" t="n">
        <v>100</v>
      </c>
      <c r="CT306" s="2" t="n">
        <v>99.53</v>
      </c>
      <c r="CU306" s="2" t="n">
        <v>100</v>
      </c>
      <c r="CV306" s="2" t="n">
        <v>100</v>
      </c>
      <c r="CW306" s="2" t="n">
        <v>99.53</v>
      </c>
      <c r="CX306" s="2" t="n">
        <v>100</v>
      </c>
      <c r="CY306" s="2" t="n">
        <v>100</v>
      </c>
      <c r="CZ306" s="2" t="n">
        <v>99.53</v>
      </c>
      <c r="DA306" s="2" t="n">
        <v>100</v>
      </c>
      <c r="DB306" s="2" t="n">
        <v>100</v>
      </c>
      <c r="DC306" s="2" t="n">
        <v>99.53</v>
      </c>
      <c r="DD306" s="2" t="n">
        <v>100</v>
      </c>
      <c r="DE306" s="2" t="n">
        <v>100</v>
      </c>
      <c r="DF306" s="2" t="n">
        <v>99.53</v>
      </c>
      <c r="DG306" s="2" t="n">
        <v>100</v>
      </c>
      <c r="DH306" s="2" t="n">
        <v>100</v>
      </c>
      <c r="DI306" s="2" t="n">
        <v>99.53</v>
      </c>
      <c r="DJ306" s="2" t="n">
        <v>100</v>
      </c>
      <c r="DK306" s="2" t="n">
        <v>100</v>
      </c>
      <c r="DL306" s="2" t="n">
        <v>99.53</v>
      </c>
      <c r="DM306" s="2" t="n">
        <v>100</v>
      </c>
      <c r="DN306" s="2" t="n">
        <v>100</v>
      </c>
      <c r="DO306" s="2" t="n">
        <v>99.53</v>
      </c>
      <c r="DP306" s="2" t="n">
        <v>100</v>
      </c>
      <c r="DQ306" s="2" t="n">
        <v>100</v>
      </c>
      <c r="DR306" s="2" t="n">
        <v>99.53</v>
      </c>
      <c r="DS306" s="2" t="n">
        <v>100</v>
      </c>
      <c r="DT306" s="2" t="n">
        <v>100</v>
      </c>
      <c r="DU306" s="2" t="n">
        <v>99.53</v>
      </c>
      <c r="DV306" s="2" t="n">
        <v>100</v>
      </c>
      <c r="DW306" s="2" t="n">
        <v>100</v>
      </c>
      <c r="DX306" s="2" t="n">
        <v>99.53</v>
      </c>
      <c r="DY306" s="2" t="n">
        <v>100</v>
      </c>
      <c r="DZ306" s="2" t="n">
        <v>100</v>
      </c>
      <c r="EA306" s="2" t="n">
        <v>99.53</v>
      </c>
      <c r="EB306" s="2" t="n">
        <v>100</v>
      </c>
      <c r="EC306" s="2" t="n">
        <v>100</v>
      </c>
      <c r="ED306" s="2" t="n">
        <v>99.53</v>
      </c>
      <c r="EE306" s="2" t="n">
        <v>100</v>
      </c>
      <c r="EF306" s="2" t="n">
        <v>100</v>
      </c>
      <c r="EG306" s="2" t="n">
        <v>99.53</v>
      </c>
      <c r="EH306" s="2" t="n">
        <v>100</v>
      </c>
      <c r="EI306" s="2" t="n">
        <v>100</v>
      </c>
      <c r="EJ306" s="2" t="n">
        <v>99.53</v>
      </c>
      <c r="EK306" s="2" t="n">
        <v>100</v>
      </c>
      <c r="EL306" s="2" t="n">
        <v>100</v>
      </c>
      <c r="EM306" s="2" t="n">
        <v>99.53</v>
      </c>
      <c r="EN306" s="2" t="n">
        <v>100</v>
      </c>
      <c r="EO306" s="2" t="n">
        <v>100</v>
      </c>
      <c r="EP306" s="2" t="n">
        <v>99.53</v>
      </c>
      <c r="EQ306" s="2" t="n">
        <v>100</v>
      </c>
      <c r="ER306" s="2" t="n">
        <v>100</v>
      </c>
      <c r="ES306" s="2" t="n">
        <v>99.53</v>
      </c>
    </row>
    <row r="307">
      <c r="A307" s="2" t="n">
        <v>3</v>
      </c>
      <c r="B307" s="2" t="inlineStr">
        <is>
          <t>15.04.02</t>
        </is>
      </c>
      <c r="C307" s="2" t="inlineStr">
        <is>
          <t>Concreto bombeável fck=30Mpa com alto Slump com brita 0, sobreconsumo de 40% incluído na cpu.</t>
        </is>
      </c>
      <c r="D307" s="2" t="inlineStr">
        <is>
          <t>13/10/2025</t>
        </is>
      </c>
      <c r="E307" s="2" t="inlineStr">
        <is>
          <t>03/03/2026</t>
        </is>
      </c>
      <c r="F307" s="2" t="n">
        <v>2230818.14424</v>
      </c>
      <c r="G307" s="2" t="n">
        <v>0</v>
      </c>
      <c r="H307" s="2" t="n">
        <v>2230818.14424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17.44</v>
      </c>
      <c r="V307" s="2" t="n">
        <v>17.44</v>
      </c>
      <c r="W307" s="2" t="n">
        <v>21.06</v>
      </c>
      <c r="X307" s="2" t="n">
        <v>39.53</v>
      </c>
      <c r="Y307" s="2" t="n">
        <v>39.53</v>
      </c>
      <c r="Z307" s="2" t="n">
        <v>46.99</v>
      </c>
      <c r="AA307" s="2" t="n">
        <v>55.81</v>
      </c>
      <c r="AB307" s="2" t="n">
        <v>55.81</v>
      </c>
      <c r="AC307" s="2" t="n">
        <v>62.54</v>
      </c>
      <c r="AD307" s="2" t="n">
        <v>79.06999999999999</v>
      </c>
      <c r="AE307" s="2" t="n">
        <v>79.06999999999999</v>
      </c>
      <c r="AF307" s="2" t="n">
        <v>80.98</v>
      </c>
      <c r="AG307" s="2" t="n">
        <v>100</v>
      </c>
      <c r="AH307" s="2" t="n">
        <v>99.53</v>
      </c>
      <c r="AI307" s="2" t="n">
        <v>94.31</v>
      </c>
      <c r="AJ307" s="2" t="n">
        <v>100</v>
      </c>
      <c r="AK307" s="2" t="n">
        <v>100</v>
      </c>
      <c r="AL307" s="2" t="n">
        <v>99.53</v>
      </c>
      <c r="AM307" s="2" t="n">
        <v>100</v>
      </c>
      <c r="AN307" s="2" t="n">
        <v>100</v>
      </c>
      <c r="AO307" s="2" t="n">
        <v>99.53</v>
      </c>
      <c r="AP307" s="2" t="n">
        <v>100</v>
      </c>
      <c r="AQ307" s="2" t="n">
        <v>100</v>
      </c>
      <c r="AR307" s="2" t="n">
        <v>99.53</v>
      </c>
      <c r="AS307" s="2" t="n">
        <v>100</v>
      </c>
      <c r="AT307" s="2" t="n">
        <v>100</v>
      </c>
      <c r="AU307" s="2" t="n">
        <v>99.53</v>
      </c>
      <c r="AV307" s="2" t="n">
        <v>100</v>
      </c>
      <c r="AW307" s="2" t="n">
        <v>100</v>
      </c>
      <c r="AX307" s="2" t="n">
        <v>99.53</v>
      </c>
      <c r="AY307" s="2" t="n">
        <v>100</v>
      </c>
      <c r="AZ307" s="2" t="n">
        <v>100</v>
      </c>
      <c r="BA307" s="2" t="n">
        <v>99.53</v>
      </c>
      <c r="BB307" s="2" t="n">
        <v>100</v>
      </c>
      <c r="BC307" s="2" t="n">
        <v>100</v>
      </c>
      <c r="BD307" s="2" t="n">
        <v>99.53</v>
      </c>
      <c r="BE307" s="2" t="n">
        <v>100</v>
      </c>
      <c r="BF307" s="2" t="n">
        <v>100</v>
      </c>
      <c r="BG307" s="2" t="n">
        <v>99.53</v>
      </c>
      <c r="BH307" s="2" t="n">
        <v>100</v>
      </c>
      <c r="BI307" s="2" t="n">
        <v>100</v>
      </c>
      <c r="BJ307" s="2" t="n">
        <v>99.53</v>
      </c>
      <c r="BK307" s="2" t="n">
        <v>100</v>
      </c>
      <c r="BL307" s="2" t="n">
        <v>100</v>
      </c>
      <c r="BM307" s="2" t="n">
        <v>99.53</v>
      </c>
      <c r="BN307" s="2" t="n">
        <v>100</v>
      </c>
      <c r="BO307" s="2" t="n">
        <v>100</v>
      </c>
      <c r="BP307" s="2" t="n">
        <v>99.53</v>
      </c>
      <c r="BQ307" s="2" t="n">
        <v>100</v>
      </c>
      <c r="BR307" s="2" t="n">
        <v>100</v>
      </c>
      <c r="BS307" s="2" t="n">
        <v>99.53</v>
      </c>
      <c r="BT307" s="2" t="n">
        <v>100</v>
      </c>
      <c r="BU307" s="2" t="n">
        <v>100</v>
      </c>
      <c r="BV307" s="2" t="n">
        <v>99.53</v>
      </c>
      <c r="BW307" s="2" t="n">
        <v>100</v>
      </c>
      <c r="BX307" s="2" t="n">
        <v>100</v>
      </c>
      <c r="BY307" s="2" t="n">
        <v>99.53</v>
      </c>
      <c r="BZ307" s="2" t="n">
        <v>100</v>
      </c>
      <c r="CA307" s="2" t="n">
        <v>100</v>
      </c>
      <c r="CB307" s="2" t="n">
        <v>99.53</v>
      </c>
      <c r="CC307" s="2" t="n">
        <v>100</v>
      </c>
      <c r="CD307" s="2" t="n">
        <v>100</v>
      </c>
      <c r="CE307" s="2" t="n">
        <v>99.53</v>
      </c>
      <c r="CF307" s="2" t="n">
        <v>100</v>
      </c>
      <c r="CG307" s="2" t="n">
        <v>100</v>
      </c>
      <c r="CH307" s="2" t="n">
        <v>99.53</v>
      </c>
      <c r="CI307" s="2" t="n">
        <v>100</v>
      </c>
      <c r="CJ307" s="2" t="n">
        <v>100</v>
      </c>
      <c r="CK307" s="2" t="n">
        <v>99.53</v>
      </c>
      <c r="CL307" s="2" t="n">
        <v>100</v>
      </c>
      <c r="CM307" s="2" t="n">
        <v>100</v>
      </c>
      <c r="CN307" s="2" t="n">
        <v>99.53</v>
      </c>
      <c r="CO307" s="2" t="n">
        <v>100</v>
      </c>
      <c r="CP307" s="2" t="n">
        <v>100</v>
      </c>
      <c r="CQ307" s="2" t="n">
        <v>99.53</v>
      </c>
      <c r="CR307" s="2" t="n">
        <v>100</v>
      </c>
      <c r="CS307" s="2" t="n">
        <v>100</v>
      </c>
      <c r="CT307" s="2" t="n">
        <v>99.53</v>
      </c>
      <c r="CU307" s="2" t="n">
        <v>100</v>
      </c>
      <c r="CV307" s="2" t="n">
        <v>100</v>
      </c>
      <c r="CW307" s="2" t="n">
        <v>99.53</v>
      </c>
      <c r="CX307" s="2" t="n">
        <v>100</v>
      </c>
      <c r="CY307" s="2" t="n">
        <v>100</v>
      </c>
      <c r="CZ307" s="2" t="n">
        <v>99.53</v>
      </c>
      <c r="DA307" s="2" t="n">
        <v>100</v>
      </c>
      <c r="DB307" s="2" t="n">
        <v>100</v>
      </c>
      <c r="DC307" s="2" t="n">
        <v>99.53</v>
      </c>
      <c r="DD307" s="2" t="n">
        <v>100</v>
      </c>
      <c r="DE307" s="2" t="n">
        <v>100</v>
      </c>
      <c r="DF307" s="2" t="n">
        <v>99.53</v>
      </c>
      <c r="DG307" s="2" t="n">
        <v>100</v>
      </c>
      <c r="DH307" s="2" t="n">
        <v>100</v>
      </c>
      <c r="DI307" s="2" t="n">
        <v>99.53</v>
      </c>
      <c r="DJ307" s="2" t="n">
        <v>100</v>
      </c>
      <c r="DK307" s="2" t="n">
        <v>100</v>
      </c>
      <c r="DL307" s="2" t="n">
        <v>99.53</v>
      </c>
      <c r="DM307" s="2" t="n">
        <v>100</v>
      </c>
      <c r="DN307" s="2" t="n">
        <v>100</v>
      </c>
      <c r="DO307" s="2" t="n">
        <v>99.53</v>
      </c>
      <c r="DP307" s="2" t="n">
        <v>100</v>
      </c>
      <c r="DQ307" s="2" t="n">
        <v>100</v>
      </c>
      <c r="DR307" s="2" t="n">
        <v>99.53</v>
      </c>
      <c r="DS307" s="2" t="n">
        <v>100</v>
      </c>
      <c r="DT307" s="2" t="n">
        <v>100</v>
      </c>
      <c r="DU307" s="2" t="n">
        <v>99.53</v>
      </c>
      <c r="DV307" s="2" t="n">
        <v>100</v>
      </c>
      <c r="DW307" s="2" t="n">
        <v>100</v>
      </c>
      <c r="DX307" s="2" t="n">
        <v>99.53</v>
      </c>
      <c r="DY307" s="2" t="n">
        <v>100</v>
      </c>
      <c r="DZ307" s="2" t="n">
        <v>100</v>
      </c>
      <c r="EA307" s="2" t="n">
        <v>99.53</v>
      </c>
      <c r="EB307" s="2" t="n">
        <v>100</v>
      </c>
      <c r="EC307" s="2" t="n">
        <v>100</v>
      </c>
      <c r="ED307" s="2" t="n">
        <v>99.53</v>
      </c>
      <c r="EE307" s="2" t="n">
        <v>100</v>
      </c>
      <c r="EF307" s="2" t="n">
        <v>100</v>
      </c>
      <c r="EG307" s="2" t="n">
        <v>99.53</v>
      </c>
      <c r="EH307" s="2" t="n">
        <v>100</v>
      </c>
      <c r="EI307" s="2" t="n">
        <v>100</v>
      </c>
      <c r="EJ307" s="2" t="n">
        <v>99.53</v>
      </c>
      <c r="EK307" s="2" t="n">
        <v>100</v>
      </c>
      <c r="EL307" s="2" t="n">
        <v>100</v>
      </c>
      <c r="EM307" s="2" t="n">
        <v>99.53</v>
      </c>
      <c r="EN307" s="2" t="n">
        <v>100</v>
      </c>
      <c r="EO307" s="2" t="n">
        <v>100</v>
      </c>
      <c r="EP307" s="2" t="n">
        <v>99.53</v>
      </c>
      <c r="EQ307" s="2" t="n">
        <v>100</v>
      </c>
      <c r="ER307" s="2" t="n">
        <v>100</v>
      </c>
      <c r="ES307" s="2" t="n">
        <v>99.53</v>
      </c>
    </row>
    <row r="308">
      <c r="A308" s="2" t="n">
        <v>3</v>
      </c>
      <c r="B308" s="2" t="inlineStr">
        <is>
          <t>15.04.03</t>
        </is>
      </c>
      <c r="C308" s="2" t="inlineStr">
        <is>
          <t>Preenchimento de estacas/ recompactação do solo com bica corrida</t>
        </is>
      </c>
      <c r="D308" s="2" t="inlineStr">
        <is>
          <t>13/10/2025</t>
        </is>
      </c>
      <c r="E308" s="2" t="inlineStr">
        <is>
          <t>03/03/2026</t>
        </is>
      </c>
      <c r="F308" s="2" t="n">
        <v>346872.5</v>
      </c>
      <c r="G308" s="2" t="n">
        <v>0</v>
      </c>
      <c r="H308" s="2" t="n">
        <v>346872.5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17.44</v>
      </c>
      <c r="V308" s="2" t="n">
        <v>17.44</v>
      </c>
      <c r="W308" s="2" t="n">
        <v>21.06</v>
      </c>
      <c r="X308" s="2" t="n">
        <v>39.53</v>
      </c>
      <c r="Y308" s="2" t="n">
        <v>39.53</v>
      </c>
      <c r="Z308" s="2" t="n">
        <v>46.99</v>
      </c>
      <c r="AA308" s="2" t="n">
        <v>55.81</v>
      </c>
      <c r="AB308" s="2" t="n">
        <v>55.81</v>
      </c>
      <c r="AC308" s="2" t="n">
        <v>62.54</v>
      </c>
      <c r="AD308" s="2" t="n">
        <v>79.06999999999999</v>
      </c>
      <c r="AE308" s="2" t="n">
        <v>79.06999999999999</v>
      </c>
      <c r="AF308" s="2" t="n">
        <v>80.98</v>
      </c>
      <c r="AG308" s="2" t="n">
        <v>100</v>
      </c>
      <c r="AH308" s="2" t="n">
        <v>99.53</v>
      </c>
      <c r="AI308" s="2" t="n">
        <v>94.31</v>
      </c>
      <c r="AJ308" s="2" t="n">
        <v>100</v>
      </c>
      <c r="AK308" s="2" t="n">
        <v>100</v>
      </c>
      <c r="AL308" s="2" t="n">
        <v>99.53</v>
      </c>
      <c r="AM308" s="2" t="n">
        <v>100</v>
      </c>
      <c r="AN308" s="2" t="n">
        <v>100</v>
      </c>
      <c r="AO308" s="2" t="n">
        <v>99.53</v>
      </c>
      <c r="AP308" s="2" t="n">
        <v>100</v>
      </c>
      <c r="AQ308" s="2" t="n">
        <v>100</v>
      </c>
      <c r="AR308" s="2" t="n">
        <v>99.53</v>
      </c>
      <c r="AS308" s="2" t="n">
        <v>100</v>
      </c>
      <c r="AT308" s="2" t="n">
        <v>100</v>
      </c>
      <c r="AU308" s="2" t="n">
        <v>99.53</v>
      </c>
      <c r="AV308" s="2" t="n">
        <v>100</v>
      </c>
      <c r="AW308" s="2" t="n">
        <v>100</v>
      </c>
      <c r="AX308" s="2" t="n">
        <v>99.53</v>
      </c>
      <c r="AY308" s="2" t="n">
        <v>100</v>
      </c>
      <c r="AZ308" s="2" t="n">
        <v>100</v>
      </c>
      <c r="BA308" s="2" t="n">
        <v>99.53</v>
      </c>
      <c r="BB308" s="2" t="n">
        <v>100</v>
      </c>
      <c r="BC308" s="2" t="n">
        <v>100</v>
      </c>
      <c r="BD308" s="2" t="n">
        <v>99.53</v>
      </c>
      <c r="BE308" s="2" t="n">
        <v>100</v>
      </c>
      <c r="BF308" s="2" t="n">
        <v>100</v>
      </c>
      <c r="BG308" s="2" t="n">
        <v>99.53</v>
      </c>
      <c r="BH308" s="2" t="n">
        <v>100</v>
      </c>
      <c r="BI308" s="2" t="n">
        <v>100</v>
      </c>
      <c r="BJ308" s="2" t="n">
        <v>99.53</v>
      </c>
      <c r="BK308" s="2" t="n">
        <v>100</v>
      </c>
      <c r="BL308" s="2" t="n">
        <v>100</v>
      </c>
      <c r="BM308" s="2" t="n">
        <v>99.53</v>
      </c>
      <c r="BN308" s="2" t="n">
        <v>100</v>
      </c>
      <c r="BO308" s="2" t="n">
        <v>100</v>
      </c>
      <c r="BP308" s="2" t="n">
        <v>99.53</v>
      </c>
      <c r="BQ308" s="2" t="n">
        <v>100</v>
      </c>
      <c r="BR308" s="2" t="n">
        <v>100</v>
      </c>
      <c r="BS308" s="2" t="n">
        <v>99.53</v>
      </c>
      <c r="BT308" s="2" t="n">
        <v>100</v>
      </c>
      <c r="BU308" s="2" t="n">
        <v>100</v>
      </c>
      <c r="BV308" s="2" t="n">
        <v>99.53</v>
      </c>
      <c r="BW308" s="2" t="n">
        <v>100</v>
      </c>
      <c r="BX308" s="2" t="n">
        <v>100</v>
      </c>
      <c r="BY308" s="2" t="n">
        <v>99.53</v>
      </c>
      <c r="BZ308" s="2" t="n">
        <v>100</v>
      </c>
      <c r="CA308" s="2" t="n">
        <v>100</v>
      </c>
      <c r="CB308" s="2" t="n">
        <v>99.53</v>
      </c>
      <c r="CC308" s="2" t="n">
        <v>100</v>
      </c>
      <c r="CD308" s="2" t="n">
        <v>100</v>
      </c>
      <c r="CE308" s="2" t="n">
        <v>99.53</v>
      </c>
      <c r="CF308" s="2" t="n">
        <v>100</v>
      </c>
      <c r="CG308" s="2" t="n">
        <v>100</v>
      </c>
      <c r="CH308" s="2" t="n">
        <v>99.53</v>
      </c>
      <c r="CI308" s="2" t="n">
        <v>100</v>
      </c>
      <c r="CJ308" s="2" t="n">
        <v>100</v>
      </c>
      <c r="CK308" s="2" t="n">
        <v>99.53</v>
      </c>
      <c r="CL308" s="2" t="n">
        <v>100</v>
      </c>
      <c r="CM308" s="2" t="n">
        <v>100</v>
      </c>
      <c r="CN308" s="2" t="n">
        <v>99.53</v>
      </c>
      <c r="CO308" s="2" t="n">
        <v>100</v>
      </c>
      <c r="CP308" s="2" t="n">
        <v>100</v>
      </c>
      <c r="CQ308" s="2" t="n">
        <v>99.53</v>
      </c>
      <c r="CR308" s="2" t="n">
        <v>100</v>
      </c>
      <c r="CS308" s="2" t="n">
        <v>100</v>
      </c>
      <c r="CT308" s="2" t="n">
        <v>99.53</v>
      </c>
      <c r="CU308" s="2" t="n">
        <v>100</v>
      </c>
      <c r="CV308" s="2" t="n">
        <v>100</v>
      </c>
      <c r="CW308" s="2" t="n">
        <v>99.53</v>
      </c>
      <c r="CX308" s="2" t="n">
        <v>100</v>
      </c>
      <c r="CY308" s="2" t="n">
        <v>100</v>
      </c>
      <c r="CZ308" s="2" t="n">
        <v>99.53</v>
      </c>
      <c r="DA308" s="2" t="n">
        <v>100</v>
      </c>
      <c r="DB308" s="2" t="n">
        <v>100</v>
      </c>
      <c r="DC308" s="2" t="n">
        <v>99.53</v>
      </c>
      <c r="DD308" s="2" t="n">
        <v>100</v>
      </c>
      <c r="DE308" s="2" t="n">
        <v>100</v>
      </c>
      <c r="DF308" s="2" t="n">
        <v>99.53</v>
      </c>
      <c r="DG308" s="2" t="n">
        <v>100</v>
      </c>
      <c r="DH308" s="2" t="n">
        <v>100</v>
      </c>
      <c r="DI308" s="2" t="n">
        <v>99.53</v>
      </c>
      <c r="DJ308" s="2" t="n">
        <v>100</v>
      </c>
      <c r="DK308" s="2" t="n">
        <v>100</v>
      </c>
      <c r="DL308" s="2" t="n">
        <v>99.53</v>
      </c>
      <c r="DM308" s="2" t="n">
        <v>100</v>
      </c>
      <c r="DN308" s="2" t="n">
        <v>100</v>
      </c>
      <c r="DO308" s="2" t="n">
        <v>99.53</v>
      </c>
      <c r="DP308" s="2" t="n">
        <v>100</v>
      </c>
      <c r="DQ308" s="2" t="n">
        <v>100</v>
      </c>
      <c r="DR308" s="2" t="n">
        <v>99.53</v>
      </c>
      <c r="DS308" s="2" t="n">
        <v>100</v>
      </c>
      <c r="DT308" s="2" t="n">
        <v>100</v>
      </c>
      <c r="DU308" s="2" t="n">
        <v>99.53</v>
      </c>
      <c r="DV308" s="2" t="n">
        <v>100</v>
      </c>
      <c r="DW308" s="2" t="n">
        <v>100</v>
      </c>
      <c r="DX308" s="2" t="n">
        <v>99.53</v>
      </c>
      <c r="DY308" s="2" t="n">
        <v>100</v>
      </c>
      <c r="DZ308" s="2" t="n">
        <v>100</v>
      </c>
      <c r="EA308" s="2" t="n">
        <v>99.53</v>
      </c>
      <c r="EB308" s="2" t="n">
        <v>100</v>
      </c>
      <c r="EC308" s="2" t="n">
        <v>100</v>
      </c>
      <c r="ED308" s="2" t="n">
        <v>99.53</v>
      </c>
      <c r="EE308" s="2" t="n">
        <v>100</v>
      </c>
      <c r="EF308" s="2" t="n">
        <v>100</v>
      </c>
      <c r="EG308" s="2" t="n">
        <v>99.53</v>
      </c>
      <c r="EH308" s="2" t="n">
        <v>100</v>
      </c>
      <c r="EI308" s="2" t="n">
        <v>100</v>
      </c>
      <c r="EJ308" s="2" t="n">
        <v>99.53</v>
      </c>
      <c r="EK308" s="2" t="n">
        <v>100</v>
      </c>
      <c r="EL308" s="2" t="n">
        <v>100</v>
      </c>
      <c r="EM308" s="2" t="n">
        <v>99.53</v>
      </c>
      <c r="EN308" s="2" t="n">
        <v>100</v>
      </c>
      <c r="EO308" s="2" t="n">
        <v>100</v>
      </c>
      <c r="EP308" s="2" t="n">
        <v>99.53</v>
      </c>
      <c r="EQ308" s="2" t="n">
        <v>100</v>
      </c>
      <c r="ER308" s="2" t="n">
        <v>100</v>
      </c>
      <c r="ES308" s="2" t="n">
        <v>99.53</v>
      </c>
    </row>
    <row r="309">
      <c r="A309" s="2" t="n">
        <v>3</v>
      </c>
      <c r="B309" s="2" t="inlineStr">
        <is>
          <t>15.04.04</t>
        </is>
      </c>
      <c r="C309" s="2" t="inlineStr">
        <is>
          <t>Locação de bomba de concreto estacionária para concretagens de estaca</t>
        </is>
      </c>
      <c r="D309" s="2" t="inlineStr">
        <is>
          <t>13/10/2025</t>
        </is>
      </c>
      <c r="E309" s="2" t="inlineStr">
        <is>
          <t>03/03/2026</t>
        </is>
      </c>
      <c r="F309" s="2" t="n">
        <v>60000</v>
      </c>
      <c r="G309" s="2" t="n">
        <v>0</v>
      </c>
      <c r="H309" s="2" t="n">
        <v>60000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17.44</v>
      </c>
      <c r="V309" s="2" t="n">
        <v>17.44</v>
      </c>
      <c r="W309" s="2" t="n">
        <v>21.06</v>
      </c>
      <c r="X309" s="2" t="n">
        <v>39.53</v>
      </c>
      <c r="Y309" s="2" t="n">
        <v>39.53</v>
      </c>
      <c r="Z309" s="2" t="n">
        <v>46.99</v>
      </c>
      <c r="AA309" s="2" t="n">
        <v>55.81</v>
      </c>
      <c r="AB309" s="2" t="n">
        <v>55.81</v>
      </c>
      <c r="AC309" s="2" t="n">
        <v>62.54</v>
      </c>
      <c r="AD309" s="2" t="n">
        <v>79.06999999999999</v>
      </c>
      <c r="AE309" s="2" t="n">
        <v>79.06999999999999</v>
      </c>
      <c r="AF309" s="2" t="n">
        <v>80.98</v>
      </c>
      <c r="AG309" s="2" t="n">
        <v>100</v>
      </c>
      <c r="AH309" s="2" t="n">
        <v>99.53</v>
      </c>
      <c r="AI309" s="2" t="n">
        <v>94.31</v>
      </c>
      <c r="AJ309" s="2" t="n">
        <v>100</v>
      </c>
      <c r="AK309" s="2" t="n">
        <v>100</v>
      </c>
      <c r="AL309" s="2" t="n">
        <v>99.53</v>
      </c>
      <c r="AM309" s="2" t="n">
        <v>100</v>
      </c>
      <c r="AN309" s="2" t="n">
        <v>100</v>
      </c>
      <c r="AO309" s="2" t="n">
        <v>99.53</v>
      </c>
      <c r="AP309" s="2" t="n">
        <v>100</v>
      </c>
      <c r="AQ309" s="2" t="n">
        <v>100</v>
      </c>
      <c r="AR309" s="2" t="n">
        <v>99.53</v>
      </c>
      <c r="AS309" s="2" t="n">
        <v>100</v>
      </c>
      <c r="AT309" s="2" t="n">
        <v>100</v>
      </c>
      <c r="AU309" s="2" t="n">
        <v>99.53</v>
      </c>
      <c r="AV309" s="2" t="n">
        <v>100</v>
      </c>
      <c r="AW309" s="2" t="n">
        <v>100</v>
      </c>
      <c r="AX309" s="2" t="n">
        <v>99.53</v>
      </c>
      <c r="AY309" s="2" t="n">
        <v>100</v>
      </c>
      <c r="AZ309" s="2" t="n">
        <v>100</v>
      </c>
      <c r="BA309" s="2" t="n">
        <v>99.53</v>
      </c>
      <c r="BB309" s="2" t="n">
        <v>100</v>
      </c>
      <c r="BC309" s="2" t="n">
        <v>100</v>
      </c>
      <c r="BD309" s="2" t="n">
        <v>99.53</v>
      </c>
      <c r="BE309" s="2" t="n">
        <v>100</v>
      </c>
      <c r="BF309" s="2" t="n">
        <v>100</v>
      </c>
      <c r="BG309" s="2" t="n">
        <v>99.53</v>
      </c>
      <c r="BH309" s="2" t="n">
        <v>100</v>
      </c>
      <c r="BI309" s="2" t="n">
        <v>100</v>
      </c>
      <c r="BJ309" s="2" t="n">
        <v>99.53</v>
      </c>
      <c r="BK309" s="2" t="n">
        <v>100</v>
      </c>
      <c r="BL309" s="2" t="n">
        <v>100</v>
      </c>
      <c r="BM309" s="2" t="n">
        <v>99.53</v>
      </c>
      <c r="BN309" s="2" t="n">
        <v>100</v>
      </c>
      <c r="BO309" s="2" t="n">
        <v>100</v>
      </c>
      <c r="BP309" s="2" t="n">
        <v>99.53</v>
      </c>
      <c r="BQ309" s="2" t="n">
        <v>100</v>
      </c>
      <c r="BR309" s="2" t="n">
        <v>100</v>
      </c>
      <c r="BS309" s="2" t="n">
        <v>99.53</v>
      </c>
      <c r="BT309" s="2" t="n">
        <v>100</v>
      </c>
      <c r="BU309" s="2" t="n">
        <v>100</v>
      </c>
      <c r="BV309" s="2" t="n">
        <v>99.53</v>
      </c>
      <c r="BW309" s="2" t="n">
        <v>100</v>
      </c>
      <c r="BX309" s="2" t="n">
        <v>100</v>
      </c>
      <c r="BY309" s="2" t="n">
        <v>99.53</v>
      </c>
      <c r="BZ309" s="2" t="n">
        <v>100</v>
      </c>
      <c r="CA309" s="2" t="n">
        <v>100</v>
      </c>
      <c r="CB309" s="2" t="n">
        <v>99.53</v>
      </c>
      <c r="CC309" s="2" t="n">
        <v>100</v>
      </c>
      <c r="CD309" s="2" t="n">
        <v>100</v>
      </c>
      <c r="CE309" s="2" t="n">
        <v>99.53</v>
      </c>
      <c r="CF309" s="2" t="n">
        <v>100</v>
      </c>
      <c r="CG309" s="2" t="n">
        <v>100</v>
      </c>
      <c r="CH309" s="2" t="n">
        <v>99.53</v>
      </c>
      <c r="CI309" s="2" t="n">
        <v>100</v>
      </c>
      <c r="CJ309" s="2" t="n">
        <v>100</v>
      </c>
      <c r="CK309" s="2" t="n">
        <v>99.53</v>
      </c>
      <c r="CL309" s="2" t="n">
        <v>100</v>
      </c>
      <c r="CM309" s="2" t="n">
        <v>100</v>
      </c>
      <c r="CN309" s="2" t="n">
        <v>99.53</v>
      </c>
      <c r="CO309" s="2" t="n">
        <v>100</v>
      </c>
      <c r="CP309" s="2" t="n">
        <v>100</v>
      </c>
      <c r="CQ309" s="2" t="n">
        <v>99.53</v>
      </c>
      <c r="CR309" s="2" t="n">
        <v>100</v>
      </c>
      <c r="CS309" s="2" t="n">
        <v>100</v>
      </c>
      <c r="CT309" s="2" t="n">
        <v>99.53</v>
      </c>
      <c r="CU309" s="2" t="n">
        <v>100</v>
      </c>
      <c r="CV309" s="2" t="n">
        <v>100</v>
      </c>
      <c r="CW309" s="2" t="n">
        <v>99.53</v>
      </c>
      <c r="CX309" s="2" t="n">
        <v>100</v>
      </c>
      <c r="CY309" s="2" t="n">
        <v>100</v>
      </c>
      <c r="CZ309" s="2" t="n">
        <v>99.53</v>
      </c>
      <c r="DA309" s="2" t="n">
        <v>100</v>
      </c>
      <c r="DB309" s="2" t="n">
        <v>100</v>
      </c>
      <c r="DC309" s="2" t="n">
        <v>99.53</v>
      </c>
      <c r="DD309" s="2" t="n">
        <v>100</v>
      </c>
      <c r="DE309" s="2" t="n">
        <v>100</v>
      </c>
      <c r="DF309" s="2" t="n">
        <v>99.53</v>
      </c>
      <c r="DG309" s="2" t="n">
        <v>100</v>
      </c>
      <c r="DH309" s="2" t="n">
        <v>100</v>
      </c>
      <c r="DI309" s="2" t="n">
        <v>99.53</v>
      </c>
      <c r="DJ309" s="2" t="n">
        <v>100</v>
      </c>
      <c r="DK309" s="2" t="n">
        <v>100</v>
      </c>
      <c r="DL309" s="2" t="n">
        <v>99.53</v>
      </c>
      <c r="DM309" s="2" t="n">
        <v>100</v>
      </c>
      <c r="DN309" s="2" t="n">
        <v>100</v>
      </c>
      <c r="DO309" s="2" t="n">
        <v>99.53</v>
      </c>
      <c r="DP309" s="2" t="n">
        <v>100</v>
      </c>
      <c r="DQ309" s="2" t="n">
        <v>100</v>
      </c>
      <c r="DR309" s="2" t="n">
        <v>99.53</v>
      </c>
      <c r="DS309" s="2" t="n">
        <v>100</v>
      </c>
      <c r="DT309" s="2" t="n">
        <v>100</v>
      </c>
      <c r="DU309" s="2" t="n">
        <v>99.53</v>
      </c>
      <c r="DV309" s="2" t="n">
        <v>100</v>
      </c>
      <c r="DW309" s="2" t="n">
        <v>100</v>
      </c>
      <c r="DX309" s="2" t="n">
        <v>99.53</v>
      </c>
      <c r="DY309" s="2" t="n">
        <v>100</v>
      </c>
      <c r="DZ309" s="2" t="n">
        <v>100</v>
      </c>
      <c r="EA309" s="2" t="n">
        <v>99.53</v>
      </c>
      <c r="EB309" s="2" t="n">
        <v>100</v>
      </c>
      <c r="EC309" s="2" t="n">
        <v>100</v>
      </c>
      <c r="ED309" s="2" t="n">
        <v>99.53</v>
      </c>
      <c r="EE309" s="2" t="n">
        <v>100</v>
      </c>
      <c r="EF309" s="2" t="n">
        <v>100</v>
      </c>
      <c r="EG309" s="2" t="n">
        <v>99.53</v>
      </c>
      <c r="EH309" s="2" t="n">
        <v>100</v>
      </c>
      <c r="EI309" s="2" t="n">
        <v>100</v>
      </c>
      <c r="EJ309" s="2" t="n">
        <v>99.53</v>
      </c>
      <c r="EK309" s="2" t="n">
        <v>100</v>
      </c>
      <c r="EL309" s="2" t="n">
        <v>100</v>
      </c>
      <c r="EM309" s="2" t="n">
        <v>99.53</v>
      </c>
      <c r="EN309" s="2" t="n">
        <v>100</v>
      </c>
      <c r="EO309" s="2" t="n">
        <v>100</v>
      </c>
      <c r="EP309" s="2" t="n">
        <v>99.53</v>
      </c>
      <c r="EQ309" s="2" t="n">
        <v>100</v>
      </c>
      <c r="ER309" s="2" t="n">
        <v>100</v>
      </c>
      <c r="ES309" s="2" t="n">
        <v>99.53</v>
      </c>
    </row>
    <row r="310">
      <c r="A310" s="2" t="n">
        <v>3</v>
      </c>
      <c r="B310" s="2" t="inlineStr">
        <is>
          <t>15.04.05</t>
        </is>
      </c>
      <c r="C310" s="2" t="inlineStr">
        <is>
          <t>Bucha de argamassa de cimento e areia para limpeza e lubrificação de bomba</t>
        </is>
      </c>
      <c r="D310" s="2" t="inlineStr">
        <is>
          <t>13/10/2025</t>
        </is>
      </c>
      <c r="E310" s="2" t="inlineStr">
        <is>
          <t>03/03/2026</t>
        </is>
      </c>
      <c r="F310" s="2" t="n">
        <v>5209.406746388207</v>
      </c>
      <c r="G310" s="2" t="n">
        <v>0</v>
      </c>
      <c r="H310" s="2" t="n">
        <v>5209.406746388207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17.44</v>
      </c>
      <c r="V310" s="2" t="n">
        <v>17.44</v>
      </c>
      <c r="W310" s="2" t="n">
        <v>21.06</v>
      </c>
      <c r="X310" s="2" t="n">
        <v>39.53</v>
      </c>
      <c r="Y310" s="2" t="n">
        <v>39.53</v>
      </c>
      <c r="Z310" s="2" t="n">
        <v>46.99</v>
      </c>
      <c r="AA310" s="2" t="n">
        <v>55.81</v>
      </c>
      <c r="AB310" s="2" t="n">
        <v>55.81</v>
      </c>
      <c r="AC310" s="2" t="n">
        <v>62.54</v>
      </c>
      <c r="AD310" s="2" t="n">
        <v>79.06999999999999</v>
      </c>
      <c r="AE310" s="2" t="n">
        <v>79.06999999999999</v>
      </c>
      <c r="AF310" s="2" t="n">
        <v>80.98</v>
      </c>
      <c r="AG310" s="2" t="n">
        <v>100</v>
      </c>
      <c r="AH310" s="2" t="n">
        <v>99.53</v>
      </c>
      <c r="AI310" s="2" t="n">
        <v>94.31</v>
      </c>
      <c r="AJ310" s="2" t="n">
        <v>100</v>
      </c>
      <c r="AK310" s="2" t="n">
        <v>100</v>
      </c>
      <c r="AL310" s="2" t="n">
        <v>99.53</v>
      </c>
      <c r="AM310" s="2" t="n">
        <v>100</v>
      </c>
      <c r="AN310" s="2" t="n">
        <v>100</v>
      </c>
      <c r="AO310" s="2" t="n">
        <v>99.53</v>
      </c>
      <c r="AP310" s="2" t="n">
        <v>100</v>
      </c>
      <c r="AQ310" s="2" t="n">
        <v>100</v>
      </c>
      <c r="AR310" s="2" t="n">
        <v>99.53</v>
      </c>
      <c r="AS310" s="2" t="n">
        <v>100</v>
      </c>
      <c r="AT310" s="2" t="n">
        <v>100</v>
      </c>
      <c r="AU310" s="2" t="n">
        <v>99.53</v>
      </c>
      <c r="AV310" s="2" t="n">
        <v>100</v>
      </c>
      <c r="AW310" s="2" t="n">
        <v>100</v>
      </c>
      <c r="AX310" s="2" t="n">
        <v>99.53</v>
      </c>
      <c r="AY310" s="2" t="n">
        <v>100</v>
      </c>
      <c r="AZ310" s="2" t="n">
        <v>100</v>
      </c>
      <c r="BA310" s="2" t="n">
        <v>99.53</v>
      </c>
      <c r="BB310" s="2" t="n">
        <v>100</v>
      </c>
      <c r="BC310" s="2" t="n">
        <v>100</v>
      </c>
      <c r="BD310" s="2" t="n">
        <v>99.53</v>
      </c>
      <c r="BE310" s="2" t="n">
        <v>100</v>
      </c>
      <c r="BF310" s="2" t="n">
        <v>100</v>
      </c>
      <c r="BG310" s="2" t="n">
        <v>99.53</v>
      </c>
      <c r="BH310" s="2" t="n">
        <v>100</v>
      </c>
      <c r="BI310" s="2" t="n">
        <v>100</v>
      </c>
      <c r="BJ310" s="2" t="n">
        <v>99.53</v>
      </c>
      <c r="BK310" s="2" t="n">
        <v>100</v>
      </c>
      <c r="BL310" s="2" t="n">
        <v>100</v>
      </c>
      <c r="BM310" s="2" t="n">
        <v>99.53</v>
      </c>
      <c r="BN310" s="2" t="n">
        <v>100</v>
      </c>
      <c r="BO310" s="2" t="n">
        <v>100</v>
      </c>
      <c r="BP310" s="2" t="n">
        <v>99.53</v>
      </c>
      <c r="BQ310" s="2" t="n">
        <v>100</v>
      </c>
      <c r="BR310" s="2" t="n">
        <v>100</v>
      </c>
      <c r="BS310" s="2" t="n">
        <v>99.53</v>
      </c>
      <c r="BT310" s="2" t="n">
        <v>100</v>
      </c>
      <c r="BU310" s="2" t="n">
        <v>100</v>
      </c>
      <c r="BV310" s="2" t="n">
        <v>99.53</v>
      </c>
      <c r="BW310" s="2" t="n">
        <v>100</v>
      </c>
      <c r="BX310" s="2" t="n">
        <v>100</v>
      </c>
      <c r="BY310" s="2" t="n">
        <v>99.53</v>
      </c>
      <c r="BZ310" s="2" t="n">
        <v>100</v>
      </c>
      <c r="CA310" s="2" t="n">
        <v>100</v>
      </c>
      <c r="CB310" s="2" t="n">
        <v>99.53</v>
      </c>
      <c r="CC310" s="2" t="n">
        <v>100</v>
      </c>
      <c r="CD310" s="2" t="n">
        <v>100</v>
      </c>
      <c r="CE310" s="2" t="n">
        <v>99.53</v>
      </c>
      <c r="CF310" s="2" t="n">
        <v>100</v>
      </c>
      <c r="CG310" s="2" t="n">
        <v>100</v>
      </c>
      <c r="CH310" s="2" t="n">
        <v>99.53</v>
      </c>
      <c r="CI310" s="2" t="n">
        <v>100</v>
      </c>
      <c r="CJ310" s="2" t="n">
        <v>100</v>
      </c>
      <c r="CK310" s="2" t="n">
        <v>99.53</v>
      </c>
      <c r="CL310" s="2" t="n">
        <v>100</v>
      </c>
      <c r="CM310" s="2" t="n">
        <v>100</v>
      </c>
      <c r="CN310" s="2" t="n">
        <v>99.53</v>
      </c>
      <c r="CO310" s="2" t="n">
        <v>100</v>
      </c>
      <c r="CP310" s="2" t="n">
        <v>100</v>
      </c>
      <c r="CQ310" s="2" t="n">
        <v>99.53</v>
      </c>
      <c r="CR310" s="2" t="n">
        <v>100</v>
      </c>
      <c r="CS310" s="2" t="n">
        <v>100</v>
      </c>
      <c r="CT310" s="2" t="n">
        <v>99.53</v>
      </c>
      <c r="CU310" s="2" t="n">
        <v>100</v>
      </c>
      <c r="CV310" s="2" t="n">
        <v>100</v>
      </c>
      <c r="CW310" s="2" t="n">
        <v>99.53</v>
      </c>
      <c r="CX310" s="2" t="n">
        <v>100</v>
      </c>
      <c r="CY310" s="2" t="n">
        <v>100</v>
      </c>
      <c r="CZ310" s="2" t="n">
        <v>99.53</v>
      </c>
      <c r="DA310" s="2" t="n">
        <v>100</v>
      </c>
      <c r="DB310" s="2" t="n">
        <v>100</v>
      </c>
      <c r="DC310" s="2" t="n">
        <v>99.53</v>
      </c>
      <c r="DD310" s="2" t="n">
        <v>100</v>
      </c>
      <c r="DE310" s="2" t="n">
        <v>100</v>
      </c>
      <c r="DF310" s="2" t="n">
        <v>99.53</v>
      </c>
      <c r="DG310" s="2" t="n">
        <v>100</v>
      </c>
      <c r="DH310" s="2" t="n">
        <v>100</v>
      </c>
      <c r="DI310" s="2" t="n">
        <v>99.53</v>
      </c>
      <c r="DJ310" s="2" t="n">
        <v>100</v>
      </c>
      <c r="DK310" s="2" t="n">
        <v>100</v>
      </c>
      <c r="DL310" s="2" t="n">
        <v>99.53</v>
      </c>
      <c r="DM310" s="2" t="n">
        <v>100</v>
      </c>
      <c r="DN310" s="2" t="n">
        <v>100</v>
      </c>
      <c r="DO310" s="2" t="n">
        <v>99.53</v>
      </c>
      <c r="DP310" s="2" t="n">
        <v>100</v>
      </c>
      <c r="DQ310" s="2" t="n">
        <v>100</v>
      </c>
      <c r="DR310" s="2" t="n">
        <v>99.53</v>
      </c>
      <c r="DS310" s="2" t="n">
        <v>100</v>
      </c>
      <c r="DT310" s="2" t="n">
        <v>100</v>
      </c>
      <c r="DU310" s="2" t="n">
        <v>99.53</v>
      </c>
      <c r="DV310" s="2" t="n">
        <v>100</v>
      </c>
      <c r="DW310" s="2" t="n">
        <v>100</v>
      </c>
      <c r="DX310" s="2" t="n">
        <v>99.53</v>
      </c>
      <c r="DY310" s="2" t="n">
        <v>100</v>
      </c>
      <c r="DZ310" s="2" t="n">
        <v>100</v>
      </c>
      <c r="EA310" s="2" t="n">
        <v>99.53</v>
      </c>
      <c r="EB310" s="2" t="n">
        <v>100</v>
      </c>
      <c r="EC310" s="2" t="n">
        <v>100</v>
      </c>
      <c r="ED310" s="2" t="n">
        <v>99.53</v>
      </c>
      <c r="EE310" s="2" t="n">
        <v>100</v>
      </c>
      <c r="EF310" s="2" t="n">
        <v>100</v>
      </c>
      <c r="EG310" s="2" t="n">
        <v>99.53</v>
      </c>
      <c r="EH310" s="2" t="n">
        <v>100</v>
      </c>
      <c r="EI310" s="2" t="n">
        <v>100</v>
      </c>
      <c r="EJ310" s="2" t="n">
        <v>99.53</v>
      </c>
      <c r="EK310" s="2" t="n">
        <v>100</v>
      </c>
      <c r="EL310" s="2" t="n">
        <v>100</v>
      </c>
      <c r="EM310" s="2" t="n">
        <v>99.53</v>
      </c>
      <c r="EN310" s="2" t="n">
        <v>100</v>
      </c>
      <c r="EO310" s="2" t="n">
        <v>100</v>
      </c>
      <c r="EP310" s="2" t="n">
        <v>99.53</v>
      </c>
      <c r="EQ310" s="2" t="n">
        <v>100</v>
      </c>
      <c r="ER310" s="2" t="n">
        <v>100</v>
      </c>
      <c r="ES310" s="2" t="n">
        <v>99.53</v>
      </c>
    </row>
    <row r="311">
      <c r="A311" s="2" t="n">
        <v>3</v>
      </c>
      <c r="B311" s="2" t="inlineStr">
        <is>
          <t>15.04.06</t>
        </is>
      </c>
      <c r="C311" s="2" t="inlineStr">
        <is>
          <t>&lt;html&gt;Armadura Ca-50 adquirido cortado e dobrado, montagem e posicionamento no canteiro - &lt;b&gt;Quant. de projeto&lt;/b&gt;&lt;/html&gt;</t>
        </is>
      </c>
      <c r="D311" s="2" t="inlineStr">
        <is>
          <t>13/10/2025</t>
        </is>
      </c>
      <c r="E311" s="2" t="inlineStr">
        <is>
          <t>03/03/2026</t>
        </is>
      </c>
      <c r="F311" s="2" t="n">
        <v>869895.4798834921</v>
      </c>
      <c r="G311" s="2" t="n">
        <v>0</v>
      </c>
      <c r="H311" s="2" t="n">
        <v>869895.4798834921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17.44</v>
      </c>
      <c r="V311" s="2" t="n">
        <v>17.44</v>
      </c>
      <c r="W311" s="2" t="n">
        <v>21.06</v>
      </c>
      <c r="X311" s="2" t="n">
        <v>39.53</v>
      </c>
      <c r="Y311" s="2" t="n">
        <v>39.53</v>
      </c>
      <c r="Z311" s="2" t="n">
        <v>46.99</v>
      </c>
      <c r="AA311" s="2" t="n">
        <v>55.81</v>
      </c>
      <c r="AB311" s="2" t="n">
        <v>55.81</v>
      </c>
      <c r="AC311" s="2" t="n">
        <v>62.54</v>
      </c>
      <c r="AD311" s="2" t="n">
        <v>79.06999999999999</v>
      </c>
      <c r="AE311" s="2" t="n">
        <v>79.06999999999999</v>
      </c>
      <c r="AF311" s="2" t="n">
        <v>80.98</v>
      </c>
      <c r="AG311" s="2" t="n">
        <v>100</v>
      </c>
      <c r="AH311" s="2" t="n">
        <v>99.53</v>
      </c>
      <c r="AI311" s="2" t="n">
        <v>94.31</v>
      </c>
      <c r="AJ311" s="2" t="n">
        <v>100</v>
      </c>
      <c r="AK311" s="2" t="n">
        <v>100</v>
      </c>
      <c r="AL311" s="2" t="n">
        <v>99.53</v>
      </c>
      <c r="AM311" s="2" t="n">
        <v>100</v>
      </c>
      <c r="AN311" s="2" t="n">
        <v>100</v>
      </c>
      <c r="AO311" s="2" t="n">
        <v>99.53</v>
      </c>
      <c r="AP311" s="2" t="n">
        <v>100</v>
      </c>
      <c r="AQ311" s="2" t="n">
        <v>100</v>
      </c>
      <c r="AR311" s="2" t="n">
        <v>99.53</v>
      </c>
      <c r="AS311" s="2" t="n">
        <v>100</v>
      </c>
      <c r="AT311" s="2" t="n">
        <v>100</v>
      </c>
      <c r="AU311" s="2" t="n">
        <v>99.53</v>
      </c>
      <c r="AV311" s="2" t="n">
        <v>100</v>
      </c>
      <c r="AW311" s="2" t="n">
        <v>100</v>
      </c>
      <c r="AX311" s="2" t="n">
        <v>99.53</v>
      </c>
      <c r="AY311" s="2" t="n">
        <v>100</v>
      </c>
      <c r="AZ311" s="2" t="n">
        <v>100</v>
      </c>
      <c r="BA311" s="2" t="n">
        <v>99.53</v>
      </c>
      <c r="BB311" s="2" t="n">
        <v>100</v>
      </c>
      <c r="BC311" s="2" t="n">
        <v>100</v>
      </c>
      <c r="BD311" s="2" t="n">
        <v>99.53</v>
      </c>
      <c r="BE311" s="2" t="n">
        <v>100</v>
      </c>
      <c r="BF311" s="2" t="n">
        <v>100</v>
      </c>
      <c r="BG311" s="2" t="n">
        <v>99.53</v>
      </c>
      <c r="BH311" s="2" t="n">
        <v>100</v>
      </c>
      <c r="BI311" s="2" t="n">
        <v>100</v>
      </c>
      <c r="BJ311" s="2" t="n">
        <v>99.53</v>
      </c>
      <c r="BK311" s="2" t="n">
        <v>100</v>
      </c>
      <c r="BL311" s="2" t="n">
        <v>100</v>
      </c>
      <c r="BM311" s="2" t="n">
        <v>99.53</v>
      </c>
      <c r="BN311" s="2" t="n">
        <v>100</v>
      </c>
      <c r="BO311" s="2" t="n">
        <v>100</v>
      </c>
      <c r="BP311" s="2" t="n">
        <v>99.53</v>
      </c>
      <c r="BQ311" s="2" t="n">
        <v>100</v>
      </c>
      <c r="BR311" s="2" t="n">
        <v>100</v>
      </c>
      <c r="BS311" s="2" t="n">
        <v>99.53</v>
      </c>
      <c r="BT311" s="2" t="n">
        <v>100</v>
      </c>
      <c r="BU311" s="2" t="n">
        <v>100</v>
      </c>
      <c r="BV311" s="2" t="n">
        <v>99.53</v>
      </c>
      <c r="BW311" s="2" t="n">
        <v>100</v>
      </c>
      <c r="BX311" s="2" t="n">
        <v>100</v>
      </c>
      <c r="BY311" s="2" t="n">
        <v>99.53</v>
      </c>
      <c r="BZ311" s="2" t="n">
        <v>100</v>
      </c>
      <c r="CA311" s="2" t="n">
        <v>100</v>
      </c>
      <c r="CB311" s="2" t="n">
        <v>99.53</v>
      </c>
      <c r="CC311" s="2" t="n">
        <v>100</v>
      </c>
      <c r="CD311" s="2" t="n">
        <v>100</v>
      </c>
      <c r="CE311" s="2" t="n">
        <v>99.53</v>
      </c>
      <c r="CF311" s="2" t="n">
        <v>100</v>
      </c>
      <c r="CG311" s="2" t="n">
        <v>100</v>
      </c>
      <c r="CH311" s="2" t="n">
        <v>99.53</v>
      </c>
      <c r="CI311" s="2" t="n">
        <v>100</v>
      </c>
      <c r="CJ311" s="2" t="n">
        <v>100</v>
      </c>
      <c r="CK311" s="2" t="n">
        <v>99.53</v>
      </c>
      <c r="CL311" s="2" t="n">
        <v>100</v>
      </c>
      <c r="CM311" s="2" t="n">
        <v>100</v>
      </c>
      <c r="CN311" s="2" t="n">
        <v>99.53</v>
      </c>
      <c r="CO311" s="2" t="n">
        <v>100</v>
      </c>
      <c r="CP311" s="2" t="n">
        <v>100</v>
      </c>
      <c r="CQ311" s="2" t="n">
        <v>99.53</v>
      </c>
      <c r="CR311" s="2" t="n">
        <v>100</v>
      </c>
      <c r="CS311" s="2" t="n">
        <v>100</v>
      </c>
      <c r="CT311" s="2" t="n">
        <v>99.53</v>
      </c>
      <c r="CU311" s="2" t="n">
        <v>100</v>
      </c>
      <c r="CV311" s="2" t="n">
        <v>100</v>
      </c>
      <c r="CW311" s="2" t="n">
        <v>99.53</v>
      </c>
      <c r="CX311" s="2" t="n">
        <v>100</v>
      </c>
      <c r="CY311" s="2" t="n">
        <v>100</v>
      </c>
      <c r="CZ311" s="2" t="n">
        <v>99.53</v>
      </c>
      <c r="DA311" s="2" t="n">
        <v>100</v>
      </c>
      <c r="DB311" s="2" t="n">
        <v>100</v>
      </c>
      <c r="DC311" s="2" t="n">
        <v>99.53</v>
      </c>
      <c r="DD311" s="2" t="n">
        <v>100</v>
      </c>
      <c r="DE311" s="2" t="n">
        <v>100</v>
      </c>
      <c r="DF311" s="2" t="n">
        <v>99.53</v>
      </c>
      <c r="DG311" s="2" t="n">
        <v>100</v>
      </c>
      <c r="DH311" s="2" t="n">
        <v>100</v>
      </c>
      <c r="DI311" s="2" t="n">
        <v>99.53</v>
      </c>
      <c r="DJ311" s="2" t="n">
        <v>100</v>
      </c>
      <c r="DK311" s="2" t="n">
        <v>100</v>
      </c>
      <c r="DL311" s="2" t="n">
        <v>99.53</v>
      </c>
      <c r="DM311" s="2" t="n">
        <v>100</v>
      </c>
      <c r="DN311" s="2" t="n">
        <v>100</v>
      </c>
      <c r="DO311" s="2" t="n">
        <v>99.53</v>
      </c>
      <c r="DP311" s="2" t="n">
        <v>100</v>
      </c>
      <c r="DQ311" s="2" t="n">
        <v>100</v>
      </c>
      <c r="DR311" s="2" t="n">
        <v>99.53</v>
      </c>
      <c r="DS311" s="2" t="n">
        <v>100</v>
      </c>
      <c r="DT311" s="2" t="n">
        <v>100</v>
      </c>
      <c r="DU311" s="2" t="n">
        <v>99.53</v>
      </c>
      <c r="DV311" s="2" t="n">
        <v>100</v>
      </c>
      <c r="DW311" s="2" t="n">
        <v>100</v>
      </c>
      <c r="DX311" s="2" t="n">
        <v>99.53</v>
      </c>
      <c r="DY311" s="2" t="n">
        <v>100</v>
      </c>
      <c r="DZ311" s="2" t="n">
        <v>100</v>
      </c>
      <c r="EA311" s="2" t="n">
        <v>99.53</v>
      </c>
      <c r="EB311" s="2" t="n">
        <v>100</v>
      </c>
      <c r="EC311" s="2" t="n">
        <v>100</v>
      </c>
      <c r="ED311" s="2" t="n">
        <v>99.53</v>
      </c>
      <c r="EE311" s="2" t="n">
        <v>100</v>
      </c>
      <c r="EF311" s="2" t="n">
        <v>100</v>
      </c>
      <c r="EG311" s="2" t="n">
        <v>99.53</v>
      </c>
      <c r="EH311" s="2" t="n">
        <v>100</v>
      </c>
      <c r="EI311" s="2" t="n">
        <v>100</v>
      </c>
      <c r="EJ311" s="2" t="n">
        <v>99.53</v>
      </c>
      <c r="EK311" s="2" t="n">
        <v>100</v>
      </c>
      <c r="EL311" s="2" t="n">
        <v>100</v>
      </c>
      <c r="EM311" s="2" t="n">
        <v>99.53</v>
      </c>
      <c r="EN311" s="2" t="n">
        <v>100</v>
      </c>
      <c r="EO311" s="2" t="n">
        <v>100</v>
      </c>
      <c r="EP311" s="2" t="n">
        <v>99.53</v>
      </c>
      <c r="EQ311" s="2" t="n">
        <v>100</v>
      </c>
      <c r="ER311" s="2" t="n">
        <v>100</v>
      </c>
      <c r="ES311" s="2" t="n">
        <v>99.53</v>
      </c>
    </row>
    <row r="312">
      <c r="A312" s="2" t="n">
        <v>3</v>
      </c>
      <c r="B312" s="2" t="inlineStr">
        <is>
          <t>15.04.07</t>
        </is>
      </c>
      <c r="C312" s="2" t="inlineStr">
        <is>
          <t>Arrasamento de cabeça de estacas com martelete</t>
        </is>
      </c>
      <c r="D312" s="2" t="inlineStr">
        <is>
          <t>13/10/2025</t>
        </is>
      </c>
      <c r="E312" s="2" t="inlineStr">
        <is>
          <t>03/03/2026</t>
        </is>
      </c>
      <c r="F312" s="2" t="n">
        <v>63200</v>
      </c>
      <c r="G312" s="2" t="n">
        <v>0</v>
      </c>
      <c r="H312" s="2" t="n">
        <v>63200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17.44</v>
      </c>
      <c r="V312" s="2" t="n">
        <v>17.44</v>
      </c>
      <c r="W312" s="2" t="n">
        <v>21.06</v>
      </c>
      <c r="X312" s="2" t="n">
        <v>39.53</v>
      </c>
      <c r="Y312" s="2" t="n">
        <v>39.53</v>
      </c>
      <c r="Z312" s="2" t="n">
        <v>46.99</v>
      </c>
      <c r="AA312" s="2" t="n">
        <v>55.81</v>
      </c>
      <c r="AB312" s="2" t="n">
        <v>55.81</v>
      </c>
      <c r="AC312" s="2" t="n">
        <v>62.54</v>
      </c>
      <c r="AD312" s="2" t="n">
        <v>79.06999999999999</v>
      </c>
      <c r="AE312" s="2" t="n">
        <v>79.06999999999999</v>
      </c>
      <c r="AF312" s="2" t="n">
        <v>80.98</v>
      </c>
      <c r="AG312" s="2" t="n">
        <v>100</v>
      </c>
      <c r="AH312" s="2" t="n">
        <v>99.53</v>
      </c>
      <c r="AI312" s="2" t="n">
        <v>94.31</v>
      </c>
      <c r="AJ312" s="2" t="n">
        <v>100</v>
      </c>
      <c r="AK312" s="2" t="n">
        <v>100</v>
      </c>
      <c r="AL312" s="2" t="n">
        <v>99.53</v>
      </c>
      <c r="AM312" s="2" t="n">
        <v>100</v>
      </c>
      <c r="AN312" s="2" t="n">
        <v>100</v>
      </c>
      <c r="AO312" s="2" t="n">
        <v>99.53</v>
      </c>
      <c r="AP312" s="2" t="n">
        <v>100</v>
      </c>
      <c r="AQ312" s="2" t="n">
        <v>100</v>
      </c>
      <c r="AR312" s="2" t="n">
        <v>99.53</v>
      </c>
      <c r="AS312" s="2" t="n">
        <v>100</v>
      </c>
      <c r="AT312" s="2" t="n">
        <v>100</v>
      </c>
      <c r="AU312" s="2" t="n">
        <v>99.53</v>
      </c>
      <c r="AV312" s="2" t="n">
        <v>100</v>
      </c>
      <c r="AW312" s="2" t="n">
        <v>100</v>
      </c>
      <c r="AX312" s="2" t="n">
        <v>99.53</v>
      </c>
      <c r="AY312" s="2" t="n">
        <v>100</v>
      </c>
      <c r="AZ312" s="2" t="n">
        <v>100</v>
      </c>
      <c r="BA312" s="2" t="n">
        <v>99.53</v>
      </c>
      <c r="BB312" s="2" t="n">
        <v>100</v>
      </c>
      <c r="BC312" s="2" t="n">
        <v>100</v>
      </c>
      <c r="BD312" s="2" t="n">
        <v>99.53</v>
      </c>
      <c r="BE312" s="2" t="n">
        <v>100</v>
      </c>
      <c r="BF312" s="2" t="n">
        <v>100</v>
      </c>
      <c r="BG312" s="2" t="n">
        <v>99.53</v>
      </c>
      <c r="BH312" s="2" t="n">
        <v>100</v>
      </c>
      <c r="BI312" s="2" t="n">
        <v>100</v>
      </c>
      <c r="BJ312" s="2" t="n">
        <v>99.53</v>
      </c>
      <c r="BK312" s="2" t="n">
        <v>100</v>
      </c>
      <c r="BL312" s="2" t="n">
        <v>100</v>
      </c>
      <c r="BM312" s="2" t="n">
        <v>99.53</v>
      </c>
      <c r="BN312" s="2" t="n">
        <v>100</v>
      </c>
      <c r="BO312" s="2" t="n">
        <v>100</v>
      </c>
      <c r="BP312" s="2" t="n">
        <v>99.53</v>
      </c>
      <c r="BQ312" s="2" t="n">
        <v>100</v>
      </c>
      <c r="BR312" s="2" t="n">
        <v>100</v>
      </c>
      <c r="BS312" s="2" t="n">
        <v>99.53</v>
      </c>
      <c r="BT312" s="2" t="n">
        <v>100</v>
      </c>
      <c r="BU312" s="2" t="n">
        <v>100</v>
      </c>
      <c r="BV312" s="2" t="n">
        <v>99.53</v>
      </c>
      <c r="BW312" s="2" t="n">
        <v>100</v>
      </c>
      <c r="BX312" s="2" t="n">
        <v>100</v>
      </c>
      <c r="BY312" s="2" t="n">
        <v>99.53</v>
      </c>
      <c r="BZ312" s="2" t="n">
        <v>100</v>
      </c>
      <c r="CA312" s="2" t="n">
        <v>100</v>
      </c>
      <c r="CB312" s="2" t="n">
        <v>99.53</v>
      </c>
      <c r="CC312" s="2" t="n">
        <v>100</v>
      </c>
      <c r="CD312" s="2" t="n">
        <v>100</v>
      </c>
      <c r="CE312" s="2" t="n">
        <v>99.53</v>
      </c>
      <c r="CF312" s="2" t="n">
        <v>100</v>
      </c>
      <c r="CG312" s="2" t="n">
        <v>100</v>
      </c>
      <c r="CH312" s="2" t="n">
        <v>99.53</v>
      </c>
      <c r="CI312" s="2" t="n">
        <v>100</v>
      </c>
      <c r="CJ312" s="2" t="n">
        <v>100</v>
      </c>
      <c r="CK312" s="2" t="n">
        <v>99.53</v>
      </c>
      <c r="CL312" s="2" t="n">
        <v>100</v>
      </c>
      <c r="CM312" s="2" t="n">
        <v>100</v>
      </c>
      <c r="CN312" s="2" t="n">
        <v>99.53</v>
      </c>
      <c r="CO312" s="2" t="n">
        <v>100</v>
      </c>
      <c r="CP312" s="2" t="n">
        <v>100</v>
      </c>
      <c r="CQ312" s="2" t="n">
        <v>99.53</v>
      </c>
      <c r="CR312" s="2" t="n">
        <v>100</v>
      </c>
      <c r="CS312" s="2" t="n">
        <v>100</v>
      </c>
      <c r="CT312" s="2" t="n">
        <v>99.53</v>
      </c>
      <c r="CU312" s="2" t="n">
        <v>100</v>
      </c>
      <c r="CV312" s="2" t="n">
        <v>100</v>
      </c>
      <c r="CW312" s="2" t="n">
        <v>99.53</v>
      </c>
      <c r="CX312" s="2" t="n">
        <v>100</v>
      </c>
      <c r="CY312" s="2" t="n">
        <v>100</v>
      </c>
      <c r="CZ312" s="2" t="n">
        <v>99.53</v>
      </c>
      <c r="DA312" s="2" t="n">
        <v>100</v>
      </c>
      <c r="DB312" s="2" t="n">
        <v>100</v>
      </c>
      <c r="DC312" s="2" t="n">
        <v>99.53</v>
      </c>
      <c r="DD312" s="2" t="n">
        <v>100</v>
      </c>
      <c r="DE312" s="2" t="n">
        <v>100</v>
      </c>
      <c r="DF312" s="2" t="n">
        <v>99.53</v>
      </c>
      <c r="DG312" s="2" t="n">
        <v>100</v>
      </c>
      <c r="DH312" s="2" t="n">
        <v>100</v>
      </c>
      <c r="DI312" s="2" t="n">
        <v>99.53</v>
      </c>
      <c r="DJ312" s="2" t="n">
        <v>100</v>
      </c>
      <c r="DK312" s="2" t="n">
        <v>100</v>
      </c>
      <c r="DL312" s="2" t="n">
        <v>99.53</v>
      </c>
      <c r="DM312" s="2" t="n">
        <v>100</v>
      </c>
      <c r="DN312" s="2" t="n">
        <v>100</v>
      </c>
      <c r="DO312" s="2" t="n">
        <v>99.53</v>
      </c>
      <c r="DP312" s="2" t="n">
        <v>100</v>
      </c>
      <c r="DQ312" s="2" t="n">
        <v>100</v>
      </c>
      <c r="DR312" s="2" t="n">
        <v>99.53</v>
      </c>
      <c r="DS312" s="2" t="n">
        <v>100</v>
      </c>
      <c r="DT312" s="2" t="n">
        <v>100</v>
      </c>
      <c r="DU312" s="2" t="n">
        <v>99.53</v>
      </c>
      <c r="DV312" s="2" t="n">
        <v>100</v>
      </c>
      <c r="DW312" s="2" t="n">
        <v>100</v>
      </c>
      <c r="DX312" s="2" t="n">
        <v>99.53</v>
      </c>
      <c r="DY312" s="2" t="n">
        <v>100</v>
      </c>
      <c r="DZ312" s="2" t="n">
        <v>100</v>
      </c>
      <c r="EA312" s="2" t="n">
        <v>99.53</v>
      </c>
      <c r="EB312" s="2" t="n">
        <v>100</v>
      </c>
      <c r="EC312" s="2" t="n">
        <v>100</v>
      </c>
      <c r="ED312" s="2" t="n">
        <v>99.53</v>
      </c>
      <c r="EE312" s="2" t="n">
        <v>100</v>
      </c>
      <c r="EF312" s="2" t="n">
        <v>100</v>
      </c>
      <c r="EG312" s="2" t="n">
        <v>99.53</v>
      </c>
      <c r="EH312" s="2" t="n">
        <v>100</v>
      </c>
      <c r="EI312" s="2" t="n">
        <v>100</v>
      </c>
      <c r="EJ312" s="2" t="n">
        <v>99.53</v>
      </c>
      <c r="EK312" s="2" t="n">
        <v>100</v>
      </c>
      <c r="EL312" s="2" t="n">
        <v>100</v>
      </c>
      <c r="EM312" s="2" t="n">
        <v>99.53</v>
      </c>
      <c r="EN312" s="2" t="n">
        <v>100</v>
      </c>
      <c r="EO312" s="2" t="n">
        <v>100</v>
      </c>
      <c r="EP312" s="2" t="n">
        <v>99.53</v>
      </c>
      <c r="EQ312" s="2" t="n">
        <v>100</v>
      </c>
      <c r="ER312" s="2" t="n">
        <v>100</v>
      </c>
      <c r="ES312" s="2" t="n">
        <v>99.53</v>
      </c>
    </row>
    <row r="313">
      <c r="A313" s="2" t="n">
        <v>3</v>
      </c>
      <c r="B313" s="2" t="inlineStr">
        <is>
          <t>15.04.08</t>
        </is>
      </c>
      <c r="C313" s="2" t="inlineStr">
        <is>
          <t>Embocamento</t>
        </is>
      </c>
      <c r="D313" s="2" t="inlineStr">
        <is>
          <t>13/10/2025</t>
        </is>
      </c>
      <c r="E313" s="2" t="inlineStr">
        <is>
          <t>03/03/2026</t>
        </is>
      </c>
      <c r="F313" s="2" t="n">
        <v>14220</v>
      </c>
      <c r="G313" s="2" t="n">
        <v>0</v>
      </c>
      <c r="H313" s="2" t="n">
        <v>14220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17.44</v>
      </c>
      <c r="V313" s="2" t="n">
        <v>17.44</v>
      </c>
      <c r="W313" s="2" t="n">
        <v>21.06</v>
      </c>
      <c r="X313" s="2" t="n">
        <v>39.53</v>
      </c>
      <c r="Y313" s="2" t="n">
        <v>39.53</v>
      </c>
      <c r="Z313" s="2" t="n">
        <v>46.99</v>
      </c>
      <c r="AA313" s="2" t="n">
        <v>55.81</v>
      </c>
      <c r="AB313" s="2" t="n">
        <v>55.81</v>
      </c>
      <c r="AC313" s="2" t="n">
        <v>62.54</v>
      </c>
      <c r="AD313" s="2" t="n">
        <v>79.06999999999999</v>
      </c>
      <c r="AE313" s="2" t="n">
        <v>79.06999999999999</v>
      </c>
      <c r="AF313" s="2" t="n">
        <v>80.98</v>
      </c>
      <c r="AG313" s="2" t="n">
        <v>100</v>
      </c>
      <c r="AH313" s="2" t="n">
        <v>99.53</v>
      </c>
      <c r="AI313" s="2" t="n">
        <v>94.31</v>
      </c>
      <c r="AJ313" s="2" t="n">
        <v>100</v>
      </c>
      <c r="AK313" s="2" t="n">
        <v>100</v>
      </c>
      <c r="AL313" s="2" t="n">
        <v>99.53</v>
      </c>
      <c r="AM313" s="2" t="n">
        <v>100</v>
      </c>
      <c r="AN313" s="2" t="n">
        <v>100</v>
      </c>
      <c r="AO313" s="2" t="n">
        <v>99.53</v>
      </c>
      <c r="AP313" s="2" t="n">
        <v>100</v>
      </c>
      <c r="AQ313" s="2" t="n">
        <v>100</v>
      </c>
      <c r="AR313" s="2" t="n">
        <v>99.53</v>
      </c>
      <c r="AS313" s="2" t="n">
        <v>100</v>
      </c>
      <c r="AT313" s="2" t="n">
        <v>100</v>
      </c>
      <c r="AU313" s="2" t="n">
        <v>99.53</v>
      </c>
      <c r="AV313" s="2" t="n">
        <v>100</v>
      </c>
      <c r="AW313" s="2" t="n">
        <v>100</v>
      </c>
      <c r="AX313" s="2" t="n">
        <v>99.53</v>
      </c>
      <c r="AY313" s="2" t="n">
        <v>100</v>
      </c>
      <c r="AZ313" s="2" t="n">
        <v>100</v>
      </c>
      <c r="BA313" s="2" t="n">
        <v>99.53</v>
      </c>
      <c r="BB313" s="2" t="n">
        <v>100</v>
      </c>
      <c r="BC313" s="2" t="n">
        <v>100</v>
      </c>
      <c r="BD313" s="2" t="n">
        <v>99.53</v>
      </c>
      <c r="BE313" s="2" t="n">
        <v>100</v>
      </c>
      <c r="BF313" s="2" t="n">
        <v>100</v>
      </c>
      <c r="BG313" s="2" t="n">
        <v>99.53</v>
      </c>
      <c r="BH313" s="2" t="n">
        <v>100</v>
      </c>
      <c r="BI313" s="2" t="n">
        <v>100</v>
      </c>
      <c r="BJ313" s="2" t="n">
        <v>99.53</v>
      </c>
      <c r="BK313" s="2" t="n">
        <v>100</v>
      </c>
      <c r="BL313" s="2" t="n">
        <v>100</v>
      </c>
      <c r="BM313" s="2" t="n">
        <v>99.53</v>
      </c>
      <c r="BN313" s="2" t="n">
        <v>100</v>
      </c>
      <c r="BO313" s="2" t="n">
        <v>100</v>
      </c>
      <c r="BP313" s="2" t="n">
        <v>99.53</v>
      </c>
      <c r="BQ313" s="2" t="n">
        <v>100</v>
      </c>
      <c r="BR313" s="2" t="n">
        <v>100</v>
      </c>
      <c r="BS313" s="2" t="n">
        <v>99.53</v>
      </c>
      <c r="BT313" s="2" t="n">
        <v>100</v>
      </c>
      <c r="BU313" s="2" t="n">
        <v>100</v>
      </c>
      <c r="BV313" s="2" t="n">
        <v>99.53</v>
      </c>
      <c r="BW313" s="2" t="n">
        <v>100</v>
      </c>
      <c r="BX313" s="2" t="n">
        <v>100</v>
      </c>
      <c r="BY313" s="2" t="n">
        <v>99.53</v>
      </c>
      <c r="BZ313" s="2" t="n">
        <v>100</v>
      </c>
      <c r="CA313" s="2" t="n">
        <v>100</v>
      </c>
      <c r="CB313" s="2" t="n">
        <v>99.53</v>
      </c>
      <c r="CC313" s="2" t="n">
        <v>100</v>
      </c>
      <c r="CD313" s="2" t="n">
        <v>100</v>
      </c>
      <c r="CE313" s="2" t="n">
        <v>99.53</v>
      </c>
      <c r="CF313" s="2" t="n">
        <v>100</v>
      </c>
      <c r="CG313" s="2" t="n">
        <v>100</v>
      </c>
      <c r="CH313" s="2" t="n">
        <v>99.53</v>
      </c>
      <c r="CI313" s="2" t="n">
        <v>100</v>
      </c>
      <c r="CJ313" s="2" t="n">
        <v>100</v>
      </c>
      <c r="CK313" s="2" t="n">
        <v>99.53</v>
      </c>
      <c r="CL313" s="2" t="n">
        <v>100</v>
      </c>
      <c r="CM313" s="2" t="n">
        <v>100</v>
      </c>
      <c r="CN313" s="2" t="n">
        <v>99.53</v>
      </c>
      <c r="CO313" s="2" t="n">
        <v>100</v>
      </c>
      <c r="CP313" s="2" t="n">
        <v>100</v>
      </c>
      <c r="CQ313" s="2" t="n">
        <v>99.53</v>
      </c>
      <c r="CR313" s="2" t="n">
        <v>100</v>
      </c>
      <c r="CS313" s="2" t="n">
        <v>100</v>
      </c>
      <c r="CT313" s="2" t="n">
        <v>99.53</v>
      </c>
      <c r="CU313" s="2" t="n">
        <v>100</v>
      </c>
      <c r="CV313" s="2" t="n">
        <v>100</v>
      </c>
      <c r="CW313" s="2" t="n">
        <v>99.53</v>
      </c>
      <c r="CX313" s="2" t="n">
        <v>100</v>
      </c>
      <c r="CY313" s="2" t="n">
        <v>100</v>
      </c>
      <c r="CZ313" s="2" t="n">
        <v>99.53</v>
      </c>
      <c r="DA313" s="2" t="n">
        <v>100</v>
      </c>
      <c r="DB313" s="2" t="n">
        <v>100</v>
      </c>
      <c r="DC313" s="2" t="n">
        <v>99.53</v>
      </c>
      <c r="DD313" s="2" t="n">
        <v>100</v>
      </c>
      <c r="DE313" s="2" t="n">
        <v>100</v>
      </c>
      <c r="DF313" s="2" t="n">
        <v>99.53</v>
      </c>
      <c r="DG313" s="2" t="n">
        <v>100</v>
      </c>
      <c r="DH313" s="2" t="n">
        <v>100</v>
      </c>
      <c r="DI313" s="2" t="n">
        <v>99.53</v>
      </c>
      <c r="DJ313" s="2" t="n">
        <v>100</v>
      </c>
      <c r="DK313" s="2" t="n">
        <v>100</v>
      </c>
      <c r="DL313" s="2" t="n">
        <v>99.53</v>
      </c>
      <c r="DM313" s="2" t="n">
        <v>100</v>
      </c>
      <c r="DN313" s="2" t="n">
        <v>100</v>
      </c>
      <c r="DO313" s="2" t="n">
        <v>99.53</v>
      </c>
      <c r="DP313" s="2" t="n">
        <v>100</v>
      </c>
      <c r="DQ313" s="2" t="n">
        <v>100</v>
      </c>
      <c r="DR313" s="2" t="n">
        <v>99.53</v>
      </c>
      <c r="DS313" s="2" t="n">
        <v>100</v>
      </c>
      <c r="DT313" s="2" t="n">
        <v>100</v>
      </c>
      <c r="DU313" s="2" t="n">
        <v>99.53</v>
      </c>
      <c r="DV313" s="2" t="n">
        <v>100</v>
      </c>
      <c r="DW313" s="2" t="n">
        <v>100</v>
      </c>
      <c r="DX313" s="2" t="n">
        <v>99.53</v>
      </c>
      <c r="DY313" s="2" t="n">
        <v>100</v>
      </c>
      <c r="DZ313" s="2" t="n">
        <v>100</v>
      </c>
      <c r="EA313" s="2" t="n">
        <v>99.53</v>
      </c>
      <c r="EB313" s="2" t="n">
        <v>100</v>
      </c>
      <c r="EC313" s="2" t="n">
        <v>100</v>
      </c>
      <c r="ED313" s="2" t="n">
        <v>99.53</v>
      </c>
      <c r="EE313" s="2" t="n">
        <v>100</v>
      </c>
      <c r="EF313" s="2" t="n">
        <v>100</v>
      </c>
      <c r="EG313" s="2" t="n">
        <v>99.53</v>
      </c>
      <c r="EH313" s="2" t="n">
        <v>100</v>
      </c>
      <c r="EI313" s="2" t="n">
        <v>100</v>
      </c>
      <c r="EJ313" s="2" t="n">
        <v>99.53</v>
      </c>
      <c r="EK313" s="2" t="n">
        <v>100</v>
      </c>
      <c r="EL313" s="2" t="n">
        <v>100</v>
      </c>
      <c r="EM313" s="2" t="n">
        <v>99.53</v>
      </c>
      <c r="EN313" s="2" t="n">
        <v>100</v>
      </c>
      <c r="EO313" s="2" t="n">
        <v>100</v>
      </c>
      <c r="EP313" s="2" t="n">
        <v>99.53</v>
      </c>
      <c r="EQ313" s="2" t="n">
        <v>100</v>
      </c>
      <c r="ER313" s="2" t="n">
        <v>100</v>
      </c>
      <c r="ES313" s="2" t="n">
        <v>99.53</v>
      </c>
    </row>
    <row r="314">
      <c r="A314" s="2" t="n">
        <v>3</v>
      </c>
      <c r="B314" s="2" t="inlineStr">
        <is>
          <t>15.04.09</t>
        </is>
      </c>
      <c r="C314" s="2" t="inlineStr">
        <is>
          <t>Caminhao Pipa (60m3/dia)( 3 meses x 22 dias)</t>
        </is>
      </c>
      <c r="D314" s="2" t="inlineStr">
        <is>
          <t>13/10/2025</t>
        </is>
      </c>
      <c r="E314" s="2" t="inlineStr">
        <is>
          <t>03/03/2026</t>
        </is>
      </c>
      <c r="F314" s="2" t="n">
        <v>29500</v>
      </c>
      <c r="G314" s="2" t="n">
        <v>0</v>
      </c>
      <c r="H314" s="2" t="n">
        <v>29500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17.44</v>
      </c>
      <c r="V314" s="2" t="n">
        <v>17.44</v>
      </c>
      <c r="W314" s="2" t="n">
        <v>21.06</v>
      </c>
      <c r="X314" s="2" t="n">
        <v>39.53</v>
      </c>
      <c r="Y314" s="2" t="n">
        <v>39.53</v>
      </c>
      <c r="Z314" s="2" t="n">
        <v>46.99</v>
      </c>
      <c r="AA314" s="2" t="n">
        <v>55.81</v>
      </c>
      <c r="AB314" s="2" t="n">
        <v>55.81</v>
      </c>
      <c r="AC314" s="2" t="n">
        <v>62.54</v>
      </c>
      <c r="AD314" s="2" t="n">
        <v>79.06999999999999</v>
      </c>
      <c r="AE314" s="2" t="n">
        <v>79.06999999999999</v>
      </c>
      <c r="AF314" s="2" t="n">
        <v>80.98</v>
      </c>
      <c r="AG314" s="2" t="n">
        <v>100</v>
      </c>
      <c r="AH314" s="2" t="n">
        <v>99.53</v>
      </c>
      <c r="AI314" s="2" t="n">
        <v>94.31</v>
      </c>
      <c r="AJ314" s="2" t="n">
        <v>100</v>
      </c>
      <c r="AK314" s="2" t="n">
        <v>100</v>
      </c>
      <c r="AL314" s="2" t="n">
        <v>99.53</v>
      </c>
      <c r="AM314" s="2" t="n">
        <v>100</v>
      </c>
      <c r="AN314" s="2" t="n">
        <v>100</v>
      </c>
      <c r="AO314" s="2" t="n">
        <v>99.53</v>
      </c>
      <c r="AP314" s="2" t="n">
        <v>100</v>
      </c>
      <c r="AQ314" s="2" t="n">
        <v>100</v>
      </c>
      <c r="AR314" s="2" t="n">
        <v>99.53</v>
      </c>
      <c r="AS314" s="2" t="n">
        <v>100</v>
      </c>
      <c r="AT314" s="2" t="n">
        <v>100</v>
      </c>
      <c r="AU314" s="2" t="n">
        <v>99.53</v>
      </c>
      <c r="AV314" s="2" t="n">
        <v>100</v>
      </c>
      <c r="AW314" s="2" t="n">
        <v>100</v>
      </c>
      <c r="AX314" s="2" t="n">
        <v>99.53</v>
      </c>
      <c r="AY314" s="2" t="n">
        <v>100</v>
      </c>
      <c r="AZ314" s="2" t="n">
        <v>100</v>
      </c>
      <c r="BA314" s="2" t="n">
        <v>99.53</v>
      </c>
      <c r="BB314" s="2" t="n">
        <v>100</v>
      </c>
      <c r="BC314" s="2" t="n">
        <v>100</v>
      </c>
      <c r="BD314" s="2" t="n">
        <v>99.53</v>
      </c>
      <c r="BE314" s="2" t="n">
        <v>100</v>
      </c>
      <c r="BF314" s="2" t="n">
        <v>100</v>
      </c>
      <c r="BG314" s="2" t="n">
        <v>99.53</v>
      </c>
      <c r="BH314" s="2" t="n">
        <v>100</v>
      </c>
      <c r="BI314" s="2" t="n">
        <v>100</v>
      </c>
      <c r="BJ314" s="2" t="n">
        <v>99.53</v>
      </c>
      <c r="BK314" s="2" t="n">
        <v>100</v>
      </c>
      <c r="BL314" s="2" t="n">
        <v>100</v>
      </c>
      <c r="BM314" s="2" t="n">
        <v>99.53</v>
      </c>
      <c r="BN314" s="2" t="n">
        <v>100</v>
      </c>
      <c r="BO314" s="2" t="n">
        <v>100</v>
      </c>
      <c r="BP314" s="2" t="n">
        <v>99.53</v>
      </c>
      <c r="BQ314" s="2" t="n">
        <v>100</v>
      </c>
      <c r="BR314" s="2" t="n">
        <v>100</v>
      </c>
      <c r="BS314" s="2" t="n">
        <v>99.53</v>
      </c>
      <c r="BT314" s="2" t="n">
        <v>100</v>
      </c>
      <c r="BU314" s="2" t="n">
        <v>100</v>
      </c>
      <c r="BV314" s="2" t="n">
        <v>99.53</v>
      </c>
      <c r="BW314" s="2" t="n">
        <v>100</v>
      </c>
      <c r="BX314" s="2" t="n">
        <v>100</v>
      </c>
      <c r="BY314" s="2" t="n">
        <v>99.53</v>
      </c>
      <c r="BZ314" s="2" t="n">
        <v>100</v>
      </c>
      <c r="CA314" s="2" t="n">
        <v>100</v>
      </c>
      <c r="CB314" s="2" t="n">
        <v>99.53</v>
      </c>
      <c r="CC314" s="2" t="n">
        <v>100</v>
      </c>
      <c r="CD314" s="2" t="n">
        <v>100</v>
      </c>
      <c r="CE314" s="2" t="n">
        <v>99.53</v>
      </c>
      <c r="CF314" s="2" t="n">
        <v>100</v>
      </c>
      <c r="CG314" s="2" t="n">
        <v>100</v>
      </c>
      <c r="CH314" s="2" t="n">
        <v>99.53</v>
      </c>
      <c r="CI314" s="2" t="n">
        <v>100</v>
      </c>
      <c r="CJ314" s="2" t="n">
        <v>100</v>
      </c>
      <c r="CK314" s="2" t="n">
        <v>99.53</v>
      </c>
      <c r="CL314" s="2" t="n">
        <v>100</v>
      </c>
      <c r="CM314" s="2" t="n">
        <v>100</v>
      </c>
      <c r="CN314" s="2" t="n">
        <v>99.53</v>
      </c>
      <c r="CO314" s="2" t="n">
        <v>100</v>
      </c>
      <c r="CP314" s="2" t="n">
        <v>100</v>
      </c>
      <c r="CQ314" s="2" t="n">
        <v>99.53</v>
      </c>
      <c r="CR314" s="2" t="n">
        <v>100</v>
      </c>
      <c r="CS314" s="2" t="n">
        <v>100</v>
      </c>
      <c r="CT314" s="2" t="n">
        <v>99.53</v>
      </c>
      <c r="CU314" s="2" t="n">
        <v>100</v>
      </c>
      <c r="CV314" s="2" t="n">
        <v>100</v>
      </c>
      <c r="CW314" s="2" t="n">
        <v>99.53</v>
      </c>
      <c r="CX314" s="2" t="n">
        <v>100</v>
      </c>
      <c r="CY314" s="2" t="n">
        <v>100</v>
      </c>
      <c r="CZ314" s="2" t="n">
        <v>99.53</v>
      </c>
      <c r="DA314" s="2" t="n">
        <v>100</v>
      </c>
      <c r="DB314" s="2" t="n">
        <v>100</v>
      </c>
      <c r="DC314" s="2" t="n">
        <v>99.53</v>
      </c>
      <c r="DD314" s="2" t="n">
        <v>100</v>
      </c>
      <c r="DE314" s="2" t="n">
        <v>100</v>
      </c>
      <c r="DF314" s="2" t="n">
        <v>99.53</v>
      </c>
      <c r="DG314" s="2" t="n">
        <v>100</v>
      </c>
      <c r="DH314" s="2" t="n">
        <v>100</v>
      </c>
      <c r="DI314" s="2" t="n">
        <v>99.53</v>
      </c>
      <c r="DJ314" s="2" t="n">
        <v>100</v>
      </c>
      <c r="DK314" s="2" t="n">
        <v>100</v>
      </c>
      <c r="DL314" s="2" t="n">
        <v>99.53</v>
      </c>
      <c r="DM314" s="2" t="n">
        <v>100</v>
      </c>
      <c r="DN314" s="2" t="n">
        <v>100</v>
      </c>
      <c r="DO314" s="2" t="n">
        <v>99.53</v>
      </c>
      <c r="DP314" s="2" t="n">
        <v>100</v>
      </c>
      <c r="DQ314" s="2" t="n">
        <v>100</v>
      </c>
      <c r="DR314" s="2" t="n">
        <v>99.53</v>
      </c>
      <c r="DS314" s="2" t="n">
        <v>100</v>
      </c>
      <c r="DT314" s="2" t="n">
        <v>100</v>
      </c>
      <c r="DU314" s="2" t="n">
        <v>99.53</v>
      </c>
      <c r="DV314" s="2" t="n">
        <v>100</v>
      </c>
      <c r="DW314" s="2" t="n">
        <v>100</v>
      </c>
      <c r="DX314" s="2" t="n">
        <v>99.53</v>
      </c>
      <c r="DY314" s="2" t="n">
        <v>100</v>
      </c>
      <c r="DZ314" s="2" t="n">
        <v>100</v>
      </c>
      <c r="EA314" s="2" t="n">
        <v>99.53</v>
      </c>
      <c r="EB314" s="2" t="n">
        <v>100</v>
      </c>
      <c r="EC314" s="2" t="n">
        <v>100</v>
      </c>
      <c r="ED314" s="2" t="n">
        <v>99.53</v>
      </c>
      <c r="EE314" s="2" t="n">
        <v>100</v>
      </c>
      <c r="EF314" s="2" t="n">
        <v>100</v>
      </c>
      <c r="EG314" s="2" t="n">
        <v>99.53</v>
      </c>
      <c r="EH314" s="2" t="n">
        <v>100</v>
      </c>
      <c r="EI314" s="2" t="n">
        <v>100</v>
      </c>
      <c r="EJ314" s="2" t="n">
        <v>99.53</v>
      </c>
      <c r="EK314" s="2" t="n">
        <v>100</v>
      </c>
      <c r="EL314" s="2" t="n">
        <v>100</v>
      </c>
      <c r="EM314" s="2" t="n">
        <v>99.53</v>
      </c>
      <c r="EN314" s="2" t="n">
        <v>100</v>
      </c>
      <c r="EO314" s="2" t="n">
        <v>100</v>
      </c>
      <c r="EP314" s="2" t="n">
        <v>99.53</v>
      </c>
      <c r="EQ314" s="2" t="n">
        <v>100</v>
      </c>
      <c r="ER314" s="2" t="n">
        <v>100</v>
      </c>
      <c r="ES314" s="2" t="n">
        <v>99.53</v>
      </c>
    </row>
    <row r="315">
      <c r="A315" s="2" t="n">
        <v>3</v>
      </c>
      <c r="B315" s="2" t="inlineStr">
        <is>
          <t>15.04.10</t>
        </is>
      </c>
      <c r="C315" s="2" t="inlineStr">
        <is>
          <t>Retirada de Terra e material demolido com caçamba</t>
        </is>
      </c>
      <c r="D315" s="2" t="inlineStr">
        <is>
          <t>13/10/2025</t>
        </is>
      </c>
      <c r="E315" s="2" t="inlineStr">
        <is>
          <t>03/03/2026</t>
        </is>
      </c>
      <c r="F315" s="2" t="n">
        <v>338609.307</v>
      </c>
      <c r="G315" s="2" t="n">
        <v>0</v>
      </c>
      <c r="H315" s="2" t="n">
        <v>338609.307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17.44</v>
      </c>
      <c r="V315" s="2" t="n">
        <v>17.44</v>
      </c>
      <c r="W315" s="2" t="n">
        <v>21.06</v>
      </c>
      <c r="X315" s="2" t="n">
        <v>39.53</v>
      </c>
      <c r="Y315" s="2" t="n">
        <v>39.53</v>
      </c>
      <c r="Z315" s="2" t="n">
        <v>46.99</v>
      </c>
      <c r="AA315" s="2" t="n">
        <v>55.81</v>
      </c>
      <c r="AB315" s="2" t="n">
        <v>55.81</v>
      </c>
      <c r="AC315" s="2" t="n">
        <v>62.54</v>
      </c>
      <c r="AD315" s="2" t="n">
        <v>79.06999999999999</v>
      </c>
      <c r="AE315" s="2" t="n">
        <v>79.06999999999999</v>
      </c>
      <c r="AF315" s="2" t="n">
        <v>80.98</v>
      </c>
      <c r="AG315" s="2" t="n">
        <v>100</v>
      </c>
      <c r="AH315" s="2" t="n">
        <v>99.53</v>
      </c>
      <c r="AI315" s="2" t="n">
        <v>94.31</v>
      </c>
      <c r="AJ315" s="2" t="n">
        <v>100</v>
      </c>
      <c r="AK315" s="2" t="n">
        <v>100</v>
      </c>
      <c r="AL315" s="2" t="n">
        <v>99.53</v>
      </c>
      <c r="AM315" s="2" t="n">
        <v>100</v>
      </c>
      <c r="AN315" s="2" t="n">
        <v>100</v>
      </c>
      <c r="AO315" s="2" t="n">
        <v>99.53</v>
      </c>
      <c r="AP315" s="2" t="n">
        <v>100</v>
      </c>
      <c r="AQ315" s="2" t="n">
        <v>100</v>
      </c>
      <c r="AR315" s="2" t="n">
        <v>99.53</v>
      </c>
      <c r="AS315" s="2" t="n">
        <v>100</v>
      </c>
      <c r="AT315" s="2" t="n">
        <v>100</v>
      </c>
      <c r="AU315" s="2" t="n">
        <v>99.53</v>
      </c>
      <c r="AV315" s="2" t="n">
        <v>100</v>
      </c>
      <c r="AW315" s="2" t="n">
        <v>100</v>
      </c>
      <c r="AX315" s="2" t="n">
        <v>99.53</v>
      </c>
      <c r="AY315" s="2" t="n">
        <v>100</v>
      </c>
      <c r="AZ315" s="2" t="n">
        <v>100</v>
      </c>
      <c r="BA315" s="2" t="n">
        <v>99.53</v>
      </c>
      <c r="BB315" s="2" t="n">
        <v>100</v>
      </c>
      <c r="BC315" s="2" t="n">
        <v>100</v>
      </c>
      <c r="BD315" s="2" t="n">
        <v>99.53</v>
      </c>
      <c r="BE315" s="2" t="n">
        <v>100</v>
      </c>
      <c r="BF315" s="2" t="n">
        <v>100</v>
      </c>
      <c r="BG315" s="2" t="n">
        <v>99.53</v>
      </c>
      <c r="BH315" s="2" t="n">
        <v>100</v>
      </c>
      <c r="BI315" s="2" t="n">
        <v>100</v>
      </c>
      <c r="BJ315" s="2" t="n">
        <v>99.53</v>
      </c>
      <c r="BK315" s="2" t="n">
        <v>100</v>
      </c>
      <c r="BL315" s="2" t="n">
        <v>100</v>
      </c>
      <c r="BM315" s="2" t="n">
        <v>99.53</v>
      </c>
      <c r="BN315" s="2" t="n">
        <v>100</v>
      </c>
      <c r="BO315" s="2" t="n">
        <v>100</v>
      </c>
      <c r="BP315" s="2" t="n">
        <v>99.53</v>
      </c>
      <c r="BQ315" s="2" t="n">
        <v>100</v>
      </c>
      <c r="BR315" s="2" t="n">
        <v>100</v>
      </c>
      <c r="BS315" s="2" t="n">
        <v>99.53</v>
      </c>
      <c r="BT315" s="2" t="n">
        <v>100</v>
      </c>
      <c r="BU315" s="2" t="n">
        <v>100</v>
      </c>
      <c r="BV315" s="2" t="n">
        <v>99.53</v>
      </c>
      <c r="BW315" s="2" t="n">
        <v>100</v>
      </c>
      <c r="BX315" s="2" t="n">
        <v>100</v>
      </c>
      <c r="BY315" s="2" t="n">
        <v>99.53</v>
      </c>
      <c r="BZ315" s="2" t="n">
        <v>100</v>
      </c>
      <c r="CA315" s="2" t="n">
        <v>100</v>
      </c>
      <c r="CB315" s="2" t="n">
        <v>99.53</v>
      </c>
      <c r="CC315" s="2" t="n">
        <v>100</v>
      </c>
      <c r="CD315" s="2" t="n">
        <v>100</v>
      </c>
      <c r="CE315" s="2" t="n">
        <v>99.53</v>
      </c>
      <c r="CF315" s="2" t="n">
        <v>100</v>
      </c>
      <c r="CG315" s="2" t="n">
        <v>100</v>
      </c>
      <c r="CH315" s="2" t="n">
        <v>99.53</v>
      </c>
      <c r="CI315" s="2" t="n">
        <v>100</v>
      </c>
      <c r="CJ315" s="2" t="n">
        <v>100</v>
      </c>
      <c r="CK315" s="2" t="n">
        <v>99.53</v>
      </c>
      <c r="CL315" s="2" t="n">
        <v>100</v>
      </c>
      <c r="CM315" s="2" t="n">
        <v>100</v>
      </c>
      <c r="CN315" s="2" t="n">
        <v>99.53</v>
      </c>
      <c r="CO315" s="2" t="n">
        <v>100</v>
      </c>
      <c r="CP315" s="2" t="n">
        <v>100</v>
      </c>
      <c r="CQ315" s="2" t="n">
        <v>99.53</v>
      </c>
      <c r="CR315" s="2" t="n">
        <v>100</v>
      </c>
      <c r="CS315" s="2" t="n">
        <v>100</v>
      </c>
      <c r="CT315" s="2" t="n">
        <v>99.53</v>
      </c>
      <c r="CU315" s="2" t="n">
        <v>100</v>
      </c>
      <c r="CV315" s="2" t="n">
        <v>100</v>
      </c>
      <c r="CW315" s="2" t="n">
        <v>99.53</v>
      </c>
      <c r="CX315" s="2" t="n">
        <v>100</v>
      </c>
      <c r="CY315" s="2" t="n">
        <v>100</v>
      </c>
      <c r="CZ315" s="2" t="n">
        <v>99.53</v>
      </c>
      <c r="DA315" s="2" t="n">
        <v>100</v>
      </c>
      <c r="DB315" s="2" t="n">
        <v>100</v>
      </c>
      <c r="DC315" s="2" t="n">
        <v>99.53</v>
      </c>
      <c r="DD315" s="2" t="n">
        <v>100</v>
      </c>
      <c r="DE315" s="2" t="n">
        <v>100</v>
      </c>
      <c r="DF315" s="2" t="n">
        <v>99.53</v>
      </c>
      <c r="DG315" s="2" t="n">
        <v>100</v>
      </c>
      <c r="DH315" s="2" t="n">
        <v>100</v>
      </c>
      <c r="DI315" s="2" t="n">
        <v>99.53</v>
      </c>
      <c r="DJ315" s="2" t="n">
        <v>100</v>
      </c>
      <c r="DK315" s="2" t="n">
        <v>100</v>
      </c>
      <c r="DL315" s="2" t="n">
        <v>99.53</v>
      </c>
      <c r="DM315" s="2" t="n">
        <v>100</v>
      </c>
      <c r="DN315" s="2" t="n">
        <v>100</v>
      </c>
      <c r="DO315" s="2" t="n">
        <v>99.53</v>
      </c>
      <c r="DP315" s="2" t="n">
        <v>100</v>
      </c>
      <c r="DQ315" s="2" t="n">
        <v>100</v>
      </c>
      <c r="DR315" s="2" t="n">
        <v>99.53</v>
      </c>
      <c r="DS315" s="2" t="n">
        <v>100</v>
      </c>
      <c r="DT315" s="2" t="n">
        <v>100</v>
      </c>
      <c r="DU315" s="2" t="n">
        <v>99.53</v>
      </c>
      <c r="DV315" s="2" t="n">
        <v>100</v>
      </c>
      <c r="DW315" s="2" t="n">
        <v>100</v>
      </c>
      <c r="DX315" s="2" t="n">
        <v>99.53</v>
      </c>
      <c r="DY315" s="2" t="n">
        <v>100</v>
      </c>
      <c r="DZ315" s="2" t="n">
        <v>100</v>
      </c>
      <c r="EA315" s="2" t="n">
        <v>99.53</v>
      </c>
      <c r="EB315" s="2" t="n">
        <v>100</v>
      </c>
      <c r="EC315" s="2" t="n">
        <v>100</v>
      </c>
      <c r="ED315" s="2" t="n">
        <v>99.53</v>
      </c>
      <c r="EE315" s="2" t="n">
        <v>100</v>
      </c>
      <c r="EF315" s="2" t="n">
        <v>100</v>
      </c>
      <c r="EG315" s="2" t="n">
        <v>99.53</v>
      </c>
      <c r="EH315" s="2" t="n">
        <v>100</v>
      </c>
      <c r="EI315" s="2" t="n">
        <v>100</v>
      </c>
      <c r="EJ315" s="2" t="n">
        <v>99.53</v>
      </c>
      <c r="EK315" s="2" t="n">
        <v>100</v>
      </c>
      <c r="EL315" s="2" t="n">
        <v>100</v>
      </c>
      <c r="EM315" s="2" t="n">
        <v>99.53</v>
      </c>
      <c r="EN315" s="2" t="n">
        <v>100</v>
      </c>
      <c r="EO315" s="2" t="n">
        <v>100</v>
      </c>
      <c r="EP315" s="2" t="n">
        <v>99.53</v>
      </c>
      <c r="EQ315" s="2" t="n">
        <v>100</v>
      </c>
      <c r="ER315" s="2" t="n">
        <v>100</v>
      </c>
      <c r="ES315" s="2" t="n">
        <v>99.53</v>
      </c>
    </row>
    <row r="316">
      <c r="A316" s="2" t="n">
        <v>3</v>
      </c>
      <c r="B316" s="2" t="inlineStr">
        <is>
          <t>15.04.11</t>
        </is>
      </c>
      <c r="C316" s="2" t="inlineStr">
        <is>
          <t>Locação de gerador para atender central de polimero com mob e desmob - com diesel</t>
        </is>
      </c>
      <c r="D316" s="2" t="inlineStr">
        <is>
          <t>13/10/2025</t>
        </is>
      </c>
      <c r="E316" s="2" t="inlineStr">
        <is>
          <t>03/03/2026</t>
        </is>
      </c>
      <c r="F316" s="2" t="n">
        <v>38000.3</v>
      </c>
      <c r="G316" s="2" t="n">
        <v>0</v>
      </c>
      <c r="H316" s="2" t="n">
        <v>38000.3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17.44</v>
      </c>
      <c r="V316" s="2" t="n">
        <v>17.44</v>
      </c>
      <c r="W316" s="2" t="n">
        <v>21.06</v>
      </c>
      <c r="X316" s="2" t="n">
        <v>39.53</v>
      </c>
      <c r="Y316" s="2" t="n">
        <v>39.53</v>
      </c>
      <c r="Z316" s="2" t="n">
        <v>46.99</v>
      </c>
      <c r="AA316" s="2" t="n">
        <v>55.81</v>
      </c>
      <c r="AB316" s="2" t="n">
        <v>55.81</v>
      </c>
      <c r="AC316" s="2" t="n">
        <v>62.54</v>
      </c>
      <c r="AD316" s="2" t="n">
        <v>79.06999999999999</v>
      </c>
      <c r="AE316" s="2" t="n">
        <v>79.06999999999999</v>
      </c>
      <c r="AF316" s="2" t="n">
        <v>80.98</v>
      </c>
      <c r="AG316" s="2" t="n">
        <v>100</v>
      </c>
      <c r="AH316" s="2" t="n">
        <v>99.53</v>
      </c>
      <c r="AI316" s="2" t="n">
        <v>94.31</v>
      </c>
      <c r="AJ316" s="2" t="n">
        <v>100</v>
      </c>
      <c r="AK316" s="2" t="n">
        <v>100</v>
      </c>
      <c r="AL316" s="2" t="n">
        <v>99.53</v>
      </c>
      <c r="AM316" s="2" t="n">
        <v>100</v>
      </c>
      <c r="AN316" s="2" t="n">
        <v>100</v>
      </c>
      <c r="AO316" s="2" t="n">
        <v>99.53</v>
      </c>
      <c r="AP316" s="2" t="n">
        <v>100</v>
      </c>
      <c r="AQ316" s="2" t="n">
        <v>100</v>
      </c>
      <c r="AR316" s="2" t="n">
        <v>99.53</v>
      </c>
      <c r="AS316" s="2" t="n">
        <v>100</v>
      </c>
      <c r="AT316" s="2" t="n">
        <v>100</v>
      </c>
      <c r="AU316" s="2" t="n">
        <v>99.53</v>
      </c>
      <c r="AV316" s="2" t="n">
        <v>100</v>
      </c>
      <c r="AW316" s="2" t="n">
        <v>100</v>
      </c>
      <c r="AX316" s="2" t="n">
        <v>99.53</v>
      </c>
      <c r="AY316" s="2" t="n">
        <v>100</v>
      </c>
      <c r="AZ316" s="2" t="n">
        <v>100</v>
      </c>
      <c r="BA316" s="2" t="n">
        <v>99.53</v>
      </c>
      <c r="BB316" s="2" t="n">
        <v>100</v>
      </c>
      <c r="BC316" s="2" t="n">
        <v>100</v>
      </c>
      <c r="BD316" s="2" t="n">
        <v>99.53</v>
      </c>
      <c r="BE316" s="2" t="n">
        <v>100</v>
      </c>
      <c r="BF316" s="2" t="n">
        <v>100</v>
      </c>
      <c r="BG316" s="2" t="n">
        <v>99.53</v>
      </c>
      <c r="BH316" s="2" t="n">
        <v>100</v>
      </c>
      <c r="BI316" s="2" t="n">
        <v>100</v>
      </c>
      <c r="BJ316" s="2" t="n">
        <v>99.53</v>
      </c>
      <c r="BK316" s="2" t="n">
        <v>100</v>
      </c>
      <c r="BL316" s="2" t="n">
        <v>100</v>
      </c>
      <c r="BM316" s="2" t="n">
        <v>99.53</v>
      </c>
      <c r="BN316" s="2" t="n">
        <v>100</v>
      </c>
      <c r="BO316" s="2" t="n">
        <v>100</v>
      </c>
      <c r="BP316" s="2" t="n">
        <v>99.53</v>
      </c>
      <c r="BQ316" s="2" t="n">
        <v>100</v>
      </c>
      <c r="BR316" s="2" t="n">
        <v>100</v>
      </c>
      <c r="BS316" s="2" t="n">
        <v>99.53</v>
      </c>
      <c r="BT316" s="2" t="n">
        <v>100</v>
      </c>
      <c r="BU316" s="2" t="n">
        <v>100</v>
      </c>
      <c r="BV316" s="2" t="n">
        <v>99.53</v>
      </c>
      <c r="BW316" s="2" t="n">
        <v>100</v>
      </c>
      <c r="BX316" s="2" t="n">
        <v>100</v>
      </c>
      <c r="BY316" s="2" t="n">
        <v>99.53</v>
      </c>
      <c r="BZ316" s="2" t="n">
        <v>100</v>
      </c>
      <c r="CA316" s="2" t="n">
        <v>100</v>
      </c>
      <c r="CB316" s="2" t="n">
        <v>99.53</v>
      </c>
      <c r="CC316" s="2" t="n">
        <v>100</v>
      </c>
      <c r="CD316" s="2" t="n">
        <v>100</v>
      </c>
      <c r="CE316" s="2" t="n">
        <v>99.53</v>
      </c>
      <c r="CF316" s="2" t="n">
        <v>100</v>
      </c>
      <c r="CG316" s="2" t="n">
        <v>100</v>
      </c>
      <c r="CH316" s="2" t="n">
        <v>99.53</v>
      </c>
      <c r="CI316" s="2" t="n">
        <v>100</v>
      </c>
      <c r="CJ316" s="2" t="n">
        <v>100</v>
      </c>
      <c r="CK316" s="2" t="n">
        <v>99.53</v>
      </c>
      <c r="CL316" s="2" t="n">
        <v>100</v>
      </c>
      <c r="CM316" s="2" t="n">
        <v>100</v>
      </c>
      <c r="CN316" s="2" t="n">
        <v>99.53</v>
      </c>
      <c r="CO316" s="2" t="n">
        <v>100</v>
      </c>
      <c r="CP316" s="2" t="n">
        <v>100</v>
      </c>
      <c r="CQ316" s="2" t="n">
        <v>99.53</v>
      </c>
      <c r="CR316" s="2" t="n">
        <v>100</v>
      </c>
      <c r="CS316" s="2" t="n">
        <v>100</v>
      </c>
      <c r="CT316" s="2" t="n">
        <v>99.53</v>
      </c>
      <c r="CU316" s="2" t="n">
        <v>100</v>
      </c>
      <c r="CV316" s="2" t="n">
        <v>100</v>
      </c>
      <c r="CW316" s="2" t="n">
        <v>99.53</v>
      </c>
      <c r="CX316" s="2" t="n">
        <v>100</v>
      </c>
      <c r="CY316" s="2" t="n">
        <v>100</v>
      </c>
      <c r="CZ316" s="2" t="n">
        <v>99.53</v>
      </c>
      <c r="DA316" s="2" t="n">
        <v>100</v>
      </c>
      <c r="DB316" s="2" t="n">
        <v>100</v>
      </c>
      <c r="DC316" s="2" t="n">
        <v>99.53</v>
      </c>
      <c r="DD316" s="2" t="n">
        <v>100</v>
      </c>
      <c r="DE316" s="2" t="n">
        <v>100</v>
      </c>
      <c r="DF316" s="2" t="n">
        <v>99.53</v>
      </c>
      <c r="DG316" s="2" t="n">
        <v>100</v>
      </c>
      <c r="DH316" s="2" t="n">
        <v>100</v>
      </c>
      <c r="DI316" s="2" t="n">
        <v>99.53</v>
      </c>
      <c r="DJ316" s="2" t="n">
        <v>100</v>
      </c>
      <c r="DK316" s="2" t="n">
        <v>100</v>
      </c>
      <c r="DL316" s="2" t="n">
        <v>99.53</v>
      </c>
      <c r="DM316" s="2" t="n">
        <v>100</v>
      </c>
      <c r="DN316" s="2" t="n">
        <v>100</v>
      </c>
      <c r="DO316" s="2" t="n">
        <v>99.53</v>
      </c>
      <c r="DP316" s="2" t="n">
        <v>100</v>
      </c>
      <c r="DQ316" s="2" t="n">
        <v>100</v>
      </c>
      <c r="DR316" s="2" t="n">
        <v>99.53</v>
      </c>
      <c r="DS316" s="2" t="n">
        <v>100</v>
      </c>
      <c r="DT316" s="2" t="n">
        <v>100</v>
      </c>
      <c r="DU316" s="2" t="n">
        <v>99.53</v>
      </c>
      <c r="DV316" s="2" t="n">
        <v>100</v>
      </c>
      <c r="DW316" s="2" t="n">
        <v>100</v>
      </c>
      <c r="DX316" s="2" t="n">
        <v>99.53</v>
      </c>
      <c r="DY316" s="2" t="n">
        <v>100</v>
      </c>
      <c r="DZ316" s="2" t="n">
        <v>100</v>
      </c>
      <c r="EA316" s="2" t="n">
        <v>99.53</v>
      </c>
      <c r="EB316" s="2" t="n">
        <v>100</v>
      </c>
      <c r="EC316" s="2" t="n">
        <v>100</v>
      </c>
      <c r="ED316" s="2" t="n">
        <v>99.53</v>
      </c>
      <c r="EE316" s="2" t="n">
        <v>100</v>
      </c>
      <c r="EF316" s="2" t="n">
        <v>100</v>
      </c>
      <c r="EG316" s="2" t="n">
        <v>99.53</v>
      </c>
      <c r="EH316" s="2" t="n">
        <v>100</v>
      </c>
      <c r="EI316" s="2" t="n">
        <v>100</v>
      </c>
      <c r="EJ316" s="2" t="n">
        <v>99.53</v>
      </c>
      <c r="EK316" s="2" t="n">
        <v>100</v>
      </c>
      <c r="EL316" s="2" t="n">
        <v>100</v>
      </c>
      <c r="EM316" s="2" t="n">
        <v>99.53</v>
      </c>
      <c r="EN316" s="2" t="n">
        <v>100</v>
      </c>
      <c r="EO316" s="2" t="n">
        <v>100</v>
      </c>
      <c r="EP316" s="2" t="n">
        <v>99.53</v>
      </c>
      <c r="EQ316" s="2" t="n">
        <v>100</v>
      </c>
      <c r="ER316" s="2" t="n">
        <v>100</v>
      </c>
      <c r="ES316" s="2" t="n">
        <v>99.53</v>
      </c>
    </row>
    <row r="317">
      <c r="A317" s="2" t="n">
        <v>1</v>
      </c>
      <c r="B317" s="2" t="inlineStr">
        <is>
          <t>16</t>
        </is>
      </c>
      <c r="C317" s="2" t="inlineStr">
        <is>
          <t>FUNDAÇÃO SUPERFICIAL</t>
        </is>
      </c>
      <c r="D317" s="2" t="inlineStr">
        <is>
          <t>13/04/2026</t>
        </is>
      </c>
      <c r="E317" s="2" t="inlineStr">
        <is>
          <t>06/12/2027</t>
        </is>
      </c>
      <c r="F317" s="2" t="n">
        <v>4057797.911143023</v>
      </c>
      <c r="G317" s="2" t="n">
        <v>0</v>
      </c>
      <c r="H317" s="2" t="n">
        <v>4057797.911143023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9.800000000000001</v>
      </c>
      <c r="AN317" s="2" t="n">
        <v>12.28</v>
      </c>
      <c r="AO317" s="2" t="n">
        <v>9.029999999999999</v>
      </c>
      <c r="AP317" s="2" t="n">
        <v>29.41</v>
      </c>
      <c r="AQ317" s="2" t="n">
        <v>31.16</v>
      </c>
      <c r="AR317" s="2" t="n">
        <v>36.07</v>
      </c>
      <c r="AS317" s="2" t="n">
        <v>49.99</v>
      </c>
      <c r="AT317" s="2" t="n">
        <v>50.99</v>
      </c>
      <c r="AU317" s="2" t="n">
        <v>66.15000000000001</v>
      </c>
      <c r="AV317" s="2" t="n">
        <v>72.53</v>
      </c>
      <c r="AW317" s="2" t="n">
        <v>72.70999999999999</v>
      </c>
      <c r="AX317" s="2" t="n">
        <v>76.66</v>
      </c>
      <c r="AY317" s="2" t="n">
        <v>77.44</v>
      </c>
      <c r="AZ317" s="2" t="n">
        <v>77.44</v>
      </c>
      <c r="BA317" s="2" t="n">
        <v>76.66</v>
      </c>
      <c r="BB317" s="2" t="n">
        <v>77.44</v>
      </c>
      <c r="BC317" s="2" t="n">
        <v>77.44</v>
      </c>
      <c r="BD317" s="2" t="n">
        <v>76.66</v>
      </c>
      <c r="BE317" s="2" t="n">
        <v>77.44</v>
      </c>
      <c r="BF317" s="2" t="n">
        <v>77.44</v>
      </c>
      <c r="BG317" s="2" t="n">
        <v>76.66</v>
      </c>
      <c r="BH317" s="2" t="n">
        <v>77.44</v>
      </c>
      <c r="BI317" s="2" t="n">
        <v>77.44</v>
      </c>
      <c r="BJ317" s="2" t="n">
        <v>76.66</v>
      </c>
      <c r="BK317" s="2" t="n">
        <v>77.44</v>
      </c>
      <c r="BL317" s="2" t="n">
        <v>77.44</v>
      </c>
      <c r="BM317" s="2" t="n">
        <v>76.66</v>
      </c>
      <c r="BN317" s="2" t="n">
        <v>77.44</v>
      </c>
      <c r="BO317" s="2" t="n">
        <v>77.44</v>
      </c>
      <c r="BP317" s="2" t="n">
        <v>76.66</v>
      </c>
      <c r="BQ317" s="2" t="n">
        <v>80.01000000000001</v>
      </c>
      <c r="BR317" s="2" t="n">
        <v>86.22</v>
      </c>
      <c r="BS317" s="2" t="n">
        <v>76.66</v>
      </c>
      <c r="BT317" s="2" t="n">
        <v>90.31999999999999</v>
      </c>
      <c r="BU317" s="2" t="n">
        <v>91.37</v>
      </c>
      <c r="BV317" s="2" t="n">
        <v>76.66</v>
      </c>
      <c r="BW317" s="2" t="n">
        <v>90.31999999999999</v>
      </c>
      <c r="BX317" s="2" t="n">
        <v>93.84</v>
      </c>
      <c r="BY317" s="2" t="n">
        <v>76.66</v>
      </c>
      <c r="BZ317" s="2" t="n">
        <v>90.31999999999999</v>
      </c>
      <c r="CA317" s="2" t="n">
        <v>93.84</v>
      </c>
      <c r="CB317" s="2" t="n">
        <v>76.66</v>
      </c>
      <c r="CC317" s="2" t="n">
        <v>90.31999999999999</v>
      </c>
      <c r="CD317" s="2" t="n">
        <v>93.84</v>
      </c>
      <c r="CE317" s="2" t="n">
        <v>76.66</v>
      </c>
      <c r="CF317" s="2" t="n">
        <v>90.31999999999999</v>
      </c>
      <c r="CG317" s="2" t="n">
        <v>93.84</v>
      </c>
      <c r="CH317" s="2" t="n">
        <v>76.66</v>
      </c>
      <c r="CI317" s="2" t="n">
        <v>90.31999999999999</v>
      </c>
      <c r="CJ317" s="2" t="n">
        <v>93.84</v>
      </c>
      <c r="CK317" s="2" t="n">
        <v>76.66</v>
      </c>
      <c r="CL317" s="2" t="n">
        <v>90.31999999999999</v>
      </c>
      <c r="CM317" s="2" t="n">
        <v>93.84</v>
      </c>
      <c r="CN317" s="2" t="n">
        <v>76.66</v>
      </c>
      <c r="CO317" s="2" t="n">
        <v>91.81</v>
      </c>
      <c r="CP317" s="2" t="n">
        <v>95.52</v>
      </c>
      <c r="CQ317" s="2" t="n">
        <v>76.66</v>
      </c>
      <c r="CR317" s="2" t="n">
        <v>95.54000000000001</v>
      </c>
      <c r="CS317" s="2" t="n">
        <v>99.25</v>
      </c>
      <c r="CT317" s="2" t="n">
        <v>76.66</v>
      </c>
      <c r="CU317" s="2" t="n">
        <v>96.48</v>
      </c>
      <c r="CV317" s="2" t="n">
        <v>100</v>
      </c>
      <c r="CW317" s="2" t="n">
        <v>76.66</v>
      </c>
      <c r="CX317" s="2" t="n">
        <v>96.48</v>
      </c>
      <c r="CY317" s="2" t="n">
        <v>100</v>
      </c>
      <c r="CZ317" s="2" t="n">
        <v>76.66</v>
      </c>
      <c r="DA317" s="2" t="n">
        <v>96.48</v>
      </c>
      <c r="DB317" s="2" t="n">
        <v>100</v>
      </c>
      <c r="DC317" s="2" t="n">
        <v>76.66</v>
      </c>
      <c r="DD317" s="2" t="n">
        <v>96.48</v>
      </c>
      <c r="DE317" s="2" t="n">
        <v>100</v>
      </c>
      <c r="DF317" s="2" t="n">
        <v>76.66</v>
      </c>
      <c r="DG317" s="2" t="n">
        <v>96.48</v>
      </c>
      <c r="DH317" s="2" t="n">
        <v>100</v>
      </c>
      <c r="DI317" s="2" t="n">
        <v>76.66</v>
      </c>
      <c r="DJ317" s="2" t="n">
        <v>96.48</v>
      </c>
      <c r="DK317" s="2" t="n">
        <v>100</v>
      </c>
      <c r="DL317" s="2" t="n">
        <v>76.66</v>
      </c>
      <c r="DM317" s="2" t="n">
        <v>96.48</v>
      </c>
      <c r="DN317" s="2" t="n">
        <v>100</v>
      </c>
      <c r="DO317" s="2" t="n">
        <v>76.66</v>
      </c>
      <c r="DP317" s="2" t="n">
        <v>96.48</v>
      </c>
      <c r="DQ317" s="2" t="n">
        <v>100</v>
      </c>
      <c r="DR317" s="2" t="n">
        <v>76.66</v>
      </c>
      <c r="DS317" s="2" t="n">
        <v>96.48</v>
      </c>
      <c r="DT317" s="2" t="n">
        <v>100</v>
      </c>
      <c r="DU317" s="2" t="n">
        <v>76.66</v>
      </c>
      <c r="DV317" s="2" t="n">
        <v>96.48</v>
      </c>
      <c r="DW317" s="2" t="n">
        <v>100</v>
      </c>
      <c r="DX317" s="2" t="n">
        <v>76.66</v>
      </c>
      <c r="DY317" s="2" t="n">
        <v>96.48</v>
      </c>
      <c r="DZ317" s="2" t="n">
        <v>100</v>
      </c>
      <c r="EA317" s="2" t="n">
        <v>76.66</v>
      </c>
      <c r="EB317" s="2" t="n">
        <v>96.48</v>
      </c>
      <c r="EC317" s="2" t="n">
        <v>100</v>
      </c>
      <c r="ED317" s="2" t="n">
        <v>76.66</v>
      </c>
      <c r="EE317" s="2" t="n">
        <v>96.48</v>
      </c>
      <c r="EF317" s="2" t="n">
        <v>100</v>
      </c>
      <c r="EG317" s="2" t="n">
        <v>76.66</v>
      </c>
      <c r="EH317" s="2" t="n">
        <v>96.48</v>
      </c>
      <c r="EI317" s="2" t="n">
        <v>100</v>
      </c>
      <c r="EJ317" s="2" t="n">
        <v>76.66</v>
      </c>
      <c r="EK317" s="2" t="n">
        <v>96.48</v>
      </c>
      <c r="EL317" s="2" t="n">
        <v>100</v>
      </c>
      <c r="EM317" s="2" t="n">
        <v>76.66</v>
      </c>
      <c r="EN317" s="2" t="n">
        <v>96.48</v>
      </c>
      <c r="EO317" s="2" t="n">
        <v>100</v>
      </c>
      <c r="EP317" s="2" t="n">
        <v>76.66</v>
      </c>
      <c r="EQ317" s="2" t="n">
        <v>96.48</v>
      </c>
      <c r="ER317" s="2" t="n">
        <v>100</v>
      </c>
      <c r="ES317" s="2" t="n">
        <v>76.66</v>
      </c>
    </row>
    <row r="318">
      <c r="A318" s="2" t="n">
        <v>2</v>
      </c>
      <c r="B318" s="2" t="inlineStr">
        <is>
          <t>16.01</t>
        </is>
      </c>
      <c r="C318" s="2" t="inlineStr">
        <is>
          <t>Blocos</t>
        </is>
      </c>
      <c r="D318" s="2" t="inlineStr">
        <is>
          <t>13/04/2026</t>
        </is>
      </c>
      <c r="E318" s="2" t="inlineStr">
        <is>
          <t>09/04/2027</t>
        </is>
      </c>
      <c r="F318" s="2" t="n">
        <v>3285089.331107711</v>
      </c>
      <c r="G318" s="2" t="n">
        <v>0</v>
      </c>
      <c r="H318" s="2" t="n">
        <v>3285089.331107711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12.11</v>
      </c>
      <c r="AN318" s="2" t="n">
        <v>15.16</v>
      </c>
      <c r="AO318" s="2" t="n">
        <v>11.15</v>
      </c>
      <c r="AP318" s="2" t="n">
        <v>36.32</v>
      </c>
      <c r="AQ318" s="2" t="n">
        <v>38.49</v>
      </c>
      <c r="AR318" s="2" t="n">
        <v>44.55</v>
      </c>
      <c r="AS318" s="2" t="n">
        <v>61.75</v>
      </c>
      <c r="AT318" s="2" t="n">
        <v>62.99</v>
      </c>
      <c r="AU318" s="2" t="n">
        <v>81.7</v>
      </c>
      <c r="AV318" s="2" t="n">
        <v>89.59999999999999</v>
      </c>
      <c r="AW318" s="2" t="n">
        <v>89.81999999999999</v>
      </c>
      <c r="AX318" s="2" t="n">
        <v>94.69</v>
      </c>
      <c r="AY318" s="2" t="n">
        <v>95.65000000000001</v>
      </c>
      <c r="AZ318" s="2" t="n">
        <v>95.65000000000001</v>
      </c>
      <c r="BA318" s="2" t="n">
        <v>94.69</v>
      </c>
      <c r="BB318" s="2" t="n">
        <v>95.65000000000001</v>
      </c>
      <c r="BC318" s="2" t="n">
        <v>95.65000000000001</v>
      </c>
      <c r="BD318" s="2" t="n">
        <v>94.69</v>
      </c>
      <c r="BE318" s="2" t="n">
        <v>95.65000000000001</v>
      </c>
      <c r="BF318" s="2" t="n">
        <v>95.65000000000001</v>
      </c>
      <c r="BG318" s="2" t="n">
        <v>94.69</v>
      </c>
      <c r="BH318" s="2" t="n">
        <v>95.65000000000001</v>
      </c>
      <c r="BI318" s="2" t="n">
        <v>95.65000000000001</v>
      </c>
      <c r="BJ318" s="2" t="n">
        <v>94.69</v>
      </c>
      <c r="BK318" s="2" t="n">
        <v>95.65000000000001</v>
      </c>
      <c r="BL318" s="2" t="n">
        <v>95.65000000000001</v>
      </c>
      <c r="BM318" s="2" t="n">
        <v>94.69</v>
      </c>
      <c r="BN318" s="2" t="n">
        <v>95.65000000000001</v>
      </c>
      <c r="BO318" s="2" t="n">
        <v>95.65000000000001</v>
      </c>
      <c r="BP318" s="2" t="n">
        <v>94.69</v>
      </c>
      <c r="BQ318" s="2" t="n">
        <v>95.65000000000001</v>
      </c>
      <c r="BR318" s="2" t="n">
        <v>95.65000000000001</v>
      </c>
      <c r="BS318" s="2" t="n">
        <v>94.69</v>
      </c>
      <c r="BT318" s="2" t="n">
        <v>95.65000000000001</v>
      </c>
      <c r="BU318" s="2" t="n">
        <v>96.95999999999999</v>
      </c>
      <c r="BV318" s="2" t="n">
        <v>94.69</v>
      </c>
      <c r="BW318" s="2" t="n">
        <v>95.65000000000001</v>
      </c>
      <c r="BX318" s="2" t="n">
        <v>100</v>
      </c>
      <c r="BY318" s="2" t="n">
        <v>94.69</v>
      </c>
      <c r="BZ318" s="2" t="n">
        <v>95.65000000000001</v>
      </c>
      <c r="CA318" s="2" t="n">
        <v>100</v>
      </c>
      <c r="CB318" s="2" t="n">
        <v>94.69</v>
      </c>
      <c r="CC318" s="2" t="n">
        <v>95.65000000000001</v>
      </c>
      <c r="CD318" s="2" t="n">
        <v>100</v>
      </c>
      <c r="CE318" s="2" t="n">
        <v>94.69</v>
      </c>
      <c r="CF318" s="2" t="n">
        <v>95.65000000000001</v>
      </c>
      <c r="CG318" s="2" t="n">
        <v>100</v>
      </c>
      <c r="CH318" s="2" t="n">
        <v>94.69</v>
      </c>
      <c r="CI318" s="2" t="n">
        <v>95.65000000000001</v>
      </c>
      <c r="CJ318" s="2" t="n">
        <v>100</v>
      </c>
      <c r="CK318" s="2" t="n">
        <v>94.69</v>
      </c>
      <c r="CL318" s="2" t="n">
        <v>95.65000000000001</v>
      </c>
      <c r="CM318" s="2" t="n">
        <v>100</v>
      </c>
      <c r="CN318" s="2" t="n">
        <v>94.69</v>
      </c>
      <c r="CO318" s="2" t="n">
        <v>95.65000000000001</v>
      </c>
      <c r="CP318" s="2" t="n">
        <v>100</v>
      </c>
      <c r="CQ318" s="2" t="n">
        <v>94.69</v>
      </c>
      <c r="CR318" s="2" t="n">
        <v>95.65000000000001</v>
      </c>
      <c r="CS318" s="2" t="n">
        <v>100</v>
      </c>
      <c r="CT318" s="2" t="n">
        <v>94.69</v>
      </c>
      <c r="CU318" s="2" t="n">
        <v>95.65000000000001</v>
      </c>
      <c r="CV318" s="2" t="n">
        <v>100</v>
      </c>
      <c r="CW318" s="2" t="n">
        <v>94.69</v>
      </c>
      <c r="CX318" s="2" t="n">
        <v>95.65000000000001</v>
      </c>
      <c r="CY318" s="2" t="n">
        <v>100</v>
      </c>
      <c r="CZ318" s="2" t="n">
        <v>94.69</v>
      </c>
      <c r="DA318" s="2" t="n">
        <v>95.65000000000001</v>
      </c>
      <c r="DB318" s="2" t="n">
        <v>100</v>
      </c>
      <c r="DC318" s="2" t="n">
        <v>94.69</v>
      </c>
      <c r="DD318" s="2" t="n">
        <v>95.65000000000001</v>
      </c>
      <c r="DE318" s="2" t="n">
        <v>100</v>
      </c>
      <c r="DF318" s="2" t="n">
        <v>94.69</v>
      </c>
      <c r="DG318" s="2" t="n">
        <v>95.65000000000001</v>
      </c>
      <c r="DH318" s="2" t="n">
        <v>100</v>
      </c>
      <c r="DI318" s="2" t="n">
        <v>94.69</v>
      </c>
      <c r="DJ318" s="2" t="n">
        <v>95.65000000000001</v>
      </c>
      <c r="DK318" s="2" t="n">
        <v>100</v>
      </c>
      <c r="DL318" s="2" t="n">
        <v>94.69</v>
      </c>
      <c r="DM318" s="2" t="n">
        <v>95.65000000000001</v>
      </c>
      <c r="DN318" s="2" t="n">
        <v>100</v>
      </c>
      <c r="DO318" s="2" t="n">
        <v>94.69</v>
      </c>
      <c r="DP318" s="2" t="n">
        <v>95.65000000000001</v>
      </c>
      <c r="DQ318" s="2" t="n">
        <v>100</v>
      </c>
      <c r="DR318" s="2" t="n">
        <v>94.69</v>
      </c>
      <c r="DS318" s="2" t="n">
        <v>95.65000000000001</v>
      </c>
      <c r="DT318" s="2" t="n">
        <v>100</v>
      </c>
      <c r="DU318" s="2" t="n">
        <v>94.69</v>
      </c>
      <c r="DV318" s="2" t="n">
        <v>95.65000000000001</v>
      </c>
      <c r="DW318" s="2" t="n">
        <v>100</v>
      </c>
      <c r="DX318" s="2" t="n">
        <v>94.69</v>
      </c>
      <c r="DY318" s="2" t="n">
        <v>95.65000000000001</v>
      </c>
      <c r="DZ318" s="2" t="n">
        <v>100</v>
      </c>
      <c r="EA318" s="2" t="n">
        <v>94.69</v>
      </c>
      <c r="EB318" s="2" t="n">
        <v>95.65000000000001</v>
      </c>
      <c r="EC318" s="2" t="n">
        <v>100</v>
      </c>
      <c r="ED318" s="2" t="n">
        <v>94.69</v>
      </c>
      <c r="EE318" s="2" t="n">
        <v>95.65000000000001</v>
      </c>
      <c r="EF318" s="2" t="n">
        <v>100</v>
      </c>
      <c r="EG318" s="2" t="n">
        <v>94.69</v>
      </c>
      <c r="EH318" s="2" t="n">
        <v>95.65000000000001</v>
      </c>
      <c r="EI318" s="2" t="n">
        <v>100</v>
      </c>
      <c r="EJ318" s="2" t="n">
        <v>94.69</v>
      </c>
      <c r="EK318" s="2" t="n">
        <v>95.65000000000001</v>
      </c>
      <c r="EL318" s="2" t="n">
        <v>100</v>
      </c>
      <c r="EM318" s="2" t="n">
        <v>94.69</v>
      </c>
      <c r="EN318" s="2" t="n">
        <v>95.65000000000001</v>
      </c>
      <c r="EO318" s="2" t="n">
        <v>100</v>
      </c>
      <c r="EP318" s="2" t="n">
        <v>94.69</v>
      </c>
      <c r="EQ318" s="2" t="n">
        <v>95.65000000000001</v>
      </c>
      <c r="ER318" s="2" t="n">
        <v>100</v>
      </c>
      <c r="ES318" s="2" t="n">
        <v>94.69</v>
      </c>
    </row>
    <row r="319">
      <c r="A319" s="2" t="n">
        <v>3</v>
      </c>
      <c r="B319" s="2" t="inlineStr">
        <is>
          <t>16.01.01</t>
        </is>
      </c>
      <c r="C319" s="2" t="inlineStr">
        <is>
          <t>Escavação manual</t>
        </is>
      </c>
      <c r="D319" s="2" t="inlineStr">
        <is>
          <t>13/04/2026</t>
        </is>
      </c>
      <c r="E319" s="2" t="inlineStr">
        <is>
          <t>09/04/2027</t>
        </is>
      </c>
      <c r="F319" s="2" t="n">
        <v>400968.4924497214</v>
      </c>
      <c r="G319" s="2" t="n">
        <v>0</v>
      </c>
      <c r="H319" s="2" t="n">
        <v>400968.4924497214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12.11</v>
      </c>
      <c r="AN319" s="2" t="n">
        <v>15.16</v>
      </c>
      <c r="AO319" s="2" t="n">
        <v>11.15</v>
      </c>
      <c r="AP319" s="2" t="n">
        <v>36.32</v>
      </c>
      <c r="AQ319" s="2" t="n">
        <v>38.49</v>
      </c>
      <c r="AR319" s="2" t="n">
        <v>44.55</v>
      </c>
      <c r="AS319" s="2" t="n">
        <v>61.75</v>
      </c>
      <c r="AT319" s="2" t="n">
        <v>62.99</v>
      </c>
      <c r="AU319" s="2" t="n">
        <v>81.7</v>
      </c>
      <c r="AV319" s="2" t="n">
        <v>89.59999999999999</v>
      </c>
      <c r="AW319" s="2" t="n">
        <v>89.81999999999999</v>
      </c>
      <c r="AX319" s="2" t="n">
        <v>94.69</v>
      </c>
      <c r="AY319" s="2" t="n">
        <v>95.65000000000001</v>
      </c>
      <c r="AZ319" s="2" t="n">
        <v>95.65000000000001</v>
      </c>
      <c r="BA319" s="2" t="n">
        <v>94.69</v>
      </c>
      <c r="BB319" s="2" t="n">
        <v>95.65000000000001</v>
      </c>
      <c r="BC319" s="2" t="n">
        <v>95.65000000000001</v>
      </c>
      <c r="BD319" s="2" t="n">
        <v>94.69</v>
      </c>
      <c r="BE319" s="2" t="n">
        <v>95.65000000000001</v>
      </c>
      <c r="BF319" s="2" t="n">
        <v>95.65000000000001</v>
      </c>
      <c r="BG319" s="2" t="n">
        <v>94.69</v>
      </c>
      <c r="BH319" s="2" t="n">
        <v>95.65000000000001</v>
      </c>
      <c r="BI319" s="2" t="n">
        <v>95.65000000000001</v>
      </c>
      <c r="BJ319" s="2" t="n">
        <v>94.69</v>
      </c>
      <c r="BK319" s="2" t="n">
        <v>95.65000000000001</v>
      </c>
      <c r="BL319" s="2" t="n">
        <v>95.65000000000001</v>
      </c>
      <c r="BM319" s="2" t="n">
        <v>94.69</v>
      </c>
      <c r="BN319" s="2" t="n">
        <v>95.65000000000001</v>
      </c>
      <c r="BO319" s="2" t="n">
        <v>95.65000000000001</v>
      </c>
      <c r="BP319" s="2" t="n">
        <v>94.69</v>
      </c>
      <c r="BQ319" s="2" t="n">
        <v>95.65000000000001</v>
      </c>
      <c r="BR319" s="2" t="n">
        <v>95.65000000000001</v>
      </c>
      <c r="BS319" s="2" t="n">
        <v>94.69</v>
      </c>
      <c r="BT319" s="2" t="n">
        <v>95.65000000000001</v>
      </c>
      <c r="BU319" s="2" t="n">
        <v>96.95999999999999</v>
      </c>
      <c r="BV319" s="2" t="n">
        <v>94.69</v>
      </c>
      <c r="BW319" s="2" t="n">
        <v>95.65000000000001</v>
      </c>
      <c r="BX319" s="2" t="n">
        <v>100</v>
      </c>
      <c r="BY319" s="2" t="n">
        <v>94.69</v>
      </c>
      <c r="BZ319" s="2" t="n">
        <v>95.65000000000001</v>
      </c>
      <c r="CA319" s="2" t="n">
        <v>100</v>
      </c>
      <c r="CB319" s="2" t="n">
        <v>94.69</v>
      </c>
      <c r="CC319" s="2" t="n">
        <v>95.65000000000001</v>
      </c>
      <c r="CD319" s="2" t="n">
        <v>100</v>
      </c>
      <c r="CE319" s="2" t="n">
        <v>94.69</v>
      </c>
      <c r="CF319" s="2" t="n">
        <v>95.65000000000001</v>
      </c>
      <c r="CG319" s="2" t="n">
        <v>100</v>
      </c>
      <c r="CH319" s="2" t="n">
        <v>94.69</v>
      </c>
      <c r="CI319" s="2" t="n">
        <v>95.65000000000001</v>
      </c>
      <c r="CJ319" s="2" t="n">
        <v>100</v>
      </c>
      <c r="CK319" s="2" t="n">
        <v>94.69</v>
      </c>
      <c r="CL319" s="2" t="n">
        <v>95.65000000000001</v>
      </c>
      <c r="CM319" s="2" t="n">
        <v>100</v>
      </c>
      <c r="CN319" s="2" t="n">
        <v>94.69</v>
      </c>
      <c r="CO319" s="2" t="n">
        <v>95.65000000000001</v>
      </c>
      <c r="CP319" s="2" t="n">
        <v>100</v>
      </c>
      <c r="CQ319" s="2" t="n">
        <v>94.69</v>
      </c>
      <c r="CR319" s="2" t="n">
        <v>95.65000000000001</v>
      </c>
      <c r="CS319" s="2" t="n">
        <v>100</v>
      </c>
      <c r="CT319" s="2" t="n">
        <v>94.69</v>
      </c>
      <c r="CU319" s="2" t="n">
        <v>95.65000000000001</v>
      </c>
      <c r="CV319" s="2" t="n">
        <v>100</v>
      </c>
      <c r="CW319" s="2" t="n">
        <v>94.69</v>
      </c>
      <c r="CX319" s="2" t="n">
        <v>95.65000000000001</v>
      </c>
      <c r="CY319" s="2" t="n">
        <v>100</v>
      </c>
      <c r="CZ319" s="2" t="n">
        <v>94.69</v>
      </c>
      <c r="DA319" s="2" t="n">
        <v>95.65000000000001</v>
      </c>
      <c r="DB319" s="2" t="n">
        <v>100</v>
      </c>
      <c r="DC319" s="2" t="n">
        <v>94.69</v>
      </c>
      <c r="DD319" s="2" t="n">
        <v>95.65000000000001</v>
      </c>
      <c r="DE319" s="2" t="n">
        <v>100</v>
      </c>
      <c r="DF319" s="2" t="n">
        <v>94.69</v>
      </c>
      <c r="DG319" s="2" t="n">
        <v>95.65000000000001</v>
      </c>
      <c r="DH319" s="2" t="n">
        <v>100</v>
      </c>
      <c r="DI319" s="2" t="n">
        <v>94.69</v>
      </c>
      <c r="DJ319" s="2" t="n">
        <v>95.65000000000001</v>
      </c>
      <c r="DK319" s="2" t="n">
        <v>100</v>
      </c>
      <c r="DL319" s="2" t="n">
        <v>94.69</v>
      </c>
      <c r="DM319" s="2" t="n">
        <v>95.65000000000001</v>
      </c>
      <c r="DN319" s="2" t="n">
        <v>100</v>
      </c>
      <c r="DO319" s="2" t="n">
        <v>94.69</v>
      </c>
      <c r="DP319" s="2" t="n">
        <v>95.65000000000001</v>
      </c>
      <c r="DQ319" s="2" t="n">
        <v>100</v>
      </c>
      <c r="DR319" s="2" t="n">
        <v>94.69</v>
      </c>
      <c r="DS319" s="2" t="n">
        <v>95.65000000000001</v>
      </c>
      <c r="DT319" s="2" t="n">
        <v>100</v>
      </c>
      <c r="DU319" s="2" t="n">
        <v>94.69</v>
      </c>
      <c r="DV319" s="2" t="n">
        <v>95.65000000000001</v>
      </c>
      <c r="DW319" s="2" t="n">
        <v>100</v>
      </c>
      <c r="DX319" s="2" t="n">
        <v>94.69</v>
      </c>
      <c r="DY319" s="2" t="n">
        <v>95.65000000000001</v>
      </c>
      <c r="DZ319" s="2" t="n">
        <v>100</v>
      </c>
      <c r="EA319" s="2" t="n">
        <v>94.69</v>
      </c>
      <c r="EB319" s="2" t="n">
        <v>95.65000000000001</v>
      </c>
      <c r="EC319" s="2" t="n">
        <v>100</v>
      </c>
      <c r="ED319" s="2" t="n">
        <v>94.69</v>
      </c>
      <c r="EE319" s="2" t="n">
        <v>95.65000000000001</v>
      </c>
      <c r="EF319" s="2" t="n">
        <v>100</v>
      </c>
      <c r="EG319" s="2" t="n">
        <v>94.69</v>
      </c>
      <c r="EH319" s="2" t="n">
        <v>95.65000000000001</v>
      </c>
      <c r="EI319" s="2" t="n">
        <v>100</v>
      </c>
      <c r="EJ319" s="2" t="n">
        <v>94.69</v>
      </c>
      <c r="EK319" s="2" t="n">
        <v>95.65000000000001</v>
      </c>
      <c r="EL319" s="2" t="n">
        <v>100</v>
      </c>
      <c r="EM319" s="2" t="n">
        <v>94.69</v>
      </c>
      <c r="EN319" s="2" t="n">
        <v>95.65000000000001</v>
      </c>
      <c r="EO319" s="2" t="n">
        <v>100</v>
      </c>
      <c r="EP319" s="2" t="n">
        <v>94.69</v>
      </c>
      <c r="EQ319" s="2" t="n">
        <v>95.65000000000001</v>
      </c>
      <c r="ER319" s="2" t="n">
        <v>100</v>
      </c>
      <c r="ES319" s="2" t="n">
        <v>94.69</v>
      </c>
    </row>
    <row r="320">
      <c r="A320" s="2" t="n">
        <v>3</v>
      </c>
      <c r="B320" s="2" t="inlineStr">
        <is>
          <t>16.01.02</t>
        </is>
      </c>
      <c r="C320" s="2" t="inlineStr">
        <is>
          <t>Apiloamento</t>
        </is>
      </c>
      <c r="D320" s="2" t="inlineStr">
        <is>
          <t>13/04/2026</t>
        </is>
      </c>
      <c r="E320" s="2" t="inlineStr">
        <is>
          <t>09/04/2027</t>
        </is>
      </c>
      <c r="F320" s="2" t="n">
        <v>9062.334339783918</v>
      </c>
      <c r="G320" s="2" t="n">
        <v>0</v>
      </c>
      <c r="H320" s="2" t="n">
        <v>9062.334339783918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12.11</v>
      </c>
      <c r="AN320" s="2" t="n">
        <v>15.16</v>
      </c>
      <c r="AO320" s="2" t="n">
        <v>11.15</v>
      </c>
      <c r="AP320" s="2" t="n">
        <v>36.32</v>
      </c>
      <c r="AQ320" s="2" t="n">
        <v>38.49</v>
      </c>
      <c r="AR320" s="2" t="n">
        <v>44.55</v>
      </c>
      <c r="AS320" s="2" t="n">
        <v>61.75</v>
      </c>
      <c r="AT320" s="2" t="n">
        <v>62.99</v>
      </c>
      <c r="AU320" s="2" t="n">
        <v>81.7</v>
      </c>
      <c r="AV320" s="2" t="n">
        <v>89.59999999999999</v>
      </c>
      <c r="AW320" s="2" t="n">
        <v>89.81999999999999</v>
      </c>
      <c r="AX320" s="2" t="n">
        <v>94.69</v>
      </c>
      <c r="AY320" s="2" t="n">
        <v>95.65000000000001</v>
      </c>
      <c r="AZ320" s="2" t="n">
        <v>95.65000000000001</v>
      </c>
      <c r="BA320" s="2" t="n">
        <v>94.69</v>
      </c>
      <c r="BB320" s="2" t="n">
        <v>95.65000000000001</v>
      </c>
      <c r="BC320" s="2" t="n">
        <v>95.65000000000001</v>
      </c>
      <c r="BD320" s="2" t="n">
        <v>94.69</v>
      </c>
      <c r="BE320" s="2" t="n">
        <v>95.65000000000001</v>
      </c>
      <c r="BF320" s="2" t="n">
        <v>95.65000000000001</v>
      </c>
      <c r="BG320" s="2" t="n">
        <v>94.69</v>
      </c>
      <c r="BH320" s="2" t="n">
        <v>95.65000000000001</v>
      </c>
      <c r="BI320" s="2" t="n">
        <v>95.65000000000001</v>
      </c>
      <c r="BJ320" s="2" t="n">
        <v>94.69</v>
      </c>
      <c r="BK320" s="2" t="n">
        <v>95.65000000000001</v>
      </c>
      <c r="BL320" s="2" t="n">
        <v>95.65000000000001</v>
      </c>
      <c r="BM320" s="2" t="n">
        <v>94.69</v>
      </c>
      <c r="BN320" s="2" t="n">
        <v>95.65000000000001</v>
      </c>
      <c r="BO320" s="2" t="n">
        <v>95.65000000000001</v>
      </c>
      <c r="BP320" s="2" t="n">
        <v>94.69</v>
      </c>
      <c r="BQ320" s="2" t="n">
        <v>95.65000000000001</v>
      </c>
      <c r="BR320" s="2" t="n">
        <v>95.65000000000001</v>
      </c>
      <c r="BS320" s="2" t="n">
        <v>94.69</v>
      </c>
      <c r="BT320" s="2" t="n">
        <v>95.65000000000001</v>
      </c>
      <c r="BU320" s="2" t="n">
        <v>96.95999999999999</v>
      </c>
      <c r="BV320" s="2" t="n">
        <v>94.69</v>
      </c>
      <c r="BW320" s="2" t="n">
        <v>95.65000000000001</v>
      </c>
      <c r="BX320" s="2" t="n">
        <v>100</v>
      </c>
      <c r="BY320" s="2" t="n">
        <v>94.69</v>
      </c>
      <c r="BZ320" s="2" t="n">
        <v>95.65000000000001</v>
      </c>
      <c r="CA320" s="2" t="n">
        <v>100</v>
      </c>
      <c r="CB320" s="2" t="n">
        <v>94.69</v>
      </c>
      <c r="CC320" s="2" t="n">
        <v>95.65000000000001</v>
      </c>
      <c r="CD320" s="2" t="n">
        <v>100</v>
      </c>
      <c r="CE320" s="2" t="n">
        <v>94.69</v>
      </c>
      <c r="CF320" s="2" t="n">
        <v>95.65000000000001</v>
      </c>
      <c r="CG320" s="2" t="n">
        <v>100</v>
      </c>
      <c r="CH320" s="2" t="n">
        <v>94.69</v>
      </c>
      <c r="CI320" s="2" t="n">
        <v>95.65000000000001</v>
      </c>
      <c r="CJ320" s="2" t="n">
        <v>100</v>
      </c>
      <c r="CK320" s="2" t="n">
        <v>94.69</v>
      </c>
      <c r="CL320" s="2" t="n">
        <v>95.65000000000001</v>
      </c>
      <c r="CM320" s="2" t="n">
        <v>100</v>
      </c>
      <c r="CN320" s="2" t="n">
        <v>94.69</v>
      </c>
      <c r="CO320" s="2" t="n">
        <v>95.65000000000001</v>
      </c>
      <c r="CP320" s="2" t="n">
        <v>100</v>
      </c>
      <c r="CQ320" s="2" t="n">
        <v>94.69</v>
      </c>
      <c r="CR320" s="2" t="n">
        <v>95.65000000000001</v>
      </c>
      <c r="CS320" s="2" t="n">
        <v>100</v>
      </c>
      <c r="CT320" s="2" t="n">
        <v>94.69</v>
      </c>
      <c r="CU320" s="2" t="n">
        <v>95.65000000000001</v>
      </c>
      <c r="CV320" s="2" t="n">
        <v>100</v>
      </c>
      <c r="CW320" s="2" t="n">
        <v>94.69</v>
      </c>
      <c r="CX320" s="2" t="n">
        <v>95.65000000000001</v>
      </c>
      <c r="CY320" s="2" t="n">
        <v>100</v>
      </c>
      <c r="CZ320" s="2" t="n">
        <v>94.69</v>
      </c>
      <c r="DA320" s="2" t="n">
        <v>95.65000000000001</v>
      </c>
      <c r="DB320" s="2" t="n">
        <v>100</v>
      </c>
      <c r="DC320" s="2" t="n">
        <v>94.69</v>
      </c>
      <c r="DD320" s="2" t="n">
        <v>95.65000000000001</v>
      </c>
      <c r="DE320" s="2" t="n">
        <v>100</v>
      </c>
      <c r="DF320" s="2" t="n">
        <v>94.69</v>
      </c>
      <c r="DG320" s="2" t="n">
        <v>95.65000000000001</v>
      </c>
      <c r="DH320" s="2" t="n">
        <v>100</v>
      </c>
      <c r="DI320" s="2" t="n">
        <v>94.69</v>
      </c>
      <c r="DJ320" s="2" t="n">
        <v>95.65000000000001</v>
      </c>
      <c r="DK320" s="2" t="n">
        <v>100</v>
      </c>
      <c r="DL320" s="2" t="n">
        <v>94.69</v>
      </c>
      <c r="DM320" s="2" t="n">
        <v>95.65000000000001</v>
      </c>
      <c r="DN320" s="2" t="n">
        <v>100</v>
      </c>
      <c r="DO320" s="2" t="n">
        <v>94.69</v>
      </c>
      <c r="DP320" s="2" t="n">
        <v>95.65000000000001</v>
      </c>
      <c r="DQ320" s="2" t="n">
        <v>100</v>
      </c>
      <c r="DR320" s="2" t="n">
        <v>94.69</v>
      </c>
      <c r="DS320" s="2" t="n">
        <v>95.65000000000001</v>
      </c>
      <c r="DT320" s="2" t="n">
        <v>100</v>
      </c>
      <c r="DU320" s="2" t="n">
        <v>94.69</v>
      </c>
      <c r="DV320" s="2" t="n">
        <v>95.65000000000001</v>
      </c>
      <c r="DW320" s="2" t="n">
        <v>100</v>
      </c>
      <c r="DX320" s="2" t="n">
        <v>94.69</v>
      </c>
      <c r="DY320" s="2" t="n">
        <v>95.65000000000001</v>
      </c>
      <c r="DZ320" s="2" t="n">
        <v>100</v>
      </c>
      <c r="EA320" s="2" t="n">
        <v>94.69</v>
      </c>
      <c r="EB320" s="2" t="n">
        <v>95.65000000000001</v>
      </c>
      <c r="EC320" s="2" t="n">
        <v>100</v>
      </c>
      <c r="ED320" s="2" t="n">
        <v>94.69</v>
      </c>
      <c r="EE320" s="2" t="n">
        <v>95.65000000000001</v>
      </c>
      <c r="EF320" s="2" t="n">
        <v>100</v>
      </c>
      <c r="EG320" s="2" t="n">
        <v>94.69</v>
      </c>
      <c r="EH320" s="2" t="n">
        <v>95.65000000000001</v>
      </c>
      <c r="EI320" s="2" t="n">
        <v>100</v>
      </c>
      <c r="EJ320" s="2" t="n">
        <v>94.69</v>
      </c>
      <c r="EK320" s="2" t="n">
        <v>95.65000000000001</v>
      </c>
      <c r="EL320" s="2" t="n">
        <v>100</v>
      </c>
      <c r="EM320" s="2" t="n">
        <v>94.69</v>
      </c>
      <c r="EN320" s="2" t="n">
        <v>95.65000000000001</v>
      </c>
      <c r="EO320" s="2" t="n">
        <v>100</v>
      </c>
      <c r="EP320" s="2" t="n">
        <v>94.69</v>
      </c>
      <c r="EQ320" s="2" t="n">
        <v>95.65000000000001</v>
      </c>
      <c r="ER320" s="2" t="n">
        <v>100</v>
      </c>
      <c r="ES320" s="2" t="n">
        <v>94.69</v>
      </c>
    </row>
    <row r="321">
      <c r="A321" s="2" t="n">
        <v>3</v>
      </c>
      <c r="B321" s="2" t="inlineStr">
        <is>
          <t>16.01.03</t>
        </is>
      </c>
      <c r="C321" s="2" t="inlineStr">
        <is>
          <t>Formas para infra estrutura, compensado resinado 12mm, reaproveitamento 1,5x.</t>
        </is>
      </c>
      <c r="D321" s="2" t="inlineStr">
        <is>
          <t>13/04/2026</t>
        </is>
      </c>
      <c r="E321" s="2" t="inlineStr">
        <is>
          <t>09/04/2027</t>
        </is>
      </c>
      <c r="F321" s="2" t="n">
        <v>309181.7464264376</v>
      </c>
      <c r="G321" s="2" t="n">
        <v>0</v>
      </c>
      <c r="H321" s="2" t="n">
        <v>309181.7464264376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12.11</v>
      </c>
      <c r="AN321" s="2" t="n">
        <v>15.16</v>
      </c>
      <c r="AO321" s="2" t="n">
        <v>11.15</v>
      </c>
      <c r="AP321" s="2" t="n">
        <v>36.32</v>
      </c>
      <c r="AQ321" s="2" t="n">
        <v>38.49</v>
      </c>
      <c r="AR321" s="2" t="n">
        <v>44.55</v>
      </c>
      <c r="AS321" s="2" t="n">
        <v>61.75</v>
      </c>
      <c r="AT321" s="2" t="n">
        <v>62.99</v>
      </c>
      <c r="AU321" s="2" t="n">
        <v>81.7</v>
      </c>
      <c r="AV321" s="2" t="n">
        <v>89.59999999999999</v>
      </c>
      <c r="AW321" s="2" t="n">
        <v>89.81999999999999</v>
      </c>
      <c r="AX321" s="2" t="n">
        <v>94.69</v>
      </c>
      <c r="AY321" s="2" t="n">
        <v>95.65000000000001</v>
      </c>
      <c r="AZ321" s="2" t="n">
        <v>95.65000000000001</v>
      </c>
      <c r="BA321" s="2" t="n">
        <v>94.69</v>
      </c>
      <c r="BB321" s="2" t="n">
        <v>95.65000000000001</v>
      </c>
      <c r="BC321" s="2" t="n">
        <v>95.65000000000001</v>
      </c>
      <c r="BD321" s="2" t="n">
        <v>94.69</v>
      </c>
      <c r="BE321" s="2" t="n">
        <v>95.65000000000001</v>
      </c>
      <c r="BF321" s="2" t="n">
        <v>95.65000000000001</v>
      </c>
      <c r="BG321" s="2" t="n">
        <v>94.69</v>
      </c>
      <c r="BH321" s="2" t="n">
        <v>95.65000000000001</v>
      </c>
      <c r="BI321" s="2" t="n">
        <v>95.65000000000001</v>
      </c>
      <c r="BJ321" s="2" t="n">
        <v>94.69</v>
      </c>
      <c r="BK321" s="2" t="n">
        <v>95.65000000000001</v>
      </c>
      <c r="BL321" s="2" t="n">
        <v>95.65000000000001</v>
      </c>
      <c r="BM321" s="2" t="n">
        <v>94.69</v>
      </c>
      <c r="BN321" s="2" t="n">
        <v>95.65000000000001</v>
      </c>
      <c r="BO321" s="2" t="n">
        <v>95.65000000000001</v>
      </c>
      <c r="BP321" s="2" t="n">
        <v>94.69</v>
      </c>
      <c r="BQ321" s="2" t="n">
        <v>95.65000000000001</v>
      </c>
      <c r="BR321" s="2" t="n">
        <v>95.65000000000001</v>
      </c>
      <c r="BS321" s="2" t="n">
        <v>94.69</v>
      </c>
      <c r="BT321" s="2" t="n">
        <v>95.65000000000001</v>
      </c>
      <c r="BU321" s="2" t="n">
        <v>96.95999999999999</v>
      </c>
      <c r="BV321" s="2" t="n">
        <v>94.69</v>
      </c>
      <c r="BW321" s="2" t="n">
        <v>95.65000000000001</v>
      </c>
      <c r="BX321" s="2" t="n">
        <v>100</v>
      </c>
      <c r="BY321" s="2" t="n">
        <v>94.69</v>
      </c>
      <c r="BZ321" s="2" t="n">
        <v>95.65000000000001</v>
      </c>
      <c r="CA321" s="2" t="n">
        <v>100</v>
      </c>
      <c r="CB321" s="2" t="n">
        <v>94.69</v>
      </c>
      <c r="CC321" s="2" t="n">
        <v>95.65000000000001</v>
      </c>
      <c r="CD321" s="2" t="n">
        <v>100</v>
      </c>
      <c r="CE321" s="2" t="n">
        <v>94.69</v>
      </c>
      <c r="CF321" s="2" t="n">
        <v>95.65000000000001</v>
      </c>
      <c r="CG321" s="2" t="n">
        <v>100</v>
      </c>
      <c r="CH321" s="2" t="n">
        <v>94.69</v>
      </c>
      <c r="CI321" s="2" t="n">
        <v>95.65000000000001</v>
      </c>
      <c r="CJ321" s="2" t="n">
        <v>100</v>
      </c>
      <c r="CK321" s="2" t="n">
        <v>94.69</v>
      </c>
      <c r="CL321" s="2" t="n">
        <v>95.65000000000001</v>
      </c>
      <c r="CM321" s="2" t="n">
        <v>100</v>
      </c>
      <c r="CN321" s="2" t="n">
        <v>94.69</v>
      </c>
      <c r="CO321" s="2" t="n">
        <v>95.65000000000001</v>
      </c>
      <c r="CP321" s="2" t="n">
        <v>100</v>
      </c>
      <c r="CQ321" s="2" t="n">
        <v>94.69</v>
      </c>
      <c r="CR321" s="2" t="n">
        <v>95.65000000000001</v>
      </c>
      <c r="CS321" s="2" t="n">
        <v>100</v>
      </c>
      <c r="CT321" s="2" t="n">
        <v>94.69</v>
      </c>
      <c r="CU321" s="2" t="n">
        <v>95.65000000000001</v>
      </c>
      <c r="CV321" s="2" t="n">
        <v>100</v>
      </c>
      <c r="CW321" s="2" t="n">
        <v>94.69</v>
      </c>
      <c r="CX321" s="2" t="n">
        <v>95.65000000000001</v>
      </c>
      <c r="CY321" s="2" t="n">
        <v>100</v>
      </c>
      <c r="CZ321" s="2" t="n">
        <v>94.69</v>
      </c>
      <c r="DA321" s="2" t="n">
        <v>95.65000000000001</v>
      </c>
      <c r="DB321" s="2" t="n">
        <v>100</v>
      </c>
      <c r="DC321" s="2" t="n">
        <v>94.69</v>
      </c>
      <c r="DD321" s="2" t="n">
        <v>95.65000000000001</v>
      </c>
      <c r="DE321" s="2" t="n">
        <v>100</v>
      </c>
      <c r="DF321" s="2" t="n">
        <v>94.69</v>
      </c>
      <c r="DG321" s="2" t="n">
        <v>95.65000000000001</v>
      </c>
      <c r="DH321" s="2" t="n">
        <v>100</v>
      </c>
      <c r="DI321" s="2" t="n">
        <v>94.69</v>
      </c>
      <c r="DJ321" s="2" t="n">
        <v>95.65000000000001</v>
      </c>
      <c r="DK321" s="2" t="n">
        <v>100</v>
      </c>
      <c r="DL321" s="2" t="n">
        <v>94.69</v>
      </c>
      <c r="DM321" s="2" t="n">
        <v>95.65000000000001</v>
      </c>
      <c r="DN321" s="2" t="n">
        <v>100</v>
      </c>
      <c r="DO321" s="2" t="n">
        <v>94.69</v>
      </c>
      <c r="DP321" s="2" t="n">
        <v>95.65000000000001</v>
      </c>
      <c r="DQ321" s="2" t="n">
        <v>100</v>
      </c>
      <c r="DR321" s="2" t="n">
        <v>94.69</v>
      </c>
      <c r="DS321" s="2" t="n">
        <v>95.65000000000001</v>
      </c>
      <c r="DT321" s="2" t="n">
        <v>100</v>
      </c>
      <c r="DU321" s="2" t="n">
        <v>94.69</v>
      </c>
      <c r="DV321" s="2" t="n">
        <v>95.65000000000001</v>
      </c>
      <c r="DW321" s="2" t="n">
        <v>100</v>
      </c>
      <c r="DX321" s="2" t="n">
        <v>94.69</v>
      </c>
      <c r="DY321" s="2" t="n">
        <v>95.65000000000001</v>
      </c>
      <c r="DZ321" s="2" t="n">
        <v>100</v>
      </c>
      <c r="EA321" s="2" t="n">
        <v>94.69</v>
      </c>
      <c r="EB321" s="2" t="n">
        <v>95.65000000000001</v>
      </c>
      <c r="EC321" s="2" t="n">
        <v>100</v>
      </c>
      <c r="ED321" s="2" t="n">
        <v>94.69</v>
      </c>
      <c r="EE321" s="2" t="n">
        <v>95.65000000000001</v>
      </c>
      <c r="EF321" s="2" t="n">
        <v>100</v>
      </c>
      <c r="EG321" s="2" t="n">
        <v>94.69</v>
      </c>
      <c r="EH321" s="2" t="n">
        <v>95.65000000000001</v>
      </c>
      <c r="EI321" s="2" t="n">
        <v>100</v>
      </c>
      <c r="EJ321" s="2" t="n">
        <v>94.69</v>
      </c>
      <c r="EK321" s="2" t="n">
        <v>95.65000000000001</v>
      </c>
      <c r="EL321" s="2" t="n">
        <v>100</v>
      </c>
      <c r="EM321" s="2" t="n">
        <v>94.69</v>
      </c>
      <c r="EN321" s="2" t="n">
        <v>95.65000000000001</v>
      </c>
      <c r="EO321" s="2" t="n">
        <v>100</v>
      </c>
      <c r="EP321" s="2" t="n">
        <v>94.69</v>
      </c>
      <c r="EQ321" s="2" t="n">
        <v>95.65000000000001</v>
      </c>
      <c r="ER321" s="2" t="n">
        <v>100</v>
      </c>
      <c r="ES321" s="2" t="n">
        <v>94.69</v>
      </c>
    </row>
    <row r="322">
      <c r="A322" s="2" t="n">
        <v>3</v>
      </c>
      <c r="B322" s="2" t="inlineStr">
        <is>
          <t>16.01.04</t>
        </is>
      </c>
      <c r="C322" s="2" t="inlineStr">
        <is>
          <t>Armadura Ca-50 adquirido cortado e dobrado, montagem e posicionamento no canteiro</t>
        </is>
      </c>
      <c r="D322" s="2" t="inlineStr">
        <is>
          <t>13/04/2026</t>
        </is>
      </c>
      <c r="E322" s="2" t="inlineStr">
        <is>
          <t>09/04/2027</t>
        </is>
      </c>
      <c r="F322" s="2" t="n">
        <v>1261409.055620938</v>
      </c>
      <c r="G322" s="2" t="n">
        <v>0</v>
      </c>
      <c r="H322" s="2" t="n">
        <v>1261409.055620938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12.11</v>
      </c>
      <c r="AN322" s="2" t="n">
        <v>15.16</v>
      </c>
      <c r="AO322" s="2" t="n">
        <v>11.15</v>
      </c>
      <c r="AP322" s="2" t="n">
        <v>36.32</v>
      </c>
      <c r="AQ322" s="2" t="n">
        <v>38.49</v>
      </c>
      <c r="AR322" s="2" t="n">
        <v>44.55</v>
      </c>
      <c r="AS322" s="2" t="n">
        <v>61.75</v>
      </c>
      <c r="AT322" s="2" t="n">
        <v>62.99</v>
      </c>
      <c r="AU322" s="2" t="n">
        <v>81.7</v>
      </c>
      <c r="AV322" s="2" t="n">
        <v>89.59999999999999</v>
      </c>
      <c r="AW322" s="2" t="n">
        <v>89.81999999999999</v>
      </c>
      <c r="AX322" s="2" t="n">
        <v>94.69</v>
      </c>
      <c r="AY322" s="2" t="n">
        <v>95.65000000000001</v>
      </c>
      <c r="AZ322" s="2" t="n">
        <v>95.65000000000001</v>
      </c>
      <c r="BA322" s="2" t="n">
        <v>94.69</v>
      </c>
      <c r="BB322" s="2" t="n">
        <v>95.65000000000001</v>
      </c>
      <c r="BC322" s="2" t="n">
        <v>95.65000000000001</v>
      </c>
      <c r="BD322" s="2" t="n">
        <v>94.69</v>
      </c>
      <c r="BE322" s="2" t="n">
        <v>95.65000000000001</v>
      </c>
      <c r="BF322" s="2" t="n">
        <v>95.65000000000001</v>
      </c>
      <c r="BG322" s="2" t="n">
        <v>94.69</v>
      </c>
      <c r="BH322" s="2" t="n">
        <v>95.65000000000001</v>
      </c>
      <c r="BI322" s="2" t="n">
        <v>95.65000000000001</v>
      </c>
      <c r="BJ322" s="2" t="n">
        <v>94.69</v>
      </c>
      <c r="BK322" s="2" t="n">
        <v>95.65000000000001</v>
      </c>
      <c r="BL322" s="2" t="n">
        <v>95.65000000000001</v>
      </c>
      <c r="BM322" s="2" t="n">
        <v>94.69</v>
      </c>
      <c r="BN322" s="2" t="n">
        <v>95.65000000000001</v>
      </c>
      <c r="BO322" s="2" t="n">
        <v>95.65000000000001</v>
      </c>
      <c r="BP322" s="2" t="n">
        <v>94.69</v>
      </c>
      <c r="BQ322" s="2" t="n">
        <v>95.65000000000001</v>
      </c>
      <c r="BR322" s="2" t="n">
        <v>95.65000000000001</v>
      </c>
      <c r="BS322" s="2" t="n">
        <v>94.69</v>
      </c>
      <c r="BT322" s="2" t="n">
        <v>95.65000000000001</v>
      </c>
      <c r="BU322" s="2" t="n">
        <v>96.95999999999999</v>
      </c>
      <c r="BV322" s="2" t="n">
        <v>94.69</v>
      </c>
      <c r="BW322" s="2" t="n">
        <v>95.65000000000001</v>
      </c>
      <c r="BX322" s="2" t="n">
        <v>100</v>
      </c>
      <c r="BY322" s="2" t="n">
        <v>94.69</v>
      </c>
      <c r="BZ322" s="2" t="n">
        <v>95.65000000000001</v>
      </c>
      <c r="CA322" s="2" t="n">
        <v>100</v>
      </c>
      <c r="CB322" s="2" t="n">
        <v>94.69</v>
      </c>
      <c r="CC322" s="2" t="n">
        <v>95.65000000000001</v>
      </c>
      <c r="CD322" s="2" t="n">
        <v>100</v>
      </c>
      <c r="CE322" s="2" t="n">
        <v>94.69</v>
      </c>
      <c r="CF322" s="2" t="n">
        <v>95.65000000000001</v>
      </c>
      <c r="CG322" s="2" t="n">
        <v>100</v>
      </c>
      <c r="CH322" s="2" t="n">
        <v>94.69</v>
      </c>
      <c r="CI322" s="2" t="n">
        <v>95.65000000000001</v>
      </c>
      <c r="CJ322" s="2" t="n">
        <v>100</v>
      </c>
      <c r="CK322" s="2" t="n">
        <v>94.69</v>
      </c>
      <c r="CL322" s="2" t="n">
        <v>95.65000000000001</v>
      </c>
      <c r="CM322" s="2" t="n">
        <v>100</v>
      </c>
      <c r="CN322" s="2" t="n">
        <v>94.69</v>
      </c>
      <c r="CO322" s="2" t="n">
        <v>95.65000000000001</v>
      </c>
      <c r="CP322" s="2" t="n">
        <v>100</v>
      </c>
      <c r="CQ322" s="2" t="n">
        <v>94.69</v>
      </c>
      <c r="CR322" s="2" t="n">
        <v>95.65000000000001</v>
      </c>
      <c r="CS322" s="2" t="n">
        <v>100</v>
      </c>
      <c r="CT322" s="2" t="n">
        <v>94.69</v>
      </c>
      <c r="CU322" s="2" t="n">
        <v>95.65000000000001</v>
      </c>
      <c r="CV322" s="2" t="n">
        <v>100</v>
      </c>
      <c r="CW322" s="2" t="n">
        <v>94.69</v>
      </c>
      <c r="CX322" s="2" t="n">
        <v>95.65000000000001</v>
      </c>
      <c r="CY322" s="2" t="n">
        <v>100</v>
      </c>
      <c r="CZ322" s="2" t="n">
        <v>94.69</v>
      </c>
      <c r="DA322" s="2" t="n">
        <v>95.65000000000001</v>
      </c>
      <c r="DB322" s="2" t="n">
        <v>100</v>
      </c>
      <c r="DC322" s="2" t="n">
        <v>94.69</v>
      </c>
      <c r="DD322" s="2" t="n">
        <v>95.65000000000001</v>
      </c>
      <c r="DE322" s="2" t="n">
        <v>100</v>
      </c>
      <c r="DF322" s="2" t="n">
        <v>94.69</v>
      </c>
      <c r="DG322" s="2" t="n">
        <v>95.65000000000001</v>
      </c>
      <c r="DH322" s="2" t="n">
        <v>100</v>
      </c>
      <c r="DI322" s="2" t="n">
        <v>94.69</v>
      </c>
      <c r="DJ322" s="2" t="n">
        <v>95.65000000000001</v>
      </c>
      <c r="DK322" s="2" t="n">
        <v>100</v>
      </c>
      <c r="DL322" s="2" t="n">
        <v>94.69</v>
      </c>
      <c r="DM322" s="2" t="n">
        <v>95.65000000000001</v>
      </c>
      <c r="DN322" s="2" t="n">
        <v>100</v>
      </c>
      <c r="DO322" s="2" t="n">
        <v>94.69</v>
      </c>
      <c r="DP322" s="2" t="n">
        <v>95.65000000000001</v>
      </c>
      <c r="DQ322" s="2" t="n">
        <v>100</v>
      </c>
      <c r="DR322" s="2" t="n">
        <v>94.69</v>
      </c>
      <c r="DS322" s="2" t="n">
        <v>95.65000000000001</v>
      </c>
      <c r="DT322" s="2" t="n">
        <v>100</v>
      </c>
      <c r="DU322" s="2" t="n">
        <v>94.69</v>
      </c>
      <c r="DV322" s="2" t="n">
        <v>95.65000000000001</v>
      </c>
      <c r="DW322" s="2" t="n">
        <v>100</v>
      </c>
      <c r="DX322" s="2" t="n">
        <v>94.69</v>
      </c>
      <c r="DY322" s="2" t="n">
        <v>95.65000000000001</v>
      </c>
      <c r="DZ322" s="2" t="n">
        <v>100</v>
      </c>
      <c r="EA322" s="2" t="n">
        <v>94.69</v>
      </c>
      <c r="EB322" s="2" t="n">
        <v>95.65000000000001</v>
      </c>
      <c r="EC322" s="2" t="n">
        <v>100</v>
      </c>
      <c r="ED322" s="2" t="n">
        <v>94.69</v>
      </c>
      <c r="EE322" s="2" t="n">
        <v>95.65000000000001</v>
      </c>
      <c r="EF322" s="2" t="n">
        <v>100</v>
      </c>
      <c r="EG322" s="2" t="n">
        <v>94.69</v>
      </c>
      <c r="EH322" s="2" t="n">
        <v>95.65000000000001</v>
      </c>
      <c r="EI322" s="2" t="n">
        <v>100</v>
      </c>
      <c r="EJ322" s="2" t="n">
        <v>94.69</v>
      </c>
      <c r="EK322" s="2" t="n">
        <v>95.65000000000001</v>
      </c>
      <c r="EL322" s="2" t="n">
        <v>100</v>
      </c>
      <c r="EM322" s="2" t="n">
        <v>94.69</v>
      </c>
      <c r="EN322" s="2" t="n">
        <v>95.65000000000001</v>
      </c>
      <c r="EO322" s="2" t="n">
        <v>100</v>
      </c>
      <c r="EP322" s="2" t="n">
        <v>94.69</v>
      </c>
      <c r="EQ322" s="2" t="n">
        <v>95.65000000000001</v>
      </c>
      <c r="ER322" s="2" t="n">
        <v>100</v>
      </c>
      <c r="ES322" s="2" t="n">
        <v>94.69</v>
      </c>
    </row>
    <row r="323">
      <c r="A323" s="2" t="n">
        <v>3</v>
      </c>
      <c r="B323" s="2" t="inlineStr">
        <is>
          <t>16.01.05</t>
        </is>
      </c>
      <c r="C323" s="2" t="inlineStr">
        <is>
          <t>Armadura Ca-60 adquirido cortado e dobrado, montagem e posicionamento no canteiro</t>
        </is>
      </c>
      <c r="D323" s="2" t="inlineStr">
        <is>
          <t>13/04/2026</t>
        </is>
      </c>
      <c r="E323" s="2" t="inlineStr">
        <is>
          <t>09/04/2027</t>
        </is>
      </c>
      <c r="F323" s="2" t="n">
        <v>15736.4390810629</v>
      </c>
      <c r="G323" s="2" t="n">
        <v>0</v>
      </c>
      <c r="H323" s="2" t="n">
        <v>15736.4390810629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  <c r="AM323" s="2" t="n">
        <v>12.11</v>
      </c>
      <c r="AN323" s="2" t="n">
        <v>15.16</v>
      </c>
      <c r="AO323" s="2" t="n">
        <v>11.15</v>
      </c>
      <c r="AP323" s="2" t="n">
        <v>36.32</v>
      </c>
      <c r="AQ323" s="2" t="n">
        <v>38.49</v>
      </c>
      <c r="AR323" s="2" t="n">
        <v>44.55</v>
      </c>
      <c r="AS323" s="2" t="n">
        <v>61.75</v>
      </c>
      <c r="AT323" s="2" t="n">
        <v>62.99</v>
      </c>
      <c r="AU323" s="2" t="n">
        <v>81.7</v>
      </c>
      <c r="AV323" s="2" t="n">
        <v>89.59999999999999</v>
      </c>
      <c r="AW323" s="2" t="n">
        <v>89.81999999999999</v>
      </c>
      <c r="AX323" s="2" t="n">
        <v>94.69</v>
      </c>
      <c r="AY323" s="2" t="n">
        <v>95.65000000000001</v>
      </c>
      <c r="AZ323" s="2" t="n">
        <v>95.65000000000001</v>
      </c>
      <c r="BA323" s="2" t="n">
        <v>94.69</v>
      </c>
      <c r="BB323" s="2" t="n">
        <v>95.65000000000001</v>
      </c>
      <c r="BC323" s="2" t="n">
        <v>95.65000000000001</v>
      </c>
      <c r="BD323" s="2" t="n">
        <v>94.69</v>
      </c>
      <c r="BE323" s="2" t="n">
        <v>95.65000000000001</v>
      </c>
      <c r="BF323" s="2" t="n">
        <v>95.65000000000001</v>
      </c>
      <c r="BG323" s="2" t="n">
        <v>94.69</v>
      </c>
      <c r="BH323" s="2" t="n">
        <v>95.65000000000001</v>
      </c>
      <c r="BI323" s="2" t="n">
        <v>95.65000000000001</v>
      </c>
      <c r="BJ323" s="2" t="n">
        <v>94.69</v>
      </c>
      <c r="BK323" s="2" t="n">
        <v>95.65000000000001</v>
      </c>
      <c r="BL323" s="2" t="n">
        <v>95.65000000000001</v>
      </c>
      <c r="BM323" s="2" t="n">
        <v>94.69</v>
      </c>
      <c r="BN323" s="2" t="n">
        <v>95.65000000000001</v>
      </c>
      <c r="BO323" s="2" t="n">
        <v>95.65000000000001</v>
      </c>
      <c r="BP323" s="2" t="n">
        <v>94.69</v>
      </c>
      <c r="BQ323" s="2" t="n">
        <v>95.65000000000001</v>
      </c>
      <c r="BR323" s="2" t="n">
        <v>95.65000000000001</v>
      </c>
      <c r="BS323" s="2" t="n">
        <v>94.69</v>
      </c>
      <c r="BT323" s="2" t="n">
        <v>95.65000000000001</v>
      </c>
      <c r="BU323" s="2" t="n">
        <v>96.95999999999999</v>
      </c>
      <c r="BV323" s="2" t="n">
        <v>94.69</v>
      </c>
      <c r="BW323" s="2" t="n">
        <v>95.65000000000001</v>
      </c>
      <c r="BX323" s="2" t="n">
        <v>100</v>
      </c>
      <c r="BY323" s="2" t="n">
        <v>94.69</v>
      </c>
      <c r="BZ323" s="2" t="n">
        <v>95.65000000000001</v>
      </c>
      <c r="CA323" s="2" t="n">
        <v>100</v>
      </c>
      <c r="CB323" s="2" t="n">
        <v>94.69</v>
      </c>
      <c r="CC323" s="2" t="n">
        <v>95.65000000000001</v>
      </c>
      <c r="CD323" s="2" t="n">
        <v>100</v>
      </c>
      <c r="CE323" s="2" t="n">
        <v>94.69</v>
      </c>
      <c r="CF323" s="2" t="n">
        <v>95.65000000000001</v>
      </c>
      <c r="CG323" s="2" t="n">
        <v>100</v>
      </c>
      <c r="CH323" s="2" t="n">
        <v>94.69</v>
      </c>
      <c r="CI323" s="2" t="n">
        <v>95.65000000000001</v>
      </c>
      <c r="CJ323" s="2" t="n">
        <v>100</v>
      </c>
      <c r="CK323" s="2" t="n">
        <v>94.69</v>
      </c>
      <c r="CL323" s="2" t="n">
        <v>95.65000000000001</v>
      </c>
      <c r="CM323" s="2" t="n">
        <v>100</v>
      </c>
      <c r="CN323" s="2" t="n">
        <v>94.69</v>
      </c>
      <c r="CO323" s="2" t="n">
        <v>95.65000000000001</v>
      </c>
      <c r="CP323" s="2" t="n">
        <v>100</v>
      </c>
      <c r="CQ323" s="2" t="n">
        <v>94.69</v>
      </c>
      <c r="CR323" s="2" t="n">
        <v>95.65000000000001</v>
      </c>
      <c r="CS323" s="2" t="n">
        <v>100</v>
      </c>
      <c r="CT323" s="2" t="n">
        <v>94.69</v>
      </c>
      <c r="CU323" s="2" t="n">
        <v>95.65000000000001</v>
      </c>
      <c r="CV323" s="2" t="n">
        <v>100</v>
      </c>
      <c r="CW323" s="2" t="n">
        <v>94.69</v>
      </c>
      <c r="CX323" s="2" t="n">
        <v>95.65000000000001</v>
      </c>
      <c r="CY323" s="2" t="n">
        <v>100</v>
      </c>
      <c r="CZ323" s="2" t="n">
        <v>94.69</v>
      </c>
      <c r="DA323" s="2" t="n">
        <v>95.65000000000001</v>
      </c>
      <c r="DB323" s="2" t="n">
        <v>100</v>
      </c>
      <c r="DC323" s="2" t="n">
        <v>94.69</v>
      </c>
      <c r="DD323" s="2" t="n">
        <v>95.65000000000001</v>
      </c>
      <c r="DE323" s="2" t="n">
        <v>100</v>
      </c>
      <c r="DF323" s="2" t="n">
        <v>94.69</v>
      </c>
      <c r="DG323" s="2" t="n">
        <v>95.65000000000001</v>
      </c>
      <c r="DH323" s="2" t="n">
        <v>100</v>
      </c>
      <c r="DI323" s="2" t="n">
        <v>94.69</v>
      </c>
      <c r="DJ323" s="2" t="n">
        <v>95.65000000000001</v>
      </c>
      <c r="DK323" s="2" t="n">
        <v>100</v>
      </c>
      <c r="DL323" s="2" t="n">
        <v>94.69</v>
      </c>
      <c r="DM323" s="2" t="n">
        <v>95.65000000000001</v>
      </c>
      <c r="DN323" s="2" t="n">
        <v>100</v>
      </c>
      <c r="DO323" s="2" t="n">
        <v>94.69</v>
      </c>
      <c r="DP323" s="2" t="n">
        <v>95.65000000000001</v>
      </c>
      <c r="DQ323" s="2" t="n">
        <v>100</v>
      </c>
      <c r="DR323" s="2" t="n">
        <v>94.69</v>
      </c>
      <c r="DS323" s="2" t="n">
        <v>95.65000000000001</v>
      </c>
      <c r="DT323" s="2" t="n">
        <v>100</v>
      </c>
      <c r="DU323" s="2" t="n">
        <v>94.69</v>
      </c>
      <c r="DV323" s="2" t="n">
        <v>95.65000000000001</v>
      </c>
      <c r="DW323" s="2" t="n">
        <v>100</v>
      </c>
      <c r="DX323" s="2" t="n">
        <v>94.69</v>
      </c>
      <c r="DY323" s="2" t="n">
        <v>95.65000000000001</v>
      </c>
      <c r="DZ323" s="2" t="n">
        <v>100</v>
      </c>
      <c r="EA323" s="2" t="n">
        <v>94.69</v>
      </c>
      <c r="EB323" s="2" t="n">
        <v>95.65000000000001</v>
      </c>
      <c r="EC323" s="2" t="n">
        <v>100</v>
      </c>
      <c r="ED323" s="2" t="n">
        <v>94.69</v>
      </c>
      <c r="EE323" s="2" t="n">
        <v>95.65000000000001</v>
      </c>
      <c r="EF323" s="2" t="n">
        <v>100</v>
      </c>
      <c r="EG323" s="2" t="n">
        <v>94.69</v>
      </c>
      <c r="EH323" s="2" t="n">
        <v>95.65000000000001</v>
      </c>
      <c r="EI323" s="2" t="n">
        <v>100</v>
      </c>
      <c r="EJ323" s="2" t="n">
        <v>94.69</v>
      </c>
      <c r="EK323" s="2" t="n">
        <v>95.65000000000001</v>
      </c>
      <c r="EL323" s="2" t="n">
        <v>100</v>
      </c>
      <c r="EM323" s="2" t="n">
        <v>94.69</v>
      </c>
      <c r="EN323" s="2" t="n">
        <v>95.65000000000001</v>
      </c>
      <c r="EO323" s="2" t="n">
        <v>100</v>
      </c>
      <c r="EP323" s="2" t="n">
        <v>94.69</v>
      </c>
      <c r="EQ323" s="2" t="n">
        <v>95.65000000000001</v>
      </c>
      <c r="ER323" s="2" t="n">
        <v>100</v>
      </c>
      <c r="ES323" s="2" t="n">
        <v>94.69</v>
      </c>
    </row>
    <row r="324">
      <c r="A324" s="2" t="n">
        <v>3</v>
      </c>
      <c r="B324" s="2" t="inlineStr">
        <is>
          <t>16.01.06</t>
        </is>
      </c>
      <c r="C324" s="2" t="inlineStr">
        <is>
          <t>Lastro de concreto magro rodado em betoneira</t>
        </is>
      </c>
      <c r="D324" s="2" t="inlineStr">
        <is>
          <t>13/04/2026</t>
        </is>
      </c>
      <c r="E324" s="2" t="inlineStr">
        <is>
          <t>09/04/2027</t>
        </is>
      </c>
      <c r="F324" s="2" t="n">
        <v>17625.88062702769</v>
      </c>
      <c r="G324" s="2" t="n">
        <v>0</v>
      </c>
      <c r="H324" s="2" t="n">
        <v>17625.88062702769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12.11</v>
      </c>
      <c r="AN324" s="2" t="n">
        <v>15.16</v>
      </c>
      <c r="AO324" s="2" t="n">
        <v>11.15</v>
      </c>
      <c r="AP324" s="2" t="n">
        <v>36.32</v>
      </c>
      <c r="AQ324" s="2" t="n">
        <v>38.49</v>
      </c>
      <c r="AR324" s="2" t="n">
        <v>44.55</v>
      </c>
      <c r="AS324" s="2" t="n">
        <v>61.75</v>
      </c>
      <c r="AT324" s="2" t="n">
        <v>62.99</v>
      </c>
      <c r="AU324" s="2" t="n">
        <v>81.7</v>
      </c>
      <c r="AV324" s="2" t="n">
        <v>89.59999999999999</v>
      </c>
      <c r="AW324" s="2" t="n">
        <v>89.81999999999999</v>
      </c>
      <c r="AX324" s="2" t="n">
        <v>94.69</v>
      </c>
      <c r="AY324" s="2" t="n">
        <v>95.65000000000001</v>
      </c>
      <c r="AZ324" s="2" t="n">
        <v>95.65000000000001</v>
      </c>
      <c r="BA324" s="2" t="n">
        <v>94.69</v>
      </c>
      <c r="BB324" s="2" t="n">
        <v>95.65000000000001</v>
      </c>
      <c r="BC324" s="2" t="n">
        <v>95.65000000000001</v>
      </c>
      <c r="BD324" s="2" t="n">
        <v>94.69</v>
      </c>
      <c r="BE324" s="2" t="n">
        <v>95.65000000000001</v>
      </c>
      <c r="BF324" s="2" t="n">
        <v>95.65000000000001</v>
      </c>
      <c r="BG324" s="2" t="n">
        <v>94.69</v>
      </c>
      <c r="BH324" s="2" t="n">
        <v>95.65000000000001</v>
      </c>
      <c r="BI324" s="2" t="n">
        <v>95.65000000000001</v>
      </c>
      <c r="BJ324" s="2" t="n">
        <v>94.69</v>
      </c>
      <c r="BK324" s="2" t="n">
        <v>95.65000000000001</v>
      </c>
      <c r="BL324" s="2" t="n">
        <v>95.65000000000001</v>
      </c>
      <c r="BM324" s="2" t="n">
        <v>94.69</v>
      </c>
      <c r="BN324" s="2" t="n">
        <v>95.65000000000001</v>
      </c>
      <c r="BO324" s="2" t="n">
        <v>95.65000000000001</v>
      </c>
      <c r="BP324" s="2" t="n">
        <v>94.69</v>
      </c>
      <c r="BQ324" s="2" t="n">
        <v>95.65000000000001</v>
      </c>
      <c r="BR324" s="2" t="n">
        <v>95.65000000000001</v>
      </c>
      <c r="BS324" s="2" t="n">
        <v>94.69</v>
      </c>
      <c r="BT324" s="2" t="n">
        <v>95.65000000000001</v>
      </c>
      <c r="BU324" s="2" t="n">
        <v>96.95999999999999</v>
      </c>
      <c r="BV324" s="2" t="n">
        <v>94.69</v>
      </c>
      <c r="BW324" s="2" t="n">
        <v>95.65000000000001</v>
      </c>
      <c r="BX324" s="2" t="n">
        <v>100</v>
      </c>
      <c r="BY324" s="2" t="n">
        <v>94.69</v>
      </c>
      <c r="BZ324" s="2" t="n">
        <v>95.65000000000001</v>
      </c>
      <c r="CA324" s="2" t="n">
        <v>100</v>
      </c>
      <c r="CB324" s="2" t="n">
        <v>94.69</v>
      </c>
      <c r="CC324" s="2" t="n">
        <v>95.65000000000001</v>
      </c>
      <c r="CD324" s="2" t="n">
        <v>100</v>
      </c>
      <c r="CE324" s="2" t="n">
        <v>94.69</v>
      </c>
      <c r="CF324" s="2" t="n">
        <v>95.65000000000001</v>
      </c>
      <c r="CG324" s="2" t="n">
        <v>100</v>
      </c>
      <c r="CH324" s="2" t="n">
        <v>94.69</v>
      </c>
      <c r="CI324" s="2" t="n">
        <v>95.65000000000001</v>
      </c>
      <c r="CJ324" s="2" t="n">
        <v>100</v>
      </c>
      <c r="CK324" s="2" t="n">
        <v>94.69</v>
      </c>
      <c r="CL324" s="2" t="n">
        <v>95.65000000000001</v>
      </c>
      <c r="CM324" s="2" t="n">
        <v>100</v>
      </c>
      <c r="CN324" s="2" t="n">
        <v>94.69</v>
      </c>
      <c r="CO324" s="2" t="n">
        <v>95.65000000000001</v>
      </c>
      <c r="CP324" s="2" t="n">
        <v>100</v>
      </c>
      <c r="CQ324" s="2" t="n">
        <v>94.69</v>
      </c>
      <c r="CR324" s="2" t="n">
        <v>95.65000000000001</v>
      </c>
      <c r="CS324" s="2" t="n">
        <v>100</v>
      </c>
      <c r="CT324" s="2" t="n">
        <v>94.69</v>
      </c>
      <c r="CU324" s="2" t="n">
        <v>95.65000000000001</v>
      </c>
      <c r="CV324" s="2" t="n">
        <v>100</v>
      </c>
      <c r="CW324" s="2" t="n">
        <v>94.69</v>
      </c>
      <c r="CX324" s="2" t="n">
        <v>95.65000000000001</v>
      </c>
      <c r="CY324" s="2" t="n">
        <v>100</v>
      </c>
      <c r="CZ324" s="2" t="n">
        <v>94.69</v>
      </c>
      <c r="DA324" s="2" t="n">
        <v>95.65000000000001</v>
      </c>
      <c r="DB324" s="2" t="n">
        <v>100</v>
      </c>
      <c r="DC324" s="2" t="n">
        <v>94.69</v>
      </c>
      <c r="DD324" s="2" t="n">
        <v>95.65000000000001</v>
      </c>
      <c r="DE324" s="2" t="n">
        <v>100</v>
      </c>
      <c r="DF324" s="2" t="n">
        <v>94.69</v>
      </c>
      <c r="DG324" s="2" t="n">
        <v>95.65000000000001</v>
      </c>
      <c r="DH324" s="2" t="n">
        <v>100</v>
      </c>
      <c r="DI324" s="2" t="n">
        <v>94.69</v>
      </c>
      <c r="DJ324" s="2" t="n">
        <v>95.65000000000001</v>
      </c>
      <c r="DK324" s="2" t="n">
        <v>100</v>
      </c>
      <c r="DL324" s="2" t="n">
        <v>94.69</v>
      </c>
      <c r="DM324" s="2" t="n">
        <v>95.65000000000001</v>
      </c>
      <c r="DN324" s="2" t="n">
        <v>100</v>
      </c>
      <c r="DO324" s="2" t="n">
        <v>94.69</v>
      </c>
      <c r="DP324" s="2" t="n">
        <v>95.65000000000001</v>
      </c>
      <c r="DQ324" s="2" t="n">
        <v>100</v>
      </c>
      <c r="DR324" s="2" t="n">
        <v>94.69</v>
      </c>
      <c r="DS324" s="2" t="n">
        <v>95.65000000000001</v>
      </c>
      <c r="DT324" s="2" t="n">
        <v>100</v>
      </c>
      <c r="DU324" s="2" t="n">
        <v>94.69</v>
      </c>
      <c r="DV324" s="2" t="n">
        <v>95.65000000000001</v>
      </c>
      <c r="DW324" s="2" t="n">
        <v>100</v>
      </c>
      <c r="DX324" s="2" t="n">
        <v>94.69</v>
      </c>
      <c r="DY324" s="2" t="n">
        <v>95.65000000000001</v>
      </c>
      <c r="DZ324" s="2" t="n">
        <v>100</v>
      </c>
      <c r="EA324" s="2" t="n">
        <v>94.69</v>
      </c>
      <c r="EB324" s="2" t="n">
        <v>95.65000000000001</v>
      </c>
      <c r="EC324" s="2" t="n">
        <v>100</v>
      </c>
      <c r="ED324" s="2" t="n">
        <v>94.69</v>
      </c>
      <c r="EE324" s="2" t="n">
        <v>95.65000000000001</v>
      </c>
      <c r="EF324" s="2" t="n">
        <v>100</v>
      </c>
      <c r="EG324" s="2" t="n">
        <v>94.69</v>
      </c>
      <c r="EH324" s="2" t="n">
        <v>95.65000000000001</v>
      </c>
      <c r="EI324" s="2" t="n">
        <v>100</v>
      </c>
      <c r="EJ324" s="2" t="n">
        <v>94.69</v>
      </c>
      <c r="EK324" s="2" t="n">
        <v>95.65000000000001</v>
      </c>
      <c r="EL324" s="2" t="n">
        <v>100</v>
      </c>
      <c r="EM324" s="2" t="n">
        <v>94.69</v>
      </c>
      <c r="EN324" s="2" t="n">
        <v>95.65000000000001</v>
      </c>
      <c r="EO324" s="2" t="n">
        <v>100</v>
      </c>
      <c r="EP324" s="2" t="n">
        <v>94.69</v>
      </c>
      <c r="EQ324" s="2" t="n">
        <v>95.65000000000001</v>
      </c>
      <c r="ER324" s="2" t="n">
        <v>100</v>
      </c>
      <c r="ES324" s="2" t="n">
        <v>94.69</v>
      </c>
    </row>
    <row r="325">
      <c r="A325" s="2" t="n">
        <v>3</v>
      </c>
      <c r="B325" s="2" t="inlineStr">
        <is>
          <t>16.01.07</t>
        </is>
      </c>
      <c r="C325" s="2" t="inlineStr">
        <is>
          <t>Concreto bombeado Fck=40Mpa para superestrutura</t>
        </is>
      </c>
      <c r="D325" s="2" t="inlineStr">
        <is>
          <t>13/04/2026</t>
        </is>
      </c>
      <c r="E325" s="2" t="inlineStr">
        <is>
          <t>09/04/2027</t>
        </is>
      </c>
      <c r="F325" s="2" t="n">
        <v>990678.1200000002</v>
      </c>
      <c r="G325" s="2" t="n">
        <v>0</v>
      </c>
      <c r="H325" s="2" t="n">
        <v>990678.1200000002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12.11</v>
      </c>
      <c r="AN325" s="2" t="n">
        <v>15.16</v>
      </c>
      <c r="AO325" s="2" t="n">
        <v>11.15</v>
      </c>
      <c r="AP325" s="2" t="n">
        <v>36.32</v>
      </c>
      <c r="AQ325" s="2" t="n">
        <v>38.49</v>
      </c>
      <c r="AR325" s="2" t="n">
        <v>44.55</v>
      </c>
      <c r="AS325" s="2" t="n">
        <v>61.75</v>
      </c>
      <c r="AT325" s="2" t="n">
        <v>62.99</v>
      </c>
      <c r="AU325" s="2" t="n">
        <v>81.7</v>
      </c>
      <c r="AV325" s="2" t="n">
        <v>89.59999999999999</v>
      </c>
      <c r="AW325" s="2" t="n">
        <v>89.81999999999999</v>
      </c>
      <c r="AX325" s="2" t="n">
        <v>94.69</v>
      </c>
      <c r="AY325" s="2" t="n">
        <v>95.65000000000001</v>
      </c>
      <c r="AZ325" s="2" t="n">
        <v>95.65000000000001</v>
      </c>
      <c r="BA325" s="2" t="n">
        <v>94.69</v>
      </c>
      <c r="BB325" s="2" t="n">
        <v>95.65000000000001</v>
      </c>
      <c r="BC325" s="2" t="n">
        <v>95.65000000000001</v>
      </c>
      <c r="BD325" s="2" t="n">
        <v>94.69</v>
      </c>
      <c r="BE325" s="2" t="n">
        <v>95.65000000000001</v>
      </c>
      <c r="BF325" s="2" t="n">
        <v>95.65000000000001</v>
      </c>
      <c r="BG325" s="2" t="n">
        <v>94.69</v>
      </c>
      <c r="BH325" s="2" t="n">
        <v>95.65000000000001</v>
      </c>
      <c r="BI325" s="2" t="n">
        <v>95.65000000000001</v>
      </c>
      <c r="BJ325" s="2" t="n">
        <v>94.69</v>
      </c>
      <c r="BK325" s="2" t="n">
        <v>95.65000000000001</v>
      </c>
      <c r="BL325" s="2" t="n">
        <v>95.65000000000001</v>
      </c>
      <c r="BM325" s="2" t="n">
        <v>94.69</v>
      </c>
      <c r="BN325" s="2" t="n">
        <v>95.65000000000001</v>
      </c>
      <c r="BO325" s="2" t="n">
        <v>95.65000000000001</v>
      </c>
      <c r="BP325" s="2" t="n">
        <v>94.69</v>
      </c>
      <c r="BQ325" s="2" t="n">
        <v>95.65000000000001</v>
      </c>
      <c r="BR325" s="2" t="n">
        <v>95.65000000000001</v>
      </c>
      <c r="BS325" s="2" t="n">
        <v>94.69</v>
      </c>
      <c r="BT325" s="2" t="n">
        <v>95.65000000000001</v>
      </c>
      <c r="BU325" s="2" t="n">
        <v>96.95999999999999</v>
      </c>
      <c r="BV325" s="2" t="n">
        <v>94.69</v>
      </c>
      <c r="BW325" s="2" t="n">
        <v>95.65000000000001</v>
      </c>
      <c r="BX325" s="2" t="n">
        <v>100</v>
      </c>
      <c r="BY325" s="2" t="n">
        <v>94.69</v>
      </c>
      <c r="BZ325" s="2" t="n">
        <v>95.65000000000001</v>
      </c>
      <c r="CA325" s="2" t="n">
        <v>100</v>
      </c>
      <c r="CB325" s="2" t="n">
        <v>94.69</v>
      </c>
      <c r="CC325" s="2" t="n">
        <v>95.65000000000001</v>
      </c>
      <c r="CD325" s="2" t="n">
        <v>100</v>
      </c>
      <c r="CE325" s="2" t="n">
        <v>94.69</v>
      </c>
      <c r="CF325" s="2" t="n">
        <v>95.65000000000001</v>
      </c>
      <c r="CG325" s="2" t="n">
        <v>100</v>
      </c>
      <c r="CH325" s="2" t="n">
        <v>94.69</v>
      </c>
      <c r="CI325" s="2" t="n">
        <v>95.65000000000001</v>
      </c>
      <c r="CJ325" s="2" t="n">
        <v>100</v>
      </c>
      <c r="CK325" s="2" t="n">
        <v>94.69</v>
      </c>
      <c r="CL325" s="2" t="n">
        <v>95.65000000000001</v>
      </c>
      <c r="CM325" s="2" t="n">
        <v>100</v>
      </c>
      <c r="CN325" s="2" t="n">
        <v>94.69</v>
      </c>
      <c r="CO325" s="2" t="n">
        <v>95.65000000000001</v>
      </c>
      <c r="CP325" s="2" t="n">
        <v>100</v>
      </c>
      <c r="CQ325" s="2" t="n">
        <v>94.69</v>
      </c>
      <c r="CR325" s="2" t="n">
        <v>95.65000000000001</v>
      </c>
      <c r="CS325" s="2" t="n">
        <v>100</v>
      </c>
      <c r="CT325" s="2" t="n">
        <v>94.69</v>
      </c>
      <c r="CU325" s="2" t="n">
        <v>95.65000000000001</v>
      </c>
      <c r="CV325" s="2" t="n">
        <v>100</v>
      </c>
      <c r="CW325" s="2" t="n">
        <v>94.69</v>
      </c>
      <c r="CX325" s="2" t="n">
        <v>95.65000000000001</v>
      </c>
      <c r="CY325" s="2" t="n">
        <v>100</v>
      </c>
      <c r="CZ325" s="2" t="n">
        <v>94.69</v>
      </c>
      <c r="DA325" s="2" t="n">
        <v>95.65000000000001</v>
      </c>
      <c r="DB325" s="2" t="n">
        <v>100</v>
      </c>
      <c r="DC325" s="2" t="n">
        <v>94.69</v>
      </c>
      <c r="DD325" s="2" t="n">
        <v>95.65000000000001</v>
      </c>
      <c r="DE325" s="2" t="n">
        <v>100</v>
      </c>
      <c r="DF325" s="2" t="n">
        <v>94.69</v>
      </c>
      <c r="DG325" s="2" t="n">
        <v>95.65000000000001</v>
      </c>
      <c r="DH325" s="2" t="n">
        <v>100</v>
      </c>
      <c r="DI325" s="2" t="n">
        <v>94.69</v>
      </c>
      <c r="DJ325" s="2" t="n">
        <v>95.65000000000001</v>
      </c>
      <c r="DK325" s="2" t="n">
        <v>100</v>
      </c>
      <c r="DL325" s="2" t="n">
        <v>94.69</v>
      </c>
      <c r="DM325" s="2" t="n">
        <v>95.65000000000001</v>
      </c>
      <c r="DN325" s="2" t="n">
        <v>100</v>
      </c>
      <c r="DO325" s="2" t="n">
        <v>94.69</v>
      </c>
      <c r="DP325" s="2" t="n">
        <v>95.65000000000001</v>
      </c>
      <c r="DQ325" s="2" t="n">
        <v>100</v>
      </c>
      <c r="DR325" s="2" t="n">
        <v>94.69</v>
      </c>
      <c r="DS325" s="2" t="n">
        <v>95.65000000000001</v>
      </c>
      <c r="DT325" s="2" t="n">
        <v>100</v>
      </c>
      <c r="DU325" s="2" t="n">
        <v>94.69</v>
      </c>
      <c r="DV325" s="2" t="n">
        <v>95.65000000000001</v>
      </c>
      <c r="DW325" s="2" t="n">
        <v>100</v>
      </c>
      <c r="DX325" s="2" t="n">
        <v>94.69</v>
      </c>
      <c r="DY325" s="2" t="n">
        <v>95.65000000000001</v>
      </c>
      <c r="DZ325" s="2" t="n">
        <v>100</v>
      </c>
      <c r="EA325" s="2" t="n">
        <v>94.69</v>
      </c>
      <c r="EB325" s="2" t="n">
        <v>95.65000000000001</v>
      </c>
      <c r="EC325" s="2" t="n">
        <v>100</v>
      </c>
      <c r="ED325" s="2" t="n">
        <v>94.69</v>
      </c>
      <c r="EE325" s="2" t="n">
        <v>95.65000000000001</v>
      </c>
      <c r="EF325" s="2" t="n">
        <v>100</v>
      </c>
      <c r="EG325" s="2" t="n">
        <v>94.69</v>
      </c>
      <c r="EH325" s="2" t="n">
        <v>95.65000000000001</v>
      </c>
      <c r="EI325" s="2" t="n">
        <v>100</v>
      </c>
      <c r="EJ325" s="2" t="n">
        <v>94.69</v>
      </c>
      <c r="EK325" s="2" t="n">
        <v>95.65000000000001</v>
      </c>
      <c r="EL325" s="2" t="n">
        <v>100</v>
      </c>
      <c r="EM325" s="2" t="n">
        <v>94.69</v>
      </c>
      <c r="EN325" s="2" t="n">
        <v>95.65000000000001</v>
      </c>
      <c r="EO325" s="2" t="n">
        <v>100</v>
      </c>
      <c r="EP325" s="2" t="n">
        <v>94.69</v>
      </c>
      <c r="EQ325" s="2" t="n">
        <v>95.65000000000001</v>
      </c>
      <c r="ER325" s="2" t="n">
        <v>100</v>
      </c>
      <c r="ES325" s="2" t="n">
        <v>94.69</v>
      </c>
    </row>
    <row r="326">
      <c r="A326" s="2" t="n">
        <v>3</v>
      </c>
      <c r="B326" s="2" t="inlineStr">
        <is>
          <t>16.01.08</t>
        </is>
      </c>
      <c r="C326" s="2" t="inlineStr">
        <is>
          <t>Gelo para blocos (100kg/m³)</t>
        </is>
      </c>
      <c r="D326" s="2" t="inlineStr">
        <is>
          <t>13/04/2026</t>
        </is>
      </c>
      <c r="E326" s="2" t="inlineStr">
        <is>
          <t>09/04/2027</t>
        </is>
      </c>
      <c r="F326" s="2" t="n">
        <v>57600</v>
      </c>
      <c r="G326" s="2" t="n">
        <v>0</v>
      </c>
      <c r="H326" s="2" t="n">
        <v>57600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12.11</v>
      </c>
      <c r="AN326" s="2" t="n">
        <v>15.16</v>
      </c>
      <c r="AO326" s="2" t="n">
        <v>11.15</v>
      </c>
      <c r="AP326" s="2" t="n">
        <v>36.32</v>
      </c>
      <c r="AQ326" s="2" t="n">
        <v>38.49</v>
      </c>
      <c r="AR326" s="2" t="n">
        <v>44.55</v>
      </c>
      <c r="AS326" s="2" t="n">
        <v>61.75</v>
      </c>
      <c r="AT326" s="2" t="n">
        <v>62.99</v>
      </c>
      <c r="AU326" s="2" t="n">
        <v>81.7</v>
      </c>
      <c r="AV326" s="2" t="n">
        <v>89.59999999999999</v>
      </c>
      <c r="AW326" s="2" t="n">
        <v>89.81999999999999</v>
      </c>
      <c r="AX326" s="2" t="n">
        <v>94.69</v>
      </c>
      <c r="AY326" s="2" t="n">
        <v>95.65000000000001</v>
      </c>
      <c r="AZ326" s="2" t="n">
        <v>95.65000000000001</v>
      </c>
      <c r="BA326" s="2" t="n">
        <v>94.69</v>
      </c>
      <c r="BB326" s="2" t="n">
        <v>95.65000000000001</v>
      </c>
      <c r="BC326" s="2" t="n">
        <v>95.65000000000001</v>
      </c>
      <c r="BD326" s="2" t="n">
        <v>94.69</v>
      </c>
      <c r="BE326" s="2" t="n">
        <v>95.65000000000001</v>
      </c>
      <c r="BF326" s="2" t="n">
        <v>95.65000000000001</v>
      </c>
      <c r="BG326" s="2" t="n">
        <v>94.69</v>
      </c>
      <c r="BH326" s="2" t="n">
        <v>95.65000000000001</v>
      </c>
      <c r="BI326" s="2" t="n">
        <v>95.65000000000001</v>
      </c>
      <c r="BJ326" s="2" t="n">
        <v>94.69</v>
      </c>
      <c r="BK326" s="2" t="n">
        <v>95.65000000000001</v>
      </c>
      <c r="BL326" s="2" t="n">
        <v>95.65000000000001</v>
      </c>
      <c r="BM326" s="2" t="n">
        <v>94.69</v>
      </c>
      <c r="BN326" s="2" t="n">
        <v>95.65000000000001</v>
      </c>
      <c r="BO326" s="2" t="n">
        <v>95.65000000000001</v>
      </c>
      <c r="BP326" s="2" t="n">
        <v>94.69</v>
      </c>
      <c r="BQ326" s="2" t="n">
        <v>95.65000000000001</v>
      </c>
      <c r="BR326" s="2" t="n">
        <v>95.65000000000001</v>
      </c>
      <c r="BS326" s="2" t="n">
        <v>94.69</v>
      </c>
      <c r="BT326" s="2" t="n">
        <v>95.65000000000001</v>
      </c>
      <c r="BU326" s="2" t="n">
        <v>96.95999999999999</v>
      </c>
      <c r="BV326" s="2" t="n">
        <v>94.69</v>
      </c>
      <c r="BW326" s="2" t="n">
        <v>95.65000000000001</v>
      </c>
      <c r="BX326" s="2" t="n">
        <v>100</v>
      </c>
      <c r="BY326" s="2" t="n">
        <v>94.69</v>
      </c>
      <c r="BZ326" s="2" t="n">
        <v>95.65000000000001</v>
      </c>
      <c r="CA326" s="2" t="n">
        <v>100</v>
      </c>
      <c r="CB326" s="2" t="n">
        <v>94.69</v>
      </c>
      <c r="CC326" s="2" t="n">
        <v>95.65000000000001</v>
      </c>
      <c r="CD326" s="2" t="n">
        <v>100</v>
      </c>
      <c r="CE326" s="2" t="n">
        <v>94.69</v>
      </c>
      <c r="CF326" s="2" t="n">
        <v>95.65000000000001</v>
      </c>
      <c r="CG326" s="2" t="n">
        <v>100</v>
      </c>
      <c r="CH326" s="2" t="n">
        <v>94.69</v>
      </c>
      <c r="CI326" s="2" t="n">
        <v>95.65000000000001</v>
      </c>
      <c r="CJ326" s="2" t="n">
        <v>100</v>
      </c>
      <c r="CK326" s="2" t="n">
        <v>94.69</v>
      </c>
      <c r="CL326" s="2" t="n">
        <v>95.65000000000001</v>
      </c>
      <c r="CM326" s="2" t="n">
        <v>100</v>
      </c>
      <c r="CN326" s="2" t="n">
        <v>94.69</v>
      </c>
      <c r="CO326" s="2" t="n">
        <v>95.65000000000001</v>
      </c>
      <c r="CP326" s="2" t="n">
        <v>100</v>
      </c>
      <c r="CQ326" s="2" t="n">
        <v>94.69</v>
      </c>
      <c r="CR326" s="2" t="n">
        <v>95.65000000000001</v>
      </c>
      <c r="CS326" s="2" t="n">
        <v>100</v>
      </c>
      <c r="CT326" s="2" t="n">
        <v>94.69</v>
      </c>
      <c r="CU326" s="2" t="n">
        <v>95.65000000000001</v>
      </c>
      <c r="CV326" s="2" t="n">
        <v>100</v>
      </c>
      <c r="CW326" s="2" t="n">
        <v>94.69</v>
      </c>
      <c r="CX326" s="2" t="n">
        <v>95.65000000000001</v>
      </c>
      <c r="CY326" s="2" t="n">
        <v>100</v>
      </c>
      <c r="CZ326" s="2" t="n">
        <v>94.69</v>
      </c>
      <c r="DA326" s="2" t="n">
        <v>95.65000000000001</v>
      </c>
      <c r="DB326" s="2" t="n">
        <v>100</v>
      </c>
      <c r="DC326" s="2" t="n">
        <v>94.69</v>
      </c>
      <c r="DD326" s="2" t="n">
        <v>95.65000000000001</v>
      </c>
      <c r="DE326" s="2" t="n">
        <v>100</v>
      </c>
      <c r="DF326" s="2" t="n">
        <v>94.69</v>
      </c>
      <c r="DG326" s="2" t="n">
        <v>95.65000000000001</v>
      </c>
      <c r="DH326" s="2" t="n">
        <v>100</v>
      </c>
      <c r="DI326" s="2" t="n">
        <v>94.69</v>
      </c>
      <c r="DJ326" s="2" t="n">
        <v>95.65000000000001</v>
      </c>
      <c r="DK326" s="2" t="n">
        <v>100</v>
      </c>
      <c r="DL326" s="2" t="n">
        <v>94.69</v>
      </c>
      <c r="DM326" s="2" t="n">
        <v>95.65000000000001</v>
      </c>
      <c r="DN326" s="2" t="n">
        <v>100</v>
      </c>
      <c r="DO326" s="2" t="n">
        <v>94.69</v>
      </c>
      <c r="DP326" s="2" t="n">
        <v>95.65000000000001</v>
      </c>
      <c r="DQ326" s="2" t="n">
        <v>100</v>
      </c>
      <c r="DR326" s="2" t="n">
        <v>94.69</v>
      </c>
      <c r="DS326" s="2" t="n">
        <v>95.65000000000001</v>
      </c>
      <c r="DT326" s="2" t="n">
        <v>100</v>
      </c>
      <c r="DU326" s="2" t="n">
        <v>94.69</v>
      </c>
      <c r="DV326" s="2" t="n">
        <v>95.65000000000001</v>
      </c>
      <c r="DW326" s="2" t="n">
        <v>100</v>
      </c>
      <c r="DX326" s="2" t="n">
        <v>94.69</v>
      </c>
      <c r="DY326" s="2" t="n">
        <v>95.65000000000001</v>
      </c>
      <c r="DZ326" s="2" t="n">
        <v>100</v>
      </c>
      <c r="EA326" s="2" t="n">
        <v>94.69</v>
      </c>
      <c r="EB326" s="2" t="n">
        <v>95.65000000000001</v>
      </c>
      <c r="EC326" s="2" t="n">
        <v>100</v>
      </c>
      <c r="ED326" s="2" t="n">
        <v>94.69</v>
      </c>
      <c r="EE326" s="2" t="n">
        <v>95.65000000000001</v>
      </c>
      <c r="EF326" s="2" t="n">
        <v>100</v>
      </c>
      <c r="EG326" s="2" t="n">
        <v>94.69</v>
      </c>
      <c r="EH326" s="2" t="n">
        <v>95.65000000000001</v>
      </c>
      <c r="EI326" s="2" t="n">
        <v>100</v>
      </c>
      <c r="EJ326" s="2" t="n">
        <v>94.69</v>
      </c>
      <c r="EK326" s="2" t="n">
        <v>95.65000000000001</v>
      </c>
      <c r="EL326" s="2" t="n">
        <v>100</v>
      </c>
      <c r="EM326" s="2" t="n">
        <v>94.69</v>
      </c>
      <c r="EN326" s="2" t="n">
        <v>95.65000000000001</v>
      </c>
      <c r="EO326" s="2" t="n">
        <v>100</v>
      </c>
      <c r="EP326" s="2" t="n">
        <v>94.69</v>
      </c>
      <c r="EQ326" s="2" t="n">
        <v>95.65000000000001</v>
      </c>
      <c r="ER326" s="2" t="n">
        <v>100</v>
      </c>
      <c r="ES326" s="2" t="n">
        <v>94.69</v>
      </c>
    </row>
    <row r="327">
      <c r="A327" s="2" t="n">
        <v>3</v>
      </c>
      <c r="B327" s="2" t="inlineStr">
        <is>
          <t>16.01.09</t>
        </is>
      </c>
      <c r="C327" s="2" t="inlineStr">
        <is>
          <t>Aterro manual</t>
        </is>
      </c>
      <c r="D327" s="2" t="inlineStr">
        <is>
          <t>13/04/2026</t>
        </is>
      </c>
      <c r="E327" s="2" t="inlineStr">
        <is>
          <t>09/04/2027</t>
        </is>
      </c>
      <c r="F327" s="2" t="n">
        <v>57321.02314093693</v>
      </c>
      <c r="G327" s="2" t="n">
        <v>0</v>
      </c>
      <c r="H327" s="2" t="n">
        <v>57321.02314093693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  <c r="AM327" s="2" t="n">
        <v>12.11</v>
      </c>
      <c r="AN327" s="2" t="n">
        <v>15.16</v>
      </c>
      <c r="AO327" s="2" t="n">
        <v>11.15</v>
      </c>
      <c r="AP327" s="2" t="n">
        <v>36.32</v>
      </c>
      <c r="AQ327" s="2" t="n">
        <v>38.49</v>
      </c>
      <c r="AR327" s="2" t="n">
        <v>44.55</v>
      </c>
      <c r="AS327" s="2" t="n">
        <v>61.75</v>
      </c>
      <c r="AT327" s="2" t="n">
        <v>62.99</v>
      </c>
      <c r="AU327" s="2" t="n">
        <v>81.7</v>
      </c>
      <c r="AV327" s="2" t="n">
        <v>89.59999999999999</v>
      </c>
      <c r="AW327" s="2" t="n">
        <v>89.81999999999999</v>
      </c>
      <c r="AX327" s="2" t="n">
        <v>94.69</v>
      </c>
      <c r="AY327" s="2" t="n">
        <v>95.65000000000001</v>
      </c>
      <c r="AZ327" s="2" t="n">
        <v>95.65000000000001</v>
      </c>
      <c r="BA327" s="2" t="n">
        <v>94.69</v>
      </c>
      <c r="BB327" s="2" t="n">
        <v>95.65000000000001</v>
      </c>
      <c r="BC327" s="2" t="n">
        <v>95.65000000000001</v>
      </c>
      <c r="BD327" s="2" t="n">
        <v>94.69</v>
      </c>
      <c r="BE327" s="2" t="n">
        <v>95.65000000000001</v>
      </c>
      <c r="BF327" s="2" t="n">
        <v>95.65000000000001</v>
      </c>
      <c r="BG327" s="2" t="n">
        <v>94.69</v>
      </c>
      <c r="BH327" s="2" t="n">
        <v>95.65000000000001</v>
      </c>
      <c r="BI327" s="2" t="n">
        <v>95.65000000000001</v>
      </c>
      <c r="BJ327" s="2" t="n">
        <v>94.69</v>
      </c>
      <c r="BK327" s="2" t="n">
        <v>95.65000000000001</v>
      </c>
      <c r="BL327" s="2" t="n">
        <v>95.65000000000001</v>
      </c>
      <c r="BM327" s="2" t="n">
        <v>94.69</v>
      </c>
      <c r="BN327" s="2" t="n">
        <v>95.65000000000001</v>
      </c>
      <c r="BO327" s="2" t="n">
        <v>95.65000000000001</v>
      </c>
      <c r="BP327" s="2" t="n">
        <v>94.69</v>
      </c>
      <c r="BQ327" s="2" t="n">
        <v>95.65000000000001</v>
      </c>
      <c r="BR327" s="2" t="n">
        <v>95.65000000000001</v>
      </c>
      <c r="BS327" s="2" t="n">
        <v>94.69</v>
      </c>
      <c r="BT327" s="2" t="n">
        <v>95.65000000000001</v>
      </c>
      <c r="BU327" s="2" t="n">
        <v>96.95999999999999</v>
      </c>
      <c r="BV327" s="2" t="n">
        <v>94.69</v>
      </c>
      <c r="BW327" s="2" t="n">
        <v>95.65000000000001</v>
      </c>
      <c r="BX327" s="2" t="n">
        <v>100</v>
      </c>
      <c r="BY327" s="2" t="n">
        <v>94.69</v>
      </c>
      <c r="BZ327" s="2" t="n">
        <v>95.65000000000001</v>
      </c>
      <c r="CA327" s="2" t="n">
        <v>100</v>
      </c>
      <c r="CB327" s="2" t="n">
        <v>94.69</v>
      </c>
      <c r="CC327" s="2" t="n">
        <v>95.65000000000001</v>
      </c>
      <c r="CD327" s="2" t="n">
        <v>100</v>
      </c>
      <c r="CE327" s="2" t="n">
        <v>94.69</v>
      </c>
      <c r="CF327" s="2" t="n">
        <v>95.65000000000001</v>
      </c>
      <c r="CG327" s="2" t="n">
        <v>100</v>
      </c>
      <c r="CH327" s="2" t="n">
        <v>94.69</v>
      </c>
      <c r="CI327" s="2" t="n">
        <v>95.65000000000001</v>
      </c>
      <c r="CJ327" s="2" t="n">
        <v>100</v>
      </c>
      <c r="CK327" s="2" t="n">
        <v>94.69</v>
      </c>
      <c r="CL327" s="2" t="n">
        <v>95.65000000000001</v>
      </c>
      <c r="CM327" s="2" t="n">
        <v>100</v>
      </c>
      <c r="CN327" s="2" t="n">
        <v>94.69</v>
      </c>
      <c r="CO327" s="2" t="n">
        <v>95.65000000000001</v>
      </c>
      <c r="CP327" s="2" t="n">
        <v>100</v>
      </c>
      <c r="CQ327" s="2" t="n">
        <v>94.69</v>
      </c>
      <c r="CR327" s="2" t="n">
        <v>95.65000000000001</v>
      </c>
      <c r="CS327" s="2" t="n">
        <v>100</v>
      </c>
      <c r="CT327" s="2" t="n">
        <v>94.69</v>
      </c>
      <c r="CU327" s="2" t="n">
        <v>95.65000000000001</v>
      </c>
      <c r="CV327" s="2" t="n">
        <v>100</v>
      </c>
      <c r="CW327" s="2" t="n">
        <v>94.69</v>
      </c>
      <c r="CX327" s="2" t="n">
        <v>95.65000000000001</v>
      </c>
      <c r="CY327" s="2" t="n">
        <v>100</v>
      </c>
      <c r="CZ327" s="2" t="n">
        <v>94.69</v>
      </c>
      <c r="DA327" s="2" t="n">
        <v>95.65000000000001</v>
      </c>
      <c r="DB327" s="2" t="n">
        <v>100</v>
      </c>
      <c r="DC327" s="2" t="n">
        <v>94.69</v>
      </c>
      <c r="DD327" s="2" t="n">
        <v>95.65000000000001</v>
      </c>
      <c r="DE327" s="2" t="n">
        <v>100</v>
      </c>
      <c r="DF327" s="2" t="n">
        <v>94.69</v>
      </c>
      <c r="DG327" s="2" t="n">
        <v>95.65000000000001</v>
      </c>
      <c r="DH327" s="2" t="n">
        <v>100</v>
      </c>
      <c r="DI327" s="2" t="n">
        <v>94.69</v>
      </c>
      <c r="DJ327" s="2" t="n">
        <v>95.65000000000001</v>
      </c>
      <c r="DK327" s="2" t="n">
        <v>100</v>
      </c>
      <c r="DL327" s="2" t="n">
        <v>94.69</v>
      </c>
      <c r="DM327" s="2" t="n">
        <v>95.65000000000001</v>
      </c>
      <c r="DN327" s="2" t="n">
        <v>100</v>
      </c>
      <c r="DO327" s="2" t="n">
        <v>94.69</v>
      </c>
      <c r="DP327" s="2" t="n">
        <v>95.65000000000001</v>
      </c>
      <c r="DQ327" s="2" t="n">
        <v>100</v>
      </c>
      <c r="DR327" s="2" t="n">
        <v>94.69</v>
      </c>
      <c r="DS327" s="2" t="n">
        <v>95.65000000000001</v>
      </c>
      <c r="DT327" s="2" t="n">
        <v>100</v>
      </c>
      <c r="DU327" s="2" t="n">
        <v>94.69</v>
      </c>
      <c r="DV327" s="2" t="n">
        <v>95.65000000000001</v>
      </c>
      <c r="DW327" s="2" t="n">
        <v>100</v>
      </c>
      <c r="DX327" s="2" t="n">
        <v>94.69</v>
      </c>
      <c r="DY327" s="2" t="n">
        <v>95.65000000000001</v>
      </c>
      <c r="DZ327" s="2" t="n">
        <v>100</v>
      </c>
      <c r="EA327" s="2" t="n">
        <v>94.69</v>
      </c>
      <c r="EB327" s="2" t="n">
        <v>95.65000000000001</v>
      </c>
      <c r="EC327" s="2" t="n">
        <v>100</v>
      </c>
      <c r="ED327" s="2" t="n">
        <v>94.69</v>
      </c>
      <c r="EE327" s="2" t="n">
        <v>95.65000000000001</v>
      </c>
      <c r="EF327" s="2" t="n">
        <v>100</v>
      </c>
      <c r="EG327" s="2" t="n">
        <v>94.69</v>
      </c>
      <c r="EH327" s="2" t="n">
        <v>95.65000000000001</v>
      </c>
      <c r="EI327" s="2" t="n">
        <v>100</v>
      </c>
      <c r="EJ327" s="2" t="n">
        <v>94.69</v>
      </c>
      <c r="EK327" s="2" t="n">
        <v>95.65000000000001</v>
      </c>
      <c r="EL327" s="2" t="n">
        <v>100</v>
      </c>
      <c r="EM327" s="2" t="n">
        <v>94.69</v>
      </c>
      <c r="EN327" s="2" t="n">
        <v>95.65000000000001</v>
      </c>
      <c r="EO327" s="2" t="n">
        <v>100</v>
      </c>
      <c r="EP327" s="2" t="n">
        <v>94.69</v>
      </c>
      <c r="EQ327" s="2" t="n">
        <v>95.65000000000001</v>
      </c>
      <c r="ER327" s="2" t="n">
        <v>100</v>
      </c>
      <c r="ES327" s="2" t="n">
        <v>94.69</v>
      </c>
    </row>
    <row r="328">
      <c r="A328" s="2" t="n">
        <v>3</v>
      </c>
      <c r="B328" s="2" t="inlineStr">
        <is>
          <t>16.01.10</t>
        </is>
      </c>
      <c r="C328" s="2" t="inlineStr">
        <is>
          <t>Retirada de terra com caminhão basculante</t>
        </is>
      </c>
      <c r="D328" s="2" t="inlineStr">
        <is>
          <t>13/04/2026</t>
        </is>
      </c>
      <c r="E328" s="2" t="inlineStr">
        <is>
          <t>09/04/2027</t>
        </is>
      </c>
      <c r="F328" s="2" t="n">
        <v>114885.51</v>
      </c>
      <c r="G328" s="2" t="n">
        <v>0</v>
      </c>
      <c r="H328" s="2" t="n">
        <v>114885.51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12.11</v>
      </c>
      <c r="AN328" s="2" t="n">
        <v>15.16</v>
      </c>
      <c r="AO328" s="2" t="n">
        <v>11.15</v>
      </c>
      <c r="AP328" s="2" t="n">
        <v>36.32</v>
      </c>
      <c r="AQ328" s="2" t="n">
        <v>38.49</v>
      </c>
      <c r="AR328" s="2" t="n">
        <v>44.55</v>
      </c>
      <c r="AS328" s="2" t="n">
        <v>61.75</v>
      </c>
      <c r="AT328" s="2" t="n">
        <v>62.99</v>
      </c>
      <c r="AU328" s="2" t="n">
        <v>81.7</v>
      </c>
      <c r="AV328" s="2" t="n">
        <v>89.59999999999999</v>
      </c>
      <c r="AW328" s="2" t="n">
        <v>89.81999999999999</v>
      </c>
      <c r="AX328" s="2" t="n">
        <v>94.69</v>
      </c>
      <c r="AY328" s="2" t="n">
        <v>95.65000000000001</v>
      </c>
      <c r="AZ328" s="2" t="n">
        <v>95.65000000000001</v>
      </c>
      <c r="BA328" s="2" t="n">
        <v>94.69</v>
      </c>
      <c r="BB328" s="2" t="n">
        <v>95.65000000000001</v>
      </c>
      <c r="BC328" s="2" t="n">
        <v>95.65000000000001</v>
      </c>
      <c r="BD328" s="2" t="n">
        <v>94.69</v>
      </c>
      <c r="BE328" s="2" t="n">
        <v>95.65000000000001</v>
      </c>
      <c r="BF328" s="2" t="n">
        <v>95.65000000000001</v>
      </c>
      <c r="BG328" s="2" t="n">
        <v>94.69</v>
      </c>
      <c r="BH328" s="2" t="n">
        <v>95.65000000000001</v>
      </c>
      <c r="BI328" s="2" t="n">
        <v>95.65000000000001</v>
      </c>
      <c r="BJ328" s="2" t="n">
        <v>94.69</v>
      </c>
      <c r="BK328" s="2" t="n">
        <v>95.65000000000001</v>
      </c>
      <c r="BL328" s="2" t="n">
        <v>95.65000000000001</v>
      </c>
      <c r="BM328" s="2" t="n">
        <v>94.69</v>
      </c>
      <c r="BN328" s="2" t="n">
        <v>95.65000000000001</v>
      </c>
      <c r="BO328" s="2" t="n">
        <v>95.65000000000001</v>
      </c>
      <c r="BP328" s="2" t="n">
        <v>94.69</v>
      </c>
      <c r="BQ328" s="2" t="n">
        <v>95.65000000000001</v>
      </c>
      <c r="BR328" s="2" t="n">
        <v>95.65000000000001</v>
      </c>
      <c r="BS328" s="2" t="n">
        <v>94.69</v>
      </c>
      <c r="BT328" s="2" t="n">
        <v>95.65000000000001</v>
      </c>
      <c r="BU328" s="2" t="n">
        <v>96.95999999999999</v>
      </c>
      <c r="BV328" s="2" t="n">
        <v>94.69</v>
      </c>
      <c r="BW328" s="2" t="n">
        <v>95.65000000000001</v>
      </c>
      <c r="BX328" s="2" t="n">
        <v>100</v>
      </c>
      <c r="BY328" s="2" t="n">
        <v>94.69</v>
      </c>
      <c r="BZ328" s="2" t="n">
        <v>95.65000000000001</v>
      </c>
      <c r="CA328" s="2" t="n">
        <v>100</v>
      </c>
      <c r="CB328" s="2" t="n">
        <v>94.69</v>
      </c>
      <c r="CC328" s="2" t="n">
        <v>95.65000000000001</v>
      </c>
      <c r="CD328" s="2" t="n">
        <v>100</v>
      </c>
      <c r="CE328" s="2" t="n">
        <v>94.69</v>
      </c>
      <c r="CF328" s="2" t="n">
        <v>95.65000000000001</v>
      </c>
      <c r="CG328" s="2" t="n">
        <v>100</v>
      </c>
      <c r="CH328" s="2" t="n">
        <v>94.69</v>
      </c>
      <c r="CI328" s="2" t="n">
        <v>95.65000000000001</v>
      </c>
      <c r="CJ328" s="2" t="n">
        <v>100</v>
      </c>
      <c r="CK328" s="2" t="n">
        <v>94.69</v>
      </c>
      <c r="CL328" s="2" t="n">
        <v>95.65000000000001</v>
      </c>
      <c r="CM328" s="2" t="n">
        <v>100</v>
      </c>
      <c r="CN328" s="2" t="n">
        <v>94.69</v>
      </c>
      <c r="CO328" s="2" t="n">
        <v>95.65000000000001</v>
      </c>
      <c r="CP328" s="2" t="n">
        <v>100</v>
      </c>
      <c r="CQ328" s="2" t="n">
        <v>94.69</v>
      </c>
      <c r="CR328" s="2" t="n">
        <v>95.65000000000001</v>
      </c>
      <c r="CS328" s="2" t="n">
        <v>100</v>
      </c>
      <c r="CT328" s="2" t="n">
        <v>94.69</v>
      </c>
      <c r="CU328" s="2" t="n">
        <v>95.65000000000001</v>
      </c>
      <c r="CV328" s="2" t="n">
        <v>100</v>
      </c>
      <c r="CW328" s="2" t="n">
        <v>94.69</v>
      </c>
      <c r="CX328" s="2" t="n">
        <v>95.65000000000001</v>
      </c>
      <c r="CY328" s="2" t="n">
        <v>100</v>
      </c>
      <c r="CZ328" s="2" t="n">
        <v>94.69</v>
      </c>
      <c r="DA328" s="2" t="n">
        <v>95.65000000000001</v>
      </c>
      <c r="DB328" s="2" t="n">
        <v>100</v>
      </c>
      <c r="DC328" s="2" t="n">
        <v>94.69</v>
      </c>
      <c r="DD328" s="2" t="n">
        <v>95.65000000000001</v>
      </c>
      <c r="DE328" s="2" t="n">
        <v>100</v>
      </c>
      <c r="DF328" s="2" t="n">
        <v>94.69</v>
      </c>
      <c r="DG328" s="2" t="n">
        <v>95.65000000000001</v>
      </c>
      <c r="DH328" s="2" t="n">
        <v>100</v>
      </c>
      <c r="DI328" s="2" t="n">
        <v>94.69</v>
      </c>
      <c r="DJ328" s="2" t="n">
        <v>95.65000000000001</v>
      </c>
      <c r="DK328" s="2" t="n">
        <v>100</v>
      </c>
      <c r="DL328" s="2" t="n">
        <v>94.69</v>
      </c>
      <c r="DM328" s="2" t="n">
        <v>95.65000000000001</v>
      </c>
      <c r="DN328" s="2" t="n">
        <v>100</v>
      </c>
      <c r="DO328" s="2" t="n">
        <v>94.69</v>
      </c>
      <c r="DP328" s="2" t="n">
        <v>95.65000000000001</v>
      </c>
      <c r="DQ328" s="2" t="n">
        <v>100</v>
      </c>
      <c r="DR328" s="2" t="n">
        <v>94.69</v>
      </c>
      <c r="DS328" s="2" t="n">
        <v>95.65000000000001</v>
      </c>
      <c r="DT328" s="2" t="n">
        <v>100</v>
      </c>
      <c r="DU328" s="2" t="n">
        <v>94.69</v>
      </c>
      <c r="DV328" s="2" t="n">
        <v>95.65000000000001</v>
      </c>
      <c r="DW328" s="2" t="n">
        <v>100</v>
      </c>
      <c r="DX328" s="2" t="n">
        <v>94.69</v>
      </c>
      <c r="DY328" s="2" t="n">
        <v>95.65000000000001</v>
      </c>
      <c r="DZ328" s="2" t="n">
        <v>100</v>
      </c>
      <c r="EA328" s="2" t="n">
        <v>94.69</v>
      </c>
      <c r="EB328" s="2" t="n">
        <v>95.65000000000001</v>
      </c>
      <c r="EC328" s="2" t="n">
        <v>100</v>
      </c>
      <c r="ED328" s="2" t="n">
        <v>94.69</v>
      </c>
      <c r="EE328" s="2" t="n">
        <v>95.65000000000001</v>
      </c>
      <c r="EF328" s="2" t="n">
        <v>100</v>
      </c>
      <c r="EG328" s="2" t="n">
        <v>94.69</v>
      </c>
      <c r="EH328" s="2" t="n">
        <v>95.65000000000001</v>
      </c>
      <c r="EI328" s="2" t="n">
        <v>100</v>
      </c>
      <c r="EJ328" s="2" t="n">
        <v>94.69</v>
      </c>
      <c r="EK328" s="2" t="n">
        <v>95.65000000000001</v>
      </c>
      <c r="EL328" s="2" t="n">
        <v>100</v>
      </c>
      <c r="EM328" s="2" t="n">
        <v>94.69</v>
      </c>
      <c r="EN328" s="2" t="n">
        <v>95.65000000000001</v>
      </c>
      <c r="EO328" s="2" t="n">
        <v>100</v>
      </c>
      <c r="EP328" s="2" t="n">
        <v>94.69</v>
      </c>
      <c r="EQ328" s="2" t="n">
        <v>95.65000000000001</v>
      </c>
      <c r="ER328" s="2" t="n">
        <v>100</v>
      </c>
      <c r="ES328" s="2" t="n">
        <v>94.69</v>
      </c>
    </row>
    <row r="329">
      <c r="A329" s="2" t="n">
        <v>3</v>
      </c>
      <c r="B329" s="2" t="inlineStr">
        <is>
          <t>16.01.11</t>
        </is>
      </c>
      <c r="C329" s="2" t="inlineStr">
        <is>
          <t>Impermeabilização de cintas e blocos com pintura asfáltica tipo neutrol ou similar</t>
        </is>
      </c>
      <c r="D329" s="2" t="inlineStr">
        <is>
          <t>13/04/2026</t>
        </is>
      </c>
      <c r="E329" s="2" t="inlineStr">
        <is>
          <t>09/04/2027</t>
        </is>
      </c>
      <c r="F329" s="2" t="n">
        <v>50620.72942180271</v>
      </c>
      <c r="G329" s="2" t="n">
        <v>0</v>
      </c>
      <c r="H329" s="2" t="n">
        <v>50620.72942180271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12.11</v>
      </c>
      <c r="AN329" s="2" t="n">
        <v>15.16</v>
      </c>
      <c r="AO329" s="2" t="n">
        <v>11.15</v>
      </c>
      <c r="AP329" s="2" t="n">
        <v>36.32</v>
      </c>
      <c r="AQ329" s="2" t="n">
        <v>38.49</v>
      </c>
      <c r="AR329" s="2" t="n">
        <v>44.55</v>
      </c>
      <c r="AS329" s="2" t="n">
        <v>61.75</v>
      </c>
      <c r="AT329" s="2" t="n">
        <v>62.99</v>
      </c>
      <c r="AU329" s="2" t="n">
        <v>81.7</v>
      </c>
      <c r="AV329" s="2" t="n">
        <v>89.59999999999999</v>
      </c>
      <c r="AW329" s="2" t="n">
        <v>89.81999999999999</v>
      </c>
      <c r="AX329" s="2" t="n">
        <v>94.69</v>
      </c>
      <c r="AY329" s="2" t="n">
        <v>95.65000000000001</v>
      </c>
      <c r="AZ329" s="2" t="n">
        <v>95.65000000000001</v>
      </c>
      <c r="BA329" s="2" t="n">
        <v>94.69</v>
      </c>
      <c r="BB329" s="2" t="n">
        <v>95.65000000000001</v>
      </c>
      <c r="BC329" s="2" t="n">
        <v>95.65000000000001</v>
      </c>
      <c r="BD329" s="2" t="n">
        <v>94.69</v>
      </c>
      <c r="BE329" s="2" t="n">
        <v>95.65000000000001</v>
      </c>
      <c r="BF329" s="2" t="n">
        <v>95.65000000000001</v>
      </c>
      <c r="BG329" s="2" t="n">
        <v>94.69</v>
      </c>
      <c r="BH329" s="2" t="n">
        <v>95.65000000000001</v>
      </c>
      <c r="BI329" s="2" t="n">
        <v>95.65000000000001</v>
      </c>
      <c r="BJ329" s="2" t="n">
        <v>94.69</v>
      </c>
      <c r="BK329" s="2" t="n">
        <v>95.65000000000001</v>
      </c>
      <c r="BL329" s="2" t="n">
        <v>95.65000000000001</v>
      </c>
      <c r="BM329" s="2" t="n">
        <v>94.69</v>
      </c>
      <c r="BN329" s="2" t="n">
        <v>95.65000000000001</v>
      </c>
      <c r="BO329" s="2" t="n">
        <v>95.65000000000001</v>
      </c>
      <c r="BP329" s="2" t="n">
        <v>94.69</v>
      </c>
      <c r="BQ329" s="2" t="n">
        <v>95.65000000000001</v>
      </c>
      <c r="BR329" s="2" t="n">
        <v>95.65000000000001</v>
      </c>
      <c r="BS329" s="2" t="n">
        <v>94.69</v>
      </c>
      <c r="BT329" s="2" t="n">
        <v>95.65000000000001</v>
      </c>
      <c r="BU329" s="2" t="n">
        <v>96.95999999999999</v>
      </c>
      <c r="BV329" s="2" t="n">
        <v>94.69</v>
      </c>
      <c r="BW329" s="2" t="n">
        <v>95.65000000000001</v>
      </c>
      <c r="BX329" s="2" t="n">
        <v>100</v>
      </c>
      <c r="BY329" s="2" t="n">
        <v>94.69</v>
      </c>
      <c r="BZ329" s="2" t="n">
        <v>95.65000000000001</v>
      </c>
      <c r="CA329" s="2" t="n">
        <v>100</v>
      </c>
      <c r="CB329" s="2" t="n">
        <v>94.69</v>
      </c>
      <c r="CC329" s="2" t="n">
        <v>95.65000000000001</v>
      </c>
      <c r="CD329" s="2" t="n">
        <v>100</v>
      </c>
      <c r="CE329" s="2" t="n">
        <v>94.69</v>
      </c>
      <c r="CF329" s="2" t="n">
        <v>95.65000000000001</v>
      </c>
      <c r="CG329" s="2" t="n">
        <v>100</v>
      </c>
      <c r="CH329" s="2" t="n">
        <v>94.69</v>
      </c>
      <c r="CI329" s="2" t="n">
        <v>95.65000000000001</v>
      </c>
      <c r="CJ329" s="2" t="n">
        <v>100</v>
      </c>
      <c r="CK329" s="2" t="n">
        <v>94.69</v>
      </c>
      <c r="CL329" s="2" t="n">
        <v>95.65000000000001</v>
      </c>
      <c r="CM329" s="2" t="n">
        <v>100</v>
      </c>
      <c r="CN329" s="2" t="n">
        <v>94.69</v>
      </c>
      <c r="CO329" s="2" t="n">
        <v>95.65000000000001</v>
      </c>
      <c r="CP329" s="2" t="n">
        <v>100</v>
      </c>
      <c r="CQ329" s="2" t="n">
        <v>94.69</v>
      </c>
      <c r="CR329" s="2" t="n">
        <v>95.65000000000001</v>
      </c>
      <c r="CS329" s="2" t="n">
        <v>100</v>
      </c>
      <c r="CT329" s="2" t="n">
        <v>94.69</v>
      </c>
      <c r="CU329" s="2" t="n">
        <v>95.65000000000001</v>
      </c>
      <c r="CV329" s="2" t="n">
        <v>100</v>
      </c>
      <c r="CW329" s="2" t="n">
        <v>94.69</v>
      </c>
      <c r="CX329" s="2" t="n">
        <v>95.65000000000001</v>
      </c>
      <c r="CY329" s="2" t="n">
        <v>100</v>
      </c>
      <c r="CZ329" s="2" t="n">
        <v>94.69</v>
      </c>
      <c r="DA329" s="2" t="n">
        <v>95.65000000000001</v>
      </c>
      <c r="DB329" s="2" t="n">
        <v>100</v>
      </c>
      <c r="DC329" s="2" t="n">
        <v>94.69</v>
      </c>
      <c r="DD329" s="2" t="n">
        <v>95.65000000000001</v>
      </c>
      <c r="DE329" s="2" t="n">
        <v>100</v>
      </c>
      <c r="DF329" s="2" t="n">
        <v>94.69</v>
      </c>
      <c r="DG329" s="2" t="n">
        <v>95.65000000000001</v>
      </c>
      <c r="DH329" s="2" t="n">
        <v>100</v>
      </c>
      <c r="DI329" s="2" t="n">
        <v>94.69</v>
      </c>
      <c r="DJ329" s="2" t="n">
        <v>95.65000000000001</v>
      </c>
      <c r="DK329" s="2" t="n">
        <v>100</v>
      </c>
      <c r="DL329" s="2" t="n">
        <v>94.69</v>
      </c>
      <c r="DM329" s="2" t="n">
        <v>95.65000000000001</v>
      </c>
      <c r="DN329" s="2" t="n">
        <v>100</v>
      </c>
      <c r="DO329" s="2" t="n">
        <v>94.69</v>
      </c>
      <c r="DP329" s="2" t="n">
        <v>95.65000000000001</v>
      </c>
      <c r="DQ329" s="2" t="n">
        <v>100</v>
      </c>
      <c r="DR329" s="2" t="n">
        <v>94.69</v>
      </c>
      <c r="DS329" s="2" t="n">
        <v>95.65000000000001</v>
      </c>
      <c r="DT329" s="2" t="n">
        <v>100</v>
      </c>
      <c r="DU329" s="2" t="n">
        <v>94.69</v>
      </c>
      <c r="DV329" s="2" t="n">
        <v>95.65000000000001</v>
      </c>
      <c r="DW329" s="2" t="n">
        <v>100</v>
      </c>
      <c r="DX329" s="2" t="n">
        <v>94.69</v>
      </c>
      <c r="DY329" s="2" t="n">
        <v>95.65000000000001</v>
      </c>
      <c r="DZ329" s="2" t="n">
        <v>100</v>
      </c>
      <c r="EA329" s="2" t="n">
        <v>94.69</v>
      </c>
      <c r="EB329" s="2" t="n">
        <v>95.65000000000001</v>
      </c>
      <c r="EC329" s="2" t="n">
        <v>100</v>
      </c>
      <c r="ED329" s="2" t="n">
        <v>94.69</v>
      </c>
      <c r="EE329" s="2" t="n">
        <v>95.65000000000001</v>
      </c>
      <c r="EF329" s="2" t="n">
        <v>100</v>
      </c>
      <c r="EG329" s="2" t="n">
        <v>94.69</v>
      </c>
      <c r="EH329" s="2" t="n">
        <v>95.65000000000001</v>
      </c>
      <c r="EI329" s="2" t="n">
        <v>100</v>
      </c>
      <c r="EJ329" s="2" t="n">
        <v>94.69</v>
      </c>
      <c r="EK329" s="2" t="n">
        <v>95.65000000000001</v>
      </c>
      <c r="EL329" s="2" t="n">
        <v>100</v>
      </c>
      <c r="EM329" s="2" t="n">
        <v>94.69</v>
      </c>
      <c r="EN329" s="2" t="n">
        <v>95.65000000000001</v>
      </c>
      <c r="EO329" s="2" t="n">
        <v>100</v>
      </c>
      <c r="EP329" s="2" t="n">
        <v>94.69</v>
      </c>
      <c r="EQ329" s="2" t="n">
        <v>95.65000000000001</v>
      </c>
      <c r="ER329" s="2" t="n">
        <v>100</v>
      </c>
      <c r="ES329" s="2" t="n">
        <v>94.69</v>
      </c>
    </row>
    <row r="330">
      <c r="A330" s="2" t="n">
        <v>2</v>
      </c>
      <c r="B330" s="2" t="inlineStr">
        <is>
          <t>16.02</t>
        </is>
      </c>
      <c r="C330" s="2" t="inlineStr">
        <is>
          <t>Lajes de contrapiso</t>
        </is>
      </c>
      <c r="D330" s="2" t="inlineStr">
        <is>
          <t>08/02/2027</t>
        </is>
      </c>
      <c r="E330" s="2" t="inlineStr">
        <is>
          <t>11/03/2027</t>
        </is>
      </c>
      <c r="F330" s="2" t="n">
        <v>522708.5800353111</v>
      </c>
      <c r="G330" s="2" t="n">
        <v>0</v>
      </c>
      <c r="H330" s="2" t="n">
        <v>522708.5800353111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0</v>
      </c>
      <c r="BQ330" s="2" t="n">
        <v>20</v>
      </c>
      <c r="BR330" s="2" t="n">
        <v>68.18000000000001</v>
      </c>
      <c r="BS330" s="2" t="n">
        <v>0</v>
      </c>
      <c r="BT330" s="2" t="n">
        <v>100</v>
      </c>
      <c r="BU330" s="2" t="n">
        <v>100</v>
      </c>
      <c r="BV330" s="2" t="n">
        <v>0</v>
      </c>
      <c r="BW330" s="2" t="n">
        <v>100</v>
      </c>
      <c r="BX330" s="2" t="n">
        <v>100</v>
      </c>
      <c r="BY330" s="2" t="n">
        <v>0</v>
      </c>
      <c r="BZ330" s="2" t="n">
        <v>100</v>
      </c>
      <c r="CA330" s="2" t="n">
        <v>100</v>
      </c>
      <c r="CB330" s="2" t="n">
        <v>0</v>
      </c>
      <c r="CC330" s="2" t="n">
        <v>100</v>
      </c>
      <c r="CD330" s="2" t="n">
        <v>100</v>
      </c>
      <c r="CE330" s="2" t="n">
        <v>0</v>
      </c>
      <c r="CF330" s="2" t="n">
        <v>100</v>
      </c>
      <c r="CG330" s="2" t="n">
        <v>100</v>
      </c>
      <c r="CH330" s="2" t="n">
        <v>0</v>
      </c>
      <c r="CI330" s="2" t="n">
        <v>100</v>
      </c>
      <c r="CJ330" s="2" t="n">
        <v>100</v>
      </c>
      <c r="CK330" s="2" t="n">
        <v>0</v>
      </c>
      <c r="CL330" s="2" t="n">
        <v>100</v>
      </c>
      <c r="CM330" s="2" t="n">
        <v>100</v>
      </c>
      <c r="CN330" s="2" t="n">
        <v>0</v>
      </c>
      <c r="CO330" s="2" t="n">
        <v>100</v>
      </c>
      <c r="CP330" s="2" t="n">
        <v>100</v>
      </c>
      <c r="CQ330" s="2" t="n">
        <v>0</v>
      </c>
      <c r="CR330" s="2" t="n">
        <v>100</v>
      </c>
      <c r="CS330" s="2" t="n">
        <v>100</v>
      </c>
      <c r="CT330" s="2" t="n">
        <v>0</v>
      </c>
      <c r="CU330" s="2" t="n">
        <v>100</v>
      </c>
      <c r="CV330" s="2" t="n">
        <v>100</v>
      </c>
      <c r="CW330" s="2" t="n">
        <v>0</v>
      </c>
      <c r="CX330" s="2" t="n">
        <v>100</v>
      </c>
      <c r="CY330" s="2" t="n">
        <v>100</v>
      </c>
      <c r="CZ330" s="2" t="n">
        <v>0</v>
      </c>
      <c r="DA330" s="2" t="n">
        <v>100</v>
      </c>
      <c r="DB330" s="2" t="n">
        <v>100</v>
      </c>
      <c r="DC330" s="2" t="n">
        <v>0</v>
      </c>
      <c r="DD330" s="2" t="n">
        <v>100</v>
      </c>
      <c r="DE330" s="2" t="n">
        <v>100</v>
      </c>
      <c r="DF330" s="2" t="n">
        <v>0</v>
      </c>
      <c r="DG330" s="2" t="n">
        <v>100</v>
      </c>
      <c r="DH330" s="2" t="n">
        <v>100</v>
      </c>
      <c r="DI330" s="2" t="n">
        <v>0</v>
      </c>
      <c r="DJ330" s="2" t="n">
        <v>100</v>
      </c>
      <c r="DK330" s="2" t="n">
        <v>100</v>
      </c>
      <c r="DL330" s="2" t="n">
        <v>0</v>
      </c>
      <c r="DM330" s="2" t="n">
        <v>100</v>
      </c>
      <c r="DN330" s="2" t="n">
        <v>100</v>
      </c>
      <c r="DO330" s="2" t="n">
        <v>0</v>
      </c>
      <c r="DP330" s="2" t="n">
        <v>100</v>
      </c>
      <c r="DQ330" s="2" t="n">
        <v>100</v>
      </c>
      <c r="DR330" s="2" t="n">
        <v>0</v>
      </c>
      <c r="DS330" s="2" t="n">
        <v>100</v>
      </c>
      <c r="DT330" s="2" t="n">
        <v>100</v>
      </c>
      <c r="DU330" s="2" t="n">
        <v>0</v>
      </c>
      <c r="DV330" s="2" t="n">
        <v>100</v>
      </c>
      <c r="DW330" s="2" t="n">
        <v>100</v>
      </c>
      <c r="DX330" s="2" t="n">
        <v>0</v>
      </c>
      <c r="DY330" s="2" t="n">
        <v>100</v>
      </c>
      <c r="DZ330" s="2" t="n">
        <v>100</v>
      </c>
      <c r="EA330" s="2" t="n">
        <v>0</v>
      </c>
      <c r="EB330" s="2" t="n">
        <v>100</v>
      </c>
      <c r="EC330" s="2" t="n">
        <v>100</v>
      </c>
      <c r="ED330" s="2" t="n">
        <v>0</v>
      </c>
      <c r="EE330" s="2" t="n">
        <v>100</v>
      </c>
      <c r="EF330" s="2" t="n">
        <v>100</v>
      </c>
      <c r="EG330" s="2" t="n">
        <v>0</v>
      </c>
      <c r="EH330" s="2" t="n">
        <v>100</v>
      </c>
      <c r="EI330" s="2" t="n">
        <v>100</v>
      </c>
      <c r="EJ330" s="2" t="n">
        <v>0</v>
      </c>
      <c r="EK330" s="2" t="n">
        <v>100</v>
      </c>
      <c r="EL330" s="2" t="n">
        <v>100</v>
      </c>
      <c r="EM330" s="2" t="n">
        <v>0</v>
      </c>
      <c r="EN330" s="2" t="n">
        <v>100</v>
      </c>
      <c r="EO330" s="2" t="n">
        <v>100</v>
      </c>
      <c r="EP330" s="2" t="n">
        <v>0</v>
      </c>
      <c r="EQ330" s="2" t="n">
        <v>100</v>
      </c>
      <c r="ER330" s="2" t="n">
        <v>100</v>
      </c>
      <c r="ES330" s="2" t="n">
        <v>0</v>
      </c>
    </row>
    <row r="331">
      <c r="A331" s="2" t="n">
        <v>3</v>
      </c>
      <c r="B331" s="2" t="inlineStr">
        <is>
          <t>16.02.01</t>
        </is>
      </c>
      <c r="C331" s="2" t="inlineStr">
        <is>
          <t>Apiloamento</t>
        </is>
      </c>
      <c r="D331" s="2" t="inlineStr">
        <is>
          <t>08/02/2027</t>
        </is>
      </c>
      <c r="E331" s="2" t="inlineStr">
        <is>
          <t>11/03/2027</t>
        </is>
      </c>
      <c r="F331" s="2" t="n">
        <v>23940.2482166588</v>
      </c>
      <c r="G331" s="2" t="n">
        <v>0</v>
      </c>
      <c r="H331" s="2" t="n">
        <v>23940.2482166588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0</v>
      </c>
      <c r="BQ331" s="2" t="n">
        <v>20</v>
      </c>
      <c r="BR331" s="2" t="n">
        <v>68.18000000000001</v>
      </c>
      <c r="BS331" s="2" t="n">
        <v>0</v>
      </c>
      <c r="BT331" s="2" t="n">
        <v>100</v>
      </c>
      <c r="BU331" s="2" t="n">
        <v>100</v>
      </c>
      <c r="BV331" s="2" t="n">
        <v>0</v>
      </c>
      <c r="BW331" s="2" t="n">
        <v>100</v>
      </c>
      <c r="BX331" s="2" t="n">
        <v>100</v>
      </c>
      <c r="BY331" s="2" t="n">
        <v>0</v>
      </c>
      <c r="BZ331" s="2" t="n">
        <v>100</v>
      </c>
      <c r="CA331" s="2" t="n">
        <v>100</v>
      </c>
      <c r="CB331" s="2" t="n">
        <v>0</v>
      </c>
      <c r="CC331" s="2" t="n">
        <v>100</v>
      </c>
      <c r="CD331" s="2" t="n">
        <v>100</v>
      </c>
      <c r="CE331" s="2" t="n">
        <v>0</v>
      </c>
      <c r="CF331" s="2" t="n">
        <v>100</v>
      </c>
      <c r="CG331" s="2" t="n">
        <v>100</v>
      </c>
      <c r="CH331" s="2" t="n">
        <v>0</v>
      </c>
      <c r="CI331" s="2" t="n">
        <v>100</v>
      </c>
      <c r="CJ331" s="2" t="n">
        <v>100</v>
      </c>
      <c r="CK331" s="2" t="n">
        <v>0</v>
      </c>
      <c r="CL331" s="2" t="n">
        <v>100</v>
      </c>
      <c r="CM331" s="2" t="n">
        <v>100</v>
      </c>
      <c r="CN331" s="2" t="n">
        <v>0</v>
      </c>
      <c r="CO331" s="2" t="n">
        <v>100</v>
      </c>
      <c r="CP331" s="2" t="n">
        <v>100</v>
      </c>
      <c r="CQ331" s="2" t="n">
        <v>0</v>
      </c>
      <c r="CR331" s="2" t="n">
        <v>100</v>
      </c>
      <c r="CS331" s="2" t="n">
        <v>100</v>
      </c>
      <c r="CT331" s="2" t="n">
        <v>0</v>
      </c>
      <c r="CU331" s="2" t="n">
        <v>100</v>
      </c>
      <c r="CV331" s="2" t="n">
        <v>100</v>
      </c>
      <c r="CW331" s="2" t="n">
        <v>0</v>
      </c>
      <c r="CX331" s="2" t="n">
        <v>100</v>
      </c>
      <c r="CY331" s="2" t="n">
        <v>100</v>
      </c>
      <c r="CZ331" s="2" t="n">
        <v>0</v>
      </c>
      <c r="DA331" s="2" t="n">
        <v>100</v>
      </c>
      <c r="DB331" s="2" t="n">
        <v>100</v>
      </c>
      <c r="DC331" s="2" t="n">
        <v>0</v>
      </c>
      <c r="DD331" s="2" t="n">
        <v>100</v>
      </c>
      <c r="DE331" s="2" t="n">
        <v>100</v>
      </c>
      <c r="DF331" s="2" t="n">
        <v>0</v>
      </c>
      <c r="DG331" s="2" t="n">
        <v>100</v>
      </c>
      <c r="DH331" s="2" t="n">
        <v>100</v>
      </c>
      <c r="DI331" s="2" t="n">
        <v>0</v>
      </c>
      <c r="DJ331" s="2" t="n">
        <v>100</v>
      </c>
      <c r="DK331" s="2" t="n">
        <v>100</v>
      </c>
      <c r="DL331" s="2" t="n">
        <v>0</v>
      </c>
      <c r="DM331" s="2" t="n">
        <v>100</v>
      </c>
      <c r="DN331" s="2" t="n">
        <v>100</v>
      </c>
      <c r="DO331" s="2" t="n">
        <v>0</v>
      </c>
      <c r="DP331" s="2" t="n">
        <v>100</v>
      </c>
      <c r="DQ331" s="2" t="n">
        <v>100</v>
      </c>
      <c r="DR331" s="2" t="n">
        <v>0</v>
      </c>
      <c r="DS331" s="2" t="n">
        <v>100</v>
      </c>
      <c r="DT331" s="2" t="n">
        <v>100</v>
      </c>
      <c r="DU331" s="2" t="n">
        <v>0</v>
      </c>
      <c r="DV331" s="2" t="n">
        <v>100</v>
      </c>
      <c r="DW331" s="2" t="n">
        <v>100</v>
      </c>
      <c r="DX331" s="2" t="n">
        <v>0</v>
      </c>
      <c r="DY331" s="2" t="n">
        <v>100</v>
      </c>
      <c r="DZ331" s="2" t="n">
        <v>100</v>
      </c>
      <c r="EA331" s="2" t="n">
        <v>0</v>
      </c>
      <c r="EB331" s="2" t="n">
        <v>100</v>
      </c>
      <c r="EC331" s="2" t="n">
        <v>100</v>
      </c>
      <c r="ED331" s="2" t="n">
        <v>0</v>
      </c>
      <c r="EE331" s="2" t="n">
        <v>100</v>
      </c>
      <c r="EF331" s="2" t="n">
        <v>100</v>
      </c>
      <c r="EG331" s="2" t="n">
        <v>0</v>
      </c>
      <c r="EH331" s="2" t="n">
        <v>100</v>
      </c>
      <c r="EI331" s="2" t="n">
        <v>100</v>
      </c>
      <c r="EJ331" s="2" t="n">
        <v>0</v>
      </c>
      <c r="EK331" s="2" t="n">
        <v>100</v>
      </c>
      <c r="EL331" s="2" t="n">
        <v>100</v>
      </c>
      <c r="EM331" s="2" t="n">
        <v>0</v>
      </c>
      <c r="EN331" s="2" t="n">
        <v>100</v>
      </c>
      <c r="EO331" s="2" t="n">
        <v>100</v>
      </c>
      <c r="EP331" s="2" t="n">
        <v>0</v>
      </c>
      <c r="EQ331" s="2" t="n">
        <v>100</v>
      </c>
      <c r="ER331" s="2" t="n">
        <v>100</v>
      </c>
      <c r="ES331" s="2" t="n">
        <v>0</v>
      </c>
    </row>
    <row r="332">
      <c r="A332" s="2" t="n">
        <v>3</v>
      </c>
      <c r="B332" s="2" t="inlineStr">
        <is>
          <t>16.02.02</t>
        </is>
      </c>
      <c r="C332" s="2" t="inlineStr">
        <is>
          <t>Armadura com tela soldada</t>
        </is>
      </c>
      <c r="D332" s="2" t="inlineStr">
        <is>
          <t>08/02/2027</t>
        </is>
      </c>
      <c r="E332" s="2" t="inlineStr">
        <is>
          <t>11/03/2027</t>
        </is>
      </c>
      <c r="F332" s="2" t="n">
        <v>187023.0132064065</v>
      </c>
      <c r="G332" s="2" t="n">
        <v>0</v>
      </c>
      <c r="H332" s="2" t="n">
        <v>187023.0132064065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0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n">
        <v>0</v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n">
        <v>0</v>
      </c>
      <c r="BI332" s="2" t="n">
        <v>0</v>
      </c>
      <c r="BJ332" s="2" t="n">
        <v>0</v>
      </c>
      <c r="BK332" s="2" t="n">
        <v>0</v>
      </c>
      <c r="BL332" s="2" t="n">
        <v>0</v>
      </c>
      <c r="BM332" s="2" t="n">
        <v>0</v>
      </c>
      <c r="BN332" s="2" t="n">
        <v>0</v>
      </c>
      <c r="BO332" s="2" t="n">
        <v>0</v>
      </c>
      <c r="BP332" s="2" t="n">
        <v>0</v>
      </c>
      <c r="BQ332" s="2" t="n">
        <v>20</v>
      </c>
      <c r="BR332" s="2" t="n">
        <v>68.18000000000001</v>
      </c>
      <c r="BS332" s="2" t="n">
        <v>0</v>
      </c>
      <c r="BT332" s="2" t="n">
        <v>100</v>
      </c>
      <c r="BU332" s="2" t="n">
        <v>100</v>
      </c>
      <c r="BV332" s="2" t="n">
        <v>0</v>
      </c>
      <c r="BW332" s="2" t="n">
        <v>100</v>
      </c>
      <c r="BX332" s="2" t="n">
        <v>100</v>
      </c>
      <c r="BY332" s="2" t="n">
        <v>0</v>
      </c>
      <c r="BZ332" s="2" t="n">
        <v>100</v>
      </c>
      <c r="CA332" s="2" t="n">
        <v>100</v>
      </c>
      <c r="CB332" s="2" t="n">
        <v>0</v>
      </c>
      <c r="CC332" s="2" t="n">
        <v>100</v>
      </c>
      <c r="CD332" s="2" t="n">
        <v>100</v>
      </c>
      <c r="CE332" s="2" t="n">
        <v>0</v>
      </c>
      <c r="CF332" s="2" t="n">
        <v>100</v>
      </c>
      <c r="CG332" s="2" t="n">
        <v>100</v>
      </c>
      <c r="CH332" s="2" t="n">
        <v>0</v>
      </c>
      <c r="CI332" s="2" t="n">
        <v>100</v>
      </c>
      <c r="CJ332" s="2" t="n">
        <v>100</v>
      </c>
      <c r="CK332" s="2" t="n">
        <v>0</v>
      </c>
      <c r="CL332" s="2" t="n">
        <v>100</v>
      </c>
      <c r="CM332" s="2" t="n">
        <v>100</v>
      </c>
      <c r="CN332" s="2" t="n">
        <v>0</v>
      </c>
      <c r="CO332" s="2" t="n">
        <v>100</v>
      </c>
      <c r="CP332" s="2" t="n">
        <v>100</v>
      </c>
      <c r="CQ332" s="2" t="n">
        <v>0</v>
      </c>
      <c r="CR332" s="2" t="n">
        <v>100</v>
      </c>
      <c r="CS332" s="2" t="n">
        <v>100</v>
      </c>
      <c r="CT332" s="2" t="n">
        <v>0</v>
      </c>
      <c r="CU332" s="2" t="n">
        <v>100</v>
      </c>
      <c r="CV332" s="2" t="n">
        <v>100</v>
      </c>
      <c r="CW332" s="2" t="n">
        <v>0</v>
      </c>
      <c r="CX332" s="2" t="n">
        <v>100</v>
      </c>
      <c r="CY332" s="2" t="n">
        <v>100</v>
      </c>
      <c r="CZ332" s="2" t="n">
        <v>0</v>
      </c>
      <c r="DA332" s="2" t="n">
        <v>100</v>
      </c>
      <c r="DB332" s="2" t="n">
        <v>100</v>
      </c>
      <c r="DC332" s="2" t="n">
        <v>0</v>
      </c>
      <c r="DD332" s="2" t="n">
        <v>100</v>
      </c>
      <c r="DE332" s="2" t="n">
        <v>100</v>
      </c>
      <c r="DF332" s="2" t="n">
        <v>0</v>
      </c>
      <c r="DG332" s="2" t="n">
        <v>100</v>
      </c>
      <c r="DH332" s="2" t="n">
        <v>100</v>
      </c>
      <c r="DI332" s="2" t="n">
        <v>0</v>
      </c>
      <c r="DJ332" s="2" t="n">
        <v>100</v>
      </c>
      <c r="DK332" s="2" t="n">
        <v>100</v>
      </c>
      <c r="DL332" s="2" t="n">
        <v>0</v>
      </c>
      <c r="DM332" s="2" t="n">
        <v>100</v>
      </c>
      <c r="DN332" s="2" t="n">
        <v>100</v>
      </c>
      <c r="DO332" s="2" t="n">
        <v>0</v>
      </c>
      <c r="DP332" s="2" t="n">
        <v>100</v>
      </c>
      <c r="DQ332" s="2" t="n">
        <v>100</v>
      </c>
      <c r="DR332" s="2" t="n">
        <v>0</v>
      </c>
      <c r="DS332" s="2" t="n">
        <v>100</v>
      </c>
      <c r="DT332" s="2" t="n">
        <v>100</v>
      </c>
      <c r="DU332" s="2" t="n">
        <v>0</v>
      </c>
      <c r="DV332" s="2" t="n">
        <v>100</v>
      </c>
      <c r="DW332" s="2" t="n">
        <v>100</v>
      </c>
      <c r="DX332" s="2" t="n">
        <v>0</v>
      </c>
      <c r="DY332" s="2" t="n">
        <v>100</v>
      </c>
      <c r="DZ332" s="2" t="n">
        <v>100</v>
      </c>
      <c r="EA332" s="2" t="n">
        <v>0</v>
      </c>
      <c r="EB332" s="2" t="n">
        <v>100</v>
      </c>
      <c r="EC332" s="2" t="n">
        <v>100</v>
      </c>
      <c r="ED332" s="2" t="n">
        <v>0</v>
      </c>
      <c r="EE332" s="2" t="n">
        <v>100</v>
      </c>
      <c r="EF332" s="2" t="n">
        <v>100</v>
      </c>
      <c r="EG332" s="2" t="n">
        <v>0</v>
      </c>
      <c r="EH332" s="2" t="n">
        <v>100</v>
      </c>
      <c r="EI332" s="2" t="n">
        <v>100</v>
      </c>
      <c r="EJ332" s="2" t="n">
        <v>0</v>
      </c>
      <c r="EK332" s="2" t="n">
        <v>100</v>
      </c>
      <c r="EL332" s="2" t="n">
        <v>100</v>
      </c>
      <c r="EM332" s="2" t="n">
        <v>0</v>
      </c>
      <c r="EN332" s="2" t="n">
        <v>100</v>
      </c>
      <c r="EO332" s="2" t="n">
        <v>100</v>
      </c>
      <c r="EP332" s="2" t="n">
        <v>0</v>
      </c>
      <c r="EQ332" s="2" t="n">
        <v>100</v>
      </c>
      <c r="ER332" s="2" t="n">
        <v>100</v>
      </c>
      <c r="ES332" s="2" t="n">
        <v>0</v>
      </c>
    </row>
    <row r="333">
      <c r="A333" s="2" t="n">
        <v>3</v>
      </c>
      <c r="B333" s="2" t="inlineStr">
        <is>
          <t>16.02.03</t>
        </is>
      </c>
      <c r="C333" s="2" t="inlineStr">
        <is>
          <t>Lastro de brita</t>
        </is>
      </c>
      <c r="D333" s="2" t="inlineStr">
        <is>
          <t>08/02/2027</t>
        </is>
      </c>
      <c r="E333" s="2" t="inlineStr">
        <is>
          <t>11/03/2027</t>
        </is>
      </c>
      <c r="F333" s="2" t="n">
        <v>80928.53297949613</v>
      </c>
      <c r="G333" s="2" t="n">
        <v>0</v>
      </c>
      <c r="H333" s="2" t="n">
        <v>80928.53297949613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n">
        <v>0</v>
      </c>
      <c r="AO333" s="2" t="n">
        <v>0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n">
        <v>0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0</v>
      </c>
      <c r="BH333" s="2" t="n">
        <v>0</v>
      </c>
      <c r="BI333" s="2" t="n">
        <v>0</v>
      </c>
      <c r="BJ333" s="2" t="n">
        <v>0</v>
      </c>
      <c r="BK333" s="2" t="n">
        <v>0</v>
      </c>
      <c r="BL333" s="2" t="n">
        <v>0</v>
      </c>
      <c r="BM333" s="2" t="n">
        <v>0</v>
      </c>
      <c r="BN333" s="2" t="n">
        <v>0</v>
      </c>
      <c r="BO333" s="2" t="n">
        <v>0</v>
      </c>
      <c r="BP333" s="2" t="n">
        <v>0</v>
      </c>
      <c r="BQ333" s="2" t="n">
        <v>20</v>
      </c>
      <c r="BR333" s="2" t="n">
        <v>68.18000000000001</v>
      </c>
      <c r="BS333" s="2" t="n">
        <v>0</v>
      </c>
      <c r="BT333" s="2" t="n">
        <v>100</v>
      </c>
      <c r="BU333" s="2" t="n">
        <v>100</v>
      </c>
      <c r="BV333" s="2" t="n">
        <v>0</v>
      </c>
      <c r="BW333" s="2" t="n">
        <v>100</v>
      </c>
      <c r="BX333" s="2" t="n">
        <v>100</v>
      </c>
      <c r="BY333" s="2" t="n">
        <v>0</v>
      </c>
      <c r="BZ333" s="2" t="n">
        <v>100</v>
      </c>
      <c r="CA333" s="2" t="n">
        <v>100</v>
      </c>
      <c r="CB333" s="2" t="n">
        <v>0</v>
      </c>
      <c r="CC333" s="2" t="n">
        <v>100</v>
      </c>
      <c r="CD333" s="2" t="n">
        <v>100</v>
      </c>
      <c r="CE333" s="2" t="n">
        <v>0</v>
      </c>
      <c r="CF333" s="2" t="n">
        <v>100</v>
      </c>
      <c r="CG333" s="2" t="n">
        <v>100</v>
      </c>
      <c r="CH333" s="2" t="n">
        <v>0</v>
      </c>
      <c r="CI333" s="2" t="n">
        <v>100</v>
      </c>
      <c r="CJ333" s="2" t="n">
        <v>100</v>
      </c>
      <c r="CK333" s="2" t="n">
        <v>0</v>
      </c>
      <c r="CL333" s="2" t="n">
        <v>100</v>
      </c>
      <c r="CM333" s="2" t="n">
        <v>100</v>
      </c>
      <c r="CN333" s="2" t="n">
        <v>0</v>
      </c>
      <c r="CO333" s="2" t="n">
        <v>100</v>
      </c>
      <c r="CP333" s="2" t="n">
        <v>100</v>
      </c>
      <c r="CQ333" s="2" t="n">
        <v>0</v>
      </c>
      <c r="CR333" s="2" t="n">
        <v>100</v>
      </c>
      <c r="CS333" s="2" t="n">
        <v>100</v>
      </c>
      <c r="CT333" s="2" t="n">
        <v>0</v>
      </c>
      <c r="CU333" s="2" t="n">
        <v>100</v>
      </c>
      <c r="CV333" s="2" t="n">
        <v>100</v>
      </c>
      <c r="CW333" s="2" t="n">
        <v>0</v>
      </c>
      <c r="CX333" s="2" t="n">
        <v>100</v>
      </c>
      <c r="CY333" s="2" t="n">
        <v>100</v>
      </c>
      <c r="CZ333" s="2" t="n">
        <v>0</v>
      </c>
      <c r="DA333" s="2" t="n">
        <v>100</v>
      </c>
      <c r="DB333" s="2" t="n">
        <v>100</v>
      </c>
      <c r="DC333" s="2" t="n">
        <v>0</v>
      </c>
      <c r="DD333" s="2" t="n">
        <v>100</v>
      </c>
      <c r="DE333" s="2" t="n">
        <v>100</v>
      </c>
      <c r="DF333" s="2" t="n">
        <v>0</v>
      </c>
      <c r="DG333" s="2" t="n">
        <v>100</v>
      </c>
      <c r="DH333" s="2" t="n">
        <v>100</v>
      </c>
      <c r="DI333" s="2" t="n">
        <v>0</v>
      </c>
      <c r="DJ333" s="2" t="n">
        <v>100</v>
      </c>
      <c r="DK333" s="2" t="n">
        <v>100</v>
      </c>
      <c r="DL333" s="2" t="n">
        <v>0</v>
      </c>
      <c r="DM333" s="2" t="n">
        <v>100</v>
      </c>
      <c r="DN333" s="2" t="n">
        <v>100</v>
      </c>
      <c r="DO333" s="2" t="n">
        <v>0</v>
      </c>
      <c r="DP333" s="2" t="n">
        <v>100</v>
      </c>
      <c r="DQ333" s="2" t="n">
        <v>100</v>
      </c>
      <c r="DR333" s="2" t="n">
        <v>0</v>
      </c>
      <c r="DS333" s="2" t="n">
        <v>100</v>
      </c>
      <c r="DT333" s="2" t="n">
        <v>100</v>
      </c>
      <c r="DU333" s="2" t="n">
        <v>0</v>
      </c>
      <c r="DV333" s="2" t="n">
        <v>100</v>
      </c>
      <c r="DW333" s="2" t="n">
        <v>100</v>
      </c>
      <c r="DX333" s="2" t="n">
        <v>0</v>
      </c>
      <c r="DY333" s="2" t="n">
        <v>100</v>
      </c>
      <c r="DZ333" s="2" t="n">
        <v>100</v>
      </c>
      <c r="EA333" s="2" t="n">
        <v>0</v>
      </c>
      <c r="EB333" s="2" t="n">
        <v>100</v>
      </c>
      <c r="EC333" s="2" t="n">
        <v>100</v>
      </c>
      <c r="ED333" s="2" t="n">
        <v>0</v>
      </c>
      <c r="EE333" s="2" t="n">
        <v>100</v>
      </c>
      <c r="EF333" s="2" t="n">
        <v>100</v>
      </c>
      <c r="EG333" s="2" t="n">
        <v>0</v>
      </c>
      <c r="EH333" s="2" t="n">
        <v>100</v>
      </c>
      <c r="EI333" s="2" t="n">
        <v>100</v>
      </c>
      <c r="EJ333" s="2" t="n">
        <v>0</v>
      </c>
      <c r="EK333" s="2" t="n">
        <v>100</v>
      </c>
      <c r="EL333" s="2" t="n">
        <v>100</v>
      </c>
      <c r="EM333" s="2" t="n">
        <v>0</v>
      </c>
      <c r="EN333" s="2" t="n">
        <v>100</v>
      </c>
      <c r="EO333" s="2" t="n">
        <v>100</v>
      </c>
      <c r="EP333" s="2" t="n">
        <v>0</v>
      </c>
      <c r="EQ333" s="2" t="n">
        <v>100</v>
      </c>
      <c r="ER333" s="2" t="n">
        <v>100</v>
      </c>
      <c r="ES333" s="2" t="n">
        <v>0</v>
      </c>
    </row>
    <row r="334">
      <c r="A334" s="2" t="n">
        <v>3</v>
      </c>
      <c r="B334" s="2" t="inlineStr">
        <is>
          <t>16.02.04</t>
        </is>
      </c>
      <c r="C334" s="2" t="inlineStr">
        <is>
          <t>Lona preta para isolamento da laje</t>
        </is>
      </c>
      <c r="D334" s="2" t="inlineStr">
        <is>
          <t>08/02/2027</t>
        </is>
      </c>
      <c r="E334" s="2" t="inlineStr">
        <is>
          <t>11/03/2027</t>
        </is>
      </c>
      <c r="F334" s="2" t="n">
        <v>5922.934253224</v>
      </c>
      <c r="G334" s="2" t="n">
        <v>0</v>
      </c>
      <c r="H334" s="2" t="n">
        <v>5922.934253224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  <c r="BM334" s="2" t="n">
        <v>0</v>
      </c>
      <c r="BN334" s="2" t="n">
        <v>0</v>
      </c>
      <c r="BO334" s="2" t="n">
        <v>0</v>
      </c>
      <c r="BP334" s="2" t="n">
        <v>0</v>
      </c>
      <c r="BQ334" s="2" t="n">
        <v>20</v>
      </c>
      <c r="BR334" s="2" t="n">
        <v>68.18000000000001</v>
      </c>
      <c r="BS334" s="2" t="n">
        <v>0</v>
      </c>
      <c r="BT334" s="2" t="n">
        <v>100</v>
      </c>
      <c r="BU334" s="2" t="n">
        <v>100</v>
      </c>
      <c r="BV334" s="2" t="n">
        <v>0</v>
      </c>
      <c r="BW334" s="2" t="n">
        <v>100</v>
      </c>
      <c r="BX334" s="2" t="n">
        <v>100</v>
      </c>
      <c r="BY334" s="2" t="n">
        <v>0</v>
      </c>
      <c r="BZ334" s="2" t="n">
        <v>100</v>
      </c>
      <c r="CA334" s="2" t="n">
        <v>100</v>
      </c>
      <c r="CB334" s="2" t="n">
        <v>0</v>
      </c>
      <c r="CC334" s="2" t="n">
        <v>100</v>
      </c>
      <c r="CD334" s="2" t="n">
        <v>100</v>
      </c>
      <c r="CE334" s="2" t="n">
        <v>0</v>
      </c>
      <c r="CF334" s="2" t="n">
        <v>100</v>
      </c>
      <c r="CG334" s="2" t="n">
        <v>100</v>
      </c>
      <c r="CH334" s="2" t="n">
        <v>0</v>
      </c>
      <c r="CI334" s="2" t="n">
        <v>100</v>
      </c>
      <c r="CJ334" s="2" t="n">
        <v>100</v>
      </c>
      <c r="CK334" s="2" t="n">
        <v>0</v>
      </c>
      <c r="CL334" s="2" t="n">
        <v>100</v>
      </c>
      <c r="CM334" s="2" t="n">
        <v>100</v>
      </c>
      <c r="CN334" s="2" t="n">
        <v>0</v>
      </c>
      <c r="CO334" s="2" t="n">
        <v>100</v>
      </c>
      <c r="CP334" s="2" t="n">
        <v>100</v>
      </c>
      <c r="CQ334" s="2" t="n">
        <v>0</v>
      </c>
      <c r="CR334" s="2" t="n">
        <v>100</v>
      </c>
      <c r="CS334" s="2" t="n">
        <v>100</v>
      </c>
      <c r="CT334" s="2" t="n">
        <v>0</v>
      </c>
      <c r="CU334" s="2" t="n">
        <v>100</v>
      </c>
      <c r="CV334" s="2" t="n">
        <v>100</v>
      </c>
      <c r="CW334" s="2" t="n">
        <v>0</v>
      </c>
      <c r="CX334" s="2" t="n">
        <v>100</v>
      </c>
      <c r="CY334" s="2" t="n">
        <v>100</v>
      </c>
      <c r="CZ334" s="2" t="n">
        <v>0</v>
      </c>
      <c r="DA334" s="2" t="n">
        <v>100</v>
      </c>
      <c r="DB334" s="2" t="n">
        <v>100</v>
      </c>
      <c r="DC334" s="2" t="n">
        <v>0</v>
      </c>
      <c r="DD334" s="2" t="n">
        <v>100</v>
      </c>
      <c r="DE334" s="2" t="n">
        <v>100</v>
      </c>
      <c r="DF334" s="2" t="n">
        <v>0</v>
      </c>
      <c r="DG334" s="2" t="n">
        <v>100</v>
      </c>
      <c r="DH334" s="2" t="n">
        <v>100</v>
      </c>
      <c r="DI334" s="2" t="n">
        <v>0</v>
      </c>
      <c r="DJ334" s="2" t="n">
        <v>100</v>
      </c>
      <c r="DK334" s="2" t="n">
        <v>100</v>
      </c>
      <c r="DL334" s="2" t="n">
        <v>0</v>
      </c>
      <c r="DM334" s="2" t="n">
        <v>100</v>
      </c>
      <c r="DN334" s="2" t="n">
        <v>100</v>
      </c>
      <c r="DO334" s="2" t="n">
        <v>0</v>
      </c>
      <c r="DP334" s="2" t="n">
        <v>100</v>
      </c>
      <c r="DQ334" s="2" t="n">
        <v>100</v>
      </c>
      <c r="DR334" s="2" t="n">
        <v>0</v>
      </c>
      <c r="DS334" s="2" t="n">
        <v>100</v>
      </c>
      <c r="DT334" s="2" t="n">
        <v>100</v>
      </c>
      <c r="DU334" s="2" t="n">
        <v>0</v>
      </c>
      <c r="DV334" s="2" t="n">
        <v>100</v>
      </c>
      <c r="DW334" s="2" t="n">
        <v>100</v>
      </c>
      <c r="DX334" s="2" t="n">
        <v>0</v>
      </c>
      <c r="DY334" s="2" t="n">
        <v>100</v>
      </c>
      <c r="DZ334" s="2" t="n">
        <v>100</v>
      </c>
      <c r="EA334" s="2" t="n">
        <v>0</v>
      </c>
      <c r="EB334" s="2" t="n">
        <v>100</v>
      </c>
      <c r="EC334" s="2" t="n">
        <v>100</v>
      </c>
      <c r="ED334" s="2" t="n">
        <v>0</v>
      </c>
      <c r="EE334" s="2" t="n">
        <v>100</v>
      </c>
      <c r="EF334" s="2" t="n">
        <v>100</v>
      </c>
      <c r="EG334" s="2" t="n">
        <v>0</v>
      </c>
      <c r="EH334" s="2" t="n">
        <v>100</v>
      </c>
      <c r="EI334" s="2" t="n">
        <v>100</v>
      </c>
      <c r="EJ334" s="2" t="n">
        <v>0</v>
      </c>
      <c r="EK334" s="2" t="n">
        <v>100</v>
      </c>
      <c r="EL334" s="2" t="n">
        <v>100</v>
      </c>
      <c r="EM334" s="2" t="n">
        <v>0</v>
      </c>
      <c r="EN334" s="2" t="n">
        <v>100</v>
      </c>
      <c r="EO334" s="2" t="n">
        <v>100</v>
      </c>
      <c r="EP334" s="2" t="n">
        <v>0</v>
      </c>
      <c r="EQ334" s="2" t="n">
        <v>100</v>
      </c>
      <c r="ER334" s="2" t="n">
        <v>100</v>
      </c>
      <c r="ES334" s="2" t="n">
        <v>0</v>
      </c>
    </row>
    <row r="335">
      <c r="A335" s="2" t="n">
        <v>3</v>
      </c>
      <c r="B335" s="2" t="inlineStr">
        <is>
          <t>16.02.05</t>
        </is>
      </c>
      <c r="C335" s="2" t="inlineStr">
        <is>
          <t>Concreto bombeado Fck=30Mpa para infraestrutura</t>
        </is>
      </c>
      <c r="D335" s="2" t="inlineStr">
        <is>
          <t>08/02/2027</t>
        </is>
      </c>
      <c r="E335" s="2" t="inlineStr">
        <is>
          <t>11/03/2027</t>
        </is>
      </c>
      <c r="F335" s="2" t="n">
        <v>190527.0463795257</v>
      </c>
      <c r="G335" s="2" t="n">
        <v>0</v>
      </c>
      <c r="H335" s="2" t="n">
        <v>190527.0463795257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  <c r="AO335" s="2" t="n">
        <v>0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n">
        <v>0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n">
        <v>0</v>
      </c>
      <c r="BI335" s="2" t="n">
        <v>0</v>
      </c>
      <c r="BJ335" s="2" t="n">
        <v>0</v>
      </c>
      <c r="BK335" s="2" t="n">
        <v>0</v>
      </c>
      <c r="BL335" s="2" t="n">
        <v>0</v>
      </c>
      <c r="BM335" s="2" t="n">
        <v>0</v>
      </c>
      <c r="BN335" s="2" t="n">
        <v>0</v>
      </c>
      <c r="BO335" s="2" t="n">
        <v>0</v>
      </c>
      <c r="BP335" s="2" t="n">
        <v>0</v>
      </c>
      <c r="BQ335" s="2" t="n">
        <v>20</v>
      </c>
      <c r="BR335" s="2" t="n">
        <v>68.18000000000001</v>
      </c>
      <c r="BS335" s="2" t="n">
        <v>0</v>
      </c>
      <c r="BT335" s="2" t="n">
        <v>100</v>
      </c>
      <c r="BU335" s="2" t="n">
        <v>100</v>
      </c>
      <c r="BV335" s="2" t="n">
        <v>0</v>
      </c>
      <c r="BW335" s="2" t="n">
        <v>100</v>
      </c>
      <c r="BX335" s="2" t="n">
        <v>100</v>
      </c>
      <c r="BY335" s="2" t="n">
        <v>0</v>
      </c>
      <c r="BZ335" s="2" t="n">
        <v>100</v>
      </c>
      <c r="CA335" s="2" t="n">
        <v>100</v>
      </c>
      <c r="CB335" s="2" t="n">
        <v>0</v>
      </c>
      <c r="CC335" s="2" t="n">
        <v>100</v>
      </c>
      <c r="CD335" s="2" t="n">
        <v>100</v>
      </c>
      <c r="CE335" s="2" t="n">
        <v>0</v>
      </c>
      <c r="CF335" s="2" t="n">
        <v>100</v>
      </c>
      <c r="CG335" s="2" t="n">
        <v>100</v>
      </c>
      <c r="CH335" s="2" t="n">
        <v>0</v>
      </c>
      <c r="CI335" s="2" t="n">
        <v>100</v>
      </c>
      <c r="CJ335" s="2" t="n">
        <v>100</v>
      </c>
      <c r="CK335" s="2" t="n">
        <v>0</v>
      </c>
      <c r="CL335" s="2" t="n">
        <v>100</v>
      </c>
      <c r="CM335" s="2" t="n">
        <v>100</v>
      </c>
      <c r="CN335" s="2" t="n">
        <v>0</v>
      </c>
      <c r="CO335" s="2" t="n">
        <v>100</v>
      </c>
      <c r="CP335" s="2" t="n">
        <v>100</v>
      </c>
      <c r="CQ335" s="2" t="n">
        <v>0</v>
      </c>
      <c r="CR335" s="2" t="n">
        <v>100</v>
      </c>
      <c r="CS335" s="2" t="n">
        <v>100</v>
      </c>
      <c r="CT335" s="2" t="n">
        <v>0</v>
      </c>
      <c r="CU335" s="2" t="n">
        <v>100</v>
      </c>
      <c r="CV335" s="2" t="n">
        <v>100</v>
      </c>
      <c r="CW335" s="2" t="n">
        <v>0</v>
      </c>
      <c r="CX335" s="2" t="n">
        <v>100</v>
      </c>
      <c r="CY335" s="2" t="n">
        <v>100</v>
      </c>
      <c r="CZ335" s="2" t="n">
        <v>0</v>
      </c>
      <c r="DA335" s="2" t="n">
        <v>100</v>
      </c>
      <c r="DB335" s="2" t="n">
        <v>100</v>
      </c>
      <c r="DC335" s="2" t="n">
        <v>0</v>
      </c>
      <c r="DD335" s="2" t="n">
        <v>100</v>
      </c>
      <c r="DE335" s="2" t="n">
        <v>100</v>
      </c>
      <c r="DF335" s="2" t="n">
        <v>0</v>
      </c>
      <c r="DG335" s="2" t="n">
        <v>100</v>
      </c>
      <c r="DH335" s="2" t="n">
        <v>100</v>
      </c>
      <c r="DI335" s="2" t="n">
        <v>0</v>
      </c>
      <c r="DJ335" s="2" t="n">
        <v>100</v>
      </c>
      <c r="DK335" s="2" t="n">
        <v>100</v>
      </c>
      <c r="DL335" s="2" t="n">
        <v>0</v>
      </c>
      <c r="DM335" s="2" t="n">
        <v>100</v>
      </c>
      <c r="DN335" s="2" t="n">
        <v>100</v>
      </c>
      <c r="DO335" s="2" t="n">
        <v>0</v>
      </c>
      <c r="DP335" s="2" t="n">
        <v>100</v>
      </c>
      <c r="DQ335" s="2" t="n">
        <v>100</v>
      </c>
      <c r="DR335" s="2" t="n">
        <v>0</v>
      </c>
      <c r="DS335" s="2" t="n">
        <v>100</v>
      </c>
      <c r="DT335" s="2" t="n">
        <v>100</v>
      </c>
      <c r="DU335" s="2" t="n">
        <v>0</v>
      </c>
      <c r="DV335" s="2" t="n">
        <v>100</v>
      </c>
      <c r="DW335" s="2" t="n">
        <v>100</v>
      </c>
      <c r="DX335" s="2" t="n">
        <v>0</v>
      </c>
      <c r="DY335" s="2" t="n">
        <v>100</v>
      </c>
      <c r="DZ335" s="2" t="n">
        <v>100</v>
      </c>
      <c r="EA335" s="2" t="n">
        <v>0</v>
      </c>
      <c r="EB335" s="2" t="n">
        <v>100</v>
      </c>
      <c r="EC335" s="2" t="n">
        <v>100</v>
      </c>
      <c r="ED335" s="2" t="n">
        <v>0</v>
      </c>
      <c r="EE335" s="2" t="n">
        <v>100</v>
      </c>
      <c r="EF335" s="2" t="n">
        <v>100</v>
      </c>
      <c r="EG335" s="2" t="n">
        <v>0</v>
      </c>
      <c r="EH335" s="2" t="n">
        <v>100</v>
      </c>
      <c r="EI335" s="2" t="n">
        <v>100</v>
      </c>
      <c r="EJ335" s="2" t="n">
        <v>0</v>
      </c>
      <c r="EK335" s="2" t="n">
        <v>100</v>
      </c>
      <c r="EL335" s="2" t="n">
        <v>100</v>
      </c>
      <c r="EM335" s="2" t="n">
        <v>0</v>
      </c>
      <c r="EN335" s="2" t="n">
        <v>100</v>
      </c>
      <c r="EO335" s="2" t="n">
        <v>100</v>
      </c>
      <c r="EP335" s="2" t="n">
        <v>0</v>
      </c>
      <c r="EQ335" s="2" t="n">
        <v>100</v>
      </c>
      <c r="ER335" s="2" t="n">
        <v>100</v>
      </c>
      <c r="ES335" s="2" t="n">
        <v>0</v>
      </c>
    </row>
    <row r="336">
      <c r="A336" s="2" t="n">
        <v>3</v>
      </c>
      <c r="B336" s="2" t="inlineStr">
        <is>
          <t>16.02.06</t>
        </is>
      </c>
      <c r="C336" s="2" t="inlineStr">
        <is>
          <t>Polimento de pisos de concreto, acabamento sarrafeado</t>
        </is>
      </c>
      <c r="D336" s="2" t="inlineStr">
        <is>
          <t>08/02/2027</t>
        </is>
      </c>
      <c r="E336" s="2" t="inlineStr">
        <is>
          <t>11/03/2027</t>
        </is>
      </c>
      <c r="F336" s="2" t="n">
        <v>34366.805</v>
      </c>
      <c r="G336" s="2" t="n">
        <v>0</v>
      </c>
      <c r="H336" s="2" t="n">
        <v>34366.805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  <c r="AN336" s="2" t="n">
        <v>0</v>
      </c>
      <c r="AO336" s="2" t="n">
        <v>0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n">
        <v>0</v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n">
        <v>0</v>
      </c>
      <c r="BI336" s="2" t="n">
        <v>0</v>
      </c>
      <c r="BJ336" s="2" t="n">
        <v>0</v>
      </c>
      <c r="BK336" s="2" t="n">
        <v>0</v>
      </c>
      <c r="BL336" s="2" t="n">
        <v>0</v>
      </c>
      <c r="BM336" s="2" t="n">
        <v>0</v>
      </c>
      <c r="BN336" s="2" t="n">
        <v>0</v>
      </c>
      <c r="BO336" s="2" t="n">
        <v>0</v>
      </c>
      <c r="BP336" s="2" t="n">
        <v>0</v>
      </c>
      <c r="BQ336" s="2" t="n">
        <v>20</v>
      </c>
      <c r="BR336" s="2" t="n">
        <v>68.18000000000001</v>
      </c>
      <c r="BS336" s="2" t="n">
        <v>0</v>
      </c>
      <c r="BT336" s="2" t="n">
        <v>100</v>
      </c>
      <c r="BU336" s="2" t="n">
        <v>100</v>
      </c>
      <c r="BV336" s="2" t="n">
        <v>0</v>
      </c>
      <c r="BW336" s="2" t="n">
        <v>100</v>
      </c>
      <c r="BX336" s="2" t="n">
        <v>100</v>
      </c>
      <c r="BY336" s="2" t="n">
        <v>0</v>
      </c>
      <c r="BZ336" s="2" t="n">
        <v>100</v>
      </c>
      <c r="CA336" s="2" t="n">
        <v>100</v>
      </c>
      <c r="CB336" s="2" t="n">
        <v>0</v>
      </c>
      <c r="CC336" s="2" t="n">
        <v>100</v>
      </c>
      <c r="CD336" s="2" t="n">
        <v>100</v>
      </c>
      <c r="CE336" s="2" t="n">
        <v>0</v>
      </c>
      <c r="CF336" s="2" t="n">
        <v>100</v>
      </c>
      <c r="CG336" s="2" t="n">
        <v>100</v>
      </c>
      <c r="CH336" s="2" t="n">
        <v>0</v>
      </c>
      <c r="CI336" s="2" t="n">
        <v>100</v>
      </c>
      <c r="CJ336" s="2" t="n">
        <v>100</v>
      </c>
      <c r="CK336" s="2" t="n">
        <v>0</v>
      </c>
      <c r="CL336" s="2" t="n">
        <v>100</v>
      </c>
      <c r="CM336" s="2" t="n">
        <v>100</v>
      </c>
      <c r="CN336" s="2" t="n">
        <v>0</v>
      </c>
      <c r="CO336" s="2" t="n">
        <v>100</v>
      </c>
      <c r="CP336" s="2" t="n">
        <v>100</v>
      </c>
      <c r="CQ336" s="2" t="n">
        <v>0</v>
      </c>
      <c r="CR336" s="2" t="n">
        <v>100</v>
      </c>
      <c r="CS336" s="2" t="n">
        <v>100</v>
      </c>
      <c r="CT336" s="2" t="n">
        <v>0</v>
      </c>
      <c r="CU336" s="2" t="n">
        <v>100</v>
      </c>
      <c r="CV336" s="2" t="n">
        <v>100</v>
      </c>
      <c r="CW336" s="2" t="n">
        <v>0</v>
      </c>
      <c r="CX336" s="2" t="n">
        <v>100</v>
      </c>
      <c r="CY336" s="2" t="n">
        <v>100</v>
      </c>
      <c r="CZ336" s="2" t="n">
        <v>0</v>
      </c>
      <c r="DA336" s="2" t="n">
        <v>100</v>
      </c>
      <c r="DB336" s="2" t="n">
        <v>100</v>
      </c>
      <c r="DC336" s="2" t="n">
        <v>0</v>
      </c>
      <c r="DD336" s="2" t="n">
        <v>100</v>
      </c>
      <c r="DE336" s="2" t="n">
        <v>100</v>
      </c>
      <c r="DF336" s="2" t="n">
        <v>0</v>
      </c>
      <c r="DG336" s="2" t="n">
        <v>100</v>
      </c>
      <c r="DH336" s="2" t="n">
        <v>100</v>
      </c>
      <c r="DI336" s="2" t="n">
        <v>0</v>
      </c>
      <c r="DJ336" s="2" t="n">
        <v>100</v>
      </c>
      <c r="DK336" s="2" t="n">
        <v>100</v>
      </c>
      <c r="DL336" s="2" t="n">
        <v>0</v>
      </c>
      <c r="DM336" s="2" t="n">
        <v>100</v>
      </c>
      <c r="DN336" s="2" t="n">
        <v>100</v>
      </c>
      <c r="DO336" s="2" t="n">
        <v>0</v>
      </c>
      <c r="DP336" s="2" t="n">
        <v>100</v>
      </c>
      <c r="DQ336" s="2" t="n">
        <v>100</v>
      </c>
      <c r="DR336" s="2" t="n">
        <v>0</v>
      </c>
      <c r="DS336" s="2" t="n">
        <v>100</v>
      </c>
      <c r="DT336" s="2" t="n">
        <v>100</v>
      </c>
      <c r="DU336" s="2" t="n">
        <v>0</v>
      </c>
      <c r="DV336" s="2" t="n">
        <v>100</v>
      </c>
      <c r="DW336" s="2" t="n">
        <v>100</v>
      </c>
      <c r="DX336" s="2" t="n">
        <v>0</v>
      </c>
      <c r="DY336" s="2" t="n">
        <v>100</v>
      </c>
      <c r="DZ336" s="2" t="n">
        <v>100</v>
      </c>
      <c r="EA336" s="2" t="n">
        <v>0</v>
      </c>
      <c r="EB336" s="2" t="n">
        <v>100</v>
      </c>
      <c r="EC336" s="2" t="n">
        <v>100</v>
      </c>
      <c r="ED336" s="2" t="n">
        <v>0</v>
      </c>
      <c r="EE336" s="2" t="n">
        <v>100</v>
      </c>
      <c r="EF336" s="2" t="n">
        <v>100</v>
      </c>
      <c r="EG336" s="2" t="n">
        <v>0</v>
      </c>
      <c r="EH336" s="2" t="n">
        <v>100</v>
      </c>
      <c r="EI336" s="2" t="n">
        <v>100</v>
      </c>
      <c r="EJ336" s="2" t="n">
        <v>0</v>
      </c>
      <c r="EK336" s="2" t="n">
        <v>100</v>
      </c>
      <c r="EL336" s="2" t="n">
        <v>100</v>
      </c>
      <c r="EM336" s="2" t="n">
        <v>0</v>
      </c>
      <c r="EN336" s="2" t="n">
        <v>100</v>
      </c>
      <c r="EO336" s="2" t="n">
        <v>100</v>
      </c>
      <c r="EP336" s="2" t="n">
        <v>0</v>
      </c>
      <c r="EQ336" s="2" t="n">
        <v>100</v>
      </c>
      <c r="ER336" s="2" t="n">
        <v>100</v>
      </c>
      <c r="ES336" s="2" t="n">
        <v>0</v>
      </c>
    </row>
    <row r="337">
      <c r="A337" s="2" t="n">
        <v>2</v>
      </c>
      <c r="B337" s="2" t="inlineStr">
        <is>
          <t>16.03</t>
        </is>
      </c>
      <c r="C337" s="2" t="inlineStr">
        <is>
          <t>Reservatórios inferiores</t>
        </is>
      </c>
      <c r="D337" s="2" t="inlineStr">
        <is>
          <t>19/10/2027</t>
        </is>
      </c>
      <c r="E337" s="2" t="inlineStr">
        <is>
          <t>06/12/2027</t>
        </is>
      </c>
      <c r="F337" s="2" t="n">
        <v>250000</v>
      </c>
      <c r="G337" s="2" t="n">
        <v>0</v>
      </c>
      <c r="H337" s="2" t="n">
        <v>250000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0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n">
        <v>0</v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n">
        <v>0</v>
      </c>
      <c r="BI337" s="2" t="n">
        <v>0</v>
      </c>
      <c r="BJ337" s="2" t="n">
        <v>0</v>
      </c>
      <c r="BK337" s="2" t="n">
        <v>0</v>
      </c>
      <c r="BL337" s="2" t="n">
        <v>0</v>
      </c>
      <c r="BM337" s="2" t="n">
        <v>0</v>
      </c>
      <c r="BN337" s="2" t="n">
        <v>0</v>
      </c>
      <c r="BO337" s="2" t="n">
        <v>0</v>
      </c>
      <c r="BP337" s="2" t="n">
        <v>0</v>
      </c>
      <c r="BQ337" s="2" t="n">
        <v>0</v>
      </c>
      <c r="BR337" s="2" t="n">
        <v>0</v>
      </c>
      <c r="BS337" s="2" t="n">
        <v>0</v>
      </c>
      <c r="BT337" s="2" t="n">
        <v>0</v>
      </c>
      <c r="BU337" s="2" t="n">
        <v>0</v>
      </c>
      <c r="BV337" s="2" t="n">
        <v>0</v>
      </c>
      <c r="BW337" s="2" t="n">
        <v>0</v>
      </c>
      <c r="BX337" s="2" t="n">
        <v>0</v>
      </c>
      <c r="BY337" s="2" t="n">
        <v>0</v>
      </c>
      <c r="BZ337" s="2" t="n">
        <v>0</v>
      </c>
      <c r="CA337" s="2" t="n">
        <v>0</v>
      </c>
      <c r="CB337" s="2" t="n">
        <v>0</v>
      </c>
      <c r="CC337" s="2" t="n">
        <v>0</v>
      </c>
      <c r="CD337" s="2" t="n">
        <v>0</v>
      </c>
      <c r="CE337" s="2" t="n">
        <v>0</v>
      </c>
      <c r="CF337" s="2" t="n">
        <v>0</v>
      </c>
      <c r="CG337" s="2" t="n">
        <v>0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24.24</v>
      </c>
      <c r="CP337" s="2" t="n">
        <v>27.27</v>
      </c>
      <c r="CQ337" s="2" t="n">
        <v>0</v>
      </c>
      <c r="CR337" s="2" t="n">
        <v>84.84999999999999</v>
      </c>
      <c r="CS337" s="2" t="n">
        <v>87.88</v>
      </c>
      <c r="CT337" s="2" t="n">
        <v>0</v>
      </c>
      <c r="CU337" s="2" t="n">
        <v>100</v>
      </c>
      <c r="CV337" s="2" t="n">
        <v>100</v>
      </c>
      <c r="CW337" s="2" t="n">
        <v>0</v>
      </c>
      <c r="CX337" s="2" t="n">
        <v>100</v>
      </c>
      <c r="CY337" s="2" t="n">
        <v>100</v>
      </c>
      <c r="CZ337" s="2" t="n">
        <v>0</v>
      </c>
      <c r="DA337" s="2" t="n">
        <v>100</v>
      </c>
      <c r="DB337" s="2" t="n">
        <v>100</v>
      </c>
      <c r="DC337" s="2" t="n">
        <v>0</v>
      </c>
      <c r="DD337" s="2" t="n">
        <v>100</v>
      </c>
      <c r="DE337" s="2" t="n">
        <v>100</v>
      </c>
      <c r="DF337" s="2" t="n">
        <v>0</v>
      </c>
      <c r="DG337" s="2" t="n">
        <v>100</v>
      </c>
      <c r="DH337" s="2" t="n">
        <v>100</v>
      </c>
      <c r="DI337" s="2" t="n">
        <v>0</v>
      </c>
      <c r="DJ337" s="2" t="n">
        <v>100</v>
      </c>
      <c r="DK337" s="2" t="n">
        <v>100</v>
      </c>
      <c r="DL337" s="2" t="n">
        <v>0</v>
      </c>
      <c r="DM337" s="2" t="n">
        <v>100</v>
      </c>
      <c r="DN337" s="2" t="n">
        <v>100</v>
      </c>
      <c r="DO337" s="2" t="n">
        <v>0</v>
      </c>
      <c r="DP337" s="2" t="n">
        <v>100</v>
      </c>
      <c r="DQ337" s="2" t="n">
        <v>100</v>
      </c>
      <c r="DR337" s="2" t="n">
        <v>0</v>
      </c>
      <c r="DS337" s="2" t="n">
        <v>100</v>
      </c>
      <c r="DT337" s="2" t="n">
        <v>100</v>
      </c>
      <c r="DU337" s="2" t="n">
        <v>0</v>
      </c>
      <c r="DV337" s="2" t="n">
        <v>100</v>
      </c>
      <c r="DW337" s="2" t="n">
        <v>100</v>
      </c>
      <c r="DX337" s="2" t="n">
        <v>0</v>
      </c>
      <c r="DY337" s="2" t="n">
        <v>100</v>
      </c>
      <c r="DZ337" s="2" t="n">
        <v>100</v>
      </c>
      <c r="EA337" s="2" t="n">
        <v>0</v>
      </c>
      <c r="EB337" s="2" t="n">
        <v>100</v>
      </c>
      <c r="EC337" s="2" t="n">
        <v>100</v>
      </c>
      <c r="ED337" s="2" t="n">
        <v>0</v>
      </c>
      <c r="EE337" s="2" t="n">
        <v>100</v>
      </c>
      <c r="EF337" s="2" t="n">
        <v>100</v>
      </c>
      <c r="EG337" s="2" t="n">
        <v>0</v>
      </c>
      <c r="EH337" s="2" t="n">
        <v>100</v>
      </c>
      <c r="EI337" s="2" t="n">
        <v>100</v>
      </c>
      <c r="EJ337" s="2" t="n">
        <v>0</v>
      </c>
      <c r="EK337" s="2" t="n">
        <v>100</v>
      </c>
      <c r="EL337" s="2" t="n">
        <v>100</v>
      </c>
      <c r="EM337" s="2" t="n">
        <v>0</v>
      </c>
      <c r="EN337" s="2" t="n">
        <v>100</v>
      </c>
      <c r="EO337" s="2" t="n">
        <v>100</v>
      </c>
      <c r="EP337" s="2" t="n">
        <v>0</v>
      </c>
      <c r="EQ337" s="2" t="n">
        <v>100</v>
      </c>
      <c r="ER337" s="2" t="n">
        <v>100</v>
      </c>
      <c r="ES337" s="2" t="n">
        <v>0</v>
      </c>
    </row>
    <row r="338">
      <c r="A338" s="2" t="n">
        <v>3</v>
      </c>
      <c r="B338" s="2" t="inlineStr">
        <is>
          <t>16.03.01</t>
        </is>
      </c>
      <c r="C338" s="2" t="inlineStr">
        <is>
          <t>Estimativa para reservatórios inferiores</t>
        </is>
      </c>
      <c r="D338" s="2" t="inlineStr">
        <is>
          <t>19/10/2027</t>
        </is>
      </c>
      <c r="E338" s="2" t="inlineStr">
        <is>
          <t>06/12/2027</t>
        </is>
      </c>
      <c r="F338" s="2" t="n">
        <v>250000</v>
      </c>
      <c r="G338" s="2" t="n">
        <v>0</v>
      </c>
      <c r="H338" s="2" t="n">
        <v>250000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  <c r="AN338" s="2" t="n">
        <v>0</v>
      </c>
      <c r="AO338" s="2" t="n">
        <v>0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n">
        <v>0</v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n">
        <v>0</v>
      </c>
      <c r="BI338" s="2" t="n">
        <v>0</v>
      </c>
      <c r="BJ338" s="2" t="n">
        <v>0</v>
      </c>
      <c r="BK338" s="2" t="n">
        <v>0</v>
      </c>
      <c r="BL338" s="2" t="n">
        <v>0</v>
      </c>
      <c r="BM338" s="2" t="n">
        <v>0</v>
      </c>
      <c r="BN338" s="2" t="n">
        <v>0</v>
      </c>
      <c r="BO338" s="2" t="n">
        <v>0</v>
      </c>
      <c r="BP338" s="2" t="n">
        <v>0</v>
      </c>
      <c r="BQ338" s="2" t="n">
        <v>0</v>
      </c>
      <c r="BR338" s="2" t="n">
        <v>0</v>
      </c>
      <c r="BS338" s="2" t="n">
        <v>0</v>
      </c>
      <c r="BT338" s="2" t="n">
        <v>0</v>
      </c>
      <c r="BU338" s="2" t="n">
        <v>0</v>
      </c>
      <c r="BV338" s="2" t="n">
        <v>0</v>
      </c>
      <c r="BW338" s="2" t="n">
        <v>0</v>
      </c>
      <c r="BX338" s="2" t="n">
        <v>0</v>
      </c>
      <c r="BY338" s="2" t="n">
        <v>0</v>
      </c>
      <c r="BZ338" s="2" t="n">
        <v>0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24.24</v>
      </c>
      <c r="CP338" s="2" t="n">
        <v>27.27</v>
      </c>
      <c r="CQ338" s="2" t="n">
        <v>0</v>
      </c>
      <c r="CR338" s="2" t="n">
        <v>84.84999999999999</v>
      </c>
      <c r="CS338" s="2" t="n">
        <v>87.88</v>
      </c>
      <c r="CT338" s="2" t="n">
        <v>0</v>
      </c>
      <c r="CU338" s="2" t="n">
        <v>100</v>
      </c>
      <c r="CV338" s="2" t="n">
        <v>100</v>
      </c>
      <c r="CW338" s="2" t="n">
        <v>0</v>
      </c>
      <c r="CX338" s="2" t="n">
        <v>100</v>
      </c>
      <c r="CY338" s="2" t="n">
        <v>100</v>
      </c>
      <c r="CZ338" s="2" t="n">
        <v>0</v>
      </c>
      <c r="DA338" s="2" t="n">
        <v>100</v>
      </c>
      <c r="DB338" s="2" t="n">
        <v>100</v>
      </c>
      <c r="DC338" s="2" t="n">
        <v>0</v>
      </c>
      <c r="DD338" s="2" t="n">
        <v>100</v>
      </c>
      <c r="DE338" s="2" t="n">
        <v>100</v>
      </c>
      <c r="DF338" s="2" t="n">
        <v>0</v>
      </c>
      <c r="DG338" s="2" t="n">
        <v>100</v>
      </c>
      <c r="DH338" s="2" t="n">
        <v>100</v>
      </c>
      <c r="DI338" s="2" t="n">
        <v>0</v>
      </c>
      <c r="DJ338" s="2" t="n">
        <v>100</v>
      </c>
      <c r="DK338" s="2" t="n">
        <v>100</v>
      </c>
      <c r="DL338" s="2" t="n">
        <v>0</v>
      </c>
      <c r="DM338" s="2" t="n">
        <v>100</v>
      </c>
      <c r="DN338" s="2" t="n">
        <v>100</v>
      </c>
      <c r="DO338" s="2" t="n">
        <v>0</v>
      </c>
      <c r="DP338" s="2" t="n">
        <v>100</v>
      </c>
      <c r="DQ338" s="2" t="n">
        <v>100</v>
      </c>
      <c r="DR338" s="2" t="n">
        <v>0</v>
      </c>
      <c r="DS338" s="2" t="n">
        <v>100</v>
      </c>
      <c r="DT338" s="2" t="n">
        <v>100</v>
      </c>
      <c r="DU338" s="2" t="n">
        <v>0</v>
      </c>
      <c r="DV338" s="2" t="n">
        <v>100</v>
      </c>
      <c r="DW338" s="2" t="n">
        <v>100</v>
      </c>
      <c r="DX338" s="2" t="n">
        <v>0</v>
      </c>
      <c r="DY338" s="2" t="n">
        <v>100</v>
      </c>
      <c r="DZ338" s="2" t="n">
        <v>100</v>
      </c>
      <c r="EA338" s="2" t="n">
        <v>0</v>
      </c>
      <c r="EB338" s="2" t="n">
        <v>100</v>
      </c>
      <c r="EC338" s="2" t="n">
        <v>100</v>
      </c>
      <c r="ED338" s="2" t="n">
        <v>0</v>
      </c>
      <c r="EE338" s="2" t="n">
        <v>100</v>
      </c>
      <c r="EF338" s="2" t="n">
        <v>100</v>
      </c>
      <c r="EG338" s="2" t="n">
        <v>0</v>
      </c>
      <c r="EH338" s="2" t="n">
        <v>100</v>
      </c>
      <c r="EI338" s="2" t="n">
        <v>100</v>
      </c>
      <c r="EJ338" s="2" t="n">
        <v>0</v>
      </c>
      <c r="EK338" s="2" t="n">
        <v>100</v>
      </c>
      <c r="EL338" s="2" t="n">
        <v>100</v>
      </c>
      <c r="EM338" s="2" t="n">
        <v>0</v>
      </c>
      <c r="EN338" s="2" t="n">
        <v>100</v>
      </c>
      <c r="EO338" s="2" t="n">
        <v>100</v>
      </c>
      <c r="EP338" s="2" t="n">
        <v>0</v>
      </c>
      <c r="EQ338" s="2" t="n">
        <v>100</v>
      </c>
      <c r="ER338" s="2" t="n">
        <v>100</v>
      </c>
      <c r="ES338" s="2" t="n">
        <v>0</v>
      </c>
    </row>
    <row r="339">
      <c r="A339" s="2" t="n">
        <v>1</v>
      </c>
      <c r="B339" s="2" t="inlineStr">
        <is>
          <t>17</t>
        </is>
      </c>
      <c r="C339" s="2" t="inlineStr">
        <is>
          <t>ESTRUTURA EM CONCRETO ARMADO</t>
        </is>
      </c>
      <c r="D339" s="2" t="inlineStr">
        <is>
          <t>15/06/2026</t>
        </is>
      </c>
      <c r="E339" s="2" t="inlineStr">
        <is>
          <t>11/02/2028</t>
        </is>
      </c>
      <c r="F339" s="2" t="n">
        <v>25651081.59268831</v>
      </c>
      <c r="G339" s="2" t="n">
        <v>0</v>
      </c>
      <c r="H339" s="2" t="n">
        <v>25651081.59268831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0</v>
      </c>
      <c r="AM339" s="2" t="n">
        <v>0</v>
      </c>
      <c r="AN339" s="2" t="n">
        <v>0</v>
      </c>
      <c r="AO339" s="2" t="n">
        <v>0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0.8100000000000001</v>
      </c>
      <c r="AU339" s="2" t="n">
        <v>0.7</v>
      </c>
      <c r="AV339" s="2" t="n">
        <v>0</v>
      </c>
      <c r="AW339" s="2" t="n">
        <v>2.36</v>
      </c>
      <c r="AX339" s="2" t="n">
        <v>3.16</v>
      </c>
      <c r="AY339" s="2" t="n">
        <v>0</v>
      </c>
      <c r="AZ339" s="2" t="n">
        <v>9.75</v>
      </c>
      <c r="BA339" s="2" t="n">
        <v>8.07</v>
      </c>
      <c r="BB339" s="2" t="n">
        <v>0</v>
      </c>
      <c r="BC339" s="2" t="n">
        <v>14.82</v>
      </c>
      <c r="BD339" s="2" t="n">
        <v>9.65</v>
      </c>
      <c r="BE339" s="2" t="n">
        <v>0</v>
      </c>
      <c r="BF339" s="2" t="n">
        <v>20.19</v>
      </c>
      <c r="BG339" s="2" t="n">
        <v>9.65</v>
      </c>
      <c r="BH339" s="2" t="n">
        <v>0</v>
      </c>
      <c r="BI339" s="2" t="n">
        <v>25.29</v>
      </c>
      <c r="BJ339" s="2" t="n">
        <v>9.65</v>
      </c>
      <c r="BK339" s="2" t="n">
        <v>0</v>
      </c>
      <c r="BL339" s="2" t="n">
        <v>29.8</v>
      </c>
      <c r="BM339" s="2" t="n">
        <v>9.65</v>
      </c>
      <c r="BN339" s="2" t="n">
        <v>0</v>
      </c>
      <c r="BO339" s="2" t="n">
        <v>36.05</v>
      </c>
      <c r="BP339" s="2" t="n">
        <v>9.65</v>
      </c>
      <c r="BQ339" s="2" t="n">
        <v>0</v>
      </c>
      <c r="BR339" s="2" t="n">
        <v>40.96</v>
      </c>
      <c r="BS339" s="2" t="n">
        <v>9.65</v>
      </c>
      <c r="BT339" s="2" t="n">
        <v>0</v>
      </c>
      <c r="BU339" s="2" t="n">
        <v>46.13</v>
      </c>
      <c r="BV339" s="2" t="n">
        <v>9.65</v>
      </c>
      <c r="BW339" s="2" t="n">
        <v>0</v>
      </c>
      <c r="BX339" s="2" t="n">
        <v>52.15</v>
      </c>
      <c r="BY339" s="2" t="n">
        <v>9.65</v>
      </c>
      <c r="BZ339" s="2" t="n">
        <v>0</v>
      </c>
      <c r="CA339" s="2" t="n">
        <v>58.09</v>
      </c>
      <c r="CB339" s="2" t="n">
        <v>9.65</v>
      </c>
      <c r="CC339" s="2" t="n">
        <v>0</v>
      </c>
      <c r="CD339" s="2" t="n">
        <v>64.66</v>
      </c>
      <c r="CE339" s="2" t="n">
        <v>9.65</v>
      </c>
      <c r="CF339" s="2" t="n">
        <v>0</v>
      </c>
      <c r="CG339" s="2" t="n">
        <v>70.45</v>
      </c>
      <c r="CH339" s="2" t="n">
        <v>9.65</v>
      </c>
      <c r="CI339" s="2" t="n">
        <v>0</v>
      </c>
      <c r="CJ339" s="2" t="n">
        <v>76.94</v>
      </c>
      <c r="CK339" s="2" t="n">
        <v>9.65</v>
      </c>
      <c r="CL339" s="2" t="n">
        <v>0</v>
      </c>
      <c r="CM339" s="2" t="n">
        <v>82.63</v>
      </c>
      <c r="CN339" s="2" t="n">
        <v>9.65</v>
      </c>
      <c r="CO339" s="2" t="n">
        <v>0</v>
      </c>
      <c r="CP339" s="2" t="n">
        <v>88.36</v>
      </c>
      <c r="CQ339" s="2" t="n">
        <v>9.65</v>
      </c>
      <c r="CR339" s="2" t="n">
        <v>0</v>
      </c>
      <c r="CS339" s="2" t="n">
        <v>93.31</v>
      </c>
      <c r="CT339" s="2" t="n">
        <v>9.65</v>
      </c>
      <c r="CU339" s="2" t="n">
        <v>0</v>
      </c>
      <c r="CV339" s="2" t="n">
        <v>96.62</v>
      </c>
      <c r="CW339" s="2" t="n">
        <v>9.65</v>
      </c>
      <c r="CX339" s="2" t="n">
        <v>0</v>
      </c>
      <c r="CY339" s="2" t="n">
        <v>99.08</v>
      </c>
      <c r="CZ339" s="2" t="n">
        <v>9.65</v>
      </c>
      <c r="DA339" s="2" t="n">
        <v>0</v>
      </c>
      <c r="DB339" s="2" t="n">
        <v>100</v>
      </c>
      <c r="DC339" s="2" t="n">
        <v>9.65</v>
      </c>
      <c r="DD339" s="2" t="n">
        <v>0</v>
      </c>
      <c r="DE339" s="2" t="n">
        <v>100</v>
      </c>
      <c r="DF339" s="2" t="n">
        <v>9.65</v>
      </c>
      <c r="DG339" s="2" t="n">
        <v>0</v>
      </c>
      <c r="DH339" s="2" t="n">
        <v>100</v>
      </c>
      <c r="DI339" s="2" t="n">
        <v>9.65</v>
      </c>
      <c r="DJ339" s="2" t="n">
        <v>0</v>
      </c>
      <c r="DK339" s="2" t="n">
        <v>100</v>
      </c>
      <c r="DL339" s="2" t="n">
        <v>9.65</v>
      </c>
      <c r="DM339" s="2" t="n">
        <v>0</v>
      </c>
      <c r="DN339" s="2" t="n">
        <v>100</v>
      </c>
      <c r="DO339" s="2" t="n">
        <v>9.65</v>
      </c>
      <c r="DP339" s="2" t="n">
        <v>0</v>
      </c>
      <c r="DQ339" s="2" t="n">
        <v>100</v>
      </c>
      <c r="DR339" s="2" t="n">
        <v>9.65</v>
      </c>
      <c r="DS339" s="2" t="n">
        <v>0</v>
      </c>
      <c r="DT339" s="2" t="n">
        <v>100</v>
      </c>
      <c r="DU339" s="2" t="n">
        <v>9.65</v>
      </c>
      <c r="DV339" s="2" t="n">
        <v>0</v>
      </c>
      <c r="DW339" s="2" t="n">
        <v>100</v>
      </c>
      <c r="DX339" s="2" t="n">
        <v>9.65</v>
      </c>
      <c r="DY339" s="2" t="n">
        <v>0</v>
      </c>
      <c r="DZ339" s="2" t="n">
        <v>100</v>
      </c>
      <c r="EA339" s="2" t="n">
        <v>9.65</v>
      </c>
      <c r="EB339" s="2" t="n">
        <v>0</v>
      </c>
      <c r="EC339" s="2" t="n">
        <v>100</v>
      </c>
      <c r="ED339" s="2" t="n">
        <v>9.65</v>
      </c>
      <c r="EE339" s="2" t="n">
        <v>0</v>
      </c>
      <c r="EF339" s="2" t="n">
        <v>100</v>
      </c>
      <c r="EG339" s="2" t="n">
        <v>9.65</v>
      </c>
      <c r="EH339" s="2" t="n">
        <v>0</v>
      </c>
      <c r="EI339" s="2" t="n">
        <v>100</v>
      </c>
      <c r="EJ339" s="2" t="n">
        <v>9.65</v>
      </c>
      <c r="EK339" s="2" t="n">
        <v>0</v>
      </c>
      <c r="EL339" s="2" t="n">
        <v>100</v>
      </c>
      <c r="EM339" s="2" t="n">
        <v>9.65</v>
      </c>
      <c r="EN339" s="2" t="n">
        <v>0</v>
      </c>
      <c r="EO339" s="2" t="n">
        <v>100</v>
      </c>
      <c r="EP339" s="2" t="n">
        <v>9.65</v>
      </c>
      <c r="EQ339" s="2" t="n">
        <v>0</v>
      </c>
      <c r="ER339" s="2" t="n">
        <v>100</v>
      </c>
      <c r="ES339" s="2" t="n">
        <v>9.65</v>
      </c>
    </row>
    <row r="340">
      <c r="A340" s="2" t="n">
        <v>2</v>
      </c>
      <c r="B340" s="2" t="inlineStr">
        <is>
          <t>17.01</t>
        </is>
      </c>
      <c r="C340" s="2" t="inlineStr">
        <is>
          <t>Pilares, vigas e lajes</t>
        </is>
      </c>
      <c r="D340" s="2" t="inlineStr">
        <is>
          <t>15/06/2026</t>
        </is>
      </c>
      <c r="E340" s="2" t="inlineStr">
        <is>
          <t>11/02/2028</t>
        </is>
      </c>
      <c r="F340" s="2" t="n">
        <v>25521516.7931479</v>
      </c>
      <c r="G340" s="2" t="n">
        <v>0</v>
      </c>
      <c r="H340" s="2" t="n">
        <v>25521516.7931479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0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0.8100000000000001</v>
      </c>
      <c r="AU340" s="2" t="n">
        <v>0.7</v>
      </c>
      <c r="AV340" s="2" t="n">
        <v>0</v>
      </c>
      <c r="AW340" s="2" t="n">
        <v>2.36</v>
      </c>
      <c r="AX340" s="2" t="n">
        <v>3.16</v>
      </c>
      <c r="AY340" s="2" t="n">
        <v>0</v>
      </c>
      <c r="AZ340" s="2" t="n">
        <v>9.75</v>
      </c>
      <c r="BA340" s="2" t="n">
        <v>8.07</v>
      </c>
      <c r="BB340" s="2" t="n">
        <v>0</v>
      </c>
      <c r="BC340" s="2" t="n">
        <v>14.82</v>
      </c>
      <c r="BD340" s="2" t="n">
        <v>9.65</v>
      </c>
      <c r="BE340" s="2" t="n">
        <v>0</v>
      </c>
      <c r="BF340" s="2" t="n">
        <v>20.19</v>
      </c>
      <c r="BG340" s="2" t="n">
        <v>9.65</v>
      </c>
      <c r="BH340" s="2" t="n">
        <v>0</v>
      </c>
      <c r="BI340" s="2" t="n">
        <v>25.29</v>
      </c>
      <c r="BJ340" s="2" t="n">
        <v>9.65</v>
      </c>
      <c r="BK340" s="2" t="n">
        <v>0</v>
      </c>
      <c r="BL340" s="2" t="n">
        <v>29.8</v>
      </c>
      <c r="BM340" s="2" t="n">
        <v>9.65</v>
      </c>
      <c r="BN340" s="2" t="n">
        <v>0</v>
      </c>
      <c r="BO340" s="2" t="n">
        <v>36.05</v>
      </c>
      <c r="BP340" s="2" t="n">
        <v>9.65</v>
      </c>
      <c r="BQ340" s="2" t="n">
        <v>0</v>
      </c>
      <c r="BR340" s="2" t="n">
        <v>40.96</v>
      </c>
      <c r="BS340" s="2" t="n">
        <v>9.65</v>
      </c>
      <c r="BT340" s="2" t="n">
        <v>0</v>
      </c>
      <c r="BU340" s="2" t="n">
        <v>46.13</v>
      </c>
      <c r="BV340" s="2" t="n">
        <v>9.65</v>
      </c>
      <c r="BW340" s="2" t="n">
        <v>0</v>
      </c>
      <c r="BX340" s="2" t="n">
        <v>52.15</v>
      </c>
      <c r="BY340" s="2" t="n">
        <v>9.65</v>
      </c>
      <c r="BZ340" s="2" t="n">
        <v>0</v>
      </c>
      <c r="CA340" s="2" t="n">
        <v>58.09</v>
      </c>
      <c r="CB340" s="2" t="n">
        <v>9.65</v>
      </c>
      <c r="CC340" s="2" t="n">
        <v>0</v>
      </c>
      <c r="CD340" s="2" t="n">
        <v>64.66</v>
      </c>
      <c r="CE340" s="2" t="n">
        <v>9.65</v>
      </c>
      <c r="CF340" s="2" t="n">
        <v>0</v>
      </c>
      <c r="CG340" s="2" t="n">
        <v>70.45</v>
      </c>
      <c r="CH340" s="2" t="n">
        <v>9.65</v>
      </c>
      <c r="CI340" s="2" t="n">
        <v>0</v>
      </c>
      <c r="CJ340" s="2" t="n">
        <v>76.94</v>
      </c>
      <c r="CK340" s="2" t="n">
        <v>9.65</v>
      </c>
      <c r="CL340" s="2" t="n">
        <v>0</v>
      </c>
      <c r="CM340" s="2" t="n">
        <v>82.63</v>
      </c>
      <c r="CN340" s="2" t="n">
        <v>9.65</v>
      </c>
      <c r="CO340" s="2" t="n">
        <v>0</v>
      </c>
      <c r="CP340" s="2" t="n">
        <v>88.36</v>
      </c>
      <c r="CQ340" s="2" t="n">
        <v>9.65</v>
      </c>
      <c r="CR340" s="2" t="n">
        <v>0</v>
      </c>
      <c r="CS340" s="2" t="n">
        <v>93.31</v>
      </c>
      <c r="CT340" s="2" t="n">
        <v>9.65</v>
      </c>
      <c r="CU340" s="2" t="n">
        <v>0</v>
      </c>
      <c r="CV340" s="2" t="n">
        <v>96.62</v>
      </c>
      <c r="CW340" s="2" t="n">
        <v>9.65</v>
      </c>
      <c r="CX340" s="2" t="n">
        <v>0</v>
      </c>
      <c r="CY340" s="2" t="n">
        <v>99.08</v>
      </c>
      <c r="CZ340" s="2" t="n">
        <v>9.65</v>
      </c>
      <c r="DA340" s="2" t="n">
        <v>0</v>
      </c>
      <c r="DB340" s="2" t="n">
        <v>100</v>
      </c>
      <c r="DC340" s="2" t="n">
        <v>9.65</v>
      </c>
      <c r="DD340" s="2" t="n">
        <v>0</v>
      </c>
      <c r="DE340" s="2" t="n">
        <v>100</v>
      </c>
      <c r="DF340" s="2" t="n">
        <v>9.65</v>
      </c>
      <c r="DG340" s="2" t="n">
        <v>0</v>
      </c>
      <c r="DH340" s="2" t="n">
        <v>100</v>
      </c>
      <c r="DI340" s="2" t="n">
        <v>9.65</v>
      </c>
      <c r="DJ340" s="2" t="n">
        <v>0</v>
      </c>
      <c r="DK340" s="2" t="n">
        <v>100</v>
      </c>
      <c r="DL340" s="2" t="n">
        <v>9.65</v>
      </c>
      <c r="DM340" s="2" t="n">
        <v>0</v>
      </c>
      <c r="DN340" s="2" t="n">
        <v>100</v>
      </c>
      <c r="DO340" s="2" t="n">
        <v>9.65</v>
      </c>
      <c r="DP340" s="2" t="n">
        <v>0</v>
      </c>
      <c r="DQ340" s="2" t="n">
        <v>100</v>
      </c>
      <c r="DR340" s="2" t="n">
        <v>9.65</v>
      </c>
      <c r="DS340" s="2" t="n">
        <v>0</v>
      </c>
      <c r="DT340" s="2" t="n">
        <v>100</v>
      </c>
      <c r="DU340" s="2" t="n">
        <v>9.65</v>
      </c>
      <c r="DV340" s="2" t="n">
        <v>0</v>
      </c>
      <c r="DW340" s="2" t="n">
        <v>100</v>
      </c>
      <c r="DX340" s="2" t="n">
        <v>9.65</v>
      </c>
      <c r="DY340" s="2" t="n">
        <v>0</v>
      </c>
      <c r="DZ340" s="2" t="n">
        <v>100</v>
      </c>
      <c r="EA340" s="2" t="n">
        <v>9.65</v>
      </c>
      <c r="EB340" s="2" t="n">
        <v>0</v>
      </c>
      <c r="EC340" s="2" t="n">
        <v>100</v>
      </c>
      <c r="ED340" s="2" t="n">
        <v>9.65</v>
      </c>
      <c r="EE340" s="2" t="n">
        <v>0</v>
      </c>
      <c r="EF340" s="2" t="n">
        <v>100</v>
      </c>
      <c r="EG340" s="2" t="n">
        <v>9.65</v>
      </c>
      <c r="EH340" s="2" t="n">
        <v>0</v>
      </c>
      <c r="EI340" s="2" t="n">
        <v>100</v>
      </c>
      <c r="EJ340" s="2" t="n">
        <v>9.65</v>
      </c>
      <c r="EK340" s="2" t="n">
        <v>0</v>
      </c>
      <c r="EL340" s="2" t="n">
        <v>100</v>
      </c>
      <c r="EM340" s="2" t="n">
        <v>9.65</v>
      </c>
      <c r="EN340" s="2" t="n">
        <v>0</v>
      </c>
      <c r="EO340" s="2" t="n">
        <v>100</v>
      </c>
      <c r="EP340" s="2" t="n">
        <v>9.65</v>
      </c>
      <c r="EQ340" s="2" t="n">
        <v>0</v>
      </c>
      <c r="ER340" s="2" t="n">
        <v>100</v>
      </c>
      <c r="ES340" s="2" t="n">
        <v>9.65</v>
      </c>
    </row>
    <row r="341">
      <c r="A341" s="2" t="n">
        <v>3</v>
      </c>
      <c r="B341" s="2" t="inlineStr">
        <is>
          <t>17.01.01</t>
        </is>
      </c>
      <c r="C341" s="2" t="inlineStr">
        <is>
          <t>Formas para pilares, vigas e lajes convencionais  - pé-direito até 3,49</t>
        </is>
      </c>
      <c r="D341" s="2" t="inlineStr">
        <is>
          <t>15/06/2026</t>
        </is>
      </c>
      <c r="E341" s="2" t="inlineStr">
        <is>
          <t>11/02/2028</t>
        </is>
      </c>
      <c r="F341" s="2" t="n">
        <v>5558925.915075012</v>
      </c>
      <c r="G341" s="2" t="n">
        <v>0</v>
      </c>
      <c r="H341" s="2" t="n">
        <v>5558925.915075012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0</v>
      </c>
      <c r="AN341" s="2" t="n">
        <v>0</v>
      </c>
      <c r="AO341" s="2" t="n">
        <v>0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0.8100000000000001</v>
      </c>
      <c r="AU341" s="2" t="n">
        <v>0.7</v>
      </c>
      <c r="AV341" s="2" t="n">
        <v>0</v>
      </c>
      <c r="AW341" s="2" t="n">
        <v>2.36</v>
      </c>
      <c r="AX341" s="2" t="n">
        <v>3.16</v>
      </c>
      <c r="AY341" s="2" t="n">
        <v>0</v>
      </c>
      <c r="AZ341" s="2" t="n">
        <v>9.75</v>
      </c>
      <c r="BA341" s="2" t="n">
        <v>8.07</v>
      </c>
      <c r="BB341" s="2" t="n">
        <v>0</v>
      </c>
      <c r="BC341" s="2" t="n">
        <v>14.82</v>
      </c>
      <c r="BD341" s="2" t="n">
        <v>9.65</v>
      </c>
      <c r="BE341" s="2" t="n">
        <v>0</v>
      </c>
      <c r="BF341" s="2" t="n">
        <v>20.19</v>
      </c>
      <c r="BG341" s="2" t="n">
        <v>9.65</v>
      </c>
      <c r="BH341" s="2" t="n">
        <v>0</v>
      </c>
      <c r="BI341" s="2" t="n">
        <v>25.29</v>
      </c>
      <c r="BJ341" s="2" t="n">
        <v>9.65</v>
      </c>
      <c r="BK341" s="2" t="n">
        <v>0</v>
      </c>
      <c r="BL341" s="2" t="n">
        <v>29.8</v>
      </c>
      <c r="BM341" s="2" t="n">
        <v>9.65</v>
      </c>
      <c r="BN341" s="2" t="n">
        <v>0</v>
      </c>
      <c r="BO341" s="2" t="n">
        <v>36.05</v>
      </c>
      <c r="BP341" s="2" t="n">
        <v>9.65</v>
      </c>
      <c r="BQ341" s="2" t="n">
        <v>0</v>
      </c>
      <c r="BR341" s="2" t="n">
        <v>40.96</v>
      </c>
      <c r="BS341" s="2" t="n">
        <v>9.65</v>
      </c>
      <c r="BT341" s="2" t="n">
        <v>0</v>
      </c>
      <c r="BU341" s="2" t="n">
        <v>46.13</v>
      </c>
      <c r="BV341" s="2" t="n">
        <v>9.65</v>
      </c>
      <c r="BW341" s="2" t="n">
        <v>0</v>
      </c>
      <c r="BX341" s="2" t="n">
        <v>52.15</v>
      </c>
      <c r="BY341" s="2" t="n">
        <v>9.65</v>
      </c>
      <c r="BZ341" s="2" t="n">
        <v>0</v>
      </c>
      <c r="CA341" s="2" t="n">
        <v>58.09</v>
      </c>
      <c r="CB341" s="2" t="n">
        <v>9.65</v>
      </c>
      <c r="CC341" s="2" t="n">
        <v>0</v>
      </c>
      <c r="CD341" s="2" t="n">
        <v>64.66</v>
      </c>
      <c r="CE341" s="2" t="n">
        <v>9.65</v>
      </c>
      <c r="CF341" s="2" t="n">
        <v>0</v>
      </c>
      <c r="CG341" s="2" t="n">
        <v>70.45</v>
      </c>
      <c r="CH341" s="2" t="n">
        <v>9.65</v>
      </c>
      <c r="CI341" s="2" t="n">
        <v>0</v>
      </c>
      <c r="CJ341" s="2" t="n">
        <v>76.94</v>
      </c>
      <c r="CK341" s="2" t="n">
        <v>9.65</v>
      </c>
      <c r="CL341" s="2" t="n">
        <v>0</v>
      </c>
      <c r="CM341" s="2" t="n">
        <v>82.63</v>
      </c>
      <c r="CN341" s="2" t="n">
        <v>9.65</v>
      </c>
      <c r="CO341" s="2" t="n">
        <v>0</v>
      </c>
      <c r="CP341" s="2" t="n">
        <v>88.36</v>
      </c>
      <c r="CQ341" s="2" t="n">
        <v>9.65</v>
      </c>
      <c r="CR341" s="2" t="n">
        <v>0</v>
      </c>
      <c r="CS341" s="2" t="n">
        <v>93.31</v>
      </c>
      <c r="CT341" s="2" t="n">
        <v>9.65</v>
      </c>
      <c r="CU341" s="2" t="n">
        <v>0</v>
      </c>
      <c r="CV341" s="2" t="n">
        <v>96.62</v>
      </c>
      <c r="CW341" s="2" t="n">
        <v>9.65</v>
      </c>
      <c r="CX341" s="2" t="n">
        <v>0</v>
      </c>
      <c r="CY341" s="2" t="n">
        <v>99.08</v>
      </c>
      <c r="CZ341" s="2" t="n">
        <v>9.65</v>
      </c>
      <c r="DA341" s="2" t="n">
        <v>0</v>
      </c>
      <c r="DB341" s="2" t="n">
        <v>100</v>
      </c>
      <c r="DC341" s="2" t="n">
        <v>9.65</v>
      </c>
      <c r="DD341" s="2" t="n">
        <v>0</v>
      </c>
      <c r="DE341" s="2" t="n">
        <v>100</v>
      </c>
      <c r="DF341" s="2" t="n">
        <v>9.65</v>
      </c>
      <c r="DG341" s="2" t="n">
        <v>0</v>
      </c>
      <c r="DH341" s="2" t="n">
        <v>100</v>
      </c>
      <c r="DI341" s="2" t="n">
        <v>9.65</v>
      </c>
      <c r="DJ341" s="2" t="n">
        <v>0</v>
      </c>
      <c r="DK341" s="2" t="n">
        <v>100</v>
      </c>
      <c r="DL341" s="2" t="n">
        <v>9.65</v>
      </c>
      <c r="DM341" s="2" t="n">
        <v>0</v>
      </c>
      <c r="DN341" s="2" t="n">
        <v>100</v>
      </c>
      <c r="DO341" s="2" t="n">
        <v>9.65</v>
      </c>
      <c r="DP341" s="2" t="n">
        <v>0</v>
      </c>
      <c r="DQ341" s="2" t="n">
        <v>100</v>
      </c>
      <c r="DR341" s="2" t="n">
        <v>9.65</v>
      </c>
      <c r="DS341" s="2" t="n">
        <v>0</v>
      </c>
      <c r="DT341" s="2" t="n">
        <v>100</v>
      </c>
      <c r="DU341" s="2" t="n">
        <v>9.65</v>
      </c>
      <c r="DV341" s="2" t="n">
        <v>0</v>
      </c>
      <c r="DW341" s="2" t="n">
        <v>100</v>
      </c>
      <c r="DX341" s="2" t="n">
        <v>9.65</v>
      </c>
      <c r="DY341" s="2" t="n">
        <v>0</v>
      </c>
      <c r="DZ341" s="2" t="n">
        <v>100</v>
      </c>
      <c r="EA341" s="2" t="n">
        <v>9.65</v>
      </c>
      <c r="EB341" s="2" t="n">
        <v>0</v>
      </c>
      <c r="EC341" s="2" t="n">
        <v>100</v>
      </c>
      <c r="ED341" s="2" t="n">
        <v>9.65</v>
      </c>
      <c r="EE341" s="2" t="n">
        <v>0</v>
      </c>
      <c r="EF341" s="2" t="n">
        <v>100</v>
      </c>
      <c r="EG341" s="2" t="n">
        <v>9.65</v>
      </c>
      <c r="EH341" s="2" t="n">
        <v>0</v>
      </c>
      <c r="EI341" s="2" t="n">
        <v>100</v>
      </c>
      <c r="EJ341" s="2" t="n">
        <v>9.65</v>
      </c>
      <c r="EK341" s="2" t="n">
        <v>0</v>
      </c>
      <c r="EL341" s="2" t="n">
        <v>100</v>
      </c>
      <c r="EM341" s="2" t="n">
        <v>9.65</v>
      </c>
      <c r="EN341" s="2" t="n">
        <v>0</v>
      </c>
      <c r="EO341" s="2" t="n">
        <v>100</v>
      </c>
      <c r="EP341" s="2" t="n">
        <v>9.65</v>
      </c>
      <c r="EQ341" s="2" t="n">
        <v>0</v>
      </c>
      <c r="ER341" s="2" t="n">
        <v>100</v>
      </c>
      <c r="ES341" s="2" t="n">
        <v>9.65</v>
      </c>
    </row>
    <row r="342">
      <c r="A342" s="2" t="n">
        <v>3</v>
      </c>
      <c r="B342" s="2" t="inlineStr">
        <is>
          <t>17.01.02</t>
        </is>
      </c>
      <c r="C342" s="2" t="inlineStr">
        <is>
          <t>Formas para pilares, vigas e lajes convencionais  - pé- direito acima de 3,49 até 5,99 - Térreo e 6º Pavto Pilotis</t>
        </is>
      </c>
      <c r="D342" s="2" t="inlineStr">
        <is>
          <t>15/06/2026</t>
        </is>
      </c>
      <c r="E342" s="2" t="inlineStr">
        <is>
          <t>11/02/2028</t>
        </is>
      </c>
      <c r="F342" s="2" t="n">
        <v>740242.3644000001</v>
      </c>
      <c r="G342" s="2" t="n">
        <v>0</v>
      </c>
      <c r="H342" s="2" t="n">
        <v>740242.3644000001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  <c r="AN342" s="2" t="n">
        <v>0</v>
      </c>
      <c r="AO342" s="2" t="n">
        <v>0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0.8100000000000001</v>
      </c>
      <c r="AU342" s="2" t="n">
        <v>0.7</v>
      </c>
      <c r="AV342" s="2" t="n">
        <v>0</v>
      </c>
      <c r="AW342" s="2" t="n">
        <v>2.36</v>
      </c>
      <c r="AX342" s="2" t="n">
        <v>3.16</v>
      </c>
      <c r="AY342" s="2" t="n">
        <v>0</v>
      </c>
      <c r="AZ342" s="2" t="n">
        <v>9.75</v>
      </c>
      <c r="BA342" s="2" t="n">
        <v>8.07</v>
      </c>
      <c r="BB342" s="2" t="n">
        <v>0</v>
      </c>
      <c r="BC342" s="2" t="n">
        <v>14.82</v>
      </c>
      <c r="BD342" s="2" t="n">
        <v>9.65</v>
      </c>
      <c r="BE342" s="2" t="n">
        <v>0</v>
      </c>
      <c r="BF342" s="2" t="n">
        <v>20.19</v>
      </c>
      <c r="BG342" s="2" t="n">
        <v>9.65</v>
      </c>
      <c r="BH342" s="2" t="n">
        <v>0</v>
      </c>
      <c r="BI342" s="2" t="n">
        <v>25.29</v>
      </c>
      <c r="BJ342" s="2" t="n">
        <v>9.65</v>
      </c>
      <c r="BK342" s="2" t="n">
        <v>0</v>
      </c>
      <c r="BL342" s="2" t="n">
        <v>29.8</v>
      </c>
      <c r="BM342" s="2" t="n">
        <v>9.65</v>
      </c>
      <c r="BN342" s="2" t="n">
        <v>0</v>
      </c>
      <c r="BO342" s="2" t="n">
        <v>36.05</v>
      </c>
      <c r="BP342" s="2" t="n">
        <v>9.65</v>
      </c>
      <c r="BQ342" s="2" t="n">
        <v>0</v>
      </c>
      <c r="BR342" s="2" t="n">
        <v>40.96</v>
      </c>
      <c r="BS342" s="2" t="n">
        <v>9.65</v>
      </c>
      <c r="BT342" s="2" t="n">
        <v>0</v>
      </c>
      <c r="BU342" s="2" t="n">
        <v>46.13</v>
      </c>
      <c r="BV342" s="2" t="n">
        <v>9.65</v>
      </c>
      <c r="BW342" s="2" t="n">
        <v>0</v>
      </c>
      <c r="BX342" s="2" t="n">
        <v>52.15</v>
      </c>
      <c r="BY342" s="2" t="n">
        <v>9.65</v>
      </c>
      <c r="BZ342" s="2" t="n">
        <v>0</v>
      </c>
      <c r="CA342" s="2" t="n">
        <v>58.09</v>
      </c>
      <c r="CB342" s="2" t="n">
        <v>9.65</v>
      </c>
      <c r="CC342" s="2" t="n">
        <v>0</v>
      </c>
      <c r="CD342" s="2" t="n">
        <v>64.66</v>
      </c>
      <c r="CE342" s="2" t="n">
        <v>9.65</v>
      </c>
      <c r="CF342" s="2" t="n">
        <v>0</v>
      </c>
      <c r="CG342" s="2" t="n">
        <v>70.45</v>
      </c>
      <c r="CH342" s="2" t="n">
        <v>9.65</v>
      </c>
      <c r="CI342" s="2" t="n">
        <v>0</v>
      </c>
      <c r="CJ342" s="2" t="n">
        <v>76.94</v>
      </c>
      <c r="CK342" s="2" t="n">
        <v>9.65</v>
      </c>
      <c r="CL342" s="2" t="n">
        <v>0</v>
      </c>
      <c r="CM342" s="2" t="n">
        <v>82.63</v>
      </c>
      <c r="CN342" s="2" t="n">
        <v>9.65</v>
      </c>
      <c r="CO342" s="2" t="n">
        <v>0</v>
      </c>
      <c r="CP342" s="2" t="n">
        <v>88.36</v>
      </c>
      <c r="CQ342" s="2" t="n">
        <v>9.65</v>
      </c>
      <c r="CR342" s="2" t="n">
        <v>0</v>
      </c>
      <c r="CS342" s="2" t="n">
        <v>93.31</v>
      </c>
      <c r="CT342" s="2" t="n">
        <v>9.65</v>
      </c>
      <c r="CU342" s="2" t="n">
        <v>0</v>
      </c>
      <c r="CV342" s="2" t="n">
        <v>96.62</v>
      </c>
      <c r="CW342" s="2" t="n">
        <v>9.65</v>
      </c>
      <c r="CX342" s="2" t="n">
        <v>0</v>
      </c>
      <c r="CY342" s="2" t="n">
        <v>99.08</v>
      </c>
      <c r="CZ342" s="2" t="n">
        <v>9.65</v>
      </c>
      <c r="DA342" s="2" t="n">
        <v>0</v>
      </c>
      <c r="DB342" s="2" t="n">
        <v>100</v>
      </c>
      <c r="DC342" s="2" t="n">
        <v>9.65</v>
      </c>
      <c r="DD342" s="2" t="n">
        <v>0</v>
      </c>
      <c r="DE342" s="2" t="n">
        <v>100</v>
      </c>
      <c r="DF342" s="2" t="n">
        <v>9.65</v>
      </c>
      <c r="DG342" s="2" t="n">
        <v>0</v>
      </c>
      <c r="DH342" s="2" t="n">
        <v>100</v>
      </c>
      <c r="DI342" s="2" t="n">
        <v>9.65</v>
      </c>
      <c r="DJ342" s="2" t="n">
        <v>0</v>
      </c>
      <c r="DK342" s="2" t="n">
        <v>100</v>
      </c>
      <c r="DL342" s="2" t="n">
        <v>9.65</v>
      </c>
      <c r="DM342" s="2" t="n">
        <v>0</v>
      </c>
      <c r="DN342" s="2" t="n">
        <v>100</v>
      </c>
      <c r="DO342" s="2" t="n">
        <v>9.65</v>
      </c>
      <c r="DP342" s="2" t="n">
        <v>0</v>
      </c>
      <c r="DQ342" s="2" t="n">
        <v>100</v>
      </c>
      <c r="DR342" s="2" t="n">
        <v>9.65</v>
      </c>
      <c r="DS342" s="2" t="n">
        <v>0</v>
      </c>
      <c r="DT342" s="2" t="n">
        <v>100</v>
      </c>
      <c r="DU342" s="2" t="n">
        <v>9.65</v>
      </c>
      <c r="DV342" s="2" t="n">
        <v>0</v>
      </c>
      <c r="DW342" s="2" t="n">
        <v>100</v>
      </c>
      <c r="DX342" s="2" t="n">
        <v>9.65</v>
      </c>
      <c r="DY342" s="2" t="n">
        <v>0</v>
      </c>
      <c r="DZ342" s="2" t="n">
        <v>100</v>
      </c>
      <c r="EA342" s="2" t="n">
        <v>9.65</v>
      </c>
      <c r="EB342" s="2" t="n">
        <v>0</v>
      </c>
      <c r="EC342" s="2" t="n">
        <v>100</v>
      </c>
      <c r="ED342" s="2" t="n">
        <v>9.65</v>
      </c>
      <c r="EE342" s="2" t="n">
        <v>0</v>
      </c>
      <c r="EF342" s="2" t="n">
        <v>100</v>
      </c>
      <c r="EG342" s="2" t="n">
        <v>9.65</v>
      </c>
      <c r="EH342" s="2" t="n">
        <v>0</v>
      </c>
      <c r="EI342" s="2" t="n">
        <v>100</v>
      </c>
      <c r="EJ342" s="2" t="n">
        <v>9.65</v>
      </c>
      <c r="EK342" s="2" t="n">
        <v>0</v>
      </c>
      <c r="EL342" s="2" t="n">
        <v>100</v>
      </c>
      <c r="EM342" s="2" t="n">
        <v>9.65</v>
      </c>
      <c r="EN342" s="2" t="n">
        <v>0</v>
      </c>
      <c r="EO342" s="2" t="n">
        <v>100</v>
      </c>
      <c r="EP342" s="2" t="n">
        <v>9.65</v>
      </c>
      <c r="EQ342" s="2" t="n">
        <v>0</v>
      </c>
      <c r="ER342" s="2" t="n">
        <v>100</v>
      </c>
      <c r="ES342" s="2" t="n">
        <v>9.65</v>
      </c>
    </row>
    <row r="343">
      <c r="A343" s="2" t="n">
        <v>3</v>
      </c>
      <c r="B343" s="2" t="inlineStr">
        <is>
          <t>17.01.03</t>
        </is>
      </c>
      <c r="C343" s="2" t="inlineStr">
        <is>
          <t>Formas para lajes nervuradas - pé-direito até 3,49</t>
        </is>
      </c>
      <c r="D343" s="2" t="inlineStr">
        <is>
          <t>15/06/2026</t>
        </is>
      </c>
      <c r="E343" s="2" t="inlineStr">
        <is>
          <t>11/02/2028</t>
        </is>
      </c>
      <c r="F343" s="2" t="n">
        <v>769248.3929999998</v>
      </c>
      <c r="G343" s="2" t="n">
        <v>0</v>
      </c>
      <c r="H343" s="2" t="n">
        <v>769248.3929999998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n">
        <v>0</v>
      </c>
      <c r="AO343" s="2" t="n">
        <v>0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0.8100000000000001</v>
      </c>
      <c r="AU343" s="2" t="n">
        <v>0.7</v>
      </c>
      <c r="AV343" s="2" t="n">
        <v>0</v>
      </c>
      <c r="AW343" s="2" t="n">
        <v>2.36</v>
      </c>
      <c r="AX343" s="2" t="n">
        <v>3.16</v>
      </c>
      <c r="AY343" s="2" t="n">
        <v>0</v>
      </c>
      <c r="AZ343" s="2" t="n">
        <v>9.75</v>
      </c>
      <c r="BA343" s="2" t="n">
        <v>8.07</v>
      </c>
      <c r="BB343" s="2" t="n">
        <v>0</v>
      </c>
      <c r="BC343" s="2" t="n">
        <v>14.82</v>
      </c>
      <c r="BD343" s="2" t="n">
        <v>9.65</v>
      </c>
      <c r="BE343" s="2" t="n">
        <v>0</v>
      </c>
      <c r="BF343" s="2" t="n">
        <v>20.19</v>
      </c>
      <c r="BG343" s="2" t="n">
        <v>9.65</v>
      </c>
      <c r="BH343" s="2" t="n">
        <v>0</v>
      </c>
      <c r="BI343" s="2" t="n">
        <v>25.29</v>
      </c>
      <c r="BJ343" s="2" t="n">
        <v>9.65</v>
      </c>
      <c r="BK343" s="2" t="n">
        <v>0</v>
      </c>
      <c r="BL343" s="2" t="n">
        <v>29.8</v>
      </c>
      <c r="BM343" s="2" t="n">
        <v>9.65</v>
      </c>
      <c r="BN343" s="2" t="n">
        <v>0</v>
      </c>
      <c r="BO343" s="2" t="n">
        <v>36.05</v>
      </c>
      <c r="BP343" s="2" t="n">
        <v>9.65</v>
      </c>
      <c r="BQ343" s="2" t="n">
        <v>0</v>
      </c>
      <c r="BR343" s="2" t="n">
        <v>40.96</v>
      </c>
      <c r="BS343" s="2" t="n">
        <v>9.65</v>
      </c>
      <c r="BT343" s="2" t="n">
        <v>0</v>
      </c>
      <c r="BU343" s="2" t="n">
        <v>46.13</v>
      </c>
      <c r="BV343" s="2" t="n">
        <v>9.65</v>
      </c>
      <c r="BW343" s="2" t="n">
        <v>0</v>
      </c>
      <c r="BX343" s="2" t="n">
        <v>52.15</v>
      </c>
      <c r="BY343" s="2" t="n">
        <v>9.65</v>
      </c>
      <c r="BZ343" s="2" t="n">
        <v>0</v>
      </c>
      <c r="CA343" s="2" t="n">
        <v>58.09</v>
      </c>
      <c r="CB343" s="2" t="n">
        <v>9.65</v>
      </c>
      <c r="CC343" s="2" t="n">
        <v>0</v>
      </c>
      <c r="CD343" s="2" t="n">
        <v>64.66</v>
      </c>
      <c r="CE343" s="2" t="n">
        <v>9.65</v>
      </c>
      <c r="CF343" s="2" t="n">
        <v>0</v>
      </c>
      <c r="CG343" s="2" t="n">
        <v>70.45</v>
      </c>
      <c r="CH343" s="2" t="n">
        <v>9.65</v>
      </c>
      <c r="CI343" s="2" t="n">
        <v>0</v>
      </c>
      <c r="CJ343" s="2" t="n">
        <v>76.94</v>
      </c>
      <c r="CK343" s="2" t="n">
        <v>9.65</v>
      </c>
      <c r="CL343" s="2" t="n">
        <v>0</v>
      </c>
      <c r="CM343" s="2" t="n">
        <v>82.63</v>
      </c>
      <c r="CN343" s="2" t="n">
        <v>9.65</v>
      </c>
      <c r="CO343" s="2" t="n">
        <v>0</v>
      </c>
      <c r="CP343" s="2" t="n">
        <v>88.36</v>
      </c>
      <c r="CQ343" s="2" t="n">
        <v>9.65</v>
      </c>
      <c r="CR343" s="2" t="n">
        <v>0</v>
      </c>
      <c r="CS343" s="2" t="n">
        <v>93.31</v>
      </c>
      <c r="CT343" s="2" t="n">
        <v>9.65</v>
      </c>
      <c r="CU343" s="2" t="n">
        <v>0</v>
      </c>
      <c r="CV343" s="2" t="n">
        <v>96.62</v>
      </c>
      <c r="CW343" s="2" t="n">
        <v>9.65</v>
      </c>
      <c r="CX343" s="2" t="n">
        <v>0</v>
      </c>
      <c r="CY343" s="2" t="n">
        <v>99.08</v>
      </c>
      <c r="CZ343" s="2" t="n">
        <v>9.65</v>
      </c>
      <c r="DA343" s="2" t="n">
        <v>0</v>
      </c>
      <c r="DB343" s="2" t="n">
        <v>100</v>
      </c>
      <c r="DC343" s="2" t="n">
        <v>9.65</v>
      </c>
      <c r="DD343" s="2" t="n">
        <v>0</v>
      </c>
      <c r="DE343" s="2" t="n">
        <v>100</v>
      </c>
      <c r="DF343" s="2" t="n">
        <v>9.65</v>
      </c>
      <c r="DG343" s="2" t="n">
        <v>0</v>
      </c>
      <c r="DH343" s="2" t="n">
        <v>100</v>
      </c>
      <c r="DI343" s="2" t="n">
        <v>9.65</v>
      </c>
      <c r="DJ343" s="2" t="n">
        <v>0</v>
      </c>
      <c r="DK343" s="2" t="n">
        <v>100</v>
      </c>
      <c r="DL343" s="2" t="n">
        <v>9.65</v>
      </c>
      <c r="DM343" s="2" t="n">
        <v>0</v>
      </c>
      <c r="DN343" s="2" t="n">
        <v>100</v>
      </c>
      <c r="DO343" s="2" t="n">
        <v>9.65</v>
      </c>
      <c r="DP343" s="2" t="n">
        <v>0</v>
      </c>
      <c r="DQ343" s="2" t="n">
        <v>100</v>
      </c>
      <c r="DR343" s="2" t="n">
        <v>9.65</v>
      </c>
      <c r="DS343" s="2" t="n">
        <v>0</v>
      </c>
      <c r="DT343" s="2" t="n">
        <v>100</v>
      </c>
      <c r="DU343" s="2" t="n">
        <v>9.65</v>
      </c>
      <c r="DV343" s="2" t="n">
        <v>0</v>
      </c>
      <c r="DW343" s="2" t="n">
        <v>100</v>
      </c>
      <c r="DX343" s="2" t="n">
        <v>9.65</v>
      </c>
      <c r="DY343" s="2" t="n">
        <v>0</v>
      </c>
      <c r="DZ343" s="2" t="n">
        <v>100</v>
      </c>
      <c r="EA343" s="2" t="n">
        <v>9.65</v>
      </c>
      <c r="EB343" s="2" t="n">
        <v>0</v>
      </c>
      <c r="EC343" s="2" t="n">
        <v>100</v>
      </c>
      <c r="ED343" s="2" t="n">
        <v>9.65</v>
      </c>
      <c r="EE343" s="2" t="n">
        <v>0</v>
      </c>
      <c r="EF343" s="2" t="n">
        <v>100</v>
      </c>
      <c r="EG343" s="2" t="n">
        <v>9.65</v>
      </c>
      <c r="EH343" s="2" t="n">
        <v>0</v>
      </c>
      <c r="EI343" s="2" t="n">
        <v>100</v>
      </c>
      <c r="EJ343" s="2" t="n">
        <v>9.65</v>
      </c>
      <c r="EK343" s="2" t="n">
        <v>0</v>
      </c>
      <c r="EL343" s="2" t="n">
        <v>100</v>
      </c>
      <c r="EM343" s="2" t="n">
        <v>9.65</v>
      </c>
      <c r="EN343" s="2" t="n">
        <v>0</v>
      </c>
      <c r="EO343" s="2" t="n">
        <v>100</v>
      </c>
      <c r="EP343" s="2" t="n">
        <v>9.65</v>
      </c>
      <c r="EQ343" s="2" t="n">
        <v>0</v>
      </c>
      <c r="ER343" s="2" t="n">
        <v>100</v>
      </c>
      <c r="ES343" s="2" t="n">
        <v>9.65</v>
      </c>
    </row>
    <row r="344">
      <c r="A344" s="2" t="n">
        <v>3</v>
      </c>
      <c r="B344" s="2" t="inlineStr">
        <is>
          <t>17.01.04</t>
        </is>
      </c>
      <c r="C344" s="2" t="inlineStr">
        <is>
          <t>Formas para lajes nervuradas - pé- direito acima de 3,49 até 5,99 - Térreo e 6º Pavto Pilotis</t>
        </is>
      </c>
      <c r="D344" s="2" t="inlineStr">
        <is>
          <t>15/06/2026</t>
        </is>
      </c>
      <c r="E344" s="2" t="inlineStr">
        <is>
          <t>11/02/2028</t>
        </is>
      </c>
      <c r="F344" s="2" t="n">
        <v>714869.7558999999</v>
      </c>
      <c r="G344" s="2" t="n">
        <v>0</v>
      </c>
      <c r="H344" s="2" t="n">
        <v>714869.7558999999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0.8100000000000001</v>
      </c>
      <c r="AU344" s="2" t="n">
        <v>0.7</v>
      </c>
      <c r="AV344" s="2" t="n">
        <v>0</v>
      </c>
      <c r="AW344" s="2" t="n">
        <v>2.36</v>
      </c>
      <c r="AX344" s="2" t="n">
        <v>3.16</v>
      </c>
      <c r="AY344" s="2" t="n">
        <v>0</v>
      </c>
      <c r="AZ344" s="2" t="n">
        <v>9.75</v>
      </c>
      <c r="BA344" s="2" t="n">
        <v>8.07</v>
      </c>
      <c r="BB344" s="2" t="n">
        <v>0</v>
      </c>
      <c r="BC344" s="2" t="n">
        <v>14.82</v>
      </c>
      <c r="BD344" s="2" t="n">
        <v>9.65</v>
      </c>
      <c r="BE344" s="2" t="n">
        <v>0</v>
      </c>
      <c r="BF344" s="2" t="n">
        <v>20.19</v>
      </c>
      <c r="BG344" s="2" t="n">
        <v>9.65</v>
      </c>
      <c r="BH344" s="2" t="n">
        <v>0</v>
      </c>
      <c r="BI344" s="2" t="n">
        <v>25.29</v>
      </c>
      <c r="BJ344" s="2" t="n">
        <v>9.65</v>
      </c>
      <c r="BK344" s="2" t="n">
        <v>0</v>
      </c>
      <c r="BL344" s="2" t="n">
        <v>29.8</v>
      </c>
      <c r="BM344" s="2" t="n">
        <v>9.65</v>
      </c>
      <c r="BN344" s="2" t="n">
        <v>0</v>
      </c>
      <c r="BO344" s="2" t="n">
        <v>36.05</v>
      </c>
      <c r="BP344" s="2" t="n">
        <v>9.65</v>
      </c>
      <c r="BQ344" s="2" t="n">
        <v>0</v>
      </c>
      <c r="BR344" s="2" t="n">
        <v>40.96</v>
      </c>
      <c r="BS344" s="2" t="n">
        <v>9.65</v>
      </c>
      <c r="BT344" s="2" t="n">
        <v>0</v>
      </c>
      <c r="BU344" s="2" t="n">
        <v>46.13</v>
      </c>
      <c r="BV344" s="2" t="n">
        <v>9.65</v>
      </c>
      <c r="BW344" s="2" t="n">
        <v>0</v>
      </c>
      <c r="BX344" s="2" t="n">
        <v>52.15</v>
      </c>
      <c r="BY344" s="2" t="n">
        <v>9.65</v>
      </c>
      <c r="BZ344" s="2" t="n">
        <v>0</v>
      </c>
      <c r="CA344" s="2" t="n">
        <v>58.09</v>
      </c>
      <c r="CB344" s="2" t="n">
        <v>9.65</v>
      </c>
      <c r="CC344" s="2" t="n">
        <v>0</v>
      </c>
      <c r="CD344" s="2" t="n">
        <v>64.66</v>
      </c>
      <c r="CE344" s="2" t="n">
        <v>9.65</v>
      </c>
      <c r="CF344" s="2" t="n">
        <v>0</v>
      </c>
      <c r="CG344" s="2" t="n">
        <v>70.45</v>
      </c>
      <c r="CH344" s="2" t="n">
        <v>9.65</v>
      </c>
      <c r="CI344" s="2" t="n">
        <v>0</v>
      </c>
      <c r="CJ344" s="2" t="n">
        <v>76.94</v>
      </c>
      <c r="CK344" s="2" t="n">
        <v>9.65</v>
      </c>
      <c r="CL344" s="2" t="n">
        <v>0</v>
      </c>
      <c r="CM344" s="2" t="n">
        <v>82.63</v>
      </c>
      <c r="CN344" s="2" t="n">
        <v>9.65</v>
      </c>
      <c r="CO344" s="2" t="n">
        <v>0</v>
      </c>
      <c r="CP344" s="2" t="n">
        <v>88.36</v>
      </c>
      <c r="CQ344" s="2" t="n">
        <v>9.65</v>
      </c>
      <c r="CR344" s="2" t="n">
        <v>0</v>
      </c>
      <c r="CS344" s="2" t="n">
        <v>93.31</v>
      </c>
      <c r="CT344" s="2" t="n">
        <v>9.65</v>
      </c>
      <c r="CU344" s="2" t="n">
        <v>0</v>
      </c>
      <c r="CV344" s="2" t="n">
        <v>96.62</v>
      </c>
      <c r="CW344" s="2" t="n">
        <v>9.65</v>
      </c>
      <c r="CX344" s="2" t="n">
        <v>0</v>
      </c>
      <c r="CY344" s="2" t="n">
        <v>99.08</v>
      </c>
      <c r="CZ344" s="2" t="n">
        <v>9.65</v>
      </c>
      <c r="DA344" s="2" t="n">
        <v>0</v>
      </c>
      <c r="DB344" s="2" t="n">
        <v>100</v>
      </c>
      <c r="DC344" s="2" t="n">
        <v>9.65</v>
      </c>
      <c r="DD344" s="2" t="n">
        <v>0</v>
      </c>
      <c r="DE344" s="2" t="n">
        <v>100</v>
      </c>
      <c r="DF344" s="2" t="n">
        <v>9.65</v>
      </c>
      <c r="DG344" s="2" t="n">
        <v>0</v>
      </c>
      <c r="DH344" s="2" t="n">
        <v>100</v>
      </c>
      <c r="DI344" s="2" t="n">
        <v>9.65</v>
      </c>
      <c r="DJ344" s="2" t="n">
        <v>0</v>
      </c>
      <c r="DK344" s="2" t="n">
        <v>100</v>
      </c>
      <c r="DL344" s="2" t="n">
        <v>9.65</v>
      </c>
      <c r="DM344" s="2" t="n">
        <v>0</v>
      </c>
      <c r="DN344" s="2" t="n">
        <v>100</v>
      </c>
      <c r="DO344" s="2" t="n">
        <v>9.65</v>
      </c>
      <c r="DP344" s="2" t="n">
        <v>0</v>
      </c>
      <c r="DQ344" s="2" t="n">
        <v>100</v>
      </c>
      <c r="DR344" s="2" t="n">
        <v>9.65</v>
      </c>
      <c r="DS344" s="2" t="n">
        <v>0</v>
      </c>
      <c r="DT344" s="2" t="n">
        <v>100</v>
      </c>
      <c r="DU344" s="2" t="n">
        <v>9.65</v>
      </c>
      <c r="DV344" s="2" t="n">
        <v>0</v>
      </c>
      <c r="DW344" s="2" t="n">
        <v>100</v>
      </c>
      <c r="DX344" s="2" t="n">
        <v>9.65</v>
      </c>
      <c r="DY344" s="2" t="n">
        <v>0</v>
      </c>
      <c r="DZ344" s="2" t="n">
        <v>100</v>
      </c>
      <c r="EA344" s="2" t="n">
        <v>9.65</v>
      </c>
      <c r="EB344" s="2" t="n">
        <v>0</v>
      </c>
      <c r="EC344" s="2" t="n">
        <v>100</v>
      </c>
      <c r="ED344" s="2" t="n">
        <v>9.65</v>
      </c>
      <c r="EE344" s="2" t="n">
        <v>0</v>
      </c>
      <c r="EF344" s="2" t="n">
        <v>100</v>
      </c>
      <c r="EG344" s="2" t="n">
        <v>9.65</v>
      </c>
      <c r="EH344" s="2" t="n">
        <v>0</v>
      </c>
      <c r="EI344" s="2" t="n">
        <v>100</v>
      </c>
      <c r="EJ344" s="2" t="n">
        <v>9.65</v>
      </c>
      <c r="EK344" s="2" t="n">
        <v>0</v>
      </c>
      <c r="EL344" s="2" t="n">
        <v>100</v>
      </c>
      <c r="EM344" s="2" t="n">
        <v>9.65</v>
      </c>
      <c r="EN344" s="2" t="n">
        <v>0</v>
      </c>
      <c r="EO344" s="2" t="n">
        <v>100</v>
      </c>
      <c r="EP344" s="2" t="n">
        <v>9.65</v>
      </c>
      <c r="EQ344" s="2" t="n">
        <v>0</v>
      </c>
      <c r="ER344" s="2" t="n">
        <v>100</v>
      </c>
      <c r="ES344" s="2" t="n">
        <v>9.65</v>
      </c>
    </row>
    <row r="345">
      <c r="A345" s="2" t="n">
        <v>3</v>
      </c>
      <c r="B345" s="2" t="inlineStr">
        <is>
          <t>17.01.05</t>
        </is>
      </c>
      <c r="C345" s="2" t="inlineStr">
        <is>
          <t>&lt;html&gt;Armadura Ca-50 adquirido cortado e dobrado, montagem e posicionamento no canteiro -&lt;b&gt; considerado taxa de 98 kg/m³&lt;/b&gt;&lt;/html&gt;</t>
        </is>
      </c>
      <c r="D345" s="2" t="inlineStr">
        <is>
          <t>15/06/2026</t>
        </is>
      </c>
      <c r="E345" s="2" t="inlineStr">
        <is>
          <t>11/02/2028</t>
        </is>
      </c>
      <c r="F345" s="2" t="n">
        <v>9140766.74787866</v>
      </c>
      <c r="G345" s="2" t="n">
        <v>0</v>
      </c>
      <c r="H345" s="2" t="n">
        <v>9140766.74787866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0</v>
      </c>
      <c r="AN345" s="2" t="n">
        <v>0</v>
      </c>
      <c r="AO345" s="2" t="n">
        <v>0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0.8100000000000001</v>
      </c>
      <c r="AU345" s="2" t="n">
        <v>0.7</v>
      </c>
      <c r="AV345" s="2" t="n">
        <v>0</v>
      </c>
      <c r="AW345" s="2" t="n">
        <v>2.36</v>
      </c>
      <c r="AX345" s="2" t="n">
        <v>3.16</v>
      </c>
      <c r="AY345" s="2" t="n">
        <v>0</v>
      </c>
      <c r="AZ345" s="2" t="n">
        <v>9.75</v>
      </c>
      <c r="BA345" s="2" t="n">
        <v>8.07</v>
      </c>
      <c r="BB345" s="2" t="n">
        <v>0</v>
      </c>
      <c r="BC345" s="2" t="n">
        <v>14.82</v>
      </c>
      <c r="BD345" s="2" t="n">
        <v>9.65</v>
      </c>
      <c r="BE345" s="2" t="n">
        <v>0</v>
      </c>
      <c r="BF345" s="2" t="n">
        <v>20.19</v>
      </c>
      <c r="BG345" s="2" t="n">
        <v>9.65</v>
      </c>
      <c r="BH345" s="2" t="n">
        <v>0</v>
      </c>
      <c r="BI345" s="2" t="n">
        <v>25.29</v>
      </c>
      <c r="BJ345" s="2" t="n">
        <v>9.65</v>
      </c>
      <c r="BK345" s="2" t="n">
        <v>0</v>
      </c>
      <c r="BL345" s="2" t="n">
        <v>29.8</v>
      </c>
      <c r="BM345" s="2" t="n">
        <v>9.65</v>
      </c>
      <c r="BN345" s="2" t="n">
        <v>0</v>
      </c>
      <c r="BO345" s="2" t="n">
        <v>36.05</v>
      </c>
      <c r="BP345" s="2" t="n">
        <v>9.65</v>
      </c>
      <c r="BQ345" s="2" t="n">
        <v>0</v>
      </c>
      <c r="BR345" s="2" t="n">
        <v>40.96</v>
      </c>
      <c r="BS345" s="2" t="n">
        <v>9.65</v>
      </c>
      <c r="BT345" s="2" t="n">
        <v>0</v>
      </c>
      <c r="BU345" s="2" t="n">
        <v>46.13</v>
      </c>
      <c r="BV345" s="2" t="n">
        <v>9.65</v>
      </c>
      <c r="BW345" s="2" t="n">
        <v>0</v>
      </c>
      <c r="BX345" s="2" t="n">
        <v>52.15</v>
      </c>
      <c r="BY345" s="2" t="n">
        <v>9.65</v>
      </c>
      <c r="BZ345" s="2" t="n">
        <v>0</v>
      </c>
      <c r="CA345" s="2" t="n">
        <v>58.09</v>
      </c>
      <c r="CB345" s="2" t="n">
        <v>9.65</v>
      </c>
      <c r="CC345" s="2" t="n">
        <v>0</v>
      </c>
      <c r="CD345" s="2" t="n">
        <v>64.66</v>
      </c>
      <c r="CE345" s="2" t="n">
        <v>9.65</v>
      </c>
      <c r="CF345" s="2" t="n">
        <v>0</v>
      </c>
      <c r="CG345" s="2" t="n">
        <v>70.45</v>
      </c>
      <c r="CH345" s="2" t="n">
        <v>9.65</v>
      </c>
      <c r="CI345" s="2" t="n">
        <v>0</v>
      </c>
      <c r="CJ345" s="2" t="n">
        <v>76.94</v>
      </c>
      <c r="CK345" s="2" t="n">
        <v>9.65</v>
      </c>
      <c r="CL345" s="2" t="n">
        <v>0</v>
      </c>
      <c r="CM345" s="2" t="n">
        <v>82.63</v>
      </c>
      <c r="CN345" s="2" t="n">
        <v>9.65</v>
      </c>
      <c r="CO345" s="2" t="n">
        <v>0</v>
      </c>
      <c r="CP345" s="2" t="n">
        <v>88.36</v>
      </c>
      <c r="CQ345" s="2" t="n">
        <v>9.65</v>
      </c>
      <c r="CR345" s="2" t="n">
        <v>0</v>
      </c>
      <c r="CS345" s="2" t="n">
        <v>93.31</v>
      </c>
      <c r="CT345" s="2" t="n">
        <v>9.65</v>
      </c>
      <c r="CU345" s="2" t="n">
        <v>0</v>
      </c>
      <c r="CV345" s="2" t="n">
        <v>96.62</v>
      </c>
      <c r="CW345" s="2" t="n">
        <v>9.65</v>
      </c>
      <c r="CX345" s="2" t="n">
        <v>0</v>
      </c>
      <c r="CY345" s="2" t="n">
        <v>99.08</v>
      </c>
      <c r="CZ345" s="2" t="n">
        <v>9.65</v>
      </c>
      <c r="DA345" s="2" t="n">
        <v>0</v>
      </c>
      <c r="DB345" s="2" t="n">
        <v>100</v>
      </c>
      <c r="DC345" s="2" t="n">
        <v>9.65</v>
      </c>
      <c r="DD345" s="2" t="n">
        <v>0</v>
      </c>
      <c r="DE345" s="2" t="n">
        <v>100</v>
      </c>
      <c r="DF345" s="2" t="n">
        <v>9.65</v>
      </c>
      <c r="DG345" s="2" t="n">
        <v>0</v>
      </c>
      <c r="DH345" s="2" t="n">
        <v>100</v>
      </c>
      <c r="DI345" s="2" t="n">
        <v>9.65</v>
      </c>
      <c r="DJ345" s="2" t="n">
        <v>0</v>
      </c>
      <c r="DK345" s="2" t="n">
        <v>100</v>
      </c>
      <c r="DL345" s="2" t="n">
        <v>9.65</v>
      </c>
      <c r="DM345" s="2" t="n">
        <v>0</v>
      </c>
      <c r="DN345" s="2" t="n">
        <v>100</v>
      </c>
      <c r="DO345" s="2" t="n">
        <v>9.65</v>
      </c>
      <c r="DP345" s="2" t="n">
        <v>0</v>
      </c>
      <c r="DQ345" s="2" t="n">
        <v>100</v>
      </c>
      <c r="DR345" s="2" t="n">
        <v>9.65</v>
      </c>
      <c r="DS345" s="2" t="n">
        <v>0</v>
      </c>
      <c r="DT345" s="2" t="n">
        <v>100</v>
      </c>
      <c r="DU345" s="2" t="n">
        <v>9.65</v>
      </c>
      <c r="DV345" s="2" t="n">
        <v>0</v>
      </c>
      <c r="DW345" s="2" t="n">
        <v>100</v>
      </c>
      <c r="DX345" s="2" t="n">
        <v>9.65</v>
      </c>
      <c r="DY345" s="2" t="n">
        <v>0</v>
      </c>
      <c r="DZ345" s="2" t="n">
        <v>100</v>
      </c>
      <c r="EA345" s="2" t="n">
        <v>9.65</v>
      </c>
      <c r="EB345" s="2" t="n">
        <v>0</v>
      </c>
      <c r="EC345" s="2" t="n">
        <v>100</v>
      </c>
      <c r="ED345" s="2" t="n">
        <v>9.65</v>
      </c>
      <c r="EE345" s="2" t="n">
        <v>0</v>
      </c>
      <c r="EF345" s="2" t="n">
        <v>100</v>
      </c>
      <c r="EG345" s="2" t="n">
        <v>9.65</v>
      </c>
      <c r="EH345" s="2" t="n">
        <v>0</v>
      </c>
      <c r="EI345" s="2" t="n">
        <v>100</v>
      </c>
      <c r="EJ345" s="2" t="n">
        <v>9.65</v>
      </c>
      <c r="EK345" s="2" t="n">
        <v>0</v>
      </c>
      <c r="EL345" s="2" t="n">
        <v>100</v>
      </c>
      <c r="EM345" s="2" t="n">
        <v>9.65</v>
      </c>
      <c r="EN345" s="2" t="n">
        <v>0</v>
      </c>
      <c r="EO345" s="2" t="n">
        <v>100</v>
      </c>
      <c r="EP345" s="2" t="n">
        <v>9.65</v>
      </c>
      <c r="EQ345" s="2" t="n">
        <v>0</v>
      </c>
      <c r="ER345" s="2" t="n">
        <v>100</v>
      </c>
      <c r="ES345" s="2" t="n">
        <v>9.65</v>
      </c>
    </row>
    <row r="346">
      <c r="A346" s="2" t="n">
        <v>3</v>
      </c>
      <c r="B346" s="2" t="inlineStr">
        <is>
          <t>17.01.06</t>
        </is>
      </c>
      <c r="C346" s="2" t="inlineStr">
        <is>
          <t>Armadura Ca-60 adquirido cortado e dobrado, montagem e posicionamento no canteiro</t>
        </is>
      </c>
      <c r="D346" s="2" t="inlineStr">
        <is>
          <t>15/06/2026</t>
        </is>
      </c>
      <c r="E346" s="2" t="inlineStr">
        <is>
          <t>11/02/2028</t>
        </is>
      </c>
      <c r="F346" s="2" t="n">
        <v>490823.3730942251</v>
      </c>
      <c r="G346" s="2" t="n">
        <v>0</v>
      </c>
      <c r="H346" s="2" t="n">
        <v>490823.3730942251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0.8100000000000001</v>
      </c>
      <c r="AU346" s="2" t="n">
        <v>0.7</v>
      </c>
      <c r="AV346" s="2" t="n">
        <v>0</v>
      </c>
      <c r="AW346" s="2" t="n">
        <v>2.36</v>
      </c>
      <c r="AX346" s="2" t="n">
        <v>3.16</v>
      </c>
      <c r="AY346" s="2" t="n">
        <v>0</v>
      </c>
      <c r="AZ346" s="2" t="n">
        <v>9.75</v>
      </c>
      <c r="BA346" s="2" t="n">
        <v>8.07</v>
      </c>
      <c r="BB346" s="2" t="n">
        <v>0</v>
      </c>
      <c r="BC346" s="2" t="n">
        <v>14.82</v>
      </c>
      <c r="BD346" s="2" t="n">
        <v>9.65</v>
      </c>
      <c r="BE346" s="2" t="n">
        <v>0</v>
      </c>
      <c r="BF346" s="2" t="n">
        <v>20.19</v>
      </c>
      <c r="BG346" s="2" t="n">
        <v>9.65</v>
      </c>
      <c r="BH346" s="2" t="n">
        <v>0</v>
      </c>
      <c r="BI346" s="2" t="n">
        <v>25.29</v>
      </c>
      <c r="BJ346" s="2" t="n">
        <v>9.65</v>
      </c>
      <c r="BK346" s="2" t="n">
        <v>0</v>
      </c>
      <c r="BL346" s="2" t="n">
        <v>29.8</v>
      </c>
      <c r="BM346" s="2" t="n">
        <v>9.65</v>
      </c>
      <c r="BN346" s="2" t="n">
        <v>0</v>
      </c>
      <c r="BO346" s="2" t="n">
        <v>36.05</v>
      </c>
      <c r="BP346" s="2" t="n">
        <v>9.65</v>
      </c>
      <c r="BQ346" s="2" t="n">
        <v>0</v>
      </c>
      <c r="BR346" s="2" t="n">
        <v>40.96</v>
      </c>
      <c r="BS346" s="2" t="n">
        <v>9.65</v>
      </c>
      <c r="BT346" s="2" t="n">
        <v>0</v>
      </c>
      <c r="BU346" s="2" t="n">
        <v>46.13</v>
      </c>
      <c r="BV346" s="2" t="n">
        <v>9.65</v>
      </c>
      <c r="BW346" s="2" t="n">
        <v>0</v>
      </c>
      <c r="BX346" s="2" t="n">
        <v>52.15</v>
      </c>
      <c r="BY346" s="2" t="n">
        <v>9.65</v>
      </c>
      <c r="BZ346" s="2" t="n">
        <v>0</v>
      </c>
      <c r="CA346" s="2" t="n">
        <v>58.09</v>
      </c>
      <c r="CB346" s="2" t="n">
        <v>9.65</v>
      </c>
      <c r="CC346" s="2" t="n">
        <v>0</v>
      </c>
      <c r="CD346" s="2" t="n">
        <v>64.66</v>
      </c>
      <c r="CE346" s="2" t="n">
        <v>9.65</v>
      </c>
      <c r="CF346" s="2" t="n">
        <v>0</v>
      </c>
      <c r="CG346" s="2" t="n">
        <v>70.45</v>
      </c>
      <c r="CH346" s="2" t="n">
        <v>9.65</v>
      </c>
      <c r="CI346" s="2" t="n">
        <v>0</v>
      </c>
      <c r="CJ346" s="2" t="n">
        <v>76.94</v>
      </c>
      <c r="CK346" s="2" t="n">
        <v>9.65</v>
      </c>
      <c r="CL346" s="2" t="n">
        <v>0</v>
      </c>
      <c r="CM346" s="2" t="n">
        <v>82.63</v>
      </c>
      <c r="CN346" s="2" t="n">
        <v>9.65</v>
      </c>
      <c r="CO346" s="2" t="n">
        <v>0</v>
      </c>
      <c r="CP346" s="2" t="n">
        <v>88.36</v>
      </c>
      <c r="CQ346" s="2" t="n">
        <v>9.65</v>
      </c>
      <c r="CR346" s="2" t="n">
        <v>0</v>
      </c>
      <c r="CS346" s="2" t="n">
        <v>93.31</v>
      </c>
      <c r="CT346" s="2" t="n">
        <v>9.65</v>
      </c>
      <c r="CU346" s="2" t="n">
        <v>0</v>
      </c>
      <c r="CV346" s="2" t="n">
        <v>96.62</v>
      </c>
      <c r="CW346" s="2" t="n">
        <v>9.65</v>
      </c>
      <c r="CX346" s="2" t="n">
        <v>0</v>
      </c>
      <c r="CY346" s="2" t="n">
        <v>99.08</v>
      </c>
      <c r="CZ346" s="2" t="n">
        <v>9.65</v>
      </c>
      <c r="DA346" s="2" t="n">
        <v>0</v>
      </c>
      <c r="DB346" s="2" t="n">
        <v>100</v>
      </c>
      <c r="DC346" s="2" t="n">
        <v>9.65</v>
      </c>
      <c r="DD346" s="2" t="n">
        <v>0</v>
      </c>
      <c r="DE346" s="2" t="n">
        <v>100</v>
      </c>
      <c r="DF346" s="2" t="n">
        <v>9.65</v>
      </c>
      <c r="DG346" s="2" t="n">
        <v>0</v>
      </c>
      <c r="DH346" s="2" t="n">
        <v>100</v>
      </c>
      <c r="DI346" s="2" t="n">
        <v>9.65</v>
      </c>
      <c r="DJ346" s="2" t="n">
        <v>0</v>
      </c>
      <c r="DK346" s="2" t="n">
        <v>100</v>
      </c>
      <c r="DL346" s="2" t="n">
        <v>9.65</v>
      </c>
      <c r="DM346" s="2" t="n">
        <v>0</v>
      </c>
      <c r="DN346" s="2" t="n">
        <v>100</v>
      </c>
      <c r="DO346" s="2" t="n">
        <v>9.65</v>
      </c>
      <c r="DP346" s="2" t="n">
        <v>0</v>
      </c>
      <c r="DQ346" s="2" t="n">
        <v>100</v>
      </c>
      <c r="DR346" s="2" t="n">
        <v>9.65</v>
      </c>
      <c r="DS346" s="2" t="n">
        <v>0</v>
      </c>
      <c r="DT346" s="2" t="n">
        <v>100</v>
      </c>
      <c r="DU346" s="2" t="n">
        <v>9.65</v>
      </c>
      <c r="DV346" s="2" t="n">
        <v>0</v>
      </c>
      <c r="DW346" s="2" t="n">
        <v>100</v>
      </c>
      <c r="DX346" s="2" t="n">
        <v>9.65</v>
      </c>
      <c r="DY346" s="2" t="n">
        <v>0</v>
      </c>
      <c r="DZ346" s="2" t="n">
        <v>100</v>
      </c>
      <c r="EA346" s="2" t="n">
        <v>9.65</v>
      </c>
      <c r="EB346" s="2" t="n">
        <v>0</v>
      </c>
      <c r="EC346" s="2" t="n">
        <v>100</v>
      </c>
      <c r="ED346" s="2" t="n">
        <v>9.65</v>
      </c>
      <c r="EE346" s="2" t="n">
        <v>0</v>
      </c>
      <c r="EF346" s="2" t="n">
        <v>100</v>
      </c>
      <c r="EG346" s="2" t="n">
        <v>9.65</v>
      </c>
      <c r="EH346" s="2" t="n">
        <v>0</v>
      </c>
      <c r="EI346" s="2" t="n">
        <v>100</v>
      </c>
      <c r="EJ346" s="2" t="n">
        <v>9.65</v>
      </c>
      <c r="EK346" s="2" t="n">
        <v>0</v>
      </c>
      <c r="EL346" s="2" t="n">
        <v>100</v>
      </c>
      <c r="EM346" s="2" t="n">
        <v>9.65</v>
      </c>
      <c r="EN346" s="2" t="n">
        <v>0</v>
      </c>
      <c r="EO346" s="2" t="n">
        <v>100</v>
      </c>
      <c r="EP346" s="2" t="n">
        <v>9.65</v>
      </c>
      <c r="EQ346" s="2" t="n">
        <v>0</v>
      </c>
      <c r="ER346" s="2" t="n">
        <v>100</v>
      </c>
      <c r="ES346" s="2" t="n">
        <v>9.65</v>
      </c>
    </row>
    <row r="347">
      <c r="A347" s="2" t="n">
        <v>3</v>
      </c>
      <c r="B347" s="2" t="inlineStr">
        <is>
          <t>17.01.07</t>
        </is>
      </c>
      <c r="C347" s="2" t="inlineStr">
        <is>
          <t>Protensão - Fornecimento, montagem e tensionamento</t>
        </is>
      </c>
      <c r="D347" s="2" t="inlineStr">
        <is>
          <t>15/06/2026</t>
        </is>
      </c>
      <c r="E347" s="2" t="inlineStr">
        <is>
          <t>11/02/2028</t>
        </is>
      </c>
      <c r="F347" s="2" t="n">
        <v>951785.64</v>
      </c>
      <c r="G347" s="2" t="n">
        <v>0</v>
      </c>
      <c r="H347" s="2" t="n">
        <v>951785.64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  <c r="AM347" s="2" t="n">
        <v>0</v>
      </c>
      <c r="AN347" s="2" t="n">
        <v>0</v>
      </c>
      <c r="AO347" s="2" t="n">
        <v>0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0.8100000000000001</v>
      </c>
      <c r="AU347" s="2" t="n">
        <v>0.7</v>
      </c>
      <c r="AV347" s="2" t="n">
        <v>0</v>
      </c>
      <c r="AW347" s="2" t="n">
        <v>2.36</v>
      </c>
      <c r="AX347" s="2" t="n">
        <v>3.16</v>
      </c>
      <c r="AY347" s="2" t="n">
        <v>0</v>
      </c>
      <c r="AZ347" s="2" t="n">
        <v>9.75</v>
      </c>
      <c r="BA347" s="2" t="n">
        <v>8.07</v>
      </c>
      <c r="BB347" s="2" t="n">
        <v>0</v>
      </c>
      <c r="BC347" s="2" t="n">
        <v>14.82</v>
      </c>
      <c r="BD347" s="2" t="n">
        <v>9.65</v>
      </c>
      <c r="BE347" s="2" t="n">
        <v>0</v>
      </c>
      <c r="BF347" s="2" t="n">
        <v>20.19</v>
      </c>
      <c r="BG347" s="2" t="n">
        <v>9.65</v>
      </c>
      <c r="BH347" s="2" t="n">
        <v>0</v>
      </c>
      <c r="BI347" s="2" t="n">
        <v>25.29</v>
      </c>
      <c r="BJ347" s="2" t="n">
        <v>9.65</v>
      </c>
      <c r="BK347" s="2" t="n">
        <v>0</v>
      </c>
      <c r="BL347" s="2" t="n">
        <v>29.8</v>
      </c>
      <c r="BM347" s="2" t="n">
        <v>9.65</v>
      </c>
      <c r="BN347" s="2" t="n">
        <v>0</v>
      </c>
      <c r="BO347" s="2" t="n">
        <v>36.05</v>
      </c>
      <c r="BP347" s="2" t="n">
        <v>9.65</v>
      </c>
      <c r="BQ347" s="2" t="n">
        <v>0</v>
      </c>
      <c r="BR347" s="2" t="n">
        <v>40.96</v>
      </c>
      <c r="BS347" s="2" t="n">
        <v>9.65</v>
      </c>
      <c r="BT347" s="2" t="n">
        <v>0</v>
      </c>
      <c r="BU347" s="2" t="n">
        <v>46.13</v>
      </c>
      <c r="BV347" s="2" t="n">
        <v>9.65</v>
      </c>
      <c r="BW347" s="2" t="n">
        <v>0</v>
      </c>
      <c r="BX347" s="2" t="n">
        <v>52.15</v>
      </c>
      <c r="BY347" s="2" t="n">
        <v>9.65</v>
      </c>
      <c r="BZ347" s="2" t="n">
        <v>0</v>
      </c>
      <c r="CA347" s="2" t="n">
        <v>58.09</v>
      </c>
      <c r="CB347" s="2" t="n">
        <v>9.65</v>
      </c>
      <c r="CC347" s="2" t="n">
        <v>0</v>
      </c>
      <c r="CD347" s="2" t="n">
        <v>64.66</v>
      </c>
      <c r="CE347" s="2" t="n">
        <v>9.65</v>
      </c>
      <c r="CF347" s="2" t="n">
        <v>0</v>
      </c>
      <c r="CG347" s="2" t="n">
        <v>70.45</v>
      </c>
      <c r="CH347" s="2" t="n">
        <v>9.65</v>
      </c>
      <c r="CI347" s="2" t="n">
        <v>0</v>
      </c>
      <c r="CJ347" s="2" t="n">
        <v>76.94</v>
      </c>
      <c r="CK347" s="2" t="n">
        <v>9.65</v>
      </c>
      <c r="CL347" s="2" t="n">
        <v>0</v>
      </c>
      <c r="CM347" s="2" t="n">
        <v>82.63</v>
      </c>
      <c r="CN347" s="2" t="n">
        <v>9.65</v>
      </c>
      <c r="CO347" s="2" t="n">
        <v>0</v>
      </c>
      <c r="CP347" s="2" t="n">
        <v>88.36</v>
      </c>
      <c r="CQ347" s="2" t="n">
        <v>9.65</v>
      </c>
      <c r="CR347" s="2" t="n">
        <v>0</v>
      </c>
      <c r="CS347" s="2" t="n">
        <v>93.31</v>
      </c>
      <c r="CT347" s="2" t="n">
        <v>9.65</v>
      </c>
      <c r="CU347" s="2" t="n">
        <v>0</v>
      </c>
      <c r="CV347" s="2" t="n">
        <v>96.62</v>
      </c>
      <c r="CW347" s="2" t="n">
        <v>9.65</v>
      </c>
      <c r="CX347" s="2" t="n">
        <v>0</v>
      </c>
      <c r="CY347" s="2" t="n">
        <v>99.08</v>
      </c>
      <c r="CZ347" s="2" t="n">
        <v>9.65</v>
      </c>
      <c r="DA347" s="2" t="n">
        <v>0</v>
      </c>
      <c r="DB347" s="2" t="n">
        <v>100</v>
      </c>
      <c r="DC347" s="2" t="n">
        <v>9.65</v>
      </c>
      <c r="DD347" s="2" t="n">
        <v>0</v>
      </c>
      <c r="DE347" s="2" t="n">
        <v>100</v>
      </c>
      <c r="DF347" s="2" t="n">
        <v>9.65</v>
      </c>
      <c r="DG347" s="2" t="n">
        <v>0</v>
      </c>
      <c r="DH347" s="2" t="n">
        <v>100</v>
      </c>
      <c r="DI347" s="2" t="n">
        <v>9.65</v>
      </c>
      <c r="DJ347" s="2" t="n">
        <v>0</v>
      </c>
      <c r="DK347" s="2" t="n">
        <v>100</v>
      </c>
      <c r="DL347" s="2" t="n">
        <v>9.65</v>
      </c>
      <c r="DM347" s="2" t="n">
        <v>0</v>
      </c>
      <c r="DN347" s="2" t="n">
        <v>100</v>
      </c>
      <c r="DO347" s="2" t="n">
        <v>9.65</v>
      </c>
      <c r="DP347" s="2" t="n">
        <v>0</v>
      </c>
      <c r="DQ347" s="2" t="n">
        <v>100</v>
      </c>
      <c r="DR347" s="2" t="n">
        <v>9.65</v>
      </c>
      <c r="DS347" s="2" t="n">
        <v>0</v>
      </c>
      <c r="DT347" s="2" t="n">
        <v>100</v>
      </c>
      <c r="DU347" s="2" t="n">
        <v>9.65</v>
      </c>
      <c r="DV347" s="2" t="n">
        <v>0</v>
      </c>
      <c r="DW347" s="2" t="n">
        <v>100</v>
      </c>
      <c r="DX347" s="2" t="n">
        <v>9.65</v>
      </c>
      <c r="DY347" s="2" t="n">
        <v>0</v>
      </c>
      <c r="DZ347" s="2" t="n">
        <v>100</v>
      </c>
      <c r="EA347" s="2" t="n">
        <v>9.65</v>
      </c>
      <c r="EB347" s="2" t="n">
        <v>0</v>
      </c>
      <c r="EC347" s="2" t="n">
        <v>100</v>
      </c>
      <c r="ED347" s="2" t="n">
        <v>9.65</v>
      </c>
      <c r="EE347" s="2" t="n">
        <v>0</v>
      </c>
      <c r="EF347" s="2" t="n">
        <v>100</v>
      </c>
      <c r="EG347" s="2" t="n">
        <v>9.65</v>
      </c>
      <c r="EH347" s="2" t="n">
        <v>0</v>
      </c>
      <c r="EI347" s="2" t="n">
        <v>100</v>
      </c>
      <c r="EJ347" s="2" t="n">
        <v>9.65</v>
      </c>
      <c r="EK347" s="2" t="n">
        <v>0</v>
      </c>
      <c r="EL347" s="2" t="n">
        <v>100</v>
      </c>
      <c r="EM347" s="2" t="n">
        <v>9.65</v>
      </c>
      <c r="EN347" s="2" t="n">
        <v>0</v>
      </c>
      <c r="EO347" s="2" t="n">
        <v>100</v>
      </c>
      <c r="EP347" s="2" t="n">
        <v>9.65</v>
      </c>
      <c r="EQ347" s="2" t="n">
        <v>0</v>
      </c>
      <c r="ER347" s="2" t="n">
        <v>100</v>
      </c>
      <c r="ES347" s="2" t="n">
        <v>9.65</v>
      </c>
    </row>
    <row r="348">
      <c r="A348" s="2" t="n">
        <v>3</v>
      </c>
      <c r="B348" s="2" t="inlineStr">
        <is>
          <t>17.01.08</t>
        </is>
      </c>
      <c r="C348" s="2" t="inlineStr">
        <is>
          <t>Concreto bombeado Fck=50Mpa para superestrutura</t>
        </is>
      </c>
      <c r="D348" s="2" t="inlineStr">
        <is>
          <t>15/06/2026</t>
        </is>
      </c>
      <c r="E348" s="2" t="inlineStr">
        <is>
          <t>11/02/2028</t>
        </is>
      </c>
      <c r="F348" s="2" t="n">
        <v>3524138.964</v>
      </c>
      <c r="G348" s="2" t="n">
        <v>0</v>
      </c>
      <c r="H348" s="2" t="n">
        <v>3524138.964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0.8100000000000001</v>
      </c>
      <c r="AU348" s="2" t="n">
        <v>0.7</v>
      </c>
      <c r="AV348" s="2" t="n">
        <v>0</v>
      </c>
      <c r="AW348" s="2" t="n">
        <v>2.36</v>
      </c>
      <c r="AX348" s="2" t="n">
        <v>3.16</v>
      </c>
      <c r="AY348" s="2" t="n">
        <v>0</v>
      </c>
      <c r="AZ348" s="2" t="n">
        <v>9.75</v>
      </c>
      <c r="BA348" s="2" t="n">
        <v>8.07</v>
      </c>
      <c r="BB348" s="2" t="n">
        <v>0</v>
      </c>
      <c r="BC348" s="2" t="n">
        <v>14.82</v>
      </c>
      <c r="BD348" s="2" t="n">
        <v>9.65</v>
      </c>
      <c r="BE348" s="2" t="n">
        <v>0</v>
      </c>
      <c r="BF348" s="2" t="n">
        <v>20.19</v>
      </c>
      <c r="BG348" s="2" t="n">
        <v>9.65</v>
      </c>
      <c r="BH348" s="2" t="n">
        <v>0</v>
      </c>
      <c r="BI348" s="2" t="n">
        <v>25.29</v>
      </c>
      <c r="BJ348" s="2" t="n">
        <v>9.65</v>
      </c>
      <c r="BK348" s="2" t="n">
        <v>0</v>
      </c>
      <c r="BL348" s="2" t="n">
        <v>29.8</v>
      </c>
      <c r="BM348" s="2" t="n">
        <v>9.65</v>
      </c>
      <c r="BN348" s="2" t="n">
        <v>0</v>
      </c>
      <c r="BO348" s="2" t="n">
        <v>36.05</v>
      </c>
      <c r="BP348" s="2" t="n">
        <v>9.65</v>
      </c>
      <c r="BQ348" s="2" t="n">
        <v>0</v>
      </c>
      <c r="BR348" s="2" t="n">
        <v>40.96</v>
      </c>
      <c r="BS348" s="2" t="n">
        <v>9.65</v>
      </c>
      <c r="BT348" s="2" t="n">
        <v>0</v>
      </c>
      <c r="BU348" s="2" t="n">
        <v>46.13</v>
      </c>
      <c r="BV348" s="2" t="n">
        <v>9.65</v>
      </c>
      <c r="BW348" s="2" t="n">
        <v>0</v>
      </c>
      <c r="BX348" s="2" t="n">
        <v>52.15</v>
      </c>
      <c r="BY348" s="2" t="n">
        <v>9.65</v>
      </c>
      <c r="BZ348" s="2" t="n">
        <v>0</v>
      </c>
      <c r="CA348" s="2" t="n">
        <v>58.09</v>
      </c>
      <c r="CB348" s="2" t="n">
        <v>9.65</v>
      </c>
      <c r="CC348" s="2" t="n">
        <v>0</v>
      </c>
      <c r="CD348" s="2" t="n">
        <v>64.66</v>
      </c>
      <c r="CE348" s="2" t="n">
        <v>9.65</v>
      </c>
      <c r="CF348" s="2" t="n">
        <v>0</v>
      </c>
      <c r="CG348" s="2" t="n">
        <v>70.45</v>
      </c>
      <c r="CH348" s="2" t="n">
        <v>9.65</v>
      </c>
      <c r="CI348" s="2" t="n">
        <v>0</v>
      </c>
      <c r="CJ348" s="2" t="n">
        <v>76.94</v>
      </c>
      <c r="CK348" s="2" t="n">
        <v>9.65</v>
      </c>
      <c r="CL348" s="2" t="n">
        <v>0</v>
      </c>
      <c r="CM348" s="2" t="n">
        <v>82.63</v>
      </c>
      <c r="CN348" s="2" t="n">
        <v>9.65</v>
      </c>
      <c r="CO348" s="2" t="n">
        <v>0</v>
      </c>
      <c r="CP348" s="2" t="n">
        <v>88.36</v>
      </c>
      <c r="CQ348" s="2" t="n">
        <v>9.65</v>
      </c>
      <c r="CR348" s="2" t="n">
        <v>0</v>
      </c>
      <c r="CS348" s="2" t="n">
        <v>93.31</v>
      </c>
      <c r="CT348" s="2" t="n">
        <v>9.65</v>
      </c>
      <c r="CU348" s="2" t="n">
        <v>0</v>
      </c>
      <c r="CV348" s="2" t="n">
        <v>96.62</v>
      </c>
      <c r="CW348" s="2" t="n">
        <v>9.65</v>
      </c>
      <c r="CX348" s="2" t="n">
        <v>0</v>
      </c>
      <c r="CY348" s="2" t="n">
        <v>99.08</v>
      </c>
      <c r="CZ348" s="2" t="n">
        <v>9.65</v>
      </c>
      <c r="DA348" s="2" t="n">
        <v>0</v>
      </c>
      <c r="DB348" s="2" t="n">
        <v>100</v>
      </c>
      <c r="DC348" s="2" t="n">
        <v>9.65</v>
      </c>
      <c r="DD348" s="2" t="n">
        <v>0</v>
      </c>
      <c r="DE348" s="2" t="n">
        <v>100</v>
      </c>
      <c r="DF348" s="2" t="n">
        <v>9.65</v>
      </c>
      <c r="DG348" s="2" t="n">
        <v>0</v>
      </c>
      <c r="DH348" s="2" t="n">
        <v>100</v>
      </c>
      <c r="DI348" s="2" t="n">
        <v>9.65</v>
      </c>
      <c r="DJ348" s="2" t="n">
        <v>0</v>
      </c>
      <c r="DK348" s="2" t="n">
        <v>100</v>
      </c>
      <c r="DL348" s="2" t="n">
        <v>9.65</v>
      </c>
      <c r="DM348" s="2" t="n">
        <v>0</v>
      </c>
      <c r="DN348" s="2" t="n">
        <v>100</v>
      </c>
      <c r="DO348" s="2" t="n">
        <v>9.65</v>
      </c>
      <c r="DP348" s="2" t="n">
        <v>0</v>
      </c>
      <c r="DQ348" s="2" t="n">
        <v>100</v>
      </c>
      <c r="DR348" s="2" t="n">
        <v>9.65</v>
      </c>
      <c r="DS348" s="2" t="n">
        <v>0</v>
      </c>
      <c r="DT348" s="2" t="n">
        <v>100</v>
      </c>
      <c r="DU348" s="2" t="n">
        <v>9.65</v>
      </c>
      <c r="DV348" s="2" t="n">
        <v>0</v>
      </c>
      <c r="DW348" s="2" t="n">
        <v>100</v>
      </c>
      <c r="DX348" s="2" t="n">
        <v>9.65</v>
      </c>
      <c r="DY348" s="2" t="n">
        <v>0</v>
      </c>
      <c r="DZ348" s="2" t="n">
        <v>100</v>
      </c>
      <c r="EA348" s="2" t="n">
        <v>9.65</v>
      </c>
      <c r="EB348" s="2" t="n">
        <v>0</v>
      </c>
      <c r="EC348" s="2" t="n">
        <v>100</v>
      </c>
      <c r="ED348" s="2" t="n">
        <v>9.65</v>
      </c>
      <c r="EE348" s="2" t="n">
        <v>0</v>
      </c>
      <c r="EF348" s="2" t="n">
        <v>100</v>
      </c>
      <c r="EG348" s="2" t="n">
        <v>9.65</v>
      </c>
      <c r="EH348" s="2" t="n">
        <v>0</v>
      </c>
      <c r="EI348" s="2" t="n">
        <v>100</v>
      </c>
      <c r="EJ348" s="2" t="n">
        <v>9.65</v>
      </c>
      <c r="EK348" s="2" t="n">
        <v>0</v>
      </c>
      <c r="EL348" s="2" t="n">
        <v>100</v>
      </c>
      <c r="EM348" s="2" t="n">
        <v>9.65</v>
      </c>
      <c r="EN348" s="2" t="n">
        <v>0</v>
      </c>
      <c r="EO348" s="2" t="n">
        <v>100</v>
      </c>
      <c r="EP348" s="2" t="n">
        <v>9.65</v>
      </c>
      <c r="EQ348" s="2" t="n">
        <v>0</v>
      </c>
      <c r="ER348" s="2" t="n">
        <v>100</v>
      </c>
      <c r="ES348" s="2" t="n">
        <v>9.65</v>
      </c>
    </row>
    <row r="349">
      <c r="A349" s="2" t="n">
        <v>3</v>
      </c>
      <c r="B349" s="2" t="inlineStr">
        <is>
          <t>17.01.09</t>
        </is>
      </c>
      <c r="C349" s="2" t="inlineStr">
        <is>
          <t>Concreto bombeado Fck=40Mpa para superestrutura</t>
        </is>
      </c>
      <c r="D349" s="2" t="inlineStr">
        <is>
          <t>15/06/2026</t>
        </is>
      </c>
      <c r="E349" s="2" t="inlineStr">
        <is>
          <t>11/02/2028</t>
        </is>
      </c>
      <c r="F349" s="2" t="n">
        <v>1958861.768</v>
      </c>
      <c r="G349" s="2" t="n">
        <v>0</v>
      </c>
      <c r="H349" s="2" t="n">
        <v>1958861.768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0</v>
      </c>
      <c r="AO349" s="2" t="n">
        <v>0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0.8100000000000001</v>
      </c>
      <c r="AU349" s="2" t="n">
        <v>0.7</v>
      </c>
      <c r="AV349" s="2" t="n">
        <v>0</v>
      </c>
      <c r="AW349" s="2" t="n">
        <v>2.36</v>
      </c>
      <c r="AX349" s="2" t="n">
        <v>3.16</v>
      </c>
      <c r="AY349" s="2" t="n">
        <v>0</v>
      </c>
      <c r="AZ349" s="2" t="n">
        <v>9.75</v>
      </c>
      <c r="BA349" s="2" t="n">
        <v>8.07</v>
      </c>
      <c r="BB349" s="2" t="n">
        <v>0</v>
      </c>
      <c r="BC349" s="2" t="n">
        <v>14.82</v>
      </c>
      <c r="BD349" s="2" t="n">
        <v>9.65</v>
      </c>
      <c r="BE349" s="2" t="n">
        <v>0</v>
      </c>
      <c r="BF349" s="2" t="n">
        <v>20.19</v>
      </c>
      <c r="BG349" s="2" t="n">
        <v>9.65</v>
      </c>
      <c r="BH349" s="2" t="n">
        <v>0</v>
      </c>
      <c r="BI349" s="2" t="n">
        <v>25.29</v>
      </c>
      <c r="BJ349" s="2" t="n">
        <v>9.65</v>
      </c>
      <c r="BK349" s="2" t="n">
        <v>0</v>
      </c>
      <c r="BL349" s="2" t="n">
        <v>29.8</v>
      </c>
      <c r="BM349" s="2" t="n">
        <v>9.65</v>
      </c>
      <c r="BN349" s="2" t="n">
        <v>0</v>
      </c>
      <c r="BO349" s="2" t="n">
        <v>36.05</v>
      </c>
      <c r="BP349" s="2" t="n">
        <v>9.65</v>
      </c>
      <c r="BQ349" s="2" t="n">
        <v>0</v>
      </c>
      <c r="BR349" s="2" t="n">
        <v>40.96</v>
      </c>
      <c r="BS349" s="2" t="n">
        <v>9.65</v>
      </c>
      <c r="BT349" s="2" t="n">
        <v>0</v>
      </c>
      <c r="BU349" s="2" t="n">
        <v>46.13</v>
      </c>
      <c r="BV349" s="2" t="n">
        <v>9.65</v>
      </c>
      <c r="BW349" s="2" t="n">
        <v>0</v>
      </c>
      <c r="BX349" s="2" t="n">
        <v>52.15</v>
      </c>
      <c r="BY349" s="2" t="n">
        <v>9.65</v>
      </c>
      <c r="BZ349" s="2" t="n">
        <v>0</v>
      </c>
      <c r="CA349" s="2" t="n">
        <v>58.09</v>
      </c>
      <c r="CB349" s="2" t="n">
        <v>9.65</v>
      </c>
      <c r="CC349" s="2" t="n">
        <v>0</v>
      </c>
      <c r="CD349" s="2" t="n">
        <v>64.66</v>
      </c>
      <c r="CE349" s="2" t="n">
        <v>9.65</v>
      </c>
      <c r="CF349" s="2" t="n">
        <v>0</v>
      </c>
      <c r="CG349" s="2" t="n">
        <v>70.45</v>
      </c>
      <c r="CH349" s="2" t="n">
        <v>9.65</v>
      </c>
      <c r="CI349" s="2" t="n">
        <v>0</v>
      </c>
      <c r="CJ349" s="2" t="n">
        <v>76.94</v>
      </c>
      <c r="CK349" s="2" t="n">
        <v>9.65</v>
      </c>
      <c r="CL349" s="2" t="n">
        <v>0</v>
      </c>
      <c r="CM349" s="2" t="n">
        <v>82.63</v>
      </c>
      <c r="CN349" s="2" t="n">
        <v>9.65</v>
      </c>
      <c r="CO349" s="2" t="n">
        <v>0</v>
      </c>
      <c r="CP349" s="2" t="n">
        <v>88.36</v>
      </c>
      <c r="CQ349" s="2" t="n">
        <v>9.65</v>
      </c>
      <c r="CR349" s="2" t="n">
        <v>0</v>
      </c>
      <c r="CS349" s="2" t="n">
        <v>93.31</v>
      </c>
      <c r="CT349" s="2" t="n">
        <v>9.65</v>
      </c>
      <c r="CU349" s="2" t="n">
        <v>0</v>
      </c>
      <c r="CV349" s="2" t="n">
        <v>96.62</v>
      </c>
      <c r="CW349" s="2" t="n">
        <v>9.65</v>
      </c>
      <c r="CX349" s="2" t="n">
        <v>0</v>
      </c>
      <c r="CY349" s="2" t="n">
        <v>99.08</v>
      </c>
      <c r="CZ349" s="2" t="n">
        <v>9.65</v>
      </c>
      <c r="DA349" s="2" t="n">
        <v>0</v>
      </c>
      <c r="DB349" s="2" t="n">
        <v>100</v>
      </c>
      <c r="DC349" s="2" t="n">
        <v>9.65</v>
      </c>
      <c r="DD349" s="2" t="n">
        <v>0</v>
      </c>
      <c r="DE349" s="2" t="n">
        <v>100</v>
      </c>
      <c r="DF349" s="2" t="n">
        <v>9.65</v>
      </c>
      <c r="DG349" s="2" t="n">
        <v>0</v>
      </c>
      <c r="DH349" s="2" t="n">
        <v>100</v>
      </c>
      <c r="DI349" s="2" t="n">
        <v>9.65</v>
      </c>
      <c r="DJ349" s="2" t="n">
        <v>0</v>
      </c>
      <c r="DK349" s="2" t="n">
        <v>100</v>
      </c>
      <c r="DL349" s="2" t="n">
        <v>9.65</v>
      </c>
      <c r="DM349" s="2" t="n">
        <v>0</v>
      </c>
      <c r="DN349" s="2" t="n">
        <v>100</v>
      </c>
      <c r="DO349" s="2" t="n">
        <v>9.65</v>
      </c>
      <c r="DP349" s="2" t="n">
        <v>0</v>
      </c>
      <c r="DQ349" s="2" t="n">
        <v>100</v>
      </c>
      <c r="DR349" s="2" t="n">
        <v>9.65</v>
      </c>
      <c r="DS349" s="2" t="n">
        <v>0</v>
      </c>
      <c r="DT349" s="2" t="n">
        <v>100</v>
      </c>
      <c r="DU349" s="2" t="n">
        <v>9.65</v>
      </c>
      <c r="DV349" s="2" t="n">
        <v>0</v>
      </c>
      <c r="DW349" s="2" t="n">
        <v>100</v>
      </c>
      <c r="DX349" s="2" t="n">
        <v>9.65</v>
      </c>
      <c r="DY349" s="2" t="n">
        <v>0</v>
      </c>
      <c r="DZ349" s="2" t="n">
        <v>100</v>
      </c>
      <c r="EA349" s="2" t="n">
        <v>9.65</v>
      </c>
      <c r="EB349" s="2" t="n">
        <v>0</v>
      </c>
      <c r="EC349" s="2" t="n">
        <v>100</v>
      </c>
      <c r="ED349" s="2" t="n">
        <v>9.65</v>
      </c>
      <c r="EE349" s="2" t="n">
        <v>0</v>
      </c>
      <c r="EF349" s="2" t="n">
        <v>100</v>
      </c>
      <c r="EG349" s="2" t="n">
        <v>9.65</v>
      </c>
      <c r="EH349" s="2" t="n">
        <v>0</v>
      </c>
      <c r="EI349" s="2" t="n">
        <v>100</v>
      </c>
      <c r="EJ349" s="2" t="n">
        <v>9.65</v>
      </c>
      <c r="EK349" s="2" t="n">
        <v>0</v>
      </c>
      <c r="EL349" s="2" t="n">
        <v>100</v>
      </c>
      <c r="EM349" s="2" t="n">
        <v>9.65</v>
      </c>
      <c r="EN349" s="2" t="n">
        <v>0</v>
      </c>
      <c r="EO349" s="2" t="n">
        <v>100</v>
      </c>
      <c r="EP349" s="2" t="n">
        <v>9.65</v>
      </c>
      <c r="EQ349" s="2" t="n">
        <v>0</v>
      </c>
      <c r="ER349" s="2" t="n">
        <v>100</v>
      </c>
      <c r="ES349" s="2" t="n">
        <v>9.65</v>
      </c>
    </row>
    <row r="350">
      <c r="A350" s="2" t="n">
        <v>3</v>
      </c>
      <c r="B350" s="2" t="inlineStr">
        <is>
          <t>17.01.10</t>
        </is>
      </c>
      <c r="C350" s="2" t="inlineStr">
        <is>
          <t>Concreto bombeado Fck=50Mpa para superestrutura  - Silica  Cristalizante para fachada - 16+-3</t>
        </is>
      </c>
      <c r="D350" s="2" t="inlineStr">
        <is>
          <t>15/06/2026</t>
        </is>
      </c>
      <c r="E350" s="2" t="inlineStr">
        <is>
          <t>11/02/2028</t>
        </is>
      </c>
      <c r="F350" s="2" t="n">
        <v>278911.705</v>
      </c>
      <c r="G350" s="2" t="n">
        <v>0</v>
      </c>
      <c r="H350" s="2" t="n">
        <v>278911.705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0.8100000000000001</v>
      </c>
      <c r="AU350" s="2" t="n">
        <v>0.7</v>
      </c>
      <c r="AV350" s="2" t="n">
        <v>0</v>
      </c>
      <c r="AW350" s="2" t="n">
        <v>2.36</v>
      </c>
      <c r="AX350" s="2" t="n">
        <v>3.16</v>
      </c>
      <c r="AY350" s="2" t="n">
        <v>0</v>
      </c>
      <c r="AZ350" s="2" t="n">
        <v>9.75</v>
      </c>
      <c r="BA350" s="2" t="n">
        <v>8.07</v>
      </c>
      <c r="BB350" s="2" t="n">
        <v>0</v>
      </c>
      <c r="BC350" s="2" t="n">
        <v>14.82</v>
      </c>
      <c r="BD350" s="2" t="n">
        <v>9.65</v>
      </c>
      <c r="BE350" s="2" t="n">
        <v>0</v>
      </c>
      <c r="BF350" s="2" t="n">
        <v>20.19</v>
      </c>
      <c r="BG350" s="2" t="n">
        <v>9.65</v>
      </c>
      <c r="BH350" s="2" t="n">
        <v>0</v>
      </c>
      <c r="BI350" s="2" t="n">
        <v>25.29</v>
      </c>
      <c r="BJ350" s="2" t="n">
        <v>9.65</v>
      </c>
      <c r="BK350" s="2" t="n">
        <v>0</v>
      </c>
      <c r="BL350" s="2" t="n">
        <v>29.8</v>
      </c>
      <c r="BM350" s="2" t="n">
        <v>9.65</v>
      </c>
      <c r="BN350" s="2" t="n">
        <v>0</v>
      </c>
      <c r="BO350" s="2" t="n">
        <v>36.05</v>
      </c>
      <c r="BP350" s="2" t="n">
        <v>9.65</v>
      </c>
      <c r="BQ350" s="2" t="n">
        <v>0</v>
      </c>
      <c r="BR350" s="2" t="n">
        <v>40.96</v>
      </c>
      <c r="BS350" s="2" t="n">
        <v>9.65</v>
      </c>
      <c r="BT350" s="2" t="n">
        <v>0</v>
      </c>
      <c r="BU350" s="2" t="n">
        <v>46.13</v>
      </c>
      <c r="BV350" s="2" t="n">
        <v>9.65</v>
      </c>
      <c r="BW350" s="2" t="n">
        <v>0</v>
      </c>
      <c r="BX350" s="2" t="n">
        <v>52.15</v>
      </c>
      <c r="BY350" s="2" t="n">
        <v>9.65</v>
      </c>
      <c r="BZ350" s="2" t="n">
        <v>0</v>
      </c>
      <c r="CA350" s="2" t="n">
        <v>58.09</v>
      </c>
      <c r="CB350" s="2" t="n">
        <v>9.65</v>
      </c>
      <c r="CC350" s="2" t="n">
        <v>0</v>
      </c>
      <c r="CD350" s="2" t="n">
        <v>64.66</v>
      </c>
      <c r="CE350" s="2" t="n">
        <v>9.65</v>
      </c>
      <c r="CF350" s="2" t="n">
        <v>0</v>
      </c>
      <c r="CG350" s="2" t="n">
        <v>70.45</v>
      </c>
      <c r="CH350" s="2" t="n">
        <v>9.65</v>
      </c>
      <c r="CI350" s="2" t="n">
        <v>0</v>
      </c>
      <c r="CJ350" s="2" t="n">
        <v>76.94</v>
      </c>
      <c r="CK350" s="2" t="n">
        <v>9.65</v>
      </c>
      <c r="CL350" s="2" t="n">
        <v>0</v>
      </c>
      <c r="CM350" s="2" t="n">
        <v>82.63</v>
      </c>
      <c r="CN350" s="2" t="n">
        <v>9.65</v>
      </c>
      <c r="CO350" s="2" t="n">
        <v>0</v>
      </c>
      <c r="CP350" s="2" t="n">
        <v>88.36</v>
      </c>
      <c r="CQ350" s="2" t="n">
        <v>9.65</v>
      </c>
      <c r="CR350" s="2" t="n">
        <v>0</v>
      </c>
      <c r="CS350" s="2" t="n">
        <v>93.31</v>
      </c>
      <c r="CT350" s="2" t="n">
        <v>9.65</v>
      </c>
      <c r="CU350" s="2" t="n">
        <v>0</v>
      </c>
      <c r="CV350" s="2" t="n">
        <v>96.62</v>
      </c>
      <c r="CW350" s="2" t="n">
        <v>9.65</v>
      </c>
      <c r="CX350" s="2" t="n">
        <v>0</v>
      </c>
      <c r="CY350" s="2" t="n">
        <v>99.08</v>
      </c>
      <c r="CZ350" s="2" t="n">
        <v>9.65</v>
      </c>
      <c r="DA350" s="2" t="n">
        <v>0</v>
      </c>
      <c r="DB350" s="2" t="n">
        <v>100</v>
      </c>
      <c r="DC350" s="2" t="n">
        <v>9.65</v>
      </c>
      <c r="DD350" s="2" t="n">
        <v>0</v>
      </c>
      <c r="DE350" s="2" t="n">
        <v>100</v>
      </c>
      <c r="DF350" s="2" t="n">
        <v>9.65</v>
      </c>
      <c r="DG350" s="2" t="n">
        <v>0</v>
      </c>
      <c r="DH350" s="2" t="n">
        <v>100</v>
      </c>
      <c r="DI350" s="2" t="n">
        <v>9.65</v>
      </c>
      <c r="DJ350" s="2" t="n">
        <v>0</v>
      </c>
      <c r="DK350" s="2" t="n">
        <v>100</v>
      </c>
      <c r="DL350" s="2" t="n">
        <v>9.65</v>
      </c>
      <c r="DM350" s="2" t="n">
        <v>0</v>
      </c>
      <c r="DN350" s="2" t="n">
        <v>100</v>
      </c>
      <c r="DO350" s="2" t="n">
        <v>9.65</v>
      </c>
      <c r="DP350" s="2" t="n">
        <v>0</v>
      </c>
      <c r="DQ350" s="2" t="n">
        <v>100</v>
      </c>
      <c r="DR350" s="2" t="n">
        <v>9.65</v>
      </c>
      <c r="DS350" s="2" t="n">
        <v>0</v>
      </c>
      <c r="DT350" s="2" t="n">
        <v>100</v>
      </c>
      <c r="DU350" s="2" t="n">
        <v>9.65</v>
      </c>
      <c r="DV350" s="2" t="n">
        <v>0</v>
      </c>
      <c r="DW350" s="2" t="n">
        <v>100</v>
      </c>
      <c r="DX350" s="2" t="n">
        <v>9.65</v>
      </c>
      <c r="DY350" s="2" t="n">
        <v>0</v>
      </c>
      <c r="DZ350" s="2" t="n">
        <v>100</v>
      </c>
      <c r="EA350" s="2" t="n">
        <v>9.65</v>
      </c>
      <c r="EB350" s="2" t="n">
        <v>0</v>
      </c>
      <c r="EC350" s="2" t="n">
        <v>100</v>
      </c>
      <c r="ED350" s="2" t="n">
        <v>9.65</v>
      </c>
      <c r="EE350" s="2" t="n">
        <v>0</v>
      </c>
      <c r="EF350" s="2" t="n">
        <v>100</v>
      </c>
      <c r="EG350" s="2" t="n">
        <v>9.65</v>
      </c>
      <c r="EH350" s="2" t="n">
        <v>0</v>
      </c>
      <c r="EI350" s="2" t="n">
        <v>100</v>
      </c>
      <c r="EJ350" s="2" t="n">
        <v>9.65</v>
      </c>
      <c r="EK350" s="2" t="n">
        <v>0</v>
      </c>
      <c r="EL350" s="2" t="n">
        <v>100</v>
      </c>
      <c r="EM350" s="2" t="n">
        <v>9.65</v>
      </c>
      <c r="EN350" s="2" t="n">
        <v>0</v>
      </c>
      <c r="EO350" s="2" t="n">
        <v>100</v>
      </c>
      <c r="EP350" s="2" t="n">
        <v>9.65</v>
      </c>
      <c r="EQ350" s="2" t="n">
        <v>0</v>
      </c>
      <c r="ER350" s="2" t="n">
        <v>100</v>
      </c>
      <c r="ES350" s="2" t="n">
        <v>9.65</v>
      </c>
    </row>
    <row r="351">
      <c r="A351" s="2" t="n">
        <v>3</v>
      </c>
      <c r="B351" s="2" t="inlineStr">
        <is>
          <t>17.01.11</t>
        </is>
      </c>
      <c r="C351" s="2" t="inlineStr">
        <is>
          <t>Concreto bombeado Fck=40Mpa para superestrutura  - Silica  Cristalizante para fachada - 25+-3</t>
        </is>
      </c>
      <c r="D351" s="2" t="inlineStr">
        <is>
          <t>15/06/2026</t>
        </is>
      </c>
      <c r="E351" s="2" t="inlineStr">
        <is>
          <t>11/02/2028</t>
        </is>
      </c>
      <c r="F351" s="2" t="n">
        <v>1039165.9968</v>
      </c>
      <c r="G351" s="2" t="n">
        <v>0</v>
      </c>
      <c r="H351" s="2" t="n">
        <v>1039165.9968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0.8100000000000001</v>
      </c>
      <c r="AU351" s="2" t="n">
        <v>0.7</v>
      </c>
      <c r="AV351" s="2" t="n">
        <v>0</v>
      </c>
      <c r="AW351" s="2" t="n">
        <v>2.36</v>
      </c>
      <c r="AX351" s="2" t="n">
        <v>3.16</v>
      </c>
      <c r="AY351" s="2" t="n">
        <v>0</v>
      </c>
      <c r="AZ351" s="2" t="n">
        <v>9.75</v>
      </c>
      <c r="BA351" s="2" t="n">
        <v>8.07</v>
      </c>
      <c r="BB351" s="2" t="n">
        <v>0</v>
      </c>
      <c r="BC351" s="2" t="n">
        <v>14.82</v>
      </c>
      <c r="BD351" s="2" t="n">
        <v>9.65</v>
      </c>
      <c r="BE351" s="2" t="n">
        <v>0</v>
      </c>
      <c r="BF351" s="2" t="n">
        <v>20.19</v>
      </c>
      <c r="BG351" s="2" t="n">
        <v>9.65</v>
      </c>
      <c r="BH351" s="2" t="n">
        <v>0</v>
      </c>
      <c r="BI351" s="2" t="n">
        <v>25.29</v>
      </c>
      <c r="BJ351" s="2" t="n">
        <v>9.65</v>
      </c>
      <c r="BK351" s="2" t="n">
        <v>0</v>
      </c>
      <c r="BL351" s="2" t="n">
        <v>29.8</v>
      </c>
      <c r="BM351" s="2" t="n">
        <v>9.65</v>
      </c>
      <c r="BN351" s="2" t="n">
        <v>0</v>
      </c>
      <c r="BO351" s="2" t="n">
        <v>36.05</v>
      </c>
      <c r="BP351" s="2" t="n">
        <v>9.65</v>
      </c>
      <c r="BQ351" s="2" t="n">
        <v>0</v>
      </c>
      <c r="BR351" s="2" t="n">
        <v>40.96</v>
      </c>
      <c r="BS351" s="2" t="n">
        <v>9.65</v>
      </c>
      <c r="BT351" s="2" t="n">
        <v>0</v>
      </c>
      <c r="BU351" s="2" t="n">
        <v>46.13</v>
      </c>
      <c r="BV351" s="2" t="n">
        <v>9.65</v>
      </c>
      <c r="BW351" s="2" t="n">
        <v>0</v>
      </c>
      <c r="BX351" s="2" t="n">
        <v>52.15</v>
      </c>
      <c r="BY351" s="2" t="n">
        <v>9.65</v>
      </c>
      <c r="BZ351" s="2" t="n">
        <v>0</v>
      </c>
      <c r="CA351" s="2" t="n">
        <v>58.09</v>
      </c>
      <c r="CB351" s="2" t="n">
        <v>9.65</v>
      </c>
      <c r="CC351" s="2" t="n">
        <v>0</v>
      </c>
      <c r="CD351" s="2" t="n">
        <v>64.66</v>
      </c>
      <c r="CE351" s="2" t="n">
        <v>9.65</v>
      </c>
      <c r="CF351" s="2" t="n">
        <v>0</v>
      </c>
      <c r="CG351" s="2" t="n">
        <v>70.45</v>
      </c>
      <c r="CH351" s="2" t="n">
        <v>9.65</v>
      </c>
      <c r="CI351" s="2" t="n">
        <v>0</v>
      </c>
      <c r="CJ351" s="2" t="n">
        <v>76.94</v>
      </c>
      <c r="CK351" s="2" t="n">
        <v>9.65</v>
      </c>
      <c r="CL351" s="2" t="n">
        <v>0</v>
      </c>
      <c r="CM351" s="2" t="n">
        <v>82.63</v>
      </c>
      <c r="CN351" s="2" t="n">
        <v>9.65</v>
      </c>
      <c r="CO351" s="2" t="n">
        <v>0</v>
      </c>
      <c r="CP351" s="2" t="n">
        <v>88.36</v>
      </c>
      <c r="CQ351" s="2" t="n">
        <v>9.65</v>
      </c>
      <c r="CR351" s="2" t="n">
        <v>0</v>
      </c>
      <c r="CS351" s="2" t="n">
        <v>93.31</v>
      </c>
      <c r="CT351" s="2" t="n">
        <v>9.65</v>
      </c>
      <c r="CU351" s="2" t="n">
        <v>0</v>
      </c>
      <c r="CV351" s="2" t="n">
        <v>96.62</v>
      </c>
      <c r="CW351" s="2" t="n">
        <v>9.65</v>
      </c>
      <c r="CX351" s="2" t="n">
        <v>0</v>
      </c>
      <c r="CY351" s="2" t="n">
        <v>99.08</v>
      </c>
      <c r="CZ351" s="2" t="n">
        <v>9.65</v>
      </c>
      <c r="DA351" s="2" t="n">
        <v>0</v>
      </c>
      <c r="DB351" s="2" t="n">
        <v>100</v>
      </c>
      <c r="DC351" s="2" t="n">
        <v>9.65</v>
      </c>
      <c r="DD351" s="2" t="n">
        <v>0</v>
      </c>
      <c r="DE351" s="2" t="n">
        <v>100</v>
      </c>
      <c r="DF351" s="2" t="n">
        <v>9.65</v>
      </c>
      <c r="DG351" s="2" t="n">
        <v>0</v>
      </c>
      <c r="DH351" s="2" t="n">
        <v>100</v>
      </c>
      <c r="DI351" s="2" t="n">
        <v>9.65</v>
      </c>
      <c r="DJ351" s="2" t="n">
        <v>0</v>
      </c>
      <c r="DK351" s="2" t="n">
        <v>100</v>
      </c>
      <c r="DL351" s="2" t="n">
        <v>9.65</v>
      </c>
      <c r="DM351" s="2" t="n">
        <v>0</v>
      </c>
      <c r="DN351" s="2" t="n">
        <v>100</v>
      </c>
      <c r="DO351" s="2" t="n">
        <v>9.65</v>
      </c>
      <c r="DP351" s="2" t="n">
        <v>0</v>
      </c>
      <c r="DQ351" s="2" t="n">
        <v>100</v>
      </c>
      <c r="DR351" s="2" t="n">
        <v>9.65</v>
      </c>
      <c r="DS351" s="2" t="n">
        <v>0</v>
      </c>
      <c r="DT351" s="2" t="n">
        <v>100</v>
      </c>
      <c r="DU351" s="2" t="n">
        <v>9.65</v>
      </c>
      <c r="DV351" s="2" t="n">
        <v>0</v>
      </c>
      <c r="DW351" s="2" t="n">
        <v>100</v>
      </c>
      <c r="DX351" s="2" t="n">
        <v>9.65</v>
      </c>
      <c r="DY351" s="2" t="n">
        <v>0</v>
      </c>
      <c r="DZ351" s="2" t="n">
        <v>100</v>
      </c>
      <c r="EA351" s="2" t="n">
        <v>9.65</v>
      </c>
      <c r="EB351" s="2" t="n">
        <v>0</v>
      </c>
      <c r="EC351" s="2" t="n">
        <v>100</v>
      </c>
      <c r="ED351" s="2" t="n">
        <v>9.65</v>
      </c>
      <c r="EE351" s="2" t="n">
        <v>0</v>
      </c>
      <c r="EF351" s="2" t="n">
        <v>100</v>
      </c>
      <c r="EG351" s="2" t="n">
        <v>9.65</v>
      </c>
      <c r="EH351" s="2" t="n">
        <v>0</v>
      </c>
      <c r="EI351" s="2" t="n">
        <v>100</v>
      </c>
      <c r="EJ351" s="2" t="n">
        <v>9.65</v>
      </c>
      <c r="EK351" s="2" t="n">
        <v>0</v>
      </c>
      <c r="EL351" s="2" t="n">
        <v>100</v>
      </c>
      <c r="EM351" s="2" t="n">
        <v>9.65</v>
      </c>
      <c r="EN351" s="2" t="n">
        <v>0</v>
      </c>
      <c r="EO351" s="2" t="n">
        <v>100</v>
      </c>
      <c r="EP351" s="2" t="n">
        <v>9.65</v>
      </c>
      <c r="EQ351" s="2" t="n">
        <v>0</v>
      </c>
      <c r="ER351" s="2" t="n">
        <v>100</v>
      </c>
      <c r="ES351" s="2" t="n">
        <v>9.65</v>
      </c>
    </row>
    <row r="352">
      <c r="A352" s="2" t="n">
        <v>3</v>
      </c>
      <c r="B352" s="2" t="inlineStr">
        <is>
          <t>17.01.12</t>
        </is>
      </c>
      <c r="C352" s="2" t="inlineStr">
        <is>
          <t>Polimento de pisos de concreto, acabamento sarrafeado</t>
        </is>
      </c>
      <c r="D352" s="2" t="inlineStr">
        <is>
          <t>15/06/2026</t>
        </is>
      </c>
      <c r="E352" s="2" t="inlineStr">
        <is>
          <t>11/02/2028</t>
        </is>
      </c>
      <c r="F352" s="2" t="n">
        <v>353776.17</v>
      </c>
      <c r="G352" s="2" t="n">
        <v>0</v>
      </c>
      <c r="H352" s="2" t="n">
        <v>353776.17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0.8100000000000001</v>
      </c>
      <c r="AU352" s="2" t="n">
        <v>0.7</v>
      </c>
      <c r="AV352" s="2" t="n">
        <v>0</v>
      </c>
      <c r="AW352" s="2" t="n">
        <v>2.36</v>
      </c>
      <c r="AX352" s="2" t="n">
        <v>3.16</v>
      </c>
      <c r="AY352" s="2" t="n">
        <v>0</v>
      </c>
      <c r="AZ352" s="2" t="n">
        <v>9.75</v>
      </c>
      <c r="BA352" s="2" t="n">
        <v>8.07</v>
      </c>
      <c r="BB352" s="2" t="n">
        <v>0</v>
      </c>
      <c r="BC352" s="2" t="n">
        <v>14.82</v>
      </c>
      <c r="BD352" s="2" t="n">
        <v>9.65</v>
      </c>
      <c r="BE352" s="2" t="n">
        <v>0</v>
      </c>
      <c r="BF352" s="2" t="n">
        <v>20.19</v>
      </c>
      <c r="BG352" s="2" t="n">
        <v>9.65</v>
      </c>
      <c r="BH352" s="2" t="n">
        <v>0</v>
      </c>
      <c r="BI352" s="2" t="n">
        <v>25.29</v>
      </c>
      <c r="BJ352" s="2" t="n">
        <v>9.65</v>
      </c>
      <c r="BK352" s="2" t="n">
        <v>0</v>
      </c>
      <c r="BL352" s="2" t="n">
        <v>29.8</v>
      </c>
      <c r="BM352" s="2" t="n">
        <v>9.65</v>
      </c>
      <c r="BN352" s="2" t="n">
        <v>0</v>
      </c>
      <c r="BO352" s="2" t="n">
        <v>36.05</v>
      </c>
      <c r="BP352" s="2" t="n">
        <v>9.65</v>
      </c>
      <c r="BQ352" s="2" t="n">
        <v>0</v>
      </c>
      <c r="BR352" s="2" t="n">
        <v>40.96</v>
      </c>
      <c r="BS352" s="2" t="n">
        <v>9.65</v>
      </c>
      <c r="BT352" s="2" t="n">
        <v>0</v>
      </c>
      <c r="BU352" s="2" t="n">
        <v>46.13</v>
      </c>
      <c r="BV352" s="2" t="n">
        <v>9.65</v>
      </c>
      <c r="BW352" s="2" t="n">
        <v>0</v>
      </c>
      <c r="BX352" s="2" t="n">
        <v>52.15</v>
      </c>
      <c r="BY352" s="2" t="n">
        <v>9.65</v>
      </c>
      <c r="BZ352" s="2" t="n">
        <v>0</v>
      </c>
      <c r="CA352" s="2" t="n">
        <v>58.09</v>
      </c>
      <c r="CB352" s="2" t="n">
        <v>9.65</v>
      </c>
      <c r="CC352" s="2" t="n">
        <v>0</v>
      </c>
      <c r="CD352" s="2" t="n">
        <v>64.66</v>
      </c>
      <c r="CE352" s="2" t="n">
        <v>9.65</v>
      </c>
      <c r="CF352" s="2" t="n">
        <v>0</v>
      </c>
      <c r="CG352" s="2" t="n">
        <v>70.45</v>
      </c>
      <c r="CH352" s="2" t="n">
        <v>9.65</v>
      </c>
      <c r="CI352" s="2" t="n">
        <v>0</v>
      </c>
      <c r="CJ352" s="2" t="n">
        <v>76.94</v>
      </c>
      <c r="CK352" s="2" t="n">
        <v>9.65</v>
      </c>
      <c r="CL352" s="2" t="n">
        <v>0</v>
      </c>
      <c r="CM352" s="2" t="n">
        <v>82.63</v>
      </c>
      <c r="CN352" s="2" t="n">
        <v>9.65</v>
      </c>
      <c r="CO352" s="2" t="n">
        <v>0</v>
      </c>
      <c r="CP352" s="2" t="n">
        <v>88.36</v>
      </c>
      <c r="CQ352" s="2" t="n">
        <v>9.65</v>
      </c>
      <c r="CR352" s="2" t="n">
        <v>0</v>
      </c>
      <c r="CS352" s="2" t="n">
        <v>93.31</v>
      </c>
      <c r="CT352" s="2" t="n">
        <v>9.65</v>
      </c>
      <c r="CU352" s="2" t="n">
        <v>0</v>
      </c>
      <c r="CV352" s="2" t="n">
        <v>96.62</v>
      </c>
      <c r="CW352" s="2" t="n">
        <v>9.65</v>
      </c>
      <c r="CX352" s="2" t="n">
        <v>0</v>
      </c>
      <c r="CY352" s="2" t="n">
        <v>99.08</v>
      </c>
      <c r="CZ352" s="2" t="n">
        <v>9.65</v>
      </c>
      <c r="DA352" s="2" t="n">
        <v>0</v>
      </c>
      <c r="DB352" s="2" t="n">
        <v>100</v>
      </c>
      <c r="DC352" s="2" t="n">
        <v>9.65</v>
      </c>
      <c r="DD352" s="2" t="n">
        <v>0</v>
      </c>
      <c r="DE352" s="2" t="n">
        <v>100</v>
      </c>
      <c r="DF352" s="2" t="n">
        <v>9.65</v>
      </c>
      <c r="DG352" s="2" t="n">
        <v>0</v>
      </c>
      <c r="DH352" s="2" t="n">
        <v>100</v>
      </c>
      <c r="DI352" s="2" t="n">
        <v>9.65</v>
      </c>
      <c r="DJ352" s="2" t="n">
        <v>0</v>
      </c>
      <c r="DK352" s="2" t="n">
        <v>100</v>
      </c>
      <c r="DL352" s="2" t="n">
        <v>9.65</v>
      </c>
      <c r="DM352" s="2" t="n">
        <v>0</v>
      </c>
      <c r="DN352" s="2" t="n">
        <v>100</v>
      </c>
      <c r="DO352" s="2" t="n">
        <v>9.65</v>
      </c>
      <c r="DP352" s="2" t="n">
        <v>0</v>
      </c>
      <c r="DQ352" s="2" t="n">
        <v>100</v>
      </c>
      <c r="DR352" s="2" t="n">
        <v>9.65</v>
      </c>
      <c r="DS352" s="2" t="n">
        <v>0</v>
      </c>
      <c r="DT352" s="2" t="n">
        <v>100</v>
      </c>
      <c r="DU352" s="2" t="n">
        <v>9.65</v>
      </c>
      <c r="DV352" s="2" t="n">
        <v>0</v>
      </c>
      <c r="DW352" s="2" t="n">
        <v>100</v>
      </c>
      <c r="DX352" s="2" t="n">
        <v>9.65</v>
      </c>
      <c r="DY352" s="2" t="n">
        <v>0</v>
      </c>
      <c r="DZ352" s="2" t="n">
        <v>100</v>
      </c>
      <c r="EA352" s="2" t="n">
        <v>9.65</v>
      </c>
      <c r="EB352" s="2" t="n">
        <v>0</v>
      </c>
      <c r="EC352" s="2" t="n">
        <v>100</v>
      </c>
      <c r="ED352" s="2" t="n">
        <v>9.65</v>
      </c>
      <c r="EE352" s="2" t="n">
        <v>0</v>
      </c>
      <c r="EF352" s="2" t="n">
        <v>100</v>
      </c>
      <c r="EG352" s="2" t="n">
        <v>9.65</v>
      </c>
      <c r="EH352" s="2" t="n">
        <v>0</v>
      </c>
      <c r="EI352" s="2" t="n">
        <v>100</v>
      </c>
      <c r="EJ352" s="2" t="n">
        <v>9.65</v>
      </c>
      <c r="EK352" s="2" t="n">
        <v>0</v>
      </c>
      <c r="EL352" s="2" t="n">
        <v>100</v>
      </c>
      <c r="EM352" s="2" t="n">
        <v>9.65</v>
      </c>
      <c r="EN352" s="2" t="n">
        <v>0</v>
      </c>
      <c r="EO352" s="2" t="n">
        <v>100</v>
      </c>
      <c r="EP352" s="2" t="n">
        <v>9.65</v>
      </c>
      <c r="EQ352" s="2" t="n">
        <v>0</v>
      </c>
      <c r="ER352" s="2" t="n">
        <v>100</v>
      </c>
      <c r="ES352" s="2" t="n">
        <v>9.65</v>
      </c>
    </row>
    <row r="353">
      <c r="A353" s="2" t="n">
        <v>2</v>
      </c>
      <c r="B353" s="2" t="inlineStr">
        <is>
          <t>17.02</t>
        </is>
      </c>
      <c r="C353" s="2" t="inlineStr">
        <is>
          <t>Complementos</t>
        </is>
      </c>
      <c r="D353" s="2" t="inlineStr">
        <is>
          <t>15/06/2026</t>
        </is>
      </c>
      <c r="E353" s="2" t="inlineStr">
        <is>
          <t>11/02/2028</t>
        </is>
      </c>
      <c r="F353" s="2" t="n">
        <v>129564.7995404071</v>
      </c>
      <c r="G353" s="2" t="n">
        <v>0</v>
      </c>
      <c r="H353" s="2" t="n">
        <v>129564.7995404071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0.8100000000000001</v>
      </c>
      <c r="AU353" s="2" t="n">
        <v>0.7</v>
      </c>
      <c r="AV353" s="2" t="n">
        <v>0</v>
      </c>
      <c r="AW353" s="2" t="n">
        <v>2.36</v>
      </c>
      <c r="AX353" s="2" t="n">
        <v>3.16</v>
      </c>
      <c r="AY353" s="2" t="n">
        <v>0</v>
      </c>
      <c r="AZ353" s="2" t="n">
        <v>9.75</v>
      </c>
      <c r="BA353" s="2" t="n">
        <v>8.07</v>
      </c>
      <c r="BB353" s="2" t="n">
        <v>0</v>
      </c>
      <c r="BC353" s="2" t="n">
        <v>14.82</v>
      </c>
      <c r="BD353" s="2" t="n">
        <v>9.65</v>
      </c>
      <c r="BE353" s="2" t="n">
        <v>0</v>
      </c>
      <c r="BF353" s="2" t="n">
        <v>20.19</v>
      </c>
      <c r="BG353" s="2" t="n">
        <v>9.65</v>
      </c>
      <c r="BH353" s="2" t="n">
        <v>0</v>
      </c>
      <c r="BI353" s="2" t="n">
        <v>25.29</v>
      </c>
      <c r="BJ353" s="2" t="n">
        <v>9.65</v>
      </c>
      <c r="BK353" s="2" t="n">
        <v>0</v>
      </c>
      <c r="BL353" s="2" t="n">
        <v>29.8</v>
      </c>
      <c r="BM353" s="2" t="n">
        <v>9.65</v>
      </c>
      <c r="BN353" s="2" t="n">
        <v>0</v>
      </c>
      <c r="BO353" s="2" t="n">
        <v>36.05</v>
      </c>
      <c r="BP353" s="2" t="n">
        <v>9.65</v>
      </c>
      <c r="BQ353" s="2" t="n">
        <v>0</v>
      </c>
      <c r="BR353" s="2" t="n">
        <v>40.96</v>
      </c>
      <c r="BS353" s="2" t="n">
        <v>9.65</v>
      </c>
      <c r="BT353" s="2" t="n">
        <v>0</v>
      </c>
      <c r="BU353" s="2" t="n">
        <v>46.13</v>
      </c>
      <c r="BV353" s="2" t="n">
        <v>9.65</v>
      </c>
      <c r="BW353" s="2" t="n">
        <v>0</v>
      </c>
      <c r="BX353" s="2" t="n">
        <v>52.15</v>
      </c>
      <c r="BY353" s="2" t="n">
        <v>9.65</v>
      </c>
      <c r="BZ353" s="2" t="n">
        <v>0</v>
      </c>
      <c r="CA353" s="2" t="n">
        <v>58.09</v>
      </c>
      <c r="CB353" s="2" t="n">
        <v>9.65</v>
      </c>
      <c r="CC353" s="2" t="n">
        <v>0</v>
      </c>
      <c r="CD353" s="2" t="n">
        <v>64.66</v>
      </c>
      <c r="CE353" s="2" t="n">
        <v>9.65</v>
      </c>
      <c r="CF353" s="2" t="n">
        <v>0</v>
      </c>
      <c r="CG353" s="2" t="n">
        <v>70.45</v>
      </c>
      <c r="CH353" s="2" t="n">
        <v>9.65</v>
      </c>
      <c r="CI353" s="2" t="n">
        <v>0</v>
      </c>
      <c r="CJ353" s="2" t="n">
        <v>76.94</v>
      </c>
      <c r="CK353" s="2" t="n">
        <v>9.65</v>
      </c>
      <c r="CL353" s="2" t="n">
        <v>0</v>
      </c>
      <c r="CM353" s="2" t="n">
        <v>82.63</v>
      </c>
      <c r="CN353" s="2" t="n">
        <v>9.65</v>
      </c>
      <c r="CO353" s="2" t="n">
        <v>0</v>
      </c>
      <c r="CP353" s="2" t="n">
        <v>88.36</v>
      </c>
      <c r="CQ353" s="2" t="n">
        <v>9.65</v>
      </c>
      <c r="CR353" s="2" t="n">
        <v>0</v>
      </c>
      <c r="CS353" s="2" t="n">
        <v>93.31</v>
      </c>
      <c r="CT353" s="2" t="n">
        <v>9.65</v>
      </c>
      <c r="CU353" s="2" t="n">
        <v>0</v>
      </c>
      <c r="CV353" s="2" t="n">
        <v>96.62</v>
      </c>
      <c r="CW353" s="2" t="n">
        <v>9.65</v>
      </c>
      <c r="CX353" s="2" t="n">
        <v>0</v>
      </c>
      <c r="CY353" s="2" t="n">
        <v>99.08</v>
      </c>
      <c r="CZ353" s="2" t="n">
        <v>9.65</v>
      </c>
      <c r="DA353" s="2" t="n">
        <v>0</v>
      </c>
      <c r="DB353" s="2" t="n">
        <v>100</v>
      </c>
      <c r="DC353" s="2" t="n">
        <v>9.65</v>
      </c>
      <c r="DD353" s="2" t="n">
        <v>0</v>
      </c>
      <c r="DE353" s="2" t="n">
        <v>100</v>
      </c>
      <c r="DF353" s="2" t="n">
        <v>9.65</v>
      </c>
      <c r="DG353" s="2" t="n">
        <v>0</v>
      </c>
      <c r="DH353" s="2" t="n">
        <v>100</v>
      </c>
      <c r="DI353" s="2" t="n">
        <v>9.65</v>
      </c>
      <c r="DJ353" s="2" t="n">
        <v>0</v>
      </c>
      <c r="DK353" s="2" t="n">
        <v>100</v>
      </c>
      <c r="DL353" s="2" t="n">
        <v>9.65</v>
      </c>
      <c r="DM353" s="2" t="n">
        <v>0</v>
      </c>
      <c r="DN353" s="2" t="n">
        <v>100</v>
      </c>
      <c r="DO353" s="2" t="n">
        <v>9.65</v>
      </c>
      <c r="DP353" s="2" t="n">
        <v>0</v>
      </c>
      <c r="DQ353" s="2" t="n">
        <v>100</v>
      </c>
      <c r="DR353" s="2" t="n">
        <v>9.65</v>
      </c>
      <c r="DS353" s="2" t="n">
        <v>0</v>
      </c>
      <c r="DT353" s="2" t="n">
        <v>100</v>
      </c>
      <c r="DU353" s="2" t="n">
        <v>9.65</v>
      </c>
      <c r="DV353" s="2" t="n">
        <v>0</v>
      </c>
      <c r="DW353" s="2" t="n">
        <v>100</v>
      </c>
      <c r="DX353" s="2" t="n">
        <v>9.65</v>
      </c>
      <c r="DY353" s="2" t="n">
        <v>0</v>
      </c>
      <c r="DZ353" s="2" t="n">
        <v>100</v>
      </c>
      <c r="EA353" s="2" t="n">
        <v>9.65</v>
      </c>
      <c r="EB353" s="2" t="n">
        <v>0</v>
      </c>
      <c r="EC353" s="2" t="n">
        <v>100</v>
      </c>
      <c r="ED353" s="2" t="n">
        <v>9.65</v>
      </c>
      <c r="EE353" s="2" t="n">
        <v>0</v>
      </c>
      <c r="EF353" s="2" t="n">
        <v>100</v>
      </c>
      <c r="EG353" s="2" t="n">
        <v>9.65</v>
      </c>
      <c r="EH353" s="2" t="n">
        <v>0</v>
      </c>
      <c r="EI353" s="2" t="n">
        <v>100</v>
      </c>
      <c r="EJ353" s="2" t="n">
        <v>9.65</v>
      </c>
      <c r="EK353" s="2" t="n">
        <v>0</v>
      </c>
      <c r="EL353" s="2" t="n">
        <v>100</v>
      </c>
      <c r="EM353" s="2" t="n">
        <v>9.65</v>
      </c>
      <c r="EN353" s="2" t="n">
        <v>0</v>
      </c>
      <c r="EO353" s="2" t="n">
        <v>100</v>
      </c>
      <c r="EP353" s="2" t="n">
        <v>9.65</v>
      </c>
      <c r="EQ353" s="2" t="n">
        <v>0</v>
      </c>
      <c r="ER353" s="2" t="n">
        <v>100</v>
      </c>
      <c r="ES353" s="2" t="n">
        <v>9.65</v>
      </c>
    </row>
    <row r="354">
      <c r="A354" s="2" t="n">
        <v>3</v>
      </c>
      <c r="B354" s="2" t="inlineStr">
        <is>
          <t>17.02.01</t>
        </is>
      </c>
      <c r="C354" s="2" t="inlineStr">
        <is>
          <t>Juntas de dilatação de isopor esp. 20mm</t>
        </is>
      </c>
      <c r="D354" s="2" t="inlineStr">
        <is>
          <t>15/06/2026</t>
        </is>
      </c>
      <c r="E354" s="2" t="inlineStr">
        <is>
          <t>11/02/2028</t>
        </is>
      </c>
      <c r="F354" s="2" t="n">
        <v>11848.18006029649</v>
      </c>
      <c r="G354" s="2" t="n">
        <v>0</v>
      </c>
      <c r="H354" s="2" t="n">
        <v>11848.18006029649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0.8100000000000001</v>
      </c>
      <c r="AU354" s="2" t="n">
        <v>0.7</v>
      </c>
      <c r="AV354" s="2" t="n">
        <v>0</v>
      </c>
      <c r="AW354" s="2" t="n">
        <v>2.36</v>
      </c>
      <c r="AX354" s="2" t="n">
        <v>3.16</v>
      </c>
      <c r="AY354" s="2" t="n">
        <v>0</v>
      </c>
      <c r="AZ354" s="2" t="n">
        <v>9.75</v>
      </c>
      <c r="BA354" s="2" t="n">
        <v>8.07</v>
      </c>
      <c r="BB354" s="2" t="n">
        <v>0</v>
      </c>
      <c r="BC354" s="2" t="n">
        <v>14.82</v>
      </c>
      <c r="BD354" s="2" t="n">
        <v>9.65</v>
      </c>
      <c r="BE354" s="2" t="n">
        <v>0</v>
      </c>
      <c r="BF354" s="2" t="n">
        <v>20.19</v>
      </c>
      <c r="BG354" s="2" t="n">
        <v>9.65</v>
      </c>
      <c r="BH354" s="2" t="n">
        <v>0</v>
      </c>
      <c r="BI354" s="2" t="n">
        <v>25.29</v>
      </c>
      <c r="BJ354" s="2" t="n">
        <v>9.65</v>
      </c>
      <c r="BK354" s="2" t="n">
        <v>0</v>
      </c>
      <c r="BL354" s="2" t="n">
        <v>29.8</v>
      </c>
      <c r="BM354" s="2" t="n">
        <v>9.65</v>
      </c>
      <c r="BN354" s="2" t="n">
        <v>0</v>
      </c>
      <c r="BO354" s="2" t="n">
        <v>36.05</v>
      </c>
      <c r="BP354" s="2" t="n">
        <v>9.65</v>
      </c>
      <c r="BQ354" s="2" t="n">
        <v>0</v>
      </c>
      <c r="BR354" s="2" t="n">
        <v>40.96</v>
      </c>
      <c r="BS354" s="2" t="n">
        <v>9.65</v>
      </c>
      <c r="BT354" s="2" t="n">
        <v>0</v>
      </c>
      <c r="BU354" s="2" t="n">
        <v>46.13</v>
      </c>
      <c r="BV354" s="2" t="n">
        <v>9.65</v>
      </c>
      <c r="BW354" s="2" t="n">
        <v>0</v>
      </c>
      <c r="BX354" s="2" t="n">
        <v>52.15</v>
      </c>
      <c r="BY354" s="2" t="n">
        <v>9.65</v>
      </c>
      <c r="BZ354" s="2" t="n">
        <v>0</v>
      </c>
      <c r="CA354" s="2" t="n">
        <v>58.09</v>
      </c>
      <c r="CB354" s="2" t="n">
        <v>9.65</v>
      </c>
      <c r="CC354" s="2" t="n">
        <v>0</v>
      </c>
      <c r="CD354" s="2" t="n">
        <v>64.66</v>
      </c>
      <c r="CE354" s="2" t="n">
        <v>9.65</v>
      </c>
      <c r="CF354" s="2" t="n">
        <v>0</v>
      </c>
      <c r="CG354" s="2" t="n">
        <v>70.45</v>
      </c>
      <c r="CH354" s="2" t="n">
        <v>9.65</v>
      </c>
      <c r="CI354" s="2" t="n">
        <v>0</v>
      </c>
      <c r="CJ354" s="2" t="n">
        <v>76.94</v>
      </c>
      <c r="CK354" s="2" t="n">
        <v>9.65</v>
      </c>
      <c r="CL354" s="2" t="n">
        <v>0</v>
      </c>
      <c r="CM354" s="2" t="n">
        <v>82.63</v>
      </c>
      <c r="CN354" s="2" t="n">
        <v>9.65</v>
      </c>
      <c r="CO354" s="2" t="n">
        <v>0</v>
      </c>
      <c r="CP354" s="2" t="n">
        <v>88.36</v>
      </c>
      <c r="CQ354" s="2" t="n">
        <v>9.65</v>
      </c>
      <c r="CR354" s="2" t="n">
        <v>0</v>
      </c>
      <c r="CS354" s="2" t="n">
        <v>93.31</v>
      </c>
      <c r="CT354" s="2" t="n">
        <v>9.65</v>
      </c>
      <c r="CU354" s="2" t="n">
        <v>0</v>
      </c>
      <c r="CV354" s="2" t="n">
        <v>96.62</v>
      </c>
      <c r="CW354" s="2" t="n">
        <v>9.65</v>
      </c>
      <c r="CX354" s="2" t="n">
        <v>0</v>
      </c>
      <c r="CY354" s="2" t="n">
        <v>99.08</v>
      </c>
      <c r="CZ354" s="2" t="n">
        <v>9.65</v>
      </c>
      <c r="DA354" s="2" t="n">
        <v>0</v>
      </c>
      <c r="DB354" s="2" t="n">
        <v>100</v>
      </c>
      <c r="DC354" s="2" t="n">
        <v>9.65</v>
      </c>
      <c r="DD354" s="2" t="n">
        <v>0</v>
      </c>
      <c r="DE354" s="2" t="n">
        <v>100</v>
      </c>
      <c r="DF354" s="2" t="n">
        <v>9.65</v>
      </c>
      <c r="DG354" s="2" t="n">
        <v>0</v>
      </c>
      <c r="DH354" s="2" t="n">
        <v>100</v>
      </c>
      <c r="DI354" s="2" t="n">
        <v>9.65</v>
      </c>
      <c r="DJ354" s="2" t="n">
        <v>0</v>
      </c>
      <c r="DK354" s="2" t="n">
        <v>100</v>
      </c>
      <c r="DL354" s="2" t="n">
        <v>9.65</v>
      </c>
      <c r="DM354" s="2" t="n">
        <v>0</v>
      </c>
      <c r="DN354" s="2" t="n">
        <v>100</v>
      </c>
      <c r="DO354" s="2" t="n">
        <v>9.65</v>
      </c>
      <c r="DP354" s="2" t="n">
        <v>0</v>
      </c>
      <c r="DQ354" s="2" t="n">
        <v>100</v>
      </c>
      <c r="DR354" s="2" t="n">
        <v>9.65</v>
      </c>
      <c r="DS354" s="2" t="n">
        <v>0</v>
      </c>
      <c r="DT354" s="2" t="n">
        <v>100</v>
      </c>
      <c r="DU354" s="2" t="n">
        <v>9.65</v>
      </c>
      <c r="DV354" s="2" t="n">
        <v>0</v>
      </c>
      <c r="DW354" s="2" t="n">
        <v>100</v>
      </c>
      <c r="DX354" s="2" t="n">
        <v>9.65</v>
      </c>
      <c r="DY354" s="2" t="n">
        <v>0</v>
      </c>
      <c r="DZ354" s="2" t="n">
        <v>100</v>
      </c>
      <c r="EA354" s="2" t="n">
        <v>9.65</v>
      </c>
      <c r="EB354" s="2" t="n">
        <v>0</v>
      </c>
      <c r="EC354" s="2" t="n">
        <v>100</v>
      </c>
      <c r="ED354" s="2" t="n">
        <v>9.65</v>
      </c>
      <c r="EE354" s="2" t="n">
        <v>0</v>
      </c>
      <c r="EF354" s="2" t="n">
        <v>100</v>
      </c>
      <c r="EG354" s="2" t="n">
        <v>9.65</v>
      </c>
      <c r="EH354" s="2" t="n">
        <v>0</v>
      </c>
      <c r="EI354" s="2" t="n">
        <v>100</v>
      </c>
      <c r="EJ354" s="2" t="n">
        <v>9.65</v>
      </c>
      <c r="EK354" s="2" t="n">
        <v>0</v>
      </c>
      <c r="EL354" s="2" t="n">
        <v>100</v>
      </c>
      <c r="EM354" s="2" t="n">
        <v>9.65</v>
      </c>
      <c r="EN354" s="2" t="n">
        <v>0</v>
      </c>
      <c r="EO354" s="2" t="n">
        <v>100</v>
      </c>
      <c r="EP354" s="2" t="n">
        <v>9.65</v>
      </c>
      <c r="EQ354" s="2" t="n">
        <v>0</v>
      </c>
      <c r="ER354" s="2" t="n">
        <v>100</v>
      </c>
      <c r="ES354" s="2" t="n">
        <v>9.65</v>
      </c>
    </row>
    <row r="355">
      <c r="A355" s="2" t="n">
        <v>3</v>
      </c>
      <c r="B355" s="2" t="inlineStr">
        <is>
          <t>17.02.02</t>
        </is>
      </c>
      <c r="C355" s="2" t="inlineStr">
        <is>
          <t>Tratamento de juntas de dilatação com sikaflex 1A ou similar</t>
        </is>
      </c>
      <c r="D355" s="2" t="inlineStr">
        <is>
          <t>15/06/2026</t>
        </is>
      </c>
      <c r="E355" s="2" t="inlineStr">
        <is>
          <t>11/02/2028</t>
        </is>
      </c>
      <c r="F355" s="2" t="n">
        <v>67716.61948011057</v>
      </c>
      <c r="G355" s="2" t="n">
        <v>0</v>
      </c>
      <c r="H355" s="2" t="n">
        <v>67716.61948011057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0.8100000000000001</v>
      </c>
      <c r="AU355" s="2" t="n">
        <v>0.7</v>
      </c>
      <c r="AV355" s="2" t="n">
        <v>0</v>
      </c>
      <c r="AW355" s="2" t="n">
        <v>2.36</v>
      </c>
      <c r="AX355" s="2" t="n">
        <v>3.16</v>
      </c>
      <c r="AY355" s="2" t="n">
        <v>0</v>
      </c>
      <c r="AZ355" s="2" t="n">
        <v>9.75</v>
      </c>
      <c r="BA355" s="2" t="n">
        <v>8.07</v>
      </c>
      <c r="BB355" s="2" t="n">
        <v>0</v>
      </c>
      <c r="BC355" s="2" t="n">
        <v>14.82</v>
      </c>
      <c r="BD355" s="2" t="n">
        <v>9.65</v>
      </c>
      <c r="BE355" s="2" t="n">
        <v>0</v>
      </c>
      <c r="BF355" s="2" t="n">
        <v>20.19</v>
      </c>
      <c r="BG355" s="2" t="n">
        <v>9.65</v>
      </c>
      <c r="BH355" s="2" t="n">
        <v>0</v>
      </c>
      <c r="BI355" s="2" t="n">
        <v>25.29</v>
      </c>
      <c r="BJ355" s="2" t="n">
        <v>9.65</v>
      </c>
      <c r="BK355" s="2" t="n">
        <v>0</v>
      </c>
      <c r="BL355" s="2" t="n">
        <v>29.8</v>
      </c>
      <c r="BM355" s="2" t="n">
        <v>9.65</v>
      </c>
      <c r="BN355" s="2" t="n">
        <v>0</v>
      </c>
      <c r="BO355" s="2" t="n">
        <v>36.05</v>
      </c>
      <c r="BP355" s="2" t="n">
        <v>9.65</v>
      </c>
      <c r="BQ355" s="2" t="n">
        <v>0</v>
      </c>
      <c r="BR355" s="2" t="n">
        <v>40.96</v>
      </c>
      <c r="BS355" s="2" t="n">
        <v>9.65</v>
      </c>
      <c r="BT355" s="2" t="n">
        <v>0</v>
      </c>
      <c r="BU355" s="2" t="n">
        <v>46.13</v>
      </c>
      <c r="BV355" s="2" t="n">
        <v>9.65</v>
      </c>
      <c r="BW355" s="2" t="n">
        <v>0</v>
      </c>
      <c r="BX355" s="2" t="n">
        <v>52.15</v>
      </c>
      <c r="BY355" s="2" t="n">
        <v>9.65</v>
      </c>
      <c r="BZ355" s="2" t="n">
        <v>0</v>
      </c>
      <c r="CA355" s="2" t="n">
        <v>58.09</v>
      </c>
      <c r="CB355" s="2" t="n">
        <v>9.65</v>
      </c>
      <c r="CC355" s="2" t="n">
        <v>0</v>
      </c>
      <c r="CD355" s="2" t="n">
        <v>64.66</v>
      </c>
      <c r="CE355" s="2" t="n">
        <v>9.65</v>
      </c>
      <c r="CF355" s="2" t="n">
        <v>0</v>
      </c>
      <c r="CG355" s="2" t="n">
        <v>70.45</v>
      </c>
      <c r="CH355" s="2" t="n">
        <v>9.65</v>
      </c>
      <c r="CI355" s="2" t="n">
        <v>0</v>
      </c>
      <c r="CJ355" s="2" t="n">
        <v>76.94</v>
      </c>
      <c r="CK355" s="2" t="n">
        <v>9.65</v>
      </c>
      <c r="CL355" s="2" t="n">
        <v>0</v>
      </c>
      <c r="CM355" s="2" t="n">
        <v>82.63</v>
      </c>
      <c r="CN355" s="2" t="n">
        <v>9.65</v>
      </c>
      <c r="CO355" s="2" t="n">
        <v>0</v>
      </c>
      <c r="CP355" s="2" t="n">
        <v>88.36</v>
      </c>
      <c r="CQ355" s="2" t="n">
        <v>9.65</v>
      </c>
      <c r="CR355" s="2" t="n">
        <v>0</v>
      </c>
      <c r="CS355" s="2" t="n">
        <v>93.31</v>
      </c>
      <c r="CT355" s="2" t="n">
        <v>9.65</v>
      </c>
      <c r="CU355" s="2" t="n">
        <v>0</v>
      </c>
      <c r="CV355" s="2" t="n">
        <v>96.62</v>
      </c>
      <c r="CW355" s="2" t="n">
        <v>9.65</v>
      </c>
      <c r="CX355" s="2" t="n">
        <v>0</v>
      </c>
      <c r="CY355" s="2" t="n">
        <v>99.08</v>
      </c>
      <c r="CZ355" s="2" t="n">
        <v>9.65</v>
      </c>
      <c r="DA355" s="2" t="n">
        <v>0</v>
      </c>
      <c r="DB355" s="2" t="n">
        <v>100</v>
      </c>
      <c r="DC355" s="2" t="n">
        <v>9.65</v>
      </c>
      <c r="DD355" s="2" t="n">
        <v>0</v>
      </c>
      <c r="DE355" s="2" t="n">
        <v>100</v>
      </c>
      <c r="DF355" s="2" t="n">
        <v>9.65</v>
      </c>
      <c r="DG355" s="2" t="n">
        <v>0</v>
      </c>
      <c r="DH355" s="2" t="n">
        <v>100</v>
      </c>
      <c r="DI355" s="2" t="n">
        <v>9.65</v>
      </c>
      <c r="DJ355" s="2" t="n">
        <v>0</v>
      </c>
      <c r="DK355" s="2" t="n">
        <v>100</v>
      </c>
      <c r="DL355" s="2" t="n">
        <v>9.65</v>
      </c>
      <c r="DM355" s="2" t="n">
        <v>0</v>
      </c>
      <c r="DN355" s="2" t="n">
        <v>100</v>
      </c>
      <c r="DO355" s="2" t="n">
        <v>9.65</v>
      </c>
      <c r="DP355" s="2" t="n">
        <v>0</v>
      </c>
      <c r="DQ355" s="2" t="n">
        <v>100</v>
      </c>
      <c r="DR355" s="2" t="n">
        <v>9.65</v>
      </c>
      <c r="DS355" s="2" t="n">
        <v>0</v>
      </c>
      <c r="DT355" s="2" t="n">
        <v>100</v>
      </c>
      <c r="DU355" s="2" t="n">
        <v>9.65</v>
      </c>
      <c r="DV355" s="2" t="n">
        <v>0</v>
      </c>
      <c r="DW355" s="2" t="n">
        <v>100</v>
      </c>
      <c r="DX355" s="2" t="n">
        <v>9.65</v>
      </c>
      <c r="DY355" s="2" t="n">
        <v>0</v>
      </c>
      <c r="DZ355" s="2" t="n">
        <v>100</v>
      </c>
      <c r="EA355" s="2" t="n">
        <v>9.65</v>
      </c>
      <c r="EB355" s="2" t="n">
        <v>0</v>
      </c>
      <c r="EC355" s="2" t="n">
        <v>100</v>
      </c>
      <c r="ED355" s="2" t="n">
        <v>9.65</v>
      </c>
      <c r="EE355" s="2" t="n">
        <v>0</v>
      </c>
      <c r="EF355" s="2" t="n">
        <v>100</v>
      </c>
      <c r="EG355" s="2" t="n">
        <v>9.65</v>
      </c>
      <c r="EH355" s="2" t="n">
        <v>0</v>
      </c>
      <c r="EI355" s="2" t="n">
        <v>100</v>
      </c>
      <c r="EJ355" s="2" t="n">
        <v>9.65</v>
      </c>
      <c r="EK355" s="2" t="n">
        <v>0</v>
      </c>
      <c r="EL355" s="2" t="n">
        <v>100</v>
      </c>
      <c r="EM355" s="2" t="n">
        <v>9.65</v>
      </c>
      <c r="EN355" s="2" t="n">
        <v>0</v>
      </c>
      <c r="EO355" s="2" t="n">
        <v>100</v>
      </c>
      <c r="EP355" s="2" t="n">
        <v>9.65</v>
      </c>
      <c r="EQ355" s="2" t="n">
        <v>0</v>
      </c>
      <c r="ER355" s="2" t="n">
        <v>100</v>
      </c>
      <c r="ES355" s="2" t="n">
        <v>9.65</v>
      </c>
    </row>
    <row r="356">
      <c r="A356" s="2" t="n">
        <v>3</v>
      </c>
      <c r="B356" s="2" t="inlineStr">
        <is>
          <t>17.02.03</t>
        </is>
      </c>
      <c r="C356" s="2" t="inlineStr">
        <is>
          <t>Serviços imponderáveis, complementares à estrutura</t>
        </is>
      </c>
      <c r="D356" s="2" t="inlineStr">
        <is>
          <t>15/06/2026</t>
        </is>
      </c>
      <c r="E356" s="2" t="inlineStr">
        <is>
          <t>11/02/2028</t>
        </is>
      </c>
      <c r="F356" s="2" t="n">
        <v>50000</v>
      </c>
      <c r="G356" s="2" t="n">
        <v>0</v>
      </c>
      <c r="H356" s="2" t="n">
        <v>50000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0.8100000000000001</v>
      </c>
      <c r="AU356" s="2" t="n">
        <v>0.7</v>
      </c>
      <c r="AV356" s="2" t="n">
        <v>0</v>
      </c>
      <c r="AW356" s="2" t="n">
        <v>2.36</v>
      </c>
      <c r="AX356" s="2" t="n">
        <v>3.16</v>
      </c>
      <c r="AY356" s="2" t="n">
        <v>0</v>
      </c>
      <c r="AZ356" s="2" t="n">
        <v>9.75</v>
      </c>
      <c r="BA356" s="2" t="n">
        <v>8.07</v>
      </c>
      <c r="BB356" s="2" t="n">
        <v>0</v>
      </c>
      <c r="BC356" s="2" t="n">
        <v>14.82</v>
      </c>
      <c r="BD356" s="2" t="n">
        <v>9.65</v>
      </c>
      <c r="BE356" s="2" t="n">
        <v>0</v>
      </c>
      <c r="BF356" s="2" t="n">
        <v>20.19</v>
      </c>
      <c r="BG356" s="2" t="n">
        <v>9.65</v>
      </c>
      <c r="BH356" s="2" t="n">
        <v>0</v>
      </c>
      <c r="BI356" s="2" t="n">
        <v>25.29</v>
      </c>
      <c r="BJ356" s="2" t="n">
        <v>9.65</v>
      </c>
      <c r="BK356" s="2" t="n">
        <v>0</v>
      </c>
      <c r="BL356" s="2" t="n">
        <v>29.8</v>
      </c>
      <c r="BM356" s="2" t="n">
        <v>9.65</v>
      </c>
      <c r="BN356" s="2" t="n">
        <v>0</v>
      </c>
      <c r="BO356" s="2" t="n">
        <v>36.05</v>
      </c>
      <c r="BP356" s="2" t="n">
        <v>9.65</v>
      </c>
      <c r="BQ356" s="2" t="n">
        <v>0</v>
      </c>
      <c r="BR356" s="2" t="n">
        <v>40.96</v>
      </c>
      <c r="BS356" s="2" t="n">
        <v>9.65</v>
      </c>
      <c r="BT356" s="2" t="n">
        <v>0</v>
      </c>
      <c r="BU356" s="2" t="n">
        <v>46.13</v>
      </c>
      <c r="BV356" s="2" t="n">
        <v>9.65</v>
      </c>
      <c r="BW356" s="2" t="n">
        <v>0</v>
      </c>
      <c r="BX356" s="2" t="n">
        <v>52.15</v>
      </c>
      <c r="BY356" s="2" t="n">
        <v>9.65</v>
      </c>
      <c r="BZ356" s="2" t="n">
        <v>0</v>
      </c>
      <c r="CA356" s="2" t="n">
        <v>58.09</v>
      </c>
      <c r="CB356" s="2" t="n">
        <v>9.65</v>
      </c>
      <c r="CC356" s="2" t="n">
        <v>0</v>
      </c>
      <c r="CD356" s="2" t="n">
        <v>64.66</v>
      </c>
      <c r="CE356" s="2" t="n">
        <v>9.65</v>
      </c>
      <c r="CF356" s="2" t="n">
        <v>0</v>
      </c>
      <c r="CG356" s="2" t="n">
        <v>70.45</v>
      </c>
      <c r="CH356" s="2" t="n">
        <v>9.65</v>
      </c>
      <c r="CI356" s="2" t="n">
        <v>0</v>
      </c>
      <c r="CJ356" s="2" t="n">
        <v>76.94</v>
      </c>
      <c r="CK356" s="2" t="n">
        <v>9.65</v>
      </c>
      <c r="CL356" s="2" t="n">
        <v>0</v>
      </c>
      <c r="CM356" s="2" t="n">
        <v>82.63</v>
      </c>
      <c r="CN356" s="2" t="n">
        <v>9.65</v>
      </c>
      <c r="CO356" s="2" t="n">
        <v>0</v>
      </c>
      <c r="CP356" s="2" t="n">
        <v>88.36</v>
      </c>
      <c r="CQ356" s="2" t="n">
        <v>9.65</v>
      </c>
      <c r="CR356" s="2" t="n">
        <v>0</v>
      </c>
      <c r="CS356" s="2" t="n">
        <v>93.31</v>
      </c>
      <c r="CT356" s="2" t="n">
        <v>9.65</v>
      </c>
      <c r="CU356" s="2" t="n">
        <v>0</v>
      </c>
      <c r="CV356" s="2" t="n">
        <v>96.62</v>
      </c>
      <c r="CW356" s="2" t="n">
        <v>9.65</v>
      </c>
      <c r="CX356" s="2" t="n">
        <v>0</v>
      </c>
      <c r="CY356" s="2" t="n">
        <v>99.08</v>
      </c>
      <c r="CZ356" s="2" t="n">
        <v>9.65</v>
      </c>
      <c r="DA356" s="2" t="n">
        <v>0</v>
      </c>
      <c r="DB356" s="2" t="n">
        <v>100</v>
      </c>
      <c r="DC356" s="2" t="n">
        <v>9.65</v>
      </c>
      <c r="DD356" s="2" t="n">
        <v>0</v>
      </c>
      <c r="DE356" s="2" t="n">
        <v>100</v>
      </c>
      <c r="DF356" s="2" t="n">
        <v>9.65</v>
      </c>
      <c r="DG356" s="2" t="n">
        <v>0</v>
      </c>
      <c r="DH356" s="2" t="n">
        <v>100</v>
      </c>
      <c r="DI356" s="2" t="n">
        <v>9.65</v>
      </c>
      <c r="DJ356" s="2" t="n">
        <v>0</v>
      </c>
      <c r="DK356" s="2" t="n">
        <v>100</v>
      </c>
      <c r="DL356" s="2" t="n">
        <v>9.65</v>
      </c>
      <c r="DM356" s="2" t="n">
        <v>0</v>
      </c>
      <c r="DN356" s="2" t="n">
        <v>100</v>
      </c>
      <c r="DO356" s="2" t="n">
        <v>9.65</v>
      </c>
      <c r="DP356" s="2" t="n">
        <v>0</v>
      </c>
      <c r="DQ356" s="2" t="n">
        <v>100</v>
      </c>
      <c r="DR356" s="2" t="n">
        <v>9.65</v>
      </c>
      <c r="DS356" s="2" t="n">
        <v>0</v>
      </c>
      <c r="DT356" s="2" t="n">
        <v>100</v>
      </c>
      <c r="DU356" s="2" t="n">
        <v>9.65</v>
      </c>
      <c r="DV356" s="2" t="n">
        <v>0</v>
      </c>
      <c r="DW356" s="2" t="n">
        <v>100</v>
      </c>
      <c r="DX356" s="2" t="n">
        <v>9.65</v>
      </c>
      <c r="DY356" s="2" t="n">
        <v>0</v>
      </c>
      <c r="DZ356" s="2" t="n">
        <v>100</v>
      </c>
      <c r="EA356" s="2" t="n">
        <v>9.65</v>
      </c>
      <c r="EB356" s="2" t="n">
        <v>0</v>
      </c>
      <c r="EC356" s="2" t="n">
        <v>100</v>
      </c>
      <c r="ED356" s="2" t="n">
        <v>9.65</v>
      </c>
      <c r="EE356" s="2" t="n">
        <v>0</v>
      </c>
      <c r="EF356" s="2" t="n">
        <v>100</v>
      </c>
      <c r="EG356" s="2" t="n">
        <v>9.65</v>
      </c>
      <c r="EH356" s="2" t="n">
        <v>0</v>
      </c>
      <c r="EI356" s="2" t="n">
        <v>100</v>
      </c>
      <c r="EJ356" s="2" t="n">
        <v>9.65</v>
      </c>
      <c r="EK356" s="2" t="n">
        <v>0</v>
      </c>
      <c r="EL356" s="2" t="n">
        <v>100</v>
      </c>
      <c r="EM356" s="2" t="n">
        <v>9.65</v>
      </c>
      <c r="EN356" s="2" t="n">
        <v>0</v>
      </c>
      <c r="EO356" s="2" t="n">
        <v>100</v>
      </c>
      <c r="EP356" s="2" t="n">
        <v>9.65</v>
      </c>
      <c r="EQ356" s="2" t="n">
        <v>0</v>
      </c>
      <c r="ER356" s="2" t="n">
        <v>100</v>
      </c>
      <c r="ES356" s="2" t="n">
        <v>9.65</v>
      </c>
    </row>
    <row r="357">
      <c r="A357" s="2" t="n">
        <v>1</v>
      </c>
      <c r="B357" s="2" t="inlineStr">
        <is>
          <t>18</t>
        </is>
      </c>
      <c r="C357" s="2" t="inlineStr">
        <is>
          <t>ALVENARIA</t>
        </is>
      </c>
      <c r="D357" s="2" t="inlineStr">
        <is>
          <t>16/03/2027</t>
        </is>
      </c>
      <c r="E357" s="2" t="inlineStr">
        <is>
          <t>21/08/2028</t>
        </is>
      </c>
      <c r="F357" s="2" t="n">
        <v>5927475.667271739</v>
      </c>
      <c r="G357" s="2" t="n">
        <v>0</v>
      </c>
      <c r="H357" s="2" t="n">
        <v>5927475.667271739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n">
        <v>0</v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</v>
      </c>
      <c r="BG357" s="2" t="n">
        <v>0</v>
      </c>
      <c r="BH357" s="2" t="n">
        <v>0</v>
      </c>
      <c r="BI357" s="2" t="n">
        <v>0</v>
      </c>
      <c r="BJ357" s="2" t="n">
        <v>0</v>
      </c>
      <c r="BK357" s="2" t="n">
        <v>0</v>
      </c>
      <c r="BL357" s="2" t="n">
        <v>0</v>
      </c>
      <c r="BM357" s="2" t="n">
        <v>0</v>
      </c>
      <c r="BN357" s="2" t="n">
        <v>0</v>
      </c>
      <c r="BO357" s="2" t="n">
        <v>0</v>
      </c>
      <c r="BP357" s="2" t="n">
        <v>0</v>
      </c>
      <c r="BQ357" s="2" t="n">
        <v>0</v>
      </c>
      <c r="BR357" s="2" t="n">
        <v>0</v>
      </c>
      <c r="BS357" s="2" t="n">
        <v>0</v>
      </c>
      <c r="BT357" s="2" t="n">
        <v>0.61</v>
      </c>
      <c r="BU357" s="2" t="n">
        <v>1.11</v>
      </c>
      <c r="BV357" s="2" t="n">
        <v>0</v>
      </c>
      <c r="BW357" s="2" t="n">
        <v>2.74</v>
      </c>
      <c r="BX357" s="2" t="n">
        <v>4.06</v>
      </c>
      <c r="BY357" s="2" t="n">
        <v>0</v>
      </c>
      <c r="BZ357" s="2" t="n">
        <v>7.06</v>
      </c>
      <c r="CA357" s="2" t="n">
        <v>8.82</v>
      </c>
      <c r="CB357" s="2" t="n">
        <v>0</v>
      </c>
      <c r="CC357" s="2" t="n">
        <v>12.73</v>
      </c>
      <c r="CD357" s="2" t="n">
        <v>14.34</v>
      </c>
      <c r="CE357" s="2" t="n">
        <v>0</v>
      </c>
      <c r="CF357" s="2" t="n">
        <v>18.14</v>
      </c>
      <c r="CG357" s="2" t="n">
        <v>20.52</v>
      </c>
      <c r="CH357" s="2" t="n">
        <v>0</v>
      </c>
      <c r="CI357" s="2" t="n">
        <v>26.41</v>
      </c>
      <c r="CJ357" s="2" t="n">
        <v>29.11</v>
      </c>
      <c r="CK357" s="2" t="n">
        <v>0</v>
      </c>
      <c r="CL357" s="2" t="n">
        <v>35.87</v>
      </c>
      <c r="CM357" s="2" t="n">
        <v>38.66</v>
      </c>
      <c r="CN357" s="2" t="n">
        <v>0</v>
      </c>
      <c r="CO357" s="2" t="n">
        <v>46.32</v>
      </c>
      <c r="CP357" s="2" t="n">
        <v>49.17</v>
      </c>
      <c r="CQ357" s="2" t="n">
        <v>0</v>
      </c>
      <c r="CR357" s="2" t="n">
        <v>56.8</v>
      </c>
      <c r="CS357" s="2" t="n">
        <v>59.6</v>
      </c>
      <c r="CT357" s="2" t="n">
        <v>0</v>
      </c>
      <c r="CU357" s="2" t="n">
        <v>64.19</v>
      </c>
      <c r="CV357" s="2" t="n">
        <v>66.84</v>
      </c>
      <c r="CW357" s="2" t="n">
        <v>0</v>
      </c>
      <c r="CX357" s="2" t="n">
        <v>72.45</v>
      </c>
      <c r="CY357" s="2" t="n">
        <v>74.58</v>
      </c>
      <c r="CZ357" s="2" t="n">
        <v>0</v>
      </c>
      <c r="DA357" s="2" t="n">
        <v>81.13</v>
      </c>
      <c r="DB357" s="2" t="n">
        <v>82.5</v>
      </c>
      <c r="DC357" s="2" t="n">
        <v>0</v>
      </c>
      <c r="DD357" s="2" t="n">
        <v>87.19</v>
      </c>
      <c r="DE357" s="2" t="n">
        <v>88.86</v>
      </c>
      <c r="DF357" s="2" t="n">
        <v>0</v>
      </c>
      <c r="DG357" s="2" t="n">
        <v>91.95</v>
      </c>
      <c r="DH357" s="2" t="n">
        <v>93.17</v>
      </c>
      <c r="DI357" s="2" t="n">
        <v>0</v>
      </c>
      <c r="DJ357" s="2" t="n">
        <v>96.39</v>
      </c>
      <c r="DK357" s="2" t="n">
        <v>96.93000000000001</v>
      </c>
      <c r="DL357" s="2" t="n">
        <v>0</v>
      </c>
      <c r="DM357" s="2" t="n">
        <v>97.95999999999999</v>
      </c>
      <c r="DN357" s="2" t="n">
        <v>98.03</v>
      </c>
      <c r="DO357" s="2" t="n">
        <v>0</v>
      </c>
      <c r="DP357" s="2" t="n">
        <v>98.91</v>
      </c>
      <c r="DQ357" s="2" t="n">
        <v>99.02</v>
      </c>
      <c r="DR357" s="2" t="n">
        <v>0</v>
      </c>
      <c r="DS357" s="2" t="n">
        <v>100</v>
      </c>
      <c r="DT357" s="2" t="n">
        <v>100</v>
      </c>
      <c r="DU357" s="2" t="n">
        <v>0</v>
      </c>
      <c r="DV357" s="2" t="n">
        <v>100</v>
      </c>
      <c r="DW357" s="2" t="n">
        <v>100</v>
      </c>
      <c r="DX357" s="2" t="n">
        <v>0</v>
      </c>
      <c r="DY357" s="2" t="n">
        <v>100</v>
      </c>
      <c r="DZ357" s="2" t="n">
        <v>100</v>
      </c>
      <c r="EA357" s="2" t="n">
        <v>0</v>
      </c>
      <c r="EB357" s="2" t="n">
        <v>100</v>
      </c>
      <c r="EC357" s="2" t="n">
        <v>100</v>
      </c>
      <c r="ED357" s="2" t="n">
        <v>0</v>
      </c>
      <c r="EE357" s="2" t="n">
        <v>100</v>
      </c>
      <c r="EF357" s="2" t="n">
        <v>100</v>
      </c>
      <c r="EG357" s="2" t="n">
        <v>0</v>
      </c>
      <c r="EH357" s="2" t="n">
        <v>100</v>
      </c>
      <c r="EI357" s="2" t="n">
        <v>100</v>
      </c>
      <c r="EJ357" s="2" t="n">
        <v>0</v>
      </c>
      <c r="EK357" s="2" t="n">
        <v>100</v>
      </c>
      <c r="EL357" s="2" t="n">
        <v>100</v>
      </c>
      <c r="EM357" s="2" t="n">
        <v>0</v>
      </c>
      <c r="EN357" s="2" t="n">
        <v>100</v>
      </c>
      <c r="EO357" s="2" t="n">
        <v>100</v>
      </c>
      <c r="EP357" s="2" t="n">
        <v>0</v>
      </c>
      <c r="EQ357" s="2" t="n">
        <v>100</v>
      </c>
      <c r="ER357" s="2" t="n">
        <v>100</v>
      </c>
      <c r="ES357" s="2" t="n">
        <v>0</v>
      </c>
    </row>
    <row r="358">
      <c r="A358" s="2" t="n">
        <v>2</v>
      </c>
      <c r="B358" s="2" t="inlineStr">
        <is>
          <t>18.01</t>
        </is>
      </c>
      <c r="C358" s="2" t="inlineStr">
        <is>
          <t>Alvenaria de vedação  com blocos cerâmicos</t>
        </is>
      </c>
      <c r="D358" s="2" t="inlineStr">
        <is>
          <t>16/03/2027</t>
        </is>
      </c>
      <c r="E358" s="2" t="inlineStr">
        <is>
          <t>04/05/2028</t>
        </is>
      </c>
      <c r="F358" s="2" t="n">
        <v>1638445.200144057</v>
      </c>
      <c r="G358" s="2" t="n">
        <v>0</v>
      </c>
      <c r="H358" s="2" t="n">
        <v>1638445.200144057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0</v>
      </c>
      <c r="AN358" s="2" t="n">
        <v>0</v>
      </c>
      <c r="AO358" s="2" t="n">
        <v>0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n">
        <v>0</v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n">
        <v>0</v>
      </c>
      <c r="BI358" s="2" t="n">
        <v>0</v>
      </c>
      <c r="BJ358" s="2" t="n">
        <v>0</v>
      </c>
      <c r="BK358" s="2" t="n">
        <v>0</v>
      </c>
      <c r="BL358" s="2" t="n">
        <v>0</v>
      </c>
      <c r="BM358" s="2" t="n">
        <v>0</v>
      </c>
      <c r="BN358" s="2" t="n">
        <v>0</v>
      </c>
      <c r="BO358" s="2" t="n">
        <v>0</v>
      </c>
      <c r="BP358" s="2" t="n">
        <v>0</v>
      </c>
      <c r="BQ358" s="2" t="n">
        <v>0</v>
      </c>
      <c r="BR358" s="2" t="n">
        <v>0</v>
      </c>
      <c r="BS358" s="2" t="n">
        <v>0</v>
      </c>
      <c r="BT358" s="2" t="n">
        <v>1.58</v>
      </c>
      <c r="BU358" s="2" t="n">
        <v>2.89</v>
      </c>
      <c r="BV358" s="2" t="n">
        <v>0</v>
      </c>
      <c r="BW358" s="2" t="n">
        <v>7.09</v>
      </c>
      <c r="BX358" s="2" t="n">
        <v>10.52</v>
      </c>
      <c r="BY358" s="2" t="n">
        <v>0</v>
      </c>
      <c r="BZ358" s="2" t="n">
        <v>18.31</v>
      </c>
      <c r="CA358" s="2" t="n">
        <v>22.87</v>
      </c>
      <c r="CB358" s="2" t="n">
        <v>0</v>
      </c>
      <c r="CC358" s="2" t="n">
        <v>33.02</v>
      </c>
      <c r="CD358" s="2" t="n">
        <v>37.18</v>
      </c>
      <c r="CE358" s="2" t="n">
        <v>0</v>
      </c>
      <c r="CF358" s="2" t="n">
        <v>42.74</v>
      </c>
      <c r="CG358" s="2" t="n">
        <v>46.92</v>
      </c>
      <c r="CH358" s="2" t="n">
        <v>0</v>
      </c>
      <c r="CI358" s="2" t="n">
        <v>52.53</v>
      </c>
      <c r="CJ358" s="2" t="n">
        <v>56.7</v>
      </c>
      <c r="CK358" s="2" t="n">
        <v>0</v>
      </c>
      <c r="CL358" s="2" t="n">
        <v>61.5</v>
      </c>
      <c r="CM358" s="2" t="n">
        <v>65.65000000000001</v>
      </c>
      <c r="CN358" s="2" t="n">
        <v>0</v>
      </c>
      <c r="CO358" s="2" t="n">
        <v>69.90000000000001</v>
      </c>
      <c r="CP358" s="2" t="n">
        <v>74.06</v>
      </c>
      <c r="CQ358" s="2" t="n">
        <v>0</v>
      </c>
      <c r="CR358" s="2" t="n">
        <v>78.81</v>
      </c>
      <c r="CS358" s="2" t="n">
        <v>82.95</v>
      </c>
      <c r="CT358" s="2" t="n">
        <v>0</v>
      </c>
      <c r="CU358" s="2" t="n">
        <v>85.27</v>
      </c>
      <c r="CV358" s="2" t="n">
        <v>89.28</v>
      </c>
      <c r="CW358" s="2" t="n">
        <v>0</v>
      </c>
      <c r="CX358" s="2" t="n">
        <v>93.92</v>
      </c>
      <c r="CY358" s="2" t="n">
        <v>96.45</v>
      </c>
      <c r="CZ358" s="2" t="n">
        <v>0</v>
      </c>
      <c r="DA358" s="2" t="n">
        <v>96.98</v>
      </c>
      <c r="DB358" s="2" t="n">
        <v>96.98</v>
      </c>
      <c r="DC358" s="2" t="n">
        <v>0</v>
      </c>
      <c r="DD358" s="2" t="n">
        <v>97.51000000000001</v>
      </c>
      <c r="DE358" s="2" t="n">
        <v>98.98</v>
      </c>
      <c r="DF358" s="2" t="n">
        <v>0</v>
      </c>
      <c r="DG358" s="2" t="n">
        <v>99.61</v>
      </c>
      <c r="DH358" s="2" t="n">
        <v>99.92</v>
      </c>
      <c r="DI358" s="2" t="n">
        <v>0</v>
      </c>
      <c r="DJ358" s="2" t="n">
        <v>100</v>
      </c>
      <c r="DK358" s="2" t="n">
        <v>100</v>
      </c>
      <c r="DL358" s="2" t="n">
        <v>0</v>
      </c>
      <c r="DM358" s="2" t="n">
        <v>100</v>
      </c>
      <c r="DN358" s="2" t="n">
        <v>100</v>
      </c>
      <c r="DO358" s="2" t="n">
        <v>0</v>
      </c>
      <c r="DP358" s="2" t="n">
        <v>100</v>
      </c>
      <c r="DQ358" s="2" t="n">
        <v>100</v>
      </c>
      <c r="DR358" s="2" t="n">
        <v>0</v>
      </c>
      <c r="DS358" s="2" t="n">
        <v>100</v>
      </c>
      <c r="DT358" s="2" t="n">
        <v>100</v>
      </c>
      <c r="DU358" s="2" t="n">
        <v>0</v>
      </c>
      <c r="DV358" s="2" t="n">
        <v>100</v>
      </c>
      <c r="DW358" s="2" t="n">
        <v>100</v>
      </c>
      <c r="DX358" s="2" t="n">
        <v>0</v>
      </c>
      <c r="DY358" s="2" t="n">
        <v>100</v>
      </c>
      <c r="DZ358" s="2" t="n">
        <v>100</v>
      </c>
      <c r="EA358" s="2" t="n">
        <v>0</v>
      </c>
      <c r="EB358" s="2" t="n">
        <v>100</v>
      </c>
      <c r="EC358" s="2" t="n">
        <v>100</v>
      </c>
      <c r="ED358" s="2" t="n">
        <v>0</v>
      </c>
      <c r="EE358" s="2" t="n">
        <v>100</v>
      </c>
      <c r="EF358" s="2" t="n">
        <v>100</v>
      </c>
      <c r="EG358" s="2" t="n">
        <v>0</v>
      </c>
      <c r="EH358" s="2" t="n">
        <v>100</v>
      </c>
      <c r="EI358" s="2" t="n">
        <v>100</v>
      </c>
      <c r="EJ358" s="2" t="n">
        <v>0</v>
      </c>
      <c r="EK358" s="2" t="n">
        <v>100</v>
      </c>
      <c r="EL358" s="2" t="n">
        <v>100</v>
      </c>
      <c r="EM358" s="2" t="n">
        <v>0</v>
      </c>
      <c r="EN358" s="2" t="n">
        <v>100</v>
      </c>
      <c r="EO358" s="2" t="n">
        <v>100</v>
      </c>
      <c r="EP358" s="2" t="n">
        <v>0</v>
      </c>
      <c r="EQ358" s="2" t="n">
        <v>100</v>
      </c>
      <c r="ER358" s="2" t="n">
        <v>100</v>
      </c>
      <c r="ES358" s="2" t="n">
        <v>0</v>
      </c>
    </row>
    <row r="359">
      <c r="A359" s="2" t="n">
        <v>3</v>
      </c>
      <c r="B359" s="2" t="inlineStr">
        <is>
          <t>18.01.01</t>
        </is>
      </c>
      <c r="C359" s="2" t="inlineStr">
        <is>
          <t>Esp. 9cm</t>
        </is>
      </c>
      <c r="D359" s="2" t="inlineStr">
        <is>
          <t>16/03/2027</t>
        </is>
      </c>
      <c r="E359" s="2" t="inlineStr">
        <is>
          <t>04/05/2028</t>
        </is>
      </c>
      <c r="F359" s="2" t="n">
        <v>77189.46294077656</v>
      </c>
      <c r="G359" s="2" t="n">
        <v>0</v>
      </c>
      <c r="H359" s="2" t="n">
        <v>77189.46294077656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n">
        <v>0</v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n">
        <v>0</v>
      </c>
      <c r="BI359" s="2" t="n">
        <v>0</v>
      </c>
      <c r="BJ359" s="2" t="n">
        <v>0</v>
      </c>
      <c r="BK359" s="2" t="n">
        <v>0</v>
      </c>
      <c r="BL359" s="2" t="n">
        <v>0</v>
      </c>
      <c r="BM359" s="2" t="n">
        <v>0</v>
      </c>
      <c r="BN359" s="2" t="n">
        <v>0</v>
      </c>
      <c r="BO359" s="2" t="n">
        <v>0</v>
      </c>
      <c r="BP359" s="2" t="n">
        <v>0</v>
      </c>
      <c r="BQ359" s="2" t="n">
        <v>0</v>
      </c>
      <c r="BR359" s="2" t="n">
        <v>0</v>
      </c>
      <c r="BS359" s="2" t="n">
        <v>0</v>
      </c>
      <c r="BT359" s="2" t="n">
        <v>1.58</v>
      </c>
      <c r="BU359" s="2" t="n">
        <v>2.89</v>
      </c>
      <c r="BV359" s="2" t="n">
        <v>0</v>
      </c>
      <c r="BW359" s="2" t="n">
        <v>7.09</v>
      </c>
      <c r="BX359" s="2" t="n">
        <v>10.52</v>
      </c>
      <c r="BY359" s="2" t="n">
        <v>0</v>
      </c>
      <c r="BZ359" s="2" t="n">
        <v>18.31</v>
      </c>
      <c r="CA359" s="2" t="n">
        <v>22.87</v>
      </c>
      <c r="CB359" s="2" t="n">
        <v>0</v>
      </c>
      <c r="CC359" s="2" t="n">
        <v>33.02</v>
      </c>
      <c r="CD359" s="2" t="n">
        <v>37.18</v>
      </c>
      <c r="CE359" s="2" t="n">
        <v>0</v>
      </c>
      <c r="CF359" s="2" t="n">
        <v>42.74</v>
      </c>
      <c r="CG359" s="2" t="n">
        <v>46.92</v>
      </c>
      <c r="CH359" s="2" t="n">
        <v>0</v>
      </c>
      <c r="CI359" s="2" t="n">
        <v>52.53</v>
      </c>
      <c r="CJ359" s="2" t="n">
        <v>56.7</v>
      </c>
      <c r="CK359" s="2" t="n">
        <v>0</v>
      </c>
      <c r="CL359" s="2" t="n">
        <v>61.5</v>
      </c>
      <c r="CM359" s="2" t="n">
        <v>65.65000000000001</v>
      </c>
      <c r="CN359" s="2" t="n">
        <v>0</v>
      </c>
      <c r="CO359" s="2" t="n">
        <v>69.90000000000001</v>
      </c>
      <c r="CP359" s="2" t="n">
        <v>74.06</v>
      </c>
      <c r="CQ359" s="2" t="n">
        <v>0</v>
      </c>
      <c r="CR359" s="2" t="n">
        <v>78.81</v>
      </c>
      <c r="CS359" s="2" t="n">
        <v>82.95</v>
      </c>
      <c r="CT359" s="2" t="n">
        <v>0</v>
      </c>
      <c r="CU359" s="2" t="n">
        <v>85.27</v>
      </c>
      <c r="CV359" s="2" t="n">
        <v>89.28</v>
      </c>
      <c r="CW359" s="2" t="n">
        <v>0</v>
      </c>
      <c r="CX359" s="2" t="n">
        <v>93.92</v>
      </c>
      <c r="CY359" s="2" t="n">
        <v>96.45</v>
      </c>
      <c r="CZ359" s="2" t="n">
        <v>0</v>
      </c>
      <c r="DA359" s="2" t="n">
        <v>96.98</v>
      </c>
      <c r="DB359" s="2" t="n">
        <v>96.98</v>
      </c>
      <c r="DC359" s="2" t="n">
        <v>0</v>
      </c>
      <c r="DD359" s="2" t="n">
        <v>97.51000000000001</v>
      </c>
      <c r="DE359" s="2" t="n">
        <v>98.98</v>
      </c>
      <c r="DF359" s="2" t="n">
        <v>0</v>
      </c>
      <c r="DG359" s="2" t="n">
        <v>99.61</v>
      </c>
      <c r="DH359" s="2" t="n">
        <v>99.92</v>
      </c>
      <c r="DI359" s="2" t="n">
        <v>0</v>
      </c>
      <c r="DJ359" s="2" t="n">
        <v>100</v>
      </c>
      <c r="DK359" s="2" t="n">
        <v>100</v>
      </c>
      <c r="DL359" s="2" t="n">
        <v>0</v>
      </c>
      <c r="DM359" s="2" t="n">
        <v>100</v>
      </c>
      <c r="DN359" s="2" t="n">
        <v>100</v>
      </c>
      <c r="DO359" s="2" t="n">
        <v>0</v>
      </c>
      <c r="DP359" s="2" t="n">
        <v>100</v>
      </c>
      <c r="DQ359" s="2" t="n">
        <v>100</v>
      </c>
      <c r="DR359" s="2" t="n">
        <v>0</v>
      </c>
      <c r="DS359" s="2" t="n">
        <v>100</v>
      </c>
      <c r="DT359" s="2" t="n">
        <v>100</v>
      </c>
      <c r="DU359" s="2" t="n">
        <v>0</v>
      </c>
      <c r="DV359" s="2" t="n">
        <v>100</v>
      </c>
      <c r="DW359" s="2" t="n">
        <v>100</v>
      </c>
      <c r="DX359" s="2" t="n">
        <v>0</v>
      </c>
      <c r="DY359" s="2" t="n">
        <v>100</v>
      </c>
      <c r="DZ359" s="2" t="n">
        <v>100</v>
      </c>
      <c r="EA359" s="2" t="n">
        <v>0</v>
      </c>
      <c r="EB359" s="2" t="n">
        <v>100</v>
      </c>
      <c r="EC359" s="2" t="n">
        <v>100</v>
      </c>
      <c r="ED359" s="2" t="n">
        <v>0</v>
      </c>
      <c r="EE359" s="2" t="n">
        <v>100</v>
      </c>
      <c r="EF359" s="2" t="n">
        <v>100</v>
      </c>
      <c r="EG359" s="2" t="n">
        <v>0</v>
      </c>
      <c r="EH359" s="2" t="n">
        <v>100</v>
      </c>
      <c r="EI359" s="2" t="n">
        <v>100</v>
      </c>
      <c r="EJ359" s="2" t="n">
        <v>0</v>
      </c>
      <c r="EK359" s="2" t="n">
        <v>100</v>
      </c>
      <c r="EL359" s="2" t="n">
        <v>100</v>
      </c>
      <c r="EM359" s="2" t="n">
        <v>0</v>
      </c>
      <c r="EN359" s="2" t="n">
        <v>100</v>
      </c>
      <c r="EO359" s="2" t="n">
        <v>100</v>
      </c>
      <c r="EP359" s="2" t="n">
        <v>0</v>
      </c>
      <c r="EQ359" s="2" t="n">
        <v>100</v>
      </c>
      <c r="ER359" s="2" t="n">
        <v>100</v>
      </c>
      <c r="ES359" s="2" t="n">
        <v>0</v>
      </c>
    </row>
    <row r="360">
      <c r="A360" s="2" t="n">
        <v>4</v>
      </c>
      <c r="B360" s="2" t="inlineStr">
        <is>
          <t>18.01.01.01</t>
        </is>
      </c>
      <c r="C360" s="2" t="inlineStr">
        <is>
          <t>Demarcação de alvenaria de vedação com blocos cerâmicos esp.9cm</t>
        </is>
      </c>
      <c r="D360" s="2" t="inlineStr">
        <is>
          <t>16/03/2027</t>
        </is>
      </c>
      <c r="E360" s="2" t="inlineStr">
        <is>
          <t>04/05/2028</t>
        </is>
      </c>
      <c r="F360" s="2" t="n">
        <v>7002.8368488192</v>
      </c>
      <c r="G360" s="2" t="n">
        <v>0</v>
      </c>
      <c r="H360" s="2" t="n">
        <v>7002.8368488192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0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n">
        <v>0</v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n">
        <v>0</v>
      </c>
      <c r="BI360" s="2" t="n">
        <v>0</v>
      </c>
      <c r="BJ360" s="2" t="n">
        <v>0</v>
      </c>
      <c r="BK360" s="2" t="n">
        <v>0</v>
      </c>
      <c r="BL360" s="2" t="n">
        <v>0</v>
      </c>
      <c r="BM360" s="2" t="n">
        <v>0</v>
      </c>
      <c r="BN360" s="2" t="n">
        <v>0</v>
      </c>
      <c r="BO360" s="2" t="n">
        <v>0</v>
      </c>
      <c r="BP360" s="2" t="n">
        <v>0</v>
      </c>
      <c r="BQ360" s="2" t="n">
        <v>0</v>
      </c>
      <c r="BR360" s="2" t="n">
        <v>0</v>
      </c>
      <c r="BS360" s="2" t="n">
        <v>0</v>
      </c>
      <c r="BT360" s="2" t="n">
        <v>1.58</v>
      </c>
      <c r="BU360" s="2" t="n">
        <v>2.89</v>
      </c>
      <c r="BV360" s="2" t="n">
        <v>0</v>
      </c>
      <c r="BW360" s="2" t="n">
        <v>7.09</v>
      </c>
      <c r="BX360" s="2" t="n">
        <v>10.52</v>
      </c>
      <c r="BY360" s="2" t="n">
        <v>0</v>
      </c>
      <c r="BZ360" s="2" t="n">
        <v>18.31</v>
      </c>
      <c r="CA360" s="2" t="n">
        <v>22.87</v>
      </c>
      <c r="CB360" s="2" t="n">
        <v>0</v>
      </c>
      <c r="CC360" s="2" t="n">
        <v>33.02</v>
      </c>
      <c r="CD360" s="2" t="n">
        <v>37.18</v>
      </c>
      <c r="CE360" s="2" t="n">
        <v>0</v>
      </c>
      <c r="CF360" s="2" t="n">
        <v>42.74</v>
      </c>
      <c r="CG360" s="2" t="n">
        <v>46.92</v>
      </c>
      <c r="CH360" s="2" t="n">
        <v>0</v>
      </c>
      <c r="CI360" s="2" t="n">
        <v>52.53</v>
      </c>
      <c r="CJ360" s="2" t="n">
        <v>56.7</v>
      </c>
      <c r="CK360" s="2" t="n">
        <v>0</v>
      </c>
      <c r="CL360" s="2" t="n">
        <v>61.5</v>
      </c>
      <c r="CM360" s="2" t="n">
        <v>65.65000000000001</v>
      </c>
      <c r="CN360" s="2" t="n">
        <v>0</v>
      </c>
      <c r="CO360" s="2" t="n">
        <v>69.90000000000001</v>
      </c>
      <c r="CP360" s="2" t="n">
        <v>74.06</v>
      </c>
      <c r="CQ360" s="2" t="n">
        <v>0</v>
      </c>
      <c r="CR360" s="2" t="n">
        <v>78.81</v>
      </c>
      <c r="CS360" s="2" t="n">
        <v>82.95</v>
      </c>
      <c r="CT360" s="2" t="n">
        <v>0</v>
      </c>
      <c r="CU360" s="2" t="n">
        <v>85.27</v>
      </c>
      <c r="CV360" s="2" t="n">
        <v>89.28</v>
      </c>
      <c r="CW360" s="2" t="n">
        <v>0</v>
      </c>
      <c r="CX360" s="2" t="n">
        <v>93.92</v>
      </c>
      <c r="CY360" s="2" t="n">
        <v>96.45</v>
      </c>
      <c r="CZ360" s="2" t="n">
        <v>0</v>
      </c>
      <c r="DA360" s="2" t="n">
        <v>96.98</v>
      </c>
      <c r="DB360" s="2" t="n">
        <v>96.98</v>
      </c>
      <c r="DC360" s="2" t="n">
        <v>0</v>
      </c>
      <c r="DD360" s="2" t="n">
        <v>97.51000000000001</v>
      </c>
      <c r="DE360" s="2" t="n">
        <v>98.98</v>
      </c>
      <c r="DF360" s="2" t="n">
        <v>0</v>
      </c>
      <c r="DG360" s="2" t="n">
        <v>99.61</v>
      </c>
      <c r="DH360" s="2" t="n">
        <v>99.92</v>
      </c>
      <c r="DI360" s="2" t="n">
        <v>0</v>
      </c>
      <c r="DJ360" s="2" t="n">
        <v>100</v>
      </c>
      <c r="DK360" s="2" t="n">
        <v>100</v>
      </c>
      <c r="DL360" s="2" t="n">
        <v>0</v>
      </c>
      <c r="DM360" s="2" t="n">
        <v>100</v>
      </c>
      <c r="DN360" s="2" t="n">
        <v>100</v>
      </c>
      <c r="DO360" s="2" t="n">
        <v>0</v>
      </c>
      <c r="DP360" s="2" t="n">
        <v>100</v>
      </c>
      <c r="DQ360" s="2" t="n">
        <v>100</v>
      </c>
      <c r="DR360" s="2" t="n">
        <v>0</v>
      </c>
      <c r="DS360" s="2" t="n">
        <v>100</v>
      </c>
      <c r="DT360" s="2" t="n">
        <v>100</v>
      </c>
      <c r="DU360" s="2" t="n">
        <v>0</v>
      </c>
      <c r="DV360" s="2" t="n">
        <v>100</v>
      </c>
      <c r="DW360" s="2" t="n">
        <v>100</v>
      </c>
      <c r="DX360" s="2" t="n">
        <v>0</v>
      </c>
      <c r="DY360" s="2" t="n">
        <v>100</v>
      </c>
      <c r="DZ360" s="2" t="n">
        <v>100</v>
      </c>
      <c r="EA360" s="2" t="n">
        <v>0</v>
      </c>
      <c r="EB360" s="2" t="n">
        <v>100</v>
      </c>
      <c r="EC360" s="2" t="n">
        <v>100</v>
      </c>
      <c r="ED360" s="2" t="n">
        <v>0</v>
      </c>
      <c r="EE360" s="2" t="n">
        <v>100</v>
      </c>
      <c r="EF360" s="2" t="n">
        <v>100</v>
      </c>
      <c r="EG360" s="2" t="n">
        <v>0</v>
      </c>
      <c r="EH360" s="2" t="n">
        <v>100</v>
      </c>
      <c r="EI360" s="2" t="n">
        <v>100</v>
      </c>
      <c r="EJ360" s="2" t="n">
        <v>0</v>
      </c>
      <c r="EK360" s="2" t="n">
        <v>100</v>
      </c>
      <c r="EL360" s="2" t="n">
        <v>100</v>
      </c>
      <c r="EM360" s="2" t="n">
        <v>0</v>
      </c>
      <c r="EN360" s="2" t="n">
        <v>100</v>
      </c>
      <c r="EO360" s="2" t="n">
        <v>100</v>
      </c>
      <c r="EP360" s="2" t="n">
        <v>0</v>
      </c>
      <c r="EQ360" s="2" t="n">
        <v>100</v>
      </c>
      <c r="ER360" s="2" t="n">
        <v>100</v>
      </c>
      <c r="ES360" s="2" t="n">
        <v>0</v>
      </c>
    </row>
    <row r="361">
      <c r="A361" s="2" t="n">
        <v>4</v>
      </c>
      <c r="B361" s="2" t="inlineStr">
        <is>
          <t>18.01.01.02</t>
        </is>
      </c>
      <c r="C361" s="2" t="inlineStr">
        <is>
          <t>Alvenaria de vedação com blocos cerâmicos esp. 9cm</t>
        </is>
      </c>
      <c r="D361" s="2" t="inlineStr">
        <is>
          <t>16/03/2027</t>
        </is>
      </c>
      <c r="E361" s="2" t="inlineStr">
        <is>
          <t>04/05/2028</t>
        </is>
      </c>
      <c r="F361" s="2" t="n">
        <v>65749.045668768</v>
      </c>
      <c r="G361" s="2" t="n">
        <v>0</v>
      </c>
      <c r="H361" s="2" t="n">
        <v>65749.045668768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0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n">
        <v>0</v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n">
        <v>0</v>
      </c>
      <c r="BI361" s="2" t="n">
        <v>0</v>
      </c>
      <c r="BJ361" s="2" t="n">
        <v>0</v>
      </c>
      <c r="BK361" s="2" t="n">
        <v>0</v>
      </c>
      <c r="BL361" s="2" t="n">
        <v>0</v>
      </c>
      <c r="BM361" s="2" t="n">
        <v>0</v>
      </c>
      <c r="BN361" s="2" t="n">
        <v>0</v>
      </c>
      <c r="BO361" s="2" t="n">
        <v>0</v>
      </c>
      <c r="BP361" s="2" t="n">
        <v>0</v>
      </c>
      <c r="BQ361" s="2" t="n">
        <v>0</v>
      </c>
      <c r="BR361" s="2" t="n">
        <v>0</v>
      </c>
      <c r="BS361" s="2" t="n">
        <v>0</v>
      </c>
      <c r="BT361" s="2" t="n">
        <v>1.58</v>
      </c>
      <c r="BU361" s="2" t="n">
        <v>2.89</v>
      </c>
      <c r="BV361" s="2" t="n">
        <v>0</v>
      </c>
      <c r="BW361" s="2" t="n">
        <v>7.09</v>
      </c>
      <c r="BX361" s="2" t="n">
        <v>10.52</v>
      </c>
      <c r="BY361" s="2" t="n">
        <v>0</v>
      </c>
      <c r="BZ361" s="2" t="n">
        <v>18.31</v>
      </c>
      <c r="CA361" s="2" t="n">
        <v>22.87</v>
      </c>
      <c r="CB361" s="2" t="n">
        <v>0</v>
      </c>
      <c r="CC361" s="2" t="n">
        <v>33.02</v>
      </c>
      <c r="CD361" s="2" t="n">
        <v>37.18</v>
      </c>
      <c r="CE361" s="2" t="n">
        <v>0</v>
      </c>
      <c r="CF361" s="2" t="n">
        <v>42.74</v>
      </c>
      <c r="CG361" s="2" t="n">
        <v>46.92</v>
      </c>
      <c r="CH361" s="2" t="n">
        <v>0</v>
      </c>
      <c r="CI361" s="2" t="n">
        <v>52.53</v>
      </c>
      <c r="CJ361" s="2" t="n">
        <v>56.7</v>
      </c>
      <c r="CK361" s="2" t="n">
        <v>0</v>
      </c>
      <c r="CL361" s="2" t="n">
        <v>61.5</v>
      </c>
      <c r="CM361" s="2" t="n">
        <v>65.65000000000001</v>
      </c>
      <c r="CN361" s="2" t="n">
        <v>0</v>
      </c>
      <c r="CO361" s="2" t="n">
        <v>69.90000000000001</v>
      </c>
      <c r="CP361" s="2" t="n">
        <v>74.06</v>
      </c>
      <c r="CQ361" s="2" t="n">
        <v>0</v>
      </c>
      <c r="CR361" s="2" t="n">
        <v>78.81</v>
      </c>
      <c r="CS361" s="2" t="n">
        <v>82.95</v>
      </c>
      <c r="CT361" s="2" t="n">
        <v>0</v>
      </c>
      <c r="CU361" s="2" t="n">
        <v>85.27</v>
      </c>
      <c r="CV361" s="2" t="n">
        <v>89.28</v>
      </c>
      <c r="CW361" s="2" t="n">
        <v>0</v>
      </c>
      <c r="CX361" s="2" t="n">
        <v>93.92</v>
      </c>
      <c r="CY361" s="2" t="n">
        <v>96.45</v>
      </c>
      <c r="CZ361" s="2" t="n">
        <v>0</v>
      </c>
      <c r="DA361" s="2" t="n">
        <v>96.98</v>
      </c>
      <c r="DB361" s="2" t="n">
        <v>96.98</v>
      </c>
      <c r="DC361" s="2" t="n">
        <v>0</v>
      </c>
      <c r="DD361" s="2" t="n">
        <v>97.51000000000001</v>
      </c>
      <c r="DE361" s="2" t="n">
        <v>98.98</v>
      </c>
      <c r="DF361" s="2" t="n">
        <v>0</v>
      </c>
      <c r="DG361" s="2" t="n">
        <v>99.61</v>
      </c>
      <c r="DH361" s="2" t="n">
        <v>99.92</v>
      </c>
      <c r="DI361" s="2" t="n">
        <v>0</v>
      </c>
      <c r="DJ361" s="2" t="n">
        <v>100</v>
      </c>
      <c r="DK361" s="2" t="n">
        <v>100</v>
      </c>
      <c r="DL361" s="2" t="n">
        <v>0</v>
      </c>
      <c r="DM361" s="2" t="n">
        <v>100</v>
      </c>
      <c r="DN361" s="2" t="n">
        <v>100</v>
      </c>
      <c r="DO361" s="2" t="n">
        <v>0</v>
      </c>
      <c r="DP361" s="2" t="n">
        <v>100</v>
      </c>
      <c r="DQ361" s="2" t="n">
        <v>100</v>
      </c>
      <c r="DR361" s="2" t="n">
        <v>0</v>
      </c>
      <c r="DS361" s="2" t="n">
        <v>100</v>
      </c>
      <c r="DT361" s="2" t="n">
        <v>100</v>
      </c>
      <c r="DU361" s="2" t="n">
        <v>0</v>
      </c>
      <c r="DV361" s="2" t="n">
        <v>100</v>
      </c>
      <c r="DW361" s="2" t="n">
        <v>100</v>
      </c>
      <c r="DX361" s="2" t="n">
        <v>0</v>
      </c>
      <c r="DY361" s="2" t="n">
        <v>100</v>
      </c>
      <c r="DZ361" s="2" t="n">
        <v>100</v>
      </c>
      <c r="EA361" s="2" t="n">
        <v>0</v>
      </c>
      <c r="EB361" s="2" t="n">
        <v>100</v>
      </c>
      <c r="EC361" s="2" t="n">
        <v>100</v>
      </c>
      <c r="ED361" s="2" t="n">
        <v>0</v>
      </c>
      <c r="EE361" s="2" t="n">
        <v>100</v>
      </c>
      <c r="EF361" s="2" t="n">
        <v>100</v>
      </c>
      <c r="EG361" s="2" t="n">
        <v>0</v>
      </c>
      <c r="EH361" s="2" t="n">
        <v>100</v>
      </c>
      <c r="EI361" s="2" t="n">
        <v>100</v>
      </c>
      <c r="EJ361" s="2" t="n">
        <v>0</v>
      </c>
      <c r="EK361" s="2" t="n">
        <v>100</v>
      </c>
      <c r="EL361" s="2" t="n">
        <v>100</v>
      </c>
      <c r="EM361" s="2" t="n">
        <v>0</v>
      </c>
      <c r="EN361" s="2" t="n">
        <v>100</v>
      </c>
      <c r="EO361" s="2" t="n">
        <v>100</v>
      </c>
      <c r="EP361" s="2" t="n">
        <v>0</v>
      </c>
      <c r="EQ361" s="2" t="n">
        <v>100</v>
      </c>
      <c r="ER361" s="2" t="n">
        <v>100</v>
      </c>
      <c r="ES361" s="2" t="n">
        <v>0</v>
      </c>
    </row>
    <row r="362">
      <c r="A362" s="2" t="n">
        <v>4</v>
      </c>
      <c r="B362" s="2" t="inlineStr">
        <is>
          <t>18.01.01.03</t>
        </is>
      </c>
      <c r="C362" s="2" t="inlineStr">
        <is>
          <t>Encunhamento com espuma expansiva de poliuretano</t>
        </is>
      </c>
      <c r="D362" s="2" t="inlineStr">
        <is>
          <t>16/03/2027</t>
        </is>
      </c>
      <c r="E362" s="2" t="inlineStr">
        <is>
          <t>04/05/2028</t>
        </is>
      </c>
      <c r="F362" s="2" t="n">
        <v>1525.321241753556</v>
      </c>
      <c r="G362" s="2" t="n">
        <v>0</v>
      </c>
      <c r="H362" s="2" t="n">
        <v>1525.321241753556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  <c r="AN362" s="2" t="n">
        <v>0</v>
      </c>
      <c r="AO362" s="2" t="n">
        <v>0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n">
        <v>0</v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n">
        <v>0</v>
      </c>
      <c r="BI362" s="2" t="n">
        <v>0</v>
      </c>
      <c r="BJ362" s="2" t="n">
        <v>0</v>
      </c>
      <c r="BK362" s="2" t="n">
        <v>0</v>
      </c>
      <c r="BL362" s="2" t="n">
        <v>0</v>
      </c>
      <c r="BM362" s="2" t="n">
        <v>0</v>
      </c>
      <c r="BN362" s="2" t="n">
        <v>0</v>
      </c>
      <c r="BO362" s="2" t="n">
        <v>0</v>
      </c>
      <c r="BP362" s="2" t="n">
        <v>0</v>
      </c>
      <c r="BQ362" s="2" t="n">
        <v>0</v>
      </c>
      <c r="BR362" s="2" t="n">
        <v>0</v>
      </c>
      <c r="BS362" s="2" t="n">
        <v>0</v>
      </c>
      <c r="BT362" s="2" t="n">
        <v>1.58</v>
      </c>
      <c r="BU362" s="2" t="n">
        <v>2.89</v>
      </c>
      <c r="BV362" s="2" t="n">
        <v>0</v>
      </c>
      <c r="BW362" s="2" t="n">
        <v>7.09</v>
      </c>
      <c r="BX362" s="2" t="n">
        <v>10.52</v>
      </c>
      <c r="BY362" s="2" t="n">
        <v>0</v>
      </c>
      <c r="BZ362" s="2" t="n">
        <v>18.31</v>
      </c>
      <c r="CA362" s="2" t="n">
        <v>22.87</v>
      </c>
      <c r="CB362" s="2" t="n">
        <v>0</v>
      </c>
      <c r="CC362" s="2" t="n">
        <v>33.02</v>
      </c>
      <c r="CD362" s="2" t="n">
        <v>37.18</v>
      </c>
      <c r="CE362" s="2" t="n">
        <v>0</v>
      </c>
      <c r="CF362" s="2" t="n">
        <v>42.74</v>
      </c>
      <c r="CG362" s="2" t="n">
        <v>46.92</v>
      </c>
      <c r="CH362" s="2" t="n">
        <v>0</v>
      </c>
      <c r="CI362" s="2" t="n">
        <v>52.53</v>
      </c>
      <c r="CJ362" s="2" t="n">
        <v>56.7</v>
      </c>
      <c r="CK362" s="2" t="n">
        <v>0</v>
      </c>
      <c r="CL362" s="2" t="n">
        <v>61.5</v>
      </c>
      <c r="CM362" s="2" t="n">
        <v>65.65000000000001</v>
      </c>
      <c r="CN362" s="2" t="n">
        <v>0</v>
      </c>
      <c r="CO362" s="2" t="n">
        <v>69.90000000000001</v>
      </c>
      <c r="CP362" s="2" t="n">
        <v>74.06</v>
      </c>
      <c r="CQ362" s="2" t="n">
        <v>0</v>
      </c>
      <c r="CR362" s="2" t="n">
        <v>78.81</v>
      </c>
      <c r="CS362" s="2" t="n">
        <v>82.95</v>
      </c>
      <c r="CT362" s="2" t="n">
        <v>0</v>
      </c>
      <c r="CU362" s="2" t="n">
        <v>85.27</v>
      </c>
      <c r="CV362" s="2" t="n">
        <v>89.28</v>
      </c>
      <c r="CW362" s="2" t="n">
        <v>0</v>
      </c>
      <c r="CX362" s="2" t="n">
        <v>93.92</v>
      </c>
      <c r="CY362" s="2" t="n">
        <v>96.45</v>
      </c>
      <c r="CZ362" s="2" t="n">
        <v>0</v>
      </c>
      <c r="DA362" s="2" t="n">
        <v>96.98</v>
      </c>
      <c r="DB362" s="2" t="n">
        <v>96.98</v>
      </c>
      <c r="DC362" s="2" t="n">
        <v>0</v>
      </c>
      <c r="DD362" s="2" t="n">
        <v>97.51000000000001</v>
      </c>
      <c r="DE362" s="2" t="n">
        <v>98.98</v>
      </c>
      <c r="DF362" s="2" t="n">
        <v>0</v>
      </c>
      <c r="DG362" s="2" t="n">
        <v>99.61</v>
      </c>
      <c r="DH362" s="2" t="n">
        <v>99.92</v>
      </c>
      <c r="DI362" s="2" t="n">
        <v>0</v>
      </c>
      <c r="DJ362" s="2" t="n">
        <v>100</v>
      </c>
      <c r="DK362" s="2" t="n">
        <v>100</v>
      </c>
      <c r="DL362" s="2" t="n">
        <v>0</v>
      </c>
      <c r="DM362" s="2" t="n">
        <v>100</v>
      </c>
      <c r="DN362" s="2" t="n">
        <v>100</v>
      </c>
      <c r="DO362" s="2" t="n">
        <v>0</v>
      </c>
      <c r="DP362" s="2" t="n">
        <v>100</v>
      </c>
      <c r="DQ362" s="2" t="n">
        <v>100</v>
      </c>
      <c r="DR362" s="2" t="n">
        <v>0</v>
      </c>
      <c r="DS362" s="2" t="n">
        <v>100</v>
      </c>
      <c r="DT362" s="2" t="n">
        <v>100</v>
      </c>
      <c r="DU362" s="2" t="n">
        <v>0</v>
      </c>
      <c r="DV362" s="2" t="n">
        <v>100</v>
      </c>
      <c r="DW362" s="2" t="n">
        <v>100</v>
      </c>
      <c r="DX362" s="2" t="n">
        <v>0</v>
      </c>
      <c r="DY362" s="2" t="n">
        <v>100</v>
      </c>
      <c r="DZ362" s="2" t="n">
        <v>100</v>
      </c>
      <c r="EA362" s="2" t="n">
        <v>0</v>
      </c>
      <c r="EB362" s="2" t="n">
        <v>100</v>
      </c>
      <c r="EC362" s="2" t="n">
        <v>100</v>
      </c>
      <c r="ED362" s="2" t="n">
        <v>0</v>
      </c>
      <c r="EE362" s="2" t="n">
        <v>100</v>
      </c>
      <c r="EF362" s="2" t="n">
        <v>100</v>
      </c>
      <c r="EG362" s="2" t="n">
        <v>0</v>
      </c>
      <c r="EH362" s="2" t="n">
        <v>100</v>
      </c>
      <c r="EI362" s="2" t="n">
        <v>100</v>
      </c>
      <c r="EJ362" s="2" t="n">
        <v>0</v>
      </c>
      <c r="EK362" s="2" t="n">
        <v>100</v>
      </c>
      <c r="EL362" s="2" t="n">
        <v>100</v>
      </c>
      <c r="EM362" s="2" t="n">
        <v>0</v>
      </c>
      <c r="EN362" s="2" t="n">
        <v>100</v>
      </c>
      <c r="EO362" s="2" t="n">
        <v>100</v>
      </c>
      <c r="EP362" s="2" t="n">
        <v>0</v>
      </c>
      <c r="EQ362" s="2" t="n">
        <v>100</v>
      </c>
      <c r="ER362" s="2" t="n">
        <v>100</v>
      </c>
      <c r="ES362" s="2" t="n">
        <v>0</v>
      </c>
    </row>
    <row r="363">
      <c r="A363" s="2" t="n">
        <v>4</v>
      </c>
      <c r="B363" s="2" t="inlineStr">
        <is>
          <t>18.01.01.04</t>
        </is>
      </c>
      <c r="C363" s="2" t="inlineStr">
        <is>
          <t>Amarração de Alvenaria</t>
        </is>
      </c>
      <c r="D363" s="2" t="inlineStr">
        <is>
          <t>16/03/2027</t>
        </is>
      </c>
      <c r="E363" s="2" t="inlineStr">
        <is>
          <t>04/05/2028</t>
        </is>
      </c>
      <c r="F363" s="2" t="n">
        <v>2912.259181435806</v>
      </c>
      <c r="G363" s="2" t="n">
        <v>0</v>
      </c>
      <c r="H363" s="2" t="n">
        <v>2912.259181435806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  <c r="AN363" s="2" t="n">
        <v>0</v>
      </c>
      <c r="AO363" s="2" t="n">
        <v>0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n">
        <v>0</v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n">
        <v>0</v>
      </c>
      <c r="BI363" s="2" t="n">
        <v>0</v>
      </c>
      <c r="BJ363" s="2" t="n">
        <v>0</v>
      </c>
      <c r="BK363" s="2" t="n">
        <v>0</v>
      </c>
      <c r="BL363" s="2" t="n">
        <v>0</v>
      </c>
      <c r="BM363" s="2" t="n">
        <v>0</v>
      </c>
      <c r="BN363" s="2" t="n">
        <v>0</v>
      </c>
      <c r="BO363" s="2" t="n">
        <v>0</v>
      </c>
      <c r="BP363" s="2" t="n">
        <v>0</v>
      </c>
      <c r="BQ363" s="2" t="n">
        <v>0</v>
      </c>
      <c r="BR363" s="2" t="n">
        <v>0</v>
      </c>
      <c r="BS363" s="2" t="n">
        <v>0</v>
      </c>
      <c r="BT363" s="2" t="n">
        <v>1.58</v>
      </c>
      <c r="BU363" s="2" t="n">
        <v>2.89</v>
      </c>
      <c r="BV363" s="2" t="n">
        <v>0</v>
      </c>
      <c r="BW363" s="2" t="n">
        <v>7.09</v>
      </c>
      <c r="BX363" s="2" t="n">
        <v>10.52</v>
      </c>
      <c r="BY363" s="2" t="n">
        <v>0</v>
      </c>
      <c r="BZ363" s="2" t="n">
        <v>18.31</v>
      </c>
      <c r="CA363" s="2" t="n">
        <v>22.87</v>
      </c>
      <c r="CB363" s="2" t="n">
        <v>0</v>
      </c>
      <c r="CC363" s="2" t="n">
        <v>33.02</v>
      </c>
      <c r="CD363" s="2" t="n">
        <v>37.18</v>
      </c>
      <c r="CE363" s="2" t="n">
        <v>0</v>
      </c>
      <c r="CF363" s="2" t="n">
        <v>42.74</v>
      </c>
      <c r="CG363" s="2" t="n">
        <v>46.92</v>
      </c>
      <c r="CH363" s="2" t="n">
        <v>0</v>
      </c>
      <c r="CI363" s="2" t="n">
        <v>52.53</v>
      </c>
      <c r="CJ363" s="2" t="n">
        <v>56.7</v>
      </c>
      <c r="CK363" s="2" t="n">
        <v>0</v>
      </c>
      <c r="CL363" s="2" t="n">
        <v>61.5</v>
      </c>
      <c r="CM363" s="2" t="n">
        <v>65.65000000000001</v>
      </c>
      <c r="CN363" s="2" t="n">
        <v>0</v>
      </c>
      <c r="CO363" s="2" t="n">
        <v>69.90000000000001</v>
      </c>
      <c r="CP363" s="2" t="n">
        <v>74.06</v>
      </c>
      <c r="CQ363" s="2" t="n">
        <v>0</v>
      </c>
      <c r="CR363" s="2" t="n">
        <v>78.81</v>
      </c>
      <c r="CS363" s="2" t="n">
        <v>82.95</v>
      </c>
      <c r="CT363" s="2" t="n">
        <v>0</v>
      </c>
      <c r="CU363" s="2" t="n">
        <v>85.27</v>
      </c>
      <c r="CV363" s="2" t="n">
        <v>89.28</v>
      </c>
      <c r="CW363" s="2" t="n">
        <v>0</v>
      </c>
      <c r="CX363" s="2" t="n">
        <v>93.92</v>
      </c>
      <c r="CY363" s="2" t="n">
        <v>96.45</v>
      </c>
      <c r="CZ363" s="2" t="n">
        <v>0</v>
      </c>
      <c r="DA363" s="2" t="n">
        <v>96.98</v>
      </c>
      <c r="DB363" s="2" t="n">
        <v>96.98</v>
      </c>
      <c r="DC363" s="2" t="n">
        <v>0</v>
      </c>
      <c r="DD363" s="2" t="n">
        <v>97.51000000000001</v>
      </c>
      <c r="DE363" s="2" t="n">
        <v>98.98</v>
      </c>
      <c r="DF363" s="2" t="n">
        <v>0</v>
      </c>
      <c r="DG363" s="2" t="n">
        <v>99.61</v>
      </c>
      <c r="DH363" s="2" t="n">
        <v>99.92</v>
      </c>
      <c r="DI363" s="2" t="n">
        <v>0</v>
      </c>
      <c r="DJ363" s="2" t="n">
        <v>100</v>
      </c>
      <c r="DK363" s="2" t="n">
        <v>100</v>
      </c>
      <c r="DL363" s="2" t="n">
        <v>0</v>
      </c>
      <c r="DM363" s="2" t="n">
        <v>100</v>
      </c>
      <c r="DN363" s="2" t="n">
        <v>100</v>
      </c>
      <c r="DO363" s="2" t="n">
        <v>0</v>
      </c>
      <c r="DP363" s="2" t="n">
        <v>100</v>
      </c>
      <c r="DQ363" s="2" t="n">
        <v>100</v>
      </c>
      <c r="DR363" s="2" t="n">
        <v>0</v>
      </c>
      <c r="DS363" s="2" t="n">
        <v>100</v>
      </c>
      <c r="DT363" s="2" t="n">
        <v>100</v>
      </c>
      <c r="DU363" s="2" t="n">
        <v>0</v>
      </c>
      <c r="DV363" s="2" t="n">
        <v>100</v>
      </c>
      <c r="DW363" s="2" t="n">
        <v>100</v>
      </c>
      <c r="DX363" s="2" t="n">
        <v>0</v>
      </c>
      <c r="DY363" s="2" t="n">
        <v>100</v>
      </c>
      <c r="DZ363" s="2" t="n">
        <v>100</v>
      </c>
      <c r="EA363" s="2" t="n">
        <v>0</v>
      </c>
      <c r="EB363" s="2" t="n">
        <v>100</v>
      </c>
      <c r="EC363" s="2" t="n">
        <v>100</v>
      </c>
      <c r="ED363" s="2" t="n">
        <v>0</v>
      </c>
      <c r="EE363" s="2" t="n">
        <v>100</v>
      </c>
      <c r="EF363" s="2" t="n">
        <v>100</v>
      </c>
      <c r="EG363" s="2" t="n">
        <v>0</v>
      </c>
      <c r="EH363" s="2" t="n">
        <v>100</v>
      </c>
      <c r="EI363" s="2" t="n">
        <v>100</v>
      </c>
      <c r="EJ363" s="2" t="n">
        <v>0</v>
      </c>
      <c r="EK363" s="2" t="n">
        <v>100</v>
      </c>
      <c r="EL363" s="2" t="n">
        <v>100</v>
      </c>
      <c r="EM363" s="2" t="n">
        <v>0</v>
      </c>
      <c r="EN363" s="2" t="n">
        <v>100</v>
      </c>
      <c r="EO363" s="2" t="n">
        <v>100</v>
      </c>
      <c r="EP363" s="2" t="n">
        <v>0</v>
      </c>
      <c r="EQ363" s="2" t="n">
        <v>100</v>
      </c>
      <c r="ER363" s="2" t="n">
        <v>100</v>
      </c>
      <c r="ES363" s="2" t="n">
        <v>0</v>
      </c>
    </row>
    <row r="364">
      <c r="A364" s="2" t="n">
        <v>3</v>
      </c>
      <c r="B364" s="2" t="inlineStr">
        <is>
          <t>18.01.02</t>
        </is>
      </c>
      <c r="C364" s="2" t="inlineStr">
        <is>
          <t>Esp. 14cm</t>
        </is>
      </c>
      <c r="D364" s="2" t="inlineStr">
        <is>
          <t>16/03/2027</t>
        </is>
      </c>
      <c r="E364" s="2" t="inlineStr">
        <is>
          <t>04/05/2028</t>
        </is>
      </c>
      <c r="F364" s="2" t="n">
        <v>234128.6443966699</v>
      </c>
      <c r="G364" s="2" t="n">
        <v>0</v>
      </c>
      <c r="H364" s="2" t="n">
        <v>234128.6443966699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0</v>
      </c>
      <c r="AO364" s="2" t="n">
        <v>0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n">
        <v>0</v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n">
        <v>0</v>
      </c>
      <c r="BI364" s="2" t="n">
        <v>0</v>
      </c>
      <c r="BJ364" s="2" t="n">
        <v>0</v>
      </c>
      <c r="BK364" s="2" t="n">
        <v>0</v>
      </c>
      <c r="BL364" s="2" t="n">
        <v>0</v>
      </c>
      <c r="BM364" s="2" t="n">
        <v>0</v>
      </c>
      <c r="BN364" s="2" t="n">
        <v>0</v>
      </c>
      <c r="BO364" s="2" t="n">
        <v>0</v>
      </c>
      <c r="BP364" s="2" t="n">
        <v>0</v>
      </c>
      <c r="BQ364" s="2" t="n">
        <v>0</v>
      </c>
      <c r="BR364" s="2" t="n">
        <v>0</v>
      </c>
      <c r="BS364" s="2" t="n">
        <v>0</v>
      </c>
      <c r="BT364" s="2" t="n">
        <v>1.58</v>
      </c>
      <c r="BU364" s="2" t="n">
        <v>2.89</v>
      </c>
      <c r="BV364" s="2" t="n">
        <v>0</v>
      </c>
      <c r="BW364" s="2" t="n">
        <v>7.09</v>
      </c>
      <c r="BX364" s="2" t="n">
        <v>10.52</v>
      </c>
      <c r="BY364" s="2" t="n">
        <v>0</v>
      </c>
      <c r="BZ364" s="2" t="n">
        <v>18.31</v>
      </c>
      <c r="CA364" s="2" t="n">
        <v>22.87</v>
      </c>
      <c r="CB364" s="2" t="n">
        <v>0</v>
      </c>
      <c r="CC364" s="2" t="n">
        <v>33.02</v>
      </c>
      <c r="CD364" s="2" t="n">
        <v>37.18</v>
      </c>
      <c r="CE364" s="2" t="n">
        <v>0</v>
      </c>
      <c r="CF364" s="2" t="n">
        <v>42.74</v>
      </c>
      <c r="CG364" s="2" t="n">
        <v>46.92</v>
      </c>
      <c r="CH364" s="2" t="n">
        <v>0</v>
      </c>
      <c r="CI364" s="2" t="n">
        <v>52.53</v>
      </c>
      <c r="CJ364" s="2" t="n">
        <v>56.7</v>
      </c>
      <c r="CK364" s="2" t="n">
        <v>0</v>
      </c>
      <c r="CL364" s="2" t="n">
        <v>61.5</v>
      </c>
      <c r="CM364" s="2" t="n">
        <v>65.65000000000001</v>
      </c>
      <c r="CN364" s="2" t="n">
        <v>0</v>
      </c>
      <c r="CO364" s="2" t="n">
        <v>69.90000000000001</v>
      </c>
      <c r="CP364" s="2" t="n">
        <v>74.06</v>
      </c>
      <c r="CQ364" s="2" t="n">
        <v>0</v>
      </c>
      <c r="CR364" s="2" t="n">
        <v>78.81</v>
      </c>
      <c r="CS364" s="2" t="n">
        <v>82.95</v>
      </c>
      <c r="CT364" s="2" t="n">
        <v>0</v>
      </c>
      <c r="CU364" s="2" t="n">
        <v>85.27</v>
      </c>
      <c r="CV364" s="2" t="n">
        <v>89.28</v>
      </c>
      <c r="CW364" s="2" t="n">
        <v>0</v>
      </c>
      <c r="CX364" s="2" t="n">
        <v>93.92</v>
      </c>
      <c r="CY364" s="2" t="n">
        <v>96.45</v>
      </c>
      <c r="CZ364" s="2" t="n">
        <v>0</v>
      </c>
      <c r="DA364" s="2" t="n">
        <v>96.98</v>
      </c>
      <c r="DB364" s="2" t="n">
        <v>96.98</v>
      </c>
      <c r="DC364" s="2" t="n">
        <v>0</v>
      </c>
      <c r="DD364" s="2" t="n">
        <v>97.51000000000001</v>
      </c>
      <c r="DE364" s="2" t="n">
        <v>98.98</v>
      </c>
      <c r="DF364" s="2" t="n">
        <v>0</v>
      </c>
      <c r="DG364" s="2" t="n">
        <v>99.61</v>
      </c>
      <c r="DH364" s="2" t="n">
        <v>99.92</v>
      </c>
      <c r="DI364" s="2" t="n">
        <v>0</v>
      </c>
      <c r="DJ364" s="2" t="n">
        <v>100</v>
      </c>
      <c r="DK364" s="2" t="n">
        <v>100</v>
      </c>
      <c r="DL364" s="2" t="n">
        <v>0</v>
      </c>
      <c r="DM364" s="2" t="n">
        <v>100</v>
      </c>
      <c r="DN364" s="2" t="n">
        <v>100</v>
      </c>
      <c r="DO364" s="2" t="n">
        <v>0</v>
      </c>
      <c r="DP364" s="2" t="n">
        <v>100</v>
      </c>
      <c r="DQ364" s="2" t="n">
        <v>100</v>
      </c>
      <c r="DR364" s="2" t="n">
        <v>0</v>
      </c>
      <c r="DS364" s="2" t="n">
        <v>100</v>
      </c>
      <c r="DT364" s="2" t="n">
        <v>100</v>
      </c>
      <c r="DU364" s="2" t="n">
        <v>0</v>
      </c>
      <c r="DV364" s="2" t="n">
        <v>100</v>
      </c>
      <c r="DW364" s="2" t="n">
        <v>100</v>
      </c>
      <c r="DX364" s="2" t="n">
        <v>0</v>
      </c>
      <c r="DY364" s="2" t="n">
        <v>100</v>
      </c>
      <c r="DZ364" s="2" t="n">
        <v>100</v>
      </c>
      <c r="EA364" s="2" t="n">
        <v>0</v>
      </c>
      <c r="EB364" s="2" t="n">
        <v>100</v>
      </c>
      <c r="EC364" s="2" t="n">
        <v>100</v>
      </c>
      <c r="ED364" s="2" t="n">
        <v>0</v>
      </c>
      <c r="EE364" s="2" t="n">
        <v>100</v>
      </c>
      <c r="EF364" s="2" t="n">
        <v>100</v>
      </c>
      <c r="EG364" s="2" t="n">
        <v>0</v>
      </c>
      <c r="EH364" s="2" t="n">
        <v>100</v>
      </c>
      <c r="EI364" s="2" t="n">
        <v>100</v>
      </c>
      <c r="EJ364" s="2" t="n">
        <v>0</v>
      </c>
      <c r="EK364" s="2" t="n">
        <v>100</v>
      </c>
      <c r="EL364" s="2" t="n">
        <v>100</v>
      </c>
      <c r="EM364" s="2" t="n">
        <v>0</v>
      </c>
      <c r="EN364" s="2" t="n">
        <v>100</v>
      </c>
      <c r="EO364" s="2" t="n">
        <v>100</v>
      </c>
      <c r="EP364" s="2" t="n">
        <v>0</v>
      </c>
      <c r="EQ364" s="2" t="n">
        <v>100</v>
      </c>
      <c r="ER364" s="2" t="n">
        <v>100</v>
      </c>
      <c r="ES364" s="2" t="n">
        <v>0</v>
      </c>
    </row>
    <row r="365">
      <c r="A365" s="2" t="n">
        <v>4</v>
      </c>
      <c r="B365" s="2" t="inlineStr">
        <is>
          <t>18.01.02.01</t>
        </is>
      </c>
      <c r="C365" s="2" t="inlineStr">
        <is>
          <t>Demarcação de alvenaria de vedação com blocos cerâmicos  esp. 14cm</t>
        </is>
      </c>
      <c r="D365" s="2" t="inlineStr">
        <is>
          <t>16/03/2027</t>
        </is>
      </c>
      <c r="E365" s="2" t="inlineStr">
        <is>
          <t>04/05/2028</t>
        </is>
      </c>
      <c r="F365" s="2" t="n">
        <v>21820.649410512</v>
      </c>
      <c r="G365" s="2" t="n">
        <v>0</v>
      </c>
      <c r="H365" s="2" t="n">
        <v>21820.649410512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  <c r="AN365" s="2" t="n">
        <v>0</v>
      </c>
      <c r="AO365" s="2" t="n">
        <v>0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n">
        <v>0</v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n">
        <v>0</v>
      </c>
      <c r="BI365" s="2" t="n">
        <v>0</v>
      </c>
      <c r="BJ365" s="2" t="n">
        <v>0</v>
      </c>
      <c r="BK365" s="2" t="n">
        <v>0</v>
      </c>
      <c r="BL365" s="2" t="n">
        <v>0</v>
      </c>
      <c r="BM365" s="2" t="n">
        <v>0</v>
      </c>
      <c r="BN365" s="2" t="n">
        <v>0</v>
      </c>
      <c r="BO365" s="2" t="n">
        <v>0</v>
      </c>
      <c r="BP365" s="2" t="n">
        <v>0</v>
      </c>
      <c r="BQ365" s="2" t="n">
        <v>0</v>
      </c>
      <c r="BR365" s="2" t="n">
        <v>0</v>
      </c>
      <c r="BS365" s="2" t="n">
        <v>0</v>
      </c>
      <c r="BT365" s="2" t="n">
        <v>1.58</v>
      </c>
      <c r="BU365" s="2" t="n">
        <v>2.89</v>
      </c>
      <c r="BV365" s="2" t="n">
        <v>0</v>
      </c>
      <c r="BW365" s="2" t="n">
        <v>7.09</v>
      </c>
      <c r="BX365" s="2" t="n">
        <v>10.52</v>
      </c>
      <c r="BY365" s="2" t="n">
        <v>0</v>
      </c>
      <c r="BZ365" s="2" t="n">
        <v>18.31</v>
      </c>
      <c r="CA365" s="2" t="n">
        <v>22.87</v>
      </c>
      <c r="CB365" s="2" t="n">
        <v>0</v>
      </c>
      <c r="CC365" s="2" t="n">
        <v>33.02</v>
      </c>
      <c r="CD365" s="2" t="n">
        <v>37.18</v>
      </c>
      <c r="CE365" s="2" t="n">
        <v>0</v>
      </c>
      <c r="CF365" s="2" t="n">
        <v>42.74</v>
      </c>
      <c r="CG365" s="2" t="n">
        <v>46.92</v>
      </c>
      <c r="CH365" s="2" t="n">
        <v>0</v>
      </c>
      <c r="CI365" s="2" t="n">
        <v>52.53</v>
      </c>
      <c r="CJ365" s="2" t="n">
        <v>56.7</v>
      </c>
      <c r="CK365" s="2" t="n">
        <v>0</v>
      </c>
      <c r="CL365" s="2" t="n">
        <v>61.5</v>
      </c>
      <c r="CM365" s="2" t="n">
        <v>65.65000000000001</v>
      </c>
      <c r="CN365" s="2" t="n">
        <v>0</v>
      </c>
      <c r="CO365" s="2" t="n">
        <v>69.90000000000001</v>
      </c>
      <c r="CP365" s="2" t="n">
        <v>74.06</v>
      </c>
      <c r="CQ365" s="2" t="n">
        <v>0</v>
      </c>
      <c r="CR365" s="2" t="n">
        <v>78.81</v>
      </c>
      <c r="CS365" s="2" t="n">
        <v>82.95</v>
      </c>
      <c r="CT365" s="2" t="n">
        <v>0</v>
      </c>
      <c r="CU365" s="2" t="n">
        <v>85.27</v>
      </c>
      <c r="CV365" s="2" t="n">
        <v>89.28</v>
      </c>
      <c r="CW365" s="2" t="n">
        <v>0</v>
      </c>
      <c r="CX365" s="2" t="n">
        <v>93.92</v>
      </c>
      <c r="CY365" s="2" t="n">
        <v>96.45</v>
      </c>
      <c r="CZ365" s="2" t="n">
        <v>0</v>
      </c>
      <c r="DA365" s="2" t="n">
        <v>96.98</v>
      </c>
      <c r="DB365" s="2" t="n">
        <v>96.98</v>
      </c>
      <c r="DC365" s="2" t="n">
        <v>0</v>
      </c>
      <c r="DD365" s="2" t="n">
        <v>97.51000000000001</v>
      </c>
      <c r="DE365" s="2" t="n">
        <v>98.98</v>
      </c>
      <c r="DF365" s="2" t="n">
        <v>0</v>
      </c>
      <c r="DG365" s="2" t="n">
        <v>99.61</v>
      </c>
      <c r="DH365" s="2" t="n">
        <v>99.92</v>
      </c>
      <c r="DI365" s="2" t="n">
        <v>0</v>
      </c>
      <c r="DJ365" s="2" t="n">
        <v>100</v>
      </c>
      <c r="DK365" s="2" t="n">
        <v>100</v>
      </c>
      <c r="DL365" s="2" t="n">
        <v>0</v>
      </c>
      <c r="DM365" s="2" t="n">
        <v>100</v>
      </c>
      <c r="DN365" s="2" t="n">
        <v>100</v>
      </c>
      <c r="DO365" s="2" t="n">
        <v>0</v>
      </c>
      <c r="DP365" s="2" t="n">
        <v>100</v>
      </c>
      <c r="DQ365" s="2" t="n">
        <v>100</v>
      </c>
      <c r="DR365" s="2" t="n">
        <v>0</v>
      </c>
      <c r="DS365" s="2" t="n">
        <v>100</v>
      </c>
      <c r="DT365" s="2" t="n">
        <v>100</v>
      </c>
      <c r="DU365" s="2" t="n">
        <v>0</v>
      </c>
      <c r="DV365" s="2" t="n">
        <v>100</v>
      </c>
      <c r="DW365" s="2" t="n">
        <v>100</v>
      </c>
      <c r="DX365" s="2" t="n">
        <v>0</v>
      </c>
      <c r="DY365" s="2" t="n">
        <v>100</v>
      </c>
      <c r="DZ365" s="2" t="n">
        <v>100</v>
      </c>
      <c r="EA365" s="2" t="n">
        <v>0</v>
      </c>
      <c r="EB365" s="2" t="n">
        <v>100</v>
      </c>
      <c r="EC365" s="2" t="n">
        <v>100</v>
      </c>
      <c r="ED365" s="2" t="n">
        <v>0</v>
      </c>
      <c r="EE365" s="2" t="n">
        <v>100</v>
      </c>
      <c r="EF365" s="2" t="n">
        <v>100</v>
      </c>
      <c r="EG365" s="2" t="n">
        <v>0</v>
      </c>
      <c r="EH365" s="2" t="n">
        <v>100</v>
      </c>
      <c r="EI365" s="2" t="n">
        <v>100</v>
      </c>
      <c r="EJ365" s="2" t="n">
        <v>0</v>
      </c>
      <c r="EK365" s="2" t="n">
        <v>100</v>
      </c>
      <c r="EL365" s="2" t="n">
        <v>100</v>
      </c>
      <c r="EM365" s="2" t="n">
        <v>0</v>
      </c>
      <c r="EN365" s="2" t="n">
        <v>100</v>
      </c>
      <c r="EO365" s="2" t="n">
        <v>100</v>
      </c>
      <c r="EP365" s="2" t="n">
        <v>0</v>
      </c>
      <c r="EQ365" s="2" t="n">
        <v>100</v>
      </c>
      <c r="ER365" s="2" t="n">
        <v>100</v>
      </c>
      <c r="ES365" s="2" t="n">
        <v>0</v>
      </c>
    </row>
    <row r="366">
      <c r="A366" s="2" t="n">
        <v>4</v>
      </c>
      <c r="B366" s="2" t="inlineStr">
        <is>
          <t>18.01.02.02</t>
        </is>
      </c>
      <c r="C366" s="2" t="inlineStr">
        <is>
          <t>Alvenaria de vedação com blocos cerâmicos esp. 14m</t>
        </is>
      </c>
      <c r="D366" s="2" t="inlineStr">
        <is>
          <t>16/03/2027</t>
        </is>
      </c>
      <c r="E366" s="2" t="inlineStr">
        <is>
          <t>04/05/2028</t>
        </is>
      </c>
      <c r="F366" s="2" t="n">
        <v>198408.096166016</v>
      </c>
      <c r="G366" s="2" t="n">
        <v>0</v>
      </c>
      <c r="H366" s="2" t="n">
        <v>198408.096166016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0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n">
        <v>0</v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n">
        <v>0</v>
      </c>
      <c r="BI366" s="2" t="n">
        <v>0</v>
      </c>
      <c r="BJ366" s="2" t="n">
        <v>0</v>
      </c>
      <c r="BK366" s="2" t="n">
        <v>0</v>
      </c>
      <c r="BL366" s="2" t="n">
        <v>0</v>
      </c>
      <c r="BM366" s="2" t="n">
        <v>0</v>
      </c>
      <c r="BN366" s="2" t="n">
        <v>0</v>
      </c>
      <c r="BO366" s="2" t="n">
        <v>0</v>
      </c>
      <c r="BP366" s="2" t="n">
        <v>0</v>
      </c>
      <c r="BQ366" s="2" t="n">
        <v>0</v>
      </c>
      <c r="BR366" s="2" t="n">
        <v>0</v>
      </c>
      <c r="BS366" s="2" t="n">
        <v>0</v>
      </c>
      <c r="BT366" s="2" t="n">
        <v>1.58</v>
      </c>
      <c r="BU366" s="2" t="n">
        <v>2.89</v>
      </c>
      <c r="BV366" s="2" t="n">
        <v>0</v>
      </c>
      <c r="BW366" s="2" t="n">
        <v>7.09</v>
      </c>
      <c r="BX366" s="2" t="n">
        <v>10.52</v>
      </c>
      <c r="BY366" s="2" t="n">
        <v>0</v>
      </c>
      <c r="BZ366" s="2" t="n">
        <v>18.31</v>
      </c>
      <c r="CA366" s="2" t="n">
        <v>22.87</v>
      </c>
      <c r="CB366" s="2" t="n">
        <v>0</v>
      </c>
      <c r="CC366" s="2" t="n">
        <v>33.02</v>
      </c>
      <c r="CD366" s="2" t="n">
        <v>37.18</v>
      </c>
      <c r="CE366" s="2" t="n">
        <v>0</v>
      </c>
      <c r="CF366" s="2" t="n">
        <v>42.74</v>
      </c>
      <c r="CG366" s="2" t="n">
        <v>46.92</v>
      </c>
      <c r="CH366" s="2" t="n">
        <v>0</v>
      </c>
      <c r="CI366" s="2" t="n">
        <v>52.53</v>
      </c>
      <c r="CJ366" s="2" t="n">
        <v>56.7</v>
      </c>
      <c r="CK366" s="2" t="n">
        <v>0</v>
      </c>
      <c r="CL366" s="2" t="n">
        <v>61.5</v>
      </c>
      <c r="CM366" s="2" t="n">
        <v>65.65000000000001</v>
      </c>
      <c r="CN366" s="2" t="n">
        <v>0</v>
      </c>
      <c r="CO366" s="2" t="n">
        <v>69.90000000000001</v>
      </c>
      <c r="CP366" s="2" t="n">
        <v>74.06</v>
      </c>
      <c r="CQ366" s="2" t="n">
        <v>0</v>
      </c>
      <c r="CR366" s="2" t="n">
        <v>78.81</v>
      </c>
      <c r="CS366" s="2" t="n">
        <v>82.95</v>
      </c>
      <c r="CT366" s="2" t="n">
        <v>0</v>
      </c>
      <c r="CU366" s="2" t="n">
        <v>85.27</v>
      </c>
      <c r="CV366" s="2" t="n">
        <v>89.28</v>
      </c>
      <c r="CW366" s="2" t="n">
        <v>0</v>
      </c>
      <c r="CX366" s="2" t="n">
        <v>93.92</v>
      </c>
      <c r="CY366" s="2" t="n">
        <v>96.45</v>
      </c>
      <c r="CZ366" s="2" t="n">
        <v>0</v>
      </c>
      <c r="DA366" s="2" t="n">
        <v>96.98</v>
      </c>
      <c r="DB366" s="2" t="n">
        <v>96.98</v>
      </c>
      <c r="DC366" s="2" t="n">
        <v>0</v>
      </c>
      <c r="DD366" s="2" t="n">
        <v>97.51000000000001</v>
      </c>
      <c r="DE366" s="2" t="n">
        <v>98.98</v>
      </c>
      <c r="DF366" s="2" t="n">
        <v>0</v>
      </c>
      <c r="DG366" s="2" t="n">
        <v>99.61</v>
      </c>
      <c r="DH366" s="2" t="n">
        <v>99.92</v>
      </c>
      <c r="DI366" s="2" t="n">
        <v>0</v>
      </c>
      <c r="DJ366" s="2" t="n">
        <v>100</v>
      </c>
      <c r="DK366" s="2" t="n">
        <v>100</v>
      </c>
      <c r="DL366" s="2" t="n">
        <v>0</v>
      </c>
      <c r="DM366" s="2" t="n">
        <v>100</v>
      </c>
      <c r="DN366" s="2" t="n">
        <v>100</v>
      </c>
      <c r="DO366" s="2" t="n">
        <v>0</v>
      </c>
      <c r="DP366" s="2" t="n">
        <v>100</v>
      </c>
      <c r="DQ366" s="2" t="n">
        <v>100</v>
      </c>
      <c r="DR366" s="2" t="n">
        <v>0</v>
      </c>
      <c r="DS366" s="2" t="n">
        <v>100</v>
      </c>
      <c r="DT366" s="2" t="n">
        <v>100</v>
      </c>
      <c r="DU366" s="2" t="n">
        <v>0</v>
      </c>
      <c r="DV366" s="2" t="n">
        <v>100</v>
      </c>
      <c r="DW366" s="2" t="n">
        <v>100</v>
      </c>
      <c r="DX366" s="2" t="n">
        <v>0</v>
      </c>
      <c r="DY366" s="2" t="n">
        <v>100</v>
      </c>
      <c r="DZ366" s="2" t="n">
        <v>100</v>
      </c>
      <c r="EA366" s="2" t="n">
        <v>0</v>
      </c>
      <c r="EB366" s="2" t="n">
        <v>100</v>
      </c>
      <c r="EC366" s="2" t="n">
        <v>100</v>
      </c>
      <c r="ED366" s="2" t="n">
        <v>0</v>
      </c>
      <c r="EE366" s="2" t="n">
        <v>100</v>
      </c>
      <c r="EF366" s="2" t="n">
        <v>100</v>
      </c>
      <c r="EG366" s="2" t="n">
        <v>0</v>
      </c>
      <c r="EH366" s="2" t="n">
        <v>100</v>
      </c>
      <c r="EI366" s="2" t="n">
        <v>100</v>
      </c>
      <c r="EJ366" s="2" t="n">
        <v>0</v>
      </c>
      <c r="EK366" s="2" t="n">
        <v>100</v>
      </c>
      <c r="EL366" s="2" t="n">
        <v>100</v>
      </c>
      <c r="EM366" s="2" t="n">
        <v>0</v>
      </c>
      <c r="EN366" s="2" t="n">
        <v>100</v>
      </c>
      <c r="EO366" s="2" t="n">
        <v>100</v>
      </c>
      <c r="EP366" s="2" t="n">
        <v>0</v>
      </c>
      <c r="EQ366" s="2" t="n">
        <v>100</v>
      </c>
      <c r="ER366" s="2" t="n">
        <v>100</v>
      </c>
      <c r="ES366" s="2" t="n">
        <v>0</v>
      </c>
    </row>
    <row r="367">
      <c r="A367" s="2" t="n">
        <v>4</v>
      </c>
      <c r="B367" s="2" t="inlineStr">
        <is>
          <t>18.01.02.03</t>
        </is>
      </c>
      <c r="C367" s="2" t="inlineStr">
        <is>
          <t>Encunhamento com espuma expansiva de poliuretano</t>
        </is>
      </c>
      <c r="D367" s="2" t="inlineStr">
        <is>
          <t>16/03/2027</t>
        </is>
      </c>
      <c r="E367" s="2" t="inlineStr">
        <is>
          <t>04/05/2028</t>
        </is>
      </c>
      <c r="F367" s="2" t="n">
        <v>6431.084154420401</v>
      </c>
      <c r="G367" s="2" t="n">
        <v>0</v>
      </c>
      <c r="H367" s="2" t="n">
        <v>6431.084154420401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  <c r="AN367" s="2" t="n">
        <v>0</v>
      </c>
      <c r="AO367" s="2" t="n">
        <v>0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n">
        <v>0</v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n">
        <v>0</v>
      </c>
      <c r="BI367" s="2" t="n">
        <v>0</v>
      </c>
      <c r="BJ367" s="2" t="n">
        <v>0</v>
      </c>
      <c r="BK367" s="2" t="n">
        <v>0</v>
      </c>
      <c r="BL367" s="2" t="n">
        <v>0</v>
      </c>
      <c r="BM367" s="2" t="n">
        <v>0</v>
      </c>
      <c r="BN367" s="2" t="n">
        <v>0</v>
      </c>
      <c r="BO367" s="2" t="n">
        <v>0</v>
      </c>
      <c r="BP367" s="2" t="n">
        <v>0</v>
      </c>
      <c r="BQ367" s="2" t="n">
        <v>0</v>
      </c>
      <c r="BR367" s="2" t="n">
        <v>0</v>
      </c>
      <c r="BS367" s="2" t="n">
        <v>0</v>
      </c>
      <c r="BT367" s="2" t="n">
        <v>1.58</v>
      </c>
      <c r="BU367" s="2" t="n">
        <v>2.89</v>
      </c>
      <c r="BV367" s="2" t="n">
        <v>0</v>
      </c>
      <c r="BW367" s="2" t="n">
        <v>7.09</v>
      </c>
      <c r="BX367" s="2" t="n">
        <v>10.52</v>
      </c>
      <c r="BY367" s="2" t="n">
        <v>0</v>
      </c>
      <c r="BZ367" s="2" t="n">
        <v>18.31</v>
      </c>
      <c r="CA367" s="2" t="n">
        <v>22.87</v>
      </c>
      <c r="CB367" s="2" t="n">
        <v>0</v>
      </c>
      <c r="CC367" s="2" t="n">
        <v>33.02</v>
      </c>
      <c r="CD367" s="2" t="n">
        <v>37.18</v>
      </c>
      <c r="CE367" s="2" t="n">
        <v>0</v>
      </c>
      <c r="CF367" s="2" t="n">
        <v>42.74</v>
      </c>
      <c r="CG367" s="2" t="n">
        <v>46.92</v>
      </c>
      <c r="CH367" s="2" t="n">
        <v>0</v>
      </c>
      <c r="CI367" s="2" t="n">
        <v>52.53</v>
      </c>
      <c r="CJ367" s="2" t="n">
        <v>56.7</v>
      </c>
      <c r="CK367" s="2" t="n">
        <v>0</v>
      </c>
      <c r="CL367" s="2" t="n">
        <v>61.5</v>
      </c>
      <c r="CM367" s="2" t="n">
        <v>65.65000000000001</v>
      </c>
      <c r="CN367" s="2" t="n">
        <v>0</v>
      </c>
      <c r="CO367" s="2" t="n">
        <v>69.90000000000001</v>
      </c>
      <c r="CP367" s="2" t="n">
        <v>74.06</v>
      </c>
      <c r="CQ367" s="2" t="n">
        <v>0</v>
      </c>
      <c r="CR367" s="2" t="n">
        <v>78.81</v>
      </c>
      <c r="CS367" s="2" t="n">
        <v>82.95</v>
      </c>
      <c r="CT367" s="2" t="n">
        <v>0</v>
      </c>
      <c r="CU367" s="2" t="n">
        <v>85.27</v>
      </c>
      <c r="CV367" s="2" t="n">
        <v>89.28</v>
      </c>
      <c r="CW367" s="2" t="n">
        <v>0</v>
      </c>
      <c r="CX367" s="2" t="n">
        <v>93.92</v>
      </c>
      <c r="CY367" s="2" t="n">
        <v>96.45</v>
      </c>
      <c r="CZ367" s="2" t="n">
        <v>0</v>
      </c>
      <c r="DA367" s="2" t="n">
        <v>96.98</v>
      </c>
      <c r="DB367" s="2" t="n">
        <v>96.98</v>
      </c>
      <c r="DC367" s="2" t="n">
        <v>0</v>
      </c>
      <c r="DD367" s="2" t="n">
        <v>97.51000000000001</v>
      </c>
      <c r="DE367" s="2" t="n">
        <v>98.98</v>
      </c>
      <c r="DF367" s="2" t="n">
        <v>0</v>
      </c>
      <c r="DG367" s="2" t="n">
        <v>99.61</v>
      </c>
      <c r="DH367" s="2" t="n">
        <v>99.92</v>
      </c>
      <c r="DI367" s="2" t="n">
        <v>0</v>
      </c>
      <c r="DJ367" s="2" t="n">
        <v>100</v>
      </c>
      <c r="DK367" s="2" t="n">
        <v>100</v>
      </c>
      <c r="DL367" s="2" t="n">
        <v>0</v>
      </c>
      <c r="DM367" s="2" t="n">
        <v>100</v>
      </c>
      <c r="DN367" s="2" t="n">
        <v>100</v>
      </c>
      <c r="DO367" s="2" t="n">
        <v>0</v>
      </c>
      <c r="DP367" s="2" t="n">
        <v>100</v>
      </c>
      <c r="DQ367" s="2" t="n">
        <v>100</v>
      </c>
      <c r="DR367" s="2" t="n">
        <v>0</v>
      </c>
      <c r="DS367" s="2" t="n">
        <v>100</v>
      </c>
      <c r="DT367" s="2" t="n">
        <v>100</v>
      </c>
      <c r="DU367" s="2" t="n">
        <v>0</v>
      </c>
      <c r="DV367" s="2" t="n">
        <v>100</v>
      </c>
      <c r="DW367" s="2" t="n">
        <v>100</v>
      </c>
      <c r="DX367" s="2" t="n">
        <v>0</v>
      </c>
      <c r="DY367" s="2" t="n">
        <v>100</v>
      </c>
      <c r="DZ367" s="2" t="n">
        <v>100</v>
      </c>
      <c r="EA367" s="2" t="n">
        <v>0</v>
      </c>
      <c r="EB367" s="2" t="n">
        <v>100</v>
      </c>
      <c r="EC367" s="2" t="n">
        <v>100</v>
      </c>
      <c r="ED367" s="2" t="n">
        <v>0</v>
      </c>
      <c r="EE367" s="2" t="n">
        <v>100</v>
      </c>
      <c r="EF367" s="2" t="n">
        <v>100</v>
      </c>
      <c r="EG367" s="2" t="n">
        <v>0</v>
      </c>
      <c r="EH367" s="2" t="n">
        <v>100</v>
      </c>
      <c r="EI367" s="2" t="n">
        <v>100</v>
      </c>
      <c r="EJ367" s="2" t="n">
        <v>0</v>
      </c>
      <c r="EK367" s="2" t="n">
        <v>100</v>
      </c>
      <c r="EL367" s="2" t="n">
        <v>100</v>
      </c>
      <c r="EM367" s="2" t="n">
        <v>0</v>
      </c>
      <c r="EN367" s="2" t="n">
        <v>100</v>
      </c>
      <c r="EO367" s="2" t="n">
        <v>100</v>
      </c>
      <c r="EP367" s="2" t="n">
        <v>0</v>
      </c>
      <c r="EQ367" s="2" t="n">
        <v>100</v>
      </c>
      <c r="ER367" s="2" t="n">
        <v>100</v>
      </c>
      <c r="ES367" s="2" t="n">
        <v>0</v>
      </c>
    </row>
    <row r="368">
      <c r="A368" s="2" t="n">
        <v>4</v>
      </c>
      <c r="B368" s="2" t="inlineStr">
        <is>
          <t>18.01.02.04</t>
        </is>
      </c>
      <c r="C368" s="2" t="inlineStr">
        <is>
          <t>Amarração de Alvenaria</t>
        </is>
      </c>
      <c r="D368" s="2" t="inlineStr">
        <is>
          <t>16/03/2027</t>
        </is>
      </c>
      <c r="E368" s="2" t="inlineStr">
        <is>
          <t>04/05/2028</t>
        </is>
      </c>
      <c r="F368" s="2" t="n">
        <v>7468.814665721433</v>
      </c>
      <c r="G368" s="2" t="n">
        <v>0</v>
      </c>
      <c r="H368" s="2" t="n">
        <v>7468.814665721433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0</v>
      </c>
      <c r="AO368" s="2" t="n">
        <v>0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n">
        <v>0</v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n">
        <v>0</v>
      </c>
      <c r="BI368" s="2" t="n">
        <v>0</v>
      </c>
      <c r="BJ368" s="2" t="n">
        <v>0</v>
      </c>
      <c r="BK368" s="2" t="n">
        <v>0</v>
      </c>
      <c r="BL368" s="2" t="n">
        <v>0</v>
      </c>
      <c r="BM368" s="2" t="n">
        <v>0</v>
      </c>
      <c r="BN368" s="2" t="n">
        <v>0</v>
      </c>
      <c r="BO368" s="2" t="n">
        <v>0</v>
      </c>
      <c r="BP368" s="2" t="n">
        <v>0</v>
      </c>
      <c r="BQ368" s="2" t="n">
        <v>0</v>
      </c>
      <c r="BR368" s="2" t="n">
        <v>0</v>
      </c>
      <c r="BS368" s="2" t="n">
        <v>0</v>
      </c>
      <c r="BT368" s="2" t="n">
        <v>1.58</v>
      </c>
      <c r="BU368" s="2" t="n">
        <v>2.89</v>
      </c>
      <c r="BV368" s="2" t="n">
        <v>0</v>
      </c>
      <c r="BW368" s="2" t="n">
        <v>7.09</v>
      </c>
      <c r="BX368" s="2" t="n">
        <v>10.52</v>
      </c>
      <c r="BY368" s="2" t="n">
        <v>0</v>
      </c>
      <c r="BZ368" s="2" t="n">
        <v>18.31</v>
      </c>
      <c r="CA368" s="2" t="n">
        <v>22.87</v>
      </c>
      <c r="CB368" s="2" t="n">
        <v>0</v>
      </c>
      <c r="CC368" s="2" t="n">
        <v>33.02</v>
      </c>
      <c r="CD368" s="2" t="n">
        <v>37.18</v>
      </c>
      <c r="CE368" s="2" t="n">
        <v>0</v>
      </c>
      <c r="CF368" s="2" t="n">
        <v>42.74</v>
      </c>
      <c r="CG368" s="2" t="n">
        <v>46.92</v>
      </c>
      <c r="CH368" s="2" t="n">
        <v>0</v>
      </c>
      <c r="CI368" s="2" t="n">
        <v>52.53</v>
      </c>
      <c r="CJ368" s="2" t="n">
        <v>56.7</v>
      </c>
      <c r="CK368" s="2" t="n">
        <v>0</v>
      </c>
      <c r="CL368" s="2" t="n">
        <v>61.5</v>
      </c>
      <c r="CM368" s="2" t="n">
        <v>65.65000000000001</v>
      </c>
      <c r="CN368" s="2" t="n">
        <v>0</v>
      </c>
      <c r="CO368" s="2" t="n">
        <v>69.90000000000001</v>
      </c>
      <c r="CP368" s="2" t="n">
        <v>74.06</v>
      </c>
      <c r="CQ368" s="2" t="n">
        <v>0</v>
      </c>
      <c r="CR368" s="2" t="n">
        <v>78.81</v>
      </c>
      <c r="CS368" s="2" t="n">
        <v>82.95</v>
      </c>
      <c r="CT368" s="2" t="n">
        <v>0</v>
      </c>
      <c r="CU368" s="2" t="n">
        <v>85.27</v>
      </c>
      <c r="CV368" s="2" t="n">
        <v>89.28</v>
      </c>
      <c r="CW368" s="2" t="n">
        <v>0</v>
      </c>
      <c r="CX368" s="2" t="n">
        <v>93.92</v>
      </c>
      <c r="CY368" s="2" t="n">
        <v>96.45</v>
      </c>
      <c r="CZ368" s="2" t="n">
        <v>0</v>
      </c>
      <c r="DA368" s="2" t="n">
        <v>96.98</v>
      </c>
      <c r="DB368" s="2" t="n">
        <v>96.98</v>
      </c>
      <c r="DC368" s="2" t="n">
        <v>0</v>
      </c>
      <c r="DD368" s="2" t="n">
        <v>97.51000000000001</v>
      </c>
      <c r="DE368" s="2" t="n">
        <v>98.98</v>
      </c>
      <c r="DF368" s="2" t="n">
        <v>0</v>
      </c>
      <c r="DG368" s="2" t="n">
        <v>99.61</v>
      </c>
      <c r="DH368" s="2" t="n">
        <v>99.92</v>
      </c>
      <c r="DI368" s="2" t="n">
        <v>0</v>
      </c>
      <c r="DJ368" s="2" t="n">
        <v>100</v>
      </c>
      <c r="DK368" s="2" t="n">
        <v>100</v>
      </c>
      <c r="DL368" s="2" t="n">
        <v>0</v>
      </c>
      <c r="DM368" s="2" t="n">
        <v>100</v>
      </c>
      <c r="DN368" s="2" t="n">
        <v>100</v>
      </c>
      <c r="DO368" s="2" t="n">
        <v>0</v>
      </c>
      <c r="DP368" s="2" t="n">
        <v>100</v>
      </c>
      <c r="DQ368" s="2" t="n">
        <v>100</v>
      </c>
      <c r="DR368" s="2" t="n">
        <v>0</v>
      </c>
      <c r="DS368" s="2" t="n">
        <v>100</v>
      </c>
      <c r="DT368" s="2" t="n">
        <v>100</v>
      </c>
      <c r="DU368" s="2" t="n">
        <v>0</v>
      </c>
      <c r="DV368" s="2" t="n">
        <v>100</v>
      </c>
      <c r="DW368" s="2" t="n">
        <v>100</v>
      </c>
      <c r="DX368" s="2" t="n">
        <v>0</v>
      </c>
      <c r="DY368" s="2" t="n">
        <v>100</v>
      </c>
      <c r="DZ368" s="2" t="n">
        <v>100</v>
      </c>
      <c r="EA368" s="2" t="n">
        <v>0</v>
      </c>
      <c r="EB368" s="2" t="n">
        <v>100</v>
      </c>
      <c r="EC368" s="2" t="n">
        <v>100</v>
      </c>
      <c r="ED368" s="2" t="n">
        <v>0</v>
      </c>
      <c r="EE368" s="2" t="n">
        <v>100</v>
      </c>
      <c r="EF368" s="2" t="n">
        <v>100</v>
      </c>
      <c r="EG368" s="2" t="n">
        <v>0</v>
      </c>
      <c r="EH368" s="2" t="n">
        <v>100</v>
      </c>
      <c r="EI368" s="2" t="n">
        <v>100</v>
      </c>
      <c r="EJ368" s="2" t="n">
        <v>0</v>
      </c>
      <c r="EK368" s="2" t="n">
        <v>100</v>
      </c>
      <c r="EL368" s="2" t="n">
        <v>100</v>
      </c>
      <c r="EM368" s="2" t="n">
        <v>0</v>
      </c>
      <c r="EN368" s="2" t="n">
        <v>100</v>
      </c>
      <c r="EO368" s="2" t="n">
        <v>100</v>
      </c>
      <c r="EP368" s="2" t="n">
        <v>0</v>
      </c>
      <c r="EQ368" s="2" t="n">
        <v>100</v>
      </c>
      <c r="ER368" s="2" t="n">
        <v>100</v>
      </c>
      <c r="ES368" s="2" t="n">
        <v>0</v>
      </c>
    </row>
    <row r="369">
      <c r="A369" s="2" t="n">
        <v>3</v>
      </c>
      <c r="B369" s="2" t="inlineStr">
        <is>
          <t>18.01.03</t>
        </is>
      </c>
      <c r="C369" s="2" t="inlineStr">
        <is>
          <t>Esp. 19cm</t>
        </is>
      </c>
      <c r="D369" s="2" t="inlineStr">
        <is>
          <t>16/03/2027</t>
        </is>
      </c>
      <c r="E369" s="2" t="inlineStr">
        <is>
          <t>04/05/2028</t>
        </is>
      </c>
      <c r="F369" s="2" t="n">
        <v>1327127.092806611</v>
      </c>
      <c r="G369" s="2" t="n">
        <v>0</v>
      </c>
      <c r="H369" s="2" t="n">
        <v>1327127.092806611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  <c r="AN369" s="2" t="n">
        <v>0</v>
      </c>
      <c r="AO369" s="2" t="n">
        <v>0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n">
        <v>0</v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n">
        <v>0</v>
      </c>
      <c r="BI369" s="2" t="n">
        <v>0</v>
      </c>
      <c r="BJ369" s="2" t="n">
        <v>0</v>
      </c>
      <c r="BK369" s="2" t="n">
        <v>0</v>
      </c>
      <c r="BL369" s="2" t="n">
        <v>0</v>
      </c>
      <c r="BM369" s="2" t="n">
        <v>0</v>
      </c>
      <c r="BN369" s="2" t="n">
        <v>0</v>
      </c>
      <c r="BO369" s="2" t="n">
        <v>0</v>
      </c>
      <c r="BP369" s="2" t="n">
        <v>0</v>
      </c>
      <c r="BQ369" s="2" t="n">
        <v>0</v>
      </c>
      <c r="BR369" s="2" t="n">
        <v>0</v>
      </c>
      <c r="BS369" s="2" t="n">
        <v>0</v>
      </c>
      <c r="BT369" s="2" t="n">
        <v>1.58</v>
      </c>
      <c r="BU369" s="2" t="n">
        <v>2.89</v>
      </c>
      <c r="BV369" s="2" t="n">
        <v>0</v>
      </c>
      <c r="BW369" s="2" t="n">
        <v>7.09</v>
      </c>
      <c r="BX369" s="2" t="n">
        <v>10.52</v>
      </c>
      <c r="BY369" s="2" t="n">
        <v>0</v>
      </c>
      <c r="BZ369" s="2" t="n">
        <v>18.31</v>
      </c>
      <c r="CA369" s="2" t="n">
        <v>22.87</v>
      </c>
      <c r="CB369" s="2" t="n">
        <v>0</v>
      </c>
      <c r="CC369" s="2" t="n">
        <v>33.02</v>
      </c>
      <c r="CD369" s="2" t="n">
        <v>37.18</v>
      </c>
      <c r="CE369" s="2" t="n">
        <v>0</v>
      </c>
      <c r="CF369" s="2" t="n">
        <v>42.74</v>
      </c>
      <c r="CG369" s="2" t="n">
        <v>46.92</v>
      </c>
      <c r="CH369" s="2" t="n">
        <v>0</v>
      </c>
      <c r="CI369" s="2" t="n">
        <v>52.53</v>
      </c>
      <c r="CJ369" s="2" t="n">
        <v>56.7</v>
      </c>
      <c r="CK369" s="2" t="n">
        <v>0</v>
      </c>
      <c r="CL369" s="2" t="n">
        <v>61.5</v>
      </c>
      <c r="CM369" s="2" t="n">
        <v>65.65000000000001</v>
      </c>
      <c r="CN369" s="2" t="n">
        <v>0</v>
      </c>
      <c r="CO369" s="2" t="n">
        <v>69.90000000000001</v>
      </c>
      <c r="CP369" s="2" t="n">
        <v>74.06</v>
      </c>
      <c r="CQ369" s="2" t="n">
        <v>0</v>
      </c>
      <c r="CR369" s="2" t="n">
        <v>78.81</v>
      </c>
      <c r="CS369" s="2" t="n">
        <v>82.95</v>
      </c>
      <c r="CT369" s="2" t="n">
        <v>0</v>
      </c>
      <c r="CU369" s="2" t="n">
        <v>85.27</v>
      </c>
      <c r="CV369" s="2" t="n">
        <v>89.28</v>
      </c>
      <c r="CW369" s="2" t="n">
        <v>0</v>
      </c>
      <c r="CX369" s="2" t="n">
        <v>93.92</v>
      </c>
      <c r="CY369" s="2" t="n">
        <v>96.45</v>
      </c>
      <c r="CZ369" s="2" t="n">
        <v>0</v>
      </c>
      <c r="DA369" s="2" t="n">
        <v>96.98</v>
      </c>
      <c r="DB369" s="2" t="n">
        <v>96.98</v>
      </c>
      <c r="DC369" s="2" t="n">
        <v>0</v>
      </c>
      <c r="DD369" s="2" t="n">
        <v>97.51000000000001</v>
      </c>
      <c r="DE369" s="2" t="n">
        <v>98.98</v>
      </c>
      <c r="DF369" s="2" t="n">
        <v>0</v>
      </c>
      <c r="DG369" s="2" t="n">
        <v>99.61</v>
      </c>
      <c r="DH369" s="2" t="n">
        <v>99.92</v>
      </c>
      <c r="DI369" s="2" t="n">
        <v>0</v>
      </c>
      <c r="DJ369" s="2" t="n">
        <v>100</v>
      </c>
      <c r="DK369" s="2" t="n">
        <v>100</v>
      </c>
      <c r="DL369" s="2" t="n">
        <v>0</v>
      </c>
      <c r="DM369" s="2" t="n">
        <v>100</v>
      </c>
      <c r="DN369" s="2" t="n">
        <v>100</v>
      </c>
      <c r="DO369" s="2" t="n">
        <v>0</v>
      </c>
      <c r="DP369" s="2" t="n">
        <v>100</v>
      </c>
      <c r="DQ369" s="2" t="n">
        <v>100</v>
      </c>
      <c r="DR369" s="2" t="n">
        <v>0</v>
      </c>
      <c r="DS369" s="2" t="n">
        <v>100</v>
      </c>
      <c r="DT369" s="2" t="n">
        <v>100</v>
      </c>
      <c r="DU369" s="2" t="n">
        <v>0</v>
      </c>
      <c r="DV369" s="2" t="n">
        <v>100</v>
      </c>
      <c r="DW369" s="2" t="n">
        <v>100</v>
      </c>
      <c r="DX369" s="2" t="n">
        <v>0</v>
      </c>
      <c r="DY369" s="2" t="n">
        <v>100</v>
      </c>
      <c r="DZ369" s="2" t="n">
        <v>100</v>
      </c>
      <c r="EA369" s="2" t="n">
        <v>0</v>
      </c>
      <c r="EB369" s="2" t="n">
        <v>100</v>
      </c>
      <c r="EC369" s="2" t="n">
        <v>100</v>
      </c>
      <c r="ED369" s="2" t="n">
        <v>0</v>
      </c>
      <c r="EE369" s="2" t="n">
        <v>100</v>
      </c>
      <c r="EF369" s="2" t="n">
        <v>100</v>
      </c>
      <c r="EG369" s="2" t="n">
        <v>0</v>
      </c>
      <c r="EH369" s="2" t="n">
        <v>100</v>
      </c>
      <c r="EI369" s="2" t="n">
        <v>100</v>
      </c>
      <c r="EJ369" s="2" t="n">
        <v>0</v>
      </c>
      <c r="EK369" s="2" t="n">
        <v>100</v>
      </c>
      <c r="EL369" s="2" t="n">
        <v>100</v>
      </c>
      <c r="EM369" s="2" t="n">
        <v>0</v>
      </c>
      <c r="EN369" s="2" t="n">
        <v>100</v>
      </c>
      <c r="EO369" s="2" t="n">
        <v>100</v>
      </c>
      <c r="EP369" s="2" t="n">
        <v>0</v>
      </c>
      <c r="EQ369" s="2" t="n">
        <v>100</v>
      </c>
      <c r="ER369" s="2" t="n">
        <v>100</v>
      </c>
      <c r="ES369" s="2" t="n">
        <v>0</v>
      </c>
    </row>
    <row r="370">
      <c r="A370" s="2" t="n">
        <v>4</v>
      </c>
      <c r="B370" s="2" t="inlineStr">
        <is>
          <t>18.01.03.01</t>
        </is>
      </c>
      <c r="C370" s="2" t="inlineStr">
        <is>
          <t>Demarcação de alvenaria de vedação com blocos cerâmicos esp.19cm</t>
        </is>
      </c>
      <c r="D370" s="2" t="inlineStr">
        <is>
          <t>16/03/2027</t>
        </is>
      </c>
      <c r="E370" s="2" t="inlineStr">
        <is>
          <t>04/05/2028</t>
        </is>
      </c>
      <c r="F370" s="2" t="n">
        <v>99312.8250475152</v>
      </c>
      <c r="G370" s="2" t="n">
        <v>0</v>
      </c>
      <c r="H370" s="2" t="n">
        <v>99312.8250475152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0</v>
      </c>
      <c r="AM370" s="2" t="n">
        <v>0</v>
      </c>
      <c r="AN370" s="2" t="n">
        <v>0</v>
      </c>
      <c r="AO370" s="2" t="n">
        <v>0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n">
        <v>0</v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n">
        <v>0</v>
      </c>
      <c r="BI370" s="2" t="n">
        <v>0</v>
      </c>
      <c r="BJ370" s="2" t="n">
        <v>0</v>
      </c>
      <c r="BK370" s="2" t="n">
        <v>0</v>
      </c>
      <c r="BL370" s="2" t="n">
        <v>0</v>
      </c>
      <c r="BM370" s="2" t="n">
        <v>0</v>
      </c>
      <c r="BN370" s="2" t="n">
        <v>0</v>
      </c>
      <c r="BO370" s="2" t="n">
        <v>0</v>
      </c>
      <c r="BP370" s="2" t="n">
        <v>0</v>
      </c>
      <c r="BQ370" s="2" t="n">
        <v>0</v>
      </c>
      <c r="BR370" s="2" t="n">
        <v>0</v>
      </c>
      <c r="BS370" s="2" t="n">
        <v>0</v>
      </c>
      <c r="BT370" s="2" t="n">
        <v>1.58</v>
      </c>
      <c r="BU370" s="2" t="n">
        <v>2.89</v>
      </c>
      <c r="BV370" s="2" t="n">
        <v>0</v>
      </c>
      <c r="BW370" s="2" t="n">
        <v>7.09</v>
      </c>
      <c r="BX370" s="2" t="n">
        <v>10.52</v>
      </c>
      <c r="BY370" s="2" t="n">
        <v>0</v>
      </c>
      <c r="BZ370" s="2" t="n">
        <v>18.31</v>
      </c>
      <c r="CA370" s="2" t="n">
        <v>22.87</v>
      </c>
      <c r="CB370" s="2" t="n">
        <v>0</v>
      </c>
      <c r="CC370" s="2" t="n">
        <v>33.02</v>
      </c>
      <c r="CD370" s="2" t="n">
        <v>37.18</v>
      </c>
      <c r="CE370" s="2" t="n">
        <v>0</v>
      </c>
      <c r="CF370" s="2" t="n">
        <v>42.74</v>
      </c>
      <c r="CG370" s="2" t="n">
        <v>46.92</v>
      </c>
      <c r="CH370" s="2" t="n">
        <v>0</v>
      </c>
      <c r="CI370" s="2" t="n">
        <v>52.53</v>
      </c>
      <c r="CJ370" s="2" t="n">
        <v>56.7</v>
      </c>
      <c r="CK370" s="2" t="n">
        <v>0</v>
      </c>
      <c r="CL370" s="2" t="n">
        <v>61.5</v>
      </c>
      <c r="CM370" s="2" t="n">
        <v>65.65000000000001</v>
      </c>
      <c r="CN370" s="2" t="n">
        <v>0</v>
      </c>
      <c r="CO370" s="2" t="n">
        <v>69.90000000000001</v>
      </c>
      <c r="CP370" s="2" t="n">
        <v>74.06</v>
      </c>
      <c r="CQ370" s="2" t="n">
        <v>0</v>
      </c>
      <c r="CR370" s="2" t="n">
        <v>78.81</v>
      </c>
      <c r="CS370" s="2" t="n">
        <v>82.95</v>
      </c>
      <c r="CT370" s="2" t="n">
        <v>0</v>
      </c>
      <c r="CU370" s="2" t="n">
        <v>85.27</v>
      </c>
      <c r="CV370" s="2" t="n">
        <v>89.28</v>
      </c>
      <c r="CW370" s="2" t="n">
        <v>0</v>
      </c>
      <c r="CX370" s="2" t="n">
        <v>93.92</v>
      </c>
      <c r="CY370" s="2" t="n">
        <v>96.45</v>
      </c>
      <c r="CZ370" s="2" t="n">
        <v>0</v>
      </c>
      <c r="DA370" s="2" t="n">
        <v>96.98</v>
      </c>
      <c r="DB370" s="2" t="n">
        <v>96.98</v>
      </c>
      <c r="DC370" s="2" t="n">
        <v>0</v>
      </c>
      <c r="DD370" s="2" t="n">
        <v>97.51000000000001</v>
      </c>
      <c r="DE370" s="2" t="n">
        <v>98.98</v>
      </c>
      <c r="DF370" s="2" t="n">
        <v>0</v>
      </c>
      <c r="DG370" s="2" t="n">
        <v>99.61</v>
      </c>
      <c r="DH370" s="2" t="n">
        <v>99.92</v>
      </c>
      <c r="DI370" s="2" t="n">
        <v>0</v>
      </c>
      <c r="DJ370" s="2" t="n">
        <v>100</v>
      </c>
      <c r="DK370" s="2" t="n">
        <v>100</v>
      </c>
      <c r="DL370" s="2" t="n">
        <v>0</v>
      </c>
      <c r="DM370" s="2" t="n">
        <v>100</v>
      </c>
      <c r="DN370" s="2" t="n">
        <v>100</v>
      </c>
      <c r="DO370" s="2" t="n">
        <v>0</v>
      </c>
      <c r="DP370" s="2" t="n">
        <v>100</v>
      </c>
      <c r="DQ370" s="2" t="n">
        <v>100</v>
      </c>
      <c r="DR370" s="2" t="n">
        <v>0</v>
      </c>
      <c r="DS370" s="2" t="n">
        <v>100</v>
      </c>
      <c r="DT370" s="2" t="n">
        <v>100</v>
      </c>
      <c r="DU370" s="2" t="n">
        <v>0</v>
      </c>
      <c r="DV370" s="2" t="n">
        <v>100</v>
      </c>
      <c r="DW370" s="2" t="n">
        <v>100</v>
      </c>
      <c r="DX370" s="2" t="n">
        <v>0</v>
      </c>
      <c r="DY370" s="2" t="n">
        <v>100</v>
      </c>
      <c r="DZ370" s="2" t="n">
        <v>100</v>
      </c>
      <c r="EA370" s="2" t="n">
        <v>0</v>
      </c>
      <c r="EB370" s="2" t="n">
        <v>100</v>
      </c>
      <c r="EC370" s="2" t="n">
        <v>100</v>
      </c>
      <c r="ED370" s="2" t="n">
        <v>0</v>
      </c>
      <c r="EE370" s="2" t="n">
        <v>100</v>
      </c>
      <c r="EF370" s="2" t="n">
        <v>100</v>
      </c>
      <c r="EG370" s="2" t="n">
        <v>0</v>
      </c>
      <c r="EH370" s="2" t="n">
        <v>100</v>
      </c>
      <c r="EI370" s="2" t="n">
        <v>100</v>
      </c>
      <c r="EJ370" s="2" t="n">
        <v>0</v>
      </c>
      <c r="EK370" s="2" t="n">
        <v>100</v>
      </c>
      <c r="EL370" s="2" t="n">
        <v>100</v>
      </c>
      <c r="EM370" s="2" t="n">
        <v>0</v>
      </c>
      <c r="EN370" s="2" t="n">
        <v>100</v>
      </c>
      <c r="EO370" s="2" t="n">
        <v>100</v>
      </c>
      <c r="EP370" s="2" t="n">
        <v>0</v>
      </c>
      <c r="EQ370" s="2" t="n">
        <v>100</v>
      </c>
      <c r="ER370" s="2" t="n">
        <v>100</v>
      </c>
      <c r="ES370" s="2" t="n">
        <v>0</v>
      </c>
    </row>
    <row r="371">
      <c r="A371" s="2" t="n">
        <v>4</v>
      </c>
      <c r="B371" s="2" t="inlineStr">
        <is>
          <t>18.01.03.02</t>
        </is>
      </c>
      <c r="C371" s="2" t="inlineStr">
        <is>
          <t>Alvenaria de vedação com blocos cerâmicos  esp. 19m</t>
        </is>
      </c>
      <c r="D371" s="2" t="inlineStr">
        <is>
          <t>16/03/2027</t>
        </is>
      </c>
      <c r="E371" s="2" t="inlineStr">
        <is>
          <t>04/05/2028</t>
        </is>
      </c>
      <c r="F371" s="2" t="n">
        <v>1153114.54218716</v>
      </c>
      <c r="G371" s="2" t="n">
        <v>0</v>
      </c>
      <c r="H371" s="2" t="n">
        <v>1153114.54218716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0</v>
      </c>
      <c r="AN371" s="2" t="n">
        <v>0</v>
      </c>
      <c r="AO371" s="2" t="n">
        <v>0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n">
        <v>0</v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n">
        <v>0</v>
      </c>
      <c r="BI371" s="2" t="n">
        <v>0</v>
      </c>
      <c r="BJ371" s="2" t="n">
        <v>0</v>
      </c>
      <c r="BK371" s="2" t="n">
        <v>0</v>
      </c>
      <c r="BL371" s="2" t="n">
        <v>0</v>
      </c>
      <c r="BM371" s="2" t="n">
        <v>0</v>
      </c>
      <c r="BN371" s="2" t="n">
        <v>0</v>
      </c>
      <c r="BO371" s="2" t="n">
        <v>0</v>
      </c>
      <c r="BP371" s="2" t="n">
        <v>0</v>
      </c>
      <c r="BQ371" s="2" t="n">
        <v>0</v>
      </c>
      <c r="BR371" s="2" t="n">
        <v>0</v>
      </c>
      <c r="BS371" s="2" t="n">
        <v>0</v>
      </c>
      <c r="BT371" s="2" t="n">
        <v>1.58</v>
      </c>
      <c r="BU371" s="2" t="n">
        <v>2.89</v>
      </c>
      <c r="BV371" s="2" t="n">
        <v>0</v>
      </c>
      <c r="BW371" s="2" t="n">
        <v>7.09</v>
      </c>
      <c r="BX371" s="2" t="n">
        <v>10.52</v>
      </c>
      <c r="BY371" s="2" t="n">
        <v>0</v>
      </c>
      <c r="BZ371" s="2" t="n">
        <v>18.31</v>
      </c>
      <c r="CA371" s="2" t="n">
        <v>22.87</v>
      </c>
      <c r="CB371" s="2" t="n">
        <v>0</v>
      </c>
      <c r="CC371" s="2" t="n">
        <v>33.02</v>
      </c>
      <c r="CD371" s="2" t="n">
        <v>37.18</v>
      </c>
      <c r="CE371" s="2" t="n">
        <v>0</v>
      </c>
      <c r="CF371" s="2" t="n">
        <v>42.74</v>
      </c>
      <c r="CG371" s="2" t="n">
        <v>46.92</v>
      </c>
      <c r="CH371" s="2" t="n">
        <v>0</v>
      </c>
      <c r="CI371" s="2" t="n">
        <v>52.53</v>
      </c>
      <c r="CJ371" s="2" t="n">
        <v>56.7</v>
      </c>
      <c r="CK371" s="2" t="n">
        <v>0</v>
      </c>
      <c r="CL371" s="2" t="n">
        <v>61.5</v>
      </c>
      <c r="CM371" s="2" t="n">
        <v>65.65000000000001</v>
      </c>
      <c r="CN371" s="2" t="n">
        <v>0</v>
      </c>
      <c r="CO371" s="2" t="n">
        <v>69.90000000000001</v>
      </c>
      <c r="CP371" s="2" t="n">
        <v>74.06</v>
      </c>
      <c r="CQ371" s="2" t="n">
        <v>0</v>
      </c>
      <c r="CR371" s="2" t="n">
        <v>78.81</v>
      </c>
      <c r="CS371" s="2" t="n">
        <v>82.95</v>
      </c>
      <c r="CT371" s="2" t="n">
        <v>0</v>
      </c>
      <c r="CU371" s="2" t="n">
        <v>85.27</v>
      </c>
      <c r="CV371" s="2" t="n">
        <v>89.28</v>
      </c>
      <c r="CW371" s="2" t="n">
        <v>0</v>
      </c>
      <c r="CX371" s="2" t="n">
        <v>93.92</v>
      </c>
      <c r="CY371" s="2" t="n">
        <v>96.45</v>
      </c>
      <c r="CZ371" s="2" t="n">
        <v>0</v>
      </c>
      <c r="DA371" s="2" t="n">
        <v>96.98</v>
      </c>
      <c r="DB371" s="2" t="n">
        <v>96.98</v>
      </c>
      <c r="DC371" s="2" t="n">
        <v>0</v>
      </c>
      <c r="DD371" s="2" t="n">
        <v>97.51000000000001</v>
      </c>
      <c r="DE371" s="2" t="n">
        <v>98.98</v>
      </c>
      <c r="DF371" s="2" t="n">
        <v>0</v>
      </c>
      <c r="DG371" s="2" t="n">
        <v>99.61</v>
      </c>
      <c r="DH371" s="2" t="n">
        <v>99.92</v>
      </c>
      <c r="DI371" s="2" t="n">
        <v>0</v>
      </c>
      <c r="DJ371" s="2" t="n">
        <v>100</v>
      </c>
      <c r="DK371" s="2" t="n">
        <v>100</v>
      </c>
      <c r="DL371" s="2" t="n">
        <v>0</v>
      </c>
      <c r="DM371" s="2" t="n">
        <v>100</v>
      </c>
      <c r="DN371" s="2" t="n">
        <v>100</v>
      </c>
      <c r="DO371" s="2" t="n">
        <v>0</v>
      </c>
      <c r="DP371" s="2" t="n">
        <v>100</v>
      </c>
      <c r="DQ371" s="2" t="n">
        <v>100</v>
      </c>
      <c r="DR371" s="2" t="n">
        <v>0</v>
      </c>
      <c r="DS371" s="2" t="n">
        <v>100</v>
      </c>
      <c r="DT371" s="2" t="n">
        <v>100</v>
      </c>
      <c r="DU371" s="2" t="n">
        <v>0</v>
      </c>
      <c r="DV371" s="2" t="n">
        <v>100</v>
      </c>
      <c r="DW371" s="2" t="n">
        <v>100</v>
      </c>
      <c r="DX371" s="2" t="n">
        <v>0</v>
      </c>
      <c r="DY371" s="2" t="n">
        <v>100</v>
      </c>
      <c r="DZ371" s="2" t="n">
        <v>100</v>
      </c>
      <c r="EA371" s="2" t="n">
        <v>0</v>
      </c>
      <c r="EB371" s="2" t="n">
        <v>100</v>
      </c>
      <c r="EC371" s="2" t="n">
        <v>100</v>
      </c>
      <c r="ED371" s="2" t="n">
        <v>0</v>
      </c>
      <c r="EE371" s="2" t="n">
        <v>100</v>
      </c>
      <c r="EF371" s="2" t="n">
        <v>100</v>
      </c>
      <c r="EG371" s="2" t="n">
        <v>0</v>
      </c>
      <c r="EH371" s="2" t="n">
        <v>100</v>
      </c>
      <c r="EI371" s="2" t="n">
        <v>100</v>
      </c>
      <c r="EJ371" s="2" t="n">
        <v>0</v>
      </c>
      <c r="EK371" s="2" t="n">
        <v>100</v>
      </c>
      <c r="EL371" s="2" t="n">
        <v>100</v>
      </c>
      <c r="EM371" s="2" t="n">
        <v>0</v>
      </c>
      <c r="EN371" s="2" t="n">
        <v>100</v>
      </c>
      <c r="EO371" s="2" t="n">
        <v>100</v>
      </c>
      <c r="EP371" s="2" t="n">
        <v>0</v>
      </c>
      <c r="EQ371" s="2" t="n">
        <v>100</v>
      </c>
      <c r="ER371" s="2" t="n">
        <v>100</v>
      </c>
      <c r="ES371" s="2" t="n">
        <v>0</v>
      </c>
    </row>
    <row r="372">
      <c r="A372" s="2" t="n">
        <v>4</v>
      </c>
      <c r="B372" s="2" t="inlineStr">
        <is>
          <t>18.01.03.03</t>
        </is>
      </c>
      <c r="C372" s="2" t="inlineStr">
        <is>
          <t>Encunhamento com espuma expansiva de poliuretano</t>
        </is>
      </c>
      <c r="D372" s="2" t="inlineStr">
        <is>
          <t>16/03/2027</t>
        </is>
      </c>
      <c r="E372" s="2" t="inlineStr">
        <is>
          <t>04/05/2028</t>
        </is>
      </c>
      <c r="F372" s="2" t="n">
        <v>40936.32413679139</v>
      </c>
      <c r="G372" s="2" t="n">
        <v>0</v>
      </c>
      <c r="H372" s="2" t="n">
        <v>40936.32413679139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  <c r="AN372" s="2" t="n">
        <v>0</v>
      </c>
      <c r="AO372" s="2" t="n">
        <v>0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n">
        <v>0</v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n">
        <v>0</v>
      </c>
      <c r="BI372" s="2" t="n">
        <v>0</v>
      </c>
      <c r="BJ372" s="2" t="n">
        <v>0</v>
      </c>
      <c r="BK372" s="2" t="n">
        <v>0</v>
      </c>
      <c r="BL372" s="2" t="n">
        <v>0</v>
      </c>
      <c r="BM372" s="2" t="n">
        <v>0</v>
      </c>
      <c r="BN372" s="2" t="n">
        <v>0</v>
      </c>
      <c r="BO372" s="2" t="n">
        <v>0</v>
      </c>
      <c r="BP372" s="2" t="n">
        <v>0</v>
      </c>
      <c r="BQ372" s="2" t="n">
        <v>0</v>
      </c>
      <c r="BR372" s="2" t="n">
        <v>0</v>
      </c>
      <c r="BS372" s="2" t="n">
        <v>0</v>
      </c>
      <c r="BT372" s="2" t="n">
        <v>1.58</v>
      </c>
      <c r="BU372" s="2" t="n">
        <v>2.89</v>
      </c>
      <c r="BV372" s="2" t="n">
        <v>0</v>
      </c>
      <c r="BW372" s="2" t="n">
        <v>7.09</v>
      </c>
      <c r="BX372" s="2" t="n">
        <v>10.52</v>
      </c>
      <c r="BY372" s="2" t="n">
        <v>0</v>
      </c>
      <c r="BZ372" s="2" t="n">
        <v>18.31</v>
      </c>
      <c r="CA372" s="2" t="n">
        <v>22.87</v>
      </c>
      <c r="CB372" s="2" t="n">
        <v>0</v>
      </c>
      <c r="CC372" s="2" t="n">
        <v>33.02</v>
      </c>
      <c r="CD372" s="2" t="n">
        <v>37.18</v>
      </c>
      <c r="CE372" s="2" t="n">
        <v>0</v>
      </c>
      <c r="CF372" s="2" t="n">
        <v>42.74</v>
      </c>
      <c r="CG372" s="2" t="n">
        <v>46.92</v>
      </c>
      <c r="CH372" s="2" t="n">
        <v>0</v>
      </c>
      <c r="CI372" s="2" t="n">
        <v>52.53</v>
      </c>
      <c r="CJ372" s="2" t="n">
        <v>56.7</v>
      </c>
      <c r="CK372" s="2" t="n">
        <v>0</v>
      </c>
      <c r="CL372" s="2" t="n">
        <v>61.5</v>
      </c>
      <c r="CM372" s="2" t="n">
        <v>65.65000000000001</v>
      </c>
      <c r="CN372" s="2" t="n">
        <v>0</v>
      </c>
      <c r="CO372" s="2" t="n">
        <v>69.90000000000001</v>
      </c>
      <c r="CP372" s="2" t="n">
        <v>74.06</v>
      </c>
      <c r="CQ372" s="2" t="n">
        <v>0</v>
      </c>
      <c r="CR372" s="2" t="n">
        <v>78.81</v>
      </c>
      <c r="CS372" s="2" t="n">
        <v>82.95</v>
      </c>
      <c r="CT372" s="2" t="n">
        <v>0</v>
      </c>
      <c r="CU372" s="2" t="n">
        <v>85.27</v>
      </c>
      <c r="CV372" s="2" t="n">
        <v>89.28</v>
      </c>
      <c r="CW372" s="2" t="n">
        <v>0</v>
      </c>
      <c r="CX372" s="2" t="n">
        <v>93.92</v>
      </c>
      <c r="CY372" s="2" t="n">
        <v>96.45</v>
      </c>
      <c r="CZ372" s="2" t="n">
        <v>0</v>
      </c>
      <c r="DA372" s="2" t="n">
        <v>96.98</v>
      </c>
      <c r="DB372" s="2" t="n">
        <v>96.98</v>
      </c>
      <c r="DC372" s="2" t="n">
        <v>0</v>
      </c>
      <c r="DD372" s="2" t="n">
        <v>97.51000000000001</v>
      </c>
      <c r="DE372" s="2" t="n">
        <v>98.98</v>
      </c>
      <c r="DF372" s="2" t="n">
        <v>0</v>
      </c>
      <c r="DG372" s="2" t="n">
        <v>99.61</v>
      </c>
      <c r="DH372" s="2" t="n">
        <v>99.92</v>
      </c>
      <c r="DI372" s="2" t="n">
        <v>0</v>
      </c>
      <c r="DJ372" s="2" t="n">
        <v>100</v>
      </c>
      <c r="DK372" s="2" t="n">
        <v>100</v>
      </c>
      <c r="DL372" s="2" t="n">
        <v>0</v>
      </c>
      <c r="DM372" s="2" t="n">
        <v>100</v>
      </c>
      <c r="DN372" s="2" t="n">
        <v>100</v>
      </c>
      <c r="DO372" s="2" t="n">
        <v>0</v>
      </c>
      <c r="DP372" s="2" t="n">
        <v>100</v>
      </c>
      <c r="DQ372" s="2" t="n">
        <v>100</v>
      </c>
      <c r="DR372" s="2" t="n">
        <v>0</v>
      </c>
      <c r="DS372" s="2" t="n">
        <v>100</v>
      </c>
      <c r="DT372" s="2" t="n">
        <v>100</v>
      </c>
      <c r="DU372" s="2" t="n">
        <v>0</v>
      </c>
      <c r="DV372" s="2" t="n">
        <v>100</v>
      </c>
      <c r="DW372" s="2" t="n">
        <v>100</v>
      </c>
      <c r="DX372" s="2" t="n">
        <v>0</v>
      </c>
      <c r="DY372" s="2" t="n">
        <v>100</v>
      </c>
      <c r="DZ372" s="2" t="n">
        <v>100</v>
      </c>
      <c r="EA372" s="2" t="n">
        <v>0</v>
      </c>
      <c r="EB372" s="2" t="n">
        <v>100</v>
      </c>
      <c r="EC372" s="2" t="n">
        <v>100</v>
      </c>
      <c r="ED372" s="2" t="n">
        <v>0</v>
      </c>
      <c r="EE372" s="2" t="n">
        <v>100</v>
      </c>
      <c r="EF372" s="2" t="n">
        <v>100</v>
      </c>
      <c r="EG372" s="2" t="n">
        <v>0</v>
      </c>
      <c r="EH372" s="2" t="n">
        <v>100</v>
      </c>
      <c r="EI372" s="2" t="n">
        <v>100</v>
      </c>
      <c r="EJ372" s="2" t="n">
        <v>0</v>
      </c>
      <c r="EK372" s="2" t="n">
        <v>100</v>
      </c>
      <c r="EL372" s="2" t="n">
        <v>100</v>
      </c>
      <c r="EM372" s="2" t="n">
        <v>0</v>
      </c>
      <c r="EN372" s="2" t="n">
        <v>100</v>
      </c>
      <c r="EO372" s="2" t="n">
        <v>100</v>
      </c>
      <c r="EP372" s="2" t="n">
        <v>0</v>
      </c>
      <c r="EQ372" s="2" t="n">
        <v>100</v>
      </c>
      <c r="ER372" s="2" t="n">
        <v>100</v>
      </c>
      <c r="ES372" s="2" t="n">
        <v>0</v>
      </c>
    </row>
    <row r="373">
      <c r="A373" s="2" t="n">
        <v>4</v>
      </c>
      <c r="B373" s="2" t="inlineStr">
        <is>
          <t>18.01.03.04</t>
        </is>
      </c>
      <c r="C373" s="2" t="inlineStr">
        <is>
          <t>Amarração de Alvenaria</t>
        </is>
      </c>
      <c r="D373" s="2" t="inlineStr">
        <is>
          <t>16/03/2027</t>
        </is>
      </c>
      <c r="E373" s="2" t="inlineStr">
        <is>
          <t>04/05/2028</t>
        </is>
      </c>
      <c r="F373" s="2" t="n">
        <v>33763.40143514395</v>
      </c>
      <c r="G373" s="2" t="n">
        <v>0</v>
      </c>
      <c r="H373" s="2" t="n">
        <v>33763.40143514395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  <c r="AM373" s="2" t="n">
        <v>0</v>
      </c>
      <c r="AN373" s="2" t="n">
        <v>0</v>
      </c>
      <c r="AO373" s="2" t="n">
        <v>0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n">
        <v>0</v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n">
        <v>0</v>
      </c>
      <c r="BI373" s="2" t="n">
        <v>0</v>
      </c>
      <c r="BJ373" s="2" t="n">
        <v>0</v>
      </c>
      <c r="BK373" s="2" t="n">
        <v>0</v>
      </c>
      <c r="BL373" s="2" t="n">
        <v>0</v>
      </c>
      <c r="BM373" s="2" t="n">
        <v>0</v>
      </c>
      <c r="BN373" s="2" t="n">
        <v>0</v>
      </c>
      <c r="BO373" s="2" t="n">
        <v>0</v>
      </c>
      <c r="BP373" s="2" t="n">
        <v>0</v>
      </c>
      <c r="BQ373" s="2" t="n">
        <v>0</v>
      </c>
      <c r="BR373" s="2" t="n">
        <v>0</v>
      </c>
      <c r="BS373" s="2" t="n">
        <v>0</v>
      </c>
      <c r="BT373" s="2" t="n">
        <v>1.58</v>
      </c>
      <c r="BU373" s="2" t="n">
        <v>2.89</v>
      </c>
      <c r="BV373" s="2" t="n">
        <v>0</v>
      </c>
      <c r="BW373" s="2" t="n">
        <v>7.09</v>
      </c>
      <c r="BX373" s="2" t="n">
        <v>10.52</v>
      </c>
      <c r="BY373" s="2" t="n">
        <v>0</v>
      </c>
      <c r="BZ373" s="2" t="n">
        <v>18.31</v>
      </c>
      <c r="CA373" s="2" t="n">
        <v>22.87</v>
      </c>
      <c r="CB373" s="2" t="n">
        <v>0</v>
      </c>
      <c r="CC373" s="2" t="n">
        <v>33.02</v>
      </c>
      <c r="CD373" s="2" t="n">
        <v>37.18</v>
      </c>
      <c r="CE373" s="2" t="n">
        <v>0</v>
      </c>
      <c r="CF373" s="2" t="n">
        <v>42.74</v>
      </c>
      <c r="CG373" s="2" t="n">
        <v>46.92</v>
      </c>
      <c r="CH373" s="2" t="n">
        <v>0</v>
      </c>
      <c r="CI373" s="2" t="n">
        <v>52.53</v>
      </c>
      <c r="CJ373" s="2" t="n">
        <v>56.7</v>
      </c>
      <c r="CK373" s="2" t="n">
        <v>0</v>
      </c>
      <c r="CL373" s="2" t="n">
        <v>61.5</v>
      </c>
      <c r="CM373" s="2" t="n">
        <v>65.65000000000001</v>
      </c>
      <c r="CN373" s="2" t="n">
        <v>0</v>
      </c>
      <c r="CO373" s="2" t="n">
        <v>69.90000000000001</v>
      </c>
      <c r="CP373" s="2" t="n">
        <v>74.06</v>
      </c>
      <c r="CQ373" s="2" t="n">
        <v>0</v>
      </c>
      <c r="CR373" s="2" t="n">
        <v>78.81</v>
      </c>
      <c r="CS373" s="2" t="n">
        <v>82.95</v>
      </c>
      <c r="CT373" s="2" t="n">
        <v>0</v>
      </c>
      <c r="CU373" s="2" t="n">
        <v>85.27</v>
      </c>
      <c r="CV373" s="2" t="n">
        <v>89.28</v>
      </c>
      <c r="CW373" s="2" t="n">
        <v>0</v>
      </c>
      <c r="CX373" s="2" t="n">
        <v>93.92</v>
      </c>
      <c r="CY373" s="2" t="n">
        <v>96.45</v>
      </c>
      <c r="CZ373" s="2" t="n">
        <v>0</v>
      </c>
      <c r="DA373" s="2" t="n">
        <v>96.98</v>
      </c>
      <c r="DB373" s="2" t="n">
        <v>96.98</v>
      </c>
      <c r="DC373" s="2" t="n">
        <v>0</v>
      </c>
      <c r="DD373" s="2" t="n">
        <v>97.51000000000001</v>
      </c>
      <c r="DE373" s="2" t="n">
        <v>98.98</v>
      </c>
      <c r="DF373" s="2" t="n">
        <v>0</v>
      </c>
      <c r="DG373" s="2" t="n">
        <v>99.61</v>
      </c>
      <c r="DH373" s="2" t="n">
        <v>99.92</v>
      </c>
      <c r="DI373" s="2" t="n">
        <v>0</v>
      </c>
      <c r="DJ373" s="2" t="n">
        <v>100</v>
      </c>
      <c r="DK373" s="2" t="n">
        <v>100</v>
      </c>
      <c r="DL373" s="2" t="n">
        <v>0</v>
      </c>
      <c r="DM373" s="2" t="n">
        <v>100</v>
      </c>
      <c r="DN373" s="2" t="n">
        <v>100</v>
      </c>
      <c r="DO373" s="2" t="n">
        <v>0</v>
      </c>
      <c r="DP373" s="2" t="n">
        <v>100</v>
      </c>
      <c r="DQ373" s="2" t="n">
        <v>100</v>
      </c>
      <c r="DR373" s="2" t="n">
        <v>0</v>
      </c>
      <c r="DS373" s="2" t="n">
        <v>100</v>
      </c>
      <c r="DT373" s="2" t="n">
        <v>100</v>
      </c>
      <c r="DU373" s="2" t="n">
        <v>0</v>
      </c>
      <c r="DV373" s="2" t="n">
        <v>100</v>
      </c>
      <c r="DW373" s="2" t="n">
        <v>100</v>
      </c>
      <c r="DX373" s="2" t="n">
        <v>0</v>
      </c>
      <c r="DY373" s="2" t="n">
        <v>100</v>
      </c>
      <c r="DZ373" s="2" t="n">
        <v>100</v>
      </c>
      <c r="EA373" s="2" t="n">
        <v>0</v>
      </c>
      <c r="EB373" s="2" t="n">
        <v>100</v>
      </c>
      <c r="EC373" s="2" t="n">
        <v>100</v>
      </c>
      <c r="ED373" s="2" t="n">
        <v>0</v>
      </c>
      <c r="EE373" s="2" t="n">
        <v>100</v>
      </c>
      <c r="EF373" s="2" t="n">
        <v>100</v>
      </c>
      <c r="EG373" s="2" t="n">
        <v>0</v>
      </c>
      <c r="EH373" s="2" t="n">
        <v>100</v>
      </c>
      <c r="EI373" s="2" t="n">
        <v>100</v>
      </c>
      <c r="EJ373" s="2" t="n">
        <v>0</v>
      </c>
      <c r="EK373" s="2" t="n">
        <v>100</v>
      </c>
      <c r="EL373" s="2" t="n">
        <v>100</v>
      </c>
      <c r="EM373" s="2" t="n">
        <v>0</v>
      </c>
      <c r="EN373" s="2" t="n">
        <v>100</v>
      </c>
      <c r="EO373" s="2" t="n">
        <v>100</v>
      </c>
      <c r="EP373" s="2" t="n">
        <v>0</v>
      </c>
      <c r="EQ373" s="2" t="n">
        <v>100</v>
      </c>
      <c r="ER373" s="2" t="n">
        <v>100</v>
      </c>
      <c r="ES373" s="2" t="n">
        <v>0</v>
      </c>
    </row>
    <row r="374">
      <c r="A374" s="2" t="n">
        <v>2</v>
      </c>
      <c r="B374" s="2" t="inlineStr">
        <is>
          <t>18.02</t>
        </is>
      </c>
      <c r="C374" s="2" t="inlineStr">
        <is>
          <t>Alvenaria de vedação  com blocos de concreto</t>
        </is>
      </c>
      <c r="D374" s="2" t="inlineStr">
        <is>
          <t>16/03/2027</t>
        </is>
      </c>
      <c r="E374" s="2" t="inlineStr">
        <is>
          <t>04/05/2028</t>
        </is>
      </c>
      <c r="F374" s="2" t="n">
        <v>417726.240661798</v>
      </c>
      <c r="G374" s="2" t="n">
        <v>0</v>
      </c>
      <c r="H374" s="2" t="n">
        <v>417726.240661798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  <c r="AN374" s="2" t="n">
        <v>0</v>
      </c>
      <c r="AO374" s="2" t="n">
        <v>0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n">
        <v>0</v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n">
        <v>0</v>
      </c>
      <c r="BI374" s="2" t="n">
        <v>0</v>
      </c>
      <c r="BJ374" s="2" t="n">
        <v>0</v>
      </c>
      <c r="BK374" s="2" t="n">
        <v>0</v>
      </c>
      <c r="BL374" s="2" t="n">
        <v>0</v>
      </c>
      <c r="BM374" s="2" t="n">
        <v>0</v>
      </c>
      <c r="BN374" s="2" t="n">
        <v>0</v>
      </c>
      <c r="BO374" s="2" t="n">
        <v>0</v>
      </c>
      <c r="BP374" s="2" t="n">
        <v>0</v>
      </c>
      <c r="BQ374" s="2" t="n">
        <v>0</v>
      </c>
      <c r="BR374" s="2" t="n">
        <v>0</v>
      </c>
      <c r="BS374" s="2" t="n">
        <v>0</v>
      </c>
      <c r="BT374" s="2" t="n">
        <v>1.58</v>
      </c>
      <c r="BU374" s="2" t="n">
        <v>2.89</v>
      </c>
      <c r="BV374" s="2" t="n">
        <v>0</v>
      </c>
      <c r="BW374" s="2" t="n">
        <v>7.09</v>
      </c>
      <c r="BX374" s="2" t="n">
        <v>10.52</v>
      </c>
      <c r="BY374" s="2" t="n">
        <v>0</v>
      </c>
      <c r="BZ374" s="2" t="n">
        <v>18.31</v>
      </c>
      <c r="CA374" s="2" t="n">
        <v>22.87</v>
      </c>
      <c r="CB374" s="2" t="n">
        <v>0</v>
      </c>
      <c r="CC374" s="2" t="n">
        <v>33.02</v>
      </c>
      <c r="CD374" s="2" t="n">
        <v>37.18</v>
      </c>
      <c r="CE374" s="2" t="n">
        <v>0</v>
      </c>
      <c r="CF374" s="2" t="n">
        <v>42.74</v>
      </c>
      <c r="CG374" s="2" t="n">
        <v>46.92</v>
      </c>
      <c r="CH374" s="2" t="n">
        <v>0</v>
      </c>
      <c r="CI374" s="2" t="n">
        <v>52.53</v>
      </c>
      <c r="CJ374" s="2" t="n">
        <v>56.7</v>
      </c>
      <c r="CK374" s="2" t="n">
        <v>0</v>
      </c>
      <c r="CL374" s="2" t="n">
        <v>61.5</v>
      </c>
      <c r="CM374" s="2" t="n">
        <v>65.65000000000001</v>
      </c>
      <c r="CN374" s="2" t="n">
        <v>0</v>
      </c>
      <c r="CO374" s="2" t="n">
        <v>69.90000000000001</v>
      </c>
      <c r="CP374" s="2" t="n">
        <v>74.06</v>
      </c>
      <c r="CQ374" s="2" t="n">
        <v>0</v>
      </c>
      <c r="CR374" s="2" t="n">
        <v>78.81</v>
      </c>
      <c r="CS374" s="2" t="n">
        <v>82.95</v>
      </c>
      <c r="CT374" s="2" t="n">
        <v>0</v>
      </c>
      <c r="CU374" s="2" t="n">
        <v>85.27</v>
      </c>
      <c r="CV374" s="2" t="n">
        <v>89.28</v>
      </c>
      <c r="CW374" s="2" t="n">
        <v>0</v>
      </c>
      <c r="CX374" s="2" t="n">
        <v>93.92</v>
      </c>
      <c r="CY374" s="2" t="n">
        <v>96.45</v>
      </c>
      <c r="CZ374" s="2" t="n">
        <v>0</v>
      </c>
      <c r="DA374" s="2" t="n">
        <v>96.98</v>
      </c>
      <c r="DB374" s="2" t="n">
        <v>96.98</v>
      </c>
      <c r="DC374" s="2" t="n">
        <v>0</v>
      </c>
      <c r="DD374" s="2" t="n">
        <v>97.51000000000001</v>
      </c>
      <c r="DE374" s="2" t="n">
        <v>98.98</v>
      </c>
      <c r="DF374" s="2" t="n">
        <v>0</v>
      </c>
      <c r="DG374" s="2" t="n">
        <v>99.61</v>
      </c>
      <c r="DH374" s="2" t="n">
        <v>99.92</v>
      </c>
      <c r="DI374" s="2" t="n">
        <v>0</v>
      </c>
      <c r="DJ374" s="2" t="n">
        <v>100</v>
      </c>
      <c r="DK374" s="2" t="n">
        <v>100</v>
      </c>
      <c r="DL374" s="2" t="n">
        <v>0</v>
      </c>
      <c r="DM374" s="2" t="n">
        <v>100</v>
      </c>
      <c r="DN374" s="2" t="n">
        <v>100</v>
      </c>
      <c r="DO374" s="2" t="n">
        <v>0</v>
      </c>
      <c r="DP374" s="2" t="n">
        <v>100</v>
      </c>
      <c r="DQ374" s="2" t="n">
        <v>100</v>
      </c>
      <c r="DR374" s="2" t="n">
        <v>0</v>
      </c>
      <c r="DS374" s="2" t="n">
        <v>100</v>
      </c>
      <c r="DT374" s="2" t="n">
        <v>100</v>
      </c>
      <c r="DU374" s="2" t="n">
        <v>0</v>
      </c>
      <c r="DV374" s="2" t="n">
        <v>100</v>
      </c>
      <c r="DW374" s="2" t="n">
        <v>100</v>
      </c>
      <c r="DX374" s="2" t="n">
        <v>0</v>
      </c>
      <c r="DY374" s="2" t="n">
        <v>100</v>
      </c>
      <c r="DZ374" s="2" t="n">
        <v>100</v>
      </c>
      <c r="EA374" s="2" t="n">
        <v>0</v>
      </c>
      <c r="EB374" s="2" t="n">
        <v>100</v>
      </c>
      <c r="EC374" s="2" t="n">
        <v>100</v>
      </c>
      <c r="ED374" s="2" t="n">
        <v>0</v>
      </c>
      <c r="EE374" s="2" t="n">
        <v>100</v>
      </c>
      <c r="EF374" s="2" t="n">
        <v>100</v>
      </c>
      <c r="EG374" s="2" t="n">
        <v>0</v>
      </c>
      <c r="EH374" s="2" t="n">
        <v>100</v>
      </c>
      <c r="EI374" s="2" t="n">
        <v>100</v>
      </c>
      <c r="EJ374" s="2" t="n">
        <v>0</v>
      </c>
      <c r="EK374" s="2" t="n">
        <v>100</v>
      </c>
      <c r="EL374" s="2" t="n">
        <v>100</v>
      </c>
      <c r="EM374" s="2" t="n">
        <v>0</v>
      </c>
      <c r="EN374" s="2" t="n">
        <v>100</v>
      </c>
      <c r="EO374" s="2" t="n">
        <v>100</v>
      </c>
      <c r="EP374" s="2" t="n">
        <v>0</v>
      </c>
      <c r="EQ374" s="2" t="n">
        <v>100</v>
      </c>
      <c r="ER374" s="2" t="n">
        <v>100</v>
      </c>
      <c r="ES374" s="2" t="n">
        <v>0</v>
      </c>
    </row>
    <row r="375">
      <c r="A375" s="2" t="n">
        <v>3</v>
      </c>
      <c r="B375" s="2" t="inlineStr">
        <is>
          <t>18.02.01</t>
        </is>
      </c>
      <c r="C375" s="2" t="inlineStr">
        <is>
          <t>Esp. 9cm</t>
        </is>
      </c>
      <c r="D375" s="2" t="inlineStr">
        <is>
          <t>16/03/2027</t>
        </is>
      </c>
      <c r="E375" s="2" t="inlineStr">
        <is>
          <t>04/05/2028</t>
        </is>
      </c>
      <c r="F375" s="2" t="n">
        <v>21504.99235415065</v>
      </c>
      <c r="G375" s="2" t="n">
        <v>0</v>
      </c>
      <c r="H375" s="2" t="n">
        <v>21504.99235415065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  <c r="AM375" s="2" t="n">
        <v>0</v>
      </c>
      <c r="AN375" s="2" t="n">
        <v>0</v>
      </c>
      <c r="AO375" s="2" t="n">
        <v>0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n">
        <v>0</v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n">
        <v>0</v>
      </c>
      <c r="BI375" s="2" t="n">
        <v>0</v>
      </c>
      <c r="BJ375" s="2" t="n">
        <v>0</v>
      </c>
      <c r="BK375" s="2" t="n">
        <v>0</v>
      </c>
      <c r="BL375" s="2" t="n">
        <v>0</v>
      </c>
      <c r="BM375" s="2" t="n">
        <v>0</v>
      </c>
      <c r="BN375" s="2" t="n">
        <v>0</v>
      </c>
      <c r="BO375" s="2" t="n">
        <v>0</v>
      </c>
      <c r="BP375" s="2" t="n">
        <v>0</v>
      </c>
      <c r="BQ375" s="2" t="n">
        <v>0</v>
      </c>
      <c r="BR375" s="2" t="n">
        <v>0</v>
      </c>
      <c r="BS375" s="2" t="n">
        <v>0</v>
      </c>
      <c r="BT375" s="2" t="n">
        <v>1.58</v>
      </c>
      <c r="BU375" s="2" t="n">
        <v>2.89</v>
      </c>
      <c r="BV375" s="2" t="n">
        <v>0</v>
      </c>
      <c r="BW375" s="2" t="n">
        <v>7.09</v>
      </c>
      <c r="BX375" s="2" t="n">
        <v>10.52</v>
      </c>
      <c r="BY375" s="2" t="n">
        <v>0</v>
      </c>
      <c r="BZ375" s="2" t="n">
        <v>18.31</v>
      </c>
      <c r="CA375" s="2" t="n">
        <v>22.87</v>
      </c>
      <c r="CB375" s="2" t="n">
        <v>0</v>
      </c>
      <c r="CC375" s="2" t="n">
        <v>33.02</v>
      </c>
      <c r="CD375" s="2" t="n">
        <v>37.18</v>
      </c>
      <c r="CE375" s="2" t="n">
        <v>0</v>
      </c>
      <c r="CF375" s="2" t="n">
        <v>42.74</v>
      </c>
      <c r="CG375" s="2" t="n">
        <v>46.92</v>
      </c>
      <c r="CH375" s="2" t="n">
        <v>0</v>
      </c>
      <c r="CI375" s="2" t="n">
        <v>52.53</v>
      </c>
      <c r="CJ375" s="2" t="n">
        <v>56.7</v>
      </c>
      <c r="CK375" s="2" t="n">
        <v>0</v>
      </c>
      <c r="CL375" s="2" t="n">
        <v>61.5</v>
      </c>
      <c r="CM375" s="2" t="n">
        <v>65.65000000000001</v>
      </c>
      <c r="CN375" s="2" t="n">
        <v>0</v>
      </c>
      <c r="CO375" s="2" t="n">
        <v>69.90000000000001</v>
      </c>
      <c r="CP375" s="2" t="n">
        <v>74.06</v>
      </c>
      <c r="CQ375" s="2" t="n">
        <v>0</v>
      </c>
      <c r="CR375" s="2" t="n">
        <v>78.81</v>
      </c>
      <c r="CS375" s="2" t="n">
        <v>82.95</v>
      </c>
      <c r="CT375" s="2" t="n">
        <v>0</v>
      </c>
      <c r="CU375" s="2" t="n">
        <v>85.27</v>
      </c>
      <c r="CV375" s="2" t="n">
        <v>89.28</v>
      </c>
      <c r="CW375" s="2" t="n">
        <v>0</v>
      </c>
      <c r="CX375" s="2" t="n">
        <v>93.92</v>
      </c>
      <c r="CY375" s="2" t="n">
        <v>96.45</v>
      </c>
      <c r="CZ375" s="2" t="n">
        <v>0</v>
      </c>
      <c r="DA375" s="2" t="n">
        <v>96.98</v>
      </c>
      <c r="DB375" s="2" t="n">
        <v>96.98</v>
      </c>
      <c r="DC375" s="2" t="n">
        <v>0</v>
      </c>
      <c r="DD375" s="2" t="n">
        <v>97.51000000000001</v>
      </c>
      <c r="DE375" s="2" t="n">
        <v>98.98</v>
      </c>
      <c r="DF375" s="2" t="n">
        <v>0</v>
      </c>
      <c r="DG375" s="2" t="n">
        <v>99.61</v>
      </c>
      <c r="DH375" s="2" t="n">
        <v>99.92</v>
      </c>
      <c r="DI375" s="2" t="n">
        <v>0</v>
      </c>
      <c r="DJ375" s="2" t="n">
        <v>100</v>
      </c>
      <c r="DK375" s="2" t="n">
        <v>100</v>
      </c>
      <c r="DL375" s="2" t="n">
        <v>0</v>
      </c>
      <c r="DM375" s="2" t="n">
        <v>100</v>
      </c>
      <c r="DN375" s="2" t="n">
        <v>100</v>
      </c>
      <c r="DO375" s="2" t="n">
        <v>0</v>
      </c>
      <c r="DP375" s="2" t="n">
        <v>100</v>
      </c>
      <c r="DQ375" s="2" t="n">
        <v>100</v>
      </c>
      <c r="DR375" s="2" t="n">
        <v>0</v>
      </c>
      <c r="DS375" s="2" t="n">
        <v>100</v>
      </c>
      <c r="DT375" s="2" t="n">
        <v>100</v>
      </c>
      <c r="DU375" s="2" t="n">
        <v>0</v>
      </c>
      <c r="DV375" s="2" t="n">
        <v>100</v>
      </c>
      <c r="DW375" s="2" t="n">
        <v>100</v>
      </c>
      <c r="DX375" s="2" t="n">
        <v>0</v>
      </c>
      <c r="DY375" s="2" t="n">
        <v>100</v>
      </c>
      <c r="DZ375" s="2" t="n">
        <v>100</v>
      </c>
      <c r="EA375" s="2" t="n">
        <v>0</v>
      </c>
      <c r="EB375" s="2" t="n">
        <v>100</v>
      </c>
      <c r="EC375" s="2" t="n">
        <v>100</v>
      </c>
      <c r="ED375" s="2" t="n">
        <v>0</v>
      </c>
      <c r="EE375" s="2" t="n">
        <v>100</v>
      </c>
      <c r="EF375" s="2" t="n">
        <v>100</v>
      </c>
      <c r="EG375" s="2" t="n">
        <v>0</v>
      </c>
      <c r="EH375" s="2" t="n">
        <v>100</v>
      </c>
      <c r="EI375" s="2" t="n">
        <v>100</v>
      </c>
      <c r="EJ375" s="2" t="n">
        <v>0</v>
      </c>
      <c r="EK375" s="2" t="n">
        <v>100</v>
      </c>
      <c r="EL375" s="2" t="n">
        <v>100</v>
      </c>
      <c r="EM375" s="2" t="n">
        <v>0</v>
      </c>
      <c r="EN375" s="2" t="n">
        <v>100</v>
      </c>
      <c r="EO375" s="2" t="n">
        <v>100</v>
      </c>
      <c r="EP375" s="2" t="n">
        <v>0</v>
      </c>
      <c r="EQ375" s="2" t="n">
        <v>100</v>
      </c>
      <c r="ER375" s="2" t="n">
        <v>100</v>
      </c>
      <c r="ES375" s="2" t="n">
        <v>0</v>
      </c>
    </row>
    <row r="376">
      <c r="A376" s="2" t="n">
        <v>4</v>
      </c>
      <c r="B376" s="2" t="inlineStr">
        <is>
          <t>18.02.01.01</t>
        </is>
      </c>
      <c r="C376" s="2" t="inlineStr">
        <is>
          <t>Demarcação de alvenaria de vedação com blocos de concreto esp.9cm</t>
        </is>
      </c>
      <c r="D376" s="2" t="inlineStr">
        <is>
          <t>16/03/2027</t>
        </is>
      </c>
      <c r="E376" s="2" t="inlineStr">
        <is>
          <t>04/05/2028</t>
        </is>
      </c>
      <c r="F376" s="2" t="n">
        <v>1772.512870165765</v>
      </c>
      <c r="G376" s="2" t="n">
        <v>0</v>
      </c>
      <c r="H376" s="2" t="n">
        <v>1772.512870165765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  <c r="AM376" s="2" t="n">
        <v>0</v>
      </c>
      <c r="AN376" s="2" t="n">
        <v>0</v>
      </c>
      <c r="AO376" s="2" t="n">
        <v>0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n">
        <v>0</v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n">
        <v>0</v>
      </c>
      <c r="BI376" s="2" t="n">
        <v>0</v>
      </c>
      <c r="BJ376" s="2" t="n">
        <v>0</v>
      </c>
      <c r="BK376" s="2" t="n">
        <v>0</v>
      </c>
      <c r="BL376" s="2" t="n">
        <v>0</v>
      </c>
      <c r="BM376" s="2" t="n">
        <v>0</v>
      </c>
      <c r="BN376" s="2" t="n">
        <v>0</v>
      </c>
      <c r="BO376" s="2" t="n">
        <v>0</v>
      </c>
      <c r="BP376" s="2" t="n">
        <v>0</v>
      </c>
      <c r="BQ376" s="2" t="n">
        <v>0</v>
      </c>
      <c r="BR376" s="2" t="n">
        <v>0</v>
      </c>
      <c r="BS376" s="2" t="n">
        <v>0</v>
      </c>
      <c r="BT376" s="2" t="n">
        <v>1.58</v>
      </c>
      <c r="BU376" s="2" t="n">
        <v>2.89</v>
      </c>
      <c r="BV376" s="2" t="n">
        <v>0</v>
      </c>
      <c r="BW376" s="2" t="n">
        <v>7.09</v>
      </c>
      <c r="BX376" s="2" t="n">
        <v>10.52</v>
      </c>
      <c r="BY376" s="2" t="n">
        <v>0</v>
      </c>
      <c r="BZ376" s="2" t="n">
        <v>18.31</v>
      </c>
      <c r="CA376" s="2" t="n">
        <v>22.87</v>
      </c>
      <c r="CB376" s="2" t="n">
        <v>0</v>
      </c>
      <c r="CC376" s="2" t="n">
        <v>33.02</v>
      </c>
      <c r="CD376" s="2" t="n">
        <v>37.18</v>
      </c>
      <c r="CE376" s="2" t="n">
        <v>0</v>
      </c>
      <c r="CF376" s="2" t="n">
        <v>42.74</v>
      </c>
      <c r="CG376" s="2" t="n">
        <v>46.92</v>
      </c>
      <c r="CH376" s="2" t="n">
        <v>0</v>
      </c>
      <c r="CI376" s="2" t="n">
        <v>52.53</v>
      </c>
      <c r="CJ376" s="2" t="n">
        <v>56.7</v>
      </c>
      <c r="CK376" s="2" t="n">
        <v>0</v>
      </c>
      <c r="CL376" s="2" t="n">
        <v>61.5</v>
      </c>
      <c r="CM376" s="2" t="n">
        <v>65.65000000000001</v>
      </c>
      <c r="CN376" s="2" t="n">
        <v>0</v>
      </c>
      <c r="CO376" s="2" t="n">
        <v>69.90000000000001</v>
      </c>
      <c r="CP376" s="2" t="n">
        <v>74.06</v>
      </c>
      <c r="CQ376" s="2" t="n">
        <v>0</v>
      </c>
      <c r="CR376" s="2" t="n">
        <v>78.81</v>
      </c>
      <c r="CS376" s="2" t="n">
        <v>82.95</v>
      </c>
      <c r="CT376" s="2" t="n">
        <v>0</v>
      </c>
      <c r="CU376" s="2" t="n">
        <v>85.27</v>
      </c>
      <c r="CV376" s="2" t="n">
        <v>89.28</v>
      </c>
      <c r="CW376" s="2" t="n">
        <v>0</v>
      </c>
      <c r="CX376" s="2" t="n">
        <v>93.92</v>
      </c>
      <c r="CY376" s="2" t="n">
        <v>96.45</v>
      </c>
      <c r="CZ376" s="2" t="n">
        <v>0</v>
      </c>
      <c r="DA376" s="2" t="n">
        <v>96.98</v>
      </c>
      <c r="DB376" s="2" t="n">
        <v>96.98</v>
      </c>
      <c r="DC376" s="2" t="n">
        <v>0</v>
      </c>
      <c r="DD376" s="2" t="n">
        <v>97.51000000000001</v>
      </c>
      <c r="DE376" s="2" t="n">
        <v>98.98</v>
      </c>
      <c r="DF376" s="2" t="n">
        <v>0</v>
      </c>
      <c r="DG376" s="2" t="n">
        <v>99.61</v>
      </c>
      <c r="DH376" s="2" t="n">
        <v>99.92</v>
      </c>
      <c r="DI376" s="2" t="n">
        <v>0</v>
      </c>
      <c r="DJ376" s="2" t="n">
        <v>100</v>
      </c>
      <c r="DK376" s="2" t="n">
        <v>100</v>
      </c>
      <c r="DL376" s="2" t="n">
        <v>0</v>
      </c>
      <c r="DM376" s="2" t="n">
        <v>100</v>
      </c>
      <c r="DN376" s="2" t="n">
        <v>100</v>
      </c>
      <c r="DO376" s="2" t="n">
        <v>0</v>
      </c>
      <c r="DP376" s="2" t="n">
        <v>100</v>
      </c>
      <c r="DQ376" s="2" t="n">
        <v>100</v>
      </c>
      <c r="DR376" s="2" t="n">
        <v>0</v>
      </c>
      <c r="DS376" s="2" t="n">
        <v>100</v>
      </c>
      <c r="DT376" s="2" t="n">
        <v>100</v>
      </c>
      <c r="DU376" s="2" t="n">
        <v>0</v>
      </c>
      <c r="DV376" s="2" t="n">
        <v>100</v>
      </c>
      <c r="DW376" s="2" t="n">
        <v>100</v>
      </c>
      <c r="DX376" s="2" t="n">
        <v>0</v>
      </c>
      <c r="DY376" s="2" t="n">
        <v>100</v>
      </c>
      <c r="DZ376" s="2" t="n">
        <v>100</v>
      </c>
      <c r="EA376" s="2" t="n">
        <v>0</v>
      </c>
      <c r="EB376" s="2" t="n">
        <v>100</v>
      </c>
      <c r="EC376" s="2" t="n">
        <v>100</v>
      </c>
      <c r="ED376" s="2" t="n">
        <v>0</v>
      </c>
      <c r="EE376" s="2" t="n">
        <v>100</v>
      </c>
      <c r="EF376" s="2" t="n">
        <v>100</v>
      </c>
      <c r="EG376" s="2" t="n">
        <v>0</v>
      </c>
      <c r="EH376" s="2" t="n">
        <v>100</v>
      </c>
      <c r="EI376" s="2" t="n">
        <v>100</v>
      </c>
      <c r="EJ376" s="2" t="n">
        <v>0</v>
      </c>
      <c r="EK376" s="2" t="n">
        <v>100</v>
      </c>
      <c r="EL376" s="2" t="n">
        <v>100</v>
      </c>
      <c r="EM376" s="2" t="n">
        <v>0</v>
      </c>
      <c r="EN376" s="2" t="n">
        <v>100</v>
      </c>
      <c r="EO376" s="2" t="n">
        <v>100</v>
      </c>
      <c r="EP376" s="2" t="n">
        <v>0</v>
      </c>
      <c r="EQ376" s="2" t="n">
        <v>100</v>
      </c>
      <c r="ER376" s="2" t="n">
        <v>100</v>
      </c>
      <c r="ES376" s="2" t="n">
        <v>0</v>
      </c>
    </row>
    <row r="377">
      <c r="A377" s="2" t="n">
        <v>4</v>
      </c>
      <c r="B377" s="2" t="inlineStr">
        <is>
          <t>18.02.01.02</t>
        </is>
      </c>
      <c r="C377" s="2" t="inlineStr">
        <is>
          <t>Alvenaria de vedação com blocos de concreto esp. 9cm</t>
        </is>
      </c>
      <c r="D377" s="2" t="inlineStr">
        <is>
          <t>16/03/2027</t>
        </is>
      </c>
      <c r="E377" s="2" t="inlineStr">
        <is>
          <t>04/05/2028</t>
        </is>
      </c>
      <c r="F377" s="2" t="n">
        <v>18623.08437818754</v>
      </c>
      <c r="G377" s="2" t="n">
        <v>0</v>
      </c>
      <c r="H377" s="2" t="n">
        <v>18623.08437818754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  <c r="AN377" s="2" t="n">
        <v>0</v>
      </c>
      <c r="AO377" s="2" t="n">
        <v>0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n">
        <v>0</v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n">
        <v>0</v>
      </c>
      <c r="BI377" s="2" t="n">
        <v>0</v>
      </c>
      <c r="BJ377" s="2" t="n">
        <v>0</v>
      </c>
      <c r="BK377" s="2" t="n">
        <v>0</v>
      </c>
      <c r="BL377" s="2" t="n">
        <v>0</v>
      </c>
      <c r="BM377" s="2" t="n">
        <v>0</v>
      </c>
      <c r="BN377" s="2" t="n">
        <v>0</v>
      </c>
      <c r="BO377" s="2" t="n">
        <v>0</v>
      </c>
      <c r="BP377" s="2" t="n">
        <v>0</v>
      </c>
      <c r="BQ377" s="2" t="n">
        <v>0</v>
      </c>
      <c r="BR377" s="2" t="n">
        <v>0</v>
      </c>
      <c r="BS377" s="2" t="n">
        <v>0</v>
      </c>
      <c r="BT377" s="2" t="n">
        <v>1.58</v>
      </c>
      <c r="BU377" s="2" t="n">
        <v>2.89</v>
      </c>
      <c r="BV377" s="2" t="n">
        <v>0</v>
      </c>
      <c r="BW377" s="2" t="n">
        <v>7.09</v>
      </c>
      <c r="BX377" s="2" t="n">
        <v>10.52</v>
      </c>
      <c r="BY377" s="2" t="n">
        <v>0</v>
      </c>
      <c r="BZ377" s="2" t="n">
        <v>18.31</v>
      </c>
      <c r="CA377" s="2" t="n">
        <v>22.87</v>
      </c>
      <c r="CB377" s="2" t="n">
        <v>0</v>
      </c>
      <c r="CC377" s="2" t="n">
        <v>33.02</v>
      </c>
      <c r="CD377" s="2" t="n">
        <v>37.18</v>
      </c>
      <c r="CE377" s="2" t="n">
        <v>0</v>
      </c>
      <c r="CF377" s="2" t="n">
        <v>42.74</v>
      </c>
      <c r="CG377" s="2" t="n">
        <v>46.92</v>
      </c>
      <c r="CH377" s="2" t="n">
        <v>0</v>
      </c>
      <c r="CI377" s="2" t="n">
        <v>52.53</v>
      </c>
      <c r="CJ377" s="2" t="n">
        <v>56.7</v>
      </c>
      <c r="CK377" s="2" t="n">
        <v>0</v>
      </c>
      <c r="CL377" s="2" t="n">
        <v>61.5</v>
      </c>
      <c r="CM377" s="2" t="n">
        <v>65.65000000000001</v>
      </c>
      <c r="CN377" s="2" t="n">
        <v>0</v>
      </c>
      <c r="CO377" s="2" t="n">
        <v>69.90000000000001</v>
      </c>
      <c r="CP377" s="2" t="n">
        <v>74.06</v>
      </c>
      <c r="CQ377" s="2" t="n">
        <v>0</v>
      </c>
      <c r="CR377" s="2" t="n">
        <v>78.81</v>
      </c>
      <c r="CS377" s="2" t="n">
        <v>82.95</v>
      </c>
      <c r="CT377" s="2" t="n">
        <v>0</v>
      </c>
      <c r="CU377" s="2" t="n">
        <v>85.27</v>
      </c>
      <c r="CV377" s="2" t="n">
        <v>89.28</v>
      </c>
      <c r="CW377" s="2" t="n">
        <v>0</v>
      </c>
      <c r="CX377" s="2" t="n">
        <v>93.92</v>
      </c>
      <c r="CY377" s="2" t="n">
        <v>96.45</v>
      </c>
      <c r="CZ377" s="2" t="n">
        <v>0</v>
      </c>
      <c r="DA377" s="2" t="n">
        <v>96.98</v>
      </c>
      <c r="DB377" s="2" t="n">
        <v>96.98</v>
      </c>
      <c r="DC377" s="2" t="n">
        <v>0</v>
      </c>
      <c r="DD377" s="2" t="n">
        <v>97.51000000000001</v>
      </c>
      <c r="DE377" s="2" t="n">
        <v>98.98</v>
      </c>
      <c r="DF377" s="2" t="n">
        <v>0</v>
      </c>
      <c r="DG377" s="2" t="n">
        <v>99.61</v>
      </c>
      <c r="DH377" s="2" t="n">
        <v>99.92</v>
      </c>
      <c r="DI377" s="2" t="n">
        <v>0</v>
      </c>
      <c r="DJ377" s="2" t="n">
        <v>100</v>
      </c>
      <c r="DK377" s="2" t="n">
        <v>100</v>
      </c>
      <c r="DL377" s="2" t="n">
        <v>0</v>
      </c>
      <c r="DM377" s="2" t="n">
        <v>100</v>
      </c>
      <c r="DN377" s="2" t="n">
        <v>100</v>
      </c>
      <c r="DO377" s="2" t="n">
        <v>0</v>
      </c>
      <c r="DP377" s="2" t="n">
        <v>100</v>
      </c>
      <c r="DQ377" s="2" t="n">
        <v>100</v>
      </c>
      <c r="DR377" s="2" t="n">
        <v>0</v>
      </c>
      <c r="DS377" s="2" t="n">
        <v>100</v>
      </c>
      <c r="DT377" s="2" t="n">
        <v>100</v>
      </c>
      <c r="DU377" s="2" t="n">
        <v>0</v>
      </c>
      <c r="DV377" s="2" t="n">
        <v>100</v>
      </c>
      <c r="DW377" s="2" t="n">
        <v>100</v>
      </c>
      <c r="DX377" s="2" t="n">
        <v>0</v>
      </c>
      <c r="DY377" s="2" t="n">
        <v>100</v>
      </c>
      <c r="DZ377" s="2" t="n">
        <v>100</v>
      </c>
      <c r="EA377" s="2" t="n">
        <v>0</v>
      </c>
      <c r="EB377" s="2" t="n">
        <v>100</v>
      </c>
      <c r="EC377" s="2" t="n">
        <v>100</v>
      </c>
      <c r="ED377" s="2" t="n">
        <v>0</v>
      </c>
      <c r="EE377" s="2" t="n">
        <v>100</v>
      </c>
      <c r="EF377" s="2" t="n">
        <v>100</v>
      </c>
      <c r="EG377" s="2" t="n">
        <v>0</v>
      </c>
      <c r="EH377" s="2" t="n">
        <v>100</v>
      </c>
      <c r="EI377" s="2" t="n">
        <v>100</v>
      </c>
      <c r="EJ377" s="2" t="n">
        <v>0</v>
      </c>
      <c r="EK377" s="2" t="n">
        <v>100</v>
      </c>
      <c r="EL377" s="2" t="n">
        <v>100</v>
      </c>
      <c r="EM377" s="2" t="n">
        <v>0</v>
      </c>
      <c r="EN377" s="2" t="n">
        <v>100</v>
      </c>
      <c r="EO377" s="2" t="n">
        <v>100</v>
      </c>
      <c r="EP377" s="2" t="n">
        <v>0</v>
      </c>
      <c r="EQ377" s="2" t="n">
        <v>100</v>
      </c>
      <c r="ER377" s="2" t="n">
        <v>100</v>
      </c>
      <c r="ES377" s="2" t="n">
        <v>0</v>
      </c>
    </row>
    <row r="378">
      <c r="A378" s="2" t="n">
        <v>4</v>
      </c>
      <c r="B378" s="2" t="inlineStr">
        <is>
          <t>18.02.01.03</t>
        </is>
      </c>
      <c r="C378" s="2" t="inlineStr">
        <is>
          <t>Encunhamento com espuma expansiva de poliuretano</t>
        </is>
      </c>
      <c r="D378" s="2" t="inlineStr">
        <is>
          <t>16/03/2027</t>
        </is>
      </c>
      <c r="E378" s="2" t="inlineStr">
        <is>
          <t>04/05/2028</t>
        </is>
      </c>
      <c r="F378" s="2" t="n">
        <v>381.3303104383891</v>
      </c>
      <c r="G378" s="2" t="n">
        <v>0</v>
      </c>
      <c r="H378" s="2" t="n">
        <v>381.3303104383891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n">
        <v>0</v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n">
        <v>0</v>
      </c>
      <c r="BI378" s="2" t="n">
        <v>0</v>
      </c>
      <c r="BJ378" s="2" t="n">
        <v>0</v>
      </c>
      <c r="BK378" s="2" t="n">
        <v>0</v>
      </c>
      <c r="BL378" s="2" t="n">
        <v>0</v>
      </c>
      <c r="BM378" s="2" t="n">
        <v>0</v>
      </c>
      <c r="BN378" s="2" t="n">
        <v>0</v>
      </c>
      <c r="BO378" s="2" t="n">
        <v>0</v>
      </c>
      <c r="BP378" s="2" t="n">
        <v>0</v>
      </c>
      <c r="BQ378" s="2" t="n">
        <v>0</v>
      </c>
      <c r="BR378" s="2" t="n">
        <v>0</v>
      </c>
      <c r="BS378" s="2" t="n">
        <v>0</v>
      </c>
      <c r="BT378" s="2" t="n">
        <v>1.58</v>
      </c>
      <c r="BU378" s="2" t="n">
        <v>2.89</v>
      </c>
      <c r="BV378" s="2" t="n">
        <v>0</v>
      </c>
      <c r="BW378" s="2" t="n">
        <v>7.09</v>
      </c>
      <c r="BX378" s="2" t="n">
        <v>10.52</v>
      </c>
      <c r="BY378" s="2" t="n">
        <v>0</v>
      </c>
      <c r="BZ378" s="2" t="n">
        <v>18.31</v>
      </c>
      <c r="CA378" s="2" t="n">
        <v>22.87</v>
      </c>
      <c r="CB378" s="2" t="n">
        <v>0</v>
      </c>
      <c r="CC378" s="2" t="n">
        <v>33.02</v>
      </c>
      <c r="CD378" s="2" t="n">
        <v>37.18</v>
      </c>
      <c r="CE378" s="2" t="n">
        <v>0</v>
      </c>
      <c r="CF378" s="2" t="n">
        <v>42.74</v>
      </c>
      <c r="CG378" s="2" t="n">
        <v>46.92</v>
      </c>
      <c r="CH378" s="2" t="n">
        <v>0</v>
      </c>
      <c r="CI378" s="2" t="n">
        <v>52.53</v>
      </c>
      <c r="CJ378" s="2" t="n">
        <v>56.7</v>
      </c>
      <c r="CK378" s="2" t="n">
        <v>0</v>
      </c>
      <c r="CL378" s="2" t="n">
        <v>61.5</v>
      </c>
      <c r="CM378" s="2" t="n">
        <v>65.65000000000001</v>
      </c>
      <c r="CN378" s="2" t="n">
        <v>0</v>
      </c>
      <c r="CO378" s="2" t="n">
        <v>69.90000000000001</v>
      </c>
      <c r="CP378" s="2" t="n">
        <v>74.06</v>
      </c>
      <c r="CQ378" s="2" t="n">
        <v>0</v>
      </c>
      <c r="CR378" s="2" t="n">
        <v>78.81</v>
      </c>
      <c r="CS378" s="2" t="n">
        <v>82.95</v>
      </c>
      <c r="CT378" s="2" t="n">
        <v>0</v>
      </c>
      <c r="CU378" s="2" t="n">
        <v>85.27</v>
      </c>
      <c r="CV378" s="2" t="n">
        <v>89.28</v>
      </c>
      <c r="CW378" s="2" t="n">
        <v>0</v>
      </c>
      <c r="CX378" s="2" t="n">
        <v>93.92</v>
      </c>
      <c r="CY378" s="2" t="n">
        <v>96.45</v>
      </c>
      <c r="CZ378" s="2" t="n">
        <v>0</v>
      </c>
      <c r="DA378" s="2" t="n">
        <v>96.98</v>
      </c>
      <c r="DB378" s="2" t="n">
        <v>96.98</v>
      </c>
      <c r="DC378" s="2" t="n">
        <v>0</v>
      </c>
      <c r="DD378" s="2" t="n">
        <v>97.51000000000001</v>
      </c>
      <c r="DE378" s="2" t="n">
        <v>98.98</v>
      </c>
      <c r="DF378" s="2" t="n">
        <v>0</v>
      </c>
      <c r="DG378" s="2" t="n">
        <v>99.61</v>
      </c>
      <c r="DH378" s="2" t="n">
        <v>99.92</v>
      </c>
      <c r="DI378" s="2" t="n">
        <v>0</v>
      </c>
      <c r="DJ378" s="2" t="n">
        <v>100</v>
      </c>
      <c r="DK378" s="2" t="n">
        <v>100</v>
      </c>
      <c r="DL378" s="2" t="n">
        <v>0</v>
      </c>
      <c r="DM378" s="2" t="n">
        <v>100</v>
      </c>
      <c r="DN378" s="2" t="n">
        <v>100</v>
      </c>
      <c r="DO378" s="2" t="n">
        <v>0</v>
      </c>
      <c r="DP378" s="2" t="n">
        <v>100</v>
      </c>
      <c r="DQ378" s="2" t="n">
        <v>100</v>
      </c>
      <c r="DR378" s="2" t="n">
        <v>0</v>
      </c>
      <c r="DS378" s="2" t="n">
        <v>100</v>
      </c>
      <c r="DT378" s="2" t="n">
        <v>100</v>
      </c>
      <c r="DU378" s="2" t="n">
        <v>0</v>
      </c>
      <c r="DV378" s="2" t="n">
        <v>100</v>
      </c>
      <c r="DW378" s="2" t="n">
        <v>100</v>
      </c>
      <c r="DX378" s="2" t="n">
        <v>0</v>
      </c>
      <c r="DY378" s="2" t="n">
        <v>100</v>
      </c>
      <c r="DZ378" s="2" t="n">
        <v>100</v>
      </c>
      <c r="EA378" s="2" t="n">
        <v>0</v>
      </c>
      <c r="EB378" s="2" t="n">
        <v>100</v>
      </c>
      <c r="EC378" s="2" t="n">
        <v>100</v>
      </c>
      <c r="ED378" s="2" t="n">
        <v>0</v>
      </c>
      <c r="EE378" s="2" t="n">
        <v>100</v>
      </c>
      <c r="EF378" s="2" t="n">
        <v>100</v>
      </c>
      <c r="EG378" s="2" t="n">
        <v>0</v>
      </c>
      <c r="EH378" s="2" t="n">
        <v>100</v>
      </c>
      <c r="EI378" s="2" t="n">
        <v>100</v>
      </c>
      <c r="EJ378" s="2" t="n">
        <v>0</v>
      </c>
      <c r="EK378" s="2" t="n">
        <v>100</v>
      </c>
      <c r="EL378" s="2" t="n">
        <v>100</v>
      </c>
      <c r="EM378" s="2" t="n">
        <v>0</v>
      </c>
      <c r="EN378" s="2" t="n">
        <v>100</v>
      </c>
      <c r="EO378" s="2" t="n">
        <v>100</v>
      </c>
      <c r="EP378" s="2" t="n">
        <v>0</v>
      </c>
      <c r="EQ378" s="2" t="n">
        <v>100</v>
      </c>
      <c r="ER378" s="2" t="n">
        <v>100</v>
      </c>
      <c r="ES378" s="2" t="n">
        <v>0</v>
      </c>
    </row>
    <row r="379">
      <c r="A379" s="2" t="n">
        <v>4</v>
      </c>
      <c r="B379" s="2" t="inlineStr">
        <is>
          <t>18.02.01.04</t>
        </is>
      </c>
      <c r="C379" s="2" t="inlineStr">
        <is>
          <t>Amarração de Alvenaria</t>
        </is>
      </c>
      <c r="D379" s="2" t="inlineStr">
        <is>
          <t>16/03/2027</t>
        </is>
      </c>
      <c r="E379" s="2" t="inlineStr">
        <is>
          <t>04/05/2028</t>
        </is>
      </c>
      <c r="F379" s="2" t="n">
        <v>728.0647953589515</v>
      </c>
      <c r="G379" s="2" t="n">
        <v>0</v>
      </c>
      <c r="H379" s="2" t="n">
        <v>728.0647953589515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  <c r="AN379" s="2" t="n">
        <v>0</v>
      </c>
      <c r="AO379" s="2" t="n">
        <v>0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n">
        <v>0</v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n">
        <v>0</v>
      </c>
      <c r="BI379" s="2" t="n">
        <v>0</v>
      </c>
      <c r="BJ379" s="2" t="n">
        <v>0</v>
      </c>
      <c r="BK379" s="2" t="n">
        <v>0</v>
      </c>
      <c r="BL379" s="2" t="n">
        <v>0</v>
      </c>
      <c r="BM379" s="2" t="n">
        <v>0</v>
      </c>
      <c r="BN379" s="2" t="n">
        <v>0</v>
      </c>
      <c r="BO379" s="2" t="n">
        <v>0</v>
      </c>
      <c r="BP379" s="2" t="n">
        <v>0</v>
      </c>
      <c r="BQ379" s="2" t="n">
        <v>0</v>
      </c>
      <c r="BR379" s="2" t="n">
        <v>0</v>
      </c>
      <c r="BS379" s="2" t="n">
        <v>0</v>
      </c>
      <c r="BT379" s="2" t="n">
        <v>1.58</v>
      </c>
      <c r="BU379" s="2" t="n">
        <v>2.89</v>
      </c>
      <c r="BV379" s="2" t="n">
        <v>0</v>
      </c>
      <c r="BW379" s="2" t="n">
        <v>7.09</v>
      </c>
      <c r="BX379" s="2" t="n">
        <v>10.52</v>
      </c>
      <c r="BY379" s="2" t="n">
        <v>0</v>
      </c>
      <c r="BZ379" s="2" t="n">
        <v>18.31</v>
      </c>
      <c r="CA379" s="2" t="n">
        <v>22.87</v>
      </c>
      <c r="CB379" s="2" t="n">
        <v>0</v>
      </c>
      <c r="CC379" s="2" t="n">
        <v>33.02</v>
      </c>
      <c r="CD379" s="2" t="n">
        <v>37.18</v>
      </c>
      <c r="CE379" s="2" t="n">
        <v>0</v>
      </c>
      <c r="CF379" s="2" t="n">
        <v>42.74</v>
      </c>
      <c r="CG379" s="2" t="n">
        <v>46.92</v>
      </c>
      <c r="CH379" s="2" t="n">
        <v>0</v>
      </c>
      <c r="CI379" s="2" t="n">
        <v>52.53</v>
      </c>
      <c r="CJ379" s="2" t="n">
        <v>56.7</v>
      </c>
      <c r="CK379" s="2" t="n">
        <v>0</v>
      </c>
      <c r="CL379" s="2" t="n">
        <v>61.5</v>
      </c>
      <c r="CM379" s="2" t="n">
        <v>65.65000000000001</v>
      </c>
      <c r="CN379" s="2" t="n">
        <v>0</v>
      </c>
      <c r="CO379" s="2" t="n">
        <v>69.90000000000001</v>
      </c>
      <c r="CP379" s="2" t="n">
        <v>74.06</v>
      </c>
      <c r="CQ379" s="2" t="n">
        <v>0</v>
      </c>
      <c r="CR379" s="2" t="n">
        <v>78.81</v>
      </c>
      <c r="CS379" s="2" t="n">
        <v>82.95</v>
      </c>
      <c r="CT379" s="2" t="n">
        <v>0</v>
      </c>
      <c r="CU379" s="2" t="n">
        <v>85.27</v>
      </c>
      <c r="CV379" s="2" t="n">
        <v>89.28</v>
      </c>
      <c r="CW379" s="2" t="n">
        <v>0</v>
      </c>
      <c r="CX379" s="2" t="n">
        <v>93.92</v>
      </c>
      <c r="CY379" s="2" t="n">
        <v>96.45</v>
      </c>
      <c r="CZ379" s="2" t="n">
        <v>0</v>
      </c>
      <c r="DA379" s="2" t="n">
        <v>96.98</v>
      </c>
      <c r="DB379" s="2" t="n">
        <v>96.98</v>
      </c>
      <c r="DC379" s="2" t="n">
        <v>0</v>
      </c>
      <c r="DD379" s="2" t="n">
        <v>97.51000000000001</v>
      </c>
      <c r="DE379" s="2" t="n">
        <v>98.98</v>
      </c>
      <c r="DF379" s="2" t="n">
        <v>0</v>
      </c>
      <c r="DG379" s="2" t="n">
        <v>99.61</v>
      </c>
      <c r="DH379" s="2" t="n">
        <v>99.92</v>
      </c>
      <c r="DI379" s="2" t="n">
        <v>0</v>
      </c>
      <c r="DJ379" s="2" t="n">
        <v>100</v>
      </c>
      <c r="DK379" s="2" t="n">
        <v>100</v>
      </c>
      <c r="DL379" s="2" t="n">
        <v>0</v>
      </c>
      <c r="DM379" s="2" t="n">
        <v>100</v>
      </c>
      <c r="DN379" s="2" t="n">
        <v>100</v>
      </c>
      <c r="DO379" s="2" t="n">
        <v>0</v>
      </c>
      <c r="DP379" s="2" t="n">
        <v>100</v>
      </c>
      <c r="DQ379" s="2" t="n">
        <v>100</v>
      </c>
      <c r="DR379" s="2" t="n">
        <v>0</v>
      </c>
      <c r="DS379" s="2" t="n">
        <v>100</v>
      </c>
      <c r="DT379" s="2" t="n">
        <v>100</v>
      </c>
      <c r="DU379" s="2" t="n">
        <v>0</v>
      </c>
      <c r="DV379" s="2" t="n">
        <v>100</v>
      </c>
      <c r="DW379" s="2" t="n">
        <v>100</v>
      </c>
      <c r="DX379" s="2" t="n">
        <v>0</v>
      </c>
      <c r="DY379" s="2" t="n">
        <v>100</v>
      </c>
      <c r="DZ379" s="2" t="n">
        <v>100</v>
      </c>
      <c r="EA379" s="2" t="n">
        <v>0</v>
      </c>
      <c r="EB379" s="2" t="n">
        <v>100</v>
      </c>
      <c r="EC379" s="2" t="n">
        <v>100</v>
      </c>
      <c r="ED379" s="2" t="n">
        <v>0</v>
      </c>
      <c r="EE379" s="2" t="n">
        <v>100</v>
      </c>
      <c r="EF379" s="2" t="n">
        <v>100</v>
      </c>
      <c r="EG379" s="2" t="n">
        <v>0</v>
      </c>
      <c r="EH379" s="2" t="n">
        <v>100</v>
      </c>
      <c r="EI379" s="2" t="n">
        <v>100</v>
      </c>
      <c r="EJ379" s="2" t="n">
        <v>0</v>
      </c>
      <c r="EK379" s="2" t="n">
        <v>100</v>
      </c>
      <c r="EL379" s="2" t="n">
        <v>100</v>
      </c>
      <c r="EM379" s="2" t="n">
        <v>0</v>
      </c>
      <c r="EN379" s="2" t="n">
        <v>100</v>
      </c>
      <c r="EO379" s="2" t="n">
        <v>100</v>
      </c>
      <c r="EP379" s="2" t="n">
        <v>0</v>
      </c>
      <c r="EQ379" s="2" t="n">
        <v>100</v>
      </c>
      <c r="ER379" s="2" t="n">
        <v>100</v>
      </c>
      <c r="ES379" s="2" t="n">
        <v>0</v>
      </c>
    </row>
    <row r="380">
      <c r="A380" s="2" t="n">
        <v>3</v>
      </c>
      <c r="B380" s="2" t="inlineStr">
        <is>
          <t>18.02.02</t>
        </is>
      </c>
      <c r="C380" s="2" t="inlineStr">
        <is>
          <t>Esp. 14cm</t>
        </is>
      </c>
      <c r="D380" s="2" t="inlineStr">
        <is>
          <t>16/03/2027</t>
        </is>
      </c>
      <c r="E380" s="2" t="inlineStr">
        <is>
          <t>04/05/2028</t>
        </is>
      </c>
      <c r="F380" s="2" t="n">
        <v>64343.55509206609</v>
      </c>
      <c r="G380" s="2" t="n">
        <v>0</v>
      </c>
      <c r="H380" s="2" t="n">
        <v>64343.55509206609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0</v>
      </c>
      <c r="AN380" s="2" t="n">
        <v>0</v>
      </c>
      <c r="AO380" s="2" t="n">
        <v>0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n">
        <v>0</v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n">
        <v>0</v>
      </c>
      <c r="BI380" s="2" t="n">
        <v>0</v>
      </c>
      <c r="BJ380" s="2" t="n">
        <v>0</v>
      </c>
      <c r="BK380" s="2" t="n">
        <v>0</v>
      </c>
      <c r="BL380" s="2" t="n">
        <v>0</v>
      </c>
      <c r="BM380" s="2" t="n">
        <v>0</v>
      </c>
      <c r="BN380" s="2" t="n">
        <v>0</v>
      </c>
      <c r="BO380" s="2" t="n">
        <v>0</v>
      </c>
      <c r="BP380" s="2" t="n">
        <v>0</v>
      </c>
      <c r="BQ380" s="2" t="n">
        <v>0</v>
      </c>
      <c r="BR380" s="2" t="n">
        <v>0</v>
      </c>
      <c r="BS380" s="2" t="n">
        <v>0</v>
      </c>
      <c r="BT380" s="2" t="n">
        <v>1.58</v>
      </c>
      <c r="BU380" s="2" t="n">
        <v>2.89</v>
      </c>
      <c r="BV380" s="2" t="n">
        <v>0</v>
      </c>
      <c r="BW380" s="2" t="n">
        <v>7.09</v>
      </c>
      <c r="BX380" s="2" t="n">
        <v>10.52</v>
      </c>
      <c r="BY380" s="2" t="n">
        <v>0</v>
      </c>
      <c r="BZ380" s="2" t="n">
        <v>18.31</v>
      </c>
      <c r="CA380" s="2" t="n">
        <v>22.87</v>
      </c>
      <c r="CB380" s="2" t="n">
        <v>0</v>
      </c>
      <c r="CC380" s="2" t="n">
        <v>33.02</v>
      </c>
      <c r="CD380" s="2" t="n">
        <v>37.18</v>
      </c>
      <c r="CE380" s="2" t="n">
        <v>0</v>
      </c>
      <c r="CF380" s="2" t="n">
        <v>42.74</v>
      </c>
      <c r="CG380" s="2" t="n">
        <v>46.92</v>
      </c>
      <c r="CH380" s="2" t="n">
        <v>0</v>
      </c>
      <c r="CI380" s="2" t="n">
        <v>52.53</v>
      </c>
      <c r="CJ380" s="2" t="n">
        <v>56.7</v>
      </c>
      <c r="CK380" s="2" t="n">
        <v>0</v>
      </c>
      <c r="CL380" s="2" t="n">
        <v>61.5</v>
      </c>
      <c r="CM380" s="2" t="n">
        <v>65.65000000000001</v>
      </c>
      <c r="CN380" s="2" t="n">
        <v>0</v>
      </c>
      <c r="CO380" s="2" t="n">
        <v>69.90000000000001</v>
      </c>
      <c r="CP380" s="2" t="n">
        <v>74.06</v>
      </c>
      <c r="CQ380" s="2" t="n">
        <v>0</v>
      </c>
      <c r="CR380" s="2" t="n">
        <v>78.81</v>
      </c>
      <c r="CS380" s="2" t="n">
        <v>82.95</v>
      </c>
      <c r="CT380" s="2" t="n">
        <v>0</v>
      </c>
      <c r="CU380" s="2" t="n">
        <v>85.27</v>
      </c>
      <c r="CV380" s="2" t="n">
        <v>89.28</v>
      </c>
      <c r="CW380" s="2" t="n">
        <v>0</v>
      </c>
      <c r="CX380" s="2" t="n">
        <v>93.92</v>
      </c>
      <c r="CY380" s="2" t="n">
        <v>96.45</v>
      </c>
      <c r="CZ380" s="2" t="n">
        <v>0</v>
      </c>
      <c r="DA380" s="2" t="n">
        <v>96.98</v>
      </c>
      <c r="DB380" s="2" t="n">
        <v>96.98</v>
      </c>
      <c r="DC380" s="2" t="n">
        <v>0</v>
      </c>
      <c r="DD380" s="2" t="n">
        <v>97.51000000000001</v>
      </c>
      <c r="DE380" s="2" t="n">
        <v>98.98</v>
      </c>
      <c r="DF380" s="2" t="n">
        <v>0</v>
      </c>
      <c r="DG380" s="2" t="n">
        <v>99.61</v>
      </c>
      <c r="DH380" s="2" t="n">
        <v>99.92</v>
      </c>
      <c r="DI380" s="2" t="n">
        <v>0</v>
      </c>
      <c r="DJ380" s="2" t="n">
        <v>100</v>
      </c>
      <c r="DK380" s="2" t="n">
        <v>100</v>
      </c>
      <c r="DL380" s="2" t="n">
        <v>0</v>
      </c>
      <c r="DM380" s="2" t="n">
        <v>100</v>
      </c>
      <c r="DN380" s="2" t="n">
        <v>100</v>
      </c>
      <c r="DO380" s="2" t="n">
        <v>0</v>
      </c>
      <c r="DP380" s="2" t="n">
        <v>100</v>
      </c>
      <c r="DQ380" s="2" t="n">
        <v>100</v>
      </c>
      <c r="DR380" s="2" t="n">
        <v>0</v>
      </c>
      <c r="DS380" s="2" t="n">
        <v>100</v>
      </c>
      <c r="DT380" s="2" t="n">
        <v>100</v>
      </c>
      <c r="DU380" s="2" t="n">
        <v>0</v>
      </c>
      <c r="DV380" s="2" t="n">
        <v>100</v>
      </c>
      <c r="DW380" s="2" t="n">
        <v>100</v>
      </c>
      <c r="DX380" s="2" t="n">
        <v>0</v>
      </c>
      <c r="DY380" s="2" t="n">
        <v>100</v>
      </c>
      <c r="DZ380" s="2" t="n">
        <v>100</v>
      </c>
      <c r="EA380" s="2" t="n">
        <v>0</v>
      </c>
      <c r="EB380" s="2" t="n">
        <v>100</v>
      </c>
      <c r="EC380" s="2" t="n">
        <v>100</v>
      </c>
      <c r="ED380" s="2" t="n">
        <v>0</v>
      </c>
      <c r="EE380" s="2" t="n">
        <v>100</v>
      </c>
      <c r="EF380" s="2" t="n">
        <v>100</v>
      </c>
      <c r="EG380" s="2" t="n">
        <v>0</v>
      </c>
      <c r="EH380" s="2" t="n">
        <v>100</v>
      </c>
      <c r="EI380" s="2" t="n">
        <v>100</v>
      </c>
      <c r="EJ380" s="2" t="n">
        <v>0</v>
      </c>
      <c r="EK380" s="2" t="n">
        <v>100</v>
      </c>
      <c r="EL380" s="2" t="n">
        <v>100</v>
      </c>
      <c r="EM380" s="2" t="n">
        <v>0</v>
      </c>
      <c r="EN380" s="2" t="n">
        <v>100</v>
      </c>
      <c r="EO380" s="2" t="n">
        <v>100</v>
      </c>
      <c r="EP380" s="2" t="n">
        <v>0</v>
      </c>
      <c r="EQ380" s="2" t="n">
        <v>100</v>
      </c>
      <c r="ER380" s="2" t="n">
        <v>100</v>
      </c>
      <c r="ES380" s="2" t="n">
        <v>0</v>
      </c>
    </row>
    <row r="381">
      <c r="A381" s="2" t="n">
        <v>4</v>
      </c>
      <c r="B381" s="2" t="inlineStr">
        <is>
          <t>18.02.02.01</t>
        </is>
      </c>
      <c r="C381" s="2" t="inlineStr">
        <is>
          <t>Demarcação de alvenaria de vedação com blocos de concreto  esp. 14cm</t>
        </is>
      </c>
      <c r="D381" s="2" t="inlineStr">
        <is>
          <t>16/03/2027</t>
        </is>
      </c>
      <c r="E381" s="2" t="inlineStr">
        <is>
          <t>04/05/2028</t>
        </is>
      </c>
      <c r="F381" s="2" t="n">
        <v>5526.107522190371</v>
      </c>
      <c r="G381" s="2" t="n">
        <v>0</v>
      </c>
      <c r="H381" s="2" t="n">
        <v>5526.107522190371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  <c r="AN381" s="2" t="n">
        <v>0</v>
      </c>
      <c r="AO381" s="2" t="n">
        <v>0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n">
        <v>0</v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n">
        <v>0</v>
      </c>
      <c r="BI381" s="2" t="n">
        <v>0</v>
      </c>
      <c r="BJ381" s="2" t="n">
        <v>0</v>
      </c>
      <c r="BK381" s="2" t="n">
        <v>0</v>
      </c>
      <c r="BL381" s="2" t="n">
        <v>0</v>
      </c>
      <c r="BM381" s="2" t="n">
        <v>0</v>
      </c>
      <c r="BN381" s="2" t="n">
        <v>0</v>
      </c>
      <c r="BO381" s="2" t="n">
        <v>0</v>
      </c>
      <c r="BP381" s="2" t="n">
        <v>0</v>
      </c>
      <c r="BQ381" s="2" t="n">
        <v>0</v>
      </c>
      <c r="BR381" s="2" t="n">
        <v>0</v>
      </c>
      <c r="BS381" s="2" t="n">
        <v>0</v>
      </c>
      <c r="BT381" s="2" t="n">
        <v>1.58</v>
      </c>
      <c r="BU381" s="2" t="n">
        <v>2.89</v>
      </c>
      <c r="BV381" s="2" t="n">
        <v>0</v>
      </c>
      <c r="BW381" s="2" t="n">
        <v>7.09</v>
      </c>
      <c r="BX381" s="2" t="n">
        <v>10.52</v>
      </c>
      <c r="BY381" s="2" t="n">
        <v>0</v>
      </c>
      <c r="BZ381" s="2" t="n">
        <v>18.31</v>
      </c>
      <c r="CA381" s="2" t="n">
        <v>22.87</v>
      </c>
      <c r="CB381" s="2" t="n">
        <v>0</v>
      </c>
      <c r="CC381" s="2" t="n">
        <v>33.02</v>
      </c>
      <c r="CD381" s="2" t="n">
        <v>37.18</v>
      </c>
      <c r="CE381" s="2" t="n">
        <v>0</v>
      </c>
      <c r="CF381" s="2" t="n">
        <v>42.74</v>
      </c>
      <c r="CG381" s="2" t="n">
        <v>46.92</v>
      </c>
      <c r="CH381" s="2" t="n">
        <v>0</v>
      </c>
      <c r="CI381" s="2" t="n">
        <v>52.53</v>
      </c>
      <c r="CJ381" s="2" t="n">
        <v>56.7</v>
      </c>
      <c r="CK381" s="2" t="n">
        <v>0</v>
      </c>
      <c r="CL381" s="2" t="n">
        <v>61.5</v>
      </c>
      <c r="CM381" s="2" t="n">
        <v>65.65000000000001</v>
      </c>
      <c r="CN381" s="2" t="n">
        <v>0</v>
      </c>
      <c r="CO381" s="2" t="n">
        <v>69.90000000000001</v>
      </c>
      <c r="CP381" s="2" t="n">
        <v>74.06</v>
      </c>
      <c r="CQ381" s="2" t="n">
        <v>0</v>
      </c>
      <c r="CR381" s="2" t="n">
        <v>78.81</v>
      </c>
      <c r="CS381" s="2" t="n">
        <v>82.95</v>
      </c>
      <c r="CT381" s="2" t="n">
        <v>0</v>
      </c>
      <c r="CU381" s="2" t="n">
        <v>85.27</v>
      </c>
      <c r="CV381" s="2" t="n">
        <v>89.28</v>
      </c>
      <c r="CW381" s="2" t="n">
        <v>0</v>
      </c>
      <c r="CX381" s="2" t="n">
        <v>93.92</v>
      </c>
      <c r="CY381" s="2" t="n">
        <v>96.45</v>
      </c>
      <c r="CZ381" s="2" t="n">
        <v>0</v>
      </c>
      <c r="DA381" s="2" t="n">
        <v>96.98</v>
      </c>
      <c r="DB381" s="2" t="n">
        <v>96.98</v>
      </c>
      <c r="DC381" s="2" t="n">
        <v>0</v>
      </c>
      <c r="DD381" s="2" t="n">
        <v>97.51000000000001</v>
      </c>
      <c r="DE381" s="2" t="n">
        <v>98.98</v>
      </c>
      <c r="DF381" s="2" t="n">
        <v>0</v>
      </c>
      <c r="DG381" s="2" t="n">
        <v>99.61</v>
      </c>
      <c r="DH381" s="2" t="n">
        <v>99.92</v>
      </c>
      <c r="DI381" s="2" t="n">
        <v>0</v>
      </c>
      <c r="DJ381" s="2" t="n">
        <v>100</v>
      </c>
      <c r="DK381" s="2" t="n">
        <v>100</v>
      </c>
      <c r="DL381" s="2" t="n">
        <v>0</v>
      </c>
      <c r="DM381" s="2" t="n">
        <v>100</v>
      </c>
      <c r="DN381" s="2" t="n">
        <v>100</v>
      </c>
      <c r="DO381" s="2" t="n">
        <v>0</v>
      </c>
      <c r="DP381" s="2" t="n">
        <v>100</v>
      </c>
      <c r="DQ381" s="2" t="n">
        <v>100</v>
      </c>
      <c r="DR381" s="2" t="n">
        <v>0</v>
      </c>
      <c r="DS381" s="2" t="n">
        <v>100</v>
      </c>
      <c r="DT381" s="2" t="n">
        <v>100</v>
      </c>
      <c r="DU381" s="2" t="n">
        <v>0</v>
      </c>
      <c r="DV381" s="2" t="n">
        <v>100</v>
      </c>
      <c r="DW381" s="2" t="n">
        <v>100</v>
      </c>
      <c r="DX381" s="2" t="n">
        <v>0</v>
      </c>
      <c r="DY381" s="2" t="n">
        <v>100</v>
      </c>
      <c r="DZ381" s="2" t="n">
        <v>100</v>
      </c>
      <c r="EA381" s="2" t="n">
        <v>0</v>
      </c>
      <c r="EB381" s="2" t="n">
        <v>100</v>
      </c>
      <c r="EC381" s="2" t="n">
        <v>100</v>
      </c>
      <c r="ED381" s="2" t="n">
        <v>0</v>
      </c>
      <c r="EE381" s="2" t="n">
        <v>100</v>
      </c>
      <c r="EF381" s="2" t="n">
        <v>100</v>
      </c>
      <c r="EG381" s="2" t="n">
        <v>0</v>
      </c>
      <c r="EH381" s="2" t="n">
        <v>100</v>
      </c>
      <c r="EI381" s="2" t="n">
        <v>100</v>
      </c>
      <c r="EJ381" s="2" t="n">
        <v>0</v>
      </c>
      <c r="EK381" s="2" t="n">
        <v>100</v>
      </c>
      <c r="EL381" s="2" t="n">
        <v>100</v>
      </c>
      <c r="EM381" s="2" t="n">
        <v>0</v>
      </c>
      <c r="EN381" s="2" t="n">
        <v>100</v>
      </c>
      <c r="EO381" s="2" t="n">
        <v>100</v>
      </c>
      <c r="EP381" s="2" t="n">
        <v>0</v>
      </c>
      <c r="EQ381" s="2" t="n">
        <v>100</v>
      </c>
      <c r="ER381" s="2" t="n">
        <v>100</v>
      </c>
      <c r="ES381" s="2" t="n">
        <v>0</v>
      </c>
    </row>
    <row r="382">
      <c r="A382" s="2" t="n">
        <v>4</v>
      </c>
      <c r="B382" s="2" t="inlineStr">
        <is>
          <t>18.02.02.02</t>
        </is>
      </c>
      <c r="C382" s="2" t="inlineStr">
        <is>
          <t>Alvenaria de vedação com blocos de concreto esp. 14m</t>
        </is>
      </c>
      <c r="D382" s="2" t="inlineStr">
        <is>
          <t>16/03/2027</t>
        </is>
      </c>
      <c r="E382" s="2" t="inlineStr">
        <is>
          <t>04/05/2028</t>
        </is>
      </c>
      <c r="F382" s="2" t="n">
        <v>55342.47286484025</v>
      </c>
      <c r="G382" s="2" t="n">
        <v>0</v>
      </c>
      <c r="H382" s="2" t="n">
        <v>55342.47286484025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0</v>
      </c>
      <c r="AM382" s="2" t="n">
        <v>0</v>
      </c>
      <c r="AN382" s="2" t="n">
        <v>0</v>
      </c>
      <c r="AO382" s="2" t="n">
        <v>0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n">
        <v>0</v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  <c r="BM382" s="2" t="n">
        <v>0</v>
      </c>
      <c r="BN382" s="2" t="n">
        <v>0</v>
      </c>
      <c r="BO382" s="2" t="n">
        <v>0</v>
      </c>
      <c r="BP382" s="2" t="n">
        <v>0</v>
      </c>
      <c r="BQ382" s="2" t="n">
        <v>0</v>
      </c>
      <c r="BR382" s="2" t="n">
        <v>0</v>
      </c>
      <c r="BS382" s="2" t="n">
        <v>0</v>
      </c>
      <c r="BT382" s="2" t="n">
        <v>1.58</v>
      </c>
      <c r="BU382" s="2" t="n">
        <v>2.89</v>
      </c>
      <c r="BV382" s="2" t="n">
        <v>0</v>
      </c>
      <c r="BW382" s="2" t="n">
        <v>7.09</v>
      </c>
      <c r="BX382" s="2" t="n">
        <v>10.52</v>
      </c>
      <c r="BY382" s="2" t="n">
        <v>0</v>
      </c>
      <c r="BZ382" s="2" t="n">
        <v>18.31</v>
      </c>
      <c r="CA382" s="2" t="n">
        <v>22.87</v>
      </c>
      <c r="CB382" s="2" t="n">
        <v>0</v>
      </c>
      <c r="CC382" s="2" t="n">
        <v>33.02</v>
      </c>
      <c r="CD382" s="2" t="n">
        <v>37.18</v>
      </c>
      <c r="CE382" s="2" t="n">
        <v>0</v>
      </c>
      <c r="CF382" s="2" t="n">
        <v>42.74</v>
      </c>
      <c r="CG382" s="2" t="n">
        <v>46.92</v>
      </c>
      <c r="CH382" s="2" t="n">
        <v>0</v>
      </c>
      <c r="CI382" s="2" t="n">
        <v>52.53</v>
      </c>
      <c r="CJ382" s="2" t="n">
        <v>56.7</v>
      </c>
      <c r="CK382" s="2" t="n">
        <v>0</v>
      </c>
      <c r="CL382" s="2" t="n">
        <v>61.5</v>
      </c>
      <c r="CM382" s="2" t="n">
        <v>65.65000000000001</v>
      </c>
      <c r="CN382" s="2" t="n">
        <v>0</v>
      </c>
      <c r="CO382" s="2" t="n">
        <v>69.90000000000001</v>
      </c>
      <c r="CP382" s="2" t="n">
        <v>74.06</v>
      </c>
      <c r="CQ382" s="2" t="n">
        <v>0</v>
      </c>
      <c r="CR382" s="2" t="n">
        <v>78.81</v>
      </c>
      <c r="CS382" s="2" t="n">
        <v>82.95</v>
      </c>
      <c r="CT382" s="2" t="n">
        <v>0</v>
      </c>
      <c r="CU382" s="2" t="n">
        <v>85.27</v>
      </c>
      <c r="CV382" s="2" t="n">
        <v>89.28</v>
      </c>
      <c r="CW382" s="2" t="n">
        <v>0</v>
      </c>
      <c r="CX382" s="2" t="n">
        <v>93.92</v>
      </c>
      <c r="CY382" s="2" t="n">
        <v>96.45</v>
      </c>
      <c r="CZ382" s="2" t="n">
        <v>0</v>
      </c>
      <c r="DA382" s="2" t="n">
        <v>96.98</v>
      </c>
      <c r="DB382" s="2" t="n">
        <v>96.98</v>
      </c>
      <c r="DC382" s="2" t="n">
        <v>0</v>
      </c>
      <c r="DD382" s="2" t="n">
        <v>97.51000000000001</v>
      </c>
      <c r="DE382" s="2" t="n">
        <v>98.98</v>
      </c>
      <c r="DF382" s="2" t="n">
        <v>0</v>
      </c>
      <c r="DG382" s="2" t="n">
        <v>99.61</v>
      </c>
      <c r="DH382" s="2" t="n">
        <v>99.92</v>
      </c>
      <c r="DI382" s="2" t="n">
        <v>0</v>
      </c>
      <c r="DJ382" s="2" t="n">
        <v>100</v>
      </c>
      <c r="DK382" s="2" t="n">
        <v>100</v>
      </c>
      <c r="DL382" s="2" t="n">
        <v>0</v>
      </c>
      <c r="DM382" s="2" t="n">
        <v>100</v>
      </c>
      <c r="DN382" s="2" t="n">
        <v>100</v>
      </c>
      <c r="DO382" s="2" t="n">
        <v>0</v>
      </c>
      <c r="DP382" s="2" t="n">
        <v>100</v>
      </c>
      <c r="DQ382" s="2" t="n">
        <v>100</v>
      </c>
      <c r="DR382" s="2" t="n">
        <v>0</v>
      </c>
      <c r="DS382" s="2" t="n">
        <v>100</v>
      </c>
      <c r="DT382" s="2" t="n">
        <v>100</v>
      </c>
      <c r="DU382" s="2" t="n">
        <v>0</v>
      </c>
      <c r="DV382" s="2" t="n">
        <v>100</v>
      </c>
      <c r="DW382" s="2" t="n">
        <v>100</v>
      </c>
      <c r="DX382" s="2" t="n">
        <v>0</v>
      </c>
      <c r="DY382" s="2" t="n">
        <v>100</v>
      </c>
      <c r="DZ382" s="2" t="n">
        <v>100</v>
      </c>
      <c r="EA382" s="2" t="n">
        <v>0</v>
      </c>
      <c r="EB382" s="2" t="n">
        <v>100</v>
      </c>
      <c r="EC382" s="2" t="n">
        <v>100</v>
      </c>
      <c r="ED382" s="2" t="n">
        <v>0</v>
      </c>
      <c r="EE382" s="2" t="n">
        <v>100</v>
      </c>
      <c r="EF382" s="2" t="n">
        <v>100</v>
      </c>
      <c r="EG382" s="2" t="n">
        <v>0</v>
      </c>
      <c r="EH382" s="2" t="n">
        <v>100</v>
      </c>
      <c r="EI382" s="2" t="n">
        <v>100</v>
      </c>
      <c r="EJ382" s="2" t="n">
        <v>0</v>
      </c>
      <c r="EK382" s="2" t="n">
        <v>100</v>
      </c>
      <c r="EL382" s="2" t="n">
        <v>100</v>
      </c>
      <c r="EM382" s="2" t="n">
        <v>0</v>
      </c>
      <c r="EN382" s="2" t="n">
        <v>100</v>
      </c>
      <c r="EO382" s="2" t="n">
        <v>100</v>
      </c>
      <c r="EP382" s="2" t="n">
        <v>0</v>
      </c>
      <c r="EQ382" s="2" t="n">
        <v>100</v>
      </c>
      <c r="ER382" s="2" t="n">
        <v>100</v>
      </c>
      <c r="ES382" s="2" t="n">
        <v>0</v>
      </c>
    </row>
    <row r="383">
      <c r="A383" s="2" t="n">
        <v>4</v>
      </c>
      <c r="B383" s="2" t="inlineStr">
        <is>
          <t>18.02.02.03</t>
        </is>
      </c>
      <c r="C383" s="2" t="inlineStr">
        <is>
          <t>Encunhamento com espuma expansiva de poliuretano</t>
        </is>
      </c>
      <c r="D383" s="2" t="inlineStr">
        <is>
          <t>16/03/2027</t>
        </is>
      </c>
      <c r="E383" s="2" t="inlineStr">
        <is>
          <t>04/05/2028</t>
        </is>
      </c>
      <c r="F383" s="2" t="n">
        <v>1607.7710386051</v>
      </c>
      <c r="G383" s="2" t="n">
        <v>0</v>
      </c>
      <c r="H383" s="2" t="n">
        <v>1607.7710386051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  <c r="AN383" s="2" t="n">
        <v>0</v>
      </c>
      <c r="AO383" s="2" t="n">
        <v>0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n">
        <v>0</v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n">
        <v>0</v>
      </c>
      <c r="BI383" s="2" t="n">
        <v>0</v>
      </c>
      <c r="BJ383" s="2" t="n">
        <v>0</v>
      </c>
      <c r="BK383" s="2" t="n">
        <v>0</v>
      </c>
      <c r="BL383" s="2" t="n">
        <v>0</v>
      </c>
      <c r="BM383" s="2" t="n">
        <v>0</v>
      </c>
      <c r="BN383" s="2" t="n">
        <v>0</v>
      </c>
      <c r="BO383" s="2" t="n">
        <v>0</v>
      </c>
      <c r="BP383" s="2" t="n">
        <v>0</v>
      </c>
      <c r="BQ383" s="2" t="n">
        <v>0</v>
      </c>
      <c r="BR383" s="2" t="n">
        <v>0</v>
      </c>
      <c r="BS383" s="2" t="n">
        <v>0</v>
      </c>
      <c r="BT383" s="2" t="n">
        <v>1.58</v>
      </c>
      <c r="BU383" s="2" t="n">
        <v>2.89</v>
      </c>
      <c r="BV383" s="2" t="n">
        <v>0</v>
      </c>
      <c r="BW383" s="2" t="n">
        <v>7.09</v>
      </c>
      <c r="BX383" s="2" t="n">
        <v>10.52</v>
      </c>
      <c r="BY383" s="2" t="n">
        <v>0</v>
      </c>
      <c r="BZ383" s="2" t="n">
        <v>18.31</v>
      </c>
      <c r="CA383" s="2" t="n">
        <v>22.87</v>
      </c>
      <c r="CB383" s="2" t="n">
        <v>0</v>
      </c>
      <c r="CC383" s="2" t="n">
        <v>33.02</v>
      </c>
      <c r="CD383" s="2" t="n">
        <v>37.18</v>
      </c>
      <c r="CE383" s="2" t="n">
        <v>0</v>
      </c>
      <c r="CF383" s="2" t="n">
        <v>42.74</v>
      </c>
      <c r="CG383" s="2" t="n">
        <v>46.92</v>
      </c>
      <c r="CH383" s="2" t="n">
        <v>0</v>
      </c>
      <c r="CI383" s="2" t="n">
        <v>52.53</v>
      </c>
      <c r="CJ383" s="2" t="n">
        <v>56.7</v>
      </c>
      <c r="CK383" s="2" t="n">
        <v>0</v>
      </c>
      <c r="CL383" s="2" t="n">
        <v>61.5</v>
      </c>
      <c r="CM383" s="2" t="n">
        <v>65.65000000000001</v>
      </c>
      <c r="CN383" s="2" t="n">
        <v>0</v>
      </c>
      <c r="CO383" s="2" t="n">
        <v>69.90000000000001</v>
      </c>
      <c r="CP383" s="2" t="n">
        <v>74.06</v>
      </c>
      <c r="CQ383" s="2" t="n">
        <v>0</v>
      </c>
      <c r="CR383" s="2" t="n">
        <v>78.81</v>
      </c>
      <c r="CS383" s="2" t="n">
        <v>82.95</v>
      </c>
      <c r="CT383" s="2" t="n">
        <v>0</v>
      </c>
      <c r="CU383" s="2" t="n">
        <v>85.27</v>
      </c>
      <c r="CV383" s="2" t="n">
        <v>89.28</v>
      </c>
      <c r="CW383" s="2" t="n">
        <v>0</v>
      </c>
      <c r="CX383" s="2" t="n">
        <v>93.92</v>
      </c>
      <c r="CY383" s="2" t="n">
        <v>96.45</v>
      </c>
      <c r="CZ383" s="2" t="n">
        <v>0</v>
      </c>
      <c r="DA383" s="2" t="n">
        <v>96.98</v>
      </c>
      <c r="DB383" s="2" t="n">
        <v>96.98</v>
      </c>
      <c r="DC383" s="2" t="n">
        <v>0</v>
      </c>
      <c r="DD383" s="2" t="n">
        <v>97.51000000000001</v>
      </c>
      <c r="DE383" s="2" t="n">
        <v>98.98</v>
      </c>
      <c r="DF383" s="2" t="n">
        <v>0</v>
      </c>
      <c r="DG383" s="2" t="n">
        <v>99.61</v>
      </c>
      <c r="DH383" s="2" t="n">
        <v>99.92</v>
      </c>
      <c r="DI383" s="2" t="n">
        <v>0</v>
      </c>
      <c r="DJ383" s="2" t="n">
        <v>100</v>
      </c>
      <c r="DK383" s="2" t="n">
        <v>100</v>
      </c>
      <c r="DL383" s="2" t="n">
        <v>0</v>
      </c>
      <c r="DM383" s="2" t="n">
        <v>100</v>
      </c>
      <c r="DN383" s="2" t="n">
        <v>100</v>
      </c>
      <c r="DO383" s="2" t="n">
        <v>0</v>
      </c>
      <c r="DP383" s="2" t="n">
        <v>100</v>
      </c>
      <c r="DQ383" s="2" t="n">
        <v>100</v>
      </c>
      <c r="DR383" s="2" t="n">
        <v>0</v>
      </c>
      <c r="DS383" s="2" t="n">
        <v>100</v>
      </c>
      <c r="DT383" s="2" t="n">
        <v>100</v>
      </c>
      <c r="DU383" s="2" t="n">
        <v>0</v>
      </c>
      <c r="DV383" s="2" t="n">
        <v>100</v>
      </c>
      <c r="DW383" s="2" t="n">
        <v>100</v>
      </c>
      <c r="DX383" s="2" t="n">
        <v>0</v>
      </c>
      <c r="DY383" s="2" t="n">
        <v>100</v>
      </c>
      <c r="DZ383" s="2" t="n">
        <v>100</v>
      </c>
      <c r="EA383" s="2" t="n">
        <v>0</v>
      </c>
      <c r="EB383" s="2" t="n">
        <v>100</v>
      </c>
      <c r="EC383" s="2" t="n">
        <v>100</v>
      </c>
      <c r="ED383" s="2" t="n">
        <v>0</v>
      </c>
      <c r="EE383" s="2" t="n">
        <v>100</v>
      </c>
      <c r="EF383" s="2" t="n">
        <v>100</v>
      </c>
      <c r="EG383" s="2" t="n">
        <v>0</v>
      </c>
      <c r="EH383" s="2" t="n">
        <v>100</v>
      </c>
      <c r="EI383" s="2" t="n">
        <v>100</v>
      </c>
      <c r="EJ383" s="2" t="n">
        <v>0</v>
      </c>
      <c r="EK383" s="2" t="n">
        <v>100</v>
      </c>
      <c r="EL383" s="2" t="n">
        <v>100</v>
      </c>
      <c r="EM383" s="2" t="n">
        <v>0</v>
      </c>
      <c r="EN383" s="2" t="n">
        <v>100</v>
      </c>
      <c r="EO383" s="2" t="n">
        <v>100</v>
      </c>
      <c r="EP383" s="2" t="n">
        <v>0</v>
      </c>
      <c r="EQ383" s="2" t="n">
        <v>100</v>
      </c>
      <c r="ER383" s="2" t="n">
        <v>100</v>
      </c>
      <c r="ES383" s="2" t="n">
        <v>0</v>
      </c>
    </row>
    <row r="384">
      <c r="A384" s="2" t="n">
        <v>4</v>
      </c>
      <c r="B384" s="2" t="inlineStr">
        <is>
          <t>18.02.02.04</t>
        </is>
      </c>
      <c r="C384" s="2" t="inlineStr">
        <is>
          <t>Amarração de Alvenaria</t>
        </is>
      </c>
      <c r="D384" s="2" t="inlineStr">
        <is>
          <t>16/03/2027</t>
        </is>
      </c>
      <c r="E384" s="2" t="inlineStr">
        <is>
          <t>04/05/2028</t>
        </is>
      </c>
      <c r="F384" s="2" t="n">
        <v>1867.203666430358</v>
      </c>
      <c r="G384" s="2" t="n">
        <v>0</v>
      </c>
      <c r="H384" s="2" t="n">
        <v>1867.203666430358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0</v>
      </c>
      <c r="AN384" s="2" t="n">
        <v>0</v>
      </c>
      <c r="AO384" s="2" t="n">
        <v>0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n">
        <v>0</v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n">
        <v>0</v>
      </c>
      <c r="BI384" s="2" t="n">
        <v>0</v>
      </c>
      <c r="BJ384" s="2" t="n">
        <v>0</v>
      </c>
      <c r="BK384" s="2" t="n">
        <v>0</v>
      </c>
      <c r="BL384" s="2" t="n">
        <v>0</v>
      </c>
      <c r="BM384" s="2" t="n">
        <v>0</v>
      </c>
      <c r="BN384" s="2" t="n">
        <v>0</v>
      </c>
      <c r="BO384" s="2" t="n">
        <v>0</v>
      </c>
      <c r="BP384" s="2" t="n">
        <v>0</v>
      </c>
      <c r="BQ384" s="2" t="n">
        <v>0</v>
      </c>
      <c r="BR384" s="2" t="n">
        <v>0</v>
      </c>
      <c r="BS384" s="2" t="n">
        <v>0</v>
      </c>
      <c r="BT384" s="2" t="n">
        <v>1.58</v>
      </c>
      <c r="BU384" s="2" t="n">
        <v>2.89</v>
      </c>
      <c r="BV384" s="2" t="n">
        <v>0</v>
      </c>
      <c r="BW384" s="2" t="n">
        <v>7.09</v>
      </c>
      <c r="BX384" s="2" t="n">
        <v>10.52</v>
      </c>
      <c r="BY384" s="2" t="n">
        <v>0</v>
      </c>
      <c r="BZ384" s="2" t="n">
        <v>18.31</v>
      </c>
      <c r="CA384" s="2" t="n">
        <v>22.87</v>
      </c>
      <c r="CB384" s="2" t="n">
        <v>0</v>
      </c>
      <c r="CC384" s="2" t="n">
        <v>33.02</v>
      </c>
      <c r="CD384" s="2" t="n">
        <v>37.18</v>
      </c>
      <c r="CE384" s="2" t="n">
        <v>0</v>
      </c>
      <c r="CF384" s="2" t="n">
        <v>42.74</v>
      </c>
      <c r="CG384" s="2" t="n">
        <v>46.92</v>
      </c>
      <c r="CH384" s="2" t="n">
        <v>0</v>
      </c>
      <c r="CI384" s="2" t="n">
        <v>52.53</v>
      </c>
      <c r="CJ384" s="2" t="n">
        <v>56.7</v>
      </c>
      <c r="CK384" s="2" t="n">
        <v>0</v>
      </c>
      <c r="CL384" s="2" t="n">
        <v>61.5</v>
      </c>
      <c r="CM384" s="2" t="n">
        <v>65.65000000000001</v>
      </c>
      <c r="CN384" s="2" t="n">
        <v>0</v>
      </c>
      <c r="CO384" s="2" t="n">
        <v>69.90000000000001</v>
      </c>
      <c r="CP384" s="2" t="n">
        <v>74.06</v>
      </c>
      <c r="CQ384" s="2" t="n">
        <v>0</v>
      </c>
      <c r="CR384" s="2" t="n">
        <v>78.81</v>
      </c>
      <c r="CS384" s="2" t="n">
        <v>82.95</v>
      </c>
      <c r="CT384" s="2" t="n">
        <v>0</v>
      </c>
      <c r="CU384" s="2" t="n">
        <v>85.27</v>
      </c>
      <c r="CV384" s="2" t="n">
        <v>89.28</v>
      </c>
      <c r="CW384" s="2" t="n">
        <v>0</v>
      </c>
      <c r="CX384" s="2" t="n">
        <v>93.92</v>
      </c>
      <c r="CY384" s="2" t="n">
        <v>96.45</v>
      </c>
      <c r="CZ384" s="2" t="n">
        <v>0</v>
      </c>
      <c r="DA384" s="2" t="n">
        <v>96.98</v>
      </c>
      <c r="DB384" s="2" t="n">
        <v>96.98</v>
      </c>
      <c r="DC384" s="2" t="n">
        <v>0</v>
      </c>
      <c r="DD384" s="2" t="n">
        <v>97.51000000000001</v>
      </c>
      <c r="DE384" s="2" t="n">
        <v>98.98</v>
      </c>
      <c r="DF384" s="2" t="n">
        <v>0</v>
      </c>
      <c r="DG384" s="2" t="n">
        <v>99.61</v>
      </c>
      <c r="DH384" s="2" t="n">
        <v>99.92</v>
      </c>
      <c r="DI384" s="2" t="n">
        <v>0</v>
      </c>
      <c r="DJ384" s="2" t="n">
        <v>100</v>
      </c>
      <c r="DK384" s="2" t="n">
        <v>100</v>
      </c>
      <c r="DL384" s="2" t="n">
        <v>0</v>
      </c>
      <c r="DM384" s="2" t="n">
        <v>100</v>
      </c>
      <c r="DN384" s="2" t="n">
        <v>100</v>
      </c>
      <c r="DO384" s="2" t="n">
        <v>0</v>
      </c>
      <c r="DP384" s="2" t="n">
        <v>100</v>
      </c>
      <c r="DQ384" s="2" t="n">
        <v>100</v>
      </c>
      <c r="DR384" s="2" t="n">
        <v>0</v>
      </c>
      <c r="DS384" s="2" t="n">
        <v>100</v>
      </c>
      <c r="DT384" s="2" t="n">
        <v>100</v>
      </c>
      <c r="DU384" s="2" t="n">
        <v>0</v>
      </c>
      <c r="DV384" s="2" t="n">
        <v>100</v>
      </c>
      <c r="DW384" s="2" t="n">
        <v>100</v>
      </c>
      <c r="DX384" s="2" t="n">
        <v>0</v>
      </c>
      <c r="DY384" s="2" t="n">
        <v>100</v>
      </c>
      <c r="DZ384" s="2" t="n">
        <v>100</v>
      </c>
      <c r="EA384" s="2" t="n">
        <v>0</v>
      </c>
      <c r="EB384" s="2" t="n">
        <v>100</v>
      </c>
      <c r="EC384" s="2" t="n">
        <v>100</v>
      </c>
      <c r="ED384" s="2" t="n">
        <v>0</v>
      </c>
      <c r="EE384" s="2" t="n">
        <v>100</v>
      </c>
      <c r="EF384" s="2" t="n">
        <v>100</v>
      </c>
      <c r="EG384" s="2" t="n">
        <v>0</v>
      </c>
      <c r="EH384" s="2" t="n">
        <v>100</v>
      </c>
      <c r="EI384" s="2" t="n">
        <v>100</v>
      </c>
      <c r="EJ384" s="2" t="n">
        <v>0</v>
      </c>
      <c r="EK384" s="2" t="n">
        <v>100</v>
      </c>
      <c r="EL384" s="2" t="n">
        <v>100</v>
      </c>
      <c r="EM384" s="2" t="n">
        <v>0</v>
      </c>
      <c r="EN384" s="2" t="n">
        <v>100</v>
      </c>
      <c r="EO384" s="2" t="n">
        <v>100</v>
      </c>
      <c r="EP384" s="2" t="n">
        <v>0</v>
      </c>
      <c r="EQ384" s="2" t="n">
        <v>100</v>
      </c>
      <c r="ER384" s="2" t="n">
        <v>100</v>
      </c>
      <c r="ES384" s="2" t="n">
        <v>0</v>
      </c>
    </row>
    <row r="385">
      <c r="A385" s="2" t="n">
        <v>3</v>
      </c>
      <c r="B385" s="2" t="inlineStr">
        <is>
          <t>18.02.03</t>
        </is>
      </c>
      <c r="C385" s="2" t="inlineStr">
        <is>
          <t>Esp. 19cm</t>
        </is>
      </c>
      <c r="D385" s="2" t="inlineStr">
        <is>
          <t>16/03/2027</t>
        </is>
      </c>
      <c r="E385" s="2" t="inlineStr">
        <is>
          <t>04/05/2028</t>
        </is>
      </c>
      <c r="F385" s="2" t="n">
        <v>331877.6932155812</v>
      </c>
      <c r="G385" s="2" t="n">
        <v>0</v>
      </c>
      <c r="H385" s="2" t="n">
        <v>331877.6932155812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0</v>
      </c>
      <c r="AO385" s="2" t="n">
        <v>0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n">
        <v>0</v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n">
        <v>0</v>
      </c>
      <c r="BI385" s="2" t="n">
        <v>0</v>
      </c>
      <c r="BJ385" s="2" t="n">
        <v>0</v>
      </c>
      <c r="BK385" s="2" t="n">
        <v>0</v>
      </c>
      <c r="BL385" s="2" t="n">
        <v>0</v>
      </c>
      <c r="BM385" s="2" t="n">
        <v>0</v>
      </c>
      <c r="BN385" s="2" t="n">
        <v>0</v>
      </c>
      <c r="BO385" s="2" t="n">
        <v>0</v>
      </c>
      <c r="BP385" s="2" t="n">
        <v>0</v>
      </c>
      <c r="BQ385" s="2" t="n">
        <v>0</v>
      </c>
      <c r="BR385" s="2" t="n">
        <v>0</v>
      </c>
      <c r="BS385" s="2" t="n">
        <v>0</v>
      </c>
      <c r="BT385" s="2" t="n">
        <v>1.58</v>
      </c>
      <c r="BU385" s="2" t="n">
        <v>2.89</v>
      </c>
      <c r="BV385" s="2" t="n">
        <v>0</v>
      </c>
      <c r="BW385" s="2" t="n">
        <v>7.09</v>
      </c>
      <c r="BX385" s="2" t="n">
        <v>10.52</v>
      </c>
      <c r="BY385" s="2" t="n">
        <v>0</v>
      </c>
      <c r="BZ385" s="2" t="n">
        <v>18.31</v>
      </c>
      <c r="CA385" s="2" t="n">
        <v>22.87</v>
      </c>
      <c r="CB385" s="2" t="n">
        <v>0</v>
      </c>
      <c r="CC385" s="2" t="n">
        <v>33.02</v>
      </c>
      <c r="CD385" s="2" t="n">
        <v>37.18</v>
      </c>
      <c r="CE385" s="2" t="n">
        <v>0</v>
      </c>
      <c r="CF385" s="2" t="n">
        <v>42.74</v>
      </c>
      <c r="CG385" s="2" t="n">
        <v>46.92</v>
      </c>
      <c r="CH385" s="2" t="n">
        <v>0</v>
      </c>
      <c r="CI385" s="2" t="n">
        <v>52.53</v>
      </c>
      <c r="CJ385" s="2" t="n">
        <v>56.7</v>
      </c>
      <c r="CK385" s="2" t="n">
        <v>0</v>
      </c>
      <c r="CL385" s="2" t="n">
        <v>61.5</v>
      </c>
      <c r="CM385" s="2" t="n">
        <v>65.65000000000001</v>
      </c>
      <c r="CN385" s="2" t="n">
        <v>0</v>
      </c>
      <c r="CO385" s="2" t="n">
        <v>69.90000000000001</v>
      </c>
      <c r="CP385" s="2" t="n">
        <v>74.06</v>
      </c>
      <c r="CQ385" s="2" t="n">
        <v>0</v>
      </c>
      <c r="CR385" s="2" t="n">
        <v>78.81</v>
      </c>
      <c r="CS385" s="2" t="n">
        <v>82.95</v>
      </c>
      <c r="CT385" s="2" t="n">
        <v>0</v>
      </c>
      <c r="CU385" s="2" t="n">
        <v>85.27</v>
      </c>
      <c r="CV385" s="2" t="n">
        <v>89.28</v>
      </c>
      <c r="CW385" s="2" t="n">
        <v>0</v>
      </c>
      <c r="CX385" s="2" t="n">
        <v>93.92</v>
      </c>
      <c r="CY385" s="2" t="n">
        <v>96.45</v>
      </c>
      <c r="CZ385" s="2" t="n">
        <v>0</v>
      </c>
      <c r="DA385" s="2" t="n">
        <v>96.98</v>
      </c>
      <c r="DB385" s="2" t="n">
        <v>96.98</v>
      </c>
      <c r="DC385" s="2" t="n">
        <v>0</v>
      </c>
      <c r="DD385" s="2" t="n">
        <v>97.51000000000001</v>
      </c>
      <c r="DE385" s="2" t="n">
        <v>98.98</v>
      </c>
      <c r="DF385" s="2" t="n">
        <v>0</v>
      </c>
      <c r="DG385" s="2" t="n">
        <v>99.61</v>
      </c>
      <c r="DH385" s="2" t="n">
        <v>99.92</v>
      </c>
      <c r="DI385" s="2" t="n">
        <v>0</v>
      </c>
      <c r="DJ385" s="2" t="n">
        <v>100</v>
      </c>
      <c r="DK385" s="2" t="n">
        <v>100</v>
      </c>
      <c r="DL385" s="2" t="n">
        <v>0</v>
      </c>
      <c r="DM385" s="2" t="n">
        <v>100</v>
      </c>
      <c r="DN385" s="2" t="n">
        <v>100</v>
      </c>
      <c r="DO385" s="2" t="n">
        <v>0</v>
      </c>
      <c r="DP385" s="2" t="n">
        <v>100</v>
      </c>
      <c r="DQ385" s="2" t="n">
        <v>100</v>
      </c>
      <c r="DR385" s="2" t="n">
        <v>0</v>
      </c>
      <c r="DS385" s="2" t="n">
        <v>100</v>
      </c>
      <c r="DT385" s="2" t="n">
        <v>100</v>
      </c>
      <c r="DU385" s="2" t="n">
        <v>0</v>
      </c>
      <c r="DV385" s="2" t="n">
        <v>100</v>
      </c>
      <c r="DW385" s="2" t="n">
        <v>100</v>
      </c>
      <c r="DX385" s="2" t="n">
        <v>0</v>
      </c>
      <c r="DY385" s="2" t="n">
        <v>100</v>
      </c>
      <c r="DZ385" s="2" t="n">
        <v>100</v>
      </c>
      <c r="EA385" s="2" t="n">
        <v>0</v>
      </c>
      <c r="EB385" s="2" t="n">
        <v>100</v>
      </c>
      <c r="EC385" s="2" t="n">
        <v>100</v>
      </c>
      <c r="ED385" s="2" t="n">
        <v>0</v>
      </c>
      <c r="EE385" s="2" t="n">
        <v>100</v>
      </c>
      <c r="EF385" s="2" t="n">
        <v>100</v>
      </c>
      <c r="EG385" s="2" t="n">
        <v>0</v>
      </c>
      <c r="EH385" s="2" t="n">
        <v>100</v>
      </c>
      <c r="EI385" s="2" t="n">
        <v>100</v>
      </c>
      <c r="EJ385" s="2" t="n">
        <v>0</v>
      </c>
      <c r="EK385" s="2" t="n">
        <v>100</v>
      </c>
      <c r="EL385" s="2" t="n">
        <v>100</v>
      </c>
      <c r="EM385" s="2" t="n">
        <v>0</v>
      </c>
      <c r="EN385" s="2" t="n">
        <v>100</v>
      </c>
      <c r="EO385" s="2" t="n">
        <v>100</v>
      </c>
      <c r="EP385" s="2" t="n">
        <v>0</v>
      </c>
      <c r="EQ385" s="2" t="n">
        <v>100</v>
      </c>
      <c r="ER385" s="2" t="n">
        <v>100</v>
      </c>
      <c r="ES385" s="2" t="n">
        <v>0</v>
      </c>
    </row>
    <row r="386">
      <c r="A386" s="2" t="n">
        <v>4</v>
      </c>
      <c r="B386" s="2" t="inlineStr">
        <is>
          <t>18.02.03.01</t>
        </is>
      </c>
      <c r="C386" s="2" t="inlineStr">
        <is>
          <t>Demarcação de alvenaria de vedação com blocos de concreto esp.19cm</t>
        </is>
      </c>
      <c r="D386" s="2" t="inlineStr">
        <is>
          <t>16/03/2027</t>
        </is>
      </c>
      <c r="E386" s="2" t="inlineStr">
        <is>
          <t>04/05/2028</t>
        </is>
      </c>
      <c r="F386" s="2" t="n">
        <v>29242.42359456463</v>
      </c>
      <c r="G386" s="2" t="n">
        <v>0</v>
      </c>
      <c r="H386" s="2" t="n">
        <v>29242.42359456463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0</v>
      </c>
      <c r="AN386" s="2" t="n">
        <v>0</v>
      </c>
      <c r="AO386" s="2" t="n">
        <v>0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n">
        <v>0</v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n">
        <v>0</v>
      </c>
      <c r="BI386" s="2" t="n">
        <v>0</v>
      </c>
      <c r="BJ386" s="2" t="n">
        <v>0</v>
      </c>
      <c r="BK386" s="2" t="n">
        <v>0</v>
      </c>
      <c r="BL386" s="2" t="n">
        <v>0</v>
      </c>
      <c r="BM386" s="2" t="n">
        <v>0</v>
      </c>
      <c r="BN386" s="2" t="n">
        <v>0</v>
      </c>
      <c r="BO386" s="2" t="n">
        <v>0</v>
      </c>
      <c r="BP386" s="2" t="n">
        <v>0</v>
      </c>
      <c r="BQ386" s="2" t="n">
        <v>0</v>
      </c>
      <c r="BR386" s="2" t="n">
        <v>0</v>
      </c>
      <c r="BS386" s="2" t="n">
        <v>0</v>
      </c>
      <c r="BT386" s="2" t="n">
        <v>1.58</v>
      </c>
      <c r="BU386" s="2" t="n">
        <v>2.89</v>
      </c>
      <c r="BV386" s="2" t="n">
        <v>0</v>
      </c>
      <c r="BW386" s="2" t="n">
        <v>7.09</v>
      </c>
      <c r="BX386" s="2" t="n">
        <v>10.52</v>
      </c>
      <c r="BY386" s="2" t="n">
        <v>0</v>
      </c>
      <c r="BZ386" s="2" t="n">
        <v>18.31</v>
      </c>
      <c r="CA386" s="2" t="n">
        <v>22.87</v>
      </c>
      <c r="CB386" s="2" t="n">
        <v>0</v>
      </c>
      <c r="CC386" s="2" t="n">
        <v>33.02</v>
      </c>
      <c r="CD386" s="2" t="n">
        <v>37.18</v>
      </c>
      <c r="CE386" s="2" t="n">
        <v>0</v>
      </c>
      <c r="CF386" s="2" t="n">
        <v>42.74</v>
      </c>
      <c r="CG386" s="2" t="n">
        <v>46.92</v>
      </c>
      <c r="CH386" s="2" t="n">
        <v>0</v>
      </c>
      <c r="CI386" s="2" t="n">
        <v>52.53</v>
      </c>
      <c r="CJ386" s="2" t="n">
        <v>56.7</v>
      </c>
      <c r="CK386" s="2" t="n">
        <v>0</v>
      </c>
      <c r="CL386" s="2" t="n">
        <v>61.5</v>
      </c>
      <c r="CM386" s="2" t="n">
        <v>65.65000000000001</v>
      </c>
      <c r="CN386" s="2" t="n">
        <v>0</v>
      </c>
      <c r="CO386" s="2" t="n">
        <v>69.90000000000001</v>
      </c>
      <c r="CP386" s="2" t="n">
        <v>74.06</v>
      </c>
      <c r="CQ386" s="2" t="n">
        <v>0</v>
      </c>
      <c r="CR386" s="2" t="n">
        <v>78.81</v>
      </c>
      <c r="CS386" s="2" t="n">
        <v>82.95</v>
      </c>
      <c r="CT386" s="2" t="n">
        <v>0</v>
      </c>
      <c r="CU386" s="2" t="n">
        <v>85.27</v>
      </c>
      <c r="CV386" s="2" t="n">
        <v>89.28</v>
      </c>
      <c r="CW386" s="2" t="n">
        <v>0</v>
      </c>
      <c r="CX386" s="2" t="n">
        <v>93.92</v>
      </c>
      <c r="CY386" s="2" t="n">
        <v>96.45</v>
      </c>
      <c r="CZ386" s="2" t="n">
        <v>0</v>
      </c>
      <c r="DA386" s="2" t="n">
        <v>96.98</v>
      </c>
      <c r="DB386" s="2" t="n">
        <v>96.98</v>
      </c>
      <c r="DC386" s="2" t="n">
        <v>0</v>
      </c>
      <c r="DD386" s="2" t="n">
        <v>97.51000000000001</v>
      </c>
      <c r="DE386" s="2" t="n">
        <v>98.98</v>
      </c>
      <c r="DF386" s="2" t="n">
        <v>0</v>
      </c>
      <c r="DG386" s="2" t="n">
        <v>99.61</v>
      </c>
      <c r="DH386" s="2" t="n">
        <v>99.92</v>
      </c>
      <c r="DI386" s="2" t="n">
        <v>0</v>
      </c>
      <c r="DJ386" s="2" t="n">
        <v>100</v>
      </c>
      <c r="DK386" s="2" t="n">
        <v>100</v>
      </c>
      <c r="DL386" s="2" t="n">
        <v>0</v>
      </c>
      <c r="DM386" s="2" t="n">
        <v>100</v>
      </c>
      <c r="DN386" s="2" t="n">
        <v>100</v>
      </c>
      <c r="DO386" s="2" t="n">
        <v>0</v>
      </c>
      <c r="DP386" s="2" t="n">
        <v>100</v>
      </c>
      <c r="DQ386" s="2" t="n">
        <v>100</v>
      </c>
      <c r="DR386" s="2" t="n">
        <v>0</v>
      </c>
      <c r="DS386" s="2" t="n">
        <v>100</v>
      </c>
      <c r="DT386" s="2" t="n">
        <v>100</v>
      </c>
      <c r="DU386" s="2" t="n">
        <v>0</v>
      </c>
      <c r="DV386" s="2" t="n">
        <v>100</v>
      </c>
      <c r="DW386" s="2" t="n">
        <v>100</v>
      </c>
      <c r="DX386" s="2" t="n">
        <v>0</v>
      </c>
      <c r="DY386" s="2" t="n">
        <v>100</v>
      </c>
      <c r="DZ386" s="2" t="n">
        <v>100</v>
      </c>
      <c r="EA386" s="2" t="n">
        <v>0</v>
      </c>
      <c r="EB386" s="2" t="n">
        <v>100</v>
      </c>
      <c r="EC386" s="2" t="n">
        <v>100</v>
      </c>
      <c r="ED386" s="2" t="n">
        <v>0</v>
      </c>
      <c r="EE386" s="2" t="n">
        <v>100</v>
      </c>
      <c r="EF386" s="2" t="n">
        <v>100</v>
      </c>
      <c r="EG386" s="2" t="n">
        <v>0</v>
      </c>
      <c r="EH386" s="2" t="n">
        <v>100</v>
      </c>
      <c r="EI386" s="2" t="n">
        <v>100</v>
      </c>
      <c r="EJ386" s="2" t="n">
        <v>0</v>
      </c>
      <c r="EK386" s="2" t="n">
        <v>100</v>
      </c>
      <c r="EL386" s="2" t="n">
        <v>100</v>
      </c>
      <c r="EM386" s="2" t="n">
        <v>0</v>
      </c>
      <c r="EN386" s="2" t="n">
        <v>100</v>
      </c>
      <c r="EO386" s="2" t="n">
        <v>100</v>
      </c>
      <c r="EP386" s="2" t="n">
        <v>0</v>
      </c>
      <c r="EQ386" s="2" t="n">
        <v>100</v>
      </c>
      <c r="ER386" s="2" t="n">
        <v>100</v>
      </c>
      <c r="ES386" s="2" t="n">
        <v>0</v>
      </c>
    </row>
    <row r="387">
      <c r="A387" s="2" t="n">
        <v>4</v>
      </c>
      <c r="B387" s="2" t="inlineStr">
        <is>
          <t>18.02.03.02</t>
        </is>
      </c>
      <c r="C387" s="2" t="inlineStr">
        <is>
          <t>Alvenaria de vedação com blocos de concreto  esp. 19m</t>
        </is>
      </c>
      <c r="D387" s="2" t="inlineStr">
        <is>
          <t>16/03/2027</t>
        </is>
      </c>
      <c r="E387" s="2" t="inlineStr">
        <is>
          <t>04/05/2028</t>
        </is>
      </c>
      <c r="F387" s="2" t="n">
        <v>283960.3382280328</v>
      </c>
      <c r="G387" s="2" t="n">
        <v>0</v>
      </c>
      <c r="H387" s="2" t="n">
        <v>283960.3382280328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  <c r="AN387" s="2" t="n">
        <v>0</v>
      </c>
      <c r="AO387" s="2" t="n">
        <v>0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n">
        <v>0</v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n">
        <v>0</v>
      </c>
      <c r="BI387" s="2" t="n">
        <v>0</v>
      </c>
      <c r="BJ387" s="2" t="n">
        <v>0</v>
      </c>
      <c r="BK387" s="2" t="n">
        <v>0</v>
      </c>
      <c r="BL387" s="2" t="n">
        <v>0</v>
      </c>
      <c r="BM387" s="2" t="n">
        <v>0</v>
      </c>
      <c r="BN387" s="2" t="n">
        <v>0</v>
      </c>
      <c r="BO387" s="2" t="n">
        <v>0</v>
      </c>
      <c r="BP387" s="2" t="n">
        <v>0</v>
      </c>
      <c r="BQ387" s="2" t="n">
        <v>0</v>
      </c>
      <c r="BR387" s="2" t="n">
        <v>0</v>
      </c>
      <c r="BS387" s="2" t="n">
        <v>0</v>
      </c>
      <c r="BT387" s="2" t="n">
        <v>1.58</v>
      </c>
      <c r="BU387" s="2" t="n">
        <v>2.89</v>
      </c>
      <c r="BV387" s="2" t="n">
        <v>0</v>
      </c>
      <c r="BW387" s="2" t="n">
        <v>7.09</v>
      </c>
      <c r="BX387" s="2" t="n">
        <v>10.52</v>
      </c>
      <c r="BY387" s="2" t="n">
        <v>0</v>
      </c>
      <c r="BZ387" s="2" t="n">
        <v>18.31</v>
      </c>
      <c r="CA387" s="2" t="n">
        <v>22.87</v>
      </c>
      <c r="CB387" s="2" t="n">
        <v>0</v>
      </c>
      <c r="CC387" s="2" t="n">
        <v>33.02</v>
      </c>
      <c r="CD387" s="2" t="n">
        <v>37.18</v>
      </c>
      <c r="CE387" s="2" t="n">
        <v>0</v>
      </c>
      <c r="CF387" s="2" t="n">
        <v>42.74</v>
      </c>
      <c r="CG387" s="2" t="n">
        <v>46.92</v>
      </c>
      <c r="CH387" s="2" t="n">
        <v>0</v>
      </c>
      <c r="CI387" s="2" t="n">
        <v>52.53</v>
      </c>
      <c r="CJ387" s="2" t="n">
        <v>56.7</v>
      </c>
      <c r="CK387" s="2" t="n">
        <v>0</v>
      </c>
      <c r="CL387" s="2" t="n">
        <v>61.5</v>
      </c>
      <c r="CM387" s="2" t="n">
        <v>65.65000000000001</v>
      </c>
      <c r="CN387" s="2" t="n">
        <v>0</v>
      </c>
      <c r="CO387" s="2" t="n">
        <v>69.90000000000001</v>
      </c>
      <c r="CP387" s="2" t="n">
        <v>74.06</v>
      </c>
      <c r="CQ387" s="2" t="n">
        <v>0</v>
      </c>
      <c r="CR387" s="2" t="n">
        <v>78.81</v>
      </c>
      <c r="CS387" s="2" t="n">
        <v>82.95</v>
      </c>
      <c r="CT387" s="2" t="n">
        <v>0</v>
      </c>
      <c r="CU387" s="2" t="n">
        <v>85.27</v>
      </c>
      <c r="CV387" s="2" t="n">
        <v>89.28</v>
      </c>
      <c r="CW387" s="2" t="n">
        <v>0</v>
      </c>
      <c r="CX387" s="2" t="n">
        <v>93.92</v>
      </c>
      <c r="CY387" s="2" t="n">
        <v>96.45</v>
      </c>
      <c r="CZ387" s="2" t="n">
        <v>0</v>
      </c>
      <c r="DA387" s="2" t="n">
        <v>96.98</v>
      </c>
      <c r="DB387" s="2" t="n">
        <v>96.98</v>
      </c>
      <c r="DC387" s="2" t="n">
        <v>0</v>
      </c>
      <c r="DD387" s="2" t="n">
        <v>97.51000000000001</v>
      </c>
      <c r="DE387" s="2" t="n">
        <v>98.98</v>
      </c>
      <c r="DF387" s="2" t="n">
        <v>0</v>
      </c>
      <c r="DG387" s="2" t="n">
        <v>99.61</v>
      </c>
      <c r="DH387" s="2" t="n">
        <v>99.92</v>
      </c>
      <c r="DI387" s="2" t="n">
        <v>0</v>
      </c>
      <c r="DJ387" s="2" t="n">
        <v>100</v>
      </c>
      <c r="DK387" s="2" t="n">
        <v>100</v>
      </c>
      <c r="DL387" s="2" t="n">
        <v>0</v>
      </c>
      <c r="DM387" s="2" t="n">
        <v>100</v>
      </c>
      <c r="DN387" s="2" t="n">
        <v>100</v>
      </c>
      <c r="DO387" s="2" t="n">
        <v>0</v>
      </c>
      <c r="DP387" s="2" t="n">
        <v>100</v>
      </c>
      <c r="DQ387" s="2" t="n">
        <v>100</v>
      </c>
      <c r="DR387" s="2" t="n">
        <v>0</v>
      </c>
      <c r="DS387" s="2" t="n">
        <v>100</v>
      </c>
      <c r="DT387" s="2" t="n">
        <v>100</v>
      </c>
      <c r="DU387" s="2" t="n">
        <v>0</v>
      </c>
      <c r="DV387" s="2" t="n">
        <v>100</v>
      </c>
      <c r="DW387" s="2" t="n">
        <v>100</v>
      </c>
      <c r="DX387" s="2" t="n">
        <v>0</v>
      </c>
      <c r="DY387" s="2" t="n">
        <v>100</v>
      </c>
      <c r="DZ387" s="2" t="n">
        <v>100</v>
      </c>
      <c r="EA387" s="2" t="n">
        <v>0</v>
      </c>
      <c r="EB387" s="2" t="n">
        <v>100</v>
      </c>
      <c r="EC387" s="2" t="n">
        <v>100</v>
      </c>
      <c r="ED387" s="2" t="n">
        <v>0</v>
      </c>
      <c r="EE387" s="2" t="n">
        <v>100</v>
      </c>
      <c r="EF387" s="2" t="n">
        <v>100</v>
      </c>
      <c r="EG387" s="2" t="n">
        <v>0</v>
      </c>
      <c r="EH387" s="2" t="n">
        <v>100</v>
      </c>
      <c r="EI387" s="2" t="n">
        <v>100</v>
      </c>
      <c r="EJ387" s="2" t="n">
        <v>0</v>
      </c>
      <c r="EK387" s="2" t="n">
        <v>100</v>
      </c>
      <c r="EL387" s="2" t="n">
        <v>100</v>
      </c>
      <c r="EM387" s="2" t="n">
        <v>0</v>
      </c>
      <c r="EN387" s="2" t="n">
        <v>100</v>
      </c>
      <c r="EO387" s="2" t="n">
        <v>100</v>
      </c>
      <c r="EP387" s="2" t="n">
        <v>0</v>
      </c>
      <c r="EQ387" s="2" t="n">
        <v>100</v>
      </c>
      <c r="ER387" s="2" t="n">
        <v>100</v>
      </c>
      <c r="ES387" s="2" t="n">
        <v>0</v>
      </c>
    </row>
    <row r="388">
      <c r="A388" s="2" t="n">
        <v>4</v>
      </c>
      <c r="B388" s="2" t="inlineStr">
        <is>
          <t>18.02.03.03</t>
        </is>
      </c>
      <c r="C388" s="2" t="inlineStr">
        <is>
          <t>Encunhamento com espuma expansiva de poliuretano</t>
        </is>
      </c>
      <c r="D388" s="2" t="inlineStr">
        <is>
          <t>16/03/2027</t>
        </is>
      </c>
      <c r="E388" s="2" t="inlineStr">
        <is>
          <t>04/05/2028</t>
        </is>
      </c>
      <c r="F388" s="2" t="n">
        <v>10234.08103419785</v>
      </c>
      <c r="G388" s="2" t="n">
        <v>0</v>
      </c>
      <c r="H388" s="2" t="n">
        <v>10234.08103419785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0</v>
      </c>
      <c r="AO388" s="2" t="n">
        <v>0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n">
        <v>0</v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n">
        <v>0</v>
      </c>
      <c r="BI388" s="2" t="n">
        <v>0</v>
      </c>
      <c r="BJ388" s="2" t="n">
        <v>0</v>
      </c>
      <c r="BK388" s="2" t="n">
        <v>0</v>
      </c>
      <c r="BL388" s="2" t="n">
        <v>0</v>
      </c>
      <c r="BM388" s="2" t="n">
        <v>0</v>
      </c>
      <c r="BN388" s="2" t="n">
        <v>0</v>
      </c>
      <c r="BO388" s="2" t="n">
        <v>0</v>
      </c>
      <c r="BP388" s="2" t="n">
        <v>0</v>
      </c>
      <c r="BQ388" s="2" t="n">
        <v>0</v>
      </c>
      <c r="BR388" s="2" t="n">
        <v>0</v>
      </c>
      <c r="BS388" s="2" t="n">
        <v>0</v>
      </c>
      <c r="BT388" s="2" t="n">
        <v>1.58</v>
      </c>
      <c r="BU388" s="2" t="n">
        <v>2.89</v>
      </c>
      <c r="BV388" s="2" t="n">
        <v>0</v>
      </c>
      <c r="BW388" s="2" t="n">
        <v>7.09</v>
      </c>
      <c r="BX388" s="2" t="n">
        <v>10.52</v>
      </c>
      <c r="BY388" s="2" t="n">
        <v>0</v>
      </c>
      <c r="BZ388" s="2" t="n">
        <v>18.31</v>
      </c>
      <c r="CA388" s="2" t="n">
        <v>22.87</v>
      </c>
      <c r="CB388" s="2" t="n">
        <v>0</v>
      </c>
      <c r="CC388" s="2" t="n">
        <v>33.02</v>
      </c>
      <c r="CD388" s="2" t="n">
        <v>37.18</v>
      </c>
      <c r="CE388" s="2" t="n">
        <v>0</v>
      </c>
      <c r="CF388" s="2" t="n">
        <v>42.74</v>
      </c>
      <c r="CG388" s="2" t="n">
        <v>46.92</v>
      </c>
      <c r="CH388" s="2" t="n">
        <v>0</v>
      </c>
      <c r="CI388" s="2" t="n">
        <v>52.53</v>
      </c>
      <c r="CJ388" s="2" t="n">
        <v>56.7</v>
      </c>
      <c r="CK388" s="2" t="n">
        <v>0</v>
      </c>
      <c r="CL388" s="2" t="n">
        <v>61.5</v>
      </c>
      <c r="CM388" s="2" t="n">
        <v>65.65000000000001</v>
      </c>
      <c r="CN388" s="2" t="n">
        <v>0</v>
      </c>
      <c r="CO388" s="2" t="n">
        <v>69.90000000000001</v>
      </c>
      <c r="CP388" s="2" t="n">
        <v>74.06</v>
      </c>
      <c r="CQ388" s="2" t="n">
        <v>0</v>
      </c>
      <c r="CR388" s="2" t="n">
        <v>78.81</v>
      </c>
      <c r="CS388" s="2" t="n">
        <v>82.95</v>
      </c>
      <c r="CT388" s="2" t="n">
        <v>0</v>
      </c>
      <c r="CU388" s="2" t="n">
        <v>85.27</v>
      </c>
      <c r="CV388" s="2" t="n">
        <v>89.28</v>
      </c>
      <c r="CW388" s="2" t="n">
        <v>0</v>
      </c>
      <c r="CX388" s="2" t="n">
        <v>93.92</v>
      </c>
      <c r="CY388" s="2" t="n">
        <v>96.45</v>
      </c>
      <c r="CZ388" s="2" t="n">
        <v>0</v>
      </c>
      <c r="DA388" s="2" t="n">
        <v>96.98</v>
      </c>
      <c r="DB388" s="2" t="n">
        <v>96.98</v>
      </c>
      <c r="DC388" s="2" t="n">
        <v>0</v>
      </c>
      <c r="DD388" s="2" t="n">
        <v>97.51000000000001</v>
      </c>
      <c r="DE388" s="2" t="n">
        <v>98.98</v>
      </c>
      <c r="DF388" s="2" t="n">
        <v>0</v>
      </c>
      <c r="DG388" s="2" t="n">
        <v>99.61</v>
      </c>
      <c r="DH388" s="2" t="n">
        <v>99.92</v>
      </c>
      <c r="DI388" s="2" t="n">
        <v>0</v>
      </c>
      <c r="DJ388" s="2" t="n">
        <v>100</v>
      </c>
      <c r="DK388" s="2" t="n">
        <v>100</v>
      </c>
      <c r="DL388" s="2" t="n">
        <v>0</v>
      </c>
      <c r="DM388" s="2" t="n">
        <v>100</v>
      </c>
      <c r="DN388" s="2" t="n">
        <v>100</v>
      </c>
      <c r="DO388" s="2" t="n">
        <v>0</v>
      </c>
      <c r="DP388" s="2" t="n">
        <v>100</v>
      </c>
      <c r="DQ388" s="2" t="n">
        <v>100</v>
      </c>
      <c r="DR388" s="2" t="n">
        <v>0</v>
      </c>
      <c r="DS388" s="2" t="n">
        <v>100</v>
      </c>
      <c r="DT388" s="2" t="n">
        <v>100</v>
      </c>
      <c r="DU388" s="2" t="n">
        <v>0</v>
      </c>
      <c r="DV388" s="2" t="n">
        <v>100</v>
      </c>
      <c r="DW388" s="2" t="n">
        <v>100</v>
      </c>
      <c r="DX388" s="2" t="n">
        <v>0</v>
      </c>
      <c r="DY388" s="2" t="n">
        <v>100</v>
      </c>
      <c r="DZ388" s="2" t="n">
        <v>100</v>
      </c>
      <c r="EA388" s="2" t="n">
        <v>0</v>
      </c>
      <c r="EB388" s="2" t="n">
        <v>100</v>
      </c>
      <c r="EC388" s="2" t="n">
        <v>100</v>
      </c>
      <c r="ED388" s="2" t="n">
        <v>0</v>
      </c>
      <c r="EE388" s="2" t="n">
        <v>100</v>
      </c>
      <c r="EF388" s="2" t="n">
        <v>100</v>
      </c>
      <c r="EG388" s="2" t="n">
        <v>0</v>
      </c>
      <c r="EH388" s="2" t="n">
        <v>100</v>
      </c>
      <c r="EI388" s="2" t="n">
        <v>100</v>
      </c>
      <c r="EJ388" s="2" t="n">
        <v>0</v>
      </c>
      <c r="EK388" s="2" t="n">
        <v>100</v>
      </c>
      <c r="EL388" s="2" t="n">
        <v>100</v>
      </c>
      <c r="EM388" s="2" t="n">
        <v>0</v>
      </c>
      <c r="EN388" s="2" t="n">
        <v>100</v>
      </c>
      <c r="EO388" s="2" t="n">
        <v>100</v>
      </c>
      <c r="EP388" s="2" t="n">
        <v>0</v>
      </c>
      <c r="EQ388" s="2" t="n">
        <v>100</v>
      </c>
      <c r="ER388" s="2" t="n">
        <v>100</v>
      </c>
      <c r="ES388" s="2" t="n">
        <v>0</v>
      </c>
    </row>
    <row r="389">
      <c r="A389" s="2" t="n">
        <v>4</v>
      </c>
      <c r="B389" s="2" t="inlineStr">
        <is>
          <t>18.02.03.04</t>
        </is>
      </c>
      <c r="C389" s="2" t="inlineStr">
        <is>
          <t>Amarração de Alvenaria</t>
        </is>
      </c>
      <c r="D389" s="2" t="inlineStr">
        <is>
          <t>16/03/2027</t>
        </is>
      </c>
      <c r="E389" s="2" t="inlineStr">
        <is>
          <t>04/05/2028</t>
        </is>
      </c>
      <c r="F389" s="2" t="n">
        <v>8440.850358785987</v>
      </c>
      <c r="G389" s="2" t="n">
        <v>0</v>
      </c>
      <c r="H389" s="2" t="n">
        <v>8440.850358785987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s="2" t="n">
        <v>0</v>
      </c>
      <c r="AN389" s="2" t="n">
        <v>0</v>
      </c>
      <c r="AO389" s="2" t="n">
        <v>0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n">
        <v>0</v>
      </c>
      <c r="AZ389" s="2" t="n">
        <v>0</v>
      </c>
      <c r="BA389" s="2" t="n">
        <v>0</v>
      </c>
      <c r="BB389" s="2" t="n">
        <v>0</v>
      </c>
      <c r="BC389" s="2" t="n">
        <v>0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n">
        <v>0</v>
      </c>
      <c r="BI389" s="2" t="n">
        <v>0</v>
      </c>
      <c r="BJ389" s="2" t="n">
        <v>0</v>
      </c>
      <c r="BK389" s="2" t="n">
        <v>0</v>
      </c>
      <c r="BL389" s="2" t="n">
        <v>0</v>
      </c>
      <c r="BM389" s="2" t="n">
        <v>0</v>
      </c>
      <c r="BN389" s="2" t="n">
        <v>0</v>
      </c>
      <c r="BO389" s="2" t="n">
        <v>0</v>
      </c>
      <c r="BP389" s="2" t="n">
        <v>0</v>
      </c>
      <c r="BQ389" s="2" t="n">
        <v>0</v>
      </c>
      <c r="BR389" s="2" t="n">
        <v>0</v>
      </c>
      <c r="BS389" s="2" t="n">
        <v>0</v>
      </c>
      <c r="BT389" s="2" t="n">
        <v>1.58</v>
      </c>
      <c r="BU389" s="2" t="n">
        <v>2.89</v>
      </c>
      <c r="BV389" s="2" t="n">
        <v>0</v>
      </c>
      <c r="BW389" s="2" t="n">
        <v>7.09</v>
      </c>
      <c r="BX389" s="2" t="n">
        <v>10.52</v>
      </c>
      <c r="BY389" s="2" t="n">
        <v>0</v>
      </c>
      <c r="BZ389" s="2" t="n">
        <v>18.31</v>
      </c>
      <c r="CA389" s="2" t="n">
        <v>22.87</v>
      </c>
      <c r="CB389" s="2" t="n">
        <v>0</v>
      </c>
      <c r="CC389" s="2" t="n">
        <v>33.02</v>
      </c>
      <c r="CD389" s="2" t="n">
        <v>37.18</v>
      </c>
      <c r="CE389" s="2" t="n">
        <v>0</v>
      </c>
      <c r="CF389" s="2" t="n">
        <v>42.74</v>
      </c>
      <c r="CG389" s="2" t="n">
        <v>46.92</v>
      </c>
      <c r="CH389" s="2" t="n">
        <v>0</v>
      </c>
      <c r="CI389" s="2" t="n">
        <v>52.53</v>
      </c>
      <c r="CJ389" s="2" t="n">
        <v>56.7</v>
      </c>
      <c r="CK389" s="2" t="n">
        <v>0</v>
      </c>
      <c r="CL389" s="2" t="n">
        <v>61.5</v>
      </c>
      <c r="CM389" s="2" t="n">
        <v>65.65000000000001</v>
      </c>
      <c r="CN389" s="2" t="n">
        <v>0</v>
      </c>
      <c r="CO389" s="2" t="n">
        <v>69.90000000000001</v>
      </c>
      <c r="CP389" s="2" t="n">
        <v>74.06</v>
      </c>
      <c r="CQ389" s="2" t="n">
        <v>0</v>
      </c>
      <c r="CR389" s="2" t="n">
        <v>78.81</v>
      </c>
      <c r="CS389" s="2" t="n">
        <v>82.95</v>
      </c>
      <c r="CT389" s="2" t="n">
        <v>0</v>
      </c>
      <c r="CU389" s="2" t="n">
        <v>85.27</v>
      </c>
      <c r="CV389" s="2" t="n">
        <v>89.28</v>
      </c>
      <c r="CW389" s="2" t="n">
        <v>0</v>
      </c>
      <c r="CX389" s="2" t="n">
        <v>93.92</v>
      </c>
      <c r="CY389" s="2" t="n">
        <v>96.45</v>
      </c>
      <c r="CZ389" s="2" t="n">
        <v>0</v>
      </c>
      <c r="DA389" s="2" t="n">
        <v>96.98</v>
      </c>
      <c r="DB389" s="2" t="n">
        <v>96.98</v>
      </c>
      <c r="DC389" s="2" t="n">
        <v>0</v>
      </c>
      <c r="DD389" s="2" t="n">
        <v>97.51000000000001</v>
      </c>
      <c r="DE389" s="2" t="n">
        <v>98.98</v>
      </c>
      <c r="DF389" s="2" t="n">
        <v>0</v>
      </c>
      <c r="DG389" s="2" t="n">
        <v>99.61</v>
      </c>
      <c r="DH389" s="2" t="n">
        <v>99.92</v>
      </c>
      <c r="DI389" s="2" t="n">
        <v>0</v>
      </c>
      <c r="DJ389" s="2" t="n">
        <v>100</v>
      </c>
      <c r="DK389" s="2" t="n">
        <v>100</v>
      </c>
      <c r="DL389" s="2" t="n">
        <v>0</v>
      </c>
      <c r="DM389" s="2" t="n">
        <v>100</v>
      </c>
      <c r="DN389" s="2" t="n">
        <v>100</v>
      </c>
      <c r="DO389" s="2" t="n">
        <v>0</v>
      </c>
      <c r="DP389" s="2" t="n">
        <v>100</v>
      </c>
      <c r="DQ389" s="2" t="n">
        <v>100</v>
      </c>
      <c r="DR389" s="2" t="n">
        <v>0</v>
      </c>
      <c r="DS389" s="2" t="n">
        <v>100</v>
      </c>
      <c r="DT389" s="2" t="n">
        <v>100</v>
      </c>
      <c r="DU389" s="2" t="n">
        <v>0</v>
      </c>
      <c r="DV389" s="2" t="n">
        <v>100</v>
      </c>
      <c r="DW389" s="2" t="n">
        <v>100</v>
      </c>
      <c r="DX389" s="2" t="n">
        <v>0</v>
      </c>
      <c r="DY389" s="2" t="n">
        <v>100</v>
      </c>
      <c r="DZ389" s="2" t="n">
        <v>100</v>
      </c>
      <c r="EA389" s="2" t="n">
        <v>0</v>
      </c>
      <c r="EB389" s="2" t="n">
        <v>100</v>
      </c>
      <c r="EC389" s="2" t="n">
        <v>100</v>
      </c>
      <c r="ED389" s="2" t="n">
        <v>0</v>
      </c>
      <c r="EE389" s="2" t="n">
        <v>100</v>
      </c>
      <c r="EF389" s="2" t="n">
        <v>100</v>
      </c>
      <c r="EG389" s="2" t="n">
        <v>0</v>
      </c>
      <c r="EH389" s="2" t="n">
        <v>100</v>
      </c>
      <c r="EI389" s="2" t="n">
        <v>100</v>
      </c>
      <c r="EJ389" s="2" t="n">
        <v>0</v>
      </c>
      <c r="EK389" s="2" t="n">
        <v>100</v>
      </c>
      <c r="EL389" s="2" t="n">
        <v>100</v>
      </c>
      <c r="EM389" s="2" t="n">
        <v>0</v>
      </c>
      <c r="EN389" s="2" t="n">
        <v>100</v>
      </c>
      <c r="EO389" s="2" t="n">
        <v>100</v>
      </c>
      <c r="EP389" s="2" t="n">
        <v>0</v>
      </c>
      <c r="EQ389" s="2" t="n">
        <v>100</v>
      </c>
      <c r="ER389" s="2" t="n">
        <v>100</v>
      </c>
      <c r="ES389" s="2" t="n">
        <v>0</v>
      </c>
    </row>
    <row r="390">
      <c r="A390" s="2" t="n">
        <v>2</v>
      </c>
      <c r="B390" s="2" t="inlineStr">
        <is>
          <t>18.03</t>
        </is>
      </c>
      <c r="C390" s="2" t="inlineStr">
        <is>
          <t>Gesso acartonado (Dry-wall)</t>
        </is>
      </c>
      <c r="D390" s="2" t="inlineStr">
        <is>
          <t>05/07/2027</t>
        </is>
      </c>
      <c r="E390" s="2" t="inlineStr">
        <is>
          <t>21/08/2028</t>
        </is>
      </c>
      <c r="F390" s="2" t="n">
        <v>3641532.02</v>
      </c>
      <c r="G390" s="2" t="n">
        <v>0</v>
      </c>
      <c r="H390" s="2" t="n">
        <v>3641532.02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0</v>
      </c>
      <c r="AN390" s="2" t="n">
        <v>0</v>
      </c>
      <c r="AO390" s="2" t="n">
        <v>0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n">
        <v>0</v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n">
        <v>0</v>
      </c>
      <c r="BI390" s="2" t="n">
        <v>0</v>
      </c>
      <c r="BJ390" s="2" t="n">
        <v>0</v>
      </c>
      <c r="BK390" s="2" t="n">
        <v>0</v>
      </c>
      <c r="BL390" s="2" t="n">
        <v>0</v>
      </c>
      <c r="BM390" s="2" t="n">
        <v>0</v>
      </c>
      <c r="BN390" s="2" t="n">
        <v>0</v>
      </c>
      <c r="BO390" s="2" t="n">
        <v>0</v>
      </c>
      <c r="BP390" s="2" t="n">
        <v>0</v>
      </c>
      <c r="BQ390" s="2" t="n">
        <v>0</v>
      </c>
      <c r="BR390" s="2" t="n">
        <v>0</v>
      </c>
      <c r="BS390" s="2" t="n">
        <v>0</v>
      </c>
      <c r="BT390" s="2" t="n">
        <v>0</v>
      </c>
      <c r="BU390" s="2" t="n">
        <v>0</v>
      </c>
      <c r="BV390" s="2" t="n">
        <v>0</v>
      </c>
      <c r="BW390" s="2" t="n">
        <v>0</v>
      </c>
      <c r="BX390" s="2" t="n">
        <v>0</v>
      </c>
      <c r="BY390" s="2" t="n">
        <v>0</v>
      </c>
      <c r="BZ390" s="2" t="n">
        <v>0</v>
      </c>
      <c r="CA390" s="2" t="n">
        <v>0</v>
      </c>
      <c r="CB390" s="2" t="n">
        <v>0</v>
      </c>
      <c r="CC390" s="2" t="n">
        <v>0</v>
      </c>
      <c r="CD390" s="2" t="n">
        <v>0</v>
      </c>
      <c r="CE390" s="2" t="n">
        <v>0</v>
      </c>
      <c r="CF390" s="2" t="n">
        <v>2.69</v>
      </c>
      <c r="CG390" s="2" t="n">
        <v>3.94</v>
      </c>
      <c r="CH390" s="2" t="n">
        <v>0</v>
      </c>
      <c r="CI390" s="2" t="n">
        <v>10.01</v>
      </c>
      <c r="CJ390" s="2" t="n">
        <v>11.8</v>
      </c>
      <c r="CK390" s="2" t="n">
        <v>0</v>
      </c>
      <c r="CL390" s="2" t="n">
        <v>19.78</v>
      </c>
      <c r="CM390" s="2" t="n">
        <v>21.72</v>
      </c>
      <c r="CN390" s="2" t="n">
        <v>0</v>
      </c>
      <c r="CO390" s="2" t="n">
        <v>31.51</v>
      </c>
      <c r="CP390" s="2" t="n">
        <v>33.56</v>
      </c>
      <c r="CQ390" s="2" t="n">
        <v>0</v>
      </c>
      <c r="CR390" s="2" t="n">
        <v>42.99</v>
      </c>
      <c r="CS390" s="2" t="n">
        <v>44.95</v>
      </c>
      <c r="CT390" s="2" t="n">
        <v>0</v>
      </c>
      <c r="CU390" s="2" t="n">
        <v>50.96</v>
      </c>
      <c r="CV390" s="2" t="n">
        <v>52.75</v>
      </c>
      <c r="CW390" s="2" t="n">
        <v>0</v>
      </c>
      <c r="CX390" s="2" t="n">
        <v>58.98</v>
      </c>
      <c r="CY390" s="2" t="n">
        <v>60.85</v>
      </c>
      <c r="CZ390" s="2" t="n">
        <v>0</v>
      </c>
      <c r="DA390" s="2" t="n">
        <v>71.18000000000001</v>
      </c>
      <c r="DB390" s="2" t="n">
        <v>73.41</v>
      </c>
      <c r="DC390" s="2" t="n">
        <v>0</v>
      </c>
      <c r="DD390" s="2" t="n">
        <v>80.72</v>
      </c>
      <c r="DE390" s="2" t="n">
        <v>82.5</v>
      </c>
      <c r="DF390" s="2" t="n">
        <v>0</v>
      </c>
      <c r="DG390" s="2" t="n">
        <v>87.15000000000001</v>
      </c>
      <c r="DH390" s="2" t="n">
        <v>88.93000000000001</v>
      </c>
      <c r="DI390" s="2" t="n">
        <v>0</v>
      </c>
      <c r="DJ390" s="2" t="n">
        <v>94.12</v>
      </c>
      <c r="DK390" s="2" t="n">
        <v>95.01000000000001</v>
      </c>
      <c r="DL390" s="2" t="n">
        <v>0</v>
      </c>
      <c r="DM390" s="2" t="n">
        <v>96.67</v>
      </c>
      <c r="DN390" s="2" t="n">
        <v>96.79000000000001</v>
      </c>
      <c r="DO390" s="2" t="n">
        <v>0</v>
      </c>
      <c r="DP390" s="2" t="n">
        <v>98.22</v>
      </c>
      <c r="DQ390" s="2" t="n">
        <v>98.40000000000001</v>
      </c>
      <c r="DR390" s="2" t="n">
        <v>0</v>
      </c>
      <c r="DS390" s="2" t="n">
        <v>100</v>
      </c>
      <c r="DT390" s="2" t="n">
        <v>100</v>
      </c>
      <c r="DU390" s="2" t="n">
        <v>0</v>
      </c>
      <c r="DV390" s="2" t="n">
        <v>100</v>
      </c>
      <c r="DW390" s="2" t="n">
        <v>100</v>
      </c>
      <c r="DX390" s="2" t="n">
        <v>0</v>
      </c>
      <c r="DY390" s="2" t="n">
        <v>100</v>
      </c>
      <c r="DZ390" s="2" t="n">
        <v>100</v>
      </c>
      <c r="EA390" s="2" t="n">
        <v>0</v>
      </c>
      <c r="EB390" s="2" t="n">
        <v>100</v>
      </c>
      <c r="EC390" s="2" t="n">
        <v>100</v>
      </c>
      <c r="ED390" s="2" t="n">
        <v>0</v>
      </c>
      <c r="EE390" s="2" t="n">
        <v>100</v>
      </c>
      <c r="EF390" s="2" t="n">
        <v>100</v>
      </c>
      <c r="EG390" s="2" t="n">
        <v>0</v>
      </c>
      <c r="EH390" s="2" t="n">
        <v>100</v>
      </c>
      <c r="EI390" s="2" t="n">
        <v>100</v>
      </c>
      <c r="EJ390" s="2" t="n">
        <v>0</v>
      </c>
      <c r="EK390" s="2" t="n">
        <v>100</v>
      </c>
      <c r="EL390" s="2" t="n">
        <v>100</v>
      </c>
      <c r="EM390" s="2" t="n">
        <v>0</v>
      </c>
      <c r="EN390" s="2" t="n">
        <v>100</v>
      </c>
      <c r="EO390" s="2" t="n">
        <v>100</v>
      </c>
      <c r="EP390" s="2" t="n">
        <v>0</v>
      </c>
      <c r="EQ390" s="2" t="n">
        <v>100</v>
      </c>
      <c r="ER390" s="2" t="n">
        <v>100</v>
      </c>
      <c r="ES390" s="2" t="n">
        <v>0</v>
      </c>
    </row>
    <row r="391">
      <c r="A391" s="2" t="n">
        <v>3</v>
      </c>
      <c r="B391" s="2" t="inlineStr">
        <is>
          <t>18.03.01</t>
        </is>
      </c>
      <c r="C391" s="2" t="inlineStr">
        <is>
          <t>Gesso acartonado - S (Chapa Standard)</t>
        </is>
      </c>
      <c r="D391" s="2" t="inlineStr">
        <is>
          <t>05/07/2027</t>
        </is>
      </c>
      <c r="E391" s="2" t="inlineStr">
        <is>
          <t>21/08/2028</t>
        </is>
      </c>
      <c r="F391" s="2" t="n">
        <v>47323.8</v>
      </c>
      <c r="G391" s="2" t="n">
        <v>0</v>
      </c>
      <c r="H391" s="2" t="n">
        <v>47323.8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0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n">
        <v>0</v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n">
        <v>0</v>
      </c>
      <c r="BI391" s="2" t="n">
        <v>0</v>
      </c>
      <c r="BJ391" s="2" t="n">
        <v>0</v>
      </c>
      <c r="BK391" s="2" t="n">
        <v>0</v>
      </c>
      <c r="BL391" s="2" t="n">
        <v>0</v>
      </c>
      <c r="BM391" s="2" t="n">
        <v>0</v>
      </c>
      <c r="BN391" s="2" t="n">
        <v>0</v>
      </c>
      <c r="BO391" s="2" t="n">
        <v>0</v>
      </c>
      <c r="BP391" s="2" t="n">
        <v>0</v>
      </c>
      <c r="BQ391" s="2" t="n">
        <v>0</v>
      </c>
      <c r="BR391" s="2" t="n">
        <v>0</v>
      </c>
      <c r="BS391" s="2" t="n">
        <v>0</v>
      </c>
      <c r="BT391" s="2" t="n">
        <v>0</v>
      </c>
      <c r="BU391" s="2" t="n">
        <v>0</v>
      </c>
      <c r="BV391" s="2" t="n">
        <v>0</v>
      </c>
      <c r="BW391" s="2" t="n">
        <v>0</v>
      </c>
      <c r="BX391" s="2" t="n">
        <v>0</v>
      </c>
      <c r="BY391" s="2" t="n">
        <v>0</v>
      </c>
      <c r="BZ391" s="2" t="n">
        <v>0</v>
      </c>
      <c r="CA391" s="2" t="n">
        <v>0</v>
      </c>
      <c r="CB391" s="2" t="n">
        <v>0</v>
      </c>
      <c r="CC391" s="2" t="n">
        <v>0</v>
      </c>
      <c r="CD391" s="2" t="n">
        <v>0</v>
      </c>
      <c r="CE391" s="2" t="n">
        <v>0</v>
      </c>
      <c r="CF391" s="2" t="n">
        <v>2.69</v>
      </c>
      <c r="CG391" s="2" t="n">
        <v>3.94</v>
      </c>
      <c r="CH391" s="2" t="n">
        <v>0</v>
      </c>
      <c r="CI391" s="2" t="n">
        <v>10.01</v>
      </c>
      <c r="CJ391" s="2" t="n">
        <v>11.8</v>
      </c>
      <c r="CK391" s="2" t="n">
        <v>0</v>
      </c>
      <c r="CL391" s="2" t="n">
        <v>19.78</v>
      </c>
      <c r="CM391" s="2" t="n">
        <v>21.72</v>
      </c>
      <c r="CN391" s="2" t="n">
        <v>0</v>
      </c>
      <c r="CO391" s="2" t="n">
        <v>31.51</v>
      </c>
      <c r="CP391" s="2" t="n">
        <v>33.56</v>
      </c>
      <c r="CQ391" s="2" t="n">
        <v>0</v>
      </c>
      <c r="CR391" s="2" t="n">
        <v>42.99</v>
      </c>
      <c r="CS391" s="2" t="n">
        <v>44.95</v>
      </c>
      <c r="CT391" s="2" t="n">
        <v>0</v>
      </c>
      <c r="CU391" s="2" t="n">
        <v>50.96</v>
      </c>
      <c r="CV391" s="2" t="n">
        <v>52.75</v>
      </c>
      <c r="CW391" s="2" t="n">
        <v>0</v>
      </c>
      <c r="CX391" s="2" t="n">
        <v>58.98</v>
      </c>
      <c r="CY391" s="2" t="n">
        <v>60.85</v>
      </c>
      <c r="CZ391" s="2" t="n">
        <v>0</v>
      </c>
      <c r="DA391" s="2" t="n">
        <v>71.18000000000001</v>
      </c>
      <c r="DB391" s="2" t="n">
        <v>73.41</v>
      </c>
      <c r="DC391" s="2" t="n">
        <v>0</v>
      </c>
      <c r="DD391" s="2" t="n">
        <v>80.72</v>
      </c>
      <c r="DE391" s="2" t="n">
        <v>82.5</v>
      </c>
      <c r="DF391" s="2" t="n">
        <v>0</v>
      </c>
      <c r="DG391" s="2" t="n">
        <v>87.15000000000001</v>
      </c>
      <c r="DH391" s="2" t="n">
        <v>88.93000000000001</v>
      </c>
      <c r="DI391" s="2" t="n">
        <v>0</v>
      </c>
      <c r="DJ391" s="2" t="n">
        <v>94.12</v>
      </c>
      <c r="DK391" s="2" t="n">
        <v>95.01000000000001</v>
      </c>
      <c r="DL391" s="2" t="n">
        <v>0</v>
      </c>
      <c r="DM391" s="2" t="n">
        <v>96.67</v>
      </c>
      <c r="DN391" s="2" t="n">
        <v>96.79000000000001</v>
      </c>
      <c r="DO391" s="2" t="n">
        <v>0</v>
      </c>
      <c r="DP391" s="2" t="n">
        <v>98.22</v>
      </c>
      <c r="DQ391" s="2" t="n">
        <v>98.40000000000001</v>
      </c>
      <c r="DR391" s="2" t="n">
        <v>0</v>
      </c>
      <c r="DS391" s="2" t="n">
        <v>100</v>
      </c>
      <c r="DT391" s="2" t="n">
        <v>100</v>
      </c>
      <c r="DU391" s="2" t="n">
        <v>0</v>
      </c>
      <c r="DV391" s="2" t="n">
        <v>100</v>
      </c>
      <c r="DW391" s="2" t="n">
        <v>100</v>
      </c>
      <c r="DX391" s="2" t="n">
        <v>0</v>
      </c>
      <c r="DY391" s="2" t="n">
        <v>100</v>
      </c>
      <c r="DZ391" s="2" t="n">
        <v>100</v>
      </c>
      <c r="EA391" s="2" t="n">
        <v>0</v>
      </c>
      <c r="EB391" s="2" t="n">
        <v>100</v>
      </c>
      <c r="EC391" s="2" t="n">
        <v>100</v>
      </c>
      <c r="ED391" s="2" t="n">
        <v>0</v>
      </c>
      <c r="EE391" s="2" t="n">
        <v>100</v>
      </c>
      <c r="EF391" s="2" t="n">
        <v>100</v>
      </c>
      <c r="EG391" s="2" t="n">
        <v>0</v>
      </c>
      <c r="EH391" s="2" t="n">
        <v>100</v>
      </c>
      <c r="EI391" s="2" t="n">
        <v>100</v>
      </c>
      <c r="EJ391" s="2" t="n">
        <v>0</v>
      </c>
      <c r="EK391" s="2" t="n">
        <v>100</v>
      </c>
      <c r="EL391" s="2" t="n">
        <v>100</v>
      </c>
      <c r="EM391" s="2" t="n">
        <v>0</v>
      </c>
      <c r="EN391" s="2" t="n">
        <v>100</v>
      </c>
      <c r="EO391" s="2" t="n">
        <v>100</v>
      </c>
      <c r="EP391" s="2" t="n">
        <v>0</v>
      </c>
      <c r="EQ391" s="2" t="n">
        <v>100</v>
      </c>
      <c r="ER391" s="2" t="n">
        <v>100</v>
      </c>
      <c r="ES391" s="2" t="n">
        <v>0</v>
      </c>
    </row>
    <row r="392">
      <c r="A392" s="2" t="n">
        <v>3</v>
      </c>
      <c r="B392" s="2" t="inlineStr">
        <is>
          <t>18.03.02</t>
        </is>
      </c>
      <c r="C392" s="2" t="inlineStr">
        <is>
          <t>Gesso acartonado - RU (Chapa resistente à umidade) - Fechamento de shafts</t>
        </is>
      </c>
      <c r="D392" s="2" t="inlineStr">
        <is>
          <t>05/07/2027</t>
        </is>
      </c>
      <c r="E392" s="2" t="inlineStr">
        <is>
          <t>21/08/2028</t>
        </is>
      </c>
      <c r="F392" s="2" t="n">
        <v>383591</v>
      </c>
      <c r="G392" s="2" t="n">
        <v>0</v>
      </c>
      <c r="H392" s="2" t="n">
        <v>383591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  <c r="AN392" s="2" t="n">
        <v>0</v>
      </c>
      <c r="AO392" s="2" t="n">
        <v>0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n">
        <v>0</v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n">
        <v>0</v>
      </c>
      <c r="BI392" s="2" t="n">
        <v>0</v>
      </c>
      <c r="BJ392" s="2" t="n">
        <v>0</v>
      </c>
      <c r="BK392" s="2" t="n">
        <v>0</v>
      </c>
      <c r="BL392" s="2" t="n">
        <v>0</v>
      </c>
      <c r="BM392" s="2" t="n">
        <v>0</v>
      </c>
      <c r="BN392" s="2" t="n">
        <v>0</v>
      </c>
      <c r="BO392" s="2" t="n">
        <v>0</v>
      </c>
      <c r="BP392" s="2" t="n">
        <v>0</v>
      </c>
      <c r="BQ392" s="2" t="n">
        <v>0</v>
      </c>
      <c r="BR392" s="2" t="n">
        <v>0</v>
      </c>
      <c r="BS392" s="2" t="n">
        <v>0</v>
      </c>
      <c r="BT392" s="2" t="n">
        <v>0</v>
      </c>
      <c r="BU392" s="2" t="n">
        <v>0</v>
      </c>
      <c r="BV392" s="2" t="n">
        <v>0</v>
      </c>
      <c r="BW392" s="2" t="n">
        <v>0</v>
      </c>
      <c r="BX392" s="2" t="n">
        <v>0</v>
      </c>
      <c r="BY392" s="2" t="n">
        <v>0</v>
      </c>
      <c r="BZ392" s="2" t="n">
        <v>0</v>
      </c>
      <c r="CA392" s="2" t="n">
        <v>0</v>
      </c>
      <c r="CB392" s="2" t="n">
        <v>0</v>
      </c>
      <c r="CC392" s="2" t="n">
        <v>0</v>
      </c>
      <c r="CD392" s="2" t="n">
        <v>0</v>
      </c>
      <c r="CE392" s="2" t="n">
        <v>0</v>
      </c>
      <c r="CF392" s="2" t="n">
        <v>2.69</v>
      </c>
      <c r="CG392" s="2" t="n">
        <v>3.94</v>
      </c>
      <c r="CH392" s="2" t="n">
        <v>0</v>
      </c>
      <c r="CI392" s="2" t="n">
        <v>10.01</v>
      </c>
      <c r="CJ392" s="2" t="n">
        <v>11.8</v>
      </c>
      <c r="CK392" s="2" t="n">
        <v>0</v>
      </c>
      <c r="CL392" s="2" t="n">
        <v>19.78</v>
      </c>
      <c r="CM392" s="2" t="n">
        <v>21.72</v>
      </c>
      <c r="CN392" s="2" t="n">
        <v>0</v>
      </c>
      <c r="CO392" s="2" t="n">
        <v>31.51</v>
      </c>
      <c r="CP392" s="2" t="n">
        <v>33.56</v>
      </c>
      <c r="CQ392" s="2" t="n">
        <v>0</v>
      </c>
      <c r="CR392" s="2" t="n">
        <v>42.99</v>
      </c>
      <c r="CS392" s="2" t="n">
        <v>44.95</v>
      </c>
      <c r="CT392" s="2" t="n">
        <v>0</v>
      </c>
      <c r="CU392" s="2" t="n">
        <v>50.96</v>
      </c>
      <c r="CV392" s="2" t="n">
        <v>52.75</v>
      </c>
      <c r="CW392" s="2" t="n">
        <v>0</v>
      </c>
      <c r="CX392" s="2" t="n">
        <v>58.98</v>
      </c>
      <c r="CY392" s="2" t="n">
        <v>60.85</v>
      </c>
      <c r="CZ392" s="2" t="n">
        <v>0</v>
      </c>
      <c r="DA392" s="2" t="n">
        <v>71.18000000000001</v>
      </c>
      <c r="DB392" s="2" t="n">
        <v>73.41</v>
      </c>
      <c r="DC392" s="2" t="n">
        <v>0</v>
      </c>
      <c r="DD392" s="2" t="n">
        <v>80.72</v>
      </c>
      <c r="DE392" s="2" t="n">
        <v>82.5</v>
      </c>
      <c r="DF392" s="2" t="n">
        <v>0</v>
      </c>
      <c r="DG392" s="2" t="n">
        <v>87.15000000000001</v>
      </c>
      <c r="DH392" s="2" t="n">
        <v>88.93000000000001</v>
      </c>
      <c r="DI392" s="2" t="n">
        <v>0</v>
      </c>
      <c r="DJ392" s="2" t="n">
        <v>94.12</v>
      </c>
      <c r="DK392" s="2" t="n">
        <v>95.01000000000001</v>
      </c>
      <c r="DL392" s="2" t="n">
        <v>0</v>
      </c>
      <c r="DM392" s="2" t="n">
        <v>96.67</v>
      </c>
      <c r="DN392" s="2" t="n">
        <v>96.79000000000001</v>
      </c>
      <c r="DO392" s="2" t="n">
        <v>0</v>
      </c>
      <c r="DP392" s="2" t="n">
        <v>98.22</v>
      </c>
      <c r="DQ392" s="2" t="n">
        <v>98.40000000000001</v>
      </c>
      <c r="DR392" s="2" t="n">
        <v>0</v>
      </c>
      <c r="DS392" s="2" t="n">
        <v>100</v>
      </c>
      <c r="DT392" s="2" t="n">
        <v>100</v>
      </c>
      <c r="DU392" s="2" t="n">
        <v>0</v>
      </c>
      <c r="DV392" s="2" t="n">
        <v>100</v>
      </c>
      <c r="DW392" s="2" t="n">
        <v>100</v>
      </c>
      <c r="DX392" s="2" t="n">
        <v>0</v>
      </c>
      <c r="DY392" s="2" t="n">
        <v>100</v>
      </c>
      <c r="DZ392" s="2" t="n">
        <v>100</v>
      </c>
      <c r="EA392" s="2" t="n">
        <v>0</v>
      </c>
      <c r="EB392" s="2" t="n">
        <v>100</v>
      </c>
      <c r="EC392" s="2" t="n">
        <v>100</v>
      </c>
      <c r="ED392" s="2" t="n">
        <v>0</v>
      </c>
      <c r="EE392" s="2" t="n">
        <v>100</v>
      </c>
      <c r="EF392" s="2" t="n">
        <v>100</v>
      </c>
      <c r="EG392" s="2" t="n">
        <v>0</v>
      </c>
      <c r="EH392" s="2" t="n">
        <v>100</v>
      </c>
      <c r="EI392" s="2" t="n">
        <v>100</v>
      </c>
      <c r="EJ392" s="2" t="n">
        <v>0</v>
      </c>
      <c r="EK392" s="2" t="n">
        <v>100</v>
      </c>
      <c r="EL392" s="2" t="n">
        <v>100</v>
      </c>
      <c r="EM392" s="2" t="n">
        <v>0</v>
      </c>
      <c r="EN392" s="2" t="n">
        <v>100</v>
      </c>
      <c r="EO392" s="2" t="n">
        <v>100</v>
      </c>
      <c r="EP392" s="2" t="n">
        <v>0</v>
      </c>
      <c r="EQ392" s="2" t="n">
        <v>100</v>
      </c>
      <c r="ER392" s="2" t="n">
        <v>100</v>
      </c>
      <c r="ES392" s="2" t="n">
        <v>0</v>
      </c>
    </row>
    <row r="393">
      <c r="A393" s="2" t="n">
        <v>3</v>
      </c>
      <c r="B393" s="2" t="inlineStr">
        <is>
          <t>18.03.03</t>
        </is>
      </c>
      <c r="C393" s="2" t="inlineStr">
        <is>
          <t>Gesso acartonado - S-A-S</t>
        </is>
      </c>
      <c r="D393" s="2" t="inlineStr">
        <is>
          <t>05/07/2027</t>
        </is>
      </c>
      <c r="E393" s="2" t="inlineStr">
        <is>
          <t>21/08/2028</t>
        </is>
      </c>
      <c r="F393" s="2" t="n">
        <v>974240.2</v>
      </c>
      <c r="G393" s="2" t="n">
        <v>0</v>
      </c>
      <c r="H393" s="2" t="n">
        <v>974240.2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  <c r="AN393" s="2" t="n">
        <v>0</v>
      </c>
      <c r="AO393" s="2" t="n">
        <v>0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n">
        <v>0</v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n">
        <v>0</v>
      </c>
      <c r="BI393" s="2" t="n">
        <v>0</v>
      </c>
      <c r="BJ393" s="2" t="n">
        <v>0</v>
      </c>
      <c r="BK393" s="2" t="n">
        <v>0</v>
      </c>
      <c r="BL393" s="2" t="n">
        <v>0</v>
      </c>
      <c r="BM393" s="2" t="n">
        <v>0</v>
      </c>
      <c r="BN393" s="2" t="n">
        <v>0</v>
      </c>
      <c r="BO393" s="2" t="n">
        <v>0</v>
      </c>
      <c r="BP393" s="2" t="n">
        <v>0</v>
      </c>
      <c r="BQ393" s="2" t="n">
        <v>0</v>
      </c>
      <c r="BR393" s="2" t="n">
        <v>0</v>
      </c>
      <c r="BS393" s="2" t="n">
        <v>0</v>
      </c>
      <c r="BT393" s="2" t="n">
        <v>0</v>
      </c>
      <c r="BU393" s="2" t="n">
        <v>0</v>
      </c>
      <c r="BV393" s="2" t="n">
        <v>0</v>
      </c>
      <c r="BW393" s="2" t="n">
        <v>0</v>
      </c>
      <c r="BX393" s="2" t="n">
        <v>0</v>
      </c>
      <c r="BY393" s="2" t="n">
        <v>0</v>
      </c>
      <c r="BZ393" s="2" t="n">
        <v>0</v>
      </c>
      <c r="CA393" s="2" t="n">
        <v>0</v>
      </c>
      <c r="CB393" s="2" t="n">
        <v>0</v>
      </c>
      <c r="CC393" s="2" t="n">
        <v>0</v>
      </c>
      <c r="CD393" s="2" t="n">
        <v>0</v>
      </c>
      <c r="CE393" s="2" t="n">
        <v>0</v>
      </c>
      <c r="CF393" s="2" t="n">
        <v>2.69</v>
      </c>
      <c r="CG393" s="2" t="n">
        <v>3.94</v>
      </c>
      <c r="CH393" s="2" t="n">
        <v>0</v>
      </c>
      <c r="CI393" s="2" t="n">
        <v>10.01</v>
      </c>
      <c r="CJ393" s="2" t="n">
        <v>11.8</v>
      </c>
      <c r="CK393" s="2" t="n">
        <v>0</v>
      </c>
      <c r="CL393" s="2" t="n">
        <v>19.78</v>
      </c>
      <c r="CM393" s="2" t="n">
        <v>21.72</v>
      </c>
      <c r="CN393" s="2" t="n">
        <v>0</v>
      </c>
      <c r="CO393" s="2" t="n">
        <v>31.51</v>
      </c>
      <c r="CP393" s="2" t="n">
        <v>33.56</v>
      </c>
      <c r="CQ393" s="2" t="n">
        <v>0</v>
      </c>
      <c r="CR393" s="2" t="n">
        <v>42.99</v>
      </c>
      <c r="CS393" s="2" t="n">
        <v>44.95</v>
      </c>
      <c r="CT393" s="2" t="n">
        <v>0</v>
      </c>
      <c r="CU393" s="2" t="n">
        <v>50.96</v>
      </c>
      <c r="CV393" s="2" t="n">
        <v>52.75</v>
      </c>
      <c r="CW393" s="2" t="n">
        <v>0</v>
      </c>
      <c r="CX393" s="2" t="n">
        <v>58.98</v>
      </c>
      <c r="CY393" s="2" t="n">
        <v>60.85</v>
      </c>
      <c r="CZ393" s="2" t="n">
        <v>0</v>
      </c>
      <c r="DA393" s="2" t="n">
        <v>71.18000000000001</v>
      </c>
      <c r="DB393" s="2" t="n">
        <v>73.41</v>
      </c>
      <c r="DC393" s="2" t="n">
        <v>0</v>
      </c>
      <c r="DD393" s="2" t="n">
        <v>80.72</v>
      </c>
      <c r="DE393" s="2" t="n">
        <v>82.5</v>
      </c>
      <c r="DF393" s="2" t="n">
        <v>0</v>
      </c>
      <c r="DG393" s="2" t="n">
        <v>87.15000000000001</v>
      </c>
      <c r="DH393" s="2" t="n">
        <v>88.93000000000001</v>
      </c>
      <c r="DI393" s="2" t="n">
        <v>0</v>
      </c>
      <c r="DJ393" s="2" t="n">
        <v>94.12</v>
      </c>
      <c r="DK393" s="2" t="n">
        <v>95.01000000000001</v>
      </c>
      <c r="DL393" s="2" t="n">
        <v>0</v>
      </c>
      <c r="DM393" s="2" t="n">
        <v>96.67</v>
      </c>
      <c r="DN393" s="2" t="n">
        <v>96.79000000000001</v>
      </c>
      <c r="DO393" s="2" t="n">
        <v>0</v>
      </c>
      <c r="DP393" s="2" t="n">
        <v>98.22</v>
      </c>
      <c r="DQ393" s="2" t="n">
        <v>98.40000000000001</v>
      </c>
      <c r="DR393" s="2" t="n">
        <v>0</v>
      </c>
      <c r="DS393" s="2" t="n">
        <v>100</v>
      </c>
      <c r="DT393" s="2" t="n">
        <v>100</v>
      </c>
      <c r="DU393" s="2" t="n">
        <v>0</v>
      </c>
      <c r="DV393" s="2" t="n">
        <v>100</v>
      </c>
      <c r="DW393" s="2" t="n">
        <v>100</v>
      </c>
      <c r="DX393" s="2" t="n">
        <v>0</v>
      </c>
      <c r="DY393" s="2" t="n">
        <v>100</v>
      </c>
      <c r="DZ393" s="2" t="n">
        <v>100</v>
      </c>
      <c r="EA393" s="2" t="n">
        <v>0</v>
      </c>
      <c r="EB393" s="2" t="n">
        <v>100</v>
      </c>
      <c r="EC393" s="2" t="n">
        <v>100</v>
      </c>
      <c r="ED393" s="2" t="n">
        <v>0</v>
      </c>
      <c r="EE393" s="2" t="n">
        <v>100</v>
      </c>
      <c r="EF393" s="2" t="n">
        <v>100</v>
      </c>
      <c r="EG393" s="2" t="n">
        <v>0</v>
      </c>
      <c r="EH393" s="2" t="n">
        <v>100</v>
      </c>
      <c r="EI393" s="2" t="n">
        <v>100</v>
      </c>
      <c r="EJ393" s="2" t="n">
        <v>0</v>
      </c>
      <c r="EK393" s="2" t="n">
        <v>100</v>
      </c>
      <c r="EL393" s="2" t="n">
        <v>100</v>
      </c>
      <c r="EM393" s="2" t="n">
        <v>0</v>
      </c>
      <c r="EN393" s="2" t="n">
        <v>100</v>
      </c>
      <c r="EO393" s="2" t="n">
        <v>100</v>
      </c>
      <c r="EP393" s="2" t="n">
        <v>0</v>
      </c>
      <c r="EQ393" s="2" t="n">
        <v>100</v>
      </c>
      <c r="ER393" s="2" t="n">
        <v>100</v>
      </c>
      <c r="ES393" s="2" t="n">
        <v>0</v>
      </c>
    </row>
    <row r="394">
      <c r="A394" s="2" t="n">
        <v>3</v>
      </c>
      <c r="B394" s="2" t="inlineStr">
        <is>
          <t>18.03.04</t>
        </is>
      </c>
      <c r="C394" s="2" t="inlineStr">
        <is>
          <t>Gesso acartonado - S-A-RU</t>
        </is>
      </c>
      <c r="D394" s="2" t="inlineStr">
        <is>
          <t>05/07/2027</t>
        </is>
      </c>
      <c r="E394" s="2" t="inlineStr">
        <is>
          <t>21/08/2028</t>
        </is>
      </c>
      <c r="F394" s="2" t="n">
        <v>1731360.24</v>
      </c>
      <c r="G394" s="2" t="n">
        <v>0</v>
      </c>
      <c r="H394" s="2" t="n">
        <v>1731360.24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  <c r="AN394" s="2" t="n">
        <v>0</v>
      </c>
      <c r="AO394" s="2" t="n">
        <v>0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n">
        <v>0</v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n">
        <v>0</v>
      </c>
      <c r="BI394" s="2" t="n">
        <v>0</v>
      </c>
      <c r="BJ394" s="2" t="n">
        <v>0</v>
      </c>
      <c r="BK394" s="2" t="n">
        <v>0</v>
      </c>
      <c r="BL394" s="2" t="n">
        <v>0</v>
      </c>
      <c r="BM394" s="2" t="n">
        <v>0</v>
      </c>
      <c r="BN394" s="2" t="n">
        <v>0</v>
      </c>
      <c r="BO394" s="2" t="n">
        <v>0</v>
      </c>
      <c r="BP394" s="2" t="n">
        <v>0</v>
      </c>
      <c r="BQ394" s="2" t="n">
        <v>0</v>
      </c>
      <c r="BR394" s="2" t="n">
        <v>0</v>
      </c>
      <c r="BS394" s="2" t="n">
        <v>0</v>
      </c>
      <c r="BT394" s="2" t="n">
        <v>0</v>
      </c>
      <c r="BU394" s="2" t="n">
        <v>0</v>
      </c>
      <c r="BV394" s="2" t="n">
        <v>0</v>
      </c>
      <c r="BW394" s="2" t="n">
        <v>0</v>
      </c>
      <c r="BX394" s="2" t="n">
        <v>0</v>
      </c>
      <c r="BY394" s="2" t="n">
        <v>0</v>
      </c>
      <c r="BZ394" s="2" t="n">
        <v>0</v>
      </c>
      <c r="CA394" s="2" t="n">
        <v>0</v>
      </c>
      <c r="CB394" s="2" t="n">
        <v>0</v>
      </c>
      <c r="CC394" s="2" t="n">
        <v>0</v>
      </c>
      <c r="CD394" s="2" t="n">
        <v>0</v>
      </c>
      <c r="CE394" s="2" t="n">
        <v>0</v>
      </c>
      <c r="CF394" s="2" t="n">
        <v>2.69</v>
      </c>
      <c r="CG394" s="2" t="n">
        <v>3.94</v>
      </c>
      <c r="CH394" s="2" t="n">
        <v>0</v>
      </c>
      <c r="CI394" s="2" t="n">
        <v>10.01</v>
      </c>
      <c r="CJ394" s="2" t="n">
        <v>11.8</v>
      </c>
      <c r="CK394" s="2" t="n">
        <v>0</v>
      </c>
      <c r="CL394" s="2" t="n">
        <v>19.78</v>
      </c>
      <c r="CM394" s="2" t="n">
        <v>21.72</v>
      </c>
      <c r="CN394" s="2" t="n">
        <v>0</v>
      </c>
      <c r="CO394" s="2" t="n">
        <v>31.51</v>
      </c>
      <c r="CP394" s="2" t="n">
        <v>33.56</v>
      </c>
      <c r="CQ394" s="2" t="n">
        <v>0</v>
      </c>
      <c r="CR394" s="2" t="n">
        <v>42.99</v>
      </c>
      <c r="CS394" s="2" t="n">
        <v>44.95</v>
      </c>
      <c r="CT394" s="2" t="n">
        <v>0</v>
      </c>
      <c r="CU394" s="2" t="n">
        <v>50.96</v>
      </c>
      <c r="CV394" s="2" t="n">
        <v>52.75</v>
      </c>
      <c r="CW394" s="2" t="n">
        <v>0</v>
      </c>
      <c r="CX394" s="2" t="n">
        <v>58.98</v>
      </c>
      <c r="CY394" s="2" t="n">
        <v>60.85</v>
      </c>
      <c r="CZ394" s="2" t="n">
        <v>0</v>
      </c>
      <c r="DA394" s="2" t="n">
        <v>71.18000000000001</v>
      </c>
      <c r="DB394" s="2" t="n">
        <v>73.41</v>
      </c>
      <c r="DC394" s="2" t="n">
        <v>0</v>
      </c>
      <c r="DD394" s="2" t="n">
        <v>80.72</v>
      </c>
      <c r="DE394" s="2" t="n">
        <v>82.5</v>
      </c>
      <c r="DF394" s="2" t="n">
        <v>0</v>
      </c>
      <c r="DG394" s="2" t="n">
        <v>87.15000000000001</v>
      </c>
      <c r="DH394" s="2" t="n">
        <v>88.93000000000001</v>
      </c>
      <c r="DI394" s="2" t="n">
        <v>0</v>
      </c>
      <c r="DJ394" s="2" t="n">
        <v>94.12</v>
      </c>
      <c r="DK394" s="2" t="n">
        <v>95.01000000000001</v>
      </c>
      <c r="DL394" s="2" t="n">
        <v>0</v>
      </c>
      <c r="DM394" s="2" t="n">
        <v>96.67</v>
      </c>
      <c r="DN394" s="2" t="n">
        <v>96.79000000000001</v>
      </c>
      <c r="DO394" s="2" t="n">
        <v>0</v>
      </c>
      <c r="DP394" s="2" t="n">
        <v>98.22</v>
      </c>
      <c r="DQ394" s="2" t="n">
        <v>98.40000000000001</v>
      </c>
      <c r="DR394" s="2" t="n">
        <v>0</v>
      </c>
      <c r="DS394" s="2" t="n">
        <v>100</v>
      </c>
      <c r="DT394" s="2" t="n">
        <v>100</v>
      </c>
      <c r="DU394" s="2" t="n">
        <v>0</v>
      </c>
      <c r="DV394" s="2" t="n">
        <v>100</v>
      </c>
      <c r="DW394" s="2" t="n">
        <v>100</v>
      </c>
      <c r="DX394" s="2" t="n">
        <v>0</v>
      </c>
      <c r="DY394" s="2" t="n">
        <v>100</v>
      </c>
      <c r="DZ394" s="2" t="n">
        <v>100</v>
      </c>
      <c r="EA394" s="2" t="n">
        <v>0</v>
      </c>
      <c r="EB394" s="2" t="n">
        <v>100</v>
      </c>
      <c r="EC394" s="2" t="n">
        <v>100</v>
      </c>
      <c r="ED394" s="2" t="n">
        <v>0</v>
      </c>
      <c r="EE394" s="2" t="n">
        <v>100</v>
      </c>
      <c r="EF394" s="2" t="n">
        <v>100</v>
      </c>
      <c r="EG394" s="2" t="n">
        <v>0</v>
      </c>
      <c r="EH394" s="2" t="n">
        <v>100</v>
      </c>
      <c r="EI394" s="2" t="n">
        <v>100</v>
      </c>
      <c r="EJ394" s="2" t="n">
        <v>0</v>
      </c>
      <c r="EK394" s="2" t="n">
        <v>100</v>
      </c>
      <c r="EL394" s="2" t="n">
        <v>100</v>
      </c>
      <c r="EM394" s="2" t="n">
        <v>0</v>
      </c>
      <c r="EN394" s="2" t="n">
        <v>100</v>
      </c>
      <c r="EO394" s="2" t="n">
        <v>100</v>
      </c>
      <c r="EP394" s="2" t="n">
        <v>0</v>
      </c>
      <c r="EQ394" s="2" t="n">
        <v>100</v>
      </c>
      <c r="ER394" s="2" t="n">
        <v>100</v>
      </c>
      <c r="ES394" s="2" t="n">
        <v>0</v>
      </c>
    </row>
    <row r="395">
      <c r="A395" s="2" t="n">
        <v>3</v>
      </c>
      <c r="B395" s="2" t="inlineStr">
        <is>
          <t>18.03.05</t>
        </is>
      </c>
      <c r="C395" s="2" t="inlineStr">
        <is>
          <t>Gesso acartonado - RU-A-RU</t>
        </is>
      </c>
      <c r="D395" s="2" t="inlineStr">
        <is>
          <t>05/07/2027</t>
        </is>
      </c>
      <c r="E395" s="2" t="inlineStr">
        <is>
          <t>21/08/2028</t>
        </is>
      </c>
      <c r="F395" s="2" t="n">
        <v>265096.78</v>
      </c>
      <c r="G395" s="2" t="n">
        <v>0</v>
      </c>
      <c r="H395" s="2" t="n">
        <v>265096.78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  <c r="AN395" s="2" t="n">
        <v>0</v>
      </c>
      <c r="AO395" s="2" t="n">
        <v>0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n">
        <v>0</v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n">
        <v>0</v>
      </c>
      <c r="BI395" s="2" t="n">
        <v>0</v>
      </c>
      <c r="BJ395" s="2" t="n">
        <v>0</v>
      </c>
      <c r="BK395" s="2" t="n">
        <v>0</v>
      </c>
      <c r="BL395" s="2" t="n">
        <v>0</v>
      </c>
      <c r="BM395" s="2" t="n">
        <v>0</v>
      </c>
      <c r="BN395" s="2" t="n">
        <v>0</v>
      </c>
      <c r="BO395" s="2" t="n">
        <v>0</v>
      </c>
      <c r="BP395" s="2" t="n">
        <v>0</v>
      </c>
      <c r="BQ395" s="2" t="n">
        <v>0</v>
      </c>
      <c r="BR395" s="2" t="n">
        <v>0</v>
      </c>
      <c r="BS395" s="2" t="n">
        <v>0</v>
      </c>
      <c r="BT395" s="2" t="n">
        <v>0</v>
      </c>
      <c r="BU395" s="2" t="n">
        <v>0</v>
      </c>
      <c r="BV395" s="2" t="n">
        <v>0</v>
      </c>
      <c r="BW395" s="2" t="n">
        <v>0</v>
      </c>
      <c r="BX395" s="2" t="n">
        <v>0</v>
      </c>
      <c r="BY395" s="2" t="n">
        <v>0</v>
      </c>
      <c r="BZ395" s="2" t="n">
        <v>0</v>
      </c>
      <c r="CA395" s="2" t="n">
        <v>0</v>
      </c>
      <c r="CB395" s="2" t="n">
        <v>0</v>
      </c>
      <c r="CC395" s="2" t="n">
        <v>0</v>
      </c>
      <c r="CD395" s="2" t="n">
        <v>0</v>
      </c>
      <c r="CE395" s="2" t="n">
        <v>0</v>
      </c>
      <c r="CF395" s="2" t="n">
        <v>2.69</v>
      </c>
      <c r="CG395" s="2" t="n">
        <v>3.94</v>
      </c>
      <c r="CH395" s="2" t="n">
        <v>0</v>
      </c>
      <c r="CI395" s="2" t="n">
        <v>10.01</v>
      </c>
      <c r="CJ395" s="2" t="n">
        <v>11.8</v>
      </c>
      <c r="CK395" s="2" t="n">
        <v>0</v>
      </c>
      <c r="CL395" s="2" t="n">
        <v>19.78</v>
      </c>
      <c r="CM395" s="2" t="n">
        <v>21.72</v>
      </c>
      <c r="CN395" s="2" t="n">
        <v>0</v>
      </c>
      <c r="CO395" s="2" t="n">
        <v>31.51</v>
      </c>
      <c r="CP395" s="2" t="n">
        <v>33.56</v>
      </c>
      <c r="CQ395" s="2" t="n">
        <v>0</v>
      </c>
      <c r="CR395" s="2" t="n">
        <v>42.99</v>
      </c>
      <c r="CS395" s="2" t="n">
        <v>44.95</v>
      </c>
      <c r="CT395" s="2" t="n">
        <v>0</v>
      </c>
      <c r="CU395" s="2" t="n">
        <v>50.96</v>
      </c>
      <c r="CV395" s="2" t="n">
        <v>52.75</v>
      </c>
      <c r="CW395" s="2" t="n">
        <v>0</v>
      </c>
      <c r="CX395" s="2" t="n">
        <v>58.98</v>
      </c>
      <c r="CY395" s="2" t="n">
        <v>60.85</v>
      </c>
      <c r="CZ395" s="2" t="n">
        <v>0</v>
      </c>
      <c r="DA395" s="2" t="n">
        <v>71.18000000000001</v>
      </c>
      <c r="DB395" s="2" t="n">
        <v>73.41</v>
      </c>
      <c r="DC395" s="2" t="n">
        <v>0</v>
      </c>
      <c r="DD395" s="2" t="n">
        <v>80.72</v>
      </c>
      <c r="DE395" s="2" t="n">
        <v>82.5</v>
      </c>
      <c r="DF395" s="2" t="n">
        <v>0</v>
      </c>
      <c r="DG395" s="2" t="n">
        <v>87.15000000000001</v>
      </c>
      <c r="DH395" s="2" t="n">
        <v>88.93000000000001</v>
      </c>
      <c r="DI395" s="2" t="n">
        <v>0</v>
      </c>
      <c r="DJ395" s="2" t="n">
        <v>94.12</v>
      </c>
      <c r="DK395" s="2" t="n">
        <v>95.01000000000001</v>
      </c>
      <c r="DL395" s="2" t="n">
        <v>0</v>
      </c>
      <c r="DM395" s="2" t="n">
        <v>96.67</v>
      </c>
      <c r="DN395" s="2" t="n">
        <v>96.79000000000001</v>
      </c>
      <c r="DO395" s="2" t="n">
        <v>0</v>
      </c>
      <c r="DP395" s="2" t="n">
        <v>98.22</v>
      </c>
      <c r="DQ395" s="2" t="n">
        <v>98.40000000000001</v>
      </c>
      <c r="DR395" s="2" t="n">
        <v>0</v>
      </c>
      <c r="DS395" s="2" t="n">
        <v>100</v>
      </c>
      <c r="DT395" s="2" t="n">
        <v>100</v>
      </c>
      <c r="DU395" s="2" t="n">
        <v>0</v>
      </c>
      <c r="DV395" s="2" t="n">
        <v>100</v>
      </c>
      <c r="DW395" s="2" t="n">
        <v>100</v>
      </c>
      <c r="DX395" s="2" t="n">
        <v>0</v>
      </c>
      <c r="DY395" s="2" t="n">
        <v>100</v>
      </c>
      <c r="DZ395" s="2" t="n">
        <v>100</v>
      </c>
      <c r="EA395" s="2" t="n">
        <v>0</v>
      </c>
      <c r="EB395" s="2" t="n">
        <v>100</v>
      </c>
      <c r="EC395" s="2" t="n">
        <v>100</v>
      </c>
      <c r="ED395" s="2" t="n">
        <v>0</v>
      </c>
      <c r="EE395" s="2" t="n">
        <v>100</v>
      </c>
      <c r="EF395" s="2" t="n">
        <v>100</v>
      </c>
      <c r="EG395" s="2" t="n">
        <v>0</v>
      </c>
      <c r="EH395" s="2" t="n">
        <v>100</v>
      </c>
      <c r="EI395" s="2" t="n">
        <v>100</v>
      </c>
      <c r="EJ395" s="2" t="n">
        <v>0</v>
      </c>
      <c r="EK395" s="2" t="n">
        <v>100</v>
      </c>
      <c r="EL395" s="2" t="n">
        <v>100</v>
      </c>
      <c r="EM395" s="2" t="n">
        <v>0</v>
      </c>
      <c r="EN395" s="2" t="n">
        <v>100</v>
      </c>
      <c r="EO395" s="2" t="n">
        <v>100</v>
      </c>
      <c r="EP395" s="2" t="n">
        <v>0</v>
      </c>
      <c r="EQ395" s="2" t="n">
        <v>100</v>
      </c>
      <c r="ER395" s="2" t="n">
        <v>100</v>
      </c>
      <c r="ES395" s="2" t="n">
        <v>0</v>
      </c>
    </row>
    <row r="396">
      <c r="A396" s="2" t="n">
        <v>3</v>
      </c>
      <c r="B396" s="2" t="inlineStr">
        <is>
          <t>18.03.06</t>
        </is>
      </c>
      <c r="C396" s="2" t="inlineStr">
        <is>
          <t>Reforços para Drywall</t>
        </is>
      </c>
      <c r="D396" s="2" t="inlineStr">
        <is>
          <t>05/07/2027</t>
        </is>
      </c>
      <c r="E396" s="2" t="inlineStr">
        <is>
          <t>21/08/2028</t>
        </is>
      </c>
      <c r="F396" s="2" t="n">
        <v>239920</v>
      </c>
      <c r="G396" s="2" t="n">
        <v>0</v>
      </c>
      <c r="H396" s="2" t="n">
        <v>239920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  <c r="AM396" s="2" t="n">
        <v>0</v>
      </c>
      <c r="AN396" s="2" t="n">
        <v>0</v>
      </c>
      <c r="AO396" s="2" t="n">
        <v>0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n">
        <v>0</v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n">
        <v>0</v>
      </c>
      <c r="BI396" s="2" t="n">
        <v>0</v>
      </c>
      <c r="BJ396" s="2" t="n">
        <v>0</v>
      </c>
      <c r="BK396" s="2" t="n">
        <v>0</v>
      </c>
      <c r="BL396" s="2" t="n">
        <v>0</v>
      </c>
      <c r="BM396" s="2" t="n">
        <v>0</v>
      </c>
      <c r="BN396" s="2" t="n">
        <v>0</v>
      </c>
      <c r="BO396" s="2" t="n">
        <v>0</v>
      </c>
      <c r="BP396" s="2" t="n">
        <v>0</v>
      </c>
      <c r="BQ396" s="2" t="n">
        <v>0</v>
      </c>
      <c r="BR396" s="2" t="n">
        <v>0</v>
      </c>
      <c r="BS396" s="2" t="n">
        <v>0</v>
      </c>
      <c r="BT396" s="2" t="n">
        <v>0</v>
      </c>
      <c r="BU396" s="2" t="n">
        <v>0</v>
      </c>
      <c r="BV396" s="2" t="n">
        <v>0</v>
      </c>
      <c r="BW396" s="2" t="n">
        <v>0</v>
      </c>
      <c r="BX396" s="2" t="n">
        <v>0</v>
      </c>
      <c r="BY396" s="2" t="n">
        <v>0</v>
      </c>
      <c r="BZ396" s="2" t="n">
        <v>0</v>
      </c>
      <c r="CA396" s="2" t="n">
        <v>0</v>
      </c>
      <c r="CB396" s="2" t="n">
        <v>0</v>
      </c>
      <c r="CC396" s="2" t="n">
        <v>0</v>
      </c>
      <c r="CD396" s="2" t="n">
        <v>0</v>
      </c>
      <c r="CE396" s="2" t="n">
        <v>0</v>
      </c>
      <c r="CF396" s="2" t="n">
        <v>2.69</v>
      </c>
      <c r="CG396" s="2" t="n">
        <v>3.94</v>
      </c>
      <c r="CH396" s="2" t="n">
        <v>0</v>
      </c>
      <c r="CI396" s="2" t="n">
        <v>10.01</v>
      </c>
      <c r="CJ396" s="2" t="n">
        <v>11.8</v>
      </c>
      <c r="CK396" s="2" t="n">
        <v>0</v>
      </c>
      <c r="CL396" s="2" t="n">
        <v>19.78</v>
      </c>
      <c r="CM396" s="2" t="n">
        <v>21.72</v>
      </c>
      <c r="CN396" s="2" t="n">
        <v>0</v>
      </c>
      <c r="CO396" s="2" t="n">
        <v>31.51</v>
      </c>
      <c r="CP396" s="2" t="n">
        <v>33.56</v>
      </c>
      <c r="CQ396" s="2" t="n">
        <v>0</v>
      </c>
      <c r="CR396" s="2" t="n">
        <v>42.99</v>
      </c>
      <c r="CS396" s="2" t="n">
        <v>44.95</v>
      </c>
      <c r="CT396" s="2" t="n">
        <v>0</v>
      </c>
      <c r="CU396" s="2" t="n">
        <v>50.96</v>
      </c>
      <c r="CV396" s="2" t="n">
        <v>52.75</v>
      </c>
      <c r="CW396" s="2" t="n">
        <v>0</v>
      </c>
      <c r="CX396" s="2" t="n">
        <v>58.98</v>
      </c>
      <c r="CY396" s="2" t="n">
        <v>60.85</v>
      </c>
      <c r="CZ396" s="2" t="n">
        <v>0</v>
      </c>
      <c r="DA396" s="2" t="n">
        <v>71.18000000000001</v>
      </c>
      <c r="DB396" s="2" t="n">
        <v>73.41</v>
      </c>
      <c r="DC396" s="2" t="n">
        <v>0</v>
      </c>
      <c r="DD396" s="2" t="n">
        <v>80.72</v>
      </c>
      <c r="DE396" s="2" t="n">
        <v>82.5</v>
      </c>
      <c r="DF396" s="2" t="n">
        <v>0</v>
      </c>
      <c r="DG396" s="2" t="n">
        <v>87.15000000000001</v>
      </c>
      <c r="DH396" s="2" t="n">
        <v>88.93000000000001</v>
      </c>
      <c r="DI396" s="2" t="n">
        <v>0</v>
      </c>
      <c r="DJ396" s="2" t="n">
        <v>94.12</v>
      </c>
      <c r="DK396" s="2" t="n">
        <v>95.01000000000001</v>
      </c>
      <c r="DL396" s="2" t="n">
        <v>0</v>
      </c>
      <c r="DM396" s="2" t="n">
        <v>96.67</v>
      </c>
      <c r="DN396" s="2" t="n">
        <v>96.79000000000001</v>
      </c>
      <c r="DO396" s="2" t="n">
        <v>0</v>
      </c>
      <c r="DP396" s="2" t="n">
        <v>98.22</v>
      </c>
      <c r="DQ396" s="2" t="n">
        <v>98.40000000000001</v>
      </c>
      <c r="DR396" s="2" t="n">
        <v>0</v>
      </c>
      <c r="DS396" s="2" t="n">
        <v>100</v>
      </c>
      <c r="DT396" s="2" t="n">
        <v>100</v>
      </c>
      <c r="DU396" s="2" t="n">
        <v>0</v>
      </c>
      <c r="DV396" s="2" t="n">
        <v>100</v>
      </c>
      <c r="DW396" s="2" t="n">
        <v>100</v>
      </c>
      <c r="DX396" s="2" t="n">
        <v>0</v>
      </c>
      <c r="DY396" s="2" t="n">
        <v>100</v>
      </c>
      <c r="DZ396" s="2" t="n">
        <v>100</v>
      </c>
      <c r="EA396" s="2" t="n">
        <v>0</v>
      </c>
      <c r="EB396" s="2" t="n">
        <v>100</v>
      </c>
      <c r="EC396" s="2" t="n">
        <v>100</v>
      </c>
      <c r="ED396" s="2" t="n">
        <v>0</v>
      </c>
      <c r="EE396" s="2" t="n">
        <v>100</v>
      </c>
      <c r="EF396" s="2" t="n">
        <v>100</v>
      </c>
      <c r="EG396" s="2" t="n">
        <v>0</v>
      </c>
      <c r="EH396" s="2" t="n">
        <v>100</v>
      </c>
      <c r="EI396" s="2" t="n">
        <v>100</v>
      </c>
      <c r="EJ396" s="2" t="n">
        <v>0</v>
      </c>
      <c r="EK396" s="2" t="n">
        <v>100</v>
      </c>
      <c r="EL396" s="2" t="n">
        <v>100</v>
      </c>
      <c r="EM396" s="2" t="n">
        <v>0</v>
      </c>
      <c r="EN396" s="2" t="n">
        <v>100</v>
      </c>
      <c r="EO396" s="2" t="n">
        <v>100</v>
      </c>
      <c r="EP396" s="2" t="n">
        <v>0</v>
      </c>
      <c r="EQ396" s="2" t="n">
        <v>100</v>
      </c>
      <c r="ER396" s="2" t="n">
        <v>100</v>
      </c>
      <c r="ES396" s="2" t="n">
        <v>0</v>
      </c>
    </row>
    <row r="397">
      <c r="A397" s="2" t="n">
        <v>2</v>
      </c>
      <c r="B397" s="2" t="inlineStr">
        <is>
          <t>18.04</t>
        </is>
      </c>
      <c r="C397" s="2" t="inlineStr">
        <is>
          <t>Verga e Contra-verga</t>
        </is>
      </c>
      <c r="D397" s="2" t="inlineStr">
        <is>
          <t>16/03/2027</t>
        </is>
      </c>
      <c r="E397" s="2" t="inlineStr">
        <is>
          <t>04/05/2028</t>
        </is>
      </c>
      <c r="F397" s="2" t="n">
        <v>229772.2064658829</v>
      </c>
      <c r="G397" s="2" t="n">
        <v>0</v>
      </c>
      <c r="H397" s="2" t="n">
        <v>229772.2064658829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0</v>
      </c>
      <c r="AM397" s="2" t="n">
        <v>0</v>
      </c>
      <c r="AN397" s="2" t="n">
        <v>0</v>
      </c>
      <c r="AO397" s="2" t="n">
        <v>0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n">
        <v>0</v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n">
        <v>0</v>
      </c>
      <c r="BI397" s="2" t="n">
        <v>0</v>
      </c>
      <c r="BJ397" s="2" t="n">
        <v>0</v>
      </c>
      <c r="BK397" s="2" t="n">
        <v>0</v>
      </c>
      <c r="BL397" s="2" t="n">
        <v>0</v>
      </c>
      <c r="BM397" s="2" t="n">
        <v>0</v>
      </c>
      <c r="BN397" s="2" t="n">
        <v>0</v>
      </c>
      <c r="BO397" s="2" t="n">
        <v>0</v>
      </c>
      <c r="BP397" s="2" t="n">
        <v>0</v>
      </c>
      <c r="BQ397" s="2" t="n">
        <v>0</v>
      </c>
      <c r="BR397" s="2" t="n">
        <v>0</v>
      </c>
      <c r="BS397" s="2" t="n">
        <v>0</v>
      </c>
      <c r="BT397" s="2" t="n">
        <v>1.58</v>
      </c>
      <c r="BU397" s="2" t="n">
        <v>2.89</v>
      </c>
      <c r="BV397" s="2" t="n">
        <v>0</v>
      </c>
      <c r="BW397" s="2" t="n">
        <v>7.09</v>
      </c>
      <c r="BX397" s="2" t="n">
        <v>10.52</v>
      </c>
      <c r="BY397" s="2" t="n">
        <v>0</v>
      </c>
      <c r="BZ397" s="2" t="n">
        <v>18.31</v>
      </c>
      <c r="CA397" s="2" t="n">
        <v>22.87</v>
      </c>
      <c r="CB397" s="2" t="n">
        <v>0</v>
      </c>
      <c r="CC397" s="2" t="n">
        <v>33.02</v>
      </c>
      <c r="CD397" s="2" t="n">
        <v>37.18</v>
      </c>
      <c r="CE397" s="2" t="n">
        <v>0</v>
      </c>
      <c r="CF397" s="2" t="n">
        <v>42.74</v>
      </c>
      <c r="CG397" s="2" t="n">
        <v>46.92</v>
      </c>
      <c r="CH397" s="2" t="n">
        <v>0</v>
      </c>
      <c r="CI397" s="2" t="n">
        <v>52.53</v>
      </c>
      <c r="CJ397" s="2" t="n">
        <v>56.7</v>
      </c>
      <c r="CK397" s="2" t="n">
        <v>0</v>
      </c>
      <c r="CL397" s="2" t="n">
        <v>61.5</v>
      </c>
      <c r="CM397" s="2" t="n">
        <v>65.65000000000001</v>
      </c>
      <c r="CN397" s="2" t="n">
        <v>0</v>
      </c>
      <c r="CO397" s="2" t="n">
        <v>69.90000000000001</v>
      </c>
      <c r="CP397" s="2" t="n">
        <v>74.06</v>
      </c>
      <c r="CQ397" s="2" t="n">
        <v>0</v>
      </c>
      <c r="CR397" s="2" t="n">
        <v>78.81</v>
      </c>
      <c r="CS397" s="2" t="n">
        <v>82.95</v>
      </c>
      <c r="CT397" s="2" t="n">
        <v>0</v>
      </c>
      <c r="CU397" s="2" t="n">
        <v>85.27</v>
      </c>
      <c r="CV397" s="2" t="n">
        <v>89.28</v>
      </c>
      <c r="CW397" s="2" t="n">
        <v>0</v>
      </c>
      <c r="CX397" s="2" t="n">
        <v>93.92</v>
      </c>
      <c r="CY397" s="2" t="n">
        <v>96.45</v>
      </c>
      <c r="CZ397" s="2" t="n">
        <v>0</v>
      </c>
      <c r="DA397" s="2" t="n">
        <v>96.98</v>
      </c>
      <c r="DB397" s="2" t="n">
        <v>96.98</v>
      </c>
      <c r="DC397" s="2" t="n">
        <v>0</v>
      </c>
      <c r="DD397" s="2" t="n">
        <v>97.51000000000001</v>
      </c>
      <c r="DE397" s="2" t="n">
        <v>98.98</v>
      </c>
      <c r="DF397" s="2" t="n">
        <v>0</v>
      </c>
      <c r="DG397" s="2" t="n">
        <v>99.61</v>
      </c>
      <c r="DH397" s="2" t="n">
        <v>99.92</v>
      </c>
      <c r="DI397" s="2" t="n">
        <v>0</v>
      </c>
      <c r="DJ397" s="2" t="n">
        <v>100</v>
      </c>
      <c r="DK397" s="2" t="n">
        <v>100</v>
      </c>
      <c r="DL397" s="2" t="n">
        <v>0</v>
      </c>
      <c r="DM397" s="2" t="n">
        <v>100</v>
      </c>
      <c r="DN397" s="2" t="n">
        <v>100</v>
      </c>
      <c r="DO397" s="2" t="n">
        <v>0</v>
      </c>
      <c r="DP397" s="2" t="n">
        <v>100</v>
      </c>
      <c r="DQ397" s="2" t="n">
        <v>100</v>
      </c>
      <c r="DR397" s="2" t="n">
        <v>0</v>
      </c>
      <c r="DS397" s="2" t="n">
        <v>100</v>
      </c>
      <c r="DT397" s="2" t="n">
        <v>100</v>
      </c>
      <c r="DU397" s="2" t="n">
        <v>0</v>
      </c>
      <c r="DV397" s="2" t="n">
        <v>100</v>
      </c>
      <c r="DW397" s="2" t="n">
        <v>100</v>
      </c>
      <c r="DX397" s="2" t="n">
        <v>0</v>
      </c>
      <c r="DY397" s="2" t="n">
        <v>100</v>
      </c>
      <c r="DZ397" s="2" t="n">
        <v>100</v>
      </c>
      <c r="EA397" s="2" t="n">
        <v>0</v>
      </c>
      <c r="EB397" s="2" t="n">
        <v>100</v>
      </c>
      <c r="EC397" s="2" t="n">
        <v>100</v>
      </c>
      <c r="ED397" s="2" t="n">
        <v>0</v>
      </c>
      <c r="EE397" s="2" t="n">
        <v>100</v>
      </c>
      <c r="EF397" s="2" t="n">
        <v>100</v>
      </c>
      <c r="EG397" s="2" t="n">
        <v>0</v>
      </c>
      <c r="EH397" s="2" t="n">
        <v>100</v>
      </c>
      <c r="EI397" s="2" t="n">
        <v>100</v>
      </c>
      <c r="EJ397" s="2" t="n">
        <v>0</v>
      </c>
      <c r="EK397" s="2" t="n">
        <v>100</v>
      </c>
      <c r="EL397" s="2" t="n">
        <v>100</v>
      </c>
      <c r="EM397" s="2" t="n">
        <v>0</v>
      </c>
      <c r="EN397" s="2" t="n">
        <v>100</v>
      </c>
      <c r="EO397" s="2" t="n">
        <v>100</v>
      </c>
      <c r="EP397" s="2" t="n">
        <v>0</v>
      </c>
      <c r="EQ397" s="2" t="n">
        <v>100</v>
      </c>
      <c r="ER397" s="2" t="n">
        <v>100</v>
      </c>
      <c r="ES397" s="2" t="n">
        <v>0</v>
      </c>
    </row>
    <row r="398">
      <c r="A398" s="2" t="n">
        <v>3</v>
      </c>
      <c r="B398" s="2" t="inlineStr">
        <is>
          <t>18.04.01</t>
        </is>
      </c>
      <c r="C398" s="2" t="inlineStr">
        <is>
          <t>Vergas e contravergas</t>
        </is>
      </c>
      <c r="D398" s="2" t="inlineStr">
        <is>
          <t>16/03/2027</t>
        </is>
      </c>
      <c r="E398" s="2" t="inlineStr">
        <is>
          <t>04/05/2028</t>
        </is>
      </c>
      <c r="F398" s="2" t="n">
        <v>229772.2064658829</v>
      </c>
      <c r="G398" s="2" t="n">
        <v>0</v>
      </c>
      <c r="H398" s="2" t="n">
        <v>229772.2064658829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0</v>
      </c>
      <c r="AN398" s="2" t="n">
        <v>0</v>
      </c>
      <c r="AO398" s="2" t="n">
        <v>0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n">
        <v>0</v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n">
        <v>0</v>
      </c>
      <c r="BI398" s="2" t="n">
        <v>0</v>
      </c>
      <c r="BJ398" s="2" t="n">
        <v>0</v>
      </c>
      <c r="BK398" s="2" t="n">
        <v>0</v>
      </c>
      <c r="BL398" s="2" t="n">
        <v>0</v>
      </c>
      <c r="BM398" s="2" t="n">
        <v>0</v>
      </c>
      <c r="BN398" s="2" t="n">
        <v>0</v>
      </c>
      <c r="BO398" s="2" t="n">
        <v>0</v>
      </c>
      <c r="BP398" s="2" t="n">
        <v>0</v>
      </c>
      <c r="BQ398" s="2" t="n">
        <v>0</v>
      </c>
      <c r="BR398" s="2" t="n">
        <v>0</v>
      </c>
      <c r="BS398" s="2" t="n">
        <v>0</v>
      </c>
      <c r="BT398" s="2" t="n">
        <v>1.58</v>
      </c>
      <c r="BU398" s="2" t="n">
        <v>2.89</v>
      </c>
      <c r="BV398" s="2" t="n">
        <v>0</v>
      </c>
      <c r="BW398" s="2" t="n">
        <v>7.09</v>
      </c>
      <c r="BX398" s="2" t="n">
        <v>10.52</v>
      </c>
      <c r="BY398" s="2" t="n">
        <v>0</v>
      </c>
      <c r="BZ398" s="2" t="n">
        <v>18.31</v>
      </c>
      <c r="CA398" s="2" t="n">
        <v>22.87</v>
      </c>
      <c r="CB398" s="2" t="n">
        <v>0</v>
      </c>
      <c r="CC398" s="2" t="n">
        <v>33.02</v>
      </c>
      <c r="CD398" s="2" t="n">
        <v>37.18</v>
      </c>
      <c r="CE398" s="2" t="n">
        <v>0</v>
      </c>
      <c r="CF398" s="2" t="n">
        <v>42.74</v>
      </c>
      <c r="CG398" s="2" t="n">
        <v>46.92</v>
      </c>
      <c r="CH398" s="2" t="n">
        <v>0</v>
      </c>
      <c r="CI398" s="2" t="n">
        <v>52.53</v>
      </c>
      <c r="CJ398" s="2" t="n">
        <v>56.7</v>
      </c>
      <c r="CK398" s="2" t="n">
        <v>0</v>
      </c>
      <c r="CL398" s="2" t="n">
        <v>61.5</v>
      </c>
      <c r="CM398" s="2" t="n">
        <v>65.65000000000001</v>
      </c>
      <c r="CN398" s="2" t="n">
        <v>0</v>
      </c>
      <c r="CO398" s="2" t="n">
        <v>69.90000000000001</v>
      </c>
      <c r="CP398" s="2" t="n">
        <v>74.06</v>
      </c>
      <c r="CQ398" s="2" t="n">
        <v>0</v>
      </c>
      <c r="CR398" s="2" t="n">
        <v>78.81</v>
      </c>
      <c r="CS398" s="2" t="n">
        <v>82.95</v>
      </c>
      <c r="CT398" s="2" t="n">
        <v>0</v>
      </c>
      <c r="CU398" s="2" t="n">
        <v>85.27</v>
      </c>
      <c r="CV398" s="2" t="n">
        <v>89.28</v>
      </c>
      <c r="CW398" s="2" t="n">
        <v>0</v>
      </c>
      <c r="CX398" s="2" t="n">
        <v>93.92</v>
      </c>
      <c r="CY398" s="2" t="n">
        <v>96.45</v>
      </c>
      <c r="CZ398" s="2" t="n">
        <v>0</v>
      </c>
      <c r="DA398" s="2" t="n">
        <v>96.98</v>
      </c>
      <c r="DB398" s="2" t="n">
        <v>96.98</v>
      </c>
      <c r="DC398" s="2" t="n">
        <v>0</v>
      </c>
      <c r="DD398" s="2" t="n">
        <v>97.51000000000001</v>
      </c>
      <c r="DE398" s="2" t="n">
        <v>98.98</v>
      </c>
      <c r="DF398" s="2" t="n">
        <v>0</v>
      </c>
      <c r="DG398" s="2" t="n">
        <v>99.61</v>
      </c>
      <c r="DH398" s="2" t="n">
        <v>99.92</v>
      </c>
      <c r="DI398" s="2" t="n">
        <v>0</v>
      </c>
      <c r="DJ398" s="2" t="n">
        <v>100</v>
      </c>
      <c r="DK398" s="2" t="n">
        <v>100</v>
      </c>
      <c r="DL398" s="2" t="n">
        <v>0</v>
      </c>
      <c r="DM398" s="2" t="n">
        <v>100</v>
      </c>
      <c r="DN398" s="2" t="n">
        <v>100</v>
      </c>
      <c r="DO398" s="2" t="n">
        <v>0</v>
      </c>
      <c r="DP398" s="2" t="n">
        <v>100</v>
      </c>
      <c r="DQ398" s="2" t="n">
        <v>100</v>
      </c>
      <c r="DR398" s="2" t="n">
        <v>0</v>
      </c>
      <c r="DS398" s="2" t="n">
        <v>100</v>
      </c>
      <c r="DT398" s="2" t="n">
        <v>100</v>
      </c>
      <c r="DU398" s="2" t="n">
        <v>0</v>
      </c>
      <c r="DV398" s="2" t="n">
        <v>100</v>
      </c>
      <c r="DW398" s="2" t="n">
        <v>100</v>
      </c>
      <c r="DX398" s="2" t="n">
        <v>0</v>
      </c>
      <c r="DY398" s="2" t="n">
        <v>100</v>
      </c>
      <c r="DZ398" s="2" t="n">
        <v>100</v>
      </c>
      <c r="EA398" s="2" t="n">
        <v>0</v>
      </c>
      <c r="EB398" s="2" t="n">
        <v>100</v>
      </c>
      <c r="EC398" s="2" t="n">
        <v>100</v>
      </c>
      <c r="ED398" s="2" t="n">
        <v>0</v>
      </c>
      <c r="EE398" s="2" t="n">
        <v>100</v>
      </c>
      <c r="EF398" s="2" t="n">
        <v>100</v>
      </c>
      <c r="EG398" s="2" t="n">
        <v>0</v>
      </c>
      <c r="EH398" s="2" t="n">
        <v>100</v>
      </c>
      <c r="EI398" s="2" t="n">
        <v>100</v>
      </c>
      <c r="EJ398" s="2" t="n">
        <v>0</v>
      </c>
      <c r="EK398" s="2" t="n">
        <v>100</v>
      </c>
      <c r="EL398" s="2" t="n">
        <v>100</v>
      </c>
      <c r="EM398" s="2" t="n">
        <v>0</v>
      </c>
      <c r="EN398" s="2" t="n">
        <v>100</v>
      </c>
      <c r="EO398" s="2" t="n">
        <v>100</v>
      </c>
      <c r="EP398" s="2" t="n">
        <v>0</v>
      </c>
      <c r="EQ398" s="2" t="n">
        <v>100</v>
      </c>
      <c r="ER398" s="2" t="n">
        <v>100</v>
      </c>
      <c r="ES398" s="2" t="n">
        <v>0</v>
      </c>
    </row>
    <row r="399">
      <c r="A399" s="2" t="n">
        <v>1</v>
      </c>
      <c r="B399" s="2" t="inlineStr">
        <is>
          <t>19</t>
        </is>
      </c>
      <c r="C399" s="2" t="inlineStr">
        <is>
          <t>IMPERMEABILIZAÇÃO</t>
        </is>
      </c>
      <c r="D399" s="2" t="inlineStr">
        <is>
          <t>11/08/2027</t>
        </is>
      </c>
      <c r="E399" s="2" t="inlineStr">
        <is>
          <t>01/09/2028</t>
        </is>
      </c>
      <c r="F399" s="2" t="n">
        <v>3928343.287144306</v>
      </c>
      <c r="G399" s="2" t="n">
        <v>0</v>
      </c>
      <c r="H399" s="2" t="n">
        <v>3928343.287144306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0</v>
      </c>
      <c r="AN399" s="2" t="n">
        <v>0</v>
      </c>
      <c r="AO399" s="2" t="n">
        <v>0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n">
        <v>0</v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n">
        <v>0</v>
      </c>
      <c r="BI399" s="2" t="n">
        <v>0</v>
      </c>
      <c r="BJ399" s="2" t="n">
        <v>0</v>
      </c>
      <c r="BK399" s="2" t="n">
        <v>0</v>
      </c>
      <c r="BL399" s="2" t="n">
        <v>0</v>
      </c>
      <c r="BM399" s="2" t="n">
        <v>0</v>
      </c>
      <c r="BN399" s="2" t="n">
        <v>0</v>
      </c>
      <c r="BO399" s="2" t="n">
        <v>0</v>
      </c>
      <c r="BP399" s="2" t="n">
        <v>0</v>
      </c>
      <c r="BQ399" s="2" t="n">
        <v>0</v>
      </c>
      <c r="BR399" s="2" t="n">
        <v>0</v>
      </c>
      <c r="BS399" s="2" t="n">
        <v>0</v>
      </c>
      <c r="BT399" s="2" t="n">
        <v>0</v>
      </c>
      <c r="BU399" s="2" t="n">
        <v>0</v>
      </c>
      <c r="BV399" s="2" t="n">
        <v>0</v>
      </c>
      <c r="BW399" s="2" t="n">
        <v>0</v>
      </c>
      <c r="BX399" s="2" t="n">
        <v>0</v>
      </c>
      <c r="BY399" s="2" t="n">
        <v>0</v>
      </c>
      <c r="BZ399" s="2" t="n">
        <v>0</v>
      </c>
      <c r="CA399" s="2" t="n">
        <v>0</v>
      </c>
      <c r="CB399" s="2" t="n">
        <v>0</v>
      </c>
      <c r="CC399" s="2" t="n">
        <v>0</v>
      </c>
      <c r="CD399" s="2" t="n">
        <v>0</v>
      </c>
      <c r="CE399" s="2" t="n">
        <v>0</v>
      </c>
      <c r="CF399" s="2" t="n">
        <v>0</v>
      </c>
      <c r="CG399" s="2" t="n">
        <v>0</v>
      </c>
      <c r="CH399" s="2" t="n">
        <v>0</v>
      </c>
      <c r="CI399" s="2" t="n">
        <v>2.65</v>
      </c>
      <c r="CJ399" s="2" t="n">
        <v>3.97</v>
      </c>
      <c r="CK399" s="2" t="n">
        <v>0</v>
      </c>
      <c r="CL399" s="2" t="n">
        <v>8.199999999999999</v>
      </c>
      <c r="CM399" s="2" t="n">
        <v>9.52</v>
      </c>
      <c r="CN399" s="2" t="n">
        <v>0</v>
      </c>
      <c r="CO399" s="2" t="n">
        <v>13.49</v>
      </c>
      <c r="CP399" s="2" t="n">
        <v>17.2</v>
      </c>
      <c r="CQ399" s="2" t="n">
        <v>0</v>
      </c>
      <c r="CR399" s="2" t="n">
        <v>23.54</v>
      </c>
      <c r="CS399" s="2" t="n">
        <v>24.87</v>
      </c>
      <c r="CT399" s="2" t="n">
        <v>0</v>
      </c>
      <c r="CU399" s="2" t="n">
        <v>27.78</v>
      </c>
      <c r="CV399" s="2" t="n">
        <v>30.53</v>
      </c>
      <c r="CW399" s="2" t="n">
        <v>0</v>
      </c>
      <c r="CX399" s="2" t="n">
        <v>35</v>
      </c>
      <c r="CY399" s="2" t="n">
        <v>37.04</v>
      </c>
      <c r="CZ399" s="2" t="n">
        <v>0</v>
      </c>
      <c r="DA399" s="2" t="n">
        <v>41.27</v>
      </c>
      <c r="DB399" s="2" t="n">
        <v>43.54</v>
      </c>
      <c r="DC399" s="2" t="n">
        <v>0</v>
      </c>
      <c r="DD399" s="2" t="n">
        <v>54.32</v>
      </c>
      <c r="DE399" s="2" t="n">
        <v>56.56</v>
      </c>
      <c r="DF399" s="2" t="n">
        <v>0</v>
      </c>
      <c r="DG399" s="2" t="n">
        <v>63.54</v>
      </c>
      <c r="DH399" s="2" t="n">
        <v>65.38</v>
      </c>
      <c r="DI399" s="2" t="n">
        <v>0</v>
      </c>
      <c r="DJ399" s="2" t="n">
        <v>72.54000000000001</v>
      </c>
      <c r="DK399" s="2" t="n">
        <v>81.36</v>
      </c>
      <c r="DL399" s="2" t="n">
        <v>0</v>
      </c>
      <c r="DM399" s="2" t="n">
        <v>86.23999999999999</v>
      </c>
      <c r="DN399" s="2" t="n">
        <v>94.76000000000001</v>
      </c>
      <c r="DO399" s="2" t="n">
        <v>0</v>
      </c>
      <c r="DP399" s="2" t="n">
        <v>97.45999999999999</v>
      </c>
      <c r="DQ399" s="2" t="n">
        <v>97.62</v>
      </c>
      <c r="DR399" s="2" t="n">
        <v>0</v>
      </c>
      <c r="DS399" s="2" t="n">
        <v>98.41</v>
      </c>
      <c r="DT399" s="2" t="n">
        <v>99.73999999999999</v>
      </c>
      <c r="DU399" s="2" t="n">
        <v>0</v>
      </c>
      <c r="DV399" s="2" t="n">
        <v>100</v>
      </c>
      <c r="DW399" s="2" t="n">
        <v>100</v>
      </c>
      <c r="DX399" s="2" t="n">
        <v>0</v>
      </c>
      <c r="DY399" s="2" t="n">
        <v>100</v>
      </c>
      <c r="DZ399" s="2" t="n">
        <v>100</v>
      </c>
      <c r="EA399" s="2" t="n">
        <v>0</v>
      </c>
      <c r="EB399" s="2" t="n">
        <v>100</v>
      </c>
      <c r="EC399" s="2" t="n">
        <v>100</v>
      </c>
      <c r="ED399" s="2" t="n">
        <v>0</v>
      </c>
      <c r="EE399" s="2" t="n">
        <v>100</v>
      </c>
      <c r="EF399" s="2" t="n">
        <v>100</v>
      </c>
      <c r="EG399" s="2" t="n">
        <v>0</v>
      </c>
      <c r="EH399" s="2" t="n">
        <v>100</v>
      </c>
      <c r="EI399" s="2" t="n">
        <v>100</v>
      </c>
      <c r="EJ399" s="2" t="n">
        <v>0</v>
      </c>
      <c r="EK399" s="2" t="n">
        <v>100</v>
      </c>
      <c r="EL399" s="2" t="n">
        <v>100</v>
      </c>
      <c r="EM399" s="2" t="n">
        <v>0</v>
      </c>
      <c r="EN399" s="2" t="n">
        <v>100</v>
      </c>
      <c r="EO399" s="2" t="n">
        <v>100</v>
      </c>
      <c r="EP399" s="2" t="n">
        <v>0</v>
      </c>
      <c r="EQ399" s="2" t="n">
        <v>100</v>
      </c>
      <c r="ER399" s="2" t="n">
        <v>100</v>
      </c>
      <c r="ES399" s="2" t="n">
        <v>0</v>
      </c>
    </row>
    <row r="400">
      <c r="A400" s="2" t="n">
        <v>2</v>
      </c>
      <c r="B400" s="2" t="inlineStr">
        <is>
          <t>19.01</t>
        </is>
      </c>
      <c r="C400" s="2" t="inlineStr">
        <is>
          <t>Argamassa flexível (médio módulo) com consumo de 4,0kg/m², estrutura com tela poliéster resinada malha de 3x3mm. A impermeabilização deverá subir até a altura mínima de 20cm acima do nível acabado. * Nos box de chuveiro, a impermeabilização deverá subir até a altura mínima de 1,80m nas paredes| * Onde houver fechamento com drywall deverá ser feito reforço do sistema no rodapé</t>
        </is>
      </c>
      <c r="D400" s="2" t="inlineStr">
        <is>
          <t>11/08/2027</t>
        </is>
      </c>
      <c r="E400" s="2" t="inlineStr">
        <is>
          <t>01/09/2028</t>
        </is>
      </c>
      <c r="F400" s="2" t="n">
        <v>723539.9552156748</v>
      </c>
      <c r="G400" s="2" t="n">
        <v>0</v>
      </c>
      <c r="H400" s="2" t="n">
        <v>723539.9552156748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  <c r="AM400" s="2" t="n">
        <v>0</v>
      </c>
      <c r="AN400" s="2" t="n">
        <v>0</v>
      </c>
      <c r="AO400" s="2" t="n">
        <v>0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n">
        <v>0</v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n">
        <v>0</v>
      </c>
      <c r="BI400" s="2" t="n">
        <v>0</v>
      </c>
      <c r="BJ400" s="2" t="n">
        <v>0</v>
      </c>
      <c r="BK400" s="2" t="n">
        <v>0</v>
      </c>
      <c r="BL400" s="2" t="n">
        <v>0</v>
      </c>
      <c r="BM400" s="2" t="n">
        <v>0</v>
      </c>
      <c r="BN400" s="2" t="n">
        <v>0</v>
      </c>
      <c r="BO400" s="2" t="n">
        <v>0</v>
      </c>
      <c r="BP400" s="2" t="n">
        <v>0</v>
      </c>
      <c r="BQ400" s="2" t="n">
        <v>0</v>
      </c>
      <c r="BR400" s="2" t="n">
        <v>0</v>
      </c>
      <c r="BS400" s="2" t="n">
        <v>0</v>
      </c>
      <c r="BT400" s="2" t="n">
        <v>0</v>
      </c>
      <c r="BU400" s="2" t="n">
        <v>0</v>
      </c>
      <c r="BV400" s="2" t="n">
        <v>0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>
        <v>0</v>
      </c>
      <c r="CB400" s="2" t="n">
        <v>0</v>
      </c>
      <c r="CC400" s="2" t="n">
        <v>0</v>
      </c>
      <c r="CD400" s="2" t="n">
        <v>0</v>
      </c>
      <c r="CE400" s="2" t="n">
        <v>0</v>
      </c>
      <c r="CF400" s="2" t="n">
        <v>0</v>
      </c>
      <c r="CG400" s="2" t="n">
        <v>0</v>
      </c>
      <c r="CH400" s="2" t="n">
        <v>0</v>
      </c>
      <c r="CI400" s="2" t="n">
        <v>2.65</v>
      </c>
      <c r="CJ400" s="2" t="n">
        <v>3.97</v>
      </c>
      <c r="CK400" s="2" t="n">
        <v>0</v>
      </c>
      <c r="CL400" s="2" t="n">
        <v>8.199999999999999</v>
      </c>
      <c r="CM400" s="2" t="n">
        <v>9.52</v>
      </c>
      <c r="CN400" s="2" t="n">
        <v>0</v>
      </c>
      <c r="CO400" s="2" t="n">
        <v>13.49</v>
      </c>
      <c r="CP400" s="2" t="n">
        <v>17.2</v>
      </c>
      <c r="CQ400" s="2" t="n">
        <v>0</v>
      </c>
      <c r="CR400" s="2" t="n">
        <v>23.54</v>
      </c>
      <c r="CS400" s="2" t="n">
        <v>24.87</v>
      </c>
      <c r="CT400" s="2" t="n">
        <v>0</v>
      </c>
      <c r="CU400" s="2" t="n">
        <v>27.78</v>
      </c>
      <c r="CV400" s="2" t="n">
        <v>30.53</v>
      </c>
      <c r="CW400" s="2" t="n">
        <v>0</v>
      </c>
      <c r="CX400" s="2" t="n">
        <v>35</v>
      </c>
      <c r="CY400" s="2" t="n">
        <v>37.04</v>
      </c>
      <c r="CZ400" s="2" t="n">
        <v>0</v>
      </c>
      <c r="DA400" s="2" t="n">
        <v>41.27</v>
      </c>
      <c r="DB400" s="2" t="n">
        <v>43.54</v>
      </c>
      <c r="DC400" s="2" t="n">
        <v>0</v>
      </c>
      <c r="DD400" s="2" t="n">
        <v>54.32</v>
      </c>
      <c r="DE400" s="2" t="n">
        <v>56.56</v>
      </c>
      <c r="DF400" s="2" t="n">
        <v>0</v>
      </c>
      <c r="DG400" s="2" t="n">
        <v>63.54</v>
      </c>
      <c r="DH400" s="2" t="n">
        <v>65.38</v>
      </c>
      <c r="DI400" s="2" t="n">
        <v>0</v>
      </c>
      <c r="DJ400" s="2" t="n">
        <v>72.54000000000001</v>
      </c>
      <c r="DK400" s="2" t="n">
        <v>81.36</v>
      </c>
      <c r="DL400" s="2" t="n">
        <v>0</v>
      </c>
      <c r="DM400" s="2" t="n">
        <v>86.23999999999999</v>
      </c>
      <c r="DN400" s="2" t="n">
        <v>94.76000000000001</v>
      </c>
      <c r="DO400" s="2" t="n">
        <v>0</v>
      </c>
      <c r="DP400" s="2" t="n">
        <v>97.45999999999999</v>
      </c>
      <c r="DQ400" s="2" t="n">
        <v>97.62</v>
      </c>
      <c r="DR400" s="2" t="n">
        <v>0</v>
      </c>
      <c r="DS400" s="2" t="n">
        <v>98.41</v>
      </c>
      <c r="DT400" s="2" t="n">
        <v>99.73999999999999</v>
      </c>
      <c r="DU400" s="2" t="n">
        <v>0</v>
      </c>
      <c r="DV400" s="2" t="n">
        <v>100</v>
      </c>
      <c r="DW400" s="2" t="n">
        <v>100</v>
      </c>
      <c r="DX400" s="2" t="n">
        <v>0</v>
      </c>
      <c r="DY400" s="2" t="n">
        <v>100</v>
      </c>
      <c r="DZ400" s="2" t="n">
        <v>100</v>
      </c>
      <c r="EA400" s="2" t="n">
        <v>0</v>
      </c>
      <c r="EB400" s="2" t="n">
        <v>100</v>
      </c>
      <c r="EC400" s="2" t="n">
        <v>100</v>
      </c>
      <c r="ED400" s="2" t="n">
        <v>0</v>
      </c>
      <c r="EE400" s="2" t="n">
        <v>100</v>
      </c>
      <c r="EF400" s="2" t="n">
        <v>100</v>
      </c>
      <c r="EG400" s="2" t="n">
        <v>0</v>
      </c>
      <c r="EH400" s="2" t="n">
        <v>100</v>
      </c>
      <c r="EI400" s="2" t="n">
        <v>100</v>
      </c>
      <c r="EJ400" s="2" t="n">
        <v>0</v>
      </c>
      <c r="EK400" s="2" t="n">
        <v>100</v>
      </c>
      <c r="EL400" s="2" t="n">
        <v>100</v>
      </c>
      <c r="EM400" s="2" t="n">
        <v>0</v>
      </c>
      <c r="EN400" s="2" t="n">
        <v>100</v>
      </c>
      <c r="EO400" s="2" t="n">
        <v>100</v>
      </c>
      <c r="EP400" s="2" t="n">
        <v>0</v>
      </c>
      <c r="EQ400" s="2" t="n">
        <v>100</v>
      </c>
      <c r="ER400" s="2" t="n">
        <v>100</v>
      </c>
      <c r="ES400" s="2" t="n">
        <v>0</v>
      </c>
    </row>
    <row r="401">
      <c r="A401" s="2" t="n">
        <v>3</v>
      </c>
      <c r="B401" s="2" t="inlineStr">
        <is>
          <t>19.01.01</t>
        </is>
      </c>
      <c r="C401" s="2" t="inlineStr">
        <is>
          <t>Cozinha multiuso, gourmet, salão de festas</t>
        </is>
      </c>
      <c r="D401" s="2" t="inlineStr">
        <is>
          <t>11/08/2027</t>
        </is>
      </c>
      <c r="E401" s="2" t="inlineStr">
        <is>
          <t>01/09/2028</t>
        </is>
      </c>
      <c r="F401" s="2" t="n">
        <v>15674.12</v>
      </c>
      <c r="G401" s="2" t="n">
        <v>0</v>
      </c>
      <c r="H401" s="2" t="n">
        <v>15674.12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0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n">
        <v>0</v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n">
        <v>0</v>
      </c>
      <c r="BI401" s="2" t="n">
        <v>0</v>
      </c>
      <c r="BJ401" s="2" t="n">
        <v>0</v>
      </c>
      <c r="BK401" s="2" t="n">
        <v>0</v>
      </c>
      <c r="BL401" s="2" t="n">
        <v>0</v>
      </c>
      <c r="BM401" s="2" t="n">
        <v>0</v>
      </c>
      <c r="BN401" s="2" t="n">
        <v>0</v>
      </c>
      <c r="BO401" s="2" t="n">
        <v>0</v>
      </c>
      <c r="BP401" s="2" t="n">
        <v>0</v>
      </c>
      <c r="BQ401" s="2" t="n">
        <v>0</v>
      </c>
      <c r="BR401" s="2" t="n">
        <v>0</v>
      </c>
      <c r="BS401" s="2" t="n">
        <v>0</v>
      </c>
      <c r="BT401" s="2" t="n">
        <v>0</v>
      </c>
      <c r="BU401" s="2" t="n">
        <v>0</v>
      </c>
      <c r="BV401" s="2" t="n">
        <v>0</v>
      </c>
      <c r="BW401" s="2" t="n">
        <v>0</v>
      </c>
      <c r="BX401" s="2" t="n">
        <v>0</v>
      </c>
      <c r="BY401" s="2" t="n">
        <v>0</v>
      </c>
      <c r="BZ401" s="2" t="n">
        <v>0</v>
      </c>
      <c r="CA401" s="2" t="n">
        <v>0</v>
      </c>
      <c r="CB401" s="2" t="n">
        <v>0</v>
      </c>
      <c r="CC401" s="2" t="n">
        <v>0</v>
      </c>
      <c r="CD401" s="2" t="n">
        <v>0</v>
      </c>
      <c r="CE401" s="2" t="n">
        <v>0</v>
      </c>
      <c r="CF401" s="2" t="n">
        <v>0</v>
      </c>
      <c r="CG401" s="2" t="n">
        <v>0</v>
      </c>
      <c r="CH401" s="2" t="n">
        <v>0</v>
      </c>
      <c r="CI401" s="2" t="n">
        <v>2.65</v>
      </c>
      <c r="CJ401" s="2" t="n">
        <v>3.97</v>
      </c>
      <c r="CK401" s="2" t="n">
        <v>0</v>
      </c>
      <c r="CL401" s="2" t="n">
        <v>8.199999999999999</v>
      </c>
      <c r="CM401" s="2" t="n">
        <v>9.52</v>
      </c>
      <c r="CN401" s="2" t="n">
        <v>0</v>
      </c>
      <c r="CO401" s="2" t="n">
        <v>13.49</v>
      </c>
      <c r="CP401" s="2" t="n">
        <v>17.2</v>
      </c>
      <c r="CQ401" s="2" t="n">
        <v>0</v>
      </c>
      <c r="CR401" s="2" t="n">
        <v>23.54</v>
      </c>
      <c r="CS401" s="2" t="n">
        <v>24.87</v>
      </c>
      <c r="CT401" s="2" t="n">
        <v>0</v>
      </c>
      <c r="CU401" s="2" t="n">
        <v>27.78</v>
      </c>
      <c r="CV401" s="2" t="n">
        <v>30.53</v>
      </c>
      <c r="CW401" s="2" t="n">
        <v>0</v>
      </c>
      <c r="CX401" s="2" t="n">
        <v>35</v>
      </c>
      <c r="CY401" s="2" t="n">
        <v>37.04</v>
      </c>
      <c r="CZ401" s="2" t="n">
        <v>0</v>
      </c>
      <c r="DA401" s="2" t="n">
        <v>41.27</v>
      </c>
      <c r="DB401" s="2" t="n">
        <v>43.54</v>
      </c>
      <c r="DC401" s="2" t="n">
        <v>0</v>
      </c>
      <c r="DD401" s="2" t="n">
        <v>54.32</v>
      </c>
      <c r="DE401" s="2" t="n">
        <v>56.56</v>
      </c>
      <c r="DF401" s="2" t="n">
        <v>0</v>
      </c>
      <c r="DG401" s="2" t="n">
        <v>63.54</v>
      </c>
      <c r="DH401" s="2" t="n">
        <v>65.38</v>
      </c>
      <c r="DI401" s="2" t="n">
        <v>0</v>
      </c>
      <c r="DJ401" s="2" t="n">
        <v>72.54000000000001</v>
      </c>
      <c r="DK401" s="2" t="n">
        <v>81.36</v>
      </c>
      <c r="DL401" s="2" t="n">
        <v>0</v>
      </c>
      <c r="DM401" s="2" t="n">
        <v>86.23999999999999</v>
      </c>
      <c r="DN401" s="2" t="n">
        <v>94.76000000000001</v>
      </c>
      <c r="DO401" s="2" t="n">
        <v>0</v>
      </c>
      <c r="DP401" s="2" t="n">
        <v>97.45999999999999</v>
      </c>
      <c r="DQ401" s="2" t="n">
        <v>97.62</v>
      </c>
      <c r="DR401" s="2" t="n">
        <v>0</v>
      </c>
      <c r="DS401" s="2" t="n">
        <v>98.41</v>
      </c>
      <c r="DT401" s="2" t="n">
        <v>99.73999999999999</v>
      </c>
      <c r="DU401" s="2" t="n">
        <v>0</v>
      </c>
      <c r="DV401" s="2" t="n">
        <v>100</v>
      </c>
      <c r="DW401" s="2" t="n">
        <v>100</v>
      </c>
      <c r="DX401" s="2" t="n">
        <v>0</v>
      </c>
      <c r="DY401" s="2" t="n">
        <v>100</v>
      </c>
      <c r="DZ401" s="2" t="n">
        <v>100</v>
      </c>
      <c r="EA401" s="2" t="n">
        <v>0</v>
      </c>
      <c r="EB401" s="2" t="n">
        <v>100</v>
      </c>
      <c r="EC401" s="2" t="n">
        <v>100</v>
      </c>
      <c r="ED401" s="2" t="n">
        <v>0</v>
      </c>
      <c r="EE401" s="2" t="n">
        <v>100</v>
      </c>
      <c r="EF401" s="2" t="n">
        <v>100</v>
      </c>
      <c r="EG401" s="2" t="n">
        <v>0</v>
      </c>
      <c r="EH401" s="2" t="n">
        <v>100</v>
      </c>
      <c r="EI401" s="2" t="n">
        <v>100</v>
      </c>
      <c r="EJ401" s="2" t="n">
        <v>0</v>
      </c>
      <c r="EK401" s="2" t="n">
        <v>100</v>
      </c>
      <c r="EL401" s="2" t="n">
        <v>100</v>
      </c>
      <c r="EM401" s="2" t="n">
        <v>0</v>
      </c>
      <c r="EN401" s="2" t="n">
        <v>100</v>
      </c>
      <c r="EO401" s="2" t="n">
        <v>100</v>
      </c>
      <c r="EP401" s="2" t="n">
        <v>0</v>
      </c>
      <c r="EQ401" s="2" t="n">
        <v>100</v>
      </c>
      <c r="ER401" s="2" t="n">
        <v>100</v>
      </c>
      <c r="ES401" s="2" t="n">
        <v>0</v>
      </c>
    </row>
    <row r="402">
      <c r="A402" s="2" t="n">
        <v>3</v>
      </c>
      <c r="B402" s="2" t="inlineStr">
        <is>
          <t>19.01.02</t>
        </is>
      </c>
      <c r="C402" s="2" t="inlineStr">
        <is>
          <t>Áreas de serviço</t>
        </is>
      </c>
      <c r="D402" s="2" t="inlineStr">
        <is>
          <t>11/08/2027</t>
        </is>
      </c>
      <c r="E402" s="2" t="inlineStr">
        <is>
          <t>01/09/2028</t>
        </is>
      </c>
      <c r="F402" s="2" t="n">
        <v>93268.56</v>
      </c>
      <c r="G402" s="2" t="n">
        <v>0</v>
      </c>
      <c r="H402" s="2" t="n">
        <v>93268.56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n">
        <v>0</v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n">
        <v>0</v>
      </c>
      <c r="BI402" s="2" t="n">
        <v>0</v>
      </c>
      <c r="BJ402" s="2" t="n">
        <v>0</v>
      </c>
      <c r="BK402" s="2" t="n">
        <v>0</v>
      </c>
      <c r="BL402" s="2" t="n">
        <v>0</v>
      </c>
      <c r="BM402" s="2" t="n">
        <v>0</v>
      </c>
      <c r="BN402" s="2" t="n">
        <v>0</v>
      </c>
      <c r="BO402" s="2" t="n">
        <v>0</v>
      </c>
      <c r="BP402" s="2" t="n">
        <v>0</v>
      </c>
      <c r="BQ402" s="2" t="n">
        <v>0</v>
      </c>
      <c r="BR402" s="2" t="n">
        <v>0</v>
      </c>
      <c r="BS402" s="2" t="n">
        <v>0</v>
      </c>
      <c r="BT402" s="2" t="n">
        <v>0</v>
      </c>
      <c r="BU402" s="2" t="n">
        <v>0</v>
      </c>
      <c r="BV402" s="2" t="n">
        <v>0</v>
      </c>
      <c r="BW402" s="2" t="n">
        <v>0</v>
      </c>
      <c r="BX402" s="2" t="n">
        <v>0</v>
      </c>
      <c r="BY402" s="2" t="n">
        <v>0</v>
      </c>
      <c r="BZ402" s="2" t="n">
        <v>0</v>
      </c>
      <c r="CA402" s="2" t="n">
        <v>0</v>
      </c>
      <c r="CB402" s="2" t="n">
        <v>0</v>
      </c>
      <c r="CC402" s="2" t="n">
        <v>0</v>
      </c>
      <c r="CD402" s="2" t="n">
        <v>0</v>
      </c>
      <c r="CE402" s="2" t="n">
        <v>0</v>
      </c>
      <c r="CF402" s="2" t="n">
        <v>0</v>
      </c>
      <c r="CG402" s="2" t="n">
        <v>0</v>
      </c>
      <c r="CH402" s="2" t="n">
        <v>0</v>
      </c>
      <c r="CI402" s="2" t="n">
        <v>2.65</v>
      </c>
      <c r="CJ402" s="2" t="n">
        <v>3.97</v>
      </c>
      <c r="CK402" s="2" t="n">
        <v>0</v>
      </c>
      <c r="CL402" s="2" t="n">
        <v>8.199999999999999</v>
      </c>
      <c r="CM402" s="2" t="n">
        <v>9.52</v>
      </c>
      <c r="CN402" s="2" t="n">
        <v>0</v>
      </c>
      <c r="CO402" s="2" t="n">
        <v>13.49</v>
      </c>
      <c r="CP402" s="2" t="n">
        <v>17.2</v>
      </c>
      <c r="CQ402" s="2" t="n">
        <v>0</v>
      </c>
      <c r="CR402" s="2" t="n">
        <v>23.54</v>
      </c>
      <c r="CS402" s="2" t="n">
        <v>24.87</v>
      </c>
      <c r="CT402" s="2" t="n">
        <v>0</v>
      </c>
      <c r="CU402" s="2" t="n">
        <v>27.78</v>
      </c>
      <c r="CV402" s="2" t="n">
        <v>30.53</v>
      </c>
      <c r="CW402" s="2" t="n">
        <v>0</v>
      </c>
      <c r="CX402" s="2" t="n">
        <v>35</v>
      </c>
      <c r="CY402" s="2" t="n">
        <v>37.04</v>
      </c>
      <c r="CZ402" s="2" t="n">
        <v>0</v>
      </c>
      <c r="DA402" s="2" t="n">
        <v>41.27</v>
      </c>
      <c r="DB402" s="2" t="n">
        <v>43.54</v>
      </c>
      <c r="DC402" s="2" t="n">
        <v>0</v>
      </c>
      <c r="DD402" s="2" t="n">
        <v>54.32</v>
      </c>
      <c r="DE402" s="2" t="n">
        <v>56.56</v>
      </c>
      <c r="DF402" s="2" t="n">
        <v>0</v>
      </c>
      <c r="DG402" s="2" t="n">
        <v>63.54</v>
      </c>
      <c r="DH402" s="2" t="n">
        <v>65.38</v>
      </c>
      <c r="DI402" s="2" t="n">
        <v>0</v>
      </c>
      <c r="DJ402" s="2" t="n">
        <v>72.54000000000001</v>
      </c>
      <c r="DK402" s="2" t="n">
        <v>81.36</v>
      </c>
      <c r="DL402" s="2" t="n">
        <v>0</v>
      </c>
      <c r="DM402" s="2" t="n">
        <v>86.23999999999999</v>
      </c>
      <c r="DN402" s="2" t="n">
        <v>94.76000000000001</v>
      </c>
      <c r="DO402" s="2" t="n">
        <v>0</v>
      </c>
      <c r="DP402" s="2" t="n">
        <v>97.45999999999999</v>
      </c>
      <c r="DQ402" s="2" t="n">
        <v>97.62</v>
      </c>
      <c r="DR402" s="2" t="n">
        <v>0</v>
      </c>
      <c r="DS402" s="2" t="n">
        <v>98.41</v>
      </c>
      <c r="DT402" s="2" t="n">
        <v>99.73999999999999</v>
      </c>
      <c r="DU402" s="2" t="n">
        <v>0</v>
      </c>
      <c r="DV402" s="2" t="n">
        <v>100</v>
      </c>
      <c r="DW402" s="2" t="n">
        <v>100</v>
      </c>
      <c r="DX402" s="2" t="n">
        <v>0</v>
      </c>
      <c r="DY402" s="2" t="n">
        <v>100</v>
      </c>
      <c r="DZ402" s="2" t="n">
        <v>100</v>
      </c>
      <c r="EA402" s="2" t="n">
        <v>0</v>
      </c>
      <c r="EB402" s="2" t="n">
        <v>100</v>
      </c>
      <c r="EC402" s="2" t="n">
        <v>100</v>
      </c>
      <c r="ED402" s="2" t="n">
        <v>0</v>
      </c>
      <c r="EE402" s="2" t="n">
        <v>100</v>
      </c>
      <c r="EF402" s="2" t="n">
        <v>100</v>
      </c>
      <c r="EG402" s="2" t="n">
        <v>0</v>
      </c>
      <c r="EH402" s="2" t="n">
        <v>100</v>
      </c>
      <c r="EI402" s="2" t="n">
        <v>100</v>
      </c>
      <c r="EJ402" s="2" t="n">
        <v>0</v>
      </c>
      <c r="EK402" s="2" t="n">
        <v>100</v>
      </c>
      <c r="EL402" s="2" t="n">
        <v>100</v>
      </c>
      <c r="EM402" s="2" t="n">
        <v>0</v>
      </c>
      <c r="EN402" s="2" t="n">
        <v>100</v>
      </c>
      <c r="EO402" s="2" t="n">
        <v>100</v>
      </c>
      <c r="EP402" s="2" t="n">
        <v>0</v>
      </c>
      <c r="EQ402" s="2" t="n">
        <v>100</v>
      </c>
      <c r="ER402" s="2" t="n">
        <v>100</v>
      </c>
      <c r="ES402" s="2" t="n">
        <v>0</v>
      </c>
    </row>
    <row r="403">
      <c r="A403" s="2" t="n">
        <v>3</v>
      </c>
      <c r="B403" s="2" t="inlineStr">
        <is>
          <t>19.01.03</t>
        </is>
      </c>
      <c r="C403" s="2" t="inlineStr">
        <is>
          <t>Banheiros</t>
        </is>
      </c>
      <c r="D403" s="2" t="inlineStr">
        <is>
          <t>11/08/2027</t>
        </is>
      </c>
      <c r="E403" s="2" t="inlineStr">
        <is>
          <t>01/09/2028</t>
        </is>
      </c>
      <c r="F403" s="2" t="n">
        <v>182018.76</v>
      </c>
      <c r="G403" s="2" t="n">
        <v>0</v>
      </c>
      <c r="H403" s="2" t="n">
        <v>182018.76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n">
        <v>0</v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n">
        <v>0</v>
      </c>
      <c r="BI403" s="2" t="n">
        <v>0</v>
      </c>
      <c r="BJ403" s="2" t="n">
        <v>0</v>
      </c>
      <c r="BK403" s="2" t="n">
        <v>0</v>
      </c>
      <c r="BL403" s="2" t="n">
        <v>0</v>
      </c>
      <c r="BM403" s="2" t="n">
        <v>0</v>
      </c>
      <c r="BN403" s="2" t="n">
        <v>0</v>
      </c>
      <c r="BO403" s="2" t="n">
        <v>0</v>
      </c>
      <c r="BP403" s="2" t="n">
        <v>0</v>
      </c>
      <c r="BQ403" s="2" t="n">
        <v>0</v>
      </c>
      <c r="BR403" s="2" t="n">
        <v>0</v>
      </c>
      <c r="BS403" s="2" t="n">
        <v>0</v>
      </c>
      <c r="BT403" s="2" t="n">
        <v>0</v>
      </c>
      <c r="BU403" s="2" t="n">
        <v>0</v>
      </c>
      <c r="BV403" s="2" t="n">
        <v>0</v>
      </c>
      <c r="BW403" s="2" t="n">
        <v>0</v>
      </c>
      <c r="BX403" s="2" t="n">
        <v>0</v>
      </c>
      <c r="BY403" s="2" t="n">
        <v>0</v>
      </c>
      <c r="BZ403" s="2" t="n">
        <v>0</v>
      </c>
      <c r="CA403" s="2" t="n">
        <v>0</v>
      </c>
      <c r="CB403" s="2" t="n">
        <v>0</v>
      </c>
      <c r="CC403" s="2" t="n">
        <v>0</v>
      </c>
      <c r="CD403" s="2" t="n">
        <v>0</v>
      </c>
      <c r="CE403" s="2" t="n">
        <v>0</v>
      </c>
      <c r="CF403" s="2" t="n">
        <v>0</v>
      </c>
      <c r="CG403" s="2" t="n">
        <v>0</v>
      </c>
      <c r="CH403" s="2" t="n">
        <v>0</v>
      </c>
      <c r="CI403" s="2" t="n">
        <v>2.65</v>
      </c>
      <c r="CJ403" s="2" t="n">
        <v>3.97</v>
      </c>
      <c r="CK403" s="2" t="n">
        <v>0</v>
      </c>
      <c r="CL403" s="2" t="n">
        <v>8.199999999999999</v>
      </c>
      <c r="CM403" s="2" t="n">
        <v>9.52</v>
      </c>
      <c r="CN403" s="2" t="n">
        <v>0</v>
      </c>
      <c r="CO403" s="2" t="n">
        <v>13.49</v>
      </c>
      <c r="CP403" s="2" t="n">
        <v>17.2</v>
      </c>
      <c r="CQ403" s="2" t="n">
        <v>0</v>
      </c>
      <c r="CR403" s="2" t="n">
        <v>23.54</v>
      </c>
      <c r="CS403" s="2" t="n">
        <v>24.87</v>
      </c>
      <c r="CT403" s="2" t="n">
        <v>0</v>
      </c>
      <c r="CU403" s="2" t="n">
        <v>27.78</v>
      </c>
      <c r="CV403" s="2" t="n">
        <v>30.53</v>
      </c>
      <c r="CW403" s="2" t="n">
        <v>0</v>
      </c>
      <c r="CX403" s="2" t="n">
        <v>35</v>
      </c>
      <c r="CY403" s="2" t="n">
        <v>37.04</v>
      </c>
      <c r="CZ403" s="2" t="n">
        <v>0</v>
      </c>
      <c r="DA403" s="2" t="n">
        <v>41.27</v>
      </c>
      <c r="DB403" s="2" t="n">
        <v>43.54</v>
      </c>
      <c r="DC403" s="2" t="n">
        <v>0</v>
      </c>
      <c r="DD403" s="2" t="n">
        <v>54.32</v>
      </c>
      <c r="DE403" s="2" t="n">
        <v>56.56</v>
      </c>
      <c r="DF403" s="2" t="n">
        <v>0</v>
      </c>
      <c r="DG403" s="2" t="n">
        <v>63.54</v>
      </c>
      <c r="DH403" s="2" t="n">
        <v>65.38</v>
      </c>
      <c r="DI403" s="2" t="n">
        <v>0</v>
      </c>
      <c r="DJ403" s="2" t="n">
        <v>72.54000000000001</v>
      </c>
      <c r="DK403" s="2" t="n">
        <v>81.36</v>
      </c>
      <c r="DL403" s="2" t="n">
        <v>0</v>
      </c>
      <c r="DM403" s="2" t="n">
        <v>86.23999999999999</v>
      </c>
      <c r="DN403" s="2" t="n">
        <v>94.76000000000001</v>
      </c>
      <c r="DO403" s="2" t="n">
        <v>0</v>
      </c>
      <c r="DP403" s="2" t="n">
        <v>97.45999999999999</v>
      </c>
      <c r="DQ403" s="2" t="n">
        <v>97.62</v>
      </c>
      <c r="DR403" s="2" t="n">
        <v>0</v>
      </c>
      <c r="DS403" s="2" t="n">
        <v>98.41</v>
      </c>
      <c r="DT403" s="2" t="n">
        <v>99.73999999999999</v>
      </c>
      <c r="DU403" s="2" t="n">
        <v>0</v>
      </c>
      <c r="DV403" s="2" t="n">
        <v>100</v>
      </c>
      <c r="DW403" s="2" t="n">
        <v>100</v>
      </c>
      <c r="DX403" s="2" t="n">
        <v>0</v>
      </c>
      <c r="DY403" s="2" t="n">
        <v>100</v>
      </c>
      <c r="DZ403" s="2" t="n">
        <v>100</v>
      </c>
      <c r="EA403" s="2" t="n">
        <v>0</v>
      </c>
      <c r="EB403" s="2" t="n">
        <v>100</v>
      </c>
      <c r="EC403" s="2" t="n">
        <v>100</v>
      </c>
      <c r="ED403" s="2" t="n">
        <v>0</v>
      </c>
      <c r="EE403" s="2" t="n">
        <v>100</v>
      </c>
      <c r="EF403" s="2" t="n">
        <v>100</v>
      </c>
      <c r="EG403" s="2" t="n">
        <v>0</v>
      </c>
      <c r="EH403" s="2" t="n">
        <v>100</v>
      </c>
      <c r="EI403" s="2" t="n">
        <v>100</v>
      </c>
      <c r="EJ403" s="2" t="n">
        <v>0</v>
      </c>
      <c r="EK403" s="2" t="n">
        <v>100</v>
      </c>
      <c r="EL403" s="2" t="n">
        <v>100</v>
      </c>
      <c r="EM403" s="2" t="n">
        <v>0</v>
      </c>
      <c r="EN403" s="2" t="n">
        <v>100</v>
      </c>
      <c r="EO403" s="2" t="n">
        <v>100</v>
      </c>
      <c r="EP403" s="2" t="n">
        <v>0</v>
      </c>
      <c r="EQ403" s="2" t="n">
        <v>100</v>
      </c>
      <c r="ER403" s="2" t="n">
        <v>100</v>
      </c>
      <c r="ES403" s="2" t="n">
        <v>0</v>
      </c>
    </row>
    <row r="404">
      <c r="A404" s="2" t="n">
        <v>3</v>
      </c>
      <c r="B404" s="2" t="inlineStr">
        <is>
          <t>19.01.04</t>
        </is>
      </c>
      <c r="C404" s="2" t="inlineStr">
        <is>
          <t>Saunas</t>
        </is>
      </c>
      <c r="D404" s="2" t="inlineStr">
        <is>
          <t>11/08/2027</t>
        </is>
      </c>
      <c r="E404" s="2" t="inlineStr">
        <is>
          <t>01/09/2028</t>
        </is>
      </c>
      <c r="F404" s="2" t="n">
        <v>4993.391865</v>
      </c>
      <c r="G404" s="2" t="n">
        <v>0</v>
      </c>
      <c r="H404" s="2" t="n">
        <v>4993.391865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n">
        <v>0</v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n">
        <v>0</v>
      </c>
      <c r="BI404" s="2" t="n">
        <v>0</v>
      </c>
      <c r="BJ404" s="2" t="n">
        <v>0</v>
      </c>
      <c r="BK404" s="2" t="n">
        <v>0</v>
      </c>
      <c r="BL404" s="2" t="n">
        <v>0</v>
      </c>
      <c r="BM404" s="2" t="n">
        <v>0</v>
      </c>
      <c r="BN404" s="2" t="n">
        <v>0</v>
      </c>
      <c r="BO404" s="2" t="n">
        <v>0</v>
      </c>
      <c r="BP404" s="2" t="n">
        <v>0</v>
      </c>
      <c r="BQ404" s="2" t="n">
        <v>0</v>
      </c>
      <c r="BR404" s="2" t="n">
        <v>0</v>
      </c>
      <c r="BS404" s="2" t="n">
        <v>0</v>
      </c>
      <c r="BT404" s="2" t="n">
        <v>0</v>
      </c>
      <c r="BU404" s="2" t="n">
        <v>0</v>
      </c>
      <c r="BV404" s="2" t="n">
        <v>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2" t="n">
        <v>0</v>
      </c>
      <c r="CF404" s="2" t="n">
        <v>0</v>
      </c>
      <c r="CG404" s="2" t="n">
        <v>0</v>
      </c>
      <c r="CH404" s="2" t="n">
        <v>0</v>
      </c>
      <c r="CI404" s="2" t="n">
        <v>2.65</v>
      </c>
      <c r="CJ404" s="2" t="n">
        <v>3.97</v>
      </c>
      <c r="CK404" s="2" t="n">
        <v>0</v>
      </c>
      <c r="CL404" s="2" t="n">
        <v>8.199999999999999</v>
      </c>
      <c r="CM404" s="2" t="n">
        <v>9.52</v>
      </c>
      <c r="CN404" s="2" t="n">
        <v>0</v>
      </c>
      <c r="CO404" s="2" t="n">
        <v>13.49</v>
      </c>
      <c r="CP404" s="2" t="n">
        <v>17.2</v>
      </c>
      <c r="CQ404" s="2" t="n">
        <v>0</v>
      </c>
      <c r="CR404" s="2" t="n">
        <v>23.54</v>
      </c>
      <c r="CS404" s="2" t="n">
        <v>24.87</v>
      </c>
      <c r="CT404" s="2" t="n">
        <v>0</v>
      </c>
      <c r="CU404" s="2" t="n">
        <v>27.78</v>
      </c>
      <c r="CV404" s="2" t="n">
        <v>30.53</v>
      </c>
      <c r="CW404" s="2" t="n">
        <v>0</v>
      </c>
      <c r="CX404" s="2" t="n">
        <v>35</v>
      </c>
      <c r="CY404" s="2" t="n">
        <v>37.04</v>
      </c>
      <c r="CZ404" s="2" t="n">
        <v>0</v>
      </c>
      <c r="DA404" s="2" t="n">
        <v>41.27</v>
      </c>
      <c r="DB404" s="2" t="n">
        <v>43.54</v>
      </c>
      <c r="DC404" s="2" t="n">
        <v>0</v>
      </c>
      <c r="DD404" s="2" t="n">
        <v>54.32</v>
      </c>
      <c r="DE404" s="2" t="n">
        <v>56.56</v>
      </c>
      <c r="DF404" s="2" t="n">
        <v>0</v>
      </c>
      <c r="DG404" s="2" t="n">
        <v>63.54</v>
      </c>
      <c r="DH404" s="2" t="n">
        <v>65.38</v>
      </c>
      <c r="DI404" s="2" t="n">
        <v>0</v>
      </c>
      <c r="DJ404" s="2" t="n">
        <v>72.54000000000001</v>
      </c>
      <c r="DK404" s="2" t="n">
        <v>81.36</v>
      </c>
      <c r="DL404" s="2" t="n">
        <v>0</v>
      </c>
      <c r="DM404" s="2" t="n">
        <v>86.23999999999999</v>
      </c>
      <c r="DN404" s="2" t="n">
        <v>94.76000000000001</v>
      </c>
      <c r="DO404" s="2" t="n">
        <v>0</v>
      </c>
      <c r="DP404" s="2" t="n">
        <v>97.45999999999999</v>
      </c>
      <c r="DQ404" s="2" t="n">
        <v>97.62</v>
      </c>
      <c r="DR404" s="2" t="n">
        <v>0</v>
      </c>
      <c r="DS404" s="2" t="n">
        <v>98.41</v>
      </c>
      <c r="DT404" s="2" t="n">
        <v>99.73999999999999</v>
      </c>
      <c r="DU404" s="2" t="n">
        <v>0</v>
      </c>
      <c r="DV404" s="2" t="n">
        <v>100</v>
      </c>
      <c r="DW404" s="2" t="n">
        <v>100</v>
      </c>
      <c r="DX404" s="2" t="n">
        <v>0</v>
      </c>
      <c r="DY404" s="2" t="n">
        <v>100</v>
      </c>
      <c r="DZ404" s="2" t="n">
        <v>100</v>
      </c>
      <c r="EA404" s="2" t="n">
        <v>0</v>
      </c>
      <c r="EB404" s="2" t="n">
        <v>100</v>
      </c>
      <c r="EC404" s="2" t="n">
        <v>100</v>
      </c>
      <c r="ED404" s="2" t="n">
        <v>0</v>
      </c>
      <c r="EE404" s="2" t="n">
        <v>100</v>
      </c>
      <c r="EF404" s="2" t="n">
        <v>100</v>
      </c>
      <c r="EG404" s="2" t="n">
        <v>0</v>
      </c>
      <c r="EH404" s="2" t="n">
        <v>100</v>
      </c>
      <c r="EI404" s="2" t="n">
        <v>100</v>
      </c>
      <c r="EJ404" s="2" t="n">
        <v>0</v>
      </c>
      <c r="EK404" s="2" t="n">
        <v>100</v>
      </c>
      <c r="EL404" s="2" t="n">
        <v>100</v>
      </c>
      <c r="EM404" s="2" t="n">
        <v>0</v>
      </c>
      <c r="EN404" s="2" t="n">
        <v>100</v>
      </c>
      <c r="EO404" s="2" t="n">
        <v>100</v>
      </c>
      <c r="EP404" s="2" t="n">
        <v>0</v>
      </c>
      <c r="EQ404" s="2" t="n">
        <v>100</v>
      </c>
      <c r="ER404" s="2" t="n">
        <v>100</v>
      </c>
      <c r="ES404" s="2" t="n">
        <v>0</v>
      </c>
    </row>
    <row r="405">
      <c r="A405" s="2" t="n">
        <v>3</v>
      </c>
      <c r="B405" s="2" t="inlineStr">
        <is>
          <t>19.01.05</t>
        </is>
      </c>
      <c r="C405" s="2" t="inlineStr">
        <is>
          <t>Varanda</t>
        </is>
      </c>
      <c r="D405" s="2" t="inlineStr">
        <is>
          <t>11/08/2027</t>
        </is>
      </c>
      <c r="E405" s="2" t="inlineStr">
        <is>
          <t>01/09/2028</t>
        </is>
      </c>
      <c r="F405" s="2" t="n">
        <v>141131.76</v>
      </c>
      <c r="G405" s="2" t="n">
        <v>0</v>
      </c>
      <c r="H405" s="2" t="n">
        <v>141131.76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0</v>
      </c>
      <c r="AO405" s="2" t="n">
        <v>0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n">
        <v>0</v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n">
        <v>0</v>
      </c>
      <c r="BI405" s="2" t="n">
        <v>0</v>
      </c>
      <c r="BJ405" s="2" t="n">
        <v>0</v>
      </c>
      <c r="BK405" s="2" t="n">
        <v>0</v>
      </c>
      <c r="BL405" s="2" t="n">
        <v>0</v>
      </c>
      <c r="BM405" s="2" t="n">
        <v>0</v>
      </c>
      <c r="BN405" s="2" t="n">
        <v>0</v>
      </c>
      <c r="BO405" s="2" t="n">
        <v>0</v>
      </c>
      <c r="BP405" s="2" t="n">
        <v>0</v>
      </c>
      <c r="BQ405" s="2" t="n">
        <v>0</v>
      </c>
      <c r="BR405" s="2" t="n">
        <v>0</v>
      </c>
      <c r="BS405" s="2" t="n">
        <v>0</v>
      </c>
      <c r="BT405" s="2" t="n">
        <v>0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0</v>
      </c>
      <c r="CE405" s="2" t="n">
        <v>0</v>
      </c>
      <c r="CF405" s="2" t="n">
        <v>0</v>
      </c>
      <c r="CG405" s="2" t="n">
        <v>0</v>
      </c>
      <c r="CH405" s="2" t="n">
        <v>0</v>
      </c>
      <c r="CI405" s="2" t="n">
        <v>2.65</v>
      </c>
      <c r="CJ405" s="2" t="n">
        <v>3.97</v>
      </c>
      <c r="CK405" s="2" t="n">
        <v>0</v>
      </c>
      <c r="CL405" s="2" t="n">
        <v>8.199999999999999</v>
      </c>
      <c r="CM405" s="2" t="n">
        <v>9.52</v>
      </c>
      <c r="CN405" s="2" t="n">
        <v>0</v>
      </c>
      <c r="CO405" s="2" t="n">
        <v>13.49</v>
      </c>
      <c r="CP405" s="2" t="n">
        <v>17.2</v>
      </c>
      <c r="CQ405" s="2" t="n">
        <v>0</v>
      </c>
      <c r="CR405" s="2" t="n">
        <v>23.54</v>
      </c>
      <c r="CS405" s="2" t="n">
        <v>24.87</v>
      </c>
      <c r="CT405" s="2" t="n">
        <v>0</v>
      </c>
      <c r="CU405" s="2" t="n">
        <v>27.78</v>
      </c>
      <c r="CV405" s="2" t="n">
        <v>30.53</v>
      </c>
      <c r="CW405" s="2" t="n">
        <v>0</v>
      </c>
      <c r="CX405" s="2" t="n">
        <v>35</v>
      </c>
      <c r="CY405" s="2" t="n">
        <v>37.04</v>
      </c>
      <c r="CZ405" s="2" t="n">
        <v>0</v>
      </c>
      <c r="DA405" s="2" t="n">
        <v>41.27</v>
      </c>
      <c r="DB405" s="2" t="n">
        <v>43.54</v>
      </c>
      <c r="DC405" s="2" t="n">
        <v>0</v>
      </c>
      <c r="DD405" s="2" t="n">
        <v>54.32</v>
      </c>
      <c r="DE405" s="2" t="n">
        <v>56.56</v>
      </c>
      <c r="DF405" s="2" t="n">
        <v>0</v>
      </c>
      <c r="DG405" s="2" t="n">
        <v>63.54</v>
      </c>
      <c r="DH405" s="2" t="n">
        <v>65.38</v>
      </c>
      <c r="DI405" s="2" t="n">
        <v>0</v>
      </c>
      <c r="DJ405" s="2" t="n">
        <v>72.54000000000001</v>
      </c>
      <c r="DK405" s="2" t="n">
        <v>81.36</v>
      </c>
      <c r="DL405" s="2" t="n">
        <v>0</v>
      </c>
      <c r="DM405" s="2" t="n">
        <v>86.23999999999999</v>
      </c>
      <c r="DN405" s="2" t="n">
        <v>94.76000000000001</v>
      </c>
      <c r="DO405" s="2" t="n">
        <v>0</v>
      </c>
      <c r="DP405" s="2" t="n">
        <v>97.45999999999999</v>
      </c>
      <c r="DQ405" s="2" t="n">
        <v>97.62</v>
      </c>
      <c r="DR405" s="2" t="n">
        <v>0</v>
      </c>
      <c r="DS405" s="2" t="n">
        <v>98.41</v>
      </c>
      <c r="DT405" s="2" t="n">
        <v>99.73999999999999</v>
      </c>
      <c r="DU405" s="2" t="n">
        <v>0</v>
      </c>
      <c r="DV405" s="2" t="n">
        <v>100</v>
      </c>
      <c r="DW405" s="2" t="n">
        <v>100</v>
      </c>
      <c r="DX405" s="2" t="n">
        <v>0</v>
      </c>
      <c r="DY405" s="2" t="n">
        <v>100</v>
      </c>
      <c r="DZ405" s="2" t="n">
        <v>100</v>
      </c>
      <c r="EA405" s="2" t="n">
        <v>0</v>
      </c>
      <c r="EB405" s="2" t="n">
        <v>100</v>
      </c>
      <c r="EC405" s="2" t="n">
        <v>100</v>
      </c>
      <c r="ED405" s="2" t="n">
        <v>0</v>
      </c>
      <c r="EE405" s="2" t="n">
        <v>100</v>
      </c>
      <c r="EF405" s="2" t="n">
        <v>100</v>
      </c>
      <c r="EG405" s="2" t="n">
        <v>0</v>
      </c>
      <c r="EH405" s="2" t="n">
        <v>100</v>
      </c>
      <c r="EI405" s="2" t="n">
        <v>100</v>
      </c>
      <c r="EJ405" s="2" t="n">
        <v>0</v>
      </c>
      <c r="EK405" s="2" t="n">
        <v>100</v>
      </c>
      <c r="EL405" s="2" t="n">
        <v>100</v>
      </c>
      <c r="EM405" s="2" t="n">
        <v>0</v>
      </c>
      <c r="EN405" s="2" t="n">
        <v>100</v>
      </c>
      <c r="EO405" s="2" t="n">
        <v>100</v>
      </c>
      <c r="EP405" s="2" t="n">
        <v>0</v>
      </c>
      <c r="EQ405" s="2" t="n">
        <v>100</v>
      </c>
      <c r="ER405" s="2" t="n">
        <v>100</v>
      </c>
      <c r="ES405" s="2" t="n">
        <v>0</v>
      </c>
    </row>
    <row r="406">
      <c r="A406" s="2" t="n">
        <v>3</v>
      </c>
      <c r="B406" s="2" t="inlineStr">
        <is>
          <t>19.01.06</t>
        </is>
      </c>
      <c r="C406" s="2" t="inlineStr">
        <is>
          <t>Barrilete</t>
        </is>
      </c>
      <c r="D406" s="2" t="inlineStr">
        <is>
          <t>11/08/2027</t>
        </is>
      </c>
      <c r="E406" s="2" t="inlineStr">
        <is>
          <t>01/09/2028</t>
        </is>
      </c>
      <c r="F406" s="2" t="n">
        <v>3033.09776</v>
      </c>
      <c r="G406" s="2" t="n">
        <v>0</v>
      </c>
      <c r="H406" s="2" t="n">
        <v>3033.09776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0</v>
      </c>
      <c r="AN406" s="2" t="n">
        <v>0</v>
      </c>
      <c r="AO406" s="2" t="n">
        <v>0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n">
        <v>0</v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n">
        <v>0</v>
      </c>
      <c r="BI406" s="2" t="n">
        <v>0</v>
      </c>
      <c r="BJ406" s="2" t="n">
        <v>0</v>
      </c>
      <c r="BK406" s="2" t="n">
        <v>0</v>
      </c>
      <c r="BL406" s="2" t="n">
        <v>0</v>
      </c>
      <c r="BM406" s="2" t="n">
        <v>0</v>
      </c>
      <c r="BN406" s="2" t="n">
        <v>0</v>
      </c>
      <c r="BO406" s="2" t="n">
        <v>0</v>
      </c>
      <c r="BP406" s="2" t="n">
        <v>0</v>
      </c>
      <c r="BQ406" s="2" t="n">
        <v>0</v>
      </c>
      <c r="BR406" s="2" t="n">
        <v>0</v>
      </c>
      <c r="BS406" s="2" t="n">
        <v>0</v>
      </c>
      <c r="BT406" s="2" t="n">
        <v>0</v>
      </c>
      <c r="BU406" s="2" t="n">
        <v>0</v>
      </c>
      <c r="BV406" s="2" t="n">
        <v>0</v>
      </c>
      <c r="BW406" s="2" t="n">
        <v>0</v>
      </c>
      <c r="BX406" s="2" t="n">
        <v>0</v>
      </c>
      <c r="BY406" s="2" t="n">
        <v>0</v>
      </c>
      <c r="BZ406" s="2" t="n">
        <v>0</v>
      </c>
      <c r="CA406" s="2" t="n">
        <v>0</v>
      </c>
      <c r="CB406" s="2" t="n">
        <v>0</v>
      </c>
      <c r="CC406" s="2" t="n">
        <v>0</v>
      </c>
      <c r="CD406" s="2" t="n">
        <v>0</v>
      </c>
      <c r="CE406" s="2" t="n">
        <v>0</v>
      </c>
      <c r="CF406" s="2" t="n">
        <v>0</v>
      </c>
      <c r="CG406" s="2" t="n">
        <v>0</v>
      </c>
      <c r="CH406" s="2" t="n">
        <v>0</v>
      </c>
      <c r="CI406" s="2" t="n">
        <v>2.65</v>
      </c>
      <c r="CJ406" s="2" t="n">
        <v>3.97</v>
      </c>
      <c r="CK406" s="2" t="n">
        <v>0</v>
      </c>
      <c r="CL406" s="2" t="n">
        <v>8.199999999999999</v>
      </c>
      <c r="CM406" s="2" t="n">
        <v>9.52</v>
      </c>
      <c r="CN406" s="2" t="n">
        <v>0</v>
      </c>
      <c r="CO406" s="2" t="n">
        <v>13.49</v>
      </c>
      <c r="CP406" s="2" t="n">
        <v>17.2</v>
      </c>
      <c r="CQ406" s="2" t="n">
        <v>0</v>
      </c>
      <c r="CR406" s="2" t="n">
        <v>23.54</v>
      </c>
      <c r="CS406" s="2" t="n">
        <v>24.87</v>
      </c>
      <c r="CT406" s="2" t="n">
        <v>0</v>
      </c>
      <c r="CU406" s="2" t="n">
        <v>27.78</v>
      </c>
      <c r="CV406" s="2" t="n">
        <v>30.53</v>
      </c>
      <c r="CW406" s="2" t="n">
        <v>0</v>
      </c>
      <c r="CX406" s="2" t="n">
        <v>35</v>
      </c>
      <c r="CY406" s="2" t="n">
        <v>37.04</v>
      </c>
      <c r="CZ406" s="2" t="n">
        <v>0</v>
      </c>
      <c r="DA406" s="2" t="n">
        <v>41.27</v>
      </c>
      <c r="DB406" s="2" t="n">
        <v>43.54</v>
      </c>
      <c r="DC406" s="2" t="n">
        <v>0</v>
      </c>
      <c r="DD406" s="2" t="n">
        <v>54.32</v>
      </c>
      <c r="DE406" s="2" t="n">
        <v>56.56</v>
      </c>
      <c r="DF406" s="2" t="n">
        <v>0</v>
      </c>
      <c r="DG406" s="2" t="n">
        <v>63.54</v>
      </c>
      <c r="DH406" s="2" t="n">
        <v>65.38</v>
      </c>
      <c r="DI406" s="2" t="n">
        <v>0</v>
      </c>
      <c r="DJ406" s="2" t="n">
        <v>72.54000000000001</v>
      </c>
      <c r="DK406" s="2" t="n">
        <v>81.36</v>
      </c>
      <c r="DL406" s="2" t="n">
        <v>0</v>
      </c>
      <c r="DM406" s="2" t="n">
        <v>86.23999999999999</v>
      </c>
      <c r="DN406" s="2" t="n">
        <v>94.76000000000001</v>
      </c>
      <c r="DO406" s="2" t="n">
        <v>0</v>
      </c>
      <c r="DP406" s="2" t="n">
        <v>97.45999999999999</v>
      </c>
      <c r="DQ406" s="2" t="n">
        <v>97.62</v>
      </c>
      <c r="DR406" s="2" t="n">
        <v>0</v>
      </c>
      <c r="DS406" s="2" t="n">
        <v>98.41</v>
      </c>
      <c r="DT406" s="2" t="n">
        <v>99.73999999999999</v>
      </c>
      <c r="DU406" s="2" t="n">
        <v>0</v>
      </c>
      <c r="DV406" s="2" t="n">
        <v>100</v>
      </c>
      <c r="DW406" s="2" t="n">
        <v>100</v>
      </c>
      <c r="DX406" s="2" t="n">
        <v>0</v>
      </c>
      <c r="DY406" s="2" t="n">
        <v>100</v>
      </c>
      <c r="DZ406" s="2" t="n">
        <v>100</v>
      </c>
      <c r="EA406" s="2" t="n">
        <v>0</v>
      </c>
      <c r="EB406" s="2" t="n">
        <v>100</v>
      </c>
      <c r="EC406" s="2" t="n">
        <v>100</v>
      </c>
      <c r="ED406" s="2" t="n">
        <v>0</v>
      </c>
      <c r="EE406" s="2" t="n">
        <v>100</v>
      </c>
      <c r="EF406" s="2" t="n">
        <v>100</v>
      </c>
      <c r="EG406" s="2" t="n">
        <v>0</v>
      </c>
      <c r="EH406" s="2" t="n">
        <v>100</v>
      </c>
      <c r="EI406" s="2" t="n">
        <v>100</v>
      </c>
      <c r="EJ406" s="2" t="n">
        <v>0</v>
      </c>
      <c r="EK406" s="2" t="n">
        <v>100</v>
      </c>
      <c r="EL406" s="2" t="n">
        <v>100</v>
      </c>
      <c r="EM406" s="2" t="n">
        <v>0</v>
      </c>
      <c r="EN406" s="2" t="n">
        <v>100</v>
      </c>
      <c r="EO406" s="2" t="n">
        <v>100</v>
      </c>
      <c r="EP406" s="2" t="n">
        <v>0</v>
      </c>
      <c r="EQ406" s="2" t="n">
        <v>100</v>
      </c>
      <c r="ER406" s="2" t="n">
        <v>100</v>
      </c>
      <c r="ES406" s="2" t="n">
        <v>0</v>
      </c>
    </row>
    <row r="407">
      <c r="A407" s="2" t="n">
        <v>3</v>
      </c>
      <c r="B407" s="2" t="inlineStr">
        <is>
          <t>19.01.07</t>
        </is>
      </c>
      <c r="C407" s="2" t="inlineStr">
        <is>
          <t>ARS</t>
        </is>
      </c>
      <c r="D407" s="2" t="inlineStr">
        <is>
          <t>11/08/2027</t>
        </is>
      </c>
      <c r="E407" s="2" t="inlineStr">
        <is>
          <t>01/09/2028</t>
        </is>
      </c>
      <c r="F407" s="2" t="n">
        <v>826.98</v>
      </c>
      <c r="G407" s="2" t="n">
        <v>0</v>
      </c>
      <c r="H407" s="2" t="n">
        <v>826.98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0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n">
        <v>0</v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n">
        <v>0</v>
      </c>
      <c r="BI407" s="2" t="n">
        <v>0</v>
      </c>
      <c r="BJ407" s="2" t="n">
        <v>0</v>
      </c>
      <c r="BK407" s="2" t="n">
        <v>0</v>
      </c>
      <c r="BL407" s="2" t="n">
        <v>0</v>
      </c>
      <c r="BM407" s="2" t="n">
        <v>0</v>
      </c>
      <c r="BN407" s="2" t="n">
        <v>0</v>
      </c>
      <c r="BO407" s="2" t="n">
        <v>0</v>
      </c>
      <c r="BP407" s="2" t="n">
        <v>0</v>
      </c>
      <c r="BQ407" s="2" t="n">
        <v>0</v>
      </c>
      <c r="BR407" s="2" t="n">
        <v>0</v>
      </c>
      <c r="BS407" s="2" t="n">
        <v>0</v>
      </c>
      <c r="BT407" s="2" t="n">
        <v>0</v>
      </c>
      <c r="BU407" s="2" t="n">
        <v>0</v>
      </c>
      <c r="BV407" s="2" t="n">
        <v>0</v>
      </c>
      <c r="BW407" s="2" t="n">
        <v>0</v>
      </c>
      <c r="BX407" s="2" t="n">
        <v>0</v>
      </c>
      <c r="BY407" s="2" t="n">
        <v>0</v>
      </c>
      <c r="BZ407" s="2" t="n">
        <v>0</v>
      </c>
      <c r="CA407" s="2" t="n">
        <v>0</v>
      </c>
      <c r="CB407" s="2" t="n">
        <v>0</v>
      </c>
      <c r="CC407" s="2" t="n">
        <v>0</v>
      </c>
      <c r="CD407" s="2" t="n">
        <v>0</v>
      </c>
      <c r="CE407" s="2" t="n">
        <v>0</v>
      </c>
      <c r="CF407" s="2" t="n">
        <v>0</v>
      </c>
      <c r="CG407" s="2" t="n">
        <v>0</v>
      </c>
      <c r="CH407" s="2" t="n">
        <v>0</v>
      </c>
      <c r="CI407" s="2" t="n">
        <v>2.65</v>
      </c>
      <c r="CJ407" s="2" t="n">
        <v>3.97</v>
      </c>
      <c r="CK407" s="2" t="n">
        <v>0</v>
      </c>
      <c r="CL407" s="2" t="n">
        <v>8.199999999999999</v>
      </c>
      <c r="CM407" s="2" t="n">
        <v>9.52</v>
      </c>
      <c r="CN407" s="2" t="n">
        <v>0</v>
      </c>
      <c r="CO407" s="2" t="n">
        <v>13.49</v>
      </c>
      <c r="CP407" s="2" t="n">
        <v>17.2</v>
      </c>
      <c r="CQ407" s="2" t="n">
        <v>0</v>
      </c>
      <c r="CR407" s="2" t="n">
        <v>23.54</v>
      </c>
      <c r="CS407" s="2" t="n">
        <v>24.87</v>
      </c>
      <c r="CT407" s="2" t="n">
        <v>0</v>
      </c>
      <c r="CU407" s="2" t="n">
        <v>27.78</v>
      </c>
      <c r="CV407" s="2" t="n">
        <v>30.53</v>
      </c>
      <c r="CW407" s="2" t="n">
        <v>0</v>
      </c>
      <c r="CX407" s="2" t="n">
        <v>35</v>
      </c>
      <c r="CY407" s="2" t="n">
        <v>37.04</v>
      </c>
      <c r="CZ407" s="2" t="n">
        <v>0</v>
      </c>
      <c r="DA407" s="2" t="n">
        <v>41.27</v>
      </c>
      <c r="DB407" s="2" t="n">
        <v>43.54</v>
      </c>
      <c r="DC407" s="2" t="n">
        <v>0</v>
      </c>
      <c r="DD407" s="2" t="n">
        <v>54.32</v>
      </c>
      <c r="DE407" s="2" t="n">
        <v>56.56</v>
      </c>
      <c r="DF407" s="2" t="n">
        <v>0</v>
      </c>
      <c r="DG407" s="2" t="n">
        <v>63.54</v>
      </c>
      <c r="DH407" s="2" t="n">
        <v>65.38</v>
      </c>
      <c r="DI407" s="2" t="n">
        <v>0</v>
      </c>
      <c r="DJ407" s="2" t="n">
        <v>72.54000000000001</v>
      </c>
      <c r="DK407" s="2" t="n">
        <v>81.36</v>
      </c>
      <c r="DL407" s="2" t="n">
        <v>0</v>
      </c>
      <c r="DM407" s="2" t="n">
        <v>86.23999999999999</v>
      </c>
      <c r="DN407" s="2" t="n">
        <v>94.76000000000001</v>
      </c>
      <c r="DO407" s="2" t="n">
        <v>0</v>
      </c>
      <c r="DP407" s="2" t="n">
        <v>97.45999999999999</v>
      </c>
      <c r="DQ407" s="2" t="n">
        <v>97.62</v>
      </c>
      <c r="DR407" s="2" t="n">
        <v>0</v>
      </c>
      <c r="DS407" s="2" t="n">
        <v>98.41</v>
      </c>
      <c r="DT407" s="2" t="n">
        <v>99.73999999999999</v>
      </c>
      <c r="DU407" s="2" t="n">
        <v>0</v>
      </c>
      <c r="DV407" s="2" t="n">
        <v>100</v>
      </c>
      <c r="DW407" s="2" t="n">
        <v>100</v>
      </c>
      <c r="DX407" s="2" t="n">
        <v>0</v>
      </c>
      <c r="DY407" s="2" t="n">
        <v>100</v>
      </c>
      <c r="DZ407" s="2" t="n">
        <v>100</v>
      </c>
      <c r="EA407" s="2" t="n">
        <v>0</v>
      </c>
      <c r="EB407" s="2" t="n">
        <v>100</v>
      </c>
      <c r="EC407" s="2" t="n">
        <v>100</v>
      </c>
      <c r="ED407" s="2" t="n">
        <v>0</v>
      </c>
      <c r="EE407" s="2" t="n">
        <v>100</v>
      </c>
      <c r="EF407" s="2" t="n">
        <v>100</v>
      </c>
      <c r="EG407" s="2" t="n">
        <v>0</v>
      </c>
      <c r="EH407" s="2" t="n">
        <v>100</v>
      </c>
      <c r="EI407" s="2" t="n">
        <v>100</v>
      </c>
      <c r="EJ407" s="2" t="n">
        <v>0</v>
      </c>
      <c r="EK407" s="2" t="n">
        <v>100</v>
      </c>
      <c r="EL407" s="2" t="n">
        <v>100</v>
      </c>
      <c r="EM407" s="2" t="n">
        <v>0</v>
      </c>
      <c r="EN407" s="2" t="n">
        <v>100</v>
      </c>
      <c r="EO407" s="2" t="n">
        <v>100</v>
      </c>
      <c r="EP407" s="2" t="n">
        <v>0</v>
      </c>
      <c r="EQ407" s="2" t="n">
        <v>100</v>
      </c>
      <c r="ER407" s="2" t="n">
        <v>100</v>
      </c>
      <c r="ES407" s="2" t="n">
        <v>0</v>
      </c>
    </row>
    <row r="408">
      <c r="A408" s="2" t="n">
        <v>3</v>
      </c>
      <c r="B408" s="2" t="inlineStr">
        <is>
          <t>19.01.08</t>
        </is>
      </c>
      <c r="C408" s="2" t="inlineStr">
        <is>
          <t>Dml</t>
        </is>
      </c>
      <c r="D408" s="2" t="inlineStr">
        <is>
          <t>11/08/2027</t>
        </is>
      </c>
      <c r="E408" s="2" t="inlineStr">
        <is>
          <t>01/09/2028</t>
        </is>
      </c>
      <c r="F408" s="2" t="n">
        <v>22671.88</v>
      </c>
      <c r="G408" s="2" t="n">
        <v>0</v>
      </c>
      <c r="H408" s="2" t="n">
        <v>22671.88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0</v>
      </c>
      <c r="AN408" s="2" t="n">
        <v>0</v>
      </c>
      <c r="AO408" s="2" t="n">
        <v>0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n">
        <v>0</v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n">
        <v>0</v>
      </c>
      <c r="BI408" s="2" t="n">
        <v>0</v>
      </c>
      <c r="BJ408" s="2" t="n">
        <v>0</v>
      </c>
      <c r="BK408" s="2" t="n">
        <v>0</v>
      </c>
      <c r="BL408" s="2" t="n">
        <v>0</v>
      </c>
      <c r="BM408" s="2" t="n">
        <v>0</v>
      </c>
      <c r="BN408" s="2" t="n">
        <v>0</v>
      </c>
      <c r="BO408" s="2" t="n">
        <v>0</v>
      </c>
      <c r="BP408" s="2" t="n">
        <v>0</v>
      </c>
      <c r="BQ408" s="2" t="n">
        <v>0</v>
      </c>
      <c r="BR408" s="2" t="n">
        <v>0</v>
      </c>
      <c r="BS408" s="2" t="n">
        <v>0</v>
      </c>
      <c r="BT408" s="2" t="n">
        <v>0</v>
      </c>
      <c r="BU408" s="2" t="n">
        <v>0</v>
      </c>
      <c r="BV408" s="2" t="n">
        <v>0</v>
      </c>
      <c r="BW408" s="2" t="n">
        <v>0</v>
      </c>
      <c r="BX408" s="2" t="n">
        <v>0</v>
      </c>
      <c r="BY408" s="2" t="n">
        <v>0</v>
      </c>
      <c r="BZ408" s="2" t="n">
        <v>0</v>
      </c>
      <c r="CA408" s="2" t="n">
        <v>0</v>
      </c>
      <c r="CB408" s="2" t="n">
        <v>0</v>
      </c>
      <c r="CC408" s="2" t="n">
        <v>0</v>
      </c>
      <c r="CD408" s="2" t="n">
        <v>0</v>
      </c>
      <c r="CE408" s="2" t="n">
        <v>0</v>
      </c>
      <c r="CF408" s="2" t="n">
        <v>0</v>
      </c>
      <c r="CG408" s="2" t="n">
        <v>0</v>
      </c>
      <c r="CH408" s="2" t="n">
        <v>0</v>
      </c>
      <c r="CI408" s="2" t="n">
        <v>2.65</v>
      </c>
      <c r="CJ408" s="2" t="n">
        <v>3.97</v>
      </c>
      <c r="CK408" s="2" t="n">
        <v>0</v>
      </c>
      <c r="CL408" s="2" t="n">
        <v>8.199999999999999</v>
      </c>
      <c r="CM408" s="2" t="n">
        <v>9.52</v>
      </c>
      <c r="CN408" s="2" t="n">
        <v>0</v>
      </c>
      <c r="CO408" s="2" t="n">
        <v>13.49</v>
      </c>
      <c r="CP408" s="2" t="n">
        <v>17.2</v>
      </c>
      <c r="CQ408" s="2" t="n">
        <v>0</v>
      </c>
      <c r="CR408" s="2" t="n">
        <v>23.54</v>
      </c>
      <c r="CS408" s="2" t="n">
        <v>24.87</v>
      </c>
      <c r="CT408" s="2" t="n">
        <v>0</v>
      </c>
      <c r="CU408" s="2" t="n">
        <v>27.78</v>
      </c>
      <c r="CV408" s="2" t="n">
        <v>30.53</v>
      </c>
      <c r="CW408" s="2" t="n">
        <v>0</v>
      </c>
      <c r="CX408" s="2" t="n">
        <v>35</v>
      </c>
      <c r="CY408" s="2" t="n">
        <v>37.04</v>
      </c>
      <c r="CZ408" s="2" t="n">
        <v>0</v>
      </c>
      <c r="DA408" s="2" t="n">
        <v>41.27</v>
      </c>
      <c r="DB408" s="2" t="n">
        <v>43.54</v>
      </c>
      <c r="DC408" s="2" t="n">
        <v>0</v>
      </c>
      <c r="DD408" s="2" t="n">
        <v>54.32</v>
      </c>
      <c r="DE408" s="2" t="n">
        <v>56.56</v>
      </c>
      <c r="DF408" s="2" t="n">
        <v>0</v>
      </c>
      <c r="DG408" s="2" t="n">
        <v>63.54</v>
      </c>
      <c r="DH408" s="2" t="n">
        <v>65.38</v>
      </c>
      <c r="DI408" s="2" t="n">
        <v>0</v>
      </c>
      <c r="DJ408" s="2" t="n">
        <v>72.54000000000001</v>
      </c>
      <c r="DK408" s="2" t="n">
        <v>81.36</v>
      </c>
      <c r="DL408" s="2" t="n">
        <v>0</v>
      </c>
      <c r="DM408" s="2" t="n">
        <v>86.23999999999999</v>
      </c>
      <c r="DN408" s="2" t="n">
        <v>94.76000000000001</v>
      </c>
      <c r="DO408" s="2" t="n">
        <v>0</v>
      </c>
      <c r="DP408" s="2" t="n">
        <v>97.45999999999999</v>
      </c>
      <c r="DQ408" s="2" t="n">
        <v>97.62</v>
      </c>
      <c r="DR408" s="2" t="n">
        <v>0</v>
      </c>
      <c r="DS408" s="2" t="n">
        <v>98.41</v>
      </c>
      <c r="DT408" s="2" t="n">
        <v>99.73999999999999</v>
      </c>
      <c r="DU408" s="2" t="n">
        <v>0</v>
      </c>
      <c r="DV408" s="2" t="n">
        <v>100</v>
      </c>
      <c r="DW408" s="2" t="n">
        <v>100</v>
      </c>
      <c r="DX408" s="2" t="n">
        <v>0</v>
      </c>
      <c r="DY408" s="2" t="n">
        <v>100</v>
      </c>
      <c r="DZ408" s="2" t="n">
        <v>100</v>
      </c>
      <c r="EA408" s="2" t="n">
        <v>0</v>
      </c>
      <c r="EB408" s="2" t="n">
        <v>100</v>
      </c>
      <c r="EC408" s="2" t="n">
        <v>100</v>
      </c>
      <c r="ED408" s="2" t="n">
        <v>0</v>
      </c>
      <c r="EE408" s="2" t="n">
        <v>100</v>
      </c>
      <c r="EF408" s="2" t="n">
        <v>100</v>
      </c>
      <c r="EG408" s="2" t="n">
        <v>0</v>
      </c>
      <c r="EH408" s="2" t="n">
        <v>100</v>
      </c>
      <c r="EI408" s="2" t="n">
        <v>100</v>
      </c>
      <c r="EJ408" s="2" t="n">
        <v>0</v>
      </c>
      <c r="EK408" s="2" t="n">
        <v>100</v>
      </c>
      <c r="EL408" s="2" t="n">
        <v>100</v>
      </c>
      <c r="EM408" s="2" t="n">
        <v>0</v>
      </c>
      <c r="EN408" s="2" t="n">
        <v>100</v>
      </c>
      <c r="EO408" s="2" t="n">
        <v>100</v>
      </c>
      <c r="EP408" s="2" t="n">
        <v>0</v>
      </c>
      <c r="EQ408" s="2" t="n">
        <v>100</v>
      </c>
      <c r="ER408" s="2" t="n">
        <v>100</v>
      </c>
      <c r="ES408" s="2" t="n">
        <v>0</v>
      </c>
    </row>
    <row r="409">
      <c r="A409" s="2" t="n">
        <v>3</v>
      </c>
      <c r="B409" s="2" t="inlineStr">
        <is>
          <t>19.01.09</t>
        </is>
      </c>
      <c r="C409" s="2" t="inlineStr">
        <is>
          <t>Laje em área de reservatório de fibra lojas</t>
        </is>
      </c>
      <c r="D409" s="2" t="inlineStr">
        <is>
          <t>11/08/2027</t>
        </is>
      </c>
      <c r="E409" s="2" t="inlineStr">
        <is>
          <t>01/09/2028</t>
        </is>
      </c>
      <c r="F409" s="2" t="n">
        <v>12062.82</v>
      </c>
      <c r="G409" s="2" t="n">
        <v>0</v>
      </c>
      <c r="H409" s="2" t="n">
        <v>12062.82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</v>
      </c>
      <c r="AO409" s="2" t="n">
        <v>0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n">
        <v>0</v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n">
        <v>0</v>
      </c>
      <c r="BI409" s="2" t="n">
        <v>0</v>
      </c>
      <c r="BJ409" s="2" t="n">
        <v>0</v>
      </c>
      <c r="BK409" s="2" t="n">
        <v>0</v>
      </c>
      <c r="BL409" s="2" t="n">
        <v>0</v>
      </c>
      <c r="BM409" s="2" t="n">
        <v>0</v>
      </c>
      <c r="BN409" s="2" t="n">
        <v>0</v>
      </c>
      <c r="BO409" s="2" t="n">
        <v>0</v>
      </c>
      <c r="BP409" s="2" t="n">
        <v>0</v>
      </c>
      <c r="BQ409" s="2" t="n">
        <v>0</v>
      </c>
      <c r="BR409" s="2" t="n">
        <v>0</v>
      </c>
      <c r="BS409" s="2" t="n">
        <v>0</v>
      </c>
      <c r="BT409" s="2" t="n">
        <v>0</v>
      </c>
      <c r="BU409" s="2" t="n">
        <v>0</v>
      </c>
      <c r="BV409" s="2" t="n">
        <v>0</v>
      </c>
      <c r="BW409" s="2" t="n">
        <v>0</v>
      </c>
      <c r="BX409" s="2" t="n">
        <v>0</v>
      </c>
      <c r="BY409" s="2" t="n">
        <v>0</v>
      </c>
      <c r="BZ409" s="2" t="n">
        <v>0</v>
      </c>
      <c r="CA409" s="2" t="n">
        <v>0</v>
      </c>
      <c r="CB409" s="2" t="n">
        <v>0</v>
      </c>
      <c r="CC409" s="2" t="n">
        <v>0</v>
      </c>
      <c r="CD409" s="2" t="n">
        <v>0</v>
      </c>
      <c r="CE409" s="2" t="n">
        <v>0</v>
      </c>
      <c r="CF409" s="2" t="n">
        <v>0</v>
      </c>
      <c r="CG409" s="2" t="n">
        <v>0</v>
      </c>
      <c r="CH409" s="2" t="n">
        <v>0</v>
      </c>
      <c r="CI409" s="2" t="n">
        <v>2.65</v>
      </c>
      <c r="CJ409" s="2" t="n">
        <v>3.97</v>
      </c>
      <c r="CK409" s="2" t="n">
        <v>0</v>
      </c>
      <c r="CL409" s="2" t="n">
        <v>8.199999999999999</v>
      </c>
      <c r="CM409" s="2" t="n">
        <v>9.52</v>
      </c>
      <c r="CN409" s="2" t="n">
        <v>0</v>
      </c>
      <c r="CO409" s="2" t="n">
        <v>13.49</v>
      </c>
      <c r="CP409" s="2" t="n">
        <v>17.2</v>
      </c>
      <c r="CQ409" s="2" t="n">
        <v>0</v>
      </c>
      <c r="CR409" s="2" t="n">
        <v>23.54</v>
      </c>
      <c r="CS409" s="2" t="n">
        <v>24.87</v>
      </c>
      <c r="CT409" s="2" t="n">
        <v>0</v>
      </c>
      <c r="CU409" s="2" t="n">
        <v>27.78</v>
      </c>
      <c r="CV409" s="2" t="n">
        <v>30.53</v>
      </c>
      <c r="CW409" s="2" t="n">
        <v>0</v>
      </c>
      <c r="CX409" s="2" t="n">
        <v>35</v>
      </c>
      <c r="CY409" s="2" t="n">
        <v>37.04</v>
      </c>
      <c r="CZ409" s="2" t="n">
        <v>0</v>
      </c>
      <c r="DA409" s="2" t="n">
        <v>41.27</v>
      </c>
      <c r="DB409" s="2" t="n">
        <v>43.54</v>
      </c>
      <c r="DC409" s="2" t="n">
        <v>0</v>
      </c>
      <c r="DD409" s="2" t="n">
        <v>54.32</v>
      </c>
      <c r="DE409" s="2" t="n">
        <v>56.56</v>
      </c>
      <c r="DF409" s="2" t="n">
        <v>0</v>
      </c>
      <c r="DG409" s="2" t="n">
        <v>63.54</v>
      </c>
      <c r="DH409" s="2" t="n">
        <v>65.38</v>
      </c>
      <c r="DI409" s="2" t="n">
        <v>0</v>
      </c>
      <c r="DJ409" s="2" t="n">
        <v>72.54000000000001</v>
      </c>
      <c r="DK409" s="2" t="n">
        <v>81.36</v>
      </c>
      <c r="DL409" s="2" t="n">
        <v>0</v>
      </c>
      <c r="DM409" s="2" t="n">
        <v>86.23999999999999</v>
      </c>
      <c r="DN409" s="2" t="n">
        <v>94.76000000000001</v>
      </c>
      <c r="DO409" s="2" t="n">
        <v>0</v>
      </c>
      <c r="DP409" s="2" t="n">
        <v>97.45999999999999</v>
      </c>
      <c r="DQ409" s="2" t="n">
        <v>97.62</v>
      </c>
      <c r="DR409" s="2" t="n">
        <v>0</v>
      </c>
      <c r="DS409" s="2" t="n">
        <v>98.41</v>
      </c>
      <c r="DT409" s="2" t="n">
        <v>99.73999999999999</v>
      </c>
      <c r="DU409" s="2" t="n">
        <v>0</v>
      </c>
      <c r="DV409" s="2" t="n">
        <v>100</v>
      </c>
      <c r="DW409" s="2" t="n">
        <v>100</v>
      </c>
      <c r="DX409" s="2" t="n">
        <v>0</v>
      </c>
      <c r="DY409" s="2" t="n">
        <v>100</v>
      </c>
      <c r="DZ409" s="2" t="n">
        <v>100</v>
      </c>
      <c r="EA409" s="2" t="n">
        <v>0</v>
      </c>
      <c r="EB409" s="2" t="n">
        <v>100</v>
      </c>
      <c r="EC409" s="2" t="n">
        <v>100</v>
      </c>
      <c r="ED409" s="2" t="n">
        <v>0</v>
      </c>
      <c r="EE409" s="2" t="n">
        <v>100</v>
      </c>
      <c r="EF409" s="2" t="n">
        <v>100</v>
      </c>
      <c r="EG409" s="2" t="n">
        <v>0</v>
      </c>
      <c r="EH409" s="2" t="n">
        <v>100</v>
      </c>
      <c r="EI409" s="2" t="n">
        <v>100</v>
      </c>
      <c r="EJ409" s="2" t="n">
        <v>0</v>
      </c>
      <c r="EK409" s="2" t="n">
        <v>100</v>
      </c>
      <c r="EL409" s="2" t="n">
        <v>100</v>
      </c>
      <c r="EM409" s="2" t="n">
        <v>0</v>
      </c>
      <c r="EN409" s="2" t="n">
        <v>100</v>
      </c>
      <c r="EO409" s="2" t="n">
        <v>100</v>
      </c>
      <c r="EP409" s="2" t="n">
        <v>0</v>
      </c>
      <c r="EQ409" s="2" t="n">
        <v>100</v>
      </c>
      <c r="ER409" s="2" t="n">
        <v>100</v>
      </c>
      <c r="ES409" s="2" t="n">
        <v>0</v>
      </c>
    </row>
    <row r="410">
      <c r="A410" s="2" t="n">
        <v>3</v>
      </c>
      <c r="B410" s="2" t="inlineStr">
        <is>
          <t>19.01.10</t>
        </is>
      </c>
      <c r="C410" s="2" t="inlineStr">
        <is>
          <t>Cantoneira de alumínio/ Galvaizada 2x2" fixada com parafuso e bucha S6 a cada 30cm</t>
        </is>
      </c>
      <c r="D410" s="2" t="inlineStr">
        <is>
          <t>11/08/2027</t>
        </is>
      </c>
      <c r="E410" s="2" t="inlineStr">
        <is>
          <t>01/09/2028</t>
        </is>
      </c>
      <c r="F410" s="2" t="n">
        <v>118819.44</v>
      </c>
      <c r="G410" s="2" t="n">
        <v>0</v>
      </c>
      <c r="H410" s="2" t="n">
        <v>118819.44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0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n">
        <v>0</v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n">
        <v>0</v>
      </c>
      <c r="BI410" s="2" t="n">
        <v>0</v>
      </c>
      <c r="BJ410" s="2" t="n">
        <v>0</v>
      </c>
      <c r="BK410" s="2" t="n">
        <v>0</v>
      </c>
      <c r="BL410" s="2" t="n">
        <v>0</v>
      </c>
      <c r="BM410" s="2" t="n">
        <v>0</v>
      </c>
      <c r="BN410" s="2" t="n">
        <v>0</v>
      </c>
      <c r="BO410" s="2" t="n">
        <v>0</v>
      </c>
      <c r="BP410" s="2" t="n">
        <v>0</v>
      </c>
      <c r="BQ410" s="2" t="n">
        <v>0</v>
      </c>
      <c r="BR410" s="2" t="n">
        <v>0</v>
      </c>
      <c r="BS410" s="2" t="n">
        <v>0</v>
      </c>
      <c r="BT410" s="2" t="n">
        <v>0</v>
      </c>
      <c r="BU410" s="2" t="n">
        <v>0</v>
      </c>
      <c r="BV410" s="2" t="n">
        <v>0</v>
      </c>
      <c r="BW410" s="2" t="n">
        <v>0</v>
      </c>
      <c r="BX410" s="2" t="n">
        <v>0</v>
      </c>
      <c r="BY410" s="2" t="n">
        <v>0</v>
      </c>
      <c r="BZ410" s="2" t="n">
        <v>0</v>
      </c>
      <c r="CA410" s="2" t="n">
        <v>0</v>
      </c>
      <c r="CB410" s="2" t="n">
        <v>0</v>
      </c>
      <c r="CC410" s="2" t="n">
        <v>0</v>
      </c>
      <c r="CD410" s="2" t="n">
        <v>0</v>
      </c>
      <c r="CE410" s="2" t="n">
        <v>0</v>
      </c>
      <c r="CF410" s="2" t="n">
        <v>0</v>
      </c>
      <c r="CG410" s="2" t="n">
        <v>0</v>
      </c>
      <c r="CH410" s="2" t="n">
        <v>0</v>
      </c>
      <c r="CI410" s="2" t="n">
        <v>2.65</v>
      </c>
      <c r="CJ410" s="2" t="n">
        <v>3.97</v>
      </c>
      <c r="CK410" s="2" t="n">
        <v>0</v>
      </c>
      <c r="CL410" s="2" t="n">
        <v>8.199999999999999</v>
      </c>
      <c r="CM410" s="2" t="n">
        <v>9.52</v>
      </c>
      <c r="CN410" s="2" t="n">
        <v>0</v>
      </c>
      <c r="CO410" s="2" t="n">
        <v>13.49</v>
      </c>
      <c r="CP410" s="2" t="n">
        <v>17.2</v>
      </c>
      <c r="CQ410" s="2" t="n">
        <v>0</v>
      </c>
      <c r="CR410" s="2" t="n">
        <v>23.54</v>
      </c>
      <c r="CS410" s="2" t="n">
        <v>24.87</v>
      </c>
      <c r="CT410" s="2" t="n">
        <v>0</v>
      </c>
      <c r="CU410" s="2" t="n">
        <v>27.78</v>
      </c>
      <c r="CV410" s="2" t="n">
        <v>30.53</v>
      </c>
      <c r="CW410" s="2" t="n">
        <v>0</v>
      </c>
      <c r="CX410" s="2" t="n">
        <v>35</v>
      </c>
      <c r="CY410" s="2" t="n">
        <v>37.04</v>
      </c>
      <c r="CZ410" s="2" t="n">
        <v>0</v>
      </c>
      <c r="DA410" s="2" t="n">
        <v>41.27</v>
      </c>
      <c r="DB410" s="2" t="n">
        <v>43.54</v>
      </c>
      <c r="DC410" s="2" t="n">
        <v>0</v>
      </c>
      <c r="DD410" s="2" t="n">
        <v>54.32</v>
      </c>
      <c r="DE410" s="2" t="n">
        <v>56.56</v>
      </c>
      <c r="DF410" s="2" t="n">
        <v>0</v>
      </c>
      <c r="DG410" s="2" t="n">
        <v>63.54</v>
      </c>
      <c r="DH410" s="2" t="n">
        <v>65.38</v>
      </c>
      <c r="DI410" s="2" t="n">
        <v>0</v>
      </c>
      <c r="DJ410" s="2" t="n">
        <v>72.54000000000001</v>
      </c>
      <c r="DK410" s="2" t="n">
        <v>81.36</v>
      </c>
      <c r="DL410" s="2" t="n">
        <v>0</v>
      </c>
      <c r="DM410" s="2" t="n">
        <v>86.23999999999999</v>
      </c>
      <c r="DN410" s="2" t="n">
        <v>94.76000000000001</v>
      </c>
      <c r="DO410" s="2" t="n">
        <v>0</v>
      </c>
      <c r="DP410" s="2" t="n">
        <v>97.45999999999999</v>
      </c>
      <c r="DQ410" s="2" t="n">
        <v>97.62</v>
      </c>
      <c r="DR410" s="2" t="n">
        <v>0</v>
      </c>
      <c r="DS410" s="2" t="n">
        <v>98.41</v>
      </c>
      <c r="DT410" s="2" t="n">
        <v>99.73999999999999</v>
      </c>
      <c r="DU410" s="2" t="n">
        <v>0</v>
      </c>
      <c r="DV410" s="2" t="n">
        <v>100</v>
      </c>
      <c r="DW410" s="2" t="n">
        <v>100</v>
      </c>
      <c r="DX410" s="2" t="n">
        <v>0</v>
      </c>
      <c r="DY410" s="2" t="n">
        <v>100</v>
      </c>
      <c r="DZ410" s="2" t="n">
        <v>100</v>
      </c>
      <c r="EA410" s="2" t="n">
        <v>0</v>
      </c>
      <c r="EB410" s="2" t="n">
        <v>100</v>
      </c>
      <c r="EC410" s="2" t="n">
        <v>100</v>
      </c>
      <c r="ED410" s="2" t="n">
        <v>0</v>
      </c>
      <c r="EE410" s="2" t="n">
        <v>100</v>
      </c>
      <c r="EF410" s="2" t="n">
        <v>100</v>
      </c>
      <c r="EG410" s="2" t="n">
        <v>0</v>
      </c>
      <c r="EH410" s="2" t="n">
        <v>100</v>
      </c>
      <c r="EI410" s="2" t="n">
        <v>100</v>
      </c>
      <c r="EJ410" s="2" t="n">
        <v>0</v>
      </c>
      <c r="EK410" s="2" t="n">
        <v>100</v>
      </c>
      <c r="EL410" s="2" t="n">
        <v>100</v>
      </c>
      <c r="EM410" s="2" t="n">
        <v>0</v>
      </c>
      <c r="EN410" s="2" t="n">
        <v>100</v>
      </c>
      <c r="EO410" s="2" t="n">
        <v>100</v>
      </c>
      <c r="EP410" s="2" t="n">
        <v>0</v>
      </c>
      <c r="EQ410" s="2" t="n">
        <v>100</v>
      </c>
      <c r="ER410" s="2" t="n">
        <v>100</v>
      </c>
      <c r="ES410" s="2" t="n">
        <v>0</v>
      </c>
    </row>
    <row r="411">
      <c r="A411" s="2" t="n">
        <v>3</v>
      </c>
      <c r="B411" s="2" t="inlineStr">
        <is>
          <t>19.01.11</t>
        </is>
      </c>
      <c r="C411" s="2" t="inlineStr">
        <is>
          <t>Virada reforçada  e vedada com mastique de poliuretano (PU) obs.: O mesmo tratamento é recomendado para o encontro entre a placa de drywall e a parede de alvaneria com incremento neste caso de um limitador de profundidade (tarucel) prévio, sob PU</t>
        </is>
      </c>
      <c r="D411" s="2" t="inlineStr">
        <is>
          <t>11/08/2027</t>
        </is>
      </c>
      <c r="E411" s="2" t="inlineStr">
        <is>
          <t>01/09/2028</t>
        </is>
      </c>
      <c r="F411" s="2" t="n">
        <v>80960.25051408444</v>
      </c>
      <c r="G411" s="2" t="n">
        <v>0</v>
      </c>
      <c r="H411" s="2" t="n">
        <v>80960.25051408444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0</v>
      </c>
      <c r="AM411" s="2" t="n">
        <v>0</v>
      </c>
      <c r="AN411" s="2" t="n">
        <v>0</v>
      </c>
      <c r="AO411" s="2" t="n">
        <v>0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n">
        <v>0</v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n">
        <v>0</v>
      </c>
      <c r="BI411" s="2" t="n">
        <v>0</v>
      </c>
      <c r="BJ411" s="2" t="n">
        <v>0</v>
      </c>
      <c r="BK411" s="2" t="n">
        <v>0</v>
      </c>
      <c r="BL411" s="2" t="n">
        <v>0</v>
      </c>
      <c r="BM411" s="2" t="n">
        <v>0</v>
      </c>
      <c r="BN411" s="2" t="n">
        <v>0</v>
      </c>
      <c r="BO411" s="2" t="n">
        <v>0</v>
      </c>
      <c r="BP411" s="2" t="n">
        <v>0</v>
      </c>
      <c r="BQ411" s="2" t="n">
        <v>0</v>
      </c>
      <c r="BR411" s="2" t="n">
        <v>0</v>
      </c>
      <c r="BS411" s="2" t="n">
        <v>0</v>
      </c>
      <c r="BT411" s="2" t="n">
        <v>0</v>
      </c>
      <c r="BU411" s="2" t="n">
        <v>0</v>
      </c>
      <c r="BV411" s="2" t="n">
        <v>0</v>
      </c>
      <c r="BW411" s="2" t="n">
        <v>0</v>
      </c>
      <c r="BX411" s="2" t="n">
        <v>0</v>
      </c>
      <c r="BY411" s="2" t="n">
        <v>0</v>
      </c>
      <c r="BZ411" s="2" t="n">
        <v>0</v>
      </c>
      <c r="CA411" s="2" t="n">
        <v>0</v>
      </c>
      <c r="CB411" s="2" t="n">
        <v>0</v>
      </c>
      <c r="CC411" s="2" t="n">
        <v>0</v>
      </c>
      <c r="CD411" s="2" t="n">
        <v>0</v>
      </c>
      <c r="CE411" s="2" t="n">
        <v>0</v>
      </c>
      <c r="CF411" s="2" t="n">
        <v>0</v>
      </c>
      <c r="CG411" s="2" t="n">
        <v>0</v>
      </c>
      <c r="CH411" s="2" t="n">
        <v>0</v>
      </c>
      <c r="CI411" s="2" t="n">
        <v>2.65</v>
      </c>
      <c r="CJ411" s="2" t="n">
        <v>3.97</v>
      </c>
      <c r="CK411" s="2" t="n">
        <v>0</v>
      </c>
      <c r="CL411" s="2" t="n">
        <v>8.199999999999999</v>
      </c>
      <c r="CM411" s="2" t="n">
        <v>9.52</v>
      </c>
      <c r="CN411" s="2" t="n">
        <v>0</v>
      </c>
      <c r="CO411" s="2" t="n">
        <v>13.49</v>
      </c>
      <c r="CP411" s="2" t="n">
        <v>17.2</v>
      </c>
      <c r="CQ411" s="2" t="n">
        <v>0</v>
      </c>
      <c r="CR411" s="2" t="n">
        <v>23.54</v>
      </c>
      <c r="CS411" s="2" t="n">
        <v>24.87</v>
      </c>
      <c r="CT411" s="2" t="n">
        <v>0</v>
      </c>
      <c r="CU411" s="2" t="n">
        <v>27.78</v>
      </c>
      <c r="CV411" s="2" t="n">
        <v>30.53</v>
      </c>
      <c r="CW411" s="2" t="n">
        <v>0</v>
      </c>
      <c r="CX411" s="2" t="n">
        <v>35</v>
      </c>
      <c r="CY411" s="2" t="n">
        <v>37.04</v>
      </c>
      <c r="CZ411" s="2" t="n">
        <v>0</v>
      </c>
      <c r="DA411" s="2" t="n">
        <v>41.27</v>
      </c>
      <c r="DB411" s="2" t="n">
        <v>43.54</v>
      </c>
      <c r="DC411" s="2" t="n">
        <v>0</v>
      </c>
      <c r="DD411" s="2" t="n">
        <v>54.32</v>
      </c>
      <c r="DE411" s="2" t="n">
        <v>56.56</v>
      </c>
      <c r="DF411" s="2" t="n">
        <v>0</v>
      </c>
      <c r="DG411" s="2" t="n">
        <v>63.54</v>
      </c>
      <c r="DH411" s="2" t="n">
        <v>65.38</v>
      </c>
      <c r="DI411" s="2" t="n">
        <v>0</v>
      </c>
      <c r="DJ411" s="2" t="n">
        <v>72.54000000000001</v>
      </c>
      <c r="DK411" s="2" t="n">
        <v>81.36</v>
      </c>
      <c r="DL411" s="2" t="n">
        <v>0</v>
      </c>
      <c r="DM411" s="2" t="n">
        <v>86.23999999999999</v>
      </c>
      <c r="DN411" s="2" t="n">
        <v>94.76000000000001</v>
      </c>
      <c r="DO411" s="2" t="n">
        <v>0</v>
      </c>
      <c r="DP411" s="2" t="n">
        <v>97.45999999999999</v>
      </c>
      <c r="DQ411" s="2" t="n">
        <v>97.62</v>
      </c>
      <c r="DR411" s="2" t="n">
        <v>0</v>
      </c>
      <c r="DS411" s="2" t="n">
        <v>98.41</v>
      </c>
      <c r="DT411" s="2" t="n">
        <v>99.73999999999999</v>
      </c>
      <c r="DU411" s="2" t="n">
        <v>0</v>
      </c>
      <c r="DV411" s="2" t="n">
        <v>100</v>
      </c>
      <c r="DW411" s="2" t="n">
        <v>100</v>
      </c>
      <c r="DX411" s="2" t="n">
        <v>0</v>
      </c>
      <c r="DY411" s="2" t="n">
        <v>100</v>
      </c>
      <c r="DZ411" s="2" t="n">
        <v>100</v>
      </c>
      <c r="EA411" s="2" t="n">
        <v>0</v>
      </c>
      <c r="EB411" s="2" t="n">
        <v>100</v>
      </c>
      <c r="EC411" s="2" t="n">
        <v>100</v>
      </c>
      <c r="ED411" s="2" t="n">
        <v>0</v>
      </c>
      <c r="EE411" s="2" t="n">
        <v>100</v>
      </c>
      <c r="EF411" s="2" t="n">
        <v>100</v>
      </c>
      <c r="EG411" s="2" t="n">
        <v>0</v>
      </c>
      <c r="EH411" s="2" t="n">
        <v>100</v>
      </c>
      <c r="EI411" s="2" t="n">
        <v>100</v>
      </c>
      <c r="EJ411" s="2" t="n">
        <v>0</v>
      </c>
      <c r="EK411" s="2" t="n">
        <v>100</v>
      </c>
      <c r="EL411" s="2" t="n">
        <v>100</v>
      </c>
      <c r="EM411" s="2" t="n">
        <v>0</v>
      </c>
      <c r="EN411" s="2" t="n">
        <v>100</v>
      </c>
      <c r="EO411" s="2" t="n">
        <v>100</v>
      </c>
      <c r="EP411" s="2" t="n">
        <v>0</v>
      </c>
      <c r="EQ411" s="2" t="n">
        <v>100</v>
      </c>
      <c r="ER411" s="2" t="n">
        <v>100</v>
      </c>
      <c r="ES411" s="2" t="n">
        <v>0</v>
      </c>
    </row>
    <row r="412">
      <c r="A412" s="2" t="n">
        <v>3</v>
      </c>
      <c r="B412" s="2" t="inlineStr">
        <is>
          <t>19.01.12</t>
        </is>
      </c>
      <c r="C412" s="2" t="inlineStr">
        <is>
          <t>Impermabilização de ralos</t>
        </is>
      </c>
      <c r="D412" s="2" t="inlineStr">
        <is>
          <t>11/08/2027</t>
        </is>
      </c>
      <c r="E412" s="2" t="inlineStr">
        <is>
          <t>01/09/2028</t>
        </is>
      </c>
      <c r="F412" s="2" t="n">
        <v>48078.89507659033</v>
      </c>
      <c r="G412" s="2" t="n">
        <v>0</v>
      </c>
      <c r="H412" s="2" t="n">
        <v>48078.89507659033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0</v>
      </c>
      <c r="AM412" s="2" t="n">
        <v>0</v>
      </c>
      <c r="AN412" s="2" t="n">
        <v>0</v>
      </c>
      <c r="AO412" s="2" t="n">
        <v>0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n">
        <v>0</v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n">
        <v>0</v>
      </c>
      <c r="BI412" s="2" t="n">
        <v>0</v>
      </c>
      <c r="BJ412" s="2" t="n">
        <v>0</v>
      </c>
      <c r="BK412" s="2" t="n">
        <v>0</v>
      </c>
      <c r="BL412" s="2" t="n">
        <v>0</v>
      </c>
      <c r="BM412" s="2" t="n">
        <v>0</v>
      </c>
      <c r="BN412" s="2" t="n">
        <v>0</v>
      </c>
      <c r="BO412" s="2" t="n">
        <v>0</v>
      </c>
      <c r="BP412" s="2" t="n">
        <v>0</v>
      </c>
      <c r="BQ412" s="2" t="n">
        <v>0</v>
      </c>
      <c r="BR412" s="2" t="n">
        <v>0</v>
      </c>
      <c r="BS412" s="2" t="n">
        <v>0</v>
      </c>
      <c r="BT412" s="2" t="n">
        <v>0</v>
      </c>
      <c r="BU412" s="2" t="n">
        <v>0</v>
      </c>
      <c r="BV412" s="2" t="n">
        <v>0</v>
      </c>
      <c r="BW412" s="2" t="n">
        <v>0</v>
      </c>
      <c r="BX412" s="2" t="n">
        <v>0</v>
      </c>
      <c r="BY412" s="2" t="n">
        <v>0</v>
      </c>
      <c r="BZ412" s="2" t="n">
        <v>0</v>
      </c>
      <c r="CA412" s="2" t="n">
        <v>0</v>
      </c>
      <c r="CB412" s="2" t="n">
        <v>0</v>
      </c>
      <c r="CC412" s="2" t="n">
        <v>0</v>
      </c>
      <c r="CD412" s="2" t="n">
        <v>0</v>
      </c>
      <c r="CE412" s="2" t="n">
        <v>0</v>
      </c>
      <c r="CF412" s="2" t="n">
        <v>0</v>
      </c>
      <c r="CG412" s="2" t="n">
        <v>0</v>
      </c>
      <c r="CH412" s="2" t="n">
        <v>0</v>
      </c>
      <c r="CI412" s="2" t="n">
        <v>2.65</v>
      </c>
      <c r="CJ412" s="2" t="n">
        <v>3.97</v>
      </c>
      <c r="CK412" s="2" t="n">
        <v>0</v>
      </c>
      <c r="CL412" s="2" t="n">
        <v>8.199999999999999</v>
      </c>
      <c r="CM412" s="2" t="n">
        <v>9.52</v>
      </c>
      <c r="CN412" s="2" t="n">
        <v>0</v>
      </c>
      <c r="CO412" s="2" t="n">
        <v>13.49</v>
      </c>
      <c r="CP412" s="2" t="n">
        <v>17.2</v>
      </c>
      <c r="CQ412" s="2" t="n">
        <v>0</v>
      </c>
      <c r="CR412" s="2" t="n">
        <v>23.54</v>
      </c>
      <c r="CS412" s="2" t="n">
        <v>24.87</v>
      </c>
      <c r="CT412" s="2" t="n">
        <v>0</v>
      </c>
      <c r="CU412" s="2" t="n">
        <v>27.78</v>
      </c>
      <c r="CV412" s="2" t="n">
        <v>30.53</v>
      </c>
      <c r="CW412" s="2" t="n">
        <v>0</v>
      </c>
      <c r="CX412" s="2" t="n">
        <v>35</v>
      </c>
      <c r="CY412" s="2" t="n">
        <v>37.04</v>
      </c>
      <c r="CZ412" s="2" t="n">
        <v>0</v>
      </c>
      <c r="DA412" s="2" t="n">
        <v>41.27</v>
      </c>
      <c r="DB412" s="2" t="n">
        <v>43.54</v>
      </c>
      <c r="DC412" s="2" t="n">
        <v>0</v>
      </c>
      <c r="DD412" s="2" t="n">
        <v>54.32</v>
      </c>
      <c r="DE412" s="2" t="n">
        <v>56.56</v>
      </c>
      <c r="DF412" s="2" t="n">
        <v>0</v>
      </c>
      <c r="DG412" s="2" t="n">
        <v>63.54</v>
      </c>
      <c r="DH412" s="2" t="n">
        <v>65.38</v>
      </c>
      <c r="DI412" s="2" t="n">
        <v>0</v>
      </c>
      <c r="DJ412" s="2" t="n">
        <v>72.54000000000001</v>
      </c>
      <c r="DK412" s="2" t="n">
        <v>81.36</v>
      </c>
      <c r="DL412" s="2" t="n">
        <v>0</v>
      </c>
      <c r="DM412" s="2" t="n">
        <v>86.23999999999999</v>
      </c>
      <c r="DN412" s="2" t="n">
        <v>94.76000000000001</v>
      </c>
      <c r="DO412" s="2" t="n">
        <v>0</v>
      </c>
      <c r="DP412" s="2" t="n">
        <v>97.45999999999999</v>
      </c>
      <c r="DQ412" s="2" t="n">
        <v>97.62</v>
      </c>
      <c r="DR412" s="2" t="n">
        <v>0</v>
      </c>
      <c r="DS412" s="2" t="n">
        <v>98.41</v>
      </c>
      <c r="DT412" s="2" t="n">
        <v>99.73999999999999</v>
      </c>
      <c r="DU412" s="2" t="n">
        <v>0</v>
      </c>
      <c r="DV412" s="2" t="n">
        <v>100</v>
      </c>
      <c r="DW412" s="2" t="n">
        <v>100</v>
      </c>
      <c r="DX412" s="2" t="n">
        <v>0</v>
      </c>
      <c r="DY412" s="2" t="n">
        <v>100</v>
      </c>
      <c r="DZ412" s="2" t="n">
        <v>100</v>
      </c>
      <c r="EA412" s="2" t="n">
        <v>0</v>
      </c>
      <c r="EB412" s="2" t="n">
        <v>100</v>
      </c>
      <c r="EC412" s="2" t="n">
        <v>100</v>
      </c>
      <c r="ED412" s="2" t="n">
        <v>0</v>
      </c>
      <c r="EE412" s="2" t="n">
        <v>100</v>
      </c>
      <c r="EF412" s="2" t="n">
        <v>100</v>
      </c>
      <c r="EG412" s="2" t="n">
        <v>0</v>
      </c>
      <c r="EH412" s="2" t="n">
        <v>100</v>
      </c>
      <c r="EI412" s="2" t="n">
        <v>100</v>
      </c>
      <c r="EJ412" s="2" t="n">
        <v>0</v>
      </c>
      <c r="EK412" s="2" t="n">
        <v>100</v>
      </c>
      <c r="EL412" s="2" t="n">
        <v>100</v>
      </c>
      <c r="EM412" s="2" t="n">
        <v>0</v>
      </c>
      <c r="EN412" s="2" t="n">
        <v>100</v>
      </c>
      <c r="EO412" s="2" t="n">
        <v>100</v>
      </c>
      <c r="EP412" s="2" t="n">
        <v>0</v>
      </c>
      <c r="EQ412" s="2" t="n">
        <v>100</v>
      </c>
      <c r="ER412" s="2" t="n">
        <v>100</v>
      </c>
      <c r="ES412" s="2" t="n">
        <v>0</v>
      </c>
    </row>
    <row r="413">
      <c r="A413" s="2" t="n">
        <v>2</v>
      </c>
      <c r="B413" s="2" t="inlineStr">
        <is>
          <t>19.02</t>
        </is>
      </c>
      <c r="C413" s="2" t="inlineStr">
        <is>
          <t>Resina acrílica de alto desempenho com camadas de impermeabilização rígido com consumo de 2,0kg/m2 e reforço com tela poliéster resinada malha de 3x3 e camadas de impermeabilizante flexível com consumo de 2,0kg/m2</t>
        </is>
      </c>
      <c r="D413" s="2" t="inlineStr">
        <is>
          <t>11/08/2027</t>
        </is>
      </c>
      <c r="E413" s="2" t="inlineStr">
        <is>
          <t>01/09/2028</t>
        </is>
      </c>
      <c r="F413" s="2" t="n">
        <v>579547.4566247793</v>
      </c>
      <c r="G413" s="2" t="n">
        <v>0</v>
      </c>
      <c r="H413" s="2" t="n">
        <v>579547.4566247793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0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n">
        <v>0</v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n">
        <v>0</v>
      </c>
      <c r="BI413" s="2" t="n">
        <v>0</v>
      </c>
      <c r="BJ413" s="2" t="n">
        <v>0</v>
      </c>
      <c r="BK413" s="2" t="n">
        <v>0</v>
      </c>
      <c r="BL413" s="2" t="n">
        <v>0</v>
      </c>
      <c r="BM413" s="2" t="n">
        <v>0</v>
      </c>
      <c r="BN413" s="2" t="n">
        <v>0</v>
      </c>
      <c r="BO413" s="2" t="n">
        <v>0</v>
      </c>
      <c r="BP413" s="2" t="n">
        <v>0</v>
      </c>
      <c r="BQ413" s="2" t="n">
        <v>0</v>
      </c>
      <c r="BR413" s="2" t="n">
        <v>0</v>
      </c>
      <c r="BS413" s="2" t="n">
        <v>0</v>
      </c>
      <c r="BT413" s="2" t="n">
        <v>0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2" t="n">
        <v>0</v>
      </c>
      <c r="CH413" s="2" t="n">
        <v>0</v>
      </c>
      <c r="CI413" s="2" t="n">
        <v>2.65</v>
      </c>
      <c r="CJ413" s="2" t="n">
        <v>3.97</v>
      </c>
      <c r="CK413" s="2" t="n">
        <v>0</v>
      </c>
      <c r="CL413" s="2" t="n">
        <v>8.199999999999999</v>
      </c>
      <c r="CM413" s="2" t="n">
        <v>9.52</v>
      </c>
      <c r="CN413" s="2" t="n">
        <v>0</v>
      </c>
      <c r="CO413" s="2" t="n">
        <v>13.49</v>
      </c>
      <c r="CP413" s="2" t="n">
        <v>17.2</v>
      </c>
      <c r="CQ413" s="2" t="n">
        <v>0</v>
      </c>
      <c r="CR413" s="2" t="n">
        <v>23.54</v>
      </c>
      <c r="CS413" s="2" t="n">
        <v>24.87</v>
      </c>
      <c r="CT413" s="2" t="n">
        <v>0</v>
      </c>
      <c r="CU413" s="2" t="n">
        <v>27.78</v>
      </c>
      <c r="CV413" s="2" t="n">
        <v>30.53</v>
      </c>
      <c r="CW413" s="2" t="n">
        <v>0</v>
      </c>
      <c r="CX413" s="2" t="n">
        <v>35</v>
      </c>
      <c r="CY413" s="2" t="n">
        <v>37.04</v>
      </c>
      <c r="CZ413" s="2" t="n">
        <v>0</v>
      </c>
      <c r="DA413" s="2" t="n">
        <v>41.27</v>
      </c>
      <c r="DB413" s="2" t="n">
        <v>43.54</v>
      </c>
      <c r="DC413" s="2" t="n">
        <v>0</v>
      </c>
      <c r="DD413" s="2" t="n">
        <v>54.32</v>
      </c>
      <c r="DE413" s="2" t="n">
        <v>56.56</v>
      </c>
      <c r="DF413" s="2" t="n">
        <v>0</v>
      </c>
      <c r="DG413" s="2" t="n">
        <v>63.54</v>
      </c>
      <c r="DH413" s="2" t="n">
        <v>65.38</v>
      </c>
      <c r="DI413" s="2" t="n">
        <v>0</v>
      </c>
      <c r="DJ413" s="2" t="n">
        <v>72.54000000000001</v>
      </c>
      <c r="DK413" s="2" t="n">
        <v>81.36</v>
      </c>
      <c r="DL413" s="2" t="n">
        <v>0</v>
      </c>
      <c r="DM413" s="2" t="n">
        <v>86.23999999999999</v>
      </c>
      <c r="DN413" s="2" t="n">
        <v>94.76000000000001</v>
      </c>
      <c r="DO413" s="2" t="n">
        <v>0</v>
      </c>
      <c r="DP413" s="2" t="n">
        <v>97.45999999999999</v>
      </c>
      <c r="DQ413" s="2" t="n">
        <v>97.62</v>
      </c>
      <c r="DR413" s="2" t="n">
        <v>0</v>
      </c>
      <c r="DS413" s="2" t="n">
        <v>98.41</v>
      </c>
      <c r="DT413" s="2" t="n">
        <v>99.73999999999999</v>
      </c>
      <c r="DU413" s="2" t="n">
        <v>0</v>
      </c>
      <c r="DV413" s="2" t="n">
        <v>100</v>
      </c>
      <c r="DW413" s="2" t="n">
        <v>100</v>
      </c>
      <c r="DX413" s="2" t="n">
        <v>0</v>
      </c>
      <c r="DY413" s="2" t="n">
        <v>100</v>
      </c>
      <c r="DZ413" s="2" t="n">
        <v>100</v>
      </c>
      <c r="EA413" s="2" t="n">
        <v>0</v>
      </c>
      <c r="EB413" s="2" t="n">
        <v>100</v>
      </c>
      <c r="EC413" s="2" t="n">
        <v>100</v>
      </c>
      <c r="ED413" s="2" t="n">
        <v>0</v>
      </c>
      <c r="EE413" s="2" t="n">
        <v>100</v>
      </c>
      <c r="EF413" s="2" t="n">
        <v>100</v>
      </c>
      <c r="EG413" s="2" t="n">
        <v>0</v>
      </c>
      <c r="EH413" s="2" t="n">
        <v>100</v>
      </c>
      <c r="EI413" s="2" t="n">
        <v>100</v>
      </c>
      <c r="EJ413" s="2" t="n">
        <v>0</v>
      </c>
      <c r="EK413" s="2" t="n">
        <v>100</v>
      </c>
      <c r="EL413" s="2" t="n">
        <v>100</v>
      </c>
      <c r="EM413" s="2" t="n">
        <v>0</v>
      </c>
      <c r="EN413" s="2" t="n">
        <v>100</v>
      </c>
      <c r="EO413" s="2" t="n">
        <v>100</v>
      </c>
      <c r="EP413" s="2" t="n">
        <v>0</v>
      </c>
      <c r="EQ413" s="2" t="n">
        <v>100</v>
      </c>
      <c r="ER413" s="2" t="n">
        <v>100</v>
      </c>
      <c r="ES413" s="2" t="n">
        <v>0</v>
      </c>
    </row>
    <row r="414">
      <c r="A414" s="2" t="n">
        <v>3</v>
      </c>
      <c r="B414" s="2" t="inlineStr">
        <is>
          <t>19.02.01</t>
        </is>
      </c>
      <c r="C414" s="2" t="inlineStr">
        <is>
          <t>Camada de regularização com argamassa de cimento e areia</t>
        </is>
      </c>
      <c r="D414" s="2" t="inlineStr">
        <is>
          <t>11/08/2027</t>
        </is>
      </c>
      <c r="E414" s="2" t="inlineStr">
        <is>
          <t>01/09/2028</t>
        </is>
      </c>
      <c r="F414" s="2" t="n">
        <v>131615.8707497793</v>
      </c>
      <c r="G414" s="2" t="n">
        <v>0</v>
      </c>
      <c r="H414" s="2" t="n">
        <v>131615.8707497793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0</v>
      </c>
      <c r="AM414" s="2" t="n">
        <v>0</v>
      </c>
      <c r="AN414" s="2" t="n">
        <v>0</v>
      </c>
      <c r="AO414" s="2" t="n">
        <v>0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n">
        <v>0</v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n">
        <v>0</v>
      </c>
      <c r="BI414" s="2" t="n">
        <v>0</v>
      </c>
      <c r="BJ414" s="2" t="n">
        <v>0</v>
      </c>
      <c r="BK414" s="2" t="n">
        <v>0</v>
      </c>
      <c r="BL414" s="2" t="n">
        <v>0</v>
      </c>
      <c r="BM414" s="2" t="n">
        <v>0</v>
      </c>
      <c r="BN414" s="2" t="n">
        <v>0</v>
      </c>
      <c r="BO414" s="2" t="n">
        <v>0</v>
      </c>
      <c r="BP414" s="2" t="n">
        <v>0</v>
      </c>
      <c r="BQ414" s="2" t="n">
        <v>0</v>
      </c>
      <c r="BR414" s="2" t="n">
        <v>0</v>
      </c>
      <c r="BS414" s="2" t="n">
        <v>0</v>
      </c>
      <c r="BT414" s="2" t="n">
        <v>0</v>
      </c>
      <c r="BU414" s="2" t="n">
        <v>0</v>
      </c>
      <c r="BV414" s="2" t="n">
        <v>0</v>
      </c>
      <c r="BW414" s="2" t="n">
        <v>0</v>
      </c>
      <c r="BX414" s="2" t="n">
        <v>0</v>
      </c>
      <c r="BY414" s="2" t="n">
        <v>0</v>
      </c>
      <c r="BZ414" s="2" t="n">
        <v>0</v>
      </c>
      <c r="CA414" s="2" t="n">
        <v>0</v>
      </c>
      <c r="CB414" s="2" t="n">
        <v>0</v>
      </c>
      <c r="CC414" s="2" t="n">
        <v>0</v>
      </c>
      <c r="CD414" s="2" t="n">
        <v>0</v>
      </c>
      <c r="CE414" s="2" t="n">
        <v>0</v>
      </c>
      <c r="CF414" s="2" t="n">
        <v>0</v>
      </c>
      <c r="CG414" s="2" t="n">
        <v>0</v>
      </c>
      <c r="CH414" s="2" t="n">
        <v>0</v>
      </c>
      <c r="CI414" s="2" t="n">
        <v>2.65</v>
      </c>
      <c r="CJ414" s="2" t="n">
        <v>3.97</v>
      </c>
      <c r="CK414" s="2" t="n">
        <v>0</v>
      </c>
      <c r="CL414" s="2" t="n">
        <v>8.199999999999999</v>
      </c>
      <c r="CM414" s="2" t="n">
        <v>9.52</v>
      </c>
      <c r="CN414" s="2" t="n">
        <v>0</v>
      </c>
      <c r="CO414" s="2" t="n">
        <v>13.49</v>
      </c>
      <c r="CP414" s="2" t="n">
        <v>17.2</v>
      </c>
      <c r="CQ414" s="2" t="n">
        <v>0</v>
      </c>
      <c r="CR414" s="2" t="n">
        <v>23.54</v>
      </c>
      <c r="CS414" s="2" t="n">
        <v>24.87</v>
      </c>
      <c r="CT414" s="2" t="n">
        <v>0</v>
      </c>
      <c r="CU414" s="2" t="n">
        <v>27.78</v>
      </c>
      <c r="CV414" s="2" t="n">
        <v>30.53</v>
      </c>
      <c r="CW414" s="2" t="n">
        <v>0</v>
      </c>
      <c r="CX414" s="2" t="n">
        <v>35</v>
      </c>
      <c r="CY414" s="2" t="n">
        <v>37.04</v>
      </c>
      <c r="CZ414" s="2" t="n">
        <v>0</v>
      </c>
      <c r="DA414" s="2" t="n">
        <v>41.27</v>
      </c>
      <c r="DB414" s="2" t="n">
        <v>43.54</v>
      </c>
      <c r="DC414" s="2" t="n">
        <v>0</v>
      </c>
      <c r="DD414" s="2" t="n">
        <v>54.32</v>
      </c>
      <c r="DE414" s="2" t="n">
        <v>56.56</v>
      </c>
      <c r="DF414" s="2" t="n">
        <v>0</v>
      </c>
      <c r="DG414" s="2" t="n">
        <v>63.54</v>
      </c>
      <c r="DH414" s="2" t="n">
        <v>65.38</v>
      </c>
      <c r="DI414" s="2" t="n">
        <v>0</v>
      </c>
      <c r="DJ414" s="2" t="n">
        <v>72.54000000000001</v>
      </c>
      <c r="DK414" s="2" t="n">
        <v>81.36</v>
      </c>
      <c r="DL414" s="2" t="n">
        <v>0</v>
      </c>
      <c r="DM414" s="2" t="n">
        <v>86.23999999999999</v>
      </c>
      <c r="DN414" s="2" t="n">
        <v>94.76000000000001</v>
      </c>
      <c r="DO414" s="2" t="n">
        <v>0</v>
      </c>
      <c r="DP414" s="2" t="n">
        <v>97.45999999999999</v>
      </c>
      <c r="DQ414" s="2" t="n">
        <v>97.62</v>
      </c>
      <c r="DR414" s="2" t="n">
        <v>0</v>
      </c>
      <c r="DS414" s="2" t="n">
        <v>98.41</v>
      </c>
      <c r="DT414" s="2" t="n">
        <v>99.73999999999999</v>
      </c>
      <c r="DU414" s="2" t="n">
        <v>0</v>
      </c>
      <c r="DV414" s="2" t="n">
        <v>100</v>
      </c>
      <c r="DW414" s="2" t="n">
        <v>100</v>
      </c>
      <c r="DX414" s="2" t="n">
        <v>0</v>
      </c>
      <c r="DY414" s="2" t="n">
        <v>100</v>
      </c>
      <c r="DZ414" s="2" t="n">
        <v>100</v>
      </c>
      <c r="EA414" s="2" t="n">
        <v>0</v>
      </c>
      <c r="EB414" s="2" t="n">
        <v>100</v>
      </c>
      <c r="EC414" s="2" t="n">
        <v>100</v>
      </c>
      <c r="ED414" s="2" t="n">
        <v>0</v>
      </c>
      <c r="EE414" s="2" t="n">
        <v>100</v>
      </c>
      <c r="EF414" s="2" t="n">
        <v>100</v>
      </c>
      <c r="EG414" s="2" t="n">
        <v>0</v>
      </c>
      <c r="EH414" s="2" t="n">
        <v>100</v>
      </c>
      <c r="EI414" s="2" t="n">
        <v>100</v>
      </c>
      <c r="EJ414" s="2" t="n">
        <v>0</v>
      </c>
      <c r="EK414" s="2" t="n">
        <v>100</v>
      </c>
      <c r="EL414" s="2" t="n">
        <v>100</v>
      </c>
      <c r="EM414" s="2" t="n">
        <v>0</v>
      </c>
      <c r="EN414" s="2" t="n">
        <v>100</v>
      </c>
      <c r="EO414" s="2" t="n">
        <v>100</v>
      </c>
      <c r="EP414" s="2" t="n">
        <v>0</v>
      </c>
      <c r="EQ414" s="2" t="n">
        <v>100</v>
      </c>
      <c r="ER414" s="2" t="n">
        <v>100</v>
      </c>
      <c r="ES414" s="2" t="n">
        <v>0</v>
      </c>
    </row>
    <row r="415">
      <c r="A415" s="2" t="n">
        <v>3</v>
      </c>
      <c r="B415" s="2" t="inlineStr">
        <is>
          <t>19.02.02</t>
        </is>
      </c>
      <c r="C415" s="2" t="inlineStr">
        <is>
          <t>Beiral</t>
        </is>
      </c>
      <c r="D415" s="2" t="inlineStr">
        <is>
          <t>11/08/2027</t>
        </is>
      </c>
      <c r="E415" s="2" t="inlineStr">
        <is>
          <t>01/09/2028</t>
        </is>
      </c>
      <c r="F415" s="2" t="n">
        <v>174838.314</v>
      </c>
      <c r="G415" s="2" t="n">
        <v>0</v>
      </c>
      <c r="H415" s="2" t="n">
        <v>174838.314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  <c r="AM415" s="2" t="n">
        <v>0</v>
      </c>
      <c r="AN415" s="2" t="n">
        <v>0</v>
      </c>
      <c r="AO415" s="2" t="n">
        <v>0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n">
        <v>0</v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n">
        <v>0</v>
      </c>
      <c r="BI415" s="2" t="n">
        <v>0</v>
      </c>
      <c r="BJ415" s="2" t="n">
        <v>0</v>
      </c>
      <c r="BK415" s="2" t="n">
        <v>0</v>
      </c>
      <c r="BL415" s="2" t="n">
        <v>0</v>
      </c>
      <c r="BM415" s="2" t="n">
        <v>0</v>
      </c>
      <c r="BN415" s="2" t="n">
        <v>0</v>
      </c>
      <c r="BO415" s="2" t="n">
        <v>0</v>
      </c>
      <c r="BP415" s="2" t="n">
        <v>0</v>
      </c>
      <c r="BQ415" s="2" t="n">
        <v>0</v>
      </c>
      <c r="BR415" s="2" t="n">
        <v>0</v>
      </c>
      <c r="BS415" s="2" t="n">
        <v>0</v>
      </c>
      <c r="BT415" s="2" t="n">
        <v>0</v>
      </c>
      <c r="BU415" s="2" t="n">
        <v>0</v>
      </c>
      <c r="BV415" s="2" t="n">
        <v>0</v>
      </c>
      <c r="BW415" s="2" t="n">
        <v>0</v>
      </c>
      <c r="BX415" s="2" t="n">
        <v>0</v>
      </c>
      <c r="BY415" s="2" t="n">
        <v>0</v>
      </c>
      <c r="BZ415" s="2" t="n">
        <v>0</v>
      </c>
      <c r="CA415" s="2" t="n">
        <v>0</v>
      </c>
      <c r="CB415" s="2" t="n">
        <v>0</v>
      </c>
      <c r="CC415" s="2" t="n">
        <v>0</v>
      </c>
      <c r="CD415" s="2" t="n">
        <v>0</v>
      </c>
      <c r="CE415" s="2" t="n">
        <v>0</v>
      </c>
      <c r="CF415" s="2" t="n">
        <v>0</v>
      </c>
      <c r="CG415" s="2" t="n">
        <v>0</v>
      </c>
      <c r="CH415" s="2" t="n">
        <v>0</v>
      </c>
      <c r="CI415" s="2" t="n">
        <v>2.65</v>
      </c>
      <c r="CJ415" s="2" t="n">
        <v>3.97</v>
      </c>
      <c r="CK415" s="2" t="n">
        <v>0</v>
      </c>
      <c r="CL415" s="2" t="n">
        <v>8.199999999999999</v>
      </c>
      <c r="CM415" s="2" t="n">
        <v>9.52</v>
      </c>
      <c r="CN415" s="2" t="n">
        <v>0</v>
      </c>
      <c r="CO415" s="2" t="n">
        <v>13.49</v>
      </c>
      <c r="CP415" s="2" t="n">
        <v>17.2</v>
      </c>
      <c r="CQ415" s="2" t="n">
        <v>0</v>
      </c>
      <c r="CR415" s="2" t="n">
        <v>23.54</v>
      </c>
      <c r="CS415" s="2" t="n">
        <v>24.87</v>
      </c>
      <c r="CT415" s="2" t="n">
        <v>0</v>
      </c>
      <c r="CU415" s="2" t="n">
        <v>27.78</v>
      </c>
      <c r="CV415" s="2" t="n">
        <v>30.53</v>
      </c>
      <c r="CW415" s="2" t="n">
        <v>0</v>
      </c>
      <c r="CX415" s="2" t="n">
        <v>35</v>
      </c>
      <c r="CY415" s="2" t="n">
        <v>37.04</v>
      </c>
      <c r="CZ415" s="2" t="n">
        <v>0</v>
      </c>
      <c r="DA415" s="2" t="n">
        <v>41.27</v>
      </c>
      <c r="DB415" s="2" t="n">
        <v>43.54</v>
      </c>
      <c r="DC415" s="2" t="n">
        <v>0</v>
      </c>
      <c r="DD415" s="2" t="n">
        <v>54.32</v>
      </c>
      <c r="DE415" s="2" t="n">
        <v>56.56</v>
      </c>
      <c r="DF415" s="2" t="n">
        <v>0</v>
      </c>
      <c r="DG415" s="2" t="n">
        <v>63.54</v>
      </c>
      <c r="DH415" s="2" t="n">
        <v>65.38</v>
      </c>
      <c r="DI415" s="2" t="n">
        <v>0</v>
      </c>
      <c r="DJ415" s="2" t="n">
        <v>72.54000000000001</v>
      </c>
      <c r="DK415" s="2" t="n">
        <v>81.36</v>
      </c>
      <c r="DL415" s="2" t="n">
        <v>0</v>
      </c>
      <c r="DM415" s="2" t="n">
        <v>86.23999999999999</v>
      </c>
      <c r="DN415" s="2" t="n">
        <v>94.76000000000001</v>
      </c>
      <c r="DO415" s="2" t="n">
        <v>0</v>
      </c>
      <c r="DP415" s="2" t="n">
        <v>97.45999999999999</v>
      </c>
      <c r="DQ415" s="2" t="n">
        <v>97.62</v>
      </c>
      <c r="DR415" s="2" t="n">
        <v>0</v>
      </c>
      <c r="DS415" s="2" t="n">
        <v>98.41</v>
      </c>
      <c r="DT415" s="2" t="n">
        <v>99.73999999999999</v>
      </c>
      <c r="DU415" s="2" t="n">
        <v>0</v>
      </c>
      <c r="DV415" s="2" t="n">
        <v>100</v>
      </c>
      <c r="DW415" s="2" t="n">
        <v>100</v>
      </c>
      <c r="DX415" s="2" t="n">
        <v>0</v>
      </c>
      <c r="DY415" s="2" t="n">
        <v>100</v>
      </c>
      <c r="DZ415" s="2" t="n">
        <v>100</v>
      </c>
      <c r="EA415" s="2" t="n">
        <v>0</v>
      </c>
      <c r="EB415" s="2" t="n">
        <v>100</v>
      </c>
      <c r="EC415" s="2" t="n">
        <v>100</v>
      </c>
      <c r="ED415" s="2" t="n">
        <v>0</v>
      </c>
      <c r="EE415" s="2" t="n">
        <v>100</v>
      </c>
      <c r="EF415" s="2" t="n">
        <v>100</v>
      </c>
      <c r="EG415" s="2" t="n">
        <v>0</v>
      </c>
      <c r="EH415" s="2" t="n">
        <v>100</v>
      </c>
      <c r="EI415" s="2" t="n">
        <v>100</v>
      </c>
      <c r="EJ415" s="2" t="n">
        <v>0</v>
      </c>
      <c r="EK415" s="2" t="n">
        <v>100</v>
      </c>
      <c r="EL415" s="2" t="n">
        <v>100</v>
      </c>
      <c r="EM415" s="2" t="n">
        <v>0</v>
      </c>
      <c r="EN415" s="2" t="n">
        <v>100</v>
      </c>
      <c r="EO415" s="2" t="n">
        <v>100</v>
      </c>
      <c r="EP415" s="2" t="n">
        <v>0</v>
      </c>
      <c r="EQ415" s="2" t="n">
        <v>100</v>
      </c>
      <c r="ER415" s="2" t="n">
        <v>100</v>
      </c>
      <c r="ES415" s="2" t="n">
        <v>0</v>
      </c>
    </row>
    <row r="416">
      <c r="A416" s="2" t="n">
        <v>3</v>
      </c>
      <c r="B416" s="2" t="inlineStr">
        <is>
          <t>19.02.03</t>
        </is>
      </c>
      <c r="C416" s="2" t="inlineStr">
        <is>
          <t>Pingadeira em chapa galvanizada/ alumínio com aba de 5cm, fixada com parafuso/ bucha 6mm a cada de 15cm</t>
        </is>
      </c>
      <c r="D416" s="2" t="inlineStr">
        <is>
          <t>11/08/2027</t>
        </is>
      </c>
      <c r="E416" s="2" t="inlineStr">
        <is>
          <t>01/09/2028</t>
        </is>
      </c>
      <c r="F416" s="2" t="n">
        <v>273093.271875</v>
      </c>
      <c r="G416" s="2" t="n">
        <v>0</v>
      </c>
      <c r="H416" s="2" t="n">
        <v>273093.271875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0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n">
        <v>0</v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n">
        <v>0</v>
      </c>
      <c r="BI416" s="2" t="n">
        <v>0</v>
      </c>
      <c r="BJ416" s="2" t="n">
        <v>0</v>
      </c>
      <c r="BK416" s="2" t="n">
        <v>0</v>
      </c>
      <c r="BL416" s="2" t="n">
        <v>0</v>
      </c>
      <c r="BM416" s="2" t="n">
        <v>0</v>
      </c>
      <c r="BN416" s="2" t="n">
        <v>0</v>
      </c>
      <c r="BO416" s="2" t="n">
        <v>0</v>
      </c>
      <c r="BP416" s="2" t="n">
        <v>0</v>
      </c>
      <c r="BQ416" s="2" t="n">
        <v>0</v>
      </c>
      <c r="BR416" s="2" t="n">
        <v>0</v>
      </c>
      <c r="BS416" s="2" t="n">
        <v>0</v>
      </c>
      <c r="BT416" s="2" t="n">
        <v>0</v>
      </c>
      <c r="BU416" s="2" t="n">
        <v>0</v>
      </c>
      <c r="BV416" s="2" t="n">
        <v>0</v>
      </c>
      <c r="BW416" s="2" t="n">
        <v>0</v>
      </c>
      <c r="BX416" s="2" t="n">
        <v>0</v>
      </c>
      <c r="BY416" s="2" t="n">
        <v>0</v>
      </c>
      <c r="BZ416" s="2" t="n">
        <v>0</v>
      </c>
      <c r="CA416" s="2" t="n">
        <v>0</v>
      </c>
      <c r="CB416" s="2" t="n">
        <v>0</v>
      </c>
      <c r="CC416" s="2" t="n">
        <v>0</v>
      </c>
      <c r="CD416" s="2" t="n">
        <v>0</v>
      </c>
      <c r="CE416" s="2" t="n">
        <v>0</v>
      </c>
      <c r="CF416" s="2" t="n">
        <v>0</v>
      </c>
      <c r="CG416" s="2" t="n">
        <v>0</v>
      </c>
      <c r="CH416" s="2" t="n">
        <v>0</v>
      </c>
      <c r="CI416" s="2" t="n">
        <v>2.65</v>
      </c>
      <c r="CJ416" s="2" t="n">
        <v>3.97</v>
      </c>
      <c r="CK416" s="2" t="n">
        <v>0</v>
      </c>
      <c r="CL416" s="2" t="n">
        <v>8.199999999999999</v>
      </c>
      <c r="CM416" s="2" t="n">
        <v>9.52</v>
      </c>
      <c r="CN416" s="2" t="n">
        <v>0</v>
      </c>
      <c r="CO416" s="2" t="n">
        <v>13.49</v>
      </c>
      <c r="CP416" s="2" t="n">
        <v>17.2</v>
      </c>
      <c r="CQ416" s="2" t="n">
        <v>0</v>
      </c>
      <c r="CR416" s="2" t="n">
        <v>23.54</v>
      </c>
      <c r="CS416" s="2" t="n">
        <v>24.87</v>
      </c>
      <c r="CT416" s="2" t="n">
        <v>0</v>
      </c>
      <c r="CU416" s="2" t="n">
        <v>27.78</v>
      </c>
      <c r="CV416" s="2" t="n">
        <v>30.53</v>
      </c>
      <c r="CW416" s="2" t="n">
        <v>0</v>
      </c>
      <c r="CX416" s="2" t="n">
        <v>35</v>
      </c>
      <c r="CY416" s="2" t="n">
        <v>37.04</v>
      </c>
      <c r="CZ416" s="2" t="n">
        <v>0</v>
      </c>
      <c r="DA416" s="2" t="n">
        <v>41.27</v>
      </c>
      <c r="DB416" s="2" t="n">
        <v>43.54</v>
      </c>
      <c r="DC416" s="2" t="n">
        <v>0</v>
      </c>
      <c r="DD416" s="2" t="n">
        <v>54.32</v>
      </c>
      <c r="DE416" s="2" t="n">
        <v>56.56</v>
      </c>
      <c r="DF416" s="2" t="n">
        <v>0</v>
      </c>
      <c r="DG416" s="2" t="n">
        <v>63.54</v>
      </c>
      <c r="DH416" s="2" t="n">
        <v>65.38</v>
      </c>
      <c r="DI416" s="2" t="n">
        <v>0</v>
      </c>
      <c r="DJ416" s="2" t="n">
        <v>72.54000000000001</v>
      </c>
      <c r="DK416" s="2" t="n">
        <v>81.36</v>
      </c>
      <c r="DL416" s="2" t="n">
        <v>0</v>
      </c>
      <c r="DM416" s="2" t="n">
        <v>86.23999999999999</v>
      </c>
      <c r="DN416" s="2" t="n">
        <v>94.76000000000001</v>
      </c>
      <c r="DO416" s="2" t="n">
        <v>0</v>
      </c>
      <c r="DP416" s="2" t="n">
        <v>97.45999999999999</v>
      </c>
      <c r="DQ416" s="2" t="n">
        <v>97.62</v>
      </c>
      <c r="DR416" s="2" t="n">
        <v>0</v>
      </c>
      <c r="DS416" s="2" t="n">
        <v>98.41</v>
      </c>
      <c r="DT416" s="2" t="n">
        <v>99.73999999999999</v>
      </c>
      <c r="DU416" s="2" t="n">
        <v>0</v>
      </c>
      <c r="DV416" s="2" t="n">
        <v>100</v>
      </c>
      <c r="DW416" s="2" t="n">
        <v>100</v>
      </c>
      <c r="DX416" s="2" t="n">
        <v>0</v>
      </c>
      <c r="DY416" s="2" t="n">
        <v>100</v>
      </c>
      <c r="DZ416" s="2" t="n">
        <v>100</v>
      </c>
      <c r="EA416" s="2" t="n">
        <v>0</v>
      </c>
      <c r="EB416" s="2" t="n">
        <v>100</v>
      </c>
      <c r="EC416" s="2" t="n">
        <v>100</v>
      </c>
      <c r="ED416" s="2" t="n">
        <v>0</v>
      </c>
      <c r="EE416" s="2" t="n">
        <v>100</v>
      </c>
      <c r="EF416" s="2" t="n">
        <v>100</v>
      </c>
      <c r="EG416" s="2" t="n">
        <v>0</v>
      </c>
      <c r="EH416" s="2" t="n">
        <v>100</v>
      </c>
      <c r="EI416" s="2" t="n">
        <v>100</v>
      </c>
      <c r="EJ416" s="2" t="n">
        <v>0</v>
      </c>
      <c r="EK416" s="2" t="n">
        <v>100</v>
      </c>
      <c r="EL416" s="2" t="n">
        <v>100</v>
      </c>
      <c r="EM416" s="2" t="n">
        <v>0</v>
      </c>
      <c r="EN416" s="2" t="n">
        <v>100</v>
      </c>
      <c r="EO416" s="2" t="n">
        <v>100</v>
      </c>
      <c r="EP416" s="2" t="n">
        <v>0</v>
      </c>
      <c r="EQ416" s="2" t="n">
        <v>100</v>
      </c>
      <c r="ER416" s="2" t="n">
        <v>100</v>
      </c>
      <c r="ES416" s="2" t="n">
        <v>0</v>
      </c>
    </row>
    <row r="417">
      <c r="A417" s="2" t="n">
        <v>2</v>
      </c>
      <c r="B417" s="2" t="inlineStr">
        <is>
          <t>19.03</t>
        </is>
      </c>
      <c r="C417" s="2" t="inlineStr">
        <is>
          <t>Dupla manta asfáltica tipo III, 3mm + 4mm de espessura, classe B acabamento AA ambas coldas com asfalto oxidado a quente com consumo de 3,0kg/m2. Sobre a manta, camada de transição com geotêxtil 200g/m2 e proteção mecânica armada estruturada com tela galvanizada fio 22 malha de 1"</t>
        </is>
      </c>
      <c r="D417" s="2" t="inlineStr">
        <is>
          <t>11/08/2027</t>
        </is>
      </c>
      <c r="E417" s="2" t="inlineStr">
        <is>
          <t>01/09/2028</t>
        </is>
      </c>
      <c r="F417" s="2" t="n">
        <v>432530.2260974565</v>
      </c>
      <c r="G417" s="2" t="n">
        <v>0</v>
      </c>
      <c r="H417" s="2" t="n">
        <v>432530.2260974565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0</v>
      </c>
      <c r="AM417" s="2" t="n">
        <v>0</v>
      </c>
      <c r="AN417" s="2" t="n">
        <v>0</v>
      </c>
      <c r="AO417" s="2" t="n">
        <v>0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n">
        <v>0</v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2" t="n">
        <v>0</v>
      </c>
      <c r="BG417" s="2" t="n">
        <v>0</v>
      </c>
      <c r="BH417" s="2" t="n">
        <v>0</v>
      </c>
      <c r="BI417" s="2" t="n">
        <v>0</v>
      </c>
      <c r="BJ417" s="2" t="n">
        <v>0</v>
      </c>
      <c r="BK417" s="2" t="n">
        <v>0</v>
      </c>
      <c r="BL417" s="2" t="n">
        <v>0</v>
      </c>
      <c r="BM417" s="2" t="n">
        <v>0</v>
      </c>
      <c r="BN417" s="2" t="n">
        <v>0</v>
      </c>
      <c r="BO417" s="2" t="n">
        <v>0</v>
      </c>
      <c r="BP417" s="2" t="n">
        <v>0</v>
      </c>
      <c r="BQ417" s="2" t="n">
        <v>0</v>
      </c>
      <c r="BR417" s="2" t="n">
        <v>0</v>
      </c>
      <c r="BS417" s="2" t="n">
        <v>0</v>
      </c>
      <c r="BT417" s="2" t="n">
        <v>0</v>
      </c>
      <c r="BU417" s="2" t="n">
        <v>0</v>
      </c>
      <c r="BV417" s="2" t="n">
        <v>0</v>
      </c>
      <c r="BW417" s="2" t="n">
        <v>0</v>
      </c>
      <c r="BX417" s="2" t="n">
        <v>0</v>
      </c>
      <c r="BY417" s="2" t="n">
        <v>0</v>
      </c>
      <c r="BZ417" s="2" t="n">
        <v>0</v>
      </c>
      <c r="CA417" s="2" t="n">
        <v>0</v>
      </c>
      <c r="CB417" s="2" t="n">
        <v>0</v>
      </c>
      <c r="CC417" s="2" t="n">
        <v>0</v>
      </c>
      <c r="CD417" s="2" t="n">
        <v>0</v>
      </c>
      <c r="CE417" s="2" t="n">
        <v>0</v>
      </c>
      <c r="CF417" s="2" t="n">
        <v>0</v>
      </c>
      <c r="CG417" s="2" t="n">
        <v>0</v>
      </c>
      <c r="CH417" s="2" t="n">
        <v>0</v>
      </c>
      <c r="CI417" s="2" t="n">
        <v>2.65</v>
      </c>
      <c r="CJ417" s="2" t="n">
        <v>3.97</v>
      </c>
      <c r="CK417" s="2" t="n">
        <v>0</v>
      </c>
      <c r="CL417" s="2" t="n">
        <v>8.199999999999999</v>
      </c>
      <c r="CM417" s="2" t="n">
        <v>9.52</v>
      </c>
      <c r="CN417" s="2" t="n">
        <v>0</v>
      </c>
      <c r="CO417" s="2" t="n">
        <v>13.49</v>
      </c>
      <c r="CP417" s="2" t="n">
        <v>17.2</v>
      </c>
      <c r="CQ417" s="2" t="n">
        <v>0</v>
      </c>
      <c r="CR417" s="2" t="n">
        <v>23.54</v>
      </c>
      <c r="CS417" s="2" t="n">
        <v>24.87</v>
      </c>
      <c r="CT417" s="2" t="n">
        <v>0</v>
      </c>
      <c r="CU417" s="2" t="n">
        <v>27.78</v>
      </c>
      <c r="CV417" s="2" t="n">
        <v>30.53</v>
      </c>
      <c r="CW417" s="2" t="n">
        <v>0</v>
      </c>
      <c r="CX417" s="2" t="n">
        <v>35</v>
      </c>
      <c r="CY417" s="2" t="n">
        <v>37.04</v>
      </c>
      <c r="CZ417" s="2" t="n">
        <v>0</v>
      </c>
      <c r="DA417" s="2" t="n">
        <v>41.27</v>
      </c>
      <c r="DB417" s="2" t="n">
        <v>43.54</v>
      </c>
      <c r="DC417" s="2" t="n">
        <v>0</v>
      </c>
      <c r="DD417" s="2" t="n">
        <v>54.32</v>
      </c>
      <c r="DE417" s="2" t="n">
        <v>56.56</v>
      </c>
      <c r="DF417" s="2" t="n">
        <v>0</v>
      </c>
      <c r="DG417" s="2" t="n">
        <v>63.54</v>
      </c>
      <c r="DH417" s="2" t="n">
        <v>65.38</v>
      </c>
      <c r="DI417" s="2" t="n">
        <v>0</v>
      </c>
      <c r="DJ417" s="2" t="n">
        <v>72.54000000000001</v>
      </c>
      <c r="DK417" s="2" t="n">
        <v>81.36</v>
      </c>
      <c r="DL417" s="2" t="n">
        <v>0</v>
      </c>
      <c r="DM417" s="2" t="n">
        <v>86.23999999999999</v>
      </c>
      <c r="DN417" s="2" t="n">
        <v>94.76000000000001</v>
      </c>
      <c r="DO417" s="2" t="n">
        <v>0</v>
      </c>
      <c r="DP417" s="2" t="n">
        <v>97.45999999999999</v>
      </c>
      <c r="DQ417" s="2" t="n">
        <v>97.62</v>
      </c>
      <c r="DR417" s="2" t="n">
        <v>0</v>
      </c>
      <c r="DS417" s="2" t="n">
        <v>98.41</v>
      </c>
      <c r="DT417" s="2" t="n">
        <v>99.73999999999999</v>
      </c>
      <c r="DU417" s="2" t="n">
        <v>0</v>
      </c>
      <c r="DV417" s="2" t="n">
        <v>100</v>
      </c>
      <c r="DW417" s="2" t="n">
        <v>100</v>
      </c>
      <c r="DX417" s="2" t="n">
        <v>0</v>
      </c>
      <c r="DY417" s="2" t="n">
        <v>100</v>
      </c>
      <c r="DZ417" s="2" t="n">
        <v>100</v>
      </c>
      <c r="EA417" s="2" t="n">
        <v>0</v>
      </c>
      <c r="EB417" s="2" t="n">
        <v>100</v>
      </c>
      <c r="EC417" s="2" t="n">
        <v>100</v>
      </c>
      <c r="ED417" s="2" t="n">
        <v>0</v>
      </c>
      <c r="EE417" s="2" t="n">
        <v>100</v>
      </c>
      <c r="EF417" s="2" t="n">
        <v>100</v>
      </c>
      <c r="EG417" s="2" t="n">
        <v>0</v>
      </c>
      <c r="EH417" s="2" t="n">
        <v>100</v>
      </c>
      <c r="EI417" s="2" t="n">
        <v>100</v>
      </c>
      <c r="EJ417" s="2" t="n">
        <v>0</v>
      </c>
      <c r="EK417" s="2" t="n">
        <v>100</v>
      </c>
      <c r="EL417" s="2" t="n">
        <v>100</v>
      </c>
      <c r="EM417" s="2" t="n">
        <v>0</v>
      </c>
      <c r="EN417" s="2" t="n">
        <v>100</v>
      </c>
      <c r="EO417" s="2" t="n">
        <v>100</v>
      </c>
      <c r="EP417" s="2" t="n">
        <v>0</v>
      </c>
      <c r="EQ417" s="2" t="n">
        <v>100</v>
      </c>
      <c r="ER417" s="2" t="n">
        <v>100</v>
      </c>
      <c r="ES417" s="2" t="n">
        <v>0</v>
      </c>
    </row>
    <row r="418">
      <c r="A418" s="2" t="n">
        <v>3</v>
      </c>
      <c r="B418" s="2" t="inlineStr">
        <is>
          <t>19.03.01</t>
        </is>
      </c>
      <c r="C418" s="2" t="inlineStr">
        <is>
          <t>Camada de regularização com argamassa de cimento e areia</t>
        </is>
      </c>
      <c r="D418" s="2" t="inlineStr">
        <is>
          <t>11/08/2027</t>
        </is>
      </c>
      <c r="E418" s="2" t="inlineStr">
        <is>
          <t>01/09/2028</t>
        </is>
      </c>
      <c r="F418" s="2" t="n">
        <v>62267.85436500873</v>
      </c>
      <c r="G418" s="2" t="n">
        <v>0</v>
      </c>
      <c r="H418" s="2" t="n">
        <v>62267.85436500873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0</v>
      </c>
      <c r="AM418" s="2" t="n">
        <v>0</v>
      </c>
      <c r="AN418" s="2" t="n">
        <v>0</v>
      </c>
      <c r="AO418" s="2" t="n">
        <v>0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n">
        <v>0</v>
      </c>
      <c r="AZ418" s="2" t="n">
        <v>0</v>
      </c>
      <c r="BA418" s="2" t="n">
        <v>0</v>
      </c>
      <c r="BB418" s="2" t="n">
        <v>0</v>
      </c>
      <c r="BC418" s="2" t="n">
        <v>0</v>
      </c>
      <c r="BD418" s="2" t="n">
        <v>0</v>
      </c>
      <c r="BE418" s="2" t="n">
        <v>0</v>
      </c>
      <c r="BF418" s="2" t="n">
        <v>0</v>
      </c>
      <c r="BG418" s="2" t="n">
        <v>0</v>
      </c>
      <c r="BH418" s="2" t="n">
        <v>0</v>
      </c>
      <c r="BI418" s="2" t="n">
        <v>0</v>
      </c>
      <c r="BJ418" s="2" t="n">
        <v>0</v>
      </c>
      <c r="BK418" s="2" t="n">
        <v>0</v>
      </c>
      <c r="BL418" s="2" t="n">
        <v>0</v>
      </c>
      <c r="BM418" s="2" t="n">
        <v>0</v>
      </c>
      <c r="BN418" s="2" t="n">
        <v>0</v>
      </c>
      <c r="BO418" s="2" t="n">
        <v>0</v>
      </c>
      <c r="BP418" s="2" t="n">
        <v>0</v>
      </c>
      <c r="BQ418" s="2" t="n">
        <v>0</v>
      </c>
      <c r="BR418" s="2" t="n">
        <v>0</v>
      </c>
      <c r="BS418" s="2" t="n">
        <v>0</v>
      </c>
      <c r="BT418" s="2" t="n">
        <v>0</v>
      </c>
      <c r="BU418" s="2" t="n">
        <v>0</v>
      </c>
      <c r="BV418" s="2" t="n">
        <v>0</v>
      </c>
      <c r="BW418" s="2" t="n">
        <v>0</v>
      </c>
      <c r="BX418" s="2" t="n">
        <v>0</v>
      </c>
      <c r="BY418" s="2" t="n">
        <v>0</v>
      </c>
      <c r="BZ418" s="2" t="n">
        <v>0</v>
      </c>
      <c r="CA418" s="2" t="n">
        <v>0</v>
      </c>
      <c r="CB418" s="2" t="n">
        <v>0</v>
      </c>
      <c r="CC418" s="2" t="n">
        <v>0</v>
      </c>
      <c r="CD418" s="2" t="n">
        <v>0</v>
      </c>
      <c r="CE418" s="2" t="n">
        <v>0</v>
      </c>
      <c r="CF418" s="2" t="n">
        <v>0</v>
      </c>
      <c r="CG418" s="2" t="n">
        <v>0</v>
      </c>
      <c r="CH418" s="2" t="n">
        <v>0</v>
      </c>
      <c r="CI418" s="2" t="n">
        <v>2.65</v>
      </c>
      <c r="CJ418" s="2" t="n">
        <v>3.97</v>
      </c>
      <c r="CK418" s="2" t="n">
        <v>0</v>
      </c>
      <c r="CL418" s="2" t="n">
        <v>8.199999999999999</v>
      </c>
      <c r="CM418" s="2" t="n">
        <v>9.52</v>
      </c>
      <c r="CN418" s="2" t="n">
        <v>0</v>
      </c>
      <c r="CO418" s="2" t="n">
        <v>13.49</v>
      </c>
      <c r="CP418" s="2" t="n">
        <v>17.2</v>
      </c>
      <c r="CQ418" s="2" t="n">
        <v>0</v>
      </c>
      <c r="CR418" s="2" t="n">
        <v>23.54</v>
      </c>
      <c r="CS418" s="2" t="n">
        <v>24.87</v>
      </c>
      <c r="CT418" s="2" t="n">
        <v>0</v>
      </c>
      <c r="CU418" s="2" t="n">
        <v>27.78</v>
      </c>
      <c r="CV418" s="2" t="n">
        <v>30.53</v>
      </c>
      <c r="CW418" s="2" t="n">
        <v>0</v>
      </c>
      <c r="CX418" s="2" t="n">
        <v>35</v>
      </c>
      <c r="CY418" s="2" t="n">
        <v>37.04</v>
      </c>
      <c r="CZ418" s="2" t="n">
        <v>0</v>
      </c>
      <c r="DA418" s="2" t="n">
        <v>41.27</v>
      </c>
      <c r="DB418" s="2" t="n">
        <v>43.54</v>
      </c>
      <c r="DC418" s="2" t="n">
        <v>0</v>
      </c>
      <c r="DD418" s="2" t="n">
        <v>54.32</v>
      </c>
      <c r="DE418" s="2" t="n">
        <v>56.56</v>
      </c>
      <c r="DF418" s="2" t="n">
        <v>0</v>
      </c>
      <c r="DG418" s="2" t="n">
        <v>63.54</v>
      </c>
      <c r="DH418" s="2" t="n">
        <v>65.38</v>
      </c>
      <c r="DI418" s="2" t="n">
        <v>0</v>
      </c>
      <c r="DJ418" s="2" t="n">
        <v>72.54000000000001</v>
      </c>
      <c r="DK418" s="2" t="n">
        <v>81.36</v>
      </c>
      <c r="DL418" s="2" t="n">
        <v>0</v>
      </c>
      <c r="DM418" s="2" t="n">
        <v>86.23999999999999</v>
      </c>
      <c r="DN418" s="2" t="n">
        <v>94.76000000000001</v>
      </c>
      <c r="DO418" s="2" t="n">
        <v>0</v>
      </c>
      <c r="DP418" s="2" t="n">
        <v>97.45999999999999</v>
      </c>
      <c r="DQ418" s="2" t="n">
        <v>97.62</v>
      </c>
      <c r="DR418" s="2" t="n">
        <v>0</v>
      </c>
      <c r="DS418" s="2" t="n">
        <v>98.41</v>
      </c>
      <c r="DT418" s="2" t="n">
        <v>99.73999999999999</v>
      </c>
      <c r="DU418" s="2" t="n">
        <v>0</v>
      </c>
      <c r="DV418" s="2" t="n">
        <v>100</v>
      </c>
      <c r="DW418" s="2" t="n">
        <v>100</v>
      </c>
      <c r="DX418" s="2" t="n">
        <v>0</v>
      </c>
      <c r="DY418" s="2" t="n">
        <v>100</v>
      </c>
      <c r="DZ418" s="2" t="n">
        <v>100</v>
      </c>
      <c r="EA418" s="2" t="n">
        <v>0</v>
      </c>
      <c r="EB418" s="2" t="n">
        <v>100</v>
      </c>
      <c r="EC418" s="2" t="n">
        <v>100</v>
      </c>
      <c r="ED418" s="2" t="n">
        <v>0</v>
      </c>
      <c r="EE418" s="2" t="n">
        <v>100</v>
      </c>
      <c r="EF418" s="2" t="n">
        <v>100</v>
      </c>
      <c r="EG418" s="2" t="n">
        <v>0</v>
      </c>
      <c r="EH418" s="2" t="n">
        <v>100</v>
      </c>
      <c r="EI418" s="2" t="n">
        <v>100</v>
      </c>
      <c r="EJ418" s="2" t="n">
        <v>0</v>
      </c>
      <c r="EK418" s="2" t="n">
        <v>100</v>
      </c>
      <c r="EL418" s="2" t="n">
        <v>100</v>
      </c>
      <c r="EM418" s="2" t="n">
        <v>0</v>
      </c>
      <c r="EN418" s="2" t="n">
        <v>100</v>
      </c>
      <c r="EO418" s="2" t="n">
        <v>100</v>
      </c>
      <c r="EP418" s="2" t="n">
        <v>0</v>
      </c>
      <c r="EQ418" s="2" t="n">
        <v>100</v>
      </c>
      <c r="ER418" s="2" t="n">
        <v>100</v>
      </c>
      <c r="ES418" s="2" t="n">
        <v>0</v>
      </c>
    </row>
    <row r="419">
      <c r="A419" s="2" t="n">
        <v>3</v>
      </c>
      <c r="B419" s="2" t="inlineStr">
        <is>
          <t>19.03.02</t>
        </is>
      </c>
      <c r="C419" s="2" t="inlineStr">
        <is>
          <t>Proteção mecânica armada com tela galvanizada, fio 22, malha 1</t>
        </is>
      </c>
      <c r="D419" s="2" t="inlineStr">
        <is>
          <t>11/08/2027</t>
        </is>
      </c>
      <c r="E419" s="2" t="inlineStr">
        <is>
          <t>01/09/2028</t>
        </is>
      </c>
      <c r="F419" s="2" t="n">
        <v>105071.8790164064</v>
      </c>
      <c r="G419" s="2" t="n">
        <v>0</v>
      </c>
      <c r="H419" s="2" t="n">
        <v>105071.8790164064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0</v>
      </c>
      <c r="AM419" s="2" t="n">
        <v>0</v>
      </c>
      <c r="AN419" s="2" t="n">
        <v>0</v>
      </c>
      <c r="AO419" s="2" t="n">
        <v>0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n">
        <v>0</v>
      </c>
      <c r="AZ419" s="2" t="n">
        <v>0</v>
      </c>
      <c r="BA419" s="2" t="n">
        <v>0</v>
      </c>
      <c r="BB419" s="2" t="n">
        <v>0</v>
      </c>
      <c r="BC419" s="2" t="n">
        <v>0</v>
      </c>
      <c r="BD419" s="2" t="n">
        <v>0</v>
      </c>
      <c r="BE419" s="2" t="n">
        <v>0</v>
      </c>
      <c r="BF419" s="2" t="n">
        <v>0</v>
      </c>
      <c r="BG419" s="2" t="n">
        <v>0</v>
      </c>
      <c r="BH419" s="2" t="n">
        <v>0</v>
      </c>
      <c r="BI419" s="2" t="n">
        <v>0</v>
      </c>
      <c r="BJ419" s="2" t="n">
        <v>0</v>
      </c>
      <c r="BK419" s="2" t="n">
        <v>0</v>
      </c>
      <c r="BL419" s="2" t="n">
        <v>0</v>
      </c>
      <c r="BM419" s="2" t="n">
        <v>0</v>
      </c>
      <c r="BN419" s="2" t="n">
        <v>0</v>
      </c>
      <c r="BO419" s="2" t="n">
        <v>0</v>
      </c>
      <c r="BP419" s="2" t="n">
        <v>0</v>
      </c>
      <c r="BQ419" s="2" t="n">
        <v>0</v>
      </c>
      <c r="BR419" s="2" t="n">
        <v>0</v>
      </c>
      <c r="BS419" s="2" t="n">
        <v>0</v>
      </c>
      <c r="BT419" s="2" t="n">
        <v>0</v>
      </c>
      <c r="BU419" s="2" t="n">
        <v>0</v>
      </c>
      <c r="BV419" s="2" t="n">
        <v>0</v>
      </c>
      <c r="BW419" s="2" t="n">
        <v>0</v>
      </c>
      <c r="BX419" s="2" t="n">
        <v>0</v>
      </c>
      <c r="BY419" s="2" t="n">
        <v>0</v>
      </c>
      <c r="BZ419" s="2" t="n">
        <v>0</v>
      </c>
      <c r="CA419" s="2" t="n">
        <v>0</v>
      </c>
      <c r="CB419" s="2" t="n">
        <v>0</v>
      </c>
      <c r="CC419" s="2" t="n">
        <v>0</v>
      </c>
      <c r="CD419" s="2" t="n">
        <v>0</v>
      </c>
      <c r="CE419" s="2" t="n">
        <v>0</v>
      </c>
      <c r="CF419" s="2" t="n">
        <v>0</v>
      </c>
      <c r="CG419" s="2" t="n">
        <v>0</v>
      </c>
      <c r="CH419" s="2" t="n">
        <v>0</v>
      </c>
      <c r="CI419" s="2" t="n">
        <v>2.65</v>
      </c>
      <c r="CJ419" s="2" t="n">
        <v>3.97</v>
      </c>
      <c r="CK419" s="2" t="n">
        <v>0</v>
      </c>
      <c r="CL419" s="2" t="n">
        <v>8.199999999999999</v>
      </c>
      <c r="CM419" s="2" t="n">
        <v>9.52</v>
      </c>
      <c r="CN419" s="2" t="n">
        <v>0</v>
      </c>
      <c r="CO419" s="2" t="n">
        <v>13.49</v>
      </c>
      <c r="CP419" s="2" t="n">
        <v>17.2</v>
      </c>
      <c r="CQ419" s="2" t="n">
        <v>0</v>
      </c>
      <c r="CR419" s="2" t="n">
        <v>23.54</v>
      </c>
      <c r="CS419" s="2" t="n">
        <v>24.87</v>
      </c>
      <c r="CT419" s="2" t="n">
        <v>0</v>
      </c>
      <c r="CU419" s="2" t="n">
        <v>27.78</v>
      </c>
      <c r="CV419" s="2" t="n">
        <v>30.53</v>
      </c>
      <c r="CW419" s="2" t="n">
        <v>0</v>
      </c>
      <c r="CX419" s="2" t="n">
        <v>35</v>
      </c>
      <c r="CY419" s="2" t="n">
        <v>37.04</v>
      </c>
      <c r="CZ419" s="2" t="n">
        <v>0</v>
      </c>
      <c r="DA419" s="2" t="n">
        <v>41.27</v>
      </c>
      <c r="DB419" s="2" t="n">
        <v>43.54</v>
      </c>
      <c r="DC419" s="2" t="n">
        <v>0</v>
      </c>
      <c r="DD419" s="2" t="n">
        <v>54.32</v>
      </c>
      <c r="DE419" s="2" t="n">
        <v>56.56</v>
      </c>
      <c r="DF419" s="2" t="n">
        <v>0</v>
      </c>
      <c r="DG419" s="2" t="n">
        <v>63.54</v>
      </c>
      <c r="DH419" s="2" t="n">
        <v>65.38</v>
      </c>
      <c r="DI419" s="2" t="n">
        <v>0</v>
      </c>
      <c r="DJ419" s="2" t="n">
        <v>72.54000000000001</v>
      </c>
      <c r="DK419" s="2" t="n">
        <v>81.36</v>
      </c>
      <c r="DL419" s="2" t="n">
        <v>0</v>
      </c>
      <c r="DM419" s="2" t="n">
        <v>86.23999999999999</v>
      </c>
      <c r="DN419" s="2" t="n">
        <v>94.76000000000001</v>
      </c>
      <c r="DO419" s="2" t="n">
        <v>0</v>
      </c>
      <c r="DP419" s="2" t="n">
        <v>97.45999999999999</v>
      </c>
      <c r="DQ419" s="2" t="n">
        <v>97.62</v>
      </c>
      <c r="DR419" s="2" t="n">
        <v>0</v>
      </c>
      <c r="DS419" s="2" t="n">
        <v>98.41</v>
      </c>
      <c r="DT419" s="2" t="n">
        <v>99.73999999999999</v>
      </c>
      <c r="DU419" s="2" t="n">
        <v>0</v>
      </c>
      <c r="DV419" s="2" t="n">
        <v>100</v>
      </c>
      <c r="DW419" s="2" t="n">
        <v>100</v>
      </c>
      <c r="DX419" s="2" t="n">
        <v>0</v>
      </c>
      <c r="DY419" s="2" t="n">
        <v>100</v>
      </c>
      <c r="DZ419" s="2" t="n">
        <v>100</v>
      </c>
      <c r="EA419" s="2" t="n">
        <v>0</v>
      </c>
      <c r="EB419" s="2" t="n">
        <v>100</v>
      </c>
      <c r="EC419" s="2" t="n">
        <v>100</v>
      </c>
      <c r="ED419" s="2" t="n">
        <v>0</v>
      </c>
      <c r="EE419" s="2" t="n">
        <v>100</v>
      </c>
      <c r="EF419" s="2" t="n">
        <v>100</v>
      </c>
      <c r="EG419" s="2" t="n">
        <v>0</v>
      </c>
      <c r="EH419" s="2" t="n">
        <v>100</v>
      </c>
      <c r="EI419" s="2" t="n">
        <v>100</v>
      </c>
      <c r="EJ419" s="2" t="n">
        <v>0</v>
      </c>
      <c r="EK419" s="2" t="n">
        <v>100</v>
      </c>
      <c r="EL419" s="2" t="n">
        <v>100</v>
      </c>
      <c r="EM419" s="2" t="n">
        <v>0</v>
      </c>
      <c r="EN419" s="2" t="n">
        <v>100</v>
      </c>
      <c r="EO419" s="2" t="n">
        <v>100</v>
      </c>
      <c r="EP419" s="2" t="n">
        <v>0</v>
      </c>
      <c r="EQ419" s="2" t="n">
        <v>100</v>
      </c>
      <c r="ER419" s="2" t="n">
        <v>100</v>
      </c>
      <c r="ES419" s="2" t="n">
        <v>0</v>
      </c>
    </row>
    <row r="420">
      <c r="A420" s="2" t="n">
        <v>3</v>
      </c>
      <c r="B420" s="2" t="inlineStr">
        <is>
          <t>19.03.03</t>
        </is>
      </c>
      <c r="C420" s="2" t="inlineStr">
        <is>
          <t>Camada de transição geotêxtil 200g/m2</t>
        </is>
      </c>
      <c r="D420" s="2" t="inlineStr">
        <is>
          <t>11/08/2027</t>
        </is>
      </c>
      <c r="E420" s="2" t="inlineStr">
        <is>
          <t>01/09/2028</t>
        </is>
      </c>
      <c r="F420" s="2" t="n">
        <v>6822.572250000001</v>
      </c>
      <c r="G420" s="2" t="n">
        <v>0</v>
      </c>
      <c r="H420" s="2" t="n">
        <v>6822.572250000001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0</v>
      </c>
      <c r="AM420" s="2" t="n">
        <v>0</v>
      </c>
      <c r="AN420" s="2" t="n">
        <v>0</v>
      </c>
      <c r="AO420" s="2" t="n">
        <v>0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n">
        <v>0</v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n">
        <v>0</v>
      </c>
      <c r="BI420" s="2" t="n">
        <v>0</v>
      </c>
      <c r="BJ420" s="2" t="n">
        <v>0</v>
      </c>
      <c r="BK420" s="2" t="n">
        <v>0</v>
      </c>
      <c r="BL420" s="2" t="n">
        <v>0</v>
      </c>
      <c r="BM420" s="2" t="n">
        <v>0</v>
      </c>
      <c r="BN420" s="2" t="n">
        <v>0</v>
      </c>
      <c r="BO420" s="2" t="n">
        <v>0</v>
      </c>
      <c r="BP420" s="2" t="n">
        <v>0</v>
      </c>
      <c r="BQ420" s="2" t="n">
        <v>0</v>
      </c>
      <c r="BR420" s="2" t="n">
        <v>0</v>
      </c>
      <c r="BS420" s="2" t="n">
        <v>0</v>
      </c>
      <c r="BT420" s="2" t="n">
        <v>0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0</v>
      </c>
      <c r="CC420" s="2" t="n">
        <v>0</v>
      </c>
      <c r="CD420" s="2" t="n">
        <v>0</v>
      </c>
      <c r="CE420" s="2" t="n">
        <v>0</v>
      </c>
      <c r="CF420" s="2" t="n">
        <v>0</v>
      </c>
      <c r="CG420" s="2" t="n">
        <v>0</v>
      </c>
      <c r="CH420" s="2" t="n">
        <v>0</v>
      </c>
      <c r="CI420" s="2" t="n">
        <v>2.65</v>
      </c>
      <c r="CJ420" s="2" t="n">
        <v>3.97</v>
      </c>
      <c r="CK420" s="2" t="n">
        <v>0</v>
      </c>
      <c r="CL420" s="2" t="n">
        <v>8.199999999999999</v>
      </c>
      <c r="CM420" s="2" t="n">
        <v>9.52</v>
      </c>
      <c r="CN420" s="2" t="n">
        <v>0</v>
      </c>
      <c r="CO420" s="2" t="n">
        <v>13.49</v>
      </c>
      <c r="CP420" s="2" t="n">
        <v>17.2</v>
      </c>
      <c r="CQ420" s="2" t="n">
        <v>0</v>
      </c>
      <c r="CR420" s="2" t="n">
        <v>23.54</v>
      </c>
      <c r="CS420" s="2" t="n">
        <v>24.87</v>
      </c>
      <c r="CT420" s="2" t="n">
        <v>0</v>
      </c>
      <c r="CU420" s="2" t="n">
        <v>27.78</v>
      </c>
      <c r="CV420" s="2" t="n">
        <v>30.53</v>
      </c>
      <c r="CW420" s="2" t="n">
        <v>0</v>
      </c>
      <c r="CX420" s="2" t="n">
        <v>35</v>
      </c>
      <c r="CY420" s="2" t="n">
        <v>37.04</v>
      </c>
      <c r="CZ420" s="2" t="n">
        <v>0</v>
      </c>
      <c r="DA420" s="2" t="n">
        <v>41.27</v>
      </c>
      <c r="DB420" s="2" t="n">
        <v>43.54</v>
      </c>
      <c r="DC420" s="2" t="n">
        <v>0</v>
      </c>
      <c r="DD420" s="2" t="n">
        <v>54.32</v>
      </c>
      <c r="DE420" s="2" t="n">
        <v>56.56</v>
      </c>
      <c r="DF420" s="2" t="n">
        <v>0</v>
      </c>
      <c r="DG420" s="2" t="n">
        <v>63.54</v>
      </c>
      <c r="DH420" s="2" t="n">
        <v>65.38</v>
      </c>
      <c r="DI420" s="2" t="n">
        <v>0</v>
      </c>
      <c r="DJ420" s="2" t="n">
        <v>72.54000000000001</v>
      </c>
      <c r="DK420" s="2" t="n">
        <v>81.36</v>
      </c>
      <c r="DL420" s="2" t="n">
        <v>0</v>
      </c>
      <c r="DM420" s="2" t="n">
        <v>86.23999999999999</v>
      </c>
      <c r="DN420" s="2" t="n">
        <v>94.76000000000001</v>
      </c>
      <c r="DO420" s="2" t="n">
        <v>0</v>
      </c>
      <c r="DP420" s="2" t="n">
        <v>97.45999999999999</v>
      </c>
      <c r="DQ420" s="2" t="n">
        <v>97.62</v>
      </c>
      <c r="DR420" s="2" t="n">
        <v>0</v>
      </c>
      <c r="DS420" s="2" t="n">
        <v>98.41</v>
      </c>
      <c r="DT420" s="2" t="n">
        <v>99.73999999999999</v>
      </c>
      <c r="DU420" s="2" t="n">
        <v>0</v>
      </c>
      <c r="DV420" s="2" t="n">
        <v>100</v>
      </c>
      <c r="DW420" s="2" t="n">
        <v>100</v>
      </c>
      <c r="DX420" s="2" t="n">
        <v>0</v>
      </c>
      <c r="DY420" s="2" t="n">
        <v>100</v>
      </c>
      <c r="DZ420" s="2" t="n">
        <v>100</v>
      </c>
      <c r="EA420" s="2" t="n">
        <v>0</v>
      </c>
      <c r="EB420" s="2" t="n">
        <v>100</v>
      </c>
      <c r="EC420" s="2" t="n">
        <v>100</v>
      </c>
      <c r="ED420" s="2" t="n">
        <v>0</v>
      </c>
      <c r="EE420" s="2" t="n">
        <v>100</v>
      </c>
      <c r="EF420" s="2" t="n">
        <v>100</v>
      </c>
      <c r="EG420" s="2" t="n">
        <v>0</v>
      </c>
      <c r="EH420" s="2" t="n">
        <v>100</v>
      </c>
      <c r="EI420" s="2" t="n">
        <v>100</v>
      </c>
      <c r="EJ420" s="2" t="n">
        <v>0</v>
      </c>
      <c r="EK420" s="2" t="n">
        <v>100</v>
      </c>
      <c r="EL420" s="2" t="n">
        <v>100</v>
      </c>
      <c r="EM420" s="2" t="n">
        <v>0</v>
      </c>
      <c r="EN420" s="2" t="n">
        <v>100</v>
      </c>
      <c r="EO420" s="2" t="n">
        <v>100</v>
      </c>
      <c r="EP420" s="2" t="n">
        <v>0</v>
      </c>
      <c r="EQ420" s="2" t="n">
        <v>100</v>
      </c>
      <c r="ER420" s="2" t="n">
        <v>100</v>
      </c>
      <c r="ES420" s="2" t="n">
        <v>0</v>
      </c>
    </row>
    <row r="421">
      <c r="A421" s="2" t="n">
        <v>3</v>
      </c>
      <c r="B421" s="2" t="inlineStr">
        <is>
          <t>19.03.04</t>
        </is>
      </c>
      <c r="C421" s="2" t="inlineStr">
        <is>
          <t>Junta perimetral preenchida com material flexível (mastique de poliuretano ou pasta asfáltica sobre EPS ou equivalente. Usado para preenchimento da área e criação da junta)</t>
        </is>
      </c>
      <c r="D421" s="2" t="inlineStr">
        <is>
          <t>11/08/2027</t>
        </is>
      </c>
      <c r="E421" s="2" t="inlineStr">
        <is>
          <t>01/09/2028</t>
        </is>
      </c>
      <c r="F421" s="2" t="n">
        <v>9184.847264832108</v>
      </c>
      <c r="G421" s="2" t="n">
        <v>0</v>
      </c>
      <c r="H421" s="2" t="n">
        <v>9184.847264832108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0</v>
      </c>
      <c r="AM421" s="2" t="n">
        <v>0</v>
      </c>
      <c r="AN421" s="2" t="n">
        <v>0</v>
      </c>
      <c r="AO421" s="2" t="n">
        <v>0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n">
        <v>0</v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n">
        <v>0</v>
      </c>
      <c r="BI421" s="2" t="n">
        <v>0</v>
      </c>
      <c r="BJ421" s="2" t="n">
        <v>0</v>
      </c>
      <c r="BK421" s="2" t="n">
        <v>0</v>
      </c>
      <c r="BL421" s="2" t="n">
        <v>0</v>
      </c>
      <c r="BM421" s="2" t="n">
        <v>0</v>
      </c>
      <c r="BN421" s="2" t="n">
        <v>0</v>
      </c>
      <c r="BO421" s="2" t="n">
        <v>0</v>
      </c>
      <c r="BP421" s="2" t="n">
        <v>0</v>
      </c>
      <c r="BQ421" s="2" t="n">
        <v>0</v>
      </c>
      <c r="BR421" s="2" t="n">
        <v>0</v>
      </c>
      <c r="BS421" s="2" t="n">
        <v>0</v>
      </c>
      <c r="BT421" s="2" t="n">
        <v>0</v>
      </c>
      <c r="BU421" s="2" t="n">
        <v>0</v>
      </c>
      <c r="BV421" s="2" t="n">
        <v>0</v>
      </c>
      <c r="BW421" s="2" t="n">
        <v>0</v>
      </c>
      <c r="BX421" s="2" t="n">
        <v>0</v>
      </c>
      <c r="BY421" s="2" t="n">
        <v>0</v>
      </c>
      <c r="BZ421" s="2" t="n">
        <v>0</v>
      </c>
      <c r="CA421" s="2" t="n">
        <v>0</v>
      </c>
      <c r="CB421" s="2" t="n">
        <v>0</v>
      </c>
      <c r="CC421" s="2" t="n">
        <v>0</v>
      </c>
      <c r="CD421" s="2" t="n">
        <v>0</v>
      </c>
      <c r="CE421" s="2" t="n">
        <v>0</v>
      </c>
      <c r="CF421" s="2" t="n">
        <v>0</v>
      </c>
      <c r="CG421" s="2" t="n">
        <v>0</v>
      </c>
      <c r="CH421" s="2" t="n">
        <v>0</v>
      </c>
      <c r="CI421" s="2" t="n">
        <v>2.65</v>
      </c>
      <c r="CJ421" s="2" t="n">
        <v>3.97</v>
      </c>
      <c r="CK421" s="2" t="n">
        <v>0</v>
      </c>
      <c r="CL421" s="2" t="n">
        <v>8.199999999999999</v>
      </c>
      <c r="CM421" s="2" t="n">
        <v>9.52</v>
      </c>
      <c r="CN421" s="2" t="n">
        <v>0</v>
      </c>
      <c r="CO421" s="2" t="n">
        <v>13.49</v>
      </c>
      <c r="CP421" s="2" t="n">
        <v>17.2</v>
      </c>
      <c r="CQ421" s="2" t="n">
        <v>0</v>
      </c>
      <c r="CR421" s="2" t="n">
        <v>23.54</v>
      </c>
      <c r="CS421" s="2" t="n">
        <v>24.87</v>
      </c>
      <c r="CT421" s="2" t="n">
        <v>0</v>
      </c>
      <c r="CU421" s="2" t="n">
        <v>27.78</v>
      </c>
      <c r="CV421" s="2" t="n">
        <v>30.53</v>
      </c>
      <c r="CW421" s="2" t="n">
        <v>0</v>
      </c>
      <c r="CX421" s="2" t="n">
        <v>35</v>
      </c>
      <c r="CY421" s="2" t="n">
        <v>37.04</v>
      </c>
      <c r="CZ421" s="2" t="n">
        <v>0</v>
      </c>
      <c r="DA421" s="2" t="n">
        <v>41.27</v>
      </c>
      <c r="DB421" s="2" t="n">
        <v>43.54</v>
      </c>
      <c r="DC421" s="2" t="n">
        <v>0</v>
      </c>
      <c r="DD421" s="2" t="n">
        <v>54.32</v>
      </c>
      <c r="DE421" s="2" t="n">
        <v>56.56</v>
      </c>
      <c r="DF421" s="2" t="n">
        <v>0</v>
      </c>
      <c r="DG421" s="2" t="n">
        <v>63.54</v>
      </c>
      <c r="DH421" s="2" t="n">
        <v>65.38</v>
      </c>
      <c r="DI421" s="2" t="n">
        <v>0</v>
      </c>
      <c r="DJ421" s="2" t="n">
        <v>72.54000000000001</v>
      </c>
      <c r="DK421" s="2" t="n">
        <v>81.36</v>
      </c>
      <c r="DL421" s="2" t="n">
        <v>0</v>
      </c>
      <c r="DM421" s="2" t="n">
        <v>86.23999999999999</v>
      </c>
      <c r="DN421" s="2" t="n">
        <v>94.76000000000001</v>
      </c>
      <c r="DO421" s="2" t="n">
        <v>0</v>
      </c>
      <c r="DP421" s="2" t="n">
        <v>97.45999999999999</v>
      </c>
      <c r="DQ421" s="2" t="n">
        <v>97.62</v>
      </c>
      <c r="DR421" s="2" t="n">
        <v>0</v>
      </c>
      <c r="DS421" s="2" t="n">
        <v>98.41</v>
      </c>
      <c r="DT421" s="2" t="n">
        <v>99.73999999999999</v>
      </c>
      <c r="DU421" s="2" t="n">
        <v>0</v>
      </c>
      <c r="DV421" s="2" t="n">
        <v>100</v>
      </c>
      <c r="DW421" s="2" t="n">
        <v>100</v>
      </c>
      <c r="DX421" s="2" t="n">
        <v>0</v>
      </c>
      <c r="DY421" s="2" t="n">
        <v>100</v>
      </c>
      <c r="DZ421" s="2" t="n">
        <v>100</v>
      </c>
      <c r="EA421" s="2" t="n">
        <v>0</v>
      </c>
      <c r="EB421" s="2" t="n">
        <v>100</v>
      </c>
      <c r="EC421" s="2" t="n">
        <v>100</v>
      </c>
      <c r="ED421" s="2" t="n">
        <v>0</v>
      </c>
      <c r="EE421" s="2" t="n">
        <v>100</v>
      </c>
      <c r="EF421" s="2" t="n">
        <v>100</v>
      </c>
      <c r="EG421" s="2" t="n">
        <v>0</v>
      </c>
      <c r="EH421" s="2" t="n">
        <v>100</v>
      </c>
      <c r="EI421" s="2" t="n">
        <v>100</v>
      </c>
      <c r="EJ421" s="2" t="n">
        <v>0</v>
      </c>
      <c r="EK421" s="2" t="n">
        <v>100</v>
      </c>
      <c r="EL421" s="2" t="n">
        <v>100</v>
      </c>
      <c r="EM421" s="2" t="n">
        <v>0</v>
      </c>
      <c r="EN421" s="2" t="n">
        <v>100</v>
      </c>
      <c r="EO421" s="2" t="n">
        <v>100</v>
      </c>
      <c r="EP421" s="2" t="n">
        <v>0</v>
      </c>
      <c r="EQ421" s="2" t="n">
        <v>100</v>
      </c>
      <c r="ER421" s="2" t="n">
        <v>100</v>
      </c>
      <c r="ES421" s="2" t="n">
        <v>0</v>
      </c>
    </row>
    <row r="422">
      <c r="A422" s="2" t="n">
        <v>3</v>
      </c>
      <c r="B422" s="2" t="inlineStr">
        <is>
          <t>19.03.05</t>
        </is>
      </c>
      <c r="C422" s="2" t="inlineStr">
        <is>
          <t>Cantoneira de alumínio/ galvanizada 2x2" fixada com parafuso e bucha S6 a cada 30cm</t>
        </is>
      </c>
      <c r="D422" s="2" t="inlineStr">
        <is>
          <t>11/08/2027</t>
        </is>
      </c>
      <c r="E422" s="2" t="inlineStr">
        <is>
          <t>01/09/2028</t>
        </is>
      </c>
      <c r="F422" s="2" t="n">
        <v>1034.0625</v>
      </c>
      <c r="G422" s="2" t="n">
        <v>0</v>
      </c>
      <c r="H422" s="2" t="n">
        <v>1034.0625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0</v>
      </c>
      <c r="AM422" s="2" t="n">
        <v>0</v>
      </c>
      <c r="AN422" s="2" t="n">
        <v>0</v>
      </c>
      <c r="AO422" s="2" t="n">
        <v>0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n">
        <v>0</v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n">
        <v>0</v>
      </c>
      <c r="BI422" s="2" t="n">
        <v>0</v>
      </c>
      <c r="BJ422" s="2" t="n">
        <v>0</v>
      </c>
      <c r="BK422" s="2" t="n">
        <v>0</v>
      </c>
      <c r="BL422" s="2" t="n">
        <v>0</v>
      </c>
      <c r="BM422" s="2" t="n">
        <v>0</v>
      </c>
      <c r="BN422" s="2" t="n">
        <v>0</v>
      </c>
      <c r="BO422" s="2" t="n">
        <v>0</v>
      </c>
      <c r="BP422" s="2" t="n">
        <v>0</v>
      </c>
      <c r="BQ422" s="2" t="n">
        <v>0</v>
      </c>
      <c r="BR422" s="2" t="n">
        <v>0</v>
      </c>
      <c r="BS422" s="2" t="n">
        <v>0</v>
      </c>
      <c r="BT422" s="2" t="n">
        <v>0</v>
      </c>
      <c r="BU422" s="2" t="n">
        <v>0</v>
      </c>
      <c r="BV422" s="2" t="n">
        <v>0</v>
      </c>
      <c r="BW422" s="2" t="n">
        <v>0</v>
      </c>
      <c r="BX422" s="2" t="n">
        <v>0</v>
      </c>
      <c r="BY422" s="2" t="n">
        <v>0</v>
      </c>
      <c r="BZ422" s="2" t="n">
        <v>0</v>
      </c>
      <c r="CA422" s="2" t="n">
        <v>0</v>
      </c>
      <c r="CB422" s="2" t="n">
        <v>0</v>
      </c>
      <c r="CC422" s="2" t="n">
        <v>0</v>
      </c>
      <c r="CD422" s="2" t="n">
        <v>0</v>
      </c>
      <c r="CE422" s="2" t="n">
        <v>0</v>
      </c>
      <c r="CF422" s="2" t="n">
        <v>0</v>
      </c>
      <c r="CG422" s="2" t="n">
        <v>0</v>
      </c>
      <c r="CH422" s="2" t="n">
        <v>0</v>
      </c>
      <c r="CI422" s="2" t="n">
        <v>2.65</v>
      </c>
      <c r="CJ422" s="2" t="n">
        <v>3.97</v>
      </c>
      <c r="CK422" s="2" t="n">
        <v>0</v>
      </c>
      <c r="CL422" s="2" t="n">
        <v>8.199999999999999</v>
      </c>
      <c r="CM422" s="2" t="n">
        <v>9.52</v>
      </c>
      <c r="CN422" s="2" t="n">
        <v>0</v>
      </c>
      <c r="CO422" s="2" t="n">
        <v>13.49</v>
      </c>
      <c r="CP422" s="2" t="n">
        <v>17.2</v>
      </c>
      <c r="CQ422" s="2" t="n">
        <v>0</v>
      </c>
      <c r="CR422" s="2" t="n">
        <v>23.54</v>
      </c>
      <c r="CS422" s="2" t="n">
        <v>24.87</v>
      </c>
      <c r="CT422" s="2" t="n">
        <v>0</v>
      </c>
      <c r="CU422" s="2" t="n">
        <v>27.78</v>
      </c>
      <c r="CV422" s="2" t="n">
        <v>30.53</v>
      </c>
      <c r="CW422" s="2" t="n">
        <v>0</v>
      </c>
      <c r="CX422" s="2" t="n">
        <v>35</v>
      </c>
      <c r="CY422" s="2" t="n">
        <v>37.04</v>
      </c>
      <c r="CZ422" s="2" t="n">
        <v>0</v>
      </c>
      <c r="DA422" s="2" t="n">
        <v>41.27</v>
      </c>
      <c r="DB422" s="2" t="n">
        <v>43.54</v>
      </c>
      <c r="DC422" s="2" t="n">
        <v>0</v>
      </c>
      <c r="DD422" s="2" t="n">
        <v>54.32</v>
      </c>
      <c r="DE422" s="2" t="n">
        <v>56.56</v>
      </c>
      <c r="DF422" s="2" t="n">
        <v>0</v>
      </c>
      <c r="DG422" s="2" t="n">
        <v>63.54</v>
      </c>
      <c r="DH422" s="2" t="n">
        <v>65.38</v>
      </c>
      <c r="DI422" s="2" t="n">
        <v>0</v>
      </c>
      <c r="DJ422" s="2" t="n">
        <v>72.54000000000001</v>
      </c>
      <c r="DK422" s="2" t="n">
        <v>81.36</v>
      </c>
      <c r="DL422" s="2" t="n">
        <v>0</v>
      </c>
      <c r="DM422" s="2" t="n">
        <v>86.23999999999999</v>
      </c>
      <c r="DN422" s="2" t="n">
        <v>94.76000000000001</v>
      </c>
      <c r="DO422" s="2" t="n">
        <v>0</v>
      </c>
      <c r="DP422" s="2" t="n">
        <v>97.45999999999999</v>
      </c>
      <c r="DQ422" s="2" t="n">
        <v>97.62</v>
      </c>
      <c r="DR422" s="2" t="n">
        <v>0</v>
      </c>
      <c r="DS422" s="2" t="n">
        <v>98.41</v>
      </c>
      <c r="DT422" s="2" t="n">
        <v>99.73999999999999</v>
      </c>
      <c r="DU422" s="2" t="n">
        <v>0</v>
      </c>
      <c r="DV422" s="2" t="n">
        <v>100</v>
      </c>
      <c r="DW422" s="2" t="n">
        <v>100</v>
      </c>
      <c r="DX422" s="2" t="n">
        <v>0</v>
      </c>
      <c r="DY422" s="2" t="n">
        <v>100</v>
      </c>
      <c r="DZ422" s="2" t="n">
        <v>100</v>
      </c>
      <c r="EA422" s="2" t="n">
        <v>0</v>
      </c>
      <c r="EB422" s="2" t="n">
        <v>100</v>
      </c>
      <c r="EC422" s="2" t="n">
        <v>100</v>
      </c>
      <c r="ED422" s="2" t="n">
        <v>0</v>
      </c>
      <c r="EE422" s="2" t="n">
        <v>100</v>
      </c>
      <c r="EF422" s="2" t="n">
        <v>100</v>
      </c>
      <c r="EG422" s="2" t="n">
        <v>0</v>
      </c>
      <c r="EH422" s="2" t="n">
        <v>100</v>
      </c>
      <c r="EI422" s="2" t="n">
        <v>100</v>
      </c>
      <c r="EJ422" s="2" t="n">
        <v>0</v>
      </c>
      <c r="EK422" s="2" t="n">
        <v>100</v>
      </c>
      <c r="EL422" s="2" t="n">
        <v>100</v>
      </c>
      <c r="EM422" s="2" t="n">
        <v>0</v>
      </c>
      <c r="EN422" s="2" t="n">
        <v>100</v>
      </c>
      <c r="EO422" s="2" t="n">
        <v>100</v>
      </c>
      <c r="EP422" s="2" t="n">
        <v>0</v>
      </c>
      <c r="EQ422" s="2" t="n">
        <v>100</v>
      </c>
      <c r="ER422" s="2" t="n">
        <v>100</v>
      </c>
      <c r="ES422" s="2" t="n">
        <v>0</v>
      </c>
    </row>
    <row r="423">
      <c r="A423" s="2" t="n">
        <v>3</v>
      </c>
      <c r="B423" s="2" t="inlineStr">
        <is>
          <t>19.03.06</t>
        </is>
      </c>
      <c r="C423" s="2" t="inlineStr">
        <is>
          <t>Pilotis - Playground</t>
        </is>
      </c>
      <c r="D423" s="2" t="inlineStr">
        <is>
          <t>11/08/2027</t>
        </is>
      </c>
      <c r="E423" s="2" t="inlineStr">
        <is>
          <t>01/09/2028</t>
        </is>
      </c>
      <c r="F423" s="2" t="n">
        <v>198943.355415</v>
      </c>
      <c r="G423" s="2" t="n">
        <v>0</v>
      </c>
      <c r="H423" s="2" t="n">
        <v>198943.355415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</v>
      </c>
      <c r="AO423" s="2" t="n">
        <v>0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n">
        <v>0</v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n">
        <v>0</v>
      </c>
      <c r="BI423" s="2" t="n">
        <v>0</v>
      </c>
      <c r="BJ423" s="2" t="n">
        <v>0</v>
      </c>
      <c r="BK423" s="2" t="n">
        <v>0</v>
      </c>
      <c r="BL423" s="2" t="n">
        <v>0</v>
      </c>
      <c r="BM423" s="2" t="n">
        <v>0</v>
      </c>
      <c r="BN423" s="2" t="n">
        <v>0</v>
      </c>
      <c r="BO423" s="2" t="n">
        <v>0</v>
      </c>
      <c r="BP423" s="2" t="n">
        <v>0</v>
      </c>
      <c r="BQ423" s="2" t="n">
        <v>0</v>
      </c>
      <c r="BR423" s="2" t="n">
        <v>0</v>
      </c>
      <c r="BS423" s="2" t="n">
        <v>0</v>
      </c>
      <c r="BT423" s="2" t="n">
        <v>0</v>
      </c>
      <c r="BU423" s="2" t="n">
        <v>0</v>
      </c>
      <c r="BV423" s="2" t="n">
        <v>0</v>
      </c>
      <c r="BW423" s="2" t="n">
        <v>0</v>
      </c>
      <c r="BX423" s="2" t="n">
        <v>0</v>
      </c>
      <c r="BY423" s="2" t="n">
        <v>0</v>
      </c>
      <c r="BZ423" s="2" t="n">
        <v>0</v>
      </c>
      <c r="CA423" s="2" t="n">
        <v>0</v>
      </c>
      <c r="CB423" s="2" t="n">
        <v>0</v>
      </c>
      <c r="CC423" s="2" t="n">
        <v>0</v>
      </c>
      <c r="CD423" s="2" t="n">
        <v>0</v>
      </c>
      <c r="CE423" s="2" t="n">
        <v>0</v>
      </c>
      <c r="CF423" s="2" t="n">
        <v>0</v>
      </c>
      <c r="CG423" s="2" t="n">
        <v>0</v>
      </c>
      <c r="CH423" s="2" t="n">
        <v>0</v>
      </c>
      <c r="CI423" s="2" t="n">
        <v>2.65</v>
      </c>
      <c r="CJ423" s="2" t="n">
        <v>3.97</v>
      </c>
      <c r="CK423" s="2" t="n">
        <v>0</v>
      </c>
      <c r="CL423" s="2" t="n">
        <v>8.199999999999999</v>
      </c>
      <c r="CM423" s="2" t="n">
        <v>9.52</v>
      </c>
      <c r="CN423" s="2" t="n">
        <v>0</v>
      </c>
      <c r="CO423" s="2" t="n">
        <v>13.49</v>
      </c>
      <c r="CP423" s="2" t="n">
        <v>17.2</v>
      </c>
      <c r="CQ423" s="2" t="n">
        <v>0</v>
      </c>
      <c r="CR423" s="2" t="n">
        <v>23.54</v>
      </c>
      <c r="CS423" s="2" t="n">
        <v>24.87</v>
      </c>
      <c r="CT423" s="2" t="n">
        <v>0</v>
      </c>
      <c r="CU423" s="2" t="n">
        <v>27.78</v>
      </c>
      <c r="CV423" s="2" t="n">
        <v>30.53</v>
      </c>
      <c r="CW423" s="2" t="n">
        <v>0</v>
      </c>
      <c r="CX423" s="2" t="n">
        <v>35</v>
      </c>
      <c r="CY423" s="2" t="n">
        <v>37.04</v>
      </c>
      <c r="CZ423" s="2" t="n">
        <v>0</v>
      </c>
      <c r="DA423" s="2" t="n">
        <v>41.27</v>
      </c>
      <c r="DB423" s="2" t="n">
        <v>43.54</v>
      </c>
      <c r="DC423" s="2" t="n">
        <v>0</v>
      </c>
      <c r="DD423" s="2" t="n">
        <v>54.32</v>
      </c>
      <c r="DE423" s="2" t="n">
        <v>56.56</v>
      </c>
      <c r="DF423" s="2" t="n">
        <v>0</v>
      </c>
      <c r="DG423" s="2" t="n">
        <v>63.54</v>
      </c>
      <c r="DH423" s="2" t="n">
        <v>65.38</v>
      </c>
      <c r="DI423" s="2" t="n">
        <v>0</v>
      </c>
      <c r="DJ423" s="2" t="n">
        <v>72.54000000000001</v>
      </c>
      <c r="DK423" s="2" t="n">
        <v>81.36</v>
      </c>
      <c r="DL423" s="2" t="n">
        <v>0</v>
      </c>
      <c r="DM423" s="2" t="n">
        <v>86.23999999999999</v>
      </c>
      <c r="DN423" s="2" t="n">
        <v>94.76000000000001</v>
      </c>
      <c r="DO423" s="2" t="n">
        <v>0</v>
      </c>
      <c r="DP423" s="2" t="n">
        <v>97.45999999999999</v>
      </c>
      <c r="DQ423" s="2" t="n">
        <v>97.62</v>
      </c>
      <c r="DR423" s="2" t="n">
        <v>0</v>
      </c>
      <c r="DS423" s="2" t="n">
        <v>98.41</v>
      </c>
      <c r="DT423" s="2" t="n">
        <v>99.73999999999999</v>
      </c>
      <c r="DU423" s="2" t="n">
        <v>0</v>
      </c>
      <c r="DV423" s="2" t="n">
        <v>100</v>
      </c>
      <c r="DW423" s="2" t="n">
        <v>100</v>
      </c>
      <c r="DX423" s="2" t="n">
        <v>0</v>
      </c>
      <c r="DY423" s="2" t="n">
        <v>100</v>
      </c>
      <c r="DZ423" s="2" t="n">
        <v>100</v>
      </c>
      <c r="EA423" s="2" t="n">
        <v>0</v>
      </c>
      <c r="EB423" s="2" t="n">
        <v>100</v>
      </c>
      <c r="EC423" s="2" t="n">
        <v>100</v>
      </c>
      <c r="ED423" s="2" t="n">
        <v>0</v>
      </c>
      <c r="EE423" s="2" t="n">
        <v>100</v>
      </c>
      <c r="EF423" s="2" t="n">
        <v>100</v>
      </c>
      <c r="EG423" s="2" t="n">
        <v>0</v>
      </c>
      <c r="EH423" s="2" t="n">
        <v>100</v>
      </c>
      <c r="EI423" s="2" t="n">
        <v>100</v>
      </c>
      <c r="EJ423" s="2" t="n">
        <v>0</v>
      </c>
      <c r="EK423" s="2" t="n">
        <v>100</v>
      </c>
      <c r="EL423" s="2" t="n">
        <v>100</v>
      </c>
      <c r="EM423" s="2" t="n">
        <v>0</v>
      </c>
      <c r="EN423" s="2" t="n">
        <v>100</v>
      </c>
      <c r="EO423" s="2" t="n">
        <v>100</v>
      </c>
      <c r="EP423" s="2" t="n">
        <v>0</v>
      </c>
      <c r="EQ423" s="2" t="n">
        <v>100</v>
      </c>
      <c r="ER423" s="2" t="n">
        <v>100</v>
      </c>
      <c r="ES423" s="2" t="n">
        <v>0</v>
      </c>
    </row>
    <row r="424">
      <c r="A424" s="2" t="n">
        <v>3</v>
      </c>
      <c r="B424" s="2" t="inlineStr">
        <is>
          <t>19.03.07</t>
        </is>
      </c>
      <c r="C424" s="2" t="inlineStr">
        <is>
          <t>Varanda| terraço descoberto</t>
        </is>
      </c>
      <c r="D424" s="2" t="inlineStr">
        <is>
          <t>11/08/2027</t>
        </is>
      </c>
      <c r="E424" s="2" t="inlineStr">
        <is>
          <t>01/09/2028</t>
        </is>
      </c>
      <c r="F424" s="2" t="n">
        <v>48298.5063225</v>
      </c>
      <c r="G424" s="2" t="n">
        <v>0</v>
      </c>
      <c r="H424" s="2" t="n">
        <v>48298.5063225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0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n">
        <v>0</v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n">
        <v>0</v>
      </c>
      <c r="BI424" s="2" t="n">
        <v>0</v>
      </c>
      <c r="BJ424" s="2" t="n">
        <v>0</v>
      </c>
      <c r="BK424" s="2" t="n">
        <v>0</v>
      </c>
      <c r="BL424" s="2" t="n">
        <v>0</v>
      </c>
      <c r="BM424" s="2" t="n">
        <v>0</v>
      </c>
      <c r="BN424" s="2" t="n">
        <v>0</v>
      </c>
      <c r="BO424" s="2" t="n">
        <v>0</v>
      </c>
      <c r="BP424" s="2" t="n">
        <v>0</v>
      </c>
      <c r="BQ424" s="2" t="n">
        <v>0</v>
      </c>
      <c r="BR424" s="2" t="n">
        <v>0</v>
      </c>
      <c r="BS424" s="2" t="n">
        <v>0</v>
      </c>
      <c r="BT424" s="2" t="n">
        <v>0</v>
      </c>
      <c r="BU424" s="2" t="n">
        <v>0</v>
      </c>
      <c r="BV424" s="2" t="n">
        <v>0</v>
      </c>
      <c r="BW424" s="2" t="n">
        <v>0</v>
      </c>
      <c r="BX424" s="2" t="n">
        <v>0</v>
      </c>
      <c r="BY424" s="2" t="n">
        <v>0</v>
      </c>
      <c r="BZ424" s="2" t="n">
        <v>0</v>
      </c>
      <c r="CA424" s="2" t="n">
        <v>0</v>
      </c>
      <c r="CB424" s="2" t="n">
        <v>0</v>
      </c>
      <c r="CC424" s="2" t="n">
        <v>0</v>
      </c>
      <c r="CD424" s="2" t="n">
        <v>0</v>
      </c>
      <c r="CE424" s="2" t="n">
        <v>0</v>
      </c>
      <c r="CF424" s="2" t="n">
        <v>0</v>
      </c>
      <c r="CG424" s="2" t="n">
        <v>0</v>
      </c>
      <c r="CH424" s="2" t="n">
        <v>0</v>
      </c>
      <c r="CI424" s="2" t="n">
        <v>2.65</v>
      </c>
      <c r="CJ424" s="2" t="n">
        <v>3.97</v>
      </c>
      <c r="CK424" s="2" t="n">
        <v>0</v>
      </c>
      <c r="CL424" s="2" t="n">
        <v>8.199999999999999</v>
      </c>
      <c r="CM424" s="2" t="n">
        <v>9.52</v>
      </c>
      <c r="CN424" s="2" t="n">
        <v>0</v>
      </c>
      <c r="CO424" s="2" t="n">
        <v>13.49</v>
      </c>
      <c r="CP424" s="2" t="n">
        <v>17.2</v>
      </c>
      <c r="CQ424" s="2" t="n">
        <v>0</v>
      </c>
      <c r="CR424" s="2" t="n">
        <v>23.54</v>
      </c>
      <c r="CS424" s="2" t="n">
        <v>24.87</v>
      </c>
      <c r="CT424" s="2" t="n">
        <v>0</v>
      </c>
      <c r="CU424" s="2" t="n">
        <v>27.78</v>
      </c>
      <c r="CV424" s="2" t="n">
        <v>30.53</v>
      </c>
      <c r="CW424" s="2" t="n">
        <v>0</v>
      </c>
      <c r="CX424" s="2" t="n">
        <v>35</v>
      </c>
      <c r="CY424" s="2" t="n">
        <v>37.04</v>
      </c>
      <c r="CZ424" s="2" t="n">
        <v>0</v>
      </c>
      <c r="DA424" s="2" t="n">
        <v>41.27</v>
      </c>
      <c r="DB424" s="2" t="n">
        <v>43.54</v>
      </c>
      <c r="DC424" s="2" t="n">
        <v>0</v>
      </c>
      <c r="DD424" s="2" t="n">
        <v>54.32</v>
      </c>
      <c r="DE424" s="2" t="n">
        <v>56.56</v>
      </c>
      <c r="DF424" s="2" t="n">
        <v>0</v>
      </c>
      <c r="DG424" s="2" t="n">
        <v>63.54</v>
      </c>
      <c r="DH424" s="2" t="n">
        <v>65.38</v>
      </c>
      <c r="DI424" s="2" t="n">
        <v>0</v>
      </c>
      <c r="DJ424" s="2" t="n">
        <v>72.54000000000001</v>
      </c>
      <c r="DK424" s="2" t="n">
        <v>81.36</v>
      </c>
      <c r="DL424" s="2" t="n">
        <v>0</v>
      </c>
      <c r="DM424" s="2" t="n">
        <v>86.23999999999999</v>
      </c>
      <c r="DN424" s="2" t="n">
        <v>94.76000000000001</v>
      </c>
      <c r="DO424" s="2" t="n">
        <v>0</v>
      </c>
      <c r="DP424" s="2" t="n">
        <v>97.45999999999999</v>
      </c>
      <c r="DQ424" s="2" t="n">
        <v>97.62</v>
      </c>
      <c r="DR424" s="2" t="n">
        <v>0</v>
      </c>
      <c r="DS424" s="2" t="n">
        <v>98.41</v>
      </c>
      <c r="DT424" s="2" t="n">
        <v>99.73999999999999</v>
      </c>
      <c r="DU424" s="2" t="n">
        <v>0</v>
      </c>
      <c r="DV424" s="2" t="n">
        <v>100</v>
      </c>
      <c r="DW424" s="2" t="n">
        <v>100</v>
      </c>
      <c r="DX424" s="2" t="n">
        <v>0</v>
      </c>
      <c r="DY424" s="2" t="n">
        <v>100</v>
      </c>
      <c r="DZ424" s="2" t="n">
        <v>100</v>
      </c>
      <c r="EA424" s="2" t="n">
        <v>0</v>
      </c>
      <c r="EB424" s="2" t="n">
        <v>100</v>
      </c>
      <c r="EC424" s="2" t="n">
        <v>100</v>
      </c>
      <c r="ED424" s="2" t="n">
        <v>0</v>
      </c>
      <c r="EE424" s="2" t="n">
        <v>100</v>
      </c>
      <c r="EF424" s="2" t="n">
        <v>100</v>
      </c>
      <c r="EG424" s="2" t="n">
        <v>0</v>
      </c>
      <c r="EH424" s="2" t="n">
        <v>100</v>
      </c>
      <c r="EI424" s="2" t="n">
        <v>100</v>
      </c>
      <c r="EJ424" s="2" t="n">
        <v>0</v>
      </c>
      <c r="EK424" s="2" t="n">
        <v>100</v>
      </c>
      <c r="EL424" s="2" t="n">
        <v>100</v>
      </c>
      <c r="EM424" s="2" t="n">
        <v>0</v>
      </c>
      <c r="EN424" s="2" t="n">
        <v>100</v>
      </c>
      <c r="EO424" s="2" t="n">
        <v>100</v>
      </c>
      <c r="EP424" s="2" t="n">
        <v>0</v>
      </c>
      <c r="EQ424" s="2" t="n">
        <v>100</v>
      </c>
      <c r="ER424" s="2" t="n">
        <v>100</v>
      </c>
      <c r="ES424" s="2" t="n">
        <v>0</v>
      </c>
    </row>
    <row r="425">
      <c r="A425" s="2" t="n">
        <v>3</v>
      </c>
      <c r="B425" s="2" t="inlineStr">
        <is>
          <t>19.03.08</t>
        </is>
      </c>
      <c r="C425" s="2" t="inlineStr">
        <is>
          <t>Impermabilização de ralos</t>
        </is>
      </c>
      <c r="D425" s="2" t="inlineStr">
        <is>
          <t>11/08/2027</t>
        </is>
      </c>
      <c r="E425" s="2" t="inlineStr">
        <is>
          <t>01/09/2028</t>
        </is>
      </c>
      <c r="F425" s="2" t="n">
        <v>907.1489637092515</v>
      </c>
      <c r="G425" s="2" t="n">
        <v>0</v>
      </c>
      <c r="H425" s="2" t="n">
        <v>907.1489637092515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  <c r="AN425" s="2" t="n">
        <v>0</v>
      </c>
      <c r="AO425" s="2" t="n">
        <v>0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n">
        <v>0</v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n">
        <v>0</v>
      </c>
      <c r="BI425" s="2" t="n">
        <v>0</v>
      </c>
      <c r="BJ425" s="2" t="n">
        <v>0</v>
      </c>
      <c r="BK425" s="2" t="n">
        <v>0</v>
      </c>
      <c r="BL425" s="2" t="n">
        <v>0</v>
      </c>
      <c r="BM425" s="2" t="n">
        <v>0</v>
      </c>
      <c r="BN425" s="2" t="n">
        <v>0</v>
      </c>
      <c r="BO425" s="2" t="n">
        <v>0</v>
      </c>
      <c r="BP425" s="2" t="n">
        <v>0</v>
      </c>
      <c r="BQ425" s="2" t="n">
        <v>0</v>
      </c>
      <c r="BR425" s="2" t="n">
        <v>0</v>
      </c>
      <c r="BS425" s="2" t="n">
        <v>0</v>
      </c>
      <c r="BT425" s="2" t="n">
        <v>0</v>
      </c>
      <c r="BU425" s="2" t="n">
        <v>0</v>
      </c>
      <c r="BV425" s="2" t="n">
        <v>0</v>
      </c>
      <c r="BW425" s="2" t="n">
        <v>0</v>
      </c>
      <c r="BX425" s="2" t="n">
        <v>0</v>
      </c>
      <c r="BY425" s="2" t="n">
        <v>0</v>
      </c>
      <c r="BZ425" s="2" t="n">
        <v>0</v>
      </c>
      <c r="CA425" s="2" t="n">
        <v>0</v>
      </c>
      <c r="CB425" s="2" t="n">
        <v>0</v>
      </c>
      <c r="CC425" s="2" t="n">
        <v>0</v>
      </c>
      <c r="CD425" s="2" t="n">
        <v>0</v>
      </c>
      <c r="CE425" s="2" t="n">
        <v>0</v>
      </c>
      <c r="CF425" s="2" t="n">
        <v>0</v>
      </c>
      <c r="CG425" s="2" t="n">
        <v>0</v>
      </c>
      <c r="CH425" s="2" t="n">
        <v>0</v>
      </c>
      <c r="CI425" s="2" t="n">
        <v>2.65</v>
      </c>
      <c r="CJ425" s="2" t="n">
        <v>3.97</v>
      </c>
      <c r="CK425" s="2" t="n">
        <v>0</v>
      </c>
      <c r="CL425" s="2" t="n">
        <v>8.199999999999999</v>
      </c>
      <c r="CM425" s="2" t="n">
        <v>9.52</v>
      </c>
      <c r="CN425" s="2" t="n">
        <v>0</v>
      </c>
      <c r="CO425" s="2" t="n">
        <v>13.49</v>
      </c>
      <c r="CP425" s="2" t="n">
        <v>17.2</v>
      </c>
      <c r="CQ425" s="2" t="n">
        <v>0</v>
      </c>
      <c r="CR425" s="2" t="n">
        <v>23.54</v>
      </c>
      <c r="CS425" s="2" t="n">
        <v>24.87</v>
      </c>
      <c r="CT425" s="2" t="n">
        <v>0</v>
      </c>
      <c r="CU425" s="2" t="n">
        <v>27.78</v>
      </c>
      <c r="CV425" s="2" t="n">
        <v>30.53</v>
      </c>
      <c r="CW425" s="2" t="n">
        <v>0</v>
      </c>
      <c r="CX425" s="2" t="n">
        <v>35</v>
      </c>
      <c r="CY425" s="2" t="n">
        <v>37.04</v>
      </c>
      <c r="CZ425" s="2" t="n">
        <v>0</v>
      </c>
      <c r="DA425" s="2" t="n">
        <v>41.27</v>
      </c>
      <c r="DB425" s="2" t="n">
        <v>43.54</v>
      </c>
      <c r="DC425" s="2" t="n">
        <v>0</v>
      </c>
      <c r="DD425" s="2" t="n">
        <v>54.32</v>
      </c>
      <c r="DE425" s="2" t="n">
        <v>56.56</v>
      </c>
      <c r="DF425" s="2" t="n">
        <v>0</v>
      </c>
      <c r="DG425" s="2" t="n">
        <v>63.54</v>
      </c>
      <c r="DH425" s="2" t="n">
        <v>65.38</v>
      </c>
      <c r="DI425" s="2" t="n">
        <v>0</v>
      </c>
      <c r="DJ425" s="2" t="n">
        <v>72.54000000000001</v>
      </c>
      <c r="DK425" s="2" t="n">
        <v>81.36</v>
      </c>
      <c r="DL425" s="2" t="n">
        <v>0</v>
      </c>
      <c r="DM425" s="2" t="n">
        <v>86.23999999999999</v>
      </c>
      <c r="DN425" s="2" t="n">
        <v>94.76000000000001</v>
      </c>
      <c r="DO425" s="2" t="n">
        <v>0</v>
      </c>
      <c r="DP425" s="2" t="n">
        <v>97.45999999999999</v>
      </c>
      <c r="DQ425" s="2" t="n">
        <v>97.62</v>
      </c>
      <c r="DR425" s="2" t="n">
        <v>0</v>
      </c>
      <c r="DS425" s="2" t="n">
        <v>98.41</v>
      </c>
      <c r="DT425" s="2" t="n">
        <v>99.73999999999999</v>
      </c>
      <c r="DU425" s="2" t="n">
        <v>0</v>
      </c>
      <c r="DV425" s="2" t="n">
        <v>100</v>
      </c>
      <c r="DW425" s="2" t="n">
        <v>100</v>
      </c>
      <c r="DX425" s="2" t="n">
        <v>0</v>
      </c>
      <c r="DY425" s="2" t="n">
        <v>100</v>
      </c>
      <c r="DZ425" s="2" t="n">
        <v>100</v>
      </c>
      <c r="EA425" s="2" t="n">
        <v>0</v>
      </c>
      <c r="EB425" s="2" t="n">
        <v>100</v>
      </c>
      <c r="EC425" s="2" t="n">
        <v>100</v>
      </c>
      <c r="ED425" s="2" t="n">
        <v>0</v>
      </c>
      <c r="EE425" s="2" t="n">
        <v>100</v>
      </c>
      <c r="EF425" s="2" t="n">
        <v>100</v>
      </c>
      <c r="EG425" s="2" t="n">
        <v>0</v>
      </c>
      <c r="EH425" s="2" t="n">
        <v>100</v>
      </c>
      <c r="EI425" s="2" t="n">
        <v>100</v>
      </c>
      <c r="EJ425" s="2" t="n">
        <v>0</v>
      </c>
      <c r="EK425" s="2" t="n">
        <v>100</v>
      </c>
      <c r="EL425" s="2" t="n">
        <v>100</v>
      </c>
      <c r="EM425" s="2" t="n">
        <v>0</v>
      </c>
      <c r="EN425" s="2" t="n">
        <v>100</v>
      </c>
      <c r="EO425" s="2" t="n">
        <v>100</v>
      </c>
      <c r="EP425" s="2" t="n">
        <v>0</v>
      </c>
      <c r="EQ425" s="2" t="n">
        <v>100</v>
      </c>
      <c r="ER425" s="2" t="n">
        <v>100</v>
      </c>
      <c r="ES425" s="2" t="n">
        <v>0</v>
      </c>
    </row>
    <row r="426">
      <c r="A426" s="2" t="n">
        <v>2</v>
      </c>
      <c r="B426" s="2" t="inlineStr">
        <is>
          <t>19.04</t>
        </is>
      </c>
      <c r="C426" s="2" t="inlineStr">
        <is>
          <t>Dupla manta asfáltica, tipo III, (3mm + 4mm) classe B, ambas coldas com asfalto oxidado a quente com consumo de 3,0kg/m2, camada de transição com geotêxtil 200g/m2, isolamento térmico com placas poliestireno extrudado (XPS) 4cm de espessura (2 camadas de 2cm) assentados em mata-juntas e coladas com pontos de asfalto e proteção mecânica armada estruturada com tela galvanizada fio 22 malha de 1"</t>
        </is>
      </c>
      <c r="D426" s="2" t="inlineStr">
        <is>
          <t>11/08/2027</t>
        </is>
      </c>
      <c r="E426" s="2" t="inlineStr">
        <is>
          <t>01/09/2028</t>
        </is>
      </c>
      <c r="F426" s="2" t="n">
        <v>514601.7203342452</v>
      </c>
      <c r="G426" s="2" t="n">
        <v>0</v>
      </c>
      <c r="H426" s="2" t="n">
        <v>514601.7203342452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0</v>
      </c>
      <c r="AM426" s="2" t="n">
        <v>0</v>
      </c>
      <c r="AN426" s="2" t="n">
        <v>0</v>
      </c>
      <c r="AO426" s="2" t="n">
        <v>0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n">
        <v>0</v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n">
        <v>0</v>
      </c>
      <c r="BI426" s="2" t="n">
        <v>0</v>
      </c>
      <c r="BJ426" s="2" t="n">
        <v>0</v>
      </c>
      <c r="BK426" s="2" t="n">
        <v>0</v>
      </c>
      <c r="BL426" s="2" t="n">
        <v>0</v>
      </c>
      <c r="BM426" s="2" t="n">
        <v>0</v>
      </c>
      <c r="BN426" s="2" t="n">
        <v>0</v>
      </c>
      <c r="BO426" s="2" t="n">
        <v>0</v>
      </c>
      <c r="BP426" s="2" t="n">
        <v>0</v>
      </c>
      <c r="BQ426" s="2" t="n">
        <v>0</v>
      </c>
      <c r="BR426" s="2" t="n">
        <v>0</v>
      </c>
      <c r="BS426" s="2" t="n">
        <v>0</v>
      </c>
      <c r="BT426" s="2" t="n">
        <v>0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2" t="n">
        <v>0</v>
      </c>
      <c r="CF426" s="2" t="n">
        <v>0</v>
      </c>
      <c r="CG426" s="2" t="n">
        <v>0</v>
      </c>
      <c r="CH426" s="2" t="n">
        <v>0</v>
      </c>
      <c r="CI426" s="2" t="n">
        <v>2.65</v>
      </c>
      <c r="CJ426" s="2" t="n">
        <v>3.97</v>
      </c>
      <c r="CK426" s="2" t="n">
        <v>0</v>
      </c>
      <c r="CL426" s="2" t="n">
        <v>8.199999999999999</v>
      </c>
      <c r="CM426" s="2" t="n">
        <v>9.52</v>
      </c>
      <c r="CN426" s="2" t="n">
        <v>0</v>
      </c>
      <c r="CO426" s="2" t="n">
        <v>13.49</v>
      </c>
      <c r="CP426" s="2" t="n">
        <v>17.2</v>
      </c>
      <c r="CQ426" s="2" t="n">
        <v>0</v>
      </c>
      <c r="CR426" s="2" t="n">
        <v>23.54</v>
      </c>
      <c r="CS426" s="2" t="n">
        <v>24.87</v>
      </c>
      <c r="CT426" s="2" t="n">
        <v>0</v>
      </c>
      <c r="CU426" s="2" t="n">
        <v>27.78</v>
      </c>
      <c r="CV426" s="2" t="n">
        <v>30.53</v>
      </c>
      <c r="CW426" s="2" t="n">
        <v>0</v>
      </c>
      <c r="CX426" s="2" t="n">
        <v>35</v>
      </c>
      <c r="CY426" s="2" t="n">
        <v>37.04</v>
      </c>
      <c r="CZ426" s="2" t="n">
        <v>0</v>
      </c>
      <c r="DA426" s="2" t="n">
        <v>41.27</v>
      </c>
      <c r="DB426" s="2" t="n">
        <v>43.54</v>
      </c>
      <c r="DC426" s="2" t="n">
        <v>0</v>
      </c>
      <c r="DD426" s="2" t="n">
        <v>54.32</v>
      </c>
      <c r="DE426" s="2" t="n">
        <v>56.56</v>
      </c>
      <c r="DF426" s="2" t="n">
        <v>0</v>
      </c>
      <c r="DG426" s="2" t="n">
        <v>63.54</v>
      </c>
      <c r="DH426" s="2" t="n">
        <v>65.38</v>
      </c>
      <c r="DI426" s="2" t="n">
        <v>0</v>
      </c>
      <c r="DJ426" s="2" t="n">
        <v>72.54000000000001</v>
      </c>
      <c r="DK426" s="2" t="n">
        <v>81.36</v>
      </c>
      <c r="DL426" s="2" t="n">
        <v>0</v>
      </c>
      <c r="DM426" s="2" t="n">
        <v>86.23999999999999</v>
      </c>
      <c r="DN426" s="2" t="n">
        <v>94.76000000000001</v>
      </c>
      <c r="DO426" s="2" t="n">
        <v>0</v>
      </c>
      <c r="DP426" s="2" t="n">
        <v>97.45999999999999</v>
      </c>
      <c r="DQ426" s="2" t="n">
        <v>97.62</v>
      </c>
      <c r="DR426" s="2" t="n">
        <v>0</v>
      </c>
      <c r="DS426" s="2" t="n">
        <v>98.41</v>
      </c>
      <c r="DT426" s="2" t="n">
        <v>99.73999999999999</v>
      </c>
      <c r="DU426" s="2" t="n">
        <v>0</v>
      </c>
      <c r="DV426" s="2" t="n">
        <v>100</v>
      </c>
      <c r="DW426" s="2" t="n">
        <v>100</v>
      </c>
      <c r="DX426" s="2" t="n">
        <v>0</v>
      </c>
      <c r="DY426" s="2" t="n">
        <v>100</v>
      </c>
      <c r="DZ426" s="2" t="n">
        <v>100</v>
      </c>
      <c r="EA426" s="2" t="n">
        <v>0</v>
      </c>
      <c r="EB426" s="2" t="n">
        <v>100</v>
      </c>
      <c r="EC426" s="2" t="n">
        <v>100</v>
      </c>
      <c r="ED426" s="2" t="n">
        <v>0</v>
      </c>
      <c r="EE426" s="2" t="n">
        <v>100</v>
      </c>
      <c r="EF426" s="2" t="n">
        <v>100</v>
      </c>
      <c r="EG426" s="2" t="n">
        <v>0</v>
      </c>
      <c r="EH426" s="2" t="n">
        <v>100</v>
      </c>
      <c r="EI426" s="2" t="n">
        <v>100</v>
      </c>
      <c r="EJ426" s="2" t="n">
        <v>0</v>
      </c>
      <c r="EK426" s="2" t="n">
        <v>100</v>
      </c>
      <c r="EL426" s="2" t="n">
        <v>100</v>
      </c>
      <c r="EM426" s="2" t="n">
        <v>0</v>
      </c>
      <c r="EN426" s="2" t="n">
        <v>100</v>
      </c>
      <c r="EO426" s="2" t="n">
        <v>100</v>
      </c>
      <c r="EP426" s="2" t="n">
        <v>0</v>
      </c>
      <c r="EQ426" s="2" t="n">
        <v>100</v>
      </c>
      <c r="ER426" s="2" t="n">
        <v>100</v>
      </c>
      <c r="ES426" s="2" t="n">
        <v>0</v>
      </c>
    </row>
    <row r="427">
      <c r="A427" s="2" t="n">
        <v>3</v>
      </c>
      <c r="B427" s="2" t="inlineStr">
        <is>
          <t>19.04.01</t>
        </is>
      </c>
      <c r="C427" s="2" t="inlineStr">
        <is>
          <t>Camada de regularização com argamassa de cimento e areia</t>
        </is>
      </c>
      <c r="D427" s="2" t="inlineStr">
        <is>
          <t>11/08/2027</t>
        </is>
      </c>
      <c r="E427" s="2" t="inlineStr">
        <is>
          <t>01/09/2028</t>
        </is>
      </c>
      <c r="F427" s="2" t="n">
        <v>52116.89000078126</v>
      </c>
      <c r="G427" s="2" t="n">
        <v>0</v>
      </c>
      <c r="H427" s="2" t="n">
        <v>52116.89000078126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0</v>
      </c>
      <c r="AM427" s="2" t="n">
        <v>0</v>
      </c>
      <c r="AN427" s="2" t="n">
        <v>0</v>
      </c>
      <c r="AO427" s="2" t="n">
        <v>0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n">
        <v>0</v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n">
        <v>0</v>
      </c>
      <c r="BI427" s="2" t="n">
        <v>0</v>
      </c>
      <c r="BJ427" s="2" t="n">
        <v>0</v>
      </c>
      <c r="BK427" s="2" t="n">
        <v>0</v>
      </c>
      <c r="BL427" s="2" t="n">
        <v>0</v>
      </c>
      <c r="BM427" s="2" t="n">
        <v>0</v>
      </c>
      <c r="BN427" s="2" t="n">
        <v>0</v>
      </c>
      <c r="BO427" s="2" t="n">
        <v>0</v>
      </c>
      <c r="BP427" s="2" t="n">
        <v>0</v>
      </c>
      <c r="BQ427" s="2" t="n">
        <v>0</v>
      </c>
      <c r="BR427" s="2" t="n">
        <v>0</v>
      </c>
      <c r="BS427" s="2" t="n">
        <v>0</v>
      </c>
      <c r="BT427" s="2" t="n">
        <v>0</v>
      </c>
      <c r="BU427" s="2" t="n">
        <v>0</v>
      </c>
      <c r="BV427" s="2" t="n">
        <v>0</v>
      </c>
      <c r="BW427" s="2" t="n">
        <v>0</v>
      </c>
      <c r="BX427" s="2" t="n">
        <v>0</v>
      </c>
      <c r="BY427" s="2" t="n">
        <v>0</v>
      </c>
      <c r="BZ427" s="2" t="n">
        <v>0</v>
      </c>
      <c r="CA427" s="2" t="n">
        <v>0</v>
      </c>
      <c r="CB427" s="2" t="n">
        <v>0</v>
      </c>
      <c r="CC427" s="2" t="n">
        <v>0</v>
      </c>
      <c r="CD427" s="2" t="n">
        <v>0</v>
      </c>
      <c r="CE427" s="2" t="n">
        <v>0</v>
      </c>
      <c r="CF427" s="2" t="n">
        <v>0</v>
      </c>
      <c r="CG427" s="2" t="n">
        <v>0</v>
      </c>
      <c r="CH427" s="2" t="n">
        <v>0</v>
      </c>
      <c r="CI427" s="2" t="n">
        <v>2.65</v>
      </c>
      <c r="CJ427" s="2" t="n">
        <v>3.97</v>
      </c>
      <c r="CK427" s="2" t="n">
        <v>0</v>
      </c>
      <c r="CL427" s="2" t="n">
        <v>8.199999999999999</v>
      </c>
      <c r="CM427" s="2" t="n">
        <v>9.52</v>
      </c>
      <c r="CN427" s="2" t="n">
        <v>0</v>
      </c>
      <c r="CO427" s="2" t="n">
        <v>13.49</v>
      </c>
      <c r="CP427" s="2" t="n">
        <v>17.2</v>
      </c>
      <c r="CQ427" s="2" t="n">
        <v>0</v>
      </c>
      <c r="CR427" s="2" t="n">
        <v>23.54</v>
      </c>
      <c r="CS427" s="2" t="n">
        <v>24.87</v>
      </c>
      <c r="CT427" s="2" t="n">
        <v>0</v>
      </c>
      <c r="CU427" s="2" t="n">
        <v>27.78</v>
      </c>
      <c r="CV427" s="2" t="n">
        <v>30.53</v>
      </c>
      <c r="CW427" s="2" t="n">
        <v>0</v>
      </c>
      <c r="CX427" s="2" t="n">
        <v>35</v>
      </c>
      <c r="CY427" s="2" t="n">
        <v>37.04</v>
      </c>
      <c r="CZ427" s="2" t="n">
        <v>0</v>
      </c>
      <c r="DA427" s="2" t="n">
        <v>41.27</v>
      </c>
      <c r="DB427" s="2" t="n">
        <v>43.54</v>
      </c>
      <c r="DC427" s="2" t="n">
        <v>0</v>
      </c>
      <c r="DD427" s="2" t="n">
        <v>54.32</v>
      </c>
      <c r="DE427" s="2" t="n">
        <v>56.56</v>
      </c>
      <c r="DF427" s="2" t="n">
        <v>0</v>
      </c>
      <c r="DG427" s="2" t="n">
        <v>63.54</v>
      </c>
      <c r="DH427" s="2" t="n">
        <v>65.38</v>
      </c>
      <c r="DI427" s="2" t="n">
        <v>0</v>
      </c>
      <c r="DJ427" s="2" t="n">
        <v>72.54000000000001</v>
      </c>
      <c r="DK427" s="2" t="n">
        <v>81.36</v>
      </c>
      <c r="DL427" s="2" t="n">
        <v>0</v>
      </c>
      <c r="DM427" s="2" t="n">
        <v>86.23999999999999</v>
      </c>
      <c r="DN427" s="2" t="n">
        <v>94.76000000000001</v>
      </c>
      <c r="DO427" s="2" t="n">
        <v>0</v>
      </c>
      <c r="DP427" s="2" t="n">
        <v>97.45999999999999</v>
      </c>
      <c r="DQ427" s="2" t="n">
        <v>97.62</v>
      </c>
      <c r="DR427" s="2" t="n">
        <v>0</v>
      </c>
      <c r="DS427" s="2" t="n">
        <v>98.41</v>
      </c>
      <c r="DT427" s="2" t="n">
        <v>99.73999999999999</v>
      </c>
      <c r="DU427" s="2" t="n">
        <v>0</v>
      </c>
      <c r="DV427" s="2" t="n">
        <v>100</v>
      </c>
      <c r="DW427" s="2" t="n">
        <v>100</v>
      </c>
      <c r="DX427" s="2" t="n">
        <v>0</v>
      </c>
      <c r="DY427" s="2" t="n">
        <v>100</v>
      </c>
      <c r="DZ427" s="2" t="n">
        <v>100</v>
      </c>
      <c r="EA427" s="2" t="n">
        <v>0</v>
      </c>
      <c r="EB427" s="2" t="n">
        <v>100</v>
      </c>
      <c r="EC427" s="2" t="n">
        <v>100</v>
      </c>
      <c r="ED427" s="2" t="n">
        <v>0</v>
      </c>
      <c r="EE427" s="2" t="n">
        <v>100</v>
      </c>
      <c r="EF427" s="2" t="n">
        <v>100</v>
      </c>
      <c r="EG427" s="2" t="n">
        <v>0</v>
      </c>
      <c r="EH427" s="2" t="n">
        <v>100</v>
      </c>
      <c r="EI427" s="2" t="n">
        <v>100</v>
      </c>
      <c r="EJ427" s="2" t="n">
        <v>0</v>
      </c>
      <c r="EK427" s="2" t="n">
        <v>100</v>
      </c>
      <c r="EL427" s="2" t="n">
        <v>100</v>
      </c>
      <c r="EM427" s="2" t="n">
        <v>0</v>
      </c>
      <c r="EN427" s="2" t="n">
        <v>100</v>
      </c>
      <c r="EO427" s="2" t="n">
        <v>100</v>
      </c>
      <c r="EP427" s="2" t="n">
        <v>0</v>
      </c>
      <c r="EQ427" s="2" t="n">
        <v>100</v>
      </c>
      <c r="ER427" s="2" t="n">
        <v>100</v>
      </c>
      <c r="ES427" s="2" t="n">
        <v>0</v>
      </c>
    </row>
    <row r="428">
      <c r="A428" s="2" t="n">
        <v>3</v>
      </c>
      <c r="B428" s="2" t="inlineStr">
        <is>
          <t>19.04.02</t>
        </is>
      </c>
      <c r="C428" s="2" t="inlineStr">
        <is>
          <t>Proteção mecânica armada com tela galvanizada, fio 22, malha 1</t>
        </is>
      </c>
      <c r="D428" s="2" t="inlineStr">
        <is>
          <t>11/08/2027</t>
        </is>
      </c>
      <c r="E428" s="2" t="inlineStr">
        <is>
          <t>01/09/2028</t>
        </is>
      </c>
      <c r="F428" s="2" t="n">
        <v>87942.96217071329</v>
      </c>
      <c r="G428" s="2" t="n">
        <v>0</v>
      </c>
      <c r="H428" s="2" t="n">
        <v>87942.96217071329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0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n">
        <v>0</v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0</v>
      </c>
      <c r="BF428" s="2" t="n">
        <v>0</v>
      </c>
      <c r="BG428" s="2" t="n">
        <v>0</v>
      </c>
      <c r="BH428" s="2" t="n">
        <v>0</v>
      </c>
      <c r="BI428" s="2" t="n">
        <v>0</v>
      </c>
      <c r="BJ428" s="2" t="n">
        <v>0</v>
      </c>
      <c r="BK428" s="2" t="n">
        <v>0</v>
      </c>
      <c r="BL428" s="2" t="n">
        <v>0</v>
      </c>
      <c r="BM428" s="2" t="n">
        <v>0</v>
      </c>
      <c r="BN428" s="2" t="n">
        <v>0</v>
      </c>
      <c r="BO428" s="2" t="n">
        <v>0</v>
      </c>
      <c r="BP428" s="2" t="n">
        <v>0</v>
      </c>
      <c r="BQ428" s="2" t="n">
        <v>0</v>
      </c>
      <c r="BR428" s="2" t="n">
        <v>0</v>
      </c>
      <c r="BS428" s="2" t="n">
        <v>0</v>
      </c>
      <c r="BT428" s="2" t="n">
        <v>0</v>
      </c>
      <c r="BU428" s="2" t="n">
        <v>0</v>
      </c>
      <c r="BV428" s="2" t="n">
        <v>0</v>
      </c>
      <c r="BW428" s="2" t="n">
        <v>0</v>
      </c>
      <c r="BX428" s="2" t="n">
        <v>0</v>
      </c>
      <c r="BY428" s="2" t="n">
        <v>0</v>
      </c>
      <c r="BZ428" s="2" t="n">
        <v>0</v>
      </c>
      <c r="CA428" s="2" t="n">
        <v>0</v>
      </c>
      <c r="CB428" s="2" t="n">
        <v>0</v>
      </c>
      <c r="CC428" s="2" t="n">
        <v>0</v>
      </c>
      <c r="CD428" s="2" t="n">
        <v>0</v>
      </c>
      <c r="CE428" s="2" t="n">
        <v>0</v>
      </c>
      <c r="CF428" s="2" t="n">
        <v>0</v>
      </c>
      <c r="CG428" s="2" t="n">
        <v>0</v>
      </c>
      <c r="CH428" s="2" t="n">
        <v>0</v>
      </c>
      <c r="CI428" s="2" t="n">
        <v>2.65</v>
      </c>
      <c r="CJ428" s="2" t="n">
        <v>3.97</v>
      </c>
      <c r="CK428" s="2" t="n">
        <v>0</v>
      </c>
      <c r="CL428" s="2" t="n">
        <v>8.199999999999999</v>
      </c>
      <c r="CM428" s="2" t="n">
        <v>9.52</v>
      </c>
      <c r="CN428" s="2" t="n">
        <v>0</v>
      </c>
      <c r="CO428" s="2" t="n">
        <v>13.49</v>
      </c>
      <c r="CP428" s="2" t="n">
        <v>17.2</v>
      </c>
      <c r="CQ428" s="2" t="n">
        <v>0</v>
      </c>
      <c r="CR428" s="2" t="n">
        <v>23.54</v>
      </c>
      <c r="CS428" s="2" t="n">
        <v>24.87</v>
      </c>
      <c r="CT428" s="2" t="n">
        <v>0</v>
      </c>
      <c r="CU428" s="2" t="n">
        <v>27.78</v>
      </c>
      <c r="CV428" s="2" t="n">
        <v>30.53</v>
      </c>
      <c r="CW428" s="2" t="n">
        <v>0</v>
      </c>
      <c r="CX428" s="2" t="n">
        <v>35</v>
      </c>
      <c r="CY428" s="2" t="n">
        <v>37.04</v>
      </c>
      <c r="CZ428" s="2" t="n">
        <v>0</v>
      </c>
      <c r="DA428" s="2" t="n">
        <v>41.27</v>
      </c>
      <c r="DB428" s="2" t="n">
        <v>43.54</v>
      </c>
      <c r="DC428" s="2" t="n">
        <v>0</v>
      </c>
      <c r="DD428" s="2" t="n">
        <v>54.32</v>
      </c>
      <c r="DE428" s="2" t="n">
        <v>56.56</v>
      </c>
      <c r="DF428" s="2" t="n">
        <v>0</v>
      </c>
      <c r="DG428" s="2" t="n">
        <v>63.54</v>
      </c>
      <c r="DH428" s="2" t="n">
        <v>65.38</v>
      </c>
      <c r="DI428" s="2" t="n">
        <v>0</v>
      </c>
      <c r="DJ428" s="2" t="n">
        <v>72.54000000000001</v>
      </c>
      <c r="DK428" s="2" t="n">
        <v>81.36</v>
      </c>
      <c r="DL428" s="2" t="n">
        <v>0</v>
      </c>
      <c r="DM428" s="2" t="n">
        <v>86.23999999999999</v>
      </c>
      <c r="DN428" s="2" t="n">
        <v>94.76000000000001</v>
      </c>
      <c r="DO428" s="2" t="n">
        <v>0</v>
      </c>
      <c r="DP428" s="2" t="n">
        <v>97.45999999999999</v>
      </c>
      <c r="DQ428" s="2" t="n">
        <v>97.62</v>
      </c>
      <c r="DR428" s="2" t="n">
        <v>0</v>
      </c>
      <c r="DS428" s="2" t="n">
        <v>98.41</v>
      </c>
      <c r="DT428" s="2" t="n">
        <v>99.73999999999999</v>
      </c>
      <c r="DU428" s="2" t="n">
        <v>0</v>
      </c>
      <c r="DV428" s="2" t="n">
        <v>100</v>
      </c>
      <c r="DW428" s="2" t="n">
        <v>100</v>
      </c>
      <c r="DX428" s="2" t="n">
        <v>0</v>
      </c>
      <c r="DY428" s="2" t="n">
        <v>100</v>
      </c>
      <c r="DZ428" s="2" t="n">
        <v>100</v>
      </c>
      <c r="EA428" s="2" t="n">
        <v>0</v>
      </c>
      <c r="EB428" s="2" t="n">
        <v>100</v>
      </c>
      <c r="EC428" s="2" t="n">
        <v>100</v>
      </c>
      <c r="ED428" s="2" t="n">
        <v>0</v>
      </c>
      <c r="EE428" s="2" t="n">
        <v>100</v>
      </c>
      <c r="EF428" s="2" t="n">
        <v>100</v>
      </c>
      <c r="EG428" s="2" t="n">
        <v>0</v>
      </c>
      <c r="EH428" s="2" t="n">
        <v>100</v>
      </c>
      <c r="EI428" s="2" t="n">
        <v>100</v>
      </c>
      <c r="EJ428" s="2" t="n">
        <v>0</v>
      </c>
      <c r="EK428" s="2" t="n">
        <v>100</v>
      </c>
      <c r="EL428" s="2" t="n">
        <v>100</v>
      </c>
      <c r="EM428" s="2" t="n">
        <v>0</v>
      </c>
      <c r="EN428" s="2" t="n">
        <v>100</v>
      </c>
      <c r="EO428" s="2" t="n">
        <v>100</v>
      </c>
      <c r="EP428" s="2" t="n">
        <v>0</v>
      </c>
      <c r="EQ428" s="2" t="n">
        <v>100</v>
      </c>
      <c r="ER428" s="2" t="n">
        <v>100</v>
      </c>
      <c r="ES428" s="2" t="n">
        <v>0</v>
      </c>
    </row>
    <row r="429">
      <c r="A429" s="2" t="n">
        <v>3</v>
      </c>
      <c r="B429" s="2" t="inlineStr">
        <is>
          <t>19.04.03</t>
        </is>
      </c>
      <c r="C429" s="2" t="inlineStr">
        <is>
          <t>Camada de transição geotêxtil 200g/m2</t>
        </is>
      </c>
      <c r="D429" s="2" t="inlineStr">
        <is>
          <t>11/08/2027</t>
        </is>
      </c>
      <c r="E429" s="2" t="inlineStr">
        <is>
          <t>01/09/2028</t>
        </is>
      </c>
      <c r="F429" s="2" t="n">
        <v>9481.336500000001</v>
      </c>
      <c r="G429" s="2" t="n">
        <v>0</v>
      </c>
      <c r="H429" s="2" t="n">
        <v>9481.336500000001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</v>
      </c>
      <c r="AO429" s="2" t="n">
        <v>0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n">
        <v>0</v>
      </c>
      <c r="AZ429" s="2" t="n">
        <v>0</v>
      </c>
      <c r="BA429" s="2" t="n">
        <v>0</v>
      </c>
      <c r="BB429" s="2" t="n">
        <v>0</v>
      </c>
      <c r="BC429" s="2" t="n">
        <v>0</v>
      </c>
      <c r="BD429" s="2" t="n">
        <v>0</v>
      </c>
      <c r="BE429" s="2" t="n">
        <v>0</v>
      </c>
      <c r="BF429" s="2" t="n">
        <v>0</v>
      </c>
      <c r="BG429" s="2" t="n">
        <v>0</v>
      </c>
      <c r="BH429" s="2" t="n">
        <v>0</v>
      </c>
      <c r="BI429" s="2" t="n">
        <v>0</v>
      </c>
      <c r="BJ429" s="2" t="n">
        <v>0</v>
      </c>
      <c r="BK429" s="2" t="n">
        <v>0</v>
      </c>
      <c r="BL429" s="2" t="n">
        <v>0</v>
      </c>
      <c r="BM429" s="2" t="n">
        <v>0</v>
      </c>
      <c r="BN429" s="2" t="n">
        <v>0</v>
      </c>
      <c r="BO429" s="2" t="n">
        <v>0</v>
      </c>
      <c r="BP429" s="2" t="n">
        <v>0</v>
      </c>
      <c r="BQ429" s="2" t="n">
        <v>0</v>
      </c>
      <c r="BR429" s="2" t="n">
        <v>0</v>
      </c>
      <c r="BS429" s="2" t="n">
        <v>0</v>
      </c>
      <c r="BT429" s="2" t="n">
        <v>0</v>
      </c>
      <c r="BU429" s="2" t="n">
        <v>0</v>
      </c>
      <c r="BV429" s="2" t="n">
        <v>0</v>
      </c>
      <c r="BW429" s="2" t="n">
        <v>0</v>
      </c>
      <c r="BX429" s="2" t="n">
        <v>0</v>
      </c>
      <c r="BY429" s="2" t="n">
        <v>0</v>
      </c>
      <c r="BZ429" s="2" t="n">
        <v>0</v>
      </c>
      <c r="CA429" s="2" t="n">
        <v>0</v>
      </c>
      <c r="CB429" s="2" t="n">
        <v>0</v>
      </c>
      <c r="CC429" s="2" t="n">
        <v>0</v>
      </c>
      <c r="CD429" s="2" t="n">
        <v>0</v>
      </c>
      <c r="CE429" s="2" t="n">
        <v>0</v>
      </c>
      <c r="CF429" s="2" t="n">
        <v>0</v>
      </c>
      <c r="CG429" s="2" t="n">
        <v>0</v>
      </c>
      <c r="CH429" s="2" t="n">
        <v>0</v>
      </c>
      <c r="CI429" s="2" t="n">
        <v>2.65</v>
      </c>
      <c r="CJ429" s="2" t="n">
        <v>3.97</v>
      </c>
      <c r="CK429" s="2" t="n">
        <v>0</v>
      </c>
      <c r="CL429" s="2" t="n">
        <v>8.199999999999999</v>
      </c>
      <c r="CM429" s="2" t="n">
        <v>9.52</v>
      </c>
      <c r="CN429" s="2" t="n">
        <v>0</v>
      </c>
      <c r="CO429" s="2" t="n">
        <v>13.49</v>
      </c>
      <c r="CP429" s="2" t="n">
        <v>17.2</v>
      </c>
      <c r="CQ429" s="2" t="n">
        <v>0</v>
      </c>
      <c r="CR429" s="2" t="n">
        <v>23.54</v>
      </c>
      <c r="CS429" s="2" t="n">
        <v>24.87</v>
      </c>
      <c r="CT429" s="2" t="n">
        <v>0</v>
      </c>
      <c r="CU429" s="2" t="n">
        <v>27.78</v>
      </c>
      <c r="CV429" s="2" t="n">
        <v>30.53</v>
      </c>
      <c r="CW429" s="2" t="n">
        <v>0</v>
      </c>
      <c r="CX429" s="2" t="n">
        <v>35</v>
      </c>
      <c r="CY429" s="2" t="n">
        <v>37.04</v>
      </c>
      <c r="CZ429" s="2" t="n">
        <v>0</v>
      </c>
      <c r="DA429" s="2" t="n">
        <v>41.27</v>
      </c>
      <c r="DB429" s="2" t="n">
        <v>43.54</v>
      </c>
      <c r="DC429" s="2" t="n">
        <v>0</v>
      </c>
      <c r="DD429" s="2" t="n">
        <v>54.32</v>
      </c>
      <c r="DE429" s="2" t="n">
        <v>56.56</v>
      </c>
      <c r="DF429" s="2" t="n">
        <v>0</v>
      </c>
      <c r="DG429" s="2" t="n">
        <v>63.54</v>
      </c>
      <c r="DH429" s="2" t="n">
        <v>65.38</v>
      </c>
      <c r="DI429" s="2" t="n">
        <v>0</v>
      </c>
      <c r="DJ429" s="2" t="n">
        <v>72.54000000000001</v>
      </c>
      <c r="DK429" s="2" t="n">
        <v>81.36</v>
      </c>
      <c r="DL429" s="2" t="n">
        <v>0</v>
      </c>
      <c r="DM429" s="2" t="n">
        <v>86.23999999999999</v>
      </c>
      <c r="DN429" s="2" t="n">
        <v>94.76000000000001</v>
      </c>
      <c r="DO429" s="2" t="n">
        <v>0</v>
      </c>
      <c r="DP429" s="2" t="n">
        <v>97.45999999999999</v>
      </c>
      <c r="DQ429" s="2" t="n">
        <v>97.62</v>
      </c>
      <c r="DR429" s="2" t="n">
        <v>0</v>
      </c>
      <c r="DS429" s="2" t="n">
        <v>98.41</v>
      </c>
      <c r="DT429" s="2" t="n">
        <v>99.73999999999999</v>
      </c>
      <c r="DU429" s="2" t="n">
        <v>0</v>
      </c>
      <c r="DV429" s="2" t="n">
        <v>100</v>
      </c>
      <c r="DW429" s="2" t="n">
        <v>100</v>
      </c>
      <c r="DX429" s="2" t="n">
        <v>0</v>
      </c>
      <c r="DY429" s="2" t="n">
        <v>100</v>
      </c>
      <c r="DZ429" s="2" t="n">
        <v>100</v>
      </c>
      <c r="EA429" s="2" t="n">
        <v>0</v>
      </c>
      <c r="EB429" s="2" t="n">
        <v>100</v>
      </c>
      <c r="EC429" s="2" t="n">
        <v>100</v>
      </c>
      <c r="ED429" s="2" t="n">
        <v>0</v>
      </c>
      <c r="EE429" s="2" t="n">
        <v>100</v>
      </c>
      <c r="EF429" s="2" t="n">
        <v>100</v>
      </c>
      <c r="EG429" s="2" t="n">
        <v>0</v>
      </c>
      <c r="EH429" s="2" t="n">
        <v>100</v>
      </c>
      <c r="EI429" s="2" t="n">
        <v>100</v>
      </c>
      <c r="EJ429" s="2" t="n">
        <v>0</v>
      </c>
      <c r="EK429" s="2" t="n">
        <v>100</v>
      </c>
      <c r="EL429" s="2" t="n">
        <v>100</v>
      </c>
      <c r="EM429" s="2" t="n">
        <v>0</v>
      </c>
      <c r="EN429" s="2" t="n">
        <v>100</v>
      </c>
      <c r="EO429" s="2" t="n">
        <v>100</v>
      </c>
      <c r="EP429" s="2" t="n">
        <v>0</v>
      </c>
      <c r="EQ429" s="2" t="n">
        <v>100</v>
      </c>
      <c r="ER429" s="2" t="n">
        <v>100</v>
      </c>
      <c r="ES429" s="2" t="n">
        <v>0</v>
      </c>
    </row>
    <row r="430">
      <c r="A430" s="2" t="n">
        <v>3</v>
      </c>
      <c r="B430" s="2" t="inlineStr">
        <is>
          <t>19.04.04</t>
        </is>
      </c>
      <c r="C430" s="2" t="inlineStr">
        <is>
          <t>Proteção térmica com placas de XPS (Poliestireno extrudado) coladas com 5 pontos de Ø15cm de asfalto nas bordas e no centro proteção com 2 placas de 2cm cada</t>
        </is>
      </c>
      <c r="D430" s="2" t="inlineStr">
        <is>
          <t>11/08/2027</t>
        </is>
      </c>
      <c r="E430" s="2" t="inlineStr">
        <is>
          <t>01/09/2028</t>
        </is>
      </c>
      <c r="F430" s="2" t="n">
        <v>53276.97</v>
      </c>
      <c r="G430" s="2" t="n">
        <v>0</v>
      </c>
      <c r="H430" s="2" t="n">
        <v>53276.97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0</v>
      </c>
      <c r="AN430" s="2" t="n">
        <v>0</v>
      </c>
      <c r="AO430" s="2" t="n">
        <v>0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n">
        <v>0</v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n">
        <v>0</v>
      </c>
      <c r="BI430" s="2" t="n">
        <v>0</v>
      </c>
      <c r="BJ430" s="2" t="n">
        <v>0</v>
      </c>
      <c r="BK430" s="2" t="n">
        <v>0</v>
      </c>
      <c r="BL430" s="2" t="n">
        <v>0</v>
      </c>
      <c r="BM430" s="2" t="n">
        <v>0</v>
      </c>
      <c r="BN430" s="2" t="n">
        <v>0</v>
      </c>
      <c r="BO430" s="2" t="n">
        <v>0</v>
      </c>
      <c r="BP430" s="2" t="n">
        <v>0</v>
      </c>
      <c r="BQ430" s="2" t="n">
        <v>0</v>
      </c>
      <c r="BR430" s="2" t="n">
        <v>0</v>
      </c>
      <c r="BS430" s="2" t="n">
        <v>0</v>
      </c>
      <c r="BT430" s="2" t="n">
        <v>0</v>
      </c>
      <c r="BU430" s="2" t="n">
        <v>0</v>
      </c>
      <c r="BV430" s="2" t="n">
        <v>0</v>
      </c>
      <c r="BW430" s="2" t="n">
        <v>0</v>
      </c>
      <c r="BX430" s="2" t="n">
        <v>0</v>
      </c>
      <c r="BY430" s="2" t="n">
        <v>0</v>
      </c>
      <c r="BZ430" s="2" t="n">
        <v>0</v>
      </c>
      <c r="CA430" s="2" t="n">
        <v>0</v>
      </c>
      <c r="CB430" s="2" t="n">
        <v>0</v>
      </c>
      <c r="CC430" s="2" t="n">
        <v>0</v>
      </c>
      <c r="CD430" s="2" t="n">
        <v>0</v>
      </c>
      <c r="CE430" s="2" t="n">
        <v>0</v>
      </c>
      <c r="CF430" s="2" t="n">
        <v>0</v>
      </c>
      <c r="CG430" s="2" t="n">
        <v>0</v>
      </c>
      <c r="CH430" s="2" t="n">
        <v>0</v>
      </c>
      <c r="CI430" s="2" t="n">
        <v>2.65</v>
      </c>
      <c r="CJ430" s="2" t="n">
        <v>3.97</v>
      </c>
      <c r="CK430" s="2" t="n">
        <v>0</v>
      </c>
      <c r="CL430" s="2" t="n">
        <v>8.199999999999999</v>
      </c>
      <c r="CM430" s="2" t="n">
        <v>9.52</v>
      </c>
      <c r="CN430" s="2" t="n">
        <v>0</v>
      </c>
      <c r="CO430" s="2" t="n">
        <v>13.49</v>
      </c>
      <c r="CP430" s="2" t="n">
        <v>17.2</v>
      </c>
      <c r="CQ430" s="2" t="n">
        <v>0</v>
      </c>
      <c r="CR430" s="2" t="n">
        <v>23.54</v>
      </c>
      <c r="CS430" s="2" t="n">
        <v>24.87</v>
      </c>
      <c r="CT430" s="2" t="n">
        <v>0</v>
      </c>
      <c r="CU430" s="2" t="n">
        <v>27.78</v>
      </c>
      <c r="CV430" s="2" t="n">
        <v>30.53</v>
      </c>
      <c r="CW430" s="2" t="n">
        <v>0</v>
      </c>
      <c r="CX430" s="2" t="n">
        <v>35</v>
      </c>
      <c r="CY430" s="2" t="n">
        <v>37.04</v>
      </c>
      <c r="CZ430" s="2" t="n">
        <v>0</v>
      </c>
      <c r="DA430" s="2" t="n">
        <v>41.27</v>
      </c>
      <c r="DB430" s="2" t="n">
        <v>43.54</v>
      </c>
      <c r="DC430" s="2" t="n">
        <v>0</v>
      </c>
      <c r="DD430" s="2" t="n">
        <v>54.32</v>
      </c>
      <c r="DE430" s="2" t="n">
        <v>56.56</v>
      </c>
      <c r="DF430" s="2" t="n">
        <v>0</v>
      </c>
      <c r="DG430" s="2" t="n">
        <v>63.54</v>
      </c>
      <c r="DH430" s="2" t="n">
        <v>65.38</v>
      </c>
      <c r="DI430" s="2" t="n">
        <v>0</v>
      </c>
      <c r="DJ430" s="2" t="n">
        <v>72.54000000000001</v>
      </c>
      <c r="DK430" s="2" t="n">
        <v>81.36</v>
      </c>
      <c r="DL430" s="2" t="n">
        <v>0</v>
      </c>
      <c r="DM430" s="2" t="n">
        <v>86.23999999999999</v>
      </c>
      <c r="DN430" s="2" t="n">
        <v>94.76000000000001</v>
      </c>
      <c r="DO430" s="2" t="n">
        <v>0</v>
      </c>
      <c r="DP430" s="2" t="n">
        <v>97.45999999999999</v>
      </c>
      <c r="DQ430" s="2" t="n">
        <v>97.62</v>
      </c>
      <c r="DR430" s="2" t="n">
        <v>0</v>
      </c>
      <c r="DS430" s="2" t="n">
        <v>98.41</v>
      </c>
      <c r="DT430" s="2" t="n">
        <v>99.73999999999999</v>
      </c>
      <c r="DU430" s="2" t="n">
        <v>0</v>
      </c>
      <c r="DV430" s="2" t="n">
        <v>100</v>
      </c>
      <c r="DW430" s="2" t="n">
        <v>100</v>
      </c>
      <c r="DX430" s="2" t="n">
        <v>0</v>
      </c>
      <c r="DY430" s="2" t="n">
        <v>100</v>
      </c>
      <c r="DZ430" s="2" t="n">
        <v>100</v>
      </c>
      <c r="EA430" s="2" t="n">
        <v>0</v>
      </c>
      <c r="EB430" s="2" t="n">
        <v>100</v>
      </c>
      <c r="EC430" s="2" t="n">
        <v>100</v>
      </c>
      <c r="ED430" s="2" t="n">
        <v>0</v>
      </c>
      <c r="EE430" s="2" t="n">
        <v>100</v>
      </c>
      <c r="EF430" s="2" t="n">
        <v>100</v>
      </c>
      <c r="EG430" s="2" t="n">
        <v>0</v>
      </c>
      <c r="EH430" s="2" t="n">
        <v>100</v>
      </c>
      <c r="EI430" s="2" t="n">
        <v>100</v>
      </c>
      <c r="EJ430" s="2" t="n">
        <v>0</v>
      </c>
      <c r="EK430" s="2" t="n">
        <v>100</v>
      </c>
      <c r="EL430" s="2" t="n">
        <v>100</v>
      </c>
      <c r="EM430" s="2" t="n">
        <v>0</v>
      </c>
      <c r="EN430" s="2" t="n">
        <v>100</v>
      </c>
      <c r="EO430" s="2" t="n">
        <v>100</v>
      </c>
      <c r="EP430" s="2" t="n">
        <v>0</v>
      </c>
      <c r="EQ430" s="2" t="n">
        <v>100</v>
      </c>
      <c r="ER430" s="2" t="n">
        <v>100</v>
      </c>
      <c r="ES430" s="2" t="n">
        <v>0</v>
      </c>
    </row>
    <row r="431">
      <c r="A431" s="2" t="n">
        <v>3</v>
      </c>
      <c r="B431" s="2" t="inlineStr">
        <is>
          <t>19.04.05</t>
        </is>
      </c>
      <c r="C431" s="2" t="inlineStr">
        <is>
          <t>Junta perimetral preenchida com mastique de poliuretano</t>
        </is>
      </c>
      <c r="D431" s="2" t="inlineStr">
        <is>
          <t>11/08/2027</t>
        </is>
      </c>
      <c r="E431" s="2" t="inlineStr">
        <is>
          <t>01/09/2028</t>
        </is>
      </c>
      <c r="F431" s="2" t="n">
        <v>10298.80526954799</v>
      </c>
      <c r="G431" s="2" t="n">
        <v>0</v>
      </c>
      <c r="H431" s="2" t="n">
        <v>10298.80526954799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n">
        <v>0</v>
      </c>
      <c r="AO431" s="2" t="n">
        <v>0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n">
        <v>0</v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n">
        <v>0</v>
      </c>
      <c r="BI431" s="2" t="n">
        <v>0</v>
      </c>
      <c r="BJ431" s="2" t="n">
        <v>0</v>
      </c>
      <c r="BK431" s="2" t="n">
        <v>0</v>
      </c>
      <c r="BL431" s="2" t="n">
        <v>0</v>
      </c>
      <c r="BM431" s="2" t="n">
        <v>0</v>
      </c>
      <c r="BN431" s="2" t="n">
        <v>0</v>
      </c>
      <c r="BO431" s="2" t="n">
        <v>0</v>
      </c>
      <c r="BP431" s="2" t="n">
        <v>0</v>
      </c>
      <c r="BQ431" s="2" t="n">
        <v>0</v>
      </c>
      <c r="BR431" s="2" t="n">
        <v>0</v>
      </c>
      <c r="BS431" s="2" t="n">
        <v>0</v>
      </c>
      <c r="BT431" s="2" t="n">
        <v>0</v>
      </c>
      <c r="BU431" s="2" t="n">
        <v>0</v>
      </c>
      <c r="BV431" s="2" t="n">
        <v>0</v>
      </c>
      <c r="BW431" s="2" t="n">
        <v>0</v>
      </c>
      <c r="BX431" s="2" t="n">
        <v>0</v>
      </c>
      <c r="BY431" s="2" t="n">
        <v>0</v>
      </c>
      <c r="BZ431" s="2" t="n">
        <v>0</v>
      </c>
      <c r="CA431" s="2" t="n">
        <v>0</v>
      </c>
      <c r="CB431" s="2" t="n">
        <v>0</v>
      </c>
      <c r="CC431" s="2" t="n">
        <v>0</v>
      </c>
      <c r="CD431" s="2" t="n">
        <v>0</v>
      </c>
      <c r="CE431" s="2" t="n">
        <v>0</v>
      </c>
      <c r="CF431" s="2" t="n">
        <v>0</v>
      </c>
      <c r="CG431" s="2" t="n">
        <v>0</v>
      </c>
      <c r="CH431" s="2" t="n">
        <v>0</v>
      </c>
      <c r="CI431" s="2" t="n">
        <v>2.65</v>
      </c>
      <c r="CJ431" s="2" t="n">
        <v>3.97</v>
      </c>
      <c r="CK431" s="2" t="n">
        <v>0</v>
      </c>
      <c r="CL431" s="2" t="n">
        <v>8.199999999999999</v>
      </c>
      <c r="CM431" s="2" t="n">
        <v>9.52</v>
      </c>
      <c r="CN431" s="2" t="n">
        <v>0</v>
      </c>
      <c r="CO431" s="2" t="n">
        <v>13.49</v>
      </c>
      <c r="CP431" s="2" t="n">
        <v>17.2</v>
      </c>
      <c r="CQ431" s="2" t="n">
        <v>0</v>
      </c>
      <c r="CR431" s="2" t="n">
        <v>23.54</v>
      </c>
      <c r="CS431" s="2" t="n">
        <v>24.87</v>
      </c>
      <c r="CT431" s="2" t="n">
        <v>0</v>
      </c>
      <c r="CU431" s="2" t="n">
        <v>27.78</v>
      </c>
      <c r="CV431" s="2" t="n">
        <v>30.53</v>
      </c>
      <c r="CW431" s="2" t="n">
        <v>0</v>
      </c>
      <c r="CX431" s="2" t="n">
        <v>35</v>
      </c>
      <c r="CY431" s="2" t="n">
        <v>37.04</v>
      </c>
      <c r="CZ431" s="2" t="n">
        <v>0</v>
      </c>
      <c r="DA431" s="2" t="n">
        <v>41.27</v>
      </c>
      <c r="DB431" s="2" t="n">
        <v>43.54</v>
      </c>
      <c r="DC431" s="2" t="n">
        <v>0</v>
      </c>
      <c r="DD431" s="2" t="n">
        <v>54.32</v>
      </c>
      <c r="DE431" s="2" t="n">
        <v>56.56</v>
      </c>
      <c r="DF431" s="2" t="n">
        <v>0</v>
      </c>
      <c r="DG431" s="2" t="n">
        <v>63.54</v>
      </c>
      <c r="DH431" s="2" t="n">
        <v>65.38</v>
      </c>
      <c r="DI431" s="2" t="n">
        <v>0</v>
      </c>
      <c r="DJ431" s="2" t="n">
        <v>72.54000000000001</v>
      </c>
      <c r="DK431" s="2" t="n">
        <v>81.36</v>
      </c>
      <c r="DL431" s="2" t="n">
        <v>0</v>
      </c>
      <c r="DM431" s="2" t="n">
        <v>86.23999999999999</v>
      </c>
      <c r="DN431" s="2" t="n">
        <v>94.76000000000001</v>
      </c>
      <c r="DO431" s="2" t="n">
        <v>0</v>
      </c>
      <c r="DP431" s="2" t="n">
        <v>97.45999999999999</v>
      </c>
      <c r="DQ431" s="2" t="n">
        <v>97.62</v>
      </c>
      <c r="DR431" s="2" t="n">
        <v>0</v>
      </c>
      <c r="DS431" s="2" t="n">
        <v>98.41</v>
      </c>
      <c r="DT431" s="2" t="n">
        <v>99.73999999999999</v>
      </c>
      <c r="DU431" s="2" t="n">
        <v>0</v>
      </c>
      <c r="DV431" s="2" t="n">
        <v>100</v>
      </c>
      <c r="DW431" s="2" t="n">
        <v>100</v>
      </c>
      <c r="DX431" s="2" t="n">
        <v>0</v>
      </c>
      <c r="DY431" s="2" t="n">
        <v>100</v>
      </c>
      <c r="DZ431" s="2" t="n">
        <v>100</v>
      </c>
      <c r="EA431" s="2" t="n">
        <v>0</v>
      </c>
      <c r="EB431" s="2" t="n">
        <v>100</v>
      </c>
      <c r="EC431" s="2" t="n">
        <v>100</v>
      </c>
      <c r="ED431" s="2" t="n">
        <v>0</v>
      </c>
      <c r="EE431" s="2" t="n">
        <v>100</v>
      </c>
      <c r="EF431" s="2" t="n">
        <v>100</v>
      </c>
      <c r="EG431" s="2" t="n">
        <v>0</v>
      </c>
      <c r="EH431" s="2" t="n">
        <v>100</v>
      </c>
      <c r="EI431" s="2" t="n">
        <v>100</v>
      </c>
      <c r="EJ431" s="2" t="n">
        <v>0</v>
      </c>
      <c r="EK431" s="2" t="n">
        <v>100</v>
      </c>
      <c r="EL431" s="2" t="n">
        <v>100</v>
      </c>
      <c r="EM431" s="2" t="n">
        <v>0</v>
      </c>
      <c r="EN431" s="2" t="n">
        <v>100</v>
      </c>
      <c r="EO431" s="2" t="n">
        <v>100</v>
      </c>
      <c r="EP431" s="2" t="n">
        <v>0</v>
      </c>
      <c r="EQ431" s="2" t="n">
        <v>100</v>
      </c>
      <c r="ER431" s="2" t="n">
        <v>100</v>
      </c>
      <c r="ES431" s="2" t="n">
        <v>0</v>
      </c>
    </row>
    <row r="432">
      <c r="A432" s="2" t="n">
        <v>3</v>
      </c>
      <c r="B432" s="2" t="inlineStr">
        <is>
          <t>19.04.06</t>
        </is>
      </c>
      <c r="C432" s="2" t="inlineStr">
        <is>
          <t>Junta serrada em quadros de 1,5m, com 1cm de espessura preenchida com mastique de poliuretano</t>
        </is>
      </c>
      <c r="D432" s="2" t="inlineStr">
        <is>
          <t>11/08/2027</t>
        </is>
      </c>
      <c r="E432" s="2" t="inlineStr">
        <is>
          <t>01/09/2028</t>
        </is>
      </c>
      <c r="F432" s="2" t="n">
        <v>12460</v>
      </c>
      <c r="G432" s="2" t="n">
        <v>0</v>
      </c>
      <c r="H432" s="2" t="n">
        <v>12460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  <c r="AN432" s="2" t="n">
        <v>0</v>
      </c>
      <c r="AO432" s="2" t="n">
        <v>0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n">
        <v>0</v>
      </c>
      <c r="AZ432" s="2" t="n">
        <v>0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0</v>
      </c>
      <c r="BH432" s="2" t="n">
        <v>0</v>
      </c>
      <c r="BI432" s="2" t="n">
        <v>0</v>
      </c>
      <c r="BJ432" s="2" t="n">
        <v>0</v>
      </c>
      <c r="BK432" s="2" t="n">
        <v>0</v>
      </c>
      <c r="BL432" s="2" t="n">
        <v>0</v>
      </c>
      <c r="BM432" s="2" t="n">
        <v>0</v>
      </c>
      <c r="BN432" s="2" t="n">
        <v>0</v>
      </c>
      <c r="BO432" s="2" t="n">
        <v>0</v>
      </c>
      <c r="BP432" s="2" t="n">
        <v>0</v>
      </c>
      <c r="BQ432" s="2" t="n">
        <v>0</v>
      </c>
      <c r="BR432" s="2" t="n">
        <v>0</v>
      </c>
      <c r="BS432" s="2" t="n">
        <v>0</v>
      </c>
      <c r="BT432" s="2" t="n">
        <v>0</v>
      </c>
      <c r="BU432" s="2" t="n">
        <v>0</v>
      </c>
      <c r="BV432" s="2" t="n">
        <v>0</v>
      </c>
      <c r="BW432" s="2" t="n">
        <v>0</v>
      </c>
      <c r="BX432" s="2" t="n">
        <v>0</v>
      </c>
      <c r="BY432" s="2" t="n">
        <v>0</v>
      </c>
      <c r="BZ432" s="2" t="n">
        <v>0</v>
      </c>
      <c r="CA432" s="2" t="n">
        <v>0</v>
      </c>
      <c r="CB432" s="2" t="n">
        <v>0</v>
      </c>
      <c r="CC432" s="2" t="n">
        <v>0</v>
      </c>
      <c r="CD432" s="2" t="n">
        <v>0</v>
      </c>
      <c r="CE432" s="2" t="n">
        <v>0</v>
      </c>
      <c r="CF432" s="2" t="n">
        <v>0</v>
      </c>
      <c r="CG432" s="2" t="n">
        <v>0</v>
      </c>
      <c r="CH432" s="2" t="n">
        <v>0</v>
      </c>
      <c r="CI432" s="2" t="n">
        <v>2.65</v>
      </c>
      <c r="CJ432" s="2" t="n">
        <v>3.97</v>
      </c>
      <c r="CK432" s="2" t="n">
        <v>0</v>
      </c>
      <c r="CL432" s="2" t="n">
        <v>8.199999999999999</v>
      </c>
      <c r="CM432" s="2" t="n">
        <v>9.52</v>
      </c>
      <c r="CN432" s="2" t="n">
        <v>0</v>
      </c>
      <c r="CO432" s="2" t="n">
        <v>13.49</v>
      </c>
      <c r="CP432" s="2" t="n">
        <v>17.2</v>
      </c>
      <c r="CQ432" s="2" t="n">
        <v>0</v>
      </c>
      <c r="CR432" s="2" t="n">
        <v>23.54</v>
      </c>
      <c r="CS432" s="2" t="n">
        <v>24.87</v>
      </c>
      <c r="CT432" s="2" t="n">
        <v>0</v>
      </c>
      <c r="CU432" s="2" t="n">
        <v>27.78</v>
      </c>
      <c r="CV432" s="2" t="n">
        <v>30.53</v>
      </c>
      <c r="CW432" s="2" t="n">
        <v>0</v>
      </c>
      <c r="CX432" s="2" t="n">
        <v>35</v>
      </c>
      <c r="CY432" s="2" t="n">
        <v>37.04</v>
      </c>
      <c r="CZ432" s="2" t="n">
        <v>0</v>
      </c>
      <c r="DA432" s="2" t="n">
        <v>41.27</v>
      </c>
      <c r="DB432" s="2" t="n">
        <v>43.54</v>
      </c>
      <c r="DC432" s="2" t="n">
        <v>0</v>
      </c>
      <c r="DD432" s="2" t="n">
        <v>54.32</v>
      </c>
      <c r="DE432" s="2" t="n">
        <v>56.56</v>
      </c>
      <c r="DF432" s="2" t="n">
        <v>0</v>
      </c>
      <c r="DG432" s="2" t="n">
        <v>63.54</v>
      </c>
      <c r="DH432" s="2" t="n">
        <v>65.38</v>
      </c>
      <c r="DI432" s="2" t="n">
        <v>0</v>
      </c>
      <c r="DJ432" s="2" t="n">
        <v>72.54000000000001</v>
      </c>
      <c r="DK432" s="2" t="n">
        <v>81.36</v>
      </c>
      <c r="DL432" s="2" t="n">
        <v>0</v>
      </c>
      <c r="DM432" s="2" t="n">
        <v>86.23999999999999</v>
      </c>
      <c r="DN432" s="2" t="n">
        <v>94.76000000000001</v>
      </c>
      <c r="DO432" s="2" t="n">
        <v>0</v>
      </c>
      <c r="DP432" s="2" t="n">
        <v>97.45999999999999</v>
      </c>
      <c r="DQ432" s="2" t="n">
        <v>97.62</v>
      </c>
      <c r="DR432" s="2" t="n">
        <v>0</v>
      </c>
      <c r="DS432" s="2" t="n">
        <v>98.41</v>
      </c>
      <c r="DT432" s="2" t="n">
        <v>99.73999999999999</v>
      </c>
      <c r="DU432" s="2" t="n">
        <v>0</v>
      </c>
      <c r="DV432" s="2" t="n">
        <v>100</v>
      </c>
      <c r="DW432" s="2" t="n">
        <v>100</v>
      </c>
      <c r="DX432" s="2" t="n">
        <v>0</v>
      </c>
      <c r="DY432" s="2" t="n">
        <v>100</v>
      </c>
      <c r="DZ432" s="2" t="n">
        <v>100</v>
      </c>
      <c r="EA432" s="2" t="n">
        <v>0</v>
      </c>
      <c r="EB432" s="2" t="n">
        <v>100</v>
      </c>
      <c r="EC432" s="2" t="n">
        <v>100</v>
      </c>
      <c r="ED432" s="2" t="n">
        <v>0</v>
      </c>
      <c r="EE432" s="2" t="n">
        <v>100</v>
      </c>
      <c r="EF432" s="2" t="n">
        <v>100</v>
      </c>
      <c r="EG432" s="2" t="n">
        <v>0</v>
      </c>
      <c r="EH432" s="2" t="n">
        <v>100</v>
      </c>
      <c r="EI432" s="2" t="n">
        <v>100</v>
      </c>
      <c r="EJ432" s="2" t="n">
        <v>0</v>
      </c>
      <c r="EK432" s="2" t="n">
        <v>100</v>
      </c>
      <c r="EL432" s="2" t="n">
        <v>100</v>
      </c>
      <c r="EM432" s="2" t="n">
        <v>0</v>
      </c>
      <c r="EN432" s="2" t="n">
        <v>100</v>
      </c>
      <c r="EO432" s="2" t="n">
        <v>100</v>
      </c>
      <c r="EP432" s="2" t="n">
        <v>0</v>
      </c>
      <c r="EQ432" s="2" t="n">
        <v>100</v>
      </c>
      <c r="ER432" s="2" t="n">
        <v>100</v>
      </c>
      <c r="ES432" s="2" t="n">
        <v>0</v>
      </c>
    </row>
    <row r="433">
      <c r="A433" s="2" t="n">
        <v>3</v>
      </c>
      <c r="B433" s="2" t="inlineStr">
        <is>
          <t>19.04.07</t>
        </is>
      </c>
      <c r="C433" s="2" t="inlineStr">
        <is>
          <t>LPI</t>
        </is>
      </c>
      <c r="D433" s="2" t="inlineStr">
        <is>
          <t>11/08/2027</t>
        </is>
      </c>
      <c r="E433" s="2" t="inlineStr">
        <is>
          <t>01/09/2028</t>
        </is>
      </c>
      <c r="F433" s="2" t="n">
        <v>97685.24062499999</v>
      </c>
      <c r="G433" s="2" t="n">
        <v>0</v>
      </c>
      <c r="H433" s="2" t="n">
        <v>97685.24062499999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0</v>
      </c>
      <c r="AM433" s="2" t="n">
        <v>0</v>
      </c>
      <c r="AN433" s="2" t="n">
        <v>0</v>
      </c>
      <c r="AO433" s="2" t="n">
        <v>0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n">
        <v>0</v>
      </c>
      <c r="AZ433" s="2" t="n">
        <v>0</v>
      </c>
      <c r="BA433" s="2" t="n">
        <v>0</v>
      </c>
      <c r="BB433" s="2" t="n">
        <v>0</v>
      </c>
      <c r="BC433" s="2" t="n">
        <v>0</v>
      </c>
      <c r="BD433" s="2" t="n">
        <v>0</v>
      </c>
      <c r="BE433" s="2" t="n">
        <v>0</v>
      </c>
      <c r="BF433" s="2" t="n">
        <v>0</v>
      </c>
      <c r="BG433" s="2" t="n">
        <v>0</v>
      </c>
      <c r="BH433" s="2" t="n">
        <v>0</v>
      </c>
      <c r="BI433" s="2" t="n">
        <v>0</v>
      </c>
      <c r="BJ433" s="2" t="n">
        <v>0</v>
      </c>
      <c r="BK433" s="2" t="n">
        <v>0</v>
      </c>
      <c r="BL433" s="2" t="n">
        <v>0</v>
      </c>
      <c r="BM433" s="2" t="n">
        <v>0</v>
      </c>
      <c r="BN433" s="2" t="n">
        <v>0</v>
      </c>
      <c r="BO433" s="2" t="n">
        <v>0</v>
      </c>
      <c r="BP433" s="2" t="n">
        <v>0</v>
      </c>
      <c r="BQ433" s="2" t="n">
        <v>0</v>
      </c>
      <c r="BR433" s="2" t="n">
        <v>0</v>
      </c>
      <c r="BS433" s="2" t="n">
        <v>0</v>
      </c>
      <c r="BT433" s="2" t="n">
        <v>0</v>
      </c>
      <c r="BU433" s="2" t="n">
        <v>0</v>
      </c>
      <c r="BV433" s="2" t="n">
        <v>0</v>
      </c>
      <c r="BW433" s="2" t="n">
        <v>0</v>
      </c>
      <c r="BX433" s="2" t="n">
        <v>0</v>
      </c>
      <c r="BY433" s="2" t="n">
        <v>0</v>
      </c>
      <c r="BZ433" s="2" t="n">
        <v>0</v>
      </c>
      <c r="CA433" s="2" t="n">
        <v>0</v>
      </c>
      <c r="CB433" s="2" t="n">
        <v>0</v>
      </c>
      <c r="CC433" s="2" t="n">
        <v>0</v>
      </c>
      <c r="CD433" s="2" t="n">
        <v>0</v>
      </c>
      <c r="CE433" s="2" t="n">
        <v>0</v>
      </c>
      <c r="CF433" s="2" t="n">
        <v>0</v>
      </c>
      <c r="CG433" s="2" t="n">
        <v>0</v>
      </c>
      <c r="CH433" s="2" t="n">
        <v>0</v>
      </c>
      <c r="CI433" s="2" t="n">
        <v>2.65</v>
      </c>
      <c r="CJ433" s="2" t="n">
        <v>3.97</v>
      </c>
      <c r="CK433" s="2" t="n">
        <v>0</v>
      </c>
      <c r="CL433" s="2" t="n">
        <v>8.199999999999999</v>
      </c>
      <c r="CM433" s="2" t="n">
        <v>9.52</v>
      </c>
      <c r="CN433" s="2" t="n">
        <v>0</v>
      </c>
      <c r="CO433" s="2" t="n">
        <v>13.49</v>
      </c>
      <c r="CP433" s="2" t="n">
        <v>17.2</v>
      </c>
      <c r="CQ433" s="2" t="n">
        <v>0</v>
      </c>
      <c r="CR433" s="2" t="n">
        <v>23.54</v>
      </c>
      <c r="CS433" s="2" t="n">
        <v>24.87</v>
      </c>
      <c r="CT433" s="2" t="n">
        <v>0</v>
      </c>
      <c r="CU433" s="2" t="n">
        <v>27.78</v>
      </c>
      <c r="CV433" s="2" t="n">
        <v>30.53</v>
      </c>
      <c r="CW433" s="2" t="n">
        <v>0</v>
      </c>
      <c r="CX433" s="2" t="n">
        <v>35</v>
      </c>
      <c r="CY433" s="2" t="n">
        <v>37.04</v>
      </c>
      <c r="CZ433" s="2" t="n">
        <v>0</v>
      </c>
      <c r="DA433" s="2" t="n">
        <v>41.27</v>
      </c>
      <c r="DB433" s="2" t="n">
        <v>43.54</v>
      </c>
      <c r="DC433" s="2" t="n">
        <v>0</v>
      </c>
      <c r="DD433" s="2" t="n">
        <v>54.32</v>
      </c>
      <c r="DE433" s="2" t="n">
        <v>56.56</v>
      </c>
      <c r="DF433" s="2" t="n">
        <v>0</v>
      </c>
      <c r="DG433" s="2" t="n">
        <v>63.54</v>
      </c>
      <c r="DH433" s="2" t="n">
        <v>65.38</v>
      </c>
      <c r="DI433" s="2" t="n">
        <v>0</v>
      </c>
      <c r="DJ433" s="2" t="n">
        <v>72.54000000000001</v>
      </c>
      <c r="DK433" s="2" t="n">
        <v>81.36</v>
      </c>
      <c r="DL433" s="2" t="n">
        <v>0</v>
      </c>
      <c r="DM433" s="2" t="n">
        <v>86.23999999999999</v>
      </c>
      <c r="DN433" s="2" t="n">
        <v>94.76000000000001</v>
      </c>
      <c r="DO433" s="2" t="n">
        <v>0</v>
      </c>
      <c r="DP433" s="2" t="n">
        <v>97.45999999999999</v>
      </c>
      <c r="DQ433" s="2" t="n">
        <v>97.62</v>
      </c>
      <c r="DR433" s="2" t="n">
        <v>0</v>
      </c>
      <c r="DS433" s="2" t="n">
        <v>98.41</v>
      </c>
      <c r="DT433" s="2" t="n">
        <v>99.73999999999999</v>
      </c>
      <c r="DU433" s="2" t="n">
        <v>0</v>
      </c>
      <c r="DV433" s="2" t="n">
        <v>100</v>
      </c>
      <c r="DW433" s="2" t="n">
        <v>100</v>
      </c>
      <c r="DX433" s="2" t="n">
        <v>0</v>
      </c>
      <c r="DY433" s="2" t="n">
        <v>100</v>
      </c>
      <c r="DZ433" s="2" t="n">
        <v>100</v>
      </c>
      <c r="EA433" s="2" t="n">
        <v>0</v>
      </c>
      <c r="EB433" s="2" t="n">
        <v>100</v>
      </c>
      <c r="EC433" s="2" t="n">
        <v>100</v>
      </c>
      <c r="ED433" s="2" t="n">
        <v>0</v>
      </c>
      <c r="EE433" s="2" t="n">
        <v>100</v>
      </c>
      <c r="EF433" s="2" t="n">
        <v>100</v>
      </c>
      <c r="EG433" s="2" t="n">
        <v>0</v>
      </c>
      <c r="EH433" s="2" t="n">
        <v>100</v>
      </c>
      <c r="EI433" s="2" t="n">
        <v>100</v>
      </c>
      <c r="EJ433" s="2" t="n">
        <v>0</v>
      </c>
      <c r="EK433" s="2" t="n">
        <v>100</v>
      </c>
      <c r="EL433" s="2" t="n">
        <v>100</v>
      </c>
      <c r="EM433" s="2" t="n">
        <v>0</v>
      </c>
      <c r="EN433" s="2" t="n">
        <v>100</v>
      </c>
      <c r="EO433" s="2" t="n">
        <v>100</v>
      </c>
      <c r="EP433" s="2" t="n">
        <v>0</v>
      </c>
      <c r="EQ433" s="2" t="n">
        <v>100</v>
      </c>
      <c r="ER433" s="2" t="n">
        <v>100</v>
      </c>
      <c r="ES433" s="2" t="n">
        <v>0</v>
      </c>
    </row>
    <row r="434">
      <c r="A434" s="2" t="n">
        <v>3</v>
      </c>
      <c r="B434" s="2" t="inlineStr">
        <is>
          <t>19.04.08</t>
        </is>
      </c>
      <c r="C434" s="2" t="inlineStr">
        <is>
          <t>Varanda de acesso residencial, Passeio de acesso de serviço externo, Varanda comercial</t>
        </is>
      </c>
      <c r="D434" s="2" t="inlineStr">
        <is>
          <t>11/08/2027</t>
        </is>
      </c>
      <c r="E434" s="2" t="inlineStr">
        <is>
          <t>01/09/2028</t>
        </is>
      </c>
      <c r="F434" s="2" t="n">
        <v>191080.33035</v>
      </c>
      <c r="G434" s="2" t="n">
        <v>0</v>
      </c>
      <c r="H434" s="2" t="n">
        <v>191080.33035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  <c r="AM434" s="2" t="n">
        <v>0</v>
      </c>
      <c r="AN434" s="2" t="n">
        <v>0</v>
      </c>
      <c r="AO434" s="2" t="n">
        <v>0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n">
        <v>0</v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n">
        <v>0</v>
      </c>
      <c r="BI434" s="2" t="n">
        <v>0</v>
      </c>
      <c r="BJ434" s="2" t="n">
        <v>0</v>
      </c>
      <c r="BK434" s="2" t="n">
        <v>0</v>
      </c>
      <c r="BL434" s="2" t="n">
        <v>0</v>
      </c>
      <c r="BM434" s="2" t="n">
        <v>0</v>
      </c>
      <c r="BN434" s="2" t="n">
        <v>0</v>
      </c>
      <c r="BO434" s="2" t="n">
        <v>0</v>
      </c>
      <c r="BP434" s="2" t="n">
        <v>0</v>
      </c>
      <c r="BQ434" s="2" t="n">
        <v>0</v>
      </c>
      <c r="BR434" s="2" t="n">
        <v>0</v>
      </c>
      <c r="BS434" s="2" t="n">
        <v>0</v>
      </c>
      <c r="BT434" s="2" t="n">
        <v>0</v>
      </c>
      <c r="BU434" s="2" t="n">
        <v>0</v>
      </c>
      <c r="BV434" s="2" t="n">
        <v>0</v>
      </c>
      <c r="BW434" s="2" t="n">
        <v>0</v>
      </c>
      <c r="BX434" s="2" t="n">
        <v>0</v>
      </c>
      <c r="BY434" s="2" t="n">
        <v>0</v>
      </c>
      <c r="BZ434" s="2" t="n">
        <v>0</v>
      </c>
      <c r="CA434" s="2" t="n">
        <v>0</v>
      </c>
      <c r="CB434" s="2" t="n">
        <v>0</v>
      </c>
      <c r="CC434" s="2" t="n">
        <v>0</v>
      </c>
      <c r="CD434" s="2" t="n">
        <v>0</v>
      </c>
      <c r="CE434" s="2" t="n">
        <v>0</v>
      </c>
      <c r="CF434" s="2" t="n">
        <v>0</v>
      </c>
      <c r="CG434" s="2" t="n">
        <v>0</v>
      </c>
      <c r="CH434" s="2" t="n">
        <v>0</v>
      </c>
      <c r="CI434" s="2" t="n">
        <v>2.65</v>
      </c>
      <c r="CJ434" s="2" t="n">
        <v>3.97</v>
      </c>
      <c r="CK434" s="2" t="n">
        <v>0</v>
      </c>
      <c r="CL434" s="2" t="n">
        <v>8.199999999999999</v>
      </c>
      <c r="CM434" s="2" t="n">
        <v>9.52</v>
      </c>
      <c r="CN434" s="2" t="n">
        <v>0</v>
      </c>
      <c r="CO434" s="2" t="n">
        <v>13.49</v>
      </c>
      <c r="CP434" s="2" t="n">
        <v>17.2</v>
      </c>
      <c r="CQ434" s="2" t="n">
        <v>0</v>
      </c>
      <c r="CR434" s="2" t="n">
        <v>23.54</v>
      </c>
      <c r="CS434" s="2" t="n">
        <v>24.87</v>
      </c>
      <c r="CT434" s="2" t="n">
        <v>0</v>
      </c>
      <c r="CU434" s="2" t="n">
        <v>27.78</v>
      </c>
      <c r="CV434" s="2" t="n">
        <v>30.53</v>
      </c>
      <c r="CW434" s="2" t="n">
        <v>0</v>
      </c>
      <c r="CX434" s="2" t="n">
        <v>35</v>
      </c>
      <c r="CY434" s="2" t="n">
        <v>37.04</v>
      </c>
      <c r="CZ434" s="2" t="n">
        <v>0</v>
      </c>
      <c r="DA434" s="2" t="n">
        <v>41.27</v>
      </c>
      <c r="DB434" s="2" t="n">
        <v>43.54</v>
      </c>
      <c r="DC434" s="2" t="n">
        <v>0</v>
      </c>
      <c r="DD434" s="2" t="n">
        <v>54.32</v>
      </c>
      <c r="DE434" s="2" t="n">
        <v>56.56</v>
      </c>
      <c r="DF434" s="2" t="n">
        <v>0</v>
      </c>
      <c r="DG434" s="2" t="n">
        <v>63.54</v>
      </c>
      <c r="DH434" s="2" t="n">
        <v>65.38</v>
      </c>
      <c r="DI434" s="2" t="n">
        <v>0</v>
      </c>
      <c r="DJ434" s="2" t="n">
        <v>72.54000000000001</v>
      </c>
      <c r="DK434" s="2" t="n">
        <v>81.36</v>
      </c>
      <c r="DL434" s="2" t="n">
        <v>0</v>
      </c>
      <c r="DM434" s="2" t="n">
        <v>86.23999999999999</v>
      </c>
      <c r="DN434" s="2" t="n">
        <v>94.76000000000001</v>
      </c>
      <c r="DO434" s="2" t="n">
        <v>0</v>
      </c>
      <c r="DP434" s="2" t="n">
        <v>97.45999999999999</v>
      </c>
      <c r="DQ434" s="2" t="n">
        <v>97.62</v>
      </c>
      <c r="DR434" s="2" t="n">
        <v>0</v>
      </c>
      <c r="DS434" s="2" t="n">
        <v>98.41</v>
      </c>
      <c r="DT434" s="2" t="n">
        <v>99.73999999999999</v>
      </c>
      <c r="DU434" s="2" t="n">
        <v>0</v>
      </c>
      <c r="DV434" s="2" t="n">
        <v>100</v>
      </c>
      <c r="DW434" s="2" t="n">
        <v>100</v>
      </c>
      <c r="DX434" s="2" t="n">
        <v>0</v>
      </c>
      <c r="DY434" s="2" t="n">
        <v>100</v>
      </c>
      <c r="DZ434" s="2" t="n">
        <v>100</v>
      </c>
      <c r="EA434" s="2" t="n">
        <v>0</v>
      </c>
      <c r="EB434" s="2" t="n">
        <v>100</v>
      </c>
      <c r="EC434" s="2" t="n">
        <v>100</v>
      </c>
      <c r="ED434" s="2" t="n">
        <v>0</v>
      </c>
      <c r="EE434" s="2" t="n">
        <v>100</v>
      </c>
      <c r="EF434" s="2" t="n">
        <v>100</v>
      </c>
      <c r="EG434" s="2" t="n">
        <v>0</v>
      </c>
      <c r="EH434" s="2" t="n">
        <v>100</v>
      </c>
      <c r="EI434" s="2" t="n">
        <v>100</v>
      </c>
      <c r="EJ434" s="2" t="n">
        <v>0</v>
      </c>
      <c r="EK434" s="2" t="n">
        <v>100</v>
      </c>
      <c r="EL434" s="2" t="n">
        <v>100</v>
      </c>
      <c r="EM434" s="2" t="n">
        <v>0</v>
      </c>
      <c r="EN434" s="2" t="n">
        <v>100</v>
      </c>
      <c r="EO434" s="2" t="n">
        <v>100</v>
      </c>
      <c r="EP434" s="2" t="n">
        <v>0</v>
      </c>
      <c r="EQ434" s="2" t="n">
        <v>100</v>
      </c>
      <c r="ER434" s="2" t="n">
        <v>100</v>
      </c>
      <c r="ES434" s="2" t="n">
        <v>0</v>
      </c>
    </row>
    <row r="435">
      <c r="A435" s="2" t="n">
        <v>3</v>
      </c>
      <c r="B435" s="2" t="inlineStr">
        <is>
          <t>19.04.09</t>
        </is>
      </c>
      <c r="C435" s="2" t="inlineStr">
        <is>
          <t>Impermabilização de ralos</t>
        </is>
      </c>
      <c r="D435" s="2" t="inlineStr">
        <is>
          <t>11/08/2027</t>
        </is>
      </c>
      <c r="E435" s="2" t="inlineStr">
        <is>
          <t>01/09/2028</t>
        </is>
      </c>
      <c r="F435" s="2" t="n">
        <v>259.1854182026433</v>
      </c>
      <c r="G435" s="2" t="n">
        <v>0</v>
      </c>
      <c r="H435" s="2" t="n">
        <v>259.1854182026433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  <c r="AN435" s="2" t="n">
        <v>0</v>
      </c>
      <c r="AO435" s="2" t="n">
        <v>0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n">
        <v>0</v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n">
        <v>0</v>
      </c>
      <c r="BI435" s="2" t="n">
        <v>0</v>
      </c>
      <c r="BJ435" s="2" t="n">
        <v>0</v>
      </c>
      <c r="BK435" s="2" t="n">
        <v>0</v>
      </c>
      <c r="BL435" s="2" t="n">
        <v>0</v>
      </c>
      <c r="BM435" s="2" t="n">
        <v>0</v>
      </c>
      <c r="BN435" s="2" t="n">
        <v>0</v>
      </c>
      <c r="BO435" s="2" t="n">
        <v>0</v>
      </c>
      <c r="BP435" s="2" t="n">
        <v>0</v>
      </c>
      <c r="BQ435" s="2" t="n">
        <v>0</v>
      </c>
      <c r="BR435" s="2" t="n">
        <v>0</v>
      </c>
      <c r="BS435" s="2" t="n">
        <v>0</v>
      </c>
      <c r="BT435" s="2" t="n">
        <v>0</v>
      </c>
      <c r="BU435" s="2" t="n">
        <v>0</v>
      </c>
      <c r="BV435" s="2" t="n">
        <v>0</v>
      </c>
      <c r="BW435" s="2" t="n">
        <v>0</v>
      </c>
      <c r="BX435" s="2" t="n">
        <v>0</v>
      </c>
      <c r="BY435" s="2" t="n">
        <v>0</v>
      </c>
      <c r="BZ435" s="2" t="n">
        <v>0</v>
      </c>
      <c r="CA435" s="2" t="n">
        <v>0</v>
      </c>
      <c r="CB435" s="2" t="n">
        <v>0</v>
      </c>
      <c r="CC435" s="2" t="n">
        <v>0</v>
      </c>
      <c r="CD435" s="2" t="n">
        <v>0</v>
      </c>
      <c r="CE435" s="2" t="n">
        <v>0</v>
      </c>
      <c r="CF435" s="2" t="n">
        <v>0</v>
      </c>
      <c r="CG435" s="2" t="n">
        <v>0</v>
      </c>
      <c r="CH435" s="2" t="n">
        <v>0</v>
      </c>
      <c r="CI435" s="2" t="n">
        <v>2.65</v>
      </c>
      <c r="CJ435" s="2" t="n">
        <v>3.97</v>
      </c>
      <c r="CK435" s="2" t="n">
        <v>0</v>
      </c>
      <c r="CL435" s="2" t="n">
        <v>8.199999999999999</v>
      </c>
      <c r="CM435" s="2" t="n">
        <v>9.52</v>
      </c>
      <c r="CN435" s="2" t="n">
        <v>0</v>
      </c>
      <c r="CO435" s="2" t="n">
        <v>13.49</v>
      </c>
      <c r="CP435" s="2" t="n">
        <v>17.2</v>
      </c>
      <c r="CQ435" s="2" t="n">
        <v>0</v>
      </c>
      <c r="CR435" s="2" t="n">
        <v>23.54</v>
      </c>
      <c r="CS435" s="2" t="n">
        <v>24.87</v>
      </c>
      <c r="CT435" s="2" t="n">
        <v>0</v>
      </c>
      <c r="CU435" s="2" t="n">
        <v>27.78</v>
      </c>
      <c r="CV435" s="2" t="n">
        <v>30.53</v>
      </c>
      <c r="CW435" s="2" t="n">
        <v>0</v>
      </c>
      <c r="CX435" s="2" t="n">
        <v>35</v>
      </c>
      <c r="CY435" s="2" t="n">
        <v>37.04</v>
      </c>
      <c r="CZ435" s="2" t="n">
        <v>0</v>
      </c>
      <c r="DA435" s="2" t="n">
        <v>41.27</v>
      </c>
      <c r="DB435" s="2" t="n">
        <v>43.54</v>
      </c>
      <c r="DC435" s="2" t="n">
        <v>0</v>
      </c>
      <c r="DD435" s="2" t="n">
        <v>54.32</v>
      </c>
      <c r="DE435" s="2" t="n">
        <v>56.56</v>
      </c>
      <c r="DF435" s="2" t="n">
        <v>0</v>
      </c>
      <c r="DG435" s="2" t="n">
        <v>63.54</v>
      </c>
      <c r="DH435" s="2" t="n">
        <v>65.38</v>
      </c>
      <c r="DI435" s="2" t="n">
        <v>0</v>
      </c>
      <c r="DJ435" s="2" t="n">
        <v>72.54000000000001</v>
      </c>
      <c r="DK435" s="2" t="n">
        <v>81.36</v>
      </c>
      <c r="DL435" s="2" t="n">
        <v>0</v>
      </c>
      <c r="DM435" s="2" t="n">
        <v>86.23999999999999</v>
      </c>
      <c r="DN435" s="2" t="n">
        <v>94.76000000000001</v>
      </c>
      <c r="DO435" s="2" t="n">
        <v>0</v>
      </c>
      <c r="DP435" s="2" t="n">
        <v>97.45999999999999</v>
      </c>
      <c r="DQ435" s="2" t="n">
        <v>97.62</v>
      </c>
      <c r="DR435" s="2" t="n">
        <v>0</v>
      </c>
      <c r="DS435" s="2" t="n">
        <v>98.41</v>
      </c>
      <c r="DT435" s="2" t="n">
        <v>99.73999999999999</v>
      </c>
      <c r="DU435" s="2" t="n">
        <v>0</v>
      </c>
      <c r="DV435" s="2" t="n">
        <v>100</v>
      </c>
      <c r="DW435" s="2" t="n">
        <v>100</v>
      </c>
      <c r="DX435" s="2" t="n">
        <v>0</v>
      </c>
      <c r="DY435" s="2" t="n">
        <v>100</v>
      </c>
      <c r="DZ435" s="2" t="n">
        <v>100</v>
      </c>
      <c r="EA435" s="2" t="n">
        <v>0</v>
      </c>
      <c r="EB435" s="2" t="n">
        <v>100</v>
      </c>
      <c r="EC435" s="2" t="n">
        <v>100</v>
      </c>
      <c r="ED435" s="2" t="n">
        <v>0</v>
      </c>
      <c r="EE435" s="2" t="n">
        <v>100</v>
      </c>
      <c r="EF435" s="2" t="n">
        <v>100</v>
      </c>
      <c r="EG435" s="2" t="n">
        <v>0</v>
      </c>
      <c r="EH435" s="2" t="n">
        <v>100</v>
      </c>
      <c r="EI435" s="2" t="n">
        <v>100</v>
      </c>
      <c r="EJ435" s="2" t="n">
        <v>0</v>
      </c>
      <c r="EK435" s="2" t="n">
        <v>100</v>
      </c>
      <c r="EL435" s="2" t="n">
        <v>100</v>
      </c>
      <c r="EM435" s="2" t="n">
        <v>0</v>
      </c>
      <c r="EN435" s="2" t="n">
        <v>100</v>
      </c>
      <c r="EO435" s="2" t="n">
        <v>100</v>
      </c>
      <c r="EP435" s="2" t="n">
        <v>0</v>
      </c>
      <c r="EQ435" s="2" t="n">
        <v>100</v>
      </c>
      <c r="ER435" s="2" t="n">
        <v>100</v>
      </c>
      <c r="ES435" s="2" t="n">
        <v>0</v>
      </c>
    </row>
    <row r="436">
      <c r="A436" s="2" t="n">
        <v>2</v>
      </c>
      <c r="B436" s="2" t="inlineStr">
        <is>
          <t>19.05</t>
        </is>
      </c>
      <c r="C436" s="2" t="inlineStr">
        <is>
          <t>Dupla manta asfáltica antiraiz, tipo III, 3mm+4mm de espessura, classe B acabamento AA ambas coladas com asfalto oxidado a quente com consumo de 3,0kg/m2. Sobre manta, camada de transição geotêxtil 200g/m2 e proteção mecânica armada estruturada com tela galvanizada fio 22 malha de 1". Posteriormente, tratamento drenante com sistema de manta do tipo MACDRAIN 2L</t>
        </is>
      </c>
      <c r="D436" s="2" t="inlineStr">
        <is>
          <t>11/08/2027</t>
        </is>
      </c>
      <c r="E436" s="2" t="inlineStr">
        <is>
          <t>01/09/2028</t>
        </is>
      </c>
      <c r="F436" s="2" t="n">
        <v>1073603.362127485</v>
      </c>
      <c r="G436" s="2" t="n">
        <v>0</v>
      </c>
      <c r="H436" s="2" t="n">
        <v>1073603.362127485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0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n">
        <v>0</v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n">
        <v>0</v>
      </c>
      <c r="BI436" s="2" t="n">
        <v>0</v>
      </c>
      <c r="BJ436" s="2" t="n">
        <v>0</v>
      </c>
      <c r="BK436" s="2" t="n">
        <v>0</v>
      </c>
      <c r="BL436" s="2" t="n">
        <v>0</v>
      </c>
      <c r="BM436" s="2" t="n">
        <v>0</v>
      </c>
      <c r="BN436" s="2" t="n">
        <v>0</v>
      </c>
      <c r="BO436" s="2" t="n">
        <v>0</v>
      </c>
      <c r="BP436" s="2" t="n">
        <v>0</v>
      </c>
      <c r="BQ436" s="2" t="n">
        <v>0</v>
      </c>
      <c r="BR436" s="2" t="n">
        <v>0</v>
      </c>
      <c r="BS436" s="2" t="n">
        <v>0</v>
      </c>
      <c r="BT436" s="2" t="n">
        <v>0</v>
      </c>
      <c r="BU436" s="2" t="n">
        <v>0</v>
      </c>
      <c r="BV436" s="2" t="n">
        <v>0</v>
      </c>
      <c r="BW436" s="2" t="n">
        <v>0</v>
      </c>
      <c r="BX436" s="2" t="n">
        <v>0</v>
      </c>
      <c r="BY436" s="2" t="n">
        <v>0</v>
      </c>
      <c r="BZ436" s="2" t="n">
        <v>0</v>
      </c>
      <c r="CA436" s="2" t="n">
        <v>0</v>
      </c>
      <c r="CB436" s="2" t="n">
        <v>0</v>
      </c>
      <c r="CC436" s="2" t="n">
        <v>0</v>
      </c>
      <c r="CD436" s="2" t="n">
        <v>0</v>
      </c>
      <c r="CE436" s="2" t="n">
        <v>0</v>
      </c>
      <c r="CF436" s="2" t="n">
        <v>0</v>
      </c>
      <c r="CG436" s="2" t="n">
        <v>0</v>
      </c>
      <c r="CH436" s="2" t="n">
        <v>0</v>
      </c>
      <c r="CI436" s="2" t="n">
        <v>2.65</v>
      </c>
      <c r="CJ436" s="2" t="n">
        <v>3.97</v>
      </c>
      <c r="CK436" s="2" t="n">
        <v>0</v>
      </c>
      <c r="CL436" s="2" t="n">
        <v>8.199999999999999</v>
      </c>
      <c r="CM436" s="2" t="n">
        <v>9.52</v>
      </c>
      <c r="CN436" s="2" t="n">
        <v>0</v>
      </c>
      <c r="CO436" s="2" t="n">
        <v>13.49</v>
      </c>
      <c r="CP436" s="2" t="n">
        <v>17.2</v>
      </c>
      <c r="CQ436" s="2" t="n">
        <v>0</v>
      </c>
      <c r="CR436" s="2" t="n">
        <v>23.54</v>
      </c>
      <c r="CS436" s="2" t="n">
        <v>24.87</v>
      </c>
      <c r="CT436" s="2" t="n">
        <v>0</v>
      </c>
      <c r="CU436" s="2" t="n">
        <v>27.78</v>
      </c>
      <c r="CV436" s="2" t="n">
        <v>30.53</v>
      </c>
      <c r="CW436" s="2" t="n">
        <v>0</v>
      </c>
      <c r="CX436" s="2" t="n">
        <v>35</v>
      </c>
      <c r="CY436" s="2" t="n">
        <v>37.04</v>
      </c>
      <c r="CZ436" s="2" t="n">
        <v>0</v>
      </c>
      <c r="DA436" s="2" t="n">
        <v>41.27</v>
      </c>
      <c r="DB436" s="2" t="n">
        <v>43.54</v>
      </c>
      <c r="DC436" s="2" t="n">
        <v>0</v>
      </c>
      <c r="DD436" s="2" t="n">
        <v>54.32</v>
      </c>
      <c r="DE436" s="2" t="n">
        <v>56.56</v>
      </c>
      <c r="DF436" s="2" t="n">
        <v>0</v>
      </c>
      <c r="DG436" s="2" t="n">
        <v>63.54</v>
      </c>
      <c r="DH436" s="2" t="n">
        <v>65.38</v>
      </c>
      <c r="DI436" s="2" t="n">
        <v>0</v>
      </c>
      <c r="DJ436" s="2" t="n">
        <v>72.54000000000001</v>
      </c>
      <c r="DK436" s="2" t="n">
        <v>81.36</v>
      </c>
      <c r="DL436" s="2" t="n">
        <v>0</v>
      </c>
      <c r="DM436" s="2" t="n">
        <v>86.23999999999999</v>
      </c>
      <c r="DN436" s="2" t="n">
        <v>94.76000000000001</v>
      </c>
      <c r="DO436" s="2" t="n">
        <v>0</v>
      </c>
      <c r="DP436" s="2" t="n">
        <v>97.45999999999999</v>
      </c>
      <c r="DQ436" s="2" t="n">
        <v>97.62</v>
      </c>
      <c r="DR436" s="2" t="n">
        <v>0</v>
      </c>
      <c r="DS436" s="2" t="n">
        <v>98.41</v>
      </c>
      <c r="DT436" s="2" t="n">
        <v>99.73999999999999</v>
      </c>
      <c r="DU436" s="2" t="n">
        <v>0</v>
      </c>
      <c r="DV436" s="2" t="n">
        <v>100</v>
      </c>
      <c r="DW436" s="2" t="n">
        <v>100</v>
      </c>
      <c r="DX436" s="2" t="n">
        <v>0</v>
      </c>
      <c r="DY436" s="2" t="n">
        <v>100</v>
      </c>
      <c r="DZ436" s="2" t="n">
        <v>100</v>
      </c>
      <c r="EA436" s="2" t="n">
        <v>0</v>
      </c>
      <c r="EB436" s="2" t="n">
        <v>100</v>
      </c>
      <c r="EC436" s="2" t="n">
        <v>100</v>
      </c>
      <c r="ED436" s="2" t="n">
        <v>0</v>
      </c>
      <c r="EE436" s="2" t="n">
        <v>100</v>
      </c>
      <c r="EF436" s="2" t="n">
        <v>100</v>
      </c>
      <c r="EG436" s="2" t="n">
        <v>0</v>
      </c>
      <c r="EH436" s="2" t="n">
        <v>100</v>
      </c>
      <c r="EI436" s="2" t="n">
        <v>100</v>
      </c>
      <c r="EJ436" s="2" t="n">
        <v>0</v>
      </c>
      <c r="EK436" s="2" t="n">
        <v>100</v>
      </c>
      <c r="EL436" s="2" t="n">
        <v>100</v>
      </c>
      <c r="EM436" s="2" t="n">
        <v>0</v>
      </c>
      <c r="EN436" s="2" t="n">
        <v>100</v>
      </c>
      <c r="EO436" s="2" t="n">
        <v>100</v>
      </c>
      <c r="EP436" s="2" t="n">
        <v>0</v>
      </c>
      <c r="EQ436" s="2" t="n">
        <v>100</v>
      </c>
      <c r="ER436" s="2" t="n">
        <v>100</v>
      </c>
      <c r="ES436" s="2" t="n">
        <v>0</v>
      </c>
    </row>
    <row r="437">
      <c r="A437" s="2" t="n">
        <v>3</v>
      </c>
      <c r="B437" s="2" t="inlineStr">
        <is>
          <t>19.05.01</t>
        </is>
      </c>
      <c r="C437" s="2" t="inlineStr">
        <is>
          <t>Camada de regularização com argamassa de cimento e areia</t>
        </is>
      </c>
      <c r="D437" s="2" t="inlineStr">
        <is>
          <t>11/08/2027</t>
        </is>
      </c>
      <c r="E437" s="2" t="inlineStr">
        <is>
          <t>01/09/2028</t>
        </is>
      </c>
      <c r="F437" s="2" t="n">
        <v>113512.161164977</v>
      </c>
      <c r="G437" s="2" t="n">
        <v>0</v>
      </c>
      <c r="H437" s="2" t="n">
        <v>113512.161164977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  <c r="AN437" s="2" t="n">
        <v>0</v>
      </c>
      <c r="AO437" s="2" t="n">
        <v>0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n">
        <v>0</v>
      </c>
      <c r="AZ437" s="2" t="n">
        <v>0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n">
        <v>0</v>
      </c>
      <c r="BI437" s="2" t="n">
        <v>0</v>
      </c>
      <c r="BJ437" s="2" t="n">
        <v>0</v>
      </c>
      <c r="BK437" s="2" t="n">
        <v>0</v>
      </c>
      <c r="BL437" s="2" t="n">
        <v>0</v>
      </c>
      <c r="BM437" s="2" t="n">
        <v>0</v>
      </c>
      <c r="BN437" s="2" t="n">
        <v>0</v>
      </c>
      <c r="BO437" s="2" t="n">
        <v>0</v>
      </c>
      <c r="BP437" s="2" t="n">
        <v>0</v>
      </c>
      <c r="BQ437" s="2" t="n">
        <v>0</v>
      </c>
      <c r="BR437" s="2" t="n">
        <v>0</v>
      </c>
      <c r="BS437" s="2" t="n">
        <v>0</v>
      </c>
      <c r="BT437" s="2" t="n">
        <v>0</v>
      </c>
      <c r="BU437" s="2" t="n">
        <v>0</v>
      </c>
      <c r="BV437" s="2" t="n">
        <v>0</v>
      </c>
      <c r="BW437" s="2" t="n">
        <v>0</v>
      </c>
      <c r="BX437" s="2" t="n">
        <v>0</v>
      </c>
      <c r="BY437" s="2" t="n">
        <v>0</v>
      </c>
      <c r="BZ437" s="2" t="n">
        <v>0</v>
      </c>
      <c r="CA437" s="2" t="n">
        <v>0</v>
      </c>
      <c r="CB437" s="2" t="n">
        <v>0</v>
      </c>
      <c r="CC437" s="2" t="n">
        <v>0</v>
      </c>
      <c r="CD437" s="2" t="n">
        <v>0</v>
      </c>
      <c r="CE437" s="2" t="n">
        <v>0</v>
      </c>
      <c r="CF437" s="2" t="n">
        <v>0</v>
      </c>
      <c r="CG437" s="2" t="n">
        <v>0</v>
      </c>
      <c r="CH437" s="2" t="n">
        <v>0</v>
      </c>
      <c r="CI437" s="2" t="n">
        <v>2.65</v>
      </c>
      <c r="CJ437" s="2" t="n">
        <v>3.97</v>
      </c>
      <c r="CK437" s="2" t="n">
        <v>0</v>
      </c>
      <c r="CL437" s="2" t="n">
        <v>8.199999999999999</v>
      </c>
      <c r="CM437" s="2" t="n">
        <v>9.52</v>
      </c>
      <c r="CN437" s="2" t="n">
        <v>0</v>
      </c>
      <c r="CO437" s="2" t="n">
        <v>13.49</v>
      </c>
      <c r="CP437" s="2" t="n">
        <v>17.2</v>
      </c>
      <c r="CQ437" s="2" t="n">
        <v>0</v>
      </c>
      <c r="CR437" s="2" t="n">
        <v>23.54</v>
      </c>
      <c r="CS437" s="2" t="n">
        <v>24.87</v>
      </c>
      <c r="CT437" s="2" t="n">
        <v>0</v>
      </c>
      <c r="CU437" s="2" t="n">
        <v>27.78</v>
      </c>
      <c r="CV437" s="2" t="n">
        <v>30.53</v>
      </c>
      <c r="CW437" s="2" t="n">
        <v>0</v>
      </c>
      <c r="CX437" s="2" t="n">
        <v>35</v>
      </c>
      <c r="CY437" s="2" t="n">
        <v>37.04</v>
      </c>
      <c r="CZ437" s="2" t="n">
        <v>0</v>
      </c>
      <c r="DA437" s="2" t="n">
        <v>41.27</v>
      </c>
      <c r="DB437" s="2" t="n">
        <v>43.54</v>
      </c>
      <c r="DC437" s="2" t="n">
        <v>0</v>
      </c>
      <c r="DD437" s="2" t="n">
        <v>54.32</v>
      </c>
      <c r="DE437" s="2" t="n">
        <v>56.56</v>
      </c>
      <c r="DF437" s="2" t="n">
        <v>0</v>
      </c>
      <c r="DG437" s="2" t="n">
        <v>63.54</v>
      </c>
      <c r="DH437" s="2" t="n">
        <v>65.38</v>
      </c>
      <c r="DI437" s="2" t="n">
        <v>0</v>
      </c>
      <c r="DJ437" s="2" t="n">
        <v>72.54000000000001</v>
      </c>
      <c r="DK437" s="2" t="n">
        <v>81.36</v>
      </c>
      <c r="DL437" s="2" t="n">
        <v>0</v>
      </c>
      <c r="DM437" s="2" t="n">
        <v>86.23999999999999</v>
      </c>
      <c r="DN437" s="2" t="n">
        <v>94.76000000000001</v>
      </c>
      <c r="DO437" s="2" t="n">
        <v>0</v>
      </c>
      <c r="DP437" s="2" t="n">
        <v>97.45999999999999</v>
      </c>
      <c r="DQ437" s="2" t="n">
        <v>97.62</v>
      </c>
      <c r="DR437" s="2" t="n">
        <v>0</v>
      </c>
      <c r="DS437" s="2" t="n">
        <v>98.41</v>
      </c>
      <c r="DT437" s="2" t="n">
        <v>99.73999999999999</v>
      </c>
      <c r="DU437" s="2" t="n">
        <v>0</v>
      </c>
      <c r="DV437" s="2" t="n">
        <v>100</v>
      </c>
      <c r="DW437" s="2" t="n">
        <v>100</v>
      </c>
      <c r="DX437" s="2" t="n">
        <v>0</v>
      </c>
      <c r="DY437" s="2" t="n">
        <v>100</v>
      </c>
      <c r="DZ437" s="2" t="n">
        <v>100</v>
      </c>
      <c r="EA437" s="2" t="n">
        <v>0</v>
      </c>
      <c r="EB437" s="2" t="n">
        <v>100</v>
      </c>
      <c r="EC437" s="2" t="n">
        <v>100</v>
      </c>
      <c r="ED437" s="2" t="n">
        <v>0</v>
      </c>
      <c r="EE437" s="2" t="n">
        <v>100</v>
      </c>
      <c r="EF437" s="2" t="n">
        <v>100</v>
      </c>
      <c r="EG437" s="2" t="n">
        <v>0</v>
      </c>
      <c r="EH437" s="2" t="n">
        <v>100</v>
      </c>
      <c r="EI437" s="2" t="n">
        <v>100</v>
      </c>
      <c r="EJ437" s="2" t="n">
        <v>0</v>
      </c>
      <c r="EK437" s="2" t="n">
        <v>100</v>
      </c>
      <c r="EL437" s="2" t="n">
        <v>100</v>
      </c>
      <c r="EM437" s="2" t="n">
        <v>0</v>
      </c>
      <c r="EN437" s="2" t="n">
        <v>100</v>
      </c>
      <c r="EO437" s="2" t="n">
        <v>100</v>
      </c>
      <c r="EP437" s="2" t="n">
        <v>0</v>
      </c>
      <c r="EQ437" s="2" t="n">
        <v>100</v>
      </c>
      <c r="ER437" s="2" t="n">
        <v>100</v>
      </c>
      <c r="ES437" s="2" t="n">
        <v>0</v>
      </c>
    </row>
    <row r="438">
      <c r="A438" s="2" t="n">
        <v>3</v>
      </c>
      <c r="B438" s="2" t="inlineStr">
        <is>
          <t>19.05.02</t>
        </is>
      </c>
      <c r="C438" s="2" t="inlineStr">
        <is>
          <t>Proteção mecânica armada com tela galvanizada, fio 22, malha 1</t>
        </is>
      </c>
      <c r="D438" s="2" t="inlineStr">
        <is>
          <t>11/08/2027</t>
        </is>
      </c>
      <c r="E438" s="2" t="inlineStr">
        <is>
          <t>01/09/2028</t>
        </is>
      </c>
      <c r="F438" s="2" t="n">
        <v>191542.4288574748</v>
      </c>
      <c r="G438" s="2" t="n">
        <v>0</v>
      </c>
      <c r="H438" s="2" t="n">
        <v>191542.4288574748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  <c r="AN438" s="2" t="n">
        <v>0</v>
      </c>
      <c r="AO438" s="2" t="n">
        <v>0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n">
        <v>0</v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n">
        <v>0</v>
      </c>
      <c r="BI438" s="2" t="n">
        <v>0</v>
      </c>
      <c r="BJ438" s="2" t="n">
        <v>0</v>
      </c>
      <c r="BK438" s="2" t="n">
        <v>0</v>
      </c>
      <c r="BL438" s="2" t="n">
        <v>0</v>
      </c>
      <c r="BM438" s="2" t="n">
        <v>0</v>
      </c>
      <c r="BN438" s="2" t="n">
        <v>0</v>
      </c>
      <c r="BO438" s="2" t="n">
        <v>0</v>
      </c>
      <c r="BP438" s="2" t="n">
        <v>0</v>
      </c>
      <c r="BQ438" s="2" t="n">
        <v>0</v>
      </c>
      <c r="BR438" s="2" t="n">
        <v>0</v>
      </c>
      <c r="BS438" s="2" t="n">
        <v>0</v>
      </c>
      <c r="BT438" s="2" t="n">
        <v>0</v>
      </c>
      <c r="BU438" s="2" t="n">
        <v>0</v>
      </c>
      <c r="BV438" s="2" t="n">
        <v>0</v>
      </c>
      <c r="BW438" s="2" t="n">
        <v>0</v>
      </c>
      <c r="BX438" s="2" t="n">
        <v>0</v>
      </c>
      <c r="BY438" s="2" t="n">
        <v>0</v>
      </c>
      <c r="BZ438" s="2" t="n">
        <v>0</v>
      </c>
      <c r="CA438" s="2" t="n">
        <v>0</v>
      </c>
      <c r="CB438" s="2" t="n">
        <v>0</v>
      </c>
      <c r="CC438" s="2" t="n">
        <v>0</v>
      </c>
      <c r="CD438" s="2" t="n">
        <v>0</v>
      </c>
      <c r="CE438" s="2" t="n">
        <v>0</v>
      </c>
      <c r="CF438" s="2" t="n">
        <v>0</v>
      </c>
      <c r="CG438" s="2" t="n">
        <v>0</v>
      </c>
      <c r="CH438" s="2" t="n">
        <v>0</v>
      </c>
      <c r="CI438" s="2" t="n">
        <v>2.65</v>
      </c>
      <c r="CJ438" s="2" t="n">
        <v>3.97</v>
      </c>
      <c r="CK438" s="2" t="n">
        <v>0</v>
      </c>
      <c r="CL438" s="2" t="n">
        <v>8.199999999999999</v>
      </c>
      <c r="CM438" s="2" t="n">
        <v>9.52</v>
      </c>
      <c r="CN438" s="2" t="n">
        <v>0</v>
      </c>
      <c r="CO438" s="2" t="n">
        <v>13.49</v>
      </c>
      <c r="CP438" s="2" t="n">
        <v>17.2</v>
      </c>
      <c r="CQ438" s="2" t="n">
        <v>0</v>
      </c>
      <c r="CR438" s="2" t="n">
        <v>23.54</v>
      </c>
      <c r="CS438" s="2" t="n">
        <v>24.87</v>
      </c>
      <c r="CT438" s="2" t="n">
        <v>0</v>
      </c>
      <c r="CU438" s="2" t="n">
        <v>27.78</v>
      </c>
      <c r="CV438" s="2" t="n">
        <v>30.53</v>
      </c>
      <c r="CW438" s="2" t="n">
        <v>0</v>
      </c>
      <c r="CX438" s="2" t="n">
        <v>35</v>
      </c>
      <c r="CY438" s="2" t="n">
        <v>37.04</v>
      </c>
      <c r="CZ438" s="2" t="n">
        <v>0</v>
      </c>
      <c r="DA438" s="2" t="n">
        <v>41.27</v>
      </c>
      <c r="DB438" s="2" t="n">
        <v>43.54</v>
      </c>
      <c r="DC438" s="2" t="n">
        <v>0</v>
      </c>
      <c r="DD438" s="2" t="n">
        <v>54.32</v>
      </c>
      <c r="DE438" s="2" t="n">
        <v>56.56</v>
      </c>
      <c r="DF438" s="2" t="n">
        <v>0</v>
      </c>
      <c r="DG438" s="2" t="n">
        <v>63.54</v>
      </c>
      <c r="DH438" s="2" t="n">
        <v>65.38</v>
      </c>
      <c r="DI438" s="2" t="n">
        <v>0</v>
      </c>
      <c r="DJ438" s="2" t="n">
        <v>72.54000000000001</v>
      </c>
      <c r="DK438" s="2" t="n">
        <v>81.36</v>
      </c>
      <c r="DL438" s="2" t="n">
        <v>0</v>
      </c>
      <c r="DM438" s="2" t="n">
        <v>86.23999999999999</v>
      </c>
      <c r="DN438" s="2" t="n">
        <v>94.76000000000001</v>
      </c>
      <c r="DO438" s="2" t="n">
        <v>0</v>
      </c>
      <c r="DP438" s="2" t="n">
        <v>97.45999999999999</v>
      </c>
      <c r="DQ438" s="2" t="n">
        <v>97.62</v>
      </c>
      <c r="DR438" s="2" t="n">
        <v>0</v>
      </c>
      <c r="DS438" s="2" t="n">
        <v>98.41</v>
      </c>
      <c r="DT438" s="2" t="n">
        <v>99.73999999999999</v>
      </c>
      <c r="DU438" s="2" t="n">
        <v>0</v>
      </c>
      <c r="DV438" s="2" t="n">
        <v>100</v>
      </c>
      <c r="DW438" s="2" t="n">
        <v>100</v>
      </c>
      <c r="DX438" s="2" t="n">
        <v>0</v>
      </c>
      <c r="DY438" s="2" t="n">
        <v>100</v>
      </c>
      <c r="DZ438" s="2" t="n">
        <v>100</v>
      </c>
      <c r="EA438" s="2" t="n">
        <v>0</v>
      </c>
      <c r="EB438" s="2" t="n">
        <v>100</v>
      </c>
      <c r="EC438" s="2" t="n">
        <v>100</v>
      </c>
      <c r="ED438" s="2" t="n">
        <v>0</v>
      </c>
      <c r="EE438" s="2" t="n">
        <v>100</v>
      </c>
      <c r="EF438" s="2" t="n">
        <v>100</v>
      </c>
      <c r="EG438" s="2" t="n">
        <v>0</v>
      </c>
      <c r="EH438" s="2" t="n">
        <v>100</v>
      </c>
      <c r="EI438" s="2" t="n">
        <v>100</v>
      </c>
      <c r="EJ438" s="2" t="n">
        <v>0</v>
      </c>
      <c r="EK438" s="2" t="n">
        <v>100</v>
      </c>
      <c r="EL438" s="2" t="n">
        <v>100</v>
      </c>
      <c r="EM438" s="2" t="n">
        <v>0</v>
      </c>
      <c r="EN438" s="2" t="n">
        <v>100</v>
      </c>
      <c r="EO438" s="2" t="n">
        <v>100</v>
      </c>
      <c r="EP438" s="2" t="n">
        <v>0</v>
      </c>
      <c r="EQ438" s="2" t="n">
        <v>100</v>
      </c>
      <c r="ER438" s="2" t="n">
        <v>100</v>
      </c>
      <c r="ES438" s="2" t="n">
        <v>0</v>
      </c>
    </row>
    <row r="439">
      <c r="A439" s="2" t="n">
        <v>3</v>
      </c>
      <c r="B439" s="2" t="inlineStr">
        <is>
          <t>19.05.03</t>
        </is>
      </c>
      <c r="C439" s="2" t="inlineStr">
        <is>
          <t>Camada de transição geotêxtil 200g/m2</t>
        </is>
      </c>
      <c r="D439" s="2" t="inlineStr">
        <is>
          <t>11/08/2027</t>
        </is>
      </c>
      <c r="E439" s="2" t="inlineStr">
        <is>
          <t>01/09/2028</t>
        </is>
      </c>
      <c r="F439" s="2" t="n">
        <v>6933.820499999997</v>
      </c>
      <c r="G439" s="2" t="n">
        <v>0</v>
      </c>
      <c r="H439" s="2" t="n">
        <v>6933.820499999997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0</v>
      </c>
      <c r="AM439" s="2" t="n">
        <v>0</v>
      </c>
      <c r="AN439" s="2" t="n">
        <v>0</v>
      </c>
      <c r="AO439" s="2" t="n">
        <v>0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n">
        <v>0</v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n">
        <v>0</v>
      </c>
      <c r="BI439" s="2" t="n">
        <v>0</v>
      </c>
      <c r="BJ439" s="2" t="n">
        <v>0</v>
      </c>
      <c r="BK439" s="2" t="n">
        <v>0</v>
      </c>
      <c r="BL439" s="2" t="n">
        <v>0</v>
      </c>
      <c r="BM439" s="2" t="n">
        <v>0</v>
      </c>
      <c r="BN439" s="2" t="n">
        <v>0</v>
      </c>
      <c r="BO439" s="2" t="n">
        <v>0</v>
      </c>
      <c r="BP439" s="2" t="n">
        <v>0</v>
      </c>
      <c r="BQ439" s="2" t="n">
        <v>0</v>
      </c>
      <c r="BR439" s="2" t="n">
        <v>0</v>
      </c>
      <c r="BS439" s="2" t="n">
        <v>0</v>
      </c>
      <c r="BT439" s="2" t="n">
        <v>0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2" t="n">
        <v>0</v>
      </c>
      <c r="CH439" s="2" t="n">
        <v>0</v>
      </c>
      <c r="CI439" s="2" t="n">
        <v>2.65</v>
      </c>
      <c r="CJ439" s="2" t="n">
        <v>3.97</v>
      </c>
      <c r="CK439" s="2" t="n">
        <v>0</v>
      </c>
      <c r="CL439" s="2" t="n">
        <v>8.199999999999999</v>
      </c>
      <c r="CM439" s="2" t="n">
        <v>9.52</v>
      </c>
      <c r="CN439" s="2" t="n">
        <v>0</v>
      </c>
      <c r="CO439" s="2" t="n">
        <v>13.49</v>
      </c>
      <c r="CP439" s="2" t="n">
        <v>17.2</v>
      </c>
      <c r="CQ439" s="2" t="n">
        <v>0</v>
      </c>
      <c r="CR439" s="2" t="n">
        <v>23.54</v>
      </c>
      <c r="CS439" s="2" t="n">
        <v>24.87</v>
      </c>
      <c r="CT439" s="2" t="n">
        <v>0</v>
      </c>
      <c r="CU439" s="2" t="n">
        <v>27.78</v>
      </c>
      <c r="CV439" s="2" t="n">
        <v>30.53</v>
      </c>
      <c r="CW439" s="2" t="n">
        <v>0</v>
      </c>
      <c r="CX439" s="2" t="n">
        <v>35</v>
      </c>
      <c r="CY439" s="2" t="n">
        <v>37.04</v>
      </c>
      <c r="CZ439" s="2" t="n">
        <v>0</v>
      </c>
      <c r="DA439" s="2" t="n">
        <v>41.27</v>
      </c>
      <c r="DB439" s="2" t="n">
        <v>43.54</v>
      </c>
      <c r="DC439" s="2" t="n">
        <v>0</v>
      </c>
      <c r="DD439" s="2" t="n">
        <v>54.32</v>
      </c>
      <c r="DE439" s="2" t="n">
        <v>56.56</v>
      </c>
      <c r="DF439" s="2" t="n">
        <v>0</v>
      </c>
      <c r="DG439" s="2" t="n">
        <v>63.54</v>
      </c>
      <c r="DH439" s="2" t="n">
        <v>65.38</v>
      </c>
      <c r="DI439" s="2" t="n">
        <v>0</v>
      </c>
      <c r="DJ439" s="2" t="n">
        <v>72.54000000000001</v>
      </c>
      <c r="DK439" s="2" t="n">
        <v>81.36</v>
      </c>
      <c r="DL439" s="2" t="n">
        <v>0</v>
      </c>
      <c r="DM439" s="2" t="n">
        <v>86.23999999999999</v>
      </c>
      <c r="DN439" s="2" t="n">
        <v>94.76000000000001</v>
      </c>
      <c r="DO439" s="2" t="n">
        <v>0</v>
      </c>
      <c r="DP439" s="2" t="n">
        <v>97.45999999999999</v>
      </c>
      <c r="DQ439" s="2" t="n">
        <v>97.62</v>
      </c>
      <c r="DR439" s="2" t="n">
        <v>0</v>
      </c>
      <c r="DS439" s="2" t="n">
        <v>98.41</v>
      </c>
      <c r="DT439" s="2" t="n">
        <v>99.73999999999999</v>
      </c>
      <c r="DU439" s="2" t="n">
        <v>0</v>
      </c>
      <c r="DV439" s="2" t="n">
        <v>100</v>
      </c>
      <c r="DW439" s="2" t="n">
        <v>100</v>
      </c>
      <c r="DX439" s="2" t="n">
        <v>0</v>
      </c>
      <c r="DY439" s="2" t="n">
        <v>100</v>
      </c>
      <c r="DZ439" s="2" t="n">
        <v>100</v>
      </c>
      <c r="EA439" s="2" t="n">
        <v>0</v>
      </c>
      <c r="EB439" s="2" t="n">
        <v>100</v>
      </c>
      <c r="EC439" s="2" t="n">
        <v>100</v>
      </c>
      <c r="ED439" s="2" t="n">
        <v>0</v>
      </c>
      <c r="EE439" s="2" t="n">
        <v>100</v>
      </c>
      <c r="EF439" s="2" t="n">
        <v>100</v>
      </c>
      <c r="EG439" s="2" t="n">
        <v>0</v>
      </c>
      <c r="EH439" s="2" t="n">
        <v>100</v>
      </c>
      <c r="EI439" s="2" t="n">
        <v>100</v>
      </c>
      <c r="EJ439" s="2" t="n">
        <v>0</v>
      </c>
      <c r="EK439" s="2" t="n">
        <v>100</v>
      </c>
      <c r="EL439" s="2" t="n">
        <v>100</v>
      </c>
      <c r="EM439" s="2" t="n">
        <v>0</v>
      </c>
      <c r="EN439" s="2" t="n">
        <v>100</v>
      </c>
      <c r="EO439" s="2" t="n">
        <v>100</v>
      </c>
      <c r="EP439" s="2" t="n">
        <v>0</v>
      </c>
      <c r="EQ439" s="2" t="n">
        <v>100</v>
      </c>
      <c r="ER439" s="2" t="n">
        <v>100</v>
      </c>
      <c r="ES439" s="2" t="n">
        <v>0</v>
      </c>
    </row>
    <row r="440">
      <c r="A440" s="2" t="n">
        <v>3</v>
      </c>
      <c r="B440" s="2" t="inlineStr">
        <is>
          <t>19.05.04</t>
        </is>
      </c>
      <c r="C440" s="2" t="inlineStr">
        <is>
          <t>Junta perimetral preenchida com mastique de poliuretano</t>
        </is>
      </c>
      <c r="D440" s="2" t="inlineStr">
        <is>
          <t>11/08/2027</t>
        </is>
      </c>
      <c r="E440" s="2" t="inlineStr">
        <is>
          <t>01/09/2028</t>
        </is>
      </c>
      <c r="F440" s="2" t="n">
        <v>69502.85654553307</v>
      </c>
      <c r="G440" s="2" t="n">
        <v>0</v>
      </c>
      <c r="H440" s="2" t="n">
        <v>69502.85654553307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0</v>
      </c>
      <c r="AN440" s="2" t="n">
        <v>0</v>
      </c>
      <c r="AO440" s="2" t="n">
        <v>0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n">
        <v>0</v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n">
        <v>0</v>
      </c>
      <c r="BI440" s="2" t="n">
        <v>0</v>
      </c>
      <c r="BJ440" s="2" t="n">
        <v>0</v>
      </c>
      <c r="BK440" s="2" t="n">
        <v>0</v>
      </c>
      <c r="BL440" s="2" t="n">
        <v>0</v>
      </c>
      <c r="BM440" s="2" t="n">
        <v>0</v>
      </c>
      <c r="BN440" s="2" t="n">
        <v>0</v>
      </c>
      <c r="BO440" s="2" t="n">
        <v>0</v>
      </c>
      <c r="BP440" s="2" t="n">
        <v>0</v>
      </c>
      <c r="BQ440" s="2" t="n">
        <v>0</v>
      </c>
      <c r="BR440" s="2" t="n">
        <v>0</v>
      </c>
      <c r="BS440" s="2" t="n">
        <v>0</v>
      </c>
      <c r="BT440" s="2" t="n">
        <v>0</v>
      </c>
      <c r="BU440" s="2" t="n">
        <v>0</v>
      </c>
      <c r="BV440" s="2" t="n">
        <v>0</v>
      </c>
      <c r="BW440" s="2" t="n">
        <v>0</v>
      </c>
      <c r="BX440" s="2" t="n">
        <v>0</v>
      </c>
      <c r="BY440" s="2" t="n">
        <v>0</v>
      </c>
      <c r="BZ440" s="2" t="n">
        <v>0</v>
      </c>
      <c r="CA440" s="2" t="n">
        <v>0</v>
      </c>
      <c r="CB440" s="2" t="n">
        <v>0</v>
      </c>
      <c r="CC440" s="2" t="n">
        <v>0</v>
      </c>
      <c r="CD440" s="2" t="n">
        <v>0</v>
      </c>
      <c r="CE440" s="2" t="n">
        <v>0</v>
      </c>
      <c r="CF440" s="2" t="n">
        <v>0</v>
      </c>
      <c r="CG440" s="2" t="n">
        <v>0</v>
      </c>
      <c r="CH440" s="2" t="n">
        <v>0</v>
      </c>
      <c r="CI440" s="2" t="n">
        <v>2.65</v>
      </c>
      <c r="CJ440" s="2" t="n">
        <v>3.97</v>
      </c>
      <c r="CK440" s="2" t="n">
        <v>0</v>
      </c>
      <c r="CL440" s="2" t="n">
        <v>8.199999999999999</v>
      </c>
      <c r="CM440" s="2" t="n">
        <v>9.52</v>
      </c>
      <c r="CN440" s="2" t="n">
        <v>0</v>
      </c>
      <c r="CO440" s="2" t="n">
        <v>13.49</v>
      </c>
      <c r="CP440" s="2" t="n">
        <v>17.2</v>
      </c>
      <c r="CQ440" s="2" t="n">
        <v>0</v>
      </c>
      <c r="CR440" s="2" t="n">
        <v>23.54</v>
      </c>
      <c r="CS440" s="2" t="n">
        <v>24.87</v>
      </c>
      <c r="CT440" s="2" t="n">
        <v>0</v>
      </c>
      <c r="CU440" s="2" t="n">
        <v>27.78</v>
      </c>
      <c r="CV440" s="2" t="n">
        <v>30.53</v>
      </c>
      <c r="CW440" s="2" t="n">
        <v>0</v>
      </c>
      <c r="CX440" s="2" t="n">
        <v>35</v>
      </c>
      <c r="CY440" s="2" t="n">
        <v>37.04</v>
      </c>
      <c r="CZ440" s="2" t="n">
        <v>0</v>
      </c>
      <c r="DA440" s="2" t="n">
        <v>41.27</v>
      </c>
      <c r="DB440" s="2" t="n">
        <v>43.54</v>
      </c>
      <c r="DC440" s="2" t="n">
        <v>0</v>
      </c>
      <c r="DD440" s="2" t="n">
        <v>54.32</v>
      </c>
      <c r="DE440" s="2" t="n">
        <v>56.56</v>
      </c>
      <c r="DF440" s="2" t="n">
        <v>0</v>
      </c>
      <c r="DG440" s="2" t="n">
        <v>63.54</v>
      </c>
      <c r="DH440" s="2" t="n">
        <v>65.38</v>
      </c>
      <c r="DI440" s="2" t="n">
        <v>0</v>
      </c>
      <c r="DJ440" s="2" t="n">
        <v>72.54000000000001</v>
      </c>
      <c r="DK440" s="2" t="n">
        <v>81.36</v>
      </c>
      <c r="DL440" s="2" t="n">
        <v>0</v>
      </c>
      <c r="DM440" s="2" t="n">
        <v>86.23999999999999</v>
      </c>
      <c r="DN440" s="2" t="n">
        <v>94.76000000000001</v>
      </c>
      <c r="DO440" s="2" t="n">
        <v>0</v>
      </c>
      <c r="DP440" s="2" t="n">
        <v>97.45999999999999</v>
      </c>
      <c r="DQ440" s="2" t="n">
        <v>97.62</v>
      </c>
      <c r="DR440" s="2" t="n">
        <v>0</v>
      </c>
      <c r="DS440" s="2" t="n">
        <v>98.41</v>
      </c>
      <c r="DT440" s="2" t="n">
        <v>99.73999999999999</v>
      </c>
      <c r="DU440" s="2" t="n">
        <v>0</v>
      </c>
      <c r="DV440" s="2" t="n">
        <v>100</v>
      </c>
      <c r="DW440" s="2" t="n">
        <v>100</v>
      </c>
      <c r="DX440" s="2" t="n">
        <v>0</v>
      </c>
      <c r="DY440" s="2" t="n">
        <v>100</v>
      </c>
      <c r="DZ440" s="2" t="n">
        <v>100</v>
      </c>
      <c r="EA440" s="2" t="n">
        <v>0</v>
      </c>
      <c r="EB440" s="2" t="n">
        <v>100</v>
      </c>
      <c r="EC440" s="2" t="n">
        <v>100</v>
      </c>
      <c r="ED440" s="2" t="n">
        <v>0</v>
      </c>
      <c r="EE440" s="2" t="n">
        <v>100</v>
      </c>
      <c r="EF440" s="2" t="n">
        <v>100</v>
      </c>
      <c r="EG440" s="2" t="n">
        <v>0</v>
      </c>
      <c r="EH440" s="2" t="n">
        <v>100</v>
      </c>
      <c r="EI440" s="2" t="n">
        <v>100</v>
      </c>
      <c r="EJ440" s="2" t="n">
        <v>0</v>
      </c>
      <c r="EK440" s="2" t="n">
        <v>100</v>
      </c>
      <c r="EL440" s="2" t="n">
        <v>100</v>
      </c>
      <c r="EM440" s="2" t="n">
        <v>0</v>
      </c>
      <c r="EN440" s="2" t="n">
        <v>100</v>
      </c>
      <c r="EO440" s="2" t="n">
        <v>100</v>
      </c>
      <c r="EP440" s="2" t="n">
        <v>0</v>
      </c>
      <c r="EQ440" s="2" t="n">
        <v>100</v>
      </c>
      <c r="ER440" s="2" t="n">
        <v>100</v>
      </c>
      <c r="ES440" s="2" t="n">
        <v>0</v>
      </c>
    </row>
    <row r="441">
      <c r="A441" s="2" t="n">
        <v>3</v>
      </c>
      <c r="B441" s="2" t="inlineStr">
        <is>
          <t>19.05.05</t>
        </is>
      </c>
      <c r="C441" s="2" t="inlineStr">
        <is>
          <t>Cantoneira de alumínio/ galvanizada 2x2 fixada com parafuso e bucha S6 a cada 30cm</t>
        </is>
      </c>
      <c r="D441" s="2" t="inlineStr">
        <is>
          <t>11/08/2027</t>
        </is>
      </c>
      <c r="E441" s="2" t="inlineStr">
        <is>
          <t>01/09/2028</t>
        </is>
      </c>
      <c r="F441" s="2" t="n">
        <v>63171.95625</v>
      </c>
      <c r="G441" s="2" t="n">
        <v>0</v>
      </c>
      <c r="H441" s="2" t="n">
        <v>63171.95625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0</v>
      </c>
      <c r="AM441" s="2" t="n">
        <v>0</v>
      </c>
      <c r="AN441" s="2" t="n">
        <v>0</v>
      </c>
      <c r="AO441" s="2" t="n">
        <v>0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n">
        <v>0</v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n">
        <v>0</v>
      </c>
      <c r="BI441" s="2" t="n">
        <v>0</v>
      </c>
      <c r="BJ441" s="2" t="n">
        <v>0</v>
      </c>
      <c r="BK441" s="2" t="n">
        <v>0</v>
      </c>
      <c r="BL441" s="2" t="n">
        <v>0</v>
      </c>
      <c r="BM441" s="2" t="n">
        <v>0</v>
      </c>
      <c r="BN441" s="2" t="n">
        <v>0</v>
      </c>
      <c r="BO441" s="2" t="n">
        <v>0</v>
      </c>
      <c r="BP441" s="2" t="n">
        <v>0</v>
      </c>
      <c r="BQ441" s="2" t="n">
        <v>0</v>
      </c>
      <c r="BR441" s="2" t="n">
        <v>0</v>
      </c>
      <c r="BS441" s="2" t="n">
        <v>0</v>
      </c>
      <c r="BT441" s="2" t="n">
        <v>0</v>
      </c>
      <c r="BU441" s="2" t="n">
        <v>0</v>
      </c>
      <c r="BV441" s="2" t="n">
        <v>0</v>
      </c>
      <c r="BW441" s="2" t="n">
        <v>0</v>
      </c>
      <c r="BX441" s="2" t="n">
        <v>0</v>
      </c>
      <c r="BY441" s="2" t="n">
        <v>0</v>
      </c>
      <c r="BZ441" s="2" t="n">
        <v>0</v>
      </c>
      <c r="CA441" s="2" t="n">
        <v>0</v>
      </c>
      <c r="CB441" s="2" t="n">
        <v>0</v>
      </c>
      <c r="CC441" s="2" t="n">
        <v>0</v>
      </c>
      <c r="CD441" s="2" t="n">
        <v>0</v>
      </c>
      <c r="CE441" s="2" t="n">
        <v>0</v>
      </c>
      <c r="CF441" s="2" t="n">
        <v>0</v>
      </c>
      <c r="CG441" s="2" t="n">
        <v>0</v>
      </c>
      <c r="CH441" s="2" t="n">
        <v>0</v>
      </c>
      <c r="CI441" s="2" t="n">
        <v>2.65</v>
      </c>
      <c r="CJ441" s="2" t="n">
        <v>3.97</v>
      </c>
      <c r="CK441" s="2" t="n">
        <v>0</v>
      </c>
      <c r="CL441" s="2" t="n">
        <v>8.199999999999999</v>
      </c>
      <c r="CM441" s="2" t="n">
        <v>9.52</v>
      </c>
      <c r="CN441" s="2" t="n">
        <v>0</v>
      </c>
      <c r="CO441" s="2" t="n">
        <v>13.49</v>
      </c>
      <c r="CP441" s="2" t="n">
        <v>17.2</v>
      </c>
      <c r="CQ441" s="2" t="n">
        <v>0</v>
      </c>
      <c r="CR441" s="2" t="n">
        <v>23.54</v>
      </c>
      <c r="CS441" s="2" t="n">
        <v>24.87</v>
      </c>
      <c r="CT441" s="2" t="n">
        <v>0</v>
      </c>
      <c r="CU441" s="2" t="n">
        <v>27.78</v>
      </c>
      <c r="CV441" s="2" t="n">
        <v>30.53</v>
      </c>
      <c r="CW441" s="2" t="n">
        <v>0</v>
      </c>
      <c r="CX441" s="2" t="n">
        <v>35</v>
      </c>
      <c r="CY441" s="2" t="n">
        <v>37.04</v>
      </c>
      <c r="CZ441" s="2" t="n">
        <v>0</v>
      </c>
      <c r="DA441" s="2" t="n">
        <v>41.27</v>
      </c>
      <c r="DB441" s="2" t="n">
        <v>43.54</v>
      </c>
      <c r="DC441" s="2" t="n">
        <v>0</v>
      </c>
      <c r="DD441" s="2" t="n">
        <v>54.32</v>
      </c>
      <c r="DE441" s="2" t="n">
        <v>56.56</v>
      </c>
      <c r="DF441" s="2" t="n">
        <v>0</v>
      </c>
      <c r="DG441" s="2" t="n">
        <v>63.54</v>
      </c>
      <c r="DH441" s="2" t="n">
        <v>65.38</v>
      </c>
      <c r="DI441" s="2" t="n">
        <v>0</v>
      </c>
      <c r="DJ441" s="2" t="n">
        <v>72.54000000000001</v>
      </c>
      <c r="DK441" s="2" t="n">
        <v>81.36</v>
      </c>
      <c r="DL441" s="2" t="n">
        <v>0</v>
      </c>
      <c r="DM441" s="2" t="n">
        <v>86.23999999999999</v>
      </c>
      <c r="DN441" s="2" t="n">
        <v>94.76000000000001</v>
      </c>
      <c r="DO441" s="2" t="n">
        <v>0</v>
      </c>
      <c r="DP441" s="2" t="n">
        <v>97.45999999999999</v>
      </c>
      <c r="DQ441" s="2" t="n">
        <v>97.62</v>
      </c>
      <c r="DR441" s="2" t="n">
        <v>0</v>
      </c>
      <c r="DS441" s="2" t="n">
        <v>98.41</v>
      </c>
      <c r="DT441" s="2" t="n">
        <v>99.73999999999999</v>
      </c>
      <c r="DU441" s="2" t="n">
        <v>0</v>
      </c>
      <c r="DV441" s="2" t="n">
        <v>100</v>
      </c>
      <c r="DW441" s="2" t="n">
        <v>100</v>
      </c>
      <c r="DX441" s="2" t="n">
        <v>0</v>
      </c>
      <c r="DY441" s="2" t="n">
        <v>100</v>
      </c>
      <c r="DZ441" s="2" t="n">
        <v>100</v>
      </c>
      <c r="EA441" s="2" t="n">
        <v>0</v>
      </c>
      <c r="EB441" s="2" t="n">
        <v>100</v>
      </c>
      <c r="EC441" s="2" t="n">
        <v>100</v>
      </c>
      <c r="ED441" s="2" t="n">
        <v>0</v>
      </c>
      <c r="EE441" s="2" t="n">
        <v>100</v>
      </c>
      <c r="EF441" s="2" t="n">
        <v>100</v>
      </c>
      <c r="EG441" s="2" t="n">
        <v>0</v>
      </c>
      <c r="EH441" s="2" t="n">
        <v>100</v>
      </c>
      <c r="EI441" s="2" t="n">
        <v>100</v>
      </c>
      <c r="EJ441" s="2" t="n">
        <v>0</v>
      </c>
      <c r="EK441" s="2" t="n">
        <v>100</v>
      </c>
      <c r="EL441" s="2" t="n">
        <v>100</v>
      </c>
      <c r="EM441" s="2" t="n">
        <v>0</v>
      </c>
      <c r="EN441" s="2" t="n">
        <v>100</v>
      </c>
      <c r="EO441" s="2" t="n">
        <v>100</v>
      </c>
      <c r="EP441" s="2" t="n">
        <v>0</v>
      </c>
      <c r="EQ441" s="2" t="n">
        <v>100</v>
      </c>
      <c r="ER441" s="2" t="n">
        <v>100</v>
      </c>
      <c r="ES441" s="2" t="n">
        <v>0</v>
      </c>
    </row>
    <row r="442">
      <c r="A442" s="2" t="n">
        <v>3</v>
      </c>
      <c r="B442" s="2" t="inlineStr">
        <is>
          <t>19.05.06</t>
        </is>
      </c>
      <c r="C442" s="2" t="inlineStr">
        <is>
          <t>Jardim sobre laje</t>
        </is>
      </c>
      <c r="D442" s="2" t="inlineStr">
        <is>
          <t>11/08/2027</t>
        </is>
      </c>
      <c r="E442" s="2" t="inlineStr">
        <is>
          <t>01/09/2028</t>
        </is>
      </c>
      <c r="F442" s="2" t="n">
        <v>628940.1388094998</v>
      </c>
      <c r="G442" s="2" t="n">
        <v>0</v>
      </c>
      <c r="H442" s="2" t="n">
        <v>628940.1388094998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0</v>
      </c>
      <c r="AM442" s="2" t="n">
        <v>0</v>
      </c>
      <c r="AN442" s="2" t="n">
        <v>0</v>
      </c>
      <c r="AO442" s="2" t="n">
        <v>0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n">
        <v>0</v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n">
        <v>0</v>
      </c>
      <c r="BI442" s="2" t="n">
        <v>0</v>
      </c>
      <c r="BJ442" s="2" t="n">
        <v>0</v>
      </c>
      <c r="BK442" s="2" t="n">
        <v>0</v>
      </c>
      <c r="BL442" s="2" t="n">
        <v>0</v>
      </c>
      <c r="BM442" s="2" t="n">
        <v>0</v>
      </c>
      <c r="BN442" s="2" t="n">
        <v>0</v>
      </c>
      <c r="BO442" s="2" t="n">
        <v>0</v>
      </c>
      <c r="BP442" s="2" t="n">
        <v>0</v>
      </c>
      <c r="BQ442" s="2" t="n">
        <v>0</v>
      </c>
      <c r="BR442" s="2" t="n">
        <v>0</v>
      </c>
      <c r="BS442" s="2" t="n">
        <v>0</v>
      </c>
      <c r="BT442" s="2" t="n">
        <v>0</v>
      </c>
      <c r="BU442" s="2" t="n">
        <v>0</v>
      </c>
      <c r="BV442" s="2" t="n">
        <v>0</v>
      </c>
      <c r="BW442" s="2" t="n">
        <v>0</v>
      </c>
      <c r="BX442" s="2" t="n">
        <v>0</v>
      </c>
      <c r="BY442" s="2" t="n">
        <v>0</v>
      </c>
      <c r="BZ442" s="2" t="n">
        <v>0</v>
      </c>
      <c r="CA442" s="2" t="n">
        <v>0</v>
      </c>
      <c r="CB442" s="2" t="n">
        <v>0</v>
      </c>
      <c r="CC442" s="2" t="n">
        <v>0</v>
      </c>
      <c r="CD442" s="2" t="n">
        <v>0</v>
      </c>
      <c r="CE442" s="2" t="n">
        <v>0</v>
      </c>
      <c r="CF442" s="2" t="n">
        <v>0</v>
      </c>
      <c r="CG442" s="2" t="n">
        <v>0</v>
      </c>
      <c r="CH442" s="2" t="n">
        <v>0</v>
      </c>
      <c r="CI442" s="2" t="n">
        <v>2.65</v>
      </c>
      <c r="CJ442" s="2" t="n">
        <v>3.97</v>
      </c>
      <c r="CK442" s="2" t="n">
        <v>0</v>
      </c>
      <c r="CL442" s="2" t="n">
        <v>8.199999999999999</v>
      </c>
      <c r="CM442" s="2" t="n">
        <v>9.52</v>
      </c>
      <c r="CN442" s="2" t="n">
        <v>0</v>
      </c>
      <c r="CO442" s="2" t="n">
        <v>13.49</v>
      </c>
      <c r="CP442" s="2" t="n">
        <v>17.2</v>
      </c>
      <c r="CQ442" s="2" t="n">
        <v>0</v>
      </c>
      <c r="CR442" s="2" t="n">
        <v>23.54</v>
      </c>
      <c r="CS442" s="2" t="n">
        <v>24.87</v>
      </c>
      <c r="CT442" s="2" t="n">
        <v>0</v>
      </c>
      <c r="CU442" s="2" t="n">
        <v>27.78</v>
      </c>
      <c r="CV442" s="2" t="n">
        <v>30.53</v>
      </c>
      <c r="CW442" s="2" t="n">
        <v>0</v>
      </c>
      <c r="CX442" s="2" t="n">
        <v>35</v>
      </c>
      <c r="CY442" s="2" t="n">
        <v>37.04</v>
      </c>
      <c r="CZ442" s="2" t="n">
        <v>0</v>
      </c>
      <c r="DA442" s="2" t="n">
        <v>41.27</v>
      </c>
      <c r="DB442" s="2" t="n">
        <v>43.54</v>
      </c>
      <c r="DC442" s="2" t="n">
        <v>0</v>
      </c>
      <c r="DD442" s="2" t="n">
        <v>54.32</v>
      </c>
      <c r="DE442" s="2" t="n">
        <v>56.56</v>
      </c>
      <c r="DF442" s="2" t="n">
        <v>0</v>
      </c>
      <c r="DG442" s="2" t="n">
        <v>63.54</v>
      </c>
      <c r="DH442" s="2" t="n">
        <v>65.38</v>
      </c>
      <c r="DI442" s="2" t="n">
        <v>0</v>
      </c>
      <c r="DJ442" s="2" t="n">
        <v>72.54000000000001</v>
      </c>
      <c r="DK442" s="2" t="n">
        <v>81.36</v>
      </c>
      <c r="DL442" s="2" t="n">
        <v>0</v>
      </c>
      <c r="DM442" s="2" t="n">
        <v>86.23999999999999</v>
      </c>
      <c r="DN442" s="2" t="n">
        <v>94.76000000000001</v>
      </c>
      <c r="DO442" s="2" t="n">
        <v>0</v>
      </c>
      <c r="DP442" s="2" t="n">
        <v>97.45999999999999</v>
      </c>
      <c r="DQ442" s="2" t="n">
        <v>97.62</v>
      </c>
      <c r="DR442" s="2" t="n">
        <v>0</v>
      </c>
      <c r="DS442" s="2" t="n">
        <v>98.41</v>
      </c>
      <c r="DT442" s="2" t="n">
        <v>99.73999999999999</v>
      </c>
      <c r="DU442" s="2" t="n">
        <v>0</v>
      </c>
      <c r="DV442" s="2" t="n">
        <v>100</v>
      </c>
      <c r="DW442" s="2" t="n">
        <v>100</v>
      </c>
      <c r="DX442" s="2" t="n">
        <v>0</v>
      </c>
      <c r="DY442" s="2" t="n">
        <v>100</v>
      </c>
      <c r="DZ442" s="2" t="n">
        <v>100</v>
      </c>
      <c r="EA442" s="2" t="n">
        <v>0</v>
      </c>
      <c r="EB442" s="2" t="n">
        <v>100</v>
      </c>
      <c r="EC442" s="2" t="n">
        <v>100</v>
      </c>
      <c r="ED442" s="2" t="n">
        <v>0</v>
      </c>
      <c r="EE442" s="2" t="n">
        <v>100</v>
      </c>
      <c r="EF442" s="2" t="n">
        <v>100</v>
      </c>
      <c r="EG442" s="2" t="n">
        <v>0</v>
      </c>
      <c r="EH442" s="2" t="n">
        <v>100</v>
      </c>
      <c r="EI442" s="2" t="n">
        <v>100</v>
      </c>
      <c r="EJ442" s="2" t="n">
        <v>0</v>
      </c>
      <c r="EK442" s="2" t="n">
        <v>100</v>
      </c>
      <c r="EL442" s="2" t="n">
        <v>100</v>
      </c>
      <c r="EM442" s="2" t="n">
        <v>0</v>
      </c>
      <c r="EN442" s="2" t="n">
        <v>100</v>
      </c>
      <c r="EO442" s="2" t="n">
        <v>100</v>
      </c>
      <c r="EP442" s="2" t="n">
        <v>0</v>
      </c>
      <c r="EQ442" s="2" t="n">
        <v>100</v>
      </c>
      <c r="ER442" s="2" t="n">
        <v>100</v>
      </c>
      <c r="ES442" s="2" t="n">
        <v>0</v>
      </c>
    </row>
    <row r="443">
      <c r="A443" s="2" t="n">
        <v>2</v>
      </c>
      <c r="B443" s="2" t="inlineStr">
        <is>
          <t>19.06</t>
        </is>
      </c>
      <c r="C443" s="2" t="inlineStr">
        <is>
          <t>Dupla manta asfáltica tipo III, 3mm + 4mm de espessura, classe B acabamento AA, ambas coladas com asfalto oxidado a quente com consumo de 3,0kg/m². Sobre a manta, camada de transição com geotêxtil 200g/m² impregnado com argamassa polimérica consumo de 3,0kg/m² e acabamento em concreto</t>
        </is>
      </c>
      <c r="D443" s="2" t="inlineStr">
        <is>
          <t>11/08/2027</t>
        </is>
      </c>
      <c r="E443" s="2" t="inlineStr">
        <is>
          <t>01/09/2028</t>
        </is>
      </c>
      <c r="F443" s="2" t="n">
        <v>137089.4792464807</v>
      </c>
      <c r="G443" s="2" t="n">
        <v>0</v>
      </c>
      <c r="H443" s="2" t="n">
        <v>137089.4792464807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0</v>
      </c>
      <c r="AM443" s="2" t="n">
        <v>0</v>
      </c>
      <c r="AN443" s="2" t="n">
        <v>0</v>
      </c>
      <c r="AO443" s="2" t="n">
        <v>0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n">
        <v>0</v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n">
        <v>0</v>
      </c>
      <c r="BI443" s="2" t="n">
        <v>0</v>
      </c>
      <c r="BJ443" s="2" t="n">
        <v>0</v>
      </c>
      <c r="BK443" s="2" t="n">
        <v>0</v>
      </c>
      <c r="BL443" s="2" t="n">
        <v>0</v>
      </c>
      <c r="BM443" s="2" t="n">
        <v>0</v>
      </c>
      <c r="BN443" s="2" t="n">
        <v>0</v>
      </c>
      <c r="BO443" s="2" t="n">
        <v>0</v>
      </c>
      <c r="BP443" s="2" t="n">
        <v>0</v>
      </c>
      <c r="BQ443" s="2" t="n">
        <v>0</v>
      </c>
      <c r="BR443" s="2" t="n">
        <v>0</v>
      </c>
      <c r="BS443" s="2" t="n">
        <v>0</v>
      </c>
      <c r="BT443" s="2" t="n">
        <v>0</v>
      </c>
      <c r="BU443" s="2" t="n">
        <v>0</v>
      </c>
      <c r="BV443" s="2" t="n">
        <v>0</v>
      </c>
      <c r="BW443" s="2" t="n">
        <v>0</v>
      </c>
      <c r="BX443" s="2" t="n">
        <v>0</v>
      </c>
      <c r="BY443" s="2" t="n">
        <v>0</v>
      </c>
      <c r="BZ443" s="2" t="n">
        <v>0</v>
      </c>
      <c r="CA443" s="2" t="n">
        <v>0</v>
      </c>
      <c r="CB443" s="2" t="n">
        <v>0</v>
      </c>
      <c r="CC443" s="2" t="n">
        <v>0</v>
      </c>
      <c r="CD443" s="2" t="n">
        <v>0</v>
      </c>
      <c r="CE443" s="2" t="n">
        <v>0</v>
      </c>
      <c r="CF443" s="2" t="n">
        <v>0</v>
      </c>
      <c r="CG443" s="2" t="n">
        <v>0</v>
      </c>
      <c r="CH443" s="2" t="n">
        <v>0</v>
      </c>
      <c r="CI443" s="2" t="n">
        <v>2.65</v>
      </c>
      <c r="CJ443" s="2" t="n">
        <v>3.97</v>
      </c>
      <c r="CK443" s="2" t="n">
        <v>0</v>
      </c>
      <c r="CL443" s="2" t="n">
        <v>8.199999999999999</v>
      </c>
      <c r="CM443" s="2" t="n">
        <v>9.52</v>
      </c>
      <c r="CN443" s="2" t="n">
        <v>0</v>
      </c>
      <c r="CO443" s="2" t="n">
        <v>13.49</v>
      </c>
      <c r="CP443" s="2" t="n">
        <v>17.2</v>
      </c>
      <c r="CQ443" s="2" t="n">
        <v>0</v>
      </c>
      <c r="CR443" s="2" t="n">
        <v>23.54</v>
      </c>
      <c r="CS443" s="2" t="n">
        <v>24.87</v>
      </c>
      <c r="CT443" s="2" t="n">
        <v>0</v>
      </c>
      <c r="CU443" s="2" t="n">
        <v>27.78</v>
      </c>
      <c r="CV443" s="2" t="n">
        <v>30.53</v>
      </c>
      <c r="CW443" s="2" t="n">
        <v>0</v>
      </c>
      <c r="CX443" s="2" t="n">
        <v>35</v>
      </c>
      <c r="CY443" s="2" t="n">
        <v>37.04</v>
      </c>
      <c r="CZ443" s="2" t="n">
        <v>0</v>
      </c>
      <c r="DA443" s="2" t="n">
        <v>41.27</v>
      </c>
      <c r="DB443" s="2" t="n">
        <v>43.54</v>
      </c>
      <c r="DC443" s="2" t="n">
        <v>0</v>
      </c>
      <c r="DD443" s="2" t="n">
        <v>54.32</v>
      </c>
      <c r="DE443" s="2" t="n">
        <v>56.56</v>
      </c>
      <c r="DF443" s="2" t="n">
        <v>0</v>
      </c>
      <c r="DG443" s="2" t="n">
        <v>63.54</v>
      </c>
      <c r="DH443" s="2" t="n">
        <v>65.38</v>
      </c>
      <c r="DI443" s="2" t="n">
        <v>0</v>
      </c>
      <c r="DJ443" s="2" t="n">
        <v>72.54000000000001</v>
      </c>
      <c r="DK443" s="2" t="n">
        <v>81.36</v>
      </c>
      <c r="DL443" s="2" t="n">
        <v>0</v>
      </c>
      <c r="DM443" s="2" t="n">
        <v>86.23999999999999</v>
      </c>
      <c r="DN443" s="2" t="n">
        <v>94.76000000000001</v>
      </c>
      <c r="DO443" s="2" t="n">
        <v>0</v>
      </c>
      <c r="DP443" s="2" t="n">
        <v>97.45999999999999</v>
      </c>
      <c r="DQ443" s="2" t="n">
        <v>97.62</v>
      </c>
      <c r="DR443" s="2" t="n">
        <v>0</v>
      </c>
      <c r="DS443" s="2" t="n">
        <v>98.41</v>
      </c>
      <c r="DT443" s="2" t="n">
        <v>99.73999999999999</v>
      </c>
      <c r="DU443" s="2" t="n">
        <v>0</v>
      </c>
      <c r="DV443" s="2" t="n">
        <v>100</v>
      </c>
      <c r="DW443" s="2" t="n">
        <v>100</v>
      </c>
      <c r="DX443" s="2" t="n">
        <v>0</v>
      </c>
      <c r="DY443" s="2" t="n">
        <v>100</v>
      </c>
      <c r="DZ443" s="2" t="n">
        <v>100</v>
      </c>
      <c r="EA443" s="2" t="n">
        <v>0</v>
      </c>
      <c r="EB443" s="2" t="n">
        <v>100</v>
      </c>
      <c r="EC443" s="2" t="n">
        <v>100</v>
      </c>
      <c r="ED443" s="2" t="n">
        <v>0</v>
      </c>
      <c r="EE443" s="2" t="n">
        <v>100</v>
      </c>
      <c r="EF443" s="2" t="n">
        <v>100</v>
      </c>
      <c r="EG443" s="2" t="n">
        <v>0</v>
      </c>
      <c r="EH443" s="2" t="n">
        <v>100</v>
      </c>
      <c r="EI443" s="2" t="n">
        <v>100</v>
      </c>
      <c r="EJ443" s="2" t="n">
        <v>0</v>
      </c>
      <c r="EK443" s="2" t="n">
        <v>100</v>
      </c>
      <c r="EL443" s="2" t="n">
        <v>100</v>
      </c>
      <c r="EM443" s="2" t="n">
        <v>0</v>
      </c>
      <c r="EN443" s="2" t="n">
        <v>100</v>
      </c>
      <c r="EO443" s="2" t="n">
        <v>100</v>
      </c>
      <c r="EP443" s="2" t="n">
        <v>0</v>
      </c>
      <c r="EQ443" s="2" t="n">
        <v>100</v>
      </c>
      <c r="ER443" s="2" t="n">
        <v>100</v>
      </c>
      <c r="ES443" s="2" t="n">
        <v>0</v>
      </c>
    </row>
    <row r="444">
      <c r="A444" s="2" t="n">
        <v>3</v>
      </c>
      <c r="B444" s="2" t="inlineStr">
        <is>
          <t>19.06.01</t>
        </is>
      </c>
      <c r="C444" s="2" t="inlineStr">
        <is>
          <t>Camada de regularização com argamassa de cimento e areia</t>
        </is>
      </c>
      <c r="D444" s="2" t="inlineStr">
        <is>
          <t>11/08/2027</t>
        </is>
      </c>
      <c r="E444" s="2" t="inlineStr">
        <is>
          <t>01/09/2028</t>
        </is>
      </c>
      <c r="F444" s="2" t="n">
        <v>11316.8788431472</v>
      </c>
      <c r="G444" s="2" t="n">
        <v>0</v>
      </c>
      <c r="H444" s="2" t="n">
        <v>11316.8788431472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0</v>
      </c>
      <c r="AN444" s="2" t="n">
        <v>0</v>
      </c>
      <c r="AO444" s="2" t="n">
        <v>0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n">
        <v>0</v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n">
        <v>0</v>
      </c>
      <c r="BI444" s="2" t="n">
        <v>0</v>
      </c>
      <c r="BJ444" s="2" t="n">
        <v>0</v>
      </c>
      <c r="BK444" s="2" t="n">
        <v>0</v>
      </c>
      <c r="BL444" s="2" t="n">
        <v>0</v>
      </c>
      <c r="BM444" s="2" t="n">
        <v>0</v>
      </c>
      <c r="BN444" s="2" t="n">
        <v>0</v>
      </c>
      <c r="BO444" s="2" t="n">
        <v>0</v>
      </c>
      <c r="BP444" s="2" t="n">
        <v>0</v>
      </c>
      <c r="BQ444" s="2" t="n">
        <v>0</v>
      </c>
      <c r="BR444" s="2" t="n">
        <v>0</v>
      </c>
      <c r="BS444" s="2" t="n">
        <v>0</v>
      </c>
      <c r="BT444" s="2" t="n">
        <v>0</v>
      </c>
      <c r="BU444" s="2" t="n">
        <v>0</v>
      </c>
      <c r="BV444" s="2" t="n">
        <v>0</v>
      </c>
      <c r="BW444" s="2" t="n">
        <v>0</v>
      </c>
      <c r="BX444" s="2" t="n">
        <v>0</v>
      </c>
      <c r="BY444" s="2" t="n">
        <v>0</v>
      </c>
      <c r="BZ444" s="2" t="n">
        <v>0</v>
      </c>
      <c r="CA444" s="2" t="n">
        <v>0</v>
      </c>
      <c r="CB444" s="2" t="n">
        <v>0</v>
      </c>
      <c r="CC444" s="2" t="n">
        <v>0</v>
      </c>
      <c r="CD444" s="2" t="n">
        <v>0</v>
      </c>
      <c r="CE444" s="2" t="n">
        <v>0</v>
      </c>
      <c r="CF444" s="2" t="n">
        <v>0</v>
      </c>
      <c r="CG444" s="2" t="n">
        <v>0</v>
      </c>
      <c r="CH444" s="2" t="n">
        <v>0</v>
      </c>
      <c r="CI444" s="2" t="n">
        <v>2.65</v>
      </c>
      <c r="CJ444" s="2" t="n">
        <v>3.97</v>
      </c>
      <c r="CK444" s="2" t="n">
        <v>0</v>
      </c>
      <c r="CL444" s="2" t="n">
        <v>8.199999999999999</v>
      </c>
      <c r="CM444" s="2" t="n">
        <v>9.52</v>
      </c>
      <c r="CN444" s="2" t="n">
        <v>0</v>
      </c>
      <c r="CO444" s="2" t="n">
        <v>13.49</v>
      </c>
      <c r="CP444" s="2" t="n">
        <v>17.2</v>
      </c>
      <c r="CQ444" s="2" t="n">
        <v>0</v>
      </c>
      <c r="CR444" s="2" t="n">
        <v>23.54</v>
      </c>
      <c r="CS444" s="2" t="n">
        <v>24.87</v>
      </c>
      <c r="CT444" s="2" t="n">
        <v>0</v>
      </c>
      <c r="CU444" s="2" t="n">
        <v>27.78</v>
      </c>
      <c r="CV444" s="2" t="n">
        <v>30.53</v>
      </c>
      <c r="CW444" s="2" t="n">
        <v>0</v>
      </c>
      <c r="CX444" s="2" t="n">
        <v>35</v>
      </c>
      <c r="CY444" s="2" t="n">
        <v>37.04</v>
      </c>
      <c r="CZ444" s="2" t="n">
        <v>0</v>
      </c>
      <c r="DA444" s="2" t="n">
        <v>41.27</v>
      </c>
      <c r="DB444" s="2" t="n">
        <v>43.54</v>
      </c>
      <c r="DC444" s="2" t="n">
        <v>0</v>
      </c>
      <c r="DD444" s="2" t="n">
        <v>54.32</v>
      </c>
      <c r="DE444" s="2" t="n">
        <v>56.56</v>
      </c>
      <c r="DF444" s="2" t="n">
        <v>0</v>
      </c>
      <c r="DG444" s="2" t="n">
        <v>63.54</v>
      </c>
      <c r="DH444" s="2" t="n">
        <v>65.38</v>
      </c>
      <c r="DI444" s="2" t="n">
        <v>0</v>
      </c>
      <c r="DJ444" s="2" t="n">
        <v>72.54000000000001</v>
      </c>
      <c r="DK444" s="2" t="n">
        <v>81.36</v>
      </c>
      <c r="DL444" s="2" t="n">
        <v>0</v>
      </c>
      <c r="DM444" s="2" t="n">
        <v>86.23999999999999</v>
      </c>
      <c r="DN444" s="2" t="n">
        <v>94.76000000000001</v>
      </c>
      <c r="DO444" s="2" t="n">
        <v>0</v>
      </c>
      <c r="DP444" s="2" t="n">
        <v>97.45999999999999</v>
      </c>
      <c r="DQ444" s="2" t="n">
        <v>97.62</v>
      </c>
      <c r="DR444" s="2" t="n">
        <v>0</v>
      </c>
      <c r="DS444" s="2" t="n">
        <v>98.41</v>
      </c>
      <c r="DT444" s="2" t="n">
        <v>99.73999999999999</v>
      </c>
      <c r="DU444" s="2" t="n">
        <v>0</v>
      </c>
      <c r="DV444" s="2" t="n">
        <v>100</v>
      </c>
      <c r="DW444" s="2" t="n">
        <v>100</v>
      </c>
      <c r="DX444" s="2" t="n">
        <v>0</v>
      </c>
      <c r="DY444" s="2" t="n">
        <v>100</v>
      </c>
      <c r="DZ444" s="2" t="n">
        <v>100</v>
      </c>
      <c r="EA444" s="2" t="n">
        <v>0</v>
      </c>
      <c r="EB444" s="2" t="n">
        <v>100</v>
      </c>
      <c r="EC444" s="2" t="n">
        <v>100</v>
      </c>
      <c r="ED444" s="2" t="n">
        <v>0</v>
      </c>
      <c r="EE444" s="2" t="n">
        <v>100</v>
      </c>
      <c r="EF444" s="2" t="n">
        <v>100</v>
      </c>
      <c r="EG444" s="2" t="n">
        <v>0</v>
      </c>
      <c r="EH444" s="2" t="n">
        <v>100</v>
      </c>
      <c r="EI444" s="2" t="n">
        <v>100</v>
      </c>
      <c r="EJ444" s="2" t="n">
        <v>0</v>
      </c>
      <c r="EK444" s="2" t="n">
        <v>100</v>
      </c>
      <c r="EL444" s="2" t="n">
        <v>100</v>
      </c>
      <c r="EM444" s="2" t="n">
        <v>0</v>
      </c>
      <c r="EN444" s="2" t="n">
        <v>100</v>
      </c>
      <c r="EO444" s="2" t="n">
        <v>100</v>
      </c>
      <c r="EP444" s="2" t="n">
        <v>0</v>
      </c>
      <c r="EQ444" s="2" t="n">
        <v>100</v>
      </c>
      <c r="ER444" s="2" t="n">
        <v>100</v>
      </c>
      <c r="ES444" s="2" t="n">
        <v>0</v>
      </c>
    </row>
    <row r="445">
      <c r="A445" s="2" t="n">
        <v>3</v>
      </c>
      <c r="B445" s="2" t="inlineStr">
        <is>
          <t>19.06.02</t>
        </is>
      </c>
      <c r="C445" s="2" t="inlineStr">
        <is>
          <t>Camada de transição com dreno sintético - geotêxtil 200g/m2</t>
        </is>
      </c>
      <c r="D445" s="2" t="inlineStr">
        <is>
          <t>11/08/2027</t>
        </is>
      </c>
      <c r="E445" s="2" t="inlineStr">
        <is>
          <t>01/09/2028</t>
        </is>
      </c>
      <c r="F445" s="2" t="n">
        <v>1860.92175</v>
      </c>
      <c r="G445" s="2" t="n">
        <v>0</v>
      </c>
      <c r="H445" s="2" t="n">
        <v>1860.92175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0</v>
      </c>
      <c r="AM445" s="2" t="n">
        <v>0</v>
      </c>
      <c r="AN445" s="2" t="n">
        <v>0</v>
      </c>
      <c r="AO445" s="2" t="n">
        <v>0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n">
        <v>0</v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0</v>
      </c>
      <c r="BF445" s="2" t="n">
        <v>0</v>
      </c>
      <c r="BG445" s="2" t="n">
        <v>0</v>
      </c>
      <c r="BH445" s="2" t="n">
        <v>0</v>
      </c>
      <c r="BI445" s="2" t="n">
        <v>0</v>
      </c>
      <c r="BJ445" s="2" t="n">
        <v>0</v>
      </c>
      <c r="BK445" s="2" t="n">
        <v>0</v>
      </c>
      <c r="BL445" s="2" t="n">
        <v>0</v>
      </c>
      <c r="BM445" s="2" t="n">
        <v>0</v>
      </c>
      <c r="BN445" s="2" t="n">
        <v>0</v>
      </c>
      <c r="BO445" s="2" t="n">
        <v>0</v>
      </c>
      <c r="BP445" s="2" t="n">
        <v>0</v>
      </c>
      <c r="BQ445" s="2" t="n">
        <v>0</v>
      </c>
      <c r="BR445" s="2" t="n">
        <v>0</v>
      </c>
      <c r="BS445" s="2" t="n">
        <v>0</v>
      </c>
      <c r="BT445" s="2" t="n">
        <v>0</v>
      </c>
      <c r="BU445" s="2" t="n">
        <v>0</v>
      </c>
      <c r="BV445" s="2" t="n">
        <v>0</v>
      </c>
      <c r="BW445" s="2" t="n">
        <v>0</v>
      </c>
      <c r="BX445" s="2" t="n">
        <v>0</v>
      </c>
      <c r="BY445" s="2" t="n">
        <v>0</v>
      </c>
      <c r="BZ445" s="2" t="n">
        <v>0</v>
      </c>
      <c r="CA445" s="2" t="n">
        <v>0</v>
      </c>
      <c r="CB445" s="2" t="n">
        <v>0</v>
      </c>
      <c r="CC445" s="2" t="n">
        <v>0</v>
      </c>
      <c r="CD445" s="2" t="n">
        <v>0</v>
      </c>
      <c r="CE445" s="2" t="n">
        <v>0</v>
      </c>
      <c r="CF445" s="2" t="n">
        <v>0</v>
      </c>
      <c r="CG445" s="2" t="n">
        <v>0</v>
      </c>
      <c r="CH445" s="2" t="n">
        <v>0</v>
      </c>
      <c r="CI445" s="2" t="n">
        <v>2.65</v>
      </c>
      <c r="CJ445" s="2" t="n">
        <v>3.97</v>
      </c>
      <c r="CK445" s="2" t="n">
        <v>0</v>
      </c>
      <c r="CL445" s="2" t="n">
        <v>8.199999999999999</v>
      </c>
      <c r="CM445" s="2" t="n">
        <v>9.52</v>
      </c>
      <c r="CN445" s="2" t="n">
        <v>0</v>
      </c>
      <c r="CO445" s="2" t="n">
        <v>13.49</v>
      </c>
      <c r="CP445" s="2" t="n">
        <v>17.2</v>
      </c>
      <c r="CQ445" s="2" t="n">
        <v>0</v>
      </c>
      <c r="CR445" s="2" t="n">
        <v>23.54</v>
      </c>
      <c r="CS445" s="2" t="n">
        <v>24.87</v>
      </c>
      <c r="CT445" s="2" t="n">
        <v>0</v>
      </c>
      <c r="CU445" s="2" t="n">
        <v>27.78</v>
      </c>
      <c r="CV445" s="2" t="n">
        <v>30.53</v>
      </c>
      <c r="CW445" s="2" t="n">
        <v>0</v>
      </c>
      <c r="CX445" s="2" t="n">
        <v>35</v>
      </c>
      <c r="CY445" s="2" t="n">
        <v>37.04</v>
      </c>
      <c r="CZ445" s="2" t="n">
        <v>0</v>
      </c>
      <c r="DA445" s="2" t="n">
        <v>41.27</v>
      </c>
      <c r="DB445" s="2" t="n">
        <v>43.54</v>
      </c>
      <c r="DC445" s="2" t="n">
        <v>0</v>
      </c>
      <c r="DD445" s="2" t="n">
        <v>54.32</v>
      </c>
      <c r="DE445" s="2" t="n">
        <v>56.56</v>
      </c>
      <c r="DF445" s="2" t="n">
        <v>0</v>
      </c>
      <c r="DG445" s="2" t="n">
        <v>63.54</v>
      </c>
      <c r="DH445" s="2" t="n">
        <v>65.38</v>
      </c>
      <c r="DI445" s="2" t="n">
        <v>0</v>
      </c>
      <c r="DJ445" s="2" t="n">
        <v>72.54000000000001</v>
      </c>
      <c r="DK445" s="2" t="n">
        <v>81.36</v>
      </c>
      <c r="DL445" s="2" t="n">
        <v>0</v>
      </c>
      <c r="DM445" s="2" t="n">
        <v>86.23999999999999</v>
      </c>
      <c r="DN445" s="2" t="n">
        <v>94.76000000000001</v>
      </c>
      <c r="DO445" s="2" t="n">
        <v>0</v>
      </c>
      <c r="DP445" s="2" t="n">
        <v>97.45999999999999</v>
      </c>
      <c r="DQ445" s="2" t="n">
        <v>97.62</v>
      </c>
      <c r="DR445" s="2" t="n">
        <v>0</v>
      </c>
      <c r="DS445" s="2" t="n">
        <v>98.41</v>
      </c>
      <c r="DT445" s="2" t="n">
        <v>99.73999999999999</v>
      </c>
      <c r="DU445" s="2" t="n">
        <v>0</v>
      </c>
      <c r="DV445" s="2" t="n">
        <v>100</v>
      </c>
      <c r="DW445" s="2" t="n">
        <v>100</v>
      </c>
      <c r="DX445" s="2" t="n">
        <v>0</v>
      </c>
      <c r="DY445" s="2" t="n">
        <v>100</v>
      </c>
      <c r="DZ445" s="2" t="n">
        <v>100</v>
      </c>
      <c r="EA445" s="2" t="n">
        <v>0</v>
      </c>
      <c r="EB445" s="2" t="n">
        <v>100</v>
      </c>
      <c r="EC445" s="2" t="n">
        <v>100</v>
      </c>
      <c r="ED445" s="2" t="n">
        <v>0</v>
      </c>
      <c r="EE445" s="2" t="n">
        <v>100</v>
      </c>
      <c r="EF445" s="2" t="n">
        <v>100</v>
      </c>
      <c r="EG445" s="2" t="n">
        <v>0</v>
      </c>
      <c r="EH445" s="2" t="n">
        <v>100</v>
      </c>
      <c r="EI445" s="2" t="n">
        <v>100</v>
      </c>
      <c r="EJ445" s="2" t="n">
        <v>0</v>
      </c>
      <c r="EK445" s="2" t="n">
        <v>100</v>
      </c>
      <c r="EL445" s="2" t="n">
        <v>100</v>
      </c>
      <c r="EM445" s="2" t="n">
        <v>0</v>
      </c>
      <c r="EN445" s="2" t="n">
        <v>100</v>
      </c>
      <c r="EO445" s="2" t="n">
        <v>100</v>
      </c>
      <c r="EP445" s="2" t="n">
        <v>0</v>
      </c>
      <c r="EQ445" s="2" t="n">
        <v>100</v>
      </c>
      <c r="ER445" s="2" t="n">
        <v>100</v>
      </c>
      <c r="ES445" s="2" t="n">
        <v>0</v>
      </c>
    </row>
    <row r="446">
      <c r="A446" s="2" t="n">
        <v>3</v>
      </c>
      <c r="B446" s="2" t="inlineStr">
        <is>
          <t>19.06.03</t>
        </is>
      </c>
      <c r="C446" s="2" t="inlineStr">
        <is>
          <t>Concreto armado com tela (6cm de espessura)</t>
        </is>
      </c>
      <c r="D446" s="2" t="inlineStr">
        <is>
          <t>11/08/2027</t>
        </is>
      </c>
      <c r="E446" s="2" t="inlineStr">
        <is>
          <t>01/09/2028</t>
        </is>
      </c>
      <c r="F446" s="2" t="n">
        <v>59921.68035</v>
      </c>
      <c r="G446" s="2" t="n">
        <v>0</v>
      </c>
      <c r="H446" s="2" t="n">
        <v>59921.68035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0</v>
      </c>
      <c r="AM446" s="2" t="n">
        <v>0</v>
      </c>
      <c r="AN446" s="2" t="n">
        <v>0</v>
      </c>
      <c r="AO446" s="2" t="n">
        <v>0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n">
        <v>0</v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n">
        <v>0</v>
      </c>
      <c r="BI446" s="2" t="n">
        <v>0</v>
      </c>
      <c r="BJ446" s="2" t="n">
        <v>0</v>
      </c>
      <c r="BK446" s="2" t="n">
        <v>0</v>
      </c>
      <c r="BL446" s="2" t="n">
        <v>0</v>
      </c>
      <c r="BM446" s="2" t="n">
        <v>0</v>
      </c>
      <c r="BN446" s="2" t="n">
        <v>0</v>
      </c>
      <c r="BO446" s="2" t="n">
        <v>0</v>
      </c>
      <c r="BP446" s="2" t="n">
        <v>0</v>
      </c>
      <c r="BQ446" s="2" t="n">
        <v>0</v>
      </c>
      <c r="BR446" s="2" t="n">
        <v>0</v>
      </c>
      <c r="BS446" s="2" t="n">
        <v>0</v>
      </c>
      <c r="BT446" s="2" t="n">
        <v>0</v>
      </c>
      <c r="BU446" s="2" t="n">
        <v>0</v>
      </c>
      <c r="BV446" s="2" t="n">
        <v>0</v>
      </c>
      <c r="BW446" s="2" t="n">
        <v>0</v>
      </c>
      <c r="BX446" s="2" t="n">
        <v>0</v>
      </c>
      <c r="BY446" s="2" t="n">
        <v>0</v>
      </c>
      <c r="BZ446" s="2" t="n">
        <v>0</v>
      </c>
      <c r="CA446" s="2" t="n">
        <v>0</v>
      </c>
      <c r="CB446" s="2" t="n">
        <v>0</v>
      </c>
      <c r="CC446" s="2" t="n">
        <v>0</v>
      </c>
      <c r="CD446" s="2" t="n">
        <v>0</v>
      </c>
      <c r="CE446" s="2" t="n">
        <v>0</v>
      </c>
      <c r="CF446" s="2" t="n">
        <v>0</v>
      </c>
      <c r="CG446" s="2" t="n">
        <v>0</v>
      </c>
      <c r="CH446" s="2" t="n">
        <v>0</v>
      </c>
      <c r="CI446" s="2" t="n">
        <v>2.65</v>
      </c>
      <c r="CJ446" s="2" t="n">
        <v>3.97</v>
      </c>
      <c r="CK446" s="2" t="n">
        <v>0</v>
      </c>
      <c r="CL446" s="2" t="n">
        <v>8.199999999999999</v>
      </c>
      <c r="CM446" s="2" t="n">
        <v>9.52</v>
      </c>
      <c r="CN446" s="2" t="n">
        <v>0</v>
      </c>
      <c r="CO446" s="2" t="n">
        <v>13.49</v>
      </c>
      <c r="CP446" s="2" t="n">
        <v>17.2</v>
      </c>
      <c r="CQ446" s="2" t="n">
        <v>0</v>
      </c>
      <c r="CR446" s="2" t="n">
        <v>23.54</v>
      </c>
      <c r="CS446" s="2" t="n">
        <v>24.87</v>
      </c>
      <c r="CT446" s="2" t="n">
        <v>0</v>
      </c>
      <c r="CU446" s="2" t="n">
        <v>27.78</v>
      </c>
      <c r="CV446" s="2" t="n">
        <v>30.53</v>
      </c>
      <c r="CW446" s="2" t="n">
        <v>0</v>
      </c>
      <c r="CX446" s="2" t="n">
        <v>35</v>
      </c>
      <c r="CY446" s="2" t="n">
        <v>37.04</v>
      </c>
      <c r="CZ446" s="2" t="n">
        <v>0</v>
      </c>
      <c r="DA446" s="2" t="n">
        <v>41.27</v>
      </c>
      <c r="DB446" s="2" t="n">
        <v>43.54</v>
      </c>
      <c r="DC446" s="2" t="n">
        <v>0</v>
      </c>
      <c r="DD446" s="2" t="n">
        <v>54.32</v>
      </c>
      <c r="DE446" s="2" t="n">
        <v>56.56</v>
      </c>
      <c r="DF446" s="2" t="n">
        <v>0</v>
      </c>
      <c r="DG446" s="2" t="n">
        <v>63.54</v>
      </c>
      <c r="DH446" s="2" t="n">
        <v>65.38</v>
      </c>
      <c r="DI446" s="2" t="n">
        <v>0</v>
      </c>
      <c r="DJ446" s="2" t="n">
        <v>72.54000000000001</v>
      </c>
      <c r="DK446" s="2" t="n">
        <v>81.36</v>
      </c>
      <c r="DL446" s="2" t="n">
        <v>0</v>
      </c>
      <c r="DM446" s="2" t="n">
        <v>86.23999999999999</v>
      </c>
      <c r="DN446" s="2" t="n">
        <v>94.76000000000001</v>
      </c>
      <c r="DO446" s="2" t="n">
        <v>0</v>
      </c>
      <c r="DP446" s="2" t="n">
        <v>97.45999999999999</v>
      </c>
      <c r="DQ446" s="2" t="n">
        <v>97.62</v>
      </c>
      <c r="DR446" s="2" t="n">
        <v>0</v>
      </c>
      <c r="DS446" s="2" t="n">
        <v>98.41</v>
      </c>
      <c r="DT446" s="2" t="n">
        <v>99.73999999999999</v>
      </c>
      <c r="DU446" s="2" t="n">
        <v>0</v>
      </c>
      <c r="DV446" s="2" t="n">
        <v>100</v>
      </c>
      <c r="DW446" s="2" t="n">
        <v>100</v>
      </c>
      <c r="DX446" s="2" t="n">
        <v>0</v>
      </c>
      <c r="DY446" s="2" t="n">
        <v>100</v>
      </c>
      <c r="DZ446" s="2" t="n">
        <v>100</v>
      </c>
      <c r="EA446" s="2" t="n">
        <v>0</v>
      </c>
      <c r="EB446" s="2" t="n">
        <v>100</v>
      </c>
      <c r="EC446" s="2" t="n">
        <v>100</v>
      </c>
      <c r="ED446" s="2" t="n">
        <v>0</v>
      </c>
      <c r="EE446" s="2" t="n">
        <v>100</v>
      </c>
      <c r="EF446" s="2" t="n">
        <v>100</v>
      </c>
      <c r="EG446" s="2" t="n">
        <v>0</v>
      </c>
      <c r="EH446" s="2" t="n">
        <v>100</v>
      </c>
      <c r="EI446" s="2" t="n">
        <v>100</v>
      </c>
      <c r="EJ446" s="2" t="n">
        <v>0</v>
      </c>
      <c r="EK446" s="2" t="n">
        <v>100</v>
      </c>
      <c r="EL446" s="2" t="n">
        <v>100</v>
      </c>
      <c r="EM446" s="2" t="n">
        <v>0</v>
      </c>
      <c r="EN446" s="2" t="n">
        <v>100</v>
      </c>
      <c r="EO446" s="2" t="n">
        <v>100</v>
      </c>
      <c r="EP446" s="2" t="n">
        <v>0</v>
      </c>
      <c r="EQ446" s="2" t="n">
        <v>100</v>
      </c>
      <c r="ER446" s="2" t="n">
        <v>100</v>
      </c>
      <c r="ES446" s="2" t="n">
        <v>0</v>
      </c>
    </row>
    <row r="447">
      <c r="A447" s="2" t="n">
        <v>3</v>
      </c>
      <c r="B447" s="2" t="inlineStr">
        <is>
          <t>19.06.04</t>
        </is>
      </c>
      <c r="C447" s="2" t="inlineStr">
        <is>
          <t>Quadra recreação descoberta</t>
        </is>
      </c>
      <c r="D447" s="2" t="inlineStr">
        <is>
          <t>11/08/2027</t>
        </is>
      </c>
      <c r="E447" s="2" t="inlineStr">
        <is>
          <t>01/09/2028</t>
        </is>
      </c>
      <c r="F447" s="2" t="n">
        <v>23647.68</v>
      </c>
      <c r="G447" s="2" t="n">
        <v>0</v>
      </c>
      <c r="H447" s="2" t="n">
        <v>23647.68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  <c r="AM447" s="2" t="n">
        <v>0</v>
      </c>
      <c r="AN447" s="2" t="n">
        <v>0</v>
      </c>
      <c r="AO447" s="2" t="n">
        <v>0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n">
        <v>0</v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n">
        <v>0</v>
      </c>
      <c r="BI447" s="2" t="n">
        <v>0</v>
      </c>
      <c r="BJ447" s="2" t="n">
        <v>0</v>
      </c>
      <c r="BK447" s="2" t="n">
        <v>0</v>
      </c>
      <c r="BL447" s="2" t="n">
        <v>0</v>
      </c>
      <c r="BM447" s="2" t="n">
        <v>0</v>
      </c>
      <c r="BN447" s="2" t="n">
        <v>0</v>
      </c>
      <c r="BO447" s="2" t="n">
        <v>0</v>
      </c>
      <c r="BP447" s="2" t="n">
        <v>0</v>
      </c>
      <c r="BQ447" s="2" t="n">
        <v>0</v>
      </c>
      <c r="BR447" s="2" t="n">
        <v>0</v>
      </c>
      <c r="BS447" s="2" t="n">
        <v>0</v>
      </c>
      <c r="BT447" s="2" t="n">
        <v>0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2.65</v>
      </c>
      <c r="CJ447" s="2" t="n">
        <v>3.97</v>
      </c>
      <c r="CK447" s="2" t="n">
        <v>0</v>
      </c>
      <c r="CL447" s="2" t="n">
        <v>8.199999999999999</v>
      </c>
      <c r="CM447" s="2" t="n">
        <v>9.52</v>
      </c>
      <c r="CN447" s="2" t="n">
        <v>0</v>
      </c>
      <c r="CO447" s="2" t="n">
        <v>13.49</v>
      </c>
      <c r="CP447" s="2" t="n">
        <v>17.2</v>
      </c>
      <c r="CQ447" s="2" t="n">
        <v>0</v>
      </c>
      <c r="CR447" s="2" t="n">
        <v>23.54</v>
      </c>
      <c r="CS447" s="2" t="n">
        <v>24.87</v>
      </c>
      <c r="CT447" s="2" t="n">
        <v>0</v>
      </c>
      <c r="CU447" s="2" t="n">
        <v>27.78</v>
      </c>
      <c r="CV447" s="2" t="n">
        <v>30.53</v>
      </c>
      <c r="CW447" s="2" t="n">
        <v>0</v>
      </c>
      <c r="CX447" s="2" t="n">
        <v>35</v>
      </c>
      <c r="CY447" s="2" t="n">
        <v>37.04</v>
      </c>
      <c r="CZ447" s="2" t="n">
        <v>0</v>
      </c>
      <c r="DA447" s="2" t="n">
        <v>41.27</v>
      </c>
      <c r="DB447" s="2" t="n">
        <v>43.54</v>
      </c>
      <c r="DC447" s="2" t="n">
        <v>0</v>
      </c>
      <c r="DD447" s="2" t="n">
        <v>54.32</v>
      </c>
      <c r="DE447" s="2" t="n">
        <v>56.56</v>
      </c>
      <c r="DF447" s="2" t="n">
        <v>0</v>
      </c>
      <c r="DG447" s="2" t="n">
        <v>63.54</v>
      </c>
      <c r="DH447" s="2" t="n">
        <v>65.38</v>
      </c>
      <c r="DI447" s="2" t="n">
        <v>0</v>
      </c>
      <c r="DJ447" s="2" t="n">
        <v>72.54000000000001</v>
      </c>
      <c r="DK447" s="2" t="n">
        <v>81.36</v>
      </c>
      <c r="DL447" s="2" t="n">
        <v>0</v>
      </c>
      <c r="DM447" s="2" t="n">
        <v>86.23999999999999</v>
      </c>
      <c r="DN447" s="2" t="n">
        <v>94.76000000000001</v>
      </c>
      <c r="DO447" s="2" t="n">
        <v>0</v>
      </c>
      <c r="DP447" s="2" t="n">
        <v>97.45999999999999</v>
      </c>
      <c r="DQ447" s="2" t="n">
        <v>97.62</v>
      </c>
      <c r="DR447" s="2" t="n">
        <v>0</v>
      </c>
      <c r="DS447" s="2" t="n">
        <v>98.41</v>
      </c>
      <c r="DT447" s="2" t="n">
        <v>99.73999999999999</v>
      </c>
      <c r="DU447" s="2" t="n">
        <v>0</v>
      </c>
      <c r="DV447" s="2" t="n">
        <v>100</v>
      </c>
      <c r="DW447" s="2" t="n">
        <v>100</v>
      </c>
      <c r="DX447" s="2" t="n">
        <v>0</v>
      </c>
      <c r="DY447" s="2" t="n">
        <v>100</v>
      </c>
      <c r="DZ447" s="2" t="n">
        <v>100</v>
      </c>
      <c r="EA447" s="2" t="n">
        <v>0</v>
      </c>
      <c r="EB447" s="2" t="n">
        <v>100</v>
      </c>
      <c r="EC447" s="2" t="n">
        <v>100</v>
      </c>
      <c r="ED447" s="2" t="n">
        <v>0</v>
      </c>
      <c r="EE447" s="2" t="n">
        <v>100</v>
      </c>
      <c r="EF447" s="2" t="n">
        <v>100</v>
      </c>
      <c r="EG447" s="2" t="n">
        <v>0</v>
      </c>
      <c r="EH447" s="2" t="n">
        <v>100</v>
      </c>
      <c r="EI447" s="2" t="n">
        <v>100</v>
      </c>
      <c r="EJ447" s="2" t="n">
        <v>0</v>
      </c>
      <c r="EK447" s="2" t="n">
        <v>100</v>
      </c>
      <c r="EL447" s="2" t="n">
        <v>100</v>
      </c>
      <c r="EM447" s="2" t="n">
        <v>0</v>
      </c>
      <c r="EN447" s="2" t="n">
        <v>100</v>
      </c>
      <c r="EO447" s="2" t="n">
        <v>100</v>
      </c>
      <c r="EP447" s="2" t="n">
        <v>0</v>
      </c>
      <c r="EQ447" s="2" t="n">
        <v>100</v>
      </c>
      <c r="ER447" s="2" t="n">
        <v>100</v>
      </c>
      <c r="ES447" s="2" t="n">
        <v>0</v>
      </c>
    </row>
    <row r="448">
      <c r="A448" s="2" t="n">
        <v>3</v>
      </c>
      <c r="B448" s="2" t="inlineStr">
        <is>
          <t>19.06.05</t>
        </is>
      </c>
      <c r="C448" s="2" t="inlineStr">
        <is>
          <t>Junta perimetral preenchida com EPS e selada com mastique de poliuretano</t>
        </is>
      </c>
      <c r="D448" s="2" t="inlineStr">
        <is>
          <t>11/08/2027</t>
        </is>
      </c>
      <c r="E448" s="2" t="inlineStr">
        <is>
          <t>01/09/2028</t>
        </is>
      </c>
      <c r="F448" s="2" t="n">
        <v>1113.447674531724</v>
      </c>
      <c r="G448" s="2" t="n">
        <v>0</v>
      </c>
      <c r="H448" s="2" t="n">
        <v>1113.447674531724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  <c r="AN448" s="2" t="n">
        <v>0</v>
      </c>
      <c r="AO448" s="2" t="n">
        <v>0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n">
        <v>0</v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n">
        <v>0</v>
      </c>
      <c r="BI448" s="2" t="n">
        <v>0</v>
      </c>
      <c r="BJ448" s="2" t="n">
        <v>0</v>
      </c>
      <c r="BK448" s="2" t="n">
        <v>0</v>
      </c>
      <c r="BL448" s="2" t="n">
        <v>0</v>
      </c>
      <c r="BM448" s="2" t="n">
        <v>0</v>
      </c>
      <c r="BN448" s="2" t="n">
        <v>0</v>
      </c>
      <c r="BO448" s="2" t="n">
        <v>0</v>
      </c>
      <c r="BP448" s="2" t="n">
        <v>0</v>
      </c>
      <c r="BQ448" s="2" t="n">
        <v>0</v>
      </c>
      <c r="BR448" s="2" t="n">
        <v>0</v>
      </c>
      <c r="BS448" s="2" t="n">
        <v>0</v>
      </c>
      <c r="BT448" s="2" t="n">
        <v>0</v>
      </c>
      <c r="BU448" s="2" t="n">
        <v>0</v>
      </c>
      <c r="BV448" s="2" t="n">
        <v>0</v>
      </c>
      <c r="BW448" s="2" t="n">
        <v>0</v>
      </c>
      <c r="BX448" s="2" t="n">
        <v>0</v>
      </c>
      <c r="BY448" s="2" t="n">
        <v>0</v>
      </c>
      <c r="BZ448" s="2" t="n">
        <v>0</v>
      </c>
      <c r="CA448" s="2" t="n">
        <v>0</v>
      </c>
      <c r="CB448" s="2" t="n">
        <v>0</v>
      </c>
      <c r="CC448" s="2" t="n">
        <v>0</v>
      </c>
      <c r="CD448" s="2" t="n">
        <v>0</v>
      </c>
      <c r="CE448" s="2" t="n">
        <v>0</v>
      </c>
      <c r="CF448" s="2" t="n">
        <v>0</v>
      </c>
      <c r="CG448" s="2" t="n">
        <v>0</v>
      </c>
      <c r="CH448" s="2" t="n">
        <v>0</v>
      </c>
      <c r="CI448" s="2" t="n">
        <v>2.65</v>
      </c>
      <c r="CJ448" s="2" t="n">
        <v>3.97</v>
      </c>
      <c r="CK448" s="2" t="n">
        <v>0</v>
      </c>
      <c r="CL448" s="2" t="n">
        <v>8.199999999999999</v>
      </c>
      <c r="CM448" s="2" t="n">
        <v>9.52</v>
      </c>
      <c r="CN448" s="2" t="n">
        <v>0</v>
      </c>
      <c r="CO448" s="2" t="n">
        <v>13.49</v>
      </c>
      <c r="CP448" s="2" t="n">
        <v>17.2</v>
      </c>
      <c r="CQ448" s="2" t="n">
        <v>0</v>
      </c>
      <c r="CR448" s="2" t="n">
        <v>23.54</v>
      </c>
      <c r="CS448" s="2" t="n">
        <v>24.87</v>
      </c>
      <c r="CT448" s="2" t="n">
        <v>0</v>
      </c>
      <c r="CU448" s="2" t="n">
        <v>27.78</v>
      </c>
      <c r="CV448" s="2" t="n">
        <v>30.53</v>
      </c>
      <c r="CW448" s="2" t="n">
        <v>0</v>
      </c>
      <c r="CX448" s="2" t="n">
        <v>35</v>
      </c>
      <c r="CY448" s="2" t="n">
        <v>37.04</v>
      </c>
      <c r="CZ448" s="2" t="n">
        <v>0</v>
      </c>
      <c r="DA448" s="2" t="n">
        <v>41.27</v>
      </c>
      <c r="DB448" s="2" t="n">
        <v>43.54</v>
      </c>
      <c r="DC448" s="2" t="n">
        <v>0</v>
      </c>
      <c r="DD448" s="2" t="n">
        <v>54.32</v>
      </c>
      <c r="DE448" s="2" t="n">
        <v>56.56</v>
      </c>
      <c r="DF448" s="2" t="n">
        <v>0</v>
      </c>
      <c r="DG448" s="2" t="n">
        <v>63.54</v>
      </c>
      <c r="DH448" s="2" t="n">
        <v>65.38</v>
      </c>
      <c r="DI448" s="2" t="n">
        <v>0</v>
      </c>
      <c r="DJ448" s="2" t="n">
        <v>72.54000000000001</v>
      </c>
      <c r="DK448" s="2" t="n">
        <v>81.36</v>
      </c>
      <c r="DL448" s="2" t="n">
        <v>0</v>
      </c>
      <c r="DM448" s="2" t="n">
        <v>86.23999999999999</v>
      </c>
      <c r="DN448" s="2" t="n">
        <v>94.76000000000001</v>
      </c>
      <c r="DO448" s="2" t="n">
        <v>0</v>
      </c>
      <c r="DP448" s="2" t="n">
        <v>97.45999999999999</v>
      </c>
      <c r="DQ448" s="2" t="n">
        <v>97.62</v>
      </c>
      <c r="DR448" s="2" t="n">
        <v>0</v>
      </c>
      <c r="DS448" s="2" t="n">
        <v>98.41</v>
      </c>
      <c r="DT448" s="2" t="n">
        <v>99.73999999999999</v>
      </c>
      <c r="DU448" s="2" t="n">
        <v>0</v>
      </c>
      <c r="DV448" s="2" t="n">
        <v>100</v>
      </c>
      <c r="DW448" s="2" t="n">
        <v>100</v>
      </c>
      <c r="DX448" s="2" t="n">
        <v>0</v>
      </c>
      <c r="DY448" s="2" t="n">
        <v>100</v>
      </c>
      <c r="DZ448" s="2" t="n">
        <v>100</v>
      </c>
      <c r="EA448" s="2" t="n">
        <v>0</v>
      </c>
      <c r="EB448" s="2" t="n">
        <v>100</v>
      </c>
      <c r="EC448" s="2" t="n">
        <v>100</v>
      </c>
      <c r="ED448" s="2" t="n">
        <v>0</v>
      </c>
      <c r="EE448" s="2" t="n">
        <v>100</v>
      </c>
      <c r="EF448" s="2" t="n">
        <v>100</v>
      </c>
      <c r="EG448" s="2" t="n">
        <v>0</v>
      </c>
      <c r="EH448" s="2" t="n">
        <v>100</v>
      </c>
      <c r="EI448" s="2" t="n">
        <v>100</v>
      </c>
      <c r="EJ448" s="2" t="n">
        <v>0</v>
      </c>
      <c r="EK448" s="2" t="n">
        <v>100</v>
      </c>
      <c r="EL448" s="2" t="n">
        <v>100</v>
      </c>
      <c r="EM448" s="2" t="n">
        <v>0</v>
      </c>
      <c r="EN448" s="2" t="n">
        <v>100</v>
      </c>
      <c r="EO448" s="2" t="n">
        <v>100</v>
      </c>
      <c r="EP448" s="2" t="n">
        <v>0</v>
      </c>
      <c r="EQ448" s="2" t="n">
        <v>100</v>
      </c>
      <c r="ER448" s="2" t="n">
        <v>100</v>
      </c>
      <c r="ES448" s="2" t="n">
        <v>0</v>
      </c>
    </row>
    <row r="449">
      <c r="A449" s="2" t="n">
        <v>3</v>
      </c>
      <c r="B449" s="2" t="inlineStr">
        <is>
          <t>19.06.06</t>
        </is>
      </c>
      <c r="C449" s="2" t="inlineStr">
        <is>
          <t>Vaga carga e descarga, rampa descoberta</t>
        </is>
      </c>
      <c r="D449" s="2" t="inlineStr">
        <is>
          <t>11/08/2027</t>
        </is>
      </c>
      <c r="E449" s="2" t="inlineStr">
        <is>
          <t>01/09/2028</t>
        </is>
      </c>
      <c r="F449" s="2" t="n">
        <v>39056.08035</v>
      </c>
      <c r="G449" s="2" t="n">
        <v>0</v>
      </c>
      <c r="H449" s="2" t="n">
        <v>39056.08035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0</v>
      </c>
      <c r="AN449" s="2" t="n">
        <v>0</v>
      </c>
      <c r="AO449" s="2" t="n">
        <v>0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n">
        <v>0</v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n">
        <v>0</v>
      </c>
      <c r="BI449" s="2" t="n">
        <v>0</v>
      </c>
      <c r="BJ449" s="2" t="n">
        <v>0</v>
      </c>
      <c r="BK449" s="2" t="n">
        <v>0</v>
      </c>
      <c r="BL449" s="2" t="n">
        <v>0</v>
      </c>
      <c r="BM449" s="2" t="n">
        <v>0</v>
      </c>
      <c r="BN449" s="2" t="n">
        <v>0</v>
      </c>
      <c r="BO449" s="2" t="n">
        <v>0</v>
      </c>
      <c r="BP449" s="2" t="n">
        <v>0</v>
      </c>
      <c r="BQ449" s="2" t="n">
        <v>0</v>
      </c>
      <c r="BR449" s="2" t="n">
        <v>0</v>
      </c>
      <c r="BS449" s="2" t="n">
        <v>0</v>
      </c>
      <c r="BT449" s="2" t="n">
        <v>0</v>
      </c>
      <c r="BU449" s="2" t="n">
        <v>0</v>
      </c>
      <c r="BV449" s="2" t="n">
        <v>0</v>
      </c>
      <c r="BW449" s="2" t="n">
        <v>0</v>
      </c>
      <c r="BX449" s="2" t="n">
        <v>0</v>
      </c>
      <c r="BY449" s="2" t="n">
        <v>0</v>
      </c>
      <c r="BZ449" s="2" t="n">
        <v>0</v>
      </c>
      <c r="CA449" s="2" t="n">
        <v>0</v>
      </c>
      <c r="CB449" s="2" t="n">
        <v>0</v>
      </c>
      <c r="CC449" s="2" t="n">
        <v>0</v>
      </c>
      <c r="CD449" s="2" t="n">
        <v>0</v>
      </c>
      <c r="CE449" s="2" t="n">
        <v>0</v>
      </c>
      <c r="CF449" s="2" t="n">
        <v>0</v>
      </c>
      <c r="CG449" s="2" t="n">
        <v>0</v>
      </c>
      <c r="CH449" s="2" t="n">
        <v>0</v>
      </c>
      <c r="CI449" s="2" t="n">
        <v>2.65</v>
      </c>
      <c r="CJ449" s="2" t="n">
        <v>3.97</v>
      </c>
      <c r="CK449" s="2" t="n">
        <v>0</v>
      </c>
      <c r="CL449" s="2" t="n">
        <v>8.199999999999999</v>
      </c>
      <c r="CM449" s="2" t="n">
        <v>9.52</v>
      </c>
      <c r="CN449" s="2" t="n">
        <v>0</v>
      </c>
      <c r="CO449" s="2" t="n">
        <v>13.49</v>
      </c>
      <c r="CP449" s="2" t="n">
        <v>17.2</v>
      </c>
      <c r="CQ449" s="2" t="n">
        <v>0</v>
      </c>
      <c r="CR449" s="2" t="n">
        <v>23.54</v>
      </c>
      <c r="CS449" s="2" t="n">
        <v>24.87</v>
      </c>
      <c r="CT449" s="2" t="n">
        <v>0</v>
      </c>
      <c r="CU449" s="2" t="n">
        <v>27.78</v>
      </c>
      <c r="CV449" s="2" t="n">
        <v>30.53</v>
      </c>
      <c r="CW449" s="2" t="n">
        <v>0</v>
      </c>
      <c r="CX449" s="2" t="n">
        <v>35</v>
      </c>
      <c r="CY449" s="2" t="n">
        <v>37.04</v>
      </c>
      <c r="CZ449" s="2" t="n">
        <v>0</v>
      </c>
      <c r="DA449" s="2" t="n">
        <v>41.27</v>
      </c>
      <c r="DB449" s="2" t="n">
        <v>43.54</v>
      </c>
      <c r="DC449" s="2" t="n">
        <v>0</v>
      </c>
      <c r="DD449" s="2" t="n">
        <v>54.32</v>
      </c>
      <c r="DE449" s="2" t="n">
        <v>56.56</v>
      </c>
      <c r="DF449" s="2" t="n">
        <v>0</v>
      </c>
      <c r="DG449" s="2" t="n">
        <v>63.54</v>
      </c>
      <c r="DH449" s="2" t="n">
        <v>65.38</v>
      </c>
      <c r="DI449" s="2" t="n">
        <v>0</v>
      </c>
      <c r="DJ449" s="2" t="n">
        <v>72.54000000000001</v>
      </c>
      <c r="DK449" s="2" t="n">
        <v>81.36</v>
      </c>
      <c r="DL449" s="2" t="n">
        <v>0</v>
      </c>
      <c r="DM449" s="2" t="n">
        <v>86.23999999999999</v>
      </c>
      <c r="DN449" s="2" t="n">
        <v>94.76000000000001</v>
      </c>
      <c r="DO449" s="2" t="n">
        <v>0</v>
      </c>
      <c r="DP449" s="2" t="n">
        <v>97.45999999999999</v>
      </c>
      <c r="DQ449" s="2" t="n">
        <v>97.62</v>
      </c>
      <c r="DR449" s="2" t="n">
        <v>0</v>
      </c>
      <c r="DS449" s="2" t="n">
        <v>98.41</v>
      </c>
      <c r="DT449" s="2" t="n">
        <v>99.73999999999999</v>
      </c>
      <c r="DU449" s="2" t="n">
        <v>0</v>
      </c>
      <c r="DV449" s="2" t="n">
        <v>100</v>
      </c>
      <c r="DW449" s="2" t="n">
        <v>100</v>
      </c>
      <c r="DX449" s="2" t="n">
        <v>0</v>
      </c>
      <c r="DY449" s="2" t="n">
        <v>100</v>
      </c>
      <c r="DZ449" s="2" t="n">
        <v>100</v>
      </c>
      <c r="EA449" s="2" t="n">
        <v>0</v>
      </c>
      <c r="EB449" s="2" t="n">
        <v>100</v>
      </c>
      <c r="EC449" s="2" t="n">
        <v>100</v>
      </c>
      <c r="ED449" s="2" t="n">
        <v>0</v>
      </c>
      <c r="EE449" s="2" t="n">
        <v>100</v>
      </c>
      <c r="EF449" s="2" t="n">
        <v>100</v>
      </c>
      <c r="EG449" s="2" t="n">
        <v>0</v>
      </c>
      <c r="EH449" s="2" t="n">
        <v>100</v>
      </c>
      <c r="EI449" s="2" t="n">
        <v>100</v>
      </c>
      <c r="EJ449" s="2" t="n">
        <v>0</v>
      </c>
      <c r="EK449" s="2" t="n">
        <v>100</v>
      </c>
      <c r="EL449" s="2" t="n">
        <v>100</v>
      </c>
      <c r="EM449" s="2" t="n">
        <v>0</v>
      </c>
      <c r="EN449" s="2" t="n">
        <v>100</v>
      </c>
      <c r="EO449" s="2" t="n">
        <v>100</v>
      </c>
      <c r="EP449" s="2" t="n">
        <v>0</v>
      </c>
      <c r="EQ449" s="2" t="n">
        <v>100</v>
      </c>
      <c r="ER449" s="2" t="n">
        <v>100</v>
      </c>
      <c r="ES449" s="2" t="n">
        <v>0</v>
      </c>
    </row>
    <row r="450">
      <c r="A450" s="2" t="n">
        <v>3</v>
      </c>
      <c r="B450" s="2" t="inlineStr">
        <is>
          <t>19.06.07</t>
        </is>
      </c>
      <c r="C450" s="2" t="inlineStr">
        <is>
          <t>Impermabilização de ralos</t>
        </is>
      </c>
      <c r="D450" s="2" t="inlineStr">
        <is>
          <t>11/08/2027</t>
        </is>
      </c>
      <c r="E450" s="2" t="inlineStr">
        <is>
          <t>01/09/2028</t>
        </is>
      </c>
      <c r="F450" s="2" t="n">
        <v>172.7902788017622</v>
      </c>
      <c r="G450" s="2" t="n">
        <v>0</v>
      </c>
      <c r="H450" s="2" t="n">
        <v>172.7902788017622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0</v>
      </c>
      <c r="AO450" s="2" t="n">
        <v>0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n">
        <v>0</v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n">
        <v>0</v>
      </c>
      <c r="BI450" s="2" t="n">
        <v>0</v>
      </c>
      <c r="BJ450" s="2" t="n">
        <v>0</v>
      </c>
      <c r="BK450" s="2" t="n">
        <v>0</v>
      </c>
      <c r="BL450" s="2" t="n">
        <v>0</v>
      </c>
      <c r="BM450" s="2" t="n">
        <v>0</v>
      </c>
      <c r="BN450" s="2" t="n">
        <v>0</v>
      </c>
      <c r="BO450" s="2" t="n">
        <v>0</v>
      </c>
      <c r="BP450" s="2" t="n">
        <v>0</v>
      </c>
      <c r="BQ450" s="2" t="n">
        <v>0</v>
      </c>
      <c r="BR450" s="2" t="n">
        <v>0</v>
      </c>
      <c r="BS450" s="2" t="n">
        <v>0</v>
      </c>
      <c r="BT450" s="2" t="n">
        <v>0</v>
      </c>
      <c r="BU450" s="2" t="n">
        <v>0</v>
      </c>
      <c r="BV450" s="2" t="n">
        <v>0</v>
      </c>
      <c r="BW450" s="2" t="n">
        <v>0</v>
      </c>
      <c r="BX450" s="2" t="n">
        <v>0</v>
      </c>
      <c r="BY450" s="2" t="n">
        <v>0</v>
      </c>
      <c r="BZ450" s="2" t="n">
        <v>0</v>
      </c>
      <c r="CA450" s="2" t="n">
        <v>0</v>
      </c>
      <c r="CB450" s="2" t="n">
        <v>0</v>
      </c>
      <c r="CC450" s="2" t="n">
        <v>0</v>
      </c>
      <c r="CD450" s="2" t="n">
        <v>0</v>
      </c>
      <c r="CE450" s="2" t="n">
        <v>0</v>
      </c>
      <c r="CF450" s="2" t="n">
        <v>0</v>
      </c>
      <c r="CG450" s="2" t="n">
        <v>0</v>
      </c>
      <c r="CH450" s="2" t="n">
        <v>0</v>
      </c>
      <c r="CI450" s="2" t="n">
        <v>2.65</v>
      </c>
      <c r="CJ450" s="2" t="n">
        <v>3.97</v>
      </c>
      <c r="CK450" s="2" t="n">
        <v>0</v>
      </c>
      <c r="CL450" s="2" t="n">
        <v>8.199999999999999</v>
      </c>
      <c r="CM450" s="2" t="n">
        <v>9.52</v>
      </c>
      <c r="CN450" s="2" t="n">
        <v>0</v>
      </c>
      <c r="CO450" s="2" t="n">
        <v>13.49</v>
      </c>
      <c r="CP450" s="2" t="n">
        <v>17.2</v>
      </c>
      <c r="CQ450" s="2" t="n">
        <v>0</v>
      </c>
      <c r="CR450" s="2" t="n">
        <v>23.54</v>
      </c>
      <c r="CS450" s="2" t="n">
        <v>24.87</v>
      </c>
      <c r="CT450" s="2" t="n">
        <v>0</v>
      </c>
      <c r="CU450" s="2" t="n">
        <v>27.78</v>
      </c>
      <c r="CV450" s="2" t="n">
        <v>30.53</v>
      </c>
      <c r="CW450" s="2" t="n">
        <v>0</v>
      </c>
      <c r="CX450" s="2" t="n">
        <v>35</v>
      </c>
      <c r="CY450" s="2" t="n">
        <v>37.04</v>
      </c>
      <c r="CZ450" s="2" t="n">
        <v>0</v>
      </c>
      <c r="DA450" s="2" t="n">
        <v>41.27</v>
      </c>
      <c r="DB450" s="2" t="n">
        <v>43.54</v>
      </c>
      <c r="DC450" s="2" t="n">
        <v>0</v>
      </c>
      <c r="DD450" s="2" t="n">
        <v>54.32</v>
      </c>
      <c r="DE450" s="2" t="n">
        <v>56.56</v>
      </c>
      <c r="DF450" s="2" t="n">
        <v>0</v>
      </c>
      <c r="DG450" s="2" t="n">
        <v>63.54</v>
      </c>
      <c r="DH450" s="2" t="n">
        <v>65.38</v>
      </c>
      <c r="DI450" s="2" t="n">
        <v>0</v>
      </c>
      <c r="DJ450" s="2" t="n">
        <v>72.54000000000001</v>
      </c>
      <c r="DK450" s="2" t="n">
        <v>81.36</v>
      </c>
      <c r="DL450" s="2" t="n">
        <v>0</v>
      </c>
      <c r="DM450" s="2" t="n">
        <v>86.23999999999999</v>
      </c>
      <c r="DN450" s="2" t="n">
        <v>94.76000000000001</v>
      </c>
      <c r="DO450" s="2" t="n">
        <v>0</v>
      </c>
      <c r="DP450" s="2" t="n">
        <v>97.45999999999999</v>
      </c>
      <c r="DQ450" s="2" t="n">
        <v>97.62</v>
      </c>
      <c r="DR450" s="2" t="n">
        <v>0</v>
      </c>
      <c r="DS450" s="2" t="n">
        <v>98.41</v>
      </c>
      <c r="DT450" s="2" t="n">
        <v>99.73999999999999</v>
      </c>
      <c r="DU450" s="2" t="n">
        <v>0</v>
      </c>
      <c r="DV450" s="2" t="n">
        <v>100</v>
      </c>
      <c r="DW450" s="2" t="n">
        <v>100</v>
      </c>
      <c r="DX450" s="2" t="n">
        <v>0</v>
      </c>
      <c r="DY450" s="2" t="n">
        <v>100</v>
      </c>
      <c r="DZ450" s="2" t="n">
        <v>100</v>
      </c>
      <c r="EA450" s="2" t="n">
        <v>0</v>
      </c>
      <c r="EB450" s="2" t="n">
        <v>100</v>
      </c>
      <c r="EC450" s="2" t="n">
        <v>100</v>
      </c>
      <c r="ED450" s="2" t="n">
        <v>0</v>
      </c>
      <c r="EE450" s="2" t="n">
        <v>100</v>
      </c>
      <c r="EF450" s="2" t="n">
        <v>100</v>
      </c>
      <c r="EG450" s="2" t="n">
        <v>0</v>
      </c>
      <c r="EH450" s="2" t="n">
        <v>100</v>
      </c>
      <c r="EI450" s="2" t="n">
        <v>100</v>
      </c>
      <c r="EJ450" s="2" t="n">
        <v>0</v>
      </c>
      <c r="EK450" s="2" t="n">
        <v>100</v>
      </c>
      <c r="EL450" s="2" t="n">
        <v>100</v>
      </c>
      <c r="EM450" s="2" t="n">
        <v>0</v>
      </c>
      <c r="EN450" s="2" t="n">
        <v>100</v>
      </c>
      <c r="EO450" s="2" t="n">
        <v>100</v>
      </c>
      <c r="EP450" s="2" t="n">
        <v>0</v>
      </c>
      <c r="EQ450" s="2" t="n">
        <v>100</v>
      </c>
      <c r="ER450" s="2" t="n">
        <v>100</v>
      </c>
      <c r="ES450" s="2" t="n">
        <v>0</v>
      </c>
    </row>
    <row r="451">
      <c r="A451" s="2" t="n">
        <v>2</v>
      </c>
      <c r="B451" s="2" t="inlineStr">
        <is>
          <t>19.07</t>
        </is>
      </c>
      <c r="C451" s="2" t="inlineStr">
        <is>
          <t>Sobre concreto curado e recuperado (Eliminação de falhas e tratamento de fissuras), impermeabilização com argamassa polimérica (alto módulo) com consumo de 1,0kg/m2 combinado com argamassa flexível ecom fibras com consumo de 4,5kg/m2, estruturada com tela poliéster resinada malha de 3x3mm nas viradas de planos (nos rodapés e meia cana), nos encontros com ralos e tubos passantes e em juntas de concretagem. Nos pisos proteção mecânica armada estruturada com tela galvanizada fio 22 malha de 1". Os reservatórios deverão ser envelopados, impermeabilização do piso, paredes e teto</t>
        </is>
      </c>
      <c r="D451" s="2" t="inlineStr">
        <is>
          <t>11/08/2027</t>
        </is>
      </c>
      <c r="E451" s="2" t="inlineStr">
        <is>
          <t>01/09/2028</t>
        </is>
      </c>
      <c r="F451" s="2" t="n">
        <v>80720.36572019637</v>
      </c>
      <c r="G451" s="2" t="n">
        <v>0</v>
      </c>
      <c r="H451" s="2" t="n">
        <v>80720.36572019637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0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n">
        <v>0</v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n">
        <v>0</v>
      </c>
      <c r="BI451" s="2" t="n">
        <v>0</v>
      </c>
      <c r="BJ451" s="2" t="n">
        <v>0</v>
      </c>
      <c r="BK451" s="2" t="n">
        <v>0</v>
      </c>
      <c r="BL451" s="2" t="n">
        <v>0</v>
      </c>
      <c r="BM451" s="2" t="n">
        <v>0</v>
      </c>
      <c r="BN451" s="2" t="n">
        <v>0</v>
      </c>
      <c r="BO451" s="2" t="n">
        <v>0</v>
      </c>
      <c r="BP451" s="2" t="n">
        <v>0</v>
      </c>
      <c r="BQ451" s="2" t="n">
        <v>0</v>
      </c>
      <c r="BR451" s="2" t="n">
        <v>0</v>
      </c>
      <c r="BS451" s="2" t="n">
        <v>0</v>
      </c>
      <c r="BT451" s="2" t="n">
        <v>0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2.65</v>
      </c>
      <c r="CJ451" s="2" t="n">
        <v>3.97</v>
      </c>
      <c r="CK451" s="2" t="n">
        <v>0</v>
      </c>
      <c r="CL451" s="2" t="n">
        <v>8.199999999999999</v>
      </c>
      <c r="CM451" s="2" t="n">
        <v>9.52</v>
      </c>
      <c r="CN451" s="2" t="n">
        <v>0</v>
      </c>
      <c r="CO451" s="2" t="n">
        <v>13.49</v>
      </c>
      <c r="CP451" s="2" t="n">
        <v>17.2</v>
      </c>
      <c r="CQ451" s="2" t="n">
        <v>0</v>
      </c>
      <c r="CR451" s="2" t="n">
        <v>23.54</v>
      </c>
      <c r="CS451" s="2" t="n">
        <v>24.87</v>
      </c>
      <c r="CT451" s="2" t="n">
        <v>0</v>
      </c>
      <c r="CU451" s="2" t="n">
        <v>27.78</v>
      </c>
      <c r="CV451" s="2" t="n">
        <v>30.53</v>
      </c>
      <c r="CW451" s="2" t="n">
        <v>0</v>
      </c>
      <c r="CX451" s="2" t="n">
        <v>35</v>
      </c>
      <c r="CY451" s="2" t="n">
        <v>37.04</v>
      </c>
      <c r="CZ451" s="2" t="n">
        <v>0</v>
      </c>
      <c r="DA451" s="2" t="n">
        <v>41.27</v>
      </c>
      <c r="DB451" s="2" t="n">
        <v>43.54</v>
      </c>
      <c r="DC451" s="2" t="n">
        <v>0</v>
      </c>
      <c r="DD451" s="2" t="n">
        <v>54.32</v>
      </c>
      <c r="DE451" s="2" t="n">
        <v>56.56</v>
      </c>
      <c r="DF451" s="2" t="n">
        <v>0</v>
      </c>
      <c r="DG451" s="2" t="n">
        <v>63.54</v>
      </c>
      <c r="DH451" s="2" t="n">
        <v>65.38</v>
      </c>
      <c r="DI451" s="2" t="n">
        <v>0</v>
      </c>
      <c r="DJ451" s="2" t="n">
        <v>72.54000000000001</v>
      </c>
      <c r="DK451" s="2" t="n">
        <v>81.36</v>
      </c>
      <c r="DL451" s="2" t="n">
        <v>0</v>
      </c>
      <c r="DM451" s="2" t="n">
        <v>86.23999999999999</v>
      </c>
      <c r="DN451" s="2" t="n">
        <v>94.76000000000001</v>
      </c>
      <c r="DO451" s="2" t="n">
        <v>0</v>
      </c>
      <c r="DP451" s="2" t="n">
        <v>97.45999999999999</v>
      </c>
      <c r="DQ451" s="2" t="n">
        <v>97.62</v>
      </c>
      <c r="DR451" s="2" t="n">
        <v>0</v>
      </c>
      <c r="DS451" s="2" t="n">
        <v>98.41</v>
      </c>
      <c r="DT451" s="2" t="n">
        <v>99.73999999999999</v>
      </c>
      <c r="DU451" s="2" t="n">
        <v>0</v>
      </c>
      <c r="DV451" s="2" t="n">
        <v>100</v>
      </c>
      <c r="DW451" s="2" t="n">
        <v>100</v>
      </c>
      <c r="DX451" s="2" t="n">
        <v>0</v>
      </c>
      <c r="DY451" s="2" t="n">
        <v>100</v>
      </c>
      <c r="DZ451" s="2" t="n">
        <v>100</v>
      </c>
      <c r="EA451" s="2" t="n">
        <v>0</v>
      </c>
      <c r="EB451" s="2" t="n">
        <v>100</v>
      </c>
      <c r="EC451" s="2" t="n">
        <v>100</v>
      </c>
      <c r="ED451" s="2" t="n">
        <v>0</v>
      </c>
      <c r="EE451" s="2" t="n">
        <v>100</v>
      </c>
      <c r="EF451" s="2" t="n">
        <v>100</v>
      </c>
      <c r="EG451" s="2" t="n">
        <v>0</v>
      </c>
      <c r="EH451" s="2" t="n">
        <v>100</v>
      </c>
      <c r="EI451" s="2" t="n">
        <v>100</v>
      </c>
      <c r="EJ451" s="2" t="n">
        <v>0</v>
      </c>
      <c r="EK451" s="2" t="n">
        <v>100</v>
      </c>
      <c r="EL451" s="2" t="n">
        <v>100</v>
      </c>
      <c r="EM451" s="2" t="n">
        <v>0</v>
      </c>
      <c r="EN451" s="2" t="n">
        <v>100</v>
      </c>
      <c r="EO451" s="2" t="n">
        <v>100</v>
      </c>
      <c r="EP451" s="2" t="n">
        <v>0</v>
      </c>
      <c r="EQ451" s="2" t="n">
        <v>100</v>
      </c>
      <c r="ER451" s="2" t="n">
        <v>100</v>
      </c>
      <c r="ES451" s="2" t="n">
        <v>0</v>
      </c>
    </row>
    <row r="452">
      <c r="A452" s="2" t="n">
        <v>3</v>
      </c>
      <c r="B452" s="2" t="inlineStr">
        <is>
          <t>19.07.01</t>
        </is>
      </c>
      <c r="C452" s="2" t="inlineStr">
        <is>
          <t>Recuperação estrutural: Eliminar falhas e brocas. Em caso de fissuras, deverá ser feito um estudo específico para determinar sua origem e causa</t>
        </is>
      </c>
      <c r="D452" s="2" t="inlineStr">
        <is>
          <t>11/08/2027</t>
        </is>
      </c>
      <c r="E452" s="2" t="inlineStr">
        <is>
          <t>01/09/2028</t>
        </is>
      </c>
      <c r="F452" s="2" t="n">
        <v>17524.00161841713</v>
      </c>
      <c r="G452" s="2" t="n">
        <v>0</v>
      </c>
      <c r="H452" s="2" t="n">
        <v>17524.00161841713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0</v>
      </c>
      <c r="AO452" s="2" t="n">
        <v>0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n">
        <v>0</v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n">
        <v>0</v>
      </c>
      <c r="BI452" s="2" t="n">
        <v>0</v>
      </c>
      <c r="BJ452" s="2" t="n">
        <v>0</v>
      </c>
      <c r="BK452" s="2" t="n">
        <v>0</v>
      </c>
      <c r="BL452" s="2" t="n">
        <v>0</v>
      </c>
      <c r="BM452" s="2" t="n">
        <v>0</v>
      </c>
      <c r="BN452" s="2" t="n">
        <v>0</v>
      </c>
      <c r="BO452" s="2" t="n">
        <v>0</v>
      </c>
      <c r="BP452" s="2" t="n">
        <v>0</v>
      </c>
      <c r="BQ452" s="2" t="n">
        <v>0</v>
      </c>
      <c r="BR452" s="2" t="n">
        <v>0</v>
      </c>
      <c r="BS452" s="2" t="n">
        <v>0</v>
      </c>
      <c r="BT452" s="2" t="n">
        <v>0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2.65</v>
      </c>
      <c r="CJ452" s="2" t="n">
        <v>3.97</v>
      </c>
      <c r="CK452" s="2" t="n">
        <v>0</v>
      </c>
      <c r="CL452" s="2" t="n">
        <v>8.199999999999999</v>
      </c>
      <c r="CM452" s="2" t="n">
        <v>9.52</v>
      </c>
      <c r="CN452" s="2" t="n">
        <v>0</v>
      </c>
      <c r="CO452" s="2" t="n">
        <v>13.49</v>
      </c>
      <c r="CP452" s="2" t="n">
        <v>17.2</v>
      </c>
      <c r="CQ452" s="2" t="n">
        <v>0</v>
      </c>
      <c r="CR452" s="2" t="n">
        <v>23.54</v>
      </c>
      <c r="CS452" s="2" t="n">
        <v>24.87</v>
      </c>
      <c r="CT452" s="2" t="n">
        <v>0</v>
      </c>
      <c r="CU452" s="2" t="n">
        <v>27.78</v>
      </c>
      <c r="CV452" s="2" t="n">
        <v>30.53</v>
      </c>
      <c r="CW452" s="2" t="n">
        <v>0</v>
      </c>
      <c r="CX452" s="2" t="n">
        <v>35</v>
      </c>
      <c r="CY452" s="2" t="n">
        <v>37.04</v>
      </c>
      <c r="CZ452" s="2" t="n">
        <v>0</v>
      </c>
      <c r="DA452" s="2" t="n">
        <v>41.27</v>
      </c>
      <c r="DB452" s="2" t="n">
        <v>43.54</v>
      </c>
      <c r="DC452" s="2" t="n">
        <v>0</v>
      </c>
      <c r="DD452" s="2" t="n">
        <v>54.32</v>
      </c>
      <c r="DE452" s="2" t="n">
        <v>56.56</v>
      </c>
      <c r="DF452" s="2" t="n">
        <v>0</v>
      </c>
      <c r="DG452" s="2" t="n">
        <v>63.54</v>
      </c>
      <c r="DH452" s="2" t="n">
        <v>65.38</v>
      </c>
      <c r="DI452" s="2" t="n">
        <v>0</v>
      </c>
      <c r="DJ452" s="2" t="n">
        <v>72.54000000000001</v>
      </c>
      <c r="DK452" s="2" t="n">
        <v>81.36</v>
      </c>
      <c r="DL452" s="2" t="n">
        <v>0</v>
      </c>
      <c r="DM452" s="2" t="n">
        <v>86.23999999999999</v>
      </c>
      <c r="DN452" s="2" t="n">
        <v>94.76000000000001</v>
      </c>
      <c r="DO452" s="2" t="n">
        <v>0</v>
      </c>
      <c r="DP452" s="2" t="n">
        <v>97.45999999999999</v>
      </c>
      <c r="DQ452" s="2" t="n">
        <v>97.62</v>
      </c>
      <c r="DR452" s="2" t="n">
        <v>0</v>
      </c>
      <c r="DS452" s="2" t="n">
        <v>98.41</v>
      </c>
      <c r="DT452" s="2" t="n">
        <v>99.73999999999999</v>
      </c>
      <c r="DU452" s="2" t="n">
        <v>0</v>
      </c>
      <c r="DV452" s="2" t="n">
        <v>100</v>
      </c>
      <c r="DW452" s="2" t="n">
        <v>100</v>
      </c>
      <c r="DX452" s="2" t="n">
        <v>0</v>
      </c>
      <c r="DY452" s="2" t="n">
        <v>100</v>
      </c>
      <c r="DZ452" s="2" t="n">
        <v>100</v>
      </c>
      <c r="EA452" s="2" t="n">
        <v>0</v>
      </c>
      <c r="EB452" s="2" t="n">
        <v>100</v>
      </c>
      <c r="EC452" s="2" t="n">
        <v>100</v>
      </c>
      <c r="ED452" s="2" t="n">
        <v>0</v>
      </c>
      <c r="EE452" s="2" t="n">
        <v>100</v>
      </c>
      <c r="EF452" s="2" t="n">
        <v>100</v>
      </c>
      <c r="EG452" s="2" t="n">
        <v>0</v>
      </c>
      <c r="EH452" s="2" t="n">
        <v>100</v>
      </c>
      <c r="EI452" s="2" t="n">
        <v>100</v>
      </c>
      <c r="EJ452" s="2" t="n">
        <v>0</v>
      </c>
      <c r="EK452" s="2" t="n">
        <v>100</v>
      </c>
      <c r="EL452" s="2" t="n">
        <v>100</v>
      </c>
      <c r="EM452" s="2" t="n">
        <v>0</v>
      </c>
      <c r="EN452" s="2" t="n">
        <v>100</v>
      </c>
      <c r="EO452" s="2" t="n">
        <v>100</v>
      </c>
      <c r="EP452" s="2" t="n">
        <v>0</v>
      </c>
      <c r="EQ452" s="2" t="n">
        <v>100</v>
      </c>
      <c r="ER452" s="2" t="n">
        <v>100</v>
      </c>
      <c r="ES452" s="2" t="n">
        <v>0</v>
      </c>
    </row>
    <row r="453">
      <c r="A453" s="2" t="n">
        <v>3</v>
      </c>
      <c r="B453" s="2" t="inlineStr">
        <is>
          <t>19.07.02</t>
        </is>
      </c>
      <c r="C453" s="2" t="inlineStr">
        <is>
          <t>Proteção mecânica  armada com tela galvanizada, fio 22, malha 1". (Apenas no piso e rodapé. Para  evitar danos ao sistema de impermeabilização caso seja usada alguma escada para acesso ao fundo)</t>
        </is>
      </c>
      <c r="D453" s="2" t="inlineStr">
        <is>
          <t>11/08/2027</t>
        </is>
      </c>
      <c r="E453" s="2" t="inlineStr">
        <is>
          <t>01/09/2028</t>
        </is>
      </c>
      <c r="F453" s="2" t="n">
        <v>8371.723922149582</v>
      </c>
      <c r="G453" s="2" t="n">
        <v>0</v>
      </c>
      <c r="H453" s="2" t="n">
        <v>8371.723922149582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  <c r="AN453" s="2" t="n">
        <v>0</v>
      </c>
      <c r="AO453" s="2" t="n">
        <v>0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n">
        <v>0</v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n">
        <v>0</v>
      </c>
      <c r="BI453" s="2" t="n">
        <v>0</v>
      </c>
      <c r="BJ453" s="2" t="n">
        <v>0</v>
      </c>
      <c r="BK453" s="2" t="n">
        <v>0</v>
      </c>
      <c r="BL453" s="2" t="n">
        <v>0</v>
      </c>
      <c r="BM453" s="2" t="n">
        <v>0</v>
      </c>
      <c r="BN453" s="2" t="n">
        <v>0</v>
      </c>
      <c r="BO453" s="2" t="n">
        <v>0</v>
      </c>
      <c r="BP453" s="2" t="n">
        <v>0</v>
      </c>
      <c r="BQ453" s="2" t="n">
        <v>0</v>
      </c>
      <c r="BR453" s="2" t="n">
        <v>0</v>
      </c>
      <c r="BS453" s="2" t="n">
        <v>0</v>
      </c>
      <c r="BT453" s="2" t="n">
        <v>0</v>
      </c>
      <c r="BU453" s="2" t="n">
        <v>0</v>
      </c>
      <c r="BV453" s="2" t="n">
        <v>0</v>
      </c>
      <c r="BW453" s="2" t="n">
        <v>0</v>
      </c>
      <c r="BX453" s="2" t="n">
        <v>0</v>
      </c>
      <c r="BY453" s="2" t="n">
        <v>0</v>
      </c>
      <c r="BZ453" s="2" t="n">
        <v>0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2" t="n">
        <v>0</v>
      </c>
      <c r="CH453" s="2" t="n">
        <v>0</v>
      </c>
      <c r="CI453" s="2" t="n">
        <v>2.65</v>
      </c>
      <c r="CJ453" s="2" t="n">
        <v>3.97</v>
      </c>
      <c r="CK453" s="2" t="n">
        <v>0</v>
      </c>
      <c r="CL453" s="2" t="n">
        <v>8.199999999999999</v>
      </c>
      <c r="CM453" s="2" t="n">
        <v>9.52</v>
      </c>
      <c r="CN453" s="2" t="n">
        <v>0</v>
      </c>
      <c r="CO453" s="2" t="n">
        <v>13.49</v>
      </c>
      <c r="CP453" s="2" t="n">
        <v>17.2</v>
      </c>
      <c r="CQ453" s="2" t="n">
        <v>0</v>
      </c>
      <c r="CR453" s="2" t="n">
        <v>23.54</v>
      </c>
      <c r="CS453" s="2" t="n">
        <v>24.87</v>
      </c>
      <c r="CT453" s="2" t="n">
        <v>0</v>
      </c>
      <c r="CU453" s="2" t="n">
        <v>27.78</v>
      </c>
      <c r="CV453" s="2" t="n">
        <v>30.53</v>
      </c>
      <c r="CW453" s="2" t="n">
        <v>0</v>
      </c>
      <c r="CX453" s="2" t="n">
        <v>35</v>
      </c>
      <c r="CY453" s="2" t="n">
        <v>37.04</v>
      </c>
      <c r="CZ453" s="2" t="n">
        <v>0</v>
      </c>
      <c r="DA453" s="2" t="n">
        <v>41.27</v>
      </c>
      <c r="DB453" s="2" t="n">
        <v>43.54</v>
      </c>
      <c r="DC453" s="2" t="n">
        <v>0</v>
      </c>
      <c r="DD453" s="2" t="n">
        <v>54.32</v>
      </c>
      <c r="DE453" s="2" t="n">
        <v>56.56</v>
      </c>
      <c r="DF453" s="2" t="n">
        <v>0</v>
      </c>
      <c r="DG453" s="2" t="n">
        <v>63.54</v>
      </c>
      <c r="DH453" s="2" t="n">
        <v>65.38</v>
      </c>
      <c r="DI453" s="2" t="n">
        <v>0</v>
      </c>
      <c r="DJ453" s="2" t="n">
        <v>72.54000000000001</v>
      </c>
      <c r="DK453" s="2" t="n">
        <v>81.36</v>
      </c>
      <c r="DL453" s="2" t="n">
        <v>0</v>
      </c>
      <c r="DM453" s="2" t="n">
        <v>86.23999999999999</v>
      </c>
      <c r="DN453" s="2" t="n">
        <v>94.76000000000001</v>
      </c>
      <c r="DO453" s="2" t="n">
        <v>0</v>
      </c>
      <c r="DP453" s="2" t="n">
        <v>97.45999999999999</v>
      </c>
      <c r="DQ453" s="2" t="n">
        <v>97.62</v>
      </c>
      <c r="DR453" s="2" t="n">
        <v>0</v>
      </c>
      <c r="DS453" s="2" t="n">
        <v>98.41</v>
      </c>
      <c r="DT453" s="2" t="n">
        <v>99.73999999999999</v>
      </c>
      <c r="DU453" s="2" t="n">
        <v>0</v>
      </c>
      <c r="DV453" s="2" t="n">
        <v>100</v>
      </c>
      <c r="DW453" s="2" t="n">
        <v>100</v>
      </c>
      <c r="DX453" s="2" t="n">
        <v>0</v>
      </c>
      <c r="DY453" s="2" t="n">
        <v>100</v>
      </c>
      <c r="DZ453" s="2" t="n">
        <v>100</v>
      </c>
      <c r="EA453" s="2" t="n">
        <v>0</v>
      </c>
      <c r="EB453" s="2" t="n">
        <v>100</v>
      </c>
      <c r="EC453" s="2" t="n">
        <v>100</v>
      </c>
      <c r="ED453" s="2" t="n">
        <v>0</v>
      </c>
      <c r="EE453" s="2" t="n">
        <v>100</v>
      </c>
      <c r="EF453" s="2" t="n">
        <v>100</v>
      </c>
      <c r="EG453" s="2" t="n">
        <v>0</v>
      </c>
      <c r="EH453" s="2" t="n">
        <v>100</v>
      </c>
      <c r="EI453" s="2" t="n">
        <v>100</v>
      </c>
      <c r="EJ453" s="2" t="n">
        <v>0</v>
      </c>
      <c r="EK453" s="2" t="n">
        <v>100</v>
      </c>
      <c r="EL453" s="2" t="n">
        <v>100</v>
      </c>
      <c r="EM453" s="2" t="n">
        <v>0</v>
      </c>
      <c r="EN453" s="2" t="n">
        <v>100</v>
      </c>
      <c r="EO453" s="2" t="n">
        <v>100</v>
      </c>
      <c r="EP453" s="2" t="n">
        <v>0</v>
      </c>
      <c r="EQ453" s="2" t="n">
        <v>100</v>
      </c>
      <c r="ER453" s="2" t="n">
        <v>100</v>
      </c>
      <c r="ES453" s="2" t="n">
        <v>0</v>
      </c>
    </row>
    <row r="454">
      <c r="A454" s="2" t="n">
        <v>3</v>
      </c>
      <c r="B454" s="2" t="inlineStr">
        <is>
          <t>19.07.03</t>
        </is>
      </c>
      <c r="C454" s="2" t="inlineStr">
        <is>
          <t>Reservatório</t>
        </is>
      </c>
      <c r="D454" s="2" t="inlineStr">
        <is>
          <t>11/08/2027</t>
        </is>
      </c>
      <c r="E454" s="2" t="inlineStr">
        <is>
          <t>01/09/2028</t>
        </is>
      </c>
      <c r="F454" s="2" t="n">
        <v>43688.95432157464</v>
      </c>
      <c r="G454" s="2" t="n">
        <v>0</v>
      </c>
      <c r="H454" s="2" t="n">
        <v>43688.95432157464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0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n">
        <v>0</v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n">
        <v>0</v>
      </c>
      <c r="BI454" s="2" t="n">
        <v>0</v>
      </c>
      <c r="BJ454" s="2" t="n">
        <v>0</v>
      </c>
      <c r="BK454" s="2" t="n">
        <v>0</v>
      </c>
      <c r="BL454" s="2" t="n">
        <v>0</v>
      </c>
      <c r="BM454" s="2" t="n">
        <v>0</v>
      </c>
      <c r="BN454" s="2" t="n">
        <v>0</v>
      </c>
      <c r="BO454" s="2" t="n">
        <v>0</v>
      </c>
      <c r="BP454" s="2" t="n">
        <v>0</v>
      </c>
      <c r="BQ454" s="2" t="n">
        <v>0</v>
      </c>
      <c r="BR454" s="2" t="n">
        <v>0</v>
      </c>
      <c r="BS454" s="2" t="n">
        <v>0</v>
      </c>
      <c r="BT454" s="2" t="n">
        <v>0</v>
      </c>
      <c r="BU454" s="2" t="n">
        <v>0</v>
      </c>
      <c r="BV454" s="2" t="n">
        <v>0</v>
      </c>
      <c r="BW454" s="2" t="n">
        <v>0</v>
      </c>
      <c r="BX454" s="2" t="n">
        <v>0</v>
      </c>
      <c r="BY454" s="2" t="n">
        <v>0</v>
      </c>
      <c r="BZ454" s="2" t="n">
        <v>0</v>
      </c>
      <c r="CA454" s="2" t="n">
        <v>0</v>
      </c>
      <c r="CB454" s="2" t="n">
        <v>0</v>
      </c>
      <c r="CC454" s="2" t="n">
        <v>0</v>
      </c>
      <c r="CD454" s="2" t="n">
        <v>0</v>
      </c>
      <c r="CE454" s="2" t="n">
        <v>0</v>
      </c>
      <c r="CF454" s="2" t="n">
        <v>0</v>
      </c>
      <c r="CG454" s="2" t="n">
        <v>0</v>
      </c>
      <c r="CH454" s="2" t="n">
        <v>0</v>
      </c>
      <c r="CI454" s="2" t="n">
        <v>2.65</v>
      </c>
      <c r="CJ454" s="2" t="n">
        <v>3.97</v>
      </c>
      <c r="CK454" s="2" t="n">
        <v>0</v>
      </c>
      <c r="CL454" s="2" t="n">
        <v>8.199999999999999</v>
      </c>
      <c r="CM454" s="2" t="n">
        <v>9.52</v>
      </c>
      <c r="CN454" s="2" t="n">
        <v>0</v>
      </c>
      <c r="CO454" s="2" t="n">
        <v>13.49</v>
      </c>
      <c r="CP454" s="2" t="n">
        <v>17.2</v>
      </c>
      <c r="CQ454" s="2" t="n">
        <v>0</v>
      </c>
      <c r="CR454" s="2" t="n">
        <v>23.54</v>
      </c>
      <c r="CS454" s="2" t="n">
        <v>24.87</v>
      </c>
      <c r="CT454" s="2" t="n">
        <v>0</v>
      </c>
      <c r="CU454" s="2" t="n">
        <v>27.78</v>
      </c>
      <c r="CV454" s="2" t="n">
        <v>30.53</v>
      </c>
      <c r="CW454" s="2" t="n">
        <v>0</v>
      </c>
      <c r="CX454" s="2" t="n">
        <v>35</v>
      </c>
      <c r="CY454" s="2" t="n">
        <v>37.04</v>
      </c>
      <c r="CZ454" s="2" t="n">
        <v>0</v>
      </c>
      <c r="DA454" s="2" t="n">
        <v>41.27</v>
      </c>
      <c r="DB454" s="2" t="n">
        <v>43.54</v>
      </c>
      <c r="DC454" s="2" t="n">
        <v>0</v>
      </c>
      <c r="DD454" s="2" t="n">
        <v>54.32</v>
      </c>
      <c r="DE454" s="2" t="n">
        <v>56.56</v>
      </c>
      <c r="DF454" s="2" t="n">
        <v>0</v>
      </c>
      <c r="DG454" s="2" t="n">
        <v>63.54</v>
      </c>
      <c r="DH454" s="2" t="n">
        <v>65.38</v>
      </c>
      <c r="DI454" s="2" t="n">
        <v>0</v>
      </c>
      <c r="DJ454" s="2" t="n">
        <v>72.54000000000001</v>
      </c>
      <c r="DK454" s="2" t="n">
        <v>81.36</v>
      </c>
      <c r="DL454" s="2" t="n">
        <v>0</v>
      </c>
      <c r="DM454" s="2" t="n">
        <v>86.23999999999999</v>
      </c>
      <c r="DN454" s="2" t="n">
        <v>94.76000000000001</v>
      </c>
      <c r="DO454" s="2" t="n">
        <v>0</v>
      </c>
      <c r="DP454" s="2" t="n">
        <v>97.45999999999999</v>
      </c>
      <c r="DQ454" s="2" t="n">
        <v>97.62</v>
      </c>
      <c r="DR454" s="2" t="n">
        <v>0</v>
      </c>
      <c r="DS454" s="2" t="n">
        <v>98.41</v>
      </c>
      <c r="DT454" s="2" t="n">
        <v>99.73999999999999</v>
      </c>
      <c r="DU454" s="2" t="n">
        <v>0</v>
      </c>
      <c r="DV454" s="2" t="n">
        <v>100</v>
      </c>
      <c r="DW454" s="2" t="n">
        <v>100</v>
      </c>
      <c r="DX454" s="2" t="n">
        <v>0</v>
      </c>
      <c r="DY454" s="2" t="n">
        <v>100</v>
      </c>
      <c r="DZ454" s="2" t="n">
        <v>100</v>
      </c>
      <c r="EA454" s="2" t="n">
        <v>0</v>
      </c>
      <c r="EB454" s="2" t="n">
        <v>100</v>
      </c>
      <c r="EC454" s="2" t="n">
        <v>100</v>
      </c>
      <c r="ED454" s="2" t="n">
        <v>0</v>
      </c>
      <c r="EE454" s="2" t="n">
        <v>100</v>
      </c>
      <c r="EF454" s="2" t="n">
        <v>100</v>
      </c>
      <c r="EG454" s="2" t="n">
        <v>0</v>
      </c>
      <c r="EH454" s="2" t="n">
        <v>100</v>
      </c>
      <c r="EI454" s="2" t="n">
        <v>100</v>
      </c>
      <c r="EJ454" s="2" t="n">
        <v>0</v>
      </c>
      <c r="EK454" s="2" t="n">
        <v>100</v>
      </c>
      <c r="EL454" s="2" t="n">
        <v>100</v>
      </c>
      <c r="EM454" s="2" t="n">
        <v>0</v>
      </c>
      <c r="EN454" s="2" t="n">
        <v>100</v>
      </c>
      <c r="EO454" s="2" t="n">
        <v>100</v>
      </c>
      <c r="EP454" s="2" t="n">
        <v>0</v>
      </c>
      <c r="EQ454" s="2" t="n">
        <v>100</v>
      </c>
      <c r="ER454" s="2" t="n">
        <v>100</v>
      </c>
      <c r="ES454" s="2" t="n">
        <v>0</v>
      </c>
    </row>
    <row r="455">
      <c r="A455" s="2" t="n">
        <v>3</v>
      </c>
      <c r="B455" s="2" t="inlineStr">
        <is>
          <t>19.07.04</t>
        </is>
      </c>
      <c r="C455" s="2" t="inlineStr">
        <is>
          <t>Meia cana 5x5cm/ Reforço de canto com argamassa epóxica (Mistura de 1 traço de epóxi com 2 de areia seca)</t>
        </is>
      </c>
      <c r="D455" s="2" t="inlineStr">
        <is>
          <t>11/08/2027</t>
        </is>
      </c>
      <c r="E455" s="2" t="inlineStr">
        <is>
          <t>01/09/2028</t>
        </is>
      </c>
      <c r="F455" s="2" t="n">
        <v>10055.74661554401</v>
      </c>
      <c r="G455" s="2" t="n">
        <v>0</v>
      </c>
      <c r="H455" s="2" t="n">
        <v>10055.74661554401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  <c r="AN455" s="2" t="n">
        <v>0</v>
      </c>
      <c r="AO455" s="2" t="n">
        <v>0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n">
        <v>0</v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n">
        <v>0</v>
      </c>
      <c r="BI455" s="2" t="n">
        <v>0</v>
      </c>
      <c r="BJ455" s="2" t="n">
        <v>0</v>
      </c>
      <c r="BK455" s="2" t="n">
        <v>0</v>
      </c>
      <c r="BL455" s="2" t="n">
        <v>0</v>
      </c>
      <c r="BM455" s="2" t="n">
        <v>0</v>
      </c>
      <c r="BN455" s="2" t="n">
        <v>0</v>
      </c>
      <c r="BO455" s="2" t="n">
        <v>0</v>
      </c>
      <c r="BP455" s="2" t="n">
        <v>0</v>
      </c>
      <c r="BQ455" s="2" t="n">
        <v>0</v>
      </c>
      <c r="BR455" s="2" t="n">
        <v>0</v>
      </c>
      <c r="BS455" s="2" t="n">
        <v>0</v>
      </c>
      <c r="BT455" s="2" t="n">
        <v>0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2.65</v>
      </c>
      <c r="CJ455" s="2" t="n">
        <v>3.97</v>
      </c>
      <c r="CK455" s="2" t="n">
        <v>0</v>
      </c>
      <c r="CL455" s="2" t="n">
        <v>8.199999999999999</v>
      </c>
      <c r="CM455" s="2" t="n">
        <v>9.52</v>
      </c>
      <c r="CN455" s="2" t="n">
        <v>0</v>
      </c>
      <c r="CO455" s="2" t="n">
        <v>13.49</v>
      </c>
      <c r="CP455" s="2" t="n">
        <v>17.2</v>
      </c>
      <c r="CQ455" s="2" t="n">
        <v>0</v>
      </c>
      <c r="CR455" s="2" t="n">
        <v>23.54</v>
      </c>
      <c r="CS455" s="2" t="n">
        <v>24.87</v>
      </c>
      <c r="CT455" s="2" t="n">
        <v>0</v>
      </c>
      <c r="CU455" s="2" t="n">
        <v>27.78</v>
      </c>
      <c r="CV455" s="2" t="n">
        <v>30.53</v>
      </c>
      <c r="CW455" s="2" t="n">
        <v>0</v>
      </c>
      <c r="CX455" s="2" t="n">
        <v>35</v>
      </c>
      <c r="CY455" s="2" t="n">
        <v>37.04</v>
      </c>
      <c r="CZ455" s="2" t="n">
        <v>0</v>
      </c>
      <c r="DA455" s="2" t="n">
        <v>41.27</v>
      </c>
      <c r="DB455" s="2" t="n">
        <v>43.54</v>
      </c>
      <c r="DC455" s="2" t="n">
        <v>0</v>
      </c>
      <c r="DD455" s="2" t="n">
        <v>54.32</v>
      </c>
      <c r="DE455" s="2" t="n">
        <v>56.56</v>
      </c>
      <c r="DF455" s="2" t="n">
        <v>0</v>
      </c>
      <c r="DG455" s="2" t="n">
        <v>63.54</v>
      </c>
      <c r="DH455" s="2" t="n">
        <v>65.38</v>
      </c>
      <c r="DI455" s="2" t="n">
        <v>0</v>
      </c>
      <c r="DJ455" s="2" t="n">
        <v>72.54000000000001</v>
      </c>
      <c r="DK455" s="2" t="n">
        <v>81.36</v>
      </c>
      <c r="DL455" s="2" t="n">
        <v>0</v>
      </c>
      <c r="DM455" s="2" t="n">
        <v>86.23999999999999</v>
      </c>
      <c r="DN455" s="2" t="n">
        <v>94.76000000000001</v>
      </c>
      <c r="DO455" s="2" t="n">
        <v>0</v>
      </c>
      <c r="DP455" s="2" t="n">
        <v>97.45999999999999</v>
      </c>
      <c r="DQ455" s="2" t="n">
        <v>97.62</v>
      </c>
      <c r="DR455" s="2" t="n">
        <v>0</v>
      </c>
      <c r="DS455" s="2" t="n">
        <v>98.41</v>
      </c>
      <c r="DT455" s="2" t="n">
        <v>99.73999999999999</v>
      </c>
      <c r="DU455" s="2" t="n">
        <v>0</v>
      </c>
      <c r="DV455" s="2" t="n">
        <v>100</v>
      </c>
      <c r="DW455" s="2" t="n">
        <v>100</v>
      </c>
      <c r="DX455" s="2" t="n">
        <v>0</v>
      </c>
      <c r="DY455" s="2" t="n">
        <v>100</v>
      </c>
      <c r="DZ455" s="2" t="n">
        <v>100</v>
      </c>
      <c r="EA455" s="2" t="n">
        <v>0</v>
      </c>
      <c r="EB455" s="2" t="n">
        <v>100</v>
      </c>
      <c r="EC455" s="2" t="n">
        <v>100</v>
      </c>
      <c r="ED455" s="2" t="n">
        <v>0</v>
      </c>
      <c r="EE455" s="2" t="n">
        <v>100</v>
      </c>
      <c r="EF455" s="2" t="n">
        <v>100</v>
      </c>
      <c r="EG455" s="2" t="n">
        <v>0</v>
      </c>
      <c r="EH455" s="2" t="n">
        <v>100</v>
      </c>
      <c r="EI455" s="2" t="n">
        <v>100</v>
      </c>
      <c r="EJ455" s="2" t="n">
        <v>0</v>
      </c>
      <c r="EK455" s="2" t="n">
        <v>100</v>
      </c>
      <c r="EL455" s="2" t="n">
        <v>100</v>
      </c>
      <c r="EM455" s="2" t="n">
        <v>0</v>
      </c>
      <c r="EN455" s="2" t="n">
        <v>100</v>
      </c>
      <c r="EO455" s="2" t="n">
        <v>100</v>
      </c>
      <c r="EP455" s="2" t="n">
        <v>0</v>
      </c>
      <c r="EQ455" s="2" t="n">
        <v>100</v>
      </c>
      <c r="ER455" s="2" t="n">
        <v>100</v>
      </c>
      <c r="ES455" s="2" t="n">
        <v>0</v>
      </c>
    </row>
    <row r="456">
      <c r="A456" s="2" t="n">
        <v>3</v>
      </c>
      <c r="B456" s="2" t="inlineStr">
        <is>
          <t>19.07.05</t>
        </is>
      </c>
      <c r="C456" s="2" t="inlineStr">
        <is>
          <t>Impermabilização de ralos</t>
        </is>
      </c>
      <c r="D456" s="2" t="inlineStr">
        <is>
          <t>11/08/2027</t>
        </is>
      </c>
      <c r="E456" s="2" t="inlineStr">
        <is>
          <t>01/09/2028</t>
        </is>
      </c>
      <c r="F456" s="2" t="n">
        <v>1079.939242511014</v>
      </c>
      <c r="G456" s="2" t="n">
        <v>0</v>
      </c>
      <c r="H456" s="2" t="n">
        <v>1079.939242511014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n">
        <v>0</v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n">
        <v>0</v>
      </c>
      <c r="BI456" s="2" t="n">
        <v>0</v>
      </c>
      <c r="BJ456" s="2" t="n">
        <v>0</v>
      </c>
      <c r="BK456" s="2" t="n">
        <v>0</v>
      </c>
      <c r="BL456" s="2" t="n">
        <v>0</v>
      </c>
      <c r="BM456" s="2" t="n">
        <v>0</v>
      </c>
      <c r="BN456" s="2" t="n">
        <v>0</v>
      </c>
      <c r="BO456" s="2" t="n">
        <v>0</v>
      </c>
      <c r="BP456" s="2" t="n">
        <v>0</v>
      </c>
      <c r="BQ456" s="2" t="n">
        <v>0</v>
      </c>
      <c r="BR456" s="2" t="n">
        <v>0</v>
      </c>
      <c r="BS456" s="2" t="n">
        <v>0</v>
      </c>
      <c r="BT456" s="2" t="n">
        <v>0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2.65</v>
      </c>
      <c r="CJ456" s="2" t="n">
        <v>3.97</v>
      </c>
      <c r="CK456" s="2" t="n">
        <v>0</v>
      </c>
      <c r="CL456" s="2" t="n">
        <v>8.199999999999999</v>
      </c>
      <c r="CM456" s="2" t="n">
        <v>9.52</v>
      </c>
      <c r="CN456" s="2" t="n">
        <v>0</v>
      </c>
      <c r="CO456" s="2" t="n">
        <v>13.49</v>
      </c>
      <c r="CP456" s="2" t="n">
        <v>17.2</v>
      </c>
      <c r="CQ456" s="2" t="n">
        <v>0</v>
      </c>
      <c r="CR456" s="2" t="n">
        <v>23.54</v>
      </c>
      <c r="CS456" s="2" t="n">
        <v>24.87</v>
      </c>
      <c r="CT456" s="2" t="n">
        <v>0</v>
      </c>
      <c r="CU456" s="2" t="n">
        <v>27.78</v>
      </c>
      <c r="CV456" s="2" t="n">
        <v>30.53</v>
      </c>
      <c r="CW456" s="2" t="n">
        <v>0</v>
      </c>
      <c r="CX456" s="2" t="n">
        <v>35</v>
      </c>
      <c r="CY456" s="2" t="n">
        <v>37.04</v>
      </c>
      <c r="CZ456" s="2" t="n">
        <v>0</v>
      </c>
      <c r="DA456" s="2" t="n">
        <v>41.27</v>
      </c>
      <c r="DB456" s="2" t="n">
        <v>43.54</v>
      </c>
      <c r="DC456" s="2" t="n">
        <v>0</v>
      </c>
      <c r="DD456" s="2" t="n">
        <v>54.32</v>
      </c>
      <c r="DE456" s="2" t="n">
        <v>56.56</v>
      </c>
      <c r="DF456" s="2" t="n">
        <v>0</v>
      </c>
      <c r="DG456" s="2" t="n">
        <v>63.54</v>
      </c>
      <c r="DH456" s="2" t="n">
        <v>65.38</v>
      </c>
      <c r="DI456" s="2" t="n">
        <v>0</v>
      </c>
      <c r="DJ456" s="2" t="n">
        <v>72.54000000000001</v>
      </c>
      <c r="DK456" s="2" t="n">
        <v>81.36</v>
      </c>
      <c r="DL456" s="2" t="n">
        <v>0</v>
      </c>
      <c r="DM456" s="2" t="n">
        <v>86.23999999999999</v>
      </c>
      <c r="DN456" s="2" t="n">
        <v>94.76000000000001</v>
      </c>
      <c r="DO456" s="2" t="n">
        <v>0</v>
      </c>
      <c r="DP456" s="2" t="n">
        <v>97.45999999999999</v>
      </c>
      <c r="DQ456" s="2" t="n">
        <v>97.62</v>
      </c>
      <c r="DR456" s="2" t="n">
        <v>0</v>
      </c>
      <c r="DS456" s="2" t="n">
        <v>98.41</v>
      </c>
      <c r="DT456" s="2" t="n">
        <v>99.73999999999999</v>
      </c>
      <c r="DU456" s="2" t="n">
        <v>0</v>
      </c>
      <c r="DV456" s="2" t="n">
        <v>100</v>
      </c>
      <c r="DW456" s="2" t="n">
        <v>100</v>
      </c>
      <c r="DX456" s="2" t="n">
        <v>0</v>
      </c>
      <c r="DY456" s="2" t="n">
        <v>100</v>
      </c>
      <c r="DZ456" s="2" t="n">
        <v>100</v>
      </c>
      <c r="EA456" s="2" t="n">
        <v>0</v>
      </c>
      <c r="EB456" s="2" t="n">
        <v>100</v>
      </c>
      <c r="EC456" s="2" t="n">
        <v>100</v>
      </c>
      <c r="ED456" s="2" t="n">
        <v>0</v>
      </c>
      <c r="EE456" s="2" t="n">
        <v>100</v>
      </c>
      <c r="EF456" s="2" t="n">
        <v>100</v>
      </c>
      <c r="EG456" s="2" t="n">
        <v>0</v>
      </c>
      <c r="EH456" s="2" t="n">
        <v>100</v>
      </c>
      <c r="EI456" s="2" t="n">
        <v>100</v>
      </c>
      <c r="EJ456" s="2" t="n">
        <v>0</v>
      </c>
      <c r="EK456" s="2" t="n">
        <v>100</v>
      </c>
      <c r="EL456" s="2" t="n">
        <v>100</v>
      </c>
      <c r="EM456" s="2" t="n">
        <v>0</v>
      </c>
      <c r="EN456" s="2" t="n">
        <v>100</v>
      </c>
      <c r="EO456" s="2" t="n">
        <v>100</v>
      </c>
      <c r="EP456" s="2" t="n">
        <v>0</v>
      </c>
      <c r="EQ456" s="2" t="n">
        <v>100</v>
      </c>
      <c r="ER456" s="2" t="n">
        <v>100</v>
      </c>
      <c r="ES456" s="2" t="n">
        <v>0</v>
      </c>
    </row>
    <row r="457">
      <c r="A457" s="2" t="n">
        <v>2</v>
      </c>
      <c r="B457" s="2" t="inlineStr">
        <is>
          <t>19.08</t>
        </is>
      </c>
      <c r="C457" s="2" t="inlineStr">
        <is>
          <t>Sobre concreto curado e regularizado (1,0% de caimento para a rede hidráulica), impermeabilização com manta asfáltica tipo III, 4mm de espessura, classe B acabamento PP, colada com maçarico de gás GLP. Sobre esta, camada de proteção mecânica com manta auto protegida ardosiada tipo III, tipo B, 4mm de espessura (3mm de manta + 1mm de grânulos minerais) colada com maçarico de gás GLP</t>
        </is>
      </c>
      <c r="D457" s="2" t="inlineStr">
        <is>
          <t>11/08/2027</t>
        </is>
      </c>
      <c r="E457" s="2" t="inlineStr">
        <is>
          <t>01/09/2028</t>
        </is>
      </c>
      <c r="F457" s="2" t="n">
        <v>51892.28941670555</v>
      </c>
      <c r="G457" s="2" t="n">
        <v>0</v>
      </c>
      <c r="H457" s="2" t="n">
        <v>51892.28941670555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  <c r="AN457" s="2" t="n">
        <v>0</v>
      </c>
      <c r="AO457" s="2" t="n">
        <v>0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n">
        <v>0</v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n">
        <v>0</v>
      </c>
      <c r="BI457" s="2" t="n">
        <v>0</v>
      </c>
      <c r="BJ457" s="2" t="n">
        <v>0</v>
      </c>
      <c r="BK457" s="2" t="n">
        <v>0</v>
      </c>
      <c r="BL457" s="2" t="n">
        <v>0</v>
      </c>
      <c r="BM457" s="2" t="n">
        <v>0</v>
      </c>
      <c r="BN457" s="2" t="n">
        <v>0</v>
      </c>
      <c r="BO457" s="2" t="n">
        <v>0</v>
      </c>
      <c r="BP457" s="2" t="n">
        <v>0</v>
      </c>
      <c r="BQ457" s="2" t="n">
        <v>0</v>
      </c>
      <c r="BR457" s="2" t="n">
        <v>0</v>
      </c>
      <c r="BS457" s="2" t="n">
        <v>0</v>
      </c>
      <c r="BT457" s="2" t="n">
        <v>0</v>
      </c>
      <c r="BU457" s="2" t="n">
        <v>0</v>
      </c>
      <c r="BV457" s="2" t="n">
        <v>0</v>
      </c>
      <c r="BW457" s="2" t="n">
        <v>0</v>
      </c>
      <c r="BX457" s="2" t="n">
        <v>0</v>
      </c>
      <c r="BY457" s="2" t="n">
        <v>0</v>
      </c>
      <c r="BZ457" s="2" t="n">
        <v>0</v>
      </c>
      <c r="CA457" s="2" t="n">
        <v>0</v>
      </c>
      <c r="CB457" s="2" t="n">
        <v>0</v>
      </c>
      <c r="CC457" s="2" t="n">
        <v>0</v>
      </c>
      <c r="CD457" s="2" t="n">
        <v>0</v>
      </c>
      <c r="CE457" s="2" t="n">
        <v>0</v>
      </c>
      <c r="CF457" s="2" t="n">
        <v>0</v>
      </c>
      <c r="CG457" s="2" t="n">
        <v>0</v>
      </c>
      <c r="CH457" s="2" t="n">
        <v>0</v>
      </c>
      <c r="CI457" s="2" t="n">
        <v>2.65</v>
      </c>
      <c r="CJ457" s="2" t="n">
        <v>3.97</v>
      </c>
      <c r="CK457" s="2" t="n">
        <v>0</v>
      </c>
      <c r="CL457" s="2" t="n">
        <v>8.199999999999999</v>
      </c>
      <c r="CM457" s="2" t="n">
        <v>9.52</v>
      </c>
      <c r="CN457" s="2" t="n">
        <v>0</v>
      </c>
      <c r="CO457" s="2" t="n">
        <v>13.49</v>
      </c>
      <c r="CP457" s="2" t="n">
        <v>17.2</v>
      </c>
      <c r="CQ457" s="2" t="n">
        <v>0</v>
      </c>
      <c r="CR457" s="2" t="n">
        <v>23.54</v>
      </c>
      <c r="CS457" s="2" t="n">
        <v>24.87</v>
      </c>
      <c r="CT457" s="2" t="n">
        <v>0</v>
      </c>
      <c r="CU457" s="2" t="n">
        <v>27.78</v>
      </c>
      <c r="CV457" s="2" t="n">
        <v>30.53</v>
      </c>
      <c r="CW457" s="2" t="n">
        <v>0</v>
      </c>
      <c r="CX457" s="2" t="n">
        <v>35</v>
      </c>
      <c r="CY457" s="2" t="n">
        <v>37.04</v>
      </c>
      <c r="CZ457" s="2" t="n">
        <v>0</v>
      </c>
      <c r="DA457" s="2" t="n">
        <v>41.27</v>
      </c>
      <c r="DB457" s="2" t="n">
        <v>43.54</v>
      </c>
      <c r="DC457" s="2" t="n">
        <v>0</v>
      </c>
      <c r="DD457" s="2" t="n">
        <v>54.32</v>
      </c>
      <c r="DE457" s="2" t="n">
        <v>56.56</v>
      </c>
      <c r="DF457" s="2" t="n">
        <v>0</v>
      </c>
      <c r="DG457" s="2" t="n">
        <v>63.54</v>
      </c>
      <c r="DH457" s="2" t="n">
        <v>65.38</v>
      </c>
      <c r="DI457" s="2" t="n">
        <v>0</v>
      </c>
      <c r="DJ457" s="2" t="n">
        <v>72.54000000000001</v>
      </c>
      <c r="DK457" s="2" t="n">
        <v>81.36</v>
      </c>
      <c r="DL457" s="2" t="n">
        <v>0</v>
      </c>
      <c r="DM457" s="2" t="n">
        <v>86.23999999999999</v>
      </c>
      <c r="DN457" s="2" t="n">
        <v>94.76000000000001</v>
      </c>
      <c r="DO457" s="2" t="n">
        <v>0</v>
      </c>
      <c r="DP457" s="2" t="n">
        <v>97.45999999999999</v>
      </c>
      <c r="DQ457" s="2" t="n">
        <v>97.62</v>
      </c>
      <c r="DR457" s="2" t="n">
        <v>0</v>
      </c>
      <c r="DS457" s="2" t="n">
        <v>98.41</v>
      </c>
      <c r="DT457" s="2" t="n">
        <v>99.73999999999999</v>
      </c>
      <c r="DU457" s="2" t="n">
        <v>0</v>
      </c>
      <c r="DV457" s="2" t="n">
        <v>100</v>
      </c>
      <c r="DW457" s="2" t="n">
        <v>100</v>
      </c>
      <c r="DX457" s="2" t="n">
        <v>0</v>
      </c>
      <c r="DY457" s="2" t="n">
        <v>100</v>
      </c>
      <c r="DZ457" s="2" t="n">
        <v>100</v>
      </c>
      <c r="EA457" s="2" t="n">
        <v>0</v>
      </c>
      <c r="EB457" s="2" t="n">
        <v>100</v>
      </c>
      <c r="EC457" s="2" t="n">
        <v>100</v>
      </c>
      <c r="ED457" s="2" t="n">
        <v>0</v>
      </c>
      <c r="EE457" s="2" t="n">
        <v>100</v>
      </c>
      <c r="EF457" s="2" t="n">
        <v>100</v>
      </c>
      <c r="EG457" s="2" t="n">
        <v>0</v>
      </c>
      <c r="EH457" s="2" t="n">
        <v>100</v>
      </c>
      <c r="EI457" s="2" t="n">
        <v>100</v>
      </c>
      <c r="EJ457" s="2" t="n">
        <v>0</v>
      </c>
      <c r="EK457" s="2" t="n">
        <v>100</v>
      </c>
      <c r="EL457" s="2" t="n">
        <v>100</v>
      </c>
      <c r="EM457" s="2" t="n">
        <v>0</v>
      </c>
      <c r="EN457" s="2" t="n">
        <v>100</v>
      </c>
      <c r="EO457" s="2" t="n">
        <v>100</v>
      </c>
      <c r="EP457" s="2" t="n">
        <v>0</v>
      </c>
      <c r="EQ457" s="2" t="n">
        <v>100</v>
      </c>
      <c r="ER457" s="2" t="n">
        <v>100</v>
      </c>
      <c r="ES457" s="2" t="n">
        <v>0</v>
      </c>
    </row>
    <row r="458">
      <c r="A458" s="2" t="n">
        <v>3</v>
      </c>
      <c r="B458" s="2" t="inlineStr">
        <is>
          <t>19.08.01</t>
        </is>
      </c>
      <c r="C458" s="2" t="inlineStr">
        <is>
          <t>Camada de regularização com argamassa de cimento e areia</t>
        </is>
      </c>
      <c r="D458" s="2" t="inlineStr">
        <is>
          <t>11/08/2027</t>
        </is>
      </c>
      <c r="E458" s="2" t="inlineStr">
        <is>
          <t>01/09/2028</t>
        </is>
      </c>
      <c r="F458" s="2" t="n">
        <v>5613.395137903797</v>
      </c>
      <c r="G458" s="2" t="n">
        <v>0</v>
      </c>
      <c r="H458" s="2" t="n">
        <v>5613.395137903797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0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n">
        <v>0</v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0</v>
      </c>
      <c r="BF458" s="2" t="n">
        <v>0</v>
      </c>
      <c r="BG458" s="2" t="n">
        <v>0</v>
      </c>
      <c r="BH458" s="2" t="n">
        <v>0</v>
      </c>
      <c r="BI458" s="2" t="n">
        <v>0</v>
      </c>
      <c r="BJ458" s="2" t="n">
        <v>0</v>
      </c>
      <c r="BK458" s="2" t="n">
        <v>0</v>
      </c>
      <c r="BL458" s="2" t="n">
        <v>0</v>
      </c>
      <c r="BM458" s="2" t="n">
        <v>0</v>
      </c>
      <c r="BN458" s="2" t="n">
        <v>0</v>
      </c>
      <c r="BO458" s="2" t="n">
        <v>0</v>
      </c>
      <c r="BP458" s="2" t="n">
        <v>0</v>
      </c>
      <c r="BQ458" s="2" t="n">
        <v>0</v>
      </c>
      <c r="BR458" s="2" t="n">
        <v>0</v>
      </c>
      <c r="BS458" s="2" t="n">
        <v>0</v>
      </c>
      <c r="BT458" s="2" t="n">
        <v>0</v>
      </c>
      <c r="BU458" s="2" t="n">
        <v>0</v>
      </c>
      <c r="BV458" s="2" t="n">
        <v>0</v>
      </c>
      <c r="BW458" s="2" t="n">
        <v>0</v>
      </c>
      <c r="BX458" s="2" t="n">
        <v>0</v>
      </c>
      <c r="BY458" s="2" t="n">
        <v>0</v>
      </c>
      <c r="BZ458" s="2" t="n">
        <v>0</v>
      </c>
      <c r="CA458" s="2" t="n">
        <v>0</v>
      </c>
      <c r="CB458" s="2" t="n">
        <v>0</v>
      </c>
      <c r="CC458" s="2" t="n">
        <v>0</v>
      </c>
      <c r="CD458" s="2" t="n">
        <v>0</v>
      </c>
      <c r="CE458" s="2" t="n">
        <v>0</v>
      </c>
      <c r="CF458" s="2" t="n">
        <v>0</v>
      </c>
      <c r="CG458" s="2" t="n">
        <v>0</v>
      </c>
      <c r="CH458" s="2" t="n">
        <v>0</v>
      </c>
      <c r="CI458" s="2" t="n">
        <v>2.65</v>
      </c>
      <c r="CJ458" s="2" t="n">
        <v>3.97</v>
      </c>
      <c r="CK458" s="2" t="n">
        <v>0</v>
      </c>
      <c r="CL458" s="2" t="n">
        <v>8.199999999999999</v>
      </c>
      <c r="CM458" s="2" t="n">
        <v>9.52</v>
      </c>
      <c r="CN458" s="2" t="n">
        <v>0</v>
      </c>
      <c r="CO458" s="2" t="n">
        <v>13.49</v>
      </c>
      <c r="CP458" s="2" t="n">
        <v>17.2</v>
      </c>
      <c r="CQ458" s="2" t="n">
        <v>0</v>
      </c>
      <c r="CR458" s="2" t="n">
        <v>23.54</v>
      </c>
      <c r="CS458" s="2" t="n">
        <v>24.87</v>
      </c>
      <c r="CT458" s="2" t="n">
        <v>0</v>
      </c>
      <c r="CU458" s="2" t="n">
        <v>27.78</v>
      </c>
      <c r="CV458" s="2" t="n">
        <v>30.53</v>
      </c>
      <c r="CW458" s="2" t="n">
        <v>0</v>
      </c>
      <c r="CX458" s="2" t="n">
        <v>35</v>
      </c>
      <c r="CY458" s="2" t="n">
        <v>37.04</v>
      </c>
      <c r="CZ458" s="2" t="n">
        <v>0</v>
      </c>
      <c r="DA458" s="2" t="n">
        <v>41.27</v>
      </c>
      <c r="DB458" s="2" t="n">
        <v>43.54</v>
      </c>
      <c r="DC458" s="2" t="n">
        <v>0</v>
      </c>
      <c r="DD458" s="2" t="n">
        <v>54.32</v>
      </c>
      <c r="DE458" s="2" t="n">
        <v>56.56</v>
      </c>
      <c r="DF458" s="2" t="n">
        <v>0</v>
      </c>
      <c r="DG458" s="2" t="n">
        <v>63.54</v>
      </c>
      <c r="DH458" s="2" t="n">
        <v>65.38</v>
      </c>
      <c r="DI458" s="2" t="n">
        <v>0</v>
      </c>
      <c r="DJ458" s="2" t="n">
        <v>72.54000000000001</v>
      </c>
      <c r="DK458" s="2" t="n">
        <v>81.36</v>
      </c>
      <c r="DL458" s="2" t="n">
        <v>0</v>
      </c>
      <c r="DM458" s="2" t="n">
        <v>86.23999999999999</v>
      </c>
      <c r="DN458" s="2" t="n">
        <v>94.76000000000001</v>
      </c>
      <c r="DO458" s="2" t="n">
        <v>0</v>
      </c>
      <c r="DP458" s="2" t="n">
        <v>97.45999999999999</v>
      </c>
      <c r="DQ458" s="2" t="n">
        <v>97.62</v>
      </c>
      <c r="DR458" s="2" t="n">
        <v>0</v>
      </c>
      <c r="DS458" s="2" t="n">
        <v>98.41</v>
      </c>
      <c r="DT458" s="2" t="n">
        <v>99.73999999999999</v>
      </c>
      <c r="DU458" s="2" t="n">
        <v>0</v>
      </c>
      <c r="DV458" s="2" t="n">
        <v>100</v>
      </c>
      <c r="DW458" s="2" t="n">
        <v>100</v>
      </c>
      <c r="DX458" s="2" t="n">
        <v>0</v>
      </c>
      <c r="DY458" s="2" t="n">
        <v>100</v>
      </c>
      <c r="DZ458" s="2" t="n">
        <v>100</v>
      </c>
      <c r="EA458" s="2" t="n">
        <v>0</v>
      </c>
      <c r="EB458" s="2" t="n">
        <v>100</v>
      </c>
      <c r="EC458" s="2" t="n">
        <v>100</v>
      </c>
      <c r="ED458" s="2" t="n">
        <v>0</v>
      </c>
      <c r="EE458" s="2" t="n">
        <v>100</v>
      </c>
      <c r="EF458" s="2" t="n">
        <v>100</v>
      </c>
      <c r="EG458" s="2" t="n">
        <v>0</v>
      </c>
      <c r="EH458" s="2" t="n">
        <v>100</v>
      </c>
      <c r="EI458" s="2" t="n">
        <v>100</v>
      </c>
      <c r="EJ458" s="2" t="n">
        <v>0</v>
      </c>
      <c r="EK458" s="2" t="n">
        <v>100</v>
      </c>
      <c r="EL458" s="2" t="n">
        <v>100</v>
      </c>
      <c r="EM458" s="2" t="n">
        <v>0</v>
      </c>
      <c r="EN458" s="2" t="n">
        <v>100</v>
      </c>
      <c r="EO458" s="2" t="n">
        <v>100</v>
      </c>
      <c r="EP458" s="2" t="n">
        <v>0</v>
      </c>
      <c r="EQ458" s="2" t="n">
        <v>100</v>
      </c>
      <c r="ER458" s="2" t="n">
        <v>100</v>
      </c>
      <c r="ES458" s="2" t="n">
        <v>0</v>
      </c>
    </row>
    <row r="459">
      <c r="A459" s="2" t="n">
        <v>3</v>
      </c>
      <c r="B459" s="2" t="inlineStr">
        <is>
          <t>19.08.02</t>
        </is>
      </c>
      <c r="C459" s="2" t="inlineStr">
        <is>
          <t>LPI Cx d'agua - manta auto protegida ardosiada tipo III, tipo B, 4mm de espessura (3mm de manta + 1mm de grânulos minerais) colada com maçarico de gás GLP</t>
        </is>
      </c>
      <c r="D459" s="2" t="inlineStr">
        <is>
          <t>11/08/2027</t>
        </is>
      </c>
      <c r="E459" s="2" t="inlineStr">
        <is>
          <t>01/09/2028</t>
        </is>
      </c>
      <c r="F459" s="2" t="n">
        <v>23053.052</v>
      </c>
      <c r="G459" s="2" t="n">
        <v>0</v>
      </c>
      <c r="H459" s="2" t="n">
        <v>23053.052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0</v>
      </c>
      <c r="AN459" s="2" t="n">
        <v>0</v>
      </c>
      <c r="AO459" s="2" t="n">
        <v>0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n">
        <v>0</v>
      </c>
      <c r="AZ459" s="2" t="n">
        <v>0</v>
      </c>
      <c r="BA459" s="2" t="n">
        <v>0</v>
      </c>
      <c r="BB459" s="2" t="n">
        <v>0</v>
      </c>
      <c r="BC459" s="2" t="n">
        <v>0</v>
      </c>
      <c r="BD459" s="2" t="n">
        <v>0</v>
      </c>
      <c r="BE459" s="2" t="n">
        <v>0</v>
      </c>
      <c r="BF459" s="2" t="n">
        <v>0</v>
      </c>
      <c r="BG459" s="2" t="n">
        <v>0</v>
      </c>
      <c r="BH459" s="2" t="n">
        <v>0</v>
      </c>
      <c r="BI459" s="2" t="n">
        <v>0</v>
      </c>
      <c r="BJ459" s="2" t="n">
        <v>0</v>
      </c>
      <c r="BK459" s="2" t="n">
        <v>0</v>
      </c>
      <c r="BL459" s="2" t="n">
        <v>0</v>
      </c>
      <c r="BM459" s="2" t="n">
        <v>0</v>
      </c>
      <c r="BN459" s="2" t="n">
        <v>0</v>
      </c>
      <c r="BO459" s="2" t="n">
        <v>0</v>
      </c>
      <c r="BP459" s="2" t="n">
        <v>0</v>
      </c>
      <c r="BQ459" s="2" t="n">
        <v>0</v>
      </c>
      <c r="BR459" s="2" t="n">
        <v>0</v>
      </c>
      <c r="BS459" s="2" t="n">
        <v>0</v>
      </c>
      <c r="BT459" s="2" t="n">
        <v>0</v>
      </c>
      <c r="BU459" s="2" t="n">
        <v>0</v>
      </c>
      <c r="BV459" s="2" t="n">
        <v>0</v>
      </c>
      <c r="BW459" s="2" t="n">
        <v>0</v>
      </c>
      <c r="BX459" s="2" t="n">
        <v>0</v>
      </c>
      <c r="BY459" s="2" t="n">
        <v>0</v>
      </c>
      <c r="BZ459" s="2" t="n">
        <v>0</v>
      </c>
      <c r="CA459" s="2" t="n">
        <v>0</v>
      </c>
      <c r="CB459" s="2" t="n">
        <v>0</v>
      </c>
      <c r="CC459" s="2" t="n">
        <v>0</v>
      </c>
      <c r="CD459" s="2" t="n">
        <v>0</v>
      </c>
      <c r="CE459" s="2" t="n">
        <v>0</v>
      </c>
      <c r="CF459" s="2" t="n">
        <v>0</v>
      </c>
      <c r="CG459" s="2" t="n">
        <v>0</v>
      </c>
      <c r="CH459" s="2" t="n">
        <v>0</v>
      </c>
      <c r="CI459" s="2" t="n">
        <v>2.65</v>
      </c>
      <c r="CJ459" s="2" t="n">
        <v>3.97</v>
      </c>
      <c r="CK459" s="2" t="n">
        <v>0</v>
      </c>
      <c r="CL459" s="2" t="n">
        <v>8.199999999999999</v>
      </c>
      <c r="CM459" s="2" t="n">
        <v>9.52</v>
      </c>
      <c r="CN459" s="2" t="n">
        <v>0</v>
      </c>
      <c r="CO459" s="2" t="n">
        <v>13.49</v>
      </c>
      <c r="CP459" s="2" t="n">
        <v>17.2</v>
      </c>
      <c r="CQ459" s="2" t="n">
        <v>0</v>
      </c>
      <c r="CR459" s="2" t="n">
        <v>23.54</v>
      </c>
      <c r="CS459" s="2" t="n">
        <v>24.87</v>
      </c>
      <c r="CT459" s="2" t="n">
        <v>0</v>
      </c>
      <c r="CU459" s="2" t="n">
        <v>27.78</v>
      </c>
      <c r="CV459" s="2" t="n">
        <v>30.53</v>
      </c>
      <c r="CW459" s="2" t="n">
        <v>0</v>
      </c>
      <c r="CX459" s="2" t="n">
        <v>35</v>
      </c>
      <c r="CY459" s="2" t="n">
        <v>37.04</v>
      </c>
      <c r="CZ459" s="2" t="n">
        <v>0</v>
      </c>
      <c r="DA459" s="2" t="n">
        <v>41.27</v>
      </c>
      <c r="DB459" s="2" t="n">
        <v>43.54</v>
      </c>
      <c r="DC459" s="2" t="n">
        <v>0</v>
      </c>
      <c r="DD459" s="2" t="n">
        <v>54.32</v>
      </c>
      <c r="DE459" s="2" t="n">
        <v>56.56</v>
      </c>
      <c r="DF459" s="2" t="n">
        <v>0</v>
      </c>
      <c r="DG459" s="2" t="n">
        <v>63.54</v>
      </c>
      <c r="DH459" s="2" t="n">
        <v>65.38</v>
      </c>
      <c r="DI459" s="2" t="n">
        <v>0</v>
      </c>
      <c r="DJ459" s="2" t="n">
        <v>72.54000000000001</v>
      </c>
      <c r="DK459" s="2" t="n">
        <v>81.36</v>
      </c>
      <c r="DL459" s="2" t="n">
        <v>0</v>
      </c>
      <c r="DM459" s="2" t="n">
        <v>86.23999999999999</v>
      </c>
      <c r="DN459" s="2" t="n">
        <v>94.76000000000001</v>
      </c>
      <c r="DO459" s="2" t="n">
        <v>0</v>
      </c>
      <c r="DP459" s="2" t="n">
        <v>97.45999999999999</v>
      </c>
      <c r="DQ459" s="2" t="n">
        <v>97.62</v>
      </c>
      <c r="DR459" s="2" t="n">
        <v>0</v>
      </c>
      <c r="DS459" s="2" t="n">
        <v>98.41</v>
      </c>
      <c r="DT459" s="2" t="n">
        <v>99.73999999999999</v>
      </c>
      <c r="DU459" s="2" t="n">
        <v>0</v>
      </c>
      <c r="DV459" s="2" t="n">
        <v>100</v>
      </c>
      <c r="DW459" s="2" t="n">
        <v>100</v>
      </c>
      <c r="DX459" s="2" t="n">
        <v>0</v>
      </c>
      <c r="DY459" s="2" t="n">
        <v>100</v>
      </c>
      <c r="DZ459" s="2" t="n">
        <v>100</v>
      </c>
      <c r="EA459" s="2" t="n">
        <v>0</v>
      </c>
      <c r="EB459" s="2" t="n">
        <v>100</v>
      </c>
      <c r="EC459" s="2" t="n">
        <v>100</v>
      </c>
      <c r="ED459" s="2" t="n">
        <v>0</v>
      </c>
      <c r="EE459" s="2" t="n">
        <v>100</v>
      </c>
      <c r="EF459" s="2" t="n">
        <v>100</v>
      </c>
      <c r="EG459" s="2" t="n">
        <v>0</v>
      </c>
      <c r="EH459" s="2" t="n">
        <v>100</v>
      </c>
      <c r="EI459" s="2" t="n">
        <v>100</v>
      </c>
      <c r="EJ459" s="2" t="n">
        <v>0</v>
      </c>
      <c r="EK459" s="2" t="n">
        <v>100</v>
      </c>
      <c r="EL459" s="2" t="n">
        <v>100</v>
      </c>
      <c r="EM459" s="2" t="n">
        <v>0</v>
      </c>
      <c r="EN459" s="2" t="n">
        <v>100</v>
      </c>
      <c r="EO459" s="2" t="n">
        <v>100</v>
      </c>
      <c r="EP459" s="2" t="n">
        <v>0</v>
      </c>
      <c r="EQ459" s="2" t="n">
        <v>100</v>
      </c>
      <c r="ER459" s="2" t="n">
        <v>100</v>
      </c>
      <c r="ES459" s="2" t="n">
        <v>0</v>
      </c>
    </row>
    <row r="460">
      <c r="A460" s="2" t="n">
        <v>3</v>
      </c>
      <c r="B460" s="2" t="inlineStr">
        <is>
          <t>19.08.03</t>
        </is>
      </c>
      <c r="C460" s="2" t="inlineStr">
        <is>
          <t>LPI Cx d'agua -  manta asfáltica tipo III, 4mm de espessura, classe B acabamento PP, colada com maçarico de gás GLP</t>
        </is>
      </c>
      <c r="D460" s="2" t="inlineStr">
        <is>
          <t>11/08/2027</t>
        </is>
      </c>
      <c r="E460" s="2" t="inlineStr">
        <is>
          <t>01/09/2028</t>
        </is>
      </c>
      <c r="F460" s="2" t="n">
        <v>23053.052</v>
      </c>
      <c r="G460" s="2" t="n">
        <v>0</v>
      </c>
      <c r="H460" s="2" t="n">
        <v>23053.052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n">
        <v>0</v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n">
        <v>0</v>
      </c>
      <c r="BI460" s="2" t="n">
        <v>0</v>
      </c>
      <c r="BJ460" s="2" t="n">
        <v>0</v>
      </c>
      <c r="BK460" s="2" t="n">
        <v>0</v>
      </c>
      <c r="BL460" s="2" t="n">
        <v>0</v>
      </c>
      <c r="BM460" s="2" t="n">
        <v>0</v>
      </c>
      <c r="BN460" s="2" t="n">
        <v>0</v>
      </c>
      <c r="BO460" s="2" t="n">
        <v>0</v>
      </c>
      <c r="BP460" s="2" t="n">
        <v>0</v>
      </c>
      <c r="BQ460" s="2" t="n">
        <v>0</v>
      </c>
      <c r="BR460" s="2" t="n">
        <v>0</v>
      </c>
      <c r="BS460" s="2" t="n">
        <v>0</v>
      </c>
      <c r="BT460" s="2" t="n">
        <v>0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2.65</v>
      </c>
      <c r="CJ460" s="2" t="n">
        <v>3.97</v>
      </c>
      <c r="CK460" s="2" t="n">
        <v>0</v>
      </c>
      <c r="CL460" s="2" t="n">
        <v>8.199999999999999</v>
      </c>
      <c r="CM460" s="2" t="n">
        <v>9.52</v>
      </c>
      <c r="CN460" s="2" t="n">
        <v>0</v>
      </c>
      <c r="CO460" s="2" t="n">
        <v>13.49</v>
      </c>
      <c r="CP460" s="2" t="n">
        <v>17.2</v>
      </c>
      <c r="CQ460" s="2" t="n">
        <v>0</v>
      </c>
      <c r="CR460" s="2" t="n">
        <v>23.54</v>
      </c>
      <c r="CS460" s="2" t="n">
        <v>24.87</v>
      </c>
      <c r="CT460" s="2" t="n">
        <v>0</v>
      </c>
      <c r="CU460" s="2" t="n">
        <v>27.78</v>
      </c>
      <c r="CV460" s="2" t="n">
        <v>30.53</v>
      </c>
      <c r="CW460" s="2" t="n">
        <v>0</v>
      </c>
      <c r="CX460" s="2" t="n">
        <v>35</v>
      </c>
      <c r="CY460" s="2" t="n">
        <v>37.04</v>
      </c>
      <c r="CZ460" s="2" t="n">
        <v>0</v>
      </c>
      <c r="DA460" s="2" t="n">
        <v>41.27</v>
      </c>
      <c r="DB460" s="2" t="n">
        <v>43.54</v>
      </c>
      <c r="DC460" s="2" t="n">
        <v>0</v>
      </c>
      <c r="DD460" s="2" t="n">
        <v>54.32</v>
      </c>
      <c r="DE460" s="2" t="n">
        <v>56.56</v>
      </c>
      <c r="DF460" s="2" t="n">
        <v>0</v>
      </c>
      <c r="DG460" s="2" t="n">
        <v>63.54</v>
      </c>
      <c r="DH460" s="2" t="n">
        <v>65.38</v>
      </c>
      <c r="DI460" s="2" t="n">
        <v>0</v>
      </c>
      <c r="DJ460" s="2" t="n">
        <v>72.54000000000001</v>
      </c>
      <c r="DK460" s="2" t="n">
        <v>81.36</v>
      </c>
      <c r="DL460" s="2" t="n">
        <v>0</v>
      </c>
      <c r="DM460" s="2" t="n">
        <v>86.23999999999999</v>
      </c>
      <c r="DN460" s="2" t="n">
        <v>94.76000000000001</v>
      </c>
      <c r="DO460" s="2" t="n">
        <v>0</v>
      </c>
      <c r="DP460" s="2" t="n">
        <v>97.45999999999999</v>
      </c>
      <c r="DQ460" s="2" t="n">
        <v>97.62</v>
      </c>
      <c r="DR460" s="2" t="n">
        <v>0</v>
      </c>
      <c r="DS460" s="2" t="n">
        <v>98.41</v>
      </c>
      <c r="DT460" s="2" t="n">
        <v>99.73999999999999</v>
      </c>
      <c r="DU460" s="2" t="n">
        <v>0</v>
      </c>
      <c r="DV460" s="2" t="n">
        <v>100</v>
      </c>
      <c r="DW460" s="2" t="n">
        <v>100</v>
      </c>
      <c r="DX460" s="2" t="n">
        <v>0</v>
      </c>
      <c r="DY460" s="2" t="n">
        <v>100</v>
      </c>
      <c r="DZ460" s="2" t="n">
        <v>100</v>
      </c>
      <c r="EA460" s="2" t="n">
        <v>0</v>
      </c>
      <c r="EB460" s="2" t="n">
        <v>100</v>
      </c>
      <c r="EC460" s="2" t="n">
        <v>100</v>
      </c>
      <c r="ED460" s="2" t="n">
        <v>0</v>
      </c>
      <c r="EE460" s="2" t="n">
        <v>100</v>
      </c>
      <c r="EF460" s="2" t="n">
        <v>100</v>
      </c>
      <c r="EG460" s="2" t="n">
        <v>0</v>
      </c>
      <c r="EH460" s="2" t="n">
        <v>100</v>
      </c>
      <c r="EI460" s="2" t="n">
        <v>100</v>
      </c>
      <c r="EJ460" s="2" t="n">
        <v>0</v>
      </c>
      <c r="EK460" s="2" t="n">
        <v>100</v>
      </c>
      <c r="EL460" s="2" t="n">
        <v>100</v>
      </c>
      <c r="EM460" s="2" t="n">
        <v>0</v>
      </c>
      <c r="EN460" s="2" t="n">
        <v>100</v>
      </c>
      <c r="EO460" s="2" t="n">
        <v>100</v>
      </c>
      <c r="EP460" s="2" t="n">
        <v>0</v>
      </c>
      <c r="EQ460" s="2" t="n">
        <v>100</v>
      </c>
      <c r="ER460" s="2" t="n">
        <v>100</v>
      </c>
      <c r="ES460" s="2" t="n">
        <v>0</v>
      </c>
    </row>
    <row r="461">
      <c r="A461" s="2" t="n">
        <v>3</v>
      </c>
      <c r="B461" s="2" t="inlineStr">
        <is>
          <t>19.08.04</t>
        </is>
      </c>
      <c r="C461" s="2" t="inlineStr">
        <is>
          <t>Impermabilização de ralos</t>
        </is>
      </c>
      <c r="D461" s="2" t="inlineStr">
        <is>
          <t>11/08/2027</t>
        </is>
      </c>
      <c r="E461" s="2" t="inlineStr">
        <is>
          <t>01/09/2028</t>
        </is>
      </c>
      <c r="F461" s="2" t="n">
        <v>172.7902788017622</v>
      </c>
      <c r="G461" s="2" t="n">
        <v>0</v>
      </c>
      <c r="H461" s="2" t="n">
        <v>172.7902788017622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0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n">
        <v>0</v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n">
        <v>0</v>
      </c>
      <c r="BI461" s="2" t="n">
        <v>0</v>
      </c>
      <c r="BJ461" s="2" t="n">
        <v>0</v>
      </c>
      <c r="BK461" s="2" t="n">
        <v>0</v>
      </c>
      <c r="BL461" s="2" t="n">
        <v>0</v>
      </c>
      <c r="BM461" s="2" t="n">
        <v>0</v>
      </c>
      <c r="BN461" s="2" t="n">
        <v>0</v>
      </c>
      <c r="BO461" s="2" t="n">
        <v>0</v>
      </c>
      <c r="BP461" s="2" t="n">
        <v>0</v>
      </c>
      <c r="BQ461" s="2" t="n">
        <v>0</v>
      </c>
      <c r="BR461" s="2" t="n">
        <v>0</v>
      </c>
      <c r="BS461" s="2" t="n">
        <v>0</v>
      </c>
      <c r="BT461" s="2" t="n">
        <v>0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2.65</v>
      </c>
      <c r="CJ461" s="2" t="n">
        <v>3.97</v>
      </c>
      <c r="CK461" s="2" t="n">
        <v>0</v>
      </c>
      <c r="CL461" s="2" t="n">
        <v>8.199999999999999</v>
      </c>
      <c r="CM461" s="2" t="n">
        <v>9.52</v>
      </c>
      <c r="CN461" s="2" t="n">
        <v>0</v>
      </c>
      <c r="CO461" s="2" t="n">
        <v>13.49</v>
      </c>
      <c r="CP461" s="2" t="n">
        <v>17.2</v>
      </c>
      <c r="CQ461" s="2" t="n">
        <v>0</v>
      </c>
      <c r="CR461" s="2" t="n">
        <v>23.54</v>
      </c>
      <c r="CS461" s="2" t="n">
        <v>24.87</v>
      </c>
      <c r="CT461" s="2" t="n">
        <v>0</v>
      </c>
      <c r="CU461" s="2" t="n">
        <v>27.78</v>
      </c>
      <c r="CV461" s="2" t="n">
        <v>30.53</v>
      </c>
      <c r="CW461" s="2" t="n">
        <v>0</v>
      </c>
      <c r="CX461" s="2" t="n">
        <v>35</v>
      </c>
      <c r="CY461" s="2" t="n">
        <v>37.04</v>
      </c>
      <c r="CZ461" s="2" t="n">
        <v>0</v>
      </c>
      <c r="DA461" s="2" t="n">
        <v>41.27</v>
      </c>
      <c r="DB461" s="2" t="n">
        <v>43.54</v>
      </c>
      <c r="DC461" s="2" t="n">
        <v>0</v>
      </c>
      <c r="DD461" s="2" t="n">
        <v>54.32</v>
      </c>
      <c r="DE461" s="2" t="n">
        <v>56.56</v>
      </c>
      <c r="DF461" s="2" t="n">
        <v>0</v>
      </c>
      <c r="DG461" s="2" t="n">
        <v>63.54</v>
      </c>
      <c r="DH461" s="2" t="n">
        <v>65.38</v>
      </c>
      <c r="DI461" s="2" t="n">
        <v>0</v>
      </c>
      <c r="DJ461" s="2" t="n">
        <v>72.54000000000001</v>
      </c>
      <c r="DK461" s="2" t="n">
        <v>81.36</v>
      </c>
      <c r="DL461" s="2" t="n">
        <v>0</v>
      </c>
      <c r="DM461" s="2" t="n">
        <v>86.23999999999999</v>
      </c>
      <c r="DN461" s="2" t="n">
        <v>94.76000000000001</v>
      </c>
      <c r="DO461" s="2" t="n">
        <v>0</v>
      </c>
      <c r="DP461" s="2" t="n">
        <v>97.45999999999999</v>
      </c>
      <c r="DQ461" s="2" t="n">
        <v>97.62</v>
      </c>
      <c r="DR461" s="2" t="n">
        <v>0</v>
      </c>
      <c r="DS461" s="2" t="n">
        <v>98.41</v>
      </c>
      <c r="DT461" s="2" t="n">
        <v>99.73999999999999</v>
      </c>
      <c r="DU461" s="2" t="n">
        <v>0</v>
      </c>
      <c r="DV461" s="2" t="n">
        <v>100</v>
      </c>
      <c r="DW461" s="2" t="n">
        <v>100</v>
      </c>
      <c r="DX461" s="2" t="n">
        <v>0</v>
      </c>
      <c r="DY461" s="2" t="n">
        <v>100</v>
      </c>
      <c r="DZ461" s="2" t="n">
        <v>100</v>
      </c>
      <c r="EA461" s="2" t="n">
        <v>0</v>
      </c>
      <c r="EB461" s="2" t="n">
        <v>100</v>
      </c>
      <c r="EC461" s="2" t="n">
        <v>100</v>
      </c>
      <c r="ED461" s="2" t="n">
        <v>0</v>
      </c>
      <c r="EE461" s="2" t="n">
        <v>100</v>
      </c>
      <c r="EF461" s="2" t="n">
        <v>100</v>
      </c>
      <c r="EG461" s="2" t="n">
        <v>0</v>
      </c>
      <c r="EH461" s="2" t="n">
        <v>100</v>
      </c>
      <c r="EI461" s="2" t="n">
        <v>100</v>
      </c>
      <c r="EJ461" s="2" t="n">
        <v>0</v>
      </c>
      <c r="EK461" s="2" t="n">
        <v>100</v>
      </c>
      <c r="EL461" s="2" t="n">
        <v>100</v>
      </c>
      <c r="EM461" s="2" t="n">
        <v>0</v>
      </c>
      <c r="EN461" s="2" t="n">
        <v>100</v>
      </c>
      <c r="EO461" s="2" t="n">
        <v>100</v>
      </c>
      <c r="EP461" s="2" t="n">
        <v>0</v>
      </c>
      <c r="EQ461" s="2" t="n">
        <v>100</v>
      </c>
      <c r="ER461" s="2" t="n">
        <v>100</v>
      </c>
      <c r="ES461" s="2" t="n">
        <v>0</v>
      </c>
    </row>
    <row r="462">
      <c r="A462" s="2" t="n">
        <v>2</v>
      </c>
      <c r="B462" s="2" t="inlineStr">
        <is>
          <t>19.09</t>
        </is>
      </c>
      <c r="C462" s="2" t="inlineStr">
        <is>
          <t>Resina epóxi com consumo de 1,5kg/m2 executada sobre surperfícies recuperadas. Impermeabilização com resina epóxi  com consumo de 1,5kg/m sobre concreto aditivado e recuperado (Eliminação de falhas e tratamento de fissuras). *Nos poços do elevador, subir com a impermeabilização no mínimo 20cm acima da soleira da porta. * As cortinas serão observadas durante a obra e se houver algum tipo de patologia remanescente será avaliado e recomendado uma solução definitiva de impermeabilização.</t>
        </is>
      </c>
      <c r="D462" s="2" t="inlineStr">
        <is>
          <t>11/08/2027</t>
        </is>
      </c>
      <c r="E462" s="2" t="inlineStr">
        <is>
          <t>01/09/2028</t>
        </is>
      </c>
      <c r="F462" s="2" t="n">
        <v>20598.00572370925</v>
      </c>
      <c r="G462" s="2" t="n">
        <v>0</v>
      </c>
      <c r="H462" s="2" t="n">
        <v>20598.00572370925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  <c r="AN462" s="2" t="n">
        <v>0</v>
      </c>
      <c r="AO462" s="2" t="n">
        <v>0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n">
        <v>0</v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n">
        <v>0</v>
      </c>
      <c r="BI462" s="2" t="n">
        <v>0</v>
      </c>
      <c r="BJ462" s="2" t="n">
        <v>0</v>
      </c>
      <c r="BK462" s="2" t="n">
        <v>0</v>
      </c>
      <c r="BL462" s="2" t="n">
        <v>0</v>
      </c>
      <c r="BM462" s="2" t="n">
        <v>0</v>
      </c>
      <c r="BN462" s="2" t="n">
        <v>0</v>
      </c>
      <c r="BO462" s="2" t="n">
        <v>0</v>
      </c>
      <c r="BP462" s="2" t="n">
        <v>0</v>
      </c>
      <c r="BQ462" s="2" t="n">
        <v>0</v>
      </c>
      <c r="BR462" s="2" t="n">
        <v>0</v>
      </c>
      <c r="BS462" s="2" t="n">
        <v>0</v>
      </c>
      <c r="BT462" s="2" t="n">
        <v>0</v>
      </c>
      <c r="BU462" s="2" t="n">
        <v>0</v>
      </c>
      <c r="BV462" s="2" t="n">
        <v>0</v>
      </c>
      <c r="BW462" s="2" t="n">
        <v>0</v>
      </c>
      <c r="BX462" s="2" t="n">
        <v>0</v>
      </c>
      <c r="BY462" s="2" t="n">
        <v>0</v>
      </c>
      <c r="BZ462" s="2" t="n">
        <v>0</v>
      </c>
      <c r="CA462" s="2" t="n">
        <v>0</v>
      </c>
      <c r="CB462" s="2" t="n">
        <v>0</v>
      </c>
      <c r="CC462" s="2" t="n">
        <v>0</v>
      </c>
      <c r="CD462" s="2" t="n">
        <v>0</v>
      </c>
      <c r="CE462" s="2" t="n">
        <v>0</v>
      </c>
      <c r="CF462" s="2" t="n">
        <v>0</v>
      </c>
      <c r="CG462" s="2" t="n">
        <v>0</v>
      </c>
      <c r="CH462" s="2" t="n">
        <v>0</v>
      </c>
      <c r="CI462" s="2" t="n">
        <v>2.65</v>
      </c>
      <c r="CJ462" s="2" t="n">
        <v>3.97</v>
      </c>
      <c r="CK462" s="2" t="n">
        <v>0</v>
      </c>
      <c r="CL462" s="2" t="n">
        <v>8.199999999999999</v>
      </c>
      <c r="CM462" s="2" t="n">
        <v>9.52</v>
      </c>
      <c r="CN462" s="2" t="n">
        <v>0</v>
      </c>
      <c r="CO462" s="2" t="n">
        <v>13.49</v>
      </c>
      <c r="CP462" s="2" t="n">
        <v>17.2</v>
      </c>
      <c r="CQ462" s="2" t="n">
        <v>0</v>
      </c>
      <c r="CR462" s="2" t="n">
        <v>23.54</v>
      </c>
      <c r="CS462" s="2" t="n">
        <v>24.87</v>
      </c>
      <c r="CT462" s="2" t="n">
        <v>0</v>
      </c>
      <c r="CU462" s="2" t="n">
        <v>27.78</v>
      </c>
      <c r="CV462" s="2" t="n">
        <v>30.53</v>
      </c>
      <c r="CW462" s="2" t="n">
        <v>0</v>
      </c>
      <c r="CX462" s="2" t="n">
        <v>35</v>
      </c>
      <c r="CY462" s="2" t="n">
        <v>37.04</v>
      </c>
      <c r="CZ462" s="2" t="n">
        <v>0</v>
      </c>
      <c r="DA462" s="2" t="n">
        <v>41.27</v>
      </c>
      <c r="DB462" s="2" t="n">
        <v>43.54</v>
      </c>
      <c r="DC462" s="2" t="n">
        <v>0</v>
      </c>
      <c r="DD462" s="2" t="n">
        <v>54.32</v>
      </c>
      <c r="DE462" s="2" t="n">
        <v>56.56</v>
      </c>
      <c r="DF462" s="2" t="n">
        <v>0</v>
      </c>
      <c r="DG462" s="2" t="n">
        <v>63.54</v>
      </c>
      <c r="DH462" s="2" t="n">
        <v>65.38</v>
      </c>
      <c r="DI462" s="2" t="n">
        <v>0</v>
      </c>
      <c r="DJ462" s="2" t="n">
        <v>72.54000000000001</v>
      </c>
      <c r="DK462" s="2" t="n">
        <v>81.36</v>
      </c>
      <c r="DL462" s="2" t="n">
        <v>0</v>
      </c>
      <c r="DM462" s="2" t="n">
        <v>86.23999999999999</v>
      </c>
      <c r="DN462" s="2" t="n">
        <v>94.76000000000001</v>
      </c>
      <c r="DO462" s="2" t="n">
        <v>0</v>
      </c>
      <c r="DP462" s="2" t="n">
        <v>97.45999999999999</v>
      </c>
      <c r="DQ462" s="2" t="n">
        <v>97.62</v>
      </c>
      <c r="DR462" s="2" t="n">
        <v>0</v>
      </c>
      <c r="DS462" s="2" t="n">
        <v>98.41</v>
      </c>
      <c r="DT462" s="2" t="n">
        <v>99.73999999999999</v>
      </c>
      <c r="DU462" s="2" t="n">
        <v>0</v>
      </c>
      <c r="DV462" s="2" t="n">
        <v>100</v>
      </c>
      <c r="DW462" s="2" t="n">
        <v>100</v>
      </c>
      <c r="DX462" s="2" t="n">
        <v>0</v>
      </c>
      <c r="DY462" s="2" t="n">
        <v>100</v>
      </c>
      <c r="DZ462" s="2" t="n">
        <v>100</v>
      </c>
      <c r="EA462" s="2" t="n">
        <v>0</v>
      </c>
      <c r="EB462" s="2" t="n">
        <v>100</v>
      </c>
      <c r="EC462" s="2" t="n">
        <v>100</v>
      </c>
      <c r="ED462" s="2" t="n">
        <v>0</v>
      </c>
      <c r="EE462" s="2" t="n">
        <v>100</v>
      </c>
      <c r="EF462" s="2" t="n">
        <v>100</v>
      </c>
      <c r="EG462" s="2" t="n">
        <v>0</v>
      </c>
      <c r="EH462" s="2" t="n">
        <v>100</v>
      </c>
      <c r="EI462" s="2" t="n">
        <v>100</v>
      </c>
      <c r="EJ462" s="2" t="n">
        <v>0</v>
      </c>
      <c r="EK462" s="2" t="n">
        <v>100</v>
      </c>
      <c r="EL462" s="2" t="n">
        <v>100</v>
      </c>
      <c r="EM462" s="2" t="n">
        <v>0</v>
      </c>
      <c r="EN462" s="2" t="n">
        <v>100</v>
      </c>
      <c r="EO462" s="2" t="n">
        <v>100</v>
      </c>
      <c r="EP462" s="2" t="n">
        <v>0</v>
      </c>
      <c r="EQ462" s="2" t="n">
        <v>100</v>
      </c>
      <c r="ER462" s="2" t="n">
        <v>100</v>
      </c>
      <c r="ES462" s="2" t="n">
        <v>0</v>
      </c>
    </row>
    <row r="463">
      <c r="A463" s="2" t="n">
        <v>3</v>
      </c>
      <c r="B463" s="2" t="inlineStr">
        <is>
          <t>19.09.01</t>
        </is>
      </c>
      <c r="C463" s="2" t="inlineStr">
        <is>
          <t>Reforço de canto com adesivo epóxi e argamassa epoxídica (Apicoar para aderência). Se aplica apenas quando há brocas</t>
        </is>
      </c>
      <c r="D463" s="2" t="inlineStr">
        <is>
          <t>11/08/2027</t>
        </is>
      </c>
      <c r="E463" s="2" t="inlineStr">
        <is>
          <t>01/09/2028</t>
        </is>
      </c>
      <c r="F463" s="2" t="n">
        <v>4300.659</v>
      </c>
      <c r="G463" s="2" t="n">
        <v>0</v>
      </c>
      <c r="H463" s="2" t="n">
        <v>4300.659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  <c r="AM463" s="2" t="n">
        <v>0</v>
      </c>
      <c r="AN463" s="2" t="n">
        <v>0</v>
      </c>
      <c r="AO463" s="2" t="n">
        <v>0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n">
        <v>0</v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n">
        <v>0</v>
      </c>
      <c r="BI463" s="2" t="n">
        <v>0</v>
      </c>
      <c r="BJ463" s="2" t="n">
        <v>0</v>
      </c>
      <c r="BK463" s="2" t="n">
        <v>0</v>
      </c>
      <c r="BL463" s="2" t="n">
        <v>0</v>
      </c>
      <c r="BM463" s="2" t="n">
        <v>0</v>
      </c>
      <c r="BN463" s="2" t="n">
        <v>0</v>
      </c>
      <c r="BO463" s="2" t="n">
        <v>0</v>
      </c>
      <c r="BP463" s="2" t="n">
        <v>0</v>
      </c>
      <c r="BQ463" s="2" t="n">
        <v>0</v>
      </c>
      <c r="BR463" s="2" t="n">
        <v>0</v>
      </c>
      <c r="BS463" s="2" t="n">
        <v>0</v>
      </c>
      <c r="BT463" s="2" t="n">
        <v>0</v>
      </c>
      <c r="BU463" s="2" t="n">
        <v>0</v>
      </c>
      <c r="BV463" s="2" t="n">
        <v>0</v>
      </c>
      <c r="BW463" s="2" t="n">
        <v>0</v>
      </c>
      <c r="BX463" s="2" t="n">
        <v>0</v>
      </c>
      <c r="BY463" s="2" t="n">
        <v>0</v>
      </c>
      <c r="BZ463" s="2" t="n">
        <v>0</v>
      </c>
      <c r="CA463" s="2" t="n">
        <v>0</v>
      </c>
      <c r="CB463" s="2" t="n">
        <v>0</v>
      </c>
      <c r="CC463" s="2" t="n">
        <v>0</v>
      </c>
      <c r="CD463" s="2" t="n">
        <v>0</v>
      </c>
      <c r="CE463" s="2" t="n">
        <v>0</v>
      </c>
      <c r="CF463" s="2" t="n">
        <v>0</v>
      </c>
      <c r="CG463" s="2" t="n">
        <v>0</v>
      </c>
      <c r="CH463" s="2" t="n">
        <v>0</v>
      </c>
      <c r="CI463" s="2" t="n">
        <v>2.65</v>
      </c>
      <c r="CJ463" s="2" t="n">
        <v>3.97</v>
      </c>
      <c r="CK463" s="2" t="n">
        <v>0</v>
      </c>
      <c r="CL463" s="2" t="n">
        <v>8.199999999999999</v>
      </c>
      <c r="CM463" s="2" t="n">
        <v>9.52</v>
      </c>
      <c r="CN463" s="2" t="n">
        <v>0</v>
      </c>
      <c r="CO463" s="2" t="n">
        <v>13.49</v>
      </c>
      <c r="CP463" s="2" t="n">
        <v>17.2</v>
      </c>
      <c r="CQ463" s="2" t="n">
        <v>0</v>
      </c>
      <c r="CR463" s="2" t="n">
        <v>23.54</v>
      </c>
      <c r="CS463" s="2" t="n">
        <v>24.87</v>
      </c>
      <c r="CT463" s="2" t="n">
        <v>0</v>
      </c>
      <c r="CU463" s="2" t="n">
        <v>27.78</v>
      </c>
      <c r="CV463" s="2" t="n">
        <v>30.53</v>
      </c>
      <c r="CW463" s="2" t="n">
        <v>0</v>
      </c>
      <c r="CX463" s="2" t="n">
        <v>35</v>
      </c>
      <c r="CY463" s="2" t="n">
        <v>37.04</v>
      </c>
      <c r="CZ463" s="2" t="n">
        <v>0</v>
      </c>
      <c r="DA463" s="2" t="n">
        <v>41.27</v>
      </c>
      <c r="DB463" s="2" t="n">
        <v>43.54</v>
      </c>
      <c r="DC463" s="2" t="n">
        <v>0</v>
      </c>
      <c r="DD463" s="2" t="n">
        <v>54.32</v>
      </c>
      <c r="DE463" s="2" t="n">
        <v>56.56</v>
      </c>
      <c r="DF463" s="2" t="n">
        <v>0</v>
      </c>
      <c r="DG463" s="2" t="n">
        <v>63.54</v>
      </c>
      <c r="DH463" s="2" t="n">
        <v>65.38</v>
      </c>
      <c r="DI463" s="2" t="n">
        <v>0</v>
      </c>
      <c r="DJ463" s="2" t="n">
        <v>72.54000000000001</v>
      </c>
      <c r="DK463" s="2" t="n">
        <v>81.36</v>
      </c>
      <c r="DL463" s="2" t="n">
        <v>0</v>
      </c>
      <c r="DM463" s="2" t="n">
        <v>86.23999999999999</v>
      </c>
      <c r="DN463" s="2" t="n">
        <v>94.76000000000001</v>
      </c>
      <c r="DO463" s="2" t="n">
        <v>0</v>
      </c>
      <c r="DP463" s="2" t="n">
        <v>97.45999999999999</v>
      </c>
      <c r="DQ463" s="2" t="n">
        <v>97.62</v>
      </c>
      <c r="DR463" s="2" t="n">
        <v>0</v>
      </c>
      <c r="DS463" s="2" t="n">
        <v>98.41</v>
      </c>
      <c r="DT463" s="2" t="n">
        <v>99.73999999999999</v>
      </c>
      <c r="DU463" s="2" t="n">
        <v>0</v>
      </c>
      <c r="DV463" s="2" t="n">
        <v>100</v>
      </c>
      <c r="DW463" s="2" t="n">
        <v>100</v>
      </c>
      <c r="DX463" s="2" t="n">
        <v>0</v>
      </c>
      <c r="DY463" s="2" t="n">
        <v>100</v>
      </c>
      <c r="DZ463" s="2" t="n">
        <v>100</v>
      </c>
      <c r="EA463" s="2" t="n">
        <v>0</v>
      </c>
      <c r="EB463" s="2" t="n">
        <v>100</v>
      </c>
      <c r="EC463" s="2" t="n">
        <v>100</v>
      </c>
      <c r="ED463" s="2" t="n">
        <v>0</v>
      </c>
      <c r="EE463" s="2" t="n">
        <v>100</v>
      </c>
      <c r="EF463" s="2" t="n">
        <v>100</v>
      </c>
      <c r="EG463" s="2" t="n">
        <v>0</v>
      </c>
      <c r="EH463" s="2" t="n">
        <v>100</v>
      </c>
      <c r="EI463" s="2" t="n">
        <v>100</v>
      </c>
      <c r="EJ463" s="2" t="n">
        <v>0</v>
      </c>
      <c r="EK463" s="2" t="n">
        <v>100</v>
      </c>
      <c r="EL463" s="2" t="n">
        <v>100</v>
      </c>
      <c r="EM463" s="2" t="n">
        <v>0</v>
      </c>
      <c r="EN463" s="2" t="n">
        <v>100</v>
      </c>
      <c r="EO463" s="2" t="n">
        <v>100</v>
      </c>
      <c r="EP463" s="2" t="n">
        <v>0</v>
      </c>
      <c r="EQ463" s="2" t="n">
        <v>100</v>
      </c>
      <c r="ER463" s="2" t="n">
        <v>100</v>
      </c>
      <c r="ES463" s="2" t="n">
        <v>0</v>
      </c>
    </row>
    <row r="464">
      <c r="A464" s="2" t="n">
        <v>3</v>
      </c>
      <c r="B464" s="2" t="inlineStr">
        <is>
          <t>19.09.02</t>
        </is>
      </c>
      <c r="C464" s="2" t="inlineStr">
        <is>
          <t>Poço do elevador</t>
        </is>
      </c>
      <c r="D464" s="2" t="inlineStr">
        <is>
          <t>11/08/2027</t>
        </is>
      </c>
      <c r="E464" s="2" t="inlineStr">
        <is>
          <t>01/09/2028</t>
        </is>
      </c>
      <c r="F464" s="2" t="n">
        <v>12572.56224</v>
      </c>
      <c r="G464" s="2" t="n">
        <v>0</v>
      </c>
      <c r="H464" s="2" t="n">
        <v>12572.56224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s="2" t="n">
        <v>0</v>
      </c>
      <c r="AN464" s="2" t="n">
        <v>0</v>
      </c>
      <c r="AO464" s="2" t="n">
        <v>0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n">
        <v>0</v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n">
        <v>0</v>
      </c>
      <c r="BI464" s="2" t="n">
        <v>0</v>
      </c>
      <c r="BJ464" s="2" t="n">
        <v>0</v>
      </c>
      <c r="BK464" s="2" t="n">
        <v>0</v>
      </c>
      <c r="BL464" s="2" t="n">
        <v>0</v>
      </c>
      <c r="BM464" s="2" t="n">
        <v>0</v>
      </c>
      <c r="BN464" s="2" t="n">
        <v>0</v>
      </c>
      <c r="BO464" s="2" t="n">
        <v>0</v>
      </c>
      <c r="BP464" s="2" t="n">
        <v>0</v>
      </c>
      <c r="BQ464" s="2" t="n">
        <v>0</v>
      </c>
      <c r="BR464" s="2" t="n">
        <v>0</v>
      </c>
      <c r="BS464" s="2" t="n">
        <v>0</v>
      </c>
      <c r="BT464" s="2" t="n">
        <v>0</v>
      </c>
      <c r="BU464" s="2" t="n">
        <v>0</v>
      </c>
      <c r="BV464" s="2" t="n">
        <v>0</v>
      </c>
      <c r="BW464" s="2" t="n">
        <v>0</v>
      </c>
      <c r="BX464" s="2" t="n">
        <v>0</v>
      </c>
      <c r="BY464" s="2" t="n">
        <v>0</v>
      </c>
      <c r="BZ464" s="2" t="n">
        <v>0</v>
      </c>
      <c r="CA464" s="2" t="n">
        <v>0</v>
      </c>
      <c r="CB464" s="2" t="n">
        <v>0</v>
      </c>
      <c r="CC464" s="2" t="n">
        <v>0</v>
      </c>
      <c r="CD464" s="2" t="n">
        <v>0</v>
      </c>
      <c r="CE464" s="2" t="n">
        <v>0</v>
      </c>
      <c r="CF464" s="2" t="n">
        <v>0</v>
      </c>
      <c r="CG464" s="2" t="n">
        <v>0</v>
      </c>
      <c r="CH464" s="2" t="n">
        <v>0</v>
      </c>
      <c r="CI464" s="2" t="n">
        <v>2.65</v>
      </c>
      <c r="CJ464" s="2" t="n">
        <v>3.97</v>
      </c>
      <c r="CK464" s="2" t="n">
        <v>0</v>
      </c>
      <c r="CL464" s="2" t="n">
        <v>8.199999999999999</v>
      </c>
      <c r="CM464" s="2" t="n">
        <v>9.52</v>
      </c>
      <c r="CN464" s="2" t="n">
        <v>0</v>
      </c>
      <c r="CO464" s="2" t="n">
        <v>13.49</v>
      </c>
      <c r="CP464" s="2" t="n">
        <v>17.2</v>
      </c>
      <c r="CQ464" s="2" t="n">
        <v>0</v>
      </c>
      <c r="CR464" s="2" t="n">
        <v>23.54</v>
      </c>
      <c r="CS464" s="2" t="n">
        <v>24.87</v>
      </c>
      <c r="CT464" s="2" t="n">
        <v>0</v>
      </c>
      <c r="CU464" s="2" t="n">
        <v>27.78</v>
      </c>
      <c r="CV464" s="2" t="n">
        <v>30.53</v>
      </c>
      <c r="CW464" s="2" t="n">
        <v>0</v>
      </c>
      <c r="CX464" s="2" t="n">
        <v>35</v>
      </c>
      <c r="CY464" s="2" t="n">
        <v>37.04</v>
      </c>
      <c r="CZ464" s="2" t="n">
        <v>0</v>
      </c>
      <c r="DA464" s="2" t="n">
        <v>41.27</v>
      </c>
      <c r="DB464" s="2" t="n">
        <v>43.54</v>
      </c>
      <c r="DC464" s="2" t="n">
        <v>0</v>
      </c>
      <c r="DD464" s="2" t="n">
        <v>54.32</v>
      </c>
      <c r="DE464" s="2" t="n">
        <v>56.56</v>
      </c>
      <c r="DF464" s="2" t="n">
        <v>0</v>
      </c>
      <c r="DG464" s="2" t="n">
        <v>63.54</v>
      </c>
      <c r="DH464" s="2" t="n">
        <v>65.38</v>
      </c>
      <c r="DI464" s="2" t="n">
        <v>0</v>
      </c>
      <c r="DJ464" s="2" t="n">
        <v>72.54000000000001</v>
      </c>
      <c r="DK464" s="2" t="n">
        <v>81.36</v>
      </c>
      <c r="DL464" s="2" t="n">
        <v>0</v>
      </c>
      <c r="DM464" s="2" t="n">
        <v>86.23999999999999</v>
      </c>
      <c r="DN464" s="2" t="n">
        <v>94.76000000000001</v>
      </c>
      <c r="DO464" s="2" t="n">
        <v>0</v>
      </c>
      <c r="DP464" s="2" t="n">
        <v>97.45999999999999</v>
      </c>
      <c r="DQ464" s="2" t="n">
        <v>97.62</v>
      </c>
      <c r="DR464" s="2" t="n">
        <v>0</v>
      </c>
      <c r="DS464" s="2" t="n">
        <v>98.41</v>
      </c>
      <c r="DT464" s="2" t="n">
        <v>99.73999999999999</v>
      </c>
      <c r="DU464" s="2" t="n">
        <v>0</v>
      </c>
      <c r="DV464" s="2" t="n">
        <v>100</v>
      </c>
      <c r="DW464" s="2" t="n">
        <v>100</v>
      </c>
      <c r="DX464" s="2" t="n">
        <v>0</v>
      </c>
      <c r="DY464" s="2" t="n">
        <v>100</v>
      </c>
      <c r="DZ464" s="2" t="n">
        <v>100</v>
      </c>
      <c r="EA464" s="2" t="n">
        <v>0</v>
      </c>
      <c r="EB464" s="2" t="n">
        <v>100</v>
      </c>
      <c r="EC464" s="2" t="n">
        <v>100</v>
      </c>
      <c r="ED464" s="2" t="n">
        <v>0</v>
      </c>
      <c r="EE464" s="2" t="n">
        <v>100</v>
      </c>
      <c r="EF464" s="2" t="n">
        <v>100</v>
      </c>
      <c r="EG464" s="2" t="n">
        <v>0</v>
      </c>
      <c r="EH464" s="2" t="n">
        <v>100</v>
      </c>
      <c r="EI464" s="2" t="n">
        <v>100</v>
      </c>
      <c r="EJ464" s="2" t="n">
        <v>0</v>
      </c>
      <c r="EK464" s="2" t="n">
        <v>100</v>
      </c>
      <c r="EL464" s="2" t="n">
        <v>100</v>
      </c>
      <c r="EM464" s="2" t="n">
        <v>0</v>
      </c>
      <c r="EN464" s="2" t="n">
        <v>100</v>
      </c>
      <c r="EO464" s="2" t="n">
        <v>100</v>
      </c>
      <c r="EP464" s="2" t="n">
        <v>0</v>
      </c>
      <c r="EQ464" s="2" t="n">
        <v>100</v>
      </c>
      <c r="ER464" s="2" t="n">
        <v>100</v>
      </c>
      <c r="ES464" s="2" t="n">
        <v>0</v>
      </c>
    </row>
    <row r="465">
      <c r="A465" s="2" t="n">
        <v>3</v>
      </c>
      <c r="B465" s="2" t="inlineStr">
        <is>
          <t>19.09.03</t>
        </is>
      </c>
      <c r="C465" s="2" t="inlineStr">
        <is>
          <t>Sala gerador</t>
        </is>
      </c>
      <c r="D465" s="2" t="inlineStr">
        <is>
          <t>11/08/2027</t>
        </is>
      </c>
      <c r="E465" s="2" t="inlineStr">
        <is>
          <t>01/09/2028</t>
        </is>
      </c>
      <c r="F465" s="2" t="n">
        <v>2817.63552</v>
      </c>
      <c r="G465" s="2" t="n">
        <v>0</v>
      </c>
      <c r="H465" s="2" t="n">
        <v>2817.63552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0</v>
      </c>
      <c r="AM465" s="2" t="n">
        <v>0</v>
      </c>
      <c r="AN465" s="2" t="n">
        <v>0</v>
      </c>
      <c r="AO465" s="2" t="n">
        <v>0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n">
        <v>0</v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n">
        <v>0</v>
      </c>
      <c r="BI465" s="2" t="n">
        <v>0</v>
      </c>
      <c r="BJ465" s="2" t="n">
        <v>0</v>
      </c>
      <c r="BK465" s="2" t="n">
        <v>0</v>
      </c>
      <c r="BL465" s="2" t="n">
        <v>0</v>
      </c>
      <c r="BM465" s="2" t="n">
        <v>0</v>
      </c>
      <c r="BN465" s="2" t="n">
        <v>0</v>
      </c>
      <c r="BO465" s="2" t="n">
        <v>0</v>
      </c>
      <c r="BP465" s="2" t="n">
        <v>0</v>
      </c>
      <c r="BQ465" s="2" t="n">
        <v>0</v>
      </c>
      <c r="BR465" s="2" t="n">
        <v>0</v>
      </c>
      <c r="BS465" s="2" t="n">
        <v>0</v>
      </c>
      <c r="BT465" s="2" t="n">
        <v>0</v>
      </c>
      <c r="BU465" s="2" t="n">
        <v>0</v>
      </c>
      <c r="BV465" s="2" t="n">
        <v>0</v>
      </c>
      <c r="BW465" s="2" t="n">
        <v>0</v>
      </c>
      <c r="BX465" s="2" t="n">
        <v>0</v>
      </c>
      <c r="BY465" s="2" t="n">
        <v>0</v>
      </c>
      <c r="BZ465" s="2" t="n">
        <v>0</v>
      </c>
      <c r="CA465" s="2" t="n">
        <v>0</v>
      </c>
      <c r="CB465" s="2" t="n">
        <v>0</v>
      </c>
      <c r="CC465" s="2" t="n">
        <v>0</v>
      </c>
      <c r="CD465" s="2" t="n">
        <v>0</v>
      </c>
      <c r="CE465" s="2" t="n">
        <v>0</v>
      </c>
      <c r="CF465" s="2" t="n">
        <v>0</v>
      </c>
      <c r="CG465" s="2" t="n">
        <v>0</v>
      </c>
      <c r="CH465" s="2" t="n">
        <v>0</v>
      </c>
      <c r="CI465" s="2" t="n">
        <v>2.65</v>
      </c>
      <c r="CJ465" s="2" t="n">
        <v>3.97</v>
      </c>
      <c r="CK465" s="2" t="n">
        <v>0</v>
      </c>
      <c r="CL465" s="2" t="n">
        <v>8.199999999999999</v>
      </c>
      <c r="CM465" s="2" t="n">
        <v>9.52</v>
      </c>
      <c r="CN465" s="2" t="n">
        <v>0</v>
      </c>
      <c r="CO465" s="2" t="n">
        <v>13.49</v>
      </c>
      <c r="CP465" s="2" t="n">
        <v>17.2</v>
      </c>
      <c r="CQ465" s="2" t="n">
        <v>0</v>
      </c>
      <c r="CR465" s="2" t="n">
        <v>23.54</v>
      </c>
      <c r="CS465" s="2" t="n">
        <v>24.87</v>
      </c>
      <c r="CT465" s="2" t="n">
        <v>0</v>
      </c>
      <c r="CU465" s="2" t="n">
        <v>27.78</v>
      </c>
      <c r="CV465" s="2" t="n">
        <v>30.53</v>
      </c>
      <c r="CW465" s="2" t="n">
        <v>0</v>
      </c>
      <c r="CX465" s="2" t="n">
        <v>35</v>
      </c>
      <c r="CY465" s="2" t="n">
        <v>37.04</v>
      </c>
      <c r="CZ465" s="2" t="n">
        <v>0</v>
      </c>
      <c r="DA465" s="2" t="n">
        <v>41.27</v>
      </c>
      <c r="DB465" s="2" t="n">
        <v>43.54</v>
      </c>
      <c r="DC465" s="2" t="n">
        <v>0</v>
      </c>
      <c r="DD465" s="2" t="n">
        <v>54.32</v>
      </c>
      <c r="DE465" s="2" t="n">
        <v>56.56</v>
      </c>
      <c r="DF465" s="2" t="n">
        <v>0</v>
      </c>
      <c r="DG465" s="2" t="n">
        <v>63.54</v>
      </c>
      <c r="DH465" s="2" t="n">
        <v>65.38</v>
      </c>
      <c r="DI465" s="2" t="n">
        <v>0</v>
      </c>
      <c r="DJ465" s="2" t="n">
        <v>72.54000000000001</v>
      </c>
      <c r="DK465" s="2" t="n">
        <v>81.36</v>
      </c>
      <c r="DL465" s="2" t="n">
        <v>0</v>
      </c>
      <c r="DM465" s="2" t="n">
        <v>86.23999999999999</v>
      </c>
      <c r="DN465" s="2" t="n">
        <v>94.76000000000001</v>
      </c>
      <c r="DO465" s="2" t="n">
        <v>0</v>
      </c>
      <c r="DP465" s="2" t="n">
        <v>97.45999999999999</v>
      </c>
      <c r="DQ465" s="2" t="n">
        <v>97.62</v>
      </c>
      <c r="DR465" s="2" t="n">
        <v>0</v>
      </c>
      <c r="DS465" s="2" t="n">
        <v>98.41</v>
      </c>
      <c r="DT465" s="2" t="n">
        <v>99.73999999999999</v>
      </c>
      <c r="DU465" s="2" t="n">
        <v>0</v>
      </c>
      <c r="DV465" s="2" t="n">
        <v>100</v>
      </c>
      <c r="DW465" s="2" t="n">
        <v>100</v>
      </c>
      <c r="DX465" s="2" t="n">
        <v>0</v>
      </c>
      <c r="DY465" s="2" t="n">
        <v>100</v>
      </c>
      <c r="DZ465" s="2" t="n">
        <v>100</v>
      </c>
      <c r="EA465" s="2" t="n">
        <v>0</v>
      </c>
      <c r="EB465" s="2" t="n">
        <v>100</v>
      </c>
      <c r="EC465" s="2" t="n">
        <v>100</v>
      </c>
      <c r="ED465" s="2" t="n">
        <v>0</v>
      </c>
      <c r="EE465" s="2" t="n">
        <v>100</v>
      </c>
      <c r="EF465" s="2" t="n">
        <v>100</v>
      </c>
      <c r="EG465" s="2" t="n">
        <v>0</v>
      </c>
      <c r="EH465" s="2" t="n">
        <v>100</v>
      </c>
      <c r="EI465" s="2" t="n">
        <v>100</v>
      </c>
      <c r="EJ465" s="2" t="n">
        <v>0</v>
      </c>
      <c r="EK465" s="2" t="n">
        <v>100</v>
      </c>
      <c r="EL465" s="2" t="n">
        <v>100</v>
      </c>
      <c r="EM465" s="2" t="n">
        <v>0</v>
      </c>
      <c r="EN465" s="2" t="n">
        <v>100</v>
      </c>
      <c r="EO465" s="2" t="n">
        <v>100</v>
      </c>
      <c r="EP465" s="2" t="n">
        <v>0</v>
      </c>
      <c r="EQ465" s="2" t="n">
        <v>100</v>
      </c>
      <c r="ER465" s="2" t="n">
        <v>100</v>
      </c>
      <c r="ES465" s="2" t="n">
        <v>0</v>
      </c>
    </row>
    <row r="466">
      <c r="A466" s="2" t="n">
        <v>3</v>
      </c>
      <c r="B466" s="2" t="inlineStr">
        <is>
          <t>19.09.04</t>
        </is>
      </c>
      <c r="C466" s="2" t="inlineStr">
        <is>
          <t>Impermabilização de ralos</t>
        </is>
      </c>
      <c r="D466" s="2" t="inlineStr">
        <is>
          <t>11/08/2027</t>
        </is>
      </c>
      <c r="E466" s="2" t="inlineStr">
        <is>
          <t>01/09/2028</t>
        </is>
      </c>
      <c r="F466" s="2" t="n">
        <v>907.1489637092515</v>
      </c>
      <c r="G466" s="2" t="n">
        <v>0</v>
      </c>
      <c r="H466" s="2" t="n">
        <v>907.1489637092515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s="2" t="n">
        <v>0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n">
        <v>0</v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n">
        <v>0</v>
      </c>
      <c r="BI466" s="2" t="n">
        <v>0</v>
      </c>
      <c r="BJ466" s="2" t="n">
        <v>0</v>
      </c>
      <c r="BK466" s="2" t="n">
        <v>0</v>
      </c>
      <c r="BL466" s="2" t="n">
        <v>0</v>
      </c>
      <c r="BM466" s="2" t="n">
        <v>0</v>
      </c>
      <c r="BN466" s="2" t="n">
        <v>0</v>
      </c>
      <c r="BO466" s="2" t="n">
        <v>0</v>
      </c>
      <c r="BP466" s="2" t="n">
        <v>0</v>
      </c>
      <c r="BQ466" s="2" t="n">
        <v>0</v>
      </c>
      <c r="BR466" s="2" t="n">
        <v>0</v>
      </c>
      <c r="BS466" s="2" t="n">
        <v>0</v>
      </c>
      <c r="BT466" s="2" t="n">
        <v>0</v>
      </c>
      <c r="BU466" s="2" t="n">
        <v>0</v>
      </c>
      <c r="BV466" s="2" t="n">
        <v>0</v>
      </c>
      <c r="BW466" s="2" t="n">
        <v>0</v>
      </c>
      <c r="BX466" s="2" t="n">
        <v>0</v>
      </c>
      <c r="BY466" s="2" t="n">
        <v>0</v>
      </c>
      <c r="BZ466" s="2" t="n">
        <v>0</v>
      </c>
      <c r="CA466" s="2" t="n">
        <v>0</v>
      </c>
      <c r="CB466" s="2" t="n">
        <v>0</v>
      </c>
      <c r="CC466" s="2" t="n">
        <v>0</v>
      </c>
      <c r="CD466" s="2" t="n">
        <v>0</v>
      </c>
      <c r="CE466" s="2" t="n">
        <v>0</v>
      </c>
      <c r="CF466" s="2" t="n">
        <v>0</v>
      </c>
      <c r="CG466" s="2" t="n">
        <v>0</v>
      </c>
      <c r="CH466" s="2" t="n">
        <v>0</v>
      </c>
      <c r="CI466" s="2" t="n">
        <v>2.65</v>
      </c>
      <c r="CJ466" s="2" t="n">
        <v>3.97</v>
      </c>
      <c r="CK466" s="2" t="n">
        <v>0</v>
      </c>
      <c r="CL466" s="2" t="n">
        <v>8.199999999999999</v>
      </c>
      <c r="CM466" s="2" t="n">
        <v>9.52</v>
      </c>
      <c r="CN466" s="2" t="n">
        <v>0</v>
      </c>
      <c r="CO466" s="2" t="n">
        <v>13.49</v>
      </c>
      <c r="CP466" s="2" t="n">
        <v>17.2</v>
      </c>
      <c r="CQ466" s="2" t="n">
        <v>0</v>
      </c>
      <c r="CR466" s="2" t="n">
        <v>23.54</v>
      </c>
      <c r="CS466" s="2" t="n">
        <v>24.87</v>
      </c>
      <c r="CT466" s="2" t="n">
        <v>0</v>
      </c>
      <c r="CU466" s="2" t="n">
        <v>27.78</v>
      </c>
      <c r="CV466" s="2" t="n">
        <v>30.53</v>
      </c>
      <c r="CW466" s="2" t="n">
        <v>0</v>
      </c>
      <c r="CX466" s="2" t="n">
        <v>35</v>
      </c>
      <c r="CY466" s="2" t="n">
        <v>37.04</v>
      </c>
      <c r="CZ466" s="2" t="n">
        <v>0</v>
      </c>
      <c r="DA466" s="2" t="n">
        <v>41.27</v>
      </c>
      <c r="DB466" s="2" t="n">
        <v>43.54</v>
      </c>
      <c r="DC466" s="2" t="n">
        <v>0</v>
      </c>
      <c r="DD466" s="2" t="n">
        <v>54.32</v>
      </c>
      <c r="DE466" s="2" t="n">
        <v>56.56</v>
      </c>
      <c r="DF466" s="2" t="n">
        <v>0</v>
      </c>
      <c r="DG466" s="2" t="n">
        <v>63.54</v>
      </c>
      <c r="DH466" s="2" t="n">
        <v>65.38</v>
      </c>
      <c r="DI466" s="2" t="n">
        <v>0</v>
      </c>
      <c r="DJ466" s="2" t="n">
        <v>72.54000000000001</v>
      </c>
      <c r="DK466" s="2" t="n">
        <v>81.36</v>
      </c>
      <c r="DL466" s="2" t="n">
        <v>0</v>
      </c>
      <c r="DM466" s="2" t="n">
        <v>86.23999999999999</v>
      </c>
      <c r="DN466" s="2" t="n">
        <v>94.76000000000001</v>
      </c>
      <c r="DO466" s="2" t="n">
        <v>0</v>
      </c>
      <c r="DP466" s="2" t="n">
        <v>97.45999999999999</v>
      </c>
      <c r="DQ466" s="2" t="n">
        <v>97.62</v>
      </c>
      <c r="DR466" s="2" t="n">
        <v>0</v>
      </c>
      <c r="DS466" s="2" t="n">
        <v>98.41</v>
      </c>
      <c r="DT466" s="2" t="n">
        <v>99.73999999999999</v>
      </c>
      <c r="DU466" s="2" t="n">
        <v>0</v>
      </c>
      <c r="DV466" s="2" t="n">
        <v>100</v>
      </c>
      <c r="DW466" s="2" t="n">
        <v>100</v>
      </c>
      <c r="DX466" s="2" t="n">
        <v>0</v>
      </c>
      <c r="DY466" s="2" t="n">
        <v>100</v>
      </c>
      <c r="DZ466" s="2" t="n">
        <v>100</v>
      </c>
      <c r="EA466" s="2" t="n">
        <v>0</v>
      </c>
      <c r="EB466" s="2" t="n">
        <v>100</v>
      </c>
      <c r="EC466" s="2" t="n">
        <v>100</v>
      </c>
      <c r="ED466" s="2" t="n">
        <v>0</v>
      </c>
      <c r="EE466" s="2" t="n">
        <v>100</v>
      </c>
      <c r="EF466" s="2" t="n">
        <v>100</v>
      </c>
      <c r="EG466" s="2" t="n">
        <v>0</v>
      </c>
      <c r="EH466" s="2" t="n">
        <v>100</v>
      </c>
      <c r="EI466" s="2" t="n">
        <v>100</v>
      </c>
      <c r="EJ466" s="2" t="n">
        <v>0</v>
      </c>
      <c r="EK466" s="2" t="n">
        <v>100</v>
      </c>
      <c r="EL466" s="2" t="n">
        <v>100</v>
      </c>
      <c r="EM466" s="2" t="n">
        <v>0</v>
      </c>
      <c r="EN466" s="2" t="n">
        <v>100</v>
      </c>
      <c r="EO466" s="2" t="n">
        <v>100</v>
      </c>
      <c r="EP466" s="2" t="n">
        <v>0</v>
      </c>
      <c r="EQ466" s="2" t="n">
        <v>100</v>
      </c>
      <c r="ER466" s="2" t="n">
        <v>100</v>
      </c>
      <c r="ES466" s="2" t="n">
        <v>0</v>
      </c>
    </row>
    <row r="467">
      <c r="A467" s="2" t="n">
        <v>2</v>
      </c>
      <c r="B467" s="2" t="inlineStr">
        <is>
          <t>19.10</t>
        </is>
      </c>
      <c r="C467" s="2" t="inlineStr">
        <is>
          <t>Tratamento do concreto com aditivo cristalizante integral adicionado ao traço do concreto com consumo de 0,8% a 1% sobre a massa do cimento. Recomendável o uso de rastreador de aditivo para controle e fiscalização com relação ao uso, com uso, consumo/ porcetagem e dispersão do produto. * O aditivo é adotado como proteção auxiliar para colmatação dos poros do concreto e melhoria na redução da absorção de água; Não resiste à fissuração estrutural. * Nas juntas de concretagem, adotar fita hidroexpansiva para vedação (Lajes x cortinas, cortinas x cortinas, lajes x pilares, lajes x lajes, dentre outros)</t>
        </is>
      </c>
      <c r="D467" s="2" t="inlineStr">
        <is>
          <t>11/08/2027</t>
        </is>
      </c>
      <c r="E467" s="2" t="inlineStr">
        <is>
          <t>01/09/2028</t>
        </is>
      </c>
      <c r="F467" s="2" t="n">
        <v>228751.371</v>
      </c>
      <c r="G467" s="2" t="n">
        <v>0</v>
      </c>
      <c r="H467" s="2" t="n">
        <v>228751.371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0</v>
      </c>
      <c r="AM467" s="2" t="n">
        <v>0</v>
      </c>
      <c r="AN467" s="2" t="n">
        <v>0</v>
      </c>
      <c r="AO467" s="2" t="n">
        <v>0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n">
        <v>0</v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n">
        <v>0</v>
      </c>
      <c r="BI467" s="2" t="n">
        <v>0</v>
      </c>
      <c r="BJ467" s="2" t="n">
        <v>0</v>
      </c>
      <c r="BK467" s="2" t="n">
        <v>0</v>
      </c>
      <c r="BL467" s="2" t="n">
        <v>0</v>
      </c>
      <c r="BM467" s="2" t="n">
        <v>0</v>
      </c>
      <c r="BN467" s="2" t="n">
        <v>0</v>
      </c>
      <c r="BO467" s="2" t="n">
        <v>0</v>
      </c>
      <c r="BP467" s="2" t="n">
        <v>0</v>
      </c>
      <c r="BQ467" s="2" t="n">
        <v>0</v>
      </c>
      <c r="BR467" s="2" t="n">
        <v>0</v>
      </c>
      <c r="BS467" s="2" t="n">
        <v>0</v>
      </c>
      <c r="BT467" s="2" t="n">
        <v>0</v>
      </c>
      <c r="BU467" s="2" t="n">
        <v>0</v>
      </c>
      <c r="BV467" s="2" t="n">
        <v>0</v>
      </c>
      <c r="BW467" s="2" t="n">
        <v>0</v>
      </c>
      <c r="BX467" s="2" t="n">
        <v>0</v>
      </c>
      <c r="BY467" s="2" t="n">
        <v>0</v>
      </c>
      <c r="BZ467" s="2" t="n">
        <v>0</v>
      </c>
      <c r="CA467" s="2" t="n">
        <v>0</v>
      </c>
      <c r="CB467" s="2" t="n">
        <v>0</v>
      </c>
      <c r="CC467" s="2" t="n">
        <v>0</v>
      </c>
      <c r="CD467" s="2" t="n">
        <v>0</v>
      </c>
      <c r="CE467" s="2" t="n">
        <v>0</v>
      </c>
      <c r="CF467" s="2" t="n">
        <v>0</v>
      </c>
      <c r="CG467" s="2" t="n">
        <v>0</v>
      </c>
      <c r="CH467" s="2" t="n">
        <v>0</v>
      </c>
      <c r="CI467" s="2" t="n">
        <v>2.65</v>
      </c>
      <c r="CJ467" s="2" t="n">
        <v>3.97</v>
      </c>
      <c r="CK467" s="2" t="n">
        <v>0</v>
      </c>
      <c r="CL467" s="2" t="n">
        <v>8.199999999999999</v>
      </c>
      <c r="CM467" s="2" t="n">
        <v>9.52</v>
      </c>
      <c r="CN467" s="2" t="n">
        <v>0</v>
      </c>
      <c r="CO467" s="2" t="n">
        <v>13.49</v>
      </c>
      <c r="CP467" s="2" t="n">
        <v>17.2</v>
      </c>
      <c r="CQ467" s="2" t="n">
        <v>0</v>
      </c>
      <c r="CR467" s="2" t="n">
        <v>23.54</v>
      </c>
      <c r="CS467" s="2" t="n">
        <v>24.87</v>
      </c>
      <c r="CT467" s="2" t="n">
        <v>0</v>
      </c>
      <c r="CU467" s="2" t="n">
        <v>27.78</v>
      </c>
      <c r="CV467" s="2" t="n">
        <v>30.53</v>
      </c>
      <c r="CW467" s="2" t="n">
        <v>0</v>
      </c>
      <c r="CX467" s="2" t="n">
        <v>35</v>
      </c>
      <c r="CY467" s="2" t="n">
        <v>37.04</v>
      </c>
      <c r="CZ467" s="2" t="n">
        <v>0</v>
      </c>
      <c r="DA467" s="2" t="n">
        <v>41.27</v>
      </c>
      <c r="DB467" s="2" t="n">
        <v>43.54</v>
      </c>
      <c r="DC467" s="2" t="n">
        <v>0</v>
      </c>
      <c r="DD467" s="2" t="n">
        <v>54.32</v>
      </c>
      <c r="DE467" s="2" t="n">
        <v>56.56</v>
      </c>
      <c r="DF467" s="2" t="n">
        <v>0</v>
      </c>
      <c r="DG467" s="2" t="n">
        <v>63.54</v>
      </c>
      <c r="DH467" s="2" t="n">
        <v>65.38</v>
      </c>
      <c r="DI467" s="2" t="n">
        <v>0</v>
      </c>
      <c r="DJ467" s="2" t="n">
        <v>72.54000000000001</v>
      </c>
      <c r="DK467" s="2" t="n">
        <v>81.36</v>
      </c>
      <c r="DL467" s="2" t="n">
        <v>0</v>
      </c>
      <c r="DM467" s="2" t="n">
        <v>86.23999999999999</v>
      </c>
      <c r="DN467" s="2" t="n">
        <v>94.76000000000001</v>
      </c>
      <c r="DO467" s="2" t="n">
        <v>0</v>
      </c>
      <c r="DP467" s="2" t="n">
        <v>97.45999999999999</v>
      </c>
      <c r="DQ467" s="2" t="n">
        <v>97.62</v>
      </c>
      <c r="DR467" s="2" t="n">
        <v>0</v>
      </c>
      <c r="DS467" s="2" t="n">
        <v>98.41</v>
      </c>
      <c r="DT467" s="2" t="n">
        <v>99.73999999999999</v>
      </c>
      <c r="DU467" s="2" t="n">
        <v>0</v>
      </c>
      <c r="DV467" s="2" t="n">
        <v>100</v>
      </c>
      <c r="DW467" s="2" t="n">
        <v>100</v>
      </c>
      <c r="DX467" s="2" t="n">
        <v>0</v>
      </c>
      <c r="DY467" s="2" t="n">
        <v>100</v>
      </c>
      <c r="DZ467" s="2" t="n">
        <v>100</v>
      </c>
      <c r="EA467" s="2" t="n">
        <v>0</v>
      </c>
      <c r="EB467" s="2" t="n">
        <v>100</v>
      </c>
      <c r="EC467" s="2" t="n">
        <v>100</v>
      </c>
      <c r="ED467" s="2" t="n">
        <v>0</v>
      </c>
      <c r="EE467" s="2" t="n">
        <v>100</v>
      </c>
      <c r="EF467" s="2" t="n">
        <v>100</v>
      </c>
      <c r="EG467" s="2" t="n">
        <v>0</v>
      </c>
      <c r="EH467" s="2" t="n">
        <v>100</v>
      </c>
      <c r="EI467" s="2" t="n">
        <v>100</v>
      </c>
      <c r="EJ467" s="2" t="n">
        <v>0</v>
      </c>
      <c r="EK467" s="2" t="n">
        <v>100</v>
      </c>
      <c r="EL467" s="2" t="n">
        <v>100</v>
      </c>
      <c r="EM467" s="2" t="n">
        <v>0</v>
      </c>
      <c r="EN467" s="2" t="n">
        <v>100</v>
      </c>
      <c r="EO467" s="2" t="n">
        <v>100</v>
      </c>
      <c r="EP467" s="2" t="n">
        <v>0</v>
      </c>
      <c r="EQ467" s="2" t="n">
        <v>100</v>
      </c>
      <c r="ER467" s="2" t="n">
        <v>100</v>
      </c>
      <c r="ES467" s="2" t="n">
        <v>0</v>
      </c>
    </row>
    <row r="468">
      <c r="A468" s="2" t="n">
        <v>3</v>
      </c>
      <c r="B468" s="2" t="inlineStr">
        <is>
          <t>19.10.01</t>
        </is>
      </c>
      <c r="C468" s="2" t="inlineStr">
        <is>
          <t>Tratamento do concreto com aditivo cristalizante integral adicionado ao traço do concreto com consumo de 0,8% a 1% sobre a massa do cimento. Recomendável o uso de rastreador de aditivo para controle e fiscalização com relação ao uso, com uso, consumo/ porcetagem e dispersão do produto. * O aditivo é adotado como proteção auxiliar para colmatação dos poros do concreto e melhoria na redução da absorção de água; Não resiste à fissuração estrutural. * Nas juntas de concretagem, adotar fita hidroexpansiva para vedação (Lajes x cortinas, cortinas x cortinas, lajes x pilares, lajes x lajes, dentre outros)</t>
        </is>
      </c>
      <c r="D468" s="2" t="inlineStr">
        <is>
          <t>11/08/2027</t>
        </is>
      </c>
      <c r="E468" s="2" t="inlineStr">
        <is>
          <t>01/09/2028</t>
        </is>
      </c>
      <c r="F468" s="2" t="n">
        <v>228751.371</v>
      </c>
      <c r="G468" s="2" t="n">
        <v>0</v>
      </c>
      <c r="H468" s="2" t="n">
        <v>228751.371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0</v>
      </c>
      <c r="AN468" s="2" t="n">
        <v>0</v>
      </c>
      <c r="AO468" s="2" t="n">
        <v>0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n">
        <v>0</v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n">
        <v>0</v>
      </c>
      <c r="BI468" s="2" t="n">
        <v>0</v>
      </c>
      <c r="BJ468" s="2" t="n">
        <v>0</v>
      </c>
      <c r="BK468" s="2" t="n">
        <v>0</v>
      </c>
      <c r="BL468" s="2" t="n">
        <v>0</v>
      </c>
      <c r="BM468" s="2" t="n">
        <v>0</v>
      </c>
      <c r="BN468" s="2" t="n">
        <v>0</v>
      </c>
      <c r="BO468" s="2" t="n">
        <v>0</v>
      </c>
      <c r="BP468" s="2" t="n">
        <v>0</v>
      </c>
      <c r="BQ468" s="2" t="n">
        <v>0</v>
      </c>
      <c r="BR468" s="2" t="n">
        <v>0</v>
      </c>
      <c r="BS468" s="2" t="n">
        <v>0</v>
      </c>
      <c r="BT468" s="2" t="n">
        <v>0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2" t="n">
        <v>0</v>
      </c>
      <c r="CF468" s="2" t="n">
        <v>0</v>
      </c>
      <c r="CG468" s="2" t="n">
        <v>0</v>
      </c>
      <c r="CH468" s="2" t="n">
        <v>0</v>
      </c>
      <c r="CI468" s="2" t="n">
        <v>2.65</v>
      </c>
      <c r="CJ468" s="2" t="n">
        <v>3.97</v>
      </c>
      <c r="CK468" s="2" t="n">
        <v>0</v>
      </c>
      <c r="CL468" s="2" t="n">
        <v>8.199999999999999</v>
      </c>
      <c r="CM468" s="2" t="n">
        <v>9.52</v>
      </c>
      <c r="CN468" s="2" t="n">
        <v>0</v>
      </c>
      <c r="CO468" s="2" t="n">
        <v>13.49</v>
      </c>
      <c r="CP468" s="2" t="n">
        <v>17.2</v>
      </c>
      <c r="CQ468" s="2" t="n">
        <v>0</v>
      </c>
      <c r="CR468" s="2" t="n">
        <v>23.54</v>
      </c>
      <c r="CS468" s="2" t="n">
        <v>24.87</v>
      </c>
      <c r="CT468" s="2" t="n">
        <v>0</v>
      </c>
      <c r="CU468" s="2" t="n">
        <v>27.78</v>
      </c>
      <c r="CV468" s="2" t="n">
        <v>30.53</v>
      </c>
      <c r="CW468" s="2" t="n">
        <v>0</v>
      </c>
      <c r="CX468" s="2" t="n">
        <v>35</v>
      </c>
      <c r="CY468" s="2" t="n">
        <v>37.04</v>
      </c>
      <c r="CZ468" s="2" t="n">
        <v>0</v>
      </c>
      <c r="DA468" s="2" t="n">
        <v>41.27</v>
      </c>
      <c r="DB468" s="2" t="n">
        <v>43.54</v>
      </c>
      <c r="DC468" s="2" t="n">
        <v>0</v>
      </c>
      <c r="DD468" s="2" t="n">
        <v>54.32</v>
      </c>
      <c r="DE468" s="2" t="n">
        <v>56.56</v>
      </c>
      <c r="DF468" s="2" t="n">
        <v>0</v>
      </c>
      <c r="DG468" s="2" t="n">
        <v>63.54</v>
      </c>
      <c r="DH468" s="2" t="n">
        <v>65.38</v>
      </c>
      <c r="DI468" s="2" t="n">
        <v>0</v>
      </c>
      <c r="DJ468" s="2" t="n">
        <v>72.54000000000001</v>
      </c>
      <c r="DK468" s="2" t="n">
        <v>81.36</v>
      </c>
      <c r="DL468" s="2" t="n">
        <v>0</v>
      </c>
      <c r="DM468" s="2" t="n">
        <v>86.23999999999999</v>
      </c>
      <c r="DN468" s="2" t="n">
        <v>94.76000000000001</v>
      </c>
      <c r="DO468" s="2" t="n">
        <v>0</v>
      </c>
      <c r="DP468" s="2" t="n">
        <v>97.45999999999999</v>
      </c>
      <c r="DQ468" s="2" t="n">
        <v>97.62</v>
      </c>
      <c r="DR468" s="2" t="n">
        <v>0</v>
      </c>
      <c r="DS468" s="2" t="n">
        <v>98.41</v>
      </c>
      <c r="DT468" s="2" t="n">
        <v>99.73999999999999</v>
      </c>
      <c r="DU468" s="2" t="n">
        <v>0</v>
      </c>
      <c r="DV468" s="2" t="n">
        <v>100</v>
      </c>
      <c r="DW468" s="2" t="n">
        <v>100</v>
      </c>
      <c r="DX468" s="2" t="n">
        <v>0</v>
      </c>
      <c r="DY468" s="2" t="n">
        <v>100</v>
      </c>
      <c r="DZ468" s="2" t="n">
        <v>100</v>
      </c>
      <c r="EA468" s="2" t="n">
        <v>0</v>
      </c>
      <c r="EB468" s="2" t="n">
        <v>100</v>
      </c>
      <c r="EC468" s="2" t="n">
        <v>100</v>
      </c>
      <c r="ED468" s="2" t="n">
        <v>0</v>
      </c>
      <c r="EE468" s="2" t="n">
        <v>100</v>
      </c>
      <c r="EF468" s="2" t="n">
        <v>100</v>
      </c>
      <c r="EG468" s="2" t="n">
        <v>0</v>
      </c>
      <c r="EH468" s="2" t="n">
        <v>100</v>
      </c>
      <c r="EI468" s="2" t="n">
        <v>100</v>
      </c>
      <c r="EJ468" s="2" t="n">
        <v>0</v>
      </c>
      <c r="EK468" s="2" t="n">
        <v>100</v>
      </c>
      <c r="EL468" s="2" t="n">
        <v>100</v>
      </c>
      <c r="EM468" s="2" t="n">
        <v>0</v>
      </c>
      <c r="EN468" s="2" t="n">
        <v>100</v>
      </c>
      <c r="EO468" s="2" t="n">
        <v>100</v>
      </c>
      <c r="EP468" s="2" t="n">
        <v>0</v>
      </c>
      <c r="EQ468" s="2" t="n">
        <v>100</v>
      </c>
      <c r="ER468" s="2" t="n">
        <v>100</v>
      </c>
      <c r="ES468" s="2" t="n">
        <v>0</v>
      </c>
    </row>
    <row r="469">
      <c r="A469" s="2" t="n">
        <v>2</v>
      </c>
      <c r="B469" s="2" t="inlineStr">
        <is>
          <t>19.11</t>
        </is>
      </c>
      <c r="C469" s="2" t="inlineStr">
        <is>
          <t>Opção 01 (VUP 22 anos) Regularização do concreto com argamassa aditivada de fibras de polipropileno (Consumo 100g por saco de cimento) com acabamento desempenado e feltrada. Posteriormente, impermeabilização com dupla manta asfáltica tipo III, 3mm + 4mm de espessura, classe B acabamento AA, ambas coldas com asfalto oxidado a quente com consumo de 3,0kg/m2. Sobre manta, camada de transição com geotêxtil 200g/m2 e Proteção mecânica armada estruturada com tela galvanizada fio 22 malha 1" (Ancoradas em barras de aço e pinos de aço chumbados no concreto. Sobre proteção mecânica, Tratamento intiflorescência com argamassa flexível 3,0kg/m2)</t>
        </is>
      </c>
      <c r="D469" s="2" t="inlineStr">
        <is>
          <t>11/08/2027</t>
        </is>
      </c>
      <c r="E469" s="2" t="inlineStr">
        <is>
          <t>01/09/2028</t>
        </is>
      </c>
      <c r="F469" s="2" t="n">
        <v>85469.05563757382</v>
      </c>
      <c r="G469" s="2" t="n">
        <v>0</v>
      </c>
      <c r="H469" s="2" t="n">
        <v>85469.05563757382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0</v>
      </c>
      <c r="AN469" s="2" t="n">
        <v>0</v>
      </c>
      <c r="AO469" s="2" t="n">
        <v>0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n">
        <v>0</v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n">
        <v>0</v>
      </c>
      <c r="BI469" s="2" t="n">
        <v>0</v>
      </c>
      <c r="BJ469" s="2" t="n">
        <v>0</v>
      </c>
      <c r="BK469" s="2" t="n">
        <v>0</v>
      </c>
      <c r="BL469" s="2" t="n">
        <v>0</v>
      </c>
      <c r="BM469" s="2" t="n">
        <v>0</v>
      </c>
      <c r="BN469" s="2" t="n">
        <v>0</v>
      </c>
      <c r="BO469" s="2" t="n">
        <v>0</v>
      </c>
      <c r="BP469" s="2" t="n">
        <v>0</v>
      </c>
      <c r="BQ469" s="2" t="n">
        <v>0</v>
      </c>
      <c r="BR469" s="2" t="n">
        <v>0</v>
      </c>
      <c r="BS469" s="2" t="n">
        <v>0</v>
      </c>
      <c r="BT469" s="2" t="n">
        <v>0</v>
      </c>
      <c r="BU469" s="2" t="n">
        <v>0</v>
      </c>
      <c r="BV469" s="2" t="n">
        <v>0</v>
      </c>
      <c r="BW469" s="2" t="n">
        <v>0</v>
      </c>
      <c r="BX469" s="2" t="n">
        <v>0</v>
      </c>
      <c r="BY469" s="2" t="n">
        <v>0</v>
      </c>
      <c r="BZ469" s="2" t="n">
        <v>0</v>
      </c>
      <c r="CA469" s="2" t="n">
        <v>0</v>
      </c>
      <c r="CB469" s="2" t="n">
        <v>0</v>
      </c>
      <c r="CC469" s="2" t="n">
        <v>0</v>
      </c>
      <c r="CD469" s="2" t="n">
        <v>0</v>
      </c>
      <c r="CE469" s="2" t="n">
        <v>0</v>
      </c>
      <c r="CF469" s="2" t="n">
        <v>0</v>
      </c>
      <c r="CG469" s="2" t="n">
        <v>0</v>
      </c>
      <c r="CH469" s="2" t="n">
        <v>0</v>
      </c>
      <c r="CI469" s="2" t="n">
        <v>2.65</v>
      </c>
      <c r="CJ469" s="2" t="n">
        <v>3.97</v>
      </c>
      <c r="CK469" s="2" t="n">
        <v>0</v>
      </c>
      <c r="CL469" s="2" t="n">
        <v>8.199999999999999</v>
      </c>
      <c r="CM469" s="2" t="n">
        <v>9.52</v>
      </c>
      <c r="CN469" s="2" t="n">
        <v>0</v>
      </c>
      <c r="CO469" s="2" t="n">
        <v>13.49</v>
      </c>
      <c r="CP469" s="2" t="n">
        <v>17.2</v>
      </c>
      <c r="CQ469" s="2" t="n">
        <v>0</v>
      </c>
      <c r="CR469" s="2" t="n">
        <v>23.54</v>
      </c>
      <c r="CS469" s="2" t="n">
        <v>24.87</v>
      </c>
      <c r="CT469" s="2" t="n">
        <v>0</v>
      </c>
      <c r="CU469" s="2" t="n">
        <v>27.78</v>
      </c>
      <c r="CV469" s="2" t="n">
        <v>30.53</v>
      </c>
      <c r="CW469" s="2" t="n">
        <v>0</v>
      </c>
      <c r="CX469" s="2" t="n">
        <v>35</v>
      </c>
      <c r="CY469" s="2" t="n">
        <v>37.04</v>
      </c>
      <c r="CZ469" s="2" t="n">
        <v>0</v>
      </c>
      <c r="DA469" s="2" t="n">
        <v>41.27</v>
      </c>
      <c r="DB469" s="2" t="n">
        <v>43.54</v>
      </c>
      <c r="DC469" s="2" t="n">
        <v>0</v>
      </c>
      <c r="DD469" s="2" t="n">
        <v>54.32</v>
      </c>
      <c r="DE469" s="2" t="n">
        <v>56.56</v>
      </c>
      <c r="DF469" s="2" t="n">
        <v>0</v>
      </c>
      <c r="DG469" s="2" t="n">
        <v>63.54</v>
      </c>
      <c r="DH469" s="2" t="n">
        <v>65.38</v>
      </c>
      <c r="DI469" s="2" t="n">
        <v>0</v>
      </c>
      <c r="DJ469" s="2" t="n">
        <v>72.54000000000001</v>
      </c>
      <c r="DK469" s="2" t="n">
        <v>81.36</v>
      </c>
      <c r="DL469" s="2" t="n">
        <v>0</v>
      </c>
      <c r="DM469" s="2" t="n">
        <v>86.23999999999999</v>
      </c>
      <c r="DN469" s="2" t="n">
        <v>94.76000000000001</v>
      </c>
      <c r="DO469" s="2" t="n">
        <v>0</v>
      </c>
      <c r="DP469" s="2" t="n">
        <v>97.45999999999999</v>
      </c>
      <c r="DQ469" s="2" t="n">
        <v>97.62</v>
      </c>
      <c r="DR469" s="2" t="n">
        <v>0</v>
      </c>
      <c r="DS469" s="2" t="n">
        <v>98.41</v>
      </c>
      <c r="DT469" s="2" t="n">
        <v>99.73999999999999</v>
      </c>
      <c r="DU469" s="2" t="n">
        <v>0</v>
      </c>
      <c r="DV469" s="2" t="n">
        <v>100</v>
      </c>
      <c r="DW469" s="2" t="n">
        <v>100</v>
      </c>
      <c r="DX469" s="2" t="n">
        <v>0</v>
      </c>
      <c r="DY469" s="2" t="n">
        <v>100</v>
      </c>
      <c r="DZ469" s="2" t="n">
        <v>100</v>
      </c>
      <c r="EA469" s="2" t="n">
        <v>0</v>
      </c>
      <c r="EB469" s="2" t="n">
        <v>100</v>
      </c>
      <c r="EC469" s="2" t="n">
        <v>100</v>
      </c>
      <c r="ED469" s="2" t="n">
        <v>0</v>
      </c>
      <c r="EE469" s="2" t="n">
        <v>100</v>
      </c>
      <c r="EF469" s="2" t="n">
        <v>100</v>
      </c>
      <c r="EG469" s="2" t="n">
        <v>0</v>
      </c>
      <c r="EH469" s="2" t="n">
        <v>100</v>
      </c>
      <c r="EI469" s="2" t="n">
        <v>100</v>
      </c>
      <c r="EJ469" s="2" t="n">
        <v>0</v>
      </c>
      <c r="EK469" s="2" t="n">
        <v>100</v>
      </c>
      <c r="EL469" s="2" t="n">
        <v>100</v>
      </c>
      <c r="EM469" s="2" t="n">
        <v>0</v>
      </c>
      <c r="EN469" s="2" t="n">
        <v>100</v>
      </c>
      <c r="EO469" s="2" t="n">
        <v>100</v>
      </c>
      <c r="EP469" s="2" t="n">
        <v>0</v>
      </c>
      <c r="EQ469" s="2" t="n">
        <v>100</v>
      </c>
      <c r="ER469" s="2" t="n">
        <v>100</v>
      </c>
      <c r="ES469" s="2" t="n">
        <v>0</v>
      </c>
    </row>
    <row r="470">
      <c r="A470" s="2" t="n">
        <v>3</v>
      </c>
      <c r="B470" s="2" t="inlineStr">
        <is>
          <t>19.11.01</t>
        </is>
      </c>
      <c r="C470" s="2" t="inlineStr">
        <is>
          <t>Camada de regularização com argamassa de cimento e areia</t>
        </is>
      </c>
      <c r="D470" s="2" t="inlineStr">
        <is>
          <t>11/08/2027</t>
        </is>
      </c>
      <c r="E470" s="2" t="inlineStr">
        <is>
          <t>01/09/2028</t>
        </is>
      </c>
      <c r="F470" s="2" t="n">
        <v>8408.555538386447</v>
      </c>
      <c r="G470" s="2" t="n">
        <v>0</v>
      </c>
      <c r="H470" s="2" t="n">
        <v>8408.555538386447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0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n">
        <v>0</v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n">
        <v>0</v>
      </c>
      <c r="BI470" s="2" t="n">
        <v>0</v>
      </c>
      <c r="BJ470" s="2" t="n">
        <v>0</v>
      </c>
      <c r="BK470" s="2" t="n">
        <v>0</v>
      </c>
      <c r="BL470" s="2" t="n">
        <v>0</v>
      </c>
      <c r="BM470" s="2" t="n">
        <v>0</v>
      </c>
      <c r="BN470" s="2" t="n">
        <v>0</v>
      </c>
      <c r="BO470" s="2" t="n">
        <v>0</v>
      </c>
      <c r="BP470" s="2" t="n">
        <v>0</v>
      </c>
      <c r="BQ470" s="2" t="n">
        <v>0</v>
      </c>
      <c r="BR470" s="2" t="n">
        <v>0</v>
      </c>
      <c r="BS470" s="2" t="n">
        <v>0</v>
      </c>
      <c r="BT470" s="2" t="n">
        <v>0</v>
      </c>
      <c r="BU470" s="2" t="n">
        <v>0</v>
      </c>
      <c r="BV470" s="2" t="n">
        <v>0</v>
      </c>
      <c r="BW470" s="2" t="n">
        <v>0</v>
      </c>
      <c r="BX470" s="2" t="n">
        <v>0</v>
      </c>
      <c r="BY470" s="2" t="n">
        <v>0</v>
      </c>
      <c r="BZ470" s="2" t="n">
        <v>0</v>
      </c>
      <c r="CA470" s="2" t="n">
        <v>0</v>
      </c>
      <c r="CB470" s="2" t="n">
        <v>0</v>
      </c>
      <c r="CC470" s="2" t="n">
        <v>0</v>
      </c>
      <c r="CD470" s="2" t="n">
        <v>0</v>
      </c>
      <c r="CE470" s="2" t="n">
        <v>0</v>
      </c>
      <c r="CF470" s="2" t="n">
        <v>0</v>
      </c>
      <c r="CG470" s="2" t="n">
        <v>0</v>
      </c>
      <c r="CH470" s="2" t="n">
        <v>0</v>
      </c>
      <c r="CI470" s="2" t="n">
        <v>2.65</v>
      </c>
      <c r="CJ470" s="2" t="n">
        <v>3.97</v>
      </c>
      <c r="CK470" s="2" t="n">
        <v>0</v>
      </c>
      <c r="CL470" s="2" t="n">
        <v>8.199999999999999</v>
      </c>
      <c r="CM470" s="2" t="n">
        <v>9.52</v>
      </c>
      <c r="CN470" s="2" t="n">
        <v>0</v>
      </c>
      <c r="CO470" s="2" t="n">
        <v>13.49</v>
      </c>
      <c r="CP470" s="2" t="n">
        <v>17.2</v>
      </c>
      <c r="CQ470" s="2" t="n">
        <v>0</v>
      </c>
      <c r="CR470" s="2" t="n">
        <v>23.54</v>
      </c>
      <c r="CS470" s="2" t="n">
        <v>24.87</v>
      </c>
      <c r="CT470" s="2" t="n">
        <v>0</v>
      </c>
      <c r="CU470" s="2" t="n">
        <v>27.78</v>
      </c>
      <c r="CV470" s="2" t="n">
        <v>30.53</v>
      </c>
      <c r="CW470" s="2" t="n">
        <v>0</v>
      </c>
      <c r="CX470" s="2" t="n">
        <v>35</v>
      </c>
      <c r="CY470" s="2" t="n">
        <v>37.04</v>
      </c>
      <c r="CZ470" s="2" t="n">
        <v>0</v>
      </c>
      <c r="DA470" s="2" t="n">
        <v>41.27</v>
      </c>
      <c r="DB470" s="2" t="n">
        <v>43.54</v>
      </c>
      <c r="DC470" s="2" t="n">
        <v>0</v>
      </c>
      <c r="DD470" s="2" t="n">
        <v>54.32</v>
      </c>
      <c r="DE470" s="2" t="n">
        <v>56.56</v>
      </c>
      <c r="DF470" s="2" t="n">
        <v>0</v>
      </c>
      <c r="DG470" s="2" t="n">
        <v>63.54</v>
      </c>
      <c r="DH470" s="2" t="n">
        <v>65.38</v>
      </c>
      <c r="DI470" s="2" t="n">
        <v>0</v>
      </c>
      <c r="DJ470" s="2" t="n">
        <v>72.54000000000001</v>
      </c>
      <c r="DK470" s="2" t="n">
        <v>81.36</v>
      </c>
      <c r="DL470" s="2" t="n">
        <v>0</v>
      </c>
      <c r="DM470" s="2" t="n">
        <v>86.23999999999999</v>
      </c>
      <c r="DN470" s="2" t="n">
        <v>94.76000000000001</v>
      </c>
      <c r="DO470" s="2" t="n">
        <v>0</v>
      </c>
      <c r="DP470" s="2" t="n">
        <v>97.45999999999999</v>
      </c>
      <c r="DQ470" s="2" t="n">
        <v>97.62</v>
      </c>
      <c r="DR470" s="2" t="n">
        <v>0</v>
      </c>
      <c r="DS470" s="2" t="n">
        <v>98.41</v>
      </c>
      <c r="DT470" s="2" t="n">
        <v>99.73999999999999</v>
      </c>
      <c r="DU470" s="2" t="n">
        <v>0</v>
      </c>
      <c r="DV470" s="2" t="n">
        <v>100</v>
      </c>
      <c r="DW470" s="2" t="n">
        <v>100</v>
      </c>
      <c r="DX470" s="2" t="n">
        <v>0</v>
      </c>
      <c r="DY470" s="2" t="n">
        <v>100</v>
      </c>
      <c r="DZ470" s="2" t="n">
        <v>100</v>
      </c>
      <c r="EA470" s="2" t="n">
        <v>0</v>
      </c>
      <c r="EB470" s="2" t="n">
        <v>100</v>
      </c>
      <c r="EC470" s="2" t="n">
        <v>100</v>
      </c>
      <c r="ED470" s="2" t="n">
        <v>0</v>
      </c>
      <c r="EE470" s="2" t="n">
        <v>100</v>
      </c>
      <c r="EF470" s="2" t="n">
        <v>100</v>
      </c>
      <c r="EG470" s="2" t="n">
        <v>0</v>
      </c>
      <c r="EH470" s="2" t="n">
        <v>100</v>
      </c>
      <c r="EI470" s="2" t="n">
        <v>100</v>
      </c>
      <c r="EJ470" s="2" t="n">
        <v>0</v>
      </c>
      <c r="EK470" s="2" t="n">
        <v>100</v>
      </c>
      <c r="EL470" s="2" t="n">
        <v>100</v>
      </c>
      <c r="EM470" s="2" t="n">
        <v>0</v>
      </c>
      <c r="EN470" s="2" t="n">
        <v>100</v>
      </c>
      <c r="EO470" s="2" t="n">
        <v>100</v>
      </c>
      <c r="EP470" s="2" t="n">
        <v>0</v>
      </c>
      <c r="EQ470" s="2" t="n">
        <v>100</v>
      </c>
      <c r="ER470" s="2" t="n">
        <v>100</v>
      </c>
      <c r="ES470" s="2" t="n">
        <v>0</v>
      </c>
    </row>
    <row r="471">
      <c r="A471" s="2" t="n">
        <v>3</v>
      </c>
      <c r="B471" s="2" t="inlineStr">
        <is>
          <t>19.11.02</t>
        </is>
      </c>
      <c r="C471" s="2" t="inlineStr">
        <is>
          <t>Proteção mecânica armada estruturada com tela galvanizada fio 22 malha de 1" (Ancoradas em barra de aço e pinos de aço chumbados no concreto)</t>
        </is>
      </c>
      <c r="D471" s="2" t="inlineStr">
        <is>
          <t>11/08/2027</t>
        </is>
      </c>
      <c r="E471" s="2" t="inlineStr">
        <is>
          <t>01/09/2028</t>
        </is>
      </c>
      <c r="F471" s="2" t="n">
        <v>14188.74536856624</v>
      </c>
      <c r="G471" s="2" t="n">
        <v>0</v>
      </c>
      <c r="H471" s="2" t="n">
        <v>14188.74536856624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  <c r="AM471" s="2" t="n">
        <v>0</v>
      </c>
      <c r="AN471" s="2" t="n">
        <v>0</v>
      </c>
      <c r="AO471" s="2" t="n">
        <v>0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n">
        <v>0</v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n">
        <v>0</v>
      </c>
      <c r="BI471" s="2" t="n">
        <v>0</v>
      </c>
      <c r="BJ471" s="2" t="n">
        <v>0</v>
      </c>
      <c r="BK471" s="2" t="n">
        <v>0</v>
      </c>
      <c r="BL471" s="2" t="n">
        <v>0</v>
      </c>
      <c r="BM471" s="2" t="n">
        <v>0</v>
      </c>
      <c r="BN471" s="2" t="n">
        <v>0</v>
      </c>
      <c r="BO471" s="2" t="n">
        <v>0</v>
      </c>
      <c r="BP471" s="2" t="n">
        <v>0</v>
      </c>
      <c r="BQ471" s="2" t="n">
        <v>0</v>
      </c>
      <c r="BR471" s="2" t="n">
        <v>0</v>
      </c>
      <c r="BS471" s="2" t="n">
        <v>0</v>
      </c>
      <c r="BT471" s="2" t="n">
        <v>0</v>
      </c>
      <c r="BU471" s="2" t="n">
        <v>0</v>
      </c>
      <c r="BV471" s="2" t="n">
        <v>0</v>
      </c>
      <c r="BW471" s="2" t="n">
        <v>0</v>
      </c>
      <c r="BX471" s="2" t="n">
        <v>0</v>
      </c>
      <c r="BY471" s="2" t="n">
        <v>0</v>
      </c>
      <c r="BZ471" s="2" t="n">
        <v>0</v>
      </c>
      <c r="CA471" s="2" t="n">
        <v>0</v>
      </c>
      <c r="CB471" s="2" t="n">
        <v>0</v>
      </c>
      <c r="CC471" s="2" t="n">
        <v>0</v>
      </c>
      <c r="CD471" s="2" t="n">
        <v>0</v>
      </c>
      <c r="CE471" s="2" t="n">
        <v>0</v>
      </c>
      <c r="CF471" s="2" t="n">
        <v>0</v>
      </c>
      <c r="CG471" s="2" t="n">
        <v>0</v>
      </c>
      <c r="CH471" s="2" t="n">
        <v>0</v>
      </c>
      <c r="CI471" s="2" t="n">
        <v>2.65</v>
      </c>
      <c r="CJ471" s="2" t="n">
        <v>3.97</v>
      </c>
      <c r="CK471" s="2" t="n">
        <v>0</v>
      </c>
      <c r="CL471" s="2" t="n">
        <v>8.199999999999999</v>
      </c>
      <c r="CM471" s="2" t="n">
        <v>9.52</v>
      </c>
      <c r="CN471" s="2" t="n">
        <v>0</v>
      </c>
      <c r="CO471" s="2" t="n">
        <v>13.49</v>
      </c>
      <c r="CP471" s="2" t="n">
        <v>17.2</v>
      </c>
      <c r="CQ471" s="2" t="n">
        <v>0</v>
      </c>
      <c r="CR471" s="2" t="n">
        <v>23.54</v>
      </c>
      <c r="CS471" s="2" t="n">
        <v>24.87</v>
      </c>
      <c r="CT471" s="2" t="n">
        <v>0</v>
      </c>
      <c r="CU471" s="2" t="n">
        <v>27.78</v>
      </c>
      <c r="CV471" s="2" t="n">
        <v>30.53</v>
      </c>
      <c r="CW471" s="2" t="n">
        <v>0</v>
      </c>
      <c r="CX471" s="2" t="n">
        <v>35</v>
      </c>
      <c r="CY471" s="2" t="n">
        <v>37.04</v>
      </c>
      <c r="CZ471" s="2" t="n">
        <v>0</v>
      </c>
      <c r="DA471" s="2" t="n">
        <v>41.27</v>
      </c>
      <c r="DB471" s="2" t="n">
        <v>43.54</v>
      </c>
      <c r="DC471" s="2" t="n">
        <v>0</v>
      </c>
      <c r="DD471" s="2" t="n">
        <v>54.32</v>
      </c>
      <c r="DE471" s="2" t="n">
        <v>56.56</v>
      </c>
      <c r="DF471" s="2" t="n">
        <v>0</v>
      </c>
      <c r="DG471" s="2" t="n">
        <v>63.54</v>
      </c>
      <c r="DH471" s="2" t="n">
        <v>65.38</v>
      </c>
      <c r="DI471" s="2" t="n">
        <v>0</v>
      </c>
      <c r="DJ471" s="2" t="n">
        <v>72.54000000000001</v>
      </c>
      <c r="DK471" s="2" t="n">
        <v>81.36</v>
      </c>
      <c r="DL471" s="2" t="n">
        <v>0</v>
      </c>
      <c r="DM471" s="2" t="n">
        <v>86.23999999999999</v>
      </c>
      <c r="DN471" s="2" t="n">
        <v>94.76000000000001</v>
      </c>
      <c r="DO471" s="2" t="n">
        <v>0</v>
      </c>
      <c r="DP471" s="2" t="n">
        <v>97.45999999999999</v>
      </c>
      <c r="DQ471" s="2" t="n">
        <v>97.62</v>
      </c>
      <c r="DR471" s="2" t="n">
        <v>0</v>
      </c>
      <c r="DS471" s="2" t="n">
        <v>98.41</v>
      </c>
      <c r="DT471" s="2" t="n">
        <v>99.73999999999999</v>
      </c>
      <c r="DU471" s="2" t="n">
        <v>0</v>
      </c>
      <c r="DV471" s="2" t="n">
        <v>100</v>
      </c>
      <c r="DW471" s="2" t="n">
        <v>100</v>
      </c>
      <c r="DX471" s="2" t="n">
        <v>0</v>
      </c>
      <c r="DY471" s="2" t="n">
        <v>100</v>
      </c>
      <c r="DZ471" s="2" t="n">
        <v>100</v>
      </c>
      <c r="EA471" s="2" t="n">
        <v>0</v>
      </c>
      <c r="EB471" s="2" t="n">
        <v>100</v>
      </c>
      <c r="EC471" s="2" t="n">
        <v>100</v>
      </c>
      <c r="ED471" s="2" t="n">
        <v>0</v>
      </c>
      <c r="EE471" s="2" t="n">
        <v>100</v>
      </c>
      <c r="EF471" s="2" t="n">
        <v>100</v>
      </c>
      <c r="EG471" s="2" t="n">
        <v>0</v>
      </c>
      <c r="EH471" s="2" t="n">
        <v>100</v>
      </c>
      <c r="EI471" s="2" t="n">
        <v>100</v>
      </c>
      <c r="EJ471" s="2" t="n">
        <v>0</v>
      </c>
      <c r="EK471" s="2" t="n">
        <v>100</v>
      </c>
      <c r="EL471" s="2" t="n">
        <v>100</v>
      </c>
      <c r="EM471" s="2" t="n">
        <v>0</v>
      </c>
      <c r="EN471" s="2" t="n">
        <v>100</v>
      </c>
      <c r="EO471" s="2" t="n">
        <v>100</v>
      </c>
      <c r="EP471" s="2" t="n">
        <v>0</v>
      </c>
      <c r="EQ471" s="2" t="n">
        <v>100</v>
      </c>
      <c r="ER471" s="2" t="n">
        <v>100</v>
      </c>
      <c r="ES471" s="2" t="n">
        <v>0</v>
      </c>
    </row>
    <row r="472">
      <c r="A472" s="2" t="n">
        <v>3</v>
      </c>
      <c r="B472" s="2" t="inlineStr">
        <is>
          <t>19.11.03</t>
        </is>
      </c>
      <c r="C472" s="2" t="inlineStr">
        <is>
          <t>Camada de transição geotêxtil 200g/m2</t>
        </is>
      </c>
      <c r="D472" s="2" t="inlineStr">
        <is>
          <t>11/08/2027</t>
        </is>
      </c>
      <c r="E472" s="2" t="inlineStr">
        <is>
          <t>01/09/2028</t>
        </is>
      </c>
      <c r="F472" s="2" t="n">
        <v>769.37175</v>
      </c>
      <c r="G472" s="2" t="n">
        <v>0</v>
      </c>
      <c r="H472" s="2" t="n">
        <v>769.37175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  <c r="AM472" s="2" t="n">
        <v>0</v>
      </c>
      <c r="AN472" s="2" t="n">
        <v>0</v>
      </c>
      <c r="AO472" s="2" t="n">
        <v>0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n">
        <v>0</v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n">
        <v>0</v>
      </c>
      <c r="BI472" s="2" t="n">
        <v>0</v>
      </c>
      <c r="BJ472" s="2" t="n">
        <v>0</v>
      </c>
      <c r="BK472" s="2" t="n">
        <v>0</v>
      </c>
      <c r="BL472" s="2" t="n">
        <v>0</v>
      </c>
      <c r="BM472" s="2" t="n">
        <v>0</v>
      </c>
      <c r="BN472" s="2" t="n">
        <v>0</v>
      </c>
      <c r="BO472" s="2" t="n">
        <v>0</v>
      </c>
      <c r="BP472" s="2" t="n">
        <v>0</v>
      </c>
      <c r="BQ472" s="2" t="n">
        <v>0</v>
      </c>
      <c r="BR472" s="2" t="n">
        <v>0</v>
      </c>
      <c r="BS472" s="2" t="n">
        <v>0</v>
      </c>
      <c r="BT472" s="2" t="n">
        <v>0</v>
      </c>
      <c r="BU472" s="2" t="n">
        <v>0</v>
      </c>
      <c r="BV472" s="2" t="n">
        <v>0</v>
      </c>
      <c r="BW472" s="2" t="n">
        <v>0</v>
      </c>
      <c r="BX472" s="2" t="n">
        <v>0</v>
      </c>
      <c r="BY472" s="2" t="n">
        <v>0</v>
      </c>
      <c r="BZ472" s="2" t="n">
        <v>0</v>
      </c>
      <c r="CA472" s="2" t="n">
        <v>0</v>
      </c>
      <c r="CB472" s="2" t="n">
        <v>0</v>
      </c>
      <c r="CC472" s="2" t="n">
        <v>0</v>
      </c>
      <c r="CD472" s="2" t="n">
        <v>0</v>
      </c>
      <c r="CE472" s="2" t="n">
        <v>0</v>
      </c>
      <c r="CF472" s="2" t="n">
        <v>0</v>
      </c>
      <c r="CG472" s="2" t="n">
        <v>0</v>
      </c>
      <c r="CH472" s="2" t="n">
        <v>0</v>
      </c>
      <c r="CI472" s="2" t="n">
        <v>2.65</v>
      </c>
      <c r="CJ472" s="2" t="n">
        <v>3.97</v>
      </c>
      <c r="CK472" s="2" t="n">
        <v>0</v>
      </c>
      <c r="CL472" s="2" t="n">
        <v>8.199999999999999</v>
      </c>
      <c r="CM472" s="2" t="n">
        <v>9.52</v>
      </c>
      <c r="CN472" s="2" t="n">
        <v>0</v>
      </c>
      <c r="CO472" s="2" t="n">
        <v>13.49</v>
      </c>
      <c r="CP472" s="2" t="n">
        <v>17.2</v>
      </c>
      <c r="CQ472" s="2" t="n">
        <v>0</v>
      </c>
      <c r="CR472" s="2" t="n">
        <v>23.54</v>
      </c>
      <c r="CS472" s="2" t="n">
        <v>24.87</v>
      </c>
      <c r="CT472" s="2" t="n">
        <v>0</v>
      </c>
      <c r="CU472" s="2" t="n">
        <v>27.78</v>
      </c>
      <c r="CV472" s="2" t="n">
        <v>30.53</v>
      </c>
      <c r="CW472" s="2" t="n">
        <v>0</v>
      </c>
      <c r="CX472" s="2" t="n">
        <v>35</v>
      </c>
      <c r="CY472" s="2" t="n">
        <v>37.04</v>
      </c>
      <c r="CZ472" s="2" t="n">
        <v>0</v>
      </c>
      <c r="DA472" s="2" t="n">
        <v>41.27</v>
      </c>
      <c r="DB472" s="2" t="n">
        <v>43.54</v>
      </c>
      <c r="DC472" s="2" t="n">
        <v>0</v>
      </c>
      <c r="DD472" s="2" t="n">
        <v>54.32</v>
      </c>
      <c r="DE472" s="2" t="n">
        <v>56.56</v>
      </c>
      <c r="DF472" s="2" t="n">
        <v>0</v>
      </c>
      <c r="DG472" s="2" t="n">
        <v>63.54</v>
      </c>
      <c r="DH472" s="2" t="n">
        <v>65.38</v>
      </c>
      <c r="DI472" s="2" t="n">
        <v>0</v>
      </c>
      <c r="DJ472" s="2" t="n">
        <v>72.54000000000001</v>
      </c>
      <c r="DK472" s="2" t="n">
        <v>81.36</v>
      </c>
      <c r="DL472" s="2" t="n">
        <v>0</v>
      </c>
      <c r="DM472" s="2" t="n">
        <v>86.23999999999999</v>
      </c>
      <c r="DN472" s="2" t="n">
        <v>94.76000000000001</v>
      </c>
      <c r="DO472" s="2" t="n">
        <v>0</v>
      </c>
      <c r="DP472" s="2" t="n">
        <v>97.45999999999999</v>
      </c>
      <c r="DQ472" s="2" t="n">
        <v>97.62</v>
      </c>
      <c r="DR472" s="2" t="n">
        <v>0</v>
      </c>
      <c r="DS472" s="2" t="n">
        <v>98.41</v>
      </c>
      <c r="DT472" s="2" t="n">
        <v>99.73999999999999</v>
      </c>
      <c r="DU472" s="2" t="n">
        <v>0</v>
      </c>
      <c r="DV472" s="2" t="n">
        <v>100</v>
      </c>
      <c r="DW472" s="2" t="n">
        <v>100</v>
      </c>
      <c r="DX472" s="2" t="n">
        <v>0</v>
      </c>
      <c r="DY472" s="2" t="n">
        <v>100</v>
      </c>
      <c r="DZ472" s="2" t="n">
        <v>100</v>
      </c>
      <c r="EA472" s="2" t="n">
        <v>0</v>
      </c>
      <c r="EB472" s="2" t="n">
        <v>100</v>
      </c>
      <c r="EC472" s="2" t="n">
        <v>100</v>
      </c>
      <c r="ED472" s="2" t="n">
        <v>0</v>
      </c>
      <c r="EE472" s="2" t="n">
        <v>100</v>
      </c>
      <c r="EF472" s="2" t="n">
        <v>100</v>
      </c>
      <c r="EG472" s="2" t="n">
        <v>0</v>
      </c>
      <c r="EH472" s="2" t="n">
        <v>100</v>
      </c>
      <c r="EI472" s="2" t="n">
        <v>100</v>
      </c>
      <c r="EJ472" s="2" t="n">
        <v>0</v>
      </c>
      <c r="EK472" s="2" t="n">
        <v>100</v>
      </c>
      <c r="EL472" s="2" t="n">
        <v>100</v>
      </c>
      <c r="EM472" s="2" t="n">
        <v>0</v>
      </c>
      <c r="EN472" s="2" t="n">
        <v>100</v>
      </c>
      <c r="EO472" s="2" t="n">
        <v>100</v>
      </c>
      <c r="EP472" s="2" t="n">
        <v>0</v>
      </c>
      <c r="EQ472" s="2" t="n">
        <v>100</v>
      </c>
      <c r="ER472" s="2" t="n">
        <v>100</v>
      </c>
      <c r="ES472" s="2" t="n">
        <v>0</v>
      </c>
    </row>
    <row r="473">
      <c r="A473" s="2" t="n">
        <v>3</v>
      </c>
      <c r="B473" s="2" t="inlineStr">
        <is>
          <t>19.11.04</t>
        </is>
      </c>
      <c r="C473" s="2" t="inlineStr">
        <is>
          <t>Cantoneira de alumínio/ Galvanizada 2x2 fixada com parafuso e bucha S6 a cada 30cm</t>
        </is>
      </c>
      <c r="D473" s="2" t="inlineStr">
        <is>
          <t>11/08/2027</t>
        </is>
      </c>
      <c r="E473" s="2" t="inlineStr">
        <is>
          <t>01/09/2028</t>
        </is>
      </c>
      <c r="F473" s="2" t="n">
        <v>8413.584375</v>
      </c>
      <c r="G473" s="2" t="n">
        <v>0</v>
      </c>
      <c r="H473" s="2" t="n">
        <v>8413.584375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2" t="n">
        <v>0</v>
      </c>
      <c r="AN473" s="2" t="n">
        <v>0</v>
      </c>
      <c r="AO473" s="2" t="n">
        <v>0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n">
        <v>0</v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n">
        <v>0</v>
      </c>
      <c r="BI473" s="2" t="n">
        <v>0</v>
      </c>
      <c r="BJ473" s="2" t="n">
        <v>0</v>
      </c>
      <c r="BK473" s="2" t="n">
        <v>0</v>
      </c>
      <c r="BL473" s="2" t="n">
        <v>0</v>
      </c>
      <c r="BM473" s="2" t="n">
        <v>0</v>
      </c>
      <c r="BN473" s="2" t="n">
        <v>0</v>
      </c>
      <c r="BO473" s="2" t="n">
        <v>0</v>
      </c>
      <c r="BP473" s="2" t="n">
        <v>0</v>
      </c>
      <c r="BQ473" s="2" t="n">
        <v>0</v>
      </c>
      <c r="BR473" s="2" t="n">
        <v>0</v>
      </c>
      <c r="BS473" s="2" t="n">
        <v>0</v>
      </c>
      <c r="BT473" s="2" t="n">
        <v>0</v>
      </c>
      <c r="BU473" s="2" t="n">
        <v>0</v>
      </c>
      <c r="BV473" s="2" t="n">
        <v>0</v>
      </c>
      <c r="BW473" s="2" t="n">
        <v>0</v>
      </c>
      <c r="BX473" s="2" t="n">
        <v>0</v>
      </c>
      <c r="BY473" s="2" t="n">
        <v>0</v>
      </c>
      <c r="BZ473" s="2" t="n">
        <v>0</v>
      </c>
      <c r="CA473" s="2" t="n">
        <v>0</v>
      </c>
      <c r="CB473" s="2" t="n">
        <v>0</v>
      </c>
      <c r="CC473" s="2" t="n">
        <v>0</v>
      </c>
      <c r="CD473" s="2" t="n">
        <v>0</v>
      </c>
      <c r="CE473" s="2" t="n">
        <v>0</v>
      </c>
      <c r="CF473" s="2" t="n">
        <v>0</v>
      </c>
      <c r="CG473" s="2" t="n">
        <v>0</v>
      </c>
      <c r="CH473" s="2" t="n">
        <v>0</v>
      </c>
      <c r="CI473" s="2" t="n">
        <v>2.65</v>
      </c>
      <c r="CJ473" s="2" t="n">
        <v>3.97</v>
      </c>
      <c r="CK473" s="2" t="n">
        <v>0</v>
      </c>
      <c r="CL473" s="2" t="n">
        <v>8.199999999999999</v>
      </c>
      <c r="CM473" s="2" t="n">
        <v>9.52</v>
      </c>
      <c r="CN473" s="2" t="n">
        <v>0</v>
      </c>
      <c r="CO473" s="2" t="n">
        <v>13.49</v>
      </c>
      <c r="CP473" s="2" t="n">
        <v>17.2</v>
      </c>
      <c r="CQ473" s="2" t="n">
        <v>0</v>
      </c>
      <c r="CR473" s="2" t="n">
        <v>23.54</v>
      </c>
      <c r="CS473" s="2" t="n">
        <v>24.87</v>
      </c>
      <c r="CT473" s="2" t="n">
        <v>0</v>
      </c>
      <c r="CU473" s="2" t="n">
        <v>27.78</v>
      </c>
      <c r="CV473" s="2" t="n">
        <v>30.53</v>
      </c>
      <c r="CW473" s="2" t="n">
        <v>0</v>
      </c>
      <c r="CX473" s="2" t="n">
        <v>35</v>
      </c>
      <c r="CY473" s="2" t="n">
        <v>37.04</v>
      </c>
      <c r="CZ473" s="2" t="n">
        <v>0</v>
      </c>
      <c r="DA473" s="2" t="n">
        <v>41.27</v>
      </c>
      <c r="DB473" s="2" t="n">
        <v>43.54</v>
      </c>
      <c r="DC473" s="2" t="n">
        <v>0</v>
      </c>
      <c r="DD473" s="2" t="n">
        <v>54.32</v>
      </c>
      <c r="DE473" s="2" t="n">
        <v>56.56</v>
      </c>
      <c r="DF473" s="2" t="n">
        <v>0</v>
      </c>
      <c r="DG473" s="2" t="n">
        <v>63.54</v>
      </c>
      <c r="DH473" s="2" t="n">
        <v>65.38</v>
      </c>
      <c r="DI473" s="2" t="n">
        <v>0</v>
      </c>
      <c r="DJ473" s="2" t="n">
        <v>72.54000000000001</v>
      </c>
      <c r="DK473" s="2" t="n">
        <v>81.36</v>
      </c>
      <c r="DL473" s="2" t="n">
        <v>0</v>
      </c>
      <c r="DM473" s="2" t="n">
        <v>86.23999999999999</v>
      </c>
      <c r="DN473" s="2" t="n">
        <v>94.76000000000001</v>
      </c>
      <c r="DO473" s="2" t="n">
        <v>0</v>
      </c>
      <c r="DP473" s="2" t="n">
        <v>97.45999999999999</v>
      </c>
      <c r="DQ473" s="2" t="n">
        <v>97.62</v>
      </c>
      <c r="DR473" s="2" t="n">
        <v>0</v>
      </c>
      <c r="DS473" s="2" t="n">
        <v>98.41</v>
      </c>
      <c r="DT473" s="2" t="n">
        <v>99.73999999999999</v>
      </c>
      <c r="DU473" s="2" t="n">
        <v>0</v>
      </c>
      <c r="DV473" s="2" t="n">
        <v>100</v>
      </c>
      <c r="DW473" s="2" t="n">
        <v>100</v>
      </c>
      <c r="DX473" s="2" t="n">
        <v>0</v>
      </c>
      <c r="DY473" s="2" t="n">
        <v>100</v>
      </c>
      <c r="DZ473" s="2" t="n">
        <v>100</v>
      </c>
      <c r="EA473" s="2" t="n">
        <v>0</v>
      </c>
      <c r="EB473" s="2" t="n">
        <v>100</v>
      </c>
      <c r="EC473" s="2" t="n">
        <v>100</v>
      </c>
      <c r="ED473" s="2" t="n">
        <v>0</v>
      </c>
      <c r="EE473" s="2" t="n">
        <v>100</v>
      </c>
      <c r="EF473" s="2" t="n">
        <v>100</v>
      </c>
      <c r="EG473" s="2" t="n">
        <v>0</v>
      </c>
      <c r="EH473" s="2" t="n">
        <v>100</v>
      </c>
      <c r="EI473" s="2" t="n">
        <v>100</v>
      </c>
      <c r="EJ473" s="2" t="n">
        <v>0</v>
      </c>
      <c r="EK473" s="2" t="n">
        <v>100</v>
      </c>
      <c r="EL473" s="2" t="n">
        <v>100</v>
      </c>
      <c r="EM473" s="2" t="n">
        <v>0</v>
      </c>
      <c r="EN473" s="2" t="n">
        <v>100</v>
      </c>
      <c r="EO473" s="2" t="n">
        <v>100</v>
      </c>
      <c r="EP473" s="2" t="n">
        <v>0</v>
      </c>
      <c r="EQ473" s="2" t="n">
        <v>100</v>
      </c>
      <c r="ER473" s="2" t="n">
        <v>100</v>
      </c>
      <c r="ES473" s="2" t="n">
        <v>0</v>
      </c>
    </row>
    <row r="474">
      <c r="A474" s="2" t="n">
        <v>3</v>
      </c>
      <c r="B474" s="2" t="inlineStr">
        <is>
          <t>19.11.05</t>
        </is>
      </c>
      <c r="C474" s="2" t="inlineStr">
        <is>
          <t>Junta perimetral e rejuntamento preenchidos com mastique de poliuretano</t>
        </is>
      </c>
      <c r="D474" s="2" t="inlineStr">
        <is>
          <t>11/08/2027</t>
        </is>
      </c>
      <c r="E474" s="2" t="inlineStr">
        <is>
          <t>01/09/2028</t>
        </is>
      </c>
      <c r="F474" s="2" t="n">
        <v>2602.246099116722</v>
      </c>
      <c r="G474" s="2" t="n">
        <v>0</v>
      </c>
      <c r="H474" s="2" t="n">
        <v>2602.246099116722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2" t="n">
        <v>0</v>
      </c>
      <c r="AN474" s="2" t="n">
        <v>0</v>
      </c>
      <c r="AO474" s="2" t="n">
        <v>0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n">
        <v>0</v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n">
        <v>0</v>
      </c>
      <c r="BI474" s="2" t="n">
        <v>0</v>
      </c>
      <c r="BJ474" s="2" t="n">
        <v>0</v>
      </c>
      <c r="BK474" s="2" t="n">
        <v>0</v>
      </c>
      <c r="BL474" s="2" t="n">
        <v>0</v>
      </c>
      <c r="BM474" s="2" t="n">
        <v>0</v>
      </c>
      <c r="BN474" s="2" t="n">
        <v>0</v>
      </c>
      <c r="BO474" s="2" t="n">
        <v>0</v>
      </c>
      <c r="BP474" s="2" t="n">
        <v>0</v>
      </c>
      <c r="BQ474" s="2" t="n">
        <v>0</v>
      </c>
      <c r="BR474" s="2" t="n">
        <v>0</v>
      </c>
      <c r="BS474" s="2" t="n">
        <v>0</v>
      </c>
      <c r="BT474" s="2" t="n">
        <v>0</v>
      </c>
      <c r="BU474" s="2" t="n">
        <v>0</v>
      </c>
      <c r="BV474" s="2" t="n">
        <v>0</v>
      </c>
      <c r="BW474" s="2" t="n">
        <v>0</v>
      </c>
      <c r="BX474" s="2" t="n">
        <v>0</v>
      </c>
      <c r="BY474" s="2" t="n">
        <v>0</v>
      </c>
      <c r="BZ474" s="2" t="n">
        <v>0</v>
      </c>
      <c r="CA474" s="2" t="n">
        <v>0</v>
      </c>
      <c r="CB474" s="2" t="n">
        <v>0</v>
      </c>
      <c r="CC474" s="2" t="n">
        <v>0</v>
      </c>
      <c r="CD474" s="2" t="n">
        <v>0</v>
      </c>
      <c r="CE474" s="2" t="n">
        <v>0</v>
      </c>
      <c r="CF474" s="2" t="n">
        <v>0</v>
      </c>
      <c r="CG474" s="2" t="n">
        <v>0</v>
      </c>
      <c r="CH474" s="2" t="n">
        <v>0</v>
      </c>
      <c r="CI474" s="2" t="n">
        <v>2.65</v>
      </c>
      <c r="CJ474" s="2" t="n">
        <v>3.97</v>
      </c>
      <c r="CK474" s="2" t="n">
        <v>0</v>
      </c>
      <c r="CL474" s="2" t="n">
        <v>8.199999999999999</v>
      </c>
      <c r="CM474" s="2" t="n">
        <v>9.52</v>
      </c>
      <c r="CN474" s="2" t="n">
        <v>0</v>
      </c>
      <c r="CO474" s="2" t="n">
        <v>13.49</v>
      </c>
      <c r="CP474" s="2" t="n">
        <v>17.2</v>
      </c>
      <c r="CQ474" s="2" t="n">
        <v>0</v>
      </c>
      <c r="CR474" s="2" t="n">
        <v>23.54</v>
      </c>
      <c r="CS474" s="2" t="n">
        <v>24.87</v>
      </c>
      <c r="CT474" s="2" t="n">
        <v>0</v>
      </c>
      <c r="CU474" s="2" t="n">
        <v>27.78</v>
      </c>
      <c r="CV474" s="2" t="n">
        <v>30.53</v>
      </c>
      <c r="CW474" s="2" t="n">
        <v>0</v>
      </c>
      <c r="CX474" s="2" t="n">
        <v>35</v>
      </c>
      <c r="CY474" s="2" t="n">
        <v>37.04</v>
      </c>
      <c r="CZ474" s="2" t="n">
        <v>0</v>
      </c>
      <c r="DA474" s="2" t="n">
        <v>41.27</v>
      </c>
      <c r="DB474" s="2" t="n">
        <v>43.54</v>
      </c>
      <c r="DC474" s="2" t="n">
        <v>0</v>
      </c>
      <c r="DD474" s="2" t="n">
        <v>54.32</v>
      </c>
      <c r="DE474" s="2" t="n">
        <v>56.56</v>
      </c>
      <c r="DF474" s="2" t="n">
        <v>0</v>
      </c>
      <c r="DG474" s="2" t="n">
        <v>63.54</v>
      </c>
      <c r="DH474" s="2" t="n">
        <v>65.38</v>
      </c>
      <c r="DI474" s="2" t="n">
        <v>0</v>
      </c>
      <c r="DJ474" s="2" t="n">
        <v>72.54000000000001</v>
      </c>
      <c r="DK474" s="2" t="n">
        <v>81.36</v>
      </c>
      <c r="DL474" s="2" t="n">
        <v>0</v>
      </c>
      <c r="DM474" s="2" t="n">
        <v>86.23999999999999</v>
      </c>
      <c r="DN474" s="2" t="n">
        <v>94.76000000000001</v>
      </c>
      <c r="DO474" s="2" t="n">
        <v>0</v>
      </c>
      <c r="DP474" s="2" t="n">
        <v>97.45999999999999</v>
      </c>
      <c r="DQ474" s="2" t="n">
        <v>97.62</v>
      </c>
      <c r="DR474" s="2" t="n">
        <v>0</v>
      </c>
      <c r="DS474" s="2" t="n">
        <v>98.41</v>
      </c>
      <c r="DT474" s="2" t="n">
        <v>99.73999999999999</v>
      </c>
      <c r="DU474" s="2" t="n">
        <v>0</v>
      </c>
      <c r="DV474" s="2" t="n">
        <v>100</v>
      </c>
      <c r="DW474" s="2" t="n">
        <v>100</v>
      </c>
      <c r="DX474" s="2" t="n">
        <v>0</v>
      </c>
      <c r="DY474" s="2" t="n">
        <v>100</v>
      </c>
      <c r="DZ474" s="2" t="n">
        <v>100</v>
      </c>
      <c r="EA474" s="2" t="n">
        <v>0</v>
      </c>
      <c r="EB474" s="2" t="n">
        <v>100</v>
      </c>
      <c r="EC474" s="2" t="n">
        <v>100</v>
      </c>
      <c r="ED474" s="2" t="n">
        <v>0</v>
      </c>
      <c r="EE474" s="2" t="n">
        <v>100</v>
      </c>
      <c r="EF474" s="2" t="n">
        <v>100</v>
      </c>
      <c r="EG474" s="2" t="n">
        <v>0</v>
      </c>
      <c r="EH474" s="2" t="n">
        <v>100</v>
      </c>
      <c r="EI474" s="2" t="n">
        <v>100</v>
      </c>
      <c r="EJ474" s="2" t="n">
        <v>0</v>
      </c>
      <c r="EK474" s="2" t="n">
        <v>100</v>
      </c>
      <c r="EL474" s="2" t="n">
        <v>100</v>
      </c>
      <c r="EM474" s="2" t="n">
        <v>0</v>
      </c>
      <c r="EN474" s="2" t="n">
        <v>100</v>
      </c>
      <c r="EO474" s="2" t="n">
        <v>100</v>
      </c>
      <c r="EP474" s="2" t="n">
        <v>0</v>
      </c>
      <c r="EQ474" s="2" t="n">
        <v>100</v>
      </c>
      <c r="ER474" s="2" t="n">
        <v>100</v>
      </c>
      <c r="ES474" s="2" t="n">
        <v>0</v>
      </c>
    </row>
    <row r="475">
      <c r="A475" s="2" t="n">
        <v>3</v>
      </c>
      <c r="B475" s="2" t="inlineStr">
        <is>
          <t>19.11.06</t>
        </is>
      </c>
      <c r="C475" s="2" t="inlineStr">
        <is>
          <t>Barras de aço Ø8mm, para Ancoragem no topo da borda da piscina</t>
        </is>
      </c>
      <c r="D475" s="2" t="inlineStr">
        <is>
          <t>11/08/2027</t>
        </is>
      </c>
      <c r="E475" s="2" t="inlineStr">
        <is>
          <t>01/09/2028</t>
        </is>
      </c>
      <c r="F475" s="2" t="n">
        <v>4065.048135</v>
      </c>
      <c r="G475" s="2" t="n">
        <v>0</v>
      </c>
      <c r="H475" s="2" t="n">
        <v>4065.048135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  <c r="AN475" s="2" t="n">
        <v>0</v>
      </c>
      <c r="AO475" s="2" t="n">
        <v>0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n">
        <v>0</v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n">
        <v>0</v>
      </c>
      <c r="BI475" s="2" t="n">
        <v>0</v>
      </c>
      <c r="BJ475" s="2" t="n">
        <v>0</v>
      </c>
      <c r="BK475" s="2" t="n">
        <v>0</v>
      </c>
      <c r="BL475" s="2" t="n">
        <v>0</v>
      </c>
      <c r="BM475" s="2" t="n">
        <v>0</v>
      </c>
      <c r="BN475" s="2" t="n">
        <v>0</v>
      </c>
      <c r="BO475" s="2" t="n">
        <v>0</v>
      </c>
      <c r="BP475" s="2" t="n">
        <v>0</v>
      </c>
      <c r="BQ475" s="2" t="n">
        <v>0</v>
      </c>
      <c r="BR475" s="2" t="n">
        <v>0</v>
      </c>
      <c r="BS475" s="2" t="n">
        <v>0</v>
      </c>
      <c r="BT475" s="2" t="n">
        <v>0</v>
      </c>
      <c r="BU475" s="2" t="n">
        <v>0</v>
      </c>
      <c r="BV475" s="2" t="n">
        <v>0</v>
      </c>
      <c r="BW475" s="2" t="n">
        <v>0</v>
      </c>
      <c r="BX475" s="2" t="n">
        <v>0</v>
      </c>
      <c r="BY475" s="2" t="n">
        <v>0</v>
      </c>
      <c r="BZ475" s="2" t="n">
        <v>0</v>
      </c>
      <c r="CA475" s="2" t="n">
        <v>0</v>
      </c>
      <c r="CB475" s="2" t="n">
        <v>0</v>
      </c>
      <c r="CC475" s="2" t="n">
        <v>0</v>
      </c>
      <c r="CD475" s="2" t="n">
        <v>0</v>
      </c>
      <c r="CE475" s="2" t="n">
        <v>0</v>
      </c>
      <c r="CF475" s="2" t="n">
        <v>0</v>
      </c>
      <c r="CG475" s="2" t="n">
        <v>0</v>
      </c>
      <c r="CH475" s="2" t="n">
        <v>0</v>
      </c>
      <c r="CI475" s="2" t="n">
        <v>2.65</v>
      </c>
      <c r="CJ475" s="2" t="n">
        <v>3.97</v>
      </c>
      <c r="CK475" s="2" t="n">
        <v>0</v>
      </c>
      <c r="CL475" s="2" t="n">
        <v>8.199999999999999</v>
      </c>
      <c r="CM475" s="2" t="n">
        <v>9.52</v>
      </c>
      <c r="CN475" s="2" t="n">
        <v>0</v>
      </c>
      <c r="CO475" s="2" t="n">
        <v>13.49</v>
      </c>
      <c r="CP475" s="2" t="n">
        <v>17.2</v>
      </c>
      <c r="CQ475" s="2" t="n">
        <v>0</v>
      </c>
      <c r="CR475" s="2" t="n">
        <v>23.54</v>
      </c>
      <c r="CS475" s="2" t="n">
        <v>24.87</v>
      </c>
      <c r="CT475" s="2" t="n">
        <v>0</v>
      </c>
      <c r="CU475" s="2" t="n">
        <v>27.78</v>
      </c>
      <c r="CV475" s="2" t="n">
        <v>30.53</v>
      </c>
      <c r="CW475" s="2" t="n">
        <v>0</v>
      </c>
      <c r="CX475" s="2" t="n">
        <v>35</v>
      </c>
      <c r="CY475" s="2" t="n">
        <v>37.04</v>
      </c>
      <c r="CZ475" s="2" t="n">
        <v>0</v>
      </c>
      <c r="DA475" s="2" t="n">
        <v>41.27</v>
      </c>
      <c r="DB475" s="2" t="n">
        <v>43.54</v>
      </c>
      <c r="DC475" s="2" t="n">
        <v>0</v>
      </c>
      <c r="DD475" s="2" t="n">
        <v>54.32</v>
      </c>
      <c r="DE475" s="2" t="n">
        <v>56.56</v>
      </c>
      <c r="DF475" s="2" t="n">
        <v>0</v>
      </c>
      <c r="DG475" s="2" t="n">
        <v>63.54</v>
      </c>
      <c r="DH475" s="2" t="n">
        <v>65.38</v>
      </c>
      <c r="DI475" s="2" t="n">
        <v>0</v>
      </c>
      <c r="DJ475" s="2" t="n">
        <v>72.54000000000001</v>
      </c>
      <c r="DK475" s="2" t="n">
        <v>81.36</v>
      </c>
      <c r="DL475" s="2" t="n">
        <v>0</v>
      </c>
      <c r="DM475" s="2" t="n">
        <v>86.23999999999999</v>
      </c>
      <c r="DN475" s="2" t="n">
        <v>94.76000000000001</v>
      </c>
      <c r="DO475" s="2" t="n">
        <v>0</v>
      </c>
      <c r="DP475" s="2" t="n">
        <v>97.45999999999999</v>
      </c>
      <c r="DQ475" s="2" t="n">
        <v>97.62</v>
      </c>
      <c r="DR475" s="2" t="n">
        <v>0</v>
      </c>
      <c r="DS475" s="2" t="n">
        <v>98.41</v>
      </c>
      <c r="DT475" s="2" t="n">
        <v>99.73999999999999</v>
      </c>
      <c r="DU475" s="2" t="n">
        <v>0</v>
      </c>
      <c r="DV475" s="2" t="n">
        <v>100</v>
      </c>
      <c r="DW475" s="2" t="n">
        <v>100</v>
      </c>
      <c r="DX475" s="2" t="n">
        <v>0</v>
      </c>
      <c r="DY475" s="2" t="n">
        <v>100</v>
      </c>
      <c r="DZ475" s="2" t="n">
        <v>100</v>
      </c>
      <c r="EA475" s="2" t="n">
        <v>0</v>
      </c>
      <c r="EB475" s="2" t="n">
        <v>100</v>
      </c>
      <c r="EC475" s="2" t="n">
        <v>100</v>
      </c>
      <c r="ED475" s="2" t="n">
        <v>0</v>
      </c>
      <c r="EE475" s="2" t="n">
        <v>100</v>
      </c>
      <c r="EF475" s="2" t="n">
        <v>100</v>
      </c>
      <c r="EG475" s="2" t="n">
        <v>0</v>
      </c>
      <c r="EH475" s="2" t="n">
        <v>100</v>
      </c>
      <c r="EI475" s="2" t="n">
        <v>100</v>
      </c>
      <c r="EJ475" s="2" t="n">
        <v>0</v>
      </c>
      <c r="EK475" s="2" t="n">
        <v>100</v>
      </c>
      <c r="EL475" s="2" t="n">
        <v>100</v>
      </c>
      <c r="EM475" s="2" t="n">
        <v>0</v>
      </c>
      <c r="EN475" s="2" t="n">
        <v>100</v>
      </c>
      <c r="EO475" s="2" t="n">
        <v>100</v>
      </c>
      <c r="EP475" s="2" t="n">
        <v>0</v>
      </c>
      <c r="EQ475" s="2" t="n">
        <v>100</v>
      </c>
      <c r="ER475" s="2" t="n">
        <v>100</v>
      </c>
      <c r="ES475" s="2" t="n">
        <v>0</v>
      </c>
    </row>
    <row r="476">
      <c r="A476" s="2" t="n">
        <v>3</v>
      </c>
      <c r="B476" s="2" t="inlineStr">
        <is>
          <t>19.11.07</t>
        </is>
      </c>
      <c r="C476" s="2" t="inlineStr">
        <is>
          <t>Piscina adulto| infantil e prainha</t>
        </is>
      </c>
      <c r="D476" s="2" t="inlineStr">
        <is>
          <t>11/08/2027</t>
        </is>
      </c>
      <c r="E476" s="2" t="inlineStr">
        <is>
          <t>01/09/2028</t>
        </is>
      </c>
      <c r="F476" s="2" t="n">
        <v>46589.5286745</v>
      </c>
      <c r="G476" s="2" t="n">
        <v>0</v>
      </c>
      <c r="H476" s="2" t="n">
        <v>46589.5286745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  <c r="AN476" s="2" t="n">
        <v>0</v>
      </c>
      <c r="AO476" s="2" t="n">
        <v>0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n">
        <v>0</v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n">
        <v>0</v>
      </c>
      <c r="BI476" s="2" t="n">
        <v>0</v>
      </c>
      <c r="BJ476" s="2" t="n">
        <v>0</v>
      </c>
      <c r="BK476" s="2" t="n">
        <v>0</v>
      </c>
      <c r="BL476" s="2" t="n">
        <v>0</v>
      </c>
      <c r="BM476" s="2" t="n">
        <v>0</v>
      </c>
      <c r="BN476" s="2" t="n">
        <v>0</v>
      </c>
      <c r="BO476" s="2" t="n">
        <v>0</v>
      </c>
      <c r="BP476" s="2" t="n">
        <v>0</v>
      </c>
      <c r="BQ476" s="2" t="n">
        <v>0</v>
      </c>
      <c r="BR476" s="2" t="n">
        <v>0</v>
      </c>
      <c r="BS476" s="2" t="n">
        <v>0</v>
      </c>
      <c r="BT476" s="2" t="n">
        <v>0</v>
      </c>
      <c r="BU476" s="2" t="n">
        <v>0</v>
      </c>
      <c r="BV476" s="2" t="n">
        <v>0</v>
      </c>
      <c r="BW476" s="2" t="n">
        <v>0</v>
      </c>
      <c r="BX476" s="2" t="n">
        <v>0</v>
      </c>
      <c r="BY476" s="2" t="n">
        <v>0</v>
      </c>
      <c r="BZ476" s="2" t="n">
        <v>0</v>
      </c>
      <c r="CA476" s="2" t="n">
        <v>0</v>
      </c>
      <c r="CB476" s="2" t="n">
        <v>0</v>
      </c>
      <c r="CC476" s="2" t="n">
        <v>0</v>
      </c>
      <c r="CD476" s="2" t="n">
        <v>0</v>
      </c>
      <c r="CE476" s="2" t="n">
        <v>0</v>
      </c>
      <c r="CF476" s="2" t="n">
        <v>0</v>
      </c>
      <c r="CG476" s="2" t="n">
        <v>0</v>
      </c>
      <c r="CH476" s="2" t="n">
        <v>0</v>
      </c>
      <c r="CI476" s="2" t="n">
        <v>2.65</v>
      </c>
      <c r="CJ476" s="2" t="n">
        <v>3.97</v>
      </c>
      <c r="CK476" s="2" t="n">
        <v>0</v>
      </c>
      <c r="CL476" s="2" t="n">
        <v>8.199999999999999</v>
      </c>
      <c r="CM476" s="2" t="n">
        <v>9.52</v>
      </c>
      <c r="CN476" s="2" t="n">
        <v>0</v>
      </c>
      <c r="CO476" s="2" t="n">
        <v>13.49</v>
      </c>
      <c r="CP476" s="2" t="n">
        <v>17.2</v>
      </c>
      <c r="CQ476" s="2" t="n">
        <v>0</v>
      </c>
      <c r="CR476" s="2" t="n">
        <v>23.54</v>
      </c>
      <c r="CS476" s="2" t="n">
        <v>24.87</v>
      </c>
      <c r="CT476" s="2" t="n">
        <v>0</v>
      </c>
      <c r="CU476" s="2" t="n">
        <v>27.78</v>
      </c>
      <c r="CV476" s="2" t="n">
        <v>30.53</v>
      </c>
      <c r="CW476" s="2" t="n">
        <v>0</v>
      </c>
      <c r="CX476" s="2" t="n">
        <v>35</v>
      </c>
      <c r="CY476" s="2" t="n">
        <v>37.04</v>
      </c>
      <c r="CZ476" s="2" t="n">
        <v>0</v>
      </c>
      <c r="DA476" s="2" t="n">
        <v>41.27</v>
      </c>
      <c r="DB476" s="2" t="n">
        <v>43.54</v>
      </c>
      <c r="DC476" s="2" t="n">
        <v>0</v>
      </c>
      <c r="DD476" s="2" t="n">
        <v>54.32</v>
      </c>
      <c r="DE476" s="2" t="n">
        <v>56.56</v>
      </c>
      <c r="DF476" s="2" t="n">
        <v>0</v>
      </c>
      <c r="DG476" s="2" t="n">
        <v>63.54</v>
      </c>
      <c r="DH476" s="2" t="n">
        <v>65.38</v>
      </c>
      <c r="DI476" s="2" t="n">
        <v>0</v>
      </c>
      <c r="DJ476" s="2" t="n">
        <v>72.54000000000001</v>
      </c>
      <c r="DK476" s="2" t="n">
        <v>81.36</v>
      </c>
      <c r="DL476" s="2" t="n">
        <v>0</v>
      </c>
      <c r="DM476" s="2" t="n">
        <v>86.23999999999999</v>
      </c>
      <c r="DN476" s="2" t="n">
        <v>94.76000000000001</v>
      </c>
      <c r="DO476" s="2" t="n">
        <v>0</v>
      </c>
      <c r="DP476" s="2" t="n">
        <v>97.45999999999999</v>
      </c>
      <c r="DQ476" s="2" t="n">
        <v>97.62</v>
      </c>
      <c r="DR476" s="2" t="n">
        <v>0</v>
      </c>
      <c r="DS476" s="2" t="n">
        <v>98.41</v>
      </c>
      <c r="DT476" s="2" t="n">
        <v>99.73999999999999</v>
      </c>
      <c r="DU476" s="2" t="n">
        <v>0</v>
      </c>
      <c r="DV476" s="2" t="n">
        <v>100</v>
      </c>
      <c r="DW476" s="2" t="n">
        <v>100</v>
      </c>
      <c r="DX476" s="2" t="n">
        <v>0</v>
      </c>
      <c r="DY476" s="2" t="n">
        <v>100</v>
      </c>
      <c r="DZ476" s="2" t="n">
        <v>100</v>
      </c>
      <c r="EA476" s="2" t="n">
        <v>0</v>
      </c>
      <c r="EB476" s="2" t="n">
        <v>100</v>
      </c>
      <c r="EC476" s="2" t="n">
        <v>100</v>
      </c>
      <c r="ED476" s="2" t="n">
        <v>0</v>
      </c>
      <c r="EE476" s="2" t="n">
        <v>100</v>
      </c>
      <c r="EF476" s="2" t="n">
        <v>100</v>
      </c>
      <c r="EG476" s="2" t="n">
        <v>0</v>
      </c>
      <c r="EH476" s="2" t="n">
        <v>100</v>
      </c>
      <c r="EI476" s="2" t="n">
        <v>100</v>
      </c>
      <c r="EJ476" s="2" t="n">
        <v>0</v>
      </c>
      <c r="EK476" s="2" t="n">
        <v>100</v>
      </c>
      <c r="EL476" s="2" t="n">
        <v>100</v>
      </c>
      <c r="EM476" s="2" t="n">
        <v>0</v>
      </c>
      <c r="EN476" s="2" t="n">
        <v>100</v>
      </c>
      <c r="EO476" s="2" t="n">
        <v>100</v>
      </c>
      <c r="EP476" s="2" t="n">
        <v>0</v>
      </c>
      <c r="EQ476" s="2" t="n">
        <v>100</v>
      </c>
      <c r="ER476" s="2" t="n">
        <v>100</v>
      </c>
      <c r="ES476" s="2" t="n">
        <v>0</v>
      </c>
    </row>
    <row r="477">
      <c r="A477" s="2" t="n">
        <v>3</v>
      </c>
      <c r="B477" s="2" t="inlineStr">
        <is>
          <t>19.11.08</t>
        </is>
      </c>
      <c r="C477" s="2" t="inlineStr">
        <is>
          <t>Impermabilização de ralos</t>
        </is>
      </c>
      <c r="D477" s="2" t="inlineStr">
        <is>
          <t>11/08/2027</t>
        </is>
      </c>
      <c r="E477" s="2" t="inlineStr">
        <is>
          <t>01/09/2028</t>
        </is>
      </c>
      <c r="F477" s="2" t="n">
        <v>431.9756970044054</v>
      </c>
      <c r="G477" s="2" t="n">
        <v>0</v>
      </c>
      <c r="H477" s="2" t="n">
        <v>431.9756970044054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0</v>
      </c>
      <c r="AM477" s="2" t="n">
        <v>0</v>
      </c>
      <c r="AN477" s="2" t="n">
        <v>0</v>
      </c>
      <c r="AO477" s="2" t="n">
        <v>0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n">
        <v>0</v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n">
        <v>0</v>
      </c>
      <c r="BI477" s="2" t="n">
        <v>0</v>
      </c>
      <c r="BJ477" s="2" t="n">
        <v>0</v>
      </c>
      <c r="BK477" s="2" t="n">
        <v>0</v>
      </c>
      <c r="BL477" s="2" t="n">
        <v>0</v>
      </c>
      <c r="BM477" s="2" t="n">
        <v>0</v>
      </c>
      <c r="BN477" s="2" t="n">
        <v>0</v>
      </c>
      <c r="BO477" s="2" t="n">
        <v>0</v>
      </c>
      <c r="BP477" s="2" t="n">
        <v>0</v>
      </c>
      <c r="BQ477" s="2" t="n">
        <v>0</v>
      </c>
      <c r="BR477" s="2" t="n">
        <v>0</v>
      </c>
      <c r="BS477" s="2" t="n">
        <v>0</v>
      </c>
      <c r="BT477" s="2" t="n">
        <v>0</v>
      </c>
      <c r="BU477" s="2" t="n">
        <v>0</v>
      </c>
      <c r="BV477" s="2" t="n">
        <v>0</v>
      </c>
      <c r="BW477" s="2" t="n">
        <v>0</v>
      </c>
      <c r="BX477" s="2" t="n">
        <v>0</v>
      </c>
      <c r="BY477" s="2" t="n">
        <v>0</v>
      </c>
      <c r="BZ477" s="2" t="n">
        <v>0</v>
      </c>
      <c r="CA477" s="2" t="n">
        <v>0</v>
      </c>
      <c r="CB477" s="2" t="n">
        <v>0</v>
      </c>
      <c r="CC477" s="2" t="n">
        <v>0</v>
      </c>
      <c r="CD477" s="2" t="n">
        <v>0</v>
      </c>
      <c r="CE477" s="2" t="n">
        <v>0</v>
      </c>
      <c r="CF477" s="2" t="n">
        <v>0</v>
      </c>
      <c r="CG477" s="2" t="n">
        <v>0</v>
      </c>
      <c r="CH477" s="2" t="n">
        <v>0</v>
      </c>
      <c r="CI477" s="2" t="n">
        <v>2.65</v>
      </c>
      <c r="CJ477" s="2" t="n">
        <v>3.97</v>
      </c>
      <c r="CK477" s="2" t="n">
        <v>0</v>
      </c>
      <c r="CL477" s="2" t="n">
        <v>8.199999999999999</v>
      </c>
      <c r="CM477" s="2" t="n">
        <v>9.52</v>
      </c>
      <c r="CN477" s="2" t="n">
        <v>0</v>
      </c>
      <c r="CO477" s="2" t="n">
        <v>13.49</v>
      </c>
      <c r="CP477" s="2" t="n">
        <v>17.2</v>
      </c>
      <c r="CQ477" s="2" t="n">
        <v>0</v>
      </c>
      <c r="CR477" s="2" t="n">
        <v>23.54</v>
      </c>
      <c r="CS477" s="2" t="n">
        <v>24.87</v>
      </c>
      <c r="CT477" s="2" t="n">
        <v>0</v>
      </c>
      <c r="CU477" s="2" t="n">
        <v>27.78</v>
      </c>
      <c r="CV477" s="2" t="n">
        <v>30.53</v>
      </c>
      <c r="CW477" s="2" t="n">
        <v>0</v>
      </c>
      <c r="CX477" s="2" t="n">
        <v>35</v>
      </c>
      <c r="CY477" s="2" t="n">
        <v>37.04</v>
      </c>
      <c r="CZ477" s="2" t="n">
        <v>0</v>
      </c>
      <c r="DA477" s="2" t="n">
        <v>41.27</v>
      </c>
      <c r="DB477" s="2" t="n">
        <v>43.54</v>
      </c>
      <c r="DC477" s="2" t="n">
        <v>0</v>
      </c>
      <c r="DD477" s="2" t="n">
        <v>54.32</v>
      </c>
      <c r="DE477" s="2" t="n">
        <v>56.56</v>
      </c>
      <c r="DF477" s="2" t="n">
        <v>0</v>
      </c>
      <c r="DG477" s="2" t="n">
        <v>63.54</v>
      </c>
      <c r="DH477" s="2" t="n">
        <v>65.38</v>
      </c>
      <c r="DI477" s="2" t="n">
        <v>0</v>
      </c>
      <c r="DJ477" s="2" t="n">
        <v>72.54000000000001</v>
      </c>
      <c r="DK477" s="2" t="n">
        <v>81.36</v>
      </c>
      <c r="DL477" s="2" t="n">
        <v>0</v>
      </c>
      <c r="DM477" s="2" t="n">
        <v>86.23999999999999</v>
      </c>
      <c r="DN477" s="2" t="n">
        <v>94.76000000000001</v>
      </c>
      <c r="DO477" s="2" t="n">
        <v>0</v>
      </c>
      <c r="DP477" s="2" t="n">
        <v>97.45999999999999</v>
      </c>
      <c r="DQ477" s="2" t="n">
        <v>97.62</v>
      </c>
      <c r="DR477" s="2" t="n">
        <v>0</v>
      </c>
      <c r="DS477" s="2" t="n">
        <v>98.41</v>
      </c>
      <c r="DT477" s="2" t="n">
        <v>99.73999999999999</v>
      </c>
      <c r="DU477" s="2" t="n">
        <v>0</v>
      </c>
      <c r="DV477" s="2" t="n">
        <v>100</v>
      </c>
      <c r="DW477" s="2" t="n">
        <v>100</v>
      </c>
      <c r="DX477" s="2" t="n">
        <v>0</v>
      </c>
      <c r="DY477" s="2" t="n">
        <v>100</v>
      </c>
      <c r="DZ477" s="2" t="n">
        <v>100</v>
      </c>
      <c r="EA477" s="2" t="n">
        <v>0</v>
      </c>
      <c r="EB477" s="2" t="n">
        <v>100</v>
      </c>
      <c r="EC477" s="2" t="n">
        <v>100</v>
      </c>
      <c r="ED477" s="2" t="n">
        <v>0</v>
      </c>
      <c r="EE477" s="2" t="n">
        <v>100</v>
      </c>
      <c r="EF477" s="2" t="n">
        <v>100</v>
      </c>
      <c r="EG477" s="2" t="n">
        <v>0</v>
      </c>
      <c r="EH477" s="2" t="n">
        <v>100</v>
      </c>
      <c r="EI477" s="2" t="n">
        <v>100</v>
      </c>
      <c r="EJ477" s="2" t="n">
        <v>0</v>
      </c>
      <c r="EK477" s="2" t="n">
        <v>100</v>
      </c>
      <c r="EL477" s="2" t="n">
        <v>100</v>
      </c>
      <c r="EM477" s="2" t="n">
        <v>0</v>
      </c>
      <c r="EN477" s="2" t="n">
        <v>100</v>
      </c>
      <c r="EO477" s="2" t="n">
        <v>100</v>
      </c>
      <c r="EP477" s="2" t="n">
        <v>0</v>
      </c>
      <c r="EQ477" s="2" t="n">
        <v>100</v>
      </c>
      <c r="ER477" s="2" t="n">
        <v>100</v>
      </c>
      <c r="ES477" s="2" t="n">
        <v>0</v>
      </c>
    </row>
    <row r="478">
      <c r="A478" s="2" t="n">
        <v>1</v>
      </c>
      <c r="B478" s="2" t="inlineStr">
        <is>
          <t>20</t>
        </is>
      </c>
      <c r="C478" s="2" t="inlineStr">
        <is>
          <t>INSTALAÇÕES ELÉTRICAS</t>
        </is>
      </c>
      <c r="D478" s="2" t="inlineStr">
        <is>
          <t>18/01/2027</t>
        </is>
      </c>
      <c r="E478" s="2" t="inlineStr">
        <is>
          <t>12/03/2029</t>
        </is>
      </c>
      <c r="F478" s="2" t="n">
        <v>11262626.67</v>
      </c>
      <c r="G478" s="2" t="n">
        <v>0</v>
      </c>
      <c r="H478" s="2" t="n">
        <v>11262626.67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0</v>
      </c>
      <c r="AM478" s="2" t="n">
        <v>0</v>
      </c>
      <c r="AN478" s="2" t="n">
        <v>0</v>
      </c>
      <c r="AO478" s="2" t="n">
        <v>0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n">
        <v>0</v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0</v>
      </c>
      <c r="BF478" s="2" t="n">
        <v>0</v>
      </c>
      <c r="BG478" s="2" t="n">
        <v>0</v>
      </c>
      <c r="BH478" s="2" t="n">
        <v>0</v>
      </c>
      <c r="BI478" s="2" t="n">
        <v>0</v>
      </c>
      <c r="BJ478" s="2" t="n">
        <v>0</v>
      </c>
      <c r="BK478" s="2" t="n">
        <v>0</v>
      </c>
      <c r="BL478" s="2" t="n">
        <v>0</v>
      </c>
      <c r="BM478" s="2" t="n">
        <v>0</v>
      </c>
      <c r="BN478" s="2" t="n">
        <v>0</v>
      </c>
      <c r="BO478" s="2" t="n">
        <v>2.78</v>
      </c>
      <c r="BP478" s="2" t="n">
        <v>0</v>
      </c>
      <c r="BQ478" s="2" t="n">
        <v>4.17</v>
      </c>
      <c r="BR478" s="2" t="n">
        <v>4.17</v>
      </c>
      <c r="BS478" s="2" t="n">
        <v>0</v>
      </c>
      <c r="BT478" s="2" t="n">
        <v>4.17</v>
      </c>
      <c r="BU478" s="2" t="n">
        <v>4.17</v>
      </c>
      <c r="BV478" s="2" t="n">
        <v>0</v>
      </c>
      <c r="BW478" s="2" t="n">
        <v>4.17</v>
      </c>
      <c r="BX478" s="2" t="n">
        <v>4.22</v>
      </c>
      <c r="BY478" s="2" t="n">
        <v>0</v>
      </c>
      <c r="BZ478" s="2" t="n">
        <v>5.08</v>
      </c>
      <c r="CA478" s="2" t="n">
        <v>5.36</v>
      </c>
      <c r="CB478" s="2" t="n">
        <v>0</v>
      </c>
      <c r="CC478" s="2" t="n">
        <v>6.42</v>
      </c>
      <c r="CD478" s="2" t="n">
        <v>6.88</v>
      </c>
      <c r="CE478" s="2" t="n">
        <v>0</v>
      </c>
      <c r="CF478" s="2" t="n">
        <v>9.06</v>
      </c>
      <c r="CG478" s="2" t="n">
        <v>10.34</v>
      </c>
      <c r="CH478" s="2" t="n">
        <v>0</v>
      </c>
      <c r="CI478" s="2" t="n">
        <v>12.66</v>
      </c>
      <c r="CJ478" s="2" t="n">
        <v>13.32</v>
      </c>
      <c r="CK478" s="2" t="n">
        <v>0</v>
      </c>
      <c r="CL478" s="2" t="n">
        <v>14.61</v>
      </c>
      <c r="CM478" s="2" t="n">
        <v>15.84</v>
      </c>
      <c r="CN478" s="2" t="n">
        <v>0</v>
      </c>
      <c r="CO478" s="2" t="n">
        <v>18.74</v>
      </c>
      <c r="CP478" s="2" t="n">
        <v>20.04</v>
      </c>
      <c r="CQ478" s="2" t="n">
        <v>0</v>
      </c>
      <c r="CR478" s="2" t="n">
        <v>22.83</v>
      </c>
      <c r="CS478" s="2" t="n">
        <v>26.14</v>
      </c>
      <c r="CT478" s="2" t="n">
        <v>0</v>
      </c>
      <c r="CU478" s="2" t="n">
        <v>27.98</v>
      </c>
      <c r="CV478" s="2" t="n">
        <v>30.26</v>
      </c>
      <c r="CW478" s="2" t="n">
        <v>0</v>
      </c>
      <c r="CX478" s="2" t="n">
        <v>35.96</v>
      </c>
      <c r="CY478" s="2" t="n">
        <v>39.29</v>
      </c>
      <c r="CZ478" s="2" t="n">
        <v>0</v>
      </c>
      <c r="DA478" s="2" t="n">
        <v>47.32</v>
      </c>
      <c r="DB478" s="2" t="n">
        <v>49.99</v>
      </c>
      <c r="DC478" s="2" t="n">
        <v>0</v>
      </c>
      <c r="DD478" s="2" t="n">
        <v>53.94</v>
      </c>
      <c r="DE478" s="2" t="n">
        <v>56.15</v>
      </c>
      <c r="DF478" s="2" t="n">
        <v>0</v>
      </c>
      <c r="DG478" s="2" t="n">
        <v>57.83</v>
      </c>
      <c r="DH478" s="2" t="n">
        <v>59.98</v>
      </c>
      <c r="DI478" s="2" t="n">
        <v>0</v>
      </c>
      <c r="DJ478" s="2" t="n">
        <v>66.84</v>
      </c>
      <c r="DK478" s="2" t="n">
        <v>69.23</v>
      </c>
      <c r="DL478" s="2" t="n">
        <v>0</v>
      </c>
      <c r="DM478" s="2" t="n">
        <v>72.31</v>
      </c>
      <c r="DN478" s="2" t="n">
        <v>74.53</v>
      </c>
      <c r="DO478" s="2" t="n">
        <v>0</v>
      </c>
      <c r="DP478" s="2" t="n">
        <v>77.31</v>
      </c>
      <c r="DQ478" s="2" t="n">
        <v>78.92</v>
      </c>
      <c r="DR478" s="2" t="n">
        <v>0</v>
      </c>
      <c r="DS478" s="2" t="n">
        <v>83.54000000000001</v>
      </c>
      <c r="DT478" s="2" t="n">
        <v>84.83</v>
      </c>
      <c r="DU478" s="2" t="n">
        <v>0</v>
      </c>
      <c r="DV478" s="2" t="n">
        <v>85.77</v>
      </c>
      <c r="DW478" s="2" t="n">
        <v>87.3</v>
      </c>
      <c r="DX478" s="2" t="n">
        <v>0</v>
      </c>
      <c r="DY478" s="2" t="n">
        <v>89.19</v>
      </c>
      <c r="DZ478" s="2" t="n">
        <v>91.31</v>
      </c>
      <c r="EA478" s="2" t="n">
        <v>0</v>
      </c>
      <c r="EB478" s="2" t="n">
        <v>92.06</v>
      </c>
      <c r="EC478" s="2" t="n">
        <v>93.09999999999999</v>
      </c>
      <c r="ED478" s="2" t="n">
        <v>0</v>
      </c>
      <c r="EE478" s="2" t="n">
        <v>93.01000000000001</v>
      </c>
      <c r="EF478" s="2" t="n">
        <v>94.68000000000001</v>
      </c>
      <c r="EG478" s="2" t="n">
        <v>0</v>
      </c>
      <c r="EH478" s="2" t="n">
        <v>95.88</v>
      </c>
      <c r="EI478" s="2" t="n">
        <v>97.59999999999999</v>
      </c>
      <c r="EJ478" s="2" t="n">
        <v>0</v>
      </c>
      <c r="EK478" s="2" t="n">
        <v>98.34999999999999</v>
      </c>
      <c r="EL478" s="2" t="n">
        <v>99.91</v>
      </c>
      <c r="EM478" s="2" t="n">
        <v>0</v>
      </c>
      <c r="EN478" s="2" t="n">
        <v>100</v>
      </c>
      <c r="EO478" s="2" t="n">
        <v>100</v>
      </c>
      <c r="EP478" s="2" t="n">
        <v>0</v>
      </c>
      <c r="EQ478" s="2" t="n">
        <v>100</v>
      </c>
      <c r="ER478" s="2" t="n">
        <v>100</v>
      </c>
      <c r="ES478" s="2" t="n">
        <v>0</v>
      </c>
    </row>
    <row r="479">
      <c r="A479" s="2" t="n">
        <v>2</v>
      </c>
      <c r="B479" s="2" t="inlineStr">
        <is>
          <t>20.01</t>
        </is>
      </c>
      <c r="C479" s="2" t="inlineStr">
        <is>
          <t>Entrada e geração de energia</t>
        </is>
      </c>
      <c r="D479" s="2" t="inlineStr">
        <is>
          <t>18/01/2027</t>
        </is>
      </c>
      <c r="E479" s="2" t="inlineStr">
        <is>
          <t>01/03/2028</t>
        </is>
      </c>
      <c r="F479" s="2" t="n">
        <v>741626.67</v>
      </c>
      <c r="G479" s="2" t="n">
        <v>0</v>
      </c>
      <c r="H479" s="2" t="n">
        <v>741626.67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  <c r="AN479" s="2" t="n">
        <v>0</v>
      </c>
      <c r="AO479" s="2" t="n">
        <v>0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n">
        <v>0</v>
      </c>
      <c r="AZ479" s="2" t="n">
        <v>0</v>
      </c>
      <c r="BA479" s="2" t="n">
        <v>0</v>
      </c>
      <c r="BB479" s="2" t="n">
        <v>0</v>
      </c>
      <c r="BC479" s="2" t="n">
        <v>0</v>
      </c>
      <c r="BD479" s="2" t="n">
        <v>0</v>
      </c>
      <c r="BE479" s="2" t="n">
        <v>0</v>
      </c>
      <c r="BF479" s="2" t="n">
        <v>0</v>
      </c>
      <c r="BG479" s="2" t="n">
        <v>0</v>
      </c>
      <c r="BH479" s="2" t="n">
        <v>0</v>
      </c>
      <c r="BI479" s="2" t="n">
        <v>0</v>
      </c>
      <c r="BJ479" s="2" t="n">
        <v>0</v>
      </c>
      <c r="BK479" s="2" t="n">
        <v>0</v>
      </c>
      <c r="BL479" s="2" t="n">
        <v>0</v>
      </c>
      <c r="BM479" s="2" t="n">
        <v>0</v>
      </c>
      <c r="BN479" s="2" t="n">
        <v>0</v>
      </c>
      <c r="BO479" s="2" t="n">
        <v>6.67</v>
      </c>
      <c r="BP479" s="2" t="n">
        <v>0</v>
      </c>
      <c r="BQ479" s="2" t="n">
        <v>10</v>
      </c>
      <c r="BR479" s="2" t="n">
        <v>10</v>
      </c>
      <c r="BS479" s="2" t="n">
        <v>0</v>
      </c>
      <c r="BT479" s="2" t="n">
        <v>10</v>
      </c>
      <c r="BU479" s="2" t="n">
        <v>10</v>
      </c>
      <c r="BV479" s="2" t="n">
        <v>0</v>
      </c>
      <c r="BW479" s="2" t="n">
        <v>10</v>
      </c>
      <c r="BX479" s="2" t="n">
        <v>10</v>
      </c>
      <c r="BY479" s="2" t="n">
        <v>0</v>
      </c>
      <c r="BZ479" s="2" t="n">
        <v>10</v>
      </c>
      <c r="CA479" s="2" t="n">
        <v>10</v>
      </c>
      <c r="CB479" s="2" t="n">
        <v>0</v>
      </c>
      <c r="CC479" s="2" t="n">
        <v>10</v>
      </c>
      <c r="CD479" s="2" t="n">
        <v>10</v>
      </c>
      <c r="CE479" s="2" t="n">
        <v>0</v>
      </c>
      <c r="CF479" s="2" t="n">
        <v>10</v>
      </c>
      <c r="CG479" s="2" t="n">
        <v>10</v>
      </c>
      <c r="CH479" s="2" t="n">
        <v>0</v>
      </c>
      <c r="CI479" s="2" t="n">
        <v>10</v>
      </c>
      <c r="CJ479" s="2" t="n">
        <v>10</v>
      </c>
      <c r="CK479" s="2" t="n">
        <v>0</v>
      </c>
      <c r="CL479" s="2" t="n">
        <v>10</v>
      </c>
      <c r="CM479" s="2" t="n">
        <v>10</v>
      </c>
      <c r="CN479" s="2" t="n">
        <v>0</v>
      </c>
      <c r="CO479" s="2" t="n">
        <v>10</v>
      </c>
      <c r="CP479" s="2" t="n">
        <v>10</v>
      </c>
      <c r="CQ479" s="2" t="n">
        <v>0</v>
      </c>
      <c r="CR479" s="2" t="n">
        <v>10</v>
      </c>
      <c r="CS479" s="2" t="n">
        <v>10</v>
      </c>
      <c r="CT479" s="2" t="n">
        <v>0</v>
      </c>
      <c r="CU479" s="2" t="n">
        <v>10</v>
      </c>
      <c r="CV479" s="2" t="n">
        <v>10</v>
      </c>
      <c r="CW479" s="2" t="n">
        <v>0</v>
      </c>
      <c r="CX479" s="2" t="n">
        <v>37.27</v>
      </c>
      <c r="CY479" s="2" t="n">
        <v>40</v>
      </c>
      <c r="CZ479" s="2" t="n">
        <v>0</v>
      </c>
      <c r="DA479" s="2" t="n">
        <v>94.55</v>
      </c>
      <c r="DB479" s="2" t="n">
        <v>97.27</v>
      </c>
      <c r="DC479" s="2" t="n">
        <v>0</v>
      </c>
      <c r="DD479" s="2" t="n">
        <v>100</v>
      </c>
      <c r="DE479" s="2" t="n">
        <v>100</v>
      </c>
      <c r="DF479" s="2" t="n">
        <v>0</v>
      </c>
      <c r="DG479" s="2" t="n">
        <v>100</v>
      </c>
      <c r="DH479" s="2" t="n">
        <v>100</v>
      </c>
      <c r="DI479" s="2" t="n">
        <v>0</v>
      </c>
      <c r="DJ479" s="2" t="n">
        <v>100</v>
      </c>
      <c r="DK479" s="2" t="n">
        <v>100</v>
      </c>
      <c r="DL479" s="2" t="n">
        <v>0</v>
      </c>
      <c r="DM479" s="2" t="n">
        <v>100</v>
      </c>
      <c r="DN479" s="2" t="n">
        <v>100</v>
      </c>
      <c r="DO479" s="2" t="n">
        <v>0</v>
      </c>
      <c r="DP479" s="2" t="n">
        <v>100</v>
      </c>
      <c r="DQ479" s="2" t="n">
        <v>100</v>
      </c>
      <c r="DR479" s="2" t="n">
        <v>0</v>
      </c>
      <c r="DS479" s="2" t="n">
        <v>100</v>
      </c>
      <c r="DT479" s="2" t="n">
        <v>100</v>
      </c>
      <c r="DU479" s="2" t="n">
        <v>0</v>
      </c>
      <c r="DV479" s="2" t="n">
        <v>100</v>
      </c>
      <c r="DW479" s="2" t="n">
        <v>100</v>
      </c>
      <c r="DX479" s="2" t="n">
        <v>0</v>
      </c>
      <c r="DY479" s="2" t="n">
        <v>100</v>
      </c>
      <c r="DZ479" s="2" t="n">
        <v>100</v>
      </c>
      <c r="EA479" s="2" t="n">
        <v>0</v>
      </c>
      <c r="EB479" s="2" t="n">
        <v>100</v>
      </c>
      <c r="EC479" s="2" t="n">
        <v>100</v>
      </c>
      <c r="ED479" s="2" t="n">
        <v>0</v>
      </c>
      <c r="EE479" s="2" t="n">
        <v>100</v>
      </c>
      <c r="EF479" s="2" t="n">
        <v>100</v>
      </c>
      <c r="EG479" s="2" t="n">
        <v>0</v>
      </c>
      <c r="EH479" s="2" t="n">
        <v>100</v>
      </c>
      <c r="EI479" s="2" t="n">
        <v>100</v>
      </c>
      <c r="EJ479" s="2" t="n">
        <v>0</v>
      </c>
      <c r="EK479" s="2" t="n">
        <v>100</v>
      </c>
      <c r="EL479" s="2" t="n">
        <v>100</v>
      </c>
      <c r="EM479" s="2" t="n">
        <v>0</v>
      </c>
      <c r="EN479" s="2" t="n">
        <v>100</v>
      </c>
      <c r="EO479" s="2" t="n">
        <v>100</v>
      </c>
      <c r="EP479" s="2" t="n">
        <v>0</v>
      </c>
      <c r="EQ479" s="2" t="n">
        <v>100</v>
      </c>
      <c r="ER479" s="2" t="n">
        <v>100</v>
      </c>
      <c r="ES479" s="2" t="n">
        <v>0</v>
      </c>
    </row>
    <row r="480">
      <c r="A480" s="2" t="n">
        <v>3</v>
      </c>
      <c r="B480" s="2" t="inlineStr">
        <is>
          <t>20.01.01</t>
        </is>
      </c>
      <c r="C480" s="2" t="inlineStr">
        <is>
          <t>Transformadores</t>
        </is>
      </c>
      <c r="D480" s="2" t="inlineStr">
        <is>
          <t>18/01/2027</t>
        </is>
      </c>
      <c r="E480" s="2" t="inlineStr">
        <is>
          <t>01/03/2028</t>
        </is>
      </c>
      <c r="F480" s="2" t="n">
        <v>741626.67</v>
      </c>
      <c r="G480" s="2" t="n">
        <v>0</v>
      </c>
      <c r="H480" s="2" t="n">
        <v>741626.67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  <c r="AN480" s="2" t="n">
        <v>0</v>
      </c>
      <c r="AO480" s="2" t="n">
        <v>0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n">
        <v>0</v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n">
        <v>0</v>
      </c>
      <c r="BI480" s="2" t="n">
        <v>0</v>
      </c>
      <c r="BJ480" s="2" t="n">
        <v>0</v>
      </c>
      <c r="BK480" s="2" t="n">
        <v>0</v>
      </c>
      <c r="BL480" s="2" t="n">
        <v>0</v>
      </c>
      <c r="BM480" s="2" t="n">
        <v>0</v>
      </c>
      <c r="BN480" s="2" t="n">
        <v>0</v>
      </c>
      <c r="BO480" s="2" t="n">
        <v>6.67</v>
      </c>
      <c r="BP480" s="2" t="n">
        <v>0</v>
      </c>
      <c r="BQ480" s="2" t="n">
        <v>10</v>
      </c>
      <c r="BR480" s="2" t="n">
        <v>10</v>
      </c>
      <c r="BS480" s="2" t="n">
        <v>0</v>
      </c>
      <c r="BT480" s="2" t="n">
        <v>10</v>
      </c>
      <c r="BU480" s="2" t="n">
        <v>10</v>
      </c>
      <c r="BV480" s="2" t="n">
        <v>0</v>
      </c>
      <c r="BW480" s="2" t="n">
        <v>10</v>
      </c>
      <c r="BX480" s="2" t="n">
        <v>10</v>
      </c>
      <c r="BY480" s="2" t="n">
        <v>0</v>
      </c>
      <c r="BZ480" s="2" t="n">
        <v>10</v>
      </c>
      <c r="CA480" s="2" t="n">
        <v>10</v>
      </c>
      <c r="CB480" s="2" t="n">
        <v>0</v>
      </c>
      <c r="CC480" s="2" t="n">
        <v>10</v>
      </c>
      <c r="CD480" s="2" t="n">
        <v>10</v>
      </c>
      <c r="CE480" s="2" t="n">
        <v>0</v>
      </c>
      <c r="CF480" s="2" t="n">
        <v>10</v>
      </c>
      <c r="CG480" s="2" t="n">
        <v>10</v>
      </c>
      <c r="CH480" s="2" t="n">
        <v>0</v>
      </c>
      <c r="CI480" s="2" t="n">
        <v>10</v>
      </c>
      <c r="CJ480" s="2" t="n">
        <v>10</v>
      </c>
      <c r="CK480" s="2" t="n">
        <v>0</v>
      </c>
      <c r="CL480" s="2" t="n">
        <v>10</v>
      </c>
      <c r="CM480" s="2" t="n">
        <v>10</v>
      </c>
      <c r="CN480" s="2" t="n">
        <v>0</v>
      </c>
      <c r="CO480" s="2" t="n">
        <v>10</v>
      </c>
      <c r="CP480" s="2" t="n">
        <v>10</v>
      </c>
      <c r="CQ480" s="2" t="n">
        <v>0</v>
      </c>
      <c r="CR480" s="2" t="n">
        <v>10</v>
      </c>
      <c r="CS480" s="2" t="n">
        <v>10</v>
      </c>
      <c r="CT480" s="2" t="n">
        <v>0</v>
      </c>
      <c r="CU480" s="2" t="n">
        <v>10</v>
      </c>
      <c r="CV480" s="2" t="n">
        <v>10</v>
      </c>
      <c r="CW480" s="2" t="n">
        <v>0</v>
      </c>
      <c r="CX480" s="2" t="n">
        <v>37.27</v>
      </c>
      <c r="CY480" s="2" t="n">
        <v>40</v>
      </c>
      <c r="CZ480" s="2" t="n">
        <v>0</v>
      </c>
      <c r="DA480" s="2" t="n">
        <v>94.55</v>
      </c>
      <c r="DB480" s="2" t="n">
        <v>97.27</v>
      </c>
      <c r="DC480" s="2" t="n">
        <v>0</v>
      </c>
      <c r="DD480" s="2" t="n">
        <v>100</v>
      </c>
      <c r="DE480" s="2" t="n">
        <v>100</v>
      </c>
      <c r="DF480" s="2" t="n">
        <v>0</v>
      </c>
      <c r="DG480" s="2" t="n">
        <v>100</v>
      </c>
      <c r="DH480" s="2" t="n">
        <v>100</v>
      </c>
      <c r="DI480" s="2" t="n">
        <v>0</v>
      </c>
      <c r="DJ480" s="2" t="n">
        <v>100</v>
      </c>
      <c r="DK480" s="2" t="n">
        <v>100</v>
      </c>
      <c r="DL480" s="2" t="n">
        <v>0</v>
      </c>
      <c r="DM480" s="2" t="n">
        <v>100</v>
      </c>
      <c r="DN480" s="2" t="n">
        <v>100</v>
      </c>
      <c r="DO480" s="2" t="n">
        <v>0</v>
      </c>
      <c r="DP480" s="2" t="n">
        <v>100</v>
      </c>
      <c r="DQ480" s="2" t="n">
        <v>100</v>
      </c>
      <c r="DR480" s="2" t="n">
        <v>0</v>
      </c>
      <c r="DS480" s="2" t="n">
        <v>100</v>
      </c>
      <c r="DT480" s="2" t="n">
        <v>100</v>
      </c>
      <c r="DU480" s="2" t="n">
        <v>0</v>
      </c>
      <c r="DV480" s="2" t="n">
        <v>100</v>
      </c>
      <c r="DW480" s="2" t="n">
        <v>100</v>
      </c>
      <c r="DX480" s="2" t="n">
        <v>0</v>
      </c>
      <c r="DY480" s="2" t="n">
        <v>100</v>
      </c>
      <c r="DZ480" s="2" t="n">
        <v>100</v>
      </c>
      <c r="EA480" s="2" t="n">
        <v>0</v>
      </c>
      <c r="EB480" s="2" t="n">
        <v>100</v>
      </c>
      <c r="EC480" s="2" t="n">
        <v>100</v>
      </c>
      <c r="ED480" s="2" t="n">
        <v>0</v>
      </c>
      <c r="EE480" s="2" t="n">
        <v>100</v>
      </c>
      <c r="EF480" s="2" t="n">
        <v>100</v>
      </c>
      <c r="EG480" s="2" t="n">
        <v>0</v>
      </c>
      <c r="EH480" s="2" t="n">
        <v>100</v>
      </c>
      <c r="EI480" s="2" t="n">
        <v>100</v>
      </c>
      <c r="EJ480" s="2" t="n">
        <v>0</v>
      </c>
      <c r="EK480" s="2" t="n">
        <v>100</v>
      </c>
      <c r="EL480" s="2" t="n">
        <v>100</v>
      </c>
      <c r="EM480" s="2" t="n">
        <v>0</v>
      </c>
      <c r="EN480" s="2" t="n">
        <v>100</v>
      </c>
      <c r="EO480" s="2" t="n">
        <v>100</v>
      </c>
      <c r="EP480" s="2" t="n">
        <v>0</v>
      </c>
      <c r="EQ480" s="2" t="n">
        <v>100</v>
      </c>
      <c r="ER480" s="2" t="n">
        <v>100</v>
      </c>
      <c r="ES480" s="2" t="n">
        <v>0</v>
      </c>
    </row>
    <row r="481">
      <c r="A481" s="2" t="n">
        <v>2</v>
      </c>
      <c r="B481" s="2" t="inlineStr">
        <is>
          <t>20.02</t>
        </is>
      </c>
      <c r="C481" s="2" t="inlineStr">
        <is>
          <t>Instalações Elétricas Prediais de Baixa Tensão</t>
        </is>
      </c>
      <c r="D481" s="2" t="inlineStr">
        <is>
          <t>18/01/2027</t>
        </is>
      </c>
      <c r="E481" s="2" t="inlineStr">
        <is>
          <t>12/03/2029</t>
        </is>
      </c>
      <c r="F481" s="2" t="n">
        <v>8416800</v>
      </c>
      <c r="G481" s="2" t="n">
        <v>0</v>
      </c>
      <c r="H481" s="2" t="n">
        <v>8416800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0</v>
      </c>
      <c r="AM481" s="2" t="n">
        <v>0</v>
      </c>
      <c r="AN481" s="2" t="n">
        <v>0</v>
      </c>
      <c r="AO481" s="2" t="n">
        <v>0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n">
        <v>0</v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n">
        <v>0</v>
      </c>
      <c r="BI481" s="2" t="n">
        <v>0</v>
      </c>
      <c r="BJ481" s="2" t="n">
        <v>0</v>
      </c>
      <c r="BK481" s="2" t="n">
        <v>0</v>
      </c>
      <c r="BL481" s="2" t="n">
        <v>0</v>
      </c>
      <c r="BM481" s="2" t="n">
        <v>0</v>
      </c>
      <c r="BN481" s="2" t="n">
        <v>0</v>
      </c>
      <c r="BO481" s="2" t="n">
        <v>3.13</v>
      </c>
      <c r="BP481" s="2" t="n">
        <v>0</v>
      </c>
      <c r="BQ481" s="2" t="n">
        <v>4.69</v>
      </c>
      <c r="BR481" s="2" t="n">
        <v>4.69</v>
      </c>
      <c r="BS481" s="2" t="n">
        <v>0</v>
      </c>
      <c r="BT481" s="2" t="n">
        <v>4.69</v>
      </c>
      <c r="BU481" s="2" t="n">
        <v>4.69</v>
      </c>
      <c r="BV481" s="2" t="n">
        <v>0</v>
      </c>
      <c r="BW481" s="2" t="n">
        <v>4.69</v>
      </c>
      <c r="BX481" s="2" t="n">
        <v>4.77</v>
      </c>
      <c r="BY481" s="2" t="n">
        <v>0</v>
      </c>
      <c r="BZ481" s="2" t="n">
        <v>5.91</v>
      </c>
      <c r="CA481" s="2" t="n">
        <v>6.29</v>
      </c>
      <c r="CB481" s="2" t="n">
        <v>0</v>
      </c>
      <c r="CC481" s="2" t="n">
        <v>7.71</v>
      </c>
      <c r="CD481" s="2" t="n">
        <v>8.33</v>
      </c>
      <c r="CE481" s="2" t="n">
        <v>0</v>
      </c>
      <c r="CF481" s="2" t="n">
        <v>11.25</v>
      </c>
      <c r="CG481" s="2" t="n">
        <v>12.95</v>
      </c>
      <c r="CH481" s="2" t="n">
        <v>0</v>
      </c>
      <c r="CI481" s="2" t="n">
        <v>16.06</v>
      </c>
      <c r="CJ481" s="2" t="n">
        <v>16.94</v>
      </c>
      <c r="CK481" s="2" t="n">
        <v>0</v>
      </c>
      <c r="CL481" s="2" t="n">
        <v>18.66</v>
      </c>
      <c r="CM481" s="2" t="n">
        <v>20.31</v>
      </c>
      <c r="CN481" s="2" t="n">
        <v>0</v>
      </c>
      <c r="CO481" s="2" t="n">
        <v>23.42</v>
      </c>
      <c r="CP481" s="2" t="n">
        <v>24.86</v>
      </c>
      <c r="CQ481" s="2" t="n">
        <v>0</v>
      </c>
      <c r="CR481" s="2" t="n">
        <v>27.82</v>
      </c>
      <c r="CS481" s="2" t="n">
        <v>30.68</v>
      </c>
      <c r="CT481" s="2" t="n">
        <v>0</v>
      </c>
      <c r="CU481" s="2" t="n">
        <v>32.55</v>
      </c>
      <c r="CV481" s="2" t="n">
        <v>35.31</v>
      </c>
      <c r="CW481" s="2" t="n">
        <v>0</v>
      </c>
      <c r="CX481" s="2" t="n">
        <v>38.75</v>
      </c>
      <c r="CY481" s="2" t="n">
        <v>41.58</v>
      </c>
      <c r="CZ481" s="2" t="n">
        <v>0</v>
      </c>
      <c r="DA481" s="2" t="n">
        <v>45.74</v>
      </c>
      <c r="DB481" s="2" t="n">
        <v>48.57</v>
      </c>
      <c r="DC481" s="2" t="n">
        <v>0</v>
      </c>
      <c r="DD481" s="2" t="n">
        <v>52.65</v>
      </c>
      <c r="DE481" s="2" t="n">
        <v>54.41</v>
      </c>
      <c r="DF481" s="2" t="n">
        <v>0</v>
      </c>
      <c r="DG481" s="2" t="n">
        <v>56.24</v>
      </c>
      <c r="DH481" s="2" t="n">
        <v>58.19</v>
      </c>
      <c r="DI481" s="2" t="n">
        <v>0</v>
      </c>
      <c r="DJ481" s="2" t="n">
        <v>66.27</v>
      </c>
      <c r="DK481" s="2" t="n">
        <v>68.84</v>
      </c>
      <c r="DL481" s="2" t="n">
        <v>0</v>
      </c>
      <c r="DM481" s="2" t="n">
        <v>71.95999999999999</v>
      </c>
      <c r="DN481" s="2" t="n">
        <v>73.81</v>
      </c>
      <c r="DO481" s="2" t="n">
        <v>0</v>
      </c>
      <c r="DP481" s="2" t="n">
        <v>76.65000000000001</v>
      </c>
      <c r="DQ481" s="2" t="n">
        <v>78.51000000000001</v>
      </c>
      <c r="DR481" s="2" t="n">
        <v>0</v>
      </c>
      <c r="DS481" s="2" t="n">
        <v>80.95999999999999</v>
      </c>
      <c r="DT481" s="2" t="n">
        <v>81.54000000000001</v>
      </c>
      <c r="DU481" s="2" t="n">
        <v>0</v>
      </c>
      <c r="DV481" s="2" t="n">
        <v>82.8</v>
      </c>
      <c r="DW481" s="2" t="n">
        <v>84.25</v>
      </c>
      <c r="DX481" s="2" t="n">
        <v>0</v>
      </c>
      <c r="DY481" s="2" t="n">
        <v>86.26000000000001</v>
      </c>
      <c r="DZ481" s="2" t="n">
        <v>88.37</v>
      </c>
      <c r="EA481" s="2" t="n">
        <v>0</v>
      </c>
      <c r="EB481" s="2" t="n">
        <v>89.38</v>
      </c>
      <c r="EC481" s="2" t="n">
        <v>90.77</v>
      </c>
      <c r="ED481" s="2" t="n">
        <v>0</v>
      </c>
      <c r="EE481" s="2" t="n">
        <v>90.64</v>
      </c>
      <c r="EF481" s="2" t="n">
        <v>92.88</v>
      </c>
      <c r="EG481" s="2" t="n">
        <v>0</v>
      </c>
      <c r="EH481" s="2" t="n">
        <v>94.48</v>
      </c>
      <c r="EI481" s="2" t="n">
        <v>96.79000000000001</v>
      </c>
      <c r="EJ481" s="2" t="n">
        <v>0</v>
      </c>
      <c r="EK481" s="2" t="n">
        <v>97.79000000000001</v>
      </c>
      <c r="EL481" s="2" t="n">
        <v>99.88</v>
      </c>
      <c r="EM481" s="2" t="n">
        <v>0</v>
      </c>
      <c r="EN481" s="2" t="n">
        <v>100</v>
      </c>
      <c r="EO481" s="2" t="n">
        <v>100</v>
      </c>
      <c r="EP481" s="2" t="n">
        <v>0</v>
      </c>
      <c r="EQ481" s="2" t="n">
        <v>100</v>
      </c>
      <c r="ER481" s="2" t="n">
        <v>100</v>
      </c>
      <c r="ES481" s="2" t="n">
        <v>0</v>
      </c>
    </row>
    <row r="482">
      <c r="A482" s="2" t="n">
        <v>3</v>
      </c>
      <c r="B482" s="2" t="inlineStr">
        <is>
          <t>20.02.01</t>
        </is>
      </c>
      <c r="C482" s="2" t="inlineStr">
        <is>
          <t>Ramal De Entrada</t>
        </is>
      </c>
      <c r="D482" s="2" t="inlineStr">
        <is>
          <t>18/01/2027</t>
        </is>
      </c>
      <c r="E482" s="2" t="inlineStr">
        <is>
          <t>05/02/2027</t>
        </is>
      </c>
      <c r="F482" s="2" t="n">
        <v>395122.0000000001</v>
      </c>
      <c r="G482" s="2" t="n">
        <v>0</v>
      </c>
      <c r="H482" s="2" t="n">
        <v>395122.0000000001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0</v>
      </c>
      <c r="AO482" s="2" t="n">
        <v>0</v>
      </c>
      <c r="AP482" s="2" t="n">
        <v>0</v>
      </c>
      <c r="AQ482" s="2" t="n">
        <v>0</v>
      </c>
      <c r="AR482" s="2" t="n">
        <v>0</v>
      </c>
      <c r="AS482" s="2" t="n">
        <v>0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n">
        <v>0</v>
      </c>
      <c r="AZ482" s="2" t="n">
        <v>0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0</v>
      </c>
      <c r="BF482" s="2" t="n">
        <v>0</v>
      </c>
      <c r="BG482" s="2" t="n">
        <v>0</v>
      </c>
      <c r="BH482" s="2" t="n">
        <v>0</v>
      </c>
      <c r="BI482" s="2" t="n">
        <v>0</v>
      </c>
      <c r="BJ482" s="2" t="n">
        <v>0</v>
      </c>
      <c r="BK482" s="2" t="n">
        <v>0</v>
      </c>
      <c r="BL482" s="2" t="n">
        <v>0</v>
      </c>
      <c r="BM482" s="2" t="n">
        <v>0</v>
      </c>
      <c r="BN482" s="2" t="n">
        <v>0</v>
      </c>
      <c r="BO482" s="2" t="n">
        <v>66.67</v>
      </c>
      <c r="BP482" s="2" t="n">
        <v>0</v>
      </c>
      <c r="BQ482" s="2" t="n">
        <v>100</v>
      </c>
      <c r="BR482" s="2" t="n">
        <v>100</v>
      </c>
      <c r="BS482" s="2" t="n">
        <v>0</v>
      </c>
      <c r="BT482" s="2" t="n">
        <v>100</v>
      </c>
      <c r="BU482" s="2" t="n">
        <v>100</v>
      </c>
      <c r="BV482" s="2" t="n">
        <v>0</v>
      </c>
      <c r="BW482" s="2" t="n">
        <v>100</v>
      </c>
      <c r="BX482" s="2" t="n">
        <v>100</v>
      </c>
      <c r="BY482" s="2" t="n">
        <v>0</v>
      </c>
      <c r="BZ482" s="2" t="n">
        <v>100</v>
      </c>
      <c r="CA482" s="2" t="n">
        <v>100</v>
      </c>
      <c r="CB482" s="2" t="n">
        <v>0</v>
      </c>
      <c r="CC482" s="2" t="n">
        <v>100</v>
      </c>
      <c r="CD482" s="2" t="n">
        <v>100</v>
      </c>
      <c r="CE482" s="2" t="n">
        <v>0</v>
      </c>
      <c r="CF482" s="2" t="n">
        <v>100</v>
      </c>
      <c r="CG482" s="2" t="n">
        <v>100</v>
      </c>
      <c r="CH482" s="2" t="n">
        <v>0</v>
      </c>
      <c r="CI482" s="2" t="n">
        <v>100</v>
      </c>
      <c r="CJ482" s="2" t="n">
        <v>100</v>
      </c>
      <c r="CK482" s="2" t="n">
        <v>0</v>
      </c>
      <c r="CL482" s="2" t="n">
        <v>100</v>
      </c>
      <c r="CM482" s="2" t="n">
        <v>100</v>
      </c>
      <c r="CN482" s="2" t="n">
        <v>0</v>
      </c>
      <c r="CO482" s="2" t="n">
        <v>100</v>
      </c>
      <c r="CP482" s="2" t="n">
        <v>100</v>
      </c>
      <c r="CQ482" s="2" t="n">
        <v>0</v>
      </c>
      <c r="CR482" s="2" t="n">
        <v>100</v>
      </c>
      <c r="CS482" s="2" t="n">
        <v>100</v>
      </c>
      <c r="CT482" s="2" t="n">
        <v>0</v>
      </c>
      <c r="CU482" s="2" t="n">
        <v>100</v>
      </c>
      <c r="CV482" s="2" t="n">
        <v>100</v>
      </c>
      <c r="CW482" s="2" t="n">
        <v>0</v>
      </c>
      <c r="CX482" s="2" t="n">
        <v>100</v>
      </c>
      <c r="CY482" s="2" t="n">
        <v>100</v>
      </c>
      <c r="CZ482" s="2" t="n">
        <v>0</v>
      </c>
      <c r="DA482" s="2" t="n">
        <v>100</v>
      </c>
      <c r="DB482" s="2" t="n">
        <v>100</v>
      </c>
      <c r="DC482" s="2" t="n">
        <v>0</v>
      </c>
      <c r="DD482" s="2" t="n">
        <v>100</v>
      </c>
      <c r="DE482" s="2" t="n">
        <v>100</v>
      </c>
      <c r="DF482" s="2" t="n">
        <v>0</v>
      </c>
      <c r="DG482" s="2" t="n">
        <v>100</v>
      </c>
      <c r="DH482" s="2" t="n">
        <v>100</v>
      </c>
      <c r="DI482" s="2" t="n">
        <v>0</v>
      </c>
      <c r="DJ482" s="2" t="n">
        <v>100</v>
      </c>
      <c r="DK482" s="2" t="n">
        <v>100</v>
      </c>
      <c r="DL482" s="2" t="n">
        <v>0</v>
      </c>
      <c r="DM482" s="2" t="n">
        <v>100</v>
      </c>
      <c r="DN482" s="2" t="n">
        <v>100</v>
      </c>
      <c r="DO482" s="2" t="n">
        <v>0</v>
      </c>
      <c r="DP482" s="2" t="n">
        <v>100</v>
      </c>
      <c r="DQ482" s="2" t="n">
        <v>100</v>
      </c>
      <c r="DR482" s="2" t="n">
        <v>0</v>
      </c>
      <c r="DS482" s="2" t="n">
        <v>100</v>
      </c>
      <c r="DT482" s="2" t="n">
        <v>100</v>
      </c>
      <c r="DU482" s="2" t="n">
        <v>0</v>
      </c>
      <c r="DV482" s="2" t="n">
        <v>100</v>
      </c>
      <c r="DW482" s="2" t="n">
        <v>100</v>
      </c>
      <c r="DX482" s="2" t="n">
        <v>0</v>
      </c>
      <c r="DY482" s="2" t="n">
        <v>100</v>
      </c>
      <c r="DZ482" s="2" t="n">
        <v>100</v>
      </c>
      <c r="EA482" s="2" t="n">
        <v>0</v>
      </c>
      <c r="EB482" s="2" t="n">
        <v>100</v>
      </c>
      <c r="EC482" s="2" t="n">
        <v>100</v>
      </c>
      <c r="ED482" s="2" t="n">
        <v>0</v>
      </c>
      <c r="EE482" s="2" t="n">
        <v>100</v>
      </c>
      <c r="EF482" s="2" t="n">
        <v>100</v>
      </c>
      <c r="EG482" s="2" t="n">
        <v>0</v>
      </c>
      <c r="EH482" s="2" t="n">
        <v>100</v>
      </c>
      <c r="EI482" s="2" t="n">
        <v>100</v>
      </c>
      <c r="EJ482" s="2" t="n">
        <v>0</v>
      </c>
      <c r="EK482" s="2" t="n">
        <v>100</v>
      </c>
      <c r="EL482" s="2" t="n">
        <v>100</v>
      </c>
      <c r="EM482" s="2" t="n">
        <v>0</v>
      </c>
      <c r="EN482" s="2" t="n">
        <v>100</v>
      </c>
      <c r="EO482" s="2" t="n">
        <v>100</v>
      </c>
      <c r="EP482" s="2" t="n">
        <v>0</v>
      </c>
      <c r="EQ482" s="2" t="n">
        <v>100</v>
      </c>
      <c r="ER482" s="2" t="n">
        <v>100</v>
      </c>
      <c r="ES482" s="2" t="n">
        <v>0</v>
      </c>
    </row>
    <row r="483">
      <c r="A483" s="2" t="n">
        <v>3</v>
      </c>
      <c r="B483" s="2" t="inlineStr">
        <is>
          <t>20.02.02</t>
        </is>
      </c>
      <c r="C483" s="2" t="inlineStr">
        <is>
          <t>Prumadas E Caixas De Distribuição</t>
        </is>
      </c>
      <c r="D483" s="2" t="inlineStr">
        <is>
          <t>09/06/2027</t>
        </is>
      </c>
      <c r="E483" s="2" t="inlineStr">
        <is>
          <t>25/10/2028</t>
        </is>
      </c>
      <c r="F483" s="2" t="n">
        <v>824378.7999999999</v>
      </c>
      <c r="G483" s="2" t="n">
        <v>0</v>
      </c>
      <c r="H483" s="2" t="n">
        <v>824378.7999999999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0</v>
      </c>
      <c r="AM483" s="2" t="n">
        <v>0</v>
      </c>
      <c r="AN483" s="2" t="n">
        <v>0</v>
      </c>
      <c r="AO483" s="2" t="n">
        <v>0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n">
        <v>0</v>
      </c>
      <c r="AZ483" s="2" t="n">
        <v>0</v>
      </c>
      <c r="BA483" s="2" t="n">
        <v>0</v>
      </c>
      <c r="BB483" s="2" t="n">
        <v>0</v>
      </c>
      <c r="BC483" s="2" t="n">
        <v>0</v>
      </c>
      <c r="BD483" s="2" t="n">
        <v>0</v>
      </c>
      <c r="BE483" s="2" t="n">
        <v>0</v>
      </c>
      <c r="BF483" s="2" t="n">
        <v>0</v>
      </c>
      <c r="BG483" s="2" t="n">
        <v>0</v>
      </c>
      <c r="BH483" s="2" t="n">
        <v>0</v>
      </c>
      <c r="BI483" s="2" t="n">
        <v>0</v>
      </c>
      <c r="BJ483" s="2" t="n">
        <v>0</v>
      </c>
      <c r="BK483" s="2" t="n">
        <v>0</v>
      </c>
      <c r="BL483" s="2" t="n">
        <v>0</v>
      </c>
      <c r="BM483" s="2" t="n">
        <v>0</v>
      </c>
      <c r="BN483" s="2" t="n">
        <v>0</v>
      </c>
      <c r="BO483" s="2" t="n">
        <v>0</v>
      </c>
      <c r="BP483" s="2" t="n">
        <v>0</v>
      </c>
      <c r="BQ483" s="2" t="n">
        <v>0</v>
      </c>
      <c r="BR483" s="2" t="n">
        <v>0</v>
      </c>
      <c r="BS483" s="2" t="n">
        <v>0</v>
      </c>
      <c r="BT483" s="2" t="n">
        <v>0</v>
      </c>
      <c r="BU483" s="2" t="n">
        <v>0</v>
      </c>
      <c r="BV483" s="2" t="n">
        <v>0</v>
      </c>
      <c r="BW483" s="2" t="n">
        <v>0</v>
      </c>
      <c r="BX483" s="2" t="n">
        <v>0</v>
      </c>
      <c r="BY483" s="2" t="n">
        <v>0</v>
      </c>
      <c r="BZ483" s="2" t="n">
        <v>0</v>
      </c>
      <c r="CA483" s="2" t="n">
        <v>0</v>
      </c>
      <c r="CB483" s="2" t="n">
        <v>0</v>
      </c>
      <c r="CC483" s="2" t="n">
        <v>1.26</v>
      </c>
      <c r="CD483" s="2" t="n">
        <v>1.83</v>
      </c>
      <c r="CE483" s="2" t="n">
        <v>0</v>
      </c>
      <c r="CF483" s="2" t="n">
        <v>3.77</v>
      </c>
      <c r="CG483" s="2" t="n">
        <v>4.34</v>
      </c>
      <c r="CH483" s="2" t="n">
        <v>0</v>
      </c>
      <c r="CI483" s="2" t="n">
        <v>6.29</v>
      </c>
      <c r="CJ483" s="2" t="n">
        <v>6.86</v>
      </c>
      <c r="CK483" s="2" t="n">
        <v>0</v>
      </c>
      <c r="CL483" s="2" t="n">
        <v>8.69</v>
      </c>
      <c r="CM483" s="2" t="n">
        <v>9.26</v>
      </c>
      <c r="CN483" s="2" t="n">
        <v>0</v>
      </c>
      <c r="CO483" s="2" t="n">
        <v>16.03</v>
      </c>
      <c r="CP483" s="2" t="n">
        <v>19.25</v>
      </c>
      <c r="CQ483" s="2" t="n">
        <v>0</v>
      </c>
      <c r="CR483" s="2" t="n">
        <v>25.69</v>
      </c>
      <c r="CS483" s="2" t="n">
        <v>29.12</v>
      </c>
      <c r="CT483" s="2" t="n">
        <v>0</v>
      </c>
      <c r="CU483" s="2" t="n">
        <v>34.45</v>
      </c>
      <c r="CV483" s="2" t="n">
        <v>37.63</v>
      </c>
      <c r="CW483" s="2" t="n">
        <v>0</v>
      </c>
      <c r="CX483" s="2" t="n">
        <v>41.48</v>
      </c>
      <c r="CY483" s="2" t="n">
        <v>45.61</v>
      </c>
      <c r="CZ483" s="2" t="n">
        <v>0</v>
      </c>
      <c r="DA483" s="2" t="n">
        <v>49.68</v>
      </c>
      <c r="DB483" s="2" t="n">
        <v>52.59</v>
      </c>
      <c r="DC483" s="2" t="n">
        <v>0</v>
      </c>
      <c r="DD483" s="2" t="n">
        <v>61.2</v>
      </c>
      <c r="DE483" s="2" t="n">
        <v>65.51000000000001</v>
      </c>
      <c r="DF483" s="2" t="n">
        <v>0</v>
      </c>
      <c r="DG483" s="2" t="n">
        <v>68.16</v>
      </c>
      <c r="DH483" s="2" t="n">
        <v>70.28</v>
      </c>
      <c r="DI483" s="2" t="n">
        <v>0</v>
      </c>
      <c r="DJ483" s="2" t="n">
        <v>79.22</v>
      </c>
      <c r="DK483" s="2" t="n">
        <v>86.02</v>
      </c>
      <c r="DL483" s="2" t="n">
        <v>0</v>
      </c>
      <c r="DM483" s="2" t="n">
        <v>88.5</v>
      </c>
      <c r="DN483" s="2" t="n">
        <v>90.95</v>
      </c>
      <c r="DO483" s="2" t="n">
        <v>0</v>
      </c>
      <c r="DP483" s="2" t="n">
        <v>92.84999999999999</v>
      </c>
      <c r="DQ483" s="2" t="n">
        <v>94.78</v>
      </c>
      <c r="DR483" s="2" t="n">
        <v>0</v>
      </c>
      <c r="DS483" s="2" t="n">
        <v>96.15000000000001</v>
      </c>
      <c r="DT483" s="2" t="n">
        <v>96.27</v>
      </c>
      <c r="DU483" s="2" t="n">
        <v>0</v>
      </c>
      <c r="DV483" s="2" t="n">
        <v>96.27</v>
      </c>
      <c r="DW483" s="2" t="n">
        <v>98.97</v>
      </c>
      <c r="DX483" s="2" t="n">
        <v>0</v>
      </c>
      <c r="DY483" s="2" t="n">
        <v>99.89</v>
      </c>
      <c r="DZ483" s="2" t="n">
        <v>100</v>
      </c>
      <c r="EA483" s="2" t="n">
        <v>0</v>
      </c>
      <c r="EB483" s="2" t="n">
        <v>100</v>
      </c>
      <c r="EC483" s="2" t="n">
        <v>100</v>
      </c>
      <c r="ED483" s="2" t="n">
        <v>0</v>
      </c>
      <c r="EE483" s="2" t="n">
        <v>100</v>
      </c>
      <c r="EF483" s="2" t="n">
        <v>100</v>
      </c>
      <c r="EG483" s="2" t="n">
        <v>0</v>
      </c>
      <c r="EH483" s="2" t="n">
        <v>100</v>
      </c>
      <c r="EI483" s="2" t="n">
        <v>100</v>
      </c>
      <c r="EJ483" s="2" t="n">
        <v>0</v>
      </c>
      <c r="EK483" s="2" t="n">
        <v>100</v>
      </c>
      <c r="EL483" s="2" t="n">
        <v>100</v>
      </c>
      <c r="EM483" s="2" t="n">
        <v>0</v>
      </c>
      <c r="EN483" s="2" t="n">
        <v>100</v>
      </c>
      <c r="EO483" s="2" t="n">
        <v>100</v>
      </c>
      <c r="EP483" s="2" t="n">
        <v>0</v>
      </c>
      <c r="EQ483" s="2" t="n">
        <v>100</v>
      </c>
      <c r="ER483" s="2" t="n">
        <v>100</v>
      </c>
      <c r="ES483" s="2" t="n">
        <v>0</v>
      </c>
    </row>
    <row r="484">
      <c r="A484" s="2" t="n">
        <v>3</v>
      </c>
      <c r="B484" s="2" t="inlineStr">
        <is>
          <t>20.02.03</t>
        </is>
      </c>
      <c r="C484" s="2" t="inlineStr">
        <is>
          <t>Cabeamento de alimentação</t>
        </is>
      </c>
      <c r="D484" s="2" t="inlineStr">
        <is>
          <t>01/10/2027</t>
        </is>
      </c>
      <c r="E484" s="2" t="inlineStr">
        <is>
          <t>25/10/2028</t>
        </is>
      </c>
      <c r="F484" s="2" t="n">
        <v>1039007.2</v>
      </c>
      <c r="G484" s="2" t="n">
        <v>0</v>
      </c>
      <c r="H484" s="2" t="n">
        <v>1039007.2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0</v>
      </c>
      <c r="AN484" s="2" t="n">
        <v>0</v>
      </c>
      <c r="AO484" s="2" t="n">
        <v>0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n">
        <v>0</v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n">
        <v>0</v>
      </c>
      <c r="BI484" s="2" t="n">
        <v>0</v>
      </c>
      <c r="BJ484" s="2" t="n">
        <v>0</v>
      </c>
      <c r="BK484" s="2" t="n">
        <v>0</v>
      </c>
      <c r="BL484" s="2" t="n">
        <v>0</v>
      </c>
      <c r="BM484" s="2" t="n">
        <v>0</v>
      </c>
      <c r="BN484" s="2" t="n">
        <v>0</v>
      </c>
      <c r="BO484" s="2" t="n">
        <v>0</v>
      </c>
      <c r="BP484" s="2" t="n">
        <v>0</v>
      </c>
      <c r="BQ484" s="2" t="n">
        <v>0</v>
      </c>
      <c r="BR484" s="2" t="n">
        <v>0</v>
      </c>
      <c r="BS484" s="2" t="n">
        <v>0</v>
      </c>
      <c r="BT484" s="2" t="n">
        <v>0</v>
      </c>
      <c r="BU484" s="2" t="n">
        <v>0</v>
      </c>
      <c r="BV484" s="2" t="n">
        <v>0</v>
      </c>
      <c r="BW484" s="2" t="n">
        <v>0</v>
      </c>
      <c r="BX484" s="2" t="n">
        <v>0</v>
      </c>
      <c r="BY484" s="2" t="n">
        <v>0</v>
      </c>
      <c r="BZ484" s="2" t="n">
        <v>0</v>
      </c>
      <c r="CA484" s="2" t="n">
        <v>0</v>
      </c>
      <c r="CB484" s="2" t="n">
        <v>0</v>
      </c>
      <c r="CC484" s="2" t="n">
        <v>0</v>
      </c>
      <c r="CD484" s="2" t="n">
        <v>0</v>
      </c>
      <c r="CE484" s="2" t="n">
        <v>0</v>
      </c>
      <c r="CF484" s="2" t="n">
        <v>0</v>
      </c>
      <c r="CG484" s="2" t="n">
        <v>0</v>
      </c>
      <c r="CH484" s="2" t="n">
        <v>0</v>
      </c>
      <c r="CI484" s="2" t="n">
        <v>0</v>
      </c>
      <c r="CJ484" s="2" t="n">
        <v>0</v>
      </c>
      <c r="CK484" s="2" t="n">
        <v>0</v>
      </c>
      <c r="CL484" s="2" t="n">
        <v>0</v>
      </c>
      <c r="CM484" s="2" t="n">
        <v>0</v>
      </c>
      <c r="CN484" s="2" t="n">
        <v>0</v>
      </c>
      <c r="CO484" s="2" t="n">
        <v>3.43</v>
      </c>
      <c r="CP484" s="2" t="n">
        <v>4.57</v>
      </c>
      <c r="CQ484" s="2" t="n">
        <v>0</v>
      </c>
      <c r="CR484" s="2" t="n">
        <v>8</v>
      </c>
      <c r="CS484" s="2" t="n">
        <v>10.86</v>
      </c>
      <c r="CT484" s="2" t="n">
        <v>0</v>
      </c>
      <c r="CU484" s="2" t="n">
        <v>12.89</v>
      </c>
      <c r="CV484" s="2" t="n">
        <v>16.48</v>
      </c>
      <c r="CW484" s="2" t="n">
        <v>0</v>
      </c>
      <c r="CX484" s="2" t="n">
        <v>20.26</v>
      </c>
      <c r="CY484" s="2" t="n">
        <v>23.86</v>
      </c>
      <c r="CZ484" s="2" t="n">
        <v>0</v>
      </c>
      <c r="DA484" s="2" t="n">
        <v>27.64</v>
      </c>
      <c r="DB484" s="2" t="n">
        <v>31.23</v>
      </c>
      <c r="DC484" s="2" t="n">
        <v>0</v>
      </c>
      <c r="DD484" s="2" t="n">
        <v>43.53</v>
      </c>
      <c r="DE484" s="2" t="n">
        <v>47.49</v>
      </c>
      <c r="DF484" s="2" t="n">
        <v>0</v>
      </c>
      <c r="DG484" s="2" t="n">
        <v>50.22</v>
      </c>
      <c r="DH484" s="2" t="n">
        <v>53.82</v>
      </c>
      <c r="DI484" s="2" t="n">
        <v>0</v>
      </c>
      <c r="DJ484" s="2" t="n">
        <v>70.92</v>
      </c>
      <c r="DK484" s="2" t="n">
        <v>74.51000000000001</v>
      </c>
      <c r="DL484" s="2" t="n">
        <v>0</v>
      </c>
      <c r="DM484" s="2" t="n">
        <v>78.3</v>
      </c>
      <c r="DN484" s="2" t="n">
        <v>81.89</v>
      </c>
      <c r="DO484" s="2" t="n">
        <v>0</v>
      </c>
      <c r="DP484" s="2" t="n">
        <v>85.69</v>
      </c>
      <c r="DQ484" s="2" t="n">
        <v>89.56</v>
      </c>
      <c r="DR484" s="2" t="n">
        <v>0</v>
      </c>
      <c r="DS484" s="2" t="n">
        <v>92.3</v>
      </c>
      <c r="DT484" s="2" t="n">
        <v>92.55</v>
      </c>
      <c r="DU484" s="2" t="n">
        <v>0</v>
      </c>
      <c r="DV484" s="2" t="n">
        <v>92.55</v>
      </c>
      <c r="DW484" s="2" t="n">
        <v>97.94</v>
      </c>
      <c r="DX484" s="2" t="n">
        <v>0</v>
      </c>
      <c r="DY484" s="2" t="n">
        <v>99.77</v>
      </c>
      <c r="DZ484" s="2" t="n">
        <v>100</v>
      </c>
      <c r="EA484" s="2" t="n">
        <v>0</v>
      </c>
      <c r="EB484" s="2" t="n">
        <v>100</v>
      </c>
      <c r="EC484" s="2" t="n">
        <v>100</v>
      </c>
      <c r="ED484" s="2" t="n">
        <v>0</v>
      </c>
      <c r="EE484" s="2" t="n">
        <v>100</v>
      </c>
      <c r="EF484" s="2" t="n">
        <v>100</v>
      </c>
      <c r="EG484" s="2" t="n">
        <v>0</v>
      </c>
      <c r="EH484" s="2" t="n">
        <v>100</v>
      </c>
      <c r="EI484" s="2" t="n">
        <v>100</v>
      </c>
      <c r="EJ484" s="2" t="n">
        <v>0</v>
      </c>
      <c r="EK484" s="2" t="n">
        <v>100</v>
      </c>
      <c r="EL484" s="2" t="n">
        <v>100</v>
      </c>
      <c r="EM484" s="2" t="n">
        <v>0</v>
      </c>
      <c r="EN484" s="2" t="n">
        <v>100</v>
      </c>
      <c r="EO484" s="2" t="n">
        <v>100</v>
      </c>
      <c r="EP484" s="2" t="n">
        <v>0</v>
      </c>
      <c r="EQ484" s="2" t="n">
        <v>100</v>
      </c>
      <c r="ER484" s="2" t="n">
        <v>100</v>
      </c>
      <c r="ES484" s="2" t="n">
        <v>0</v>
      </c>
    </row>
    <row r="485">
      <c r="A485" s="2" t="n">
        <v>3</v>
      </c>
      <c r="B485" s="2" t="inlineStr">
        <is>
          <t>20.02.04</t>
        </is>
      </c>
      <c r="C485" s="2" t="inlineStr">
        <is>
          <t>Quadros De Circuitos</t>
        </is>
      </c>
      <c r="D485" s="2" t="inlineStr">
        <is>
          <t>30/04/2027</t>
        </is>
      </c>
      <c r="E485" s="2" t="inlineStr">
        <is>
          <t>22/05/2028</t>
        </is>
      </c>
      <c r="F485" s="2" t="n">
        <v>1110550</v>
      </c>
      <c r="G485" s="2" t="n">
        <v>0</v>
      </c>
      <c r="H485" s="2" t="n">
        <v>1110550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0</v>
      </c>
      <c r="AM485" s="2" t="n">
        <v>0</v>
      </c>
      <c r="AN485" s="2" t="n">
        <v>0</v>
      </c>
      <c r="AO485" s="2" t="n">
        <v>0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n">
        <v>0</v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n">
        <v>0</v>
      </c>
      <c r="BI485" s="2" t="n">
        <v>0</v>
      </c>
      <c r="BJ485" s="2" t="n">
        <v>0</v>
      </c>
      <c r="BK485" s="2" t="n">
        <v>0</v>
      </c>
      <c r="BL485" s="2" t="n">
        <v>0</v>
      </c>
      <c r="BM485" s="2" t="n">
        <v>0</v>
      </c>
      <c r="BN485" s="2" t="n">
        <v>0</v>
      </c>
      <c r="BO485" s="2" t="n">
        <v>0</v>
      </c>
      <c r="BP485" s="2" t="n">
        <v>0</v>
      </c>
      <c r="BQ485" s="2" t="n">
        <v>0</v>
      </c>
      <c r="BR485" s="2" t="n">
        <v>0</v>
      </c>
      <c r="BS485" s="2" t="n">
        <v>0</v>
      </c>
      <c r="BT485" s="2" t="n">
        <v>0</v>
      </c>
      <c r="BU485" s="2" t="n">
        <v>0</v>
      </c>
      <c r="BV485" s="2" t="n">
        <v>0</v>
      </c>
      <c r="BW485" s="2" t="n">
        <v>0</v>
      </c>
      <c r="BX485" s="2" t="n">
        <v>0.27</v>
      </c>
      <c r="BY485" s="2" t="n">
        <v>0</v>
      </c>
      <c r="BZ485" s="2" t="n">
        <v>4.27</v>
      </c>
      <c r="CA485" s="2" t="n">
        <v>5.6</v>
      </c>
      <c r="CB485" s="2" t="n">
        <v>0</v>
      </c>
      <c r="CC485" s="2" t="n">
        <v>10.14</v>
      </c>
      <c r="CD485" s="2" t="n">
        <v>12.11</v>
      </c>
      <c r="CE485" s="2" t="n">
        <v>0</v>
      </c>
      <c r="CF485" s="2" t="n">
        <v>21.66</v>
      </c>
      <c r="CG485" s="2" t="n">
        <v>27.46</v>
      </c>
      <c r="CH485" s="2" t="n">
        <v>0</v>
      </c>
      <c r="CI485" s="2" t="n">
        <v>37.69</v>
      </c>
      <c r="CJ485" s="2" t="n">
        <v>40.57</v>
      </c>
      <c r="CK485" s="2" t="n">
        <v>0</v>
      </c>
      <c r="CL485" s="2" t="n">
        <v>45.97</v>
      </c>
      <c r="CM485" s="2" t="n">
        <v>51.56</v>
      </c>
      <c r="CN485" s="2" t="n">
        <v>0</v>
      </c>
      <c r="CO485" s="2" t="n">
        <v>56.13</v>
      </c>
      <c r="CP485" s="2" t="n">
        <v>58.76</v>
      </c>
      <c r="CQ485" s="2" t="n">
        <v>0</v>
      </c>
      <c r="CR485" s="2" t="n">
        <v>62.92</v>
      </c>
      <c r="CS485" s="2" t="n">
        <v>68.47</v>
      </c>
      <c r="CT485" s="2" t="n">
        <v>0</v>
      </c>
      <c r="CU485" s="2" t="n">
        <v>70.84999999999999</v>
      </c>
      <c r="CV485" s="2" t="n">
        <v>75.25</v>
      </c>
      <c r="CW485" s="2" t="n">
        <v>0</v>
      </c>
      <c r="CX485" s="2" t="n">
        <v>80.23</v>
      </c>
      <c r="CY485" s="2" t="n">
        <v>84.29000000000001</v>
      </c>
      <c r="CZ485" s="2" t="n">
        <v>0</v>
      </c>
      <c r="DA485" s="2" t="n">
        <v>88.77</v>
      </c>
      <c r="DB485" s="2" t="n">
        <v>93.52</v>
      </c>
      <c r="DC485" s="2" t="n">
        <v>0</v>
      </c>
      <c r="DD485" s="2" t="n">
        <v>96.23</v>
      </c>
      <c r="DE485" s="2" t="n">
        <v>96.58</v>
      </c>
      <c r="DF485" s="2" t="n">
        <v>0</v>
      </c>
      <c r="DG485" s="2" t="n">
        <v>96.54000000000001</v>
      </c>
      <c r="DH485" s="2" t="n">
        <v>97.19</v>
      </c>
      <c r="DI485" s="2" t="n">
        <v>0</v>
      </c>
      <c r="DJ485" s="2" t="n">
        <v>99.70999999999999</v>
      </c>
      <c r="DK485" s="2" t="n">
        <v>100</v>
      </c>
      <c r="DL485" s="2" t="n">
        <v>0</v>
      </c>
      <c r="DM485" s="2" t="n">
        <v>100</v>
      </c>
      <c r="DN485" s="2" t="n">
        <v>100</v>
      </c>
      <c r="DO485" s="2" t="n">
        <v>0</v>
      </c>
      <c r="DP485" s="2" t="n">
        <v>100</v>
      </c>
      <c r="DQ485" s="2" t="n">
        <v>100</v>
      </c>
      <c r="DR485" s="2" t="n">
        <v>0</v>
      </c>
      <c r="DS485" s="2" t="n">
        <v>100</v>
      </c>
      <c r="DT485" s="2" t="n">
        <v>100</v>
      </c>
      <c r="DU485" s="2" t="n">
        <v>0</v>
      </c>
      <c r="DV485" s="2" t="n">
        <v>100</v>
      </c>
      <c r="DW485" s="2" t="n">
        <v>100</v>
      </c>
      <c r="DX485" s="2" t="n">
        <v>0</v>
      </c>
      <c r="DY485" s="2" t="n">
        <v>100</v>
      </c>
      <c r="DZ485" s="2" t="n">
        <v>100</v>
      </c>
      <c r="EA485" s="2" t="n">
        <v>0</v>
      </c>
      <c r="EB485" s="2" t="n">
        <v>100</v>
      </c>
      <c r="EC485" s="2" t="n">
        <v>100</v>
      </c>
      <c r="ED485" s="2" t="n">
        <v>0</v>
      </c>
      <c r="EE485" s="2" t="n">
        <v>100</v>
      </c>
      <c r="EF485" s="2" t="n">
        <v>100</v>
      </c>
      <c r="EG485" s="2" t="n">
        <v>0</v>
      </c>
      <c r="EH485" s="2" t="n">
        <v>100</v>
      </c>
      <c r="EI485" s="2" t="n">
        <v>100</v>
      </c>
      <c r="EJ485" s="2" t="n">
        <v>0</v>
      </c>
      <c r="EK485" s="2" t="n">
        <v>100</v>
      </c>
      <c r="EL485" s="2" t="n">
        <v>100</v>
      </c>
      <c r="EM485" s="2" t="n">
        <v>0</v>
      </c>
      <c r="EN485" s="2" t="n">
        <v>100</v>
      </c>
      <c r="EO485" s="2" t="n">
        <v>100</v>
      </c>
      <c r="EP485" s="2" t="n">
        <v>0</v>
      </c>
      <c r="EQ485" s="2" t="n">
        <v>100</v>
      </c>
      <c r="ER485" s="2" t="n">
        <v>100</v>
      </c>
      <c r="ES485" s="2" t="n">
        <v>0</v>
      </c>
    </row>
    <row r="486">
      <c r="A486" s="2" t="n">
        <v>3</v>
      </c>
      <c r="B486" s="2" t="inlineStr">
        <is>
          <t>20.02.05</t>
        </is>
      </c>
      <c r="C486" s="2" t="inlineStr">
        <is>
          <t>Fiação de distribuição</t>
        </is>
      </c>
      <c r="D486" s="2" t="inlineStr">
        <is>
          <t>01/10/2027</t>
        </is>
      </c>
      <c r="E486" s="2" t="inlineStr">
        <is>
          <t>24/10/2028</t>
        </is>
      </c>
      <c r="F486" s="2" t="n">
        <v>1468264</v>
      </c>
      <c r="G486" s="2" t="n">
        <v>0</v>
      </c>
      <c r="H486" s="2" t="n">
        <v>1468264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0</v>
      </c>
      <c r="AN486" s="2" t="n">
        <v>0</v>
      </c>
      <c r="AO486" s="2" t="n">
        <v>0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n">
        <v>0</v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n">
        <v>0</v>
      </c>
      <c r="BI486" s="2" t="n">
        <v>0</v>
      </c>
      <c r="BJ486" s="2" t="n">
        <v>0</v>
      </c>
      <c r="BK486" s="2" t="n">
        <v>0</v>
      </c>
      <c r="BL486" s="2" t="n">
        <v>0</v>
      </c>
      <c r="BM486" s="2" t="n">
        <v>0</v>
      </c>
      <c r="BN486" s="2" t="n">
        <v>0</v>
      </c>
      <c r="BO486" s="2" t="n">
        <v>0</v>
      </c>
      <c r="BP486" s="2" t="n">
        <v>0</v>
      </c>
      <c r="BQ486" s="2" t="n">
        <v>0</v>
      </c>
      <c r="BR486" s="2" t="n">
        <v>0</v>
      </c>
      <c r="BS486" s="2" t="n">
        <v>0</v>
      </c>
      <c r="BT486" s="2" t="n">
        <v>0</v>
      </c>
      <c r="BU486" s="2" t="n">
        <v>0</v>
      </c>
      <c r="BV486" s="2" t="n">
        <v>0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>
        <v>0</v>
      </c>
      <c r="CB486" s="2" t="n">
        <v>0</v>
      </c>
      <c r="CC486" s="2" t="n">
        <v>0</v>
      </c>
      <c r="CD486" s="2" t="n">
        <v>0</v>
      </c>
      <c r="CE486" s="2" t="n">
        <v>0</v>
      </c>
      <c r="CF486" s="2" t="n">
        <v>0</v>
      </c>
      <c r="CG486" s="2" t="n">
        <v>0</v>
      </c>
      <c r="CH486" s="2" t="n">
        <v>0</v>
      </c>
      <c r="CI486" s="2" t="n">
        <v>0</v>
      </c>
      <c r="CJ486" s="2" t="n">
        <v>0</v>
      </c>
      <c r="CK486" s="2" t="n">
        <v>0</v>
      </c>
      <c r="CL486" s="2" t="n">
        <v>0</v>
      </c>
      <c r="CM486" s="2" t="n">
        <v>0</v>
      </c>
      <c r="CN486" s="2" t="n">
        <v>0</v>
      </c>
      <c r="CO486" s="2" t="n">
        <v>4.08</v>
      </c>
      <c r="CP486" s="2" t="n">
        <v>5.44</v>
      </c>
      <c r="CQ486" s="2" t="n">
        <v>0</v>
      </c>
      <c r="CR486" s="2" t="n">
        <v>9.529999999999999</v>
      </c>
      <c r="CS486" s="2" t="n">
        <v>12.93</v>
      </c>
      <c r="CT486" s="2" t="n">
        <v>0</v>
      </c>
      <c r="CU486" s="2" t="n">
        <v>15.34</v>
      </c>
      <c r="CV486" s="2" t="n">
        <v>19.63</v>
      </c>
      <c r="CW486" s="2" t="n">
        <v>0</v>
      </c>
      <c r="CX486" s="2" t="n">
        <v>26.34</v>
      </c>
      <c r="CY486" s="2" t="n">
        <v>31.07</v>
      </c>
      <c r="CZ486" s="2" t="n">
        <v>0</v>
      </c>
      <c r="DA486" s="2" t="n">
        <v>42.65</v>
      </c>
      <c r="DB486" s="2" t="n">
        <v>46.93</v>
      </c>
      <c r="DC486" s="2" t="n">
        <v>0</v>
      </c>
      <c r="DD486" s="2" t="n">
        <v>52.35</v>
      </c>
      <c r="DE486" s="2" t="n">
        <v>56.65</v>
      </c>
      <c r="DF486" s="2" t="n">
        <v>0</v>
      </c>
      <c r="DG486" s="2" t="n">
        <v>60.03</v>
      </c>
      <c r="DH486" s="2" t="n">
        <v>64.34</v>
      </c>
      <c r="DI486" s="2" t="n">
        <v>0</v>
      </c>
      <c r="DJ486" s="2" t="n">
        <v>70.27</v>
      </c>
      <c r="DK486" s="2" t="n">
        <v>74.55</v>
      </c>
      <c r="DL486" s="2" t="n">
        <v>0</v>
      </c>
      <c r="DM486" s="2" t="n">
        <v>79.09</v>
      </c>
      <c r="DN486" s="2" t="n">
        <v>83.66</v>
      </c>
      <c r="DO486" s="2" t="n">
        <v>0</v>
      </c>
      <c r="DP486" s="2" t="n">
        <v>88.2</v>
      </c>
      <c r="DQ486" s="2" t="n">
        <v>92.88</v>
      </c>
      <c r="DR486" s="2" t="n">
        <v>0</v>
      </c>
      <c r="DS486" s="2" t="n">
        <v>96.2</v>
      </c>
      <c r="DT486" s="2" t="n">
        <v>97.19</v>
      </c>
      <c r="DU486" s="2" t="n">
        <v>0</v>
      </c>
      <c r="DV486" s="2" t="n">
        <v>97.19</v>
      </c>
      <c r="DW486" s="2" t="n">
        <v>97.55</v>
      </c>
      <c r="DX486" s="2" t="n">
        <v>0</v>
      </c>
      <c r="DY486" s="2" t="n">
        <v>100</v>
      </c>
      <c r="DZ486" s="2" t="n">
        <v>100</v>
      </c>
      <c r="EA486" s="2" t="n">
        <v>0</v>
      </c>
      <c r="EB486" s="2" t="n">
        <v>100</v>
      </c>
      <c r="EC486" s="2" t="n">
        <v>100</v>
      </c>
      <c r="ED486" s="2" t="n">
        <v>0</v>
      </c>
      <c r="EE486" s="2" t="n">
        <v>100</v>
      </c>
      <c r="EF486" s="2" t="n">
        <v>100</v>
      </c>
      <c r="EG486" s="2" t="n">
        <v>0</v>
      </c>
      <c r="EH486" s="2" t="n">
        <v>100</v>
      </c>
      <c r="EI486" s="2" t="n">
        <v>100</v>
      </c>
      <c r="EJ486" s="2" t="n">
        <v>0</v>
      </c>
      <c r="EK486" s="2" t="n">
        <v>100</v>
      </c>
      <c r="EL486" s="2" t="n">
        <v>100</v>
      </c>
      <c r="EM486" s="2" t="n">
        <v>0</v>
      </c>
      <c r="EN486" s="2" t="n">
        <v>100</v>
      </c>
      <c r="EO486" s="2" t="n">
        <v>100</v>
      </c>
      <c r="EP486" s="2" t="n">
        <v>0</v>
      </c>
      <c r="EQ486" s="2" t="n">
        <v>100</v>
      </c>
      <c r="ER486" s="2" t="n">
        <v>100</v>
      </c>
      <c r="ES486" s="2" t="n">
        <v>0</v>
      </c>
    </row>
    <row r="487">
      <c r="A487" s="2" t="n">
        <v>3</v>
      </c>
      <c r="B487" s="2" t="inlineStr">
        <is>
          <t>20.02.06</t>
        </is>
      </c>
      <c r="C487" s="2" t="inlineStr">
        <is>
          <t>Tubulação E Caixas em Lajes</t>
        </is>
      </c>
      <c r="D487" s="2" t="inlineStr">
        <is>
          <t>30/04/2027</t>
        </is>
      </c>
      <c r="E487" s="2" t="inlineStr">
        <is>
          <t>22/05/2028</t>
        </is>
      </c>
      <c r="F487" s="2" t="n">
        <v>609750.4</v>
      </c>
      <c r="G487" s="2" t="n">
        <v>0</v>
      </c>
      <c r="H487" s="2" t="n">
        <v>609750.4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0</v>
      </c>
      <c r="AM487" s="2" t="n">
        <v>0</v>
      </c>
      <c r="AN487" s="2" t="n">
        <v>0</v>
      </c>
      <c r="AO487" s="2" t="n">
        <v>0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n">
        <v>0</v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n">
        <v>0</v>
      </c>
      <c r="BI487" s="2" t="n">
        <v>0</v>
      </c>
      <c r="BJ487" s="2" t="n">
        <v>0</v>
      </c>
      <c r="BK487" s="2" t="n">
        <v>0</v>
      </c>
      <c r="BL487" s="2" t="n">
        <v>0</v>
      </c>
      <c r="BM487" s="2" t="n">
        <v>0</v>
      </c>
      <c r="BN487" s="2" t="n">
        <v>0</v>
      </c>
      <c r="BO487" s="2" t="n">
        <v>0</v>
      </c>
      <c r="BP487" s="2" t="n">
        <v>0</v>
      </c>
      <c r="BQ487" s="2" t="n">
        <v>0</v>
      </c>
      <c r="BR487" s="2" t="n">
        <v>0</v>
      </c>
      <c r="BS487" s="2" t="n">
        <v>0</v>
      </c>
      <c r="BT487" s="2" t="n">
        <v>0</v>
      </c>
      <c r="BU487" s="2" t="n">
        <v>0</v>
      </c>
      <c r="BV487" s="2" t="n">
        <v>0</v>
      </c>
      <c r="BW487" s="2" t="n">
        <v>0</v>
      </c>
      <c r="BX487" s="2" t="n">
        <v>0.27</v>
      </c>
      <c r="BY487" s="2" t="n">
        <v>0</v>
      </c>
      <c r="BZ487" s="2" t="n">
        <v>4.27</v>
      </c>
      <c r="CA487" s="2" t="n">
        <v>5.6</v>
      </c>
      <c r="CB487" s="2" t="n">
        <v>0</v>
      </c>
      <c r="CC487" s="2" t="n">
        <v>10.14</v>
      </c>
      <c r="CD487" s="2" t="n">
        <v>12.11</v>
      </c>
      <c r="CE487" s="2" t="n">
        <v>0</v>
      </c>
      <c r="CF487" s="2" t="n">
        <v>21.66</v>
      </c>
      <c r="CG487" s="2" t="n">
        <v>27.46</v>
      </c>
      <c r="CH487" s="2" t="n">
        <v>0</v>
      </c>
      <c r="CI487" s="2" t="n">
        <v>37.69</v>
      </c>
      <c r="CJ487" s="2" t="n">
        <v>40.57</v>
      </c>
      <c r="CK487" s="2" t="n">
        <v>0</v>
      </c>
      <c r="CL487" s="2" t="n">
        <v>45.97</v>
      </c>
      <c r="CM487" s="2" t="n">
        <v>51.56</v>
      </c>
      <c r="CN487" s="2" t="n">
        <v>0</v>
      </c>
      <c r="CO487" s="2" t="n">
        <v>56.13</v>
      </c>
      <c r="CP487" s="2" t="n">
        <v>58.76</v>
      </c>
      <c r="CQ487" s="2" t="n">
        <v>0</v>
      </c>
      <c r="CR487" s="2" t="n">
        <v>62.92</v>
      </c>
      <c r="CS487" s="2" t="n">
        <v>68.47</v>
      </c>
      <c r="CT487" s="2" t="n">
        <v>0</v>
      </c>
      <c r="CU487" s="2" t="n">
        <v>70.84999999999999</v>
      </c>
      <c r="CV487" s="2" t="n">
        <v>75.25</v>
      </c>
      <c r="CW487" s="2" t="n">
        <v>0</v>
      </c>
      <c r="CX487" s="2" t="n">
        <v>80.23</v>
      </c>
      <c r="CY487" s="2" t="n">
        <v>84.29000000000001</v>
      </c>
      <c r="CZ487" s="2" t="n">
        <v>0</v>
      </c>
      <c r="DA487" s="2" t="n">
        <v>88.77</v>
      </c>
      <c r="DB487" s="2" t="n">
        <v>93.52</v>
      </c>
      <c r="DC487" s="2" t="n">
        <v>0</v>
      </c>
      <c r="DD487" s="2" t="n">
        <v>96.23</v>
      </c>
      <c r="DE487" s="2" t="n">
        <v>96.58</v>
      </c>
      <c r="DF487" s="2" t="n">
        <v>0</v>
      </c>
      <c r="DG487" s="2" t="n">
        <v>96.54000000000001</v>
      </c>
      <c r="DH487" s="2" t="n">
        <v>97.19</v>
      </c>
      <c r="DI487" s="2" t="n">
        <v>0</v>
      </c>
      <c r="DJ487" s="2" t="n">
        <v>99.70999999999999</v>
      </c>
      <c r="DK487" s="2" t="n">
        <v>100</v>
      </c>
      <c r="DL487" s="2" t="n">
        <v>0</v>
      </c>
      <c r="DM487" s="2" t="n">
        <v>100</v>
      </c>
      <c r="DN487" s="2" t="n">
        <v>100</v>
      </c>
      <c r="DO487" s="2" t="n">
        <v>0</v>
      </c>
      <c r="DP487" s="2" t="n">
        <v>100</v>
      </c>
      <c r="DQ487" s="2" t="n">
        <v>100</v>
      </c>
      <c r="DR487" s="2" t="n">
        <v>0</v>
      </c>
      <c r="DS487" s="2" t="n">
        <v>100</v>
      </c>
      <c r="DT487" s="2" t="n">
        <v>100</v>
      </c>
      <c r="DU487" s="2" t="n">
        <v>0</v>
      </c>
      <c r="DV487" s="2" t="n">
        <v>100</v>
      </c>
      <c r="DW487" s="2" t="n">
        <v>100</v>
      </c>
      <c r="DX487" s="2" t="n">
        <v>0</v>
      </c>
      <c r="DY487" s="2" t="n">
        <v>100</v>
      </c>
      <c r="DZ487" s="2" t="n">
        <v>100</v>
      </c>
      <c r="EA487" s="2" t="n">
        <v>0</v>
      </c>
      <c r="EB487" s="2" t="n">
        <v>100</v>
      </c>
      <c r="EC487" s="2" t="n">
        <v>100</v>
      </c>
      <c r="ED487" s="2" t="n">
        <v>0</v>
      </c>
      <c r="EE487" s="2" t="n">
        <v>100</v>
      </c>
      <c r="EF487" s="2" t="n">
        <v>100</v>
      </c>
      <c r="EG487" s="2" t="n">
        <v>0</v>
      </c>
      <c r="EH487" s="2" t="n">
        <v>100</v>
      </c>
      <c r="EI487" s="2" t="n">
        <v>100</v>
      </c>
      <c r="EJ487" s="2" t="n">
        <v>0</v>
      </c>
      <c r="EK487" s="2" t="n">
        <v>100</v>
      </c>
      <c r="EL487" s="2" t="n">
        <v>100</v>
      </c>
      <c r="EM487" s="2" t="n">
        <v>0</v>
      </c>
      <c r="EN487" s="2" t="n">
        <v>100</v>
      </c>
      <c r="EO487" s="2" t="n">
        <v>100</v>
      </c>
      <c r="EP487" s="2" t="n">
        <v>0</v>
      </c>
      <c r="EQ487" s="2" t="n">
        <v>100</v>
      </c>
      <c r="ER487" s="2" t="n">
        <v>100</v>
      </c>
      <c r="ES487" s="2" t="n">
        <v>0</v>
      </c>
    </row>
    <row r="488">
      <c r="A488" s="2" t="n">
        <v>3</v>
      </c>
      <c r="B488" s="2" t="inlineStr">
        <is>
          <t>20.02.07</t>
        </is>
      </c>
      <c r="C488" s="2" t="inlineStr">
        <is>
          <t>Tubulação E Caixas em Paredes</t>
        </is>
      </c>
      <c r="D488" s="2" t="inlineStr">
        <is>
          <t>30/04/2027</t>
        </is>
      </c>
      <c r="E488" s="2" t="inlineStr">
        <is>
          <t>22/05/2028</t>
        </is>
      </c>
      <c r="F488" s="2" t="n">
        <v>681293.2</v>
      </c>
      <c r="G488" s="2" t="n">
        <v>0</v>
      </c>
      <c r="H488" s="2" t="n">
        <v>681293.2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0</v>
      </c>
      <c r="AM488" s="2" t="n">
        <v>0</v>
      </c>
      <c r="AN488" s="2" t="n">
        <v>0</v>
      </c>
      <c r="AO488" s="2" t="n">
        <v>0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n">
        <v>0</v>
      </c>
      <c r="AZ488" s="2" t="n">
        <v>0</v>
      </c>
      <c r="BA488" s="2" t="n">
        <v>0</v>
      </c>
      <c r="BB488" s="2" t="n">
        <v>0</v>
      </c>
      <c r="BC488" s="2" t="n">
        <v>0</v>
      </c>
      <c r="BD488" s="2" t="n">
        <v>0</v>
      </c>
      <c r="BE488" s="2" t="n">
        <v>0</v>
      </c>
      <c r="BF488" s="2" t="n">
        <v>0</v>
      </c>
      <c r="BG488" s="2" t="n">
        <v>0</v>
      </c>
      <c r="BH488" s="2" t="n">
        <v>0</v>
      </c>
      <c r="BI488" s="2" t="n">
        <v>0</v>
      </c>
      <c r="BJ488" s="2" t="n">
        <v>0</v>
      </c>
      <c r="BK488" s="2" t="n">
        <v>0</v>
      </c>
      <c r="BL488" s="2" t="n">
        <v>0</v>
      </c>
      <c r="BM488" s="2" t="n">
        <v>0</v>
      </c>
      <c r="BN488" s="2" t="n">
        <v>0</v>
      </c>
      <c r="BO488" s="2" t="n">
        <v>0</v>
      </c>
      <c r="BP488" s="2" t="n">
        <v>0</v>
      </c>
      <c r="BQ488" s="2" t="n">
        <v>0</v>
      </c>
      <c r="BR488" s="2" t="n">
        <v>0</v>
      </c>
      <c r="BS488" s="2" t="n">
        <v>0</v>
      </c>
      <c r="BT488" s="2" t="n">
        <v>0</v>
      </c>
      <c r="BU488" s="2" t="n">
        <v>0</v>
      </c>
      <c r="BV488" s="2" t="n">
        <v>0</v>
      </c>
      <c r="BW488" s="2" t="n">
        <v>0</v>
      </c>
      <c r="BX488" s="2" t="n">
        <v>0.27</v>
      </c>
      <c r="BY488" s="2" t="n">
        <v>0</v>
      </c>
      <c r="BZ488" s="2" t="n">
        <v>4.27</v>
      </c>
      <c r="CA488" s="2" t="n">
        <v>5.6</v>
      </c>
      <c r="CB488" s="2" t="n">
        <v>0</v>
      </c>
      <c r="CC488" s="2" t="n">
        <v>10.14</v>
      </c>
      <c r="CD488" s="2" t="n">
        <v>12.11</v>
      </c>
      <c r="CE488" s="2" t="n">
        <v>0</v>
      </c>
      <c r="CF488" s="2" t="n">
        <v>21.66</v>
      </c>
      <c r="CG488" s="2" t="n">
        <v>27.46</v>
      </c>
      <c r="CH488" s="2" t="n">
        <v>0</v>
      </c>
      <c r="CI488" s="2" t="n">
        <v>37.69</v>
      </c>
      <c r="CJ488" s="2" t="n">
        <v>40.57</v>
      </c>
      <c r="CK488" s="2" t="n">
        <v>0</v>
      </c>
      <c r="CL488" s="2" t="n">
        <v>45.97</v>
      </c>
      <c r="CM488" s="2" t="n">
        <v>51.56</v>
      </c>
      <c r="CN488" s="2" t="n">
        <v>0</v>
      </c>
      <c r="CO488" s="2" t="n">
        <v>56.13</v>
      </c>
      <c r="CP488" s="2" t="n">
        <v>58.76</v>
      </c>
      <c r="CQ488" s="2" t="n">
        <v>0</v>
      </c>
      <c r="CR488" s="2" t="n">
        <v>62.92</v>
      </c>
      <c r="CS488" s="2" t="n">
        <v>68.47</v>
      </c>
      <c r="CT488" s="2" t="n">
        <v>0</v>
      </c>
      <c r="CU488" s="2" t="n">
        <v>70.84999999999999</v>
      </c>
      <c r="CV488" s="2" t="n">
        <v>75.25</v>
      </c>
      <c r="CW488" s="2" t="n">
        <v>0</v>
      </c>
      <c r="CX488" s="2" t="n">
        <v>80.23</v>
      </c>
      <c r="CY488" s="2" t="n">
        <v>84.29000000000001</v>
      </c>
      <c r="CZ488" s="2" t="n">
        <v>0</v>
      </c>
      <c r="DA488" s="2" t="n">
        <v>88.77</v>
      </c>
      <c r="DB488" s="2" t="n">
        <v>93.52</v>
      </c>
      <c r="DC488" s="2" t="n">
        <v>0</v>
      </c>
      <c r="DD488" s="2" t="n">
        <v>96.23</v>
      </c>
      <c r="DE488" s="2" t="n">
        <v>96.58</v>
      </c>
      <c r="DF488" s="2" t="n">
        <v>0</v>
      </c>
      <c r="DG488" s="2" t="n">
        <v>96.54000000000001</v>
      </c>
      <c r="DH488" s="2" t="n">
        <v>97.19</v>
      </c>
      <c r="DI488" s="2" t="n">
        <v>0</v>
      </c>
      <c r="DJ488" s="2" t="n">
        <v>99.70999999999999</v>
      </c>
      <c r="DK488" s="2" t="n">
        <v>100</v>
      </c>
      <c r="DL488" s="2" t="n">
        <v>0</v>
      </c>
      <c r="DM488" s="2" t="n">
        <v>100</v>
      </c>
      <c r="DN488" s="2" t="n">
        <v>100</v>
      </c>
      <c r="DO488" s="2" t="n">
        <v>0</v>
      </c>
      <c r="DP488" s="2" t="n">
        <v>100</v>
      </c>
      <c r="DQ488" s="2" t="n">
        <v>100</v>
      </c>
      <c r="DR488" s="2" t="n">
        <v>0</v>
      </c>
      <c r="DS488" s="2" t="n">
        <v>100</v>
      </c>
      <c r="DT488" s="2" t="n">
        <v>100</v>
      </c>
      <c r="DU488" s="2" t="n">
        <v>0</v>
      </c>
      <c r="DV488" s="2" t="n">
        <v>100</v>
      </c>
      <c r="DW488" s="2" t="n">
        <v>100</v>
      </c>
      <c r="DX488" s="2" t="n">
        <v>0</v>
      </c>
      <c r="DY488" s="2" t="n">
        <v>100</v>
      </c>
      <c r="DZ488" s="2" t="n">
        <v>100</v>
      </c>
      <c r="EA488" s="2" t="n">
        <v>0</v>
      </c>
      <c r="EB488" s="2" t="n">
        <v>100</v>
      </c>
      <c r="EC488" s="2" t="n">
        <v>100</v>
      </c>
      <c r="ED488" s="2" t="n">
        <v>0</v>
      </c>
      <c r="EE488" s="2" t="n">
        <v>100</v>
      </c>
      <c r="EF488" s="2" t="n">
        <v>100</v>
      </c>
      <c r="EG488" s="2" t="n">
        <v>0</v>
      </c>
      <c r="EH488" s="2" t="n">
        <v>100</v>
      </c>
      <c r="EI488" s="2" t="n">
        <v>100</v>
      </c>
      <c r="EJ488" s="2" t="n">
        <v>0</v>
      </c>
      <c r="EK488" s="2" t="n">
        <v>100</v>
      </c>
      <c r="EL488" s="2" t="n">
        <v>100</v>
      </c>
      <c r="EM488" s="2" t="n">
        <v>0</v>
      </c>
      <c r="EN488" s="2" t="n">
        <v>100</v>
      </c>
      <c r="EO488" s="2" t="n">
        <v>100</v>
      </c>
      <c r="EP488" s="2" t="n">
        <v>0</v>
      </c>
      <c r="EQ488" s="2" t="n">
        <v>100</v>
      </c>
      <c r="ER488" s="2" t="n">
        <v>100</v>
      </c>
      <c r="ES488" s="2" t="n">
        <v>0</v>
      </c>
    </row>
    <row r="489">
      <c r="A489" s="2" t="n">
        <v>3</v>
      </c>
      <c r="B489" s="2" t="inlineStr">
        <is>
          <t>20.02.08</t>
        </is>
      </c>
      <c r="C489" s="2" t="inlineStr">
        <is>
          <t>Tomadas, Interruptores e Sensores</t>
        </is>
      </c>
      <c r="D489" s="2" t="inlineStr">
        <is>
          <t>07/04/2028</t>
        </is>
      </c>
      <c r="E489" s="2" t="inlineStr">
        <is>
          <t>12/03/2029</t>
        </is>
      </c>
      <c r="F489" s="2" t="n">
        <v>752836.0000000001</v>
      </c>
      <c r="G489" s="2" t="n">
        <v>0</v>
      </c>
      <c r="H489" s="2" t="n">
        <v>752836.0000000001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0</v>
      </c>
      <c r="AM489" s="2" t="n">
        <v>0</v>
      </c>
      <c r="AN489" s="2" t="n">
        <v>0</v>
      </c>
      <c r="AO489" s="2" t="n">
        <v>0</v>
      </c>
      <c r="AP489" s="2" t="n">
        <v>0</v>
      </c>
      <c r="AQ489" s="2" t="n">
        <v>0</v>
      </c>
      <c r="AR489" s="2" t="n">
        <v>0</v>
      </c>
      <c r="AS489" s="2" t="n">
        <v>0</v>
      </c>
      <c r="AT489" s="2" t="n">
        <v>0</v>
      </c>
      <c r="AU489" s="2" t="n">
        <v>0</v>
      </c>
      <c r="AV489" s="2" t="n">
        <v>0</v>
      </c>
      <c r="AW489" s="2" t="n">
        <v>0</v>
      </c>
      <c r="AX489" s="2" t="n">
        <v>0</v>
      </c>
      <c r="AY489" s="2" t="n">
        <v>0</v>
      </c>
      <c r="AZ489" s="2" t="n">
        <v>0</v>
      </c>
      <c r="BA489" s="2" t="n">
        <v>0</v>
      </c>
      <c r="BB489" s="2" t="n">
        <v>0</v>
      </c>
      <c r="BC489" s="2" t="n">
        <v>0</v>
      </c>
      <c r="BD489" s="2" t="n">
        <v>0</v>
      </c>
      <c r="BE489" s="2" t="n">
        <v>0</v>
      </c>
      <c r="BF489" s="2" t="n">
        <v>0</v>
      </c>
      <c r="BG489" s="2" t="n">
        <v>0</v>
      </c>
      <c r="BH489" s="2" t="n">
        <v>0</v>
      </c>
      <c r="BI489" s="2" t="n">
        <v>0</v>
      </c>
      <c r="BJ489" s="2" t="n">
        <v>0</v>
      </c>
      <c r="BK489" s="2" t="n">
        <v>0</v>
      </c>
      <c r="BL489" s="2" t="n">
        <v>0</v>
      </c>
      <c r="BM489" s="2" t="n">
        <v>0</v>
      </c>
      <c r="BN489" s="2" t="n">
        <v>0</v>
      </c>
      <c r="BO489" s="2" t="n">
        <v>0</v>
      </c>
      <c r="BP489" s="2" t="n">
        <v>0</v>
      </c>
      <c r="BQ489" s="2" t="n">
        <v>0</v>
      </c>
      <c r="BR489" s="2" t="n">
        <v>0</v>
      </c>
      <c r="BS489" s="2" t="n">
        <v>0</v>
      </c>
      <c r="BT489" s="2" t="n">
        <v>0</v>
      </c>
      <c r="BU489" s="2" t="n">
        <v>0</v>
      </c>
      <c r="BV489" s="2" t="n">
        <v>0</v>
      </c>
      <c r="BW489" s="2" t="n">
        <v>0</v>
      </c>
      <c r="BX489" s="2" t="n">
        <v>0</v>
      </c>
      <c r="BY489" s="2" t="n">
        <v>0</v>
      </c>
      <c r="BZ489" s="2" t="n">
        <v>0</v>
      </c>
      <c r="CA489" s="2" t="n">
        <v>0</v>
      </c>
      <c r="CB489" s="2" t="n">
        <v>0</v>
      </c>
      <c r="CC489" s="2" t="n">
        <v>0</v>
      </c>
      <c r="CD489" s="2" t="n">
        <v>0</v>
      </c>
      <c r="CE489" s="2" t="n">
        <v>0</v>
      </c>
      <c r="CF489" s="2" t="n">
        <v>0</v>
      </c>
      <c r="CG489" s="2" t="n">
        <v>0</v>
      </c>
      <c r="CH489" s="2" t="n">
        <v>0</v>
      </c>
      <c r="CI489" s="2" t="n">
        <v>0</v>
      </c>
      <c r="CJ489" s="2" t="n">
        <v>0</v>
      </c>
      <c r="CK489" s="2" t="n">
        <v>0</v>
      </c>
      <c r="CL489" s="2" t="n">
        <v>0</v>
      </c>
      <c r="CM489" s="2" t="n">
        <v>0</v>
      </c>
      <c r="CN489" s="2" t="n">
        <v>0</v>
      </c>
      <c r="CO489" s="2" t="n">
        <v>0</v>
      </c>
      <c r="CP489" s="2" t="n">
        <v>0</v>
      </c>
      <c r="CQ489" s="2" t="n">
        <v>0</v>
      </c>
      <c r="CR489" s="2" t="n">
        <v>0</v>
      </c>
      <c r="CS489" s="2" t="n">
        <v>0</v>
      </c>
      <c r="CT489" s="2" t="n">
        <v>0</v>
      </c>
      <c r="CU489" s="2" t="n">
        <v>0</v>
      </c>
      <c r="CV489" s="2" t="n">
        <v>0</v>
      </c>
      <c r="CW489" s="2" t="n">
        <v>0</v>
      </c>
      <c r="CX489" s="2" t="n">
        <v>0</v>
      </c>
      <c r="CY489" s="2" t="n">
        <v>0</v>
      </c>
      <c r="CZ489" s="2" t="n">
        <v>0</v>
      </c>
      <c r="DA489" s="2" t="n">
        <v>0</v>
      </c>
      <c r="DB489" s="2" t="n">
        <v>0</v>
      </c>
      <c r="DC489" s="2" t="n">
        <v>0</v>
      </c>
      <c r="DD489" s="2" t="n">
        <v>0</v>
      </c>
      <c r="DE489" s="2" t="n">
        <v>0</v>
      </c>
      <c r="DF489" s="2" t="n">
        <v>0</v>
      </c>
      <c r="DG489" s="2" t="n">
        <v>2.39</v>
      </c>
      <c r="DH489" s="2" t="n">
        <v>3.71</v>
      </c>
      <c r="DI489" s="2" t="n">
        <v>0</v>
      </c>
      <c r="DJ489" s="2" t="n">
        <v>16.03</v>
      </c>
      <c r="DK489" s="2" t="n">
        <v>18.33</v>
      </c>
      <c r="DL489" s="2" t="n">
        <v>0</v>
      </c>
      <c r="DM489" s="2" t="n">
        <v>24.27</v>
      </c>
      <c r="DN489" s="2" t="n">
        <v>25.65</v>
      </c>
      <c r="DO489" s="2" t="n">
        <v>0</v>
      </c>
      <c r="DP489" s="2" t="n">
        <v>30.78</v>
      </c>
      <c r="DQ489" s="2" t="n">
        <v>32.15</v>
      </c>
      <c r="DR489" s="2" t="n">
        <v>0</v>
      </c>
      <c r="DS489" s="2" t="n">
        <v>37.28</v>
      </c>
      <c r="DT489" s="2" t="n">
        <v>38.62</v>
      </c>
      <c r="DU489" s="2" t="n">
        <v>0</v>
      </c>
      <c r="DV489" s="2" t="n">
        <v>43.25</v>
      </c>
      <c r="DW489" s="2" t="n">
        <v>44.97</v>
      </c>
      <c r="DX489" s="2" t="n">
        <v>0</v>
      </c>
      <c r="DY489" s="2" t="n">
        <v>49.63</v>
      </c>
      <c r="DZ489" s="2" t="n">
        <v>57.21</v>
      </c>
      <c r="EA489" s="2" t="n">
        <v>0</v>
      </c>
      <c r="EB489" s="2" t="n">
        <v>60.93</v>
      </c>
      <c r="EC489" s="2" t="n">
        <v>66.06</v>
      </c>
      <c r="ED489" s="2" t="n">
        <v>0</v>
      </c>
      <c r="EE489" s="2" t="n">
        <v>65.58</v>
      </c>
      <c r="EF489" s="2" t="n">
        <v>73.8</v>
      </c>
      <c r="EG489" s="2" t="n">
        <v>0</v>
      </c>
      <c r="EH489" s="2" t="n">
        <v>79.70999999999999</v>
      </c>
      <c r="EI489" s="2" t="n">
        <v>88.19</v>
      </c>
      <c r="EJ489" s="2" t="n">
        <v>0</v>
      </c>
      <c r="EK489" s="2" t="n">
        <v>91.89</v>
      </c>
      <c r="EL489" s="2" t="n">
        <v>99.55</v>
      </c>
      <c r="EM489" s="2" t="n">
        <v>0</v>
      </c>
      <c r="EN489" s="2" t="n">
        <v>100</v>
      </c>
      <c r="EO489" s="2" t="n">
        <v>100</v>
      </c>
      <c r="EP489" s="2" t="n">
        <v>0</v>
      </c>
      <c r="EQ489" s="2" t="n">
        <v>100</v>
      </c>
      <c r="ER489" s="2" t="n">
        <v>100</v>
      </c>
      <c r="ES489" s="2" t="n">
        <v>0</v>
      </c>
    </row>
    <row r="490">
      <c r="A490" s="2" t="n">
        <v>3</v>
      </c>
      <c r="B490" s="2" t="inlineStr">
        <is>
          <t>20.02.09</t>
        </is>
      </c>
      <c r="C490" s="2" t="inlineStr">
        <is>
          <t>Placas e acabamentos</t>
        </is>
      </c>
      <c r="D490" s="2" t="inlineStr">
        <is>
          <t>07/04/2028</t>
        </is>
      </c>
      <c r="E490" s="2" t="inlineStr">
        <is>
          <t>12/03/2029</t>
        </is>
      </c>
      <c r="F490" s="2" t="n">
        <v>609750.4</v>
      </c>
      <c r="G490" s="2" t="n">
        <v>0</v>
      </c>
      <c r="H490" s="2" t="n">
        <v>609750.4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0</v>
      </c>
      <c r="AN490" s="2" t="n">
        <v>0</v>
      </c>
      <c r="AO490" s="2" t="n">
        <v>0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n">
        <v>0</v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n">
        <v>0</v>
      </c>
      <c r="BI490" s="2" t="n">
        <v>0</v>
      </c>
      <c r="BJ490" s="2" t="n">
        <v>0</v>
      </c>
      <c r="BK490" s="2" t="n">
        <v>0</v>
      </c>
      <c r="BL490" s="2" t="n">
        <v>0</v>
      </c>
      <c r="BM490" s="2" t="n">
        <v>0</v>
      </c>
      <c r="BN490" s="2" t="n">
        <v>0</v>
      </c>
      <c r="BO490" s="2" t="n">
        <v>0</v>
      </c>
      <c r="BP490" s="2" t="n">
        <v>0</v>
      </c>
      <c r="BQ490" s="2" t="n">
        <v>0</v>
      </c>
      <c r="BR490" s="2" t="n">
        <v>0</v>
      </c>
      <c r="BS490" s="2" t="n">
        <v>0</v>
      </c>
      <c r="BT490" s="2" t="n">
        <v>0</v>
      </c>
      <c r="BU490" s="2" t="n">
        <v>0</v>
      </c>
      <c r="BV490" s="2" t="n">
        <v>0</v>
      </c>
      <c r="BW490" s="2" t="n">
        <v>0</v>
      </c>
      <c r="BX490" s="2" t="n">
        <v>0</v>
      </c>
      <c r="BY490" s="2" t="n">
        <v>0</v>
      </c>
      <c r="BZ490" s="2" t="n">
        <v>0</v>
      </c>
      <c r="CA490" s="2" t="n">
        <v>0</v>
      </c>
      <c r="CB490" s="2" t="n">
        <v>0</v>
      </c>
      <c r="CC490" s="2" t="n">
        <v>0</v>
      </c>
      <c r="CD490" s="2" t="n">
        <v>0</v>
      </c>
      <c r="CE490" s="2" t="n">
        <v>0</v>
      </c>
      <c r="CF490" s="2" t="n">
        <v>0</v>
      </c>
      <c r="CG490" s="2" t="n">
        <v>0</v>
      </c>
      <c r="CH490" s="2" t="n">
        <v>0</v>
      </c>
      <c r="CI490" s="2" t="n">
        <v>0</v>
      </c>
      <c r="CJ490" s="2" t="n">
        <v>0</v>
      </c>
      <c r="CK490" s="2" t="n">
        <v>0</v>
      </c>
      <c r="CL490" s="2" t="n">
        <v>0</v>
      </c>
      <c r="CM490" s="2" t="n">
        <v>0</v>
      </c>
      <c r="CN490" s="2" t="n">
        <v>0</v>
      </c>
      <c r="CO490" s="2" t="n">
        <v>0</v>
      </c>
      <c r="CP490" s="2" t="n">
        <v>0</v>
      </c>
      <c r="CQ490" s="2" t="n">
        <v>0</v>
      </c>
      <c r="CR490" s="2" t="n">
        <v>0</v>
      </c>
      <c r="CS490" s="2" t="n">
        <v>0</v>
      </c>
      <c r="CT490" s="2" t="n">
        <v>0</v>
      </c>
      <c r="CU490" s="2" t="n">
        <v>0</v>
      </c>
      <c r="CV490" s="2" t="n">
        <v>0</v>
      </c>
      <c r="CW490" s="2" t="n">
        <v>0</v>
      </c>
      <c r="CX490" s="2" t="n">
        <v>0</v>
      </c>
      <c r="CY490" s="2" t="n">
        <v>0</v>
      </c>
      <c r="CZ490" s="2" t="n">
        <v>0</v>
      </c>
      <c r="DA490" s="2" t="n">
        <v>0</v>
      </c>
      <c r="DB490" s="2" t="n">
        <v>0</v>
      </c>
      <c r="DC490" s="2" t="n">
        <v>0</v>
      </c>
      <c r="DD490" s="2" t="n">
        <v>0</v>
      </c>
      <c r="DE490" s="2" t="n">
        <v>0</v>
      </c>
      <c r="DF490" s="2" t="n">
        <v>0</v>
      </c>
      <c r="DG490" s="2" t="n">
        <v>2.39</v>
      </c>
      <c r="DH490" s="2" t="n">
        <v>3.71</v>
      </c>
      <c r="DI490" s="2" t="n">
        <v>0</v>
      </c>
      <c r="DJ490" s="2" t="n">
        <v>16.03</v>
      </c>
      <c r="DK490" s="2" t="n">
        <v>18.33</v>
      </c>
      <c r="DL490" s="2" t="n">
        <v>0</v>
      </c>
      <c r="DM490" s="2" t="n">
        <v>24.27</v>
      </c>
      <c r="DN490" s="2" t="n">
        <v>25.65</v>
      </c>
      <c r="DO490" s="2" t="n">
        <v>0</v>
      </c>
      <c r="DP490" s="2" t="n">
        <v>30.78</v>
      </c>
      <c r="DQ490" s="2" t="n">
        <v>32.15</v>
      </c>
      <c r="DR490" s="2" t="n">
        <v>0</v>
      </c>
      <c r="DS490" s="2" t="n">
        <v>37.28</v>
      </c>
      <c r="DT490" s="2" t="n">
        <v>38.62</v>
      </c>
      <c r="DU490" s="2" t="n">
        <v>0</v>
      </c>
      <c r="DV490" s="2" t="n">
        <v>43.25</v>
      </c>
      <c r="DW490" s="2" t="n">
        <v>44.97</v>
      </c>
      <c r="DX490" s="2" t="n">
        <v>0</v>
      </c>
      <c r="DY490" s="2" t="n">
        <v>49.63</v>
      </c>
      <c r="DZ490" s="2" t="n">
        <v>57.21</v>
      </c>
      <c r="EA490" s="2" t="n">
        <v>0</v>
      </c>
      <c r="EB490" s="2" t="n">
        <v>60.93</v>
      </c>
      <c r="EC490" s="2" t="n">
        <v>66.06</v>
      </c>
      <c r="ED490" s="2" t="n">
        <v>0</v>
      </c>
      <c r="EE490" s="2" t="n">
        <v>65.58</v>
      </c>
      <c r="EF490" s="2" t="n">
        <v>73.8</v>
      </c>
      <c r="EG490" s="2" t="n">
        <v>0</v>
      </c>
      <c r="EH490" s="2" t="n">
        <v>79.70999999999999</v>
      </c>
      <c r="EI490" s="2" t="n">
        <v>88.19</v>
      </c>
      <c r="EJ490" s="2" t="n">
        <v>0</v>
      </c>
      <c r="EK490" s="2" t="n">
        <v>91.89</v>
      </c>
      <c r="EL490" s="2" t="n">
        <v>99.55</v>
      </c>
      <c r="EM490" s="2" t="n">
        <v>0</v>
      </c>
      <c r="EN490" s="2" t="n">
        <v>100</v>
      </c>
      <c r="EO490" s="2" t="n">
        <v>100</v>
      </c>
      <c r="EP490" s="2" t="n">
        <v>0</v>
      </c>
      <c r="EQ490" s="2" t="n">
        <v>100</v>
      </c>
      <c r="ER490" s="2" t="n">
        <v>100</v>
      </c>
      <c r="ES490" s="2" t="n">
        <v>0</v>
      </c>
    </row>
    <row r="491">
      <c r="A491" s="2" t="n">
        <v>3</v>
      </c>
      <c r="B491" s="2" t="inlineStr">
        <is>
          <t>20.02.10</t>
        </is>
      </c>
      <c r="C491" s="2" t="inlineStr">
        <is>
          <t>Luminotécnico</t>
        </is>
      </c>
      <c r="D491" s="2" t="inlineStr">
        <is>
          <t>07/04/2028</t>
        </is>
      </c>
      <c r="E491" s="2" t="inlineStr">
        <is>
          <t>12/03/2029</t>
        </is>
      </c>
      <c r="F491" s="2" t="n">
        <v>925848</v>
      </c>
      <c r="G491" s="2" t="n">
        <v>0</v>
      </c>
      <c r="H491" s="2" t="n">
        <v>925848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  <c r="AM491" s="2" t="n">
        <v>0</v>
      </c>
      <c r="AN491" s="2" t="n">
        <v>0</v>
      </c>
      <c r="AO491" s="2" t="n">
        <v>0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n">
        <v>0</v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n">
        <v>0</v>
      </c>
      <c r="BI491" s="2" t="n">
        <v>0</v>
      </c>
      <c r="BJ491" s="2" t="n">
        <v>0</v>
      </c>
      <c r="BK491" s="2" t="n">
        <v>0</v>
      </c>
      <c r="BL491" s="2" t="n">
        <v>0</v>
      </c>
      <c r="BM491" s="2" t="n">
        <v>0</v>
      </c>
      <c r="BN491" s="2" t="n">
        <v>0</v>
      </c>
      <c r="BO491" s="2" t="n">
        <v>0</v>
      </c>
      <c r="BP491" s="2" t="n">
        <v>0</v>
      </c>
      <c r="BQ491" s="2" t="n">
        <v>0</v>
      </c>
      <c r="BR491" s="2" t="n">
        <v>0</v>
      </c>
      <c r="BS491" s="2" t="n">
        <v>0</v>
      </c>
      <c r="BT491" s="2" t="n">
        <v>0</v>
      </c>
      <c r="BU491" s="2" t="n">
        <v>0</v>
      </c>
      <c r="BV491" s="2" t="n">
        <v>0</v>
      </c>
      <c r="BW491" s="2" t="n">
        <v>0</v>
      </c>
      <c r="BX491" s="2" t="n">
        <v>0</v>
      </c>
      <c r="BY491" s="2" t="n">
        <v>0</v>
      </c>
      <c r="BZ491" s="2" t="n">
        <v>0</v>
      </c>
      <c r="CA491" s="2" t="n">
        <v>0</v>
      </c>
      <c r="CB491" s="2" t="n">
        <v>0</v>
      </c>
      <c r="CC491" s="2" t="n">
        <v>0</v>
      </c>
      <c r="CD491" s="2" t="n">
        <v>0</v>
      </c>
      <c r="CE491" s="2" t="n">
        <v>0</v>
      </c>
      <c r="CF491" s="2" t="n">
        <v>0</v>
      </c>
      <c r="CG491" s="2" t="n">
        <v>0</v>
      </c>
      <c r="CH491" s="2" t="n">
        <v>0</v>
      </c>
      <c r="CI491" s="2" t="n">
        <v>0</v>
      </c>
      <c r="CJ491" s="2" t="n">
        <v>0</v>
      </c>
      <c r="CK491" s="2" t="n">
        <v>0</v>
      </c>
      <c r="CL491" s="2" t="n">
        <v>0</v>
      </c>
      <c r="CM491" s="2" t="n">
        <v>0</v>
      </c>
      <c r="CN491" s="2" t="n">
        <v>0</v>
      </c>
      <c r="CO491" s="2" t="n">
        <v>0</v>
      </c>
      <c r="CP491" s="2" t="n">
        <v>0</v>
      </c>
      <c r="CQ491" s="2" t="n">
        <v>0</v>
      </c>
      <c r="CR491" s="2" t="n">
        <v>0</v>
      </c>
      <c r="CS491" s="2" t="n">
        <v>0</v>
      </c>
      <c r="CT491" s="2" t="n">
        <v>0</v>
      </c>
      <c r="CU491" s="2" t="n">
        <v>0</v>
      </c>
      <c r="CV491" s="2" t="n">
        <v>0</v>
      </c>
      <c r="CW491" s="2" t="n">
        <v>0</v>
      </c>
      <c r="CX491" s="2" t="n">
        <v>0</v>
      </c>
      <c r="CY491" s="2" t="n">
        <v>0</v>
      </c>
      <c r="CZ491" s="2" t="n">
        <v>0</v>
      </c>
      <c r="DA491" s="2" t="n">
        <v>0</v>
      </c>
      <c r="DB491" s="2" t="n">
        <v>0</v>
      </c>
      <c r="DC491" s="2" t="n">
        <v>0</v>
      </c>
      <c r="DD491" s="2" t="n">
        <v>0</v>
      </c>
      <c r="DE491" s="2" t="n">
        <v>0</v>
      </c>
      <c r="DF491" s="2" t="n">
        <v>0</v>
      </c>
      <c r="DG491" s="2" t="n">
        <v>2.39</v>
      </c>
      <c r="DH491" s="2" t="n">
        <v>3.71</v>
      </c>
      <c r="DI491" s="2" t="n">
        <v>0</v>
      </c>
      <c r="DJ491" s="2" t="n">
        <v>16.03</v>
      </c>
      <c r="DK491" s="2" t="n">
        <v>18.33</v>
      </c>
      <c r="DL491" s="2" t="n">
        <v>0</v>
      </c>
      <c r="DM491" s="2" t="n">
        <v>24.27</v>
      </c>
      <c r="DN491" s="2" t="n">
        <v>25.65</v>
      </c>
      <c r="DO491" s="2" t="n">
        <v>0</v>
      </c>
      <c r="DP491" s="2" t="n">
        <v>30.78</v>
      </c>
      <c r="DQ491" s="2" t="n">
        <v>32.15</v>
      </c>
      <c r="DR491" s="2" t="n">
        <v>0</v>
      </c>
      <c r="DS491" s="2" t="n">
        <v>37.28</v>
      </c>
      <c r="DT491" s="2" t="n">
        <v>38.62</v>
      </c>
      <c r="DU491" s="2" t="n">
        <v>0</v>
      </c>
      <c r="DV491" s="2" t="n">
        <v>43.25</v>
      </c>
      <c r="DW491" s="2" t="n">
        <v>44.97</v>
      </c>
      <c r="DX491" s="2" t="n">
        <v>0</v>
      </c>
      <c r="DY491" s="2" t="n">
        <v>49.63</v>
      </c>
      <c r="DZ491" s="2" t="n">
        <v>57.21</v>
      </c>
      <c r="EA491" s="2" t="n">
        <v>0</v>
      </c>
      <c r="EB491" s="2" t="n">
        <v>60.93</v>
      </c>
      <c r="EC491" s="2" t="n">
        <v>66.06</v>
      </c>
      <c r="ED491" s="2" t="n">
        <v>0</v>
      </c>
      <c r="EE491" s="2" t="n">
        <v>65.58</v>
      </c>
      <c r="EF491" s="2" t="n">
        <v>73.8</v>
      </c>
      <c r="EG491" s="2" t="n">
        <v>0</v>
      </c>
      <c r="EH491" s="2" t="n">
        <v>79.70999999999999</v>
      </c>
      <c r="EI491" s="2" t="n">
        <v>88.19</v>
      </c>
      <c r="EJ491" s="2" t="n">
        <v>0</v>
      </c>
      <c r="EK491" s="2" t="n">
        <v>91.89</v>
      </c>
      <c r="EL491" s="2" t="n">
        <v>99.55</v>
      </c>
      <c r="EM491" s="2" t="n">
        <v>0</v>
      </c>
      <c r="EN491" s="2" t="n">
        <v>100</v>
      </c>
      <c r="EO491" s="2" t="n">
        <v>100</v>
      </c>
      <c r="EP491" s="2" t="n">
        <v>0</v>
      </c>
      <c r="EQ491" s="2" t="n">
        <v>100</v>
      </c>
      <c r="ER491" s="2" t="n">
        <v>100</v>
      </c>
      <c r="ES491" s="2" t="n">
        <v>0</v>
      </c>
    </row>
    <row r="492">
      <c r="A492" s="2" t="n">
        <v>2</v>
      </c>
      <c r="B492" s="2" t="inlineStr">
        <is>
          <t>20.03</t>
        </is>
      </c>
      <c r="C492" s="2" t="inlineStr">
        <is>
          <t>Instalações elétricas complementares</t>
        </is>
      </c>
      <c r="D492" s="2" t="inlineStr">
        <is>
          <t>01/10/2027</t>
        </is>
      </c>
      <c r="E492" s="2" t="inlineStr">
        <is>
          <t>26/10/2028</t>
        </is>
      </c>
      <c r="F492" s="2" t="n">
        <v>2104200</v>
      </c>
      <c r="G492" s="2" t="n">
        <v>0</v>
      </c>
      <c r="H492" s="2" t="n">
        <v>2104200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0</v>
      </c>
      <c r="AN492" s="2" t="n">
        <v>0</v>
      </c>
      <c r="AO492" s="2" t="n">
        <v>0</v>
      </c>
      <c r="AP492" s="2" t="n">
        <v>0</v>
      </c>
      <c r="AQ492" s="2" t="n">
        <v>0</v>
      </c>
      <c r="AR492" s="2" t="n">
        <v>0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0</v>
      </c>
      <c r="AX492" s="2" t="n">
        <v>0</v>
      </c>
      <c r="AY492" s="2" t="n">
        <v>0</v>
      </c>
      <c r="AZ492" s="2" t="n">
        <v>0</v>
      </c>
      <c r="BA492" s="2" t="n">
        <v>0</v>
      </c>
      <c r="BB492" s="2" t="n">
        <v>0</v>
      </c>
      <c r="BC492" s="2" t="n">
        <v>0</v>
      </c>
      <c r="BD492" s="2" t="n">
        <v>0</v>
      </c>
      <c r="BE492" s="2" t="n">
        <v>0</v>
      </c>
      <c r="BF492" s="2" t="n">
        <v>0</v>
      </c>
      <c r="BG492" s="2" t="n">
        <v>0</v>
      </c>
      <c r="BH492" s="2" t="n">
        <v>0</v>
      </c>
      <c r="BI492" s="2" t="n">
        <v>0</v>
      </c>
      <c r="BJ492" s="2" t="n">
        <v>0</v>
      </c>
      <c r="BK492" s="2" t="n">
        <v>0</v>
      </c>
      <c r="BL492" s="2" t="n">
        <v>0</v>
      </c>
      <c r="BM492" s="2" t="n">
        <v>0</v>
      </c>
      <c r="BN492" s="2" t="n">
        <v>0</v>
      </c>
      <c r="BO492" s="2" t="n">
        <v>0</v>
      </c>
      <c r="BP492" s="2" t="n">
        <v>0</v>
      </c>
      <c r="BQ492" s="2" t="n">
        <v>0</v>
      </c>
      <c r="BR492" s="2" t="n">
        <v>0</v>
      </c>
      <c r="BS492" s="2" t="n">
        <v>0</v>
      </c>
      <c r="BT492" s="2" t="n">
        <v>0</v>
      </c>
      <c r="BU492" s="2" t="n">
        <v>0</v>
      </c>
      <c r="BV492" s="2" t="n">
        <v>0</v>
      </c>
      <c r="BW492" s="2" t="n">
        <v>0</v>
      </c>
      <c r="BX492" s="2" t="n">
        <v>0</v>
      </c>
      <c r="BY492" s="2" t="n">
        <v>0</v>
      </c>
      <c r="BZ492" s="2" t="n">
        <v>0</v>
      </c>
      <c r="CA492" s="2" t="n">
        <v>0</v>
      </c>
      <c r="CB492" s="2" t="n">
        <v>0</v>
      </c>
      <c r="CC492" s="2" t="n">
        <v>0</v>
      </c>
      <c r="CD492" s="2" t="n">
        <v>0</v>
      </c>
      <c r="CE492" s="2" t="n">
        <v>0</v>
      </c>
      <c r="CF492" s="2" t="n">
        <v>0</v>
      </c>
      <c r="CG492" s="2" t="n">
        <v>0</v>
      </c>
      <c r="CH492" s="2" t="n">
        <v>0</v>
      </c>
      <c r="CI492" s="2" t="n">
        <v>0</v>
      </c>
      <c r="CJ492" s="2" t="n">
        <v>0</v>
      </c>
      <c r="CK492" s="2" t="n">
        <v>0</v>
      </c>
      <c r="CL492" s="2" t="n">
        <v>0</v>
      </c>
      <c r="CM492" s="2" t="n">
        <v>0</v>
      </c>
      <c r="CN492" s="2" t="n">
        <v>0</v>
      </c>
      <c r="CO492" s="2" t="n">
        <v>3.12</v>
      </c>
      <c r="CP492" s="2" t="n">
        <v>4.29</v>
      </c>
      <c r="CQ492" s="2" t="n">
        <v>0</v>
      </c>
      <c r="CR492" s="2" t="n">
        <v>7.41</v>
      </c>
      <c r="CS492" s="2" t="n">
        <v>13.68</v>
      </c>
      <c r="CT492" s="2" t="n">
        <v>0</v>
      </c>
      <c r="CU492" s="2" t="n">
        <v>16.02</v>
      </c>
      <c r="CV492" s="2" t="n">
        <v>17.18</v>
      </c>
      <c r="CW492" s="2" t="n">
        <v>0</v>
      </c>
      <c r="CX492" s="2" t="n">
        <v>24.36</v>
      </c>
      <c r="CY492" s="2" t="n">
        <v>29.88</v>
      </c>
      <c r="CZ492" s="2" t="n">
        <v>0</v>
      </c>
      <c r="DA492" s="2" t="n">
        <v>36.99</v>
      </c>
      <c r="DB492" s="2" t="n">
        <v>38.98</v>
      </c>
      <c r="DC492" s="2" t="n">
        <v>0</v>
      </c>
      <c r="DD492" s="2" t="n">
        <v>42.88</v>
      </c>
      <c r="DE492" s="2" t="n">
        <v>47.62</v>
      </c>
      <c r="DF492" s="2" t="n">
        <v>0</v>
      </c>
      <c r="DG492" s="2" t="n">
        <v>49.33</v>
      </c>
      <c r="DH492" s="2" t="n">
        <v>53.05</v>
      </c>
      <c r="DI492" s="2" t="n">
        <v>0</v>
      </c>
      <c r="DJ492" s="2" t="n">
        <v>57.43</v>
      </c>
      <c r="DK492" s="2" t="n">
        <v>59.93</v>
      </c>
      <c r="DL492" s="2" t="n">
        <v>0</v>
      </c>
      <c r="DM492" s="2" t="n">
        <v>63.97</v>
      </c>
      <c r="DN492" s="2" t="n">
        <v>68.43000000000001</v>
      </c>
      <c r="DO492" s="2" t="n">
        <v>0</v>
      </c>
      <c r="DP492" s="2" t="n">
        <v>71.93000000000001</v>
      </c>
      <c r="DQ492" s="2" t="n">
        <v>73.13</v>
      </c>
      <c r="DR492" s="2" t="n">
        <v>0</v>
      </c>
      <c r="DS492" s="2" t="n">
        <v>88.06999999999999</v>
      </c>
      <c r="DT492" s="2" t="n">
        <v>92.63</v>
      </c>
      <c r="DU492" s="2" t="n">
        <v>0</v>
      </c>
      <c r="DV492" s="2" t="n">
        <v>92.67</v>
      </c>
      <c r="DW492" s="2" t="n">
        <v>94.98999999999999</v>
      </c>
      <c r="DX492" s="2" t="n">
        <v>0</v>
      </c>
      <c r="DY492" s="2" t="n">
        <v>97.06</v>
      </c>
      <c r="DZ492" s="2" t="n">
        <v>100</v>
      </c>
      <c r="EA492" s="2" t="n">
        <v>0</v>
      </c>
      <c r="EB492" s="2" t="n">
        <v>100</v>
      </c>
      <c r="EC492" s="2" t="n">
        <v>100</v>
      </c>
      <c r="ED492" s="2" t="n">
        <v>0</v>
      </c>
      <c r="EE492" s="2" t="n">
        <v>100</v>
      </c>
      <c r="EF492" s="2" t="n">
        <v>100</v>
      </c>
      <c r="EG492" s="2" t="n">
        <v>0</v>
      </c>
      <c r="EH492" s="2" t="n">
        <v>100</v>
      </c>
      <c r="EI492" s="2" t="n">
        <v>100</v>
      </c>
      <c r="EJ492" s="2" t="n">
        <v>0</v>
      </c>
      <c r="EK492" s="2" t="n">
        <v>100</v>
      </c>
      <c r="EL492" s="2" t="n">
        <v>100</v>
      </c>
      <c r="EM492" s="2" t="n">
        <v>0</v>
      </c>
      <c r="EN492" s="2" t="n">
        <v>100</v>
      </c>
      <c r="EO492" s="2" t="n">
        <v>100</v>
      </c>
      <c r="EP492" s="2" t="n">
        <v>0</v>
      </c>
      <c r="EQ492" s="2" t="n">
        <v>100</v>
      </c>
      <c r="ER492" s="2" t="n">
        <v>100</v>
      </c>
      <c r="ES492" s="2" t="n">
        <v>0</v>
      </c>
    </row>
    <row r="493">
      <c r="A493" s="2" t="n">
        <v>3</v>
      </c>
      <c r="B493" s="2" t="inlineStr">
        <is>
          <t>20.03.01</t>
        </is>
      </c>
      <c r="C493" s="2" t="inlineStr">
        <is>
          <t>SPDA</t>
        </is>
      </c>
      <c r="D493" s="2" t="inlineStr">
        <is>
          <t>03/08/2028</t>
        </is>
      </c>
      <c r="E493" s="2" t="inlineStr">
        <is>
          <t>21/08/2028</t>
        </is>
      </c>
      <c r="F493" s="2" t="n">
        <v>336672</v>
      </c>
      <c r="G493" s="2" t="n">
        <v>0</v>
      </c>
      <c r="H493" s="2" t="n">
        <v>336672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2" t="n">
        <v>0</v>
      </c>
      <c r="AN493" s="2" t="n">
        <v>0</v>
      </c>
      <c r="AO493" s="2" t="n">
        <v>0</v>
      </c>
      <c r="AP493" s="2" t="n">
        <v>0</v>
      </c>
      <c r="AQ493" s="2" t="n">
        <v>0</v>
      </c>
      <c r="AR493" s="2" t="n">
        <v>0</v>
      </c>
      <c r="AS493" s="2" t="n">
        <v>0</v>
      </c>
      <c r="AT493" s="2" t="n">
        <v>0</v>
      </c>
      <c r="AU493" s="2" t="n">
        <v>0</v>
      </c>
      <c r="AV493" s="2" t="n">
        <v>0</v>
      </c>
      <c r="AW493" s="2" t="n">
        <v>0</v>
      </c>
      <c r="AX493" s="2" t="n">
        <v>0</v>
      </c>
      <c r="AY493" s="2" t="n">
        <v>0</v>
      </c>
      <c r="AZ493" s="2" t="n">
        <v>0</v>
      </c>
      <c r="BA493" s="2" t="n">
        <v>0</v>
      </c>
      <c r="BB493" s="2" t="n">
        <v>0</v>
      </c>
      <c r="BC493" s="2" t="n">
        <v>0</v>
      </c>
      <c r="BD493" s="2" t="n">
        <v>0</v>
      </c>
      <c r="BE493" s="2" t="n">
        <v>0</v>
      </c>
      <c r="BF493" s="2" t="n">
        <v>0</v>
      </c>
      <c r="BG493" s="2" t="n">
        <v>0</v>
      </c>
      <c r="BH493" s="2" t="n">
        <v>0</v>
      </c>
      <c r="BI493" s="2" t="n">
        <v>0</v>
      </c>
      <c r="BJ493" s="2" t="n">
        <v>0</v>
      </c>
      <c r="BK493" s="2" t="n">
        <v>0</v>
      </c>
      <c r="BL493" s="2" t="n">
        <v>0</v>
      </c>
      <c r="BM493" s="2" t="n">
        <v>0</v>
      </c>
      <c r="BN493" s="2" t="n">
        <v>0</v>
      </c>
      <c r="BO493" s="2" t="n">
        <v>0</v>
      </c>
      <c r="BP493" s="2" t="n">
        <v>0</v>
      </c>
      <c r="BQ493" s="2" t="n">
        <v>0</v>
      </c>
      <c r="BR493" s="2" t="n">
        <v>0</v>
      </c>
      <c r="BS493" s="2" t="n">
        <v>0</v>
      </c>
      <c r="BT493" s="2" t="n">
        <v>0</v>
      </c>
      <c r="BU493" s="2" t="n">
        <v>0</v>
      </c>
      <c r="BV493" s="2" t="n">
        <v>0</v>
      </c>
      <c r="BW493" s="2" t="n">
        <v>0</v>
      </c>
      <c r="BX493" s="2" t="n">
        <v>0</v>
      </c>
      <c r="BY493" s="2" t="n">
        <v>0</v>
      </c>
      <c r="BZ493" s="2" t="n">
        <v>0</v>
      </c>
      <c r="CA493" s="2" t="n">
        <v>0</v>
      </c>
      <c r="CB493" s="2" t="n">
        <v>0</v>
      </c>
      <c r="CC493" s="2" t="n">
        <v>0</v>
      </c>
      <c r="CD493" s="2" t="n">
        <v>0</v>
      </c>
      <c r="CE493" s="2" t="n">
        <v>0</v>
      </c>
      <c r="CF493" s="2" t="n">
        <v>0</v>
      </c>
      <c r="CG493" s="2" t="n">
        <v>0</v>
      </c>
      <c r="CH493" s="2" t="n">
        <v>0</v>
      </c>
      <c r="CI493" s="2" t="n">
        <v>0</v>
      </c>
      <c r="CJ493" s="2" t="n">
        <v>0</v>
      </c>
      <c r="CK493" s="2" t="n">
        <v>0</v>
      </c>
      <c r="CL493" s="2" t="n">
        <v>0</v>
      </c>
      <c r="CM493" s="2" t="n">
        <v>0</v>
      </c>
      <c r="CN493" s="2" t="n">
        <v>0</v>
      </c>
      <c r="CO493" s="2" t="n">
        <v>0</v>
      </c>
      <c r="CP493" s="2" t="n">
        <v>0</v>
      </c>
      <c r="CQ493" s="2" t="n">
        <v>0</v>
      </c>
      <c r="CR493" s="2" t="n">
        <v>0</v>
      </c>
      <c r="CS493" s="2" t="n">
        <v>0</v>
      </c>
      <c r="CT493" s="2" t="n">
        <v>0</v>
      </c>
      <c r="CU493" s="2" t="n">
        <v>0</v>
      </c>
      <c r="CV493" s="2" t="n">
        <v>0</v>
      </c>
      <c r="CW493" s="2" t="n">
        <v>0</v>
      </c>
      <c r="CX493" s="2" t="n">
        <v>0</v>
      </c>
      <c r="CY493" s="2" t="n">
        <v>0</v>
      </c>
      <c r="CZ493" s="2" t="n">
        <v>0</v>
      </c>
      <c r="DA493" s="2" t="n">
        <v>0</v>
      </c>
      <c r="DB493" s="2" t="n">
        <v>0</v>
      </c>
      <c r="DC493" s="2" t="n">
        <v>0</v>
      </c>
      <c r="DD493" s="2" t="n">
        <v>0</v>
      </c>
      <c r="DE493" s="2" t="n">
        <v>0</v>
      </c>
      <c r="DF493" s="2" t="n">
        <v>0</v>
      </c>
      <c r="DG493" s="2" t="n">
        <v>0</v>
      </c>
      <c r="DH493" s="2" t="n">
        <v>0</v>
      </c>
      <c r="DI493" s="2" t="n">
        <v>0</v>
      </c>
      <c r="DJ493" s="2" t="n">
        <v>0</v>
      </c>
      <c r="DK493" s="2" t="n">
        <v>0</v>
      </c>
      <c r="DL493" s="2" t="n">
        <v>0</v>
      </c>
      <c r="DM493" s="2" t="n">
        <v>0</v>
      </c>
      <c r="DN493" s="2" t="n">
        <v>0</v>
      </c>
      <c r="DO493" s="2" t="n">
        <v>0</v>
      </c>
      <c r="DP493" s="2" t="n">
        <v>0</v>
      </c>
      <c r="DQ493" s="2" t="n">
        <v>0</v>
      </c>
      <c r="DR493" s="2" t="n">
        <v>0</v>
      </c>
      <c r="DS493" s="2" t="n">
        <v>76.27</v>
      </c>
      <c r="DT493" s="2" t="n">
        <v>100</v>
      </c>
      <c r="DU493" s="2" t="n">
        <v>0</v>
      </c>
      <c r="DV493" s="2" t="n">
        <v>100</v>
      </c>
      <c r="DW493" s="2" t="n">
        <v>100</v>
      </c>
      <c r="DX493" s="2" t="n">
        <v>0</v>
      </c>
      <c r="DY493" s="2" t="n">
        <v>100</v>
      </c>
      <c r="DZ493" s="2" t="n">
        <v>100</v>
      </c>
      <c r="EA493" s="2" t="n">
        <v>0</v>
      </c>
      <c r="EB493" s="2" t="n">
        <v>100</v>
      </c>
      <c r="EC493" s="2" t="n">
        <v>100</v>
      </c>
      <c r="ED493" s="2" t="n">
        <v>0</v>
      </c>
      <c r="EE493" s="2" t="n">
        <v>100</v>
      </c>
      <c r="EF493" s="2" t="n">
        <v>100</v>
      </c>
      <c r="EG493" s="2" t="n">
        <v>0</v>
      </c>
      <c r="EH493" s="2" t="n">
        <v>100</v>
      </c>
      <c r="EI493" s="2" t="n">
        <v>100</v>
      </c>
      <c r="EJ493" s="2" t="n">
        <v>0</v>
      </c>
      <c r="EK493" s="2" t="n">
        <v>100</v>
      </c>
      <c r="EL493" s="2" t="n">
        <v>100</v>
      </c>
      <c r="EM493" s="2" t="n">
        <v>0</v>
      </c>
      <c r="EN493" s="2" t="n">
        <v>100</v>
      </c>
      <c r="EO493" s="2" t="n">
        <v>100</v>
      </c>
      <c r="EP493" s="2" t="n">
        <v>0</v>
      </c>
      <c r="EQ493" s="2" t="n">
        <v>100</v>
      </c>
      <c r="ER493" s="2" t="n">
        <v>100</v>
      </c>
      <c r="ES493" s="2" t="n">
        <v>0</v>
      </c>
    </row>
    <row r="494">
      <c r="A494" s="2" t="n">
        <v>3</v>
      </c>
      <c r="B494" s="2" t="inlineStr">
        <is>
          <t>20.03.02</t>
        </is>
      </c>
      <c r="C494" s="2" t="inlineStr">
        <is>
          <t>Automação</t>
        </is>
      </c>
      <c r="D494" s="2" t="inlineStr">
        <is>
          <t>01/10/2027</t>
        </is>
      </c>
      <c r="E494" s="2" t="inlineStr">
        <is>
          <t>26/10/2028</t>
        </is>
      </c>
      <c r="F494" s="2" t="n">
        <v>378756</v>
      </c>
      <c r="G494" s="2" t="n">
        <v>0</v>
      </c>
      <c r="H494" s="2" t="n">
        <v>378756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0</v>
      </c>
      <c r="AP494" s="2" t="n">
        <v>0</v>
      </c>
      <c r="AQ494" s="2" t="n">
        <v>0</v>
      </c>
      <c r="AR494" s="2" t="n">
        <v>0</v>
      </c>
      <c r="AS494" s="2" t="n">
        <v>0</v>
      </c>
      <c r="AT494" s="2" t="n">
        <v>0</v>
      </c>
      <c r="AU494" s="2" t="n">
        <v>0</v>
      </c>
      <c r="AV494" s="2" t="n">
        <v>0</v>
      </c>
      <c r="AW494" s="2" t="n">
        <v>0</v>
      </c>
      <c r="AX494" s="2" t="n">
        <v>0</v>
      </c>
      <c r="AY494" s="2" t="n">
        <v>0</v>
      </c>
      <c r="AZ494" s="2" t="n">
        <v>0</v>
      </c>
      <c r="BA494" s="2" t="n">
        <v>0</v>
      </c>
      <c r="BB494" s="2" t="n">
        <v>0</v>
      </c>
      <c r="BC494" s="2" t="n">
        <v>0</v>
      </c>
      <c r="BD494" s="2" t="n">
        <v>0</v>
      </c>
      <c r="BE494" s="2" t="n">
        <v>0</v>
      </c>
      <c r="BF494" s="2" t="n">
        <v>0</v>
      </c>
      <c r="BG494" s="2" t="n">
        <v>0</v>
      </c>
      <c r="BH494" s="2" t="n">
        <v>0</v>
      </c>
      <c r="BI494" s="2" t="n">
        <v>0</v>
      </c>
      <c r="BJ494" s="2" t="n">
        <v>0</v>
      </c>
      <c r="BK494" s="2" t="n">
        <v>0</v>
      </c>
      <c r="BL494" s="2" t="n">
        <v>0</v>
      </c>
      <c r="BM494" s="2" t="n">
        <v>0</v>
      </c>
      <c r="BN494" s="2" t="n">
        <v>0</v>
      </c>
      <c r="BO494" s="2" t="n">
        <v>0</v>
      </c>
      <c r="BP494" s="2" t="n">
        <v>0</v>
      </c>
      <c r="BQ494" s="2" t="n">
        <v>0</v>
      </c>
      <c r="BR494" s="2" t="n">
        <v>0</v>
      </c>
      <c r="BS494" s="2" t="n">
        <v>0</v>
      </c>
      <c r="BT494" s="2" t="n">
        <v>0</v>
      </c>
      <c r="BU494" s="2" t="n">
        <v>0</v>
      </c>
      <c r="BV494" s="2" t="n">
        <v>0</v>
      </c>
      <c r="BW494" s="2" t="n">
        <v>0</v>
      </c>
      <c r="BX494" s="2" t="n">
        <v>0</v>
      </c>
      <c r="BY494" s="2" t="n">
        <v>0</v>
      </c>
      <c r="BZ494" s="2" t="n">
        <v>0</v>
      </c>
      <c r="CA494" s="2" t="n">
        <v>0</v>
      </c>
      <c r="CB494" s="2" t="n">
        <v>0</v>
      </c>
      <c r="CC494" s="2" t="n">
        <v>0</v>
      </c>
      <c r="CD494" s="2" t="n">
        <v>0</v>
      </c>
      <c r="CE494" s="2" t="n">
        <v>0</v>
      </c>
      <c r="CF494" s="2" t="n">
        <v>0</v>
      </c>
      <c r="CG494" s="2" t="n">
        <v>0</v>
      </c>
      <c r="CH494" s="2" t="n">
        <v>0</v>
      </c>
      <c r="CI494" s="2" t="n">
        <v>0</v>
      </c>
      <c r="CJ494" s="2" t="n">
        <v>0</v>
      </c>
      <c r="CK494" s="2" t="n">
        <v>0</v>
      </c>
      <c r="CL494" s="2" t="n">
        <v>0</v>
      </c>
      <c r="CM494" s="2" t="n">
        <v>0</v>
      </c>
      <c r="CN494" s="2" t="n">
        <v>0</v>
      </c>
      <c r="CO494" s="2" t="n">
        <v>3.71</v>
      </c>
      <c r="CP494" s="2" t="n">
        <v>5.1</v>
      </c>
      <c r="CQ494" s="2" t="n">
        <v>0</v>
      </c>
      <c r="CR494" s="2" t="n">
        <v>8.82</v>
      </c>
      <c r="CS494" s="2" t="n">
        <v>16.28</v>
      </c>
      <c r="CT494" s="2" t="n">
        <v>0</v>
      </c>
      <c r="CU494" s="2" t="n">
        <v>19.07</v>
      </c>
      <c r="CV494" s="2" t="n">
        <v>20.46</v>
      </c>
      <c r="CW494" s="2" t="n">
        <v>0</v>
      </c>
      <c r="CX494" s="2" t="n">
        <v>29.01</v>
      </c>
      <c r="CY494" s="2" t="n">
        <v>35.57</v>
      </c>
      <c r="CZ494" s="2" t="n">
        <v>0</v>
      </c>
      <c r="DA494" s="2" t="n">
        <v>44.04</v>
      </c>
      <c r="DB494" s="2" t="n">
        <v>46.41</v>
      </c>
      <c r="DC494" s="2" t="n">
        <v>0</v>
      </c>
      <c r="DD494" s="2" t="n">
        <v>51.05</v>
      </c>
      <c r="DE494" s="2" t="n">
        <v>56.69</v>
      </c>
      <c r="DF494" s="2" t="n">
        <v>0</v>
      </c>
      <c r="DG494" s="2" t="n">
        <v>58.73</v>
      </c>
      <c r="DH494" s="2" t="n">
        <v>63.16</v>
      </c>
      <c r="DI494" s="2" t="n">
        <v>0</v>
      </c>
      <c r="DJ494" s="2" t="n">
        <v>68.36</v>
      </c>
      <c r="DK494" s="2" t="n">
        <v>71.34999999999999</v>
      </c>
      <c r="DL494" s="2" t="n">
        <v>0</v>
      </c>
      <c r="DM494" s="2" t="n">
        <v>76.16</v>
      </c>
      <c r="DN494" s="2" t="n">
        <v>81.45999999999999</v>
      </c>
      <c r="DO494" s="2" t="n">
        <v>0</v>
      </c>
      <c r="DP494" s="2" t="n">
        <v>85.63</v>
      </c>
      <c r="DQ494" s="2" t="n">
        <v>87.06</v>
      </c>
      <c r="DR494" s="2" t="n">
        <v>0</v>
      </c>
      <c r="DS494" s="2" t="n">
        <v>90.31999999999999</v>
      </c>
      <c r="DT494" s="2" t="n">
        <v>91.22</v>
      </c>
      <c r="DU494" s="2" t="n">
        <v>0</v>
      </c>
      <c r="DV494" s="2" t="n">
        <v>91.27</v>
      </c>
      <c r="DW494" s="2" t="n">
        <v>94.04000000000001</v>
      </c>
      <c r="DX494" s="2" t="n">
        <v>0</v>
      </c>
      <c r="DY494" s="2" t="n">
        <v>96.5</v>
      </c>
      <c r="DZ494" s="2" t="n">
        <v>100</v>
      </c>
      <c r="EA494" s="2" t="n">
        <v>0</v>
      </c>
      <c r="EB494" s="2" t="n">
        <v>100</v>
      </c>
      <c r="EC494" s="2" t="n">
        <v>100</v>
      </c>
      <c r="ED494" s="2" t="n">
        <v>0</v>
      </c>
      <c r="EE494" s="2" t="n">
        <v>100</v>
      </c>
      <c r="EF494" s="2" t="n">
        <v>100</v>
      </c>
      <c r="EG494" s="2" t="n">
        <v>0</v>
      </c>
      <c r="EH494" s="2" t="n">
        <v>100</v>
      </c>
      <c r="EI494" s="2" t="n">
        <v>100</v>
      </c>
      <c r="EJ494" s="2" t="n">
        <v>0</v>
      </c>
      <c r="EK494" s="2" t="n">
        <v>100</v>
      </c>
      <c r="EL494" s="2" t="n">
        <v>100</v>
      </c>
      <c r="EM494" s="2" t="n">
        <v>0</v>
      </c>
      <c r="EN494" s="2" t="n">
        <v>100</v>
      </c>
      <c r="EO494" s="2" t="n">
        <v>100</v>
      </c>
      <c r="EP494" s="2" t="n">
        <v>0</v>
      </c>
      <c r="EQ494" s="2" t="n">
        <v>100</v>
      </c>
      <c r="ER494" s="2" t="n">
        <v>100</v>
      </c>
      <c r="ES494" s="2" t="n">
        <v>0</v>
      </c>
    </row>
    <row r="495">
      <c r="A495" s="2" t="n">
        <v>3</v>
      </c>
      <c r="B495" s="2" t="inlineStr">
        <is>
          <t>20.03.03</t>
        </is>
      </c>
      <c r="C495" s="2" t="inlineStr">
        <is>
          <t>Telefonia</t>
        </is>
      </c>
      <c r="D495" s="2" t="inlineStr">
        <is>
          <t>01/10/2027</t>
        </is>
      </c>
      <c r="E495" s="2" t="inlineStr">
        <is>
          <t>26/10/2028</t>
        </is>
      </c>
      <c r="F495" s="2" t="n">
        <v>462924</v>
      </c>
      <c r="G495" s="2" t="n">
        <v>0</v>
      </c>
      <c r="H495" s="2" t="n">
        <v>462924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  <c r="AM495" s="2" t="n">
        <v>0</v>
      </c>
      <c r="AN495" s="2" t="n">
        <v>0</v>
      </c>
      <c r="AO495" s="2" t="n">
        <v>0</v>
      </c>
      <c r="AP495" s="2" t="n">
        <v>0</v>
      </c>
      <c r="AQ495" s="2" t="n">
        <v>0</v>
      </c>
      <c r="AR495" s="2" t="n">
        <v>0</v>
      </c>
      <c r="AS495" s="2" t="n">
        <v>0</v>
      </c>
      <c r="AT495" s="2" t="n">
        <v>0</v>
      </c>
      <c r="AU495" s="2" t="n">
        <v>0</v>
      </c>
      <c r="AV495" s="2" t="n">
        <v>0</v>
      </c>
      <c r="AW495" s="2" t="n">
        <v>0</v>
      </c>
      <c r="AX495" s="2" t="n">
        <v>0</v>
      </c>
      <c r="AY495" s="2" t="n">
        <v>0</v>
      </c>
      <c r="AZ495" s="2" t="n">
        <v>0</v>
      </c>
      <c r="BA495" s="2" t="n">
        <v>0</v>
      </c>
      <c r="BB495" s="2" t="n">
        <v>0</v>
      </c>
      <c r="BC495" s="2" t="n">
        <v>0</v>
      </c>
      <c r="BD495" s="2" t="n">
        <v>0</v>
      </c>
      <c r="BE495" s="2" t="n">
        <v>0</v>
      </c>
      <c r="BF495" s="2" t="n">
        <v>0</v>
      </c>
      <c r="BG495" s="2" t="n">
        <v>0</v>
      </c>
      <c r="BH495" s="2" t="n">
        <v>0</v>
      </c>
      <c r="BI495" s="2" t="n">
        <v>0</v>
      </c>
      <c r="BJ495" s="2" t="n">
        <v>0</v>
      </c>
      <c r="BK495" s="2" t="n">
        <v>0</v>
      </c>
      <c r="BL495" s="2" t="n">
        <v>0</v>
      </c>
      <c r="BM495" s="2" t="n">
        <v>0</v>
      </c>
      <c r="BN495" s="2" t="n">
        <v>0</v>
      </c>
      <c r="BO495" s="2" t="n">
        <v>0</v>
      </c>
      <c r="BP495" s="2" t="n">
        <v>0</v>
      </c>
      <c r="BQ495" s="2" t="n">
        <v>0</v>
      </c>
      <c r="BR495" s="2" t="n">
        <v>0</v>
      </c>
      <c r="BS495" s="2" t="n">
        <v>0</v>
      </c>
      <c r="BT495" s="2" t="n">
        <v>0</v>
      </c>
      <c r="BU495" s="2" t="n">
        <v>0</v>
      </c>
      <c r="BV495" s="2" t="n">
        <v>0</v>
      </c>
      <c r="BW495" s="2" t="n">
        <v>0</v>
      </c>
      <c r="BX495" s="2" t="n">
        <v>0</v>
      </c>
      <c r="BY495" s="2" t="n">
        <v>0</v>
      </c>
      <c r="BZ495" s="2" t="n">
        <v>0</v>
      </c>
      <c r="CA495" s="2" t="n">
        <v>0</v>
      </c>
      <c r="CB495" s="2" t="n">
        <v>0</v>
      </c>
      <c r="CC495" s="2" t="n">
        <v>0</v>
      </c>
      <c r="CD495" s="2" t="n">
        <v>0</v>
      </c>
      <c r="CE495" s="2" t="n">
        <v>0</v>
      </c>
      <c r="CF495" s="2" t="n">
        <v>0</v>
      </c>
      <c r="CG495" s="2" t="n">
        <v>0</v>
      </c>
      <c r="CH495" s="2" t="n">
        <v>0</v>
      </c>
      <c r="CI495" s="2" t="n">
        <v>0</v>
      </c>
      <c r="CJ495" s="2" t="n">
        <v>0</v>
      </c>
      <c r="CK495" s="2" t="n">
        <v>0</v>
      </c>
      <c r="CL495" s="2" t="n">
        <v>0</v>
      </c>
      <c r="CM495" s="2" t="n">
        <v>0</v>
      </c>
      <c r="CN495" s="2" t="n">
        <v>0</v>
      </c>
      <c r="CO495" s="2" t="n">
        <v>3.71</v>
      </c>
      <c r="CP495" s="2" t="n">
        <v>5.1</v>
      </c>
      <c r="CQ495" s="2" t="n">
        <v>0</v>
      </c>
      <c r="CR495" s="2" t="n">
        <v>8.82</v>
      </c>
      <c r="CS495" s="2" t="n">
        <v>16.28</v>
      </c>
      <c r="CT495" s="2" t="n">
        <v>0</v>
      </c>
      <c r="CU495" s="2" t="n">
        <v>19.07</v>
      </c>
      <c r="CV495" s="2" t="n">
        <v>20.46</v>
      </c>
      <c r="CW495" s="2" t="n">
        <v>0</v>
      </c>
      <c r="CX495" s="2" t="n">
        <v>29.01</v>
      </c>
      <c r="CY495" s="2" t="n">
        <v>35.57</v>
      </c>
      <c r="CZ495" s="2" t="n">
        <v>0</v>
      </c>
      <c r="DA495" s="2" t="n">
        <v>44.04</v>
      </c>
      <c r="DB495" s="2" t="n">
        <v>46.41</v>
      </c>
      <c r="DC495" s="2" t="n">
        <v>0</v>
      </c>
      <c r="DD495" s="2" t="n">
        <v>51.05</v>
      </c>
      <c r="DE495" s="2" t="n">
        <v>56.69</v>
      </c>
      <c r="DF495" s="2" t="n">
        <v>0</v>
      </c>
      <c r="DG495" s="2" t="n">
        <v>58.73</v>
      </c>
      <c r="DH495" s="2" t="n">
        <v>63.16</v>
      </c>
      <c r="DI495" s="2" t="n">
        <v>0</v>
      </c>
      <c r="DJ495" s="2" t="n">
        <v>68.36</v>
      </c>
      <c r="DK495" s="2" t="n">
        <v>71.34999999999999</v>
      </c>
      <c r="DL495" s="2" t="n">
        <v>0</v>
      </c>
      <c r="DM495" s="2" t="n">
        <v>76.16</v>
      </c>
      <c r="DN495" s="2" t="n">
        <v>81.45999999999999</v>
      </c>
      <c r="DO495" s="2" t="n">
        <v>0</v>
      </c>
      <c r="DP495" s="2" t="n">
        <v>85.63</v>
      </c>
      <c r="DQ495" s="2" t="n">
        <v>87.06</v>
      </c>
      <c r="DR495" s="2" t="n">
        <v>0</v>
      </c>
      <c r="DS495" s="2" t="n">
        <v>90.31999999999999</v>
      </c>
      <c r="DT495" s="2" t="n">
        <v>91.22</v>
      </c>
      <c r="DU495" s="2" t="n">
        <v>0</v>
      </c>
      <c r="DV495" s="2" t="n">
        <v>91.27</v>
      </c>
      <c r="DW495" s="2" t="n">
        <v>94.04000000000001</v>
      </c>
      <c r="DX495" s="2" t="n">
        <v>0</v>
      </c>
      <c r="DY495" s="2" t="n">
        <v>96.5</v>
      </c>
      <c r="DZ495" s="2" t="n">
        <v>100</v>
      </c>
      <c r="EA495" s="2" t="n">
        <v>0</v>
      </c>
      <c r="EB495" s="2" t="n">
        <v>100</v>
      </c>
      <c r="EC495" s="2" t="n">
        <v>100</v>
      </c>
      <c r="ED495" s="2" t="n">
        <v>0</v>
      </c>
      <c r="EE495" s="2" t="n">
        <v>100</v>
      </c>
      <c r="EF495" s="2" t="n">
        <v>100</v>
      </c>
      <c r="EG495" s="2" t="n">
        <v>0</v>
      </c>
      <c r="EH495" s="2" t="n">
        <v>100</v>
      </c>
      <c r="EI495" s="2" t="n">
        <v>100</v>
      </c>
      <c r="EJ495" s="2" t="n">
        <v>0</v>
      </c>
      <c r="EK495" s="2" t="n">
        <v>100</v>
      </c>
      <c r="EL495" s="2" t="n">
        <v>100</v>
      </c>
      <c r="EM495" s="2" t="n">
        <v>0</v>
      </c>
      <c r="EN495" s="2" t="n">
        <v>100</v>
      </c>
      <c r="EO495" s="2" t="n">
        <v>100</v>
      </c>
      <c r="EP495" s="2" t="n">
        <v>0</v>
      </c>
      <c r="EQ495" s="2" t="n">
        <v>100</v>
      </c>
      <c r="ER495" s="2" t="n">
        <v>100</v>
      </c>
      <c r="ES495" s="2" t="n">
        <v>0</v>
      </c>
    </row>
    <row r="496">
      <c r="A496" s="2" t="n">
        <v>3</v>
      </c>
      <c r="B496" s="2" t="inlineStr">
        <is>
          <t>20.03.04</t>
        </is>
      </c>
      <c r="C496" s="2" t="inlineStr">
        <is>
          <t>Interfones</t>
        </is>
      </c>
      <c r="D496" s="2" t="inlineStr">
        <is>
          <t>01/10/2027</t>
        </is>
      </c>
      <c r="E496" s="2" t="inlineStr">
        <is>
          <t>26/10/2028</t>
        </is>
      </c>
      <c r="F496" s="2" t="n">
        <v>210420</v>
      </c>
      <c r="G496" s="2" t="n">
        <v>0</v>
      </c>
      <c r="H496" s="2" t="n">
        <v>210420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0</v>
      </c>
      <c r="AN496" s="2" t="n">
        <v>0</v>
      </c>
      <c r="AO496" s="2" t="n">
        <v>0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n">
        <v>0</v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n">
        <v>0</v>
      </c>
      <c r="BI496" s="2" t="n">
        <v>0</v>
      </c>
      <c r="BJ496" s="2" t="n">
        <v>0</v>
      </c>
      <c r="BK496" s="2" t="n">
        <v>0</v>
      </c>
      <c r="BL496" s="2" t="n">
        <v>0</v>
      </c>
      <c r="BM496" s="2" t="n">
        <v>0</v>
      </c>
      <c r="BN496" s="2" t="n">
        <v>0</v>
      </c>
      <c r="BO496" s="2" t="n">
        <v>0</v>
      </c>
      <c r="BP496" s="2" t="n">
        <v>0</v>
      </c>
      <c r="BQ496" s="2" t="n">
        <v>0</v>
      </c>
      <c r="BR496" s="2" t="n">
        <v>0</v>
      </c>
      <c r="BS496" s="2" t="n">
        <v>0</v>
      </c>
      <c r="BT496" s="2" t="n">
        <v>0</v>
      </c>
      <c r="BU496" s="2" t="n">
        <v>0</v>
      </c>
      <c r="BV496" s="2" t="n">
        <v>0</v>
      </c>
      <c r="BW496" s="2" t="n">
        <v>0</v>
      </c>
      <c r="BX496" s="2" t="n">
        <v>0</v>
      </c>
      <c r="BY496" s="2" t="n">
        <v>0</v>
      </c>
      <c r="BZ496" s="2" t="n">
        <v>0</v>
      </c>
      <c r="CA496" s="2" t="n">
        <v>0</v>
      </c>
      <c r="CB496" s="2" t="n">
        <v>0</v>
      </c>
      <c r="CC496" s="2" t="n">
        <v>0</v>
      </c>
      <c r="CD496" s="2" t="n">
        <v>0</v>
      </c>
      <c r="CE496" s="2" t="n">
        <v>0</v>
      </c>
      <c r="CF496" s="2" t="n">
        <v>0</v>
      </c>
      <c r="CG496" s="2" t="n">
        <v>0</v>
      </c>
      <c r="CH496" s="2" t="n">
        <v>0</v>
      </c>
      <c r="CI496" s="2" t="n">
        <v>0</v>
      </c>
      <c r="CJ496" s="2" t="n">
        <v>0</v>
      </c>
      <c r="CK496" s="2" t="n">
        <v>0</v>
      </c>
      <c r="CL496" s="2" t="n">
        <v>0</v>
      </c>
      <c r="CM496" s="2" t="n">
        <v>0</v>
      </c>
      <c r="CN496" s="2" t="n">
        <v>0</v>
      </c>
      <c r="CO496" s="2" t="n">
        <v>3.71</v>
      </c>
      <c r="CP496" s="2" t="n">
        <v>5.1</v>
      </c>
      <c r="CQ496" s="2" t="n">
        <v>0</v>
      </c>
      <c r="CR496" s="2" t="n">
        <v>8.82</v>
      </c>
      <c r="CS496" s="2" t="n">
        <v>16.28</v>
      </c>
      <c r="CT496" s="2" t="n">
        <v>0</v>
      </c>
      <c r="CU496" s="2" t="n">
        <v>19.07</v>
      </c>
      <c r="CV496" s="2" t="n">
        <v>20.46</v>
      </c>
      <c r="CW496" s="2" t="n">
        <v>0</v>
      </c>
      <c r="CX496" s="2" t="n">
        <v>29.01</v>
      </c>
      <c r="CY496" s="2" t="n">
        <v>35.57</v>
      </c>
      <c r="CZ496" s="2" t="n">
        <v>0</v>
      </c>
      <c r="DA496" s="2" t="n">
        <v>44.04</v>
      </c>
      <c r="DB496" s="2" t="n">
        <v>46.41</v>
      </c>
      <c r="DC496" s="2" t="n">
        <v>0</v>
      </c>
      <c r="DD496" s="2" t="n">
        <v>51.05</v>
      </c>
      <c r="DE496" s="2" t="n">
        <v>56.69</v>
      </c>
      <c r="DF496" s="2" t="n">
        <v>0</v>
      </c>
      <c r="DG496" s="2" t="n">
        <v>58.73</v>
      </c>
      <c r="DH496" s="2" t="n">
        <v>63.16</v>
      </c>
      <c r="DI496" s="2" t="n">
        <v>0</v>
      </c>
      <c r="DJ496" s="2" t="n">
        <v>68.36</v>
      </c>
      <c r="DK496" s="2" t="n">
        <v>71.34999999999999</v>
      </c>
      <c r="DL496" s="2" t="n">
        <v>0</v>
      </c>
      <c r="DM496" s="2" t="n">
        <v>76.16</v>
      </c>
      <c r="DN496" s="2" t="n">
        <v>81.45999999999999</v>
      </c>
      <c r="DO496" s="2" t="n">
        <v>0</v>
      </c>
      <c r="DP496" s="2" t="n">
        <v>85.63</v>
      </c>
      <c r="DQ496" s="2" t="n">
        <v>87.06</v>
      </c>
      <c r="DR496" s="2" t="n">
        <v>0</v>
      </c>
      <c r="DS496" s="2" t="n">
        <v>90.31999999999999</v>
      </c>
      <c r="DT496" s="2" t="n">
        <v>91.22</v>
      </c>
      <c r="DU496" s="2" t="n">
        <v>0</v>
      </c>
      <c r="DV496" s="2" t="n">
        <v>91.27</v>
      </c>
      <c r="DW496" s="2" t="n">
        <v>94.04000000000001</v>
      </c>
      <c r="DX496" s="2" t="n">
        <v>0</v>
      </c>
      <c r="DY496" s="2" t="n">
        <v>96.5</v>
      </c>
      <c r="DZ496" s="2" t="n">
        <v>100</v>
      </c>
      <c r="EA496" s="2" t="n">
        <v>0</v>
      </c>
      <c r="EB496" s="2" t="n">
        <v>100</v>
      </c>
      <c r="EC496" s="2" t="n">
        <v>100</v>
      </c>
      <c r="ED496" s="2" t="n">
        <v>0</v>
      </c>
      <c r="EE496" s="2" t="n">
        <v>100</v>
      </c>
      <c r="EF496" s="2" t="n">
        <v>100</v>
      </c>
      <c r="EG496" s="2" t="n">
        <v>0</v>
      </c>
      <c r="EH496" s="2" t="n">
        <v>100</v>
      </c>
      <c r="EI496" s="2" t="n">
        <v>100</v>
      </c>
      <c r="EJ496" s="2" t="n">
        <v>0</v>
      </c>
      <c r="EK496" s="2" t="n">
        <v>100</v>
      </c>
      <c r="EL496" s="2" t="n">
        <v>100</v>
      </c>
      <c r="EM496" s="2" t="n">
        <v>0</v>
      </c>
      <c r="EN496" s="2" t="n">
        <v>100</v>
      </c>
      <c r="EO496" s="2" t="n">
        <v>100</v>
      </c>
      <c r="EP496" s="2" t="n">
        <v>0</v>
      </c>
      <c r="EQ496" s="2" t="n">
        <v>100</v>
      </c>
      <c r="ER496" s="2" t="n">
        <v>100</v>
      </c>
      <c r="ES496" s="2" t="n">
        <v>0</v>
      </c>
    </row>
    <row r="497">
      <c r="A497" s="2" t="n">
        <v>3</v>
      </c>
      <c r="B497" s="2" t="inlineStr">
        <is>
          <t>20.03.05</t>
        </is>
      </c>
      <c r="C497" s="2" t="inlineStr">
        <is>
          <t>Cabeamento lógico</t>
        </is>
      </c>
      <c r="D497" s="2" t="inlineStr">
        <is>
          <t>01/10/2027</t>
        </is>
      </c>
      <c r="E497" s="2" t="inlineStr">
        <is>
          <t>26/10/2028</t>
        </is>
      </c>
      <c r="F497" s="2" t="n">
        <v>231462</v>
      </c>
      <c r="G497" s="2" t="n">
        <v>0</v>
      </c>
      <c r="H497" s="2" t="n">
        <v>231462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0</v>
      </c>
      <c r="AM497" s="2" t="n">
        <v>0</v>
      </c>
      <c r="AN497" s="2" t="n">
        <v>0</v>
      </c>
      <c r="AO497" s="2" t="n">
        <v>0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n">
        <v>0</v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n">
        <v>0</v>
      </c>
      <c r="BI497" s="2" t="n">
        <v>0</v>
      </c>
      <c r="BJ497" s="2" t="n">
        <v>0</v>
      </c>
      <c r="BK497" s="2" t="n">
        <v>0</v>
      </c>
      <c r="BL497" s="2" t="n">
        <v>0</v>
      </c>
      <c r="BM497" s="2" t="n">
        <v>0</v>
      </c>
      <c r="BN497" s="2" t="n">
        <v>0</v>
      </c>
      <c r="BO497" s="2" t="n">
        <v>0</v>
      </c>
      <c r="BP497" s="2" t="n">
        <v>0</v>
      </c>
      <c r="BQ497" s="2" t="n">
        <v>0</v>
      </c>
      <c r="BR497" s="2" t="n">
        <v>0</v>
      </c>
      <c r="BS497" s="2" t="n">
        <v>0</v>
      </c>
      <c r="BT497" s="2" t="n">
        <v>0</v>
      </c>
      <c r="BU497" s="2" t="n">
        <v>0</v>
      </c>
      <c r="BV497" s="2" t="n">
        <v>0</v>
      </c>
      <c r="BW497" s="2" t="n">
        <v>0</v>
      </c>
      <c r="BX497" s="2" t="n">
        <v>0</v>
      </c>
      <c r="BY497" s="2" t="n">
        <v>0</v>
      </c>
      <c r="BZ497" s="2" t="n">
        <v>0</v>
      </c>
      <c r="CA497" s="2" t="n">
        <v>0</v>
      </c>
      <c r="CB497" s="2" t="n">
        <v>0</v>
      </c>
      <c r="CC497" s="2" t="n">
        <v>0</v>
      </c>
      <c r="CD497" s="2" t="n">
        <v>0</v>
      </c>
      <c r="CE497" s="2" t="n">
        <v>0</v>
      </c>
      <c r="CF497" s="2" t="n">
        <v>0</v>
      </c>
      <c r="CG497" s="2" t="n">
        <v>0</v>
      </c>
      <c r="CH497" s="2" t="n">
        <v>0</v>
      </c>
      <c r="CI497" s="2" t="n">
        <v>0</v>
      </c>
      <c r="CJ497" s="2" t="n">
        <v>0</v>
      </c>
      <c r="CK497" s="2" t="n">
        <v>0</v>
      </c>
      <c r="CL497" s="2" t="n">
        <v>0</v>
      </c>
      <c r="CM497" s="2" t="n">
        <v>0</v>
      </c>
      <c r="CN497" s="2" t="n">
        <v>0</v>
      </c>
      <c r="CO497" s="2" t="n">
        <v>3.71</v>
      </c>
      <c r="CP497" s="2" t="n">
        <v>5.1</v>
      </c>
      <c r="CQ497" s="2" t="n">
        <v>0</v>
      </c>
      <c r="CR497" s="2" t="n">
        <v>8.82</v>
      </c>
      <c r="CS497" s="2" t="n">
        <v>16.28</v>
      </c>
      <c r="CT497" s="2" t="n">
        <v>0</v>
      </c>
      <c r="CU497" s="2" t="n">
        <v>19.07</v>
      </c>
      <c r="CV497" s="2" t="n">
        <v>20.46</v>
      </c>
      <c r="CW497" s="2" t="n">
        <v>0</v>
      </c>
      <c r="CX497" s="2" t="n">
        <v>29.01</v>
      </c>
      <c r="CY497" s="2" t="n">
        <v>35.57</v>
      </c>
      <c r="CZ497" s="2" t="n">
        <v>0</v>
      </c>
      <c r="DA497" s="2" t="n">
        <v>44.04</v>
      </c>
      <c r="DB497" s="2" t="n">
        <v>46.41</v>
      </c>
      <c r="DC497" s="2" t="n">
        <v>0</v>
      </c>
      <c r="DD497" s="2" t="n">
        <v>51.05</v>
      </c>
      <c r="DE497" s="2" t="n">
        <v>56.69</v>
      </c>
      <c r="DF497" s="2" t="n">
        <v>0</v>
      </c>
      <c r="DG497" s="2" t="n">
        <v>58.73</v>
      </c>
      <c r="DH497" s="2" t="n">
        <v>63.16</v>
      </c>
      <c r="DI497" s="2" t="n">
        <v>0</v>
      </c>
      <c r="DJ497" s="2" t="n">
        <v>68.36</v>
      </c>
      <c r="DK497" s="2" t="n">
        <v>71.34999999999999</v>
      </c>
      <c r="DL497" s="2" t="n">
        <v>0</v>
      </c>
      <c r="DM497" s="2" t="n">
        <v>76.16</v>
      </c>
      <c r="DN497" s="2" t="n">
        <v>81.45999999999999</v>
      </c>
      <c r="DO497" s="2" t="n">
        <v>0</v>
      </c>
      <c r="DP497" s="2" t="n">
        <v>85.63</v>
      </c>
      <c r="DQ497" s="2" t="n">
        <v>87.06</v>
      </c>
      <c r="DR497" s="2" t="n">
        <v>0</v>
      </c>
      <c r="DS497" s="2" t="n">
        <v>90.31999999999999</v>
      </c>
      <c r="DT497" s="2" t="n">
        <v>91.22</v>
      </c>
      <c r="DU497" s="2" t="n">
        <v>0</v>
      </c>
      <c r="DV497" s="2" t="n">
        <v>91.27</v>
      </c>
      <c r="DW497" s="2" t="n">
        <v>94.04000000000001</v>
      </c>
      <c r="DX497" s="2" t="n">
        <v>0</v>
      </c>
      <c r="DY497" s="2" t="n">
        <v>96.5</v>
      </c>
      <c r="DZ497" s="2" t="n">
        <v>100</v>
      </c>
      <c r="EA497" s="2" t="n">
        <v>0</v>
      </c>
      <c r="EB497" s="2" t="n">
        <v>100</v>
      </c>
      <c r="EC497" s="2" t="n">
        <v>100</v>
      </c>
      <c r="ED497" s="2" t="n">
        <v>0</v>
      </c>
      <c r="EE497" s="2" t="n">
        <v>100</v>
      </c>
      <c r="EF497" s="2" t="n">
        <v>100</v>
      </c>
      <c r="EG497" s="2" t="n">
        <v>0</v>
      </c>
      <c r="EH497" s="2" t="n">
        <v>100</v>
      </c>
      <c r="EI497" s="2" t="n">
        <v>100</v>
      </c>
      <c r="EJ497" s="2" t="n">
        <v>0</v>
      </c>
      <c r="EK497" s="2" t="n">
        <v>100</v>
      </c>
      <c r="EL497" s="2" t="n">
        <v>100</v>
      </c>
      <c r="EM497" s="2" t="n">
        <v>0</v>
      </c>
      <c r="EN497" s="2" t="n">
        <v>100</v>
      </c>
      <c r="EO497" s="2" t="n">
        <v>100</v>
      </c>
      <c r="EP497" s="2" t="n">
        <v>0</v>
      </c>
      <c r="EQ497" s="2" t="n">
        <v>100</v>
      </c>
      <c r="ER497" s="2" t="n">
        <v>100</v>
      </c>
      <c r="ES497" s="2" t="n">
        <v>0</v>
      </c>
    </row>
    <row r="498">
      <c r="A498" s="2" t="n">
        <v>3</v>
      </c>
      <c r="B498" s="2" t="inlineStr">
        <is>
          <t>20.03.06</t>
        </is>
      </c>
      <c r="C498" s="2" t="inlineStr">
        <is>
          <t>Antena coletiva de TV</t>
        </is>
      </c>
      <c r="D498" s="2" t="inlineStr">
        <is>
          <t>01/10/2027</t>
        </is>
      </c>
      <c r="E498" s="2" t="inlineStr">
        <is>
          <t>26/10/2028</t>
        </is>
      </c>
      <c r="F498" s="2" t="n">
        <v>210420</v>
      </c>
      <c r="G498" s="2" t="n">
        <v>0</v>
      </c>
      <c r="H498" s="2" t="n">
        <v>210420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0</v>
      </c>
      <c r="AN498" s="2" t="n">
        <v>0</v>
      </c>
      <c r="AO498" s="2" t="n">
        <v>0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n">
        <v>0</v>
      </c>
      <c r="AZ498" s="2" t="n">
        <v>0</v>
      </c>
      <c r="BA498" s="2" t="n">
        <v>0</v>
      </c>
      <c r="BB498" s="2" t="n">
        <v>0</v>
      </c>
      <c r="BC498" s="2" t="n">
        <v>0</v>
      </c>
      <c r="BD498" s="2" t="n">
        <v>0</v>
      </c>
      <c r="BE498" s="2" t="n">
        <v>0</v>
      </c>
      <c r="BF498" s="2" t="n">
        <v>0</v>
      </c>
      <c r="BG498" s="2" t="n">
        <v>0</v>
      </c>
      <c r="BH498" s="2" t="n">
        <v>0</v>
      </c>
      <c r="BI498" s="2" t="n">
        <v>0</v>
      </c>
      <c r="BJ498" s="2" t="n">
        <v>0</v>
      </c>
      <c r="BK498" s="2" t="n">
        <v>0</v>
      </c>
      <c r="BL498" s="2" t="n">
        <v>0</v>
      </c>
      <c r="BM498" s="2" t="n">
        <v>0</v>
      </c>
      <c r="BN498" s="2" t="n">
        <v>0</v>
      </c>
      <c r="BO498" s="2" t="n">
        <v>0</v>
      </c>
      <c r="BP498" s="2" t="n">
        <v>0</v>
      </c>
      <c r="BQ498" s="2" t="n">
        <v>0</v>
      </c>
      <c r="BR498" s="2" t="n">
        <v>0</v>
      </c>
      <c r="BS498" s="2" t="n">
        <v>0</v>
      </c>
      <c r="BT498" s="2" t="n">
        <v>0</v>
      </c>
      <c r="BU498" s="2" t="n">
        <v>0</v>
      </c>
      <c r="BV498" s="2" t="n">
        <v>0</v>
      </c>
      <c r="BW498" s="2" t="n">
        <v>0</v>
      </c>
      <c r="BX498" s="2" t="n">
        <v>0</v>
      </c>
      <c r="BY498" s="2" t="n">
        <v>0</v>
      </c>
      <c r="BZ498" s="2" t="n">
        <v>0</v>
      </c>
      <c r="CA498" s="2" t="n">
        <v>0</v>
      </c>
      <c r="CB498" s="2" t="n">
        <v>0</v>
      </c>
      <c r="CC498" s="2" t="n">
        <v>0</v>
      </c>
      <c r="CD498" s="2" t="n">
        <v>0</v>
      </c>
      <c r="CE498" s="2" t="n">
        <v>0</v>
      </c>
      <c r="CF498" s="2" t="n">
        <v>0</v>
      </c>
      <c r="CG498" s="2" t="n">
        <v>0</v>
      </c>
      <c r="CH498" s="2" t="n">
        <v>0</v>
      </c>
      <c r="CI498" s="2" t="n">
        <v>0</v>
      </c>
      <c r="CJ498" s="2" t="n">
        <v>0</v>
      </c>
      <c r="CK498" s="2" t="n">
        <v>0</v>
      </c>
      <c r="CL498" s="2" t="n">
        <v>0</v>
      </c>
      <c r="CM498" s="2" t="n">
        <v>0</v>
      </c>
      <c r="CN498" s="2" t="n">
        <v>0</v>
      </c>
      <c r="CO498" s="2" t="n">
        <v>3.71</v>
      </c>
      <c r="CP498" s="2" t="n">
        <v>5.1</v>
      </c>
      <c r="CQ498" s="2" t="n">
        <v>0</v>
      </c>
      <c r="CR498" s="2" t="n">
        <v>8.82</v>
      </c>
      <c r="CS498" s="2" t="n">
        <v>16.28</v>
      </c>
      <c r="CT498" s="2" t="n">
        <v>0</v>
      </c>
      <c r="CU498" s="2" t="n">
        <v>19.07</v>
      </c>
      <c r="CV498" s="2" t="n">
        <v>20.46</v>
      </c>
      <c r="CW498" s="2" t="n">
        <v>0</v>
      </c>
      <c r="CX498" s="2" t="n">
        <v>29.01</v>
      </c>
      <c r="CY498" s="2" t="n">
        <v>35.57</v>
      </c>
      <c r="CZ498" s="2" t="n">
        <v>0</v>
      </c>
      <c r="DA498" s="2" t="n">
        <v>44.04</v>
      </c>
      <c r="DB498" s="2" t="n">
        <v>46.41</v>
      </c>
      <c r="DC498" s="2" t="n">
        <v>0</v>
      </c>
      <c r="DD498" s="2" t="n">
        <v>51.05</v>
      </c>
      <c r="DE498" s="2" t="n">
        <v>56.69</v>
      </c>
      <c r="DF498" s="2" t="n">
        <v>0</v>
      </c>
      <c r="DG498" s="2" t="n">
        <v>58.73</v>
      </c>
      <c r="DH498" s="2" t="n">
        <v>63.16</v>
      </c>
      <c r="DI498" s="2" t="n">
        <v>0</v>
      </c>
      <c r="DJ498" s="2" t="n">
        <v>68.36</v>
      </c>
      <c r="DK498" s="2" t="n">
        <v>71.34999999999999</v>
      </c>
      <c r="DL498" s="2" t="n">
        <v>0</v>
      </c>
      <c r="DM498" s="2" t="n">
        <v>76.16</v>
      </c>
      <c r="DN498" s="2" t="n">
        <v>81.45999999999999</v>
      </c>
      <c r="DO498" s="2" t="n">
        <v>0</v>
      </c>
      <c r="DP498" s="2" t="n">
        <v>85.63</v>
      </c>
      <c r="DQ498" s="2" t="n">
        <v>87.06</v>
      </c>
      <c r="DR498" s="2" t="n">
        <v>0</v>
      </c>
      <c r="DS498" s="2" t="n">
        <v>90.31999999999999</v>
      </c>
      <c r="DT498" s="2" t="n">
        <v>91.22</v>
      </c>
      <c r="DU498" s="2" t="n">
        <v>0</v>
      </c>
      <c r="DV498" s="2" t="n">
        <v>91.27</v>
      </c>
      <c r="DW498" s="2" t="n">
        <v>94.04000000000001</v>
      </c>
      <c r="DX498" s="2" t="n">
        <v>0</v>
      </c>
      <c r="DY498" s="2" t="n">
        <v>96.5</v>
      </c>
      <c r="DZ498" s="2" t="n">
        <v>100</v>
      </c>
      <c r="EA498" s="2" t="n">
        <v>0</v>
      </c>
      <c r="EB498" s="2" t="n">
        <v>100</v>
      </c>
      <c r="EC498" s="2" t="n">
        <v>100</v>
      </c>
      <c r="ED498" s="2" t="n">
        <v>0</v>
      </c>
      <c r="EE498" s="2" t="n">
        <v>100</v>
      </c>
      <c r="EF498" s="2" t="n">
        <v>100</v>
      </c>
      <c r="EG498" s="2" t="n">
        <v>0</v>
      </c>
      <c r="EH498" s="2" t="n">
        <v>100</v>
      </c>
      <c r="EI498" s="2" t="n">
        <v>100</v>
      </c>
      <c r="EJ498" s="2" t="n">
        <v>0</v>
      </c>
      <c r="EK498" s="2" t="n">
        <v>100</v>
      </c>
      <c r="EL498" s="2" t="n">
        <v>100</v>
      </c>
      <c r="EM498" s="2" t="n">
        <v>0</v>
      </c>
      <c r="EN498" s="2" t="n">
        <v>100</v>
      </c>
      <c r="EO498" s="2" t="n">
        <v>100</v>
      </c>
      <c r="EP498" s="2" t="n">
        <v>0</v>
      </c>
      <c r="EQ498" s="2" t="n">
        <v>100</v>
      </c>
      <c r="ER498" s="2" t="n">
        <v>100</v>
      </c>
      <c r="ES498" s="2" t="n">
        <v>0</v>
      </c>
    </row>
    <row r="499">
      <c r="A499" s="2" t="n">
        <v>3</v>
      </c>
      <c r="B499" s="2" t="inlineStr">
        <is>
          <t>20.03.07</t>
        </is>
      </c>
      <c r="C499" s="2" t="inlineStr">
        <is>
          <t>CFTV</t>
        </is>
      </c>
      <c r="D499" s="2" t="inlineStr">
        <is>
          <t>01/10/2027</t>
        </is>
      </c>
      <c r="E499" s="2" t="inlineStr">
        <is>
          <t>26/10/2028</t>
        </is>
      </c>
      <c r="F499" s="2" t="n">
        <v>273546</v>
      </c>
      <c r="G499" s="2" t="n">
        <v>0</v>
      </c>
      <c r="H499" s="2" t="n">
        <v>273546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  <c r="AN499" s="2" t="n">
        <v>0</v>
      </c>
      <c r="AO499" s="2" t="n">
        <v>0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n">
        <v>0</v>
      </c>
      <c r="AZ499" s="2" t="n">
        <v>0</v>
      </c>
      <c r="BA499" s="2" t="n">
        <v>0</v>
      </c>
      <c r="BB499" s="2" t="n">
        <v>0</v>
      </c>
      <c r="BC499" s="2" t="n">
        <v>0</v>
      </c>
      <c r="BD499" s="2" t="n">
        <v>0</v>
      </c>
      <c r="BE499" s="2" t="n">
        <v>0</v>
      </c>
      <c r="BF499" s="2" t="n">
        <v>0</v>
      </c>
      <c r="BG499" s="2" t="n">
        <v>0</v>
      </c>
      <c r="BH499" s="2" t="n">
        <v>0</v>
      </c>
      <c r="BI499" s="2" t="n">
        <v>0</v>
      </c>
      <c r="BJ499" s="2" t="n">
        <v>0</v>
      </c>
      <c r="BK499" s="2" t="n">
        <v>0</v>
      </c>
      <c r="BL499" s="2" t="n">
        <v>0</v>
      </c>
      <c r="BM499" s="2" t="n">
        <v>0</v>
      </c>
      <c r="BN499" s="2" t="n">
        <v>0</v>
      </c>
      <c r="BO499" s="2" t="n">
        <v>0</v>
      </c>
      <c r="BP499" s="2" t="n">
        <v>0</v>
      </c>
      <c r="BQ499" s="2" t="n">
        <v>0</v>
      </c>
      <c r="BR499" s="2" t="n">
        <v>0</v>
      </c>
      <c r="BS499" s="2" t="n">
        <v>0</v>
      </c>
      <c r="BT499" s="2" t="n">
        <v>0</v>
      </c>
      <c r="BU499" s="2" t="n">
        <v>0</v>
      </c>
      <c r="BV499" s="2" t="n">
        <v>0</v>
      </c>
      <c r="BW499" s="2" t="n">
        <v>0</v>
      </c>
      <c r="BX499" s="2" t="n">
        <v>0</v>
      </c>
      <c r="BY499" s="2" t="n">
        <v>0</v>
      </c>
      <c r="BZ499" s="2" t="n">
        <v>0</v>
      </c>
      <c r="CA499" s="2" t="n">
        <v>0</v>
      </c>
      <c r="CB499" s="2" t="n">
        <v>0</v>
      </c>
      <c r="CC499" s="2" t="n">
        <v>0</v>
      </c>
      <c r="CD499" s="2" t="n">
        <v>0</v>
      </c>
      <c r="CE499" s="2" t="n">
        <v>0</v>
      </c>
      <c r="CF499" s="2" t="n">
        <v>0</v>
      </c>
      <c r="CG499" s="2" t="n">
        <v>0</v>
      </c>
      <c r="CH499" s="2" t="n">
        <v>0</v>
      </c>
      <c r="CI499" s="2" t="n">
        <v>0</v>
      </c>
      <c r="CJ499" s="2" t="n">
        <v>0</v>
      </c>
      <c r="CK499" s="2" t="n">
        <v>0</v>
      </c>
      <c r="CL499" s="2" t="n">
        <v>0</v>
      </c>
      <c r="CM499" s="2" t="n">
        <v>0</v>
      </c>
      <c r="CN499" s="2" t="n">
        <v>0</v>
      </c>
      <c r="CO499" s="2" t="n">
        <v>3.71</v>
      </c>
      <c r="CP499" s="2" t="n">
        <v>5.1</v>
      </c>
      <c r="CQ499" s="2" t="n">
        <v>0</v>
      </c>
      <c r="CR499" s="2" t="n">
        <v>8.82</v>
      </c>
      <c r="CS499" s="2" t="n">
        <v>16.28</v>
      </c>
      <c r="CT499" s="2" t="n">
        <v>0</v>
      </c>
      <c r="CU499" s="2" t="n">
        <v>19.07</v>
      </c>
      <c r="CV499" s="2" t="n">
        <v>20.46</v>
      </c>
      <c r="CW499" s="2" t="n">
        <v>0</v>
      </c>
      <c r="CX499" s="2" t="n">
        <v>29.01</v>
      </c>
      <c r="CY499" s="2" t="n">
        <v>35.57</v>
      </c>
      <c r="CZ499" s="2" t="n">
        <v>0</v>
      </c>
      <c r="DA499" s="2" t="n">
        <v>44.04</v>
      </c>
      <c r="DB499" s="2" t="n">
        <v>46.41</v>
      </c>
      <c r="DC499" s="2" t="n">
        <v>0</v>
      </c>
      <c r="DD499" s="2" t="n">
        <v>51.05</v>
      </c>
      <c r="DE499" s="2" t="n">
        <v>56.69</v>
      </c>
      <c r="DF499" s="2" t="n">
        <v>0</v>
      </c>
      <c r="DG499" s="2" t="n">
        <v>58.73</v>
      </c>
      <c r="DH499" s="2" t="n">
        <v>63.16</v>
      </c>
      <c r="DI499" s="2" t="n">
        <v>0</v>
      </c>
      <c r="DJ499" s="2" t="n">
        <v>68.36</v>
      </c>
      <c r="DK499" s="2" t="n">
        <v>71.34999999999999</v>
      </c>
      <c r="DL499" s="2" t="n">
        <v>0</v>
      </c>
      <c r="DM499" s="2" t="n">
        <v>76.16</v>
      </c>
      <c r="DN499" s="2" t="n">
        <v>81.45999999999999</v>
      </c>
      <c r="DO499" s="2" t="n">
        <v>0</v>
      </c>
      <c r="DP499" s="2" t="n">
        <v>85.63</v>
      </c>
      <c r="DQ499" s="2" t="n">
        <v>87.06</v>
      </c>
      <c r="DR499" s="2" t="n">
        <v>0</v>
      </c>
      <c r="DS499" s="2" t="n">
        <v>90.31999999999999</v>
      </c>
      <c r="DT499" s="2" t="n">
        <v>91.22</v>
      </c>
      <c r="DU499" s="2" t="n">
        <v>0</v>
      </c>
      <c r="DV499" s="2" t="n">
        <v>91.27</v>
      </c>
      <c r="DW499" s="2" t="n">
        <v>94.04000000000001</v>
      </c>
      <c r="DX499" s="2" t="n">
        <v>0</v>
      </c>
      <c r="DY499" s="2" t="n">
        <v>96.5</v>
      </c>
      <c r="DZ499" s="2" t="n">
        <v>100</v>
      </c>
      <c r="EA499" s="2" t="n">
        <v>0</v>
      </c>
      <c r="EB499" s="2" t="n">
        <v>100</v>
      </c>
      <c r="EC499" s="2" t="n">
        <v>100</v>
      </c>
      <c r="ED499" s="2" t="n">
        <v>0</v>
      </c>
      <c r="EE499" s="2" t="n">
        <v>100</v>
      </c>
      <c r="EF499" s="2" t="n">
        <v>100</v>
      </c>
      <c r="EG499" s="2" t="n">
        <v>0</v>
      </c>
      <c r="EH499" s="2" t="n">
        <v>100</v>
      </c>
      <c r="EI499" s="2" t="n">
        <v>100</v>
      </c>
      <c r="EJ499" s="2" t="n">
        <v>0</v>
      </c>
      <c r="EK499" s="2" t="n">
        <v>100</v>
      </c>
      <c r="EL499" s="2" t="n">
        <v>100</v>
      </c>
      <c r="EM499" s="2" t="n">
        <v>0</v>
      </c>
      <c r="EN499" s="2" t="n">
        <v>100</v>
      </c>
      <c r="EO499" s="2" t="n">
        <v>100</v>
      </c>
      <c r="EP499" s="2" t="n">
        <v>0</v>
      </c>
      <c r="EQ499" s="2" t="n">
        <v>100</v>
      </c>
      <c r="ER499" s="2" t="n">
        <v>100</v>
      </c>
      <c r="ES499" s="2" t="n">
        <v>0</v>
      </c>
    </row>
    <row r="500">
      <c r="A500" s="2" t="n">
        <v>1</v>
      </c>
      <c r="B500" s="2" t="inlineStr">
        <is>
          <t>21</t>
        </is>
      </c>
      <c r="C500" s="2" t="inlineStr">
        <is>
          <t>INSTALAÇÕES HIDROSANITÁRIAS</t>
        </is>
      </c>
      <c r="D500" s="2" t="inlineStr">
        <is>
          <t>11/01/2027</t>
        </is>
      </c>
      <c r="E500" s="2" t="inlineStr">
        <is>
          <t>23/08/2028</t>
        </is>
      </c>
      <c r="F500" s="2" t="n">
        <v>7374040</v>
      </c>
      <c r="G500" s="2" t="n">
        <v>0</v>
      </c>
      <c r="H500" s="2" t="n">
        <v>7374040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0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n">
        <v>0</v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n">
        <v>0</v>
      </c>
      <c r="BE500" s="2" t="n">
        <v>0</v>
      </c>
      <c r="BF500" s="2" t="n">
        <v>0</v>
      </c>
      <c r="BG500" s="2" t="n">
        <v>0</v>
      </c>
      <c r="BH500" s="2" t="n">
        <v>0</v>
      </c>
      <c r="BI500" s="2" t="n">
        <v>0</v>
      </c>
      <c r="BJ500" s="2" t="n">
        <v>0</v>
      </c>
      <c r="BK500" s="2" t="n">
        <v>0</v>
      </c>
      <c r="BL500" s="2" t="n">
        <v>0</v>
      </c>
      <c r="BM500" s="2" t="n">
        <v>0</v>
      </c>
      <c r="BN500" s="2" t="n">
        <v>2.12</v>
      </c>
      <c r="BO500" s="2" t="n">
        <v>10.58</v>
      </c>
      <c r="BP500" s="2" t="n">
        <v>0</v>
      </c>
      <c r="BQ500" s="2" t="n">
        <v>14.11</v>
      </c>
      <c r="BR500" s="2" t="n">
        <v>14.11</v>
      </c>
      <c r="BS500" s="2" t="n">
        <v>0</v>
      </c>
      <c r="BT500" s="2" t="n">
        <v>14.11</v>
      </c>
      <c r="BU500" s="2" t="n">
        <v>14.11</v>
      </c>
      <c r="BV500" s="2" t="n">
        <v>0</v>
      </c>
      <c r="BW500" s="2" t="n">
        <v>14.59</v>
      </c>
      <c r="BX500" s="2" t="n">
        <v>14.99</v>
      </c>
      <c r="BY500" s="2" t="n">
        <v>0</v>
      </c>
      <c r="BZ500" s="2" t="n">
        <v>18.82</v>
      </c>
      <c r="CA500" s="2" t="n">
        <v>20.09</v>
      </c>
      <c r="CB500" s="2" t="n">
        <v>0</v>
      </c>
      <c r="CC500" s="2" t="n">
        <v>24.43</v>
      </c>
      <c r="CD500" s="2" t="n">
        <v>25.71</v>
      </c>
      <c r="CE500" s="2" t="n">
        <v>0</v>
      </c>
      <c r="CF500" s="2" t="n">
        <v>30.19</v>
      </c>
      <c r="CG500" s="2" t="n">
        <v>31.52</v>
      </c>
      <c r="CH500" s="2" t="n">
        <v>0</v>
      </c>
      <c r="CI500" s="2" t="n">
        <v>36.14</v>
      </c>
      <c r="CJ500" s="2" t="n">
        <v>37.47</v>
      </c>
      <c r="CK500" s="2" t="n">
        <v>0</v>
      </c>
      <c r="CL500" s="2" t="n">
        <v>41.93</v>
      </c>
      <c r="CM500" s="2" t="n">
        <v>43.29</v>
      </c>
      <c r="CN500" s="2" t="n">
        <v>0</v>
      </c>
      <c r="CO500" s="2" t="n">
        <v>49.96</v>
      </c>
      <c r="CP500" s="2" t="n">
        <v>51.98</v>
      </c>
      <c r="CQ500" s="2" t="n">
        <v>0</v>
      </c>
      <c r="CR500" s="2" t="n">
        <v>58.49</v>
      </c>
      <c r="CS500" s="2" t="n">
        <v>60.16</v>
      </c>
      <c r="CT500" s="2" t="n">
        <v>0</v>
      </c>
      <c r="CU500" s="2" t="n">
        <v>63.5</v>
      </c>
      <c r="CV500" s="2" t="n">
        <v>65.06999999999999</v>
      </c>
      <c r="CW500" s="2" t="n">
        <v>0</v>
      </c>
      <c r="CX500" s="2" t="n">
        <v>69.34</v>
      </c>
      <c r="CY500" s="2" t="n">
        <v>71.19</v>
      </c>
      <c r="CZ500" s="2" t="n">
        <v>0</v>
      </c>
      <c r="DA500" s="2" t="n">
        <v>75.28</v>
      </c>
      <c r="DB500" s="2" t="n">
        <v>76.79000000000001</v>
      </c>
      <c r="DC500" s="2" t="n">
        <v>0</v>
      </c>
      <c r="DD500" s="2" t="n">
        <v>79.36</v>
      </c>
      <c r="DE500" s="2" t="n">
        <v>80.38</v>
      </c>
      <c r="DF500" s="2" t="n">
        <v>0</v>
      </c>
      <c r="DG500" s="2" t="n">
        <v>80.98999999999999</v>
      </c>
      <c r="DH500" s="2" t="n">
        <v>84.42</v>
      </c>
      <c r="DI500" s="2" t="n">
        <v>0</v>
      </c>
      <c r="DJ500" s="2" t="n">
        <v>89.03</v>
      </c>
      <c r="DK500" s="2" t="n">
        <v>92.53</v>
      </c>
      <c r="DL500" s="2" t="n">
        <v>0</v>
      </c>
      <c r="DM500" s="2" t="n">
        <v>92.79000000000001</v>
      </c>
      <c r="DN500" s="2" t="n">
        <v>95.68000000000001</v>
      </c>
      <c r="DO500" s="2" t="n">
        <v>0</v>
      </c>
      <c r="DP500" s="2" t="n">
        <v>96.95</v>
      </c>
      <c r="DQ500" s="2" t="n">
        <v>98.41</v>
      </c>
      <c r="DR500" s="2" t="n">
        <v>0</v>
      </c>
      <c r="DS500" s="2" t="n">
        <v>99.42</v>
      </c>
      <c r="DT500" s="2" t="n">
        <v>100</v>
      </c>
      <c r="DU500" s="2" t="n">
        <v>0</v>
      </c>
      <c r="DV500" s="2" t="n">
        <v>100</v>
      </c>
      <c r="DW500" s="2" t="n">
        <v>100</v>
      </c>
      <c r="DX500" s="2" t="n">
        <v>0</v>
      </c>
      <c r="DY500" s="2" t="n">
        <v>100</v>
      </c>
      <c r="DZ500" s="2" t="n">
        <v>100</v>
      </c>
      <c r="EA500" s="2" t="n">
        <v>0</v>
      </c>
      <c r="EB500" s="2" t="n">
        <v>100</v>
      </c>
      <c r="EC500" s="2" t="n">
        <v>100</v>
      </c>
      <c r="ED500" s="2" t="n">
        <v>0</v>
      </c>
      <c r="EE500" s="2" t="n">
        <v>100</v>
      </c>
      <c r="EF500" s="2" t="n">
        <v>100</v>
      </c>
      <c r="EG500" s="2" t="n">
        <v>0</v>
      </c>
      <c r="EH500" s="2" t="n">
        <v>100</v>
      </c>
      <c r="EI500" s="2" t="n">
        <v>100</v>
      </c>
      <c r="EJ500" s="2" t="n">
        <v>0</v>
      </c>
      <c r="EK500" s="2" t="n">
        <v>100</v>
      </c>
      <c r="EL500" s="2" t="n">
        <v>100</v>
      </c>
      <c r="EM500" s="2" t="n">
        <v>0</v>
      </c>
      <c r="EN500" s="2" t="n">
        <v>100</v>
      </c>
      <c r="EO500" s="2" t="n">
        <v>100</v>
      </c>
      <c r="EP500" s="2" t="n">
        <v>0</v>
      </c>
      <c r="EQ500" s="2" t="n">
        <v>100</v>
      </c>
      <c r="ER500" s="2" t="n">
        <v>100</v>
      </c>
      <c r="ES500" s="2" t="n">
        <v>0</v>
      </c>
    </row>
    <row r="501">
      <c r="A501" s="2" t="n">
        <v>2</v>
      </c>
      <c r="B501" s="2" t="inlineStr">
        <is>
          <t>21.01</t>
        </is>
      </c>
      <c r="C501" s="2" t="inlineStr">
        <is>
          <t>Instalações Prediais de Água fria</t>
        </is>
      </c>
      <c r="D501" s="2" t="inlineStr">
        <is>
          <t>11/01/2027</t>
        </is>
      </c>
      <c r="E501" s="2" t="inlineStr">
        <is>
          <t>21/07/2028</t>
        </is>
      </c>
      <c r="F501" s="2" t="n">
        <v>2344680</v>
      </c>
      <c r="G501" s="2" t="n">
        <v>0</v>
      </c>
      <c r="H501" s="2" t="n">
        <v>2344680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  <c r="AN501" s="2" t="n">
        <v>0</v>
      </c>
      <c r="AO501" s="2" t="n">
        <v>0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 t="n">
        <v>0</v>
      </c>
      <c r="AY501" s="2" t="n">
        <v>0</v>
      </c>
      <c r="AZ501" s="2" t="n">
        <v>0</v>
      </c>
      <c r="BA501" s="2" t="n">
        <v>0</v>
      </c>
      <c r="BB501" s="2" t="n">
        <v>0</v>
      </c>
      <c r="BC501" s="2" t="n">
        <v>0</v>
      </c>
      <c r="BD501" s="2" t="n">
        <v>0</v>
      </c>
      <c r="BE501" s="2" t="n">
        <v>0</v>
      </c>
      <c r="BF501" s="2" t="n">
        <v>0</v>
      </c>
      <c r="BG501" s="2" t="n">
        <v>0</v>
      </c>
      <c r="BH501" s="2" t="n">
        <v>0</v>
      </c>
      <c r="BI501" s="2" t="n">
        <v>0</v>
      </c>
      <c r="BJ501" s="2" t="n">
        <v>0</v>
      </c>
      <c r="BK501" s="2" t="n">
        <v>0</v>
      </c>
      <c r="BL501" s="2" t="n">
        <v>0</v>
      </c>
      <c r="BM501" s="2" t="n">
        <v>0</v>
      </c>
      <c r="BN501" s="2" t="n">
        <v>1.5</v>
      </c>
      <c r="BO501" s="2" t="n">
        <v>7.5</v>
      </c>
      <c r="BP501" s="2" t="n">
        <v>0</v>
      </c>
      <c r="BQ501" s="2" t="n">
        <v>10</v>
      </c>
      <c r="BR501" s="2" t="n">
        <v>10</v>
      </c>
      <c r="BS501" s="2" t="n">
        <v>0</v>
      </c>
      <c r="BT501" s="2" t="n">
        <v>10</v>
      </c>
      <c r="BU501" s="2" t="n">
        <v>10</v>
      </c>
      <c r="BV501" s="2" t="n">
        <v>0</v>
      </c>
      <c r="BW501" s="2" t="n">
        <v>10.49</v>
      </c>
      <c r="BX501" s="2" t="n">
        <v>10.83</v>
      </c>
      <c r="BY501" s="2" t="n">
        <v>0</v>
      </c>
      <c r="BZ501" s="2" t="n">
        <v>13.89</v>
      </c>
      <c r="CA501" s="2" t="n">
        <v>14.91</v>
      </c>
      <c r="CB501" s="2" t="n">
        <v>0</v>
      </c>
      <c r="CC501" s="2" t="n">
        <v>18.37</v>
      </c>
      <c r="CD501" s="2" t="n">
        <v>19.39</v>
      </c>
      <c r="CE501" s="2" t="n">
        <v>0</v>
      </c>
      <c r="CF501" s="2" t="n">
        <v>22.94</v>
      </c>
      <c r="CG501" s="2" t="n">
        <v>23.97</v>
      </c>
      <c r="CH501" s="2" t="n">
        <v>0</v>
      </c>
      <c r="CI501" s="2" t="n">
        <v>27.56</v>
      </c>
      <c r="CJ501" s="2" t="n">
        <v>28.59</v>
      </c>
      <c r="CK501" s="2" t="n">
        <v>0</v>
      </c>
      <c r="CL501" s="2" t="n">
        <v>32.39</v>
      </c>
      <c r="CM501" s="2" t="n">
        <v>33.53</v>
      </c>
      <c r="CN501" s="2" t="n">
        <v>0</v>
      </c>
      <c r="CO501" s="2" t="n">
        <v>40.99</v>
      </c>
      <c r="CP501" s="2" t="n">
        <v>42.82</v>
      </c>
      <c r="CQ501" s="2" t="n">
        <v>0</v>
      </c>
      <c r="CR501" s="2" t="n">
        <v>50.41</v>
      </c>
      <c r="CS501" s="2" t="n">
        <v>51.81</v>
      </c>
      <c r="CT501" s="2" t="n">
        <v>0</v>
      </c>
      <c r="CU501" s="2" t="n">
        <v>54.59</v>
      </c>
      <c r="CV501" s="2" t="n">
        <v>55.86</v>
      </c>
      <c r="CW501" s="2" t="n">
        <v>0</v>
      </c>
      <c r="CX501" s="2" t="n">
        <v>59.16</v>
      </c>
      <c r="CY501" s="2" t="n">
        <v>60.72</v>
      </c>
      <c r="CZ501" s="2" t="n">
        <v>0</v>
      </c>
      <c r="DA501" s="2" t="n">
        <v>63.84</v>
      </c>
      <c r="DB501" s="2" t="n">
        <v>65.04000000000001</v>
      </c>
      <c r="DC501" s="2" t="n">
        <v>0</v>
      </c>
      <c r="DD501" s="2" t="n">
        <v>66.91</v>
      </c>
      <c r="DE501" s="2" t="n">
        <v>68.04000000000001</v>
      </c>
      <c r="DF501" s="2" t="n">
        <v>0</v>
      </c>
      <c r="DG501" s="2" t="n">
        <v>69.17</v>
      </c>
      <c r="DH501" s="2" t="n">
        <v>78.33</v>
      </c>
      <c r="DI501" s="2" t="n">
        <v>0</v>
      </c>
      <c r="DJ501" s="2" t="n">
        <v>87.2</v>
      </c>
      <c r="DK501" s="2" t="n">
        <v>96</v>
      </c>
      <c r="DL501" s="2" t="n">
        <v>0</v>
      </c>
      <c r="DM501" s="2" t="n">
        <v>96</v>
      </c>
      <c r="DN501" s="2" t="n">
        <v>97.27</v>
      </c>
      <c r="DO501" s="2" t="n">
        <v>0</v>
      </c>
      <c r="DP501" s="2" t="n">
        <v>98.91</v>
      </c>
      <c r="DQ501" s="2" t="n">
        <v>100</v>
      </c>
      <c r="DR501" s="2" t="n">
        <v>0</v>
      </c>
      <c r="DS501" s="2" t="n">
        <v>100</v>
      </c>
      <c r="DT501" s="2" t="n">
        <v>100</v>
      </c>
      <c r="DU501" s="2" t="n">
        <v>0</v>
      </c>
      <c r="DV501" s="2" t="n">
        <v>100</v>
      </c>
      <c r="DW501" s="2" t="n">
        <v>100</v>
      </c>
      <c r="DX501" s="2" t="n">
        <v>0</v>
      </c>
      <c r="DY501" s="2" t="n">
        <v>100</v>
      </c>
      <c r="DZ501" s="2" t="n">
        <v>100</v>
      </c>
      <c r="EA501" s="2" t="n">
        <v>0</v>
      </c>
      <c r="EB501" s="2" t="n">
        <v>100</v>
      </c>
      <c r="EC501" s="2" t="n">
        <v>100</v>
      </c>
      <c r="ED501" s="2" t="n">
        <v>0</v>
      </c>
      <c r="EE501" s="2" t="n">
        <v>100</v>
      </c>
      <c r="EF501" s="2" t="n">
        <v>100</v>
      </c>
      <c r="EG501" s="2" t="n">
        <v>0</v>
      </c>
      <c r="EH501" s="2" t="n">
        <v>100</v>
      </c>
      <c r="EI501" s="2" t="n">
        <v>100</v>
      </c>
      <c r="EJ501" s="2" t="n">
        <v>0</v>
      </c>
      <c r="EK501" s="2" t="n">
        <v>100</v>
      </c>
      <c r="EL501" s="2" t="n">
        <v>100</v>
      </c>
      <c r="EM501" s="2" t="n">
        <v>0</v>
      </c>
      <c r="EN501" s="2" t="n">
        <v>100</v>
      </c>
      <c r="EO501" s="2" t="n">
        <v>100</v>
      </c>
      <c r="EP501" s="2" t="n">
        <v>0</v>
      </c>
      <c r="EQ501" s="2" t="n">
        <v>100</v>
      </c>
      <c r="ER501" s="2" t="n">
        <v>100</v>
      </c>
      <c r="ES501" s="2" t="n">
        <v>0</v>
      </c>
    </row>
    <row r="502">
      <c r="A502" s="2" t="n">
        <v>3</v>
      </c>
      <c r="B502" s="2" t="inlineStr">
        <is>
          <t>21.01.01</t>
        </is>
      </c>
      <c r="C502" s="2" t="inlineStr">
        <is>
          <t>Rede Concessionária</t>
        </is>
      </c>
      <c r="D502" s="2" t="inlineStr">
        <is>
          <t>24/09/2027</t>
        </is>
      </c>
      <c r="E502" s="2" t="inlineStr">
        <is>
          <t>29/11/2027</t>
        </is>
      </c>
      <c r="F502" s="2" t="n">
        <v>117234</v>
      </c>
      <c r="G502" s="2" t="n">
        <v>0</v>
      </c>
      <c r="H502" s="2" t="n">
        <v>117234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0</v>
      </c>
      <c r="AN502" s="2" t="n">
        <v>0</v>
      </c>
      <c r="AO502" s="2" t="n">
        <v>0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n">
        <v>0</v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n">
        <v>0</v>
      </c>
      <c r="BI502" s="2" t="n">
        <v>0</v>
      </c>
      <c r="BJ502" s="2" t="n">
        <v>0</v>
      </c>
      <c r="BK502" s="2" t="n">
        <v>0</v>
      </c>
      <c r="BL502" s="2" t="n">
        <v>0</v>
      </c>
      <c r="BM502" s="2" t="n">
        <v>0</v>
      </c>
      <c r="BN502" s="2" t="n">
        <v>0</v>
      </c>
      <c r="BO502" s="2" t="n">
        <v>0</v>
      </c>
      <c r="BP502" s="2" t="n">
        <v>0</v>
      </c>
      <c r="BQ502" s="2" t="n">
        <v>0</v>
      </c>
      <c r="BR502" s="2" t="n">
        <v>0</v>
      </c>
      <c r="BS502" s="2" t="n">
        <v>0</v>
      </c>
      <c r="BT502" s="2" t="n">
        <v>0</v>
      </c>
      <c r="BU502" s="2" t="n">
        <v>0</v>
      </c>
      <c r="BV502" s="2" t="n">
        <v>0</v>
      </c>
      <c r="BW502" s="2" t="n">
        <v>0</v>
      </c>
      <c r="BX502" s="2" t="n">
        <v>0</v>
      </c>
      <c r="BY502" s="2" t="n">
        <v>0</v>
      </c>
      <c r="BZ502" s="2" t="n">
        <v>0</v>
      </c>
      <c r="CA502" s="2" t="n">
        <v>0</v>
      </c>
      <c r="CB502" s="2" t="n">
        <v>0</v>
      </c>
      <c r="CC502" s="2" t="n">
        <v>0</v>
      </c>
      <c r="CD502" s="2" t="n">
        <v>0</v>
      </c>
      <c r="CE502" s="2" t="n">
        <v>0</v>
      </c>
      <c r="CF502" s="2" t="n">
        <v>0</v>
      </c>
      <c r="CG502" s="2" t="n">
        <v>0</v>
      </c>
      <c r="CH502" s="2" t="n">
        <v>0</v>
      </c>
      <c r="CI502" s="2" t="n">
        <v>0</v>
      </c>
      <c r="CJ502" s="2" t="n">
        <v>0</v>
      </c>
      <c r="CK502" s="2" t="n">
        <v>0</v>
      </c>
      <c r="CL502" s="2" t="n">
        <v>9.09</v>
      </c>
      <c r="CM502" s="2" t="n">
        <v>11.36</v>
      </c>
      <c r="CN502" s="2" t="n">
        <v>0</v>
      </c>
      <c r="CO502" s="2" t="n">
        <v>54.55</v>
      </c>
      <c r="CP502" s="2" t="n">
        <v>56.82</v>
      </c>
      <c r="CQ502" s="2" t="n">
        <v>0</v>
      </c>
      <c r="CR502" s="2" t="n">
        <v>100</v>
      </c>
      <c r="CS502" s="2" t="n">
        <v>100</v>
      </c>
      <c r="CT502" s="2" t="n">
        <v>0</v>
      </c>
      <c r="CU502" s="2" t="n">
        <v>100</v>
      </c>
      <c r="CV502" s="2" t="n">
        <v>100</v>
      </c>
      <c r="CW502" s="2" t="n">
        <v>0</v>
      </c>
      <c r="CX502" s="2" t="n">
        <v>100</v>
      </c>
      <c r="CY502" s="2" t="n">
        <v>100</v>
      </c>
      <c r="CZ502" s="2" t="n">
        <v>0</v>
      </c>
      <c r="DA502" s="2" t="n">
        <v>100</v>
      </c>
      <c r="DB502" s="2" t="n">
        <v>100</v>
      </c>
      <c r="DC502" s="2" t="n">
        <v>0</v>
      </c>
      <c r="DD502" s="2" t="n">
        <v>100</v>
      </c>
      <c r="DE502" s="2" t="n">
        <v>100</v>
      </c>
      <c r="DF502" s="2" t="n">
        <v>0</v>
      </c>
      <c r="DG502" s="2" t="n">
        <v>100</v>
      </c>
      <c r="DH502" s="2" t="n">
        <v>100</v>
      </c>
      <c r="DI502" s="2" t="n">
        <v>0</v>
      </c>
      <c r="DJ502" s="2" t="n">
        <v>100</v>
      </c>
      <c r="DK502" s="2" t="n">
        <v>100</v>
      </c>
      <c r="DL502" s="2" t="n">
        <v>0</v>
      </c>
      <c r="DM502" s="2" t="n">
        <v>100</v>
      </c>
      <c r="DN502" s="2" t="n">
        <v>100</v>
      </c>
      <c r="DO502" s="2" t="n">
        <v>0</v>
      </c>
      <c r="DP502" s="2" t="n">
        <v>100</v>
      </c>
      <c r="DQ502" s="2" t="n">
        <v>100</v>
      </c>
      <c r="DR502" s="2" t="n">
        <v>0</v>
      </c>
      <c r="DS502" s="2" t="n">
        <v>100</v>
      </c>
      <c r="DT502" s="2" t="n">
        <v>100</v>
      </c>
      <c r="DU502" s="2" t="n">
        <v>0</v>
      </c>
      <c r="DV502" s="2" t="n">
        <v>100</v>
      </c>
      <c r="DW502" s="2" t="n">
        <v>100</v>
      </c>
      <c r="DX502" s="2" t="n">
        <v>0</v>
      </c>
      <c r="DY502" s="2" t="n">
        <v>100</v>
      </c>
      <c r="DZ502" s="2" t="n">
        <v>100</v>
      </c>
      <c r="EA502" s="2" t="n">
        <v>0</v>
      </c>
      <c r="EB502" s="2" t="n">
        <v>100</v>
      </c>
      <c r="EC502" s="2" t="n">
        <v>100</v>
      </c>
      <c r="ED502" s="2" t="n">
        <v>0</v>
      </c>
      <c r="EE502" s="2" t="n">
        <v>100</v>
      </c>
      <c r="EF502" s="2" t="n">
        <v>100</v>
      </c>
      <c r="EG502" s="2" t="n">
        <v>0</v>
      </c>
      <c r="EH502" s="2" t="n">
        <v>100</v>
      </c>
      <c r="EI502" s="2" t="n">
        <v>100</v>
      </c>
      <c r="EJ502" s="2" t="n">
        <v>0</v>
      </c>
      <c r="EK502" s="2" t="n">
        <v>100</v>
      </c>
      <c r="EL502" s="2" t="n">
        <v>100</v>
      </c>
      <c r="EM502" s="2" t="n">
        <v>0</v>
      </c>
      <c r="EN502" s="2" t="n">
        <v>100</v>
      </c>
      <c r="EO502" s="2" t="n">
        <v>100</v>
      </c>
      <c r="EP502" s="2" t="n">
        <v>0</v>
      </c>
      <c r="EQ502" s="2" t="n">
        <v>100</v>
      </c>
      <c r="ER502" s="2" t="n">
        <v>100</v>
      </c>
      <c r="ES502" s="2" t="n">
        <v>0</v>
      </c>
    </row>
    <row r="503">
      <c r="A503" s="2" t="n">
        <v>3</v>
      </c>
      <c r="B503" s="2" t="inlineStr">
        <is>
          <t>21.01.02</t>
        </is>
      </c>
      <c r="C503" s="2" t="inlineStr">
        <is>
          <t>Barrilete</t>
        </is>
      </c>
      <c r="D503" s="2" t="inlineStr">
        <is>
          <t>28/03/2028</t>
        </is>
      </c>
      <c r="E503" s="2" t="inlineStr">
        <is>
          <t>30/05/2028</t>
        </is>
      </c>
      <c r="F503" s="2" t="n">
        <v>257914.8</v>
      </c>
      <c r="G503" s="2" t="n">
        <v>0</v>
      </c>
      <c r="H503" s="2" t="n">
        <v>257914.8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n">
        <v>0</v>
      </c>
      <c r="AO503" s="2" t="n">
        <v>0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n">
        <v>0</v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n">
        <v>0</v>
      </c>
      <c r="BI503" s="2" t="n">
        <v>0</v>
      </c>
      <c r="BJ503" s="2" t="n">
        <v>0</v>
      </c>
      <c r="BK503" s="2" t="n">
        <v>0</v>
      </c>
      <c r="BL503" s="2" t="n">
        <v>0</v>
      </c>
      <c r="BM503" s="2" t="n">
        <v>0</v>
      </c>
      <c r="BN503" s="2" t="n">
        <v>0</v>
      </c>
      <c r="BO503" s="2" t="n">
        <v>0</v>
      </c>
      <c r="BP503" s="2" t="n">
        <v>0</v>
      </c>
      <c r="BQ503" s="2" t="n">
        <v>0</v>
      </c>
      <c r="BR503" s="2" t="n">
        <v>0</v>
      </c>
      <c r="BS503" s="2" t="n">
        <v>0</v>
      </c>
      <c r="BT503" s="2" t="n">
        <v>0</v>
      </c>
      <c r="BU503" s="2" t="n">
        <v>0</v>
      </c>
      <c r="BV503" s="2" t="n">
        <v>0</v>
      </c>
      <c r="BW503" s="2" t="n">
        <v>0</v>
      </c>
      <c r="BX503" s="2" t="n">
        <v>0</v>
      </c>
      <c r="BY503" s="2" t="n">
        <v>0</v>
      </c>
      <c r="BZ503" s="2" t="n">
        <v>0</v>
      </c>
      <c r="CA503" s="2" t="n">
        <v>0</v>
      </c>
      <c r="CB503" s="2" t="n">
        <v>0</v>
      </c>
      <c r="CC503" s="2" t="n">
        <v>0</v>
      </c>
      <c r="CD503" s="2" t="n">
        <v>0</v>
      </c>
      <c r="CE503" s="2" t="n">
        <v>0</v>
      </c>
      <c r="CF503" s="2" t="n">
        <v>0</v>
      </c>
      <c r="CG503" s="2" t="n">
        <v>0</v>
      </c>
      <c r="CH503" s="2" t="n">
        <v>0</v>
      </c>
      <c r="CI503" s="2" t="n">
        <v>0</v>
      </c>
      <c r="CJ503" s="2" t="n">
        <v>0</v>
      </c>
      <c r="CK503" s="2" t="n">
        <v>0</v>
      </c>
      <c r="CL503" s="2" t="n">
        <v>0</v>
      </c>
      <c r="CM503" s="2" t="n">
        <v>0</v>
      </c>
      <c r="CN503" s="2" t="n">
        <v>0</v>
      </c>
      <c r="CO503" s="2" t="n">
        <v>0</v>
      </c>
      <c r="CP503" s="2" t="n">
        <v>0</v>
      </c>
      <c r="CQ503" s="2" t="n">
        <v>0</v>
      </c>
      <c r="CR503" s="2" t="n">
        <v>0</v>
      </c>
      <c r="CS503" s="2" t="n">
        <v>0</v>
      </c>
      <c r="CT503" s="2" t="n">
        <v>0</v>
      </c>
      <c r="CU503" s="2" t="n">
        <v>0</v>
      </c>
      <c r="CV503" s="2" t="n">
        <v>0</v>
      </c>
      <c r="CW503" s="2" t="n">
        <v>0</v>
      </c>
      <c r="CX503" s="2" t="n">
        <v>0</v>
      </c>
      <c r="CY503" s="2" t="n">
        <v>0</v>
      </c>
      <c r="CZ503" s="2" t="n">
        <v>0</v>
      </c>
      <c r="DA503" s="2" t="n">
        <v>0</v>
      </c>
      <c r="DB503" s="2" t="n">
        <v>0</v>
      </c>
      <c r="DC503" s="2" t="n">
        <v>0</v>
      </c>
      <c r="DD503" s="2" t="n">
        <v>0</v>
      </c>
      <c r="DE503" s="2" t="n">
        <v>1.33</v>
      </c>
      <c r="DF503" s="2" t="n">
        <v>0</v>
      </c>
      <c r="DG503" s="2" t="n">
        <v>5</v>
      </c>
      <c r="DH503" s="2" t="n">
        <v>39.55</v>
      </c>
      <c r="DI503" s="2" t="n">
        <v>0</v>
      </c>
      <c r="DJ503" s="2" t="n">
        <v>68.33</v>
      </c>
      <c r="DK503" s="2" t="n">
        <v>100</v>
      </c>
      <c r="DL503" s="2" t="n">
        <v>0</v>
      </c>
      <c r="DM503" s="2" t="n">
        <v>100</v>
      </c>
      <c r="DN503" s="2" t="n">
        <v>100</v>
      </c>
      <c r="DO503" s="2" t="n">
        <v>0</v>
      </c>
      <c r="DP503" s="2" t="n">
        <v>100</v>
      </c>
      <c r="DQ503" s="2" t="n">
        <v>100</v>
      </c>
      <c r="DR503" s="2" t="n">
        <v>0</v>
      </c>
      <c r="DS503" s="2" t="n">
        <v>100</v>
      </c>
      <c r="DT503" s="2" t="n">
        <v>100</v>
      </c>
      <c r="DU503" s="2" t="n">
        <v>0</v>
      </c>
      <c r="DV503" s="2" t="n">
        <v>100</v>
      </c>
      <c r="DW503" s="2" t="n">
        <v>100</v>
      </c>
      <c r="DX503" s="2" t="n">
        <v>0</v>
      </c>
      <c r="DY503" s="2" t="n">
        <v>100</v>
      </c>
      <c r="DZ503" s="2" t="n">
        <v>100</v>
      </c>
      <c r="EA503" s="2" t="n">
        <v>0</v>
      </c>
      <c r="EB503" s="2" t="n">
        <v>100</v>
      </c>
      <c r="EC503" s="2" t="n">
        <v>100</v>
      </c>
      <c r="ED503" s="2" t="n">
        <v>0</v>
      </c>
      <c r="EE503" s="2" t="n">
        <v>100</v>
      </c>
      <c r="EF503" s="2" t="n">
        <v>100</v>
      </c>
      <c r="EG503" s="2" t="n">
        <v>0</v>
      </c>
      <c r="EH503" s="2" t="n">
        <v>100</v>
      </c>
      <c r="EI503" s="2" t="n">
        <v>100</v>
      </c>
      <c r="EJ503" s="2" t="n">
        <v>0</v>
      </c>
      <c r="EK503" s="2" t="n">
        <v>100</v>
      </c>
      <c r="EL503" s="2" t="n">
        <v>100</v>
      </c>
      <c r="EM503" s="2" t="n">
        <v>0</v>
      </c>
      <c r="EN503" s="2" t="n">
        <v>100</v>
      </c>
      <c r="EO503" s="2" t="n">
        <v>100</v>
      </c>
      <c r="EP503" s="2" t="n">
        <v>0</v>
      </c>
      <c r="EQ503" s="2" t="n">
        <v>100</v>
      </c>
      <c r="ER503" s="2" t="n">
        <v>100</v>
      </c>
      <c r="ES503" s="2" t="n">
        <v>0</v>
      </c>
    </row>
    <row r="504">
      <c r="A504" s="2" t="n">
        <v>3</v>
      </c>
      <c r="B504" s="2" t="inlineStr">
        <is>
          <t>21.01.03</t>
        </is>
      </c>
      <c r="C504" s="2" t="inlineStr">
        <is>
          <t>Casa De Bombas</t>
        </is>
      </c>
      <c r="D504" s="2" t="inlineStr">
        <is>
          <t>28/03/2028</t>
        </is>
      </c>
      <c r="E504" s="2" t="inlineStr">
        <is>
          <t>30/05/2028</t>
        </is>
      </c>
      <c r="F504" s="2" t="n">
        <v>328255.2</v>
      </c>
      <c r="G504" s="2" t="n">
        <v>0</v>
      </c>
      <c r="H504" s="2" t="n">
        <v>328255.2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0</v>
      </c>
      <c r="AN504" s="2" t="n">
        <v>0</v>
      </c>
      <c r="AO504" s="2" t="n">
        <v>0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n">
        <v>0</v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n">
        <v>0</v>
      </c>
      <c r="BI504" s="2" t="n">
        <v>0</v>
      </c>
      <c r="BJ504" s="2" t="n">
        <v>0</v>
      </c>
      <c r="BK504" s="2" t="n">
        <v>0</v>
      </c>
      <c r="BL504" s="2" t="n">
        <v>0</v>
      </c>
      <c r="BM504" s="2" t="n">
        <v>0</v>
      </c>
      <c r="BN504" s="2" t="n">
        <v>0</v>
      </c>
      <c r="BO504" s="2" t="n">
        <v>0</v>
      </c>
      <c r="BP504" s="2" t="n">
        <v>0</v>
      </c>
      <c r="BQ504" s="2" t="n">
        <v>0</v>
      </c>
      <c r="BR504" s="2" t="n">
        <v>0</v>
      </c>
      <c r="BS504" s="2" t="n">
        <v>0</v>
      </c>
      <c r="BT504" s="2" t="n">
        <v>0</v>
      </c>
      <c r="BU504" s="2" t="n">
        <v>0</v>
      </c>
      <c r="BV504" s="2" t="n">
        <v>0</v>
      </c>
      <c r="BW504" s="2" t="n">
        <v>0</v>
      </c>
      <c r="BX504" s="2" t="n">
        <v>0</v>
      </c>
      <c r="BY504" s="2" t="n">
        <v>0</v>
      </c>
      <c r="BZ504" s="2" t="n">
        <v>0</v>
      </c>
      <c r="CA504" s="2" t="n">
        <v>0</v>
      </c>
      <c r="CB504" s="2" t="n">
        <v>0</v>
      </c>
      <c r="CC504" s="2" t="n">
        <v>0</v>
      </c>
      <c r="CD504" s="2" t="n">
        <v>0</v>
      </c>
      <c r="CE504" s="2" t="n">
        <v>0</v>
      </c>
      <c r="CF504" s="2" t="n">
        <v>0</v>
      </c>
      <c r="CG504" s="2" t="n">
        <v>0</v>
      </c>
      <c r="CH504" s="2" t="n">
        <v>0</v>
      </c>
      <c r="CI504" s="2" t="n">
        <v>0</v>
      </c>
      <c r="CJ504" s="2" t="n">
        <v>0</v>
      </c>
      <c r="CK504" s="2" t="n">
        <v>0</v>
      </c>
      <c r="CL504" s="2" t="n">
        <v>0</v>
      </c>
      <c r="CM504" s="2" t="n">
        <v>0</v>
      </c>
      <c r="CN504" s="2" t="n">
        <v>0</v>
      </c>
      <c r="CO504" s="2" t="n">
        <v>0</v>
      </c>
      <c r="CP504" s="2" t="n">
        <v>0</v>
      </c>
      <c r="CQ504" s="2" t="n">
        <v>0</v>
      </c>
      <c r="CR504" s="2" t="n">
        <v>0</v>
      </c>
      <c r="CS504" s="2" t="n">
        <v>0</v>
      </c>
      <c r="CT504" s="2" t="n">
        <v>0</v>
      </c>
      <c r="CU504" s="2" t="n">
        <v>0</v>
      </c>
      <c r="CV504" s="2" t="n">
        <v>0</v>
      </c>
      <c r="CW504" s="2" t="n">
        <v>0</v>
      </c>
      <c r="CX504" s="2" t="n">
        <v>0</v>
      </c>
      <c r="CY504" s="2" t="n">
        <v>0</v>
      </c>
      <c r="CZ504" s="2" t="n">
        <v>0</v>
      </c>
      <c r="DA504" s="2" t="n">
        <v>0</v>
      </c>
      <c r="DB504" s="2" t="n">
        <v>0</v>
      </c>
      <c r="DC504" s="2" t="n">
        <v>0</v>
      </c>
      <c r="DD504" s="2" t="n">
        <v>0</v>
      </c>
      <c r="DE504" s="2" t="n">
        <v>1.33</v>
      </c>
      <c r="DF504" s="2" t="n">
        <v>0</v>
      </c>
      <c r="DG504" s="2" t="n">
        <v>5</v>
      </c>
      <c r="DH504" s="2" t="n">
        <v>39.55</v>
      </c>
      <c r="DI504" s="2" t="n">
        <v>0</v>
      </c>
      <c r="DJ504" s="2" t="n">
        <v>68.33</v>
      </c>
      <c r="DK504" s="2" t="n">
        <v>100</v>
      </c>
      <c r="DL504" s="2" t="n">
        <v>0</v>
      </c>
      <c r="DM504" s="2" t="n">
        <v>100</v>
      </c>
      <c r="DN504" s="2" t="n">
        <v>100</v>
      </c>
      <c r="DO504" s="2" t="n">
        <v>0</v>
      </c>
      <c r="DP504" s="2" t="n">
        <v>100</v>
      </c>
      <c r="DQ504" s="2" t="n">
        <v>100</v>
      </c>
      <c r="DR504" s="2" t="n">
        <v>0</v>
      </c>
      <c r="DS504" s="2" t="n">
        <v>100</v>
      </c>
      <c r="DT504" s="2" t="n">
        <v>100</v>
      </c>
      <c r="DU504" s="2" t="n">
        <v>0</v>
      </c>
      <c r="DV504" s="2" t="n">
        <v>100</v>
      </c>
      <c r="DW504" s="2" t="n">
        <v>100</v>
      </c>
      <c r="DX504" s="2" t="n">
        <v>0</v>
      </c>
      <c r="DY504" s="2" t="n">
        <v>100</v>
      </c>
      <c r="DZ504" s="2" t="n">
        <v>100</v>
      </c>
      <c r="EA504" s="2" t="n">
        <v>0</v>
      </c>
      <c r="EB504" s="2" t="n">
        <v>100</v>
      </c>
      <c r="EC504" s="2" t="n">
        <v>100</v>
      </c>
      <c r="ED504" s="2" t="n">
        <v>0</v>
      </c>
      <c r="EE504" s="2" t="n">
        <v>100</v>
      </c>
      <c r="EF504" s="2" t="n">
        <v>100</v>
      </c>
      <c r="EG504" s="2" t="n">
        <v>0</v>
      </c>
      <c r="EH504" s="2" t="n">
        <v>100</v>
      </c>
      <c r="EI504" s="2" t="n">
        <v>100</v>
      </c>
      <c r="EJ504" s="2" t="n">
        <v>0</v>
      </c>
      <c r="EK504" s="2" t="n">
        <v>100</v>
      </c>
      <c r="EL504" s="2" t="n">
        <v>100</v>
      </c>
      <c r="EM504" s="2" t="n">
        <v>0</v>
      </c>
      <c r="EN504" s="2" t="n">
        <v>100</v>
      </c>
      <c r="EO504" s="2" t="n">
        <v>100</v>
      </c>
      <c r="EP504" s="2" t="n">
        <v>0</v>
      </c>
      <c r="EQ504" s="2" t="n">
        <v>100</v>
      </c>
      <c r="ER504" s="2" t="n">
        <v>100</v>
      </c>
      <c r="ES504" s="2" t="n">
        <v>0</v>
      </c>
    </row>
    <row r="505">
      <c r="A505" s="2" t="n">
        <v>3</v>
      </c>
      <c r="B505" s="2" t="inlineStr">
        <is>
          <t>21.01.04</t>
        </is>
      </c>
      <c r="C505" s="2" t="inlineStr">
        <is>
          <t>Furação Nas Lajes</t>
        </is>
      </c>
      <c r="D505" s="2" t="inlineStr">
        <is>
          <t>30/04/2027</t>
        </is>
      </c>
      <c r="E505" s="2" t="inlineStr">
        <is>
          <t>22/05/2028</t>
        </is>
      </c>
      <c r="F505" s="2" t="n">
        <v>140680.8</v>
      </c>
      <c r="G505" s="2" t="n">
        <v>0</v>
      </c>
      <c r="H505" s="2" t="n">
        <v>140680.8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  <c r="AN505" s="2" t="n">
        <v>0</v>
      </c>
      <c r="AO505" s="2" t="n">
        <v>0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n">
        <v>0</v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n">
        <v>0</v>
      </c>
      <c r="BI505" s="2" t="n">
        <v>0</v>
      </c>
      <c r="BJ505" s="2" t="n">
        <v>0</v>
      </c>
      <c r="BK505" s="2" t="n">
        <v>0</v>
      </c>
      <c r="BL505" s="2" t="n">
        <v>0</v>
      </c>
      <c r="BM505" s="2" t="n">
        <v>0</v>
      </c>
      <c r="BN505" s="2" t="n">
        <v>0</v>
      </c>
      <c r="BO505" s="2" t="n">
        <v>0</v>
      </c>
      <c r="BP505" s="2" t="n">
        <v>0</v>
      </c>
      <c r="BQ505" s="2" t="n">
        <v>0</v>
      </c>
      <c r="BR505" s="2" t="n">
        <v>0</v>
      </c>
      <c r="BS505" s="2" t="n">
        <v>0</v>
      </c>
      <c r="BT505" s="2" t="n">
        <v>0</v>
      </c>
      <c r="BU505" s="2" t="n">
        <v>0</v>
      </c>
      <c r="BV505" s="2" t="n">
        <v>0</v>
      </c>
      <c r="BW505" s="2" t="n">
        <v>0</v>
      </c>
      <c r="BX505" s="2" t="n">
        <v>0.43</v>
      </c>
      <c r="BY505" s="2" t="n">
        <v>0</v>
      </c>
      <c r="BZ505" s="2" t="n">
        <v>6.94</v>
      </c>
      <c r="CA505" s="2" t="n">
        <v>9.109999999999999</v>
      </c>
      <c r="CB505" s="2" t="n">
        <v>0</v>
      </c>
      <c r="CC505" s="2" t="n">
        <v>16.49</v>
      </c>
      <c r="CD505" s="2" t="n">
        <v>18.66</v>
      </c>
      <c r="CE505" s="2" t="n">
        <v>0</v>
      </c>
      <c r="CF505" s="2" t="n">
        <v>26.03</v>
      </c>
      <c r="CG505" s="2" t="n">
        <v>28.2</v>
      </c>
      <c r="CH505" s="2" t="n">
        <v>0</v>
      </c>
      <c r="CI505" s="2" t="n">
        <v>35.58</v>
      </c>
      <c r="CJ505" s="2" t="n">
        <v>37.75</v>
      </c>
      <c r="CK505" s="2" t="n">
        <v>0</v>
      </c>
      <c r="CL505" s="2" t="n">
        <v>44.69</v>
      </c>
      <c r="CM505" s="2" t="n">
        <v>46.86</v>
      </c>
      <c r="CN505" s="2" t="n">
        <v>0</v>
      </c>
      <c r="CO505" s="2" t="n">
        <v>53.36</v>
      </c>
      <c r="CP505" s="2" t="n">
        <v>55.53</v>
      </c>
      <c r="CQ505" s="2" t="n">
        <v>0</v>
      </c>
      <c r="CR505" s="2" t="n">
        <v>62.04</v>
      </c>
      <c r="CS505" s="2" t="n">
        <v>64.20999999999999</v>
      </c>
      <c r="CT505" s="2" t="n">
        <v>0</v>
      </c>
      <c r="CU505" s="2" t="n">
        <v>68.98</v>
      </c>
      <c r="CV505" s="2" t="n">
        <v>71.15000000000001</v>
      </c>
      <c r="CW505" s="2" t="n">
        <v>0</v>
      </c>
      <c r="CX505" s="2" t="n">
        <v>78.09</v>
      </c>
      <c r="CY505" s="2" t="n">
        <v>80.26000000000001</v>
      </c>
      <c r="CZ505" s="2" t="n">
        <v>0</v>
      </c>
      <c r="DA505" s="2" t="n">
        <v>87.2</v>
      </c>
      <c r="DB505" s="2" t="n">
        <v>89.47</v>
      </c>
      <c r="DC505" s="2" t="n">
        <v>0</v>
      </c>
      <c r="DD505" s="2" t="n">
        <v>93.87</v>
      </c>
      <c r="DE505" s="2" t="n">
        <v>94.45</v>
      </c>
      <c r="DF505" s="2" t="n">
        <v>0</v>
      </c>
      <c r="DG505" s="2" t="n">
        <v>94.38</v>
      </c>
      <c r="DH505" s="2" t="n">
        <v>95.43000000000001</v>
      </c>
      <c r="DI505" s="2" t="n">
        <v>0</v>
      </c>
      <c r="DJ505" s="2" t="n">
        <v>99.53</v>
      </c>
      <c r="DK505" s="2" t="n">
        <v>100</v>
      </c>
      <c r="DL505" s="2" t="n">
        <v>0</v>
      </c>
      <c r="DM505" s="2" t="n">
        <v>100</v>
      </c>
      <c r="DN505" s="2" t="n">
        <v>100</v>
      </c>
      <c r="DO505" s="2" t="n">
        <v>0</v>
      </c>
      <c r="DP505" s="2" t="n">
        <v>100</v>
      </c>
      <c r="DQ505" s="2" t="n">
        <v>100</v>
      </c>
      <c r="DR505" s="2" t="n">
        <v>0</v>
      </c>
      <c r="DS505" s="2" t="n">
        <v>100</v>
      </c>
      <c r="DT505" s="2" t="n">
        <v>100</v>
      </c>
      <c r="DU505" s="2" t="n">
        <v>0</v>
      </c>
      <c r="DV505" s="2" t="n">
        <v>100</v>
      </c>
      <c r="DW505" s="2" t="n">
        <v>100</v>
      </c>
      <c r="DX505" s="2" t="n">
        <v>0</v>
      </c>
      <c r="DY505" s="2" t="n">
        <v>100</v>
      </c>
      <c r="DZ505" s="2" t="n">
        <v>100</v>
      </c>
      <c r="EA505" s="2" t="n">
        <v>0</v>
      </c>
      <c r="EB505" s="2" t="n">
        <v>100</v>
      </c>
      <c r="EC505" s="2" t="n">
        <v>100</v>
      </c>
      <c r="ED505" s="2" t="n">
        <v>0</v>
      </c>
      <c r="EE505" s="2" t="n">
        <v>100</v>
      </c>
      <c r="EF505" s="2" t="n">
        <v>100</v>
      </c>
      <c r="EG505" s="2" t="n">
        <v>0</v>
      </c>
      <c r="EH505" s="2" t="n">
        <v>100</v>
      </c>
      <c r="EI505" s="2" t="n">
        <v>100</v>
      </c>
      <c r="EJ505" s="2" t="n">
        <v>0</v>
      </c>
      <c r="EK505" s="2" t="n">
        <v>100</v>
      </c>
      <c r="EL505" s="2" t="n">
        <v>100</v>
      </c>
      <c r="EM505" s="2" t="n">
        <v>0</v>
      </c>
      <c r="EN505" s="2" t="n">
        <v>100</v>
      </c>
      <c r="EO505" s="2" t="n">
        <v>100</v>
      </c>
      <c r="EP505" s="2" t="n">
        <v>0</v>
      </c>
      <c r="EQ505" s="2" t="n">
        <v>100</v>
      </c>
      <c r="ER505" s="2" t="n">
        <v>100</v>
      </c>
      <c r="ES505" s="2" t="n">
        <v>0</v>
      </c>
    </row>
    <row r="506">
      <c r="A506" s="2" t="n">
        <v>3</v>
      </c>
      <c r="B506" s="2" t="inlineStr">
        <is>
          <t>21.01.05</t>
        </is>
      </c>
      <c r="C506" s="2" t="inlineStr">
        <is>
          <t>Prumadas De Água Fria</t>
        </is>
      </c>
      <c r="D506" s="2" t="inlineStr">
        <is>
          <t>05/04/2027</t>
        </is>
      </c>
      <c r="E506" s="2" t="inlineStr">
        <is>
          <t>26/05/2028</t>
        </is>
      </c>
      <c r="F506" s="2" t="n">
        <v>304808.4</v>
      </c>
      <c r="G506" s="2" t="n">
        <v>0</v>
      </c>
      <c r="H506" s="2" t="n">
        <v>304808.4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0</v>
      </c>
      <c r="AN506" s="2" t="n">
        <v>0</v>
      </c>
      <c r="AO506" s="2" t="n">
        <v>0</v>
      </c>
      <c r="AP506" s="2" t="n">
        <v>0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s="2" t="n">
        <v>0</v>
      </c>
      <c r="AW506" s="2" t="n">
        <v>0</v>
      </c>
      <c r="AX506" s="2" t="n">
        <v>0</v>
      </c>
      <c r="AY506" s="2" t="n">
        <v>0</v>
      </c>
      <c r="AZ506" s="2" t="n">
        <v>0</v>
      </c>
      <c r="BA506" s="2" t="n">
        <v>0</v>
      </c>
      <c r="BB506" s="2" t="n">
        <v>0</v>
      </c>
      <c r="BC506" s="2" t="n">
        <v>0</v>
      </c>
      <c r="BD506" s="2" t="n">
        <v>0</v>
      </c>
      <c r="BE506" s="2" t="n">
        <v>0</v>
      </c>
      <c r="BF506" s="2" t="n">
        <v>0</v>
      </c>
      <c r="BG506" s="2" t="n">
        <v>0</v>
      </c>
      <c r="BH506" s="2" t="n">
        <v>0</v>
      </c>
      <c r="BI506" s="2" t="n">
        <v>0</v>
      </c>
      <c r="BJ506" s="2" t="n">
        <v>0</v>
      </c>
      <c r="BK506" s="2" t="n">
        <v>0</v>
      </c>
      <c r="BL506" s="2" t="n">
        <v>0</v>
      </c>
      <c r="BM506" s="2" t="n">
        <v>0</v>
      </c>
      <c r="BN506" s="2" t="n">
        <v>0</v>
      </c>
      <c r="BO506" s="2" t="n">
        <v>0</v>
      </c>
      <c r="BP506" s="2" t="n">
        <v>0</v>
      </c>
      <c r="BQ506" s="2" t="n">
        <v>0</v>
      </c>
      <c r="BR506" s="2" t="n">
        <v>0</v>
      </c>
      <c r="BS506" s="2" t="n">
        <v>0</v>
      </c>
      <c r="BT506" s="2" t="n">
        <v>0</v>
      </c>
      <c r="BU506" s="2" t="n">
        <v>0</v>
      </c>
      <c r="BV506" s="2" t="n">
        <v>0</v>
      </c>
      <c r="BW506" s="2" t="n">
        <v>3.74</v>
      </c>
      <c r="BX506" s="2" t="n">
        <v>5.07</v>
      </c>
      <c r="BY506" s="2" t="n">
        <v>0</v>
      </c>
      <c r="BZ506" s="2" t="n">
        <v>9.07</v>
      </c>
      <c r="CA506" s="2" t="n">
        <v>10.41</v>
      </c>
      <c r="CB506" s="2" t="n">
        <v>0</v>
      </c>
      <c r="CC506" s="2" t="n">
        <v>14.95</v>
      </c>
      <c r="CD506" s="2" t="n">
        <v>16.28</v>
      </c>
      <c r="CE506" s="2" t="n">
        <v>0</v>
      </c>
      <c r="CF506" s="2" t="n">
        <v>21.46</v>
      </c>
      <c r="CG506" s="2" t="n">
        <v>22.85</v>
      </c>
      <c r="CH506" s="2" t="n">
        <v>0</v>
      </c>
      <c r="CI506" s="2" t="n">
        <v>28.38</v>
      </c>
      <c r="CJ506" s="2" t="n">
        <v>29.75</v>
      </c>
      <c r="CK506" s="2" t="n">
        <v>0</v>
      </c>
      <c r="CL506" s="2" t="n">
        <v>34.68</v>
      </c>
      <c r="CM506" s="2" t="n">
        <v>36.03</v>
      </c>
      <c r="CN506" s="2" t="n">
        <v>0</v>
      </c>
      <c r="CO506" s="2" t="n">
        <v>49.84</v>
      </c>
      <c r="CP506" s="2" t="n">
        <v>55.6</v>
      </c>
      <c r="CQ506" s="2" t="n">
        <v>0</v>
      </c>
      <c r="CR506" s="2" t="n">
        <v>60.17</v>
      </c>
      <c r="CS506" s="2" t="n">
        <v>63.48</v>
      </c>
      <c r="CT506" s="2" t="n">
        <v>0</v>
      </c>
      <c r="CU506" s="2" t="n">
        <v>66.83</v>
      </c>
      <c r="CV506" s="2" t="n">
        <v>70.05</v>
      </c>
      <c r="CW506" s="2" t="n">
        <v>0</v>
      </c>
      <c r="CX506" s="2" t="n">
        <v>74.64</v>
      </c>
      <c r="CY506" s="2" t="n">
        <v>80.12</v>
      </c>
      <c r="CZ506" s="2" t="n">
        <v>0</v>
      </c>
      <c r="DA506" s="2" t="n">
        <v>83.3</v>
      </c>
      <c r="DB506" s="2" t="n">
        <v>85.73999999999999</v>
      </c>
      <c r="DC506" s="2" t="n">
        <v>0</v>
      </c>
      <c r="DD506" s="2" t="n">
        <v>86.91</v>
      </c>
      <c r="DE506" s="2" t="n">
        <v>91.3</v>
      </c>
      <c r="DF506" s="2" t="n">
        <v>0</v>
      </c>
      <c r="DG506" s="2" t="n">
        <v>93.17</v>
      </c>
      <c r="DH506" s="2" t="n">
        <v>94.02</v>
      </c>
      <c r="DI506" s="2" t="n">
        <v>0</v>
      </c>
      <c r="DJ506" s="2" t="n">
        <v>94.65000000000001</v>
      </c>
      <c r="DK506" s="2" t="n">
        <v>100</v>
      </c>
      <c r="DL506" s="2" t="n">
        <v>0</v>
      </c>
      <c r="DM506" s="2" t="n">
        <v>100</v>
      </c>
      <c r="DN506" s="2" t="n">
        <v>100</v>
      </c>
      <c r="DO506" s="2" t="n">
        <v>0</v>
      </c>
      <c r="DP506" s="2" t="n">
        <v>100</v>
      </c>
      <c r="DQ506" s="2" t="n">
        <v>100</v>
      </c>
      <c r="DR506" s="2" t="n">
        <v>0</v>
      </c>
      <c r="DS506" s="2" t="n">
        <v>100</v>
      </c>
      <c r="DT506" s="2" t="n">
        <v>100</v>
      </c>
      <c r="DU506" s="2" t="n">
        <v>0</v>
      </c>
      <c r="DV506" s="2" t="n">
        <v>100</v>
      </c>
      <c r="DW506" s="2" t="n">
        <v>100</v>
      </c>
      <c r="DX506" s="2" t="n">
        <v>0</v>
      </c>
      <c r="DY506" s="2" t="n">
        <v>100</v>
      </c>
      <c r="DZ506" s="2" t="n">
        <v>100</v>
      </c>
      <c r="EA506" s="2" t="n">
        <v>0</v>
      </c>
      <c r="EB506" s="2" t="n">
        <v>100</v>
      </c>
      <c r="EC506" s="2" t="n">
        <v>100</v>
      </c>
      <c r="ED506" s="2" t="n">
        <v>0</v>
      </c>
      <c r="EE506" s="2" t="n">
        <v>100</v>
      </c>
      <c r="EF506" s="2" t="n">
        <v>100</v>
      </c>
      <c r="EG506" s="2" t="n">
        <v>0</v>
      </c>
      <c r="EH506" s="2" t="n">
        <v>100</v>
      </c>
      <c r="EI506" s="2" t="n">
        <v>100</v>
      </c>
      <c r="EJ506" s="2" t="n">
        <v>0</v>
      </c>
      <c r="EK506" s="2" t="n">
        <v>100</v>
      </c>
      <c r="EL506" s="2" t="n">
        <v>100</v>
      </c>
      <c r="EM506" s="2" t="n">
        <v>0</v>
      </c>
      <c r="EN506" s="2" t="n">
        <v>100</v>
      </c>
      <c r="EO506" s="2" t="n">
        <v>100</v>
      </c>
      <c r="EP506" s="2" t="n">
        <v>0</v>
      </c>
      <c r="EQ506" s="2" t="n">
        <v>100</v>
      </c>
      <c r="ER506" s="2" t="n">
        <v>100</v>
      </c>
      <c r="ES506" s="2" t="n">
        <v>0</v>
      </c>
    </row>
    <row r="507">
      <c r="A507" s="2" t="n">
        <v>3</v>
      </c>
      <c r="B507" s="2" t="inlineStr">
        <is>
          <t>21.01.06</t>
        </is>
      </c>
      <c r="C507" s="2" t="inlineStr">
        <is>
          <t>Distribuição</t>
        </is>
      </c>
      <c r="D507" s="2" t="inlineStr">
        <is>
          <t>30/04/2027</t>
        </is>
      </c>
      <c r="E507" s="2" t="inlineStr">
        <is>
          <t>22/05/2028</t>
        </is>
      </c>
      <c r="F507" s="2" t="n">
        <v>422042.4</v>
      </c>
      <c r="G507" s="2" t="n">
        <v>0</v>
      </c>
      <c r="H507" s="2" t="n">
        <v>422042.4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2" t="n">
        <v>0</v>
      </c>
      <c r="AN507" s="2" t="n">
        <v>0</v>
      </c>
      <c r="AO507" s="2" t="n">
        <v>0</v>
      </c>
      <c r="AP507" s="2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>
        <v>0</v>
      </c>
      <c r="AX507" s="2" t="n">
        <v>0</v>
      </c>
      <c r="AY507" s="2" t="n">
        <v>0</v>
      </c>
      <c r="AZ507" s="2" t="n">
        <v>0</v>
      </c>
      <c r="BA507" s="2" t="n">
        <v>0</v>
      </c>
      <c r="BB507" s="2" t="n">
        <v>0</v>
      </c>
      <c r="BC507" s="2" t="n">
        <v>0</v>
      </c>
      <c r="BD507" s="2" t="n">
        <v>0</v>
      </c>
      <c r="BE507" s="2" t="n">
        <v>0</v>
      </c>
      <c r="BF507" s="2" t="n">
        <v>0</v>
      </c>
      <c r="BG507" s="2" t="n">
        <v>0</v>
      </c>
      <c r="BH507" s="2" t="n">
        <v>0</v>
      </c>
      <c r="BI507" s="2" t="n">
        <v>0</v>
      </c>
      <c r="BJ507" s="2" t="n">
        <v>0</v>
      </c>
      <c r="BK507" s="2" t="n">
        <v>0</v>
      </c>
      <c r="BL507" s="2" t="n">
        <v>0</v>
      </c>
      <c r="BM507" s="2" t="n">
        <v>0</v>
      </c>
      <c r="BN507" s="2" t="n">
        <v>0</v>
      </c>
      <c r="BO507" s="2" t="n">
        <v>0</v>
      </c>
      <c r="BP507" s="2" t="n">
        <v>0</v>
      </c>
      <c r="BQ507" s="2" t="n">
        <v>0</v>
      </c>
      <c r="BR507" s="2" t="n">
        <v>0</v>
      </c>
      <c r="BS507" s="2" t="n">
        <v>0</v>
      </c>
      <c r="BT507" s="2" t="n">
        <v>0</v>
      </c>
      <c r="BU507" s="2" t="n">
        <v>0</v>
      </c>
      <c r="BV507" s="2" t="n">
        <v>0</v>
      </c>
      <c r="BW507" s="2" t="n">
        <v>0</v>
      </c>
      <c r="BX507" s="2" t="n">
        <v>0.43</v>
      </c>
      <c r="BY507" s="2" t="n">
        <v>0</v>
      </c>
      <c r="BZ507" s="2" t="n">
        <v>6.94</v>
      </c>
      <c r="CA507" s="2" t="n">
        <v>9.109999999999999</v>
      </c>
      <c r="CB507" s="2" t="n">
        <v>0</v>
      </c>
      <c r="CC507" s="2" t="n">
        <v>16.49</v>
      </c>
      <c r="CD507" s="2" t="n">
        <v>18.66</v>
      </c>
      <c r="CE507" s="2" t="n">
        <v>0</v>
      </c>
      <c r="CF507" s="2" t="n">
        <v>26.03</v>
      </c>
      <c r="CG507" s="2" t="n">
        <v>28.2</v>
      </c>
      <c r="CH507" s="2" t="n">
        <v>0</v>
      </c>
      <c r="CI507" s="2" t="n">
        <v>35.58</v>
      </c>
      <c r="CJ507" s="2" t="n">
        <v>37.75</v>
      </c>
      <c r="CK507" s="2" t="n">
        <v>0</v>
      </c>
      <c r="CL507" s="2" t="n">
        <v>44.69</v>
      </c>
      <c r="CM507" s="2" t="n">
        <v>46.86</v>
      </c>
      <c r="CN507" s="2" t="n">
        <v>0</v>
      </c>
      <c r="CO507" s="2" t="n">
        <v>53.36</v>
      </c>
      <c r="CP507" s="2" t="n">
        <v>55.53</v>
      </c>
      <c r="CQ507" s="2" t="n">
        <v>0</v>
      </c>
      <c r="CR507" s="2" t="n">
        <v>62.04</v>
      </c>
      <c r="CS507" s="2" t="n">
        <v>64.20999999999999</v>
      </c>
      <c r="CT507" s="2" t="n">
        <v>0</v>
      </c>
      <c r="CU507" s="2" t="n">
        <v>68.98</v>
      </c>
      <c r="CV507" s="2" t="n">
        <v>71.15000000000001</v>
      </c>
      <c r="CW507" s="2" t="n">
        <v>0</v>
      </c>
      <c r="CX507" s="2" t="n">
        <v>78.09</v>
      </c>
      <c r="CY507" s="2" t="n">
        <v>80.26000000000001</v>
      </c>
      <c r="CZ507" s="2" t="n">
        <v>0</v>
      </c>
      <c r="DA507" s="2" t="n">
        <v>87.2</v>
      </c>
      <c r="DB507" s="2" t="n">
        <v>89.47</v>
      </c>
      <c r="DC507" s="2" t="n">
        <v>0</v>
      </c>
      <c r="DD507" s="2" t="n">
        <v>93.87</v>
      </c>
      <c r="DE507" s="2" t="n">
        <v>94.45</v>
      </c>
      <c r="DF507" s="2" t="n">
        <v>0</v>
      </c>
      <c r="DG507" s="2" t="n">
        <v>94.38</v>
      </c>
      <c r="DH507" s="2" t="n">
        <v>95.43000000000001</v>
      </c>
      <c r="DI507" s="2" t="n">
        <v>0</v>
      </c>
      <c r="DJ507" s="2" t="n">
        <v>99.53</v>
      </c>
      <c r="DK507" s="2" t="n">
        <v>100</v>
      </c>
      <c r="DL507" s="2" t="n">
        <v>0</v>
      </c>
      <c r="DM507" s="2" t="n">
        <v>100</v>
      </c>
      <c r="DN507" s="2" t="n">
        <v>100</v>
      </c>
      <c r="DO507" s="2" t="n">
        <v>0</v>
      </c>
      <c r="DP507" s="2" t="n">
        <v>100</v>
      </c>
      <c r="DQ507" s="2" t="n">
        <v>100</v>
      </c>
      <c r="DR507" s="2" t="n">
        <v>0</v>
      </c>
      <c r="DS507" s="2" t="n">
        <v>100</v>
      </c>
      <c r="DT507" s="2" t="n">
        <v>100</v>
      </c>
      <c r="DU507" s="2" t="n">
        <v>0</v>
      </c>
      <c r="DV507" s="2" t="n">
        <v>100</v>
      </c>
      <c r="DW507" s="2" t="n">
        <v>100</v>
      </c>
      <c r="DX507" s="2" t="n">
        <v>0</v>
      </c>
      <c r="DY507" s="2" t="n">
        <v>100</v>
      </c>
      <c r="DZ507" s="2" t="n">
        <v>100</v>
      </c>
      <c r="EA507" s="2" t="n">
        <v>0</v>
      </c>
      <c r="EB507" s="2" t="n">
        <v>100</v>
      </c>
      <c r="EC507" s="2" t="n">
        <v>100</v>
      </c>
      <c r="ED507" s="2" t="n">
        <v>0</v>
      </c>
      <c r="EE507" s="2" t="n">
        <v>100</v>
      </c>
      <c r="EF507" s="2" t="n">
        <v>100</v>
      </c>
      <c r="EG507" s="2" t="n">
        <v>0</v>
      </c>
      <c r="EH507" s="2" t="n">
        <v>100</v>
      </c>
      <c r="EI507" s="2" t="n">
        <v>100</v>
      </c>
      <c r="EJ507" s="2" t="n">
        <v>0</v>
      </c>
      <c r="EK507" s="2" t="n">
        <v>100</v>
      </c>
      <c r="EL507" s="2" t="n">
        <v>100</v>
      </c>
      <c r="EM507" s="2" t="n">
        <v>0</v>
      </c>
      <c r="EN507" s="2" t="n">
        <v>100</v>
      </c>
      <c r="EO507" s="2" t="n">
        <v>100</v>
      </c>
      <c r="EP507" s="2" t="n">
        <v>0</v>
      </c>
      <c r="EQ507" s="2" t="n">
        <v>100</v>
      </c>
      <c r="ER507" s="2" t="n">
        <v>100</v>
      </c>
      <c r="ES507" s="2" t="n">
        <v>0</v>
      </c>
    </row>
    <row r="508">
      <c r="A508" s="2" t="n">
        <v>3</v>
      </c>
      <c r="B508" s="2" t="inlineStr">
        <is>
          <t>21.01.07</t>
        </is>
      </c>
      <c r="C508" s="2" t="inlineStr">
        <is>
          <t>Registros e Válvulas</t>
        </is>
      </c>
      <c r="D508" s="2" t="inlineStr">
        <is>
          <t>30/04/2027</t>
        </is>
      </c>
      <c r="E508" s="2" t="inlineStr">
        <is>
          <t>22/05/2028</t>
        </is>
      </c>
      <c r="F508" s="2" t="n">
        <v>351702</v>
      </c>
      <c r="G508" s="2" t="n">
        <v>0</v>
      </c>
      <c r="H508" s="2" t="n">
        <v>351702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0</v>
      </c>
      <c r="AN508" s="2" t="n">
        <v>0</v>
      </c>
      <c r="AO508" s="2" t="n">
        <v>0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n">
        <v>0</v>
      </c>
      <c r="AZ508" s="2" t="n">
        <v>0</v>
      </c>
      <c r="BA508" s="2" t="n">
        <v>0</v>
      </c>
      <c r="BB508" s="2" t="n">
        <v>0</v>
      </c>
      <c r="BC508" s="2" t="n">
        <v>0</v>
      </c>
      <c r="BD508" s="2" t="n">
        <v>0</v>
      </c>
      <c r="BE508" s="2" t="n">
        <v>0</v>
      </c>
      <c r="BF508" s="2" t="n">
        <v>0</v>
      </c>
      <c r="BG508" s="2" t="n">
        <v>0</v>
      </c>
      <c r="BH508" s="2" t="n">
        <v>0</v>
      </c>
      <c r="BI508" s="2" t="n">
        <v>0</v>
      </c>
      <c r="BJ508" s="2" t="n">
        <v>0</v>
      </c>
      <c r="BK508" s="2" t="n">
        <v>0</v>
      </c>
      <c r="BL508" s="2" t="n">
        <v>0</v>
      </c>
      <c r="BM508" s="2" t="n">
        <v>0</v>
      </c>
      <c r="BN508" s="2" t="n">
        <v>0</v>
      </c>
      <c r="BO508" s="2" t="n">
        <v>0</v>
      </c>
      <c r="BP508" s="2" t="n">
        <v>0</v>
      </c>
      <c r="BQ508" s="2" t="n">
        <v>0</v>
      </c>
      <c r="BR508" s="2" t="n">
        <v>0</v>
      </c>
      <c r="BS508" s="2" t="n">
        <v>0</v>
      </c>
      <c r="BT508" s="2" t="n">
        <v>0</v>
      </c>
      <c r="BU508" s="2" t="n">
        <v>0</v>
      </c>
      <c r="BV508" s="2" t="n">
        <v>0</v>
      </c>
      <c r="BW508" s="2" t="n">
        <v>0</v>
      </c>
      <c r="BX508" s="2" t="n">
        <v>0.43</v>
      </c>
      <c r="BY508" s="2" t="n">
        <v>0</v>
      </c>
      <c r="BZ508" s="2" t="n">
        <v>6.94</v>
      </c>
      <c r="CA508" s="2" t="n">
        <v>9.109999999999999</v>
      </c>
      <c r="CB508" s="2" t="n">
        <v>0</v>
      </c>
      <c r="CC508" s="2" t="n">
        <v>16.49</v>
      </c>
      <c r="CD508" s="2" t="n">
        <v>18.66</v>
      </c>
      <c r="CE508" s="2" t="n">
        <v>0</v>
      </c>
      <c r="CF508" s="2" t="n">
        <v>26.03</v>
      </c>
      <c r="CG508" s="2" t="n">
        <v>28.2</v>
      </c>
      <c r="CH508" s="2" t="n">
        <v>0</v>
      </c>
      <c r="CI508" s="2" t="n">
        <v>35.58</v>
      </c>
      <c r="CJ508" s="2" t="n">
        <v>37.75</v>
      </c>
      <c r="CK508" s="2" t="n">
        <v>0</v>
      </c>
      <c r="CL508" s="2" t="n">
        <v>44.69</v>
      </c>
      <c r="CM508" s="2" t="n">
        <v>46.86</v>
      </c>
      <c r="CN508" s="2" t="n">
        <v>0</v>
      </c>
      <c r="CO508" s="2" t="n">
        <v>53.36</v>
      </c>
      <c r="CP508" s="2" t="n">
        <v>55.53</v>
      </c>
      <c r="CQ508" s="2" t="n">
        <v>0</v>
      </c>
      <c r="CR508" s="2" t="n">
        <v>62.04</v>
      </c>
      <c r="CS508" s="2" t="n">
        <v>64.20999999999999</v>
      </c>
      <c r="CT508" s="2" t="n">
        <v>0</v>
      </c>
      <c r="CU508" s="2" t="n">
        <v>68.98</v>
      </c>
      <c r="CV508" s="2" t="n">
        <v>71.15000000000001</v>
      </c>
      <c r="CW508" s="2" t="n">
        <v>0</v>
      </c>
      <c r="CX508" s="2" t="n">
        <v>78.09</v>
      </c>
      <c r="CY508" s="2" t="n">
        <v>80.26000000000001</v>
      </c>
      <c r="CZ508" s="2" t="n">
        <v>0</v>
      </c>
      <c r="DA508" s="2" t="n">
        <v>87.2</v>
      </c>
      <c r="DB508" s="2" t="n">
        <v>89.47</v>
      </c>
      <c r="DC508" s="2" t="n">
        <v>0</v>
      </c>
      <c r="DD508" s="2" t="n">
        <v>93.87</v>
      </c>
      <c r="DE508" s="2" t="n">
        <v>94.45</v>
      </c>
      <c r="DF508" s="2" t="n">
        <v>0</v>
      </c>
      <c r="DG508" s="2" t="n">
        <v>94.38</v>
      </c>
      <c r="DH508" s="2" t="n">
        <v>95.43000000000001</v>
      </c>
      <c r="DI508" s="2" t="n">
        <v>0</v>
      </c>
      <c r="DJ508" s="2" t="n">
        <v>99.53</v>
      </c>
      <c r="DK508" s="2" t="n">
        <v>100</v>
      </c>
      <c r="DL508" s="2" t="n">
        <v>0</v>
      </c>
      <c r="DM508" s="2" t="n">
        <v>100</v>
      </c>
      <c r="DN508" s="2" t="n">
        <v>100</v>
      </c>
      <c r="DO508" s="2" t="n">
        <v>0</v>
      </c>
      <c r="DP508" s="2" t="n">
        <v>100</v>
      </c>
      <c r="DQ508" s="2" t="n">
        <v>100</v>
      </c>
      <c r="DR508" s="2" t="n">
        <v>0</v>
      </c>
      <c r="DS508" s="2" t="n">
        <v>100</v>
      </c>
      <c r="DT508" s="2" t="n">
        <v>100</v>
      </c>
      <c r="DU508" s="2" t="n">
        <v>0</v>
      </c>
      <c r="DV508" s="2" t="n">
        <v>100</v>
      </c>
      <c r="DW508" s="2" t="n">
        <v>100</v>
      </c>
      <c r="DX508" s="2" t="n">
        <v>0</v>
      </c>
      <c r="DY508" s="2" t="n">
        <v>100</v>
      </c>
      <c r="DZ508" s="2" t="n">
        <v>100</v>
      </c>
      <c r="EA508" s="2" t="n">
        <v>0</v>
      </c>
      <c r="EB508" s="2" t="n">
        <v>100</v>
      </c>
      <c r="EC508" s="2" t="n">
        <v>100</v>
      </c>
      <c r="ED508" s="2" t="n">
        <v>0</v>
      </c>
      <c r="EE508" s="2" t="n">
        <v>100</v>
      </c>
      <c r="EF508" s="2" t="n">
        <v>100</v>
      </c>
      <c r="EG508" s="2" t="n">
        <v>0</v>
      </c>
      <c r="EH508" s="2" t="n">
        <v>100</v>
      </c>
      <c r="EI508" s="2" t="n">
        <v>100</v>
      </c>
      <c r="EJ508" s="2" t="n">
        <v>0</v>
      </c>
      <c r="EK508" s="2" t="n">
        <v>100</v>
      </c>
      <c r="EL508" s="2" t="n">
        <v>100</v>
      </c>
      <c r="EM508" s="2" t="n">
        <v>0</v>
      </c>
      <c r="EN508" s="2" t="n">
        <v>100</v>
      </c>
      <c r="EO508" s="2" t="n">
        <v>100</v>
      </c>
      <c r="EP508" s="2" t="n">
        <v>0</v>
      </c>
      <c r="EQ508" s="2" t="n">
        <v>100</v>
      </c>
      <c r="ER508" s="2" t="n">
        <v>100</v>
      </c>
      <c r="ES508" s="2" t="n">
        <v>0</v>
      </c>
    </row>
    <row r="509">
      <c r="A509" s="2" t="n">
        <v>3</v>
      </c>
      <c r="B509" s="2" t="inlineStr">
        <is>
          <t>21.01.08</t>
        </is>
      </c>
      <c r="C509" s="2" t="inlineStr">
        <is>
          <t>Caixas de passagem</t>
        </is>
      </c>
      <c r="D509" s="2" t="inlineStr">
        <is>
          <t>11/01/2027</t>
        </is>
      </c>
      <c r="E509" s="2" t="inlineStr">
        <is>
          <t>05/02/2027</t>
        </is>
      </c>
      <c r="F509" s="2" t="n">
        <v>234468</v>
      </c>
      <c r="G509" s="2" t="n">
        <v>0</v>
      </c>
      <c r="H509" s="2" t="n">
        <v>234468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  <c r="AN509" s="2" t="n">
        <v>0</v>
      </c>
      <c r="AO509" s="2" t="n">
        <v>0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n">
        <v>0</v>
      </c>
      <c r="AZ509" s="2" t="n">
        <v>0</v>
      </c>
      <c r="BA509" s="2" t="n">
        <v>0</v>
      </c>
      <c r="BB509" s="2" t="n">
        <v>0</v>
      </c>
      <c r="BC509" s="2" t="n">
        <v>0</v>
      </c>
      <c r="BD509" s="2" t="n">
        <v>0</v>
      </c>
      <c r="BE509" s="2" t="n">
        <v>0</v>
      </c>
      <c r="BF509" s="2" t="n">
        <v>0</v>
      </c>
      <c r="BG509" s="2" t="n">
        <v>0</v>
      </c>
      <c r="BH509" s="2" t="n">
        <v>0</v>
      </c>
      <c r="BI509" s="2" t="n">
        <v>0</v>
      </c>
      <c r="BJ509" s="2" t="n">
        <v>0</v>
      </c>
      <c r="BK509" s="2" t="n">
        <v>0</v>
      </c>
      <c r="BL509" s="2" t="n">
        <v>0</v>
      </c>
      <c r="BM509" s="2" t="n">
        <v>0</v>
      </c>
      <c r="BN509" s="2" t="n">
        <v>15</v>
      </c>
      <c r="BO509" s="2" t="n">
        <v>75</v>
      </c>
      <c r="BP509" s="2" t="n">
        <v>0</v>
      </c>
      <c r="BQ509" s="2" t="n">
        <v>100</v>
      </c>
      <c r="BR509" s="2" t="n">
        <v>100</v>
      </c>
      <c r="BS509" s="2" t="n">
        <v>0</v>
      </c>
      <c r="BT509" s="2" t="n">
        <v>100</v>
      </c>
      <c r="BU509" s="2" t="n">
        <v>100</v>
      </c>
      <c r="BV509" s="2" t="n">
        <v>0</v>
      </c>
      <c r="BW509" s="2" t="n">
        <v>100</v>
      </c>
      <c r="BX509" s="2" t="n">
        <v>100</v>
      </c>
      <c r="BY509" s="2" t="n">
        <v>0</v>
      </c>
      <c r="BZ509" s="2" t="n">
        <v>100</v>
      </c>
      <c r="CA509" s="2" t="n">
        <v>100</v>
      </c>
      <c r="CB509" s="2" t="n">
        <v>0</v>
      </c>
      <c r="CC509" s="2" t="n">
        <v>100</v>
      </c>
      <c r="CD509" s="2" t="n">
        <v>100</v>
      </c>
      <c r="CE509" s="2" t="n">
        <v>0</v>
      </c>
      <c r="CF509" s="2" t="n">
        <v>100</v>
      </c>
      <c r="CG509" s="2" t="n">
        <v>100</v>
      </c>
      <c r="CH509" s="2" t="n">
        <v>0</v>
      </c>
      <c r="CI509" s="2" t="n">
        <v>100</v>
      </c>
      <c r="CJ509" s="2" t="n">
        <v>100</v>
      </c>
      <c r="CK509" s="2" t="n">
        <v>0</v>
      </c>
      <c r="CL509" s="2" t="n">
        <v>100</v>
      </c>
      <c r="CM509" s="2" t="n">
        <v>100</v>
      </c>
      <c r="CN509" s="2" t="n">
        <v>0</v>
      </c>
      <c r="CO509" s="2" t="n">
        <v>100</v>
      </c>
      <c r="CP509" s="2" t="n">
        <v>100</v>
      </c>
      <c r="CQ509" s="2" t="n">
        <v>0</v>
      </c>
      <c r="CR509" s="2" t="n">
        <v>100</v>
      </c>
      <c r="CS509" s="2" t="n">
        <v>100</v>
      </c>
      <c r="CT509" s="2" t="n">
        <v>0</v>
      </c>
      <c r="CU509" s="2" t="n">
        <v>100</v>
      </c>
      <c r="CV509" s="2" t="n">
        <v>100</v>
      </c>
      <c r="CW509" s="2" t="n">
        <v>0</v>
      </c>
      <c r="CX509" s="2" t="n">
        <v>100</v>
      </c>
      <c r="CY509" s="2" t="n">
        <v>100</v>
      </c>
      <c r="CZ509" s="2" t="n">
        <v>0</v>
      </c>
      <c r="DA509" s="2" t="n">
        <v>100</v>
      </c>
      <c r="DB509" s="2" t="n">
        <v>100</v>
      </c>
      <c r="DC509" s="2" t="n">
        <v>0</v>
      </c>
      <c r="DD509" s="2" t="n">
        <v>100</v>
      </c>
      <c r="DE509" s="2" t="n">
        <v>100</v>
      </c>
      <c r="DF509" s="2" t="n">
        <v>0</v>
      </c>
      <c r="DG509" s="2" t="n">
        <v>100</v>
      </c>
      <c r="DH509" s="2" t="n">
        <v>100</v>
      </c>
      <c r="DI509" s="2" t="n">
        <v>0</v>
      </c>
      <c r="DJ509" s="2" t="n">
        <v>100</v>
      </c>
      <c r="DK509" s="2" t="n">
        <v>100</v>
      </c>
      <c r="DL509" s="2" t="n">
        <v>0</v>
      </c>
      <c r="DM509" s="2" t="n">
        <v>100</v>
      </c>
      <c r="DN509" s="2" t="n">
        <v>100</v>
      </c>
      <c r="DO509" s="2" t="n">
        <v>0</v>
      </c>
      <c r="DP509" s="2" t="n">
        <v>100</v>
      </c>
      <c r="DQ509" s="2" t="n">
        <v>100</v>
      </c>
      <c r="DR509" s="2" t="n">
        <v>0</v>
      </c>
      <c r="DS509" s="2" t="n">
        <v>100</v>
      </c>
      <c r="DT509" s="2" t="n">
        <v>100</v>
      </c>
      <c r="DU509" s="2" t="n">
        <v>0</v>
      </c>
      <c r="DV509" s="2" t="n">
        <v>100</v>
      </c>
      <c r="DW509" s="2" t="n">
        <v>100</v>
      </c>
      <c r="DX509" s="2" t="n">
        <v>0</v>
      </c>
      <c r="DY509" s="2" t="n">
        <v>100</v>
      </c>
      <c r="DZ509" s="2" t="n">
        <v>100</v>
      </c>
      <c r="EA509" s="2" t="n">
        <v>0</v>
      </c>
      <c r="EB509" s="2" t="n">
        <v>100</v>
      </c>
      <c r="EC509" s="2" t="n">
        <v>100</v>
      </c>
      <c r="ED509" s="2" t="n">
        <v>0</v>
      </c>
      <c r="EE509" s="2" t="n">
        <v>100</v>
      </c>
      <c r="EF509" s="2" t="n">
        <v>100</v>
      </c>
      <c r="EG509" s="2" t="n">
        <v>0</v>
      </c>
      <c r="EH509" s="2" t="n">
        <v>100</v>
      </c>
      <c r="EI509" s="2" t="n">
        <v>100</v>
      </c>
      <c r="EJ509" s="2" t="n">
        <v>0</v>
      </c>
      <c r="EK509" s="2" t="n">
        <v>100</v>
      </c>
      <c r="EL509" s="2" t="n">
        <v>100</v>
      </c>
      <c r="EM509" s="2" t="n">
        <v>0</v>
      </c>
      <c r="EN509" s="2" t="n">
        <v>100</v>
      </c>
      <c r="EO509" s="2" t="n">
        <v>100</v>
      </c>
      <c r="EP509" s="2" t="n">
        <v>0</v>
      </c>
      <c r="EQ509" s="2" t="n">
        <v>100</v>
      </c>
      <c r="ER509" s="2" t="n">
        <v>100</v>
      </c>
      <c r="ES509" s="2" t="n">
        <v>0</v>
      </c>
    </row>
    <row r="510">
      <c r="A510" s="2" t="n">
        <v>3</v>
      </c>
      <c r="B510" s="2" t="inlineStr">
        <is>
          <t>21.01.09</t>
        </is>
      </c>
      <c r="C510" s="2" t="inlineStr">
        <is>
          <t>Reservatórios</t>
        </is>
      </c>
      <c r="D510" s="2" t="inlineStr">
        <is>
          <t>19/10/2027</t>
        </is>
      </c>
      <c r="E510" s="2" t="inlineStr">
        <is>
          <t>21/07/2028</t>
        </is>
      </c>
      <c r="F510" s="2" t="n">
        <v>187574.4</v>
      </c>
      <c r="G510" s="2" t="n">
        <v>0</v>
      </c>
      <c r="H510" s="2" t="n">
        <v>187574.4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0</v>
      </c>
      <c r="AO510" s="2" t="n">
        <v>0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n">
        <v>0</v>
      </c>
      <c r="AZ510" s="2" t="n">
        <v>0</v>
      </c>
      <c r="BA510" s="2" t="n">
        <v>0</v>
      </c>
      <c r="BB510" s="2" t="n">
        <v>0</v>
      </c>
      <c r="BC510" s="2" t="n">
        <v>0</v>
      </c>
      <c r="BD510" s="2" t="n">
        <v>0</v>
      </c>
      <c r="BE510" s="2" t="n">
        <v>0</v>
      </c>
      <c r="BF510" s="2" t="n">
        <v>0</v>
      </c>
      <c r="BG510" s="2" t="n">
        <v>0</v>
      </c>
      <c r="BH510" s="2" t="n">
        <v>0</v>
      </c>
      <c r="BI510" s="2" t="n">
        <v>0</v>
      </c>
      <c r="BJ510" s="2" t="n">
        <v>0</v>
      </c>
      <c r="BK510" s="2" t="n">
        <v>0</v>
      </c>
      <c r="BL510" s="2" t="n">
        <v>0</v>
      </c>
      <c r="BM510" s="2" t="n">
        <v>0</v>
      </c>
      <c r="BN510" s="2" t="n">
        <v>0</v>
      </c>
      <c r="BO510" s="2" t="n">
        <v>0</v>
      </c>
      <c r="BP510" s="2" t="n">
        <v>0</v>
      </c>
      <c r="BQ510" s="2" t="n">
        <v>0</v>
      </c>
      <c r="BR510" s="2" t="n">
        <v>0</v>
      </c>
      <c r="BS510" s="2" t="n">
        <v>0</v>
      </c>
      <c r="BT510" s="2" t="n">
        <v>0</v>
      </c>
      <c r="BU510" s="2" t="n">
        <v>0</v>
      </c>
      <c r="BV510" s="2" t="n">
        <v>0</v>
      </c>
      <c r="BW510" s="2" t="n">
        <v>0</v>
      </c>
      <c r="BX510" s="2" t="n">
        <v>0</v>
      </c>
      <c r="BY510" s="2" t="n">
        <v>0</v>
      </c>
      <c r="BZ510" s="2" t="n">
        <v>0</v>
      </c>
      <c r="CA510" s="2" t="n">
        <v>0</v>
      </c>
      <c r="CB510" s="2" t="n">
        <v>0</v>
      </c>
      <c r="CC510" s="2" t="n">
        <v>0</v>
      </c>
      <c r="CD510" s="2" t="n">
        <v>0</v>
      </c>
      <c r="CE510" s="2" t="n">
        <v>0</v>
      </c>
      <c r="CF510" s="2" t="n">
        <v>0</v>
      </c>
      <c r="CG510" s="2" t="n">
        <v>0</v>
      </c>
      <c r="CH510" s="2" t="n">
        <v>0</v>
      </c>
      <c r="CI510" s="2" t="n">
        <v>0</v>
      </c>
      <c r="CJ510" s="2" t="n">
        <v>0</v>
      </c>
      <c r="CK510" s="2" t="n">
        <v>0</v>
      </c>
      <c r="CL510" s="2" t="n">
        <v>0</v>
      </c>
      <c r="CM510" s="2" t="n">
        <v>0</v>
      </c>
      <c r="CN510" s="2" t="n">
        <v>0</v>
      </c>
      <c r="CO510" s="2" t="n">
        <v>12.12</v>
      </c>
      <c r="CP510" s="2" t="n">
        <v>13.64</v>
      </c>
      <c r="CQ510" s="2" t="n">
        <v>0</v>
      </c>
      <c r="CR510" s="2" t="n">
        <v>42.42</v>
      </c>
      <c r="CS510" s="2" t="n">
        <v>43.94</v>
      </c>
      <c r="CT510" s="2" t="n">
        <v>0</v>
      </c>
      <c r="CU510" s="2" t="n">
        <v>50</v>
      </c>
      <c r="CV510" s="2" t="n">
        <v>50</v>
      </c>
      <c r="CW510" s="2" t="n">
        <v>0</v>
      </c>
      <c r="CX510" s="2" t="n">
        <v>50</v>
      </c>
      <c r="CY510" s="2" t="n">
        <v>50</v>
      </c>
      <c r="CZ510" s="2" t="n">
        <v>0</v>
      </c>
      <c r="DA510" s="2" t="n">
        <v>50</v>
      </c>
      <c r="DB510" s="2" t="n">
        <v>50</v>
      </c>
      <c r="DC510" s="2" t="n">
        <v>0</v>
      </c>
      <c r="DD510" s="2" t="n">
        <v>50</v>
      </c>
      <c r="DE510" s="2" t="n">
        <v>50</v>
      </c>
      <c r="DF510" s="2" t="n">
        <v>0</v>
      </c>
      <c r="DG510" s="2" t="n">
        <v>50</v>
      </c>
      <c r="DH510" s="2" t="n">
        <v>50</v>
      </c>
      <c r="DI510" s="2" t="n">
        <v>0</v>
      </c>
      <c r="DJ510" s="2" t="n">
        <v>50</v>
      </c>
      <c r="DK510" s="2" t="n">
        <v>50</v>
      </c>
      <c r="DL510" s="2" t="n">
        <v>0</v>
      </c>
      <c r="DM510" s="2" t="n">
        <v>50</v>
      </c>
      <c r="DN510" s="2" t="n">
        <v>65.91</v>
      </c>
      <c r="DO510" s="2" t="n">
        <v>0</v>
      </c>
      <c r="DP510" s="2" t="n">
        <v>86.36</v>
      </c>
      <c r="DQ510" s="2" t="n">
        <v>100</v>
      </c>
      <c r="DR510" s="2" t="n">
        <v>0</v>
      </c>
      <c r="DS510" s="2" t="n">
        <v>100</v>
      </c>
      <c r="DT510" s="2" t="n">
        <v>100</v>
      </c>
      <c r="DU510" s="2" t="n">
        <v>0</v>
      </c>
      <c r="DV510" s="2" t="n">
        <v>100</v>
      </c>
      <c r="DW510" s="2" t="n">
        <v>100</v>
      </c>
      <c r="DX510" s="2" t="n">
        <v>0</v>
      </c>
      <c r="DY510" s="2" t="n">
        <v>100</v>
      </c>
      <c r="DZ510" s="2" t="n">
        <v>100</v>
      </c>
      <c r="EA510" s="2" t="n">
        <v>0</v>
      </c>
      <c r="EB510" s="2" t="n">
        <v>100</v>
      </c>
      <c r="EC510" s="2" t="n">
        <v>100</v>
      </c>
      <c r="ED510" s="2" t="n">
        <v>0</v>
      </c>
      <c r="EE510" s="2" t="n">
        <v>100</v>
      </c>
      <c r="EF510" s="2" t="n">
        <v>100</v>
      </c>
      <c r="EG510" s="2" t="n">
        <v>0</v>
      </c>
      <c r="EH510" s="2" t="n">
        <v>100</v>
      </c>
      <c r="EI510" s="2" t="n">
        <v>100</v>
      </c>
      <c r="EJ510" s="2" t="n">
        <v>0</v>
      </c>
      <c r="EK510" s="2" t="n">
        <v>100</v>
      </c>
      <c r="EL510" s="2" t="n">
        <v>100</v>
      </c>
      <c r="EM510" s="2" t="n">
        <v>0</v>
      </c>
      <c r="EN510" s="2" t="n">
        <v>100</v>
      </c>
      <c r="EO510" s="2" t="n">
        <v>100</v>
      </c>
      <c r="EP510" s="2" t="n">
        <v>0</v>
      </c>
      <c r="EQ510" s="2" t="n">
        <v>100</v>
      </c>
      <c r="ER510" s="2" t="n">
        <v>100</v>
      </c>
      <c r="ES510" s="2" t="n">
        <v>0</v>
      </c>
    </row>
    <row r="511">
      <c r="A511" s="2" t="n">
        <v>2</v>
      </c>
      <c r="B511" s="2" t="inlineStr">
        <is>
          <t>21.02</t>
        </is>
      </c>
      <c r="C511" s="2" t="inlineStr">
        <is>
          <t>Instalações Prediais de Água Quente</t>
        </is>
      </c>
      <c r="D511" s="2" t="inlineStr">
        <is>
          <t>05/04/2027</t>
        </is>
      </c>
      <c r="E511" s="2" t="inlineStr">
        <is>
          <t>21/07/2028</t>
        </is>
      </c>
      <c r="F511" s="2" t="n">
        <v>1797588</v>
      </c>
      <c r="G511" s="2" t="n">
        <v>0</v>
      </c>
      <c r="H511" s="2" t="n">
        <v>1797588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  <c r="AM511" s="2" t="n">
        <v>0</v>
      </c>
      <c r="AN511" s="2" t="n">
        <v>0</v>
      </c>
      <c r="AO511" s="2" t="n">
        <v>0</v>
      </c>
      <c r="AP511" s="2" t="n">
        <v>0</v>
      </c>
      <c r="AQ511" s="2" t="n">
        <v>0</v>
      </c>
      <c r="AR511" s="2" t="n">
        <v>0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>
        <v>0</v>
      </c>
      <c r="AX511" s="2" t="n">
        <v>0</v>
      </c>
      <c r="AY511" s="2" t="n">
        <v>0</v>
      </c>
      <c r="AZ511" s="2" t="n">
        <v>0</v>
      </c>
      <c r="BA511" s="2" t="n">
        <v>0</v>
      </c>
      <c r="BB511" s="2" t="n">
        <v>0</v>
      </c>
      <c r="BC511" s="2" t="n">
        <v>0</v>
      </c>
      <c r="BD511" s="2" t="n">
        <v>0</v>
      </c>
      <c r="BE511" s="2" t="n">
        <v>0</v>
      </c>
      <c r="BF511" s="2" t="n">
        <v>0</v>
      </c>
      <c r="BG511" s="2" t="n">
        <v>0</v>
      </c>
      <c r="BH511" s="2" t="n">
        <v>0</v>
      </c>
      <c r="BI511" s="2" t="n">
        <v>0</v>
      </c>
      <c r="BJ511" s="2" t="n">
        <v>0</v>
      </c>
      <c r="BK511" s="2" t="n">
        <v>0</v>
      </c>
      <c r="BL511" s="2" t="n">
        <v>0</v>
      </c>
      <c r="BM511" s="2" t="n">
        <v>0</v>
      </c>
      <c r="BN511" s="2" t="n">
        <v>0</v>
      </c>
      <c r="BO511" s="2" t="n">
        <v>0</v>
      </c>
      <c r="BP511" s="2" t="n">
        <v>0</v>
      </c>
      <c r="BQ511" s="2" t="n">
        <v>0</v>
      </c>
      <c r="BR511" s="2" t="n">
        <v>0</v>
      </c>
      <c r="BS511" s="2" t="n">
        <v>0</v>
      </c>
      <c r="BT511" s="2" t="n">
        <v>0</v>
      </c>
      <c r="BU511" s="2" t="n">
        <v>0</v>
      </c>
      <c r="BV511" s="2" t="n">
        <v>0</v>
      </c>
      <c r="BW511" s="2" t="n">
        <v>0.78</v>
      </c>
      <c r="BX511" s="2" t="n">
        <v>1.34</v>
      </c>
      <c r="BY511" s="2" t="n">
        <v>0</v>
      </c>
      <c r="BZ511" s="2" t="n">
        <v>6.35</v>
      </c>
      <c r="CA511" s="2" t="n">
        <v>8.02</v>
      </c>
      <c r="CB511" s="2" t="n">
        <v>0</v>
      </c>
      <c r="CC511" s="2" t="n">
        <v>13.69</v>
      </c>
      <c r="CD511" s="2" t="n">
        <v>15.36</v>
      </c>
      <c r="CE511" s="2" t="n">
        <v>0</v>
      </c>
      <c r="CF511" s="2" t="n">
        <v>21.17</v>
      </c>
      <c r="CG511" s="2" t="n">
        <v>22.85</v>
      </c>
      <c r="CH511" s="2" t="n">
        <v>0</v>
      </c>
      <c r="CI511" s="2" t="n">
        <v>28.73</v>
      </c>
      <c r="CJ511" s="2" t="n">
        <v>30.41</v>
      </c>
      <c r="CK511" s="2" t="n">
        <v>0</v>
      </c>
      <c r="CL511" s="2" t="n">
        <v>35.88</v>
      </c>
      <c r="CM511" s="2" t="n">
        <v>37.55</v>
      </c>
      <c r="CN511" s="2" t="n">
        <v>0</v>
      </c>
      <c r="CO511" s="2" t="n">
        <v>46.44</v>
      </c>
      <c r="CP511" s="2" t="n">
        <v>49.26</v>
      </c>
      <c r="CQ511" s="2" t="n">
        <v>0</v>
      </c>
      <c r="CR511" s="2" t="n">
        <v>58.71</v>
      </c>
      <c r="CS511" s="2" t="n">
        <v>61.02</v>
      </c>
      <c r="CT511" s="2" t="n">
        <v>0</v>
      </c>
      <c r="CU511" s="2" t="n">
        <v>65.68000000000001</v>
      </c>
      <c r="CV511" s="2" t="n">
        <v>67.75</v>
      </c>
      <c r="CW511" s="2" t="n">
        <v>0</v>
      </c>
      <c r="CX511" s="2" t="n">
        <v>73.15000000000001</v>
      </c>
      <c r="CY511" s="2" t="n">
        <v>75.69</v>
      </c>
      <c r="CZ511" s="2" t="n">
        <v>0</v>
      </c>
      <c r="DA511" s="2" t="n">
        <v>80.8</v>
      </c>
      <c r="DB511" s="2" t="n">
        <v>82.77</v>
      </c>
      <c r="DC511" s="2" t="n">
        <v>0</v>
      </c>
      <c r="DD511" s="2" t="n">
        <v>85.83</v>
      </c>
      <c r="DE511" s="2" t="n">
        <v>87.12</v>
      </c>
      <c r="DF511" s="2" t="n">
        <v>0</v>
      </c>
      <c r="DG511" s="2" t="n">
        <v>87.47</v>
      </c>
      <c r="DH511" s="2" t="n">
        <v>88.31999999999999</v>
      </c>
      <c r="DI511" s="2" t="n">
        <v>0</v>
      </c>
      <c r="DJ511" s="2" t="n">
        <v>91.06999999999999</v>
      </c>
      <c r="DK511" s="2" t="n">
        <v>92.5</v>
      </c>
      <c r="DL511" s="2" t="n">
        <v>0</v>
      </c>
      <c r="DM511" s="2" t="n">
        <v>92.5</v>
      </c>
      <c r="DN511" s="2" t="n">
        <v>94.89</v>
      </c>
      <c r="DO511" s="2" t="n">
        <v>0</v>
      </c>
      <c r="DP511" s="2" t="n">
        <v>97.95</v>
      </c>
      <c r="DQ511" s="2" t="n">
        <v>100</v>
      </c>
      <c r="DR511" s="2" t="n">
        <v>0</v>
      </c>
      <c r="DS511" s="2" t="n">
        <v>100</v>
      </c>
      <c r="DT511" s="2" t="n">
        <v>100</v>
      </c>
      <c r="DU511" s="2" t="n">
        <v>0</v>
      </c>
      <c r="DV511" s="2" t="n">
        <v>100</v>
      </c>
      <c r="DW511" s="2" t="n">
        <v>100</v>
      </c>
      <c r="DX511" s="2" t="n">
        <v>0</v>
      </c>
      <c r="DY511" s="2" t="n">
        <v>100</v>
      </c>
      <c r="DZ511" s="2" t="n">
        <v>100</v>
      </c>
      <c r="EA511" s="2" t="n">
        <v>0</v>
      </c>
      <c r="EB511" s="2" t="n">
        <v>100</v>
      </c>
      <c r="EC511" s="2" t="n">
        <v>100</v>
      </c>
      <c r="ED511" s="2" t="n">
        <v>0</v>
      </c>
      <c r="EE511" s="2" t="n">
        <v>100</v>
      </c>
      <c r="EF511" s="2" t="n">
        <v>100</v>
      </c>
      <c r="EG511" s="2" t="n">
        <v>0</v>
      </c>
      <c r="EH511" s="2" t="n">
        <v>100</v>
      </c>
      <c r="EI511" s="2" t="n">
        <v>100</v>
      </c>
      <c r="EJ511" s="2" t="n">
        <v>0</v>
      </c>
      <c r="EK511" s="2" t="n">
        <v>100</v>
      </c>
      <c r="EL511" s="2" t="n">
        <v>100</v>
      </c>
      <c r="EM511" s="2" t="n">
        <v>0</v>
      </c>
      <c r="EN511" s="2" t="n">
        <v>100</v>
      </c>
      <c r="EO511" s="2" t="n">
        <v>100</v>
      </c>
      <c r="EP511" s="2" t="n">
        <v>0</v>
      </c>
      <c r="EQ511" s="2" t="n">
        <v>100</v>
      </c>
      <c r="ER511" s="2" t="n">
        <v>100</v>
      </c>
      <c r="ES511" s="2" t="n">
        <v>0</v>
      </c>
    </row>
    <row r="512">
      <c r="A512" s="2" t="n">
        <v>3</v>
      </c>
      <c r="B512" s="2" t="inlineStr">
        <is>
          <t>21.02.01</t>
        </is>
      </c>
      <c r="C512" s="2" t="inlineStr">
        <is>
          <t>Furação Nas Lajes</t>
        </is>
      </c>
      <c r="D512" s="2" t="inlineStr">
        <is>
          <t>30/04/2027</t>
        </is>
      </c>
      <c r="E512" s="2" t="inlineStr">
        <is>
          <t>22/05/2028</t>
        </is>
      </c>
      <c r="F512" s="2" t="n">
        <v>107855.28</v>
      </c>
      <c r="G512" s="2" t="n">
        <v>0</v>
      </c>
      <c r="H512" s="2" t="n">
        <v>107855.28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0</v>
      </c>
      <c r="AO512" s="2" t="n">
        <v>0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n">
        <v>0</v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n">
        <v>0</v>
      </c>
      <c r="BI512" s="2" t="n">
        <v>0</v>
      </c>
      <c r="BJ512" s="2" t="n">
        <v>0</v>
      </c>
      <c r="BK512" s="2" t="n">
        <v>0</v>
      </c>
      <c r="BL512" s="2" t="n">
        <v>0</v>
      </c>
      <c r="BM512" s="2" t="n">
        <v>0</v>
      </c>
      <c r="BN512" s="2" t="n">
        <v>0</v>
      </c>
      <c r="BO512" s="2" t="n">
        <v>0</v>
      </c>
      <c r="BP512" s="2" t="n">
        <v>0</v>
      </c>
      <c r="BQ512" s="2" t="n">
        <v>0</v>
      </c>
      <c r="BR512" s="2" t="n">
        <v>0</v>
      </c>
      <c r="BS512" s="2" t="n">
        <v>0</v>
      </c>
      <c r="BT512" s="2" t="n">
        <v>0</v>
      </c>
      <c r="BU512" s="2" t="n">
        <v>0</v>
      </c>
      <c r="BV512" s="2" t="n">
        <v>0</v>
      </c>
      <c r="BW512" s="2" t="n">
        <v>0</v>
      </c>
      <c r="BX512" s="2" t="n">
        <v>0.43</v>
      </c>
      <c r="BY512" s="2" t="n">
        <v>0</v>
      </c>
      <c r="BZ512" s="2" t="n">
        <v>6.94</v>
      </c>
      <c r="CA512" s="2" t="n">
        <v>9.109999999999999</v>
      </c>
      <c r="CB512" s="2" t="n">
        <v>0</v>
      </c>
      <c r="CC512" s="2" t="n">
        <v>16.49</v>
      </c>
      <c r="CD512" s="2" t="n">
        <v>18.66</v>
      </c>
      <c r="CE512" s="2" t="n">
        <v>0</v>
      </c>
      <c r="CF512" s="2" t="n">
        <v>26.03</v>
      </c>
      <c r="CG512" s="2" t="n">
        <v>28.2</v>
      </c>
      <c r="CH512" s="2" t="n">
        <v>0</v>
      </c>
      <c r="CI512" s="2" t="n">
        <v>35.58</v>
      </c>
      <c r="CJ512" s="2" t="n">
        <v>37.75</v>
      </c>
      <c r="CK512" s="2" t="n">
        <v>0</v>
      </c>
      <c r="CL512" s="2" t="n">
        <v>44.69</v>
      </c>
      <c r="CM512" s="2" t="n">
        <v>46.86</v>
      </c>
      <c r="CN512" s="2" t="n">
        <v>0</v>
      </c>
      <c r="CO512" s="2" t="n">
        <v>53.36</v>
      </c>
      <c r="CP512" s="2" t="n">
        <v>55.53</v>
      </c>
      <c r="CQ512" s="2" t="n">
        <v>0</v>
      </c>
      <c r="CR512" s="2" t="n">
        <v>62.04</v>
      </c>
      <c r="CS512" s="2" t="n">
        <v>64.20999999999999</v>
      </c>
      <c r="CT512" s="2" t="n">
        <v>0</v>
      </c>
      <c r="CU512" s="2" t="n">
        <v>68.98</v>
      </c>
      <c r="CV512" s="2" t="n">
        <v>71.15000000000001</v>
      </c>
      <c r="CW512" s="2" t="n">
        <v>0</v>
      </c>
      <c r="CX512" s="2" t="n">
        <v>78.09</v>
      </c>
      <c r="CY512" s="2" t="n">
        <v>80.26000000000001</v>
      </c>
      <c r="CZ512" s="2" t="n">
        <v>0</v>
      </c>
      <c r="DA512" s="2" t="n">
        <v>87.2</v>
      </c>
      <c r="DB512" s="2" t="n">
        <v>89.47</v>
      </c>
      <c r="DC512" s="2" t="n">
        <v>0</v>
      </c>
      <c r="DD512" s="2" t="n">
        <v>93.87</v>
      </c>
      <c r="DE512" s="2" t="n">
        <v>94.45</v>
      </c>
      <c r="DF512" s="2" t="n">
        <v>0</v>
      </c>
      <c r="DG512" s="2" t="n">
        <v>94.38</v>
      </c>
      <c r="DH512" s="2" t="n">
        <v>95.43000000000001</v>
      </c>
      <c r="DI512" s="2" t="n">
        <v>0</v>
      </c>
      <c r="DJ512" s="2" t="n">
        <v>99.53</v>
      </c>
      <c r="DK512" s="2" t="n">
        <v>100</v>
      </c>
      <c r="DL512" s="2" t="n">
        <v>0</v>
      </c>
      <c r="DM512" s="2" t="n">
        <v>100</v>
      </c>
      <c r="DN512" s="2" t="n">
        <v>100</v>
      </c>
      <c r="DO512" s="2" t="n">
        <v>0</v>
      </c>
      <c r="DP512" s="2" t="n">
        <v>100</v>
      </c>
      <c r="DQ512" s="2" t="n">
        <v>100</v>
      </c>
      <c r="DR512" s="2" t="n">
        <v>0</v>
      </c>
      <c r="DS512" s="2" t="n">
        <v>100</v>
      </c>
      <c r="DT512" s="2" t="n">
        <v>100</v>
      </c>
      <c r="DU512" s="2" t="n">
        <v>0</v>
      </c>
      <c r="DV512" s="2" t="n">
        <v>100</v>
      </c>
      <c r="DW512" s="2" t="n">
        <v>100</v>
      </c>
      <c r="DX512" s="2" t="n">
        <v>0</v>
      </c>
      <c r="DY512" s="2" t="n">
        <v>100</v>
      </c>
      <c r="DZ512" s="2" t="n">
        <v>100</v>
      </c>
      <c r="EA512" s="2" t="n">
        <v>0</v>
      </c>
      <c r="EB512" s="2" t="n">
        <v>100</v>
      </c>
      <c r="EC512" s="2" t="n">
        <v>100</v>
      </c>
      <c r="ED512" s="2" t="n">
        <v>0</v>
      </c>
      <c r="EE512" s="2" t="n">
        <v>100</v>
      </c>
      <c r="EF512" s="2" t="n">
        <v>100</v>
      </c>
      <c r="EG512" s="2" t="n">
        <v>0</v>
      </c>
      <c r="EH512" s="2" t="n">
        <v>100</v>
      </c>
      <c r="EI512" s="2" t="n">
        <v>100</v>
      </c>
      <c r="EJ512" s="2" t="n">
        <v>0</v>
      </c>
      <c r="EK512" s="2" t="n">
        <v>100</v>
      </c>
      <c r="EL512" s="2" t="n">
        <v>100</v>
      </c>
      <c r="EM512" s="2" t="n">
        <v>0</v>
      </c>
      <c r="EN512" s="2" t="n">
        <v>100</v>
      </c>
      <c r="EO512" s="2" t="n">
        <v>100</v>
      </c>
      <c r="EP512" s="2" t="n">
        <v>0</v>
      </c>
      <c r="EQ512" s="2" t="n">
        <v>100</v>
      </c>
      <c r="ER512" s="2" t="n">
        <v>100</v>
      </c>
      <c r="ES512" s="2" t="n">
        <v>0</v>
      </c>
    </row>
    <row r="513">
      <c r="A513" s="2" t="n">
        <v>3</v>
      </c>
      <c r="B513" s="2" t="inlineStr">
        <is>
          <t>21.02.02</t>
        </is>
      </c>
      <c r="C513" s="2" t="inlineStr">
        <is>
          <t>Prumadas De Água quente</t>
        </is>
      </c>
      <c r="D513" s="2" t="inlineStr">
        <is>
          <t>05/04/2027</t>
        </is>
      </c>
      <c r="E513" s="2" t="inlineStr">
        <is>
          <t>26/05/2028</t>
        </is>
      </c>
      <c r="F513" s="2" t="n">
        <v>377493.48</v>
      </c>
      <c r="G513" s="2" t="n">
        <v>0</v>
      </c>
      <c r="H513" s="2" t="n">
        <v>377493.48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  <c r="AM513" s="2" t="n">
        <v>0</v>
      </c>
      <c r="AN513" s="2" t="n">
        <v>0</v>
      </c>
      <c r="AO513" s="2" t="n">
        <v>0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n">
        <v>0</v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n">
        <v>0</v>
      </c>
      <c r="BI513" s="2" t="n">
        <v>0</v>
      </c>
      <c r="BJ513" s="2" t="n">
        <v>0</v>
      </c>
      <c r="BK513" s="2" t="n">
        <v>0</v>
      </c>
      <c r="BL513" s="2" t="n">
        <v>0</v>
      </c>
      <c r="BM513" s="2" t="n">
        <v>0</v>
      </c>
      <c r="BN513" s="2" t="n">
        <v>0</v>
      </c>
      <c r="BO513" s="2" t="n">
        <v>0</v>
      </c>
      <c r="BP513" s="2" t="n">
        <v>0</v>
      </c>
      <c r="BQ513" s="2" t="n">
        <v>0</v>
      </c>
      <c r="BR513" s="2" t="n">
        <v>0</v>
      </c>
      <c r="BS513" s="2" t="n">
        <v>0</v>
      </c>
      <c r="BT513" s="2" t="n">
        <v>0</v>
      </c>
      <c r="BU513" s="2" t="n">
        <v>0</v>
      </c>
      <c r="BV513" s="2" t="n">
        <v>0</v>
      </c>
      <c r="BW513" s="2" t="n">
        <v>3.74</v>
      </c>
      <c r="BX513" s="2" t="n">
        <v>5.07</v>
      </c>
      <c r="BY513" s="2" t="n">
        <v>0</v>
      </c>
      <c r="BZ513" s="2" t="n">
        <v>9.07</v>
      </c>
      <c r="CA513" s="2" t="n">
        <v>10.41</v>
      </c>
      <c r="CB513" s="2" t="n">
        <v>0</v>
      </c>
      <c r="CC513" s="2" t="n">
        <v>14.95</v>
      </c>
      <c r="CD513" s="2" t="n">
        <v>16.28</v>
      </c>
      <c r="CE513" s="2" t="n">
        <v>0</v>
      </c>
      <c r="CF513" s="2" t="n">
        <v>21.46</v>
      </c>
      <c r="CG513" s="2" t="n">
        <v>22.85</v>
      </c>
      <c r="CH513" s="2" t="n">
        <v>0</v>
      </c>
      <c r="CI513" s="2" t="n">
        <v>28.38</v>
      </c>
      <c r="CJ513" s="2" t="n">
        <v>29.75</v>
      </c>
      <c r="CK513" s="2" t="n">
        <v>0</v>
      </c>
      <c r="CL513" s="2" t="n">
        <v>34.68</v>
      </c>
      <c r="CM513" s="2" t="n">
        <v>36.03</v>
      </c>
      <c r="CN513" s="2" t="n">
        <v>0</v>
      </c>
      <c r="CO513" s="2" t="n">
        <v>49.84</v>
      </c>
      <c r="CP513" s="2" t="n">
        <v>55.6</v>
      </c>
      <c r="CQ513" s="2" t="n">
        <v>0</v>
      </c>
      <c r="CR513" s="2" t="n">
        <v>60.17</v>
      </c>
      <c r="CS513" s="2" t="n">
        <v>63.48</v>
      </c>
      <c r="CT513" s="2" t="n">
        <v>0</v>
      </c>
      <c r="CU513" s="2" t="n">
        <v>66.83</v>
      </c>
      <c r="CV513" s="2" t="n">
        <v>70.05</v>
      </c>
      <c r="CW513" s="2" t="n">
        <v>0</v>
      </c>
      <c r="CX513" s="2" t="n">
        <v>74.64</v>
      </c>
      <c r="CY513" s="2" t="n">
        <v>80.12</v>
      </c>
      <c r="CZ513" s="2" t="n">
        <v>0</v>
      </c>
      <c r="DA513" s="2" t="n">
        <v>83.3</v>
      </c>
      <c r="DB513" s="2" t="n">
        <v>85.73999999999999</v>
      </c>
      <c r="DC513" s="2" t="n">
        <v>0</v>
      </c>
      <c r="DD513" s="2" t="n">
        <v>86.91</v>
      </c>
      <c r="DE513" s="2" t="n">
        <v>91.3</v>
      </c>
      <c r="DF513" s="2" t="n">
        <v>0</v>
      </c>
      <c r="DG513" s="2" t="n">
        <v>93.17</v>
      </c>
      <c r="DH513" s="2" t="n">
        <v>94.02</v>
      </c>
      <c r="DI513" s="2" t="n">
        <v>0</v>
      </c>
      <c r="DJ513" s="2" t="n">
        <v>94.65000000000001</v>
      </c>
      <c r="DK513" s="2" t="n">
        <v>100</v>
      </c>
      <c r="DL513" s="2" t="n">
        <v>0</v>
      </c>
      <c r="DM513" s="2" t="n">
        <v>100</v>
      </c>
      <c r="DN513" s="2" t="n">
        <v>100</v>
      </c>
      <c r="DO513" s="2" t="n">
        <v>0</v>
      </c>
      <c r="DP513" s="2" t="n">
        <v>100</v>
      </c>
      <c r="DQ513" s="2" t="n">
        <v>100</v>
      </c>
      <c r="DR513" s="2" t="n">
        <v>0</v>
      </c>
      <c r="DS513" s="2" t="n">
        <v>100</v>
      </c>
      <c r="DT513" s="2" t="n">
        <v>100</v>
      </c>
      <c r="DU513" s="2" t="n">
        <v>0</v>
      </c>
      <c r="DV513" s="2" t="n">
        <v>100</v>
      </c>
      <c r="DW513" s="2" t="n">
        <v>100</v>
      </c>
      <c r="DX513" s="2" t="n">
        <v>0</v>
      </c>
      <c r="DY513" s="2" t="n">
        <v>100</v>
      </c>
      <c r="DZ513" s="2" t="n">
        <v>100</v>
      </c>
      <c r="EA513" s="2" t="n">
        <v>0</v>
      </c>
      <c r="EB513" s="2" t="n">
        <v>100</v>
      </c>
      <c r="EC513" s="2" t="n">
        <v>100</v>
      </c>
      <c r="ED513" s="2" t="n">
        <v>0</v>
      </c>
      <c r="EE513" s="2" t="n">
        <v>100</v>
      </c>
      <c r="EF513" s="2" t="n">
        <v>100</v>
      </c>
      <c r="EG513" s="2" t="n">
        <v>0</v>
      </c>
      <c r="EH513" s="2" t="n">
        <v>100</v>
      </c>
      <c r="EI513" s="2" t="n">
        <v>100</v>
      </c>
      <c r="EJ513" s="2" t="n">
        <v>0</v>
      </c>
      <c r="EK513" s="2" t="n">
        <v>100</v>
      </c>
      <c r="EL513" s="2" t="n">
        <v>100</v>
      </c>
      <c r="EM513" s="2" t="n">
        <v>0</v>
      </c>
      <c r="EN513" s="2" t="n">
        <v>100</v>
      </c>
      <c r="EO513" s="2" t="n">
        <v>100</v>
      </c>
      <c r="EP513" s="2" t="n">
        <v>0</v>
      </c>
      <c r="EQ513" s="2" t="n">
        <v>100</v>
      </c>
      <c r="ER513" s="2" t="n">
        <v>100</v>
      </c>
      <c r="ES513" s="2" t="n">
        <v>0</v>
      </c>
    </row>
    <row r="514">
      <c r="A514" s="2" t="n">
        <v>3</v>
      </c>
      <c r="B514" s="2" t="inlineStr">
        <is>
          <t>21.02.03</t>
        </is>
      </c>
      <c r="C514" s="2" t="inlineStr">
        <is>
          <t>Distribuição</t>
        </is>
      </c>
      <c r="D514" s="2" t="inlineStr">
        <is>
          <t>30/04/2027</t>
        </is>
      </c>
      <c r="E514" s="2" t="inlineStr">
        <is>
          <t>22/05/2028</t>
        </is>
      </c>
      <c r="F514" s="2" t="n">
        <v>485348.7600000001</v>
      </c>
      <c r="G514" s="2" t="n">
        <v>0</v>
      </c>
      <c r="H514" s="2" t="n">
        <v>485348.7600000001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  <c r="AM514" s="2" t="n">
        <v>0</v>
      </c>
      <c r="AN514" s="2" t="n">
        <v>0</v>
      </c>
      <c r="AO514" s="2" t="n">
        <v>0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n">
        <v>0</v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n">
        <v>0</v>
      </c>
      <c r="BI514" s="2" t="n">
        <v>0</v>
      </c>
      <c r="BJ514" s="2" t="n">
        <v>0</v>
      </c>
      <c r="BK514" s="2" t="n">
        <v>0</v>
      </c>
      <c r="BL514" s="2" t="n">
        <v>0</v>
      </c>
      <c r="BM514" s="2" t="n">
        <v>0</v>
      </c>
      <c r="BN514" s="2" t="n">
        <v>0</v>
      </c>
      <c r="BO514" s="2" t="n">
        <v>0</v>
      </c>
      <c r="BP514" s="2" t="n">
        <v>0</v>
      </c>
      <c r="BQ514" s="2" t="n">
        <v>0</v>
      </c>
      <c r="BR514" s="2" t="n">
        <v>0</v>
      </c>
      <c r="BS514" s="2" t="n">
        <v>0</v>
      </c>
      <c r="BT514" s="2" t="n">
        <v>0</v>
      </c>
      <c r="BU514" s="2" t="n">
        <v>0</v>
      </c>
      <c r="BV514" s="2" t="n">
        <v>0</v>
      </c>
      <c r="BW514" s="2" t="n">
        <v>0</v>
      </c>
      <c r="BX514" s="2" t="n">
        <v>0.43</v>
      </c>
      <c r="BY514" s="2" t="n">
        <v>0</v>
      </c>
      <c r="BZ514" s="2" t="n">
        <v>6.94</v>
      </c>
      <c r="CA514" s="2" t="n">
        <v>9.109999999999999</v>
      </c>
      <c r="CB514" s="2" t="n">
        <v>0</v>
      </c>
      <c r="CC514" s="2" t="n">
        <v>16.49</v>
      </c>
      <c r="CD514" s="2" t="n">
        <v>18.66</v>
      </c>
      <c r="CE514" s="2" t="n">
        <v>0</v>
      </c>
      <c r="CF514" s="2" t="n">
        <v>26.03</v>
      </c>
      <c r="CG514" s="2" t="n">
        <v>28.2</v>
      </c>
      <c r="CH514" s="2" t="n">
        <v>0</v>
      </c>
      <c r="CI514" s="2" t="n">
        <v>35.58</v>
      </c>
      <c r="CJ514" s="2" t="n">
        <v>37.75</v>
      </c>
      <c r="CK514" s="2" t="n">
        <v>0</v>
      </c>
      <c r="CL514" s="2" t="n">
        <v>44.69</v>
      </c>
      <c r="CM514" s="2" t="n">
        <v>46.86</v>
      </c>
      <c r="CN514" s="2" t="n">
        <v>0</v>
      </c>
      <c r="CO514" s="2" t="n">
        <v>53.36</v>
      </c>
      <c r="CP514" s="2" t="n">
        <v>55.53</v>
      </c>
      <c r="CQ514" s="2" t="n">
        <v>0</v>
      </c>
      <c r="CR514" s="2" t="n">
        <v>62.04</v>
      </c>
      <c r="CS514" s="2" t="n">
        <v>64.20999999999999</v>
      </c>
      <c r="CT514" s="2" t="n">
        <v>0</v>
      </c>
      <c r="CU514" s="2" t="n">
        <v>68.98</v>
      </c>
      <c r="CV514" s="2" t="n">
        <v>71.15000000000001</v>
      </c>
      <c r="CW514" s="2" t="n">
        <v>0</v>
      </c>
      <c r="CX514" s="2" t="n">
        <v>78.09</v>
      </c>
      <c r="CY514" s="2" t="n">
        <v>80.26000000000001</v>
      </c>
      <c r="CZ514" s="2" t="n">
        <v>0</v>
      </c>
      <c r="DA514" s="2" t="n">
        <v>87.2</v>
      </c>
      <c r="DB514" s="2" t="n">
        <v>89.47</v>
      </c>
      <c r="DC514" s="2" t="n">
        <v>0</v>
      </c>
      <c r="DD514" s="2" t="n">
        <v>93.87</v>
      </c>
      <c r="DE514" s="2" t="n">
        <v>94.45</v>
      </c>
      <c r="DF514" s="2" t="n">
        <v>0</v>
      </c>
      <c r="DG514" s="2" t="n">
        <v>94.38</v>
      </c>
      <c r="DH514" s="2" t="n">
        <v>95.43000000000001</v>
      </c>
      <c r="DI514" s="2" t="n">
        <v>0</v>
      </c>
      <c r="DJ514" s="2" t="n">
        <v>99.53</v>
      </c>
      <c r="DK514" s="2" t="n">
        <v>100</v>
      </c>
      <c r="DL514" s="2" t="n">
        <v>0</v>
      </c>
      <c r="DM514" s="2" t="n">
        <v>100</v>
      </c>
      <c r="DN514" s="2" t="n">
        <v>100</v>
      </c>
      <c r="DO514" s="2" t="n">
        <v>0</v>
      </c>
      <c r="DP514" s="2" t="n">
        <v>100</v>
      </c>
      <c r="DQ514" s="2" t="n">
        <v>100</v>
      </c>
      <c r="DR514" s="2" t="n">
        <v>0</v>
      </c>
      <c r="DS514" s="2" t="n">
        <v>100</v>
      </c>
      <c r="DT514" s="2" t="n">
        <v>100</v>
      </c>
      <c r="DU514" s="2" t="n">
        <v>0</v>
      </c>
      <c r="DV514" s="2" t="n">
        <v>100</v>
      </c>
      <c r="DW514" s="2" t="n">
        <v>100</v>
      </c>
      <c r="DX514" s="2" t="n">
        <v>0</v>
      </c>
      <c r="DY514" s="2" t="n">
        <v>100</v>
      </c>
      <c r="DZ514" s="2" t="n">
        <v>100</v>
      </c>
      <c r="EA514" s="2" t="n">
        <v>0</v>
      </c>
      <c r="EB514" s="2" t="n">
        <v>100</v>
      </c>
      <c r="EC514" s="2" t="n">
        <v>100</v>
      </c>
      <c r="ED514" s="2" t="n">
        <v>0</v>
      </c>
      <c r="EE514" s="2" t="n">
        <v>100</v>
      </c>
      <c r="EF514" s="2" t="n">
        <v>100</v>
      </c>
      <c r="EG514" s="2" t="n">
        <v>0</v>
      </c>
      <c r="EH514" s="2" t="n">
        <v>100</v>
      </c>
      <c r="EI514" s="2" t="n">
        <v>100</v>
      </c>
      <c r="EJ514" s="2" t="n">
        <v>0</v>
      </c>
      <c r="EK514" s="2" t="n">
        <v>100</v>
      </c>
      <c r="EL514" s="2" t="n">
        <v>100</v>
      </c>
      <c r="EM514" s="2" t="n">
        <v>0</v>
      </c>
      <c r="EN514" s="2" t="n">
        <v>100</v>
      </c>
      <c r="EO514" s="2" t="n">
        <v>100</v>
      </c>
      <c r="EP514" s="2" t="n">
        <v>0</v>
      </c>
      <c r="EQ514" s="2" t="n">
        <v>100</v>
      </c>
      <c r="ER514" s="2" t="n">
        <v>100</v>
      </c>
      <c r="ES514" s="2" t="n">
        <v>0</v>
      </c>
    </row>
    <row r="515">
      <c r="A515" s="2" t="n">
        <v>3</v>
      </c>
      <c r="B515" s="2" t="inlineStr">
        <is>
          <t>21.02.04</t>
        </is>
      </c>
      <c r="C515" s="2" t="inlineStr">
        <is>
          <t>Registros e Válvulas</t>
        </is>
      </c>
      <c r="D515" s="2" t="inlineStr">
        <is>
          <t>30/04/2027</t>
        </is>
      </c>
      <c r="E515" s="2" t="inlineStr">
        <is>
          <t>22/05/2028</t>
        </is>
      </c>
      <c r="F515" s="2" t="n">
        <v>557252.28</v>
      </c>
      <c r="G515" s="2" t="n">
        <v>0</v>
      </c>
      <c r="H515" s="2" t="n">
        <v>557252.28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0</v>
      </c>
      <c r="AM515" s="2" t="n">
        <v>0</v>
      </c>
      <c r="AN515" s="2" t="n">
        <v>0</v>
      </c>
      <c r="AO515" s="2" t="n">
        <v>0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n">
        <v>0</v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n">
        <v>0</v>
      </c>
      <c r="BI515" s="2" t="n">
        <v>0</v>
      </c>
      <c r="BJ515" s="2" t="n">
        <v>0</v>
      </c>
      <c r="BK515" s="2" t="n">
        <v>0</v>
      </c>
      <c r="BL515" s="2" t="n">
        <v>0</v>
      </c>
      <c r="BM515" s="2" t="n">
        <v>0</v>
      </c>
      <c r="BN515" s="2" t="n">
        <v>0</v>
      </c>
      <c r="BO515" s="2" t="n">
        <v>0</v>
      </c>
      <c r="BP515" s="2" t="n">
        <v>0</v>
      </c>
      <c r="BQ515" s="2" t="n">
        <v>0</v>
      </c>
      <c r="BR515" s="2" t="n">
        <v>0</v>
      </c>
      <c r="BS515" s="2" t="n">
        <v>0</v>
      </c>
      <c r="BT515" s="2" t="n">
        <v>0</v>
      </c>
      <c r="BU515" s="2" t="n">
        <v>0</v>
      </c>
      <c r="BV515" s="2" t="n">
        <v>0</v>
      </c>
      <c r="BW515" s="2" t="n">
        <v>0</v>
      </c>
      <c r="BX515" s="2" t="n">
        <v>0.43</v>
      </c>
      <c r="BY515" s="2" t="n">
        <v>0</v>
      </c>
      <c r="BZ515" s="2" t="n">
        <v>6.94</v>
      </c>
      <c r="CA515" s="2" t="n">
        <v>9.109999999999999</v>
      </c>
      <c r="CB515" s="2" t="n">
        <v>0</v>
      </c>
      <c r="CC515" s="2" t="n">
        <v>16.49</v>
      </c>
      <c r="CD515" s="2" t="n">
        <v>18.66</v>
      </c>
      <c r="CE515" s="2" t="n">
        <v>0</v>
      </c>
      <c r="CF515" s="2" t="n">
        <v>26.03</v>
      </c>
      <c r="CG515" s="2" t="n">
        <v>28.2</v>
      </c>
      <c r="CH515" s="2" t="n">
        <v>0</v>
      </c>
      <c r="CI515" s="2" t="n">
        <v>35.58</v>
      </c>
      <c r="CJ515" s="2" t="n">
        <v>37.75</v>
      </c>
      <c r="CK515" s="2" t="n">
        <v>0</v>
      </c>
      <c r="CL515" s="2" t="n">
        <v>44.69</v>
      </c>
      <c r="CM515" s="2" t="n">
        <v>46.86</v>
      </c>
      <c r="CN515" s="2" t="n">
        <v>0</v>
      </c>
      <c r="CO515" s="2" t="n">
        <v>53.36</v>
      </c>
      <c r="CP515" s="2" t="n">
        <v>55.53</v>
      </c>
      <c r="CQ515" s="2" t="n">
        <v>0</v>
      </c>
      <c r="CR515" s="2" t="n">
        <v>62.04</v>
      </c>
      <c r="CS515" s="2" t="n">
        <v>64.20999999999999</v>
      </c>
      <c r="CT515" s="2" t="n">
        <v>0</v>
      </c>
      <c r="CU515" s="2" t="n">
        <v>68.98</v>
      </c>
      <c r="CV515" s="2" t="n">
        <v>71.15000000000001</v>
      </c>
      <c r="CW515" s="2" t="n">
        <v>0</v>
      </c>
      <c r="CX515" s="2" t="n">
        <v>78.09</v>
      </c>
      <c r="CY515" s="2" t="n">
        <v>80.26000000000001</v>
      </c>
      <c r="CZ515" s="2" t="n">
        <v>0</v>
      </c>
      <c r="DA515" s="2" t="n">
        <v>87.2</v>
      </c>
      <c r="DB515" s="2" t="n">
        <v>89.47</v>
      </c>
      <c r="DC515" s="2" t="n">
        <v>0</v>
      </c>
      <c r="DD515" s="2" t="n">
        <v>93.87</v>
      </c>
      <c r="DE515" s="2" t="n">
        <v>94.45</v>
      </c>
      <c r="DF515" s="2" t="n">
        <v>0</v>
      </c>
      <c r="DG515" s="2" t="n">
        <v>94.38</v>
      </c>
      <c r="DH515" s="2" t="n">
        <v>95.43000000000001</v>
      </c>
      <c r="DI515" s="2" t="n">
        <v>0</v>
      </c>
      <c r="DJ515" s="2" t="n">
        <v>99.53</v>
      </c>
      <c r="DK515" s="2" t="n">
        <v>100</v>
      </c>
      <c r="DL515" s="2" t="n">
        <v>0</v>
      </c>
      <c r="DM515" s="2" t="n">
        <v>100</v>
      </c>
      <c r="DN515" s="2" t="n">
        <v>100</v>
      </c>
      <c r="DO515" s="2" t="n">
        <v>0</v>
      </c>
      <c r="DP515" s="2" t="n">
        <v>100</v>
      </c>
      <c r="DQ515" s="2" t="n">
        <v>100</v>
      </c>
      <c r="DR515" s="2" t="n">
        <v>0</v>
      </c>
      <c r="DS515" s="2" t="n">
        <v>100</v>
      </c>
      <c r="DT515" s="2" t="n">
        <v>100</v>
      </c>
      <c r="DU515" s="2" t="n">
        <v>0</v>
      </c>
      <c r="DV515" s="2" t="n">
        <v>100</v>
      </c>
      <c r="DW515" s="2" t="n">
        <v>100</v>
      </c>
      <c r="DX515" s="2" t="n">
        <v>0</v>
      </c>
      <c r="DY515" s="2" t="n">
        <v>100</v>
      </c>
      <c r="DZ515" s="2" t="n">
        <v>100</v>
      </c>
      <c r="EA515" s="2" t="n">
        <v>0</v>
      </c>
      <c r="EB515" s="2" t="n">
        <v>100</v>
      </c>
      <c r="EC515" s="2" t="n">
        <v>100</v>
      </c>
      <c r="ED515" s="2" t="n">
        <v>0</v>
      </c>
      <c r="EE515" s="2" t="n">
        <v>100</v>
      </c>
      <c r="EF515" s="2" t="n">
        <v>100</v>
      </c>
      <c r="EG515" s="2" t="n">
        <v>0</v>
      </c>
      <c r="EH515" s="2" t="n">
        <v>100</v>
      </c>
      <c r="EI515" s="2" t="n">
        <v>100</v>
      </c>
      <c r="EJ515" s="2" t="n">
        <v>0</v>
      </c>
      <c r="EK515" s="2" t="n">
        <v>100</v>
      </c>
      <c r="EL515" s="2" t="n">
        <v>100</v>
      </c>
      <c r="EM515" s="2" t="n">
        <v>0</v>
      </c>
      <c r="EN515" s="2" t="n">
        <v>100</v>
      </c>
      <c r="EO515" s="2" t="n">
        <v>100</v>
      </c>
      <c r="EP515" s="2" t="n">
        <v>0</v>
      </c>
      <c r="EQ515" s="2" t="n">
        <v>100</v>
      </c>
      <c r="ER515" s="2" t="n">
        <v>100</v>
      </c>
      <c r="ES515" s="2" t="n">
        <v>0</v>
      </c>
    </row>
    <row r="516">
      <c r="A516" s="2" t="n">
        <v>3</v>
      </c>
      <c r="B516" s="2" t="inlineStr">
        <is>
          <t>21.02.05</t>
        </is>
      </c>
      <c r="C516" s="2" t="inlineStr">
        <is>
          <t>Reservatórios</t>
        </is>
      </c>
      <c r="D516" s="2" t="inlineStr">
        <is>
          <t>19/10/2027</t>
        </is>
      </c>
      <c r="E516" s="2" t="inlineStr">
        <is>
          <t>21/07/2028</t>
        </is>
      </c>
      <c r="F516" s="2" t="n">
        <v>269638.2</v>
      </c>
      <c r="G516" s="2" t="n">
        <v>0</v>
      </c>
      <c r="H516" s="2" t="n">
        <v>269638.2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0</v>
      </c>
      <c r="AN516" s="2" t="n">
        <v>0</v>
      </c>
      <c r="AO516" s="2" t="n">
        <v>0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n">
        <v>0</v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n">
        <v>0</v>
      </c>
      <c r="BI516" s="2" t="n">
        <v>0</v>
      </c>
      <c r="BJ516" s="2" t="n">
        <v>0</v>
      </c>
      <c r="BK516" s="2" t="n">
        <v>0</v>
      </c>
      <c r="BL516" s="2" t="n">
        <v>0</v>
      </c>
      <c r="BM516" s="2" t="n">
        <v>0</v>
      </c>
      <c r="BN516" s="2" t="n">
        <v>0</v>
      </c>
      <c r="BO516" s="2" t="n">
        <v>0</v>
      </c>
      <c r="BP516" s="2" t="n">
        <v>0</v>
      </c>
      <c r="BQ516" s="2" t="n">
        <v>0</v>
      </c>
      <c r="BR516" s="2" t="n">
        <v>0</v>
      </c>
      <c r="BS516" s="2" t="n">
        <v>0</v>
      </c>
      <c r="BT516" s="2" t="n">
        <v>0</v>
      </c>
      <c r="BU516" s="2" t="n">
        <v>0</v>
      </c>
      <c r="BV516" s="2" t="n">
        <v>0</v>
      </c>
      <c r="BW516" s="2" t="n">
        <v>0</v>
      </c>
      <c r="BX516" s="2" t="n">
        <v>0</v>
      </c>
      <c r="BY516" s="2" t="n">
        <v>0</v>
      </c>
      <c r="BZ516" s="2" t="n">
        <v>0</v>
      </c>
      <c r="CA516" s="2" t="n">
        <v>0</v>
      </c>
      <c r="CB516" s="2" t="n">
        <v>0</v>
      </c>
      <c r="CC516" s="2" t="n">
        <v>0</v>
      </c>
      <c r="CD516" s="2" t="n">
        <v>0</v>
      </c>
      <c r="CE516" s="2" t="n">
        <v>0</v>
      </c>
      <c r="CF516" s="2" t="n">
        <v>0</v>
      </c>
      <c r="CG516" s="2" t="n">
        <v>0</v>
      </c>
      <c r="CH516" s="2" t="n">
        <v>0</v>
      </c>
      <c r="CI516" s="2" t="n">
        <v>0</v>
      </c>
      <c r="CJ516" s="2" t="n">
        <v>0</v>
      </c>
      <c r="CK516" s="2" t="n">
        <v>0</v>
      </c>
      <c r="CL516" s="2" t="n">
        <v>0</v>
      </c>
      <c r="CM516" s="2" t="n">
        <v>0</v>
      </c>
      <c r="CN516" s="2" t="n">
        <v>0</v>
      </c>
      <c r="CO516" s="2" t="n">
        <v>12.12</v>
      </c>
      <c r="CP516" s="2" t="n">
        <v>13.64</v>
      </c>
      <c r="CQ516" s="2" t="n">
        <v>0</v>
      </c>
      <c r="CR516" s="2" t="n">
        <v>42.42</v>
      </c>
      <c r="CS516" s="2" t="n">
        <v>43.94</v>
      </c>
      <c r="CT516" s="2" t="n">
        <v>0</v>
      </c>
      <c r="CU516" s="2" t="n">
        <v>50</v>
      </c>
      <c r="CV516" s="2" t="n">
        <v>50</v>
      </c>
      <c r="CW516" s="2" t="n">
        <v>0</v>
      </c>
      <c r="CX516" s="2" t="n">
        <v>50</v>
      </c>
      <c r="CY516" s="2" t="n">
        <v>50</v>
      </c>
      <c r="CZ516" s="2" t="n">
        <v>0</v>
      </c>
      <c r="DA516" s="2" t="n">
        <v>50</v>
      </c>
      <c r="DB516" s="2" t="n">
        <v>50</v>
      </c>
      <c r="DC516" s="2" t="n">
        <v>0</v>
      </c>
      <c r="DD516" s="2" t="n">
        <v>50</v>
      </c>
      <c r="DE516" s="2" t="n">
        <v>50</v>
      </c>
      <c r="DF516" s="2" t="n">
        <v>0</v>
      </c>
      <c r="DG516" s="2" t="n">
        <v>50</v>
      </c>
      <c r="DH516" s="2" t="n">
        <v>50</v>
      </c>
      <c r="DI516" s="2" t="n">
        <v>0</v>
      </c>
      <c r="DJ516" s="2" t="n">
        <v>50</v>
      </c>
      <c r="DK516" s="2" t="n">
        <v>50</v>
      </c>
      <c r="DL516" s="2" t="n">
        <v>0</v>
      </c>
      <c r="DM516" s="2" t="n">
        <v>50</v>
      </c>
      <c r="DN516" s="2" t="n">
        <v>65.91</v>
      </c>
      <c r="DO516" s="2" t="n">
        <v>0</v>
      </c>
      <c r="DP516" s="2" t="n">
        <v>86.36</v>
      </c>
      <c r="DQ516" s="2" t="n">
        <v>100</v>
      </c>
      <c r="DR516" s="2" t="n">
        <v>0</v>
      </c>
      <c r="DS516" s="2" t="n">
        <v>100</v>
      </c>
      <c r="DT516" s="2" t="n">
        <v>100</v>
      </c>
      <c r="DU516" s="2" t="n">
        <v>0</v>
      </c>
      <c r="DV516" s="2" t="n">
        <v>100</v>
      </c>
      <c r="DW516" s="2" t="n">
        <v>100</v>
      </c>
      <c r="DX516" s="2" t="n">
        <v>0</v>
      </c>
      <c r="DY516" s="2" t="n">
        <v>100</v>
      </c>
      <c r="DZ516" s="2" t="n">
        <v>100</v>
      </c>
      <c r="EA516" s="2" t="n">
        <v>0</v>
      </c>
      <c r="EB516" s="2" t="n">
        <v>100</v>
      </c>
      <c r="EC516" s="2" t="n">
        <v>100</v>
      </c>
      <c r="ED516" s="2" t="n">
        <v>0</v>
      </c>
      <c r="EE516" s="2" t="n">
        <v>100</v>
      </c>
      <c r="EF516" s="2" t="n">
        <v>100</v>
      </c>
      <c r="EG516" s="2" t="n">
        <v>0</v>
      </c>
      <c r="EH516" s="2" t="n">
        <v>100</v>
      </c>
      <c r="EI516" s="2" t="n">
        <v>100</v>
      </c>
      <c r="EJ516" s="2" t="n">
        <v>0</v>
      </c>
      <c r="EK516" s="2" t="n">
        <v>100</v>
      </c>
      <c r="EL516" s="2" t="n">
        <v>100</v>
      </c>
      <c r="EM516" s="2" t="n">
        <v>0</v>
      </c>
      <c r="EN516" s="2" t="n">
        <v>100</v>
      </c>
      <c r="EO516" s="2" t="n">
        <v>100</v>
      </c>
      <c r="EP516" s="2" t="n">
        <v>0</v>
      </c>
      <c r="EQ516" s="2" t="n">
        <v>100</v>
      </c>
      <c r="ER516" s="2" t="n">
        <v>100</v>
      </c>
      <c r="ES516" s="2" t="n">
        <v>0</v>
      </c>
    </row>
    <row r="517">
      <c r="A517" s="2" t="n">
        <v>2</v>
      </c>
      <c r="B517" s="2" t="inlineStr">
        <is>
          <t>21.03</t>
        </is>
      </c>
      <c r="C517" s="2" t="inlineStr">
        <is>
          <t>Instalações Sanitárias Prediais</t>
        </is>
      </c>
      <c r="D517" s="2" t="inlineStr">
        <is>
          <t>11/01/2027</t>
        </is>
      </c>
      <c r="E517" s="2" t="inlineStr">
        <is>
          <t>26/05/2028</t>
        </is>
      </c>
      <c r="F517" s="2" t="n">
        <v>1172340</v>
      </c>
      <c r="G517" s="2" t="n">
        <v>0</v>
      </c>
      <c r="H517" s="2" t="n">
        <v>1172340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  <c r="AN517" s="2" t="n">
        <v>0</v>
      </c>
      <c r="AO517" s="2" t="n">
        <v>0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n">
        <v>0</v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n">
        <v>0</v>
      </c>
      <c r="BI517" s="2" t="n">
        <v>0</v>
      </c>
      <c r="BJ517" s="2" t="n">
        <v>0</v>
      </c>
      <c r="BK517" s="2" t="n">
        <v>0</v>
      </c>
      <c r="BL517" s="2" t="n">
        <v>0</v>
      </c>
      <c r="BM517" s="2" t="n">
        <v>0</v>
      </c>
      <c r="BN517" s="2" t="n">
        <v>7.5</v>
      </c>
      <c r="BO517" s="2" t="n">
        <v>37.5</v>
      </c>
      <c r="BP517" s="2" t="n">
        <v>0</v>
      </c>
      <c r="BQ517" s="2" t="n">
        <v>50</v>
      </c>
      <c r="BR517" s="2" t="n">
        <v>50</v>
      </c>
      <c r="BS517" s="2" t="n">
        <v>0</v>
      </c>
      <c r="BT517" s="2" t="n">
        <v>50</v>
      </c>
      <c r="BU517" s="2" t="n">
        <v>50</v>
      </c>
      <c r="BV517" s="2" t="n">
        <v>0</v>
      </c>
      <c r="BW517" s="2" t="n">
        <v>50.86</v>
      </c>
      <c r="BX517" s="2" t="n">
        <v>51.28</v>
      </c>
      <c r="BY517" s="2" t="n">
        <v>0</v>
      </c>
      <c r="BZ517" s="2" t="n">
        <v>53.96</v>
      </c>
      <c r="CA517" s="2" t="n">
        <v>54.85</v>
      </c>
      <c r="CB517" s="2" t="n">
        <v>0</v>
      </c>
      <c r="CC517" s="2" t="n">
        <v>57.89</v>
      </c>
      <c r="CD517" s="2" t="n">
        <v>58.78</v>
      </c>
      <c r="CE517" s="2" t="n">
        <v>0</v>
      </c>
      <c r="CF517" s="2" t="n">
        <v>61.96</v>
      </c>
      <c r="CG517" s="2" t="n">
        <v>62.87</v>
      </c>
      <c r="CH517" s="2" t="n">
        <v>0</v>
      </c>
      <c r="CI517" s="2" t="n">
        <v>66.13</v>
      </c>
      <c r="CJ517" s="2" t="n">
        <v>67.03</v>
      </c>
      <c r="CK517" s="2" t="n">
        <v>0</v>
      </c>
      <c r="CL517" s="2" t="n">
        <v>70.04000000000001</v>
      </c>
      <c r="CM517" s="2" t="n">
        <v>70.94</v>
      </c>
      <c r="CN517" s="2" t="n">
        <v>0</v>
      </c>
      <c r="CO517" s="2" t="n">
        <v>75.87</v>
      </c>
      <c r="CP517" s="2" t="n">
        <v>77.78</v>
      </c>
      <c r="CQ517" s="2" t="n">
        <v>0</v>
      </c>
      <c r="CR517" s="2" t="n">
        <v>80.59</v>
      </c>
      <c r="CS517" s="2" t="n">
        <v>81.94</v>
      </c>
      <c r="CT517" s="2" t="n">
        <v>0</v>
      </c>
      <c r="CU517" s="2" t="n">
        <v>84</v>
      </c>
      <c r="CV517" s="2" t="n">
        <v>85.31999999999999</v>
      </c>
      <c r="CW517" s="2" t="n">
        <v>0</v>
      </c>
      <c r="CX517" s="2" t="n">
        <v>88.25</v>
      </c>
      <c r="CY517" s="2" t="n">
        <v>90.09999999999999</v>
      </c>
      <c r="CZ517" s="2" t="n">
        <v>0</v>
      </c>
      <c r="DA517" s="2" t="n">
        <v>92.7</v>
      </c>
      <c r="DB517" s="2" t="n">
        <v>93.88</v>
      </c>
      <c r="DC517" s="2" t="n">
        <v>0</v>
      </c>
      <c r="DD517" s="2" t="n">
        <v>95.33</v>
      </c>
      <c r="DE517" s="2" t="n">
        <v>96.5</v>
      </c>
      <c r="DF517" s="2" t="n">
        <v>0</v>
      </c>
      <c r="DG517" s="2" t="n">
        <v>96.91</v>
      </c>
      <c r="DH517" s="2" t="n">
        <v>97.39</v>
      </c>
      <c r="DI517" s="2" t="n">
        <v>0</v>
      </c>
      <c r="DJ517" s="2" t="n">
        <v>98.64</v>
      </c>
      <c r="DK517" s="2" t="n">
        <v>100</v>
      </c>
      <c r="DL517" s="2" t="n">
        <v>0</v>
      </c>
      <c r="DM517" s="2" t="n">
        <v>100</v>
      </c>
      <c r="DN517" s="2" t="n">
        <v>100</v>
      </c>
      <c r="DO517" s="2" t="n">
        <v>0</v>
      </c>
      <c r="DP517" s="2" t="n">
        <v>100</v>
      </c>
      <c r="DQ517" s="2" t="n">
        <v>100</v>
      </c>
      <c r="DR517" s="2" t="n">
        <v>0</v>
      </c>
      <c r="DS517" s="2" t="n">
        <v>100</v>
      </c>
      <c r="DT517" s="2" t="n">
        <v>100</v>
      </c>
      <c r="DU517" s="2" t="n">
        <v>0</v>
      </c>
      <c r="DV517" s="2" t="n">
        <v>100</v>
      </c>
      <c r="DW517" s="2" t="n">
        <v>100</v>
      </c>
      <c r="DX517" s="2" t="n">
        <v>0</v>
      </c>
      <c r="DY517" s="2" t="n">
        <v>100</v>
      </c>
      <c r="DZ517" s="2" t="n">
        <v>100</v>
      </c>
      <c r="EA517" s="2" t="n">
        <v>0</v>
      </c>
      <c r="EB517" s="2" t="n">
        <v>100</v>
      </c>
      <c r="EC517" s="2" t="n">
        <v>100</v>
      </c>
      <c r="ED517" s="2" t="n">
        <v>0</v>
      </c>
      <c r="EE517" s="2" t="n">
        <v>100</v>
      </c>
      <c r="EF517" s="2" t="n">
        <v>100</v>
      </c>
      <c r="EG517" s="2" t="n">
        <v>0</v>
      </c>
      <c r="EH517" s="2" t="n">
        <v>100</v>
      </c>
      <c r="EI517" s="2" t="n">
        <v>100</v>
      </c>
      <c r="EJ517" s="2" t="n">
        <v>0</v>
      </c>
      <c r="EK517" s="2" t="n">
        <v>100</v>
      </c>
      <c r="EL517" s="2" t="n">
        <v>100</v>
      </c>
      <c r="EM517" s="2" t="n">
        <v>0</v>
      </c>
      <c r="EN517" s="2" t="n">
        <v>100</v>
      </c>
      <c r="EO517" s="2" t="n">
        <v>100</v>
      </c>
      <c r="EP517" s="2" t="n">
        <v>0</v>
      </c>
      <c r="EQ517" s="2" t="n">
        <v>100</v>
      </c>
      <c r="ER517" s="2" t="n">
        <v>100</v>
      </c>
      <c r="ES517" s="2" t="n">
        <v>0</v>
      </c>
    </row>
    <row r="518">
      <c r="A518" s="2" t="n">
        <v>3</v>
      </c>
      <c r="B518" s="2" t="inlineStr">
        <is>
          <t>21.03.01</t>
        </is>
      </c>
      <c r="C518" s="2" t="inlineStr">
        <is>
          <t>Prumadas  De Esgoto e Ventilação</t>
        </is>
      </c>
      <c r="D518" s="2" t="inlineStr">
        <is>
          <t>05/04/2027</t>
        </is>
      </c>
      <c r="E518" s="2" t="inlineStr">
        <is>
          <t>26/05/2028</t>
        </is>
      </c>
      <c r="F518" s="2" t="n">
        <v>269638.2</v>
      </c>
      <c r="G518" s="2" t="n">
        <v>0</v>
      </c>
      <c r="H518" s="2" t="n">
        <v>269638.2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n">
        <v>0</v>
      </c>
      <c r="AO518" s="2" t="n">
        <v>0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n">
        <v>0</v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0</v>
      </c>
      <c r="BF518" s="2" t="n">
        <v>0</v>
      </c>
      <c r="BG518" s="2" t="n">
        <v>0</v>
      </c>
      <c r="BH518" s="2" t="n">
        <v>0</v>
      </c>
      <c r="BI518" s="2" t="n">
        <v>0</v>
      </c>
      <c r="BJ518" s="2" t="n">
        <v>0</v>
      </c>
      <c r="BK518" s="2" t="n">
        <v>0</v>
      </c>
      <c r="BL518" s="2" t="n">
        <v>0</v>
      </c>
      <c r="BM518" s="2" t="n">
        <v>0</v>
      </c>
      <c r="BN518" s="2" t="n">
        <v>0</v>
      </c>
      <c r="BO518" s="2" t="n">
        <v>0</v>
      </c>
      <c r="BP518" s="2" t="n">
        <v>0</v>
      </c>
      <c r="BQ518" s="2" t="n">
        <v>0</v>
      </c>
      <c r="BR518" s="2" t="n">
        <v>0</v>
      </c>
      <c r="BS518" s="2" t="n">
        <v>0</v>
      </c>
      <c r="BT518" s="2" t="n">
        <v>0</v>
      </c>
      <c r="BU518" s="2" t="n">
        <v>0</v>
      </c>
      <c r="BV518" s="2" t="n">
        <v>0</v>
      </c>
      <c r="BW518" s="2" t="n">
        <v>3.74</v>
      </c>
      <c r="BX518" s="2" t="n">
        <v>5.07</v>
      </c>
      <c r="BY518" s="2" t="n">
        <v>0</v>
      </c>
      <c r="BZ518" s="2" t="n">
        <v>9.07</v>
      </c>
      <c r="CA518" s="2" t="n">
        <v>10.41</v>
      </c>
      <c r="CB518" s="2" t="n">
        <v>0</v>
      </c>
      <c r="CC518" s="2" t="n">
        <v>14.95</v>
      </c>
      <c r="CD518" s="2" t="n">
        <v>16.28</v>
      </c>
      <c r="CE518" s="2" t="n">
        <v>0</v>
      </c>
      <c r="CF518" s="2" t="n">
        <v>21.46</v>
      </c>
      <c r="CG518" s="2" t="n">
        <v>22.85</v>
      </c>
      <c r="CH518" s="2" t="n">
        <v>0</v>
      </c>
      <c r="CI518" s="2" t="n">
        <v>28.38</v>
      </c>
      <c r="CJ518" s="2" t="n">
        <v>29.75</v>
      </c>
      <c r="CK518" s="2" t="n">
        <v>0</v>
      </c>
      <c r="CL518" s="2" t="n">
        <v>34.68</v>
      </c>
      <c r="CM518" s="2" t="n">
        <v>36.03</v>
      </c>
      <c r="CN518" s="2" t="n">
        <v>0</v>
      </c>
      <c r="CO518" s="2" t="n">
        <v>49.84</v>
      </c>
      <c r="CP518" s="2" t="n">
        <v>55.6</v>
      </c>
      <c r="CQ518" s="2" t="n">
        <v>0</v>
      </c>
      <c r="CR518" s="2" t="n">
        <v>60.17</v>
      </c>
      <c r="CS518" s="2" t="n">
        <v>63.48</v>
      </c>
      <c r="CT518" s="2" t="n">
        <v>0</v>
      </c>
      <c r="CU518" s="2" t="n">
        <v>66.83</v>
      </c>
      <c r="CV518" s="2" t="n">
        <v>70.05</v>
      </c>
      <c r="CW518" s="2" t="n">
        <v>0</v>
      </c>
      <c r="CX518" s="2" t="n">
        <v>74.64</v>
      </c>
      <c r="CY518" s="2" t="n">
        <v>80.12</v>
      </c>
      <c r="CZ518" s="2" t="n">
        <v>0</v>
      </c>
      <c r="DA518" s="2" t="n">
        <v>83.3</v>
      </c>
      <c r="DB518" s="2" t="n">
        <v>85.73999999999999</v>
      </c>
      <c r="DC518" s="2" t="n">
        <v>0</v>
      </c>
      <c r="DD518" s="2" t="n">
        <v>86.91</v>
      </c>
      <c r="DE518" s="2" t="n">
        <v>91.3</v>
      </c>
      <c r="DF518" s="2" t="n">
        <v>0</v>
      </c>
      <c r="DG518" s="2" t="n">
        <v>93.17</v>
      </c>
      <c r="DH518" s="2" t="n">
        <v>94.02</v>
      </c>
      <c r="DI518" s="2" t="n">
        <v>0</v>
      </c>
      <c r="DJ518" s="2" t="n">
        <v>94.65000000000001</v>
      </c>
      <c r="DK518" s="2" t="n">
        <v>100</v>
      </c>
      <c r="DL518" s="2" t="n">
        <v>0</v>
      </c>
      <c r="DM518" s="2" t="n">
        <v>100</v>
      </c>
      <c r="DN518" s="2" t="n">
        <v>100</v>
      </c>
      <c r="DO518" s="2" t="n">
        <v>0</v>
      </c>
      <c r="DP518" s="2" t="n">
        <v>100</v>
      </c>
      <c r="DQ518" s="2" t="n">
        <v>100</v>
      </c>
      <c r="DR518" s="2" t="n">
        <v>0</v>
      </c>
      <c r="DS518" s="2" t="n">
        <v>100</v>
      </c>
      <c r="DT518" s="2" t="n">
        <v>100</v>
      </c>
      <c r="DU518" s="2" t="n">
        <v>0</v>
      </c>
      <c r="DV518" s="2" t="n">
        <v>100</v>
      </c>
      <c r="DW518" s="2" t="n">
        <v>100</v>
      </c>
      <c r="DX518" s="2" t="n">
        <v>0</v>
      </c>
      <c r="DY518" s="2" t="n">
        <v>100</v>
      </c>
      <c r="DZ518" s="2" t="n">
        <v>100</v>
      </c>
      <c r="EA518" s="2" t="n">
        <v>0</v>
      </c>
      <c r="EB518" s="2" t="n">
        <v>100</v>
      </c>
      <c r="EC518" s="2" t="n">
        <v>100</v>
      </c>
      <c r="ED518" s="2" t="n">
        <v>0</v>
      </c>
      <c r="EE518" s="2" t="n">
        <v>100</v>
      </c>
      <c r="EF518" s="2" t="n">
        <v>100</v>
      </c>
      <c r="EG518" s="2" t="n">
        <v>0</v>
      </c>
      <c r="EH518" s="2" t="n">
        <v>100</v>
      </c>
      <c r="EI518" s="2" t="n">
        <v>100</v>
      </c>
      <c r="EJ518" s="2" t="n">
        <v>0</v>
      </c>
      <c r="EK518" s="2" t="n">
        <v>100</v>
      </c>
      <c r="EL518" s="2" t="n">
        <v>100</v>
      </c>
      <c r="EM518" s="2" t="n">
        <v>0</v>
      </c>
      <c r="EN518" s="2" t="n">
        <v>100</v>
      </c>
      <c r="EO518" s="2" t="n">
        <v>100</v>
      </c>
      <c r="EP518" s="2" t="n">
        <v>0</v>
      </c>
      <c r="EQ518" s="2" t="n">
        <v>100</v>
      </c>
      <c r="ER518" s="2" t="n">
        <v>100</v>
      </c>
      <c r="ES518" s="2" t="n">
        <v>0</v>
      </c>
    </row>
    <row r="519">
      <c r="A519" s="2" t="n">
        <v>3</v>
      </c>
      <c r="B519" s="2" t="inlineStr">
        <is>
          <t>21.03.02</t>
        </is>
      </c>
      <c r="C519" s="2" t="inlineStr">
        <is>
          <t>Distribuição Interna De Esgoto</t>
        </is>
      </c>
      <c r="D519" s="2" t="inlineStr">
        <is>
          <t>30/04/2027</t>
        </is>
      </c>
      <c r="E519" s="2" t="inlineStr">
        <is>
          <t>22/05/2028</t>
        </is>
      </c>
      <c r="F519" s="2" t="n">
        <v>316531.8</v>
      </c>
      <c r="G519" s="2" t="n">
        <v>0</v>
      </c>
      <c r="H519" s="2" t="n">
        <v>316531.8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0</v>
      </c>
      <c r="AN519" s="2" t="n">
        <v>0</v>
      </c>
      <c r="AO519" s="2" t="n">
        <v>0</v>
      </c>
      <c r="AP519" s="2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>
        <v>0</v>
      </c>
      <c r="AX519" s="2" t="n">
        <v>0</v>
      </c>
      <c r="AY519" s="2" t="n">
        <v>0</v>
      </c>
      <c r="AZ519" s="2" t="n">
        <v>0</v>
      </c>
      <c r="BA519" s="2" t="n">
        <v>0</v>
      </c>
      <c r="BB519" s="2" t="n">
        <v>0</v>
      </c>
      <c r="BC519" s="2" t="n">
        <v>0</v>
      </c>
      <c r="BD519" s="2" t="n">
        <v>0</v>
      </c>
      <c r="BE519" s="2" t="n">
        <v>0</v>
      </c>
      <c r="BF519" s="2" t="n">
        <v>0</v>
      </c>
      <c r="BG519" s="2" t="n">
        <v>0</v>
      </c>
      <c r="BH519" s="2" t="n">
        <v>0</v>
      </c>
      <c r="BI519" s="2" t="n">
        <v>0</v>
      </c>
      <c r="BJ519" s="2" t="n">
        <v>0</v>
      </c>
      <c r="BK519" s="2" t="n">
        <v>0</v>
      </c>
      <c r="BL519" s="2" t="n">
        <v>0</v>
      </c>
      <c r="BM519" s="2" t="n">
        <v>0</v>
      </c>
      <c r="BN519" s="2" t="n">
        <v>0</v>
      </c>
      <c r="BO519" s="2" t="n">
        <v>0</v>
      </c>
      <c r="BP519" s="2" t="n">
        <v>0</v>
      </c>
      <c r="BQ519" s="2" t="n">
        <v>0</v>
      </c>
      <c r="BR519" s="2" t="n">
        <v>0</v>
      </c>
      <c r="BS519" s="2" t="n">
        <v>0</v>
      </c>
      <c r="BT519" s="2" t="n">
        <v>0</v>
      </c>
      <c r="BU519" s="2" t="n">
        <v>0</v>
      </c>
      <c r="BV519" s="2" t="n">
        <v>0</v>
      </c>
      <c r="BW519" s="2" t="n">
        <v>0</v>
      </c>
      <c r="BX519" s="2" t="n">
        <v>0.43</v>
      </c>
      <c r="BY519" s="2" t="n">
        <v>0</v>
      </c>
      <c r="BZ519" s="2" t="n">
        <v>6.94</v>
      </c>
      <c r="CA519" s="2" t="n">
        <v>9.109999999999999</v>
      </c>
      <c r="CB519" s="2" t="n">
        <v>0</v>
      </c>
      <c r="CC519" s="2" t="n">
        <v>16.49</v>
      </c>
      <c r="CD519" s="2" t="n">
        <v>18.66</v>
      </c>
      <c r="CE519" s="2" t="n">
        <v>0</v>
      </c>
      <c r="CF519" s="2" t="n">
        <v>26.03</v>
      </c>
      <c r="CG519" s="2" t="n">
        <v>28.2</v>
      </c>
      <c r="CH519" s="2" t="n">
        <v>0</v>
      </c>
      <c r="CI519" s="2" t="n">
        <v>35.58</v>
      </c>
      <c r="CJ519" s="2" t="n">
        <v>37.75</v>
      </c>
      <c r="CK519" s="2" t="n">
        <v>0</v>
      </c>
      <c r="CL519" s="2" t="n">
        <v>44.69</v>
      </c>
      <c r="CM519" s="2" t="n">
        <v>46.86</v>
      </c>
      <c r="CN519" s="2" t="n">
        <v>0</v>
      </c>
      <c r="CO519" s="2" t="n">
        <v>53.36</v>
      </c>
      <c r="CP519" s="2" t="n">
        <v>55.53</v>
      </c>
      <c r="CQ519" s="2" t="n">
        <v>0</v>
      </c>
      <c r="CR519" s="2" t="n">
        <v>62.04</v>
      </c>
      <c r="CS519" s="2" t="n">
        <v>64.20999999999999</v>
      </c>
      <c r="CT519" s="2" t="n">
        <v>0</v>
      </c>
      <c r="CU519" s="2" t="n">
        <v>68.98</v>
      </c>
      <c r="CV519" s="2" t="n">
        <v>71.15000000000001</v>
      </c>
      <c r="CW519" s="2" t="n">
        <v>0</v>
      </c>
      <c r="CX519" s="2" t="n">
        <v>78.09</v>
      </c>
      <c r="CY519" s="2" t="n">
        <v>80.26000000000001</v>
      </c>
      <c r="CZ519" s="2" t="n">
        <v>0</v>
      </c>
      <c r="DA519" s="2" t="n">
        <v>87.2</v>
      </c>
      <c r="DB519" s="2" t="n">
        <v>89.47</v>
      </c>
      <c r="DC519" s="2" t="n">
        <v>0</v>
      </c>
      <c r="DD519" s="2" t="n">
        <v>93.87</v>
      </c>
      <c r="DE519" s="2" t="n">
        <v>94.45</v>
      </c>
      <c r="DF519" s="2" t="n">
        <v>0</v>
      </c>
      <c r="DG519" s="2" t="n">
        <v>94.38</v>
      </c>
      <c r="DH519" s="2" t="n">
        <v>95.43000000000001</v>
      </c>
      <c r="DI519" s="2" t="n">
        <v>0</v>
      </c>
      <c r="DJ519" s="2" t="n">
        <v>99.53</v>
      </c>
      <c r="DK519" s="2" t="n">
        <v>100</v>
      </c>
      <c r="DL519" s="2" t="n">
        <v>0</v>
      </c>
      <c r="DM519" s="2" t="n">
        <v>100</v>
      </c>
      <c r="DN519" s="2" t="n">
        <v>100</v>
      </c>
      <c r="DO519" s="2" t="n">
        <v>0</v>
      </c>
      <c r="DP519" s="2" t="n">
        <v>100</v>
      </c>
      <c r="DQ519" s="2" t="n">
        <v>100</v>
      </c>
      <c r="DR519" s="2" t="n">
        <v>0</v>
      </c>
      <c r="DS519" s="2" t="n">
        <v>100</v>
      </c>
      <c r="DT519" s="2" t="n">
        <v>100</v>
      </c>
      <c r="DU519" s="2" t="n">
        <v>0</v>
      </c>
      <c r="DV519" s="2" t="n">
        <v>100</v>
      </c>
      <c r="DW519" s="2" t="n">
        <v>100</v>
      </c>
      <c r="DX519" s="2" t="n">
        <v>0</v>
      </c>
      <c r="DY519" s="2" t="n">
        <v>100</v>
      </c>
      <c r="DZ519" s="2" t="n">
        <v>100</v>
      </c>
      <c r="EA519" s="2" t="n">
        <v>0</v>
      </c>
      <c r="EB519" s="2" t="n">
        <v>100</v>
      </c>
      <c r="EC519" s="2" t="n">
        <v>100</v>
      </c>
      <c r="ED519" s="2" t="n">
        <v>0</v>
      </c>
      <c r="EE519" s="2" t="n">
        <v>100</v>
      </c>
      <c r="EF519" s="2" t="n">
        <v>100</v>
      </c>
      <c r="EG519" s="2" t="n">
        <v>0</v>
      </c>
      <c r="EH519" s="2" t="n">
        <v>100</v>
      </c>
      <c r="EI519" s="2" t="n">
        <v>100</v>
      </c>
      <c r="EJ519" s="2" t="n">
        <v>0</v>
      </c>
      <c r="EK519" s="2" t="n">
        <v>100</v>
      </c>
      <c r="EL519" s="2" t="n">
        <v>100</v>
      </c>
      <c r="EM519" s="2" t="n">
        <v>0</v>
      </c>
      <c r="EN519" s="2" t="n">
        <v>100</v>
      </c>
      <c r="EO519" s="2" t="n">
        <v>100</v>
      </c>
      <c r="EP519" s="2" t="n">
        <v>0</v>
      </c>
      <c r="EQ519" s="2" t="n">
        <v>100</v>
      </c>
      <c r="ER519" s="2" t="n">
        <v>100</v>
      </c>
      <c r="ES519" s="2" t="n">
        <v>0</v>
      </c>
    </row>
    <row r="520">
      <c r="A520" s="2" t="n">
        <v>3</v>
      </c>
      <c r="B520" s="2" t="inlineStr">
        <is>
          <t>21.03.03</t>
        </is>
      </c>
      <c r="C520" s="2" t="inlineStr">
        <is>
          <t>Redes Coletoras De Esgoto</t>
        </is>
      </c>
      <c r="D520" s="2" t="inlineStr">
        <is>
          <t>11/01/2027</t>
        </is>
      </c>
      <c r="E520" s="2" t="inlineStr">
        <is>
          <t>05/02/2027</t>
        </is>
      </c>
      <c r="F520" s="2" t="n">
        <v>375148.8</v>
      </c>
      <c r="G520" s="2" t="n">
        <v>0</v>
      </c>
      <c r="H520" s="2" t="n">
        <v>375148.8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0</v>
      </c>
      <c r="AM520" s="2" t="n">
        <v>0</v>
      </c>
      <c r="AN520" s="2" t="n">
        <v>0</v>
      </c>
      <c r="AO520" s="2" t="n">
        <v>0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n">
        <v>0</v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n">
        <v>0</v>
      </c>
      <c r="BI520" s="2" t="n">
        <v>0</v>
      </c>
      <c r="BJ520" s="2" t="n">
        <v>0</v>
      </c>
      <c r="BK520" s="2" t="n">
        <v>0</v>
      </c>
      <c r="BL520" s="2" t="n">
        <v>0</v>
      </c>
      <c r="BM520" s="2" t="n">
        <v>0</v>
      </c>
      <c r="BN520" s="2" t="n">
        <v>15</v>
      </c>
      <c r="BO520" s="2" t="n">
        <v>75</v>
      </c>
      <c r="BP520" s="2" t="n">
        <v>0</v>
      </c>
      <c r="BQ520" s="2" t="n">
        <v>100</v>
      </c>
      <c r="BR520" s="2" t="n">
        <v>100</v>
      </c>
      <c r="BS520" s="2" t="n">
        <v>0</v>
      </c>
      <c r="BT520" s="2" t="n">
        <v>100</v>
      </c>
      <c r="BU520" s="2" t="n">
        <v>100</v>
      </c>
      <c r="BV520" s="2" t="n">
        <v>0</v>
      </c>
      <c r="BW520" s="2" t="n">
        <v>100</v>
      </c>
      <c r="BX520" s="2" t="n">
        <v>100</v>
      </c>
      <c r="BY520" s="2" t="n">
        <v>0</v>
      </c>
      <c r="BZ520" s="2" t="n">
        <v>100</v>
      </c>
      <c r="CA520" s="2" t="n">
        <v>100</v>
      </c>
      <c r="CB520" s="2" t="n">
        <v>0</v>
      </c>
      <c r="CC520" s="2" t="n">
        <v>100</v>
      </c>
      <c r="CD520" s="2" t="n">
        <v>100</v>
      </c>
      <c r="CE520" s="2" t="n">
        <v>0</v>
      </c>
      <c r="CF520" s="2" t="n">
        <v>100</v>
      </c>
      <c r="CG520" s="2" t="n">
        <v>100</v>
      </c>
      <c r="CH520" s="2" t="n">
        <v>0</v>
      </c>
      <c r="CI520" s="2" t="n">
        <v>100</v>
      </c>
      <c r="CJ520" s="2" t="n">
        <v>100</v>
      </c>
      <c r="CK520" s="2" t="n">
        <v>0</v>
      </c>
      <c r="CL520" s="2" t="n">
        <v>100</v>
      </c>
      <c r="CM520" s="2" t="n">
        <v>100</v>
      </c>
      <c r="CN520" s="2" t="n">
        <v>0</v>
      </c>
      <c r="CO520" s="2" t="n">
        <v>100</v>
      </c>
      <c r="CP520" s="2" t="n">
        <v>100</v>
      </c>
      <c r="CQ520" s="2" t="n">
        <v>0</v>
      </c>
      <c r="CR520" s="2" t="n">
        <v>100</v>
      </c>
      <c r="CS520" s="2" t="n">
        <v>100</v>
      </c>
      <c r="CT520" s="2" t="n">
        <v>0</v>
      </c>
      <c r="CU520" s="2" t="n">
        <v>100</v>
      </c>
      <c r="CV520" s="2" t="n">
        <v>100</v>
      </c>
      <c r="CW520" s="2" t="n">
        <v>0</v>
      </c>
      <c r="CX520" s="2" t="n">
        <v>100</v>
      </c>
      <c r="CY520" s="2" t="n">
        <v>100</v>
      </c>
      <c r="CZ520" s="2" t="n">
        <v>0</v>
      </c>
      <c r="DA520" s="2" t="n">
        <v>100</v>
      </c>
      <c r="DB520" s="2" t="n">
        <v>100</v>
      </c>
      <c r="DC520" s="2" t="n">
        <v>0</v>
      </c>
      <c r="DD520" s="2" t="n">
        <v>100</v>
      </c>
      <c r="DE520" s="2" t="n">
        <v>100</v>
      </c>
      <c r="DF520" s="2" t="n">
        <v>0</v>
      </c>
      <c r="DG520" s="2" t="n">
        <v>100</v>
      </c>
      <c r="DH520" s="2" t="n">
        <v>100</v>
      </c>
      <c r="DI520" s="2" t="n">
        <v>0</v>
      </c>
      <c r="DJ520" s="2" t="n">
        <v>100</v>
      </c>
      <c r="DK520" s="2" t="n">
        <v>100</v>
      </c>
      <c r="DL520" s="2" t="n">
        <v>0</v>
      </c>
      <c r="DM520" s="2" t="n">
        <v>100</v>
      </c>
      <c r="DN520" s="2" t="n">
        <v>100</v>
      </c>
      <c r="DO520" s="2" t="n">
        <v>0</v>
      </c>
      <c r="DP520" s="2" t="n">
        <v>100</v>
      </c>
      <c r="DQ520" s="2" t="n">
        <v>100</v>
      </c>
      <c r="DR520" s="2" t="n">
        <v>0</v>
      </c>
      <c r="DS520" s="2" t="n">
        <v>100</v>
      </c>
      <c r="DT520" s="2" t="n">
        <v>100</v>
      </c>
      <c r="DU520" s="2" t="n">
        <v>0</v>
      </c>
      <c r="DV520" s="2" t="n">
        <v>100</v>
      </c>
      <c r="DW520" s="2" t="n">
        <v>100</v>
      </c>
      <c r="DX520" s="2" t="n">
        <v>0</v>
      </c>
      <c r="DY520" s="2" t="n">
        <v>100</v>
      </c>
      <c r="DZ520" s="2" t="n">
        <v>100</v>
      </c>
      <c r="EA520" s="2" t="n">
        <v>0</v>
      </c>
      <c r="EB520" s="2" t="n">
        <v>100</v>
      </c>
      <c r="EC520" s="2" t="n">
        <v>100</v>
      </c>
      <c r="ED520" s="2" t="n">
        <v>0</v>
      </c>
      <c r="EE520" s="2" t="n">
        <v>100</v>
      </c>
      <c r="EF520" s="2" t="n">
        <v>100</v>
      </c>
      <c r="EG520" s="2" t="n">
        <v>0</v>
      </c>
      <c r="EH520" s="2" t="n">
        <v>100</v>
      </c>
      <c r="EI520" s="2" t="n">
        <v>100</v>
      </c>
      <c r="EJ520" s="2" t="n">
        <v>0</v>
      </c>
      <c r="EK520" s="2" t="n">
        <v>100</v>
      </c>
      <c r="EL520" s="2" t="n">
        <v>100</v>
      </c>
      <c r="EM520" s="2" t="n">
        <v>0</v>
      </c>
      <c r="EN520" s="2" t="n">
        <v>100</v>
      </c>
      <c r="EO520" s="2" t="n">
        <v>100</v>
      </c>
      <c r="EP520" s="2" t="n">
        <v>0</v>
      </c>
      <c r="EQ520" s="2" t="n">
        <v>100</v>
      </c>
      <c r="ER520" s="2" t="n">
        <v>100</v>
      </c>
      <c r="ES520" s="2" t="n">
        <v>0</v>
      </c>
    </row>
    <row r="521">
      <c r="A521" s="2" t="n">
        <v>3</v>
      </c>
      <c r="B521" s="2" t="inlineStr">
        <is>
          <t>21.03.04</t>
        </is>
      </c>
      <c r="C521" s="2" t="inlineStr">
        <is>
          <t>Caixas de passagem</t>
        </is>
      </c>
      <c r="D521" s="2" t="inlineStr">
        <is>
          <t>11/01/2027</t>
        </is>
      </c>
      <c r="E521" s="2" t="inlineStr">
        <is>
          <t>05/02/2027</t>
        </is>
      </c>
      <c r="F521" s="2" t="n">
        <v>211021.2</v>
      </c>
      <c r="G521" s="2" t="n">
        <v>0</v>
      </c>
      <c r="H521" s="2" t="n">
        <v>211021.2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  <c r="AO521" s="2" t="n">
        <v>0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n">
        <v>0</v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n">
        <v>0</v>
      </c>
      <c r="BI521" s="2" t="n">
        <v>0</v>
      </c>
      <c r="BJ521" s="2" t="n">
        <v>0</v>
      </c>
      <c r="BK521" s="2" t="n">
        <v>0</v>
      </c>
      <c r="BL521" s="2" t="n">
        <v>0</v>
      </c>
      <c r="BM521" s="2" t="n">
        <v>0</v>
      </c>
      <c r="BN521" s="2" t="n">
        <v>15</v>
      </c>
      <c r="BO521" s="2" t="n">
        <v>75</v>
      </c>
      <c r="BP521" s="2" t="n">
        <v>0</v>
      </c>
      <c r="BQ521" s="2" t="n">
        <v>100</v>
      </c>
      <c r="BR521" s="2" t="n">
        <v>100</v>
      </c>
      <c r="BS521" s="2" t="n">
        <v>0</v>
      </c>
      <c r="BT521" s="2" t="n">
        <v>100</v>
      </c>
      <c r="BU521" s="2" t="n">
        <v>100</v>
      </c>
      <c r="BV521" s="2" t="n">
        <v>0</v>
      </c>
      <c r="BW521" s="2" t="n">
        <v>100</v>
      </c>
      <c r="BX521" s="2" t="n">
        <v>100</v>
      </c>
      <c r="BY521" s="2" t="n">
        <v>0</v>
      </c>
      <c r="BZ521" s="2" t="n">
        <v>100</v>
      </c>
      <c r="CA521" s="2" t="n">
        <v>100</v>
      </c>
      <c r="CB521" s="2" t="n">
        <v>0</v>
      </c>
      <c r="CC521" s="2" t="n">
        <v>100</v>
      </c>
      <c r="CD521" s="2" t="n">
        <v>100</v>
      </c>
      <c r="CE521" s="2" t="n">
        <v>0</v>
      </c>
      <c r="CF521" s="2" t="n">
        <v>100</v>
      </c>
      <c r="CG521" s="2" t="n">
        <v>100</v>
      </c>
      <c r="CH521" s="2" t="n">
        <v>0</v>
      </c>
      <c r="CI521" s="2" t="n">
        <v>100</v>
      </c>
      <c r="CJ521" s="2" t="n">
        <v>100</v>
      </c>
      <c r="CK521" s="2" t="n">
        <v>0</v>
      </c>
      <c r="CL521" s="2" t="n">
        <v>100</v>
      </c>
      <c r="CM521" s="2" t="n">
        <v>100</v>
      </c>
      <c r="CN521" s="2" t="n">
        <v>0</v>
      </c>
      <c r="CO521" s="2" t="n">
        <v>100</v>
      </c>
      <c r="CP521" s="2" t="n">
        <v>100</v>
      </c>
      <c r="CQ521" s="2" t="n">
        <v>0</v>
      </c>
      <c r="CR521" s="2" t="n">
        <v>100</v>
      </c>
      <c r="CS521" s="2" t="n">
        <v>100</v>
      </c>
      <c r="CT521" s="2" t="n">
        <v>0</v>
      </c>
      <c r="CU521" s="2" t="n">
        <v>100</v>
      </c>
      <c r="CV521" s="2" t="n">
        <v>100</v>
      </c>
      <c r="CW521" s="2" t="n">
        <v>0</v>
      </c>
      <c r="CX521" s="2" t="n">
        <v>100</v>
      </c>
      <c r="CY521" s="2" t="n">
        <v>100</v>
      </c>
      <c r="CZ521" s="2" t="n">
        <v>0</v>
      </c>
      <c r="DA521" s="2" t="n">
        <v>100</v>
      </c>
      <c r="DB521" s="2" t="n">
        <v>100</v>
      </c>
      <c r="DC521" s="2" t="n">
        <v>0</v>
      </c>
      <c r="DD521" s="2" t="n">
        <v>100</v>
      </c>
      <c r="DE521" s="2" t="n">
        <v>100</v>
      </c>
      <c r="DF521" s="2" t="n">
        <v>0</v>
      </c>
      <c r="DG521" s="2" t="n">
        <v>100</v>
      </c>
      <c r="DH521" s="2" t="n">
        <v>100</v>
      </c>
      <c r="DI521" s="2" t="n">
        <v>0</v>
      </c>
      <c r="DJ521" s="2" t="n">
        <v>100</v>
      </c>
      <c r="DK521" s="2" t="n">
        <v>100</v>
      </c>
      <c r="DL521" s="2" t="n">
        <v>0</v>
      </c>
      <c r="DM521" s="2" t="n">
        <v>100</v>
      </c>
      <c r="DN521" s="2" t="n">
        <v>100</v>
      </c>
      <c r="DO521" s="2" t="n">
        <v>0</v>
      </c>
      <c r="DP521" s="2" t="n">
        <v>100</v>
      </c>
      <c r="DQ521" s="2" t="n">
        <v>100</v>
      </c>
      <c r="DR521" s="2" t="n">
        <v>0</v>
      </c>
      <c r="DS521" s="2" t="n">
        <v>100</v>
      </c>
      <c r="DT521" s="2" t="n">
        <v>100</v>
      </c>
      <c r="DU521" s="2" t="n">
        <v>0</v>
      </c>
      <c r="DV521" s="2" t="n">
        <v>100</v>
      </c>
      <c r="DW521" s="2" t="n">
        <v>100</v>
      </c>
      <c r="DX521" s="2" t="n">
        <v>0</v>
      </c>
      <c r="DY521" s="2" t="n">
        <v>100</v>
      </c>
      <c r="DZ521" s="2" t="n">
        <v>100</v>
      </c>
      <c r="EA521" s="2" t="n">
        <v>0</v>
      </c>
      <c r="EB521" s="2" t="n">
        <v>100</v>
      </c>
      <c r="EC521" s="2" t="n">
        <v>100</v>
      </c>
      <c r="ED521" s="2" t="n">
        <v>0</v>
      </c>
      <c r="EE521" s="2" t="n">
        <v>100</v>
      </c>
      <c r="EF521" s="2" t="n">
        <v>100</v>
      </c>
      <c r="EG521" s="2" t="n">
        <v>0</v>
      </c>
      <c r="EH521" s="2" t="n">
        <v>100</v>
      </c>
      <c r="EI521" s="2" t="n">
        <v>100</v>
      </c>
      <c r="EJ521" s="2" t="n">
        <v>0</v>
      </c>
      <c r="EK521" s="2" t="n">
        <v>100</v>
      </c>
      <c r="EL521" s="2" t="n">
        <v>100</v>
      </c>
      <c r="EM521" s="2" t="n">
        <v>0</v>
      </c>
      <c r="EN521" s="2" t="n">
        <v>100</v>
      </c>
      <c r="EO521" s="2" t="n">
        <v>100</v>
      </c>
      <c r="EP521" s="2" t="n">
        <v>0</v>
      </c>
      <c r="EQ521" s="2" t="n">
        <v>100</v>
      </c>
      <c r="ER521" s="2" t="n">
        <v>100</v>
      </c>
      <c r="ES521" s="2" t="n">
        <v>0</v>
      </c>
    </row>
    <row r="522">
      <c r="A522" s="2" t="n">
        <v>2</v>
      </c>
      <c r="B522" s="2" t="inlineStr">
        <is>
          <t>21.04</t>
        </is>
      </c>
      <c r="C522" s="2" t="inlineStr">
        <is>
          <t>Instalações pluviais Prediais</t>
        </is>
      </c>
      <c r="D522" s="2" t="inlineStr">
        <is>
          <t>30/04/2027</t>
        </is>
      </c>
      <c r="E522" s="2" t="inlineStr">
        <is>
          <t>22/05/2028</t>
        </is>
      </c>
      <c r="F522" s="2" t="n">
        <v>937872</v>
      </c>
      <c r="G522" s="2" t="n">
        <v>0</v>
      </c>
      <c r="H522" s="2" t="n">
        <v>937872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  <c r="AM522" s="2" t="n">
        <v>0</v>
      </c>
      <c r="AN522" s="2" t="n">
        <v>0</v>
      </c>
      <c r="AO522" s="2" t="n">
        <v>0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0</v>
      </c>
      <c r="AX522" s="2" t="n">
        <v>0</v>
      </c>
      <c r="AY522" s="2" t="n">
        <v>0</v>
      </c>
      <c r="AZ522" s="2" t="n">
        <v>0</v>
      </c>
      <c r="BA522" s="2" t="n">
        <v>0</v>
      </c>
      <c r="BB522" s="2" t="n">
        <v>0</v>
      </c>
      <c r="BC522" s="2" t="n">
        <v>0</v>
      </c>
      <c r="BD522" s="2" t="n">
        <v>0</v>
      </c>
      <c r="BE522" s="2" t="n">
        <v>0</v>
      </c>
      <c r="BF522" s="2" t="n">
        <v>0</v>
      </c>
      <c r="BG522" s="2" t="n">
        <v>0</v>
      </c>
      <c r="BH522" s="2" t="n">
        <v>0</v>
      </c>
      <c r="BI522" s="2" t="n">
        <v>0</v>
      </c>
      <c r="BJ522" s="2" t="n">
        <v>0</v>
      </c>
      <c r="BK522" s="2" t="n">
        <v>0</v>
      </c>
      <c r="BL522" s="2" t="n">
        <v>0</v>
      </c>
      <c r="BM522" s="2" t="n">
        <v>0</v>
      </c>
      <c r="BN522" s="2" t="n">
        <v>0</v>
      </c>
      <c r="BO522" s="2" t="n">
        <v>0</v>
      </c>
      <c r="BP522" s="2" t="n">
        <v>0</v>
      </c>
      <c r="BQ522" s="2" t="n">
        <v>0</v>
      </c>
      <c r="BR522" s="2" t="n">
        <v>0</v>
      </c>
      <c r="BS522" s="2" t="n">
        <v>0</v>
      </c>
      <c r="BT522" s="2" t="n">
        <v>0</v>
      </c>
      <c r="BU522" s="2" t="n">
        <v>0</v>
      </c>
      <c r="BV522" s="2" t="n">
        <v>0</v>
      </c>
      <c r="BW522" s="2" t="n">
        <v>0</v>
      </c>
      <c r="BX522" s="2" t="n">
        <v>0.43</v>
      </c>
      <c r="BY522" s="2" t="n">
        <v>0</v>
      </c>
      <c r="BZ522" s="2" t="n">
        <v>6.94</v>
      </c>
      <c r="CA522" s="2" t="n">
        <v>9.109999999999999</v>
      </c>
      <c r="CB522" s="2" t="n">
        <v>0</v>
      </c>
      <c r="CC522" s="2" t="n">
        <v>16.49</v>
      </c>
      <c r="CD522" s="2" t="n">
        <v>18.66</v>
      </c>
      <c r="CE522" s="2" t="n">
        <v>0</v>
      </c>
      <c r="CF522" s="2" t="n">
        <v>26.03</v>
      </c>
      <c r="CG522" s="2" t="n">
        <v>28.2</v>
      </c>
      <c r="CH522" s="2" t="n">
        <v>0</v>
      </c>
      <c r="CI522" s="2" t="n">
        <v>35.58</v>
      </c>
      <c r="CJ522" s="2" t="n">
        <v>37.75</v>
      </c>
      <c r="CK522" s="2" t="n">
        <v>0</v>
      </c>
      <c r="CL522" s="2" t="n">
        <v>44.69</v>
      </c>
      <c r="CM522" s="2" t="n">
        <v>46.86</v>
      </c>
      <c r="CN522" s="2" t="n">
        <v>0</v>
      </c>
      <c r="CO522" s="2" t="n">
        <v>53.36</v>
      </c>
      <c r="CP522" s="2" t="n">
        <v>55.53</v>
      </c>
      <c r="CQ522" s="2" t="n">
        <v>0</v>
      </c>
      <c r="CR522" s="2" t="n">
        <v>62.04</v>
      </c>
      <c r="CS522" s="2" t="n">
        <v>64.20999999999999</v>
      </c>
      <c r="CT522" s="2" t="n">
        <v>0</v>
      </c>
      <c r="CU522" s="2" t="n">
        <v>68.98</v>
      </c>
      <c r="CV522" s="2" t="n">
        <v>71.15000000000001</v>
      </c>
      <c r="CW522" s="2" t="n">
        <v>0</v>
      </c>
      <c r="CX522" s="2" t="n">
        <v>78.09</v>
      </c>
      <c r="CY522" s="2" t="n">
        <v>80.26000000000001</v>
      </c>
      <c r="CZ522" s="2" t="n">
        <v>0</v>
      </c>
      <c r="DA522" s="2" t="n">
        <v>87.2</v>
      </c>
      <c r="DB522" s="2" t="n">
        <v>89.47</v>
      </c>
      <c r="DC522" s="2" t="n">
        <v>0</v>
      </c>
      <c r="DD522" s="2" t="n">
        <v>93.87</v>
      </c>
      <c r="DE522" s="2" t="n">
        <v>94.45</v>
      </c>
      <c r="DF522" s="2" t="n">
        <v>0</v>
      </c>
      <c r="DG522" s="2" t="n">
        <v>94.38</v>
      </c>
      <c r="DH522" s="2" t="n">
        <v>95.43000000000001</v>
      </c>
      <c r="DI522" s="2" t="n">
        <v>0</v>
      </c>
      <c r="DJ522" s="2" t="n">
        <v>99.53</v>
      </c>
      <c r="DK522" s="2" t="n">
        <v>100</v>
      </c>
      <c r="DL522" s="2" t="n">
        <v>0</v>
      </c>
      <c r="DM522" s="2" t="n">
        <v>100</v>
      </c>
      <c r="DN522" s="2" t="n">
        <v>100</v>
      </c>
      <c r="DO522" s="2" t="n">
        <v>0</v>
      </c>
      <c r="DP522" s="2" t="n">
        <v>100</v>
      </c>
      <c r="DQ522" s="2" t="n">
        <v>100</v>
      </c>
      <c r="DR522" s="2" t="n">
        <v>0</v>
      </c>
      <c r="DS522" s="2" t="n">
        <v>100</v>
      </c>
      <c r="DT522" s="2" t="n">
        <v>100</v>
      </c>
      <c r="DU522" s="2" t="n">
        <v>0</v>
      </c>
      <c r="DV522" s="2" t="n">
        <v>100</v>
      </c>
      <c r="DW522" s="2" t="n">
        <v>100</v>
      </c>
      <c r="DX522" s="2" t="n">
        <v>0</v>
      </c>
      <c r="DY522" s="2" t="n">
        <v>100</v>
      </c>
      <c r="DZ522" s="2" t="n">
        <v>100</v>
      </c>
      <c r="EA522" s="2" t="n">
        <v>0</v>
      </c>
      <c r="EB522" s="2" t="n">
        <v>100</v>
      </c>
      <c r="EC522" s="2" t="n">
        <v>100</v>
      </c>
      <c r="ED522" s="2" t="n">
        <v>0</v>
      </c>
      <c r="EE522" s="2" t="n">
        <v>100</v>
      </c>
      <c r="EF522" s="2" t="n">
        <v>100</v>
      </c>
      <c r="EG522" s="2" t="n">
        <v>0</v>
      </c>
      <c r="EH522" s="2" t="n">
        <v>100</v>
      </c>
      <c r="EI522" s="2" t="n">
        <v>100</v>
      </c>
      <c r="EJ522" s="2" t="n">
        <v>0</v>
      </c>
      <c r="EK522" s="2" t="n">
        <v>100</v>
      </c>
      <c r="EL522" s="2" t="n">
        <v>100</v>
      </c>
      <c r="EM522" s="2" t="n">
        <v>0</v>
      </c>
      <c r="EN522" s="2" t="n">
        <v>100</v>
      </c>
      <c r="EO522" s="2" t="n">
        <v>100</v>
      </c>
      <c r="EP522" s="2" t="n">
        <v>0</v>
      </c>
      <c r="EQ522" s="2" t="n">
        <v>100</v>
      </c>
      <c r="ER522" s="2" t="n">
        <v>100</v>
      </c>
      <c r="ES522" s="2" t="n">
        <v>0</v>
      </c>
    </row>
    <row r="523">
      <c r="A523" s="2" t="n">
        <v>3</v>
      </c>
      <c r="B523" s="2" t="inlineStr">
        <is>
          <t>21.04.01</t>
        </is>
      </c>
      <c r="C523" s="2" t="inlineStr">
        <is>
          <t>Prumadas  pluviais</t>
        </is>
      </c>
      <c r="D523" s="2" t="inlineStr">
        <is>
          <t>30/04/2027</t>
        </is>
      </c>
      <c r="E523" s="2" t="inlineStr">
        <is>
          <t>22/05/2028</t>
        </is>
      </c>
      <c r="F523" s="2" t="n">
        <v>234468</v>
      </c>
      <c r="G523" s="2" t="n">
        <v>0</v>
      </c>
      <c r="H523" s="2" t="n">
        <v>234468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  <c r="AN523" s="2" t="n">
        <v>0</v>
      </c>
      <c r="AO523" s="2" t="n">
        <v>0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 t="n">
        <v>0</v>
      </c>
      <c r="AY523" s="2" t="n">
        <v>0</v>
      </c>
      <c r="AZ523" s="2" t="n">
        <v>0</v>
      </c>
      <c r="BA523" s="2" t="n">
        <v>0</v>
      </c>
      <c r="BB523" s="2" t="n">
        <v>0</v>
      </c>
      <c r="BC523" s="2" t="n">
        <v>0</v>
      </c>
      <c r="BD523" s="2" t="n">
        <v>0</v>
      </c>
      <c r="BE523" s="2" t="n">
        <v>0</v>
      </c>
      <c r="BF523" s="2" t="n">
        <v>0</v>
      </c>
      <c r="BG523" s="2" t="n">
        <v>0</v>
      </c>
      <c r="BH523" s="2" t="n">
        <v>0</v>
      </c>
      <c r="BI523" s="2" t="n">
        <v>0</v>
      </c>
      <c r="BJ523" s="2" t="n">
        <v>0</v>
      </c>
      <c r="BK523" s="2" t="n">
        <v>0</v>
      </c>
      <c r="BL523" s="2" t="n">
        <v>0</v>
      </c>
      <c r="BM523" s="2" t="n">
        <v>0</v>
      </c>
      <c r="BN523" s="2" t="n">
        <v>0</v>
      </c>
      <c r="BO523" s="2" t="n">
        <v>0</v>
      </c>
      <c r="BP523" s="2" t="n">
        <v>0</v>
      </c>
      <c r="BQ523" s="2" t="n">
        <v>0</v>
      </c>
      <c r="BR523" s="2" t="n">
        <v>0</v>
      </c>
      <c r="BS523" s="2" t="n">
        <v>0</v>
      </c>
      <c r="BT523" s="2" t="n">
        <v>0</v>
      </c>
      <c r="BU523" s="2" t="n">
        <v>0</v>
      </c>
      <c r="BV523" s="2" t="n">
        <v>0</v>
      </c>
      <c r="BW523" s="2" t="n">
        <v>0</v>
      </c>
      <c r="BX523" s="2" t="n">
        <v>0.43</v>
      </c>
      <c r="BY523" s="2" t="n">
        <v>0</v>
      </c>
      <c r="BZ523" s="2" t="n">
        <v>6.94</v>
      </c>
      <c r="CA523" s="2" t="n">
        <v>9.109999999999999</v>
      </c>
      <c r="CB523" s="2" t="n">
        <v>0</v>
      </c>
      <c r="CC523" s="2" t="n">
        <v>16.49</v>
      </c>
      <c r="CD523" s="2" t="n">
        <v>18.66</v>
      </c>
      <c r="CE523" s="2" t="n">
        <v>0</v>
      </c>
      <c r="CF523" s="2" t="n">
        <v>26.03</v>
      </c>
      <c r="CG523" s="2" t="n">
        <v>28.2</v>
      </c>
      <c r="CH523" s="2" t="n">
        <v>0</v>
      </c>
      <c r="CI523" s="2" t="n">
        <v>35.58</v>
      </c>
      <c r="CJ523" s="2" t="n">
        <v>37.75</v>
      </c>
      <c r="CK523" s="2" t="n">
        <v>0</v>
      </c>
      <c r="CL523" s="2" t="n">
        <v>44.69</v>
      </c>
      <c r="CM523" s="2" t="n">
        <v>46.86</v>
      </c>
      <c r="CN523" s="2" t="n">
        <v>0</v>
      </c>
      <c r="CO523" s="2" t="n">
        <v>53.36</v>
      </c>
      <c r="CP523" s="2" t="n">
        <v>55.53</v>
      </c>
      <c r="CQ523" s="2" t="n">
        <v>0</v>
      </c>
      <c r="CR523" s="2" t="n">
        <v>62.04</v>
      </c>
      <c r="CS523" s="2" t="n">
        <v>64.20999999999999</v>
      </c>
      <c r="CT523" s="2" t="n">
        <v>0</v>
      </c>
      <c r="CU523" s="2" t="n">
        <v>68.98</v>
      </c>
      <c r="CV523" s="2" t="n">
        <v>71.15000000000001</v>
      </c>
      <c r="CW523" s="2" t="n">
        <v>0</v>
      </c>
      <c r="CX523" s="2" t="n">
        <v>78.09</v>
      </c>
      <c r="CY523" s="2" t="n">
        <v>80.26000000000001</v>
      </c>
      <c r="CZ523" s="2" t="n">
        <v>0</v>
      </c>
      <c r="DA523" s="2" t="n">
        <v>87.2</v>
      </c>
      <c r="DB523" s="2" t="n">
        <v>89.47</v>
      </c>
      <c r="DC523" s="2" t="n">
        <v>0</v>
      </c>
      <c r="DD523" s="2" t="n">
        <v>93.87</v>
      </c>
      <c r="DE523" s="2" t="n">
        <v>94.45</v>
      </c>
      <c r="DF523" s="2" t="n">
        <v>0</v>
      </c>
      <c r="DG523" s="2" t="n">
        <v>94.38</v>
      </c>
      <c r="DH523" s="2" t="n">
        <v>95.43000000000001</v>
      </c>
      <c r="DI523" s="2" t="n">
        <v>0</v>
      </c>
      <c r="DJ523" s="2" t="n">
        <v>99.53</v>
      </c>
      <c r="DK523" s="2" t="n">
        <v>100</v>
      </c>
      <c r="DL523" s="2" t="n">
        <v>0</v>
      </c>
      <c r="DM523" s="2" t="n">
        <v>100</v>
      </c>
      <c r="DN523" s="2" t="n">
        <v>100</v>
      </c>
      <c r="DO523" s="2" t="n">
        <v>0</v>
      </c>
      <c r="DP523" s="2" t="n">
        <v>100</v>
      </c>
      <c r="DQ523" s="2" t="n">
        <v>100</v>
      </c>
      <c r="DR523" s="2" t="n">
        <v>0</v>
      </c>
      <c r="DS523" s="2" t="n">
        <v>100</v>
      </c>
      <c r="DT523" s="2" t="n">
        <v>100</v>
      </c>
      <c r="DU523" s="2" t="n">
        <v>0</v>
      </c>
      <c r="DV523" s="2" t="n">
        <v>100</v>
      </c>
      <c r="DW523" s="2" t="n">
        <v>100</v>
      </c>
      <c r="DX523" s="2" t="n">
        <v>0</v>
      </c>
      <c r="DY523" s="2" t="n">
        <v>100</v>
      </c>
      <c r="DZ523" s="2" t="n">
        <v>100</v>
      </c>
      <c r="EA523" s="2" t="n">
        <v>0</v>
      </c>
      <c r="EB523" s="2" t="n">
        <v>100</v>
      </c>
      <c r="EC523" s="2" t="n">
        <v>100</v>
      </c>
      <c r="ED523" s="2" t="n">
        <v>0</v>
      </c>
      <c r="EE523" s="2" t="n">
        <v>100</v>
      </c>
      <c r="EF523" s="2" t="n">
        <v>100</v>
      </c>
      <c r="EG523" s="2" t="n">
        <v>0</v>
      </c>
      <c r="EH523" s="2" t="n">
        <v>100</v>
      </c>
      <c r="EI523" s="2" t="n">
        <v>100</v>
      </c>
      <c r="EJ523" s="2" t="n">
        <v>0</v>
      </c>
      <c r="EK523" s="2" t="n">
        <v>100</v>
      </c>
      <c r="EL523" s="2" t="n">
        <v>100</v>
      </c>
      <c r="EM523" s="2" t="n">
        <v>0</v>
      </c>
      <c r="EN523" s="2" t="n">
        <v>100</v>
      </c>
      <c r="EO523" s="2" t="n">
        <v>100</v>
      </c>
      <c r="EP523" s="2" t="n">
        <v>0</v>
      </c>
      <c r="EQ523" s="2" t="n">
        <v>100</v>
      </c>
      <c r="ER523" s="2" t="n">
        <v>100</v>
      </c>
      <c r="ES523" s="2" t="n">
        <v>0</v>
      </c>
    </row>
    <row r="524">
      <c r="A524" s="2" t="n">
        <v>3</v>
      </c>
      <c r="B524" s="2" t="inlineStr">
        <is>
          <t>21.04.02</t>
        </is>
      </c>
      <c r="C524" s="2" t="inlineStr">
        <is>
          <t>Redes Coletoras de água pluvial</t>
        </is>
      </c>
      <c r="D524" s="2" t="inlineStr">
        <is>
          <t>30/04/2027</t>
        </is>
      </c>
      <c r="E524" s="2" t="inlineStr">
        <is>
          <t>22/05/2028</t>
        </is>
      </c>
      <c r="F524" s="2" t="n">
        <v>422042.4000000001</v>
      </c>
      <c r="G524" s="2" t="n">
        <v>0</v>
      </c>
      <c r="H524" s="2" t="n">
        <v>422042.4000000001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  <c r="AM524" s="2" t="n">
        <v>0</v>
      </c>
      <c r="AN524" s="2" t="n">
        <v>0</v>
      </c>
      <c r="AO524" s="2" t="n">
        <v>0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n">
        <v>0</v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n">
        <v>0</v>
      </c>
      <c r="BI524" s="2" t="n">
        <v>0</v>
      </c>
      <c r="BJ524" s="2" t="n">
        <v>0</v>
      </c>
      <c r="BK524" s="2" t="n">
        <v>0</v>
      </c>
      <c r="BL524" s="2" t="n">
        <v>0</v>
      </c>
      <c r="BM524" s="2" t="n">
        <v>0</v>
      </c>
      <c r="BN524" s="2" t="n">
        <v>0</v>
      </c>
      <c r="BO524" s="2" t="n">
        <v>0</v>
      </c>
      <c r="BP524" s="2" t="n">
        <v>0</v>
      </c>
      <c r="BQ524" s="2" t="n">
        <v>0</v>
      </c>
      <c r="BR524" s="2" t="n">
        <v>0</v>
      </c>
      <c r="BS524" s="2" t="n">
        <v>0</v>
      </c>
      <c r="BT524" s="2" t="n">
        <v>0</v>
      </c>
      <c r="BU524" s="2" t="n">
        <v>0</v>
      </c>
      <c r="BV524" s="2" t="n">
        <v>0</v>
      </c>
      <c r="BW524" s="2" t="n">
        <v>0</v>
      </c>
      <c r="BX524" s="2" t="n">
        <v>0.43</v>
      </c>
      <c r="BY524" s="2" t="n">
        <v>0</v>
      </c>
      <c r="BZ524" s="2" t="n">
        <v>6.94</v>
      </c>
      <c r="CA524" s="2" t="n">
        <v>9.109999999999999</v>
      </c>
      <c r="CB524" s="2" t="n">
        <v>0</v>
      </c>
      <c r="CC524" s="2" t="n">
        <v>16.49</v>
      </c>
      <c r="CD524" s="2" t="n">
        <v>18.66</v>
      </c>
      <c r="CE524" s="2" t="n">
        <v>0</v>
      </c>
      <c r="CF524" s="2" t="n">
        <v>26.03</v>
      </c>
      <c r="CG524" s="2" t="n">
        <v>28.2</v>
      </c>
      <c r="CH524" s="2" t="n">
        <v>0</v>
      </c>
      <c r="CI524" s="2" t="n">
        <v>35.58</v>
      </c>
      <c r="CJ524" s="2" t="n">
        <v>37.75</v>
      </c>
      <c r="CK524" s="2" t="n">
        <v>0</v>
      </c>
      <c r="CL524" s="2" t="n">
        <v>44.69</v>
      </c>
      <c r="CM524" s="2" t="n">
        <v>46.86</v>
      </c>
      <c r="CN524" s="2" t="n">
        <v>0</v>
      </c>
      <c r="CO524" s="2" t="n">
        <v>53.36</v>
      </c>
      <c r="CP524" s="2" t="n">
        <v>55.53</v>
      </c>
      <c r="CQ524" s="2" t="n">
        <v>0</v>
      </c>
      <c r="CR524" s="2" t="n">
        <v>62.04</v>
      </c>
      <c r="CS524" s="2" t="n">
        <v>64.20999999999999</v>
      </c>
      <c r="CT524" s="2" t="n">
        <v>0</v>
      </c>
      <c r="CU524" s="2" t="n">
        <v>68.98</v>
      </c>
      <c r="CV524" s="2" t="n">
        <v>71.15000000000001</v>
      </c>
      <c r="CW524" s="2" t="n">
        <v>0</v>
      </c>
      <c r="CX524" s="2" t="n">
        <v>78.09</v>
      </c>
      <c r="CY524" s="2" t="n">
        <v>80.26000000000001</v>
      </c>
      <c r="CZ524" s="2" t="n">
        <v>0</v>
      </c>
      <c r="DA524" s="2" t="n">
        <v>87.2</v>
      </c>
      <c r="DB524" s="2" t="n">
        <v>89.47</v>
      </c>
      <c r="DC524" s="2" t="n">
        <v>0</v>
      </c>
      <c r="DD524" s="2" t="n">
        <v>93.87</v>
      </c>
      <c r="DE524" s="2" t="n">
        <v>94.45</v>
      </c>
      <c r="DF524" s="2" t="n">
        <v>0</v>
      </c>
      <c r="DG524" s="2" t="n">
        <v>94.38</v>
      </c>
      <c r="DH524" s="2" t="n">
        <v>95.43000000000001</v>
      </c>
      <c r="DI524" s="2" t="n">
        <v>0</v>
      </c>
      <c r="DJ524" s="2" t="n">
        <v>99.53</v>
      </c>
      <c r="DK524" s="2" t="n">
        <v>100</v>
      </c>
      <c r="DL524" s="2" t="n">
        <v>0</v>
      </c>
      <c r="DM524" s="2" t="n">
        <v>100</v>
      </c>
      <c r="DN524" s="2" t="n">
        <v>100</v>
      </c>
      <c r="DO524" s="2" t="n">
        <v>0</v>
      </c>
      <c r="DP524" s="2" t="n">
        <v>100</v>
      </c>
      <c r="DQ524" s="2" t="n">
        <v>100</v>
      </c>
      <c r="DR524" s="2" t="n">
        <v>0</v>
      </c>
      <c r="DS524" s="2" t="n">
        <v>100</v>
      </c>
      <c r="DT524" s="2" t="n">
        <v>100</v>
      </c>
      <c r="DU524" s="2" t="n">
        <v>0</v>
      </c>
      <c r="DV524" s="2" t="n">
        <v>100</v>
      </c>
      <c r="DW524" s="2" t="n">
        <v>100</v>
      </c>
      <c r="DX524" s="2" t="n">
        <v>0</v>
      </c>
      <c r="DY524" s="2" t="n">
        <v>100</v>
      </c>
      <c r="DZ524" s="2" t="n">
        <v>100</v>
      </c>
      <c r="EA524" s="2" t="n">
        <v>0</v>
      </c>
      <c r="EB524" s="2" t="n">
        <v>100</v>
      </c>
      <c r="EC524" s="2" t="n">
        <v>100</v>
      </c>
      <c r="ED524" s="2" t="n">
        <v>0</v>
      </c>
      <c r="EE524" s="2" t="n">
        <v>100</v>
      </c>
      <c r="EF524" s="2" t="n">
        <v>100</v>
      </c>
      <c r="EG524" s="2" t="n">
        <v>0</v>
      </c>
      <c r="EH524" s="2" t="n">
        <v>100</v>
      </c>
      <c r="EI524" s="2" t="n">
        <v>100</v>
      </c>
      <c r="EJ524" s="2" t="n">
        <v>0</v>
      </c>
      <c r="EK524" s="2" t="n">
        <v>100</v>
      </c>
      <c r="EL524" s="2" t="n">
        <v>100</v>
      </c>
      <c r="EM524" s="2" t="n">
        <v>0</v>
      </c>
      <c r="EN524" s="2" t="n">
        <v>100</v>
      </c>
      <c r="EO524" s="2" t="n">
        <v>100</v>
      </c>
      <c r="EP524" s="2" t="n">
        <v>0</v>
      </c>
      <c r="EQ524" s="2" t="n">
        <v>100</v>
      </c>
      <c r="ER524" s="2" t="n">
        <v>100</v>
      </c>
      <c r="ES524" s="2" t="n">
        <v>0</v>
      </c>
    </row>
    <row r="525">
      <c r="A525" s="2" t="n">
        <v>3</v>
      </c>
      <c r="B525" s="2" t="inlineStr">
        <is>
          <t>21.04.03</t>
        </is>
      </c>
      <c r="C525" s="2" t="inlineStr">
        <is>
          <t>Caixas de passagem</t>
        </is>
      </c>
      <c r="D525" s="2" t="inlineStr">
        <is>
          <t>30/04/2027</t>
        </is>
      </c>
      <c r="E525" s="2" t="inlineStr">
        <is>
          <t>22/05/2028</t>
        </is>
      </c>
      <c r="F525" s="2" t="n">
        <v>281361.6</v>
      </c>
      <c r="G525" s="2" t="n">
        <v>0</v>
      </c>
      <c r="H525" s="2" t="n">
        <v>281361.6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0</v>
      </c>
      <c r="AO525" s="2" t="n">
        <v>0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n">
        <v>0</v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n">
        <v>0</v>
      </c>
      <c r="BI525" s="2" t="n">
        <v>0</v>
      </c>
      <c r="BJ525" s="2" t="n">
        <v>0</v>
      </c>
      <c r="BK525" s="2" t="n">
        <v>0</v>
      </c>
      <c r="BL525" s="2" t="n">
        <v>0</v>
      </c>
      <c r="BM525" s="2" t="n">
        <v>0</v>
      </c>
      <c r="BN525" s="2" t="n">
        <v>0</v>
      </c>
      <c r="BO525" s="2" t="n">
        <v>0</v>
      </c>
      <c r="BP525" s="2" t="n">
        <v>0</v>
      </c>
      <c r="BQ525" s="2" t="n">
        <v>0</v>
      </c>
      <c r="BR525" s="2" t="n">
        <v>0</v>
      </c>
      <c r="BS525" s="2" t="n">
        <v>0</v>
      </c>
      <c r="BT525" s="2" t="n">
        <v>0</v>
      </c>
      <c r="BU525" s="2" t="n">
        <v>0</v>
      </c>
      <c r="BV525" s="2" t="n">
        <v>0</v>
      </c>
      <c r="BW525" s="2" t="n">
        <v>0</v>
      </c>
      <c r="BX525" s="2" t="n">
        <v>0.43</v>
      </c>
      <c r="BY525" s="2" t="n">
        <v>0</v>
      </c>
      <c r="BZ525" s="2" t="n">
        <v>6.94</v>
      </c>
      <c r="CA525" s="2" t="n">
        <v>9.109999999999999</v>
      </c>
      <c r="CB525" s="2" t="n">
        <v>0</v>
      </c>
      <c r="CC525" s="2" t="n">
        <v>16.49</v>
      </c>
      <c r="CD525" s="2" t="n">
        <v>18.66</v>
      </c>
      <c r="CE525" s="2" t="n">
        <v>0</v>
      </c>
      <c r="CF525" s="2" t="n">
        <v>26.03</v>
      </c>
      <c r="CG525" s="2" t="n">
        <v>28.2</v>
      </c>
      <c r="CH525" s="2" t="n">
        <v>0</v>
      </c>
      <c r="CI525" s="2" t="n">
        <v>35.58</v>
      </c>
      <c r="CJ525" s="2" t="n">
        <v>37.75</v>
      </c>
      <c r="CK525" s="2" t="n">
        <v>0</v>
      </c>
      <c r="CL525" s="2" t="n">
        <v>44.69</v>
      </c>
      <c r="CM525" s="2" t="n">
        <v>46.86</v>
      </c>
      <c r="CN525" s="2" t="n">
        <v>0</v>
      </c>
      <c r="CO525" s="2" t="n">
        <v>53.36</v>
      </c>
      <c r="CP525" s="2" t="n">
        <v>55.53</v>
      </c>
      <c r="CQ525" s="2" t="n">
        <v>0</v>
      </c>
      <c r="CR525" s="2" t="n">
        <v>62.04</v>
      </c>
      <c r="CS525" s="2" t="n">
        <v>64.20999999999999</v>
      </c>
      <c r="CT525" s="2" t="n">
        <v>0</v>
      </c>
      <c r="CU525" s="2" t="n">
        <v>68.98</v>
      </c>
      <c r="CV525" s="2" t="n">
        <v>71.15000000000001</v>
      </c>
      <c r="CW525" s="2" t="n">
        <v>0</v>
      </c>
      <c r="CX525" s="2" t="n">
        <v>78.09</v>
      </c>
      <c r="CY525" s="2" t="n">
        <v>80.26000000000001</v>
      </c>
      <c r="CZ525" s="2" t="n">
        <v>0</v>
      </c>
      <c r="DA525" s="2" t="n">
        <v>87.2</v>
      </c>
      <c r="DB525" s="2" t="n">
        <v>89.47</v>
      </c>
      <c r="DC525" s="2" t="n">
        <v>0</v>
      </c>
      <c r="DD525" s="2" t="n">
        <v>93.87</v>
      </c>
      <c r="DE525" s="2" t="n">
        <v>94.45</v>
      </c>
      <c r="DF525" s="2" t="n">
        <v>0</v>
      </c>
      <c r="DG525" s="2" t="n">
        <v>94.38</v>
      </c>
      <c r="DH525" s="2" t="n">
        <v>95.43000000000001</v>
      </c>
      <c r="DI525" s="2" t="n">
        <v>0</v>
      </c>
      <c r="DJ525" s="2" t="n">
        <v>99.53</v>
      </c>
      <c r="DK525" s="2" t="n">
        <v>100</v>
      </c>
      <c r="DL525" s="2" t="n">
        <v>0</v>
      </c>
      <c r="DM525" s="2" t="n">
        <v>100</v>
      </c>
      <c r="DN525" s="2" t="n">
        <v>100</v>
      </c>
      <c r="DO525" s="2" t="n">
        <v>0</v>
      </c>
      <c r="DP525" s="2" t="n">
        <v>100</v>
      </c>
      <c r="DQ525" s="2" t="n">
        <v>100</v>
      </c>
      <c r="DR525" s="2" t="n">
        <v>0</v>
      </c>
      <c r="DS525" s="2" t="n">
        <v>100</v>
      </c>
      <c r="DT525" s="2" t="n">
        <v>100</v>
      </c>
      <c r="DU525" s="2" t="n">
        <v>0</v>
      </c>
      <c r="DV525" s="2" t="n">
        <v>100</v>
      </c>
      <c r="DW525" s="2" t="n">
        <v>100</v>
      </c>
      <c r="DX525" s="2" t="n">
        <v>0</v>
      </c>
      <c r="DY525" s="2" t="n">
        <v>100</v>
      </c>
      <c r="DZ525" s="2" t="n">
        <v>100</v>
      </c>
      <c r="EA525" s="2" t="n">
        <v>0</v>
      </c>
      <c r="EB525" s="2" t="n">
        <v>100</v>
      </c>
      <c r="EC525" s="2" t="n">
        <v>100</v>
      </c>
      <c r="ED525" s="2" t="n">
        <v>0</v>
      </c>
      <c r="EE525" s="2" t="n">
        <v>100</v>
      </c>
      <c r="EF525" s="2" t="n">
        <v>100</v>
      </c>
      <c r="EG525" s="2" t="n">
        <v>0</v>
      </c>
      <c r="EH525" s="2" t="n">
        <v>100</v>
      </c>
      <c r="EI525" s="2" t="n">
        <v>100</v>
      </c>
      <c r="EJ525" s="2" t="n">
        <v>0</v>
      </c>
      <c r="EK525" s="2" t="n">
        <v>100</v>
      </c>
      <c r="EL525" s="2" t="n">
        <v>100</v>
      </c>
      <c r="EM525" s="2" t="n">
        <v>0</v>
      </c>
      <c r="EN525" s="2" t="n">
        <v>100</v>
      </c>
      <c r="EO525" s="2" t="n">
        <v>100</v>
      </c>
      <c r="EP525" s="2" t="n">
        <v>0</v>
      </c>
      <c r="EQ525" s="2" t="n">
        <v>100</v>
      </c>
      <c r="ER525" s="2" t="n">
        <v>100</v>
      </c>
      <c r="ES525" s="2" t="n">
        <v>0</v>
      </c>
    </row>
    <row r="526">
      <c r="A526" s="2" t="n">
        <v>2</v>
      </c>
      <c r="B526" s="2" t="inlineStr">
        <is>
          <t>21.05</t>
        </is>
      </c>
      <c r="C526" s="2" t="inlineStr">
        <is>
          <t>Instalações hidráulicas complementares</t>
        </is>
      </c>
      <c r="D526" s="2" t="inlineStr">
        <is>
          <t>11/01/2027</t>
        </is>
      </c>
      <c r="E526" s="2" t="inlineStr">
        <is>
          <t>23/08/2028</t>
        </is>
      </c>
      <c r="F526" s="2" t="n">
        <v>1121560</v>
      </c>
      <c r="G526" s="2" t="n">
        <v>0</v>
      </c>
      <c r="H526" s="2" t="n">
        <v>1121560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  <c r="AN526" s="2" t="n">
        <v>0</v>
      </c>
      <c r="AO526" s="2" t="n">
        <v>0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n">
        <v>0</v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n">
        <v>0</v>
      </c>
      <c r="BI526" s="2" t="n">
        <v>0</v>
      </c>
      <c r="BJ526" s="2" t="n">
        <v>0</v>
      </c>
      <c r="BK526" s="2" t="n">
        <v>0</v>
      </c>
      <c r="BL526" s="2" t="n">
        <v>0</v>
      </c>
      <c r="BM526" s="2" t="n">
        <v>0</v>
      </c>
      <c r="BN526" s="2" t="n">
        <v>2.94</v>
      </c>
      <c r="BO526" s="2" t="n">
        <v>14.71</v>
      </c>
      <c r="BP526" s="2" t="n">
        <v>0</v>
      </c>
      <c r="BQ526" s="2" t="n">
        <v>19.62</v>
      </c>
      <c r="BR526" s="2" t="n">
        <v>19.62</v>
      </c>
      <c r="BS526" s="2" t="n">
        <v>0</v>
      </c>
      <c r="BT526" s="2" t="n">
        <v>19.62</v>
      </c>
      <c r="BU526" s="2" t="n">
        <v>19.62</v>
      </c>
      <c r="BV526" s="2" t="n">
        <v>0</v>
      </c>
      <c r="BW526" s="2" t="n">
        <v>19.62</v>
      </c>
      <c r="BX526" s="2" t="n">
        <v>19.78</v>
      </c>
      <c r="BY526" s="2" t="n">
        <v>0</v>
      </c>
      <c r="BZ526" s="2" t="n">
        <v>22.3</v>
      </c>
      <c r="CA526" s="2" t="n">
        <v>23.14</v>
      </c>
      <c r="CB526" s="2" t="n">
        <v>0</v>
      </c>
      <c r="CC526" s="2" t="n">
        <v>26</v>
      </c>
      <c r="CD526" s="2" t="n">
        <v>26.84</v>
      </c>
      <c r="CE526" s="2" t="n">
        <v>0</v>
      </c>
      <c r="CF526" s="2" t="n">
        <v>30.05</v>
      </c>
      <c r="CG526" s="2" t="n">
        <v>31.19</v>
      </c>
      <c r="CH526" s="2" t="n">
        <v>0</v>
      </c>
      <c r="CI526" s="2" t="n">
        <v>35.07</v>
      </c>
      <c r="CJ526" s="2" t="n">
        <v>36.21</v>
      </c>
      <c r="CK526" s="2" t="n">
        <v>0</v>
      </c>
      <c r="CL526" s="2" t="n">
        <v>39.85</v>
      </c>
      <c r="CM526" s="2" t="n">
        <v>40.99</v>
      </c>
      <c r="CN526" s="2" t="n">
        <v>0</v>
      </c>
      <c r="CO526" s="2" t="n">
        <v>44.41</v>
      </c>
      <c r="CP526" s="2" t="n">
        <v>45.55</v>
      </c>
      <c r="CQ526" s="2" t="n">
        <v>0</v>
      </c>
      <c r="CR526" s="2" t="n">
        <v>48.97</v>
      </c>
      <c r="CS526" s="2" t="n">
        <v>50.11</v>
      </c>
      <c r="CT526" s="2" t="n">
        <v>0</v>
      </c>
      <c r="CU526" s="2" t="n">
        <v>52.62</v>
      </c>
      <c r="CV526" s="2" t="n">
        <v>53.76</v>
      </c>
      <c r="CW526" s="2" t="n">
        <v>0</v>
      </c>
      <c r="CX526" s="2" t="n">
        <v>57.41</v>
      </c>
      <c r="CY526" s="2" t="n">
        <v>58.55</v>
      </c>
      <c r="CZ526" s="2" t="n">
        <v>0</v>
      </c>
      <c r="DA526" s="2" t="n">
        <v>62.19</v>
      </c>
      <c r="DB526" s="2" t="n">
        <v>63.33</v>
      </c>
      <c r="DC526" s="2" t="n">
        <v>0</v>
      </c>
      <c r="DD526" s="2" t="n">
        <v>66.23</v>
      </c>
      <c r="DE526" s="2" t="n">
        <v>66.73999999999999</v>
      </c>
      <c r="DF526" s="2" t="n">
        <v>0</v>
      </c>
      <c r="DG526" s="2" t="n">
        <v>67.45999999999999</v>
      </c>
      <c r="DH526" s="2" t="n">
        <v>68.13</v>
      </c>
      <c r="DI526" s="2" t="n">
        <v>0</v>
      </c>
      <c r="DJ526" s="2" t="n">
        <v>70.73999999999999</v>
      </c>
      <c r="DK526" s="2" t="n">
        <v>71.26000000000001</v>
      </c>
      <c r="DL526" s="2" t="n">
        <v>0</v>
      </c>
      <c r="DM526" s="2" t="n">
        <v>72.98</v>
      </c>
      <c r="DN526" s="2" t="n">
        <v>85.52</v>
      </c>
      <c r="DO526" s="2" t="n">
        <v>0</v>
      </c>
      <c r="DP526" s="2" t="n">
        <v>85.52</v>
      </c>
      <c r="DQ526" s="2" t="n">
        <v>89.56</v>
      </c>
      <c r="DR526" s="2" t="n">
        <v>0</v>
      </c>
      <c r="DS526" s="2" t="n">
        <v>96.2</v>
      </c>
      <c r="DT526" s="2" t="n">
        <v>100</v>
      </c>
      <c r="DU526" s="2" t="n">
        <v>0</v>
      </c>
      <c r="DV526" s="2" t="n">
        <v>100</v>
      </c>
      <c r="DW526" s="2" t="n">
        <v>100</v>
      </c>
      <c r="DX526" s="2" t="n">
        <v>0</v>
      </c>
      <c r="DY526" s="2" t="n">
        <v>100</v>
      </c>
      <c r="DZ526" s="2" t="n">
        <v>100</v>
      </c>
      <c r="EA526" s="2" t="n">
        <v>0</v>
      </c>
      <c r="EB526" s="2" t="n">
        <v>100</v>
      </c>
      <c r="EC526" s="2" t="n">
        <v>100</v>
      </c>
      <c r="ED526" s="2" t="n">
        <v>0</v>
      </c>
      <c r="EE526" s="2" t="n">
        <v>100</v>
      </c>
      <c r="EF526" s="2" t="n">
        <v>100</v>
      </c>
      <c r="EG526" s="2" t="n">
        <v>0</v>
      </c>
      <c r="EH526" s="2" t="n">
        <v>100</v>
      </c>
      <c r="EI526" s="2" t="n">
        <v>100</v>
      </c>
      <c r="EJ526" s="2" t="n">
        <v>0</v>
      </c>
      <c r="EK526" s="2" t="n">
        <v>100</v>
      </c>
      <c r="EL526" s="2" t="n">
        <v>100</v>
      </c>
      <c r="EM526" s="2" t="n">
        <v>0</v>
      </c>
      <c r="EN526" s="2" t="n">
        <v>100</v>
      </c>
      <c r="EO526" s="2" t="n">
        <v>100</v>
      </c>
      <c r="EP526" s="2" t="n">
        <v>0</v>
      </c>
      <c r="EQ526" s="2" t="n">
        <v>100</v>
      </c>
      <c r="ER526" s="2" t="n">
        <v>100</v>
      </c>
      <c r="ES526" s="2" t="n">
        <v>0</v>
      </c>
    </row>
    <row r="527">
      <c r="A527" s="2" t="n">
        <v>3</v>
      </c>
      <c r="B527" s="2" t="inlineStr">
        <is>
          <t>21.05.01</t>
        </is>
      </c>
      <c r="C527" s="2" t="inlineStr">
        <is>
          <t>Instalações de Gás de cozinha</t>
        </is>
      </c>
      <c r="D527" s="2" t="inlineStr">
        <is>
          <t>30/04/2027</t>
        </is>
      </c>
      <c r="E527" s="2" t="inlineStr">
        <is>
          <t>07/08/2028</t>
        </is>
      </c>
      <c r="F527" s="2" t="n">
        <v>468935.9999999999</v>
      </c>
      <c r="G527" s="2" t="n">
        <v>0</v>
      </c>
      <c r="H527" s="2" t="n">
        <v>468935.9999999999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0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n">
        <v>0</v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n">
        <v>0</v>
      </c>
      <c r="BI527" s="2" t="n">
        <v>0</v>
      </c>
      <c r="BJ527" s="2" t="n">
        <v>0</v>
      </c>
      <c r="BK527" s="2" t="n">
        <v>0</v>
      </c>
      <c r="BL527" s="2" t="n">
        <v>0</v>
      </c>
      <c r="BM527" s="2" t="n">
        <v>0</v>
      </c>
      <c r="BN527" s="2" t="n">
        <v>0</v>
      </c>
      <c r="BO527" s="2" t="n">
        <v>0</v>
      </c>
      <c r="BP527" s="2" t="n">
        <v>0</v>
      </c>
      <c r="BQ527" s="2" t="n">
        <v>0</v>
      </c>
      <c r="BR527" s="2" t="n">
        <v>0</v>
      </c>
      <c r="BS527" s="2" t="n">
        <v>0</v>
      </c>
      <c r="BT527" s="2" t="n">
        <v>0</v>
      </c>
      <c r="BU527" s="2" t="n">
        <v>0</v>
      </c>
      <c r="BV527" s="2" t="n">
        <v>0</v>
      </c>
      <c r="BW527" s="2" t="n">
        <v>0</v>
      </c>
      <c r="BX527" s="2" t="n">
        <v>0.35</v>
      </c>
      <c r="BY527" s="2" t="n">
        <v>0</v>
      </c>
      <c r="BZ527" s="2" t="n">
        <v>5.61</v>
      </c>
      <c r="CA527" s="2" t="n">
        <v>7.37</v>
      </c>
      <c r="CB527" s="2" t="n">
        <v>0</v>
      </c>
      <c r="CC527" s="2" t="n">
        <v>13.33</v>
      </c>
      <c r="CD527" s="2" t="n">
        <v>15.09</v>
      </c>
      <c r="CE527" s="2" t="n">
        <v>0</v>
      </c>
      <c r="CF527" s="2" t="n">
        <v>21.59</v>
      </c>
      <c r="CG527" s="2" t="n">
        <v>23.79</v>
      </c>
      <c r="CH527" s="2" t="n">
        <v>0</v>
      </c>
      <c r="CI527" s="2" t="n">
        <v>31.26</v>
      </c>
      <c r="CJ527" s="2" t="n">
        <v>33.46</v>
      </c>
      <c r="CK527" s="2" t="n">
        <v>0</v>
      </c>
      <c r="CL527" s="2" t="n">
        <v>40.5</v>
      </c>
      <c r="CM527" s="2" t="n">
        <v>42.7</v>
      </c>
      <c r="CN527" s="2" t="n">
        <v>0</v>
      </c>
      <c r="CO527" s="2" t="n">
        <v>49.29</v>
      </c>
      <c r="CP527" s="2" t="n">
        <v>51.49</v>
      </c>
      <c r="CQ527" s="2" t="n">
        <v>0</v>
      </c>
      <c r="CR527" s="2" t="n">
        <v>58.09</v>
      </c>
      <c r="CS527" s="2" t="n">
        <v>60.29</v>
      </c>
      <c r="CT527" s="2" t="n">
        <v>0</v>
      </c>
      <c r="CU527" s="2" t="n">
        <v>65.12</v>
      </c>
      <c r="CV527" s="2" t="n">
        <v>67.31999999999999</v>
      </c>
      <c r="CW527" s="2" t="n">
        <v>0</v>
      </c>
      <c r="CX527" s="2" t="n">
        <v>74.36</v>
      </c>
      <c r="CY527" s="2" t="n">
        <v>76.56</v>
      </c>
      <c r="CZ527" s="2" t="n">
        <v>0</v>
      </c>
      <c r="DA527" s="2" t="n">
        <v>83.59</v>
      </c>
      <c r="DB527" s="2" t="n">
        <v>85.79000000000001</v>
      </c>
      <c r="DC527" s="2" t="n">
        <v>0</v>
      </c>
      <c r="DD527" s="2" t="n">
        <v>90.83</v>
      </c>
      <c r="DE527" s="2" t="n">
        <v>91.48999999999999</v>
      </c>
      <c r="DF527" s="2" t="n">
        <v>0</v>
      </c>
      <c r="DG527" s="2" t="n">
        <v>92.59</v>
      </c>
      <c r="DH527" s="2" t="n">
        <v>93.45999999999999</v>
      </c>
      <c r="DI527" s="2" t="n">
        <v>0</v>
      </c>
      <c r="DJ527" s="2" t="n">
        <v>98.23</v>
      </c>
      <c r="DK527" s="2" t="n">
        <v>98.95999999999999</v>
      </c>
      <c r="DL527" s="2" t="n">
        <v>0</v>
      </c>
      <c r="DM527" s="2" t="n">
        <v>99.2</v>
      </c>
      <c r="DN527" s="2" t="n">
        <v>99.2</v>
      </c>
      <c r="DO527" s="2" t="n">
        <v>0</v>
      </c>
      <c r="DP527" s="2" t="n">
        <v>99.2</v>
      </c>
      <c r="DQ527" s="2" t="n">
        <v>99.56</v>
      </c>
      <c r="DR527" s="2" t="n">
        <v>0</v>
      </c>
      <c r="DS527" s="2" t="n">
        <v>100</v>
      </c>
      <c r="DT527" s="2" t="n">
        <v>100</v>
      </c>
      <c r="DU527" s="2" t="n">
        <v>0</v>
      </c>
      <c r="DV527" s="2" t="n">
        <v>100</v>
      </c>
      <c r="DW527" s="2" t="n">
        <v>100</v>
      </c>
      <c r="DX527" s="2" t="n">
        <v>0</v>
      </c>
      <c r="DY527" s="2" t="n">
        <v>100</v>
      </c>
      <c r="DZ527" s="2" t="n">
        <v>100</v>
      </c>
      <c r="EA527" s="2" t="n">
        <v>0</v>
      </c>
      <c r="EB527" s="2" t="n">
        <v>100</v>
      </c>
      <c r="EC527" s="2" t="n">
        <v>100</v>
      </c>
      <c r="ED527" s="2" t="n">
        <v>0</v>
      </c>
      <c r="EE527" s="2" t="n">
        <v>100</v>
      </c>
      <c r="EF527" s="2" t="n">
        <v>100</v>
      </c>
      <c r="EG527" s="2" t="n">
        <v>0</v>
      </c>
      <c r="EH527" s="2" t="n">
        <v>100</v>
      </c>
      <c r="EI527" s="2" t="n">
        <v>100</v>
      </c>
      <c r="EJ527" s="2" t="n">
        <v>0</v>
      </c>
      <c r="EK527" s="2" t="n">
        <v>100</v>
      </c>
      <c r="EL527" s="2" t="n">
        <v>100</v>
      </c>
      <c r="EM527" s="2" t="n">
        <v>0</v>
      </c>
      <c r="EN527" s="2" t="n">
        <v>100</v>
      </c>
      <c r="EO527" s="2" t="n">
        <v>100</v>
      </c>
      <c r="EP527" s="2" t="n">
        <v>0</v>
      </c>
      <c r="EQ527" s="2" t="n">
        <v>100</v>
      </c>
      <c r="ER527" s="2" t="n">
        <v>100</v>
      </c>
      <c r="ES527" s="2" t="n">
        <v>0</v>
      </c>
    </row>
    <row r="528">
      <c r="A528" s="2" t="n">
        <v>3</v>
      </c>
      <c r="B528" s="2" t="inlineStr">
        <is>
          <t>21.05.02</t>
        </is>
      </c>
      <c r="C528" s="2" t="inlineStr">
        <is>
          <t>Aquecedores de passagem à gás</t>
        </is>
      </c>
      <c r="D528" s="2" t="inlineStr">
        <is>
          <t>30/04/2027</t>
        </is>
      </c>
      <c r="E528" s="2" t="inlineStr">
        <is>
          <t>07/08/2028</t>
        </is>
      </c>
      <c r="F528" s="2" t="n">
        <v>120000</v>
      </c>
      <c r="G528" s="2" t="n">
        <v>0</v>
      </c>
      <c r="H528" s="2" t="n">
        <v>120000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n">
        <v>0</v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0</v>
      </c>
      <c r="BF528" s="2" t="n">
        <v>0</v>
      </c>
      <c r="BG528" s="2" t="n">
        <v>0</v>
      </c>
      <c r="BH528" s="2" t="n">
        <v>0</v>
      </c>
      <c r="BI528" s="2" t="n">
        <v>0</v>
      </c>
      <c r="BJ528" s="2" t="n">
        <v>0</v>
      </c>
      <c r="BK528" s="2" t="n">
        <v>0</v>
      </c>
      <c r="BL528" s="2" t="n">
        <v>0</v>
      </c>
      <c r="BM528" s="2" t="n">
        <v>0</v>
      </c>
      <c r="BN528" s="2" t="n">
        <v>0</v>
      </c>
      <c r="BO528" s="2" t="n">
        <v>0</v>
      </c>
      <c r="BP528" s="2" t="n">
        <v>0</v>
      </c>
      <c r="BQ528" s="2" t="n">
        <v>0</v>
      </c>
      <c r="BR528" s="2" t="n">
        <v>0</v>
      </c>
      <c r="BS528" s="2" t="n">
        <v>0</v>
      </c>
      <c r="BT528" s="2" t="n">
        <v>0</v>
      </c>
      <c r="BU528" s="2" t="n">
        <v>0</v>
      </c>
      <c r="BV528" s="2" t="n">
        <v>0</v>
      </c>
      <c r="BW528" s="2" t="n">
        <v>0</v>
      </c>
      <c r="BX528" s="2" t="n">
        <v>0.2</v>
      </c>
      <c r="BY528" s="2" t="n">
        <v>0</v>
      </c>
      <c r="BZ528" s="2" t="n">
        <v>3.17</v>
      </c>
      <c r="CA528" s="2" t="n">
        <v>4.17</v>
      </c>
      <c r="CB528" s="2" t="n">
        <v>0</v>
      </c>
      <c r="CC528" s="2" t="n">
        <v>7.54</v>
      </c>
      <c r="CD528" s="2" t="n">
        <v>8.529999999999999</v>
      </c>
      <c r="CE528" s="2" t="n">
        <v>0</v>
      </c>
      <c r="CF528" s="2" t="n">
        <v>13.19</v>
      </c>
      <c r="CG528" s="2" t="n">
        <v>15.25</v>
      </c>
      <c r="CH528" s="2" t="n">
        <v>0</v>
      </c>
      <c r="CI528" s="2" t="n">
        <v>22.25</v>
      </c>
      <c r="CJ528" s="2" t="n">
        <v>24.31</v>
      </c>
      <c r="CK528" s="2" t="n">
        <v>0</v>
      </c>
      <c r="CL528" s="2" t="n">
        <v>30.91</v>
      </c>
      <c r="CM528" s="2" t="n">
        <v>32.97</v>
      </c>
      <c r="CN528" s="2" t="n">
        <v>0</v>
      </c>
      <c r="CO528" s="2" t="n">
        <v>39.15</v>
      </c>
      <c r="CP528" s="2" t="n">
        <v>41.21</v>
      </c>
      <c r="CQ528" s="2" t="n">
        <v>0</v>
      </c>
      <c r="CR528" s="2" t="n">
        <v>47.39</v>
      </c>
      <c r="CS528" s="2" t="n">
        <v>49.45</v>
      </c>
      <c r="CT528" s="2" t="n">
        <v>0</v>
      </c>
      <c r="CU528" s="2" t="n">
        <v>53.98</v>
      </c>
      <c r="CV528" s="2" t="n">
        <v>56.04</v>
      </c>
      <c r="CW528" s="2" t="n">
        <v>0</v>
      </c>
      <c r="CX528" s="2" t="n">
        <v>62.64</v>
      </c>
      <c r="CY528" s="2" t="n">
        <v>64.7</v>
      </c>
      <c r="CZ528" s="2" t="n">
        <v>0</v>
      </c>
      <c r="DA528" s="2" t="n">
        <v>71.29000000000001</v>
      </c>
      <c r="DB528" s="2" t="n">
        <v>73.34999999999999</v>
      </c>
      <c r="DC528" s="2" t="n">
        <v>0</v>
      </c>
      <c r="DD528" s="2" t="n">
        <v>80.77</v>
      </c>
      <c r="DE528" s="2" t="n">
        <v>82.93000000000001</v>
      </c>
      <c r="DF528" s="2" t="n">
        <v>0</v>
      </c>
      <c r="DG528" s="2" t="n">
        <v>85.34999999999999</v>
      </c>
      <c r="DH528" s="2" t="n">
        <v>88.2</v>
      </c>
      <c r="DI528" s="2" t="n">
        <v>0</v>
      </c>
      <c r="DJ528" s="2" t="n">
        <v>93.98</v>
      </c>
      <c r="DK528" s="2" t="n">
        <v>95.94</v>
      </c>
      <c r="DL528" s="2" t="n">
        <v>0</v>
      </c>
      <c r="DM528" s="2" t="n">
        <v>98.08</v>
      </c>
      <c r="DN528" s="2" t="n">
        <v>98.08</v>
      </c>
      <c r="DO528" s="2" t="n">
        <v>0</v>
      </c>
      <c r="DP528" s="2" t="n">
        <v>98.08</v>
      </c>
      <c r="DQ528" s="2" t="n">
        <v>98.93000000000001</v>
      </c>
      <c r="DR528" s="2" t="n">
        <v>0</v>
      </c>
      <c r="DS528" s="2" t="n">
        <v>100</v>
      </c>
      <c r="DT528" s="2" t="n">
        <v>100</v>
      </c>
      <c r="DU528" s="2" t="n">
        <v>0</v>
      </c>
      <c r="DV528" s="2" t="n">
        <v>100</v>
      </c>
      <c r="DW528" s="2" t="n">
        <v>100</v>
      </c>
      <c r="DX528" s="2" t="n">
        <v>0</v>
      </c>
      <c r="DY528" s="2" t="n">
        <v>100</v>
      </c>
      <c r="DZ528" s="2" t="n">
        <v>100</v>
      </c>
      <c r="EA528" s="2" t="n">
        <v>0</v>
      </c>
      <c r="EB528" s="2" t="n">
        <v>100</v>
      </c>
      <c r="EC528" s="2" t="n">
        <v>100</v>
      </c>
      <c r="ED528" s="2" t="n">
        <v>0</v>
      </c>
      <c r="EE528" s="2" t="n">
        <v>100</v>
      </c>
      <c r="EF528" s="2" t="n">
        <v>100</v>
      </c>
      <c r="EG528" s="2" t="n">
        <v>0</v>
      </c>
      <c r="EH528" s="2" t="n">
        <v>100</v>
      </c>
      <c r="EI528" s="2" t="n">
        <v>100</v>
      </c>
      <c r="EJ528" s="2" t="n">
        <v>0</v>
      </c>
      <c r="EK528" s="2" t="n">
        <v>100</v>
      </c>
      <c r="EL528" s="2" t="n">
        <v>100</v>
      </c>
      <c r="EM528" s="2" t="n">
        <v>0</v>
      </c>
      <c r="EN528" s="2" t="n">
        <v>100</v>
      </c>
      <c r="EO528" s="2" t="n">
        <v>100</v>
      </c>
      <c r="EP528" s="2" t="n">
        <v>0</v>
      </c>
      <c r="EQ528" s="2" t="n">
        <v>100</v>
      </c>
      <c r="ER528" s="2" t="n">
        <v>100</v>
      </c>
      <c r="ES528" s="2" t="n">
        <v>0</v>
      </c>
    </row>
    <row r="529">
      <c r="A529" s="2" t="n">
        <v>3</v>
      </c>
      <c r="B529" s="2" t="inlineStr">
        <is>
          <t>21.05.03</t>
        </is>
      </c>
      <c r="C529" s="2" t="inlineStr">
        <is>
          <t>Aquecedores Solares</t>
        </is>
      </c>
      <c r="D529" s="2" t="inlineStr">
        <is>
          <t>01/06/2028</t>
        </is>
      </c>
      <c r="E529" s="2" t="inlineStr">
        <is>
          <t>23/08/2028</t>
        </is>
      </c>
      <c r="F529" s="2" t="n">
        <v>312624</v>
      </c>
      <c r="G529" s="2" t="n">
        <v>0</v>
      </c>
      <c r="H529" s="2" t="n">
        <v>312624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0</v>
      </c>
      <c r="AM529" s="2" t="n">
        <v>0</v>
      </c>
      <c r="AN529" s="2" t="n">
        <v>0</v>
      </c>
      <c r="AO529" s="2" t="n">
        <v>0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n">
        <v>0</v>
      </c>
      <c r="AZ529" s="2" t="n">
        <v>0</v>
      </c>
      <c r="BA529" s="2" t="n">
        <v>0</v>
      </c>
      <c r="BB529" s="2" t="n">
        <v>0</v>
      </c>
      <c r="BC529" s="2" t="n">
        <v>0</v>
      </c>
      <c r="BD529" s="2" t="n">
        <v>0</v>
      </c>
      <c r="BE529" s="2" t="n">
        <v>0</v>
      </c>
      <c r="BF529" s="2" t="n">
        <v>0</v>
      </c>
      <c r="BG529" s="2" t="n">
        <v>0</v>
      </c>
      <c r="BH529" s="2" t="n">
        <v>0</v>
      </c>
      <c r="BI529" s="2" t="n">
        <v>0</v>
      </c>
      <c r="BJ529" s="2" t="n">
        <v>0</v>
      </c>
      <c r="BK529" s="2" t="n">
        <v>0</v>
      </c>
      <c r="BL529" s="2" t="n">
        <v>0</v>
      </c>
      <c r="BM529" s="2" t="n">
        <v>0</v>
      </c>
      <c r="BN529" s="2" t="n">
        <v>0</v>
      </c>
      <c r="BO529" s="2" t="n">
        <v>0</v>
      </c>
      <c r="BP529" s="2" t="n">
        <v>0</v>
      </c>
      <c r="BQ529" s="2" t="n">
        <v>0</v>
      </c>
      <c r="BR529" s="2" t="n">
        <v>0</v>
      </c>
      <c r="BS529" s="2" t="n">
        <v>0</v>
      </c>
      <c r="BT529" s="2" t="n">
        <v>0</v>
      </c>
      <c r="BU529" s="2" t="n">
        <v>0</v>
      </c>
      <c r="BV529" s="2" t="n">
        <v>0</v>
      </c>
      <c r="BW529" s="2" t="n">
        <v>0</v>
      </c>
      <c r="BX529" s="2" t="n">
        <v>0</v>
      </c>
      <c r="BY529" s="2" t="n">
        <v>0</v>
      </c>
      <c r="BZ529" s="2" t="n">
        <v>0</v>
      </c>
      <c r="CA529" s="2" t="n">
        <v>0</v>
      </c>
      <c r="CB529" s="2" t="n">
        <v>0</v>
      </c>
      <c r="CC529" s="2" t="n">
        <v>0</v>
      </c>
      <c r="CD529" s="2" t="n">
        <v>0</v>
      </c>
      <c r="CE529" s="2" t="n">
        <v>0</v>
      </c>
      <c r="CF529" s="2" t="n">
        <v>0</v>
      </c>
      <c r="CG529" s="2" t="n">
        <v>0</v>
      </c>
      <c r="CH529" s="2" t="n">
        <v>0</v>
      </c>
      <c r="CI529" s="2" t="n">
        <v>0</v>
      </c>
      <c r="CJ529" s="2" t="n">
        <v>0</v>
      </c>
      <c r="CK529" s="2" t="n">
        <v>0</v>
      </c>
      <c r="CL529" s="2" t="n">
        <v>0</v>
      </c>
      <c r="CM529" s="2" t="n">
        <v>0</v>
      </c>
      <c r="CN529" s="2" t="n">
        <v>0</v>
      </c>
      <c r="CO529" s="2" t="n">
        <v>0</v>
      </c>
      <c r="CP529" s="2" t="n">
        <v>0</v>
      </c>
      <c r="CQ529" s="2" t="n">
        <v>0</v>
      </c>
      <c r="CR529" s="2" t="n">
        <v>0</v>
      </c>
      <c r="CS529" s="2" t="n">
        <v>0</v>
      </c>
      <c r="CT529" s="2" t="n">
        <v>0</v>
      </c>
      <c r="CU529" s="2" t="n">
        <v>0</v>
      </c>
      <c r="CV529" s="2" t="n">
        <v>0</v>
      </c>
      <c r="CW529" s="2" t="n">
        <v>0</v>
      </c>
      <c r="CX529" s="2" t="n">
        <v>0</v>
      </c>
      <c r="CY529" s="2" t="n">
        <v>0</v>
      </c>
      <c r="CZ529" s="2" t="n">
        <v>0</v>
      </c>
      <c r="DA529" s="2" t="n">
        <v>0</v>
      </c>
      <c r="DB529" s="2" t="n">
        <v>0</v>
      </c>
      <c r="DC529" s="2" t="n">
        <v>0</v>
      </c>
      <c r="DD529" s="2" t="n">
        <v>0</v>
      </c>
      <c r="DE529" s="2" t="n">
        <v>0</v>
      </c>
      <c r="DF529" s="2" t="n">
        <v>0</v>
      </c>
      <c r="DG529" s="2" t="n">
        <v>0</v>
      </c>
      <c r="DH529" s="2" t="n">
        <v>0</v>
      </c>
      <c r="DI529" s="2" t="n">
        <v>0</v>
      </c>
      <c r="DJ529" s="2" t="n">
        <v>0</v>
      </c>
      <c r="DK529" s="2" t="n">
        <v>0</v>
      </c>
      <c r="DL529" s="2" t="n">
        <v>0</v>
      </c>
      <c r="DM529" s="2" t="n">
        <v>5</v>
      </c>
      <c r="DN529" s="2" t="n">
        <v>50</v>
      </c>
      <c r="DO529" s="2" t="n">
        <v>0</v>
      </c>
      <c r="DP529" s="2" t="n">
        <v>50</v>
      </c>
      <c r="DQ529" s="2" t="n">
        <v>63.64</v>
      </c>
      <c r="DR529" s="2" t="n">
        <v>0</v>
      </c>
      <c r="DS529" s="2" t="n">
        <v>86.36</v>
      </c>
      <c r="DT529" s="2" t="n">
        <v>100</v>
      </c>
      <c r="DU529" s="2" t="n">
        <v>0</v>
      </c>
      <c r="DV529" s="2" t="n">
        <v>100</v>
      </c>
      <c r="DW529" s="2" t="n">
        <v>100</v>
      </c>
      <c r="DX529" s="2" t="n">
        <v>0</v>
      </c>
      <c r="DY529" s="2" t="n">
        <v>100</v>
      </c>
      <c r="DZ529" s="2" t="n">
        <v>100</v>
      </c>
      <c r="EA529" s="2" t="n">
        <v>0</v>
      </c>
      <c r="EB529" s="2" t="n">
        <v>100</v>
      </c>
      <c r="EC529" s="2" t="n">
        <v>100</v>
      </c>
      <c r="ED529" s="2" t="n">
        <v>0</v>
      </c>
      <c r="EE529" s="2" t="n">
        <v>100</v>
      </c>
      <c r="EF529" s="2" t="n">
        <v>100</v>
      </c>
      <c r="EG529" s="2" t="n">
        <v>0</v>
      </c>
      <c r="EH529" s="2" t="n">
        <v>100</v>
      </c>
      <c r="EI529" s="2" t="n">
        <v>100</v>
      </c>
      <c r="EJ529" s="2" t="n">
        <v>0</v>
      </c>
      <c r="EK529" s="2" t="n">
        <v>100</v>
      </c>
      <c r="EL529" s="2" t="n">
        <v>100</v>
      </c>
      <c r="EM529" s="2" t="n">
        <v>0</v>
      </c>
      <c r="EN529" s="2" t="n">
        <v>100</v>
      </c>
      <c r="EO529" s="2" t="n">
        <v>100</v>
      </c>
      <c r="EP529" s="2" t="n">
        <v>0</v>
      </c>
      <c r="EQ529" s="2" t="n">
        <v>100</v>
      </c>
      <c r="ER529" s="2" t="n">
        <v>100</v>
      </c>
      <c r="ES529" s="2" t="n">
        <v>0</v>
      </c>
    </row>
    <row r="530">
      <c r="A530" s="2" t="n">
        <v>3</v>
      </c>
      <c r="B530" s="2" t="inlineStr">
        <is>
          <t>21.05.04</t>
        </is>
      </c>
      <c r="C530" s="2" t="inlineStr">
        <is>
          <t>Rede de extensão de água/esgoto</t>
        </is>
      </c>
      <c r="D530" s="2" t="inlineStr">
        <is>
          <t>11/01/2027</t>
        </is>
      </c>
      <c r="E530" s="2" t="inlineStr">
        <is>
          <t>05/02/2027</t>
        </is>
      </c>
      <c r="F530" s="2" t="n">
        <v>220000</v>
      </c>
      <c r="G530" s="2" t="n">
        <v>0</v>
      </c>
      <c r="H530" s="2" t="n">
        <v>220000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0</v>
      </c>
      <c r="AN530" s="2" t="n">
        <v>0</v>
      </c>
      <c r="AO530" s="2" t="n">
        <v>0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n">
        <v>0</v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n">
        <v>0</v>
      </c>
      <c r="BI530" s="2" t="n">
        <v>0</v>
      </c>
      <c r="BJ530" s="2" t="n">
        <v>0</v>
      </c>
      <c r="BK530" s="2" t="n">
        <v>0</v>
      </c>
      <c r="BL530" s="2" t="n">
        <v>0</v>
      </c>
      <c r="BM530" s="2" t="n">
        <v>0</v>
      </c>
      <c r="BN530" s="2" t="n">
        <v>15</v>
      </c>
      <c r="BO530" s="2" t="n">
        <v>75</v>
      </c>
      <c r="BP530" s="2" t="n">
        <v>0</v>
      </c>
      <c r="BQ530" s="2" t="n">
        <v>100</v>
      </c>
      <c r="BR530" s="2" t="n">
        <v>100</v>
      </c>
      <c r="BS530" s="2" t="n">
        <v>0</v>
      </c>
      <c r="BT530" s="2" t="n">
        <v>100</v>
      </c>
      <c r="BU530" s="2" t="n">
        <v>100</v>
      </c>
      <c r="BV530" s="2" t="n">
        <v>0</v>
      </c>
      <c r="BW530" s="2" t="n">
        <v>100</v>
      </c>
      <c r="BX530" s="2" t="n">
        <v>100</v>
      </c>
      <c r="BY530" s="2" t="n">
        <v>0</v>
      </c>
      <c r="BZ530" s="2" t="n">
        <v>100</v>
      </c>
      <c r="CA530" s="2" t="n">
        <v>100</v>
      </c>
      <c r="CB530" s="2" t="n">
        <v>0</v>
      </c>
      <c r="CC530" s="2" t="n">
        <v>100</v>
      </c>
      <c r="CD530" s="2" t="n">
        <v>100</v>
      </c>
      <c r="CE530" s="2" t="n">
        <v>0</v>
      </c>
      <c r="CF530" s="2" t="n">
        <v>100</v>
      </c>
      <c r="CG530" s="2" t="n">
        <v>100</v>
      </c>
      <c r="CH530" s="2" t="n">
        <v>0</v>
      </c>
      <c r="CI530" s="2" t="n">
        <v>100</v>
      </c>
      <c r="CJ530" s="2" t="n">
        <v>100</v>
      </c>
      <c r="CK530" s="2" t="n">
        <v>0</v>
      </c>
      <c r="CL530" s="2" t="n">
        <v>100</v>
      </c>
      <c r="CM530" s="2" t="n">
        <v>100</v>
      </c>
      <c r="CN530" s="2" t="n">
        <v>0</v>
      </c>
      <c r="CO530" s="2" t="n">
        <v>100</v>
      </c>
      <c r="CP530" s="2" t="n">
        <v>100</v>
      </c>
      <c r="CQ530" s="2" t="n">
        <v>0</v>
      </c>
      <c r="CR530" s="2" t="n">
        <v>100</v>
      </c>
      <c r="CS530" s="2" t="n">
        <v>100</v>
      </c>
      <c r="CT530" s="2" t="n">
        <v>0</v>
      </c>
      <c r="CU530" s="2" t="n">
        <v>100</v>
      </c>
      <c r="CV530" s="2" t="n">
        <v>100</v>
      </c>
      <c r="CW530" s="2" t="n">
        <v>0</v>
      </c>
      <c r="CX530" s="2" t="n">
        <v>100</v>
      </c>
      <c r="CY530" s="2" t="n">
        <v>100</v>
      </c>
      <c r="CZ530" s="2" t="n">
        <v>0</v>
      </c>
      <c r="DA530" s="2" t="n">
        <v>100</v>
      </c>
      <c r="DB530" s="2" t="n">
        <v>100</v>
      </c>
      <c r="DC530" s="2" t="n">
        <v>0</v>
      </c>
      <c r="DD530" s="2" t="n">
        <v>100</v>
      </c>
      <c r="DE530" s="2" t="n">
        <v>100</v>
      </c>
      <c r="DF530" s="2" t="n">
        <v>0</v>
      </c>
      <c r="DG530" s="2" t="n">
        <v>100</v>
      </c>
      <c r="DH530" s="2" t="n">
        <v>100</v>
      </c>
      <c r="DI530" s="2" t="n">
        <v>0</v>
      </c>
      <c r="DJ530" s="2" t="n">
        <v>100</v>
      </c>
      <c r="DK530" s="2" t="n">
        <v>100</v>
      </c>
      <c r="DL530" s="2" t="n">
        <v>0</v>
      </c>
      <c r="DM530" s="2" t="n">
        <v>100</v>
      </c>
      <c r="DN530" s="2" t="n">
        <v>100</v>
      </c>
      <c r="DO530" s="2" t="n">
        <v>0</v>
      </c>
      <c r="DP530" s="2" t="n">
        <v>100</v>
      </c>
      <c r="DQ530" s="2" t="n">
        <v>100</v>
      </c>
      <c r="DR530" s="2" t="n">
        <v>0</v>
      </c>
      <c r="DS530" s="2" t="n">
        <v>100</v>
      </c>
      <c r="DT530" s="2" t="n">
        <v>100</v>
      </c>
      <c r="DU530" s="2" t="n">
        <v>0</v>
      </c>
      <c r="DV530" s="2" t="n">
        <v>100</v>
      </c>
      <c r="DW530" s="2" t="n">
        <v>100</v>
      </c>
      <c r="DX530" s="2" t="n">
        <v>0</v>
      </c>
      <c r="DY530" s="2" t="n">
        <v>100</v>
      </c>
      <c r="DZ530" s="2" t="n">
        <v>100</v>
      </c>
      <c r="EA530" s="2" t="n">
        <v>0</v>
      </c>
      <c r="EB530" s="2" t="n">
        <v>100</v>
      </c>
      <c r="EC530" s="2" t="n">
        <v>100</v>
      </c>
      <c r="ED530" s="2" t="n">
        <v>0</v>
      </c>
      <c r="EE530" s="2" t="n">
        <v>100</v>
      </c>
      <c r="EF530" s="2" t="n">
        <v>100</v>
      </c>
      <c r="EG530" s="2" t="n">
        <v>0</v>
      </c>
      <c r="EH530" s="2" t="n">
        <v>100</v>
      </c>
      <c r="EI530" s="2" t="n">
        <v>100</v>
      </c>
      <c r="EJ530" s="2" t="n">
        <v>0</v>
      </c>
      <c r="EK530" s="2" t="n">
        <v>100</v>
      </c>
      <c r="EL530" s="2" t="n">
        <v>100</v>
      </c>
      <c r="EM530" s="2" t="n">
        <v>0</v>
      </c>
      <c r="EN530" s="2" t="n">
        <v>100</v>
      </c>
      <c r="EO530" s="2" t="n">
        <v>100</v>
      </c>
      <c r="EP530" s="2" t="n">
        <v>0</v>
      </c>
      <c r="EQ530" s="2" t="n">
        <v>100</v>
      </c>
      <c r="ER530" s="2" t="n">
        <v>100</v>
      </c>
      <c r="ES530" s="2" t="n">
        <v>0</v>
      </c>
    </row>
    <row r="531">
      <c r="A531" s="2" t="n">
        <v>1</v>
      </c>
      <c r="B531" s="2" t="inlineStr">
        <is>
          <t>22</t>
        </is>
      </c>
      <c r="C531" s="2" t="inlineStr">
        <is>
          <t>INSTALAÇÕES COMBATE INCÊNDIO</t>
        </is>
      </c>
      <c r="D531" s="2" t="inlineStr">
        <is>
          <t>30/03/2027</t>
        </is>
      </c>
      <c r="E531" s="2" t="inlineStr">
        <is>
          <t>05/02/2029</t>
        </is>
      </c>
      <c r="F531" s="2" t="n">
        <v>781560</v>
      </c>
      <c r="G531" s="2" t="n">
        <v>0</v>
      </c>
      <c r="H531" s="2" t="n">
        <v>781560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0</v>
      </c>
      <c r="AO531" s="2" t="n">
        <v>0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n">
        <v>0</v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n">
        <v>0</v>
      </c>
      <c r="BI531" s="2" t="n">
        <v>0</v>
      </c>
      <c r="BJ531" s="2" t="n">
        <v>0</v>
      </c>
      <c r="BK531" s="2" t="n">
        <v>0</v>
      </c>
      <c r="BL531" s="2" t="n">
        <v>0</v>
      </c>
      <c r="BM531" s="2" t="n">
        <v>0</v>
      </c>
      <c r="BN531" s="2" t="n">
        <v>0</v>
      </c>
      <c r="BO531" s="2" t="n">
        <v>0</v>
      </c>
      <c r="BP531" s="2" t="n">
        <v>0</v>
      </c>
      <c r="BQ531" s="2" t="n">
        <v>0</v>
      </c>
      <c r="BR531" s="2" t="n">
        <v>0</v>
      </c>
      <c r="BS531" s="2" t="n">
        <v>0</v>
      </c>
      <c r="BT531" s="2" t="n">
        <v>0</v>
      </c>
      <c r="BU531" s="2" t="n">
        <v>0.59</v>
      </c>
      <c r="BV531" s="2" t="n">
        <v>0</v>
      </c>
      <c r="BW531" s="2" t="n">
        <v>5.34</v>
      </c>
      <c r="BX531" s="2" t="n">
        <v>6.82</v>
      </c>
      <c r="BY531" s="2" t="n">
        <v>0</v>
      </c>
      <c r="BZ531" s="2" t="n">
        <v>11.27</v>
      </c>
      <c r="CA531" s="2" t="n">
        <v>12.76</v>
      </c>
      <c r="CB531" s="2" t="n">
        <v>0</v>
      </c>
      <c r="CC531" s="2" t="n">
        <v>17.8</v>
      </c>
      <c r="CD531" s="2" t="n">
        <v>19.28</v>
      </c>
      <c r="CE531" s="2" t="n">
        <v>0</v>
      </c>
      <c r="CF531" s="2" t="n">
        <v>25.05</v>
      </c>
      <c r="CG531" s="2" t="n">
        <v>26.58</v>
      </c>
      <c r="CH531" s="2" t="n">
        <v>0</v>
      </c>
      <c r="CI531" s="2" t="n">
        <v>32.74</v>
      </c>
      <c r="CJ531" s="2" t="n">
        <v>34.26</v>
      </c>
      <c r="CK531" s="2" t="n">
        <v>0</v>
      </c>
      <c r="CL531" s="2" t="n">
        <v>39.74</v>
      </c>
      <c r="CM531" s="2" t="n">
        <v>41.25</v>
      </c>
      <c r="CN531" s="2" t="n">
        <v>0</v>
      </c>
      <c r="CO531" s="2" t="n">
        <v>48.23</v>
      </c>
      <c r="CP531" s="2" t="n">
        <v>51.31</v>
      </c>
      <c r="CQ531" s="2" t="n">
        <v>0</v>
      </c>
      <c r="CR531" s="2" t="n">
        <v>56.92</v>
      </c>
      <c r="CS531" s="2" t="n">
        <v>59.31</v>
      </c>
      <c r="CT531" s="2" t="n">
        <v>0</v>
      </c>
      <c r="CU531" s="2" t="n">
        <v>63.7</v>
      </c>
      <c r="CV531" s="2" t="n">
        <v>65.84999999999999</v>
      </c>
      <c r="CW531" s="2" t="n">
        <v>0</v>
      </c>
      <c r="CX531" s="2" t="n">
        <v>70.70999999999999</v>
      </c>
      <c r="CY531" s="2" t="n">
        <v>74.56</v>
      </c>
      <c r="CZ531" s="2" t="n">
        <v>0</v>
      </c>
      <c r="DA531" s="2" t="n">
        <v>78</v>
      </c>
      <c r="DB531" s="2" t="n">
        <v>90.28</v>
      </c>
      <c r="DC531" s="2" t="n">
        <v>0</v>
      </c>
      <c r="DD531" s="2" t="n">
        <v>90.84999999999999</v>
      </c>
      <c r="DE531" s="2" t="n">
        <v>92.38</v>
      </c>
      <c r="DF531" s="2" t="n">
        <v>0</v>
      </c>
      <c r="DG531" s="2" t="n">
        <v>95.22</v>
      </c>
      <c r="DH531" s="2" t="n">
        <v>95.40000000000001</v>
      </c>
      <c r="DI531" s="2" t="n">
        <v>0</v>
      </c>
      <c r="DJ531" s="2" t="n">
        <v>95.84</v>
      </c>
      <c r="DK531" s="2" t="n">
        <v>97.81999999999999</v>
      </c>
      <c r="DL531" s="2" t="n">
        <v>0</v>
      </c>
      <c r="DM531" s="2" t="n">
        <v>98.03</v>
      </c>
      <c r="DN531" s="2" t="n">
        <v>98.09</v>
      </c>
      <c r="DO531" s="2" t="n">
        <v>0</v>
      </c>
      <c r="DP531" s="2" t="n">
        <v>98.3</v>
      </c>
      <c r="DQ531" s="2" t="n">
        <v>98.37</v>
      </c>
      <c r="DR531" s="2" t="n">
        <v>0</v>
      </c>
      <c r="DS531" s="2" t="n">
        <v>98.59</v>
      </c>
      <c r="DT531" s="2" t="n">
        <v>98.66</v>
      </c>
      <c r="DU531" s="2" t="n">
        <v>0</v>
      </c>
      <c r="DV531" s="2" t="n">
        <v>98.84999999999999</v>
      </c>
      <c r="DW531" s="2" t="n">
        <v>98.93000000000001</v>
      </c>
      <c r="DX531" s="2" t="n">
        <v>0</v>
      </c>
      <c r="DY531" s="2" t="n">
        <v>99.14</v>
      </c>
      <c r="DZ531" s="2" t="n">
        <v>99.22</v>
      </c>
      <c r="EA531" s="2" t="n">
        <v>0</v>
      </c>
      <c r="EB531" s="2" t="n">
        <v>99.40000000000001</v>
      </c>
      <c r="EC531" s="2" t="n">
        <v>99.51000000000001</v>
      </c>
      <c r="ED531" s="2" t="n">
        <v>0</v>
      </c>
      <c r="EE531" s="2" t="n">
        <v>99.63</v>
      </c>
      <c r="EF531" s="2" t="n">
        <v>99.7</v>
      </c>
      <c r="EG531" s="2" t="n">
        <v>0</v>
      </c>
      <c r="EH531" s="2" t="n">
        <v>99.88</v>
      </c>
      <c r="EI531" s="2" t="n">
        <v>99.95999999999999</v>
      </c>
      <c r="EJ531" s="2" t="n">
        <v>0</v>
      </c>
      <c r="EK531" s="2" t="n">
        <v>100</v>
      </c>
      <c r="EL531" s="2" t="n">
        <v>100</v>
      </c>
      <c r="EM531" s="2" t="n">
        <v>0</v>
      </c>
      <c r="EN531" s="2" t="n">
        <v>100</v>
      </c>
      <c r="EO531" s="2" t="n">
        <v>100</v>
      </c>
      <c r="EP531" s="2" t="n">
        <v>0</v>
      </c>
      <c r="EQ531" s="2" t="n">
        <v>100</v>
      </c>
      <c r="ER531" s="2" t="n">
        <v>100</v>
      </c>
      <c r="ES531" s="2" t="n">
        <v>0</v>
      </c>
    </row>
    <row r="532">
      <c r="A532" s="2" t="n">
        <v>2</v>
      </c>
      <c r="B532" s="2" t="inlineStr">
        <is>
          <t>22.01</t>
        </is>
      </c>
      <c r="C532" s="2" t="inlineStr">
        <is>
          <t>Prumadas de incendio</t>
        </is>
      </c>
      <c r="D532" s="2" t="inlineStr">
        <is>
          <t>30/03/2027</t>
        </is>
      </c>
      <c r="E532" s="2" t="inlineStr">
        <is>
          <t>18/04/2028</t>
        </is>
      </c>
      <c r="F532" s="2" t="n">
        <v>234468</v>
      </c>
      <c r="G532" s="2" t="n">
        <v>0</v>
      </c>
      <c r="H532" s="2" t="n">
        <v>234468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0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n">
        <v>0</v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n">
        <v>0</v>
      </c>
      <c r="BI532" s="2" t="n">
        <v>0</v>
      </c>
      <c r="BJ532" s="2" t="n">
        <v>0</v>
      </c>
      <c r="BK532" s="2" t="n">
        <v>0</v>
      </c>
      <c r="BL532" s="2" t="n">
        <v>0</v>
      </c>
      <c r="BM532" s="2" t="n">
        <v>0</v>
      </c>
      <c r="BN532" s="2" t="n">
        <v>0</v>
      </c>
      <c r="BO532" s="2" t="n">
        <v>0</v>
      </c>
      <c r="BP532" s="2" t="n">
        <v>0</v>
      </c>
      <c r="BQ532" s="2" t="n">
        <v>0</v>
      </c>
      <c r="BR532" s="2" t="n">
        <v>0</v>
      </c>
      <c r="BS532" s="2" t="n">
        <v>0</v>
      </c>
      <c r="BT532" s="2" t="n">
        <v>0</v>
      </c>
      <c r="BU532" s="2" t="n">
        <v>0.85</v>
      </c>
      <c r="BV532" s="2" t="n">
        <v>0</v>
      </c>
      <c r="BW532" s="2" t="n">
        <v>7.63</v>
      </c>
      <c r="BX532" s="2" t="n">
        <v>9.75</v>
      </c>
      <c r="BY532" s="2" t="n">
        <v>0</v>
      </c>
      <c r="BZ532" s="2" t="n">
        <v>16.11</v>
      </c>
      <c r="CA532" s="2" t="n">
        <v>18.23</v>
      </c>
      <c r="CB532" s="2" t="n">
        <v>0</v>
      </c>
      <c r="CC532" s="2" t="n">
        <v>25.43</v>
      </c>
      <c r="CD532" s="2" t="n">
        <v>27.55</v>
      </c>
      <c r="CE532" s="2" t="n">
        <v>0</v>
      </c>
      <c r="CF532" s="2" t="n">
        <v>35.78</v>
      </c>
      <c r="CG532" s="2" t="n">
        <v>37.98</v>
      </c>
      <c r="CH532" s="2" t="n">
        <v>0</v>
      </c>
      <c r="CI532" s="2" t="n">
        <v>46.77</v>
      </c>
      <c r="CJ532" s="2" t="n">
        <v>48.95</v>
      </c>
      <c r="CK532" s="2" t="n">
        <v>0</v>
      </c>
      <c r="CL532" s="2" t="n">
        <v>56.77</v>
      </c>
      <c r="CM532" s="2" t="n">
        <v>58.92</v>
      </c>
      <c r="CN532" s="2" t="n">
        <v>0</v>
      </c>
      <c r="CO532" s="2" t="n">
        <v>65.69</v>
      </c>
      <c r="CP532" s="2" t="n">
        <v>67.84</v>
      </c>
      <c r="CQ532" s="2" t="n">
        <v>0</v>
      </c>
      <c r="CR532" s="2" t="n">
        <v>74.56999999999999</v>
      </c>
      <c r="CS532" s="2" t="n">
        <v>76.69</v>
      </c>
      <c r="CT532" s="2" t="n">
        <v>0</v>
      </c>
      <c r="CU532" s="2" t="n">
        <v>81.34999999999999</v>
      </c>
      <c r="CV532" s="2" t="n">
        <v>83.47</v>
      </c>
      <c r="CW532" s="2" t="n">
        <v>0</v>
      </c>
      <c r="CX532" s="2" t="n">
        <v>90.25</v>
      </c>
      <c r="CY532" s="2" t="n">
        <v>92.37</v>
      </c>
      <c r="CZ532" s="2" t="n">
        <v>0</v>
      </c>
      <c r="DA532" s="2" t="n">
        <v>96.01000000000001</v>
      </c>
      <c r="DB532" s="2" t="n">
        <v>96.19</v>
      </c>
      <c r="DC532" s="2" t="n">
        <v>0</v>
      </c>
      <c r="DD532" s="2" t="n">
        <v>96.19</v>
      </c>
      <c r="DE532" s="2" t="n">
        <v>96.19</v>
      </c>
      <c r="DF532" s="2" t="n">
        <v>0</v>
      </c>
      <c r="DG532" s="2" t="n">
        <v>100</v>
      </c>
      <c r="DH532" s="2" t="n">
        <v>100</v>
      </c>
      <c r="DI532" s="2" t="n">
        <v>0</v>
      </c>
      <c r="DJ532" s="2" t="n">
        <v>100</v>
      </c>
      <c r="DK532" s="2" t="n">
        <v>100</v>
      </c>
      <c r="DL532" s="2" t="n">
        <v>0</v>
      </c>
      <c r="DM532" s="2" t="n">
        <v>100</v>
      </c>
      <c r="DN532" s="2" t="n">
        <v>100</v>
      </c>
      <c r="DO532" s="2" t="n">
        <v>0</v>
      </c>
      <c r="DP532" s="2" t="n">
        <v>100</v>
      </c>
      <c r="DQ532" s="2" t="n">
        <v>100</v>
      </c>
      <c r="DR532" s="2" t="n">
        <v>0</v>
      </c>
      <c r="DS532" s="2" t="n">
        <v>100</v>
      </c>
      <c r="DT532" s="2" t="n">
        <v>100</v>
      </c>
      <c r="DU532" s="2" t="n">
        <v>0</v>
      </c>
      <c r="DV532" s="2" t="n">
        <v>100</v>
      </c>
      <c r="DW532" s="2" t="n">
        <v>100</v>
      </c>
      <c r="DX532" s="2" t="n">
        <v>0</v>
      </c>
      <c r="DY532" s="2" t="n">
        <v>100</v>
      </c>
      <c r="DZ532" s="2" t="n">
        <v>100</v>
      </c>
      <c r="EA532" s="2" t="n">
        <v>0</v>
      </c>
      <c r="EB532" s="2" t="n">
        <v>100</v>
      </c>
      <c r="EC532" s="2" t="n">
        <v>100</v>
      </c>
      <c r="ED532" s="2" t="n">
        <v>0</v>
      </c>
      <c r="EE532" s="2" t="n">
        <v>100</v>
      </c>
      <c r="EF532" s="2" t="n">
        <v>100</v>
      </c>
      <c r="EG532" s="2" t="n">
        <v>0</v>
      </c>
      <c r="EH532" s="2" t="n">
        <v>100</v>
      </c>
      <c r="EI532" s="2" t="n">
        <v>100</v>
      </c>
      <c r="EJ532" s="2" t="n">
        <v>0</v>
      </c>
      <c r="EK532" s="2" t="n">
        <v>100</v>
      </c>
      <c r="EL532" s="2" t="n">
        <v>100</v>
      </c>
      <c r="EM532" s="2" t="n">
        <v>0</v>
      </c>
      <c r="EN532" s="2" t="n">
        <v>100</v>
      </c>
      <c r="EO532" s="2" t="n">
        <v>100</v>
      </c>
      <c r="EP532" s="2" t="n">
        <v>0</v>
      </c>
      <c r="EQ532" s="2" t="n">
        <v>100</v>
      </c>
      <c r="ER532" s="2" t="n">
        <v>100</v>
      </c>
      <c r="ES532" s="2" t="n">
        <v>0</v>
      </c>
    </row>
    <row r="533">
      <c r="A533" s="2" t="n">
        <v>2</v>
      </c>
      <c r="B533" s="2" t="inlineStr">
        <is>
          <t>22.02</t>
        </is>
      </c>
      <c r="C533" s="2" t="inlineStr">
        <is>
          <t>Distribuição</t>
        </is>
      </c>
      <c r="D533" s="2" t="inlineStr">
        <is>
          <t>30/03/2027</t>
        </is>
      </c>
      <c r="E533" s="2" t="inlineStr">
        <is>
          <t>18/04/2028</t>
        </is>
      </c>
      <c r="F533" s="2" t="n">
        <v>312624</v>
      </c>
      <c r="G533" s="2" t="n">
        <v>0</v>
      </c>
      <c r="H533" s="2" t="n">
        <v>312624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0</v>
      </c>
      <c r="AN533" s="2" t="n">
        <v>0</v>
      </c>
      <c r="AO533" s="2" t="n">
        <v>0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n">
        <v>0</v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n">
        <v>0</v>
      </c>
      <c r="BI533" s="2" t="n">
        <v>0</v>
      </c>
      <c r="BJ533" s="2" t="n">
        <v>0</v>
      </c>
      <c r="BK533" s="2" t="n">
        <v>0</v>
      </c>
      <c r="BL533" s="2" t="n">
        <v>0</v>
      </c>
      <c r="BM533" s="2" t="n">
        <v>0</v>
      </c>
      <c r="BN533" s="2" t="n">
        <v>0</v>
      </c>
      <c r="BO533" s="2" t="n">
        <v>0</v>
      </c>
      <c r="BP533" s="2" t="n">
        <v>0</v>
      </c>
      <c r="BQ533" s="2" t="n">
        <v>0</v>
      </c>
      <c r="BR533" s="2" t="n">
        <v>0</v>
      </c>
      <c r="BS533" s="2" t="n">
        <v>0</v>
      </c>
      <c r="BT533" s="2" t="n">
        <v>0</v>
      </c>
      <c r="BU533" s="2" t="n">
        <v>0.85</v>
      </c>
      <c r="BV533" s="2" t="n">
        <v>0</v>
      </c>
      <c r="BW533" s="2" t="n">
        <v>7.63</v>
      </c>
      <c r="BX533" s="2" t="n">
        <v>9.75</v>
      </c>
      <c r="BY533" s="2" t="n">
        <v>0</v>
      </c>
      <c r="BZ533" s="2" t="n">
        <v>16.11</v>
      </c>
      <c r="CA533" s="2" t="n">
        <v>18.23</v>
      </c>
      <c r="CB533" s="2" t="n">
        <v>0</v>
      </c>
      <c r="CC533" s="2" t="n">
        <v>25.43</v>
      </c>
      <c r="CD533" s="2" t="n">
        <v>27.55</v>
      </c>
      <c r="CE533" s="2" t="n">
        <v>0</v>
      </c>
      <c r="CF533" s="2" t="n">
        <v>35.78</v>
      </c>
      <c r="CG533" s="2" t="n">
        <v>37.98</v>
      </c>
      <c r="CH533" s="2" t="n">
        <v>0</v>
      </c>
      <c r="CI533" s="2" t="n">
        <v>46.77</v>
      </c>
      <c r="CJ533" s="2" t="n">
        <v>48.95</v>
      </c>
      <c r="CK533" s="2" t="n">
        <v>0</v>
      </c>
      <c r="CL533" s="2" t="n">
        <v>56.77</v>
      </c>
      <c r="CM533" s="2" t="n">
        <v>58.92</v>
      </c>
      <c r="CN533" s="2" t="n">
        <v>0</v>
      </c>
      <c r="CO533" s="2" t="n">
        <v>65.69</v>
      </c>
      <c r="CP533" s="2" t="n">
        <v>67.84</v>
      </c>
      <c r="CQ533" s="2" t="n">
        <v>0</v>
      </c>
      <c r="CR533" s="2" t="n">
        <v>74.56999999999999</v>
      </c>
      <c r="CS533" s="2" t="n">
        <v>76.69</v>
      </c>
      <c r="CT533" s="2" t="n">
        <v>0</v>
      </c>
      <c r="CU533" s="2" t="n">
        <v>81.34999999999999</v>
      </c>
      <c r="CV533" s="2" t="n">
        <v>83.47</v>
      </c>
      <c r="CW533" s="2" t="n">
        <v>0</v>
      </c>
      <c r="CX533" s="2" t="n">
        <v>90.25</v>
      </c>
      <c r="CY533" s="2" t="n">
        <v>92.37</v>
      </c>
      <c r="CZ533" s="2" t="n">
        <v>0</v>
      </c>
      <c r="DA533" s="2" t="n">
        <v>96.01000000000001</v>
      </c>
      <c r="DB533" s="2" t="n">
        <v>96.19</v>
      </c>
      <c r="DC533" s="2" t="n">
        <v>0</v>
      </c>
      <c r="DD533" s="2" t="n">
        <v>96.19</v>
      </c>
      <c r="DE533" s="2" t="n">
        <v>96.19</v>
      </c>
      <c r="DF533" s="2" t="n">
        <v>0</v>
      </c>
      <c r="DG533" s="2" t="n">
        <v>100</v>
      </c>
      <c r="DH533" s="2" t="n">
        <v>100</v>
      </c>
      <c r="DI533" s="2" t="n">
        <v>0</v>
      </c>
      <c r="DJ533" s="2" t="n">
        <v>100</v>
      </c>
      <c r="DK533" s="2" t="n">
        <v>100</v>
      </c>
      <c r="DL533" s="2" t="n">
        <v>0</v>
      </c>
      <c r="DM533" s="2" t="n">
        <v>100</v>
      </c>
      <c r="DN533" s="2" t="n">
        <v>100</v>
      </c>
      <c r="DO533" s="2" t="n">
        <v>0</v>
      </c>
      <c r="DP533" s="2" t="n">
        <v>100</v>
      </c>
      <c r="DQ533" s="2" t="n">
        <v>100</v>
      </c>
      <c r="DR533" s="2" t="n">
        <v>0</v>
      </c>
      <c r="DS533" s="2" t="n">
        <v>100</v>
      </c>
      <c r="DT533" s="2" t="n">
        <v>100</v>
      </c>
      <c r="DU533" s="2" t="n">
        <v>0</v>
      </c>
      <c r="DV533" s="2" t="n">
        <v>100</v>
      </c>
      <c r="DW533" s="2" t="n">
        <v>100</v>
      </c>
      <c r="DX533" s="2" t="n">
        <v>0</v>
      </c>
      <c r="DY533" s="2" t="n">
        <v>100</v>
      </c>
      <c r="DZ533" s="2" t="n">
        <v>100</v>
      </c>
      <c r="EA533" s="2" t="n">
        <v>0</v>
      </c>
      <c r="EB533" s="2" t="n">
        <v>100</v>
      </c>
      <c r="EC533" s="2" t="n">
        <v>100</v>
      </c>
      <c r="ED533" s="2" t="n">
        <v>0</v>
      </c>
      <c r="EE533" s="2" t="n">
        <v>100</v>
      </c>
      <c r="EF533" s="2" t="n">
        <v>100</v>
      </c>
      <c r="EG533" s="2" t="n">
        <v>0</v>
      </c>
      <c r="EH533" s="2" t="n">
        <v>100</v>
      </c>
      <c r="EI533" s="2" t="n">
        <v>100</v>
      </c>
      <c r="EJ533" s="2" t="n">
        <v>0</v>
      </c>
      <c r="EK533" s="2" t="n">
        <v>100</v>
      </c>
      <c r="EL533" s="2" t="n">
        <v>100</v>
      </c>
      <c r="EM533" s="2" t="n">
        <v>0</v>
      </c>
      <c r="EN533" s="2" t="n">
        <v>100</v>
      </c>
      <c r="EO533" s="2" t="n">
        <v>100</v>
      </c>
      <c r="EP533" s="2" t="n">
        <v>0</v>
      </c>
      <c r="EQ533" s="2" t="n">
        <v>100</v>
      </c>
      <c r="ER533" s="2" t="n">
        <v>100</v>
      </c>
      <c r="ES533" s="2" t="n">
        <v>0</v>
      </c>
    </row>
    <row r="534">
      <c r="A534" s="2" t="n">
        <v>2</v>
      </c>
      <c r="B534" s="2" t="inlineStr">
        <is>
          <t>22.03</t>
        </is>
      </c>
      <c r="C534" s="2" t="inlineStr">
        <is>
          <t>Hidrantes, mangueiras, registros e caixas</t>
        </is>
      </c>
      <c r="D534" s="2" t="inlineStr">
        <is>
          <t>04/10/2027</t>
        </is>
      </c>
      <c r="E534" s="2" t="inlineStr">
        <is>
          <t>26/05/2028</t>
        </is>
      </c>
      <c r="F534" s="2" t="n">
        <v>117234</v>
      </c>
      <c r="G534" s="2" t="n">
        <v>0</v>
      </c>
      <c r="H534" s="2" t="n">
        <v>117234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  <c r="AM534" s="2" t="n">
        <v>0</v>
      </c>
      <c r="AN534" s="2" t="n">
        <v>0</v>
      </c>
      <c r="AO534" s="2" t="n">
        <v>0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n">
        <v>0</v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n">
        <v>0</v>
      </c>
      <c r="BI534" s="2" t="n">
        <v>0</v>
      </c>
      <c r="BJ534" s="2" t="n">
        <v>0</v>
      </c>
      <c r="BK534" s="2" t="n">
        <v>0</v>
      </c>
      <c r="BL534" s="2" t="n">
        <v>0</v>
      </c>
      <c r="BM534" s="2" t="n">
        <v>0</v>
      </c>
      <c r="BN534" s="2" t="n">
        <v>0</v>
      </c>
      <c r="BO534" s="2" t="n">
        <v>0</v>
      </c>
      <c r="BP534" s="2" t="n">
        <v>0</v>
      </c>
      <c r="BQ534" s="2" t="n">
        <v>0</v>
      </c>
      <c r="BR534" s="2" t="n">
        <v>0</v>
      </c>
      <c r="BS534" s="2" t="n">
        <v>0</v>
      </c>
      <c r="BT534" s="2" t="n">
        <v>0</v>
      </c>
      <c r="BU534" s="2" t="n">
        <v>0</v>
      </c>
      <c r="BV534" s="2" t="n">
        <v>0</v>
      </c>
      <c r="BW534" s="2" t="n">
        <v>0</v>
      </c>
      <c r="BX534" s="2" t="n">
        <v>0</v>
      </c>
      <c r="BY534" s="2" t="n">
        <v>0</v>
      </c>
      <c r="BZ534" s="2" t="n">
        <v>0</v>
      </c>
      <c r="CA534" s="2" t="n">
        <v>0</v>
      </c>
      <c r="CB534" s="2" t="n">
        <v>0</v>
      </c>
      <c r="CC534" s="2" t="n">
        <v>0</v>
      </c>
      <c r="CD534" s="2" t="n">
        <v>0</v>
      </c>
      <c r="CE534" s="2" t="n">
        <v>0</v>
      </c>
      <c r="CF534" s="2" t="n">
        <v>0</v>
      </c>
      <c r="CG534" s="2" t="n">
        <v>0</v>
      </c>
      <c r="CH534" s="2" t="n">
        <v>0</v>
      </c>
      <c r="CI534" s="2" t="n">
        <v>0</v>
      </c>
      <c r="CJ534" s="2" t="n">
        <v>0</v>
      </c>
      <c r="CK534" s="2" t="n">
        <v>0</v>
      </c>
      <c r="CL534" s="2" t="n">
        <v>0</v>
      </c>
      <c r="CM534" s="2" t="n">
        <v>0</v>
      </c>
      <c r="CN534" s="2" t="n">
        <v>0</v>
      </c>
      <c r="CO534" s="2" t="n">
        <v>8.33</v>
      </c>
      <c r="CP534" s="2" t="n">
        <v>14.17</v>
      </c>
      <c r="CQ534" s="2" t="n">
        <v>0</v>
      </c>
      <c r="CR534" s="2" t="n">
        <v>17.5</v>
      </c>
      <c r="CS534" s="2" t="n">
        <v>20.83</v>
      </c>
      <c r="CT534" s="2" t="n">
        <v>0</v>
      </c>
      <c r="CU534" s="2" t="n">
        <v>25</v>
      </c>
      <c r="CV534" s="2" t="n">
        <v>27.5</v>
      </c>
      <c r="CW534" s="2" t="n">
        <v>0</v>
      </c>
      <c r="CX534" s="2" t="n">
        <v>27.92</v>
      </c>
      <c r="CY534" s="2" t="n">
        <v>36.67</v>
      </c>
      <c r="CZ534" s="2" t="n">
        <v>0</v>
      </c>
      <c r="DA534" s="2" t="n">
        <v>40</v>
      </c>
      <c r="DB534" s="2" t="n">
        <v>85</v>
      </c>
      <c r="DC534" s="2" t="n">
        <v>0</v>
      </c>
      <c r="DD534" s="2" t="n">
        <v>86.25</v>
      </c>
      <c r="DE534" s="2" t="n">
        <v>91.67</v>
      </c>
      <c r="DF534" s="2" t="n">
        <v>0</v>
      </c>
      <c r="DG534" s="2" t="n">
        <v>91.67</v>
      </c>
      <c r="DH534" s="2" t="n">
        <v>92.08</v>
      </c>
      <c r="DI534" s="2" t="n">
        <v>0</v>
      </c>
      <c r="DJ534" s="2" t="n">
        <v>92.92</v>
      </c>
      <c r="DK534" s="2" t="n">
        <v>100</v>
      </c>
      <c r="DL534" s="2" t="n">
        <v>0</v>
      </c>
      <c r="DM534" s="2" t="n">
        <v>100</v>
      </c>
      <c r="DN534" s="2" t="n">
        <v>100</v>
      </c>
      <c r="DO534" s="2" t="n">
        <v>0</v>
      </c>
      <c r="DP534" s="2" t="n">
        <v>100</v>
      </c>
      <c r="DQ534" s="2" t="n">
        <v>100</v>
      </c>
      <c r="DR534" s="2" t="n">
        <v>0</v>
      </c>
      <c r="DS534" s="2" t="n">
        <v>100</v>
      </c>
      <c r="DT534" s="2" t="n">
        <v>100</v>
      </c>
      <c r="DU534" s="2" t="n">
        <v>0</v>
      </c>
      <c r="DV534" s="2" t="n">
        <v>100</v>
      </c>
      <c r="DW534" s="2" t="n">
        <v>100</v>
      </c>
      <c r="DX534" s="2" t="n">
        <v>0</v>
      </c>
      <c r="DY534" s="2" t="n">
        <v>100</v>
      </c>
      <c r="DZ534" s="2" t="n">
        <v>100</v>
      </c>
      <c r="EA534" s="2" t="n">
        <v>0</v>
      </c>
      <c r="EB534" s="2" t="n">
        <v>100</v>
      </c>
      <c r="EC534" s="2" t="n">
        <v>100</v>
      </c>
      <c r="ED534" s="2" t="n">
        <v>0</v>
      </c>
      <c r="EE534" s="2" t="n">
        <v>100</v>
      </c>
      <c r="EF534" s="2" t="n">
        <v>100</v>
      </c>
      <c r="EG534" s="2" t="n">
        <v>0</v>
      </c>
      <c r="EH534" s="2" t="n">
        <v>100</v>
      </c>
      <c r="EI534" s="2" t="n">
        <v>100</v>
      </c>
      <c r="EJ534" s="2" t="n">
        <v>0</v>
      </c>
      <c r="EK534" s="2" t="n">
        <v>100</v>
      </c>
      <c r="EL534" s="2" t="n">
        <v>100</v>
      </c>
      <c r="EM534" s="2" t="n">
        <v>0</v>
      </c>
      <c r="EN534" s="2" t="n">
        <v>100</v>
      </c>
      <c r="EO534" s="2" t="n">
        <v>100</v>
      </c>
      <c r="EP534" s="2" t="n">
        <v>0</v>
      </c>
      <c r="EQ534" s="2" t="n">
        <v>100</v>
      </c>
      <c r="ER534" s="2" t="n">
        <v>100</v>
      </c>
      <c r="ES534" s="2" t="n">
        <v>0</v>
      </c>
    </row>
    <row r="535">
      <c r="A535" s="2" t="n">
        <v>2</v>
      </c>
      <c r="B535" s="2" t="inlineStr">
        <is>
          <t>22.04</t>
        </is>
      </c>
      <c r="C535" s="2" t="inlineStr">
        <is>
          <t>Extintores de incêndio</t>
        </is>
      </c>
      <c r="D535" s="2" t="inlineStr">
        <is>
          <t>04/10/2027</t>
        </is>
      </c>
      <c r="E535" s="2" t="inlineStr">
        <is>
          <t>26/05/2028</t>
        </is>
      </c>
      <c r="F535" s="2" t="n">
        <v>93787.2</v>
      </c>
      <c r="G535" s="2" t="n">
        <v>0</v>
      </c>
      <c r="H535" s="2" t="n">
        <v>93787.2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0</v>
      </c>
      <c r="AO535" s="2" t="n">
        <v>0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n">
        <v>0</v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n">
        <v>0</v>
      </c>
      <c r="BI535" s="2" t="n">
        <v>0</v>
      </c>
      <c r="BJ535" s="2" t="n">
        <v>0</v>
      </c>
      <c r="BK535" s="2" t="n">
        <v>0</v>
      </c>
      <c r="BL535" s="2" t="n">
        <v>0</v>
      </c>
      <c r="BM535" s="2" t="n">
        <v>0</v>
      </c>
      <c r="BN535" s="2" t="n">
        <v>0</v>
      </c>
      <c r="BO535" s="2" t="n">
        <v>0</v>
      </c>
      <c r="BP535" s="2" t="n">
        <v>0</v>
      </c>
      <c r="BQ535" s="2" t="n">
        <v>0</v>
      </c>
      <c r="BR535" s="2" t="n">
        <v>0</v>
      </c>
      <c r="BS535" s="2" t="n">
        <v>0</v>
      </c>
      <c r="BT535" s="2" t="n">
        <v>0</v>
      </c>
      <c r="BU535" s="2" t="n">
        <v>0</v>
      </c>
      <c r="BV535" s="2" t="n">
        <v>0</v>
      </c>
      <c r="BW535" s="2" t="n">
        <v>0</v>
      </c>
      <c r="BX535" s="2" t="n">
        <v>0</v>
      </c>
      <c r="BY535" s="2" t="n">
        <v>0</v>
      </c>
      <c r="BZ535" s="2" t="n">
        <v>0</v>
      </c>
      <c r="CA535" s="2" t="n">
        <v>0</v>
      </c>
      <c r="CB535" s="2" t="n">
        <v>0</v>
      </c>
      <c r="CC535" s="2" t="n">
        <v>0</v>
      </c>
      <c r="CD535" s="2" t="n">
        <v>0</v>
      </c>
      <c r="CE535" s="2" t="n">
        <v>0</v>
      </c>
      <c r="CF535" s="2" t="n">
        <v>0</v>
      </c>
      <c r="CG535" s="2" t="n">
        <v>0</v>
      </c>
      <c r="CH535" s="2" t="n">
        <v>0</v>
      </c>
      <c r="CI535" s="2" t="n">
        <v>0</v>
      </c>
      <c r="CJ535" s="2" t="n">
        <v>0</v>
      </c>
      <c r="CK535" s="2" t="n">
        <v>0</v>
      </c>
      <c r="CL535" s="2" t="n">
        <v>0</v>
      </c>
      <c r="CM535" s="2" t="n">
        <v>0</v>
      </c>
      <c r="CN535" s="2" t="n">
        <v>0</v>
      </c>
      <c r="CO535" s="2" t="n">
        <v>8.33</v>
      </c>
      <c r="CP535" s="2" t="n">
        <v>14.17</v>
      </c>
      <c r="CQ535" s="2" t="n">
        <v>0</v>
      </c>
      <c r="CR535" s="2" t="n">
        <v>17.5</v>
      </c>
      <c r="CS535" s="2" t="n">
        <v>20.83</v>
      </c>
      <c r="CT535" s="2" t="n">
        <v>0</v>
      </c>
      <c r="CU535" s="2" t="n">
        <v>25</v>
      </c>
      <c r="CV535" s="2" t="n">
        <v>27.5</v>
      </c>
      <c r="CW535" s="2" t="n">
        <v>0</v>
      </c>
      <c r="CX535" s="2" t="n">
        <v>27.92</v>
      </c>
      <c r="CY535" s="2" t="n">
        <v>36.67</v>
      </c>
      <c r="CZ535" s="2" t="n">
        <v>0</v>
      </c>
      <c r="DA535" s="2" t="n">
        <v>40</v>
      </c>
      <c r="DB535" s="2" t="n">
        <v>85</v>
      </c>
      <c r="DC535" s="2" t="n">
        <v>0</v>
      </c>
      <c r="DD535" s="2" t="n">
        <v>86.25</v>
      </c>
      <c r="DE535" s="2" t="n">
        <v>91.67</v>
      </c>
      <c r="DF535" s="2" t="n">
        <v>0</v>
      </c>
      <c r="DG535" s="2" t="n">
        <v>91.67</v>
      </c>
      <c r="DH535" s="2" t="n">
        <v>92.08</v>
      </c>
      <c r="DI535" s="2" t="n">
        <v>0</v>
      </c>
      <c r="DJ535" s="2" t="n">
        <v>92.92</v>
      </c>
      <c r="DK535" s="2" t="n">
        <v>100</v>
      </c>
      <c r="DL535" s="2" t="n">
        <v>0</v>
      </c>
      <c r="DM535" s="2" t="n">
        <v>100</v>
      </c>
      <c r="DN535" s="2" t="n">
        <v>100</v>
      </c>
      <c r="DO535" s="2" t="n">
        <v>0</v>
      </c>
      <c r="DP535" s="2" t="n">
        <v>100</v>
      </c>
      <c r="DQ535" s="2" t="n">
        <v>100</v>
      </c>
      <c r="DR535" s="2" t="n">
        <v>0</v>
      </c>
      <c r="DS535" s="2" t="n">
        <v>100</v>
      </c>
      <c r="DT535" s="2" t="n">
        <v>100</v>
      </c>
      <c r="DU535" s="2" t="n">
        <v>0</v>
      </c>
      <c r="DV535" s="2" t="n">
        <v>100</v>
      </c>
      <c r="DW535" s="2" t="n">
        <v>100</v>
      </c>
      <c r="DX535" s="2" t="n">
        <v>0</v>
      </c>
      <c r="DY535" s="2" t="n">
        <v>100</v>
      </c>
      <c r="DZ535" s="2" t="n">
        <v>100</v>
      </c>
      <c r="EA535" s="2" t="n">
        <v>0</v>
      </c>
      <c r="EB535" s="2" t="n">
        <v>100</v>
      </c>
      <c r="EC535" s="2" t="n">
        <v>100</v>
      </c>
      <c r="ED535" s="2" t="n">
        <v>0</v>
      </c>
      <c r="EE535" s="2" t="n">
        <v>100</v>
      </c>
      <c r="EF535" s="2" t="n">
        <v>100</v>
      </c>
      <c r="EG535" s="2" t="n">
        <v>0</v>
      </c>
      <c r="EH535" s="2" t="n">
        <v>100</v>
      </c>
      <c r="EI535" s="2" t="n">
        <v>100</v>
      </c>
      <c r="EJ535" s="2" t="n">
        <v>0</v>
      </c>
      <c r="EK535" s="2" t="n">
        <v>100</v>
      </c>
      <c r="EL535" s="2" t="n">
        <v>100</v>
      </c>
      <c r="EM535" s="2" t="n">
        <v>0</v>
      </c>
      <c r="EN535" s="2" t="n">
        <v>100</v>
      </c>
      <c r="EO535" s="2" t="n">
        <v>100</v>
      </c>
      <c r="EP535" s="2" t="n">
        <v>0</v>
      </c>
      <c r="EQ535" s="2" t="n">
        <v>100</v>
      </c>
      <c r="ER535" s="2" t="n">
        <v>100</v>
      </c>
      <c r="ES535" s="2" t="n">
        <v>0</v>
      </c>
    </row>
    <row r="536">
      <c r="A536" s="2" t="n">
        <v>2</v>
      </c>
      <c r="B536" s="2" t="inlineStr">
        <is>
          <t>22.05</t>
        </is>
      </c>
      <c r="C536" s="2" t="inlineStr">
        <is>
          <t>Comunicação visual</t>
        </is>
      </c>
      <c r="D536" s="2" t="inlineStr">
        <is>
          <t>01/03/2028</t>
        </is>
      </c>
      <c r="E536" s="2" t="inlineStr">
        <is>
          <t>05/02/2029</t>
        </is>
      </c>
      <c r="F536" s="2" t="n">
        <v>23446.8</v>
      </c>
      <c r="G536" s="2" t="n">
        <v>0</v>
      </c>
      <c r="H536" s="2" t="n">
        <v>23446.8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0</v>
      </c>
      <c r="AP536" s="2" t="n">
        <v>0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0</v>
      </c>
      <c r="AV536" s="2" t="n">
        <v>0</v>
      </c>
      <c r="AW536" s="2" t="n">
        <v>0</v>
      </c>
      <c r="AX536" s="2" t="n">
        <v>0</v>
      </c>
      <c r="AY536" s="2" t="n">
        <v>0</v>
      </c>
      <c r="AZ536" s="2" t="n">
        <v>0</v>
      </c>
      <c r="BA536" s="2" t="n">
        <v>0</v>
      </c>
      <c r="BB536" s="2" t="n">
        <v>0</v>
      </c>
      <c r="BC536" s="2" t="n">
        <v>0</v>
      </c>
      <c r="BD536" s="2" t="n">
        <v>0</v>
      </c>
      <c r="BE536" s="2" t="n">
        <v>0</v>
      </c>
      <c r="BF536" s="2" t="n">
        <v>0</v>
      </c>
      <c r="BG536" s="2" t="n">
        <v>0</v>
      </c>
      <c r="BH536" s="2" t="n">
        <v>0</v>
      </c>
      <c r="BI536" s="2" t="n">
        <v>0</v>
      </c>
      <c r="BJ536" s="2" t="n">
        <v>0</v>
      </c>
      <c r="BK536" s="2" t="n">
        <v>0</v>
      </c>
      <c r="BL536" s="2" t="n">
        <v>0</v>
      </c>
      <c r="BM536" s="2" t="n">
        <v>0</v>
      </c>
      <c r="BN536" s="2" t="n">
        <v>0</v>
      </c>
      <c r="BO536" s="2" t="n">
        <v>0</v>
      </c>
      <c r="BP536" s="2" t="n">
        <v>0</v>
      </c>
      <c r="BQ536" s="2" t="n">
        <v>0</v>
      </c>
      <c r="BR536" s="2" t="n">
        <v>0</v>
      </c>
      <c r="BS536" s="2" t="n">
        <v>0</v>
      </c>
      <c r="BT536" s="2" t="n">
        <v>0</v>
      </c>
      <c r="BU536" s="2" t="n">
        <v>0</v>
      </c>
      <c r="BV536" s="2" t="n">
        <v>0</v>
      </c>
      <c r="BW536" s="2" t="n">
        <v>0</v>
      </c>
      <c r="BX536" s="2" t="n">
        <v>0</v>
      </c>
      <c r="BY536" s="2" t="n">
        <v>0</v>
      </c>
      <c r="BZ536" s="2" t="n">
        <v>0</v>
      </c>
      <c r="CA536" s="2" t="n">
        <v>0</v>
      </c>
      <c r="CB536" s="2" t="n">
        <v>0</v>
      </c>
      <c r="CC536" s="2" t="n">
        <v>0</v>
      </c>
      <c r="CD536" s="2" t="n">
        <v>0</v>
      </c>
      <c r="CE536" s="2" t="n">
        <v>0</v>
      </c>
      <c r="CF536" s="2" t="n">
        <v>0</v>
      </c>
      <c r="CG536" s="2" t="n">
        <v>0</v>
      </c>
      <c r="CH536" s="2" t="n">
        <v>0</v>
      </c>
      <c r="CI536" s="2" t="n">
        <v>0</v>
      </c>
      <c r="CJ536" s="2" t="n">
        <v>0</v>
      </c>
      <c r="CK536" s="2" t="n">
        <v>0</v>
      </c>
      <c r="CL536" s="2" t="n">
        <v>0</v>
      </c>
      <c r="CM536" s="2" t="n">
        <v>0</v>
      </c>
      <c r="CN536" s="2" t="n">
        <v>0</v>
      </c>
      <c r="CO536" s="2" t="n">
        <v>0</v>
      </c>
      <c r="CP536" s="2" t="n">
        <v>0</v>
      </c>
      <c r="CQ536" s="2" t="n">
        <v>0</v>
      </c>
      <c r="CR536" s="2" t="n">
        <v>0</v>
      </c>
      <c r="CS536" s="2" t="n">
        <v>0</v>
      </c>
      <c r="CT536" s="2" t="n">
        <v>0</v>
      </c>
      <c r="CU536" s="2" t="n">
        <v>0</v>
      </c>
      <c r="CV536" s="2" t="n">
        <v>0</v>
      </c>
      <c r="CW536" s="2" t="n">
        <v>0</v>
      </c>
      <c r="CX536" s="2" t="n">
        <v>0</v>
      </c>
      <c r="CY536" s="2" t="n">
        <v>0</v>
      </c>
      <c r="CZ536" s="2" t="n">
        <v>0</v>
      </c>
      <c r="DA536" s="2" t="n">
        <v>0</v>
      </c>
      <c r="DB536" s="2" t="n">
        <v>0</v>
      </c>
      <c r="DC536" s="2" t="n">
        <v>0</v>
      </c>
      <c r="DD536" s="2" t="n">
        <v>7.81</v>
      </c>
      <c r="DE536" s="2" t="n">
        <v>9.98</v>
      </c>
      <c r="DF536" s="2" t="n">
        <v>0</v>
      </c>
      <c r="DG536" s="2" t="n">
        <v>15.62</v>
      </c>
      <c r="DH536" s="2" t="n">
        <v>17.79</v>
      </c>
      <c r="DI536" s="2" t="n">
        <v>0</v>
      </c>
      <c r="DJ536" s="2" t="n">
        <v>25.16</v>
      </c>
      <c r="DK536" s="2" t="n">
        <v>27.33</v>
      </c>
      <c r="DL536" s="2" t="n">
        <v>0</v>
      </c>
      <c r="DM536" s="2" t="n">
        <v>34.27</v>
      </c>
      <c r="DN536" s="2" t="n">
        <v>36.44</v>
      </c>
      <c r="DO536" s="2" t="n">
        <v>0</v>
      </c>
      <c r="DP536" s="2" t="n">
        <v>43.39</v>
      </c>
      <c r="DQ536" s="2" t="n">
        <v>45.55</v>
      </c>
      <c r="DR536" s="2" t="n">
        <v>0</v>
      </c>
      <c r="DS536" s="2" t="n">
        <v>52.93</v>
      </c>
      <c r="DT536" s="2" t="n">
        <v>55.3</v>
      </c>
      <c r="DU536" s="2" t="n">
        <v>0</v>
      </c>
      <c r="DV536" s="2" t="n">
        <v>61.8</v>
      </c>
      <c r="DW536" s="2" t="n">
        <v>64.3</v>
      </c>
      <c r="DX536" s="2" t="n">
        <v>0</v>
      </c>
      <c r="DY536" s="2" t="n">
        <v>71.25</v>
      </c>
      <c r="DZ536" s="2" t="n">
        <v>74.06</v>
      </c>
      <c r="EA536" s="2" t="n">
        <v>0</v>
      </c>
      <c r="EB536" s="2" t="n">
        <v>80.08</v>
      </c>
      <c r="EC536" s="2" t="n">
        <v>83.51000000000001</v>
      </c>
      <c r="ED536" s="2" t="n">
        <v>0</v>
      </c>
      <c r="EE536" s="2" t="n">
        <v>87.76000000000001</v>
      </c>
      <c r="EF536" s="2" t="n">
        <v>90.02</v>
      </c>
      <c r="EG536" s="2" t="n">
        <v>0</v>
      </c>
      <c r="EH536" s="2" t="n">
        <v>95.98</v>
      </c>
      <c r="EI536" s="2" t="n">
        <v>98.61</v>
      </c>
      <c r="EJ536" s="2" t="n">
        <v>0</v>
      </c>
      <c r="EK536" s="2" t="n">
        <v>100</v>
      </c>
      <c r="EL536" s="2" t="n">
        <v>100</v>
      </c>
      <c r="EM536" s="2" t="n">
        <v>0</v>
      </c>
      <c r="EN536" s="2" t="n">
        <v>100</v>
      </c>
      <c r="EO536" s="2" t="n">
        <v>100</v>
      </c>
      <c r="EP536" s="2" t="n">
        <v>0</v>
      </c>
      <c r="EQ536" s="2" t="n">
        <v>100</v>
      </c>
      <c r="ER536" s="2" t="n">
        <v>100</v>
      </c>
      <c r="ES536" s="2" t="n">
        <v>0</v>
      </c>
    </row>
    <row r="537">
      <c r="A537" s="2" t="n">
        <v>1</v>
      </c>
      <c r="B537" s="2" t="inlineStr">
        <is>
          <t>23</t>
        </is>
      </c>
      <c r="C537" s="2" t="inlineStr">
        <is>
          <t>INSTALAÇÕES ESPECIAIS</t>
        </is>
      </c>
      <c r="D537" s="2" t="inlineStr">
        <is>
          <t>22/06/2027</t>
        </is>
      </c>
      <c r="E537" s="2" t="inlineStr">
        <is>
          <t>09/02/2029</t>
        </is>
      </c>
      <c r="F537" s="2" t="n">
        <v>2684762.924135941</v>
      </c>
      <c r="G537" s="2" t="n">
        <v>0</v>
      </c>
      <c r="H537" s="2" t="n">
        <v>2684762.924135941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  <c r="AM537" s="2" t="n">
        <v>0</v>
      </c>
      <c r="AN537" s="2" t="n">
        <v>0</v>
      </c>
      <c r="AO537" s="2" t="n">
        <v>0</v>
      </c>
      <c r="AP537" s="2" t="n">
        <v>0</v>
      </c>
      <c r="AQ537" s="2" t="n">
        <v>0</v>
      </c>
      <c r="AR537" s="2" t="n">
        <v>0</v>
      </c>
      <c r="AS537" s="2" t="n">
        <v>0</v>
      </c>
      <c r="AT537" s="2" t="n">
        <v>0</v>
      </c>
      <c r="AU537" s="2" t="n">
        <v>0</v>
      </c>
      <c r="AV537" s="2" t="n">
        <v>0</v>
      </c>
      <c r="AW537" s="2" t="n">
        <v>0</v>
      </c>
      <c r="AX537" s="2" t="n">
        <v>0</v>
      </c>
      <c r="AY537" s="2" t="n">
        <v>0</v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n">
        <v>0</v>
      </c>
      <c r="BE537" s="2" t="n">
        <v>0</v>
      </c>
      <c r="BF537" s="2" t="n">
        <v>0</v>
      </c>
      <c r="BG537" s="2" t="n">
        <v>0</v>
      </c>
      <c r="BH537" s="2" t="n">
        <v>0</v>
      </c>
      <c r="BI537" s="2" t="n">
        <v>0</v>
      </c>
      <c r="BJ537" s="2" t="n">
        <v>0</v>
      </c>
      <c r="BK537" s="2" t="n">
        <v>0</v>
      </c>
      <c r="BL537" s="2" t="n">
        <v>0</v>
      </c>
      <c r="BM537" s="2" t="n">
        <v>0</v>
      </c>
      <c r="BN537" s="2" t="n">
        <v>0</v>
      </c>
      <c r="BO537" s="2" t="n">
        <v>0</v>
      </c>
      <c r="BP537" s="2" t="n">
        <v>0</v>
      </c>
      <c r="BQ537" s="2" t="n">
        <v>0</v>
      </c>
      <c r="BR537" s="2" t="n">
        <v>0</v>
      </c>
      <c r="BS537" s="2" t="n">
        <v>0</v>
      </c>
      <c r="BT537" s="2" t="n">
        <v>0</v>
      </c>
      <c r="BU537" s="2" t="n">
        <v>0</v>
      </c>
      <c r="BV537" s="2" t="n">
        <v>0</v>
      </c>
      <c r="BW537" s="2" t="n">
        <v>0</v>
      </c>
      <c r="BX537" s="2" t="n">
        <v>0</v>
      </c>
      <c r="BY537" s="2" t="n">
        <v>0</v>
      </c>
      <c r="BZ537" s="2" t="n">
        <v>0</v>
      </c>
      <c r="CA537" s="2" t="n">
        <v>0</v>
      </c>
      <c r="CB537" s="2" t="n">
        <v>0</v>
      </c>
      <c r="CC537" s="2" t="n">
        <v>0.15</v>
      </c>
      <c r="CD537" s="2" t="n">
        <v>0.54</v>
      </c>
      <c r="CE537" s="2" t="n">
        <v>0</v>
      </c>
      <c r="CF537" s="2" t="n">
        <v>2.78</v>
      </c>
      <c r="CG537" s="2" t="n">
        <v>3.95</v>
      </c>
      <c r="CH537" s="2" t="n">
        <v>0</v>
      </c>
      <c r="CI537" s="2" t="n">
        <v>7.91</v>
      </c>
      <c r="CJ537" s="2" t="n">
        <v>9.08</v>
      </c>
      <c r="CK537" s="2" t="n">
        <v>0</v>
      </c>
      <c r="CL537" s="2" t="n">
        <v>12.81</v>
      </c>
      <c r="CM537" s="2" t="n">
        <v>13.99</v>
      </c>
      <c r="CN537" s="2" t="n">
        <v>0</v>
      </c>
      <c r="CO537" s="2" t="n">
        <v>19.06</v>
      </c>
      <c r="CP537" s="2" t="n">
        <v>20.43</v>
      </c>
      <c r="CQ537" s="2" t="n">
        <v>0</v>
      </c>
      <c r="CR537" s="2" t="n">
        <v>27.65</v>
      </c>
      <c r="CS537" s="2" t="n">
        <v>29.02</v>
      </c>
      <c r="CT537" s="2" t="n">
        <v>0</v>
      </c>
      <c r="CU537" s="2" t="n">
        <v>32.39</v>
      </c>
      <c r="CV537" s="2" t="n">
        <v>33.57</v>
      </c>
      <c r="CW537" s="2" t="n">
        <v>0</v>
      </c>
      <c r="CX537" s="2" t="n">
        <v>37.37</v>
      </c>
      <c r="CY537" s="2" t="n">
        <v>38.54</v>
      </c>
      <c r="CZ537" s="2" t="n">
        <v>0</v>
      </c>
      <c r="DA537" s="2" t="n">
        <v>42.31</v>
      </c>
      <c r="DB537" s="2" t="n">
        <v>43.48</v>
      </c>
      <c r="DC537" s="2" t="n">
        <v>0</v>
      </c>
      <c r="DD537" s="2" t="n">
        <v>47.72</v>
      </c>
      <c r="DE537" s="2" t="n">
        <v>51.13</v>
      </c>
      <c r="DF537" s="2" t="n">
        <v>0</v>
      </c>
      <c r="DG537" s="2" t="n">
        <v>55.7</v>
      </c>
      <c r="DH537" s="2" t="n">
        <v>56.64</v>
      </c>
      <c r="DI537" s="2" t="n">
        <v>0</v>
      </c>
      <c r="DJ537" s="2" t="n">
        <v>62.34</v>
      </c>
      <c r="DK537" s="2" t="n">
        <v>63.52</v>
      </c>
      <c r="DL537" s="2" t="n">
        <v>0</v>
      </c>
      <c r="DM537" s="2" t="n">
        <v>64.34</v>
      </c>
      <c r="DN537" s="2" t="n">
        <v>67.56</v>
      </c>
      <c r="DO537" s="2" t="n">
        <v>0</v>
      </c>
      <c r="DP537" s="2" t="n">
        <v>71.61</v>
      </c>
      <c r="DQ537" s="2" t="n">
        <v>72.81</v>
      </c>
      <c r="DR537" s="2" t="n">
        <v>0</v>
      </c>
      <c r="DS537" s="2" t="n">
        <v>79.12</v>
      </c>
      <c r="DT537" s="2" t="n">
        <v>83.13</v>
      </c>
      <c r="DU537" s="2" t="n">
        <v>0</v>
      </c>
      <c r="DV537" s="2" t="n">
        <v>86.81</v>
      </c>
      <c r="DW537" s="2" t="n">
        <v>88.59</v>
      </c>
      <c r="DX537" s="2" t="n">
        <v>0</v>
      </c>
      <c r="DY537" s="2" t="n">
        <v>88.67</v>
      </c>
      <c r="DZ537" s="2" t="n">
        <v>91.59999999999999</v>
      </c>
      <c r="EA537" s="2" t="n">
        <v>0</v>
      </c>
      <c r="EB537" s="2" t="n">
        <v>91.56</v>
      </c>
      <c r="EC537" s="2" t="n">
        <v>93.8</v>
      </c>
      <c r="ED537" s="2" t="n">
        <v>0</v>
      </c>
      <c r="EE537" s="2" t="n">
        <v>92.40000000000001</v>
      </c>
      <c r="EF537" s="2" t="n">
        <v>95.43000000000001</v>
      </c>
      <c r="EG537" s="2" t="n">
        <v>0</v>
      </c>
      <c r="EH537" s="2" t="n">
        <v>95.91</v>
      </c>
      <c r="EI537" s="2" t="n">
        <v>98.31999999999999</v>
      </c>
      <c r="EJ537" s="2" t="n">
        <v>0</v>
      </c>
      <c r="EK537" s="2" t="n">
        <v>98.31999999999999</v>
      </c>
      <c r="EL537" s="2" t="n">
        <v>100</v>
      </c>
      <c r="EM537" s="2" t="n">
        <v>0</v>
      </c>
      <c r="EN537" s="2" t="n">
        <v>100</v>
      </c>
      <c r="EO537" s="2" t="n">
        <v>100</v>
      </c>
      <c r="EP537" s="2" t="n">
        <v>0</v>
      </c>
      <c r="EQ537" s="2" t="n">
        <v>100</v>
      </c>
      <c r="ER537" s="2" t="n">
        <v>100</v>
      </c>
      <c r="ES537" s="2" t="n">
        <v>0</v>
      </c>
    </row>
    <row r="538">
      <c r="A538" s="2" t="n">
        <v>2</v>
      </c>
      <c r="B538" s="2" t="inlineStr">
        <is>
          <t>23.01</t>
        </is>
      </c>
      <c r="C538" s="2" t="inlineStr">
        <is>
          <t>Automação</t>
        </is>
      </c>
      <c r="D538" s="2" t="inlineStr">
        <is>
          <t>19/05/2028</t>
        </is>
      </c>
      <c r="E538" s="2" t="inlineStr">
        <is>
          <t>09/02/2029</t>
        </is>
      </c>
      <c r="F538" s="2" t="n">
        <v>352000</v>
      </c>
      <c r="G538" s="2" t="n">
        <v>0</v>
      </c>
      <c r="H538" s="2" t="n">
        <v>352000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0</v>
      </c>
      <c r="AO538" s="2" t="n">
        <v>0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n">
        <v>0</v>
      </c>
      <c r="AZ538" s="2" t="n">
        <v>0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0</v>
      </c>
      <c r="BF538" s="2" t="n">
        <v>0</v>
      </c>
      <c r="BG538" s="2" t="n">
        <v>0</v>
      </c>
      <c r="BH538" s="2" t="n">
        <v>0</v>
      </c>
      <c r="BI538" s="2" t="n">
        <v>0</v>
      </c>
      <c r="BJ538" s="2" t="n">
        <v>0</v>
      </c>
      <c r="BK538" s="2" t="n">
        <v>0</v>
      </c>
      <c r="BL538" s="2" t="n">
        <v>0</v>
      </c>
      <c r="BM538" s="2" t="n">
        <v>0</v>
      </c>
      <c r="BN538" s="2" t="n">
        <v>0</v>
      </c>
      <c r="BO538" s="2" t="n">
        <v>0</v>
      </c>
      <c r="BP538" s="2" t="n">
        <v>0</v>
      </c>
      <c r="BQ538" s="2" t="n">
        <v>0</v>
      </c>
      <c r="BR538" s="2" t="n">
        <v>0</v>
      </c>
      <c r="BS538" s="2" t="n">
        <v>0</v>
      </c>
      <c r="BT538" s="2" t="n">
        <v>0</v>
      </c>
      <c r="BU538" s="2" t="n">
        <v>0</v>
      </c>
      <c r="BV538" s="2" t="n">
        <v>0</v>
      </c>
      <c r="BW538" s="2" t="n">
        <v>0</v>
      </c>
      <c r="BX538" s="2" t="n">
        <v>0</v>
      </c>
      <c r="BY538" s="2" t="n">
        <v>0</v>
      </c>
      <c r="BZ538" s="2" t="n">
        <v>0</v>
      </c>
      <c r="CA538" s="2" t="n">
        <v>0</v>
      </c>
      <c r="CB538" s="2" t="n">
        <v>0</v>
      </c>
      <c r="CC538" s="2" t="n">
        <v>0</v>
      </c>
      <c r="CD538" s="2" t="n">
        <v>0</v>
      </c>
      <c r="CE538" s="2" t="n">
        <v>0</v>
      </c>
      <c r="CF538" s="2" t="n">
        <v>0</v>
      </c>
      <c r="CG538" s="2" t="n">
        <v>0</v>
      </c>
      <c r="CH538" s="2" t="n">
        <v>0</v>
      </c>
      <c r="CI538" s="2" t="n">
        <v>0</v>
      </c>
      <c r="CJ538" s="2" t="n">
        <v>0</v>
      </c>
      <c r="CK538" s="2" t="n">
        <v>0</v>
      </c>
      <c r="CL538" s="2" t="n">
        <v>0</v>
      </c>
      <c r="CM538" s="2" t="n">
        <v>0</v>
      </c>
      <c r="CN538" s="2" t="n">
        <v>0</v>
      </c>
      <c r="CO538" s="2" t="n">
        <v>0</v>
      </c>
      <c r="CP538" s="2" t="n">
        <v>0</v>
      </c>
      <c r="CQ538" s="2" t="n">
        <v>0</v>
      </c>
      <c r="CR538" s="2" t="n">
        <v>0</v>
      </c>
      <c r="CS538" s="2" t="n">
        <v>0</v>
      </c>
      <c r="CT538" s="2" t="n">
        <v>0</v>
      </c>
      <c r="CU538" s="2" t="n">
        <v>0</v>
      </c>
      <c r="CV538" s="2" t="n">
        <v>0</v>
      </c>
      <c r="CW538" s="2" t="n">
        <v>0</v>
      </c>
      <c r="CX538" s="2" t="n">
        <v>0</v>
      </c>
      <c r="CY538" s="2" t="n">
        <v>0</v>
      </c>
      <c r="CZ538" s="2" t="n">
        <v>0</v>
      </c>
      <c r="DA538" s="2" t="n">
        <v>0</v>
      </c>
      <c r="DB538" s="2" t="n">
        <v>0</v>
      </c>
      <c r="DC538" s="2" t="n">
        <v>0</v>
      </c>
      <c r="DD538" s="2" t="n">
        <v>0</v>
      </c>
      <c r="DE538" s="2" t="n">
        <v>0</v>
      </c>
      <c r="DF538" s="2" t="n">
        <v>0</v>
      </c>
      <c r="DG538" s="2" t="n">
        <v>0</v>
      </c>
      <c r="DH538" s="2" t="n">
        <v>0</v>
      </c>
      <c r="DI538" s="2" t="n">
        <v>0</v>
      </c>
      <c r="DJ538" s="2" t="n">
        <v>21.99</v>
      </c>
      <c r="DK538" s="2" t="n">
        <v>24.73</v>
      </c>
      <c r="DL538" s="2" t="n">
        <v>0</v>
      </c>
      <c r="DM538" s="2" t="n">
        <v>27.48</v>
      </c>
      <c r="DN538" s="2" t="n">
        <v>27.48</v>
      </c>
      <c r="DO538" s="2" t="n">
        <v>0</v>
      </c>
      <c r="DP538" s="2" t="n">
        <v>27.48</v>
      </c>
      <c r="DQ538" s="2" t="n">
        <v>27.48</v>
      </c>
      <c r="DR538" s="2" t="n">
        <v>0</v>
      </c>
      <c r="DS538" s="2" t="n">
        <v>27.48</v>
      </c>
      <c r="DT538" s="2" t="n">
        <v>27.48</v>
      </c>
      <c r="DU538" s="2" t="n">
        <v>0</v>
      </c>
      <c r="DV538" s="2" t="n">
        <v>27.48</v>
      </c>
      <c r="DW538" s="2" t="n">
        <v>27.48</v>
      </c>
      <c r="DX538" s="2" t="n">
        <v>0</v>
      </c>
      <c r="DY538" s="2" t="n">
        <v>27.48</v>
      </c>
      <c r="DZ538" s="2" t="n">
        <v>45.61</v>
      </c>
      <c r="EA538" s="2" t="n">
        <v>0</v>
      </c>
      <c r="EB538" s="2" t="n">
        <v>45.61</v>
      </c>
      <c r="EC538" s="2" t="n">
        <v>56.49</v>
      </c>
      <c r="ED538" s="2" t="n">
        <v>0</v>
      </c>
      <c r="EE538" s="2" t="n">
        <v>47.42</v>
      </c>
      <c r="EF538" s="2" t="n">
        <v>65.55</v>
      </c>
      <c r="EG538" s="2" t="n">
        <v>0</v>
      </c>
      <c r="EH538" s="2" t="n">
        <v>69.18000000000001</v>
      </c>
      <c r="EI538" s="2" t="n">
        <v>87.31</v>
      </c>
      <c r="EJ538" s="2" t="n">
        <v>0</v>
      </c>
      <c r="EK538" s="2" t="n">
        <v>87.31</v>
      </c>
      <c r="EL538" s="2" t="n">
        <v>100</v>
      </c>
      <c r="EM538" s="2" t="n">
        <v>0</v>
      </c>
      <c r="EN538" s="2" t="n">
        <v>100</v>
      </c>
      <c r="EO538" s="2" t="n">
        <v>100</v>
      </c>
      <c r="EP538" s="2" t="n">
        <v>0</v>
      </c>
      <c r="EQ538" s="2" t="n">
        <v>100</v>
      </c>
      <c r="ER538" s="2" t="n">
        <v>100</v>
      </c>
      <c r="ES538" s="2" t="n">
        <v>0</v>
      </c>
    </row>
    <row r="539">
      <c r="A539" s="2" t="n">
        <v>3</v>
      </c>
      <c r="B539" s="2" t="inlineStr">
        <is>
          <t>23.01.01</t>
        </is>
      </c>
      <c r="C539" s="2" t="inlineStr">
        <is>
          <t>Abertura automática de portões de garagem</t>
        </is>
      </c>
      <c r="D539" s="2" t="inlineStr">
        <is>
          <t>19/05/2028</t>
        </is>
      </c>
      <c r="E539" s="2" t="inlineStr">
        <is>
          <t>09/02/2029</t>
        </is>
      </c>
      <c r="F539" s="2" t="n">
        <v>9000</v>
      </c>
      <c r="G539" s="2" t="n">
        <v>0</v>
      </c>
      <c r="H539" s="2" t="n">
        <v>9000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0</v>
      </c>
      <c r="AM539" s="2" t="n">
        <v>0</v>
      </c>
      <c r="AN539" s="2" t="n">
        <v>0</v>
      </c>
      <c r="AO539" s="2" t="n">
        <v>0</v>
      </c>
      <c r="AP539" s="2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  <c r="AU539" s="2" t="n">
        <v>0</v>
      </c>
      <c r="AV539" s="2" t="n">
        <v>0</v>
      </c>
      <c r="AW539" s="2" t="n">
        <v>0</v>
      </c>
      <c r="AX539" s="2" t="n">
        <v>0</v>
      </c>
      <c r="AY539" s="2" t="n">
        <v>0</v>
      </c>
      <c r="AZ539" s="2" t="n">
        <v>0</v>
      </c>
      <c r="BA539" s="2" t="n">
        <v>0</v>
      </c>
      <c r="BB539" s="2" t="n">
        <v>0</v>
      </c>
      <c r="BC539" s="2" t="n">
        <v>0</v>
      </c>
      <c r="BD539" s="2" t="n">
        <v>0</v>
      </c>
      <c r="BE539" s="2" t="n">
        <v>0</v>
      </c>
      <c r="BF539" s="2" t="n">
        <v>0</v>
      </c>
      <c r="BG539" s="2" t="n">
        <v>0</v>
      </c>
      <c r="BH539" s="2" t="n">
        <v>0</v>
      </c>
      <c r="BI539" s="2" t="n">
        <v>0</v>
      </c>
      <c r="BJ539" s="2" t="n">
        <v>0</v>
      </c>
      <c r="BK539" s="2" t="n">
        <v>0</v>
      </c>
      <c r="BL539" s="2" t="n">
        <v>0</v>
      </c>
      <c r="BM539" s="2" t="n">
        <v>0</v>
      </c>
      <c r="BN539" s="2" t="n">
        <v>0</v>
      </c>
      <c r="BO539" s="2" t="n">
        <v>0</v>
      </c>
      <c r="BP539" s="2" t="n">
        <v>0</v>
      </c>
      <c r="BQ539" s="2" t="n">
        <v>0</v>
      </c>
      <c r="BR539" s="2" t="n">
        <v>0</v>
      </c>
      <c r="BS539" s="2" t="n">
        <v>0</v>
      </c>
      <c r="BT539" s="2" t="n">
        <v>0</v>
      </c>
      <c r="BU539" s="2" t="n">
        <v>0</v>
      </c>
      <c r="BV539" s="2" t="n">
        <v>0</v>
      </c>
      <c r="BW539" s="2" t="n">
        <v>0</v>
      </c>
      <c r="BX539" s="2" t="n">
        <v>0</v>
      </c>
      <c r="BY539" s="2" t="n">
        <v>0</v>
      </c>
      <c r="BZ539" s="2" t="n">
        <v>0</v>
      </c>
      <c r="CA539" s="2" t="n">
        <v>0</v>
      </c>
      <c r="CB539" s="2" t="n">
        <v>0</v>
      </c>
      <c r="CC539" s="2" t="n">
        <v>0</v>
      </c>
      <c r="CD539" s="2" t="n">
        <v>0</v>
      </c>
      <c r="CE539" s="2" t="n">
        <v>0</v>
      </c>
      <c r="CF539" s="2" t="n">
        <v>0</v>
      </c>
      <c r="CG539" s="2" t="n">
        <v>0</v>
      </c>
      <c r="CH539" s="2" t="n">
        <v>0</v>
      </c>
      <c r="CI539" s="2" t="n">
        <v>0</v>
      </c>
      <c r="CJ539" s="2" t="n">
        <v>0</v>
      </c>
      <c r="CK539" s="2" t="n">
        <v>0</v>
      </c>
      <c r="CL539" s="2" t="n">
        <v>0</v>
      </c>
      <c r="CM539" s="2" t="n">
        <v>0</v>
      </c>
      <c r="CN539" s="2" t="n">
        <v>0</v>
      </c>
      <c r="CO539" s="2" t="n">
        <v>0</v>
      </c>
      <c r="CP539" s="2" t="n">
        <v>0</v>
      </c>
      <c r="CQ539" s="2" t="n">
        <v>0</v>
      </c>
      <c r="CR539" s="2" t="n">
        <v>0</v>
      </c>
      <c r="CS539" s="2" t="n">
        <v>0</v>
      </c>
      <c r="CT539" s="2" t="n">
        <v>0</v>
      </c>
      <c r="CU539" s="2" t="n">
        <v>0</v>
      </c>
      <c r="CV539" s="2" t="n">
        <v>0</v>
      </c>
      <c r="CW539" s="2" t="n">
        <v>0</v>
      </c>
      <c r="CX539" s="2" t="n">
        <v>0</v>
      </c>
      <c r="CY539" s="2" t="n">
        <v>0</v>
      </c>
      <c r="CZ539" s="2" t="n">
        <v>0</v>
      </c>
      <c r="DA539" s="2" t="n">
        <v>0</v>
      </c>
      <c r="DB539" s="2" t="n">
        <v>0</v>
      </c>
      <c r="DC539" s="2" t="n">
        <v>0</v>
      </c>
      <c r="DD539" s="2" t="n">
        <v>0</v>
      </c>
      <c r="DE539" s="2" t="n">
        <v>0</v>
      </c>
      <c r="DF539" s="2" t="n">
        <v>0</v>
      </c>
      <c r="DG539" s="2" t="n">
        <v>0</v>
      </c>
      <c r="DH539" s="2" t="n">
        <v>0</v>
      </c>
      <c r="DI539" s="2" t="n">
        <v>0</v>
      </c>
      <c r="DJ539" s="2" t="n">
        <v>21.99</v>
      </c>
      <c r="DK539" s="2" t="n">
        <v>24.73</v>
      </c>
      <c r="DL539" s="2" t="n">
        <v>0</v>
      </c>
      <c r="DM539" s="2" t="n">
        <v>27.48</v>
      </c>
      <c r="DN539" s="2" t="n">
        <v>27.48</v>
      </c>
      <c r="DO539" s="2" t="n">
        <v>0</v>
      </c>
      <c r="DP539" s="2" t="n">
        <v>27.48</v>
      </c>
      <c r="DQ539" s="2" t="n">
        <v>27.48</v>
      </c>
      <c r="DR539" s="2" t="n">
        <v>0</v>
      </c>
      <c r="DS539" s="2" t="n">
        <v>27.48</v>
      </c>
      <c r="DT539" s="2" t="n">
        <v>27.48</v>
      </c>
      <c r="DU539" s="2" t="n">
        <v>0</v>
      </c>
      <c r="DV539" s="2" t="n">
        <v>27.48</v>
      </c>
      <c r="DW539" s="2" t="n">
        <v>27.48</v>
      </c>
      <c r="DX539" s="2" t="n">
        <v>0</v>
      </c>
      <c r="DY539" s="2" t="n">
        <v>27.48</v>
      </c>
      <c r="DZ539" s="2" t="n">
        <v>45.61</v>
      </c>
      <c r="EA539" s="2" t="n">
        <v>0</v>
      </c>
      <c r="EB539" s="2" t="n">
        <v>45.61</v>
      </c>
      <c r="EC539" s="2" t="n">
        <v>56.49</v>
      </c>
      <c r="ED539" s="2" t="n">
        <v>0</v>
      </c>
      <c r="EE539" s="2" t="n">
        <v>47.42</v>
      </c>
      <c r="EF539" s="2" t="n">
        <v>65.55</v>
      </c>
      <c r="EG539" s="2" t="n">
        <v>0</v>
      </c>
      <c r="EH539" s="2" t="n">
        <v>69.18000000000001</v>
      </c>
      <c r="EI539" s="2" t="n">
        <v>87.31</v>
      </c>
      <c r="EJ539" s="2" t="n">
        <v>0</v>
      </c>
      <c r="EK539" s="2" t="n">
        <v>87.31</v>
      </c>
      <c r="EL539" s="2" t="n">
        <v>100</v>
      </c>
      <c r="EM539" s="2" t="n">
        <v>0</v>
      </c>
      <c r="EN539" s="2" t="n">
        <v>100</v>
      </c>
      <c r="EO539" s="2" t="n">
        <v>100</v>
      </c>
      <c r="EP539" s="2" t="n">
        <v>0</v>
      </c>
      <c r="EQ539" s="2" t="n">
        <v>100</v>
      </c>
      <c r="ER539" s="2" t="n">
        <v>100</v>
      </c>
      <c r="ES539" s="2" t="n">
        <v>0</v>
      </c>
    </row>
    <row r="540">
      <c r="A540" s="2" t="n">
        <v>3</v>
      </c>
      <c r="B540" s="2" t="inlineStr">
        <is>
          <t>23.01.02</t>
        </is>
      </c>
      <c r="C540" s="2" t="inlineStr">
        <is>
          <t>Estação de carga para carro elétrico - 1 por apartamento - infra + cabeamento</t>
        </is>
      </c>
      <c r="D540" s="2" t="inlineStr">
        <is>
          <t>19/05/2028</t>
        </is>
      </c>
      <c r="E540" s="2" t="inlineStr">
        <is>
          <t>09/02/2029</t>
        </is>
      </c>
      <c r="F540" s="2" t="n">
        <v>343000</v>
      </c>
      <c r="G540" s="2" t="n">
        <v>0</v>
      </c>
      <c r="H540" s="2" t="n">
        <v>343000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0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n">
        <v>0</v>
      </c>
      <c r="AZ540" s="2" t="n">
        <v>0</v>
      </c>
      <c r="BA540" s="2" t="n">
        <v>0</v>
      </c>
      <c r="BB540" s="2" t="n">
        <v>0</v>
      </c>
      <c r="BC540" s="2" t="n">
        <v>0</v>
      </c>
      <c r="BD540" s="2" t="n">
        <v>0</v>
      </c>
      <c r="BE540" s="2" t="n">
        <v>0</v>
      </c>
      <c r="BF540" s="2" t="n">
        <v>0</v>
      </c>
      <c r="BG540" s="2" t="n">
        <v>0</v>
      </c>
      <c r="BH540" s="2" t="n">
        <v>0</v>
      </c>
      <c r="BI540" s="2" t="n">
        <v>0</v>
      </c>
      <c r="BJ540" s="2" t="n">
        <v>0</v>
      </c>
      <c r="BK540" s="2" t="n">
        <v>0</v>
      </c>
      <c r="BL540" s="2" t="n">
        <v>0</v>
      </c>
      <c r="BM540" s="2" t="n">
        <v>0</v>
      </c>
      <c r="BN540" s="2" t="n">
        <v>0</v>
      </c>
      <c r="BO540" s="2" t="n">
        <v>0</v>
      </c>
      <c r="BP540" s="2" t="n">
        <v>0</v>
      </c>
      <c r="BQ540" s="2" t="n">
        <v>0</v>
      </c>
      <c r="BR540" s="2" t="n">
        <v>0</v>
      </c>
      <c r="BS540" s="2" t="n">
        <v>0</v>
      </c>
      <c r="BT540" s="2" t="n">
        <v>0</v>
      </c>
      <c r="BU540" s="2" t="n">
        <v>0</v>
      </c>
      <c r="BV540" s="2" t="n">
        <v>0</v>
      </c>
      <c r="BW540" s="2" t="n">
        <v>0</v>
      </c>
      <c r="BX540" s="2" t="n">
        <v>0</v>
      </c>
      <c r="BY540" s="2" t="n">
        <v>0</v>
      </c>
      <c r="BZ540" s="2" t="n">
        <v>0</v>
      </c>
      <c r="CA540" s="2" t="n">
        <v>0</v>
      </c>
      <c r="CB540" s="2" t="n">
        <v>0</v>
      </c>
      <c r="CC540" s="2" t="n">
        <v>0</v>
      </c>
      <c r="CD540" s="2" t="n">
        <v>0</v>
      </c>
      <c r="CE540" s="2" t="n">
        <v>0</v>
      </c>
      <c r="CF540" s="2" t="n">
        <v>0</v>
      </c>
      <c r="CG540" s="2" t="n">
        <v>0</v>
      </c>
      <c r="CH540" s="2" t="n">
        <v>0</v>
      </c>
      <c r="CI540" s="2" t="n">
        <v>0</v>
      </c>
      <c r="CJ540" s="2" t="n">
        <v>0</v>
      </c>
      <c r="CK540" s="2" t="n">
        <v>0</v>
      </c>
      <c r="CL540" s="2" t="n">
        <v>0</v>
      </c>
      <c r="CM540" s="2" t="n">
        <v>0</v>
      </c>
      <c r="CN540" s="2" t="n">
        <v>0</v>
      </c>
      <c r="CO540" s="2" t="n">
        <v>0</v>
      </c>
      <c r="CP540" s="2" t="n">
        <v>0</v>
      </c>
      <c r="CQ540" s="2" t="n">
        <v>0</v>
      </c>
      <c r="CR540" s="2" t="n">
        <v>0</v>
      </c>
      <c r="CS540" s="2" t="n">
        <v>0</v>
      </c>
      <c r="CT540" s="2" t="n">
        <v>0</v>
      </c>
      <c r="CU540" s="2" t="n">
        <v>0</v>
      </c>
      <c r="CV540" s="2" t="n">
        <v>0</v>
      </c>
      <c r="CW540" s="2" t="n">
        <v>0</v>
      </c>
      <c r="CX540" s="2" t="n">
        <v>0</v>
      </c>
      <c r="CY540" s="2" t="n">
        <v>0</v>
      </c>
      <c r="CZ540" s="2" t="n">
        <v>0</v>
      </c>
      <c r="DA540" s="2" t="n">
        <v>0</v>
      </c>
      <c r="DB540" s="2" t="n">
        <v>0</v>
      </c>
      <c r="DC540" s="2" t="n">
        <v>0</v>
      </c>
      <c r="DD540" s="2" t="n">
        <v>0</v>
      </c>
      <c r="DE540" s="2" t="n">
        <v>0</v>
      </c>
      <c r="DF540" s="2" t="n">
        <v>0</v>
      </c>
      <c r="DG540" s="2" t="n">
        <v>0</v>
      </c>
      <c r="DH540" s="2" t="n">
        <v>0</v>
      </c>
      <c r="DI540" s="2" t="n">
        <v>0</v>
      </c>
      <c r="DJ540" s="2" t="n">
        <v>21.99</v>
      </c>
      <c r="DK540" s="2" t="n">
        <v>24.73</v>
      </c>
      <c r="DL540" s="2" t="n">
        <v>0</v>
      </c>
      <c r="DM540" s="2" t="n">
        <v>27.48</v>
      </c>
      <c r="DN540" s="2" t="n">
        <v>27.48</v>
      </c>
      <c r="DO540" s="2" t="n">
        <v>0</v>
      </c>
      <c r="DP540" s="2" t="n">
        <v>27.48</v>
      </c>
      <c r="DQ540" s="2" t="n">
        <v>27.48</v>
      </c>
      <c r="DR540" s="2" t="n">
        <v>0</v>
      </c>
      <c r="DS540" s="2" t="n">
        <v>27.48</v>
      </c>
      <c r="DT540" s="2" t="n">
        <v>27.48</v>
      </c>
      <c r="DU540" s="2" t="n">
        <v>0</v>
      </c>
      <c r="DV540" s="2" t="n">
        <v>27.48</v>
      </c>
      <c r="DW540" s="2" t="n">
        <v>27.48</v>
      </c>
      <c r="DX540" s="2" t="n">
        <v>0</v>
      </c>
      <c r="DY540" s="2" t="n">
        <v>27.48</v>
      </c>
      <c r="DZ540" s="2" t="n">
        <v>45.61</v>
      </c>
      <c r="EA540" s="2" t="n">
        <v>0</v>
      </c>
      <c r="EB540" s="2" t="n">
        <v>45.61</v>
      </c>
      <c r="EC540" s="2" t="n">
        <v>56.49</v>
      </c>
      <c r="ED540" s="2" t="n">
        <v>0</v>
      </c>
      <c r="EE540" s="2" t="n">
        <v>47.42</v>
      </c>
      <c r="EF540" s="2" t="n">
        <v>65.55</v>
      </c>
      <c r="EG540" s="2" t="n">
        <v>0</v>
      </c>
      <c r="EH540" s="2" t="n">
        <v>69.18000000000001</v>
      </c>
      <c r="EI540" s="2" t="n">
        <v>87.31</v>
      </c>
      <c r="EJ540" s="2" t="n">
        <v>0</v>
      </c>
      <c r="EK540" s="2" t="n">
        <v>87.31</v>
      </c>
      <c r="EL540" s="2" t="n">
        <v>100</v>
      </c>
      <c r="EM540" s="2" t="n">
        <v>0</v>
      </c>
      <c r="EN540" s="2" t="n">
        <v>100</v>
      </c>
      <c r="EO540" s="2" t="n">
        <v>100</v>
      </c>
      <c r="EP540" s="2" t="n">
        <v>0</v>
      </c>
      <c r="EQ540" s="2" t="n">
        <v>100</v>
      </c>
      <c r="ER540" s="2" t="n">
        <v>100</v>
      </c>
      <c r="ES540" s="2" t="n">
        <v>0</v>
      </c>
    </row>
    <row r="541">
      <c r="A541" s="2" t="n">
        <v>2</v>
      </c>
      <c r="B541" s="2" t="inlineStr">
        <is>
          <t>23.02</t>
        </is>
      </c>
      <c r="C541" s="2" t="inlineStr">
        <is>
          <t>Ar condicionado,  exaustão e pressurização</t>
        </is>
      </c>
      <c r="D541" s="2" t="inlineStr">
        <is>
          <t>16/07/2027</t>
        </is>
      </c>
      <c r="E541" s="2" t="inlineStr">
        <is>
          <t>14/09/2028</t>
        </is>
      </c>
      <c r="F541" s="2" t="n">
        <v>1472695</v>
      </c>
      <c r="G541" s="2" t="n">
        <v>0</v>
      </c>
      <c r="H541" s="2" t="n">
        <v>1472695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0</v>
      </c>
      <c r="AP541" s="2" t="n">
        <v>0</v>
      </c>
      <c r="AQ541" s="2" t="n">
        <v>0</v>
      </c>
      <c r="AR541" s="2" t="n">
        <v>0</v>
      </c>
      <c r="AS541" s="2" t="n">
        <v>0</v>
      </c>
      <c r="AT541" s="2" t="n">
        <v>0</v>
      </c>
      <c r="AU541" s="2" t="n">
        <v>0</v>
      </c>
      <c r="AV541" s="2" t="n">
        <v>0</v>
      </c>
      <c r="AW541" s="2" t="n">
        <v>0</v>
      </c>
      <c r="AX541" s="2" t="n">
        <v>0</v>
      </c>
      <c r="AY541" s="2" t="n">
        <v>0</v>
      </c>
      <c r="AZ541" s="2" t="n">
        <v>0</v>
      </c>
      <c r="BA541" s="2" t="n">
        <v>0</v>
      </c>
      <c r="BB541" s="2" t="n">
        <v>0</v>
      </c>
      <c r="BC541" s="2" t="n">
        <v>0</v>
      </c>
      <c r="BD541" s="2" t="n">
        <v>0</v>
      </c>
      <c r="BE541" s="2" t="n">
        <v>0</v>
      </c>
      <c r="BF541" s="2" t="n">
        <v>0</v>
      </c>
      <c r="BG541" s="2" t="n">
        <v>0</v>
      </c>
      <c r="BH541" s="2" t="n">
        <v>0</v>
      </c>
      <c r="BI541" s="2" t="n">
        <v>0</v>
      </c>
      <c r="BJ541" s="2" t="n">
        <v>0</v>
      </c>
      <c r="BK541" s="2" t="n">
        <v>0</v>
      </c>
      <c r="BL541" s="2" t="n">
        <v>0</v>
      </c>
      <c r="BM541" s="2" t="n">
        <v>0</v>
      </c>
      <c r="BN541" s="2" t="n">
        <v>0</v>
      </c>
      <c r="BO541" s="2" t="n">
        <v>0</v>
      </c>
      <c r="BP541" s="2" t="n">
        <v>0</v>
      </c>
      <c r="BQ541" s="2" t="n">
        <v>0</v>
      </c>
      <c r="BR541" s="2" t="n">
        <v>0</v>
      </c>
      <c r="BS541" s="2" t="n">
        <v>0</v>
      </c>
      <c r="BT541" s="2" t="n">
        <v>0</v>
      </c>
      <c r="BU541" s="2" t="n">
        <v>0</v>
      </c>
      <c r="BV541" s="2" t="n">
        <v>0</v>
      </c>
      <c r="BW541" s="2" t="n">
        <v>0</v>
      </c>
      <c r="BX541" s="2" t="n">
        <v>0</v>
      </c>
      <c r="BY541" s="2" t="n">
        <v>0</v>
      </c>
      <c r="BZ541" s="2" t="n">
        <v>0</v>
      </c>
      <c r="CA541" s="2" t="n">
        <v>0</v>
      </c>
      <c r="CB541" s="2" t="n">
        <v>0</v>
      </c>
      <c r="CC541" s="2" t="n">
        <v>0</v>
      </c>
      <c r="CD541" s="2" t="n">
        <v>0</v>
      </c>
      <c r="CE541" s="2" t="n">
        <v>0</v>
      </c>
      <c r="CF541" s="2" t="n">
        <v>1.71</v>
      </c>
      <c r="CG541" s="2" t="n">
        <v>3.14</v>
      </c>
      <c r="CH541" s="2" t="n">
        <v>0</v>
      </c>
      <c r="CI541" s="2" t="n">
        <v>7.99</v>
      </c>
      <c r="CJ541" s="2" t="n">
        <v>9.41</v>
      </c>
      <c r="CK541" s="2" t="n">
        <v>0</v>
      </c>
      <c r="CL541" s="2" t="n">
        <v>13.98</v>
      </c>
      <c r="CM541" s="2" t="n">
        <v>15.4</v>
      </c>
      <c r="CN541" s="2" t="n">
        <v>0</v>
      </c>
      <c r="CO541" s="2" t="n">
        <v>22.5</v>
      </c>
      <c r="CP541" s="2" t="n">
        <v>24.28</v>
      </c>
      <c r="CQ541" s="2" t="n">
        <v>0</v>
      </c>
      <c r="CR541" s="2" t="n">
        <v>35.25</v>
      </c>
      <c r="CS541" s="2" t="n">
        <v>37.03</v>
      </c>
      <c r="CT541" s="2" t="n">
        <v>0</v>
      </c>
      <c r="CU541" s="2" t="n">
        <v>41.57</v>
      </c>
      <c r="CV541" s="2" t="n">
        <v>43</v>
      </c>
      <c r="CW541" s="2" t="n">
        <v>0</v>
      </c>
      <c r="CX541" s="2" t="n">
        <v>47.57</v>
      </c>
      <c r="CY541" s="2" t="n">
        <v>48.99</v>
      </c>
      <c r="CZ541" s="2" t="n">
        <v>0</v>
      </c>
      <c r="DA541" s="2" t="n">
        <v>53.56</v>
      </c>
      <c r="DB541" s="2" t="n">
        <v>54.98</v>
      </c>
      <c r="DC541" s="2" t="n">
        <v>0</v>
      </c>
      <c r="DD541" s="2" t="n">
        <v>60.12</v>
      </c>
      <c r="DE541" s="2" t="n">
        <v>61.54</v>
      </c>
      <c r="DF541" s="2" t="n">
        <v>0</v>
      </c>
      <c r="DG541" s="2" t="n">
        <v>65.25</v>
      </c>
      <c r="DH541" s="2" t="n">
        <v>66.68000000000001</v>
      </c>
      <c r="DI541" s="2" t="n">
        <v>0</v>
      </c>
      <c r="DJ541" s="2" t="n">
        <v>71.34999999999999</v>
      </c>
      <c r="DK541" s="2" t="n">
        <v>72.79000000000001</v>
      </c>
      <c r="DL541" s="2" t="n">
        <v>0</v>
      </c>
      <c r="DM541" s="2" t="n">
        <v>73.56</v>
      </c>
      <c r="DN541" s="2" t="n">
        <v>78.98999999999999</v>
      </c>
      <c r="DO541" s="2" t="n">
        <v>0</v>
      </c>
      <c r="DP541" s="2" t="n">
        <v>85.19</v>
      </c>
      <c r="DQ541" s="2" t="n">
        <v>86.95</v>
      </c>
      <c r="DR541" s="2" t="n">
        <v>0</v>
      </c>
      <c r="DS541" s="2" t="n">
        <v>88.38</v>
      </c>
      <c r="DT541" s="2" t="n">
        <v>93.03</v>
      </c>
      <c r="DU541" s="2" t="n">
        <v>0</v>
      </c>
      <c r="DV541" s="2" t="n">
        <v>99.23</v>
      </c>
      <c r="DW541" s="2" t="n">
        <v>100</v>
      </c>
      <c r="DX541" s="2" t="n">
        <v>0</v>
      </c>
      <c r="DY541" s="2" t="n">
        <v>100</v>
      </c>
      <c r="DZ541" s="2" t="n">
        <v>100</v>
      </c>
      <c r="EA541" s="2" t="n">
        <v>0</v>
      </c>
      <c r="EB541" s="2" t="n">
        <v>100</v>
      </c>
      <c r="EC541" s="2" t="n">
        <v>100</v>
      </c>
      <c r="ED541" s="2" t="n">
        <v>0</v>
      </c>
      <c r="EE541" s="2" t="n">
        <v>100</v>
      </c>
      <c r="EF541" s="2" t="n">
        <v>100</v>
      </c>
      <c r="EG541" s="2" t="n">
        <v>0</v>
      </c>
      <c r="EH541" s="2" t="n">
        <v>100</v>
      </c>
      <c r="EI541" s="2" t="n">
        <v>100</v>
      </c>
      <c r="EJ541" s="2" t="n">
        <v>0</v>
      </c>
      <c r="EK541" s="2" t="n">
        <v>100</v>
      </c>
      <c r="EL541" s="2" t="n">
        <v>100</v>
      </c>
      <c r="EM541" s="2" t="n">
        <v>0</v>
      </c>
      <c r="EN541" s="2" t="n">
        <v>100</v>
      </c>
      <c r="EO541" s="2" t="n">
        <v>100</v>
      </c>
      <c r="EP541" s="2" t="n">
        <v>0</v>
      </c>
      <c r="EQ541" s="2" t="n">
        <v>100</v>
      </c>
      <c r="ER541" s="2" t="n">
        <v>100</v>
      </c>
      <c r="ES541" s="2" t="n">
        <v>0</v>
      </c>
    </row>
    <row r="542">
      <c r="A542" s="2" t="n">
        <v>3</v>
      </c>
      <c r="B542" s="2" t="inlineStr">
        <is>
          <t>23.02.01</t>
        </is>
      </c>
      <c r="C542" s="2" t="inlineStr">
        <is>
          <t>Ar condicionado - Infra para área comum e apartamentos</t>
        </is>
      </c>
      <c r="D542" s="2" t="inlineStr">
        <is>
          <t>16/07/2027</t>
        </is>
      </c>
      <c r="E542" s="2" t="inlineStr">
        <is>
          <t>07/08/2028</t>
        </is>
      </c>
      <c r="F542" s="2" t="n">
        <v>959217.9999999999</v>
      </c>
      <c r="G542" s="2" t="n">
        <v>0</v>
      </c>
      <c r="H542" s="2" t="n">
        <v>959217.9999999999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0</v>
      </c>
      <c r="AO542" s="2" t="n">
        <v>0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n">
        <v>0</v>
      </c>
      <c r="AZ542" s="2" t="n">
        <v>0</v>
      </c>
      <c r="BA542" s="2" t="n">
        <v>0</v>
      </c>
      <c r="BB542" s="2" t="n">
        <v>0</v>
      </c>
      <c r="BC542" s="2" t="n">
        <v>0</v>
      </c>
      <c r="BD542" s="2" t="n">
        <v>0</v>
      </c>
      <c r="BE542" s="2" t="n">
        <v>0</v>
      </c>
      <c r="BF542" s="2" t="n">
        <v>0</v>
      </c>
      <c r="BG542" s="2" t="n">
        <v>0</v>
      </c>
      <c r="BH542" s="2" t="n">
        <v>0</v>
      </c>
      <c r="BI542" s="2" t="n">
        <v>0</v>
      </c>
      <c r="BJ542" s="2" t="n">
        <v>0</v>
      </c>
      <c r="BK542" s="2" t="n">
        <v>0</v>
      </c>
      <c r="BL542" s="2" t="n">
        <v>0</v>
      </c>
      <c r="BM542" s="2" t="n">
        <v>0</v>
      </c>
      <c r="BN542" s="2" t="n">
        <v>0</v>
      </c>
      <c r="BO542" s="2" t="n">
        <v>0</v>
      </c>
      <c r="BP542" s="2" t="n">
        <v>0</v>
      </c>
      <c r="BQ542" s="2" t="n">
        <v>0</v>
      </c>
      <c r="BR542" s="2" t="n">
        <v>0</v>
      </c>
      <c r="BS542" s="2" t="n">
        <v>0</v>
      </c>
      <c r="BT542" s="2" t="n">
        <v>0</v>
      </c>
      <c r="BU542" s="2" t="n">
        <v>0</v>
      </c>
      <c r="BV542" s="2" t="n">
        <v>0</v>
      </c>
      <c r="BW542" s="2" t="n">
        <v>0</v>
      </c>
      <c r="BX542" s="2" t="n">
        <v>0</v>
      </c>
      <c r="BY542" s="2" t="n">
        <v>0</v>
      </c>
      <c r="BZ542" s="2" t="n">
        <v>0</v>
      </c>
      <c r="CA542" s="2" t="n">
        <v>0</v>
      </c>
      <c r="CB542" s="2" t="n">
        <v>0</v>
      </c>
      <c r="CC542" s="2" t="n">
        <v>0</v>
      </c>
      <c r="CD542" s="2" t="n">
        <v>0</v>
      </c>
      <c r="CE542" s="2" t="n">
        <v>0</v>
      </c>
      <c r="CF542" s="2" t="n">
        <v>2.63</v>
      </c>
      <c r="CG542" s="2" t="n">
        <v>4.82</v>
      </c>
      <c r="CH542" s="2" t="n">
        <v>0</v>
      </c>
      <c r="CI542" s="2" t="n">
        <v>12.26</v>
      </c>
      <c r="CJ542" s="2" t="n">
        <v>14.45</v>
      </c>
      <c r="CK542" s="2" t="n">
        <v>0</v>
      </c>
      <c r="CL542" s="2" t="n">
        <v>21.46</v>
      </c>
      <c r="CM542" s="2" t="n">
        <v>23.65</v>
      </c>
      <c r="CN542" s="2" t="n">
        <v>0</v>
      </c>
      <c r="CO542" s="2" t="n">
        <v>30.22</v>
      </c>
      <c r="CP542" s="2" t="n">
        <v>32.41</v>
      </c>
      <c r="CQ542" s="2" t="n">
        <v>0</v>
      </c>
      <c r="CR542" s="2" t="n">
        <v>38.98</v>
      </c>
      <c r="CS542" s="2" t="n">
        <v>41.17</v>
      </c>
      <c r="CT542" s="2" t="n">
        <v>0</v>
      </c>
      <c r="CU542" s="2" t="n">
        <v>45.99</v>
      </c>
      <c r="CV542" s="2" t="n">
        <v>48.18</v>
      </c>
      <c r="CW542" s="2" t="n">
        <v>0</v>
      </c>
      <c r="CX542" s="2" t="n">
        <v>55.18</v>
      </c>
      <c r="CY542" s="2" t="n">
        <v>57.37</v>
      </c>
      <c r="CZ542" s="2" t="n">
        <v>0</v>
      </c>
      <c r="DA542" s="2" t="n">
        <v>64.38</v>
      </c>
      <c r="DB542" s="2" t="n">
        <v>66.56999999999999</v>
      </c>
      <c r="DC542" s="2" t="n">
        <v>0</v>
      </c>
      <c r="DD542" s="2" t="n">
        <v>74.45</v>
      </c>
      <c r="DE542" s="2" t="n">
        <v>76.64</v>
      </c>
      <c r="DF542" s="2" t="n">
        <v>0</v>
      </c>
      <c r="DG542" s="2" t="n">
        <v>82.34</v>
      </c>
      <c r="DH542" s="2" t="n">
        <v>84.53</v>
      </c>
      <c r="DI542" s="2" t="n">
        <v>0</v>
      </c>
      <c r="DJ542" s="2" t="n">
        <v>91.69</v>
      </c>
      <c r="DK542" s="2" t="n">
        <v>93.92</v>
      </c>
      <c r="DL542" s="2" t="n">
        <v>0</v>
      </c>
      <c r="DM542" s="2" t="n">
        <v>95.09999999999999</v>
      </c>
      <c r="DN542" s="2" t="n">
        <v>95.09999999999999</v>
      </c>
      <c r="DO542" s="2" t="n">
        <v>0</v>
      </c>
      <c r="DP542" s="2" t="n">
        <v>95.09999999999999</v>
      </c>
      <c r="DQ542" s="2" t="n">
        <v>97.81</v>
      </c>
      <c r="DR542" s="2" t="n">
        <v>0</v>
      </c>
      <c r="DS542" s="2" t="n">
        <v>100</v>
      </c>
      <c r="DT542" s="2" t="n">
        <v>100</v>
      </c>
      <c r="DU542" s="2" t="n">
        <v>0</v>
      </c>
      <c r="DV542" s="2" t="n">
        <v>100</v>
      </c>
      <c r="DW542" s="2" t="n">
        <v>100</v>
      </c>
      <c r="DX542" s="2" t="n">
        <v>0</v>
      </c>
      <c r="DY542" s="2" t="n">
        <v>100</v>
      </c>
      <c r="DZ542" s="2" t="n">
        <v>100</v>
      </c>
      <c r="EA542" s="2" t="n">
        <v>0</v>
      </c>
      <c r="EB542" s="2" t="n">
        <v>100</v>
      </c>
      <c r="EC542" s="2" t="n">
        <v>100</v>
      </c>
      <c r="ED542" s="2" t="n">
        <v>0</v>
      </c>
      <c r="EE542" s="2" t="n">
        <v>100</v>
      </c>
      <c r="EF542" s="2" t="n">
        <v>100</v>
      </c>
      <c r="EG542" s="2" t="n">
        <v>0</v>
      </c>
      <c r="EH542" s="2" t="n">
        <v>100</v>
      </c>
      <c r="EI542" s="2" t="n">
        <v>100</v>
      </c>
      <c r="EJ542" s="2" t="n">
        <v>0</v>
      </c>
      <c r="EK542" s="2" t="n">
        <v>100</v>
      </c>
      <c r="EL542" s="2" t="n">
        <v>100</v>
      </c>
      <c r="EM542" s="2" t="n">
        <v>0</v>
      </c>
      <c r="EN542" s="2" t="n">
        <v>100</v>
      </c>
      <c r="EO542" s="2" t="n">
        <v>100</v>
      </c>
      <c r="EP542" s="2" t="n">
        <v>0</v>
      </c>
      <c r="EQ542" s="2" t="n">
        <v>100</v>
      </c>
      <c r="ER542" s="2" t="n">
        <v>100</v>
      </c>
      <c r="ES542" s="2" t="n">
        <v>0</v>
      </c>
    </row>
    <row r="543">
      <c r="A543" s="2" t="n">
        <v>3</v>
      </c>
      <c r="B543" s="2" t="inlineStr">
        <is>
          <t>23.02.02</t>
        </is>
      </c>
      <c r="C543" s="2" t="inlineStr">
        <is>
          <t>Sistema de exaustão tipo ventokit</t>
        </is>
      </c>
      <c r="D543" s="2" t="inlineStr">
        <is>
          <t>19/10/2027</t>
        </is>
      </c>
      <c r="E543" s="2" t="inlineStr">
        <is>
          <t>14/09/2028</t>
        </is>
      </c>
      <c r="F543" s="2" t="n">
        <v>110200</v>
      </c>
      <c r="G543" s="2" t="n">
        <v>0</v>
      </c>
      <c r="H543" s="2" t="n">
        <v>110200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  <c r="AM543" s="2" t="n">
        <v>0</v>
      </c>
      <c r="AN543" s="2" t="n">
        <v>0</v>
      </c>
      <c r="AO543" s="2" t="n">
        <v>0</v>
      </c>
      <c r="AP543" s="2" t="n">
        <v>0</v>
      </c>
      <c r="AQ543" s="2" t="n">
        <v>0</v>
      </c>
      <c r="AR543" s="2" t="n">
        <v>0</v>
      </c>
      <c r="AS543" s="2" t="n">
        <v>0</v>
      </c>
      <c r="AT543" s="2" t="n">
        <v>0</v>
      </c>
      <c r="AU543" s="2" t="n">
        <v>0</v>
      </c>
      <c r="AV543" s="2" t="n">
        <v>0</v>
      </c>
      <c r="AW543" s="2" t="n">
        <v>0</v>
      </c>
      <c r="AX543" s="2" t="n">
        <v>0</v>
      </c>
      <c r="AY543" s="2" t="n">
        <v>0</v>
      </c>
      <c r="AZ543" s="2" t="n">
        <v>0</v>
      </c>
      <c r="BA543" s="2" t="n">
        <v>0</v>
      </c>
      <c r="BB543" s="2" t="n">
        <v>0</v>
      </c>
      <c r="BC543" s="2" t="n">
        <v>0</v>
      </c>
      <c r="BD543" s="2" t="n">
        <v>0</v>
      </c>
      <c r="BE543" s="2" t="n">
        <v>0</v>
      </c>
      <c r="BF543" s="2" t="n">
        <v>0</v>
      </c>
      <c r="BG543" s="2" t="n">
        <v>0</v>
      </c>
      <c r="BH543" s="2" t="n">
        <v>0</v>
      </c>
      <c r="BI543" s="2" t="n">
        <v>0</v>
      </c>
      <c r="BJ543" s="2" t="n">
        <v>0</v>
      </c>
      <c r="BK543" s="2" t="n">
        <v>0</v>
      </c>
      <c r="BL543" s="2" t="n">
        <v>0</v>
      </c>
      <c r="BM543" s="2" t="n">
        <v>0</v>
      </c>
      <c r="BN543" s="2" t="n">
        <v>0</v>
      </c>
      <c r="BO543" s="2" t="n">
        <v>0</v>
      </c>
      <c r="BP543" s="2" t="n">
        <v>0</v>
      </c>
      <c r="BQ543" s="2" t="n">
        <v>0</v>
      </c>
      <c r="BR543" s="2" t="n">
        <v>0</v>
      </c>
      <c r="BS543" s="2" t="n">
        <v>0</v>
      </c>
      <c r="BT543" s="2" t="n">
        <v>0</v>
      </c>
      <c r="BU543" s="2" t="n">
        <v>0</v>
      </c>
      <c r="BV543" s="2" t="n">
        <v>0</v>
      </c>
      <c r="BW543" s="2" t="n">
        <v>0</v>
      </c>
      <c r="BX543" s="2" t="n">
        <v>0</v>
      </c>
      <c r="BY543" s="2" t="n">
        <v>0</v>
      </c>
      <c r="BZ543" s="2" t="n">
        <v>0</v>
      </c>
      <c r="CA543" s="2" t="n">
        <v>0</v>
      </c>
      <c r="CB543" s="2" t="n">
        <v>0</v>
      </c>
      <c r="CC543" s="2" t="n">
        <v>0</v>
      </c>
      <c r="CD543" s="2" t="n">
        <v>0</v>
      </c>
      <c r="CE543" s="2" t="n">
        <v>0</v>
      </c>
      <c r="CF543" s="2" t="n">
        <v>0</v>
      </c>
      <c r="CG543" s="2" t="n">
        <v>0</v>
      </c>
      <c r="CH543" s="2" t="n">
        <v>0</v>
      </c>
      <c r="CI543" s="2" t="n">
        <v>0</v>
      </c>
      <c r="CJ543" s="2" t="n">
        <v>0</v>
      </c>
      <c r="CK543" s="2" t="n">
        <v>0</v>
      </c>
      <c r="CL543" s="2" t="n">
        <v>0</v>
      </c>
      <c r="CM543" s="2" t="n">
        <v>0</v>
      </c>
      <c r="CN543" s="2" t="n">
        <v>0</v>
      </c>
      <c r="CO543" s="2" t="n">
        <v>8.08</v>
      </c>
      <c r="CP543" s="2" t="n">
        <v>9.09</v>
      </c>
      <c r="CQ543" s="2" t="n">
        <v>0</v>
      </c>
      <c r="CR543" s="2" t="n">
        <v>28.28</v>
      </c>
      <c r="CS543" s="2" t="n">
        <v>29.29</v>
      </c>
      <c r="CT543" s="2" t="n">
        <v>0</v>
      </c>
      <c r="CU543" s="2" t="n">
        <v>33.33</v>
      </c>
      <c r="CV543" s="2" t="n">
        <v>33.33</v>
      </c>
      <c r="CW543" s="2" t="n">
        <v>0</v>
      </c>
      <c r="CX543" s="2" t="n">
        <v>33.33</v>
      </c>
      <c r="CY543" s="2" t="n">
        <v>33.33</v>
      </c>
      <c r="CZ543" s="2" t="n">
        <v>0</v>
      </c>
      <c r="DA543" s="2" t="n">
        <v>33.33</v>
      </c>
      <c r="DB543" s="2" t="n">
        <v>33.33</v>
      </c>
      <c r="DC543" s="2" t="n">
        <v>0</v>
      </c>
      <c r="DD543" s="2" t="n">
        <v>33.33</v>
      </c>
      <c r="DE543" s="2" t="n">
        <v>33.33</v>
      </c>
      <c r="DF543" s="2" t="n">
        <v>0</v>
      </c>
      <c r="DG543" s="2" t="n">
        <v>33.33</v>
      </c>
      <c r="DH543" s="2" t="n">
        <v>33.33</v>
      </c>
      <c r="DI543" s="2" t="n">
        <v>0</v>
      </c>
      <c r="DJ543" s="2" t="n">
        <v>33.33</v>
      </c>
      <c r="DK543" s="2" t="n">
        <v>33.33</v>
      </c>
      <c r="DL543" s="2" t="n">
        <v>0</v>
      </c>
      <c r="DM543" s="2" t="n">
        <v>33.33</v>
      </c>
      <c r="DN543" s="2" t="n">
        <v>48.89</v>
      </c>
      <c r="DO543" s="2" t="n">
        <v>0</v>
      </c>
      <c r="DP543" s="2" t="n">
        <v>66.67</v>
      </c>
      <c r="DQ543" s="2" t="n">
        <v>66.67</v>
      </c>
      <c r="DR543" s="2" t="n">
        <v>0</v>
      </c>
      <c r="DS543" s="2" t="n">
        <v>66.67</v>
      </c>
      <c r="DT543" s="2" t="n">
        <v>80</v>
      </c>
      <c r="DU543" s="2" t="n">
        <v>0</v>
      </c>
      <c r="DV543" s="2" t="n">
        <v>97.78</v>
      </c>
      <c r="DW543" s="2" t="n">
        <v>100</v>
      </c>
      <c r="DX543" s="2" t="n">
        <v>0</v>
      </c>
      <c r="DY543" s="2" t="n">
        <v>100</v>
      </c>
      <c r="DZ543" s="2" t="n">
        <v>100</v>
      </c>
      <c r="EA543" s="2" t="n">
        <v>0</v>
      </c>
      <c r="EB543" s="2" t="n">
        <v>100</v>
      </c>
      <c r="EC543" s="2" t="n">
        <v>100</v>
      </c>
      <c r="ED543" s="2" t="n">
        <v>0</v>
      </c>
      <c r="EE543" s="2" t="n">
        <v>100</v>
      </c>
      <c r="EF543" s="2" t="n">
        <v>100</v>
      </c>
      <c r="EG543" s="2" t="n">
        <v>0</v>
      </c>
      <c r="EH543" s="2" t="n">
        <v>100</v>
      </c>
      <c r="EI543" s="2" t="n">
        <v>100</v>
      </c>
      <c r="EJ543" s="2" t="n">
        <v>0</v>
      </c>
      <c r="EK543" s="2" t="n">
        <v>100</v>
      </c>
      <c r="EL543" s="2" t="n">
        <v>100</v>
      </c>
      <c r="EM543" s="2" t="n">
        <v>0</v>
      </c>
      <c r="EN543" s="2" t="n">
        <v>100</v>
      </c>
      <c r="EO543" s="2" t="n">
        <v>100</v>
      </c>
      <c r="EP543" s="2" t="n">
        <v>0</v>
      </c>
      <c r="EQ543" s="2" t="n">
        <v>100</v>
      </c>
      <c r="ER543" s="2" t="n">
        <v>100</v>
      </c>
      <c r="ES543" s="2" t="n">
        <v>0</v>
      </c>
    </row>
    <row r="544">
      <c r="A544" s="2" t="n">
        <v>3</v>
      </c>
      <c r="B544" s="2" t="inlineStr">
        <is>
          <t>23.02.03</t>
        </is>
      </c>
      <c r="C544" s="2" t="inlineStr">
        <is>
          <t>Sistema de Pressurização</t>
        </is>
      </c>
      <c r="D544" s="2" t="inlineStr">
        <is>
          <t>19/10/2027</t>
        </is>
      </c>
      <c r="E544" s="2" t="inlineStr">
        <is>
          <t>14/09/2028</t>
        </is>
      </c>
      <c r="F544" s="2" t="n">
        <v>185644</v>
      </c>
      <c r="G544" s="2" t="n">
        <v>0</v>
      </c>
      <c r="H544" s="2" t="n">
        <v>185644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  <c r="AN544" s="2" t="n">
        <v>0</v>
      </c>
      <c r="AO544" s="2" t="n">
        <v>0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n">
        <v>0</v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n">
        <v>0</v>
      </c>
      <c r="BI544" s="2" t="n">
        <v>0</v>
      </c>
      <c r="BJ544" s="2" t="n">
        <v>0</v>
      </c>
      <c r="BK544" s="2" t="n">
        <v>0</v>
      </c>
      <c r="BL544" s="2" t="n">
        <v>0</v>
      </c>
      <c r="BM544" s="2" t="n">
        <v>0</v>
      </c>
      <c r="BN544" s="2" t="n">
        <v>0</v>
      </c>
      <c r="BO544" s="2" t="n">
        <v>0</v>
      </c>
      <c r="BP544" s="2" t="n">
        <v>0</v>
      </c>
      <c r="BQ544" s="2" t="n">
        <v>0</v>
      </c>
      <c r="BR544" s="2" t="n">
        <v>0</v>
      </c>
      <c r="BS544" s="2" t="n">
        <v>0</v>
      </c>
      <c r="BT544" s="2" t="n">
        <v>0</v>
      </c>
      <c r="BU544" s="2" t="n">
        <v>0</v>
      </c>
      <c r="BV544" s="2" t="n">
        <v>0</v>
      </c>
      <c r="BW544" s="2" t="n">
        <v>0</v>
      </c>
      <c r="BX544" s="2" t="n">
        <v>0</v>
      </c>
      <c r="BY544" s="2" t="n">
        <v>0</v>
      </c>
      <c r="BZ544" s="2" t="n">
        <v>0</v>
      </c>
      <c r="CA544" s="2" t="n">
        <v>0</v>
      </c>
      <c r="CB544" s="2" t="n">
        <v>0</v>
      </c>
      <c r="CC544" s="2" t="n">
        <v>0</v>
      </c>
      <c r="CD544" s="2" t="n">
        <v>0</v>
      </c>
      <c r="CE544" s="2" t="n">
        <v>0</v>
      </c>
      <c r="CF544" s="2" t="n">
        <v>0</v>
      </c>
      <c r="CG544" s="2" t="n">
        <v>0</v>
      </c>
      <c r="CH544" s="2" t="n">
        <v>0</v>
      </c>
      <c r="CI544" s="2" t="n">
        <v>0</v>
      </c>
      <c r="CJ544" s="2" t="n">
        <v>0</v>
      </c>
      <c r="CK544" s="2" t="n">
        <v>0</v>
      </c>
      <c r="CL544" s="2" t="n">
        <v>0</v>
      </c>
      <c r="CM544" s="2" t="n">
        <v>0</v>
      </c>
      <c r="CN544" s="2" t="n">
        <v>0</v>
      </c>
      <c r="CO544" s="2" t="n">
        <v>8.08</v>
      </c>
      <c r="CP544" s="2" t="n">
        <v>9.09</v>
      </c>
      <c r="CQ544" s="2" t="n">
        <v>0</v>
      </c>
      <c r="CR544" s="2" t="n">
        <v>28.28</v>
      </c>
      <c r="CS544" s="2" t="n">
        <v>29.29</v>
      </c>
      <c r="CT544" s="2" t="n">
        <v>0</v>
      </c>
      <c r="CU544" s="2" t="n">
        <v>33.33</v>
      </c>
      <c r="CV544" s="2" t="n">
        <v>33.33</v>
      </c>
      <c r="CW544" s="2" t="n">
        <v>0</v>
      </c>
      <c r="CX544" s="2" t="n">
        <v>33.33</v>
      </c>
      <c r="CY544" s="2" t="n">
        <v>33.33</v>
      </c>
      <c r="CZ544" s="2" t="n">
        <v>0</v>
      </c>
      <c r="DA544" s="2" t="n">
        <v>33.33</v>
      </c>
      <c r="DB544" s="2" t="n">
        <v>33.33</v>
      </c>
      <c r="DC544" s="2" t="n">
        <v>0</v>
      </c>
      <c r="DD544" s="2" t="n">
        <v>33.33</v>
      </c>
      <c r="DE544" s="2" t="n">
        <v>33.33</v>
      </c>
      <c r="DF544" s="2" t="n">
        <v>0</v>
      </c>
      <c r="DG544" s="2" t="n">
        <v>33.33</v>
      </c>
      <c r="DH544" s="2" t="n">
        <v>33.33</v>
      </c>
      <c r="DI544" s="2" t="n">
        <v>0</v>
      </c>
      <c r="DJ544" s="2" t="n">
        <v>33.33</v>
      </c>
      <c r="DK544" s="2" t="n">
        <v>33.33</v>
      </c>
      <c r="DL544" s="2" t="n">
        <v>0</v>
      </c>
      <c r="DM544" s="2" t="n">
        <v>33.33</v>
      </c>
      <c r="DN544" s="2" t="n">
        <v>48.89</v>
      </c>
      <c r="DO544" s="2" t="n">
        <v>0</v>
      </c>
      <c r="DP544" s="2" t="n">
        <v>66.67</v>
      </c>
      <c r="DQ544" s="2" t="n">
        <v>66.67</v>
      </c>
      <c r="DR544" s="2" t="n">
        <v>0</v>
      </c>
      <c r="DS544" s="2" t="n">
        <v>66.67</v>
      </c>
      <c r="DT544" s="2" t="n">
        <v>80</v>
      </c>
      <c r="DU544" s="2" t="n">
        <v>0</v>
      </c>
      <c r="DV544" s="2" t="n">
        <v>97.78</v>
      </c>
      <c r="DW544" s="2" t="n">
        <v>100</v>
      </c>
      <c r="DX544" s="2" t="n">
        <v>0</v>
      </c>
      <c r="DY544" s="2" t="n">
        <v>100</v>
      </c>
      <c r="DZ544" s="2" t="n">
        <v>100</v>
      </c>
      <c r="EA544" s="2" t="n">
        <v>0</v>
      </c>
      <c r="EB544" s="2" t="n">
        <v>100</v>
      </c>
      <c r="EC544" s="2" t="n">
        <v>100</v>
      </c>
      <c r="ED544" s="2" t="n">
        <v>0</v>
      </c>
      <c r="EE544" s="2" t="n">
        <v>100</v>
      </c>
      <c r="EF544" s="2" t="n">
        <v>100</v>
      </c>
      <c r="EG544" s="2" t="n">
        <v>0</v>
      </c>
      <c r="EH544" s="2" t="n">
        <v>100</v>
      </c>
      <c r="EI544" s="2" t="n">
        <v>100</v>
      </c>
      <c r="EJ544" s="2" t="n">
        <v>0</v>
      </c>
      <c r="EK544" s="2" t="n">
        <v>100</v>
      </c>
      <c r="EL544" s="2" t="n">
        <v>100</v>
      </c>
      <c r="EM544" s="2" t="n">
        <v>0</v>
      </c>
      <c r="EN544" s="2" t="n">
        <v>100</v>
      </c>
      <c r="EO544" s="2" t="n">
        <v>100</v>
      </c>
      <c r="EP544" s="2" t="n">
        <v>0</v>
      </c>
      <c r="EQ544" s="2" t="n">
        <v>100</v>
      </c>
      <c r="ER544" s="2" t="n">
        <v>100</v>
      </c>
      <c r="ES544" s="2" t="n">
        <v>0</v>
      </c>
    </row>
    <row r="545">
      <c r="A545" s="2" t="n">
        <v>3</v>
      </c>
      <c r="B545" s="2" t="inlineStr">
        <is>
          <t>23.02.04</t>
        </is>
      </c>
      <c r="C545" s="2" t="inlineStr">
        <is>
          <t>Sistema de exaustão do subsolo comercial</t>
        </is>
      </c>
      <c r="D545" s="2" t="inlineStr">
        <is>
          <t>19/10/2027</t>
        </is>
      </c>
      <c r="E545" s="2" t="inlineStr">
        <is>
          <t>14/09/2028</t>
        </is>
      </c>
      <c r="F545" s="2" t="n">
        <v>217633</v>
      </c>
      <c r="G545" s="2" t="n">
        <v>0</v>
      </c>
      <c r="H545" s="2" t="n">
        <v>217633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0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n">
        <v>0</v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n">
        <v>0</v>
      </c>
      <c r="BI545" s="2" t="n">
        <v>0</v>
      </c>
      <c r="BJ545" s="2" t="n">
        <v>0</v>
      </c>
      <c r="BK545" s="2" t="n">
        <v>0</v>
      </c>
      <c r="BL545" s="2" t="n">
        <v>0</v>
      </c>
      <c r="BM545" s="2" t="n">
        <v>0</v>
      </c>
      <c r="BN545" s="2" t="n">
        <v>0</v>
      </c>
      <c r="BO545" s="2" t="n">
        <v>0</v>
      </c>
      <c r="BP545" s="2" t="n">
        <v>0</v>
      </c>
      <c r="BQ545" s="2" t="n">
        <v>0</v>
      </c>
      <c r="BR545" s="2" t="n">
        <v>0</v>
      </c>
      <c r="BS545" s="2" t="n">
        <v>0</v>
      </c>
      <c r="BT545" s="2" t="n">
        <v>0</v>
      </c>
      <c r="BU545" s="2" t="n">
        <v>0</v>
      </c>
      <c r="BV545" s="2" t="n">
        <v>0</v>
      </c>
      <c r="BW545" s="2" t="n">
        <v>0</v>
      </c>
      <c r="BX545" s="2" t="n">
        <v>0</v>
      </c>
      <c r="BY545" s="2" t="n">
        <v>0</v>
      </c>
      <c r="BZ545" s="2" t="n">
        <v>0</v>
      </c>
      <c r="CA545" s="2" t="n">
        <v>0</v>
      </c>
      <c r="CB545" s="2" t="n">
        <v>0</v>
      </c>
      <c r="CC545" s="2" t="n">
        <v>0</v>
      </c>
      <c r="CD545" s="2" t="n">
        <v>0</v>
      </c>
      <c r="CE545" s="2" t="n">
        <v>0</v>
      </c>
      <c r="CF545" s="2" t="n">
        <v>0</v>
      </c>
      <c r="CG545" s="2" t="n">
        <v>0</v>
      </c>
      <c r="CH545" s="2" t="n">
        <v>0</v>
      </c>
      <c r="CI545" s="2" t="n">
        <v>0</v>
      </c>
      <c r="CJ545" s="2" t="n">
        <v>0</v>
      </c>
      <c r="CK545" s="2" t="n">
        <v>0</v>
      </c>
      <c r="CL545" s="2" t="n">
        <v>0</v>
      </c>
      <c r="CM545" s="2" t="n">
        <v>0</v>
      </c>
      <c r="CN545" s="2" t="n">
        <v>0</v>
      </c>
      <c r="CO545" s="2" t="n">
        <v>8.08</v>
      </c>
      <c r="CP545" s="2" t="n">
        <v>9.09</v>
      </c>
      <c r="CQ545" s="2" t="n">
        <v>0</v>
      </c>
      <c r="CR545" s="2" t="n">
        <v>28.28</v>
      </c>
      <c r="CS545" s="2" t="n">
        <v>29.29</v>
      </c>
      <c r="CT545" s="2" t="n">
        <v>0</v>
      </c>
      <c r="CU545" s="2" t="n">
        <v>33.33</v>
      </c>
      <c r="CV545" s="2" t="n">
        <v>33.33</v>
      </c>
      <c r="CW545" s="2" t="n">
        <v>0</v>
      </c>
      <c r="CX545" s="2" t="n">
        <v>33.33</v>
      </c>
      <c r="CY545" s="2" t="n">
        <v>33.33</v>
      </c>
      <c r="CZ545" s="2" t="n">
        <v>0</v>
      </c>
      <c r="DA545" s="2" t="n">
        <v>33.33</v>
      </c>
      <c r="DB545" s="2" t="n">
        <v>33.33</v>
      </c>
      <c r="DC545" s="2" t="n">
        <v>0</v>
      </c>
      <c r="DD545" s="2" t="n">
        <v>33.33</v>
      </c>
      <c r="DE545" s="2" t="n">
        <v>33.33</v>
      </c>
      <c r="DF545" s="2" t="n">
        <v>0</v>
      </c>
      <c r="DG545" s="2" t="n">
        <v>33.33</v>
      </c>
      <c r="DH545" s="2" t="n">
        <v>33.33</v>
      </c>
      <c r="DI545" s="2" t="n">
        <v>0</v>
      </c>
      <c r="DJ545" s="2" t="n">
        <v>33.33</v>
      </c>
      <c r="DK545" s="2" t="n">
        <v>33.33</v>
      </c>
      <c r="DL545" s="2" t="n">
        <v>0</v>
      </c>
      <c r="DM545" s="2" t="n">
        <v>33.33</v>
      </c>
      <c r="DN545" s="2" t="n">
        <v>48.89</v>
      </c>
      <c r="DO545" s="2" t="n">
        <v>0</v>
      </c>
      <c r="DP545" s="2" t="n">
        <v>66.67</v>
      </c>
      <c r="DQ545" s="2" t="n">
        <v>66.67</v>
      </c>
      <c r="DR545" s="2" t="n">
        <v>0</v>
      </c>
      <c r="DS545" s="2" t="n">
        <v>66.67</v>
      </c>
      <c r="DT545" s="2" t="n">
        <v>80</v>
      </c>
      <c r="DU545" s="2" t="n">
        <v>0</v>
      </c>
      <c r="DV545" s="2" t="n">
        <v>97.78</v>
      </c>
      <c r="DW545" s="2" t="n">
        <v>100</v>
      </c>
      <c r="DX545" s="2" t="n">
        <v>0</v>
      </c>
      <c r="DY545" s="2" t="n">
        <v>100</v>
      </c>
      <c r="DZ545" s="2" t="n">
        <v>100</v>
      </c>
      <c r="EA545" s="2" t="n">
        <v>0</v>
      </c>
      <c r="EB545" s="2" t="n">
        <v>100</v>
      </c>
      <c r="EC545" s="2" t="n">
        <v>100</v>
      </c>
      <c r="ED545" s="2" t="n">
        <v>0</v>
      </c>
      <c r="EE545" s="2" t="n">
        <v>100</v>
      </c>
      <c r="EF545" s="2" t="n">
        <v>100</v>
      </c>
      <c r="EG545" s="2" t="n">
        <v>0</v>
      </c>
      <c r="EH545" s="2" t="n">
        <v>100</v>
      </c>
      <c r="EI545" s="2" t="n">
        <v>100</v>
      </c>
      <c r="EJ545" s="2" t="n">
        <v>0</v>
      </c>
      <c r="EK545" s="2" t="n">
        <v>100</v>
      </c>
      <c r="EL545" s="2" t="n">
        <v>100</v>
      </c>
      <c r="EM545" s="2" t="n">
        <v>0</v>
      </c>
      <c r="EN545" s="2" t="n">
        <v>100</v>
      </c>
      <c r="EO545" s="2" t="n">
        <v>100</v>
      </c>
      <c r="EP545" s="2" t="n">
        <v>0</v>
      </c>
      <c r="EQ545" s="2" t="n">
        <v>100</v>
      </c>
      <c r="ER545" s="2" t="n">
        <v>100</v>
      </c>
      <c r="ES545" s="2" t="n">
        <v>0</v>
      </c>
    </row>
    <row r="546">
      <c r="A546" s="2" t="n">
        <v>2</v>
      </c>
      <c r="B546" s="2" t="inlineStr">
        <is>
          <t>23.03</t>
        </is>
      </c>
      <c r="C546" s="2" t="inlineStr">
        <is>
          <t>Serviços Complementares diversos</t>
        </is>
      </c>
      <c r="D546" s="2" t="inlineStr">
        <is>
          <t>20/09/2027</t>
        </is>
      </c>
      <c r="E546" s="2" t="inlineStr">
        <is>
          <t>09/02/2029</t>
        </is>
      </c>
      <c r="F546" s="2" t="n">
        <v>316616</v>
      </c>
      <c r="G546" s="2" t="n">
        <v>0</v>
      </c>
      <c r="H546" s="2" t="n">
        <v>316616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0</v>
      </c>
      <c r="AO546" s="2" t="n">
        <v>0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n">
        <v>0</v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n">
        <v>0</v>
      </c>
      <c r="BI546" s="2" t="n">
        <v>0</v>
      </c>
      <c r="BJ546" s="2" t="n">
        <v>0</v>
      </c>
      <c r="BK546" s="2" t="n">
        <v>0</v>
      </c>
      <c r="BL546" s="2" t="n">
        <v>0</v>
      </c>
      <c r="BM546" s="2" t="n">
        <v>0</v>
      </c>
      <c r="BN546" s="2" t="n">
        <v>0</v>
      </c>
      <c r="BO546" s="2" t="n">
        <v>0</v>
      </c>
      <c r="BP546" s="2" t="n">
        <v>0</v>
      </c>
      <c r="BQ546" s="2" t="n">
        <v>0</v>
      </c>
      <c r="BR546" s="2" t="n">
        <v>0</v>
      </c>
      <c r="BS546" s="2" t="n">
        <v>0</v>
      </c>
      <c r="BT546" s="2" t="n">
        <v>0</v>
      </c>
      <c r="BU546" s="2" t="n">
        <v>0</v>
      </c>
      <c r="BV546" s="2" t="n">
        <v>0</v>
      </c>
      <c r="BW546" s="2" t="n">
        <v>0</v>
      </c>
      <c r="BX546" s="2" t="n">
        <v>0</v>
      </c>
      <c r="BY546" s="2" t="n">
        <v>0</v>
      </c>
      <c r="BZ546" s="2" t="n">
        <v>0</v>
      </c>
      <c r="CA546" s="2" t="n">
        <v>0</v>
      </c>
      <c r="CB546" s="2" t="n">
        <v>0</v>
      </c>
      <c r="CC546" s="2" t="n">
        <v>0</v>
      </c>
      <c r="CD546" s="2" t="n">
        <v>0</v>
      </c>
      <c r="CE546" s="2" t="n">
        <v>0</v>
      </c>
      <c r="CF546" s="2" t="n">
        <v>0</v>
      </c>
      <c r="CG546" s="2" t="n">
        <v>0</v>
      </c>
      <c r="CH546" s="2" t="n">
        <v>0</v>
      </c>
      <c r="CI546" s="2" t="n">
        <v>0</v>
      </c>
      <c r="CJ546" s="2" t="n">
        <v>0</v>
      </c>
      <c r="CK546" s="2" t="n">
        <v>0</v>
      </c>
      <c r="CL546" s="2" t="n">
        <v>0.05</v>
      </c>
      <c r="CM546" s="2" t="n">
        <v>0.12</v>
      </c>
      <c r="CN546" s="2" t="n">
        <v>0</v>
      </c>
      <c r="CO546" s="2" t="n">
        <v>0.36</v>
      </c>
      <c r="CP546" s="2" t="n">
        <v>0.44</v>
      </c>
      <c r="CQ546" s="2" t="n">
        <v>0</v>
      </c>
      <c r="CR546" s="2" t="n">
        <v>0.86</v>
      </c>
      <c r="CS546" s="2" t="n">
        <v>0.9399999999999999</v>
      </c>
      <c r="CT546" s="2" t="n">
        <v>0</v>
      </c>
      <c r="CU546" s="2" t="n">
        <v>1.26</v>
      </c>
      <c r="CV546" s="2" t="n">
        <v>1.34</v>
      </c>
      <c r="CW546" s="2" t="n">
        <v>0</v>
      </c>
      <c r="CX546" s="2" t="n">
        <v>1.91</v>
      </c>
      <c r="CY546" s="2" t="n">
        <v>1.98</v>
      </c>
      <c r="CZ546" s="2" t="n">
        <v>0</v>
      </c>
      <c r="DA546" s="2" t="n">
        <v>2.29</v>
      </c>
      <c r="DB546" s="2" t="n">
        <v>2.36</v>
      </c>
      <c r="DC546" s="2" t="n">
        <v>0</v>
      </c>
      <c r="DD546" s="2" t="n">
        <v>2.71</v>
      </c>
      <c r="DE546" s="2" t="n">
        <v>21.73</v>
      </c>
      <c r="DF546" s="2" t="n">
        <v>0</v>
      </c>
      <c r="DG546" s="2" t="n">
        <v>34.75</v>
      </c>
      <c r="DH546" s="2" t="n">
        <v>34.82</v>
      </c>
      <c r="DI546" s="2" t="n">
        <v>0</v>
      </c>
      <c r="DJ546" s="2" t="n">
        <v>35.34</v>
      </c>
      <c r="DK546" s="2" t="n">
        <v>35.44</v>
      </c>
      <c r="DL546" s="2" t="n">
        <v>0</v>
      </c>
      <c r="DM546" s="2" t="n">
        <v>35.69</v>
      </c>
      <c r="DN546" s="2" t="n">
        <v>35.75</v>
      </c>
      <c r="DO546" s="2" t="n">
        <v>0</v>
      </c>
      <c r="DP546" s="2" t="n">
        <v>35.96</v>
      </c>
      <c r="DQ546" s="2" t="n">
        <v>36.17</v>
      </c>
      <c r="DR546" s="2" t="n">
        <v>0</v>
      </c>
      <c r="DS546" s="2" t="n">
        <v>83.02</v>
      </c>
      <c r="DT546" s="2" t="n">
        <v>85.55</v>
      </c>
      <c r="DU546" s="2" t="n">
        <v>0</v>
      </c>
      <c r="DV546" s="2" t="n">
        <v>87.88</v>
      </c>
      <c r="DW546" s="2" t="n">
        <v>87.89</v>
      </c>
      <c r="DX546" s="2" t="n">
        <v>0</v>
      </c>
      <c r="DY546" s="2" t="n">
        <v>88</v>
      </c>
      <c r="DZ546" s="2" t="n">
        <v>89.23999999999999</v>
      </c>
      <c r="EA546" s="2" t="n">
        <v>0</v>
      </c>
      <c r="EB546" s="2" t="n">
        <v>88.90000000000001</v>
      </c>
      <c r="EC546" s="2" t="n">
        <v>95.76000000000001</v>
      </c>
      <c r="ED546" s="2" t="n">
        <v>0</v>
      </c>
      <c r="EE546" s="2" t="n">
        <v>93.97</v>
      </c>
      <c r="EF546" s="2" t="n">
        <v>99.56</v>
      </c>
      <c r="EG546" s="2" t="n">
        <v>0</v>
      </c>
      <c r="EH546" s="2" t="n">
        <v>99.61</v>
      </c>
      <c r="EI546" s="2" t="n">
        <v>99.84</v>
      </c>
      <c r="EJ546" s="2" t="n">
        <v>0</v>
      </c>
      <c r="EK546" s="2" t="n">
        <v>99.84</v>
      </c>
      <c r="EL546" s="2" t="n">
        <v>100</v>
      </c>
      <c r="EM546" s="2" t="n">
        <v>0</v>
      </c>
      <c r="EN546" s="2" t="n">
        <v>100</v>
      </c>
      <c r="EO546" s="2" t="n">
        <v>100</v>
      </c>
      <c r="EP546" s="2" t="n">
        <v>0</v>
      </c>
      <c r="EQ546" s="2" t="n">
        <v>100</v>
      </c>
      <c r="ER546" s="2" t="n">
        <v>100</v>
      </c>
      <c r="ES546" s="2" t="n">
        <v>0</v>
      </c>
    </row>
    <row r="547">
      <c r="A547" s="2" t="n">
        <v>3</v>
      </c>
      <c r="B547" s="2" t="inlineStr">
        <is>
          <t>23.03.01</t>
        </is>
      </c>
      <c r="C547" s="2" t="inlineStr">
        <is>
          <t>Maquinário para Piscina</t>
        </is>
      </c>
      <c r="D547" s="2" t="inlineStr">
        <is>
          <t>02/08/2028</t>
        </is>
      </c>
      <c r="E547" s="2" t="inlineStr">
        <is>
          <t>01/09/2028</t>
        </is>
      </c>
      <c r="F547" s="2" t="n">
        <v>150000</v>
      </c>
      <c r="G547" s="2" t="n">
        <v>0</v>
      </c>
      <c r="H547" s="2" t="n">
        <v>150000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0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n">
        <v>0</v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n">
        <v>0</v>
      </c>
      <c r="BI547" s="2" t="n">
        <v>0</v>
      </c>
      <c r="BJ547" s="2" t="n">
        <v>0</v>
      </c>
      <c r="BK547" s="2" t="n">
        <v>0</v>
      </c>
      <c r="BL547" s="2" t="n">
        <v>0</v>
      </c>
      <c r="BM547" s="2" t="n">
        <v>0</v>
      </c>
      <c r="BN547" s="2" t="n">
        <v>0</v>
      </c>
      <c r="BO547" s="2" t="n">
        <v>0</v>
      </c>
      <c r="BP547" s="2" t="n">
        <v>0</v>
      </c>
      <c r="BQ547" s="2" t="n">
        <v>0</v>
      </c>
      <c r="BR547" s="2" t="n">
        <v>0</v>
      </c>
      <c r="BS547" s="2" t="n">
        <v>0</v>
      </c>
      <c r="BT547" s="2" t="n">
        <v>0</v>
      </c>
      <c r="BU547" s="2" t="n">
        <v>0</v>
      </c>
      <c r="BV547" s="2" t="n">
        <v>0</v>
      </c>
      <c r="BW547" s="2" t="n">
        <v>0</v>
      </c>
      <c r="BX547" s="2" t="n">
        <v>0</v>
      </c>
      <c r="BY547" s="2" t="n">
        <v>0</v>
      </c>
      <c r="BZ547" s="2" t="n">
        <v>0</v>
      </c>
      <c r="CA547" s="2" t="n">
        <v>0</v>
      </c>
      <c r="CB547" s="2" t="n">
        <v>0</v>
      </c>
      <c r="CC547" s="2" t="n">
        <v>0</v>
      </c>
      <c r="CD547" s="2" t="n">
        <v>0</v>
      </c>
      <c r="CE547" s="2" t="n">
        <v>0</v>
      </c>
      <c r="CF547" s="2" t="n">
        <v>0</v>
      </c>
      <c r="CG547" s="2" t="n">
        <v>0</v>
      </c>
      <c r="CH547" s="2" t="n">
        <v>0</v>
      </c>
      <c r="CI547" s="2" t="n">
        <v>0</v>
      </c>
      <c r="CJ547" s="2" t="n">
        <v>0</v>
      </c>
      <c r="CK547" s="2" t="n">
        <v>0</v>
      </c>
      <c r="CL547" s="2" t="n">
        <v>0</v>
      </c>
      <c r="CM547" s="2" t="n">
        <v>0</v>
      </c>
      <c r="CN547" s="2" t="n">
        <v>0</v>
      </c>
      <c r="CO547" s="2" t="n">
        <v>0</v>
      </c>
      <c r="CP547" s="2" t="n">
        <v>0</v>
      </c>
      <c r="CQ547" s="2" t="n">
        <v>0</v>
      </c>
      <c r="CR547" s="2" t="n">
        <v>0</v>
      </c>
      <c r="CS547" s="2" t="n">
        <v>0</v>
      </c>
      <c r="CT547" s="2" t="n">
        <v>0</v>
      </c>
      <c r="CU547" s="2" t="n">
        <v>0</v>
      </c>
      <c r="CV547" s="2" t="n">
        <v>0</v>
      </c>
      <c r="CW547" s="2" t="n">
        <v>0</v>
      </c>
      <c r="CX547" s="2" t="n">
        <v>0</v>
      </c>
      <c r="CY547" s="2" t="n">
        <v>0</v>
      </c>
      <c r="CZ547" s="2" t="n">
        <v>0</v>
      </c>
      <c r="DA547" s="2" t="n">
        <v>0</v>
      </c>
      <c r="DB547" s="2" t="n">
        <v>0</v>
      </c>
      <c r="DC547" s="2" t="n">
        <v>0</v>
      </c>
      <c r="DD547" s="2" t="n">
        <v>0</v>
      </c>
      <c r="DE547" s="2" t="n">
        <v>0</v>
      </c>
      <c r="DF547" s="2" t="n">
        <v>0</v>
      </c>
      <c r="DG547" s="2" t="n">
        <v>0</v>
      </c>
      <c r="DH547" s="2" t="n">
        <v>0</v>
      </c>
      <c r="DI547" s="2" t="n">
        <v>0</v>
      </c>
      <c r="DJ547" s="2" t="n">
        <v>0</v>
      </c>
      <c r="DK547" s="2" t="n">
        <v>0</v>
      </c>
      <c r="DL547" s="2" t="n">
        <v>0</v>
      </c>
      <c r="DM547" s="2" t="n">
        <v>0</v>
      </c>
      <c r="DN547" s="2" t="n">
        <v>0</v>
      </c>
      <c r="DO547" s="2" t="n">
        <v>0</v>
      </c>
      <c r="DP547" s="2" t="n">
        <v>0</v>
      </c>
      <c r="DQ547" s="2" t="n">
        <v>0</v>
      </c>
      <c r="DR547" s="2" t="n">
        <v>0</v>
      </c>
      <c r="DS547" s="2" t="n">
        <v>90.91</v>
      </c>
      <c r="DT547" s="2" t="n">
        <v>95.45</v>
      </c>
      <c r="DU547" s="2" t="n">
        <v>0</v>
      </c>
      <c r="DV547" s="2" t="n">
        <v>100</v>
      </c>
      <c r="DW547" s="2" t="n">
        <v>100</v>
      </c>
      <c r="DX547" s="2" t="n">
        <v>0</v>
      </c>
      <c r="DY547" s="2" t="n">
        <v>100</v>
      </c>
      <c r="DZ547" s="2" t="n">
        <v>100</v>
      </c>
      <c r="EA547" s="2" t="n">
        <v>0</v>
      </c>
      <c r="EB547" s="2" t="n">
        <v>100</v>
      </c>
      <c r="EC547" s="2" t="n">
        <v>100</v>
      </c>
      <c r="ED547" s="2" t="n">
        <v>0</v>
      </c>
      <c r="EE547" s="2" t="n">
        <v>100</v>
      </c>
      <c r="EF547" s="2" t="n">
        <v>100</v>
      </c>
      <c r="EG547" s="2" t="n">
        <v>0</v>
      </c>
      <c r="EH547" s="2" t="n">
        <v>100</v>
      </c>
      <c r="EI547" s="2" t="n">
        <v>100</v>
      </c>
      <c r="EJ547" s="2" t="n">
        <v>0</v>
      </c>
      <c r="EK547" s="2" t="n">
        <v>100</v>
      </c>
      <c r="EL547" s="2" t="n">
        <v>100</v>
      </c>
      <c r="EM547" s="2" t="n">
        <v>0</v>
      </c>
      <c r="EN547" s="2" t="n">
        <v>100</v>
      </c>
      <c r="EO547" s="2" t="n">
        <v>100</v>
      </c>
      <c r="EP547" s="2" t="n">
        <v>0</v>
      </c>
      <c r="EQ547" s="2" t="n">
        <v>100</v>
      </c>
      <c r="ER547" s="2" t="n">
        <v>100</v>
      </c>
      <c r="ES547" s="2" t="n">
        <v>0</v>
      </c>
    </row>
    <row r="548">
      <c r="A548" s="2" t="n">
        <v>3</v>
      </c>
      <c r="B548" s="2" t="inlineStr">
        <is>
          <t>23.03.02</t>
        </is>
      </c>
      <c r="C548" s="2" t="inlineStr">
        <is>
          <t>Maquinário para sauna</t>
        </is>
      </c>
      <c r="D548" s="2" t="inlineStr">
        <is>
          <t>02/08/2028</t>
        </is>
      </c>
      <c r="E548" s="2" t="inlineStr">
        <is>
          <t>01/09/2028</t>
        </is>
      </c>
      <c r="F548" s="2" t="n">
        <v>12500</v>
      </c>
      <c r="G548" s="2" t="n">
        <v>0</v>
      </c>
      <c r="H548" s="2" t="n">
        <v>12500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  <c r="AN548" s="2" t="n">
        <v>0</v>
      </c>
      <c r="AO548" s="2" t="n">
        <v>0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n">
        <v>0</v>
      </c>
      <c r="AZ548" s="2" t="n">
        <v>0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0</v>
      </c>
      <c r="BF548" s="2" t="n">
        <v>0</v>
      </c>
      <c r="BG548" s="2" t="n">
        <v>0</v>
      </c>
      <c r="BH548" s="2" t="n">
        <v>0</v>
      </c>
      <c r="BI548" s="2" t="n">
        <v>0</v>
      </c>
      <c r="BJ548" s="2" t="n">
        <v>0</v>
      </c>
      <c r="BK548" s="2" t="n">
        <v>0</v>
      </c>
      <c r="BL548" s="2" t="n">
        <v>0</v>
      </c>
      <c r="BM548" s="2" t="n">
        <v>0</v>
      </c>
      <c r="BN548" s="2" t="n">
        <v>0</v>
      </c>
      <c r="BO548" s="2" t="n">
        <v>0</v>
      </c>
      <c r="BP548" s="2" t="n">
        <v>0</v>
      </c>
      <c r="BQ548" s="2" t="n">
        <v>0</v>
      </c>
      <c r="BR548" s="2" t="n">
        <v>0</v>
      </c>
      <c r="BS548" s="2" t="n">
        <v>0</v>
      </c>
      <c r="BT548" s="2" t="n">
        <v>0</v>
      </c>
      <c r="BU548" s="2" t="n">
        <v>0</v>
      </c>
      <c r="BV548" s="2" t="n">
        <v>0</v>
      </c>
      <c r="BW548" s="2" t="n">
        <v>0</v>
      </c>
      <c r="BX548" s="2" t="n">
        <v>0</v>
      </c>
      <c r="BY548" s="2" t="n">
        <v>0</v>
      </c>
      <c r="BZ548" s="2" t="n">
        <v>0</v>
      </c>
      <c r="CA548" s="2" t="n">
        <v>0</v>
      </c>
      <c r="CB548" s="2" t="n">
        <v>0</v>
      </c>
      <c r="CC548" s="2" t="n">
        <v>0</v>
      </c>
      <c r="CD548" s="2" t="n">
        <v>0</v>
      </c>
      <c r="CE548" s="2" t="n">
        <v>0</v>
      </c>
      <c r="CF548" s="2" t="n">
        <v>0</v>
      </c>
      <c r="CG548" s="2" t="n">
        <v>0</v>
      </c>
      <c r="CH548" s="2" t="n">
        <v>0</v>
      </c>
      <c r="CI548" s="2" t="n">
        <v>0</v>
      </c>
      <c r="CJ548" s="2" t="n">
        <v>0</v>
      </c>
      <c r="CK548" s="2" t="n">
        <v>0</v>
      </c>
      <c r="CL548" s="2" t="n">
        <v>0</v>
      </c>
      <c r="CM548" s="2" t="n">
        <v>0</v>
      </c>
      <c r="CN548" s="2" t="n">
        <v>0</v>
      </c>
      <c r="CO548" s="2" t="n">
        <v>0</v>
      </c>
      <c r="CP548" s="2" t="n">
        <v>0</v>
      </c>
      <c r="CQ548" s="2" t="n">
        <v>0</v>
      </c>
      <c r="CR548" s="2" t="n">
        <v>0</v>
      </c>
      <c r="CS548" s="2" t="n">
        <v>0</v>
      </c>
      <c r="CT548" s="2" t="n">
        <v>0</v>
      </c>
      <c r="CU548" s="2" t="n">
        <v>0</v>
      </c>
      <c r="CV548" s="2" t="n">
        <v>0</v>
      </c>
      <c r="CW548" s="2" t="n">
        <v>0</v>
      </c>
      <c r="CX548" s="2" t="n">
        <v>0</v>
      </c>
      <c r="CY548" s="2" t="n">
        <v>0</v>
      </c>
      <c r="CZ548" s="2" t="n">
        <v>0</v>
      </c>
      <c r="DA548" s="2" t="n">
        <v>0</v>
      </c>
      <c r="DB548" s="2" t="n">
        <v>0</v>
      </c>
      <c r="DC548" s="2" t="n">
        <v>0</v>
      </c>
      <c r="DD548" s="2" t="n">
        <v>0</v>
      </c>
      <c r="DE548" s="2" t="n">
        <v>0</v>
      </c>
      <c r="DF548" s="2" t="n">
        <v>0</v>
      </c>
      <c r="DG548" s="2" t="n">
        <v>0</v>
      </c>
      <c r="DH548" s="2" t="n">
        <v>0</v>
      </c>
      <c r="DI548" s="2" t="n">
        <v>0</v>
      </c>
      <c r="DJ548" s="2" t="n">
        <v>0</v>
      </c>
      <c r="DK548" s="2" t="n">
        <v>0</v>
      </c>
      <c r="DL548" s="2" t="n">
        <v>0</v>
      </c>
      <c r="DM548" s="2" t="n">
        <v>0</v>
      </c>
      <c r="DN548" s="2" t="n">
        <v>0</v>
      </c>
      <c r="DO548" s="2" t="n">
        <v>0</v>
      </c>
      <c r="DP548" s="2" t="n">
        <v>0</v>
      </c>
      <c r="DQ548" s="2" t="n">
        <v>0</v>
      </c>
      <c r="DR548" s="2" t="n">
        <v>0</v>
      </c>
      <c r="DS548" s="2" t="n">
        <v>90.91</v>
      </c>
      <c r="DT548" s="2" t="n">
        <v>95.45</v>
      </c>
      <c r="DU548" s="2" t="n">
        <v>0</v>
      </c>
      <c r="DV548" s="2" t="n">
        <v>100</v>
      </c>
      <c r="DW548" s="2" t="n">
        <v>100</v>
      </c>
      <c r="DX548" s="2" t="n">
        <v>0</v>
      </c>
      <c r="DY548" s="2" t="n">
        <v>100</v>
      </c>
      <c r="DZ548" s="2" t="n">
        <v>100</v>
      </c>
      <c r="EA548" s="2" t="n">
        <v>0</v>
      </c>
      <c r="EB548" s="2" t="n">
        <v>100</v>
      </c>
      <c r="EC548" s="2" t="n">
        <v>100</v>
      </c>
      <c r="ED548" s="2" t="n">
        <v>0</v>
      </c>
      <c r="EE548" s="2" t="n">
        <v>100</v>
      </c>
      <c r="EF548" s="2" t="n">
        <v>100</v>
      </c>
      <c r="EG548" s="2" t="n">
        <v>0</v>
      </c>
      <c r="EH548" s="2" t="n">
        <v>100</v>
      </c>
      <c r="EI548" s="2" t="n">
        <v>100</v>
      </c>
      <c r="EJ548" s="2" t="n">
        <v>0</v>
      </c>
      <c r="EK548" s="2" t="n">
        <v>100</v>
      </c>
      <c r="EL548" s="2" t="n">
        <v>100</v>
      </c>
      <c r="EM548" s="2" t="n">
        <v>0</v>
      </c>
      <c r="EN548" s="2" t="n">
        <v>100</v>
      </c>
      <c r="EO548" s="2" t="n">
        <v>100</v>
      </c>
      <c r="EP548" s="2" t="n">
        <v>0</v>
      </c>
      <c r="EQ548" s="2" t="n">
        <v>100</v>
      </c>
      <c r="ER548" s="2" t="n">
        <v>100</v>
      </c>
      <c r="ES548" s="2" t="n">
        <v>0</v>
      </c>
    </row>
    <row r="549">
      <c r="A549" s="2" t="n">
        <v>3</v>
      </c>
      <c r="B549" s="2" t="inlineStr">
        <is>
          <t>23.03.03</t>
        </is>
      </c>
      <c r="C549" s="2" t="inlineStr">
        <is>
          <t>Protecao Anti-Impacto Nas Garagens</t>
        </is>
      </c>
      <c r="D549" s="2" t="inlineStr">
        <is>
          <t>11/02/2028</t>
        </is>
      </c>
      <c r="E549" s="2" t="inlineStr">
        <is>
          <t>09/02/2029</t>
        </is>
      </c>
      <c r="F549" s="2" t="n">
        <v>4116</v>
      </c>
      <c r="G549" s="2" t="n">
        <v>0</v>
      </c>
      <c r="H549" s="2" t="n">
        <v>4116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  <c r="AN549" s="2" t="n">
        <v>0</v>
      </c>
      <c r="AO549" s="2" t="n">
        <v>0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0</v>
      </c>
      <c r="AY549" s="2" t="n">
        <v>0</v>
      </c>
      <c r="AZ549" s="2" t="n">
        <v>0</v>
      </c>
      <c r="BA549" s="2" t="n">
        <v>0</v>
      </c>
      <c r="BB549" s="2" t="n">
        <v>0</v>
      </c>
      <c r="BC549" s="2" t="n">
        <v>0</v>
      </c>
      <c r="BD549" s="2" t="n">
        <v>0</v>
      </c>
      <c r="BE549" s="2" t="n">
        <v>0</v>
      </c>
      <c r="BF549" s="2" t="n">
        <v>0</v>
      </c>
      <c r="BG549" s="2" t="n">
        <v>0</v>
      </c>
      <c r="BH549" s="2" t="n">
        <v>0</v>
      </c>
      <c r="BI549" s="2" t="n">
        <v>0</v>
      </c>
      <c r="BJ549" s="2" t="n">
        <v>0</v>
      </c>
      <c r="BK549" s="2" t="n">
        <v>0</v>
      </c>
      <c r="BL549" s="2" t="n">
        <v>0</v>
      </c>
      <c r="BM549" s="2" t="n">
        <v>0</v>
      </c>
      <c r="BN549" s="2" t="n">
        <v>0</v>
      </c>
      <c r="BO549" s="2" t="n">
        <v>0</v>
      </c>
      <c r="BP549" s="2" t="n">
        <v>0</v>
      </c>
      <c r="BQ549" s="2" t="n">
        <v>0</v>
      </c>
      <c r="BR549" s="2" t="n">
        <v>0</v>
      </c>
      <c r="BS549" s="2" t="n">
        <v>0</v>
      </c>
      <c r="BT549" s="2" t="n">
        <v>0</v>
      </c>
      <c r="BU549" s="2" t="n">
        <v>0</v>
      </c>
      <c r="BV549" s="2" t="n">
        <v>0</v>
      </c>
      <c r="BW549" s="2" t="n">
        <v>0</v>
      </c>
      <c r="BX549" s="2" t="n">
        <v>0</v>
      </c>
      <c r="BY549" s="2" t="n">
        <v>0</v>
      </c>
      <c r="BZ549" s="2" t="n">
        <v>0</v>
      </c>
      <c r="CA549" s="2" t="n">
        <v>0</v>
      </c>
      <c r="CB549" s="2" t="n">
        <v>0</v>
      </c>
      <c r="CC549" s="2" t="n">
        <v>0</v>
      </c>
      <c r="CD549" s="2" t="n">
        <v>0</v>
      </c>
      <c r="CE549" s="2" t="n">
        <v>0</v>
      </c>
      <c r="CF549" s="2" t="n">
        <v>0</v>
      </c>
      <c r="CG549" s="2" t="n">
        <v>0</v>
      </c>
      <c r="CH549" s="2" t="n">
        <v>0</v>
      </c>
      <c r="CI549" s="2" t="n">
        <v>0</v>
      </c>
      <c r="CJ549" s="2" t="n">
        <v>0</v>
      </c>
      <c r="CK549" s="2" t="n">
        <v>0</v>
      </c>
      <c r="CL549" s="2" t="n">
        <v>0</v>
      </c>
      <c r="CM549" s="2" t="n">
        <v>0</v>
      </c>
      <c r="CN549" s="2" t="n">
        <v>0</v>
      </c>
      <c r="CO549" s="2" t="n">
        <v>0</v>
      </c>
      <c r="CP549" s="2" t="n">
        <v>0</v>
      </c>
      <c r="CQ549" s="2" t="n">
        <v>0</v>
      </c>
      <c r="CR549" s="2" t="n">
        <v>0</v>
      </c>
      <c r="CS549" s="2" t="n">
        <v>0</v>
      </c>
      <c r="CT549" s="2" t="n">
        <v>0</v>
      </c>
      <c r="CU549" s="2" t="n">
        <v>0</v>
      </c>
      <c r="CV549" s="2" t="n">
        <v>0</v>
      </c>
      <c r="CW549" s="2" t="n">
        <v>0</v>
      </c>
      <c r="CX549" s="2" t="n">
        <v>0</v>
      </c>
      <c r="CY549" s="2" t="n">
        <v>0</v>
      </c>
      <c r="CZ549" s="2" t="n">
        <v>0</v>
      </c>
      <c r="DA549" s="2" t="n">
        <v>0.01</v>
      </c>
      <c r="DB549" s="2" t="n">
        <v>0.01</v>
      </c>
      <c r="DC549" s="2" t="n">
        <v>0</v>
      </c>
      <c r="DD549" s="2" t="n">
        <v>0.04</v>
      </c>
      <c r="DE549" s="2" t="n">
        <v>0.04</v>
      </c>
      <c r="DF549" s="2" t="n">
        <v>0</v>
      </c>
      <c r="DG549" s="2" t="n">
        <v>0.06</v>
      </c>
      <c r="DH549" s="2" t="n">
        <v>0.06</v>
      </c>
      <c r="DI549" s="2" t="n">
        <v>0</v>
      </c>
      <c r="DJ549" s="2" t="n">
        <v>21.67</v>
      </c>
      <c r="DK549" s="2" t="n">
        <v>24.37</v>
      </c>
      <c r="DL549" s="2" t="n">
        <v>0</v>
      </c>
      <c r="DM549" s="2" t="n">
        <v>27.09</v>
      </c>
      <c r="DN549" s="2" t="n">
        <v>27.09</v>
      </c>
      <c r="DO549" s="2" t="n">
        <v>0</v>
      </c>
      <c r="DP549" s="2" t="n">
        <v>27.11</v>
      </c>
      <c r="DQ549" s="2" t="n">
        <v>27.12</v>
      </c>
      <c r="DR549" s="2" t="n">
        <v>0</v>
      </c>
      <c r="DS549" s="2" t="n">
        <v>27.13</v>
      </c>
      <c r="DT549" s="2" t="n">
        <v>27.14</v>
      </c>
      <c r="DU549" s="2" t="n">
        <v>0</v>
      </c>
      <c r="DV549" s="2" t="n">
        <v>27.16</v>
      </c>
      <c r="DW549" s="2" t="n">
        <v>27.16</v>
      </c>
      <c r="DX549" s="2" t="n">
        <v>0</v>
      </c>
      <c r="DY549" s="2" t="n">
        <v>27.18</v>
      </c>
      <c r="DZ549" s="2" t="n">
        <v>44.99</v>
      </c>
      <c r="EA549" s="2" t="n">
        <v>0</v>
      </c>
      <c r="EB549" s="2" t="n">
        <v>45.07</v>
      </c>
      <c r="EC549" s="2" t="n">
        <v>57.21</v>
      </c>
      <c r="ED549" s="2" t="n">
        <v>0</v>
      </c>
      <c r="EE549" s="2" t="n">
        <v>48.36</v>
      </c>
      <c r="EF549" s="2" t="n">
        <v>66.16</v>
      </c>
      <c r="EG549" s="2" t="n">
        <v>0</v>
      </c>
      <c r="EH549" s="2" t="n">
        <v>69.73999999999999</v>
      </c>
      <c r="EI549" s="2" t="n">
        <v>87.54000000000001</v>
      </c>
      <c r="EJ549" s="2" t="n">
        <v>0</v>
      </c>
      <c r="EK549" s="2" t="n">
        <v>87.54000000000001</v>
      </c>
      <c r="EL549" s="2" t="n">
        <v>100</v>
      </c>
      <c r="EM549" s="2" t="n">
        <v>0</v>
      </c>
      <c r="EN549" s="2" t="n">
        <v>100</v>
      </c>
      <c r="EO549" s="2" t="n">
        <v>100</v>
      </c>
      <c r="EP549" s="2" t="n">
        <v>0</v>
      </c>
      <c r="EQ549" s="2" t="n">
        <v>100</v>
      </c>
      <c r="ER549" s="2" t="n">
        <v>100</v>
      </c>
      <c r="ES549" s="2" t="n">
        <v>0</v>
      </c>
    </row>
    <row r="550">
      <c r="A550" s="2" t="n">
        <v>3</v>
      </c>
      <c r="B550" s="2" t="inlineStr">
        <is>
          <t>23.03.04</t>
        </is>
      </c>
      <c r="C550" s="2" t="inlineStr">
        <is>
          <t>Brinquedos para playground</t>
        </is>
      </c>
      <c r="D550" s="2" t="inlineStr">
        <is>
          <t>27/10/2028</t>
        </is>
      </c>
      <c r="E550" s="2" t="inlineStr">
        <is>
          <t>18/12/2028</t>
        </is>
      </c>
      <c r="F550" s="2" t="n">
        <v>35000</v>
      </c>
      <c r="G550" s="2" t="n">
        <v>0</v>
      </c>
      <c r="H550" s="2" t="n">
        <v>35000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0</v>
      </c>
      <c r="AM550" s="2" t="n">
        <v>0</v>
      </c>
      <c r="AN550" s="2" t="n">
        <v>0</v>
      </c>
      <c r="AO550" s="2" t="n">
        <v>0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n">
        <v>0</v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n">
        <v>0</v>
      </c>
      <c r="BI550" s="2" t="n">
        <v>0</v>
      </c>
      <c r="BJ550" s="2" t="n">
        <v>0</v>
      </c>
      <c r="BK550" s="2" t="n">
        <v>0</v>
      </c>
      <c r="BL550" s="2" t="n">
        <v>0</v>
      </c>
      <c r="BM550" s="2" t="n">
        <v>0</v>
      </c>
      <c r="BN550" s="2" t="n">
        <v>0</v>
      </c>
      <c r="BO550" s="2" t="n">
        <v>0</v>
      </c>
      <c r="BP550" s="2" t="n">
        <v>0</v>
      </c>
      <c r="BQ550" s="2" t="n">
        <v>0</v>
      </c>
      <c r="BR550" s="2" t="n">
        <v>0</v>
      </c>
      <c r="BS550" s="2" t="n">
        <v>0</v>
      </c>
      <c r="BT550" s="2" t="n">
        <v>0</v>
      </c>
      <c r="BU550" s="2" t="n">
        <v>0</v>
      </c>
      <c r="BV550" s="2" t="n">
        <v>0</v>
      </c>
      <c r="BW550" s="2" t="n">
        <v>0</v>
      </c>
      <c r="BX550" s="2" t="n">
        <v>0</v>
      </c>
      <c r="BY550" s="2" t="n">
        <v>0</v>
      </c>
      <c r="BZ550" s="2" t="n">
        <v>0</v>
      </c>
      <c r="CA550" s="2" t="n">
        <v>0</v>
      </c>
      <c r="CB550" s="2" t="n">
        <v>0</v>
      </c>
      <c r="CC550" s="2" t="n">
        <v>0</v>
      </c>
      <c r="CD550" s="2" t="n">
        <v>0</v>
      </c>
      <c r="CE550" s="2" t="n">
        <v>0</v>
      </c>
      <c r="CF550" s="2" t="n">
        <v>0</v>
      </c>
      <c r="CG550" s="2" t="n">
        <v>0</v>
      </c>
      <c r="CH550" s="2" t="n">
        <v>0</v>
      </c>
      <c r="CI550" s="2" t="n">
        <v>0</v>
      </c>
      <c r="CJ550" s="2" t="n">
        <v>0</v>
      </c>
      <c r="CK550" s="2" t="n">
        <v>0</v>
      </c>
      <c r="CL550" s="2" t="n">
        <v>0</v>
      </c>
      <c r="CM550" s="2" t="n">
        <v>0</v>
      </c>
      <c r="CN550" s="2" t="n">
        <v>0</v>
      </c>
      <c r="CO550" s="2" t="n">
        <v>0</v>
      </c>
      <c r="CP550" s="2" t="n">
        <v>0</v>
      </c>
      <c r="CQ550" s="2" t="n">
        <v>0</v>
      </c>
      <c r="CR550" s="2" t="n">
        <v>0</v>
      </c>
      <c r="CS550" s="2" t="n">
        <v>0</v>
      </c>
      <c r="CT550" s="2" t="n">
        <v>0</v>
      </c>
      <c r="CU550" s="2" t="n">
        <v>0</v>
      </c>
      <c r="CV550" s="2" t="n">
        <v>0</v>
      </c>
      <c r="CW550" s="2" t="n">
        <v>0</v>
      </c>
      <c r="CX550" s="2" t="n">
        <v>0</v>
      </c>
      <c r="CY550" s="2" t="n">
        <v>0</v>
      </c>
      <c r="CZ550" s="2" t="n">
        <v>0</v>
      </c>
      <c r="DA550" s="2" t="n">
        <v>0</v>
      </c>
      <c r="DB550" s="2" t="n">
        <v>0</v>
      </c>
      <c r="DC550" s="2" t="n">
        <v>0</v>
      </c>
      <c r="DD550" s="2" t="n">
        <v>0</v>
      </c>
      <c r="DE550" s="2" t="n">
        <v>0</v>
      </c>
      <c r="DF550" s="2" t="n">
        <v>0</v>
      </c>
      <c r="DG550" s="2" t="n">
        <v>0</v>
      </c>
      <c r="DH550" s="2" t="n">
        <v>0</v>
      </c>
      <c r="DI550" s="2" t="n">
        <v>0</v>
      </c>
      <c r="DJ550" s="2" t="n">
        <v>0</v>
      </c>
      <c r="DK550" s="2" t="n">
        <v>0</v>
      </c>
      <c r="DL550" s="2" t="n">
        <v>0</v>
      </c>
      <c r="DM550" s="2" t="n">
        <v>0</v>
      </c>
      <c r="DN550" s="2" t="n">
        <v>0</v>
      </c>
      <c r="DO550" s="2" t="n">
        <v>0</v>
      </c>
      <c r="DP550" s="2" t="n">
        <v>0</v>
      </c>
      <c r="DQ550" s="2" t="n">
        <v>0</v>
      </c>
      <c r="DR550" s="2" t="n">
        <v>0</v>
      </c>
      <c r="DS550" s="2" t="n">
        <v>0</v>
      </c>
      <c r="DT550" s="2" t="n">
        <v>0</v>
      </c>
      <c r="DU550" s="2" t="n">
        <v>0</v>
      </c>
      <c r="DV550" s="2" t="n">
        <v>0</v>
      </c>
      <c r="DW550" s="2" t="n">
        <v>0</v>
      </c>
      <c r="DX550" s="2" t="n">
        <v>0</v>
      </c>
      <c r="DY550" s="2" t="n">
        <v>0</v>
      </c>
      <c r="DZ550" s="2" t="n">
        <v>9.09</v>
      </c>
      <c r="EA550" s="2" t="n">
        <v>0</v>
      </c>
      <c r="EB550" s="2" t="n">
        <v>6.06</v>
      </c>
      <c r="EC550" s="2" t="n">
        <v>66.67</v>
      </c>
      <c r="ED550" s="2" t="n">
        <v>0</v>
      </c>
      <c r="EE550" s="2" t="n">
        <v>51.52</v>
      </c>
      <c r="EF550" s="2" t="n">
        <v>100</v>
      </c>
      <c r="EG550" s="2" t="n">
        <v>0</v>
      </c>
      <c r="EH550" s="2" t="n">
        <v>100</v>
      </c>
      <c r="EI550" s="2" t="n">
        <v>100</v>
      </c>
      <c r="EJ550" s="2" t="n">
        <v>0</v>
      </c>
      <c r="EK550" s="2" t="n">
        <v>100</v>
      </c>
      <c r="EL550" s="2" t="n">
        <v>100</v>
      </c>
      <c r="EM550" s="2" t="n">
        <v>0</v>
      </c>
      <c r="EN550" s="2" t="n">
        <v>100</v>
      </c>
      <c r="EO550" s="2" t="n">
        <v>100</v>
      </c>
      <c r="EP550" s="2" t="n">
        <v>0</v>
      </c>
      <c r="EQ550" s="2" t="n">
        <v>100</v>
      </c>
      <c r="ER550" s="2" t="n">
        <v>100</v>
      </c>
      <c r="ES550" s="2" t="n">
        <v>0</v>
      </c>
    </row>
    <row r="551">
      <c r="A551" s="2" t="n">
        <v>3</v>
      </c>
      <c r="B551" s="2" t="inlineStr">
        <is>
          <t>23.03.05</t>
        </is>
      </c>
      <c r="C551" s="2" t="inlineStr">
        <is>
          <t>Bancada em chapa ACM ref.: Engebold aço cortén oxid (Lounge bar)</t>
        </is>
      </c>
      <c r="D551" s="2" t="inlineStr">
        <is>
          <t>20/09/2027</t>
        </is>
      </c>
      <c r="E551" s="2" t="inlineStr">
        <is>
          <t>11/10/2028</t>
        </is>
      </c>
      <c r="F551" s="2" t="n">
        <v>15000</v>
      </c>
      <c r="G551" s="2" t="n">
        <v>0</v>
      </c>
      <c r="H551" s="2" t="n">
        <v>15000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0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n">
        <v>0</v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n">
        <v>0</v>
      </c>
      <c r="BI551" s="2" t="n">
        <v>0</v>
      </c>
      <c r="BJ551" s="2" t="n">
        <v>0</v>
      </c>
      <c r="BK551" s="2" t="n">
        <v>0</v>
      </c>
      <c r="BL551" s="2" t="n">
        <v>0</v>
      </c>
      <c r="BM551" s="2" t="n">
        <v>0</v>
      </c>
      <c r="BN551" s="2" t="n">
        <v>0</v>
      </c>
      <c r="BO551" s="2" t="n">
        <v>0</v>
      </c>
      <c r="BP551" s="2" t="n">
        <v>0</v>
      </c>
      <c r="BQ551" s="2" t="n">
        <v>0</v>
      </c>
      <c r="BR551" s="2" t="n">
        <v>0</v>
      </c>
      <c r="BS551" s="2" t="n">
        <v>0</v>
      </c>
      <c r="BT551" s="2" t="n">
        <v>0</v>
      </c>
      <c r="BU551" s="2" t="n">
        <v>0</v>
      </c>
      <c r="BV551" s="2" t="n">
        <v>0</v>
      </c>
      <c r="BW551" s="2" t="n">
        <v>0</v>
      </c>
      <c r="BX551" s="2" t="n">
        <v>0</v>
      </c>
      <c r="BY551" s="2" t="n">
        <v>0</v>
      </c>
      <c r="BZ551" s="2" t="n">
        <v>0</v>
      </c>
      <c r="CA551" s="2" t="n">
        <v>0</v>
      </c>
      <c r="CB551" s="2" t="n">
        <v>0</v>
      </c>
      <c r="CC551" s="2" t="n">
        <v>0</v>
      </c>
      <c r="CD551" s="2" t="n">
        <v>0</v>
      </c>
      <c r="CE551" s="2" t="n">
        <v>0</v>
      </c>
      <c r="CF551" s="2" t="n">
        <v>0</v>
      </c>
      <c r="CG551" s="2" t="n">
        <v>0</v>
      </c>
      <c r="CH551" s="2" t="n">
        <v>0</v>
      </c>
      <c r="CI551" s="2" t="n">
        <v>0</v>
      </c>
      <c r="CJ551" s="2" t="n">
        <v>0</v>
      </c>
      <c r="CK551" s="2" t="n">
        <v>0</v>
      </c>
      <c r="CL551" s="2" t="n">
        <v>1.11</v>
      </c>
      <c r="CM551" s="2" t="n">
        <v>2.5</v>
      </c>
      <c r="CN551" s="2" t="n">
        <v>0</v>
      </c>
      <c r="CO551" s="2" t="n">
        <v>7.67</v>
      </c>
      <c r="CP551" s="2" t="n">
        <v>9.31</v>
      </c>
      <c r="CQ551" s="2" t="n">
        <v>0</v>
      </c>
      <c r="CR551" s="2" t="n">
        <v>18.22</v>
      </c>
      <c r="CS551" s="2" t="n">
        <v>19.86</v>
      </c>
      <c r="CT551" s="2" t="n">
        <v>0</v>
      </c>
      <c r="CU551" s="2" t="n">
        <v>26.67</v>
      </c>
      <c r="CV551" s="2" t="n">
        <v>28.31</v>
      </c>
      <c r="CW551" s="2" t="n">
        <v>0</v>
      </c>
      <c r="CX551" s="2" t="n">
        <v>40.25</v>
      </c>
      <c r="CY551" s="2" t="n">
        <v>41.89</v>
      </c>
      <c r="CZ551" s="2" t="n">
        <v>0</v>
      </c>
      <c r="DA551" s="2" t="n">
        <v>48.33</v>
      </c>
      <c r="DB551" s="2" t="n">
        <v>49.72</v>
      </c>
      <c r="DC551" s="2" t="n">
        <v>0</v>
      </c>
      <c r="DD551" s="2" t="n">
        <v>57.22</v>
      </c>
      <c r="DE551" s="2" t="n">
        <v>58.61</v>
      </c>
      <c r="DF551" s="2" t="n">
        <v>0</v>
      </c>
      <c r="DG551" s="2" t="n">
        <v>66.72</v>
      </c>
      <c r="DH551" s="2" t="n">
        <v>68.36</v>
      </c>
      <c r="DI551" s="2" t="n">
        <v>0</v>
      </c>
      <c r="DJ551" s="2" t="n">
        <v>73.33</v>
      </c>
      <c r="DK551" s="2" t="n">
        <v>74.72</v>
      </c>
      <c r="DL551" s="2" t="n">
        <v>0</v>
      </c>
      <c r="DM551" s="2" t="n">
        <v>79.17</v>
      </c>
      <c r="DN551" s="2" t="n">
        <v>80.56</v>
      </c>
      <c r="DO551" s="2" t="n">
        <v>0</v>
      </c>
      <c r="DP551" s="2" t="n">
        <v>85</v>
      </c>
      <c r="DQ551" s="2" t="n">
        <v>89.39</v>
      </c>
      <c r="DR551" s="2" t="n">
        <v>0</v>
      </c>
      <c r="DS551" s="2" t="n">
        <v>93.5</v>
      </c>
      <c r="DT551" s="2" t="n">
        <v>97.5</v>
      </c>
      <c r="DU551" s="2" t="n">
        <v>0</v>
      </c>
      <c r="DV551" s="2" t="n">
        <v>97.5</v>
      </c>
      <c r="DW551" s="2" t="n">
        <v>97.78</v>
      </c>
      <c r="DX551" s="2" t="n">
        <v>0</v>
      </c>
      <c r="DY551" s="2" t="n">
        <v>100</v>
      </c>
      <c r="DZ551" s="2" t="n">
        <v>100</v>
      </c>
      <c r="EA551" s="2" t="n">
        <v>0</v>
      </c>
      <c r="EB551" s="2" t="n">
        <v>100</v>
      </c>
      <c r="EC551" s="2" t="n">
        <v>100</v>
      </c>
      <c r="ED551" s="2" t="n">
        <v>0</v>
      </c>
      <c r="EE551" s="2" t="n">
        <v>100</v>
      </c>
      <c r="EF551" s="2" t="n">
        <v>100</v>
      </c>
      <c r="EG551" s="2" t="n">
        <v>0</v>
      </c>
      <c r="EH551" s="2" t="n">
        <v>100</v>
      </c>
      <c r="EI551" s="2" t="n">
        <v>100</v>
      </c>
      <c r="EJ551" s="2" t="n">
        <v>0</v>
      </c>
      <c r="EK551" s="2" t="n">
        <v>100</v>
      </c>
      <c r="EL551" s="2" t="n">
        <v>100</v>
      </c>
      <c r="EM551" s="2" t="n">
        <v>0</v>
      </c>
      <c r="EN551" s="2" t="n">
        <v>100</v>
      </c>
      <c r="EO551" s="2" t="n">
        <v>100</v>
      </c>
      <c r="EP551" s="2" t="n">
        <v>0</v>
      </c>
      <c r="EQ551" s="2" t="n">
        <v>100</v>
      </c>
      <c r="ER551" s="2" t="n">
        <v>100</v>
      </c>
      <c r="ES551" s="2" t="n">
        <v>0</v>
      </c>
    </row>
    <row r="552">
      <c r="A552" s="2" t="n">
        <v>3</v>
      </c>
      <c r="B552" s="2" t="inlineStr">
        <is>
          <t>23.03.06</t>
        </is>
      </c>
      <c r="C552" s="2" t="inlineStr">
        <is>
          <t>Pontos de ancoragem para limpeza e manutenção de fachadas</t>
        </is>
      </c>
      <c r="D552" s="2" t="inlineStr">
        <is>
          <t>29/03/2028</t>
        </is>
      </c>
      <c r="E552" s="2" t="inlineStr">
        <is>
          <t>04/04/2028</t>
        </is>
      </c>
      <c r="F552" s="2" t="n">
        <v>100000</v>
      </c>
      <c r="G552" s="2" t="n">
        <v>0</v>
      </c>
      <c r="H552" s="2" t="n">
        <v>100000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  <c r="AN552" s="2" t="n">
        <v>0</v>
      </c>
      <c r="AO552" s="2" t="n">
        <v>0</v>
      </c>
      <c r="AP552" s="2" t="n">
        <v>0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 t="n">
        <v>0</v>
      </c>
      <c r="AY552" s="2" t="n">
        <v>0</v>
      </c>
      <c r="AZ552" s="2" t="n">
        <v>0</v>
      </c>
      <c r="BA552" s="2" t="n">
        <v>0</v>
      </c>
      <c r="BB552" s="2" t="n">
        <v>0</v>
      </c>
      <c r="BC552" s="2" t="n">
        <v>0</v>
      </c>
      <c r="BD552" s="2" t="n">
        <v>0</v>
      </c>
      <c r="BE552" s="2" t="n">
        <v>0</v>
      </c>
      <c r="BF552" s="2" t="n">
        <v>0</v>
      </c>
      <c r="BG552" s="2" t="n">
        <v>0</v>
      </c>
      <c r="BH552" s="2" t="n">
        <v>0</v>
      </c>
      <c r="BI552" s="2" t="n">
        <v>0</v>
      </c>
      <c r="BJ552" s="2" t="n">
        <v>0</v>
      </c>
      <c r="BK552" s="2" t="n">
        <v>0</v>
      </c>
      <c r="BL552" s="2" t="n">
        <v>0</v>
      </c>
      <c r="BM552" s="2" t="n">
        <v>0</v>
      </c>
      <c r="BN552" s="2" t="n">
        <v>0</v>
      </c>
      <c r="BO552" s="2" t="n">
        <v>0</v>
      </c>
      <c r="BP552" s="2" t="n">
        <v>0</v>
      </c>
      <c r="BQ552" s="2" t="n">
        <v>0</v>
      </c>
      <c r="BR552" s="2" t="n">
        <v>0</v>
      </c>
      <c r="BS552" s="2" t="n">
        <v>0</v>
      </c>
      <c r="BT552" s="2" t="n">
        <v>0</v>
      </c>
      <c r="BU552" s="2" t="n">
        <v>0</v>
      </c>
      <c r="BV552" s="2" t="n">
        <v>0</v>
      </c>
      <c r="BW552" s="2" t="n">
        <v>0</v>
      </c>
      <c r="BX552" s="2" t="n">
        <v>0</v>
      </c>
      <c r="BY552" s="2" t="n">
        <v>0</v>
      </c>
      <c r="BZ552" s="2" t="n">
        <v>0</v>
      </c>
      <c r="CA552" s="2" t="n">
        <v>0</v>
      </c>
      <c r="CB552" s="2" t="n">
        <v>0</v>
      </c>
      <c r="CC552" s="2" t="n">
        <v>0</v>
      </c>
      <c r="CD552" s="2" t="n">
        <v>0</v>
      </c>
      <c r="CE552" s="2" t="n">
        <v>0</v>
      </c>
      <c r="CF552" s="2" t="n">
        <v>0</v>
      </c>
      <c r="CG552" s="2" t="n">
        <v>0</v>
      </c>
      <c r="CH552" s="2" t="n">
        <v>0</v>
      </c>
      <c r="CI552" s="2" t="n">
        <v>0</v>
      </c>
      <c r="CJ552" s="2" t="n">
        <v>0</v>
      </c>
      <c r="CK552" s="2" t="n">
        <v>0</v>
      </c>
      <c r="CL552" s="2" t="n">
        <v>0</v>
      </c>
      <c r="CM552" s="2" t="n">
        <v>0</v>
      </c>
      <c r="CN552" s="2" t="n">
        <v>0</v>
      </c>
      <c r="CO552" s="2" t="n">
        <v>0</v>
      </c>
      <c r="CP552" s="2" t="n">
        <v>0</v>
      </c>
      <c r="CQ552" s="2" t="n">
        <v>0</v>
      </c>
      <c r="CR552" s="2" t="n">
        <v>0</v>
      </c>
      <c r="CS552" s="2" t="n">
        <v>0</v>
      </c>
      <c r="CT552" s="2" t="n">
        <v>0</v>
      </c>
      <c r="CU552" s="2" t="n">
        <v>0</v>
      </c>
      <c r="CV552" s="2" t="n">
        <v>0</v>
      </c>
      <c r="CW552" s="2" t="n">
        <v>0</v>
      </c>
      <c r="CX552" s="2" t="n">
        <v>0</v>
      </c>
      <c r="CY552" s="2" t="n">
        <v>0</v>
      </c>
      <c r="CZ552" s="2" t="n">
        <v>0</v>
      </c>
      <c r="DA552" s="2" t="n">
        <v>0</v>
      </c>
      <c r="DB552" s="2" t="n">
        <v>0</v>
      </c>
      <c r="DC552" s="2" t="n">
        <v>0</v>
      </c>
      <c r="DD552" s="2" t="n">
        <v>0</v>
      </c>
      <c r="DE552" s="2" t="n">
        <v>60</v>
      </c>
      <c r="DF552" s="2" t="n">
        <v>0</v>
      </c>
      <c r="DG552" s="2" t="n">
        <v>100</v>
      </c>
      <c r="DH552" s="2" t="n">
        <v>100</v>
      </c>
      <c r="DI552" s="2" t="n">
        <v>0</v>
      </c>
      <c r="DJ552" s="2" t="n">
        <v>100</v>
      </c>
      <c r="DK552" s="2" t="n">
        <v>100</v>
      </c>
      <c r="DL552" s="2" t="n">
        <v>0</v>
      </c>
      <c r="DM552" s="2" t="n">
        <v>100</v>
      </c>
      <c r="DN552" s="2" t="n">
        <v>100</v>
      </c>
      <c r="DO552" s="2" t="n">
        <v>0</v>
      </c>
      <c r="DP552" s="2" t="n">
        <v>100</v>
      </c>
      <c r="DQ552" s="2" t="n">
        <v>100</v>
      </c>
      <c r="DR552" s="2" t="n">
        <v>0</v>
      </c>
      <c r="DS552" s="2" t="n">
        <v>100</v>
      </c>
      <c r="DT552" s="2" t="n">
        <v>100</v>
      </c>
      <c r="DU552" s="2" t="n">
        <v>0</v>
      </c>
      <c r="DV552" s="2" t="n">
        <v>100</v>
      </c>
      <c r="DW552" s="2" t="n">
        <v>100</v>
      </c>
      <c r="DX552" s="2" t="n">
        <v>0</v>
      </c>
      <c r="DY552" s="2" t="n">
        <v>100</v>
      </c>
      <c r="DZ552" s="2" t="n">
        <v>100</v>
      </c>
      <c r="EA552" s="2" t="n">
        <v>0</v>
      </c>
      <c r="EB552" s="2" t="n">
        <v>100</v>
      </c>
      <c r="EC552" s="2" t="n">
        <v>100</v>
      </c>
      <c r="ED552" s="2" t="n">
        <v>0</v>
      </c>
      <c r="EE552" s="2" t="n">
        <v>100</v>
      </c>
      <c r="EF552" s="2" t="n">
        <v>100</v>
      </c>
      <c r="EG552" s="2" t="n">
        <v>0</v>
      </c>
      <c r="EH552" s="2" t="n">
        <v>100</v>
      </c>
      <c r="EI552" s="2" t="n">
        <v>100</v>
      </c>
      <c r="EJ552" s="2" t="n">
        <v>0</v>
      </c>
      <c r="EK552" s="2" t="n">
        <v>100</v>
      </c>
      <c r="EL552" s="2" t="n">
        <v>100</v>
      </c>
      <c r="EM552" s="2" t="n">
        <v>0</v>
      </c>
      <c r="EN552" s="2" t="n">
        <v>100</v>
      </c>
      <c r="EO552" s="2" t="n">
        <v>100</v>
      </c>
      <c r="EP552" s="2" t="n">
        <v>0</v>
      </c>
      <c r="EQ552" s="2" t="n">
        <v>100</v>
      </c>
      <c r="ER552" s="2" t="n">
        <v>100</v>
      </c>
      <c r="ES552" s="2" t="n">
        <v>0</v>
      </c>
    </row>
    <row r="553">
      <c r="A553" s="2" t="n">
        <v>2</v>
      </c>
      <c r="B553" s="2" t="inlineStr">
        <is>
          <t>23.04</t>
        </is>
      </c>
      <c r="C553" s="2" t="inlineStr">
        <is>
          <t>Quadras</t>
        </is>
      </c>
      <c r="D553" s="2" t="inlineStr">
        <is>
          <t>08/08/2028</t>
        </is>
      </c>
      <c r="E553" s="2" t="inlineStr">
        <is>
          <t>10/10/2028</t>
        </is>
      </c>
      <c r="F553" s="2" t="n">
        <v>80000</v>
      </c>
      <c r="G553" s="2" t="n">
        <v>0</v>
      </c>
      <c r="H553" s="2" t="n">
        <v>80000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0</v>
      </c>
      <c r="AP553" s="2" t="n">
        <v>0</v>
      </c>
      <c r="AQ553" s="2" t="n">
        <v>0</v>
      </c>
      <c r="AR553" s="2" t="n">
        <v>0</v>
      </c>
      <c r="AS553" s="2" t="n">
        <v>0</v>
      </c>
      <c r="AT553" s="2" t="n">
        <v>0</v>
      </c>
      <c r="AU553" s="2" t="n">
        <v>0</v>
      </c>
      <c r="AV553" s="2" t="n">
        <v>0</v>
      </c>
      <c r="AW553" s="2" t="n">
        <v>0</v>
      </c>
      <c r="AX553" s="2" t="n">
        <v>0</v>
      </c>
      <c r="AY553" s="2" t="n">
        <v>0</v>
      </c>
      <c r="AZ553" s="2" t="n">
        <v>0</v>
      </c>
      <c r="BA553" s="2" t="n">
        <v>0</v>
      </c>
      <c r="BB553" s="2" t="n">
        <v>0</v>
      </c>
      <c r="BC553" s="2" t="n">
        <v>0</v>
      </c>
      <c r="BD553" s="2" t="n">
        <v>0</v>
      </c>
      <c r="BE553" s="2" t="n">
        <v>0</v>
      </c>
      <c r="BF553" s="2" t="n">
        <v>0</v>
      </c>
      <c r="BG553" s="2" t="n">
        <v>0</v>
      </c>
      <c r="BH553" s="2" t="n">
        <v>0</v>
      </c>
      <c r="BI553" s="2" t="n">
        <v>0</v>
      </c>
      <c r="BJ553" s="2" t="n">
        <v>0</v>
      </c>
      <c r="BK553" s="2" t="n">
        <v>0</v>
      </c>
      <c r="BL553" s="2" t="n">
        <v>0</v>
      </c>
      <c r="BM553" s="2" t="n">
        <v>0</v>
      </c>
      <c r="BN553" s="2" t="n">
        <v>0</v>
      </c>
      <c r="BO553" s="2" t="n">
        <v>0</v>
      </c>
      <c r="BP553" s="2" t="n">
        <v>0</v>
      </c>
      <c r="BQ553" s="2" t="n">
        <v>0</v>
      </c>
      <c r="BR553" s="2" t="n">
        <v>0</v>
      </c>
      <c r="BS553" s="2" t="n">
        <v>0</v>
      </c>
      <c r="BT553" s="2" t="n">
        <v>0</v>
      </c>
      <c r="BU553" s="2" t="n">
        <v>0</v>
      </c>
      <c r="BV553" s="2" t="n">
        <v>0</v>
      </c>
      <c r="BW553" s="2" t="n">
        <v>0</v>
      </c>
      <c r="BX553" s="2" t="n">
        <v>0</v>
      </c>
      <c r="BY553" s="2" t="n">
        <v>0</v>
      </c>
      <c r="BZ553" s="2" t="n">
        <v>0</v>
      </c>
      <c r="CA553" s="2" t="n">
        <v>0</v>
      </c>
      <c r="CB553" s="2" t="n">
        <v>0</v>
      </c>
      <c r="CC553" s="2" t="n">
        <v>0</v>
      </c>
      <c r="CD553" s="2" t="n">
        <v>0</v>
      </c>
      <c r="CE553" s="2" t="n">
        <v>0</v>
      </c>
      <c r="CF553" s="2" t="n">
        <v>0</v>
      </c>
      <c r="CG553" s="2" t="n">
        <v>0</v>
      </c>
      <c r="CH553" s="2" t="n">
        <v>0</v>
      </c>
      <c r="CI553" s="2" t="n">
        <v>0</v>
      </c>
      <c r="CJ553" s="2" t="n">
        <v>0</v>
      </c>
      <c r="CK553" s="2" t="n">
        <v>0</v>
      </c>
      <c r="CL553" s="2" t="n">
        <v>0</v>
      </c>
      <c r="CM553" s="2" t="n">
        <v>0</v>
      </c>
      <c r="CN553" s="2" t="n">
        <v>0</v>
      </c>
      <c r="CO553" s="2" t="n">
        <v>0</v>
      </c>
      <c r="CP553" s="2" t="n">
        <v>0</v>
      </c>
      <c r="CQ553" s="2" t="n">
        <v>0</v>
      </c>
      <c r="CR553" s="2" t="n">
        <v>0</v>
      </c>
      <c r="CS553" s="2" t="n">
        <v>0</v>
      </c>
      <c r="CT553" s="2" t="n">
        <v>0</v>
      </c>
      <c r="CU553" s="2" t="n">
        <v>0</v>
      </c>
      <c r="CV553" s="2" t="n">
        <v>0</v>
      </c>
      <c r="CW553" s="2" t="n">
        <v>0</v>
      </c>
      <c r="CX553" s="2" t="n">
        <v>0</v>
      </c>
      <c r="CY553" s="2" t="n">
        <v>0</v>
      </c>
      <c r="CZ553" s="2" t="n">
        <v>0</v>
      </c>
      <c r="DA553" s="2" t="n">
        <v>0</v>
      </c>
      <c r="DB553" s="2" t="n">
        <v>0</v>
      </c>
      <c r="DC553" s="2" t="n">
        <v>0</v>
      </c>
      <c r="DD553" s="2" t="n">
        <v>0</v>
      </c>
      <c r="DE553" s="2" t="n">
        <v>0</v>
      </c>
      <c r="DF553" s="2" t="n">
        <v>0</v>
      </c>
      <c r="DG553" s="2" t="n">
        <v>0</v>
      </c>
      <c r="DH553" s="2" t="n">
        <v>0</v>
      </c>
      <c r="DI553" s="2" t="n">
        <v>0</v>
      </c>
      <c r="DJ553" s="2" t="n">
        <v>0</v>
      </c>
      <c r="DK553" s="2" t="n">
        <v>0</v>
      </c>
      <c r="DL553" s="2" t="n">
        <v>0</v>
      </c>
      <c r="DM553" s="2" t="n">
        <v>0</v>
      </c>
      <c r="DN553" s="2" t="n">
        <v>0</v>
      </c>
      <c r="DO553" s="2" t="n">
        <v>0</v>
      </c>
      <c r="DP553" s="2" t="n">
        <v>0</v>
      </c>
      <c r="DQ553" s="2" t="n">
        <v>0</v>
      </c>
      <c r="DR553" s="2" t="n">
        <v>0</v>
      </c>
      <c r="DS553" s="2" t="n">
        <v>0</v>
      </c>
      <c r="DT553" s="2" t="n">
        <v>38.64</v>
      </c>
      <c r="DU553" s="2" t="n">
        <v>0</v>
      </c>
      <c r="DV553" s="2" t="n">
        <v>38.64</v>
      </c>
      <c r="DW553" s="2" t="n">
        <v>84.09</v>
      </c>
      <c r="DX553" s="2" t="n">
        <v>0</v>
      </c>
      <c r="DY553" s="2" t="n">
        <v>86.36</v>
      </c>
      <c r="DZ553" s="2" t="n">
        <v>100</v>
      </c>
      <c r="EA553" s="2" t="n">
        <v>0</v>
      </c>
      <c r="EB553" s="2" t="n">
        <v>100</v>
      </c>
      <c r="EC553" s="2" t="n">
        <v>100</v>
      </c>
      <c r="ED553" s="2" t="n">
        <v>0</v>
      </c>
      <c r="EE553" s="2" t="n">
        <v>100</v>
      </c>
      <c r="EF553" s="2" t="n">
        <v>100</v>
      </c>
      <c r="EG553" s="2" t="n">
        <v>0</v>
      </c>
      <c r="EH553" s="2" t="n">
        <v>100</v>
      </c>
      <c r="EI553" s="2" t="n">
        <v>100</v>
      </c>
      <c r="EJ553" s="2" t="n">
        <v>0</v>
      </c>
      <c r="EK553" s="2" t="n">
        <v>100</v>
      </c>
      <c r="EL553" s="2" t="n">
        <v>100</v>
      </c>
      <c r="EM553" s="2" t="n">
        <v>0</v>
      </c>
      <c r="EN553" s="2" t="n">
        <v>100</v>
      </c>
      <c r="EO553" s="2" t="n">
        <v>100</v>
      </c>
      <c r="EP553" s="2" t="n">
        <v>0</v>
      </c>
      <c r="EQ553" s="2" t="n">
        <v>100</v>
      </c>
      <c r="ER553" s="2" t="n">
        <v>100</v>
      </c>
      <c r="ES553" s="2" t="n">
        <v>0</v>
      </c>
    </row>
    <row r="554">
      <c r="A554" s="2" t="n">
        <v>3</v>
      </c>
      <c r="B554" s="2" t="inlineStr">
        <is>
          <t>23.04.01</t>
        </is>
      </c>
      <c r="C554" s="2" t="inlineStr">
        <is>
          <t>Quadra recreação A=86,40m2 -  pintura epoxi fosca, cores conforme detalhamento, ref.: Suvinil, aplicado sobre piso em concreto com acabamento mecânico liso.</t>
        </is>
      </c>
      <c r="D554" s="2" t="inlineStr">
        <is>
          <t>08/08/2028</t>
        </is>
      </c>
      <c r="E554" s="2" t="inlineStr">
        <is>
          <t>10/10/2028</t>
        </is>
      </c>
      <c r="F554" s="2" t="n">
        <v>80000</v>
      </c>
      <c r="G554" s="2" t="n">
        <v>0</v>
      </c>
      <c r="H554" s="2" t="n">
        <v>80000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 t="n">
        <v>0</v>
      </c>
      <c r="AY554" s="2" t="n">
        <v>0</v>
      </c>
      <c r="AZ554" s="2" t="n">
        <v>0</v>
      </c>
      <c r="BA554" s="2" t="n">
        <v>0</v>
      </c>
      <c r="BB554" s="2" t="n">
        <v>0</v>
      </c>
      <c r="BC554" s="2" t="n">
        <v>0</v>
      </c>
      <c r="BD554" s="2" t="n">
        <v>0</v>
      </c>
      <c r="BE554" s="2" t="n">
        <v>0</v>
      </c>
      <c r="BF554" s="2" t="n">
        <v>0</v>
      </c>
      <c r="BG554" s="2" t="n">
        <v>0</v>
      </c>
      <c r="BH554" s="2" t="n">
        <v>0</v>
      </c>
      <c r="BI554" s="2" t="n">
        <v>0</v>
      </c>
      <c r="BJ554" s="2" t="n">
        <v>0</v>
      </c>
      <c r="BK554" s="2" t="n">
        <v>0</v>
      </c>
      <c r="BL554" s="2" t="n">
        <v>0</v>
      </c>
      <c r="BM554" s="2" t="n">
        <v>0</v>
      </c>
      <c r="BN554" s="2" t="n">
        <v>0</v>
      </c>
      <c r="BO554" s="2" t="n">
        <v>0</v>
      </c>
      <c r="BP554" s="2" t="n">
        <v>0</v>
      </c>
      <c r="BQ554" s="2" t="n">
        <v>0</v>
      </c>
      <c r="BR554" s="2" t="n">
        <v>0</v>
      </c>
      <c r="BS554" s="2" t="n">
        <v>0</v>
      </c>
      <c r="BT554" s="2" t="n">
        <v>0</v>
      </c>
      <c r="BU554" s="2" t="n">
        <v>0</v>
      </c>
      <c r="BV554" s="2" t="n">
        <v>0</v>
      </c>
      <c r="BW554" s="2" t="n">
        <v>0</v>
      </c>
      <c r="BX554" s="2" t="n">
        <v>0</v>
      </c>
      <c r="BY554" s="2" t="n">
        <v>0</v>
      </c>
      <c r="BZ554" s="2" t="n">
        <v>0</v>
      </c>
      <c r="CA554" s="2" t="n">
        <v>0</v>
      </c>
      <c r="CB554" s="2" t="n">
        <v>0</v>
      </c>
      <c r="CC554" s="2" t="n">
        <v>0</v>
      </c>
      <c r="CD554" s="2" t="n">
        <v>0</v>
      </c>
      <c r="CE554" s="2" t="n">
        <v>0</v>
      </c>
      <c r="CF554" s="2" t="n">
        <v>0</v>
      </c>
      <c r="CG554" s="2" t="n">
        <v>0</v>
      </c>
      <c r="CH554" s="2" t="n">
        <v>0</v>
      </c>
      <c r="CI554" s="2" t="n">
        <v>0</v>
      </c>
      <c r="CJ554" s="2" t="n">
        <v>0</v>
      </c>
      <c r="CK554" s="2" t="n">
        <v>0</v>
      </c>
      <c r="CL554" s="2" t="n">
        <v>0</v>
      </c>
      <c r="CM554" s="2" t="n">
        <v>0</v>
      </c>
      <c r="CN554" s="2" t="n">
        <v>0</v>
      </c>
      <c r="CO554" s="2" t="n">
        <v>0</v>
      </c>
      <c r="CP554" s="2" t="n">
        <v>0</v>
      </c>
      <c r="CQ554" s="2" t="n">
        <v>0</v>
      </c>
      <c r="CR554" s="2" t="n">
        <v>0</v>
      </c>
      <c r="CS554" s="2" t="n">
        <v>0</v>
      </c>
      <c r="CT554" s="2" t="n">
        <v>0</v>
      </c>
      <c r="CU554" s="2" t="n">
        <v>0</v>
      </c>
      <c r="CV554" s="2" t="n">
        <v>0</v>
      </c>
      <c r="CW554" s="2" t="n">
        <v>0</v>
      </c>
      <c r="CX554" s="2" t="n">
        <v>0</v>
      </c>
      <c r="CY554" s="2" t="n">
        <v>0</v>
      </c>
      <c r="CZ554" s="2" t="n">
        <v>0</v>
      </c>
      <c r="DA554" s="2" t="n">
        <v>0</v>
      </c>
      <c r="DB554" s="2" t="n">
        <v>0</v>
      </c>
      <c r="DC554" s="2" t="n">
        <v>0</v>
      </c>
      <c r="DD554" s="2" t="n">
        <v>0</v>
      </c>
      <c r="DE554" s="2" t="n">
        <v>0</v>
      </c>
      <c r="DF554" s="2" t="n">
        <v>0</v>
      </c>
      <c r="DG554" s="2" t="n">
        <v>0</v>
      </c>
      <c r="DH554" s="2" t="n">
        <v>0</v>
      </c>
      <c r="DI554" s="2" t="n">
        <v>0</v>
      </c>
      <c r="DJ554" s="2" t="n">
        <v>0</v>
      </c>
      <c r="DK554" s="2" t="n">
        <v>0</v>
      </c>
      <c r="DL554" s="2" t="n">
        <v>0</v>
      </c>
      <c r="DM554" s="2" t="n">
        <v>0</v>
      </c>
      <c r="DN554" s="2" t="n">
        <v>0</v>
      </c>
      <c r="DO554" s="2" t="n">
        <v>0</v>
      </c>
      <c r="DP554" s="2" t="n">
        <v>0</v>
      </c>
      <c r="DQ554" s="2" t="n">
        <v>0</v>
      </c>
      <c r="DR554" s="2" t="n">
        <v>0</v>
      </c>
      <c r="DS554" s="2" t="n">
        <v>0</v>
      </c>
      <c r="DT554" s="2" t="n">
        <v>38.64</v>
      </c>
      <c r="DU554" s="2" t="n">
        <v>0</v>
      </c>
      <c r="DV554" s="2" t="n">
        <v>38.64</v>
      </c>
      <c r="DW554" s="2" t="n">
        <v>84.09</v>
      </c>
      <c r="DX554" s="2" t="n">
        <v>0</v>
      </c>
      <c r="DY554" s="2" t="n">
        <v>86.36</v>
      </c>
      <c r="DZ554" s="2" t="n">
        <v>100</v>
      </c>
      <c r="EA554" s="2" t="n">
        <v>0</v>
      </c>
      <c r="EB554" s="2" t="n">
        <v>100</v>
      </c>
      <c r="EC554" s="2" t="n">
        <v>100</v>
      </c>
      <c r="ED554" s="2" t="n">
        <v>0</v>
      </c>
      <c r="EE554" s="2" t="n">
        <v>100</v>
      </c>
      <c r="EF554" s="2" t="n">
        <v>100</v>
      </c>
      <c r="EG554" s="2" t="n">
        <v>0</v>
      </c>
      <c r="EH554" s="2" t="n">
        <v>100</v>
      </c>
      <c r="EI554" s="2" t="n">
        <v>100</v>
      </c>
      <c r="EJ554" s="2" t="n">
        <v>0</v>
      </c>
      <c r="EK554" s="2" t="n">
        <v>100</v>
      </c>
      <c r="EL554" s="2" t="n">
        <v>100</v>
      </c>
      <c r="EM554" s="2" t="n">
        <v>0</v>
      </c>
      <c r="EN554" s="2" t="n">
        <v>100</v>
      </c>
      <c r="EO554" s="2" t="n">
        <v>100</v>
      </c>
      <c r="EP554" s="2" t="n">
        <v>0</v>
      </c>
      <c r="EQ554" s="2" t="n">
        <v>100</v>
      </c>
      <c r="ER554" s="2" t="n">
        <v>100</v>
      </c>
      <c r="ES554" s="2" t="n">
        <v>0</v>
      </c>
    </row>
    <row r="555">
      <c r="A555" s="2" t="n">
        <v>2</v>
      </c>
      <c r="B555" s="2" t="inlineStr">
        <is>
          <t>23.05</t>
        </is>
      </c>
      <c r="C555" s="2" t="inlineStr">
        <is>
          <t>Tratamento acústico</t>
        </is>
      </c>
      <c r="D555" s="2" t="inlineStr">
        <is>
          <t>22/06/2027</t>
        </is>
      </c>
      <c r="E555" s="2" t="inlineStr">
        <is>
          <t>07/08/2028</t>
        </is>
      </c>
      <c r="F555" s="2" t="n">
        <v>463451.9241359408</v>
      </c>
      <c r="G555" s="2" t="n">
        <v>0</v>
      </c>
      <c r="H555" s="2" t="n">
        <v>463451.9241359408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0</v>
      </c>
      <c r="AM555" s="2" t="n">
        <v>0</v>
      </c>
      <c r="AN555" s="2" t="n">
        <v>0</v>
      </c>
      <c r="AO555" s="2" t="n">
        <v>0</v>
      </c>
      <c r="AP555" s="2" t="n">
        <v>0</v>
      </c>
      <c r="AQ555" s="2" t="n">
        <v>0</v>
      </c>
      <c r="AR555" s="2" t="n">
        <v>0</v>
      </c>
      <c r="AS555" s="2" t="n">
        <v>0</v>
      </c>
      <c r="AT555" s="2" t="n">
        <v>0</v>
      </c>
      <c r="AU555" s="2" t="n">
        <v>0</v>
      </c>
      <c r="AV555" s="2" t="n">
        <v>0</v>
      </c>
      <c r="AW555" s="2" t="n">
        <v>0</v>
      </c>
      <c r="AX555" s="2" t="n">
        <v>0</v>
      </c>
      <c r="AY555" s="2" t="n">
        <v>0</v>
      </c>
      <c r="AZ555" s="2" t="n">
        <v>0</v>
      </c>
      <c r="BA555" s="2" t="n">
        <v>0</v>
      </c>
      <c r="BB555" s="2" t="n">
        <v>0</v>
      </c>
      <c r="BC555" s="2" t="n">
        <v>0</v>
      </c>
      <c r="BD555" s="2" t="n">
        <v>0</v>
      </c>
      <c r="BE555" s="2" t="n">
        <v>0</v>
      </c>
      <c r="BF555" s="2" t="n">
        <v>0</v>
      </c>
      <c r="BG555" s="2" t="n">
        <v>0</v>
      </c>
      <c r="BH555" s="2" t="n">
        <v>0</v>
      </c>
      <c r="BI555" s="2" t="n">
        <v>0</v>
      </c>
      <c r="BJ555" s="2" t="n">
        <v>0</v>
      </c>
      <c r="BK555" s="2" t="n">
        <v>0</v>
      </c>
      <c r="BL555" s="2" t="n">
        <v>0</v>
      </c>
      <c r="BM555" s="2" t="n">
        <v>0</v>
      </c>
      <c r="BN555" s="2" t="n">
        <v>0</v>
      </c>
      <c r="BO555" s="2" t="n">
        <v>0</v>
      </c>
      <c r="BP555" s="2" t="n">
        <v>0</v>
      </c>
      <c r="BQ555" s="2" t="n">
        <v>0</v>
      </c>
      <c r="BR555" s="2" t="n">
        <v>0</v>
      </c>
      <c r="BS555" s="2" t="n">
        <v>0</v>
      </c>
      <c r="BT555" s="2" t="n">
        <v>0</v>
      </c>
      <c r="BU555" s="2" t="n">
        <v>0</v>
      </c>
      <c r="BV555" s="2" t="n">
        <v>0</v>
      </c>
      <c r="BW555" s="2" t="n">
        <v>0</v>
      </c>
      <c r="BX555" s="2" t="n">
        <v>0</v>
      </c>
      <c r="BY555" s="2" t="n">
        <v>0</v>
      </c>
      <c r="BZ555" s="2" t="n">
        <v>0</v>
      </c>
      <c r="CA555" s="2" t="n">
        <v>0</v>
      </c>
      <c r="CB555" s="2" t="n">
        <v>0</v>
      </c>
      <c r="CC555" s="2" t="n">
        <v>0.89</v>
      </c>
      <c r="CD555" s="2" t="n">
        <v>3.11</v>
      </c>
      <c r="CE555" s="2" t="n">
        <v>0</v>
      </c>
      <c r="CF555" s="2" t="n">
        <v>10.66</v>
      </c>
      <c r="CG555" s="2" t="n">
        <v>12.89</v>
      </c>
      <c r="CH555" s="2" t="n">
        <v>0</v>
      </c>
      <c r="CI555" s="2" t="n">
        <v>20.45</v>
      </c>
      <c r="CJ555" s="2" t="n">
        <v>22.67</v>
      </c>
      <c r="CK555" s="2" t="n">
        <v>0</v>
      </c>
      <c r="CL555" s="2" t="n">
        <v>29.78</v>
      </c>
      <c r="CM555" s="2" t="n">
        <v>32</v>
      </c>
      <c r="CN555" s="2" t="n">
        <v>0</v>
      </c>
      <c r="CO555" s="2" t="n">
        <v>38.67</v>
      </c>
      <c r="CP555" s="2" t="n">
        <v>40.9</v>
      </c>
      <c r="CQ555" s="2" t="n">
        <v>0</v>
      </c>
      <c r="CR555" s="2" t="n">
        <v>47.57</v>
      </c>
      <c r="CS555" s="2" t="n">
        <v>49.79</v>
      </c>
      <c r="CT555" s="2" t="n">
        <v>0</v>
      </c>
      <c r="CU555" s="2" t="n">
        <v>54.68</v>
      </c>
      <c r="CV555" s="2" t="n">
        <v>56.9</v>
      </c>
      <c r="CW555" s="2" t="n">
        <v>0</v>
      </c>
      <c r="CX555" s="2" t="n">
        <v>64.02</v>
      </c>
      <c r="CY555" s="2" t="n">
        <v>66.23999999999999</v>
      </c>
      <c r="CZ555" s="2" t="n">
        <v>0</v>
      </c>
      <c r="DA555" s="2" t="n">
        <v>73.34999999999999</v>
      </c>
      <c r="DB555" s="2" t="n">
        <v>75.56999999999999</v>
      </c>
      <c r="DC555" s="2" t="n">
        <v>0</v>
      </c>
      <c r="DD555" s="2" t="n">
        <v>83.58</v>
      </c>
      <c r="DE555" s="2" t="n">
        <v>85.8</v>
      </c>
      <c r="DF555" s="2" t="n">
        <v>0</v>
      </c>
      <c r="DG555" s="2" t="n">
        <v>91.58</v>
      </c>
      <c r="DH555" s="2" t="n">
        <v>92.43000000000001</v>
      </c>
      <c r="DI555" s="2" t="n">
        <v>0</v>
      </c>
      <c r="DJ555" s="2" t="n">
        <v>93.56999999999999</v>
      </c>
      <c r="DK555" s="2" t="n">
        <v>93.65000000000001</v>
      </c>
      <c r="DL555" s="2" t="n">
        <v>0</v>
      </c>
      <c r="DM555" s="2" t="n">
        <v>93.68000000000001</v>
      </c>
      <c r="DN555" s="2" t="n">
        <v>95.08</v>
      </c>
      <c r="DO555" s="2" t="n">
        <v>0</v>
      </c>
      <c r="DP555" s="2" t="n">
        <v>98.73</v>
      </c>
      <c r="DQ555" s="2" t="n">
        <v>99.89</v>
      </c>
      <c r="DR555" s="2" t="n">
        <v>0</v>
      </c>
      <c r="DS555" s="2" t="n">
        <v>99.93000000000001</v>
      </c>
      <c r="DT555" s="2" t="n">
        <v>100</v>
      </c>
      <c r="DU555" s="2" t="n">
        <v>0</v>
      </c>
      <c r="DV555" s="2" t="n">
        <v>100</v>
      </c>
      <c r="DW555" s="2" t="n">
        <v>100</v>
      </c>
      <c r="DX555" s="2" t="n">
        <v>0</v>
      </c>
      <c r="DY555" s="2" t="n">
        <v>100</v>
      </c>
      <c r="DZ555" s="2" t="n">
        <v>100</v>
      </c>
      <c r="EA555" s="2" t="n">
        <v>0</v>
      </c>
      <c r="EB555" s="2" t="n">
        <v>100</v>
      </c>
      <c r="EC555" s="2" t="n">
        <v>100</v>
      </c>
      <c r="ED555" s="2" t="n">
        <v>0</v>
      </c>
      <c r="EE555" s="2" t="n">
        <v>100</v>
      </c>
      <c r="EF555" s="2" t="n">
        <v>100</v>
      </c>
      <c r="EG555" s="2" t="n">
        <v>0</v>
      </c>
      <c r="EH555" s="2" t="n">
        <v>100</v>
      </c>
      <c r="EI555" s="2" t="n">
        <v>100</v>
      </c>
      <c r="EJ555" s="2" t="n">
        <v>0</v>
      </c>
      <c r="EK555" s="2" t="n">
        <v>100</v>
      </c>
      <c r="EL555" s="2" t="n">
        <v>100</v>
      </c>
      <c r="EM555" s="2" t="n">
        <v>0</v>
      </c>
      <c r="EN555" s="2" t="n">
        <v>100</v>
      </c>
      <c r="EO555" s="2" t="n">
        <v>100</v>
      </c>
      <c r="EP555" s="2" t="n">
        <v>0</v>
      </c>
      <c r="EQ555" s="2" t="n">
        <v>100</v>
      </c>
      <c r="ER555" s="2" t="n">
        <v>100</v>
      </c>
      <c r="ES555" s="2" t="n">
        <v>0</v>
      </c>
    </row>
    <row r="556">
      <c r="A556" s="2" t="n">
        <v>3</v>
      </c>
      <c r="B556" s="2" t="inlineStr">
        <is>
          <t>23.05.01</t>
        </is>
      </c>
      <c r="C556" s="2" t="inlineStr">
        <is>
          <t>PI02 - Contrapiso flutuante: Contrapiso armado sobre painel de lã de vidro, (sistema Optima piso, membrana flexível, 15mm de espessura, ref. Isover para evitar fissuras, o contrapsio deverá ser armado com tela tipo "pop soldada".</t>
        </is>
      </c>
      <c r="D556" s="2" t="inlineStr">
        <is>
          <t>22/06/2027</t>
        </is>
      </c>
      <c r="E556" s="2" t="inlineStr">
        <is>
          <t>07/08/2028</t>
        </is>
      </c>
      <c r="F556" s="2" t="n">
        <v>34390.00079899999</v>
      </c>
      <c r="G556" s="2" t="n">
        <v>0</v>
      </c>
      <c r="H556" s="2" t="n">
        <v>34390.00079899999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0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n">
        <v>0</v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n">
        <v>0</v>
      </c>
      <c r="BI556" s="2" t="n">
        <v>0</v>
      </c>
      <c r="BJ556" s="2" t="n">
        <v>0</v>
      </c>
      <c r="BK556" s="2" t="n">
        <v>0</v>
      </c>
      <c r="BL556" s="2" t="n">
        <v>0</v>
      </c>
      <c r="BM556" s="2" t="n">
        <v>0</v>
      </c>
      <c r="BN556" s="2" t="n">
        <v>0</v>
      </c>
      <c r="BO556" s="2" t="n">
        <v>0</v>
      </c>
      <c r="BP556" s="2" t="n">
        <v>0</v>
      </c>
      <c r="BQ556" s="2" t="n">
        <v>0</v>
      </c>
      <c r="BR556" s="2" t="n">
        <v>0</v>
      </c>
      <c r="BS556" s="2" t="n">
        <v>0</v>
      </c>
      <c r="BT556" s="2" t="n">
        <v>0</v>
      </c>
      <c r="BU556" s="2" t="n">
        <v>0</v>
      </c>
      <c r="BV556" s="2" t="n">
        <v>0</v>
      </c>
      <c r="BW556" s="2" t="n">
        <v>0</v>
      </c>
      <c r="BX556" s="2" t="n">
        <v>0</v>
      </c>
      <c r="BY556" s="2" t="n">
        <v>0</v>
      </c>
      <c r="BZ556" s="2" t="n">
        <v>0</v>
      </c>
      <c r="CA556" s="2" t="n">
        <v>0</v>
      </c>
      <c r="CB556" s="2" t="n">
        <v>0</v>
      </c>
      <c r="CC556" s="2" t="n">
        <v>0.89</v>
      </c>
      <c r="CD556" s="2" t="n">
        <v>3.11</v>
      </c>
      <c r="CE556" s="2" t="n">
        <v>0</v>
      </c>
      <c r="CF556" s="2" t="n">
        <v>10.66</v>
      </c>
      <c r="CG556" s="2" t="n">
        <v>12.89</v>
      </c>
      <c r="CH556" s="2" t="n">
        <v>0</v>
      </c>
      <c r="CI556" s="2" t="n">
        <v>20.45</v>
      </c>
      <c r="CJ556" s="2" t="n">
        <v>22.67</v>
      </c>
      <c r="CK556" s="2" t="n">
        <v>0</v>
      </c>
      <c r="CL556" s="2" t="n">
        <v>29.78</v>
      </c>
      <c r="CM556" s="2" t="n">
        <v>32</v>
      </c>
      <c r="CN556" s="2" t="n">
        <v>0</v>
      </c>
      <c r="CO556" s="2" t="n">
        <v>38.67</v>
      </c>
      <c r="CP556" s="2" t="n">
        <v>40.9</v>
      </c>
      <c r="CQ556" s="2" t="n">
        <v>0</v>
      </c>
      <c r="CR556" s="2" t="n">
        <v>47.57</v>
      </c>
      <c r="CS556" s="2" t="n">
        <v>49.79</v>
      </c>
      <c r="CT556" s="2" t="n">
        <v>0</v>
      </c>
      <c r="CU556" s="2" t="n">
        <v>54.68</v>
      </c>
      <c r="CV556" s="2" t="n">
        <v>56.9</v>
      </c>
      <c r="CW556" s="2" t="n">
        <v>0</v>
      </c>
      <c r="CX556" s="2" t="n">
        <v>64.02</v>
      </c>
      <c r="CY556" s="2" t="n">
        <v>66.23999999999999</v>
      </c>
      <c r="CZ556" s="2" t="n">
        <v>0</v>
      </c>
      <c r="DA556" s="2" t="n">
        <v>73.34999999999999</v>
      </c>
      <c r="DB556" s="2" t="n">
        <v>75.56999999999999</v>
      </c>
      <c r="DC556" s="2" t="n">
        <v>0</v>
      </c>
      <c r="DD556" s="2" t="n">
        <v>83.58</v>
      </c>
      <c r="DE556" s="2" t="n">
        <v>85.8</v>
      </c>
      <c r="DF556" s="2" t="n">
        <v>0</v>
      </c>
      <c r="DG556" s="2" t="n">
        <v>91.58</v>
      </c>
      <c r="DH556" s="2" t="n">
        <v>92.43000000000001</v>
      </c>
      <c r="DI556" s="2" t="n">
        <v>0</v>
      </c>
      <c r="DJ556" s="2" t="n">
        <v>93.56999999999999</v>
      </c>
      <c r="DK556" s="2" t="n">
        <v>93.65000000000001</v>
      </c>
      <c r="DL556" s="2" t="n">
        <v>0</v>
      </c>
      <c r="DM556" s="2" t="n">
        <v>93.68000000000001</v>
      </c>
      <c r="DN556" s="2" t="n">
        <v>95.08</v>
      </c>
      <c r="DO556" s="2" t="n">
        <v>0</v>
      </c>
      <c r="DP556" s="2" t="n">
        <v>98.73</v>
      </c>
      <c r="DQ556" s="2" t="n">
        <v>99.89</v>
      </c>
      <c r="DR556" s="2" t="n">
        <v>0</v>
      </c>
      <c r="DS556" s="2" t="n">
        <v>99.93000000000001</v>
      </c>
      <c r="DT556" s="2" t="n">
        <v>100</v>
      </c>
      <c r="DU556" s="2" t="n">
        <v>0</v>
      </c>
      <c r="DV556" s="2" t="n">
        <v>100</v>
      </c>
      <c r="DW556" s="2" t="n">
        <v>100</v>
      </c>
      <c r="DX556" s="2" t="n">
        <v>0</v>
      </c>
      <c r="DY556" s="2" t="n">
        <v>100</v>
      </c>
      <c r="DZ556" s="2" t="n">
        <v>100</v>
      </c>
      <c r="EA556" s="2" t="n">
        <v>0</v>
      </c>
      <c r="EB556" s="2" t="n">
        <v>100</v>
      </c>
      <c r="EC556" s="2" t="n">
        <v>100</v>
      </c>
      <c r="ED556" s="2" t="n">
        <v>0</v>
      </c>
      <c r="EE556" s="2" t="n">
        <v>100</v>
      </c>
      <c r="EF556" s="2" t="n">
        <v>100</v>
      </c>
      <c r="EG556" s="2" t="n">
        <v>0</v>
      </c>
      <c r="EH556" s="2" t="n">
        <v>100</v>
      </c>
      <c r="EI556" s="2" t="n">
        <v>100</v>
      </c>
      <c r="EJ556" s="2" t="n">
        <v>0</v>
      </c>
      <c r="EK556" s="2" t="n">
        <v>100</v>
      </c>
      <c r="EL556" s="2" t="n">
        <v>100</v>
      </c>
      <c r="EM556" s="2" t="n">
        <v>0</v>
      </c>
      <c r="EN556" s="2" t="n">
        <v>100</v>
      </c>
      <c r="EO556" s="2" t="n">
        <v>100</v>
      </c>
      <c r="EP556" s="2" t="n">
        <v>0</v>
      </c>
      <c r="EQ556" s="2" t="n">
        <v>100</v>
      </c>
      <c r="ER556" s="2" t="n">
        <v>100</v>
      </c>
      <c r="ES556" s="2" t="n">
        <v>0</v>
      </c>
    </row>
    <row r="557">
      <c r="A557" s="2" t="n">
        <v>3</v>
      </c>
      <c r="B557" s="2" t="inlineStr">
        <is>
          <t>23.05.02</t>
        </is>
      </c>
      <c r="C557" s="2" t="inlineStr">
        <is>
          <t>PI03 - Contrapiso flutuante - Bombas e GMG: Base de concreto armado, de 10cm, sobre forma perdida de placa cimentícia de 10mm e painel de lã de PET, 50mm de espessura e 35kg /m3 de densidade, na projeção das bombas</t>
        </is>
      </c>
      <c r="D557" s="2" t="inlineStr">
        <is>
          <t>22/06/2027</t>
        </is>
      </c>
      <c r="E557" s="2" t="inlineStr">
        <is>
          <t>07/08/2028</t>
        </is>
      </c>
      <c r="F557" s="2" t="n">
        <v>8389.843514999999</v>
      </c>
      <c r="G557" s="2" t="n">
        <v>0</v>
      </c>
      <c r="H557" s="2" t="n">
        <v>8389.843514999999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0</v>
      </c>
      <c r="AN557" s="2" t="n">
        <v>0</v>
      </c>
      <c r="AO557" s="2" t="n">
        <v>0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n">
        <v>0</v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n">
        <v>0</v>
      </c>
      <c r="BI557" s="2" t="n">
        <v>0</v>
      </c>
      <c r="BJ557" s="2" t="n">
        <v>0</v>
      </c>
      <c r="BK557" s="2" t="n">
        <v>0</v>
      </c>
      <c r="BL557" s="2" t="n">
        <v>0</v>
      </c>
      <c r="BM557" s="2" t="n">
        <v>0</v>
      </c>
      <c r="BN557" s="2" t="n">
        <v>0</v>
      </c>
      <c r="BO557" s="2" t="n">
        <v>0</v>
      </c>
      <c r="BP557" s="2" t="n">
        <v>0</v>
      </c>
      <c r="BQ557" s="2" t="n">
        <v>0</v>
      </c>
      <c r="BR557" s="2" t="n">
        <v>0</v>
      </c>
      <c r="BS557" s="2" t="n">
        <v>0</v>
      </c>
      <c r="BT557" s="2" t="n">
        <v>0</v>
      </c>
      <c r="BU557" s="2" t="n">
        <v>0</v>
      </c>
      <c r="BV557" s="2" t="n">
        <v>0</v>
      </c>
      <c r="BW557" s="2" t="n">
        <v>0</v>
      </c>
      <c r="BX557" s="2" t="n">
        <v>0</v>
      </c>
      <c r="BY557" s="2" t="n">
        <v>0</v>
      </c>
      <c r="BZ557" s="2" t="n">
        <v>0</v>
      </c>
      <c r="CA557" s="2" t="n">
        <v>0</v>
      </c>
      <c r="CB557" s="2" t="n">
        <v>0</v>
      </c>
      <c r="CC557" s="2" t="n">
        <v>0.89</v>
      </c>
      <c r="CD557" s="2" t="n">
        <v>3.11</v>
      </c>
      <c r="CE557" s="2" t="n">
        <v>0</v>
      </c>
      <c r="CF557" s="2" t="n">
        <v>10.66</v>
      </c>
      <c r="CG557" s="2" t="n">
        <v>12.89</v>
      </c>
      <c r="CH557" s="2" t="n">
        <v>0</v>
      </c>
      <c r="CI557" s="2" t="n">
        <v>20.45</v>
      </c>
      <c r="CJ557" s="2" t="n">
        <v>22.67</v>
      </c>
      <c r="CK557" s="2" t="n">
        <v>0</v>
      </c>
      <c r="CL557" s="2" t="n">
        <v>29.78</v>
      </c>
      <c r="CM557" s="2" t="n">
        <v>32</v>
      </c>
      <c r="CN557" s="2" t="n">
        <v>0</v>
      </c>
      <c r="CO557" s="2" t="n">
        <v>38.67</v>
      </c>
      <c r="CP557" s="2" t="n">
        <v>40.9</v>
      </c>
      <c r="CQ557" s="2" t="n">
        <v>0</v>
      </c>
      <c r="CR557" s="2" t="n">
        <v>47.57</v>
      </c>
      <c r="CS557" s="2" t="n">
        <v>49.79</v>
      </c>
      <c r="CT557" s="2" t="n">
        <v>0</v>
      </c>
      <c r="CU557" s="2" t="n">
        <v>54.68</v>
      </c>
      <c r="CV557" s="2" t="n">
        <v>56.9</v>
      </c>
      <c r="CW557" s="2" t="n">
        <v>0</v>
      </c>
      <c r="CX557" s="2" t="n">
        <v>64.02</v>
      </c>
      <c r="CY557" s="2" t="n">
        <v>66.23999999999999</v>
      </c>
      <c r="CZ557" s="2" t="n">
        <v>0</v>
      </c>
      <c r="DA557" s="2" t="n">
        <v>73.34999999999999</v>
      </c>
      <c r="DB557" s="2" t="n">
        <v>75.56999999999999</v>
      </c>
      <c r="DC557" s="2" t="n">
        <v>0</v>
      </c>
      <c r="DD557" s="2" t="n">
        <v>83.58</v>
      </c>
      <c r="DE557" s="2" t="n">
        <v>85.8</v>
      </c>
      <c r="DF557" s="2" t="n">
        <v>0</v>
      </c>
      <c r="DG557" s="2" t="n">
        <v>91.58</v>
      </c>
      <c r="DH557" s="2" t="n">
        <v>92.43000000000001</v>
      </c>
      <c r="DI557" s="2" t="n">
        <v>0</v>
      </c>
      <c r="DJ557" s="2" t="n">
        <v>93.56999999999999</v>
      </c>
      <c r="DK557" s="2" t="n">
        <v>93.65000000000001</v>
      </c>
      <c r="DL557" s="2" t="n">
        <v>0</v>
      </c>
      <c r="DM557" s="2" t="n">
        <v>93.68000000000001</v>
      </c>
      <c r="DN557" s="2" t="n">
        <v>95.08</v>
      </c>
      <c r="DO557" s="2" t="n">
        <v>0</v>
      </c>
      <c r="DP557" s="2" t="n">
        <v>98.73</v>
      </c>
      <c r="DQ557" s="2" t="n">
        <v>99.89</v>
      </c>
      <c r="DR557" s="2" t="n">
        <v>0</v>
      </c>
      <c r="DS557" s="2" t="n">
        <v>99.93000000000001</v>
      </c>
      <c r="DT557" s="2" t="n">
        <v>100</v>
      </c>
      <c r="DU557" s="2" t="n">
        <v>0</v>
      </c>
      <c r="DV557" s="2" t="n">
        <v>100</v>
      </c>
      <c r="DW557" s="2" t="n">
        <v>100</v>
      </c>
      <c r="DX557" s="2" t="n">
        <v>0</v>
      </c>
      <c r="DY557" s="2" t="n">
        <v>100</v>
      </c>
      <c r="DZ557" s="2" t="n">
        <v>100</v>
      </c>
      <c r="EA557" s="2" t="n">
        <v>0</v>
      </c>
      <c r="EB557" s="2" t="n">
        <v>100</v>
      </c>
      <c r="EC557" s="2" t="n">
        <v>100</v>
      </c>
      <c r="ED557" s="2" t="n">
        <v>0</v>
      </c>
      <c r="EE557" s="2" t="n">
        <v>100</v>
      </c>
      <c r="EF557" s="2" t="n">
        <v>100</v>
      </c>
      <c r="EG557" s="2" t="n">
        <v>0</v>
      </c>
      <c r="EH557" s="2" t="n">
        <v>100</v>
      </c>
      <c r="EI557" s="2" t="n">
        <v>100</v>
      </c>
      <c r="EJ557" s="2" t="n">
        <v>0</v>
      </c>
      <c r="EK557" s="2" t="n">
        <v>100</v>
      </c>
      <c r="EL557" s="2" t="n">
        <v>100</v>
      </c>
      <c r="EM557" s="2" t="n">
        <v>0</v>
      </c>
      <c r="EN557" s="2" t="n">
        <v>100</v>
      </c>
      <c r="EO557" s="2" t="n">
        <v>100</v>
      </c>
      <c r="EP557" s="2" t="n">
        <v>0</v>
      </c>
      <c r="EQ557" s="2" t="n">
        <v>100</v>
      </c>
      <c r="ER557" s="2" t="n">
        <v>100</v>
      </c>
      <c r="ES557" s="2" t="n">
        <v>0</v>
      </c>
    </row>
    <row r="558">
      <c r="A558" s="2" t="n">
        <v>3</v>
      </c>
      <c r="B558" s="2" t="inlineStr">
        <is>
          <t>23.05.03</t>
        </is>
      </c>
      <c r="C558" s="2" t="inlineStr">
        <is>
          <t>PI04 - Base de inércia elevadores: Base de concreto armado, a ser dimensionada, sobre forma perdida de placa cimentícia de 10mm, e painel de lâ de PET, 50mm de espessura, e 35kg de densidade.</t>
        </is>
      </c>
      <c r="D558" s="2" t="inlineStr">
        <is>
          <t>22/06/2027</t>
        </is>
      </c>
      <c r="E558" s="2" t="inlineStr">
        <is>
          <t>07/08/2028</t>
        </is>
      </c>
      <c r="F558" s="2" t="n">
        <v>40858.3</v>
      </c>
      <c r="G558" s="2" t="n">
        <v>0</v>
      </c>
      <c r="H558" s="2" t="n">
        <v>40858.3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0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n">
        <v>0</v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n">
        <v>0</v>
      </c>
      <c r="BI558" s="2" t="n">
        <v>0</v>
      </c>
      <c r="BJ558" s="2" t="n">
        <v>0</v>
      </c>
      <c r="BK558" s="2" t="n">
        <v>0</v>
      </c>
      <c r="BL558" s="2" t="n">
        <v>0</v>
      </c>
      <c r="BM558" s="2" t="n">
        <v>0</v>
      </c>
      <c r="BN558" s="2" t="n">
        <v>0</v>
      </c>
      <c r="BO558" s="2" t="n">
        <v>0</v>
      </c>
      <c r="BP558" s="2" t="n">
        <v>0</v>
      </c>
      <c r="BQ558" s="2" t="n">
        <v>0</v>
      </c>
      <c r="BR558" s="2" t="n">
        <v>0</v>
      </c>
      <c r="BS558" s="2" t="n">
        <v>0</v>
      </c>
      <c r="BT558" s="2" t="n">
        <v>0</v>
      </c>
      <c r="BU558" s="2" t="n">
        <v>0</v>
      </c>
      <c r="BV558" s="2" t="n">
        <v>0</v>
      </c>
      <c r="BW558" s="2" t="n">
        <v>0</v>
      </c>
      <c r="BX558" s="2" t="n">
        <v>0</v>
      </c>
      <c r="BY558" s="2" t="n">
        <v>0</v>
      </c>
      <c r="BZ558" s="2" t="n">
        <v>0</v>
      </c>
      <c r="CA558" s="2" t="n">
        <v>0</v>
      </c>
      <c r="CB558" s="2" t="n">
        <v>0</v>
      </c>
      <c r="CC558" s="2" t="n">
        <v>0.89</v>
      </c>
      <c r="CD558" s="2" t="n">
        <v>3.11</v>
      </c>
      <c r="CE558" s="2" t="n">
        <v>0</v>
      </c>
      <c r="CF558" s="2" t="n">
        <v>10.66</v>
      </c>
      <c r="CG558" s="2" t="n">
        <v>12.89</v>
      </c>
      <c r="CH558" s="2" t="n">
        <v>0</v>
      </c>
      <c r="CI558" s="2" t="n">
        <v>20.45</v>
      </c>
      <c r="CJ558" s="2" t="n">
        <v>22.67</v>
      </c>
      <c r="CK558" s="2" t="n">
        <v>0</v>
      </c>
      <c r="CL558" s="2" t="n">
        <v>29.78</v>
      </c>
      <c r="CM558" s="2" t="n">
        <v>32</v>
      </c>
      <c r="CN558" s="2" t="n">
        <v>0</v>
      </c>
      <c r="CO558" s="2" t="n">
        <v>38.67</v>
      </c>
      <c r="CP558" s="2" t="n">
        <v>40.9</v>
      </c>
      <c r="CQ558" s="2" t="n">
        <v>0</v>
      </c>
      <c r="CR558" s="2" t="n">
        <v>47.57</v>
      </c>
      <c r="CS558" s="2" t="n">
        <v>49.79</v>
      </c>
      <c r="CT558" s="2" t="n">
        <v>0</v>
      </c>
      <c r="CU558" s="2" t="n">
        <v>54.68</v>
      </c>
      <c r="CV558" s="2" t="n">
        <v>56.9</v>
      </c>
      <c r="CW558" s="2" t="n">
        <v>0</v>
      </c>
      <c r="CX558" s="2" t="n">
        <v>64.02</v>
      </c>
      <c r="CY558" s="2" t="n">
        <v>66.23999999999999</v>
      </c>
      <c r="CZ558" s="2" t="n">
        <v>0</v>
      </c>
      <c r="DA558" s="2" t="n">
        <v>73.34999999999999</v>
      </c>
      <c r="DB558" s="2" t="n">
        <v>75.56999999999999</v>
      </c>
      <c r="DC558" s="2" t="n">
        <v>0</v>
      </c>
      <c r="DD558" s="2" t="n">
        <v>83.58</v>
      </c>
      <c r="DE558" s="2" t="n">
        <v>85.8</v>
      </c>
      <c r="DF558" s="2" t="n">
        <v>0</v>
      </c>
      <c r="DG558" s="2" t="n">
        <v>91.58</v>
      </c>
      <c r="DH558" s="2" t="n">
        <v>92.43000000000001</v>
      </c>
      <c r="DI558" s="2" t="n">
        <v>0</v>
      </c>
      <c r="DJ558" s="2" t="n">
        <v>93.56999999999999</v>
      </c>
      <c r="DK558" s="2" t="n">
        <v>93.65000000000001</v>
      </c>
      <c r="DL558" s="2" t="n">
        <v>0</v>
      </c>
      <c r="DM558" s="2" t="n">
        <v>93.68000000000001</v>
      </c>
      <c r="DN558" s="2" t="n">
        <v>95.08</v>
      </c>
      <c r="DO558" s="2" t="n">
        <v>0</v>
      </c>
      <c r="DP558" s="2" t="n">
        <v>98.73</v>
      </c>
      <c r="DQ558" s="2" t="n">
        <v>99.89</v>
      </c>
      <c r="DR558" s="2" t="n">
        <v>0</v>
      </c>
      <c r="DS558" s="2" t="n">
        <v>99.93000000000001</v>
      </c>
      <c r="DT558" s="2" t="n">
        <v>100</v>
      </c>
      <c r="DU558" s="2" t="n">
        <v>0</v>
      </c>
      <c r="DV558" s="2" t="n">
        <v>100</v>
      </c>
      <c r="DW558" s="2" t="n">
        <v>100</v>
      </c>
      <c r="DX558" s="2" t="n">
        <v>0</v>
      </c>
      <c r="DY558" s="2" t="n">
        <v>100</v>
      </c>
      <c r="DZ558" s="2" t="n">
        <v>100</v>
      </c>
      <c r="EA558" s="2" t="n">
        <v>0</v>
      </c>
      <c r="EB558" s="2" t="n">
        <v>100</v>
      </c>
      <c r="EC558" s="2" t="n">
        <v>100</v>
      </c>
      <c r="ED558" s="2" t="n">
        <v>0</v>
      </c>
      <c r="EE558" s="2" t="n">
        <v>100</v>
      </c>
      <c r="EF558" s="2" t="n">
        <v>100</v>
      </c>
      <c r="EG558" s="2" t="n">
        <v>0</v>
      </c>
      <c r="EH558" s="2" t="n">
        <v>100</v>
      </c>
      <c r="EI558" s="2" t="n">
        <v>100</v>
      </c>
      <c r="EJ558" s="2" t="n">
        <v>0</v>
      </c>
      <c r="EK558" s="2" t="n">
        <v>100</v>
      </c>
      <c r="EL558" s="2" t="n">
        <v>100</v>
      </c>
      <c r="EM558" s="2" t="n">
        <v>0</v>
      </c>
      <c r="EN558" s="2" t="n">
        <v>100</v>
      </c>
      <c r="EO558" s="2" t="n">
        <v>100</v>
      </c>
      <c r="EP558" s="2" t="n">
        <v>0</v>
      </c>
      <c r="EQ558" s="2" t="n">
        <v>100</v>
      </c>
      <c r="ER558" s="2" t="n">
        <v>100</v>
      </c>
      <c r="ES558" s="2" t="n">
        <v>0</v>
      </c>
    </row>
    <row r="559">
      <c r="A559" s="2" t="n">
        <v>3</v>
      </c>
      <c r="B559" s="2" t="inlineStr">
        <is>
          <t>23.05.04</t>
        </is>
      </c>
      <c r="C559" s="2" t="inlineStr">
        <is>
          <t>RE01 - Revestimento de parede de absorção acústica composto por 1 manta de lã de PET com 35kg/m3 de densidade e 50mm de espessura. Fixado perfis próprios metálicos, ref. Trisoft ou similar</t>
        </is>
      </c>
      <c r="D559" s="2" t="inlineStr">
        <is>
          <t>22/06/2027</t>
        </is>
      </c>
      <c r="E559" s="2" t="inlineStr">
        <is>
          <t>07/08/2028</t>
        </is>
      </c>
      <c r="F559" s="2" t="n">
        <v>142032.6055832208</v>
      </c>
      <c r="G559" s="2" t="n">
        <v>0</v>
      </c>
      <c r="H559" s="2" t="n">
        <v>142032.6055832208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  <c r="AN559" s="2" t="n">
        <v>0</v>
      </c>
      <c r="AO559" s="2" t="n">
        <v>0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n">
        <v>0</v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n">
        <v>0</v>
      </c>
      <c r="BI559" s="2" t="n">
        <v>0</v>
      </c>
      <c r="BJ559" s="2" t="n">
        <v>0</v>
      </c>
      <c r="BK559" s="2" t="n">
        <v>0</v>
      </c>
      <c r="BL559" s="2" t="n">
        <v>0</v>
      </c>
      <c r="BM559" s="2" t="n">
        <v>0</v>
      </c>
      <c r="BN559" s="2" t="n">
        <v>0</v>
      </c>
      <c r="BO559" s="2" t="n">
        <v>0</v>
      </c>
      <c r="BP559" s="2" t="n">
        <v>0</v>
      </c>
      <c r="BQ559" s="2" t="n">
        <v>0</v>
      </c>
      <c r="BR559" s="2" t="n">
        <v>0</v>
      </c>
      <c r="BS559" s="2" t="n">
        <v>0</v>
      </c>
      <c r="BT559" s="2" t="n">
        <v>0</v>
      </c>
      <c r="BU559" s="2" t="n">
        <v>0</v>
      </c>
      <c r="BV559" s="2" t="n">
        <v>0</v>
      </c>
      <c r="BW559" s="2" t="n">
        <v>0</v>
      </c>
      <c r="BX559" s="2" t="n">
        <v>0</v>
      </c>
      <c r="BY559" s="2" t="n">
        <v>0</v>
      </c>
      <c r="BZ559" s="2" t="n">
        <v>0</v>
      </c>
      <c r="CA559" s="2" t="n">
        <v>0</v>
      </c>
      <c r="CB559" s="2" t="n">
        <v>0</v>
      </c>
      <c r="CC559" s="2" t="n">
        <v>0.89</v>
      </c>
      <c r="CD559" s="2" t="n">
        <v>3.11</v>
      </c>
      <c r="CE559" s="2" t="n">
        <v>0</v>
      </c>
      <c r="CF559" s="2" t="n">
        <v>10.66</v>
      </c>
      <c r="CG559" s="2" t="n">
        <v>12.89</v>
      </c>
      <c r="CH559" s="2" t="n">
        <v>0</v>
      </c>
      <c r="CI559" s="2" t="n">
        <v>20.45</v>
      </c>
      <c r="CJ559" s="2" t="n">
        <v>22.67</v>
      </c>
      <c r="CK559" s="2" t="n">
        <v>0</v>
      </c>
      <c r="CL559" s="2" t="n">
        <v>29.78</v>
      </c>
      <c r="CM559" s="2" t="n">
        <v>32</v>
      </c>
      <c r="CN559" s="2" t="n">
        <v>0</v>
      </c>
      <c r="CO559" s="2" t="n">
        <v>38.67</v>
      </c>
      <c r="CP559" s="2" t="n">
        <v>40.9</v>
      </c>
      <c r="CQ559" s="2" t="n">
        <v>0</v>
      </c>
      <c r="CR559" s="2" t="n">
        <v>47.57</v>
      </c>
      <c r="CS559" s="2" t="n">
        <v>49.79</v>
      </c>
      <c r="CT559" s="2" t="n">
        <v>0</v>
      </c>
      <c r="CU559" s="2" t="n">
        <v>54.68</v>
      </c>
      <c r="CV559" s="2" t="n">
        <v>56.9</v>
      </c>
      <c r="CW559" s="2" t="n">
        <v>0</v>
      </c>
      <c r="CX559" s="2" t="n">
        <v>64.02</v>
      </c>
      <c r="CY559" s="2" t="n">
        <v>66.23999999999999</v>
      </c>
      <c r="CZ559" s="2" t="n">
        <v>0</v>
      </c>
      <c r="DA559" s="2" t="n">
        <v>73.34999999999999</v>
      </c>
      <c r="DB559" s="2" t="n">
        <v>75.56999999999999</v>
      </c>
      <c r="DC559" s="2" t="n">
        <v>0</v>
      </c>
      <c r="DD559" s="2" t="n">
        <v>83.58</v>
      </c>
      <c r="DE559" s="2" t="n">
        <v>85.8</v>
      </c>
      <c r="DF559" s="2" t="n">
        <v>0</v>
      </c>
      <c r="DG559" s="2" t="n">
        <v>91.58</v>
      </c>
      <c r="DH559" s="2" t="n">
        <v>92.43000000000001</v>
      </c>
      <c r="DI559" s="2" t="n">
        <v>0</v>
      </c>
      <c r="DJ559" s="2" t="n">
        <v>93.56999999999999</v>
      </c>
      <c r="DK559" s="2" t="n">
        <v>93.65000000000001</v>
      </c>
      <c r="DL559" s="2" t="n">
        <v>0</v>
      </c>
      <c r="DM559" s="2" t="n">
        <v>93.68000000000001</v>
      </c>
      <c r="DN559" s="2" t="n">
        <v>95.08</v>
      </c>
      <c r="DO559" s="2" t="n">
        <v>0</v>
      </c>
      <c r="DP559" s="2" t="n">
        <v>98.73</v>
      </c>
      <c r="DQ559" s="2" t="n">
        <v>99.89</v>
      </c>
      <c r="DR559" s="2" t="n">
        <v>0</v>
      </c>
      <c r="DS559" s="2" t="n">
        <v>99.93000000000001</v>
      </c>
      <c r="DT559" s="2" t="n">
        <v>100</v>
      </c>
      <c r="DU559" s="2" t="n">
        <v>0</v>
      </c>
      <c r="DV559" s="2" t="n">
        <v>100</v>
      </c>
      <c r="DW559" s="2" t="n">
        <v>100</v>
      </c>
      <c r="DX559" s="2" t="n">
        <v>0</v>
      </c>
      <c r="DY559" s="2" t="n">
        <v>100</v>
      </c>
      <c r="DZ559" s="2" t="n">
        <v>100</v>
      </c>
      <c r="EA559" s="2" t="n">
        <v>0</v>
      </c>
      <c r="EB559" s="2" t="n">
        <v>100</v>
      </c>
      <c r="EC559" s="2" t="n">
        <v>100</v>
      </c>
      <c r="ED559" s="2" t="n">
        <v>0</v>
      </c>
      <c r="EE559" s="2" t="n">
        <v>100</v>
      </c>
      <c r="EF559" s="2" t="n">
        <v>100</v>
      </c>
      <c r="EG559" s="2" t="n">
        <v>0</v>
      </c>
      <c r="EH559" s="2" t="n">
        <v>100</v>
      </c>
      <c r="EI559" s="2" t="n">
        <v>100</v>
      </c>
      <c r="EJ559" s="2" t="n">
        <v>0</v>
      </c>
      <c r="EK559" s="2" t="n">
        <v>100</v>
      </c>
      <c r="EL559" s="2" t="n">
        <v>100</v>
      </c>
      <c r="EM559" s="2" t="n">
        <v>0</v>
      </c>
      <c r="EN559" s="2" t="n">
        <v>100</v>
      </c>
      <c r="EO559" s="2" t="n">
        <v>100</v>
      </c>
      <c r="EP559" s="2" t="n">
        <v>0</v>
      </c>
      <c r="EQ559" s="2" t="n">
        <v>100</v>
      </c>
      <c r="ER559" s="2" t="n">
        <v>100</v>
      </c>
      <c r="ES559" s="2" t="n">
        <v>0</v>
      </c>
    </row>
    <row r="560">
      <c r="A560" s="2" t="n">
        <v>3</v>
      </c>
      <c r="B560" s="2" t="inlineStr">
        <is>
          <t>23.05.05</t>
        </is>
      </c>
      <c r="C560" s="2" t="inlineStr">
        <is>
          <t>FO01 -  Forro de absorção acústica composto por 1 manta de lã de PET com 35kg/m3 de densidade e 50mm de espessura. Fixado perfis próprios metálicos, ref. Trisoft ou similar</t>
        </is>
      </c>
      <c r="D560" s="2" t="inlineStr">
        <is>
          <t>22/06/2027</t>
        </is>
      </c>
      <c r="E560" s="2" t="inlineStr">
        <is>
          <t>07/08/2028</t>
        </is>
      </c>
      <c r="F560" s="2" t="n">
        <v>35118.18945599999</v>
      </c>
      <c r="G560" s="2" t="n">
        <v>0</v>
      </c>
      <c r="H560" s="2" t="n">
        <v>35118.18945599999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0</v>
      </c>
      <c r="AO560" s="2" t="n">
        <v>0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n">
        <v>0</v>
      </c>
      <c r="AZ560" s="2" t="n">
        <v>0</v>
      </c>
      <c r="BA560" s="2" t="n">
        <v>0</v>
      </c>
      <c r="BB560" s="2" t="n">
        <v>0</v>
      </c>
      <c r="BC560" s="2" t="n">
        <v>0</v>
      </c>
      <c r="BD560" s="2" t="n">
        <v>0</v>
      </c>
      <c r="BE560" s="2" t="n">
        <v>0</v>
      </c>
      <c r="BF560" s="2" t="n">
        <v>0</v>
      </c>
      <c r="BG560" s="2" t="n">
        <v>0</v>
      </c>
      <c r="BH560" s="2" t="n">
        <v>0</v>
      </c>
      <c r="BI560" s="2" t="n">
        <v>0</v>
      </c>
      <c r="BJ560" s="2" t="n">
        <v>0</v>
      </c>
      <c r="BK560" s="2" t="n">
        <v>0</v>
      </c>
      <c r="BL560" s="2" t="n">
        <v>0</v>
      </c>
      <c r="BM560" s="2" t="n">
        <v>0</v>
      </c>
      <c r="BN560" s="2" t="n">
        <v>0</v>
      </c>
      <c r="BO560" s="2" t="n">
        <v>0</v>
      </c>
      <c r="BP560" s="2" t="n">
        <v>0</v>
      </c>
      <c r="BQ560" s="2" t="n">
        <v>0</v>
      </c>
      <c r="BR560" s="2" t="n">
        <v>0</v>
      </c>
      <c r="BS560" s="2" t="n">
        <v>0</v>
      </c>
      <c r="BT560" s="2" t="n">
        <v>0</v>
      </c>
      <c r="BU560" s="2" t="n">
        <v>0</v>
      </c>
      <c r="BV560" s="2" t="n">
        <v>0</v>
      </c>
      <c r="BW560" s="2" t="n">
        <v>0</v>
      </c>
      <c r="BX560" s="2" t="n">
        <v>0</v>
      </c>
      <c r="BY560" s="2" t="n">
        <v>0</v>
      </c>
      <c r="BZ560" s="2" t="n">
        <v>0</v>
      </c>
      <c r="CA560" s="2" t="n">
        <v>0</v>
      </c>
      <c r="CB560" s="2" t="n">
        <v>0</v>
      </c>
      <c r="CC560" s="2" t="n">
        <v>0.89</v>
      </c>
      <c r="CD560" s="2" t="n">
        <v>3.11</v>
      </c>
      <c r="CE560" s="2" t="n">
        <v>0</v>
      </c>
      <c r="CF560" s="2" t="n">
        <v>10.66</v>
      </c>
      <c r="CG560" s="2" t="n">
        <v>12.89</v>
      </c>
      <c r="CH560" s="2" t="n">
        <v>0</v>
      </c>
      <c r="CI560" s="2" t="n">
        <v>20.45</v>
      </c>
      <c r="CJ560" s="2" t="n">
        <v>22.67</v>
      </c>
      <c r="CK560" s="2" t="n">
        <v>0</v>
      </c>
      <c r="CL560" s="2" t="n">
        <v>29.78</v>
      </c>
      <c r="CM560" s="2" t="n">
        <v>32</v>
      </c>
      <c r="CN560" s="2" t="n">
        <v>0</v>
      </c>
      <c r="CO560" s="2" t="n">
        <v>38.67</v>
      </c>
      <c r="CP560" s="2" t="n">
        <v>40.9</v>
      </c>
      <c r="CQ560" s="2" t="n">
        <v>0</v>
      </c>
      <c r="CR560" s="2" t="n">
        <v>47.57</v>
      </c>
      <c r="CS560" s="2" t="n">
        <v>49.79</v>
      </c>
      <c r="CT560" s="2" t="n">
        <v>0</v>
      </c>
      <c r="CU560" s="2" t="n">
        <v>54.68</v>
      </c>
      <c r="CV560" s="2" t="n">
        <v>56.9</v>
      </c>
      <c r="CW560" s="2" t="n">
        <v>0</v>
      </c>
      <c r="CX560" s="2" t="n">
        <v>64.02</v>
      </c>
      <c r="CY560" s="2" t="n">
        <v>66.23999999999999</v>
      </c>
      <c r="CZ560" s="2" t="n">
        <v>0</v>
      </c>
      <c r="DA560" s="2" t="n">
        <v>73.34999999999999</v>
      </c>
      <c r="DB560" s="2" t="n">
        <v>75.56999999999999</v>
      </c>
      <c r="DC560" s="2" t="n">
        <v>0</v>
      </c>
      <c r="DD560" s="2" t="n">
        <v>83.58</v>
      </c>
      <c r="DE560" s="2" t="n">
        <v>85.8</v>
      </c>
      <c r="DF560" s="2" t="n">
        <v>0</v>
      </c>
      <c r="DG560" s="2" t="n">
        <v>91.58</v>
      </c>
      <c r="DH560" s="2" t="n">
        <v>92.43000000000001</v>
      </c>
      <c r="DI560" s="2" t="n">
        <v>0</v>
      </c>
      <c r="DJ560" s="2" t="n">
        <v>93.56999999999999</v>
      </c>
      <c r="DK560" s="2" t="n">
        <v>93.65000000000001</v>
      </c>
      <c r="DL560" s="2" t="n">
        <v>0</v>
      </c>
      <c r="DM560" s="2" t="n">
        <v>93.68000000000001</v>
      </c>
      <c r="DN560" s="2" t="n">
        <v>95.08</v>
      </c>
      <c r="DO560" s="2" t="n">
        <v>0</v>
      </c>
      <c r="DP560" s="2" t="n">
        <v>98.73</v>
      </c>
      <c r="DQ560" s="2" t="n">
        <v>99.89</v>
      </c>
      <c r="DR560" s="2" t="n">
        <v>0</v>
      </c>
      <c r="DS560" s="2" t="n">
        <v>99.93000000000001</v>
      </c>
      <c r="DT560" s="2" t="n">
        <v>100</v>
      </c>
      <c r="DU560" s="2" t="n">
        <v>0</v>
      </c>
      <c r="DV560" s="2" t="n">
        <v>100</v>
      </c>
      <c r="DW560" s="2" t="n">
        <v>100</v>
      </c>
      <c r="DX560" s="2" t="n">
        <v>0</v>
      </c>
      <c r="DY560" s="2" t="n">
        <v>100</v>
      </c>
      <c r="DZ560" s="2" t="n">
        <v>100</v>
      </c>
      <c r="EA560" s="2" t="n">
        <v>0</v>
      </c>
      <c r="EB560" s="2" t="n">
        <v>100</v>
      </c>
      <c r="EC560" s="2" t="n">
        <v>100</v>
      </c>
      <c r="ED560" s="2" t="n">
        <v>0</v>
      </c>
      <c r="EE560" s="2" t="n">
        <v>100</v>
      </c>
      <c r="EF560" s="2" t="n">
        <v>100</v>
      </c>
      <c r="EG560" s="2" t="n">
        <v>0</v>
      </c>
      <c r="EH560" s="2" t="n">
        <v>100</v>
      </c>
      <c r="EI560" s="2" t="n">
        <v>100</v>
      </c>
      <c r="EJ560" s="2" t="n">
        <v>0</v>
      </c>
      <c r="EK560" s="2" t="n">
        <v>100</v>
      </c>
      <c r="EL560" s="2" t="n">
        <v>100</v>
      </c>
      <c r="EM560" s="2" t="n">
        <v>0</v>
      </c>
      <c r="EN560" s="2" t="n">
        <v>100</v>
      </c>
      <c r="EO560" s="2" t="n">
        <v>100</v>
      </c>
      <c r="EP560" s="2" t="n">
        <v>0</v>
      </c>
      <c r="EQ560" s="2" t="n">
        <v>100</v>
      </c>
      <c r="ER560" s="2" t="n">
        <v>100</v>
      </c>
      <c r="ES560" s="2" t="n">
        <v>0</v>
      </c>
    </row>
    <row r="561">
      <c r="A561" s="2" t="n">
        <v>3</v>
      </c>
      <c r="B561" s="2" t="inlineStr">
        <is>
          <t>23.05.06</t>
        </is>
      </c>
      <c r="C561" s="2" t="inlineStr">
        <is>
          <t>FO02 - Forro em gesso acartonado perfurado de absorção acústica , modelo cleaneo quadrado, furação 12/25, sistema de instalação tipo fge - estruturado, ref. knauf ceiling solutions ou similar. . bordas ou “tabeiras” em gesso liso, com acabamento em pintura a definir, referência knauf ou similar. preenchimento superior com 1 manta de lã de pet com 35kg/m³ de densidade e 50mm de espessura, ref. trisoft ou similar.</t>
        </is>
      </c>
      <c r="D561" s="2" t="inlineStr">
        <is>
          <t>22/06/2027</t>
        </is>
      </c>
      <c r="E561" s="2" t="inlineStr">
        <is>
          <t>07/08/2028</t>
        </is>
      </c>
      <c r="F561" s="2" t="n">
        <v>81383.60999999999</v>
      </c>
      <c r="G561" s="2" t="n">
        <v>0</v>
      </c>
      <c r="H561" s="2" t="n">
        <v>81383.60999999999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0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  <c r="AU561" s="2" t="n">
        <v>0</v>
      </c>
      <c r="AV561" s="2" t="n">
        <v>0</v>
      </c>
      <c r="AW561" s="2" t="n">
        <v>0</v>
      </c>
      <c r="AX561" s="2" t="n">
        <v>0</v>
      </c>
      <c r="AY561" s="2" t="n">
        <v>0</v>
      </c>
      <c r="AZ561" s="2" t="n">
        <v>0</v>
      </c>
      <c r="BA561" s="2" t="n">
        <v>0</v>
      </c>
      <c r="BB561" s="2" t="n">
        <v>0</v>
      </c>
      <c r="BC561" s="2" t="n">
        <v>0</v>
      </c>
      <c r="BD561" s="2" t="n">
        <v>0</v>
      </c>
      <c r="BE561" s="2" t="n">
        <v>0</v>
      </c>
      <c r="BF561" s="2" t="n">
        <v>0</v>
      </c>
      <c r="BG561" s="2" t="n">
        <v>0</v>
      </c>
      <c r="BH561" s="2" t="n">
        <v>0</v>
      </c>
      <c r="BI561" s="2" t="n">
        <v>0</v>
      </c>
      <c r="BJ561" s="2" t="n">
        <v>0</v>
      </c>
      <c r="BK561" s="2" t="n">
        <v>0</v>
      </c>
      <c r="BL561" s="2" t="n">
        <v>0</v>
      </c>
      <c r="BM561" s="2" t="n">
        <v>0</v>
      </c>
      <c r="BN561" s="2" t="n">
        <v>0</v>
      </c>
      <c r="BO561" s="2" t="n">
        <v>0</v>
      </c>
      <c r="BP561" s="2" t="n">
        <v>0</v>
      </c>
      <c r="BQ561" s="2" t="n">
        <v>0</v>
      </c>
      <c r="BR561" s="2" t="n">
        <v>0</v>
      </c>
      <c r="BS561" s="2" t="n">
        <v>0</v>
      </c>
      <c r="BT561" s="2" t="n">
        <v>0</v>
      </c>
      <c r="BU561" s="2" t="n">
        <v>0</v>
      </c>
      <c r="BV561" s="2" t="n">
        <v>0</v>
      </c>
      <c r="BW561" s="2" t="n">
        <v>0</v>
      </c>
      <c r="BX561" s="2" t="n">
        <v>0</v>
      </c>
      <c r="BY561" s="2" t="n">
        <v>0</v>
      </c>
      <c r="BZ561" s="2" t="n">
        <v>0</v>
      </c>
      <c r="CA561" s="2" t="n">
        <v>0</v>
      </c>
      <c r="CB561" s="2" t="n">
        <v>0</v>
      </c>
      <c r="CC561" s="2" t="n">
        <v>0.89</v>
      </c>
      <c r="CD561" s="2" t="n">
        <v>3.11</v>
      </c>
      <c r="CE561" s="2" t="n">
        <v>0</v>
      </c>
      <c r="CF561" s="2" t="n">
        <v>10.66</v>
      </c>
      <c r="CG561" s="2" t="n">
        <v>12.89</v>
      </c>
      <c r="CH561" s="2" t="n">
        <v>0</v>
      </c>
      <c r="CI561" s="2" t="n">
        <v>20.45</v>
      </c>
      <c r="CJ561" s="2" t="n">
        <v>22.67</v>
      </c>
      <c r="CK561" s="2" t="n">
        <v>0</v>
      </c>
      <c r="CL561" s="2" t="n">
        <v>29.78</v>
      </c>
      <c r="CM561" s="2" t="n">
        <v>32</v>
      </c>
      <c r="CN561" s="2" t="n">
        <v>0</v>
      </c>
      <c r="CO561" s="2" t="n">
        <v>38.67</v>
      </c>
      <c r="CP561" s="2" t="n">
        <v>40.9</v>
      </c>
      <c r="CQ561" s="2" t="n">
        <v>0</v>
      </c>
      <c r="CR561" s="2" t="n">
        <v>47.57</v>
      </c>
      <c r="CS561" s="2" t="n">
        <v>49.79</v>
      </c>
      <c r="CT561" s="2" t="n">
        <v>0</v>
      </c>
      <c r="CU561" s="2" t="n">
        <v>54.68</v>
      </c>
      <c r="CV561" s="2" t="n">
        <v>56.9</v>
      </c>
      <c r="CW561" s="2" t="n">
        <v>0</v>
      </c>
      <c r="CX561" s="2" t="n">
        <v>64.02</v>
      </c>
      <c r="CY561" s="2" t="n">
        <v>66.23999999999999</v>
      </c>
      <c r="CZ561" s="2" t="n">
        <v>0</v>
      </c>
      <c r="DA561" s="2" t="n">
        <v>73.34999999999999</v>
      </c>
      <c r="DB561" s="2" t="n">
        <v>75.56999999999999</v>
      </c>
      <c r="DC561" s="2" t="n">
        <v>0</v>
      </c>
      <c r="DD561" s="2" t="n">
        <v>83.58</v>
      </c>
      <c r="DE561" s="2" t="n">
        <v>85.8</v>
      </c>
      <c r="DF561" s="2" t="n">
        <v>0</v>
      </c>
      <c r="DG561" s="2" t="n">
        <v>91.58</v>
      </c>
      <c r="DH561" s="2" t="n">
        <v>92.43000000000001</v>
      </c>
      <c r="DI561" s="2" t="n">
        <v>0</v>
      </c>
      <c r="DJ561" s="2" t="n">
        <v>93.56999999999999</v>
      </c>
      <c r="DK561" s="2" t="n">
        <v>93.65000000000001</v>
      </c>
      <c r="DL561" s="2" t="n">
        <v>0</v>
      </c>
      <c r="DM561" s="2" t="n">
        <v>93.68000000000001</v>
      </c>
      <c r="DN561" s="2" t="n">
        <v>95.08</v>
      </c>
      <c r="DO561" s="2" t="n">
        <v>0</v>
      </c>
      <c r="DP561" s="2" t="n">
        <v>98.73</v>
      </c>
      <c r="DQ561" s="2" t="n">
        <v>99.89</v>
      </c>
      <c r="DR561" s="2" t="n">
        <v>0</v>
      </c>
      <c r="DS561" s="2" t="n">
        <v>99.93000000000001</v>
      </c>
      <c r="DT561" s="2" t="n">
        <v>100</v>
      </c>
      <c r="DU561" s="2" t="n">
        <v>0</v>
      </c>
      <c r="DV561" s="2" t="n">
        <v>100</v>
      </c>
      <c r="DW561" s="2" t="n">
        <v>100</v>
      </c>
      <c r="DX561" s="2" t="n">
        <v>0</v>
      </c>
      <c r="DY561" s="2" t="n">
        <v>100</v>
      </c>
      <c r="DZ561" s="2" t="n">
        <v>100</v>
      </c>
      <c r="EA561" s="2" t="n">
        <v>0</v>
      </c>
      <c r="EB561" s="2" t="n">
        <v>100</v>
      </c>
      <c r="EC561" s="2" t="n">
        <v>100</v>
      </c>
      <c r="ED561" s="2" t="n">
        <v>0</v>
      </c>
      <c r="EE561" s="2" t="n">
        <v>100</v>
      </c>
      <c r="EF561" s="2" t="n">
        <v>100</v>
      </c>
      <c r="EG561" s="2" t="n">
        <v>0</v>
      </c>
      <c r="EH561" s="2" t="n">
        <v>100</v>
      </c>
      <c r="EI561" s="2" t="n">
        <v>100</v>
      </c>
      <c r="EJ561" s="2" t="n">
        <v>0</v>
      </c>
      <c r="EK561" s="2" t="n">
        <v>100</v>
      </c>
      <c r="EL561" s="2" t="n">
        <v>100</v>
      </c>
      <c r="EM561" s="2" t="n">
        <v>0</v>
      </c>
      <c r="EN561" s="2" t="n">
        <v>100</v>
      </c>
      <c r="EO561" s="2" t="n">
        <v>100</v>
      </c>
      <c r="EP561" s="2" t="n">
        <v>0</v>
      </c>
      <c r="EQ561" s="2" t="n">
        <v>100</v>
      </c>
      <c r="ER561" s="2" t="n">
        <v>100</v>
      </c>
      <c r="ES561" s="2" t="n">
        <v>0</v>
      </c>
    </row>
    <row r="562">
      <c r="A562" s="2" t="n">
        <v>3</v>
      </c>
      <c r="B562" s="2" t="inlineStr">
        <is>
          <t>23.05.07</t>
        </is>
      </c>
      <c r="C562" s="2" t="inlineStr">
        <is>
          <t>FO03 - Forro de isolamento acústico composto por 1 nível de forro fge ( estruturado) com 2 chapas de gesso st (standard) cada um. preenchimento superior com 1 manta de lã de
pet com 35kg/m³ de densidade e 50mm de espessura</t>
        </is>
      </c>
      <c r="D562" s="2" t="inlineStr">
        <is>
          <t>22/06/2027</t>
        </is>
      </c>
      <c r="E562" s="2" t="inlineStr">
        <is>
          <t>07/08/2028</t>
        </is>
      </c>
      <c r="F562" s="2" t="n">
        <v>121279.37478272</v>
      </c>
      <c r="G562" s="2" t="n">
        <v>0</v>
      </c>
      <c r="H562" s="2" t="n">
        <v>121279.37478272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0</v>
      </c>
      <c r="AN562" s="2" t="n">
        <v>0</v>
      </c>
      <c r="AO562" s="2" t="n">
        <v>0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n">
        <v>0</v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n">
        <v>0</v>
      </c>
      <c r="BI562" s="2" t="n">
        <v>0</v>
      </c>
      <c r="BJ562" s="2" t="n">
        <v>0</v>
      </c>
      <c r="BK562" s="2" t="n">
        <v>0</v>
      </c>
      <c r="BL562" s="2" t="n">
        <v>0</v>
      </c>
      <c r="BM562" s="2" t="n">
        <v>0</v>
      </c>
      <c r="BN562" s="2" t="n">
        <v>0</v>
      </c>
      <c r="BO562" s="2" t="n">
        <v>0</v>
      </c>
      <c r="BP562" s="2" t="n">
        <v>0</v>
      </c>
      <c r="BQ562" s="2" t="n">
        <v>0</v>
      </c>
      <c r="BR562" s="2" t="n">
        <v>0</v>
      </c>
      <c r="BS562" s="2" t="n">
        <v>0</v>
      </c>
      <c r="BT562" s="2" t="n">
        <v>0</v>
      </c>
      <c r="BU562" s="2" t="n">
        <v>0</v>
      </c>
      <c r="BV562" s="2" t="n">
        <v>0</v>
      </c>
      <c r="BW562" s="2" t="n">
        <v>0</v>
      </c>
      <c r="BX562" s="2" t="n">
        <v>0</v>
      </c>
      <c r="BY562" s="2" t="n">
        <v>0</v>
      </c>
      <c r="BZ562" s="2" t="n">
        <v>0</v>
      </c>
      <c r="CA562" s="2" t="n">
        <v>0</v>
      </c>
      <c r="CB562" s="2" t="n">
        <v>0</v>
      </c>
      <c r="CC562" s="2" t="n">
        <v>0.89</v>
      </c>
      <c r="CD562" s="2" t="n">
        <v>3.11</v>
      </c>
      <c r="CE562" s="2" t="n">
        <v>0</v>
      </c>
      <c r="CF562" s="2" t="n">
        <v>10.66</v>
      </c>
      <c r="CG562" s="2" t="n">
        <v>12.89</v>
      </c>
      <c r="CH562" s="2" t="n">
        <v>0</v>
      </c>
      <c r="CI562" s="2" t="n">
        <v>20.45</v>
      </c>
      <c r="CJ562" s="2" t="n">
        <v>22.67</v>
      </c>
      <c r="CK562" s="2" t="n">
        <v>0</v>
      </c>
      <c r="CL562" s="2" t="n">
        <v>29.78</v>
      </c>
      <c r="CM562" s="2" t="n">
        <v>32</v>
      </c>
      <c r="CN562" s="2" t="n">
        <v>0</v>
      </c>
      <c r="CO562" s="2" t="n">
        <v>38.67</v>
      </c>
      <c r="CP562" s="2" t="n">
        <v>40.9</v>
      </c>
      <c r="CQ562" s="2" t="n">
        <v>0</v>
      </c>
      <c r="CR562" s="2" t="n">
        <v>47.57</v>
      </c>
      <c r="CS562" s="2" t="n">
        <v>49.79</v>
      </c>
      <c r="CT562" s="2" t="n">
        <v>0</v>
      </c>
      <c r="CU562" s="2" t="n">
        <v>54.68</v>
      </c>
      <c r="CV562" s="2" t="n">
        <v>56.9</v>
      </c>
      <c r="CW562" s="2" t="n">
        <v>0</v>
      </c>
      <c r="CX562" s="2" t="n">
        <v>64.02</v>
      </c>
      <c r="CY562" s="2" t="n">
        <v>66.23999999999999</v>
      </c>
      <c r="CZ562" s="2" t="n">
        <v>0</v>
      </c>
      <c r="DA562" s="2" t="n">
        <v>73.34999999999999</v>
      </c>
      <c r="DB562" s="2" t="n">
        <v>75.56999999999999</v>
      </c>
      <c r="DC562" s="2" t="n">
        <v>0</v>
      </c>
      <c r="DD562" s="2" t="n">
        <v>83.58</v>
      </c>
      <c r="DE562" s="2" t="n">
        <v>85.8</v>
      </c>
      <c r="DF562" s="2" t="n">
        <v>0</v>
      </c>
      <c r="DG562" s="2" t="n">
        <v>91.58</v>
      </c>
      <c r="DH562" s="2" t="n">
        <v>92.43000000000001</v>
      </c>
      <c r="DI562" s="2" t="n">
        <v>0</v>
      </c>
      <c r="DJ562" s="2" t="n">
        <v>93.56999999999999</v>
      </c>
      <c r="DK562" s="2" t="n">
        <v>93.65000000000001</v>
      </c>
      <c r="DL562" s="2" t="n">
        <v>0</v>
      </c>
      <c r="DM562" s="2" t="n">
        <v>93.68000000000001</v>
      </c>
      <c r="DN562" s="2" t="n">
        <v>95.08</v>
      </c>
      <c r="DO562" s="2" t="n">
        <v>0</v>
      </c>
      <c r="DP562" s="2" t="n">
        <v>98.73</v>
      </c>
      <c r="DQ562" s="2" t="n">
        <v>99.89</v>
      </c>
      <c r="DR562" s="2" t="n">
        <v>0</v>
      </c>
      <c r="DS562" s="2" t="n">
        <v>99.93000000000001</v>
      </c>
      <c r="DT562" s="2" t="n">
        <v>100</v>
      </c>
      <c r="DU562" s="2" t="n">
        <v>0</v>
      </c>
      <c r="DV562" s="2" t="n">
        <v>100</v>
      </c>
      <c r="DW562" s="2" t="n">
        <v>100</v>
      </c>
      <c r="DX562" s="2" t="n">
        <v>0</v>
      </c>
      <c r="DY562" s="2" t="n">
        <v>100</v>
      </c>
      <c r="DZ562" s="2" t="n">
        <v>100</v>
      </c>
      <c r="EA562" s="2" t="n">
        <v>0</v>
      </c>
      <c r="EB562" s="2" t="n">
        <v>100</v>
      </c>
      <c r="EC562" s="2" t="n">
        <v>100</v>
      </c>
      <c r="ED562" s="2" t="n">
        <v>0</v>
      </c>
      <c r="EE562" s="2" t="n">
        <v>100</v>
      </c>
      <c r="EF562" s="2" t="n">
        <v>100</v>
      </c>
      <c r="EG562" s="2" t="n">
        <v>0</v>
      </c>
      <c r="EH562" s="2" t="n">
        <v>100</v>
      </c>
      <c r="EI562" s="2" t="n">
        <v>100</v>
      </c>
      <c r="EJ562" s="2" t="n">
        <v>0</v>
      </c>
      <c r="EK562" s="2" t="n">
        <v>100</v>
      </c>
      <c r="EL562" s="2" t="n">
        <v>100</v>
      </c>
      <c r="EM562" s="2" t="n">
        <v>0</v>
      </c>
      <c r="EN562" s="2" t="n">
        <v>100</v>
      </c>
      <c r="EO562" s="2" t="n">
        <v>100</v>
      </c>
      <c r="EP562" s="2" t="n">
        <v>0</v>
      </c>
      <c r="EQ562" s="2" t="n">
        <v>100</v>
      </c>
      <c r="ER562" s="2" t="n">
        <v>100</v>
      </c>
      <c r="ES562" s="2" t="n">
        <v>0</v>
      </c>
    </row>
    <row r="563">
      <c r="A563" s="2" t="n">
        <v>1</v>
      </c>
      <c r="B563" s="2" t="inlineStr">
        <is>
          <t>24</t>
        </is>
      </c>
      <c r="C563" s="2" t="inlineStr">
        <is>
          <t>ELEVADORES</t>
        </is>
      </c>
      <c r="D563" s="2" t="inlineStr">
        <is>
          <t>19/05/2028</t>
        </is>
      </c>
      <c r="E563" s="2" t="inlineStr">
        <is>
          <t>09/10/2028</t>
        </is>
      </c>
      <c r="F563" s="2" t="n">
        <v>3236182.089437039</v>
      </c>
      <c r="G563" s="2" t="n">
        <v>0</v>
      </c>
      <c r="H563" s="2" t="n">
        <v>3236182.089437039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  <c r="AN563" s="2" t="n">
        <v>0</v>
      </c>
      <c r="AO563" s="2" t="n">
        <v>0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n">
        <v>0</v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0</v>
      </c>
      <c r="BE563" s="2" t="n">
        <v>0</v>
      </c>
      <c r="BF563" s="2" t="n">
        <v>0</v>
      </c>
      <c r="BG563" s="2" t="n">
        <v>0</v>
      </c>
      <c r="BH563" s="2" t="n">
        <v>0</v>
      </c>
      <c r="BI563" s="2" t="n">
        <v>0</v>
      </c>
      <c r="BJ563" s="2" t="n">
        <v>0</v>
      </c>
      <c r="BK563" s="2" t="n">
        <v>0</v>
      </c>
      <c r="BL563" s="2" t="n">
        <v>0</v>
      </c>
      <c r="BM563" s="2" t="n">
        <v>0</v>
      </c>
      <c r="BN563" s="2" t="n">
        <v>0</v>
      </c>
      <c r="BO563" s="2" t="n">
        <v>0</v>
      </c>
      <c r="BP563" s="2" t="n">
        <v>0</v>
      </c>
      <c r="BQ563" s="2" t="n">
        <v>0</v>
      </c>
      <c r="BR563" s="2" t="n">
        <v>0</v>
      </c>
      <c r="BS563" s="2" t="n">
        <v>0</v>
      </c>
      <c r="BT563" s="2" t="n">
        <v>0</v>
      </c>
      <c r="BU563" s="2" t="n">
        <v>0</v>
      </c>
      <c r="BV563" s="2" t="n">
        <v>0</v>
      </c>
      <c r="BW563" s="2" t="n">
        <v>0</v>
      </c>
      <c r="BX563" s="2" t="n">
        <v>0</v>
      </c>
      <c r="BY563" s="2" t="n">
        <v>0</v>
      </c>
      <c r="BZ563" s="2" t="n">
        <v>0</v>
      </c>
      <c r="CA563" s="2" t="n">
        <v>0</v>
      </c>
      <c r="CB563" s="2" t="n">
        <v>0</v>
      </c>
      <c r="CC563" s="2" t="n">
        <v>0</v>
      </c>
      <c r="CD563" s="2" t="n">
        <v>0</v>
      </c>
      <c r="CE563" s="2" t="n">
        <v>0</v>
      </c>
      <c r="CF563" s="2" t="n">
        <v>0</v>
      </c>
      <c r="CG563" s="2" t="n">
        <v>0</v>
      </c>
      <c r="CH563" s="2" t="n">
        <v>0</v>
      </c>
      <c r="CI563" s="2" t="n">
        <v>0</v>
      </c>
      <c r="CJ563" s="2" t="n">
        <v>0</v>
      </c>
      <c r="CK563" s="2" t="n">
        <v>0</v>
      </c>
      <c r="CL563" s="2" t="n">
        <v>0</v>
      </c>
      <c r="CM563" s="2" t="n">
        <v>0</v>
      </c>
      <c r="CN563" s="2" t="n">
        <v>0</v>
      </c>
      <c r="CO563" s="2" t="n">
        <v>0</v>
      </c>
      <c r="CP563" s="2" t="n">
        <v>0</v>
      </c>
      <c r="CQ563" s="2" t="n">
        <v>0</v>
      </c>
      <c r="CR563" s="2" t="n">
        <v>0</v>
      </c>
      <c r="CS563" s="2" t="n">
        <v>0</v>
      </c>
      <c r="CT563" s="2" t="n">
        <v>0</v>
      </c>
      <c r="CU563" s="2" t="n">
        <v>0</v>
      </c>
      <c r="CV563" s="2" t="n">
        <v>0</v>
      </c>
      <c r="CW563" s="2" t="n">
        <v>0</v>
      </c>
      <c r="CX563" s="2" t="n">
        <v>0</v>
      </c>
      <c r="CY563" s="2" t="n">
        <v>0</v>
      </c>
      <c r="CZ563" s="2" t="n">
        <v>0</v>
      </c>
      <c r="DA563" s="2" t="n">
        <v>0</v>
      </c>
      <c r="DB563" s="2" t="n">
        <v>0</v>
      </c>
      <c r="DC563" s="2" t="n">
        <v>0</v>
      </c>
      <c r="DD563" s="2" t="n">
        <v>0</v>
      </c>
      <c r="DE563" s="2" t="n">
        <v>0</v>
      </c>
      <c r="DF563" s="2" t="n">
        <v>0</v>
      </c>
      <c r="DG563" s="2" t="n">
        <v>0</v>
      </c>
      <c r="DH563" s="2" t="n">
        <v>0</v>
      </c>
      <c r="DI563" s="2" t="n">
        <v>0</v>
      </c>
      <c r="DJ563" s="2" t="n">
        <v>0</v>
      </c>
      <c r="DK563" s="2" t="n">
        <v>9.09</v>
      </c>
      <c r="DL563" s="2" t="n">
        <v>0</v>
      </c>
      <c r="DM563" s="2" t="n">
        <v>18.18</v>
      </c>
      <c r="DN563" s="2" t="n">
        <v>30.3</v>
      </c>
      <c r="DO563" s="2" t="n">
        <v>0</v>
      </c>
      <c r="DP563" s="2" t="n">
        <v>39.39</v>
      </c>
      <c r="DQ563" s="2" t="n">
        <v>51.52</v>
      </c>
      <c r="DR563" s="2" t="n">
        <v>0</v>
      </c>
      <c r="DS563" s="2" t="n">
        <v>61.62</v>
      </c>
      <c r="DT563" s="2" t="n">
        <v>73.73999999999999</v>
      </c>
      <c r="DU563" s="2" t="n">
        <v>0</v>
      </c>
      <c r="DV563" s="2" t="n">
        <v>81.81999999999999</v>
      </c>
      <c r="DW563" s="2" t="n">
        <v>93.94</v>
      </c>
      <c r="DX563" s="2" t="n">
        <v>0</v>
      </c>
      <c r="DY563" s="2" t="n">
        <v>100</v>
      </c>
      <c r="DZ563" s="2" t="n">
        <v>100</v>
      </c>
      <c r="EA563" s="2" t="n">
        <v>0</v>
      </c>
      <c r="EB563" s="2" t="n">
        <v>100</v>
      </c>
      <c r="EC563" s="2" t="n">
        <v>100</v>
      </c>
      <c r="ED563" s="2" t="n">
        <v>0</v>
      </c>
      <c r="EE563" s="2" t="n">
        <v>100</v>
      </c>
      <c r="EF563" s="2" t="n">
        <v>100</v>
      </c>
      <c r="EG563" s="2" t="n">
        <v>0</v>
      </c>
      <c r="EH563" s="2" t="n">
        <v>100</v>
      </c>
      <c r="EI563" s="2" t="n">
        <v>100</v>
      </c>
      <c r="EJ563" s="2" t="n">
        <v>0</v>
      </c>
      <c r="EK563" s="2" t="n">
        <v>100</v>
      </c>
      <c r="EL563" s="2" t="n">
        <v>100</v>
      </c>
      <c r="EM563" s="2" t="n">
        <v>0</v>
      </c>
      <c r="EN563" s="2" t="n">
        <v>100</v>
      </c>
      <c r="EO563" s="2" t="n">
        <v>100</v>
      </c>
      <c r="EP563" s="2" t="n">
        <v>0</v>
      </c>
      <c r="EQ563" s="2" t="n">
        <v>100</v>
      </c>
      <c r="ER563" s="2" t="n">
        <v>100</v>
      </c>
      <c r="ES563" s="2" t="n">
        <v>0</v>
      </c>
    </row>
    <row r="564">
      <c r="A564" s="2" t="n">
        <v>2</v>
      </c>
      <c r="B564" s="2" t="inlineStr">
        <is>
          <t>24.01</t>
        </is>
      </c>
      <c r="C564" s="2" t="inlineStr">
        <is>
          <t>Elevador Comercial - 2 paradas</t>
        </is>
      </c>
      <c r="D564" s="2" t="inlineStr">
        <is>
          <t>19/05/2028</t>
        </is>
      </c>
      <c r="E564" s="2" t="inlineStr">
        <is>
          <t>09/10/2028</t>
        </is>
      </c>
      <c r="F564" s="2" t="n">
        <v>200000</v>
      </c>
      <c r="G564" s="2" t="n">
        <v>0</v>
      </c>
      <c r="H564" s="2" t="n">
        <v>200000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0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n">
        <v>0</v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n">
        <v>0</v>
      </c>
      <c r="BI564" s="2" t="n">
        <v>0</v>
      </c>
      <c r="BJ564" s="2" t="n">
        <v>0</v>
      </c>
      <c r="BK564" s="2" t="n">
        <v>0</v>
      </c>
      <c r="BL564" s="2" t="n">
        <v>0</v>
      </c>
      <c r="BM564" s="2" t="n">
        <v>0</v>
      </c>
      <c r="BN564" s="2" t="n">
        <v>0</v>
      </c>
      <c r="BO564" s="2" t="n">
        <v>0</v>
      </c>
      <c r="BP564" s="2" t="n">
        <v>0</v>
      </c>
      <c r="BQ564" s="2" t="n">
        <v>0</v>
      </c>
      <c r="BR564" s="2" t="n">
        <v>0</v>
      </c>
      <c r="BS564" s="2" t="n">
        <v>0</v>
      </c>
      <c r="BT564" s="2" t="n">
        <v>0</v>
      </c>
      <c r="BU564" s="2" t="n">
        <v>0</v>
      </c>
      <c r="BV564" s="2" t="n">
        <v>0</v>
      </c>
      <c r="BW564" s="2" t="n">
        <v>0</v>
      </c>
      <c r="BX564" s="2" t="n">
        <v>0</v>
      </c>
      <c r="BY564" s="2" t="n">
        <v>0</v>
      </c>
      <c r="BZ564" s="2" t="n">
        <v>0</v>
      </c>
      <c r="CA564" s="2" t="n">
        <v>0</v>
      </c>
      <c r="CB564" s="2" t="n">
        <v>0</v>
      </c>
      <c r="CC564" s="2" t="n">
        <v>0</v>
      </c>
      <c r="CD564" s="2" t="n">
        <v>0</v>
      </c>
      <c r="CE564" s="2" t="n">
        <v>0</v>
      </c>
      <c r="CF564" s="2" t="n">
        <v>0</v>
      </c>
      <c r="CG564" s="2" t="n">
        <v>0</v>
      </c>
      <c r="CH564" s="2" t="n">
        <v>0</v>
      </c>
      <c r="CI564" s="2" t="n">
        <v>0</v>
      </c>
      <c r="CJ564" s="2" t="n">
        <v>0</v>
      </c>
      <c r="CK564" s="2" t="n">
        <v>0</v>
      </c>
      <c r="CL564" s="2" t="n">
        <v>0</v>
      </c>
      <c r="CM564" s="2" t="n">
        <v>0</v>
      </c>
      <c r="CN564" s="2" t="n">
        <v>0</v>
      </c>
      <c r="CO564" s="2" t="n">
        <v>0</v>
      </c>
      <c r="CP564" s="2" t="n">
        <v>0</v>
      </c>
      <c r="CQ564" s="2" t="n">
        <v>0</v>
      </c>
      <c r="CR564" s="2" t="n">
        <v>0</v>
      </c>
      <c r="CS564" s="2" t="n">
        <v>0</v>
      </c>
      <c r="CT564" s="2" t="n">
        <v>0</v>
      </c>
      <c r="CU564" s="2" t="n">
        <v>0</v>
      </c>
      <c r="CV564" s="2" t="n">
        <v>0</v>
      </c>
      <c r="CW564" s="2" t="n">
        <v>0</v>
      </c>
      <c r="CX564" s="2" t="n">
        <v>0</v>
      </c>
      <c r="CY564" s="2" t="n">
        <v>0</v>
      </c>
      <c r="CZ564" s="2" t="n">
        <v>0</v>
      </c>
      <c r="DA564" s="2" t="n">
        <v>0</v>
      </c>
      <c r="DB564" s="2" t="n">
        <v>0</v>
      </c>
      <c r="DC564" s="2" t="n">
        <v>0</v>
      </c>
      <c r="DD564" s="2" t="n">
        <v>0</v>
      </c>
      <c r="DE564" s="2" t="n">
        <v>0</v>
      </c>
      <c r="DF564" s="2" t="n">
        <v>0</v>
      </c>
      <c r="DG564" s="2" t="n">
        <v>0</v>
      </c>
      <c r="DH564" s="2" t="n">
        <v>0</v>
      </c>
      <c r="DI564" s="2" t="n">
        <v>0</v>
      </c>
      <c r="DJ564" s="2" t="n">
        <v>0</v>
      </c>
      <c r="DK564" s="2" t="n">
        <v>9.09</v>
      </c>
      <c r="DL564" s="2" t="n">
        <v>0</v>
      </c>
      <c r="DM564" s="2" t="n">
        <v>18.18</v>
      </c>
      <c r="DN564" s="2" t="n">
        <v>30.3</v>
      </c>
      <c r="DO564" s="2" t="n">
        <v>0</v>
      </c>
      <c r="DP564" s="2" t="n">
        <v>39.39</v>
      </c>
      <c r="DQ564" s="2" t="n">
        <v>51.52</v>
      </c>
      <c r="DR564" s="2" t="n">
        <v>0</v>
      </c>
      <c r="DS564" s="2" t="n">
        <v>61.62</v>
      </c>
      <c r="DT564" s="2" t="n">
        <v>73.73999999999999</v>
      </c>
      <c r="DU564" s="2" t="n">
        <v>0</v>
      </c>
      <c r="DV564" s="2" t="n">
        <v>81.81999999999999</v>
      </c>
      <c r="DW564" s="2" t="n">
        <v>93.94</v>
      </c>
      <c r="DX564" s="2" t="n">
        <v>0</v>
      </c>
      <c r="DY564" s="2" t="n">
        <v>100</v>
      </c>
      <c r="DZ564" s="2" t="n">
        <v>100</v>
      </c>
      <c r="EA564" s="2" t="n">
        <v>0</v>
      </c>
      <c r="EB564" s="2" t="n">
        <v>100</v>
      </c>
      <c r="EC564" s="2" t="n">
        <v>100</v>
      </c>
      <c r="ED564" s="2" t="n">
        <v>0</v>
      </c>
      <c r="EE564" s="2" t="n">
        <v>100</v>
      </c>
      <c r="EF564" s="2" t="n">
        <v>100</v>
      </c>
      <c r="EG564" s="2" t="n">
        <v>0</v>
      </c>
      <c r="EH564" s="2" t="n">
        <v>100</v>
      </c>
      <c r="EI564" s="2" t="n">
        <v>100</v>
      </c>
      <c r="EJ564" s="2" t="n">
        <v>0</v>
      </c>
      <c r="EK564" s="2" t="n">
        <v>100</v>
      </c>
      <c r="EL564" s="2" t="n">
        <v>100</v>
      </c>
      <c r="EM564" s="2" t="n">
        <v>0</v>
      </c>
      <c r="EN564" s="2" t="n">
        <v>100</v>
      </c>
      <c r="EO564" s="2" t="n">
        <v>100</v>
      </c>
      <c r="EP564" s="2" t="n">
        <v>0</v>
      </c>
      <c r="EQ564" s="2" t="n">
        <v>100</v>
      </c>
      <c r="ER564" s="2" t="n">
        <v>100</v>
      </c>
      <c r="ES564" s="2" t="n">
        <v>0</v>
      </c>
    </row>
    <row r="565">
      <c r="A565" s="2" t="n">
        <v>2</v>
      </c>
      <c r="B565" s="2" t="inlineStr">
        <is>
          <t>24.02</t>
        </is>
      </c>
      <c r="C565" s="2" t="inlineStr">
        <is>
          <t>Elevador de Serviço Residencial - 34 paradas</t>
        </is>
      </c>
      <c r="D565" s="2" t="inlineStr">
        <is>
          <t>19/05/2028</t>
        </is>
      </c>
      <c r="E565" s="2" t="inlineStr">
        <is>
          <t>09/10/2028</t>
        </is>
      </c>
      <c r="F565" s="2" t="n">
        <v>963333.3333333334</v>
      </c>
      <c r="G565" s="2" t="n">
        <v>0</v>
      </c>
      <c r="H565" s="2" t="n">
        <v>963333.3333333334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0</v>
      </c>
      <c r="AN565" s="2" t="n">
        <v>0</v>
      </c>
      <c r="AO565" s="2" t="n">
        <v>0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n">
        <v>0</v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n">
        <v>0</v>
      </c>
      <c r="BI565" s="2" t="n">
        <v>0</v>
      </c>
      <c r="BJ565" s="2" t="n">
        <v>0</v>
      </c>
      <c r="BK565" s="2" t="n">
        <v>0</v>
      </c>
      <c r="BL565" s="2" t="n">
        <v>0</v>
      </c>
      <c r="BM565" s="2" t="n">
        <v>0</v>
      </c>
      <c r="BN565" s="2" t="n">
        <v>0</v>
      </c>
      <c r="BO565" s="2" t="n">
        <v>0</v>
      </c>
      <c r="BP565" s="2" t="n">
        <v>0</v>
      </c>
      <c r="BQ565" s="2" t="n">
        <v>0</v>
      </c>
      <c r="BR565" s="2" t="n">
        <v>0</v>
      </c>
      <c r="BS565" s="2" t="n">
        <v>0</v>
      </c>
      <c r="BT565" s="2" t="n">
        <v>0</v>
      </c>
      <c r="BU565" s="2" t="n">
        <v>0</v>
      </c>
      <c r="BV565" s="2" t="n">
        <v>0</v>
      </c>
      <c r="BW565" s="2" t="n">
        <v>0</v>
      </c>
      <c r="BX565" s="2" t="n">
        <v>0</v>
      </c>
      <c r="BY565" s="2" t="n">
        <v>0</v>
      </c>
      <c r="BZ565" s="2" t="n">
        <v>0</v>
      </c>
      <c r="CA565" s="2" t="n">
        <v>0</v>
      </c>
      <c r="CB565" s="2" t="n">
        <v>0</v>
      </c>
      <c r="CC565" s="2" t="n">
        <v>0</v>
      </c>
      <c r="CD565" s="2" t="n">
        <v>0</v>
      </c>
      <c r="CE565" s="2" t="n">
        <v>0</v>
      </c>
      <c r="CF565" s="2" t="n">
        <v>0</v>
      </c>
      <c r="CG565" s="2" t="n">
        <v>0</v>
      </c>
      <c r="CH565" s="2" t="n">
        <v>0</v>
      </c>
      <c r="CI565" s="2" t="n">
        <v>0</v>
      </c>
      <c r="CJ565" s="2" t="n">
        <v>0</v>
      </c>
      <c r="CK565" s="2" t="n">
        <v>0</v>
      </c>
      <c r="CL565" s="2" t="n">
        <v>0</v>
      </c>
      <c r="CM565" s="2" t="n">
        <v>0</v>
      </c>
      <c r="CN565" s="2" t="n">
        <v>0</v>
      </c>
      <c r="CO565" s="2" t="n">
        <v>0</v>
      </c>
      <c r="CP565" s="2" t="n">
        <v>0</v>
      </c>
      <c r="CQ565" s="2" t="n">
        <v>0</v>
      </c>
      <c r="CR565" s="2" t="n">
        <v>0</v>
      </c>
      <c r="CS565" s="2" t="n">
        <v>0</v>
      </c>
      <c r="CT565" s="2" t="n">
        <v>0</v>
      </c>
      <c r="CU565" s="2" t="n">
        <v>0</v>
      </c>
      <c r="CV565" s="2" t="n">
        <v>0</v>
      </c>
      <c r="CW565" s="2" t="n">
        <v>0</v>
      </c>
      <c r="CX565" s="2" t="n">
        <v>0</v>
      </c>
      <c r="CY565" s="2" t="n">
        <v>0</v>
      </c>
      <c r="CZ565" s="2" t="n">
        <v>0</v>
      </c>
      <c r="DA565" s="2" t="n">
        <v>0</v>
      </c>
      <c r="DB565" s="2" t="n">
        <v>0</v>
      </c>
      <c r="DC565" s="2" t="n">
        <v>0</v>
      </c>
      <c r="DD565" s="2" t="n">
        <v>0</v>
      </c>
      <c r="DE565" s="2" t="n">
        <v>0</v>
      </c>
      <c r="DF565" s="2" t="n">
        <v>0</v>
      </c>
      <c r="DG565" s="2" t="n">
        <v>0</v>
      </c>
      <c r="DH565" s="2" t="n">
        <v>0</v>
      </c>
      <c r="DI565" s="2" t="n">
        <v>0</v>
      </c>
      <c r="DJ565" s="2" t="n">
        <v>0</v>
      </c>
      <c r="DK565" s="2" t="n">
        <v>9.09</v>
      </c>
      <c r="DL565" s="2" t="n">
        <v>0</v>
      </c>
      <c r="DM565" s="2" t="n">
        <v>18.18</v>
      </c>
      <c r="DN565" s="2" t="n">
        <v>30.3</v>
      </c>
      <c r="DO565" s="2" t="n">
        <v>0</v>
      </c>
      <c r="DP565" s="2" t="n">
        <v>39.39</v>
      </c>
      <c r="DQ565" s="2" t="n">
        <v>51.52</v>
      </c>
      <c r="DR565" s="2" t="n">
        <v>0</v>
      </c>
      <c r="DS565" s="2" t="n">
        <v>61.62</v>
      </c>
      <c r="DT565" s="2" t="n">
        <v>73.73999999999999</v>
      </c>
      <c r="DU565" s="2" t="n">
        <v>0</v>
      </c>
      <c r="DV565" s="2" t="n">
        <v>81.81999999999999</v>
      </c>
      <c r="DW565" s="2" t="n">
        <v>93.94</v>
      </c>
      <c r="DX565" s="2" t="n">
        <v>0</v>
      </c>
      <c r="DY565" s="2" t="n">
        <v>100</v>
      </c>
      <c r="DZ565" s="2" t="n">
        <v>100</v>
      </c>
      <c r="EA565" s="2" t="n">
        <v>0</v>
      </c>
      <c r="EB565" s="2" t="n">
        <v>100</v>
      </c>
      <c r="EC565" s="2" t="n">
        <v>100</v>
      </c>
      <c r="ED565" s="2" t="n">
        <v>0</v>
      </c>
      <c r="EE565" s="2" t="n">
        <v>100</v>
      </c>
      <c r="EF565" s="2" t="n">
        <v>100</v>
      </c>
      <c r="EG565" s="2" t="n">
        <v>0</v>
      </c>
      <c r="EH565" s="2" t="n">
        <v>100</v>
      </c>
      <c r="EI565" s="2" t="n">
        <v>100</v>
      </c>
      <c r="EJ565" s="2" t="n">
        <v>0</v>
      </c>
      <c r="EK565" s="2" t="n">
        <v>100</v>
      </c>
      <c r="EL565" s="2" t="n">
        <v>100</v>
      </c>
      <c r="EM565" s="2" t="n">
        <v>0</v>
      </c>
      <c r="EN565" s="2" t="n">
        <v>100</v>
      </c>
      <c r="EO565" s="2" t="n">
        <v>100</v>
      </c>
      <c r="EP565" s="2" t="n">
        <v>0</v>
      </c>
      <c r="EQ565" s="2" t="n">
        <v>100</v>
      </c>
      <c r="ER565" s="2" t="n">
        <v>100</v>
      </c>
      <c r="ES565" s="2" t="n">
        <v>0</v>
      </c>
    </row>
    <row r="566">
      <c r="A566" s="2" t="n">
        <v>2</v>
      </c>
      <c r="B566" s="2" t="inlineStr">
        <is>
          <t>24.03</t>
        </is>
      </c>
      <c r="C566" s="2" t="inlineStr">
        <is>
          <t>Elevador Social Residencial - 34 paradas</t>
        </is>
      </c>
      <c r="D566" s="2" t="inlineStr">
        <is>
          <t>19/05/2028</t>
        </is>
      </c>
      <c r="E566" s="2" t="inlineStr">
        <is>
          <t>09/10/2028</t>
        </is>
      </c>
      <c r="F566" s="2" t="n">
        <v>1926666.666666667</v>
      </c>
      <c r="G566" s="2" t="n">
        <v>0</v>
      </c>
      <c r="H566" s="2" t="n">
        <v>1926666.666666667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  <c r="AN566" s="2" t="n">
        <v>0</v>
      </c>
      <c r="AO566" s="2" t="n">
        <v>0</v>
      </c>
      <c r="AP566" s="2" t="n">
        <v>0</v>
      </c>
      <c r="AQ566" s="2" t="n">
        <v>0</v>
      </c>
      <c r="AR566" s="2" t="n">
        <v>0</v>
      </c>
      <c r="AS566" s="2" t="n">
        <v>0</v>
      </c>
      <c r="AT566" s="2" t="n">
        <v>0</v>
      </c>
      <c r="AU566" s="2" t="n">
        <v>0</v>
      </c>
      <c r="AV566" s="2" t="n">
        <v>0</v>
      </c>
      <c r="AW566" s="2" t="n">
        <v>0</v>
      </c>
      <c r="AX566" s="2" t="n">
        <v>0</v>
      </c>
      <c r="AY566" s="2" t="n">
        <v>0</v>
      </c>
      <c r="AZ566" s="2" t="n">
        <v>0</v>
      </c>
      <c r="BA566" s="2" t="n">
        <v>0</v>
      </c>
      <c r="BB566" s="2" t="n">
        <v>0</v>
      </c>
      <c r="BC566" s="2" t="n">
        <v>0</v>
      </c>
      <c r="BD566" s="2" t="n">
        <v>0</v>
      </c>
      <c r="BE566" s="2" t="n">
        <v>0</v>
      </c>
      <c r="BF566" s="2" t="n">
        <v>0</v>
      </c>
      <c r="BG566" s="2" t="n">
        <v>0</v>
      </c>
      <c r="BH566" s="2" t="n">
        <v>0</v>
      </c>
      <c r="BI566" s="2" t="n">
        <v>0</v>
      </c>
      <c r="BJ566" s="2" t="n">
        <v>0</v>
      </c>
      <c r="BK566" s="2" t="n">
        <v>0</v>
      </c>
      <c r="BL566" s="2" t="n">
        <v>0</v>
      </c>
      <c r="BM566" s="2" t="n">
        <v>0</v>
      </c>
      <c r="BN566" s="2" t="n">
        <v>0</v>
      </c>
      <c r="BO566" s="2" t="n">
        <v>0</v>
      </c>
      <c r="BP566" s="2" t="n">
        <v>0</v>
      </c>
      <c r="BQ566" s="2" t="n">
        <v>0</v>
      </c>
      <c r="BR566" s="2" t="n">
        <v>0</v>
      </c>
      <c r="BS566" s="2" t="n">
        <v>0</v>
      </c>
      <c r="BT566" s="2" t="n">
        <v>0</v>
      </c>
      <c r="BU566" s="2" t="n">
        <v>0</v>
      </c>
      <c r="BV566" s="2" t="n">
        <v>0</v>
      </c>
      <c r="BW566" s="2" t="n">
        <v>0</v>
      </c>
      <c r="BX566" s="2" t="n">
        <v>0</v>
      </c>
      <c r="BY566" s="2" t="n">
        <v>0</v>
      </c>
      <c r="BZ566" s="2" t="n">
        <v>0</v>
      </c>
      <c r="CA566" s="2" t="n">
        <v>0</v>
      </c>
      <c r="CB566" s="2" t="n">
        <v>0</v>
      </c>
      <c r="CC566" s="2" t="n">
        <v>0</v>
      </c>
      <c r="CD566" s="2" t="n">
        <v>0</v>
      </c>
      <c r="CE566" s="2" t="n">
        <v>0</v>
      </c>
      <c r="CF566" s="2" t="n">
        <v>0</v>
      </c>
      <c r="CG566" s="2" t="n">
        <v>0</v>
      </c>
      <c r="CH566" s="2" t="n">
        <v>0</v>
      </c>
      <c r="CI566" s="2" t="n">
        <v>0</v>
      </c>
      <c r="CJ566" s="2" t="n">
        <v>0</v>
      </c>
      <c r="CK566" s="2" t="n">
        <v>0</v>
      </c>
      <c r="CL566" s="2" t="n">
        <v>0</v>
      </c>
      <c r="CM566" s="2" t="n">
        <v>0</v>
      </c>
      <c r="CN566" s="2" t="n">
        <v>0</v>
      </c>
      <c r="CO566" s="2" t="n">
        <v>0</v>
      </c>
      <c r="CP566" s="2" t="n">
        <v>0</v>
      </c>
      <c r="CQ566" s="2" t="n">
        <v>0</v>
      </c>
      <c r="CR566" s="2" t="n">
        <v>0</v>
      </c>
      <c r="CS566" s="2" t="n">
        <v>0</v>
      </c>
      <c r="CT566" s="2" t="n">
        <v>0</v>
      </c>
      <c r="CU566" s="2" t="n">
        <v>0</v>
      </c>
      <c r="CV566" s="2" t="n">
        <v>0</v>
      </c>
      <c r="CW566" s="2" t="n">
        <v>0</v>
      </c>
      <c r="CX566" s="2" t="n">
        <v>0</v>
      </c>
      <c r="CY566" s="2" t="n">
        <v>0</v>
      </c>
      <c r="CZ566" s="2" t="n">
        <v>0</v>
      </c>
      <c r="DA566" s="2" t="n">
        <v>0</v>
      </c>
      <c r="DB566" s="2" t="n">
        <v>0</v>
      </c>
      <c r="DC566" s="2" t="n">
        <v>0</v>
      </c>
      <c r="DD566" s="2" t="n">
        <v>0</v>
      </c>
      <c r="DE566" s="2" t="n">
        <v>0</v>
      </c>
      <c r="DF566" s="2" t="n">
        <v>0</v>
      </c>
      <c r="DG566" s="2" t="n">
        <v>0</v>
      </c>
      <c r="DH566" s="2" t="n">
        <v>0</v>
      </c>
      <c r="DI566" s="2" t="n">
        <v>0</v>
      </c>
      <c r="DJ566" s="2" t="n">
        <v>0</v>
      </c>
      <c r="DK566" s="2" t="n">
        <v>9.09</v>
      </c>
      <c r="DL566" s="2" t="n">
        <v>0</v>
      </c>
      <c r="DM566" s="2" t="n">
        <v>18.18</v>
      </c>
      <c r="DN566" s="2" t="n">
        <v>30.3</v>
      </c>
      <c r="DO566" s="2" t="n">
        <v>0</v>
      </c>
      <c r="DP566" s="2" t="n">
        <v>39.39</v>
      </c>
      <c r="DQ566" s="2" t="n">
        <v>51.52</v>
      </c>
      <c r="DR566" s="2" t="n">
        <v>0</v>
      </c>
      <c r="DS566" s="2" t="n">
        <v>61.62</v>
      </c>
      <c r="DT566" s="2" t="n">
        <v>73.73999999999999</v>
      </c>
      <c r="DU566" s="2" t="n">
        <v>0</v>
      </c>
      <c r="DV566" s="2" t="n">
        <v>81.81999999999999</v>
      </c>
      <c r="DW566" s="2" t="n">
        <v>93.94</v>
      </c>
      <c r="DX566" s="2" t="n">
        <v>0</v>
      </c>
      <c r="DY566" s="2" t="n">
        <v>100</v>
      </c>
      <c r="DZ566" s="2" t="n">
        <v>100</v>
      </c>
      <c r="EA566" s="2" t="n">
        <v>0</v>
      </c>
      <c r="EB566" s="2" t="n">
        <v>100</v>
      </c>
      <c r="EC566" s="2" t="n">
        <v>100</v>
      </c>
      <c r="ED566" s="2" t="n">
        <v>0</v>
      </c>
      <c r="EE566" s="2" t="n">
        <v>100</v>
      </c>
      <c r="EF566" s="2" t="n">
        <v>100</v>
      </c>
      <c r="EG566" s="2" t="n">
        <v>0</v>
      </c>
      <c r="EH566" s="2" t="n">
        <v>100</v>
      </c>
      <c r="EI566" s="2" t="n">
        <v>100</v>
      </c>
      <c r="EJ566" s="2" t="n">
        <v>0</v>
      </c>
      <c r="EK566" s="2" t="n">
        <v>100</v>
      </c>
      <c r="EL566" s="2" t="n">
        <v>100</v>
      </c>
      <c r="EM566" s="2" t="n">
        <v>0</v>
      </c>
      <c r="EN566" s="2" t="n">
        <v>100</v>
      </c>
      <c r="EO566" s="2" t="n">
        <v>100</v>
      </c>
      <c r="EP566" s="2" t="n">
        <v>0</v>
      </c>
      <c r="EQ566" s="2" t="n">
        <v>100</v>
      </c>
      <c r="ER566" s="2" t="n">
        <v>100</v>
      </c>
      <c r="ES566" s="2" t="n">
        <v>0</v>
      </c>
    </row>
    <row r="567">
      <c r="A567" s="2" t="n">
        <v>2</v>
      </c>
      <c r="B567" s="2" t="inlineStr">
        <is>
          <t>24.04</t>
        </is>
      </c>
      <c r="C567" s="2" t="inlineStr">
        <is>
          <t>Proteção para fosso dos elevadores</t>
        </is>
      </c>
      <c r="D567" s="2" t="inlineStr">
        <is>
          <t>19/05/2028</t>
        </is>
      </c>
      <c r="E567" s="2" t="inlineStr">
        <is>
          <t>09/10/2028</t>
        </is>
      </c>
      <c r="F567" s="2" t="n">
        <v>26182.08943703868</v>
      </c>
      <c r="G567" s="2" t="n">
        <v>0</v>
      </c>
      <c r="H567" s="2" t="n">
        <v>26182.08943703868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0</v>
      </c>
      <c r="AM567" s="2" t="n">
        <v>0</v>
      </c>
      <c r="AN567" s="2" t="n">
        <v>0</v>
      </c>
      <c r="AO567" s="2" t="n">
        <v>0</v>
      </c>
      <c r="AP567" s="2" t="n">
        <v>0</v>
      </c>
      <c r="AQ567" s="2" t="n">
        <v>0</v>
      </c>
      <c r="AR567" s="2" t="n">
        <v>0</v>
      </c>
      <c r="AS567" s="2" t="n">
        <v>0</v>
      </c>
      <c r="AT567" s="2" t="n">
        <v>0</v>
      </c>
      <c r="AU567" s="2" t="n">
        <v>0</v>
      </c>
      <c r="AV567" s="2" t="n">
        <v>0</v>
      </c>
      <c r="AW567" s="2" t="n">
        <v>0</v>
      </c>
      <c r="AX567" s="2" t="n">
        <v>0</v>
      </c>
      <c r="AY567" s="2" t="n">
        <v>0</v>
      </c>
      <c r="AZ567" s="2" t="n">
        <v>0</v>
      </c>
      <c r="BA567" s="2" t="n">
        <v>0</v>
      </c>
      <c r="BB567" s="2" t="n">
        <v>0</v>
      </c>
      <c r="BC567" s="2" t="n">
        <v>0</v>
      </c>
      <c r="BD567" s="2" t="n">
        <v>0</v>
      </c>
      <c r="BE567" s="2" t="n">
        <v>0</v>
      </c>
      <c r="BF567" s="2" t="n">
        <v>0</v>
      </c>
      <c r="BG567" s="2" t="n">
        <v>0</v>
      </c>
      <c r="BH567" s="2" t="n">
        <v>0</v>
      </c>
      <c r="BI567" s="2" t="n">
        <v>0</v>
      </c>
      <c r="BJ567" s="2" t="n">
        <v>0</v>
      </c>
      <c r="BK567" s="2" t="n">
        <v>0</v>
      </c>
      <c r="BL567" s="2" t="n">
        <v>0</v>
      </c>
      <c r="BM567" s="2" t="n">
        <v>0</v>
      </c>
      <c r="BN567" s="2" t="n">
        <v>0</v>
      </c>
      <c r="BO567" s="2" t="n">
        <v>0</v>
      </c>
      <c r="BP567" s="2" t="n">
        <v>0</v>
      </c>
      <c r="BQ567" s="2" t="n">
        <v>0</v>
      </c>
      <c r="BR567" s="2" t="n">
        <v>0</v>
      </c>
      <c r="BS567" s="2" t="n">
        <v>0</v>
      </c>
      <c r="BT567" s="2" t="n">
        <v>0</v>
      </c>
      <c r="BU567" s="2" t="n">
        <v>0</v>
      </c>
      <c r="BV567" s="2" t="n">
        <v>0</v>
      </c>
      <c r="BW567" s="2" t="n">
        <v>0</v>
      </c>
      <c r="BX567" s="2" t="n">
        <v>0</v>
      </c>
      <c r="BY567" s="2" t="n">
        <v>0</v>
      </c>
      <c r="BZ567" s="2" t="n">
        <v>0</v>
      </c>
      <c r="CA567" s="2" t="n">
        <v>0</v>
      </c>
      <c r="CB567" s="2" t="n">
        <v>0</v>
      </c>
      <c r="CC567" s="2" t="n">
        <v>0</v>
      </c>
      <c r="CD567" s="2" t="n">
        <v>0</v>
      </c>
      <c r="CE567" s="2" t="n">
        <v>0</v>
      </c>
      <c r="CF567" s="2" t="n">
        <v>0</v>
      </c>
      <c r="CG567" s="2" t="n">
        <v>0</v>
      </c>
      <c r="CH567" s="2" t="n">
        <v>0</v>
      </c>
      <c r="CI567" s="2" t="n">
        <v>0</v>
      </c>
      <c r="CJ567" s="2" t="n">
        <v>0</v>
      </c>
      <c r="CK567" s="2" t="n">
        <v>0</v>
      </c>
      <c r="CL567" s="2" t="n">
        <v>0</v>
      </c>
      <c r="CM567" s="2" t="n">
        <v>0</v>
      </c>
      <c r="CN567" s="2" t="n">
        <v>0</v>
      </c>
      <c r="CO567" s="2" t="n">
        <v>0</v>
      </c>
      <c r="CP567" s="2" t="n">
        <v>0</v>
      </c>
      <c r="CQ567" s="2" t="n">
        <v>0</v>
      </c>
      <c r="CR567" s="2" t="n">
        <v>0</v>
      </c>
      <c r="CS567" s="2" t="n">
        <v>0</v>
      </c>
      <c r="CT567" s="2" t="n">
        <v>0</v>
      </c>
      <c r="CU567" s="2" t="n">
        <v>0</v>
      </c>
      <c r="CV567" s="2" t="n">
        <v>0</v>
      </c>
      <c r="CW567" s="2" t="n">
        <v>0</v>
      </c>
      <c r="CX567" s="2" t="n">
        <v>0</v>
      </c>
      <c r="CY567" s="2" t="n">
        <v>0</v>
      </c>
      <c r="CZ567" s="2" t="n">
        <v>0</v>
      </c>
      <c r="DA567" s="2" t="n">
        <v>0</v>
      </c>
      <c r="DB567" s="2" t="n">
        <v>0</v>
      </c>
      <c r="DC567" s="2" t="n">
        <v>0</v>
      </c>
      <c r="DD567" s="2" t="n">
        <v>0</v>
      </c>
      <c r="DE567" s="2" t="n">
        <v>0</v>
      </c>
      <c r="DF567" s="2" t="n">
        <v>0</v>
      </c>
      <c r="DG567" s="2" t="n">
        <v>0</v>
      </c>
      <c r="DH567" s="2" t="n">
        <v>0</v>
      </c>
      <c r="DI567" s="2" t="n">
        <v>0</v>
      </c>
      <c r="DJ567" s="2" t="n">
        <v>0</v>
      </c>
      <c r="DK567" s="2" t="n">
        <v>9.09</v>
      </c>
      <c r="DL567" s="2" t="n">
        <v>0</v>
      </c>
      <c r="DM567" s="2" t="n">
        <v>18.18</v>
      </c>
      <c r="DN567" s="2" t="n">
        <v>30.3</v>
      </c>
      <c r="DO567" s="2" t="n">
        <v>0</v>
      </c>
      <c r="DP567" s="2" t="n">
        <v>39.39</v>
      </c>
      <c r="DQ567" s="2" t="n">
        <v>51.52</v>
      </c>
      <c r="DR567" s="2" t="n">
        <v>0</v>
      </c>
      <c r="DS567" s="2" t="n">
        <v>61.62</v>
      </c>
      <c r="DT567" s="2" t="n">
        <v>73.73999999999999</v>
      </c>
      <c r="DU567" s="2" t="n">
        <v>0</v>
      </c>
      <c r="DV567" s="2" t="n">
        <v>81.81999999999999</v>
      </c>
      <c r="DW567" s="2" t="n">
        <v>93.94</v>
      </c>
      <c r="DX567" s="2" t="n">
        <v>0</v>
      </c>
      <c r="DY567" s="2" t="n">
        <v>100</v>
      </c>
      <c r="DZ567" s="2" t="n">
        <v>100</v>
      </c>
      <c r="EA567" s="2" t="n">
        <v>0</v>
      </c>
      <c r="EB567" s="2" t="n">
        <v>100</v>
      </c>
      <c r="EC567" s="2" t="n">
        <v>100</v>
      </c>
      <c r="ED567" s="2" t="n">
        <v>0</v>
      </c>
      <c r="EE567" s="2" t="n">
        <v>100</v>
      </c>
      <c r="EF567" s="2" t="n">
        <v>100</v>
      </c>
      <c r="EG567" s="2" t="n">
        <v>0</v>
      </c>
      <c r="EH567" s="2" t="n">
        <v>100</v>
      </c>
      <c r="EI567" s="2" t="n">
        <v>100</v>
      </c>
      <c r="EJ567" s="2" t="n">
        <v>0</v>
      </c>
      <c r="EK567" s="2" t="n">
        <v>100</v>
      </c>
      <c r="EL567" s="2" t="n">
        <v>100</v>
      </c>
      <c r="EM567" s="2" t="n">
        <v>0</v>
      </c>
      <c r="EN567" s="2" t="n">
        <v>100</v>
      </c>
      <c r="EO567" s="2" t="n">
        <v>100</v>
      </c>
      <c r="EP567" s="2" t="n">
        <v>0</v>
      </c>
      <c r="EQ567" s="2" t="n">
        <v>100</v>
      </c>
      <c r="ER567" s="2" t="n">
        <v>100</v>
      </c>
      <c r="ES567" s="2" t="n">
        <v>0</v>
      </c>
    </row>
    <row r="568">
      <c r="A568" s="2" t="n">
        <v>2</v>
      </c>
      <c r="B568" s="2" t="inlineStr">
        <is>
          <t>24.05</t>
        </is>
      </c>
      <c r="C568" s="2" t="inlineStr">
        <is>
          <t>Instalação de bomba sapo para drenagem do poço do elevador</t>
        </is>
      </c>
      <c r="D568" s="2" t="inlineStr">
        <is>
          <t>19/05/2028</t>
        </is>
      </c>
      <c r="E568" s="2" t="inlineStr">
        <is>
          <t>09/10/2028</t>
        </is>
      </c>
      <c r="F568" s="2" t="n">
        <v>10000</v>
      </c>
      <c r="G568" s="2" t="n">
        <v>0</v>
      </c>
      <c r="H568" s="2" t="n">
        <v>10000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  <c r="AM568" s="2" t="n">
        <v>0</v>
      </c>
      <c r="AN568" s="2" t="n">
        <v>0</v>
      </c>
      <c r="AO568" s="2" t="n">
        <v>0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n">
        <v>0</v>
      </c>
      <c r="AZ568" s="2" t="n">
        <v>0</v>
      </c>
      <c r="BA568" s="2" t="n">
        <v>0</v>
      </c>
      <c r="BB568" s="2" t="n">
        <v>0</v>
      </c>
      <c r="BC568" s="2" t="n">
        <v>0</v>
      </c>
      <c r="BD568" s="2" t="n">
        <v>0</v>
      </c>
      <c r="BE568" s="2" t="n">
        <v>0</v>
      </c>
      <c r="BF568" s="2" t="n">
        <v>0</v>
      </c>
      <c r="BG568" s="2" t="n">
        <v>0</v>
      </c>
      <c r="BH568" s="2" t="n">
        <v>0</v>
      </c>
      <c r="BI568" s="2" t="n">
        <v>0</v>
      </c>
      <c r="BJ568" s="2" t="n">
        <v>0</v>
      </c>
      <c r="BK568" s="2" t="n">
        <v>0</v>
      </c>
      <c r="BL568" s="2" t="n">
        <v>0</v>
      </c>
      <c r="BM568" s="2" t="n">
        <v>0</v>
      </c>
      <c r="BN568" s="2" t="n">
        <v>0</v>
      </c>
      <c r="BO568" s="2" t="n">
        <v>0</v>
      </c>
      <c r="BP568" s="2" t="n">
        <v>0</v>
      </c>
      <c r="BQ568" s="2" t="n">
        <v>0</v>
      </c>
      <c r="BR568" s="2" t="n">
        <v>0</v>
      </c>
      <c r="BS568" s="2" t="n">
        <v>0</v>
      </c>
      <c r="BT568" s="2" t="n">
        <v>0</v>
      </c>
      <c r="BU568" s="2" t="n">
        <v>0</v>
      </c>
      <c r="BV568" s="2" t="n">
        <v>0</v>
      </c>
      <c r="BW568" s="2" t="n">
        <v>0</v>
      </c>
      <c r="BX568" s="2" t="n">
        <v>0</v>
      </c>
      <c r="BY568" s="2" t="n">
        <v>0</v>
      </c>
      <c r="BZ568" s="2" t="n">
        <v>0</v>
      </c>
      <c r="CA568" s="2" t="n">
        <v>0</v>
      </c>
      <c r="CB568" s="2" t="n">
        <v>0</v>
      </c>
      <c r="CC568" s="2" t="n">
        <v>0</v>
      </c>
      <c r="CD568" s="2" t="n">
        <v>0</v>
      </c>
      <c r="CE568" s="2" t="n">
        <v>0</v>
      </c>
      <c r="CF568" s="2" t="n">
        <v>0</v>
      </c>
      <c r="CG568" s="2" t="n">
        <v>0</v>
      </c>
      <c r="CH568" s="2" t="n">
        <v>0</v>
      </c>
      <c r="CI568" s="2" t="n">
        <v>0</v>
      </c>
      <c r="CJ568" s="2" t="n">
        <v>0</v>
      </c>
      <c r="CK568" s="2" t="n">
        <v>0</v>
      </c>
      <c r="CL568" s="2" t="n">
        <v>0</v>
      </c>
      <c r="CM568" s="2" t="n">
        <v>0</v>
      </c>
      <c r="CN568" s="2" t="n">
        <v>0</v>
      </c>
      <c r="CO568" s="2" t="n">
        <v>0</v>
      </c>
      <c r="CP568" s="2" t="n">
        <v>0</v>
      </c>
      <c r="CQ568" s="2" t="n">
        <v>0</v>
      </c>
      <c r="CR568" s="2" t="n">
        <v>0</v>
      </c>
      <c r="CS568" s="2" t="n">
        <v>0</v>
      </c>
      <c r="CT568" s="2" t="n">
        <v>0</v>
      </c>
      <c r="CU568" s="2" t="n">
        <v>0</v>
      </c>
      <c r="CV568" s="2" t="n">
        <v>0</v>
      </c>
      <c r="CW568" s="2" t="n">
        <v>0</v>
      </c>
      <c r="CX568" s="2" t="n">
        <v>0</v>
      </c>
      <c r="CY568" s="2" t="n">
        <v>0</v>
      </c>
      <c r="CZ568" s="2" t="n">
        <v>0</v>
      </c>
      <c r="DA568" s="2" t="n">
        <v>0</v>
      </c>
      <c r="DB568" s="2" t="n">
        <v>0</v>
      </c>
      <c r="DC568" s="2" t="n">
        <v>0</v>
      </c>
      <c r="DD568" s="2" t="n">
        <v>0</v>
      </c>
      <c r="DE568" s="2" t="n">
        <v>0</v>
      </c>
      <c r="DF568" s="2" t="n">
        <v>0</v>
      </c>
      <c r="DG568" s="2" t="n">
        <v>0</v>
      </c>
      <c r="DH568" s="2" t="n">
        <v>0</v>
      </c>
      <c r="DI568" s="2" t="n">
        <v>0</v>
      </c>
      <c r="DJ568" s="2" t="n">
        <v>0</v>
      </c>
      <c r="DK568" s="2" t="n">
        <v>9.09</v>
      </c>
      <c r="DL568" s="2" t="n">
        <v>0</v>
      </c>
      <c r="DM568" s="2" t="n">
        <v>18.18</v>
      </c>
      <c r="DN568" s="2" t="n">
        <v>30.3</v>
      </c>
      <c r="DO568" s="2" t="n">
        <v>0</v>
      </c>
      <c r="DP568" s="2" t="n">
        <v>39.39</v>
      </c>
      <c r="DQ568" s="2" t="n">
        <v>51.52</v>
      </c>
      <c r="DR568" s="2" t="n">
        <v>0</v>
      </c>
      <c r="DS568" s="2" t="n">
        <v>61.62</v>
      </c>
      <c r="DT568" s="2" t="n">
        <v>73.73999999999999</v>
      </c>
      <c r="DU568" s="2" t="n">
        <v>0</v>
      </c>
      <c r="DV568" s="2" t="n">
        <v>81.81999999999999</v>
      </c>
      <c r="DW568" s="2" t="n">
        <v>93.94</v>
      </c>
      <c r="DX568" s="2" t="n">
        <v>0</v>
      </c>
      <c r="DY568" s="2" t="n">
        <v>100</v>
      </c>
      <c r="DZ568" s="2" t="n">
        <v>100</v>
      </c>
      <c r="EA568" s="2" t="n">
        <v>0</v>
      </c>
      <c r="EB568" s="2" t="n">
        <v>100</v>
      </c>
      <c r="EC568" s="2" t="n">
        <v>100</v>
      </c>
      <c r="ED568" s="2" t="n">
        <v>0</v>
      </c>
      <c r="EE568" s="2" t="n">
        <v>100</v>
      </c>
      <c r="EF568" s="2" t="n">
        <v>100</v>
      </c>
      <c r="EG568" s="2" t="n">
        <v>0</v>
      </c>
      <c r="EH568" s="2" t="n">
        <v>100</v>
      </c>
      <c r="EI568" s="2" t="n">
        <v>100</v>
      </c>
      <c r="EJ568" s="2" t="n">
        <v>0</v>
      </c>
      <c r="EK568" s="2" t="n">
        <v>100</v>
      </c>
      <c r="EL568" s="2" t="n">
        <v>100</v>
      </c>
      <c r="EM568" s="2" t="n">
        <v>0</v>
      </c>
      <c r="EN568" s="2" t="n">
        <v>100</v>
      </c>
      <c r="EO568" s="2" t="n">
        <v>100</v>
      </c>
      <c r="EP568" s="2" t="n">
        <v>0</v>
      </c>
      <c r="EQ568" s="2" t="n">
        <v>100</v>
      </c>
      <c r="ER568" s="2" t="n">
        <v>100</v>
      </c>
      <c r="ES568" s="2" t="n">
        <v>0</v>
      </c>
    </row>
    <row r="569">
      <c r="A569" s="2" t="n">
        <v>2</v>
      </c>
      <c r="B569" s="2" t="inlineStr">
        <is>
          <t>24.06</t>
        </is>
      </c>
      <c r="C569" s="2" t="inlineStr">
        <is>
          <t>Proteção de elevadores definitivos com madeira, papelão e plástico durante a utilização pela obra</t>
        </is>
      </c>
      <c r="D569" s="2" t="inlineStr">
        <is>
          <t>19/05/2028</t>
        </is>
      </c>
      <c r="E569" s="2" t="inlineStr">
        <is>
          <t>09/10/2028</t>
        </is>
      </c>
      <c r="F569" s="2" t="n">
        <v>10000</v>
      </c>
      <c r="G569" s="2" t="n">
        <v>0</v>
      </c>
      <c r="H569" s="2" t="n">
        <v>10000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  <c r="AN569" s="2" t="n">
        <v>0</v>
      </c>
      <c r="AO569" s="2" t="n">
        <v>0</v>
      </c>
      <c r="AP569" s="2" t="n">
        <v>0</v>
      </c>
      <c r="AQ569" s="2" t="n">
        <v>0</v>
      </c>
      <c r="AR569" s="2" t="n">
        <v>0</v>
      </c>
      <c r="AS569" s="2" t="n">
        <v>0</v>
      </c>
      <c r="AT569" s="2" t="n">
        <v>0</v>
      </c>
      <c r="AU569" s="2" t="n">
        <v>0</v>
      </c>
      <c r="AV569" s="2" t="n">
        <v>0</v>
      </c>
      <c r="AW569" s="2" t="n">
        <v>0</v>
      </c>
      <c r="AX569" s="2" t="n">
        <v>0</v>
      </c>
      <c r="AY569" s="2" t="n">
        <v>0</v>
      </c>
      <c r="AZ569" s="2" t="n">
        <v>0</v>
      </c>
      <c r="BA569" s="2" t="n">
        <v>0</v>
      </c>
      <c r="BB569" s="2" t="n">
        <v>0</v>
      </c>
      <c r="BC569" s="2" t="n">
        <v>0</v>
      </c>
      <c r="BD569" s="2" t="n">
        <v>0</v>
      </c>
      <c r="BE569" s="2" t="n">
        <v>0</v>
      </c>
      <c r="BF569" s="2" t="n">
        <v>0</v>
      </c>
      <c r="BG569" s="2" t="n">
        <v>0</v>
      </c>
      <c r="BH569" s="2" t="n">
        <v>0</v>
      </c>
      <c r="BI569" s="2" t="n">
        <v>0</v>
      </c>
      <c r="BJ569" s="2" t="n">
        <v>0</v>
      </c>
      <c r="BK569" s="2" t="n">
        <v>0</v>
      </c>
      <c r="BL569" s="2" t="n">
        <v>0</v>
      </c>
      <c r="BM569" s="2" t="n">
        <v>0</v>
      </c>
      <c r="BN569" s="2" t="n">
        <v>0</v>
      </c>
      <c r="BO569" s="2" t="n">
        <v>0</v>
      </c>
      <c r="BP569" s="2" t="n">
        <v>0</v>
      </c>
      <c r="BQ569" s="2" t="n">
        <v>0</v>
      </c>
      <c r="BR569" s="2" t="n">
        <v>0</v>
      </c>
      <c r="BS569" s="2" t="n">
        <v>0</v>
      </c>
      <c r="BT569" s="2" t="n">
        <v>0</v>
      </c>
      <c r="BU569" s="2" t="n">
        <v>0</v>
      </c>
      <c r="BV569" s="2" t="n">
        <v>0</v>
      </c>
      <c r="BW569" s="2" t="n">
        <v>0</v>
      </c>
      <c r="BX569" s="2" t="n">
        <v>0</v>
      </c>
      <c r="BY569" s="2" t="n">
        <v>0</v>
      </c>
      <c r="BZ569" s="2" t="n">
        <v>0</v>
      </c>
      <c r="CA569" s="2" t="n">
        <v>0</v>
      </c>
      <c r="CB569" s="2" t="n">
        <v>0</v>
      </c>
      <c r="CC569" s="2" t="n">
        <v>0</v>
      </c>
      <c r="CD569" s="2" t="n">
        <v>0</v>
      </c>
      <c r="CE569" s="2" t="n">
        <v>0</v>
      </c>
      <c r="CF569" s="2" t="n">
        <v>0</v>
      </c>
      <c r="CG569" s="2" t="n">
        <v>0</v>
      </c>
      <c r="CH569" s="2" t="n">
        <v>0</v>
      </c>
      <c r="CI569" s="2" t="n">
        <v>0</v>
      </c>
      <c r="CJ569" s="2" t="n">
        <v>0</v>
      </c>
      <c r="CK569" s="2" t="n">
        <v>0</v>
      </c>
      <c r="CL569" s="2" t="n">
        <v>0</v>
      </c>
      <c r="CM569" s="2" t="n">
        <v>0</v>
      </c>
      <c r="CN569" s="2" t="n">
        <v>0</v>
      </c>
      <c r="CO569" s="2" t="n">
        <v>0</v>
      </c>
      <c r="CP569" s="2" t="n">
        <v>0</v>
      </c>
      <c r="CQ569" s="2" t="n">
        <v>0</v>
      </c>
      <c r="CR569" s="2" t="n">
        <v>0</v>
      </c>
      <c r="CS569" s="2" t="n">
        <v>0</v>
      </c>
      <c r="CT569" s="2" t="n">
        <v>0</v>
      </c>
      <c r="CU569" s="2" t="n">
        <v>0</v>
      </c>
      <c r="CV569" s="2" t="n">
        <v>0</v>
      </c>
      <c r="CW569" s="2" t="n">
        <v>0</v>
      </c>
      <c r="CX569" s="2" t="n">
        <v>0</v>
      </c>
      <c r="CY569" s="2" t="n">
        <v>0</v>
      </c>
      <c r="CZ569" s="2" t="n">
        <v>0</v>
      </c>
      <c r="DA569" s="2" t="n">
        <v>0</v>
      </c>
      <c r="DB569" s="2" t="n">
        <v>0</v>
      </c>
      <c r="DC569" s="2" t="n">
        <v>0</v>
      </c>
      <c r="DD569" s="2" t="n">
        <v>0</v>
      </c>
      <c r="DE569" s="2" t="n">
        <v>0</v>
      </c>
      <c r="DF569" s="2" t="n">
        <v>0</v>
      </c>
      <c r="DG569" s="2" t="n">
        <v>0</v>
      </c>
      <c r="DH569" s="2" t="n">
        <v>0</v>
      </c>
      <c r="DI569" s="2" t="n">
        <v>0</v>
      </c>
      <c r="DJ569" s="2" t="n">
        <v>0</v>
      </c>
      <c r="DK569" s="2" t="n">
        <v>9.09</v>
      </c>
      <c r="DL569" s="2" t="n">
        <v>0</v>
      </c>
      <c r="DM569" s="2" t="n">
        <v>18.18</v>
      </c>
      <c r="DN569" s="2" t="n">
        <v>30.3</v>
      </c>
      <c r="DO569" s="2" t="n">
        <v>0</v>
      </c>
      <c r="DP569" s="2" t="n">
        <v>39.39</v>
      </c>
      <c r="DQ569" s="2" t="n">
        <v>51.52</v>
      </c>
      <c r="DR569" s="2" t="n">
        <v>0</v>
      </c>
      <c r="DS569" s="2" t="n">
        <v>61.62</v>
      </c>
      <c r="DT569" s="2" t="n">
        <v>73.73999999999999</v>
      </c>
      <c r="DU569" s="2" t="n">
        <v>0</v>
      </c>
      <c r="DV569" s="2" t="n">
        <v>81.81999999999999</v>
      </c>
      <c r="DW569" s="2" t="n">
        <v>93.94</v>
      </c>
      <c r="DX569" s="2" t="n">
        <v>0</v>
      </c>
      <c r="DY569" s="2" t="n">
        <v>100</v>
      </c>
      <c r="DZ569" s="2" t="n">
        <v>100</v>
      </c>
      <c r="EA569" s="2" t="n">
        <v>0</v>
      </c>
      <c r="EB569" s="2" t="n">
        <v>100</v>
      </c>
      <c r="EC569" s="2" t="n">
        <v>100</v>
      </c>
      <c r="ED569" s="2" t="n">
        <v>0</v>
      </c>
      <c r="EE569" s="2" t="n">
        <v>100</v>
      </c>
      <c r="EF569" s="2" t="n">
        <v>100</v>
      </c>
      <c r="EG569" s="2" t="n">
        <v>0</v>
      </c>
      <c r="EH569" s="2" t="n">
        <v>100</v>
      </c>
      <c r="EI569" s="2" t="n">
        <v>100</v>
      </c>
      <c r="EJ569" s="2" t="n">
        <v>0</v>
      </c>
      <c r="EK569" s="2" t="n">
        <v>100</v>
      </c>
      <c r="EL569" s="2" t="n">
        <v>100</v>
      </c>
      <c r="EM569" s="2" t="n">
        <v>0</v>
      </c>
      <c r="EN569" s="2" t="n">
        <v>100</v>
      </c>
      <c r="EO569" s="2" t="n">
        <v>100</v>
      </c>
      <c r="EP569" s="2" t="n">
        <v>0</v>
      </c>
      <c r="EQ569" s="2" t="n">
        <v>100</v>
      </c>
      <c r="ER569" s="2" t="n">
        <v>100</v>
      </c>
      <c r="ES569" s="2" t="n">
        <v>0</v>
      </c>
    </row>
    <row r="570">
      <c r="A570" s="2" t="n">
        <v>2</v>
      </c>
      <c r="B570" s="2" t="inlineStr">
        <is>
          <t>24.07</t>
        </is>
      </c>
      <c r="C570" s="2" t="inlineStr">
        <is>
          <t>Serviços complementares à instalação e operação dos elevadores (içamento de motor, chumbamento de portas, preparo do poço)</t>
        </is>
      </c>
      <c r="D570" s="2" t="inlineStr">
        <is>
          <t>19/05/2028</t>
        </is>
      </c>
      <c r="E570" s="2" t="inlineStr">
        <is>
          <t>09/10/2028</t>
        </is>
      </c>
      <c r="F570" s="2" t="n">
        <v>100000</v>
      </c>
      <c r="G570" s="2" t="n">
        <v>0</v>
      </c>
      <c r="H570" s="2" t="n">
        <v>100000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0</v>
      </c>
      <c r="AN570" s="2" t="n">
        <v>0</v>
      </c>
      <c r="AO570" s="2" t="n">
        <v>0</v>
      </c>
      <c r="AP570" s="2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0</v>
      </c>
      <c r="AY570" s="2" t="n">
        <v>0</v>
      </c>
      <c r="AZ570" s="2" t="n">
        <v>0</v>
      </c>
      <c r="BA570" s="2" t="n">
        <v>0</v>
      </c>
      <c r="BB570" s="2" t="n">
        <v>0</v>
      </c>
      <c r="BC570" s="2" t="n">
        <v>0</v>
      </c>
      <c r="BD570" s="2" t="n">
        <v>0</v>
      </c>
      <c r="BE570" s="2" t="n">
        <v>0</v>
      </c>
      <c r="BF570" s="2" t="n">
        <v>0</v>
      </c>
      <c r="BG570" s="2" t="n">
        <v>0</v>
      </c>
      <c r="BH570" s="2" t="n">
        <v>0</v>
      </c>
      <c r="BI570" s="2" t="n">
        <v>0</v>
      </c>
      <c r="BJ570" s="2" t="n">
        <v>0</v>
      </c>
      <c r="BK570" s="2" t="n">
        <v>0</v>
      </c>
      <c r="BL570" s="2" t="n">
        <v>0</v>
      </c>
      <c r="BM570" s="2" t="n">
        <v>0</v>
      </c>
      <c r="BN570" s="2" t="n">
        <v>0</v>
      </c>
      <c r="BO570" s="2" t="n">
        <v>0</v>
      </c>
      <c r="BP570" s="2" t="n">
        <v>0</v>
      </c>
      <c r="BQ570" s="2" t="n">
        <v>0</v>
      </c>
      <c r="BR570" s="2" t="n">
        <v>0</v>
      </c>
      <c r="BS570" s="2" t="n">
        <v>0</v>
      </c>
      <c r="BT570" s="2" t="n">
        <v>0</v>
      </c>
      <c r="BU570" s="2" t="n">
        <v>0</v>
      </c>
      <c r="BV570" s="2" t="n">
        <v>0</v>
      </c>
      <c r="BW570" s="2" t="n">
        <v>0</v>
      </c>
      <c r="BX570" s="2" t="n">
        <v>0</v>
      </c>
      <c r="BY570" s="2" t="n">
        <v>0</v>
      </c>
      <c r="BZ570" s="2" t="n">
        <v>0</v>
      </c>
      <c r="CA570" s="2" t="n">
        <v>0</v>
      </c>
      <c r="CB570" s="2" t="n">
        <v>0</v>
      </c>
      <c r="CC570" s="2" t="n">
        <v>0</v>
      </c>
      <c r="CD570" s="2" t="n">
        <v>0</v>
      </c>
      <c r="CE570" s="2" t="n">
        <v>0</v>
      </c>
      <c r="CF570" s="2" t="n">
        <v>0</v>
      </c>
      <c r="CG570" s="2" t="n">
        <v>0</v>
      </c>
      <c r="CH570" s="2" t="n">
        <v>0</v>
      </c>
      <c r="CI570" s="2" t="n">
        <v>0</v>
      </c>
      <c r="CJ570" s="2" t="n">
        <v>0</v>
      </c>
      <c r="CK570" s="2" t="n">
        <v>0</v>
      </c>
      <c r="CL570" s="2" t="n">
        <v>0</v>
      </c>
      <c r="CM570" s="2" t="n">
        <v>0</v>
      </c>
      <c r="CN570" s="2" t="n">
        <v>0</v>
      </c>
      <c r="CO570" s="2" t="n">
        <v>0</v>
      </c>
      <c r="CP570" s="2" t="n">
        <v>0</v>
      </c>
      <c r="CQ570" s="2" t="n">
        <v>0</v>
      </c>
      <c r="CR570" s="2" t="n">
        <v>0</v>
      </c>
      <c r="CS570" s="2" t="n">
        <v>0</v>
      </c>
      <c r="CT570" s="2" t="n">
        <v>0</v>
      </c>
      <c r="CU570" s="2" t="n">
        <v>0</v>
      </c>
      <c r="CV570" s="2" t="n">
        <v>0</v>
      </c>
      <c r="CW570" s="2" t="n">
        <v>0</v>
      </c>
      <c r="CX570" s="2" t="n">
        <v>0</v>
      </c>
      <c r="CY570" s="2" t="n">
        <v>0</v>
      </c>
      <c r="CZ570" s="2" t="n">
        <v>0</v>
      </c>
      <c r="DA570" s="2" t="n">
        <v>0</v>
      </c>
      <c r="DB570" s="2" t="n">
        <v>0</v>
      </c>
      <c r="DC570" s="2" t="n">
        <v>0</v>
      </c>
      <c r="DD570" s="2" t="n">
        <v>0</v>
      </c>
      <c r="DE570" s="2" t="n">
        <v>0</v>
      </c>
      <c r="DF570" s="2" t="n">
        <v>0</v>
      </c>
      <c r="DG570" s="2" t="n">
        <v>0</v>
      </c>
      <c r="DH570" s="2" t="n">
        <v>0</v>
      </c>
      <c r="DI570" s="2" t="n">
        <v>0</v>
      </c>
      <c r="DJ570" s="2" t="n">
        <v>0</v>
      </c>
      <c r="DK570" s="2" t="n">
        <v>9.09</v>
      </c>
      <c r="DL570" s="2" t="n">
        <v>0</v>
      </c>
      <c r="DM570" s="2" t="n">
        <v>18.18</v>
      </c>
      <c r="DN570" s="2" t="n">
        <v>30.3</v>
      </c>
      <c r="DO570" s="2" t="n">
        <v>0</v>
      </c>
      <c r="DP570" s="2" t="n">
        <v>39.39</v>
      </c>
      <c r="DQ570" s="2" t="n">
        <v>51.52</v>
      </c>
      <c r="DR570" s="2" t="n">
        <v>0</v>
      </c>
      <c r="DS570" s="2" t="n">
        <v>61.62</v>
      </c>
      <c r="DT570" s="2" t="n">
        <v>73.73999999999999</v>
      </c>
      <c r="DU570" s="2" t="n">
        <v>0</v>
      </c>
      <c r="DV570" s="2" t="n">
        <v>81.81999999999999</v>
      </c>
      <c r="DW570" s="2" t="n">
        <v>93.94</v>
      </c>
      <c r="DX570" s="2" t="n">
        <v>0</v>
      </c>
      <c r="DY570" s="2" t="n">
        <v>100</v>
      </c>
      <c r="DZ570" s="2" t="n">
        <v>100</v>
      </c>
      <c r="EA570" s="2" t="n">
        <v>0</v>
      </c>
      <c r="EB570" s="2" t="n">
        <v>100</v>
      </c>
      <c r="EC570" s="2" t="n">
        <v>100</v>
      </c>
      <c r="ED570" s="2" t="n">
        <v>0</v>
      </c>
      <c r="EE570" s="2" t="n">
        <v>100</v>
      </c>
      <c r="EF570" s="2" t="n">
        <v>100</v>
      </c>
      <c r="EG570" s="2" t="n">
        <v>0</v>
      </c>
      <c r="EH570" s="2" t="n">
        <v>100</v>
      </c>
      <c r="EI570" s="2" t="n">
        <v>100</v>
      </c>
      <c r="EJ570" s="2" t="n">
        <v>0</v>
      </c>
      <c r="EK570" s="2" t="n">
        <v>100</v>
      </c>
      <c r="EL570" s="2" t="n">
        <v>100</v>
      </c>
      <c r="EM570" s="2" t="n">
        <v>0</v>
      </c>
      <c r="EN570" s="2" t="n">
        <v>100</v>
      </c>
      <c r="EO570" s="2" t="n">
        <v>100</v>
      </c>
      <c r="EP570" s="2" t="n">
        <v>0</v>
      </c>
      <c r="EQ570" s="2" t="n">
        <v>100</v>
      </c>
      <c r="ER570" s="2" t="n">
        <v>100</v>
      </c>
      <c r="ES570" s="2" t="n">
        <v>0</v>
      </c>
    </row>
    <row r="571">
      <c r="A571" s="2" t="n">
        <v>1</v>
      </c>
      <c r="B571" s="2" t="inlineStr">
        <is>
          <t>25</t>
        </is>
      </c>
      <c r="C571" s="2" t="inlineStr">
        <is>
          <t>ESQUADRIAS</t>
        </is>
      </c>
      <c r="D571" s="2" t="inlineStr">
        <is>
          <t>07/12/2027</t>
        </is>
      </c>
      <c r="E571" s="2" t="inlineStr">
        <is>
          <t>17/11/2028</t>
        </is>
      </c>
      <c r="F571" s="2" t="n">
        <v>11181479.74402711</v>
      </c>
      <c r="G571" s="2" t="n">
        <v>0</v>
      </c>
      <c r="H571" s="2" t="n">
        <v>11181479.74402711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  <c r="AM571" s="2" t="n">
        <v>0</v>
      </c>
      <c r="AN571" s="2" t="n">
        <v>0</v>
      </c>
      <c r="AO571" s="2" t="n">
        <v>0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n">
        <v>0</v>
      </c>
      <c r="AZ571" s="2" t="n">
        <v>0</v>
      </c>
      <c r="BA571" s="2" t="n">
        <v>0</v>
      </c>
      <c r="BB571" s="2" t="n">
        <v>0</v>
      </c>
      <c r="BC571" s="2" t="n">
        <v>0</v>
      </c>
      <c r="BD571" s="2" t="n">
        <v>0</v>
      </c>
      <c r="BE571" s="2" t="n">
        <v>0</v>
      </c>
      <c r="BF571" s="2" t="n">
        <v>0</v>
      </c>
      <c r="BG571" s="2" t="n">
        <v>0</v>
      </c>
      <c r="BH571" s="2" t="n">
        <v>0</v>
      </c>
      <c r="BI571" s="2" t="n">
        <v>0</v>
      </c>
      <c r="BJ571" s="2" t="n">
        <v>0</v>
      </c>
      <c r="BK571" s="2" t="n">
        <v>0</v>
      </c>
      <c r="BL571" s="2" t="n">
        <v>0</v>
      </c>
      <c r="BM571" s="2" t="n">
        <v>0</v>
      </c>
      <c r="BN571" s="2" t="n">
        <v>0</v>
      </c>
      <c r="BO571" s="2" t="n">
        <v>0</v>
      </c>
      <c r="BP571" s="2" t="n">
        <v>0</v>
      </c>
      <c r="BQ571" s="2" t="n">
        <v>0</v>
      </c>
      <c r="BR571" s="2" t="n">
        <v>0</v>
      </c>
      <c r="BS571" s="2" t="n">
        <v>0</v>
      </c>
      <c r="BT571" s="2" t="n">
        <v>0</v>
      </c>
      <c r="BU571" s="2" t="n">
        <v>0</v>
      </c>
      <c r="BV571" s="2" t="n">
        <v>0</v>
      </c>
      <c r="BW571" s="2" t="n">
        <v>0</v>
      </c>
      <c r="BX571" s="2" t="n">
        <v>0</v>
      </c>
      <c r="BY571" s="2" t="n">
        <v>0</v>
      </c>
      <c r="BZ571" s="2" t="n">
        <v>0</v>
      </c>
      <c r="CA571" s="2" t="n">
        <v>0</v>
      </c>
      <c r="CB571" s="2" t="n">
        <v>0</v>
      </c>
      <c r="CC571" s="2" t="n">
        <v>0</v>
      </c>
      <c r="CD571" s="2" t="n">
        <v>0</v>
      </c>
      <c r="CE571" s="2" t="n">
        <v>0</v>
      </c>
      <c r="CF571" s="2" t="n">
        <v>0</v>
      </c>
      <c r="CG571" s="2" t="n">
        <v>0</v>
      </c>
      <c r="CH571" s="2" t="n">
        <v>0</v>
      </c>
      <c r="CI571" s="2" t="n">
        <v>0</v>
      </c>
      <c r="CJ571" s="2" t="n">
        <v>0</v>
      </c>
      <c r="CK571" s="2" t="n">
        <v>0</v>
      </c>
      <c r="CL571" s="2" t="n">
        <v>0</v>
      </c>
      <c r="CM571" s="2" t="n">
        <v>0</v>
      </c>
      <c r="CN571" s="2" t="n">
        <v>0</v>
      </c>
      <c r="CO571" s="2" t="n">
        <v>0</v>
      </c>
      <c r="CP571" s="2" t="n">
        <v>0</v>
      </c>
      <c r="CQ571" s="2" t="n">
        <v>0</v>
      </c>
      <c r="CR571" s="2" t="n">
        <v>0</v>
      </c>
      <c r="CS571" s="2" t="n">
        <v>0</v>
      </c>
      <c r="CT571" s="2" t="n">
        <v>0</v>
      </c>
      <c r="CU571" s="2" t="n">
        <v>2.75</v>
      </c>
      <c r="CV571" s="2" t="n">
        <v>4.72</v>
      </c>
      <c r="CW571" s="2" t="n">
        <v>0</v>
      </c>
      <c r="CX571" s="2" t="n">
        <v>11.01</v>
      </c>
      <c r="CY571" s="2" t="n">
        <v>12.97</v>
      </c>
      <c r="CZ571" s="2" t="n">
        <v>0</v>
      </c>
      <c r="DA571" s="2" t="n">
        <v>20.61</v>
      </c>
      <c r="DB571" s="2" t="n">
        <v>22.75</v>
      </c>
      <c r="DC571" s="2" t="n">
        <v>0</v>
      </c>
      <c r="DD571" s="2" t="n">
        <v>31.93</v>
      </c>
      <c r="DE571" s="2" t="n">
        <v>33.92</v>
      </c>
      <c r="DF571" s="2" t="n">
        <v>0</v>
      </c>
      <c r="DG571" s="2" t="n">
        <v>39.09</v>
      </c>
      <c r="DH571" s="2" t="n">
        <v>41.06</v>
      </c>
      <c r="DI571" s="2" t="n">
        <v>0</v>
      </c>
      <c r="DJ571" s="2" t="n">
        <v>47.9</v>
      </c>
      <c r="DK571" s="2" t="n">
        <v>49.88</v>
      </c>
      <c r="DL571" s="2" t="n">
        <v>0</v>
      </c>
      <c r="DM571" s="2" t="n">
        <v>57.31</v>
      </c>
      <c r="DN571" s="2" t="n">
        <v>59.45</v>
      </c>
      <c r="DO571" s="2" t="n">
        <v>0</v>
      </c>
      <c r="DP571" s="2" t="n">
        <v>66.15000000000001</v>
      </c>
      <c r="DQ571" s="2" t="n">
        <v>68.87</v>
      </c>
      <c r="DR571" s="2" t="n">
        <v>0</v>
      </c>
      <c r="DS571" s="2" t="n">
        <v>75.76000000000001</v>
      </c>
      <c r="DT571" s="2" t="n">
        <v>79.81999999999999</v>
      </c>
      <c r="DU571" s="2" t="n">
        <v>0</v>
      </c>
      <c r="DV571" s="2" t="n">
        <v>85.72</v>
      </c>
      <c r="DW571" s="2" t="n">
        <v>90.05</v>
      </c>
      <c r="DX571" s="2" t="n">
        <v>0</v>
      </c>
      <c r="DY571" s="2" t="n">
        <v>95.36</v>
      </c>
      <c r="DZ571" s="2" t="n">
        <v>96.20999999999999</v>
      </c>
      <c r="EA571" s="2" t="n">
        <v>0</v>
      </c>
      <c r="EB571" s="2" t="n">
        <v>100</v>
      </c>
      <c r="EC571" s="2" t="n">
        <v>100</v>
      </c>
      <c r="ED571" s="2" t="n">
        <v>0</v>
      </c>
      <c r="EE571" s="2" t="n">
        <v>100</v>
      </c>
      <c r="EF571" s="2" t="n">
        <v>100</v>
      </c>
      <c r="EG571" s="2" t="n">
        <v>0</v>
      </c>
      <c r="EH571" s="2" t="n">
        <v>100</v>
      </c>
      <c r="EI571" s="2" t="n">
        <v>100</v>
      </c>
      <c r="EJ571" s="2" t="n">
        <v>0</v>
      </c>
      <c r="EK571" s="2" t="n">
        <v>100</v>
      </c>
      <c r="EL571" s="2" t="n">
        <v>100</v>
      </c>
      <c r="EM571" s="2" t="n">
        <v>0</v>
      </c>
      <c r="EN571" s="2" t="n">
        <v>100</v>
      </c>
      <c r="EO571" s="2" t="n">
        <v>100</v>
      </c>
      <c r="EP571" s="2" t="n">
        <v>0</v>
      </c>
      <c r="EQ571" s="2" t="n">
        <v>100</v>
      </c>
      <c r="ER571" s="2" t="n">
        <v>100</v>
      </c>
      <c r="ES571" s="2" t="n">
        <v>0</v>
      </c>
    </row>
    <row r="572">
      <c r="A572" s="2" t="n">
        <v>2</v>
      </c>
      <c r="B572" s="2" t="inlineStr">
        <is>
          <t>25.02</t>
        </is>
      </c>
      <c r="C572" s="2" t="inlineStr">
        <is>
          <t>Esquadrias de alumínio</t>
        </is>
      </c>
      <c r="D572" s="2" t="inlineStr">
        <is>
          <t>07/12/2027</t>
        </is>
      </c>
      <c r="E572" s="2" t="inlineStr">
        <is>
          <t>17/11/2028</t>
        </is>
      </c>
      <c r="F572" s="2" t="n">
        <v>11181479.74402711</v>
      </c>
      <c r="G572" s="2" t="n">
        <v>0</v>
      </c>
      <c r="H572" s="2" t="n">
        <v>11181479.74402711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0</v>
      </c>
      <c r="AM572" s="2" t="n">
        <v>0</v>
      </c>
      <c r="AN572" s="2" t="n">
        <v>0</v>
      </c>
      <c r="AO572" s="2" t="n">
        <v>0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n">
        <v>0</v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n">
        <v>0</v>
      </c>
      <c r="BI572" s="2" t="n">
        <v>0</v>
      </c>
      <c r="BJ572" s="2" t="n">
        <v>0</v>
      </c>
      <c r="BK572" s="2" t="n">
        <v>0</v>
      </c>
      <c r="BL572" s="2" t="n">
        <v>0</v>
      </c>
      <c r="BM572" s="2" t="n">
        <v>0</v>
      </c>
      <c r="BN572" s="2" t="n">
        <v>0</v>
      </c>
      <c r="BO572" s="2" t="n">
        <v>0</v>
      </c>
      <c r="BP572" s="2" t="n">
        <v>0</v>
      </c>
      <c r="BQ572" s="2" t="n">
        <v>0</v>
      </c>
      <c r="BR572" s="2" t="n">
        <v>0</v>
      </c>
      <c r="BS572" s="2" t="n">
        <v>0</v>
      </c>
      <c r="BT572" s="2" t="n">
        <v>0</v>
      </c>
      <c r="BU572" s="2" t="n">
        <v>0</v>
      </c>
      <c r="BV572" s="2" t="n">
        <v>0</v>
      </c>
      <c r="BW572" s="2" t="n">
        <v>0</v>
      </c>
      <c r="BX572" s="2" t="n">
        <v>0</v>
      </c>
      <c r="BY572" s="2" t="n">
        <v>0</v>
      </c>
      <c r="BZ572" s="2" t="n">
        <v>0</v>
      </c>
      <c r="CA572" s="2" t="n">
        <v>0</v>
      </c>
      <c r="CB572" s="2" t="n">
        <v>0</v>
      </c>
      <c r="CC572" s="2" t="n">
        <v>0</v>
      </c>
      <c r="CD572" s="2" t="n">
        <v>0</v>
      </c>
      <c r="CE572" s="2" t="n">
        <v>0</v>
      </c>
      <c r="CF572" s="2" t="n">
        <v>0</v>
      </c>
      <c r="CG572" s="2" t="n">
        <v>0</v>
      </c>
      <c r="CH572" s="2" t="n">
        <v>0</v>
      </c>
      <c r="CI572" s="2" t="n">
        <v>0</v>
      </c>
      <c r="CJ572" s="2" t="n">
        <v>0</v>
      </c>
      <c r="CK572" s="2" t="n">
        <v>0</v>
      </c>
      <c r="CL572" s="2" t="n">
        <v>0</v>
      </c>
      <c r="CM572" s="2" t="n">
        <v>0</v>
      </c>
      <c r="CN572" s="2" t="n">
        <v>0</v>
      </c>
      <c r="CO572" s="2" t="n">
        <v>0</v>
      </c>
      <c r="CP572" s="2" t="n">
        <v>0</v>
      </c>
      <c r="CQ572" s="2" t="n">
        <v>0</v>
      </c>
      <c r="CR572" s="2" t="n">
        <v>0</v>
      </c>
      <c r="CS572" s="2" t="n">
        <v>0</v>
      </c>
      <c r="CT572" s="2" t="n">
        <v>0</v>
      </c>
      <c r="CU572" s="2" t="n">
        <v>2.75</v>
      </c>
      <c r="CV572" s="2" t="n">
        <v>4.72</v>
      </c>
      <c r="CW572" s="2" t="n">
        <v>0</v>
      </c>
      <c r="CX572" s="2" t="n">
        <v>11.01</v>
      </c>
      <c r="CY572" s="2" t="n">
        <v>12.97</v>
      </c>
      <c r="CZ572" s="2" t="n">
        <v>0</v>
      </c>
      <c r="DA572" s="2" t="n">
        <v>20.61</v>
      </c>
      <c r="DB572" s="2" t="n">
        <v>22.75</v>
      </c>
      <c r="DC572" s="2" t="n">
        <v>0</v>
      </c>
      <c r="DD572" s="2" t="n">
        <v>31.93</v>
      </c>
      <c r="DE572" s="2" t="n">
        <v>33.92</v>
      </c>
      <c r="DF572" s="2" t="n">
        <v>0</v>
      </c>
      <c r="DG572" s="2" t="n">
        <v>39.09</v>
      </c>
      <c r="DH572" s="2" t="n">
        <v>41.06</v>
      </c>
      <c r="DI572" s="2" t="n">
        <v>0</v>
      </c>
      <c r="DJ572" s="2" t="n">
        <v>47.9</v>
      </c>
      <c r="DK572" s="2" t="n">
        <v>49.88</v>
      </c>
      <c r="DL572" s="2" t="n">
        <v>0</v>
      </c>
      <c r="DM572" s="2" t="n">
        <v>57.31</v>
      </c>
      <c r="DN572" s="2" t="n">
        <v>59.45</v>
      </c>
      <c r="DO572" s="2" t="n">
        <v>0</v>
      </c>
      <c r="DP572" s="2" t="n">
        <v>66.15000000000001</v>
      </c>
      <c r="DQ572" s="2" t="n">
        <v>68.87</v>
      </c>
      <c r="DR572" s="2" t="n">
        <v>0</v>
      </c>
      <c r="DS572" s="2" t="n">
        <v>75.76000000000001</v>
      </c>
      <c r="DT572" s="2" t="n">
        <v>79.81999999999999</v>
      </c>
      <c r="DU572" s="2" t="n">
        <v>0</v>
      </c>
      <c r="DV572" s="2" t="n">
        <v>85.72</v>
      </c>
      <c r="DW572" s="2" t="n">
        <v>90.05</v>
      </c>
      <c r="DX572" s="2" t="n">
        <v>0</v>
      </c>
      <c r="DY572" s="2" t="n">
        <v>95.36</v>
      </c>
      <c r="DZ572" s="2" t="n">
        <v>96.20999999999999</v>
      </c>
      <c r="EA572" s="2" t="n">
        <v>0</v>
      </c>
      <c r="EB572" s="2" t="n">
        <v>100</v>
      </c>
      <c r="EC572" s="2" t="n">
        <v>100</v>
      </c>
      <c r="ED572" s="2" t="n">
        <v>0</v>
      </c>
      <c r="EE572" s="2" t="n">
        <v>100</v>
      </c>
      <c r="EF572" s="2" t="n">
        <v>100</v>
      </c>
      <c r="EG572" s="2" t="n">
        <v>0</v>
      </c>
      <c r="EH572" s="2" t="n">
        <v>100</v>
      </c>
      <c r="EI572" s="2" t="n">
        <v>100</v>
      </c>
      <c r="EJ572" s="2" t="n">
        <v>0</v>
      </c>
      <c r="EK572" s="2" t="n">
        <v>100</v>
      </c>
      <c r="EL572" s="2" t="n">
        <v>100</v>
      </c>
      <c r="EM572" s="2" t="n">
        <v>0</v>
      </c>
      <c r="EN572" s="2" t="n">
        <v>100</v>
      </c>
      <c r="EO572" s="2" t="n">
        <v>100</v>
      </c>
      <c r="EP572" s="2" t="n">
        <v>0</v>
      </c>
      <c r="EQ572" s="2" t="n">
        <v>100</v>
      </c>
      <c r="ER572" s="2" t="n">
        <v>100</v>
      </c>
      <c r="ES572" s="2" t="n">
        <v>0</v>
      </c>
    </row>
    <row r="573">
      <c r="A573" s="2" t="n">
        <v>3</v>
      </c>
      <c r="B573" s="2" t="inlineStr">
        <is>
          <t>25.02.01</t>
        </is>
      </c>
      <c r="C573" s="2" t="inlineStr">
        <is>
          <t>Contramarcos para esquadrias de alumínio</t>
        </is>
      </c>
      <c r="D573" s="2" t="inlineStr">
        <is>
          <t>07/12/2027</t>
        </is>
      </c>
      <c r="E573" s="2" t="inlineStr">
        <is>
          <t>17/11/2028</t>
        </is>
      </c>
      <c r="F573" s="2" t="n">
        <v>846000.8305032968</v>
      </c>
      <c r="G573" s="2" t="n">
        <v>0</v>
      </c>
      <c r="H573" s="2" t="n">
        <v>846000.8305032968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0</v>
      </c>
      <c r="AM573" s="2" t="n">
        <v>0</v>
      </c>
      <c r="AN573" s="2" t="n">
        <v>0</v>
      </c>
      <c r="AO573" s="2" t="n">
        <v>0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n">
        <v>0</v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n">
        <v>0</v>
      </c>
      <c r="BI573" s="2" t="n">
        <v>0</v>
      </c>
      <c r="BJ573" s="2" t="n">
        <v>0</v>
      </c>
      <c r="BK573" s="2" t="n">
        <v>0</v>
      </c>
      <c r="BL573" s="2" t="n">
        <v>0</v>
      </c>
      <c r="BM573" s="2" t="n">
        <v>0</v>
      </c>
      <c r="BN573" s="2" t="n">
        <v>0</v>
      </c>
      <c r="BO573" s="2" t="n">
        <v>0</v>
      </c>
      <c r="BP573" s="2" t="n">
        <v>0</v>
      </c>
      <c r="BQ573" s="2" t="n">
        <v>0</v>
      </c>
      <c r="BR573" s="2" t="n">
        <v>0</v>
      </c>
      <c r="BS573" s="2" t="n">
        <v>0</v>
      </c>
      <c r="BT573" s="2" t="n">
        <v>0</v>
      </c>
      <c r="BU573" s="2" t="n">
        <v>0</v>
      </c>
      <c r="BV573" s="2" t="n">
        <v>0</v>
      </c>
      <c r="BW573" s="2" t="n">
        <v>0</v>
      </c>
      <c r="BX573" s="2" t="n">
        <v>0</v>
      </c>
      <c r="BY573" s="2" t="n">
        <v>0</v>
      </c>
      <c r="BZ573" s="2" t="n">
        <v>0</v>
      </c>
      <c r="CA573" s="2" t="n">
        <v>0</v>
      </c>
      <c r="CB573" s="2" t="n">
        <v>0</v>
      </c>
      <c r="CC573" s="2" t="n">
        <v>0</v>
      </c>
      <c r="CD573" s="2" t="n">
        <v>0</v>
      </c>
      <c r="CE573" s="2" t="n">
        <v>0</v>
      </c>
      <c r="CF573" s="2" t="n">
        <v>0</v>
      </c>
      <c r="CG573" s="2" t="n">
        <v>0</v>
      </c>
      <c r="CH573" s="2" t="n">
        <v>0</v>
      </c>
      <c r="CI573" s="2" t="n">
        <v>0</v>
      </c>
      <c r="CJ573" s="2" t="n">
        <v>0</v>
      </c>
      <c r="CK573" s="2" t="n">
        <v>0</v>
      </c>
      <c r="CL573" s="2" t="n">
        <v>0</v>
      </c>
      <c r="CM573" s="2" t="n">
        <v>0</v>
      </c>
      <c r="CN573" s="2" t="n">
        <v>0</v>
      </c>
      <c r="CO573" s="2" t="n">
        <v>0</v>
      </c>
      <c r="CP573" s="2" t="n">
        <v>0</v>
      </c>
      <c r="CQ573" s="2" t="n">
        <v>0</v>
      </c>
      <c r="CR573" s="2" t="n">
        <v>0</v>
      </c>
      <c r="CS573" s="2" t="n">
        <v>0</v>
      </c>
      <c r="CT573" s="2" t="n">
        <v>0</v>
      </c>
      <c r="CU573" s="2" t="n">
        <v>2.86</v>
      </c>
      <c r="CV573" s="2" t="n">
        <v>4.91</v>
      </c>
      <c r="CW573" s="2" t="n">
        <v>0</v>
      </c>
      <c r="CX573" s="2" t="n">
        <v>11.45</v>
      </c>
      <c r="CY573" s="2" t="n">
        <v>13.5</v>
      </c>
      <c r="CZ573" s="2" t="n">
        <v>0</v>
      </c>
      <c r="DA573" s="2" t="n">
        <v>21.44</v>
      </c>
      <c r="DB573" s="2" t="n">
        <v>23.66</v>
      </c>
      <c r="DC573" s="2" t="n">
        <v>0</v>
      </c>
      <c r="DD573" s="2" t="n">
        <v>33.22</v>
      </c>
      <c r="DE573" s="2" t="n">
        <v>35.28</v>
      </c>
      <c r="DF573" s="2" t="n">
        <v>0</v>
      </c>
      <c r="DG573" s="2" t="n">
        <v>40.67</v>
      </c>
      <c r="DH573" s="2" t="n">
        <v>42.71</v>
      </c>
      <c r="DI573" s="2" t="n">
        <v>0</v>
      </c>
      <c r="DJ573" s="2" t="n">
        <v>49.83</v>
      </c>
      <c r="DK573" s="2" t="n">
        <v>51.89</v>
      </c>
      <c r="DL573" s="2" t="n">
        <v>0</v>
      </c>
      <c r="DM573" s="2" t="n">
        <v>59.62</v>
      </c>
      <c r="DN573" s="2" t="n">
        <v>61.84</v>
      </c>
      <c r="DO573" s="2" t="n">
        <v>0</v>
      </c>
      <c r="DP573" s="2" t="n">
        <v>68.81</v>
      </c>
      <c r="DQ573" s="2" t="n">
        <v>71.23999999999999</v>
      </c>
      <c r="DR573" s="2" t="n">
        <v>0</v>
      </c>
      <c r="DS573" s="2" t="n">
        <v>78.20999999999999</v>
      </c>
      <c r="DT573" s="2" t="n">
        <v>80.42</v>
      </c>
      <c r="DU573" s="2" t="n">
        <v>0</v>
      </c>
      <c r="DV573" s="2" t="n">
        <v>86.55</v>
      </c>
      <c r="DW573" s="2" t="n">
        <v>89.65000000000001</v>
      </c>
      <c r="DX573" s="2" t="n">
        <v>0</v>
      </c>
      <c r="DY573" s="2" t="n">
        <v>95.18000000000001</v>
      </c>
      <c r="DZ573" s="2" t="n">
        <v>96.06</v>
      </c>
      <c r="EA573" s="2" t="n">
        <v>0</v>
      </c>
      <c r="EB573" s="2" t="n">
        <v>100</v>
      </c>
      <c r="EC573" s="2" t="n">
        <v>100</v>
      </c>
      <c r="ED573" s="2" t="n">
        <v>0</v>
      </c>
      <c r="EE573" s="2" t="n">
        <v>100</v>
      </c>
      <c r="EF573" s="2" t="n">
        <v>100</v>
      </c>
      <c r="EG573" s="2" t="n">
        <v>0</v>
      </c>
      <c r="EH573" s="2" t="n">
        <v>100</v>
      </c>
      <c r="EI573" s="2" t="n">
        <v>100</v>
      </c>
      <c r="EJ573" s="2" t="n">
        <v>0</v>
      </c>
      <c r="EK573" s="2" t="n">
        <v>100</v>
      </c>
      <c r="EL573" s="2" t="n">
        <v>100</v>
      </c>
      <c r="EM573" s="2" t="n">
        <v>0</v>
      </c>
      <c r="EN573" s="2" t="n">
        <v>100</v>
      </c>
      <c r="EO573" s="2" t="n">
        <v>100</v>
      </c>
      <c r="EP573" s="2" t="n">
        <v>0</v>
      </c>
      <c r="EQ573" s="2" t="n">
        <v>100</v>
      </c>
      <c r="ER573" s="2" t="n">
        <v>100</v>
      </c>
      <c r="ES573" s="2" t="n">
        <v>0</v>
      </c>
    </row>
    <row r="574">
      <c r="A574" s="2" t="n">
        <v>3</v>
      </c>
      <c r="B574" s="2" t="inlineStr">
        <is>
          <t>25.02.02</t>
        </is>
      </c>
      <c r="C574" s="2" t="inlineStr">
        <is>
          <t>Esquadrias de alumínio</t>
        </is>
      </c>
      <c r="D574" s="2" t="inlineStr">
        <is>
          <t>07/12/2027</t>
        </is>
      </c>
      <c r="E574" s="2" t="inlineStr">
        <is>
          <t>17/11/2028</t>
        </is>
      </c>
      <c r="F574" s="2" t="n">
        <v>9398784</v>
      </c>
      <c r="G574" s="2" t="n">
        <v>0</v>
      </c>
      <c r="H574" s="2" t="n">
        <v>9398784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  <c r="AM574" s="2" t="n">
        <v>0</v>
      </c>
      <c r="AN574" s="2" t="n">
        <v>0</v>
      </c>
      <c r="AO574" s="2" t="n">
        <v>0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n">
        <v>0</v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n">
        <v>0</v>
      </c>
      <c r="BI574" s="2" t="n">
        <v>0</v>
      </c>
      <c r="BJ574" s="2" t="n">
        <v>0</v>
      </c>
      <c r="BK574" s="2" t="n">
        <v>0</v>
      </c>
      <c r="BL574" s="2" t="n">
        <v>0</v>
      </c>
      <c r="BM574" s="2" t="n">
        <v>0</v>
      </c>
      <c r="BN574" s="2" t="n">
        <v>0</v>
      </c>
      <c r="BO574" s="2" t="n">
        <v>0</v>
      </c>
      <c r="BP574" s="2" t="n">
        <v>0</v>
      </c>
      <c r="BQ574" s="2" t="n">
        <v>0</v>
      </c>
      <c r="BR574" s="2" t="n">
        <v>0</v>
      </c>
      <c r="BS574" s="2" t="n">
        <v>0</v>
      </c>
      <c r="BT574" s="2" t="n">
        <v>0</v>
      </c>
      <c r="BU574" s="2" t="n">
        <v>0</v>
      </c>
      <c r="BV574" s="2" t="n">
        <v>0</v>
      </c>
      <c r="BW574" s="2" t="n">
        <v>0</v>
      </c>
      <c r="BX574" s="2" t="n">
        <v>0</v>
      </c>
      <c r="BY574" s="2" t="n">
        <v>0</v>
      </c>
      <c r="BZ574" s="2" t="n">
        <v>0</v>
      </c>
      <c r="CA574" s="2" t="n">
        <v>0</v>
      </c>
      <c r="CB574" s="2" t="n">
        <v>0</v>
      </c>
      <c r="CC574" s="2" t="n">
        <v>0</v>
      </c>
      <c r="CD574" s="2" t="n">
        <v>0</v>
      </c>
      <c r="CE574" s="2" t="n">
        <v>0</v>
      </c>
      <c r="CF574" s="2" t="n">
        <v>0</v>
      </c>
      <c r="CG574" s="2" t="n">
        <v>0</v>
      </c>
      <c r="CH574" s="2" t="n">
        <v>0</v>
      </c>
      <c r="CI574" s="2" t="n">
        <v>0</v>
      </c>
      <c r="CJ574" s="2" t="n">
        <v>0</v>
      </c>
      <c r="CK574" s="2" t="n">
        <v>0</v>
      </c>
      <c r="CL574" s="2" t="n">
        <v>0</v>
      </c>
      <c r="CM574" s="2" t="n">
        <v>0</v>
      </c>
      <c r="CN574" s="2" t="n">
        <v>0</v>
      </c>
      <c r="CO574" s="2" t="n">
        <v>0</v>
      </c>
      <c r="CP574" s="2" t="n">
        <v>0</v>
      </c>
      <c r="CQ574" s="2" t="n">
        <v>0</v>
      </c>
      <c r="CR574" s="2" t="n">
        <v>0</v>
      </c>
      <c r="CS574" s="2" t="n">
        <v>0</v>
      </c>
      <c r="CT574" s="2" t="n">
        <v>0</v>
      </c>
      <c r="CU574" s="2" t="n">
        <v>2.86</v>
      </c>
      <c r="CV574" s="2" t="n">
        <v>4.91</v>
      </c>
      <c r="CW574" s="2" t="n">
        <v>0</v>
      </c>
      <c r="CX574" s="2" t="n">
        <v>11.45</v>
      </c>
      <c r="CY574" s="2" t="n">
        <v>13.5</v>
      </c>
      <c r="CZ574" s="2" t="n">
        <v>0</v>
      </c>
      <c r="DA574" s="2" t="n">
        <v>21.44</v>
      </c>
      <c r="DB574" s="2" t="n">
        <v>23.66</v>
      </c>
      <c r="DC574" s="2" t="n">
        <v>0</v>
      </c>
      <c r="DD574" s="2" t="n">
        <v>33.22</v>
      </c>
      <c r="DE574" s="2" t="n">
        <v>35.28</v>
      </c>
      <c r="DF574" s="2" t="n">
        <v>0</v>
      </c>
      <c r="DG574" s="2" t="n">
        <v>40.67</v>
      </c>
      <c r="DH574" s="2" t="n">
        <v>42.71</v>
      </c>
      <c r="DI574" s="2" t="n">
        <v>0</v>
      </c>
      <c r="DJ574" s="2" t="n">
        <v>49.83</v>
      </c>
      <c r="DK574" s="2" t="n">
        <v>51.89</v>
      </c>
      <c r="DL574" s="2" t="n">
        <v>0</v>
      </c>
      <c r="DM574" s="2" t="n">
        <v>59.62</v>
      </c>
      <c r="DN574" s="2" t="n">
        <v>61.84</v>
      </c>
      <c r="DO574" s="2" t="n">
        <v>0</v>
      </c>
      <c r="DP574" s="2" t="n">
        <v>68.81</v>
      </c>
      <c r="DQ574" s="2" t="n">
        <v>71.23999999999999</v>
      </c>
      <c r="DR574" s="2" t="n">
        <v>0</v>
      </c>
      <c r="DS574" s="2" t="n">
        <v>78.20999999999999</v>
      </c>
      <c r="DT574" s="2" t="n">
        <v>80.42</v>
      </c>
      <c r="DU574" s="2" t="n">
        <v>0</v>
      </c>
      <c r="DV574" s="2" t="n">
        <v>86.55</v>
      </c>
      <c r="DW574" s="2" t="n">
        <v>89.65000000000001</v>
      </c>
      <c r="DX574" s="2" t="n">
        <v>0</v>
      </c>
      <c r="DY574" s="2" t="n">
        <v>95.18000000000001</v>
      </c>
      <c r="DZ574" s="2" t="n">
        <v>96.06</v>
      </c>
      <c r="EA574" s="2" t="n">
        <v>0</v>
      </c>
      <c r="EB574" s="2" t="n">
        <v>100</v>
      </c>
      <c r="EC574" s="2" t="n">
        <v>100</v>
      </c>
      <c r="ED574" s="2" t="n">
        <v>0</v>
      </c>
      <c r="EE574" s="2" t="n">
        <v>100</v>
      </c>
      <c r="EF574" s="2" t="n">
        <v>100</v>
      </c>
      <c r="EG574" s="2" t="n">
        <v>0</v>
      </c>
      <c r="EH574" s="2" t="n">
        <v>100</v>
      </c>
      <c r="EI574" s="2" t="n">
        <v>100</v>
      </c>
      <c r="EJ574" s="2" t="n">
        <v>0</v>
      </c>
      <c r="EK574" s="2" t="n">
        <v>100</v>
      </c>
      <c r="EL574" s="2" t="n">
        <v>100</v>
      </c>
      <c r="EM574" s="2" t="n">
        <v>0</v>
      </c>
      <c r="EN574" s="2" t="n">
        <v>100</v>
      </c>
      <c r="EO574" s="2" t="n">
        <v>100</v>
      </c>
      <c r="EP574" s="2" t="n">
        <v>0</v>
      </c>
      <c r="EQ574" s="2" t="n">
        <v>100</v>
      </c>
      <c r="ER574" s="2" t="n">
        <v>100</v>
      </c>
      <c r="ES574" s="2" t="n">
        <v>0</v>
      </c>
    </row>
    <row r="575">
      <c r="A575" s="2" t="n">
        <v>3</v>
      </c>
      <c r="B575" s="2" t="inlineStr">
        <is>
          <t>25.02.03</t>
        </is>
      </c>
      <c r="C575" s="2" t="inlineStr">
        <is>
          <t>Marquise da varanda do pavimento térreo</t>
        </is>
      </c>
      <c r="D575" s="2" t="inlineStr">
        <is>
          <t>07/12/2027</t>
        </is>
      </c>
      <c r="E575" s="2" t="inlineStr">
        <is>
          <t>17/11/2028</t>
        </is>
      </c>
      <c r="F575" s="2" t="n">
        <v>206508.5238095238</v>
      </c>
      <c r="G575" s="2" t="n">
        <v>0</v>
      </c>
      <c r="H575" s="2" t="n">
        <v>206508.5238095238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0</v>
      </c>
      <c r="AM575" s="2" t="n">
        <v>0</v>
      </c>
      <c r="AN575" s="2" t="n">
        <v>0</v>
      </c>
      <c r="AO575" s="2" t="n">
        <v>0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n">
        <v>0</v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n">
        <v>0</v>
      </c>
      <c r="BI575" s="2" t="n">
        <v>0</v>
      </c>
      <c r="BJ575" s="2" t="n">
        <v>0</v>
      </c>
      <c r="BK575" s="2" t="n">
        <v>0</v>
      </c>
      <c r="BL575" s="2" t="n">
        <v>0</v>
      </c>
      <c r="BM575" s="2" t="n">
        <v>0</v>
      </c>
      <c r="BN575" s="2" t="n">
        <v>0</v>
      </c>
      <c r="BO575" s="2" t="n">
        <v>0</v>
      </c>
      <c r="BP575" s="2" t="n">
        <v>0</v>
      </c>
      <c r="BQ575" s="2" t="n">
        <v>0</v>
      </c>
      <c r="BR575" s="2" t="n">
        <v>0</v>
      </c>
      <c r="BS575" s="2" t="n">
        <v>0</v>
      </c>
      <c r="BT575" s="2" t="n">
        <v>0</v>
      </c>
      <c r="BU575" s="2" t="n">
        <v>0</v>
      </c>
      <c r="BV575" s="2" t="n">
        <v>0</v>
      </c>
      <c r="BW575" s="2" t="n">
        <v>0</v>
      </c>
      <c r="BX575" s="2" t="n">
        <v>0</v>
      </c>
      <c r="BY575" s="2" t="n">
        <v>0</v>
      </c>
      <c r="BZ575" s="2" t="n">
        <v>0</v>
      </c>
      <c r="CA575" s="2" t="n">
        <v>0</v>
      </c>
      <c r="CB575" s="2" t="n">
        <v>0</v>
      </c>
      <c r="CC575" s="2" t="n">
        <v>0</v>
      </c>
      <c r="CD575" s="2" t="n">
        <v>0</v>
      </c>
      <c r="CE575" s="2" t="n">
        <v>0</v>
      </c>
      <c r="CF575" s="2" t="n">
        <v>0</v>
      </c>
      <c r="CG575" s="2" t="n">
        <v>0</v>
      </c>
      <c r="CH575" s="2" t="n">
        <v>0</v>
      </c>
      <c r="CI575" s="2" t="n">
        <v>0</v>
      </c>
      <c r="CJ575" s="2" t="n">
        <v>0</v>
      </c>
      <c r="CK575" s="2" t="n">
        <v>0</v>
      </c>
      <c r="CL575" s="2" t="n">
        <v>0</v>
      </c>
      <c r="CM575" s="2" t="n">
        <v>0</v>
      </c>
      <c r="CN575" s="2" t="n">
        <v>0</v>
      </c>
      <c r="CO575" s="2" t="n">
        <v>0</v>
      </c>
      <c r="CP575" s="2" t="n">
        <v>0</v>
      </c>
      <c r="CQ575" s="2" t="n">
        <v>0</v>
      </c>
      <c r="CR575" s="2" t="n">
        <v>0</v>
      </c>
      <c r="CS575" s="2" t="n">
        <v>0</v>
      </c>
      <c r="CT575" s="2" t="n">
        <v>0</v>
      </c>
      <c r="CU575" s="2" t="n">
        <v>2.86</v>
      </c>
      <c r="CV575" s="2" t="n">
        <v>4.91</v>
      </c>
      <c r="CW575" s="2" t="n">
        <v>0</v>
      </c>
      <c r="CX575" s="2" t="n">
        <v>11.45</v>
      </c>
      <c r="CY575" s="2" t="n">
        <v>13.5</v>
      </c>
      <c r="CZ575" s="2" t="n">
        <v>0</v>
      </c>
      <c r="DA575" s="2" t="n">
        <v>21.44</v>
      </c>
      <c r="DB575" s="2" t="n">
        <v>23.66</v>
      </c>
      <c r="DC575" s="2" t="n">
        <v>0</v>
      </c>
      <c r="DD575" s="2" t="n">
        <v>33.22</v>
      </c>
      <c r="DE575" s="2" t="n">
        <v>35.28</v>
      </c>
      <c r="DF575" s="2" t="n">
        <v>0</v>
      </c>
      <c r="DG575" s="2" t="n">
        <v>40.67</v>
      </c>
      <c r="DH575" s="2" t="n">
        <v>42.71</v>
      </c>
      <c r="DI575" s="2" t="n">
        <v>0</v>
      </c>
      <c r="DJ575" s="2" t="n">
        <v>49.83</v>
      </c>
      <c r="DK575" s="2" t="n">
        <v>51.89</v>
      </c>
      <c r="DL575" s="2" t="n">
        <v>0</v>
      </c>
      <c r="DM575" s="2" t="n">
        <v>59.62</v>
      </c>
      <c r="DN575" s="2" t="n">
        <v>61.84</v>
      </c>
      <c r="DO575" s="2" t="n">
        <v>0</v>
      </c>
      <c r="DP575" s="2" t="n">
        <v>68.81</v>
      </c>
      <c r="DQ575" s="2" t="n">
        <v>71.23999999999999</v>
      </c>
      <c r="DR575" s="2" t="n">
        <v>0</v>
      </c>
      <c r="DS575" s="2" t="n">
        <v>78.20999999999999</v>
      </c>
      <c r="DT575" s="2" t="n">
        <v>80.42</v>
      </c>
      <c r="DU575" s="2" t="n">
        <v>0</v>
      </c>
      <c r="DV575" s="2" t="n">
        <v>86.55</v>
      </c>
      <c r="DW575" s="2" t="n">
        <v>89.65000000000001</v>
      </c>
      <c r="DX575" s="2" t="n">
        <v>0</v>
      </c>
      <c r="DY575" s="2" t="n">
        <v>95.18000000000001</v>
      </c>
      <c r="DZ575" s="2" t="n">
        <v>96.06</v>
      </c>
      <c r="EA575" s="2" t="n">
        <v>0</v>
      </c>
      <c r="EB575" s="2" t="n">
        <v>100</v>
      </c>
      <c r="EC575" s="2" t="n">
        <v>100</v>
      </c>
      <c r="ED575" s="2" t="n">
        <v>0</v>
      </c>
      <c r="EE575" s="2" t="n">
        <v>100</v>
      </c>
      <c r="EF575" s="2" t="n">
        <v>100</v>
      </c>
      <c r="EG575" s="2" t="n">
        <v>0</v>
      </c>
      <c r="EH575" s="2" t="n">
        <v>100</v>
      </c>
      <c r="EI575" s="2" t="n">
        <v>100</v>
      </c>
      <c r="EJ575" s="2" t="n">
        <v>0</v>
      </c>
      <c r="EK575" s="2" t="n">
        <v>100</v>
      </c>
      <c r="EL575" s="2" t="n">
        <v>100</v>
      </c>
      <c r="EM575" s="2" t="n">
        <v>0</v>
      </c>
      <c r="EN575" s="2" t="n">
        <v>100</v>
      </c>
      <c r="EO575" s="2" t="n">
        <v>100</v>
      </c>
      <c r="EP575" s="2" t="n">
        <v>0</v>
      </c>
      <c r="EQ575" s="2" t="n">
        <v>100</v>
      </c>
      <c r="ER575" s="2" t="n">
        <v>100</v>
      </c>
      <c r="ES575" s="2" t="n">
        <v>0</v>
      </c>
    </row>
    <row r="576">
      <c r="A576" s="2" t="n">
        <v>3</v>
      </c>
      <c r="B576" s="2" t="inlineStr">
        <is>
          <t>25.02.04</t>
        </is>
      </c>
      <c r="C576" s="2" t="inlineStr">
        <is>
          <t>Brise de fechamento das garagens</t>
        </is>
      </c>
      <c r="D576" s="2" t="inlineStr">
        <is>
          <t>26/07/2028</t>
        </is>
      </c>
      <c r="E576" s="2" t="inlineStr">
        <is>
          <t>26/09/2028</t>
        </is>
      </c>
      <c r="F576" s="2" t="n">
        <v>433114.2857142857</v>
      </c>
      <c r="G576" s="2" t="n">
        <v>0</v>
      </c>
      <c r="H576" s="2" t="n">
        <v>433114.2857142857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0</v>
      </c>
      <c r="AM576" s="2" t="n">
        <v>0</v>
      </c>
      <c r="AN576" s="2" t="n">
        <v>0</v>
      </c>
      <c r="AO576" s="2" t="n">
        <v>0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n">
        <v>0</v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n">
        <v>0</v>
      </c>
      <c r="BI576" s="2" t="n">
        <v>0</v>
      </c>
      <c r="BJ576" s="2" t="n">
        <v>0</v>
      </c>
      <c r="BK576" s="2" t="n">
        <v>0</v>
      </c>
      <c r="BL576" s="2" t="n">
        <v>0</v>
      </c>
      <c r="BM576" s="2" t="n">
        <v>0</v>
      </c>
      <c r="BN576" s="2" t="n">
        <v>0</v>
      </c>
      <c r="BO576" s="2" t="n">
        <v>0</v>
      </c>
      <c r="BP576" s="2" t="n">
        <v>0</v>
      </c>
      <c r="BQ576" s="2" t="n">
        <v>0</v>
      </c>
      <c r="BR576" s="2" t="n">
        <v>0</v>
      </c>
      <c r="BS576" s="2" t="n">
        <v>0</v>
      </c>
      <c r="BT576" s="2" t="n">
        <v>0</v>
      </c>
      <c r="BU576" s="2" t="n">
        <v>0</v>
      </c>
      <c r="BV576" s="2" t="n">
        <v>0</v>
      </c>
      <c r="BW576" s="2" t="n">
        <v>0</v>
      </c>
      <c r="BX576" s="2" t="n">
        <v>0</v>
      </c>
      <c r="BY576" s="2" t="n">
        <v>0</v>
      </c>
      <c r="BZ576" s="2" t="n">
        <v>0</v>
      </c>
      <c r="CA576" s="2" t="n">
        <v>0</v>
      </c>
      <c r="CB576" s="2" t="n">
        <v>0</v>
      </c>
      <c r="CC576" s="2" t="n">
        <v>0</v>
      </c>
      <c r="CD576" s="2" t="n">
        <v>0</v>
      </c>
      <c r="CE576" s="2" t="n">
        <v>0</v>
      </c>
      <c r="CF576" s="2" t="n">
        <v>0</v>
      </c>
      <c r="CG576" s="2" t="n">
        <v>0</v>
      </c>
      <c r="CH576" s="2" t="n">
        <v>0</v>
      </c>
      <c r="CI576" s="2" t="n">
        <v>0</v>
      </c>
      <c r="CJ576" s="2" t="n">
        <v>0</v>
      </c>
      <c r="CK576" s="2" t="n">
        <v>0</v>
      </c>
      <c r="CL576" s="2" t="n">
        <v>0</v>
      </c>
      <c r="CM576" s="2" t="n">
        <v>0</v>
      </c>
      <c r="CN576" s="2" t="n">
        <v>0</v>
      </c>
      <c r="CO576" s="2" t="n">
        <v>0</v>
      </c>
      <c r="CP576" s="2" t="n">
        <v>0</v>
      </c>
      <c r="CQ576" s="2" t="n">
        <v>0</v>
      </c>
      <c r="CR576" s="2" t="n">
        <v>0</v>
      </c>
      <c r="CS576" s="2" t="n">
        <v>0</v>
      </c>
      <c r="CT576" s="2" t="n">
        <v>0</v>
      </c>
      <c r="CU576" s="2" t="n">
        <v>0</v>
      </c>
      <c r="CV576" s="2" t="n">
        <v>0</v>
      </c>
      <c r="CW576" s="2" t="n">
        <v>0</v>
      </c>
      <c r="CX576" s="2" t="n">
        <v>0</v>
      </c>
      <c r="CY576" s="2" t="n">
        <v>0</v>
      </c>
      <c r="CZ576" s="2" t="n">
        <v>0</v>
      </c>
      <c r="DA576" s="2" t="n">
        <v>0</v>
      </c>
      <c r="DB576" s="2" t="n">
        <v>0</v>
      </c>
      <c r="DC576" s="2" t="n">
        <v>0</v>
      </c>
      <c r="DD576" s="2" t="n">
        <v>0</v>
      </c>
      <c r="DE576" s="2" t="n">
        <v>0</v>
      </c>
      <c r="DF576" s="2" t="n">
        <v>0</v>
      </c>
      <c r="DG576" s="2" t="n">
        <v>0</v>
      </c>
      <c r="DH576" s="2" t="n">
        <v>0</v>
      </c>
      <c r="DI576" s="2" t="n">
        <v>0</v>
      </c>
      <c r="DJ576" s="2" t="n">
        <v>0</v>
      </c>
      <c r="DK576" s="2" t="n">
        <v>0</v>
      </c>
      <c r="DL576" s="2" t="n">
        <v>0</v>
      </c>
      <c r="DM576" s="2" t="n">
        <v>0</v>
      </c>
      <c r="DN576" s="2" t="n">
        <v>0</v>
      </c>
      <c r="DO576" s="2" t="n">
        <v>0</v>
      </c>
      <c r="DP576" s="2" t="n">
        <v>0</v>
      </c>
      <c r="DQ576" s="2" t="n">
        <v>10</v>
      </c>
      <c r="DR576" s="2" t="n">
        <v>0</v>
      </c>
      <c r="DS576" s="2" t="n">
        <v>15</v>
      </c>
      <c r="DT576" s="2" t="n">
        <v>65</v>
      </c>
      <c r="DU576" s="2" t="n">
        <v>0</v>
      </c>
      <c r="DV576" s="2" t="n">
        <v>65</v>
      </c>
      <c r="DW576" s="2" t="n">
        <v>100</v>
      </c>
      <c r="DX576" s="2" t="n">
        <v>0</v>
      </c>
      <c r="DY576" s="2" t="n">
        <v>100</v>
      </c>
      <c r="DZ576" s="2" t="n">
        <v>100</v>
      </c>
      <c r="EA576" s="2" t="n">
        <v>0</v>
      </c>
      <c r="EB576" s="2" t="n">
        <v>100</v>
      </c>
      <c r="EC576" s="2" t="n">
        <v>100</v>
      </c>
      <c r="ED576" s="2" t="n">
        <v>0</v>
      </c>
      <c r="EE576" s="2" t="n">
        <v>100</v>
      </c>
      <c r="EF576" s="2" t="n">
        <v>100</v>
      </c>
      <c r="EG576" s="2" t="n">
        <v>0</v>
      </c>
      <c r="EH576" s="2" t="n">
        <v>100</v>
      </c>
      <c r="EI576" s="2" t="n">
        <v>100</v>
      </c>
      <c r="EJ576" s="2" t="n">
        <v>0</v>
      </c>
      <c r="EK576" s="2" t="n">
        <v>100</v>
      </c>
      <c r="EL576" s="2" t="n">
        <v>100</v>
      </c>
      <c r="EM576" s="2" t="n">
        <v>0</v>
      </c>
      <c r="EN576" s="2" t="n">
        <v>100</v>
      </c>
      <c r="EO576" s="2" t="n">
        <v>100</v>
      </c>
      <c r="EP576" s="2" t="n">
        <v>0</v>
      </c>
      <c r="EQ576" s="2" t="n">
        <v>100</v>
      </c>
      <c r="ER576" s="2" t="n">
        <v>100</v>
      </c>
      <c r="ES576" s="2" t="n">
        <v>0</v>
      </c>
    </row>
    <row r="577">
      <c r="A577" s="2" t="n">
        <v>3</v>
      </c>
      <c r="B577" s="2" t="inlineStr">
        <is>
          <t>25.02.05</t>
        </is>
      </c>
      <c r="C577" s="2" t="inlineStr">
        <is>
          <t>Brise em veneziana de alumínio cor Bronze 104</t>
        </is>
      </c>
      <c r="D577" s="2" t="inlineStr">
        <is>
          <t>07/12/2027</t>
        </is>
      </c>
      <c r="E577" s="2" t="inlineStr">
        <is>
          <t>17/11/2028</t>
        </is>
      </c>
      <c r="F577" s="2" t="n">
        <v>268243.7583</v>
      </c>
      <c r="G577" s="2" t="n">
        <v>0</v>
      </c>
      <c r="H577" s="2" t="n">
        <v>268243.7583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  <c r="AN577" s="2" t="n">
        <v>0</v>
      </c>
      <c r="AO577" s="2" t="n">
        <v>0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n">
        <v>0</v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n">
        <v>0</v>
      </c>
      <c r="BI577" s="2" t="n">
        <v>0</v>
      </c>
      <c r="BJ577" s="2" t="n">
        <v>0</v>
      </c>
      <c r="BK577" s="2" t="n">
        <v>0</v>
      </c>
      <c r="BL577" s="2" t="n">
        <v>0</v>
      </c>
      <c r="BM577" s="2" t="n">
        <v>0</v>
      </c>
      <c r="BN577" s="2" t="n">
        <v>0</v>
      </c>
      <c r="BO577" s="2" t="n">
        <v>0</v>
      </c>
      <c r="BP577" s="2" t="n">
        <v>0</v>
      </c>
      <c r="BQ577" s="2" t="n">
        <v>0</v>
      </c>
      <c r="BR577" s="2" t="n">
        <v>0</v>
      </c>
      <c r="BS577" s="2" t="n">
        <v>0</v>
      </c>
      <c r="BT577" s="2" t="n">
        <v>0</v>
      </c>
      <c r="BU577" s="2" t="n">
        <v>0</v>
      </c>
      <c r="BV577" s="2" t="n">
        <v>0</v>
      </c>
      <c r="BW577" s="2" t="n">
        <v>0</v>
      </c>
      <c r="BX577" s="2" t="n">
        <v>0</v>
      </c>
      <c r="BY577" s="2" t="n">
        <v>0</v>
      </c>
      <c r="BZ577" s="2" t="n">
        <v>0</v>
      </c>
      <c r="CA577" s="2" t="n">
        <v>0</v>
      </c>
      <c r="CB577" s="2" t="n">
        <v>0</v>
      </c>
      <c r="CC577" s="2" t="n">
        <v>0</v>
      </c>
      <c r="CD577" s="2" t="n">
        <v>0</v>
      </c>
      <c r="CE577" s="2" t="n">
        <v>0</v>
      </c>
      <c r="CF577" s="2" t="n">
        <v>0</v>
      </c>
      <c r="CG577" s="2" t="n">
        <v>0</v>
      </c>
      <c r="CH577" s="2" t="n">
        <v>0</v>
      </c>
      <c r="CI577" s="2" t="n">
        <v>0</v>
      </c>
      <c r="CJ577" s="2" t="n">
        <v>0</v>
      </c>
      <c r="CK577" s="2" t="n">
        <v>0</v>
      </c>
      <c r="CL577" s="2" t="n">
        <v>0</v>
      </c>
      <c r="CM577" s="2" t="n">
        <v>0</v>
      </c>
      <c r="CN577" s="2" t="n">
        <v>0</v>
      </c>
      <c r="CO577" s="2" t="n">
        <v>0</v>
      </c>
      <c r="CP577" s="2" t="n">
        <v>0</v>
      </c>
      <c r="CQ577" s="2" t="n">
        <v>0</v>
      </c>
      <c r="CR577" s="2" t="n">
        <v>0</v>
      </c>
      <c r="CS577" s="2" t="n">
        <v>0</v>
      </c>
      <c r="CT577" s="2" t="n">
        <v>0</v>
      </c>
      <c r="CU577" s="2" t="n">
        <v>2.86</v>
      </c>
      <c r="CV577" s="2" t="n">
        <v>4.91</v>
      </c>
      <c r="CW577" s="2" t="n">
        <v>0</v>
      </c>
      <c r="CX577" s="2" t="n">
        <v>11.45</v>
      </c>
      <c r="CY577" s="2" t="n">
        <v>13.5</v>
      </c>
      <c r="CZ577" s="2" t="n">
        <v>0</v>
      </c>
      <c r="DA577" s="2" t="n">
        <v>21.44</v>
      </c>
      <c r="DB577" s="2" t="n">
        <v>23.66</v>
      </c>
      <c r="DC577" s="2" t="n">
        <v>0</v>
      </c>
      <c r="DD577" s="2" t="n">
        <v>33.22</v>
      </c>
      <c r="DE577" s="2" t="n">
        <v>35.28</v>
      </c>
      <c r="DF577" s="2" t="n">
        <v>0</v>
      </c>
      <c r="DG577" s="2" t="n">
        <v>40.67</v>
      </c>
      <c r="DH577" s="2" t="n">
        <v>42.71</v>
      </c>
      <c r="DI577" s="2" t="n">
        <v>0</v>
      </c>
      <c r="DJ577" s="2" t="n">
        <v>49.83</v>
      </c>
      <c r="DK577" s="2" t="n">
        <v>51.89</v>
      </c>
      <c r="DL577" s="2" t="n">
        <v>0</v>
      </c>
      <c r="DM577" s="2" t="n">
        <v>59.62</v>
      </c>
      <c r="DN577" s="2" t="n">
        <v>61.84</v>
      </c>
      <c r="DO577" s="2" t="n">
        <v>0</v>
      </c>
      <c r="DP577" s="2" t="n">
        <v>68.81</v>
      </c>
      <c r="DQ577" s="2" t="n">
        <v>71.23999999999999</v>
      </c>
      <c r="DR577" s="2" t="n">
        <v>0</v>
      </c>
      <c r="DS577" s="2" t="n">
        <v>78.20999999999999</v>
      </c>
      <c r="DT577" s="2" t="n">
        <v>80.42</v>
      </c>
      <c r="DU577" s="2" t="n">
        <v>0</v>
      </c>
      <c r="DV577" s="2" t="n">
        <v>86.55</v>
      </c>
      <c r="DW577" s="2" t="n">
        <v>89.65000000000001</v>
      </c>
      <c r="DX577" s="2" t="n">
        <v>0</v>
      </c>
      <c r="DY577" s="2" t="n">
        <v>95.18000000000001</v>
      </c>
      <c r="DZ577" s="2" t="n">
        <v>96.06</v>
      </c>
      <c r="EA577" s="2" t="n">
        <v>0</v>
      </c>
      <c r="EB577" s="2" t="n">
        <v>100</v>
      </c>
      <c r="EC577" s="2" t="n">
        <v>100</v>
      </c>
      <c r="ED577" s="2" t="n">
        <v>0</v>
      </c>
      <c r="EE577" s="2" t="n">
        <v>100</v>
      </c>
      <c r="EF577" s="2" t="n">
        <v>100</v>
      </c>
      <c r="EG577" s="2" t="n">
        <v>0</v>
      </c>
      <c r="EH577" s="2" t="n">
        <v>100</v>
      </c>
      <c r="EI577" s="2" t="n">
        <v>100</v>
      </c>
      <c r="EJ577" s="2" t="n">
        <v>0</v>
      </c>
      <c r="EK577" s="2" t="n">
        <v>100</v>
      </c>
      <c r="EL577" s="2" t="n">
        <v>100</v>
      </c>
      <c r="EM577" s="2" t="n">
        <v>0</v>
      </c>
      <c r="EN577" s="2" t="n">
        <v>100</v>
      </c>
      <c r="EO577" s="2" t="n">
        <v>100</v>
      </c>
      <c r="EP577" s="2" t="n">
        <v>0</v>
      </c>
      <c r="EQ577" s="2" t="n">
        <v>100</v>
      </c>
      <c r="ER577" s="2" t="n">
        <v>100</v>
      </c>
      <c r="ES577" s="2" t="n">
        <v>0</v>
      </c>
    </row>
    <row r="578">
      <c r="A578" s="2" t="n">
        <v>3</v>
      </c>
      <c r="B578" s="2" t="inlineStr">
        <is>
          <t>25.02.06</t>
        </is>
      </c>
      <c r="C578" s="2" t="inlineStr">
        <is>
          <t>Veneziana - Platibanda cobertura</t>
        </is>
      </c>
      <c r="D578" s="2" t="inlineStr">
        <is>
          <t>07/12/2027</t>
        </is>
      </c>
      <c r="E578" s="2" t="inlineStr">
        <is>
          <t>17/11/2028</t>
        </is>
      </c>
      <c r="F578" s="2" t="n">
        <v>28828.3457</v>
      </c>
      <c r="G578" s="2" t="n">
        <v>0</v>
      </c>
      <c r="H578" s="2" t="n">
        <v>28828.3457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  <c r="AM578" s="2" t="n">
        <v>0</v>
      </c>
      <c r="AN578" s="2" t="n">
        <v>0</v>
      </c>
      <c r="AO578" s="2" t="n">
        <v>0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 t="n">
        <v>0</v>
      </c>
      <c r="AY578" s="2" t="n">
        <v>0</v>
      </c>
      <c r="AZ578" s="2" t="n">
        <v>0</v>
      </c>
      <c r="BA578" s="2" t="n">
        <v>0</v>
      </c>
      <c r="BB578" s="2" t="n">
        <v>0</v>
      </c>
      <c r="BC578" s="2" t="n">
        <v>0</v>
      </c>
      <c r="BD578" s="2" t="n">
        <v>0</v>
      </c>
      <c r="BE578" s="2" t="n">
        <v>0</v>
      </c>
      <c r="BF578" s="2" t="n">
        <v>0</v>
      </c>
      <c r="BG578" s="2" t="n">
        <v>0</v>
      </c>
      <c r="BH578" s="2" t="n">
        <v>0</v>
      </c>
      <c r="BI578" s="2" t="n">
        <v>0</v>
      </c>
      <c r="BJ578" s="2" t="n">
        <v>0</v>
      </c>
      <c r="BK578" s="2" t="n">
        <v>0</v>
      </c>
      <c r="BL578" s="2" t="n">
        <v>0</v>
      </c>
      <c r="BM578" s="2" t="n">
        <v>0</v>
      </c>
      <c r="BN578" s="2" t="n">
        <v>0</v>
      </c>
      <c r="BO578" s="2" t="n">
        <v>0</v>
      </c>
      <c r="BP578" s="2" t="n">
        <v>0</v>
      </c>
      <c r="BQ578" s="2" t="n">
        <v>0</v>
      </c>
      <c r="BR578" s="2" t="n">
        <v>0</v>
      </c>
      <c r="BS578" s="2" t="n">
        <v>0</v>
      </c>
      <c r="BT578" s="2" t="n">
        <v>0</v>
      </c>
      <c r="BU578" s="2" t="n">
        <v>0</v>
      </c>
      <c r="BV578" s="2" t="n">
        <v>0</v>
      </c>
      <c r="BW578" s="2" t="n">
        <v>0</v>
      </c>
      <c r="BX578" s="2" t="n">
        <v>0</v>
      </c>
      <c r="BY578" s="2" t="n">
        <v>0</v>
      </c>
      <c r="BZ578" s="2" t="n">
        <v>0</v>
      </c>
      <c r="CA578" s="2" t="n">
        <v>0</v>
      </c>
      <c r="CB578" s="2" t="n">
        <v>0</v>
      </c>
      <c r="CC578" s="2" t="n">
        <v>0</v>
      </c>
      <c r="CD578" s="2" t="n">
        <v>0</v>
      </c>
      <c r="CE578" s="2" t="n">
        <v>0</v>
      </c>
      <c r="CF578" s="2" t="n">
        <v>0</v>
      </c>
      <c r="CG578" s="2" t="n">
        <v>0</v>
      </c>
      <c r="CH578" s="2" t="n">
        <v>0</v>
      </c>
      <c r="CI578" s="2" t="n">
        <v>0</v>
      </c>
      <c r="CJ578" s="2" t="n">
        <v>0</v>
      </c>
      <c r="CK578" s="2" t="n">
        <v>0</v>
      </c>
      <c r="CL578" s="2" t="n">
        <v>0</v>
      </c>
      <c r="CM578" s="2" t="n">
        <v>0</v>
      </c>
      <c r="CN578" s="2" t="n">
        <v>0</v>
      </c>
      <c r="CO578" s="2" t="n">
        <v>0</v>
      </c>
      <c r="CP578" s="2" t="n">
        <v>0</v>
      </c>
      <c r="CQ578" s="2" t="n">
        <v>0</v>
      </c>
      <c r="CR578" s="2" t="n">
        <v>0</v>
      </c>
      <c r="CS578" s="2" t="n">
        <v>0</v>
      </c>
      <c r="CT578" s="2" t="n">
        <v>0</v>
      </c>
      <c r="CU578" s="2" t="n">
        <v>2.86</v>
      </c>
      <c r="CV578" s="2" t="n">
        <v>4.91</v>
      </c>
      <c r="CW578" s="2" t="n">
        <v>0</v>
      </c>
      <c r="CX578" s="2" t="n">
        <v>11.45</v>
      </c>
      <c r="CY578" s="2" t="n">
        <v>13.5</v>
      </c>
      <c r="CZ578" s="2" t="n">
        <v>0</v>
      </c>
      <c r="DA578" s="2" t="n">
        <v>21.44</v>
      </c>
      <c r="DB578" s="2" t="n">
        <v>23.66</v>
      </c>
      <c r="DC578" s="2" t="n">
        <v>0</v>
      </c>
      <c r="DD578" s="2" t="n">
        <v>33.22</v>
      </c>
      <c r="DE578" s="2" t="n">
        <v>35.28</v>
      </c>
      <c r="DF578" s="2" t="n">
        <v>0</v>
      </c>
      <c r="DG578" s="2" t="n">
        <v>40.67</v>
      </c>
      <c r="DH578" s="2" t="n">
        <v>42.71</v>
      </c>
      <c r="DI578" s="2" t="n">
        <v>0</v>
      </c>
      <c r="DJ578" s="2" t="n">
        <v>49.83</v>
      </c>
      <c r="DK578" s="2" t="n">
        <v>51.89</v>
      </c>
      <c r="DL578" s="2" t="n">
        <v>0</v>
      </c>
      <c r="DM578" s="2" t="n">
        <v>59.62</v>
      </c>
      <c r="DN578" s="2" t="n">
        <v>61.84</v>
      </c>
      <c r="DO578" s="2" t="n">
        <v>0</v>
      </c>
      <c r="DP578" s="2" t="n">
        <v>68.81</v>
      </c>
      <c r="DQ578" s="2" t="n">
        <v>71.23999999999999</v>
      </c>
      <c r="DR578" s="2" t="n">
        <v>0</v>
      </c>
      <c r="DS578" s="2" t="n">
        <v>78.20999999999999</v>
      </c>
      <c r="DT578" s="2" t="n">
        <v>80.42</v>
      </c>
      <c r="DU578" s="2" t="n">
        <v>0</v>
      </c>
      <c r="DV578" s="2" t="n">
        <v>86.55</v>
      </c>
      <c r="DW578" s="2" t="n">
        <v>89.65000000000001</v>
      </c>
      <c r="DX578" s="2" t="n">
        <v>0</v>
      </c>
      <c r="DY578" s="2" t="n">
        <v>95.18000000000001</v>
      </c>
      <c r="DZ578" s="2" t="n">
        <v>96.06</v>
      </c>
      <c r="EA578" s="2" t="n">
        <v>0</v>
      </c>
      <c r="EB578" s="2" t="n">
        <v>100</v>
      </c>
      <c r="EC578" s="2" t="n">
        <v>100</v>
      </c>
      <c r="ED578" s="2" t="n">
        <v>0</v>
      </c>
      <c r="EE578" s="2" t="n">
        <v>100</v>
      </c>
      <c r="EF578" s="2" t="n">
        <v>100</v>
      </c>
      <c r="EG578" s="2" t="n">
        <v>0</v>
      </c>
      <c r="EH578" s="2" t="n">
        <v>100</v>
      </c>
      <c r="EI578" s="2" t="n">
        <v>100</v>
      </c>
      <c r="EJ578" s="2" t="n">
        <v>0</v>
      </c>
      <c r="EK578" s="2" t="n">
        <v>100</v>
      </c>
      <c r="EL578" s="2" t="n">
        <v>100</v>
      </c>
      <c r="EM578" s="2" t="n">
        <v>0</v>
      </c>
      <c r="EN578" s="2" t="n">
        <v>100</v>
      </c>
      <c r="EO578" s="2" t="n">
        <v>100</v>
      </c>
      <c r="EP578" s="2" t="n">
        <v>0</v>
      </c>
      <c r="EQ578" s="2" t="n">
        <v>100</v>
      </c>
      <c r="ER578" s="2" t="n">
        <v>100</v>
      </c>
      <c r="ES578" s="2" t="n">
        <v>0</v>
      </c>
    </row>
    <row r="579">
      <c r="A579" s="2" t="n">
        <v>1</v>
      </c>
      <c r="B579" s="2" t="inlineStr">
        <is>
          <t>26</t>
        </is>
      </c>
      <c r="C579" s="2" t="inlineStr">
        <is>
          <t>SERRALHERIA</t>
        </is>
      </c>
      <c r="D579" s="2" t="inlineStr">
        <is>
          <t>02/08/2027</t>
        </is>
      </c>
      <c r="E579" s="2" t="inlineStr">
        <is>
          <t>25/01/2029</t>
        </is>
      </c>
      <c r="F579" s="2" t="n">
        <v>482766.7570565591</v>
      </c>
      <c r="G579" s="2" t="n">
        <v>0</v>
      </c>
      <c r="H579" s="2" t="n">
        <v>482766.7570565591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  <c r="AN579" s="2" t="n">
        <v>0</v>
      </c>
      <c r="AO579" s="2" t="n">
        <v>0</v>
      </c>
      <c r="AP579" s="2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>
        <v>0</v>
      </c>
      <c r="AX579" s="2" t="n">
        <v>0</v>
      </c>
      <c r="AY579" s="2" t="n">
        <v>0</v>
      </c>
      <c r="AZ579" s="2" t="n">
        <v>0</v>
      </c>
      <c r="BA579" s="2" t="n">
        <v>0</v>
      </c>
      <c r="BB579" s="2" t="n">
        <v>0</v>
      </c>
      <c r="BC579" s="2" t="n">
        <v>0</v>
      </c>
      <c r="BD579" s="2" t="n">
        <v>0</v>
      </c>
      <c r="BE579" s="2" t="n">
        <v>0</v>
      </c>
      <c r="BF579" s="2" t="n">
        <v>0</v>
      </c>
      <c r="BG579" s="2" t="n">
        <v>0</v>
      </c>
      <c r="BH579" s="2" t="n">
        <v>0</v>
      </c>
      <c r="BI579" s="2" t="n">
        <v>0</v>
      </c>
      <c r="BJ579" s="2" t="n">
        <v>0</v>
      </c>
      <c r="BK579" s="2" t="n">
        <v>0</v>
      </c>
      <c r="BL579" s="2" t="n">
        <v>0</v>
      </c>
      <c r="BM579" s="2" t="n">
        <v>0</v>
      </c>
      <c r="BN579" s="2" t="n">
        <v>0</v>
      </c>
      <c r="BO579" s="2" t="n">
        <v>0</v>
      </c>
      <c r="BP579" s="2" t="n">
        <v>0</v>
      </c>
      <c r="BQ579" s="2" t="n">
        <v>0</v>
      </c>
      <c r="BR579" s="2" t="n">
        <v>0</v>
      </c>
      <c r="BS579" s="2" t="n">
        <v>0</v>
      </c>
      <c r="BT579" s="2" t="n">
        <v>0</v>
      </c>
      <c r="BU579" s="2" t="n">
        <v>0</v>
      </c>
      <c r="BV579" s="2" t="n">
        <v>0</v>
      </c>
      <c r="BW579" s="2" t="n">
        <v>0</v>
      </c>
      <c r="BX579" s="2" t="n">
        <v>0</v>
      </c>
      <c r="BY579" s="2" t="n">
        <v>0</v>
      </c>
      <c r="BZ579" s="2" t="n">
        <v>0</v>
      </c>
      <c r="CA579" s="2" t="n">
        <v>0</v>
      </c>
      <c r="CB579" s="2" t="n">
        <v>0</v>
      </c>
      <c r="CC579" s="2" t="n">
        <v>0</v>
      </c>
      <c r="CD579" s="2" t="n">
        <v>0</v>
      </c>
      <c r="CE579" s="2" t="n">
        <v>0</v>
      </c>
      <c r="CF579" s="2" t="n">
        <v>0</v>
      </c>
      <c r="CG579" s="2" t="n">
        <v>0</v>
      </c>
      <c r="CH579" s="2" t="n">
        <v>0</v>
      </c>
      <c r="CI579" s="2" t="n">
        <v>5.31</v>
      </c>
      <c r="CJ579" s="2" t="n">
        <v>10.61</v>
      </c>
      <c r="CK579" s="2" t="n">
        <v>0</v>
      </c>
      <c r="CL579" s="2" t="n">
        <v>10.61</v>
      </c>
      <c r="CM579" s="2" t="n">
        <v>10.61</v>
      </c>
      <c r="CN579" s="2" t="n">
        <v>0</v>
      </c>
      <c r="CO579" s="2" t="n">
        <v>10.61</v>
      </c>
      <c r="CP579" s="2" t="n">
        <v>15.92</v>
      </c>
      <c r="CQ579" s="2" t="n">
        <v>0</v>
      </c>
      <c r="CR579" s="2" t="n">
        <v>15.92</v>
      </c>
      <c r="CS579" s="2" t="n">
        <v>15.92</v>
      </c>
      <c r="CT579" s="2" t="n">
        <v>0</v>
      </c>
      <c r="CU579" s="2" t="n">
        <v>15.92</v>
      </c>
      <c r="CV579" s="2" t="n">
        <v>19.1</v>
      </c>
      <c r="CW579" s="2" t="n">
        <v>0</v>
      </c>
      <c r="CX579" s="2" t="n">
        <v>19.63</v>
      </c>
      <c r="CY579" s="2" t="n">
        <v>21.22</v>
      </c>
      <c r="CZ579" s="2" t="n">
        <v>0</v>
      </c>
      <c r="DA579" s="2" t="n">
        <v>22.32</v>
      </c>
      <c r="DB579" s="2" t="n">
        <v>27.68</v>
      </c>
      <c r="DC579" s="2" t="n">
        <v>0</v>
      </c>
      <c r="DD579" s="2" t="n">
        <v>40.92</v>
      </c>
      <c r="DE579" s="2" t="n">
        <v>45.74</v>
      </c>
      <c r="DF579" s="2" t="n">
        <v>0</v>
      </c>
      <c r="DG579" s="2" t="n">
        <v>54.15</v>
      </c>
      <c r="DH579" s="2" t="n">
        <v>57.39</v>
      </c>
      <c r="DI579" s="2" t="n">
        <v>0</v>
      </c>
      <c r="DJ579" s="2" t="n">
        <v>60.39</v>
      </c>
      <c r="DK579" s="2" t="n">
        <v>62.18</v>
      </c>
      <c r="DL579" s="2" t="n">
        <v>0</v>
      </c>
      <c r="DM579" s="2" t="n">
        <v>71.88</v>
      </c>
      <c r="DN579" s="2" t="n">
        <v>72.97</v>
      </c>
      <c r="DO579" s="2" t="n">
        <v>0</v>
      </c>
      <c r="DP579" s="2" t="n">
        <v>74.18000000000001</v>
      </c>
      <c r="DQ579" s="2" t="n">
        <v>74.58</v>
      </c>
      <c r="DR579" s="2" t="n">
        <v>0</v>
      </c>
      <c r="DS579" s="2" t="n">
        <v>75.87</v>
      </c>
      <c r="DT579" s="2" t="n">
        <v>76.34</v>
      </c>
      <c r="DU579" s="2" t="n">
        <v>0</v>
      </c>
      <c r="DV579" s="2" t="n">
        <v>77.47</v>
      </c>
      <c r="DW579" s="2" t="n">
        <v>77.91</v>
      </c>
      <c r="DX579" s="2" t="n">
        <v>0</v>
      </c>
      <c r="DY579" s="2" t="n">
        <v>79.13</v>
      </c>
      <c r="DZ579" s="2" t="n">
        <v>79.51000000000001</v>
      </c>
      <c r="EA579" s="2" t="n">
        <v>0</v>
      </c>
      <c r="EB579" s="2" t="n">
        <v>80.56999999999999</v>
      </c>
      <c r="EC579" s="2" t="n">
        <v>97.98999999999999</v>
      </c>
      <c r="ED579" s="2" t="n">
        <v>0</v>
      </c>
      <c r="EE579" s="2" t="n">
        <v>98.73999999999999</v>
      </c>
      <c r="EF579" s="2" t="n">
        <v>99.13</v>
      </c>
      <c r="EG579" s="2" t="n">
        <v>0</v>
      </c>
      <c r="EH579" s="2" t="n">
        <v>99.97</v>
      </c>
      <c r="EI579" s="2" t="n">
        <v>100</v>
      </c>
      <c r="EJ579" s="2" t="n">
        <v>0</v>
      </c>
      <c r="EK579" s="2" t="n">
        <v>100</v>
      </c>
      <c r="EL579" s="2" t="n">
        <v>100</v>
      </c>
      <c r="EM579" s="2" t="n">
        <v>0</v>
      </c>
      <c r="EN579" s="2" t="n">
        <v>100</v>
      </c>
      <c r="EO579" s="2" t="n">
        <v>100</v>
      </c>
      <c r="EP579" s="2" t="n">
        <v>0</v>
      </c>
      <c r="EQ579" s="2" t="n">
        <v>100</v>
      </c>
      <c r="ER579" s="2" t="n">
        <v>100</v>
      </c>
      <c r="ES579" s="2" t="n">
        <v>0</v>
      </c>
    </row>
    <row r="580">
      <c r="A580" s="2" t="n">
        <v>2</v>
      </c>
      <c r="B580" s="2" t="inlineStr">
        <is>
          <t>26.01</t>
        </is>
      </c>
      <c r="C580" s="2" t="inlineStr">
        <is>
          <t>Portas corta-fogo</t>
        </is>
      </c>
      <c r="D580" s="2" t="inlineStr">
        <is>
          <t>14/02/2028</t>
        </is>
      </c>
      <c r="E580" s="2" t="inlineStr">
        <is>
          <t>16/01/2029</t>
        </is>
      </c>
      <c r="F580" s="2" t="n">
        <v>164554.8332014947</v>
      </c>
      <c r="G580" s="2" t="n">
        <v>0</v>
      </c>
      <c r="H580" s="2" t="n">
        <v>164554.8332014947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  <c r="AN580" s="2" t="n">
        <v>0</v>
      </c>
      <c r="AO580" s="2" t="n">
        <v>0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2" t="n">
        <v>0</v>
      </c>
      <c r="AZ580" s="2" t="n">
        <v>0</v>
      </c>
      <c r="BA580" s="2" t="n">
        <v>0</v>
      </c>
      <c r="BB580" s="2" t="n">
        <v>0</v>
      </c>
      <c r="BC580" s="2" t="n">
        <v>0</v>
      </c>
      <c r="BD580" s="2" t="n">
        <v>0</v>
      </c>
      <c r="BE580" s="2" t="n">
        <v>0</v>
      </c>
      <c r="BF580" s="2" t="n">
        <v>0</v>
      </c>
      <c r="BG580" s="2" t="n">
        <v>0</v>
      </c>
      <c r="BH580" s="2" t="n">
        <v>0</v>
      </c>
      <c r="BI580" s="2" t="n">
        <v>0</v>
      </c>
      <c r="BJ580" s="2" t="n">
        <v>0</v>
      </c>
      <c r="BK580" s="2" t="n">
        <v>0</v>
      </c>
      <c r="BL580" s="2" t="n">
        <v>0</v>
      </c>
      <c r="BM580" s="2" t="n">
        <v>0</v>
      </c>
      <c r="BN580" s="2" t="n">
        <v>0</v>
      </c>
      <c r="BO580" s="2" t="n">
        <v>0</v>
      </c>
      <c r="BP580" s="2" t="n">
        <v>0</v>
      </c>
      <c r="BQ580" s="2" t="n">
        <v>0</v>
      </c>
      <c r="BR580" s="2" t="n">
        <v>0</v>
      </c>
      <c r="BS580" s="2" t="n">
        <v>0</v>
      </c>
      <c r="BT580" s="2" t="n">
        <v>0</v>
      </c>
      <c r="BU580" s="2" t="n">
        <v>0</v>
      </c>
      <c r="BV580" s="2" t="n">
        <v>0</v>
      </c>
      <c r="BW580" s="2" t="n">
        <v>0</v>
      </c>
      <c r="BX580" s="2" t="n">
        <v>0</v>
      </c>
      <c r="BY580" s="2" t="n">
        <v>0</v>
      </c>
      <c r="BZ580" s="2" t="n">
        <v>0</v>
      </c>
      <c r="CA580" s="2" t="n">
        <v>0</v>
      </c>
      <c r="CB580" s="2" t="n">
        <v>0</v>
      </c>
      <c r="CC580" s="2" t="n">
        <v>0</v>
      </c>
      <c r="CD580" s="2" t="n">
        <v>0</v>
      </c>
      <c r="CE580" s="2" t="n">
        <v>0</v>
      </c>
      <c r="CF580" s="2" t="n">
        <v>0</v>
      </c>
      <c r="CG580" s="2" t="n">
        <v>0</v>
      </c>
      <c r="CH580" s="2" t="n">
        <v>0</v>
      </c>
      <c r="CI580" s="2" t="n">
        <v>0</v>
      </c>
      <c r="CJ580" s="2" t="n">
        <v>0</v>
      </c>
      <c r="CK580" s="2" t="n">
        <v>0</v>
      </c>
      <c r="CL580" s="2" t="n">
        <v>0</v>
      </c>
      <c r="CM580" s="2" t="n">
        <v>0</v>
      </c>
      <c r="CN580" s="2" t="n">
        <v>0</v>
      </c>
      <c r="CO580" s="2" t="n">
        <v>0</v>
      </c>
      <c r="CP580" s="2" t="n">
        <v>0</v>
      </c>
      <c r="CQ580" s="2" t="n">
        <v>0</v>
      </c>
      <c r="CR580" s="2" t="n">
        <v>0</v>
      </c>
      <c r="CS580" s="2" t="n">
        <v>0</v>
      </c>
      <c r="CT580" s="2" t="n">
        <v>0</v>
      </c>
      <c r="CU580" s="2" t="n">
        <v>0</v>
      </c>
      <c r="CV580" s="2" t="n">
        <v>0</v>
      </c>
      <c r="CW580" s="2" t="n">
        <v>0</v>
      </c>
      <c r="CX580" s="2" t="n">
        <v>0</v>
      </c>
      <c r="CY580" s="2" t="n">
        <v>0</v>
      </c>
      <c r="CZ580" s="2" t="n">
        <v>0</v>
      </c>
      <c r="DA580" s="2" t="n">
        <v>1.56</v>
      </c>
      <c r="DB580" s="2" t="n">
        <v>2.67</v>
      </c>
      <c r="DC580" s="2" t="n">
        <v>0</v>
      </c>
      <c r="DD580" s="2" t="n">
        <v>6.67</v>
      </c>
      <c r="DE580" s="2" t="n">
        <v>7.78</v>
      </c>
      <c r="DF580" s="2" t="n">
        <v>0</v>
      </c>
      <c r="DG580" s="2" t="n">
        <v>10.67</v>
      </c>
      <c r="DH580" s="2" t="n">
        <v>11.78</v>
      </c>
      <c r="DI580" s="2" t="n">
        <v>0</v>
      </c>
      <c r="DJ580" s="2" t="n">
        <v>15.56</v>
      </c>
      <c r="DK580" s="2" t="n">
        <v>16.67</v>
      </c>
      <c r="DL580" s="2" t="n">
        <v>0</v>
      </c>
      <c r="DM580" s="2" t="n">
        <v>20.22</v>
      </c>
      <c r="DN580" s="2" t="n">
        <v>21.33</v>
      </c>
      <c r="DO580" s="2" t="n">
        <v>0</v>
      </c>
      <c r="DP580" s="2" t="n">
        <v>24.89</v>
      </c>
      <c r="DQ580" s="2" t="n">
        <v>26</v>
      </c>
      <c r="DR580" s="2" t="n">
        <v>0</v>
      </c>
      <c r="DS580" s="2" t="n">
        <v>29.78</v>
      </c>
      <c r="DT580" s="2" t="n">
        <v>30.89</v>
      </c>
      <c r="DU580" s="2" t="n">
        <v>0</v>
      </c>
      <c r="DV580" s="2" t="n">
        <v>34.22</v>
      </c>
      <c r="DW580" s="2" t="n">
        <v>35.33</v>
      </c>
      <c r="DX580" s="2" t="n">
        <v>0</v>
      </c>
      <c r="DY580" s="2" t="n">
        <v>38.89</v>
      </c>
      <c r="DZ580" s="2" t="n">
        <v>40</v>
      </c>
      <c r="EA580" s="2" t="n">
        <v>0</v>
      </c>
      <c r="EB580" s="2" t="n">
        <v>43.11</v>
      </c>
      <c r="EC580" s="2" t="n">
        <v>94.22</v>
      </c>
      <c r="ED580" s="2" t="n">
        <v>0</v>
      </c>
      <c r="EE580" s="2" t="n">
        <v>96.44</v>
      </c>
      <c r="EF580" s="2" t="n">
        <v>97.56</v>
      </c>
      <c r="EG580" s="2" t="n">
        <v>0</v>
      </c>
      <c r="EH580" s="2" t="n">
        <v>100</v>
      </c>
      <c r="EI580" s="2" t="n">
        <v>100</v>
      </c>
      <c r="EJ580" s="2" t="n">
        <v>0</v>
      </c>
      <c r="EK580" s="2" t="n">
        <v>100</v>
      </c>
      <c r="EL580" s="2" t="n">
        <v>100</v>
      </c>
      <c r="EM580" s="2" t="n">
        <v>0</v>
      </c>
      <c r="EN580" s="2" t="n">
        <v>100</v>
      </c>
      <c r="EO580" s="2" t="n">
        <v>100</v>
      </c>
      <c r="EP580" s="2" t="n">
        <v>0</v>
      </c>
      <c r="EQ580" s="2" t="n">
        <v>100</v>
      </c>
      <c r="ER580" s="2" t="n">
        <v>100</v>
      </c>
      <c r="ES580" s="2" t="n">
        <v>0</v>
      </c>
    </row>
    <row r="581">
      <c r="A581" s="2" t="n">
        <v>3</v>
      </c>
      <c r="B581" s="2" t="inlineStr">
        <is>
          <t>26.01.01</t>
        </is>
      </c>
      <c r="C581" s="2" t="inlineStr">
        <is>
          <t>PCF1 - Porta corta-fogo 1fl de abrir, 90x210cm</t>
        </is>
      </c>
      <c r="D581" s="2" t="inlineStr">
        <is>
          <t>14/02/2028</t>
        </is>
      </c>
      <c r="E581" s="2" t="inlineStr">
        <is>
          <t>16/01/2029</t>
        </is>
      </c>
      <c r="F581" s="2" t="n">
        <v>155012.6102052758</v>
      </c>
      <c r="G581" s="2" t="n">
        <v>0</v>
      </c>
      <c r="H581" s="2" t="n">
        <v>155012.6102052758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  <c r="AN581" s="2" t="n">
        <v>0</v>
      </c>
      <c r="AO581" s="2" t="n">
        <v>0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  <c r="AU581" s="2" t="n">
        <v>0</v>
      </c>
      <c r="AV581" s="2" t="n">
        <v>0</v>
      </c>
      <c r="AW581" s="2" t="n">
        <v>0</v>
      </c>
      <c r="AX581" s="2" t="n">
        <v>0</v>
      </c>
      <c r="AY581" s="2" t="n">
        <v>0</v>
      </c>
      <c r="AZ581" s="2" t="n">
        <v>0</v>
      </c>
      <c r="BA581" s="2" t="n">
        <v>0</v>
      </c>
      <c r="BB581" s="2" t="n">
        <v>0</v>
      </c>
      <c r="BC581" s="2" t="n">
        <v>0</v>
      </c>
      <c r="BD581" s="2" t="n">
        <v>0</v>
      </c>
      <c r="BE581" s="2" t="n">
        <v>0</v>
      </c>
      <c r="BF581" s="2" t="n">
        <v>0</v>
      </c>
      <c r="BG581" s="2" t="n">
        <v>0</v>
      </c>
      <c r="BH581" s="2" t="n">
        <v>0</v>
      </c>
      <c r="BI581" s="2" t="n">
        <v>0</v>
      </c>
      <c r="BJ581" s="2" t="n">
        <v>0</v>
      </c>
      <c r="BK581" s="2" t="n">
        <v>0</v>
      </c>
      <c r="BL581" s="2" t="n">
        <v>0</v>
      </c>
      <c r="BM581" s="2" t="n">
        <v>0</v>
      </c>
      <c r="BN581" s="2" t="n">
        <v>0</v>
      </c>
      <c r="BO581" s="2" t="n">
        <v>0</v>
      </c>
      <c r="BP581" s="2" t="n">
        <v>0</v>
      </c>
      <c r="BQ581" s="2" t="n">
        <v>0</v>
      </c>
      <c r="BR581" s="2" t="n">
        <v>0</v>
      </c>
      <c r="BS581" s="2" t="n">
        <v>0</v>
      </c>
      <c r="BT581" s="2" t="n">
        <v>0</v>
      </c>
      <c r="BU581" s="2" t="n">
        <v>0</v>
      </c>
      <c r="BV581" s="2" t="n">
        <v>0</v>
      </c>
      <c r="BW581" s="2" t="n">
        <v>0</v>
      </c>
      <c r="BX581" s="2" t="n">
        <v>0</v>
      </c>
      <c r="BY581" s="2" t="n">
        <v>0</v>
      </c>
      <c r="BZ581" s="2" t="n">
        <v>0</v>
      </c>
      <c r="CA581" s="2" t="n">
        <v>0</v>
      </c>
      <c r="CB581" s="2" t="n">
        <v>0</v>
      </c>
      <c r="CC581" s="2" t="n">
        <v>0</v>
      </c>
      <c r="CD581" s="2" t="n">
        <v>0</v>
      </c>
      <c r="CE581" s="2" t="n">
        <v>0</v>
      </c>
      <c r="CF581" s="2" t="n">
        <v>0</v>
      </c>
      <c r="CG581" s="2" t="n">
        <v>0</v>
      </c>
      <c r="CH581" s="2" t="n">
        <v>0</v>
      </c>
      <c r="CI581" s="2" t="n">
        <v>0</v>
      </c>
      <c r="CJ581" s="2" t="n">
        <v>0</v>
      </c>
      <c r="CK581" s="2" t="n">
        <v>0</v>
      </c>
      <c r="CL581" s="2" t="n">
        <v>0</v>
      </c>
      <c r="CM581" s="2" t="n">
        <v>0</v>
      </c>
      <c r="CN581" s="2" t="n">
        <v>0</v>
      </c>
      <c r="CO581" s="2" t="n">
        <v>0</v>
      </c>
      <c r="CP581" s="2" t="n">
        <v>0</v>
      </c>
      <c r="CQ581" s="2" t="n">
        <v>0</v>
      </c>
      <c r="CR581" s="2" t="n">
        <v>0</v>
      </c>
      <c r="CS581" s="2" t="n">
        <v>0</v>
      </c>
      <c r="CT581" s="2" t="n">
        <v>0</v>
      </c>
      <c r="CU581" s="2" t="n">
        <v>0</v>
      </c>
      <c r="CV581" s="2" t="n">
        <v>0</v>
      </c>
      <c r="CW581" s="2" t="n">
        <v>0</v>
      </c>
      <c r="CX581" s="2" t="n">
        <v>0</v>
      </c>
      <c r="CY581" s="2" t="n">
        <v>0</v>
      </c>
      <c r="CZ581" s="2" t="n">
        <v>0</v>
      </c>
      <c r="DA581" s="2" t="n">
        <v>1.56</v>
      </c>
      <c r="DB581" s="2" t="n">
        <v>2.67</v>
      </c>
      <c r="DC581" s="2" t="n">
        <v>0</v>
      </c>
      <c r="DD581" s="2" t="n">
        <v>6.67</v>
      </c>
      <c r="DE581" s="2" t="n">
        <v>7.78</v>
      </c>
      <c r="DF581" s="2" t="n">
        <v>0</v>
      </c>
      <c r="DG581" s="2" t="n">
        <v>10.67</v>
      </c>
      <c r="DH581" s="2" t="n">
        <v>11.78</v>
      </c>
      <c r="DI581" s="2" t="n">
        <v>0</v>
      </c>
      <c r="DJ581" s="2" t="n">
        <v>15.56</v>
      </c>
      <c r="DK581" s="2" t="n">
        <v>16.67</v>
      </c>
      <c r="DL581" s="2" t="n">
        <v>0</v>
      </c>
      <c r="DM581" s="2" t="n">
        <v>20.22</v>
      </c>
      <c r="DN581" s="2" t="n">
        <v>21.33</v>
      </c>
      <c r="DO581" s="2" t="n">
        <v>0</v>
      </c>
      <c r="DP581" s="2" t="n">
        <v>24.89</v>
      </c>
      <c r="DQ581" s="2" t="n">
        <v>26</v>
      </c>
      <c r="DR581" s="2" t="n">
        <v>0</v>
      </c>
      <c r="DS581" s="2" t="n">
        <v>29.78</v>
      </c>
      <c r="DT581" s="2" t="n">
        <v>30.89</v>
      </c>
      <c r="DU581" s="2" t="n">
        <v>0</v>
      </c>
      <c r="DV581" s="2" t="n">
        <v>34.22</v>
      </c>
      <c r="DW581" s="2" t="n">
        <v>35.33</v>
      </c>
      <c r="DX581" s="2" t="n">
        <v>0</v>
      </c>
      <c r="DY581" s="2" t="n">
        <v>38.89</v>
      </c>
      <c r="DZ581" s="2" t="n">
        <v>40</v>
      </c>
      <c r="EA581" s="2" t="n">
        <v>0</v>
      </c>
      <c r="EB581" s="2" t="n">
        <v>43.11</v>
      </c>
      <c r="EC581" s="2" t="n">
        <v>94.22</v>
      </c>
      <c r="ED581" s="2" t="n">
        <v>0</v>
      </c>
      <c r="EE581" s="2" t="n">
        <v>96.44</v>
      </c>
      <c r="EF581" s="2" t="n">
        <v>97.56</v>
      </c>
      <c r="EG581" s="2" t="n">
        <v>0</v>
      </c>
      <c r="EH581" s="2" t="n">
        <v>100</v>
      </c>
      <c r="EI581" s="2" t="n">
        <v>100</v>
      </c>
      <c r="EJ581" s="2" t="n">
        <v>0</v>
      </c>
      <c r="EK581" s="2" t="n">
        <v>100</v>
      </c>
      <c r="EL581" s="2" t="n">
        <v>100</v>
      </c>
      <c r="EM581" s="2" t="n">
        <v>0</v>
      </c>
      <c r="EN581" s="2" t="n">
        <v>100</v>
      </c>
      <c r="EO581" s="2" t="n">
        <v>100</v>
      </c>
      <c r="EP581" s="2" t="n">
        <v>0</v>
      </c>
      <c r="EQ581" s="2" t="n">
        <v>100</v>
      </c>
      <c r="ER581" s="2" t="n">
        <v>100</v>
      </c>
      <c r="ES581" s="2" t="n">
        <v>0</v>
      </c>
    </row>
    <row r="582">
      <c r="A582" s="2" t="n">
        <v>3</v>
      </c>
      <c r="B582" s="2" t="inlineStr">
        <is>
          <t>26.01.02</t>
        </is>
      </c>
      <c r="C582" s="2" t="inlineStr">
        <is>
          <t>PCF2 - Porta corta-fogo 1fl de abrir, 100x210cm</t>
        </is>
      </c>
      <c r="D582" s="2" t="inlineStr">
        <is>
          <t>14/02/2028</t>
        </is>
      </c>
      <c r="E582" s="2" t="inlineStr">
        <is>
          <t>16/01/2029</t>
        </is>
      </c>
      <c r="F582" s="2" t="n">
        <v>3252.222996218947</v>
      </c>
      <c r="G582" s="2" t="n">
        <v>0</v>
      </c>
      <c r="H582" s="2" t="n">
        <v>3252.222996218947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0</v>
      </c>
      <c r="AN582" s="2" t="n">
        <v>0</v>
      </c>
      <c r="AO582" s="2" t="n">
        <v>0</v>
      </c>
      <c r="AP582" s="2" t="n">
        <v>0</v>
      </c>
      <c r="AQ582" s="2" t="n">
        <v>0</v>
      </c>
      <c r="AR582" s="2" t="n">
        <v>0</v>
      </c>
      <c r="AS582" s="2" t="n">
        <v>0</v>
      </c>
      <c r="AT582" s="2" t="n">
        <v>0</v>
      </c>
      <c r="AU582" s="2" t="n">
        <v>0</v>
      </c>
      <c r="AV582" s="2" t="n">
        <v>0</v>
      </c>
      <c r="AW582" s="2" t="n">
        <v>0</v>
      </c>
      <c r="AX582" s="2" t="n">
        <v>0</v>
      </c>
      <c r="AY582" s="2" t="n">
        <v>0</v>
      </c>
      <c r="AZ582" s="2" t="n">
        <v>0</v>
      </c>
      <c r="BA582" s="2" t="n">
        <v>0</v>
      </c>
      <c r="BB582" s="2" t="n">
        <v>0</v>
      </c>
      <c r="BC582" s="2" t="n">
        <v>0</v>
      </c>
      <c r="BD582" s="2" t="n">
        <v>0</v>
      </c>
      <c r="BE582" s="2" t="n">
        <v>0</v>
      </c>
      <c r="BF582" s="2" t="n">
        <v>0</v>
      </c>
      <c r="BG582" s="2" t="n">
        <v>0</v>
      </c>
      <c r="BH582" s="2" t="n">
        <v>0</v>
      </c>
      <c r="BI582" s="2" t="n">
        <v>0</v>
      </c>
      <c r="BJ582" s="2" t="n">
        <v>0</v>
      </c>
      <c r="BK582" s="2" t="n">
        <v>0</v>
      </c>
      <c r="BL582" s="2" t="n">
        <v>0</v>
      </c>
      <c r="BM582" s="2" t="n">
        <v>0</v>
      </c>
      <c r="BN582" s="2" t="n">
        <v>0</v>
      </c>
      <c r="BO582" s="2" t="n">
        <v>0</v>
      </c>
      <c r="BP582" s="2" t="n">
        <v>0</v>
      </c>
      <c r="BQ582" s="2" t="n">
        <v>0</v>
      </c>
      <c r="BR582" s="2" t="n">
        <v>0</v>
      </c>
      <c r="BS582" s="2" t="n">
        <v>0</v>
      </c>
      <c r="BT582" s="2" t="n">
        <v>0</v>
      </c>
      <c r="BU582" s="2" t="n">
        <v>0</v>
      </c>
      <c r="BV582" s="2" t="n">
        <v>0</v>
      </c>
      <c r="BW582" s="2" t="n">
        <v>0</v>
      </c>
      <c r="BX582" s="2" t="n">
        <v>0</v>
      </c>
      <c r="BY582" s="2" t="n">
        <v>0</v>
      </c>
      <c r="BZ582" s="2" t="n">
        <v>0</v>
      </c>
      <c r="CA582" s="2" t="n">
        <v>0</v>
      </c>
      <c r="CB582" s="2" t="n">
        <v>0</v>
      </c>
      <c r="CC582" s="2" t="n">
        <v>0</v>
      </c>
      <c r="CD582" s="2" t="n">
        <v>0</v>
      </c>
      <c r="CE582" s="2" t="n">
        <v>0</v>
      </c>
      <c r="CF582" s="2" t="n">
        <v>0</v>
      </c>
      <c r="CG582" s="2" t="n">
        <v>0</v>
      </c>
      <c r="CH582" s="2" t="n">
        <v>0</v>
      </c>
      <c r="CI582" s="2" t="n">
        <v>0</v>
      </c>
      <c r="CJ582" s="2" t="n">
        <v>0</v>
      </c>
      <c r="CK582" s="2" t="n">
        <v>0</v>
      </c>
      <c r="CL582" s="2" t="n">
        <v>0</v>
      </c>
      <c r="CM582" s="2" t="n">
        <v>0</v>
      </c>
      <c r="CN582" s="2" t="n">
        <v>0</v>
      </c>
      <c r="CO582" s="2" t="n">
        <v>0</v>
      </c>
      <c r="CP582" s="2" t="n">
        <v>0</v>
      </c>
      <c r="CQ582" s="2" t="n">
        <v>0</v>
      </c>
      <c r="CR582" s="2" t="n">
        <v>0</v>
      </c>
      <c r="CS582" s="2" t="n">
        <v>0</v>
      </c>
      <c r="CT582" s="2" t="n">
        <v>0</v>
      </c>
      <c r="CU582" s="2" t="n">
        <v>0</v>
      </c>
      <c r="CV582" s="2" t="n">
        <v>0</v>
      </c>
      <c r="CW582" s="2" t="n">
        <v>0</v>
      </c>
      <c r="CX582" s="2" t="n">
        <v>0</v>
      </c>
      <c r="CY582" s="2" t="n">
        <v>0</v>
      </c>
      <c r="CZ582" s="2" t="n">
        <v>0</v>
      </c>
      <c r="DA582" s="2" t="n">
        <v>1.56</v>
      </c>
      <c r="DB582" s="2" t="n">
        <v>2.67</v>
      </c>
      <c r="DC582" s="2" t="n">
        <v>0</v>
      </c>
      <c r="DD582" s="2" t="n">
        <v>6.67</v>
      </c>
      <c r="DE582" s="2" t="n">
        <v>7.78</v>
      </c>
      <c r="DF582" s="2" t="n">
        <v>0</v>
      </c>
      <c r="DG582" s="2" t="n">
        <v>10.67</v>
      </c>
      <c r="DH582" s="2" t="n">
        <v>11.78</v>
      </c>
      <c r="DI582" s="2" t="n">
        <v>0</v>
      </c>
      <c r="DJ582" s="2" t="n">
        <v>15.56</v>
      </c>
      <c r="DK582" s="2" t="n">
        <v>16.67</v>
      </c>
      <c r="DL582" s="2" t="n">
        <v>0</v>
      </c>
      <c r="DM582" s="2" t="n">
        <v>20.22</v>
      </c>
      <c r="DN582" s="2" t="n">
        <v>21.33</v>
      </c>
      <c r="DO582" s="2" t="n">
        <v>0</v>
      </c>
      <c r="DP582" s="2" t="n">
        <v>24.89</v>
      </c>
      <c r="DQ582" s="2" t="n">
        <v>26</v>
      </c>
      <c r="DR582" s="2" t="n">
        <v>0</v>
      </c>
      <c r="DS582" s="2" t="n">
        <v>29.78</v>
      </c>
      <c r="DT582" s="2" t="n">
        <v>30.89</v>
      </c>
      <c r="DU582" s="2" t="n">
        <v>0</v>
      </c>
      <c r="DV582" s="2" t="n">
        <v>34.22</v>
      </c>
      <c r="DW582" s="2" t="n">
        <v>35.33</v>
      </c>
      <c r="DX582" s="2" t="n">
        <v>0</v>
      </c>
      <c r="DY582" s="2" t="n">
        <v>38.89</v>
      </c>
      <c r="DZ582" s="2" t="n">
        <v>40</v>
      </c>
      <c r="EA582" s="2" t="n">
        <v>0</v>
      </c>
      <c r="EB582" s="2" t="n">
        <v>43.11</v>
      </c>
      <c r="EC582" s="2" t="n">
        <v>94.22</v>
      </c>
      <c r="ED582" s="2" t="n">
        <v>0</v>
      </c>
      <c r="EE582" s="2" t="n">
        <v>96.44</v>
      </c>
      <c r="EF582" s="2" t="n">
        <v>97.56</v>
      </c>
      <c r="EG582" s="2" t="n">
        <v>0</v>
      </c>
      <c r="EH582" s="2" t="n">
        <v>100</v>
      </c>
      <c r="EI582" s="2" t="n">
        <v>100</v>
      </c>
      <c r="EJ582" s="2" t="n">
        <v>0</v>
      </c>
      <c r="EK582" s="2" t="n">
        <v>100</v>
      </c>
      <c r="EL582" s="2" t="n">
        <v>100</v>
      </c>
      <c r="EM582" s="2" t="n">
        <v>0</v>
      </c>
      <c r="EN582" s="2" t="n">
        <v>100</v>
      </c>
      <c r="EO582" s="2" t="n">
        <v>100</v>
      </c>
      <c r="EP582" s="2" t="n">
        <v>0</v>
      </c>
      <c r="EQ582" s="2" t="n">
        <v>100</v>
      </c>
      <c r="ER582" s="2" t="n">
        <v>100</v>
      </c>
      <c r="ES582" s="2" t="n">
        <v>0</v>
      </c>
    </row>
    <row r="583">
      <c r="A583" s="2" t="n">
        <v>3</v>
      </c>
      <c r="B583" s="2" t="inlineStr">
        <is>
          <t>26.01.03</t>
        </is>
      </c>
      <c r="C583" s="2" t="inlineStr">
        <is>
          <t>PCF3 - Porta corta-fogo 1fl de abrir, 120x210cm</t>
        </is>
      </c>
      <c r="D583" s="2" t="inlineStr">
        <is>
          <t>14/02/2028</t>
        </is>
      </c>
      <c r="E583" s="2" t="inlineStr">
        <is>
          <t>16/01/2029</t>
        </is>
      </c>
      <c r="F583" s="2" t="n">
        <v>4060</v>
      </c>
      <c r="G583" s="2" t="n">
        <v>0</v>
      </c>
      <c r="H583" s="2" t="n">
        <v>4060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  <c r="AN583" s="2" t="n">
        <v>0</v>
      </c>
      <c r="AO583" s="2" t="n">
        <v>0</v>
      </c>
      <c r="AP583" s="2" t="n">
        <v>0</v>
      </c>
      <c r="AQ583" s="2" t="n">
        <v>0</v>
      </c>
      <c r="AR583" s="2" t="n">
        <v>0</v>
      </c>
      <c r="AS583" s="2" t="n">
        <v>0</v>
      </c>
      <c r="AT583" s="2" t="n">
        <v>0</v>
      </c>
      <c r="AU583" s="2" t="n">
        <v>0</v>
      </c>
      <c r="AV583" s="2" t="n">
        <v>0</v>
      </c>
      <c r="AW583" s="2" t="n">
        <v>0</v>
      </c>
      <c r="AX583" s="2" t="n">
        <v>0</v>
      </c>
      <c r="AY583" s="2" t="n">
        <v>0</v>
      </c>
      <c r="AZ583" s="2" t="n">
        <v>0</v>
      </c>
      <c r="BA583" s="2" t="n">
        <v>0</v>
      </c>
      <c r="BB583" s="2" t="n">
        <v>0</v>
      </c>
      <c r="BC583" s="2" t="n">
        <v>0</v>
      </c>
      <c r="BD583" s="2" t="n">
        <v>0</v>
      </c>
      <c r="BE583" s="2" t="n">
        <v>0</v>
      </c>
      <c r="BF583" s="2" t="n">
        <v>0</v>
      </c>
      <c r="BG583" s="2" t="n">
        <v>0</v>
      </c>
      <c r="BH583" s="2" t="n">
        <v>0</v>
      </c>
      <c r="BI583" s="2" t="n">
        <v>0</v>
      </c>
      <c r="BJ583" s="2" t="n">
        <v>0</v>
      </c>
      <c r="BK583" s="2" t="n">
        <v>0</v>
      </c>
      <c r="BL583" s="2" t="n">
        <v>0</v>
      </c>
      <c r="BM583" s="2" t="n">
        <v>0</v>
      </c>
      <c r="BN583" s="2" t="n">
        <v>0</v>
      </c>
      <c r="BO583" s="2" t="n">
        <v>0</v>
      </c>
      <c r="BP583" s="2" t="n">
        <v>0</v>
      </c>
      <c r="BQ583" s="2" t="n">
        <v>0</v>
      </c>
      <c r="BR583" s="2" t="n">
        <v>0</v>
      </c>
      <c r="BS583" s="2" t="n">
        <v>0</v>
      </c>
      <c r="BT583" s="2" t="n">
        <v>0</v>
      </c>
      <c r="BU583" s="2" t="n">
        <v>0</v>
      </c>
      <c r="BV583" s="2" t="n">
        <v>0</v>
      </c>
      <c r="BW583" s="2" t="n">
        <v>0</v>
      </c>
      <c r="BX583" s="2" t="n">
        <v>0</v>
      </c>
      <c r="BY583" s="2" t="n">
        <v>0</v>
      </c>
      <c r="BZ583" s="2" t="n">
        <v>0</v>
      </c>
      <c r="CA583" s="2" t="n">
        <v>0</v>
      </c>
      <c r="CB583" s="2" t="n">
        <v>0</v>
      </c>
      <c r="CC583" s="2" t="n">
        <v>0</v>
      </c>
      <c r="CD583" s="2" t="n">
        <v>0</v>
      </c>
      <c r="CE583" s="2" t="n">
        <v>0</v>
      </c>
      <c r="CF583" s="2" t="n">
        <v>0</v>
      </c>
      <c r="CG583" s="2" t="n">
        <v>0</v>
      </c>
      <c r="CH583" s="2" t="n">
        <v>0</v>
      </c>
      <c r="CI583" s="2" t="n">
        <v>0</v>
      </c>
      <c r="CJ583" s="2" t="n">
        <v>0</v>
      </c>
      <c r="CK583" s="2" t="n">
        <v>0</v>
      </c>
      <c r="CL583" s="2" t="n">
        <v>0</v>
      </c>
      <c r="CM583" s="2" t="n">
        <v>0</v>
      </c>
      <c r="CN583" s="2" t="n">
        <v>0</v>
      </c>
      <c r="CO583" s="2" t="n">
        <v>0</v>
      </c>
      <c r="CP583" s="2" t="n">
        <v>0</v>
      </c>
      <c r="CQ583" s="2" t="n">
        <v>0</v>
      </c>
      <c r="CR583" s="2" t="n">
        <v>0</v>
      </c>
      <c r="CS583" s="2" t="n">
        <v>0</v>
      </c>
      <c r="CT583" s="2" t="n">
        <v>0</v>
      </c>
      <c r="CU583" s="2" t="n">
        <v>0</v>
      </c>
      <c r="CV583" s="2" t="n">
        <v>0</v>
      </c>
      <c r="CW583" s="2" t="n">
        <v>0</v>
      </c>
      <c r="CX583" s="2" t="n">
        <v>0</v>
      </c>
      <c r="CY583" s="2" t="n">
        <v>0</v>
      </c>
      <c r="CZ583" s="2" t="n">
        <v>0</v>
      </c>
      <c r="DA583" s="2" t="n">
        <v>1.56</v>
      </c>
      <c r="DB583" s="2" t="n">
        <v>2.67</v>
      </c>
      <c r="DC583" s="2" t="n">
        <v>0</v>
      </c>
      <c r="DD583" s="2" t="n">
        <v>6.67</v>
      </c>
      <c r="DE583" s="2" t="n">
        <v>7.78</v>
      </c>
      <c r="DF583" s="2" t="n">
        <v>0</v>
      </c>
      <c r="DG583" s="2" t="n">
        <v>10.67</v>
      </c>
      <c r="DH583" s="2" t="n">
        <v>11.78</v>
      </c>
      <c r="DI583" s="2" t="n">
        <v>0</v>
      </c>
      <c r="DJ583" s="2" t="n">
        <v>15.56</v>
      </c>
      <c r="DK583" s="2" t="n">
        <v>16.67</v>
      </c>
      <c r="DL583" s="2" t="n">
        <v>0</v>
      </c>
      <c r="DM583" s="2" t="n">
        <v>20.22</v>
      </c>
      <c r="DN583" s="2" t="n">
        <v>21.33</v>
      </c>
      <c r="DO583" s="2" t="n">
        <v>0</v>
      </c>
      <c r="DP583" s="2" t="n">
        <v>24.89</v>
      </c>
      <c r="DQ583" s="2" t="n">
        <v>26</v>
      </c>
      <c r="DR583" s="2" t="n">
        <v>0</v>
      </c>
      <c r="DS583" s="2" t="n">
        <v>29.78</v>
      </c>
      <c r="DT583" s="2" t="n">
        <v>30.89</v>
      </c>
      <c r="DU583" s="2" t="n">
        <v>0</v>
      </c>
      <c r="DV583" s="2" t="n">
        <v>34.22</v>
      </c>
      <c r="DW583" s="2" t="n">
        <v>35.33</v>
      </c>
      <c r="DX583" s="2" t="n">
        <v>0</v>
      </c>
      <c r="DY583" s="2" t="n">
        <v>38.89</v>
      </c>
      <c r="DZ583" s="2" t="n">
        <v>40</v>
      </c>
      <c r="EA583" s="2" t="n">
        <v>0</v>
      </c>
      <c r="EB583" s="2" t="n">
        <v>43.11</v>
      </c>
      <c r="EC583" s="2" t="n">
        <v>94.22</v>
      </c>
      <c r="ED583" s="2" t="n">
        <v>0</v>
      </c>
      <c r="EE583" s="2" t="n">
        <v>96.44</v>
      </c>
      <c r="EF583" s="2" t="n">
        <v>97.56</v>
      </c>
      <c r="EG583" s="2" t="n">
        <v>0</v>
      </c>
      <c r="EH583" s="2" t="n">
        <v>100</v>
      </c>
      <c r="EI583" s="2" t="n">
        <v>100</v>
      </c>
      <c r="EJ583" s="2" t="n">
        <v>0</v>
      </c>
      <c r="EK583" s="2" t="n">
        <v>100</v>
      </c>
      <c r="EL583" s="2" t="n">
        <v>100</v>
      </c>
      <c r="EM583" s="2" t="n">
        <v>0</v>
      </c>
      <c r="EN583" s="2" t="n">
        <v>100</v>
      </c>
      <c r="EO583" s="2" t="n">
        <v>100</v>
      </c>
      <c r="EP583" s="2" t="n">
        <v>0</v>
      </c>
      <c r="EQ583" s="2" t="n">
        <v>100</v>
      </c>
      <c r="ER583" s="2" t="n">
        <v>100</v>
      </c>
      <c r="ES583" s="2" t="n">
        <v>0</v>
      </c>
    </row>
    <row r="584">
      <c r="A584" s="2" t="n">
        <v>3</v>
      </c>
      <c r="B584" s="2" t="inlineStr">
        <is>
          <t>26.01.04</t>
        </is>
      </c>
      <c r="C584" s="2" t="inlineStr">
        <is>
          <t>PCF4 - Porta corta-fogo 2fls de abrir, 150x210cm</t>
        </is>
      </c>
      <c r="D584" s="2" t="inlineStr">
        <is>
          <t>14/02/2028</t>
        </is>
      </c>
      <c r="E584" s="2" t="inlineStr">
        <is>
          <t>16/01/2029</t>
        </is>
      </c>
      <c r="F584" s="2" t="n">
        <v>2230</v>
      </c>
      <c r="G584" s="2" t="n">
        <v>0</v>
      </c>
      <c r="H584" s="2" t="n">
        <v>2230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  <c r="AN584" s="2" t="n">
        <v>0</v>
      </c>
      <c r="AO584" s="2" t="n">
        <v>0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n">
        <v>0</v>
      </c>
      <c r="AZ584" s="2" t="n">
        <v>0</v>
      </c>
      <c r="BA584" s="2" t="n">
        <v>0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n">
        <v>0</v>
      </c>
      <c r="BI584" s="2" t="n">
        <v>0</v>
      </c>
      <c r="BJ584" s="2" t="n">
        <v>0</v>
      </c>
      <c r="BK584" s="2" t="n">
        <v>0</v>
      </c>
      <c r="BL584" s="2" t="n">
        <v>0</v>
      </c>
      <c r="BM584" s="2" t="n">
        <v>0</v>
      </c>
      <c r="BN584" s="2" t="n">
        <v>0</v>
      </c>
      <c r="BO584" s="2" t="n">
        <v>0</v>
      </c>
      <c r="BP584" s="2" t="n">
        <v>0</v>
      </c>
      <c r="BQ584" s="2" t="n">
        <v>0</v>
      </c>
      <c r="BR584" s="2" t="n">
        <v>0</v>
      </c>
      <c r="BS584" s="2" t="n">
        <v>0</v>
      </c>
      <c r="BT584" s="2" t="n">
        <v>0</v>
      </c>
      <c r="BU584" s="2" t="n">
        <v>0</v>
      </c>
      <c r="BV584" s="2" t="n">
        <v>0</v>
      </c>
      <c r="BW584" s="2" t="n">
        <v>0</v>
      </c>
      <c r="BX584" s="2" t="n">
        <v>0</v>
      </c>
      <c r="BY584" s="2" t="n">
        <v>0</v>
      </c>
      <c r="BZ584" s="2" t="n">
        <v>0</v>
      </c>
      <c r="CA584" s="2" t="n">
        <v>0</v>
      </c>
      <c r="CB584" s="2" t="n">
        <v>0</v>
      </c>
      <c r="CC584" s="2" t="n">
        <v>0</v>
      </c>
      <c r="CD584" s="2" t="n">
        <v>0</v>
      </c>
      <c r="CE584" s="2" t="n">
        <v>0</v>
      </c>
      <c r="CF584" s="2" t="n">
        <v>0</v>
      </c>
      <c r="CG584" s="2" t="n">
        <v>0</v>
      </c>
      <c r="CH584" s="2" t="n">
        <v>0</v>
      </c>
      <c r="CI584" s="2" t="n">
        <v>0</v>
      </c>
      <c r="CJ584" s="2" t="n">
        <v>0</v>
      </c>
      <c r="CK584" s="2" t="n">
        <v>0</v>
      </c>
      <c r="CL584" s="2" t="n">
        <v>0</v>
      </c>
      <c r="CM584" s="2" t="n">
        <v>0</v>
      </c>
      <c r="CN584" s="2" t="n">
        <v>0</v>
      </c>
      <c r="CO584" s="2" t="n">
        <v>0</v>
      </c>
      <c r="CP584" s="2" t="n">
        <v>0</v>
      </c>
      <c r="CQ584" s="2" t="n">
        <v>0</v>
      </c>
      <c r="CR584" s="2" t="n">
        <v>0</v>
      </c>
      <c r="CS584" s="2" t="n">
        <v>0</v>
      </c>
      <c r="CT584" s="2" t="n">
        <v>0</v>
      </c>
      <c r="CU584" s="2" t="n">
        <v>0</v>
      </c>
      <c r="CV584" s="2" t="n">
        <v>0</v>
      </c>
      <c r="CW584" s="2" t="n">
        <v>0</v>
      </c>
      <c r="CX584" s="2" t="n">
        <v>0</v>
      </c>
      <c r="CY584" s="2" t="n">
        <v>0</v>
      </c>
      <c r="CZ584" s="2" t="n">
        <v>0</v>
      </c>
      <c r="DA584" s="2" t="n">
        <v>1.56</v>
      </c>
      <c r="DB584" s="2" t="n">
        <v>2.67</v>
      </c>
      <c r="DC584" s="2" t="n">
        <v>0</v>
      </c>
      <c r="DD584" s="2" t="n">
        <v>6.67</v>
      </c>
      <c r="DE584" s="2" t="n">
        <v>7.78</v>
      </c>
      <c r="DF584" s="2" t="n">
        <v>0</v>
      </c>
      <c r="DG584" s="2" t="n">
        <v>10.67</v>
      </c>
      <c r="DH584" s="2" t="n">
        <v>11.78</v>
      </c>
      <c r="DI584" s="2" t="n">
        <v>0</v>
      </c>
      <c r="DJ584" s="2" t="n">
        <v>15.56</v>
      </c>
      <c r="DK584" s="2" t="n">
        <v>16.67</v>
      </c>
      <c r="DL584" s="2" t="n">
        <v>0</v>
      </c>
      <c r="DM584" s="2" t="n">
        <v>20.22</v>
      </c>
      <c r="DN584" s="2" t="n">
        <v>21.33</v>
      </c>
      <c r="DO584" s="2" t="n">
        <v>0</v>
      </c>
      <c r="DP584" s="2" t="n">
        <v>24.89</v>
      </c>
      <c r="DQ584" s="2" t="n">
        <v>26</v>
      </c>
      <c r="DR584" s="2" t="n">
        <v>0</v>
      </c>
      <c r="DS584" s="2" t="n">
        <v>29.78</v>
      </c>
      <c r="DT584" s="2" t="n">
        <v>30.89</v>
      </c>
      <c r="DU584" s="2" t="n">
        <v>0</v>
      </c>
      <c r="DV584" s="2" t="n">
        <v>34.22</v>
      </c>
      <c r="DW584" s="2" t="n">
        <v>35.33</v>
      </c>
      <c r="DX584" s="2" t="n">
        <v>0</v>
      </c>
      <c r="DY584" s="2" t="n">
        <v>38.89</v>
      </c>
      <c r="DZ584" s="2" t="n">
        <v>40</v>
      </c>
      <c r="EA584" s="2" t="n">
        <v>0</v>
      </c>
      <c r="EB584" s="2" t="n">
        <v>43.11</v>
      </c>
      <c r="EC584" s="2" t="n">
        <v>94.22</v>
      </c>
      <c r="ED584" s="2" t="n">
        <v>0</v>
      </c>
      <c r="EE584" s="2" t="n">
        <v>96.44</v>
      </c>
      <c r="EF584" s="2" t="n">
        <v>97.56</v>
      </c>
      <c r="EG584" s="2" t="n">
        <v>0</v>
      </c>
      <c r="EH584" s="2" t="n">
        <v>100</v>
      </c>
      <c r="EI584" s="2" t="n">
        <v>100</v>
      </c>
      <c r="EJ584" s="2" t="n">
        <v>0</v>
      </c>
      <c r="EK584" s="2" t="n">
        <v>100</v>
      </c>
      <c r="EL584" s="2" t="n">
        <v>100</v>
      </c>
      <c r="EM584" s="2" t="n">
        <v>0</v>
      </c>
      <c r="EN584" s="2" t="n">
        <v>100</v>
      </c>
      <c r="EO584" s="2" t="n">
        <v>100</v>
      </c>
      <c r="EP584" s="2" t="n">
        <v>0</v>
      </c>
      <c r="EQ584" s="2" t="n">
        <v>100</v>
      </c>
      <c r="ER584" s="2" t="n">
        <v>100</v>
      </c>
      <c r="ES584" s="2" t="n">
        <v>0</v>
      </c>
    </row>
    <row r="585">
      <c r="A585" s="2" t="n">
        <v>2</v>
      </c>
      <c r="B585" s="2" t="inlineStr">
        <is>
          <t>26.02</t>
        </is>
      </c>
      <c r="C585" s="2" t="inlineStr">
        <is>
          <t>Portas de chapa lisa</t>
        </is>
      </c>
      <c r="D585" s="2" t="inlineStr">
        <is>
          <t>02/08/2027</t>
        </is>
      </c>
      <c r="E585" s="2" t="inlineStr">
        <is>
          <t>29/06/2028</t>
        </is>
      </c>
      <c r="F585" s="2" t="n">
        <v>1943.187337585244</v>
      </c>
      <c r="G585" s="2" t="n">
        <v>0</v>
      </c>
      <c r="H585" s="2" t="n">
        <v>1943.187337585244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0</v>
      </c>
      <c r="AN585" s="2" t="n">
        <v>0</v>
      </c>
      <c r="AO585" s="2" t="n">
        <v>0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n">
        <v>0</v>
      </c>
      <c r="AZ585" s="2" t="n">
        <v>0</v>
      </c>
      <c r="BA585" s="2" t="n">
        <v>0</v>
      </c>
      <c r="BB585" s="2" t="n">
        <v>0</v>
      </c>
      <c r="BC585" s="2" t="n">
        <v>0</v>
      </c>
      <c r="BD585" s="2" t="n">
        <v>0</v>
      </c>
      <c r="BE585" s="2" t="n">
        <v>0</v>
      </c>
      <c r="BF585" s="2" t="n">
        <v>0</v>
      </c>
      <c r="BG585" s="2" t="n">
        <v>0</v>
      </c>
      <c r="BH585" s="2" t="n">
        <v>0</v>
      </c>
      <c r="BI585" s="2" t="n">
        <v>0</v>
      </c>
      <c r="BJ585" s="2" t="n">
        <v>0</v>
      </c>
      <c r="BK585" s="2" t="n">
        <v>0</v>
      </c>
      <c r="BL585" s="2" t="n">
        <v>0</v>
      </c>
      <c r="BM585" s="2" t="n">
        <v>0</v>
      </c>
      <c r="BN585" s="2" t="n">
        <v>0</v>
      </c>
      <c r="BO585" s="2" t="n">
        <v>0</v>
      </c>
      <c r="BP585" s="2" t="n">
        <v>0</v>
      </c>
      <c r="BQ585" s="2" t="n">
        <v>0</v>
      </c>
      <c r="BR585" s="2" t="n">
        <v>0</v>
      </c>
      <c r="BS585" s="2" t="n">
        <v>0</v>
      </c>
      <c r="BT585" s="2" t="n">
        <v>0</v>
      </c>
      <c r="BU585" s="2" t="n">
        <v>0</v>
      </c>
      <c r="BV585" s="2" t="n">
        <v>0</v>
      </c>
      <c r="BW585" s="2" t="n">
        <v>0</v>
      </c>
      <c r="BX585" s="2" t="n">
        <v>0</v>
      </c>
      <c r="BY585" s="2" t="n">
        <v>0</v>
      </c>
      <c r="BZ585" s="2" t="n">
        <v>0</v>
      </c>
      <c r="CA585" s="2" t="n">
        <v>0</v>
      </c>
      <c r="CB585" s="2" t="n">
        <v>0</v>
      </c>
      <c r="CC585" s="2" t="n">
        <v>0</v>
      </c>
      <c r="CD585" s="2" t="n">
        <v>0</v>
      </c>
      <c r="CE585" s="2" t="n">
        <v>0</v>
      </c>
      <c r="CF585" s="2" t="n">
        <v>0</v>
      </c>
      <c r="CG585" s="2" t="n">
        <v>0</v>
      </c>
      <c r="CH585" s="2" t="n">
        <v>0</v>
      </c>
      <c r="CI585" s="2" t="n">
        <v>14.29</v>
      </c>
      <c r="CJ585" s="2" t="n">
        <v>28.57</v>
      </c>
      <c r="CK585" s="2" t="n">
        <v>0</v>
      </c>
      <c r="CL585" s="2" t="n">
        <v>28.57</v>
      </c>
      <c r="CM585" s="2" t="n">
        <v>28.57</v>
      </c>
      <c r="CN585" s="2" t="n">
        <v>0</v>
      </c>
      <c r="CO585" s="2" t="n">
        <v>28.57</v>
      </c>
      <c r="CP585" s="2" t="n">
        <v>42.86</v>
      </c>
      <c r="CQ585" s="2" t="n">
        <v>0</v>
      </c>
      <c r="CR585" s="2" t="n">
        <v>42.86</v>
      </c>
      <c r="CS585" s="2" t="n">
        <v>42.86</v>
      </c>
      <c r="CT585" s="2" t="n">
        <v>0</v>
      </c>
      <c r="CU585" s="2" t="n">
        <v>42.86</v>
      </c>
      <c r="CV585" s="2" t="n">
        <v>51.43</v>
      </c>
      <c r="CW585" s="2" t="n">
        <v>0</v>
      </c>
      <c r="CX585" s="2" t="n">
        <v>52.86</v>
      </c>
      <c r="CY585" s="2" t="n">
        <v>57.14</v>
      </c>
      <c r="CZ585" s="2" t="n">
        <v>0</v>
      </c>
      <c r="DA585" s="2" t="n">
        <v>57.14</v>
      </c>
      <c r="DB585" s="2" t="n">
        <v>62.86</v>
      </c>
      <c r="DC585" s="2" t="n">
        <v>0</v>
      </c>
      <c r="DD585" s="2" t="n">
        <v>67.14</v>
      </c>
      <c r="DE585" s="2" t="n">
        <v>71.43000000000001</v>
      </c>
      <c r="DF585" s="2" t="n">
        <v>0</v>
      </c>
      <c r="DG585" s="2" t="n">
        <v>71.43000000000001</v>
      </c>
      <c r="DH585" s="2" t="n">
        <v>71.43000000000001</v>
      </c>
      <c r="DI585" s="2" t="n">
        <v>0</v>
      </c>
      <c r="DJ585" s="2" t="n">
        <v>71.43000000000001</v>
      </c>
      <c r="DK585" s="2" t="n">
        <v>75.23999999999999</v>
      </c>
      <c r="DL585" s="2" t="n">
        <v>0</v>
      </c>
      <c r="DM585" s="2" t="n">
        <v>98.09999999999999</v>
      </c>
      <c r="DN585" s="2" t="n">
        <v>100</v>
      </c>
      <c r="DO585" s="2" t="n">
        <v>0</v>
      </c>
      <c r="DP585" s="2" t="n">
        <v>100</v>
      </c>
      <c r="DQ585" s="2" t="n">
        <v>100</v>
      </c>
      <c r="DR585" s="2" t="n">
        <v>0</v>
      </c>
      <c r="DS585" s="2" t="n">
        <v>100</v>
      </c>
      <c r="DT585" s="2" t="n">
        <v>100</v>
      </c>
      <c r="DU585" s="2" t="n">
        <v>0</v>
      </c>
      <c r="DV585" s="2" t="n">
        <v>100</v>
      </c>
      <c r="DW585" s="2" t="n">
        <v>100</v>
      </c>
      <c r="DX585" s="2" t="n">
        <v>0</v>
      </c>
      <c r="DY585" s="2" t="n">
        <v>100</v>
      </c>
      <c r="DZ585" s="2" t="n">
        <v>100</v>
      </c>
      <c r="EA585" s="2" t="n">
        <v>0</v>
      </c>
      <c r="EB585" s="2" t="n">
        <v>100</v>
      </c>
      <c r="EC585" s="2" t="n">
        <v>100</v>
      </c>
      <c r="ED585" s="2" t="n">
        <v>0</v>
      </c>
      <c r="EE585" s="2" t="n">
        <v>100</v>
      </c>
      <c r="EF585" s="2" t="n">
        <v>100</v>
      </c>
      <c r="EG585" s="2" t="n">
        <v>0</v>
      </c>
      <c r="EH585" s="2" t="n">
        <v>100</v>
      </c>
      <c r="EI585" s="2" t="n">
        <v>100</v>
      </c>
      <c r="EJ585" s="2" t="n">
        <v>0</v>
      </c>
      <c r="EK585" s="2" t="n">
        <v>100</v>
      </c>
      <c r="EL585" s="2" t="n">
        <v>100</v>
      </c>
      <c r="EM585" s="2" t="n">
        <v>0</v>
      </c>
      <c r="EN585" s="2" t="n">
        <v>100</v>
      </c>
      <c r="EO585" s="2" t="n">
        <v>100</v>
      </c>
      <c r="EP585" s="2" t="n">
        <v>0</v>
      </c>
      <c r="EQ585" s="2" t="n">
        <v>100</v>
      </c>
      <c r="ER585" s="2" t="n">
        <v>100</v>
      </c>
      <c r="ES585" s="2" t="n">
        <v>0</v>
      </c>
    </row>
    <row r="586">
      <c r="A586" s="2" t="n">
        <v>3</v>
      </c>
      <c r="B586" s="2" t="inlineStr">
        <is>
          <t>26.02.01</t>
        </is>
      </c>
      <c r="C586" s="2" t="inlineStr">
        <is>
          <t>PMe1 - Porta em aço galvanizado, 1fl de abrir, 80x210cm</t>
        </is>
      </c>
      <c r="D586" s="2" t="inlineStr">
        <is>
          <t>02/08/2027</t>
        </is>
      </c>
      <c r="E586" s="2" t="inlineStr">
        <is>
          <t>29/06/2028</t>
        </is>
      </c>
      <c r="F586" s="2" t="n">
        <v>914.4411000401149</v>
      </c>
      <c r="G586" s="2" t="n">
        <v>0</v>
      </c>
      <c r="H586" s="2" t="n">
        <v>914.4411000401149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0</v>
      </c>
      <c r="AN586" s="2" t="n">
        <v>0</v>
      </c>
      <c r="AO586" s="2" t="n">
        <v>0</v>
      </c>
      <c r="AP586" s="2" t="n">
        <v>0</v>
      </c>
      <c r="AQ586" s="2" t="n">
        <v>0</v>
      </c>
      <c r="AR586" s="2" t="n">
        <v>0</v>
      </c>
      <c r="AS586" s="2" t="n">
        <v>0</v>
      </c>
      <c r="AT586" s="2" t="n">
        <v>0</v>
      </c>
      <c r="AU586" s="2" t="n">
        <v>0</v>
      </c>
      <c r="AV586" s="2" t="n">
        <v>0</v>
      </c>
      <c r="AW586" s="2" t="n">
        <v>0</v>
      </c>
      <c r="AX586" s="2" t="n">
        <v>0</v>
      </c>
      <c r="AY586" s="2" t="n">
        <v>0</v>
      </c>
      <c r="AZ586" s="2" t="n">
        <v>0</v>
      </c>
      <c r="BA586" s="2" t="n">
        <v>0</v>
      </c>
      <c r="BB586" s="2" t="n">
        <v>0</v>
      </c>
      <c r="BC586" s="2" t="n">
        <v>0</v>
      </c>
      <c r="BD586" s="2" t="n">
        <v>0</v>
      </c>
      <c r="BE586" s="2" t="n">
        <v>0</v>
      </c>
      <c r="BF586" s="2" t="n">
        <v>0</v>
      </c>
      <c r="BG586" s="2" t="n">
        <v>0</v>
      </c>
      <c r="BH586" s="2" t="n">
        <v>0</v>
      </c>
      <c r="BI586" s="2" t="n">
        <v>0</v>
      </c>
      <c r="BJ586" s="2" t="n">
        <v>0</v>
      </c>
      <c r="BK586" s="2" t="n">
        <v>0</v>
      </c>
      <c r="BL586" s="2" t="n">
        <v>0</v>
      </c>
      <c r="BM586" s="2" t="n">
        <v>0</v>
      </c>
      <c r="BN586" s="2" t="n">
        <v>0</v>
      </c>
      <c r="BO586" s="2" t="n">
        <v>0</v>
      </c>
      <c r="BP586" s="2" t="n">
        <v>0</v>
      </c>
      <c r="BQ586" s="2" t="n">
        <v>0</v>
      </c>
      <c r="BR586" s="2" t="n">
        <v>0</v>
      </c>
      <c r="BS586" s="2" t="n">
        <v>0</v>
      </c>
      <c r="BT586" s="2" t="n">
        <v>0</v>
      </c>
      <c r="BU586" s="2" t="n">
        <v>0</v>
      </c>
      <c r="BV586" s="2" t="n">
        <v>0</v>
      </c>
      <c r="BW586" s="2" t="n">
        <v>0</v>
      </c>
      <c r="BX586" s="2" t="n">
        <v>0</v>
      </c>
      <c r="BY586" s="2" t="n">
        <v>0</v>
      </c>
      <c r="BZ586" s="2" t="n">
        <v>0</v>
      </c>
      <c r="CA586" s="2" t="n">
        <v>0</v>
      </c>
      <c r="CB586" s="2" t="n">
        <v>0</v>
      </c>
      <c r="CC586" s="2" t="n">
        <v>0</v>
      </c>
      <c r="CD586" s="2" t="n">
        <v>0</v>
      </c>
      <c r="CE586" s="2" t="n">
        <v>0</v>
      </c>
      <c r="CF586" s="2" t="n">
        <v>0</v>
      </c>
      <c r="CG586" s="2" t="n">
        <v>0</v>
      </c>
      <c r="CH586" s="2" t="n">
        <v>0</v>
      </c>
      <c r="CI586" s="2" t="n">
        <v>14.29</v>
      </c>
      <c r="CJ586" s="2" t="n">
        <v>28.57</v>
      </c>
      <c r="CK586" s="2" t="n">
        <v>0</v>
      </c>
      <c r="CL586" s="2" t="n">
        <v>28.57</v>
      </c>
      <c r="CM586" s="2" t="n">
        <v>28.57</v>
      </c>
      <c r="CN586" s="2" t="n">
        <v>0</v>
      </c>
      <c r="CO586" s="2" t="n">
        <v>28.57</v>
      </c>
      <c r="CP586" s="2" t="n">
        <v>42.86</v>
      </c>
      <c r="CQ586" s="2" t="n">
        <v>0</v>
      </c>
      <c r="CR586" s="2" t="n">
        <v>42.86</v>
      </c>
      <c r="CS586" s="2" t="n">
        <v>42.86</v>
      </c>
      <c r="CT586" s="2" t="n">
        <v>0</v>
      </c>
      <c r="CU586" s="2" t="n">
        <v>42.86</v>
      </c>
      <c r="CV586" s="2" t="n">
        <v>51.43</v>
      </c>
      <c r="CW586" s="2" t="n">
        <v>0</v>
      </c>
      <c r="CX586" s="2" t="n">
        <v>52.86</v>
      </c>
      <c r="CY586" s="2" t="n">
        <v>57.14</v>
      </c>
      <c r="CZ586" s="2" t="n">
        <v>0</v>
      </c>
      <c r="DA586" s="2" t="n">
        <v>57.14</v>
      </c>
      <c r="DB586" s="2" t="n">
        <v>62.86</v>
      </c>
      <c r="DC586" s="2" t="n">
        <v>0</v>
      </c>
      <c r="DD586" s="2" t="n">
        <v>67.14</v>
      </c>
      <c r="DE586" s="2" t="n">
        <v>71.43000000000001</v>
      </c>
      <c r="DF586" s="2" t="n">
        <v>0</v>
      </c>
      <c r="DG586" s="2" t="n">
        <v>71.43000000000001</v>
      </c>
      <c r="DH586" s="2" t="n">
        <v>71.43000000000001</v>
      </c>
      <c r="DI586" s="2" t="n">
        <v>0</v>
      </c>
      <c r="DJ586" s="2" t="n">
        <v>71.43000000000001</v>
      </c>
      <c r="DK586" s="2" t="n">
        <v>75.23999999999999</v>
      </c>
      <c r="DL586" s="2" t="n">
        <v>0</v>
      </c>
      <c r="DM586" s="2" t="n">
        <v>98.09999999999999</v>
      </c>
      <c r="DN586" s="2" t="n">
        <v>100</v>
      </c>
      <c r="DO586" s="2" t="n">
        <v>0</v>
      </c>
      <c r="DP586" s="2" t="n">
        <v>100</v>
      </c>
      <c r="DQ586" s="2" t="n">
        <v>100</v>
      </c>
      <c r="DR586" s="2" t="n">
        <v>0</v>
      </c>
      <c r="DS586" s="2" t="n">
        <v>100</v>
      </c>
      <c r="DT586" s="2" t="n">
        <v>100</v>
      </c>
      <c r="DU586" s="2" t="n">
        <v>0</v>
      </c>
      <c r="DV586" s="2" t="n">
        <v>100</v>
      </c>
      <c r="DW586" s="2" t="n">
        <v>100</v>
      </c>
      <c r="DX586" s="2" t="n">
        <v>0</v>
      </c>
      <c r="DY586" s="2" t="n">
        <v>100</v>
      </c>
      <c r="DZ586" s="2" t="n">
        <v>100</v>
      </c>
      <c r="EA586" s="2" t="n">
        <v>0</v>
      </c>
      <c r="EB586" s="2" t="n">
        <v>100</v>
      </c>
      <c r="EC586" s="2" t="n">
        <v>100</v>
      </c>
      <c r="ED586" s="2" t="n">
        <v>0</v>
      </c>
      <c r="EE586" s="2" t="n">
        <v>100</v>
      </c>
      <c r="EF586" s="2" t="n">
        <v>100</v>
      </c>
      <c r="EG586" s="2" t="n">
        <v>0</v>
      </c>
      <c r="EH586" s="2" t="n">
        <v>100</v>
      </c>
      <c r="EI586" s="2" t="n">
        <v>100</v>
      </c>
      <c r="EJ586" s="2" t="n">
        <v>0</v>
      </c>
      <c r="EK586" s="2" t="n">
        <v>100</v>
      </c>
      <c r="EL586" s="2" t="n">
        <v>100</v>
      </c>
      <c r="EM586" s="2" t="n">
        <v>0</v>
      </c>
      <c r="EN586" s="2" t="n">
        <v>100</v>
      </c>
      <c r="EO586" s="2" t="n">
        <v>100</v>
      </c>
      <c r="EP586" s="2" t="n">
        <v>0</v>
      </c>
      <c r="EQ586" s="2" t="n">
        <v>100</v>
      </c>
      <c r="ER586" s="2" t="n">
        <v>100</v>
      </c>
      <c r="ES586" s="2" t="n">
        <v>0</v>
      </c>
    </row>
    <row r="587">
      <c r="A587" s="2" t="n">
        <v>3</v>
      </c>
      <c r="B587" s="2" t="inlineStr">
        <is>
          <t>26.02.02</t>
        </is>
      </c>
      <c r="C587" s="2" t="inlineStr">
        <is>
          <t>PMe2 - Porta em aço galvanizado, 1fl de abrir, 90x210cm</t>
        </is>
      </c>
      <c r="D587" s="2" t="inlineStr">
        <is>
          <t>02/08/2027</t>
        </is>
      </c>
      <c r="E587" s="2" t="inlineStr">
        <is>
          <t>29/06/2028</t>
        </is>
      </c>
      <c r="F587" s="2" t="n">
        <v>1028.746237545129</v>
      </c>
      <c r="G587" s="2" t="n">
        <v>0</v>
      </c>
      <c r="H587" s="2" t="n">
        <v>1028.746237545129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  <c r="AN587" s="2" t="n">
        <v>0</v>
      </c>
      <c r="AO587" s="2" t="n">
        <v>0</v>
      </c>
      <c r="AP587" s="2" t="n">
        <v>0</v>
      </c>
      <c r="AQ587" s="2" t="n">
        <v>0</v>
      </c>
      <c r="AR587" s="2" t="n">
        <v>0</v>
      </c>
      <c r="AS587" s="2" t="n">
        <v>0</v>
      </c>
      <c r="AT587" s="2" t="n">
        <v>0</v>
      </c>
      <c r="AU587" s="2" t="n">
        <v>0</v>
      </c>
      <c r="AV587" s="2" t="n">
        <v>0</v>
      </c>
      <c r="AW587" s="2" t="n">
        <v>0</v>
      </c>
      <c r="AX587" s="2" t="n">
        <v>0</v>
      </c>
      <c r="AY587" s="2" t="n">
        <v>0</v>
      </c>
      <c r="AZ587" s="2" t="n">
        <v>0</v>
      </c>
      <c r="BA587" s="2" t="n">
        <v>0</v>
      </c>
      <c r="BB587" s="2" t="n">
        <v>0</v>
      </c>
      <c r="BC587" s="2" t="n">
        <v>0</v>
      </c>
      <c r="BD587" s="2" t="n">
        <v>0</v>
      </c>
      <c r="BE587" s="2" t="n">
        <v>0</v>
      </c>
      <c r="BF587" s="2" t="n">
        <v>0</v>
      </c>
      <c r="BG587" s="2" t="n">
        <v>0</v>
      </c>
      <c r="BH587" s="2" t="n">
        <v>0</v>
      </c>
      <c r="BI587" s="2" t="n">
        <v>0</v>
      </c>
      <c r="BJ587" s="2" t="n">
        <v>0</v>
      </c>
      <c r="BK587" s="2" t="n">
        <v>0</v>
      </c>
      <c r="BL587" s="2" t="n">
        <v>0</v>
      </c>
      <c r="BM587" s="2" t="n">
        <v>0</v>
      </c>
      <c r="BN587" s="2" t="n">
        <v>0</v>
      </c>
      <c r="BO587" s="2" t="n">
        <v>0</v>
      </c>
      <c r="BP587" s="2" t="n">
        <v>0</v>
      </c>
      <c r="BQ587" s="2" t="n">
        <v>0</v>
      </c>
      <c r="BR587" s="2" t="n">
        <v>0</v>
      </c>
      <c r="BS587" s="2" t="n">
        <v>0</v>
      </c>
      <c r="BT587" s="2" t="n">
        <v>0</v>
      </c>
      <c r="BU587" s="2" t="n">
        <v>0</v>
      </c>
      <c r="BV587" s="2" t="n">
        <v>0</v>
      </c>
      <c r="BW587" s="2" t="n">
        <v>0</v>
      </c>
      <c r="BX587" s="2" t="n">
        <v>0</v>
      </c>
      <c r="BY587" s="2" t="n">
        <v>0</v>
      </c>
      <c r="BZ587" s="2" t="n">
        <v>0</v>
      </c>
      <c r="CA587" s="2" t="n">
        <v>0</v>
      </c>
      <c r="CB587" s="2" t="n">
        <v>0</v>
      </c>
      <c r="CC587" s="2" t="n">
        <v>0</v>
      </c>
      <c r="CD587" s="2" t="n">
        <v>0</v>
      </c>
      <c r="CE587" s="2" t="n">
        <v>0</v>
      </c>
      <c r="CF587" s="2" t="n">
        <v>0</v>
      </c>
      <c r="CG587" s="2" t="n">
        <v>0</v>
      </c>
      <c r="CH587" s="2" t="n">
        <v>0</v>
      </c>
      <c r="CI587" s="2" t="n">
        <v>14.29</v>
      </c>
      <c r="CJ587" s="2" t="n">
        <v>28.57</v>
      </c>
      <c r="CK587" s="2" t="n">
        <v>0</v>
      </c>
      <c r="CL587" s="2" t="n">
        <v>28.57</v>
      </c>
      <c r="CM587" s="2" t="n">
        <v>28.57</v>
      </c>
      <c r="CN587" s="2" t="n">
        <v>0</v>
      </c>
      <c r="CO587" s="2" t="n">
        <v>28.57</v>
      </c>
      <c r="CP587" s="2" t="n">
        <v>42.86</v>
      </c>
      <c r="CQ587" s="2" t="n">
        <v>0</v>
      </c>
      <c r="CR587" s="2" t="n">
        <v>42.86</v>
      </c>
      <c r="CS587" s="2" t="n">
        <v>42.86</v>
      </c>
      <c r="CT587" s="2" t="n">
        <v>0</v>
      </c>
      <c r="CU587" s="2" t="n">
        <v>42.86</v>
      </c>
      <c r="CV587" s="2" t="n">
        <v>51.43</v>
      </c>
      <c r="CW587" s="2" t="n">
        <v>0</v>
      </c>
      <c r="CX587" s="2" t="n">
        <v>52.86</v>
      </c>
      <c r="CY587" s="2" t="n">
        <v>57.14</v>
      </c>
      <c r="CZ587" s="2" t="n">
        <v>0</v>
      </c>
      <c r="DA587" s="2" t="n">
        <v>57.14</v>
      </c>
      <c r="DB587" s="2" t="n">
        <v>62.86</v>
      </c>
      <c r="DC587" s="2" t="n">
        <v>0</v>
      </c>
      <c r="DD587" s="2" t="n">
        <v>67.14</v>
      </c>
      <c r="DE587" s="2" t="n">
        <v>71.43000000000001</v>
      </c>
      <c r="DF587" s="2" t="n">
        <v>0</v>
      </c>
      <c r="DG587" s="2" t="n">
        <v>71.43000000000001</v>
      </c>
      <c r="DH587" s="2" t="n">
        <v>71.43000000000001</v>
      </c>
      <c r="DI587" s="2" t="n">
        <v>0</v>
      </c>
      <c r="DJ587" s="2" t="n">
        <v>71.43000000000001</v>
      </c>
      <c r="DK587" s="2" t="n">
        <v>75.23999999999999</v>
      </c>
      <c r="DL587" s="2" t="n">
        <v>0</v>
      </c>
      <c r="DM587" s="2" t="n">
        <v>98.09999999999999</v>
      </c>
      <c r="DN587" s="2" t="n">
        <v>100</v>
      </c>
      <c r="DO587" s="2" t="n">
        <v>0</v>
      </c>
      <c r="DP587" s="2" t="n">
        <v>100</v>
      </c>
      <c r="DQ587" s="2" t="n">
        <v>100</v>
      </c>
      <c r="DR587" s="2" t="n">
        <v>0</v>
      </c>
      <c r="DS587" s="2" t="n">
        <v>100</v>
      </c>
      <c r="DT587" s="2" t="n">
        <v>100</v>
      </c>
      <c r="DU587" s="2" t="n">
        <v>0</v>
      </c>
      <c r="DV587" s="2" t="n">
        <v>100</v>
      </c>
      <c r="DW587" s="2" t="n">
        <v>100</v>
      </c>
      <c r="DX587" s="2" t="n">
        <v>0</v>
      </c>
      <c r="DY587" s="2" t="n">
        <v>100</v>
      </c>
      <c r="DZ587" s="2" t="n">
        <v>100</v>
      </c>
      <c r="EA587" s="2" t="n">
        <v>0</v>
      </c>
      <c r="EB587" s="2" t="n">
        <v>100</v>
      </c>
      <c r="EC587" s="2" t="n">
        <v>100</v>
      </c>
      <c r="ED587" s="2" t="n">
        <v>0</v>
      </c>
      <c r="EE587" s="2" t="n">
        <v>100</v>
      </c>
      <c r="EF587" s="2" t="n">
        <v>100</v>
      </c>
      <c r="EG587" s="2" t="n">
        <v>0</v>
      </c>
      <c r="EH587" s="2" t="n">
        <v>100</v>
      </c>
      <c r="EI587" s="2" t="n">
        <v>100</v>
      </c>
      <c r="EJ587" s="2" t="n">
        <v>0</v>
      </c>
      <c r="EK587" s="2" t="n">
        <v>100</v>
      </c>
      <c r="EL587" s="2" t="n">
        <v>100</v>
      </c>
      <c r="EM587" s="2" t="n">
        <v>0</v>
      </c>
      <c r="EN587" s="2" t="n">
        <v>100</v>
      </c>
      <c r="EO587" s="2" t="n">
        <v>100</v>
      </c>
      <c r="EP587" s="2" t="n">
        <v>0</v>
      </c>
      <c r="EQ587" s="2" t="n">
        <v>100</v>
      </c>
      <c r="ER587" s="2" t="n">
        <v>100</v>
      </c>
      <c r="ES587" s="2" t="n">
        <v>0</v>
      </c>
    </row>
    <row r="588">
      <c r="A588" s="2" t="n">
        <v>2</v>
      </c>
      <c r="B588" s="2" t="inlineStr">
        <is>
          <t>26.03</t>
        </is>
      </c>
      <c r="C588" s="2" t="inlineStr">
        <is>
          <t>Alçapões</t>
        </is>
      </c>
      <c r="D588" s="2" t="inlineStr">
        <is>
          <t>02/08/2027</t>
        </is>
      </c>
      <c r="E588" s="2" t="inlineStr">
        <is>
          <t>29/06/2028</t>
        </is>
      </c>
      <c r="F588" s="2" t="n">
        <v>9383.907478983083</v>
      </c>
      <c r="G588" s="2" t="n">
        <v>0</v>
      </c>
      <c r="H588" s="2" t="n">
        <v>9383.907478983083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  <c r="AN588" s="2" t="n">
        <v>0</v>
      </c>
      <c r="AO588" s="2" t="n">
        <v>0</v>
      </c>
      <c r="AP588" s="2" t="n">
        <v>0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0</v>
      </c>
      <c r="AY588" s="2" t="n">
        <v>0</v>
      </c>
      <c r="AZ588" s="2" t="n">
        <v>0</v>
      </c>
      <c r="BA588" s="2" t="n">
        <v>0</v>
      </c>
      <c r="BB588" s="2" t="n">
        <v>0</v>
      </c>
      <c r="BC588" s="2" t="n">
        <v>0</v>
      </c>
      <c r="BD588" s="2" t="n">
        <v>0</v>
      </c>
      <c r="BE588" s="2" t="n">
        <v>0</v>
      </c>
      <c r="BF588" s="2" t="n">
        <v>0</v>
      </c>
      <c r="BG588" s="2" t="n">
        <v>0</v>
      </c>
      <c r="BH588" s="2" t="n">
        <v>0</v>
      </c>
      <c r="BI588" s="2" t="n">
        <v>0</v>
      </c>
      <c r="BJ588" s="2" t="n">
        <v>0</v>
      </c>
      <c r="BK588" s="2" t="n">
        <v>0</v>
      </c>
      <c r="BL588" s="2" t="n">
        <v>0</v>
      </c>
      <c r="BM588" s="2" t="n">
        <v>0</v>
      </c>
      <c r="BN588" s="2" t="n">
        <v>0</v>
      </c>
      <c r="BO588" s="2" t="n">
        <v>0</v>
      </c>
      <c r="BP588" s="2" t="n">
        <v>0</v>
      </c>
      <c r="BQ588" s="2" t="n">
        <v>0</v>
      </c>
      <c r="BR588" s="2" t="n">
        <v>0</v>
      </c>
      <c r="BS588" s="2" t="n">
        <v>0</v>
      </c>
      <c r="BT588" s="2" t="n">
        <v>0</v>
      </c>
      <c r="BU588" s="2" t="n">
        <v>0</v>
      </c>
      <c r="BV588" s="2" t="n">
        <v>0</v>
      </c>
      <c r="BW588" s="2" t="n">
        <v>0</v>
      </c>
      <c r="BX588" s="2" t="n">
        <v>0</v>
      </c>
      <c r="BY588" s="2" t="n">
        <v>0</v>
      </c>
      <c r="BZ588" s="2" t="n">
        <v>0</v>
      </c>
      <c r="CA588" s="2" t="n">
        <v>0</v>
      </c>
      <c r="CB588" s="2" t="n">
        <v>0</v>
      </c>
      <c r="CC588" s="2" t="n">
        <v>0</v>
      </c>
      <c r="CD588" s="2" t="n">
        <v>0</v>
      </c>
      <c r="CE588" s="2" t="n">
        <v>0</v>
      </c>
      <c r="CF588" s="2" t="n">
        <v>0</v>
      </c>
      <c r="CG588" s="2" t="n">
        <v>0</v>
      </c>
      <c r="CH588" s="2" t="n">
        <v>0</v>
      </c>
      <c r="CI588" s="2" t="n">
        <v>14.29</v>
      </c>
      <c r="CJ588" s="2" t="n">
        <v>28.57</v>
      </c>
      <c r="CK588" s="2" t="n">
        <v>0</v>
      </c>
      <c r="CL588" s="2" t="n">
        <v>28.57</v>
      </c>
      <c r="CM588" s="2" t="n">
        <v>28.57</v>
      </c>
      <c r="CN588" s="2" t="n">
        <v>0</v>
      </c>
      <c r="CO588" s="2" t="n">
        <v>28.57</v>
      </c>
      <c r="CP588" s="2" t="n">
        <v>42.86</v>
      </c>
      <c r="CQ588" s="2" t="n">
        <v>0</v>
      </c>
      <c r="CR588" s="2" t="n">
        <v>42.86</v>
      </c>
      <c r="CS588" s="2" t="n">
        <v>42.86</v>
      </c>
      <c r="CT588" s="2" t="n">
        <v>0</v>
      </c>
      <c r="CU588" s="2" t="n">
        <v>42.86</v>
      </c>
      <c r="CV588" s="2" t="n">
        <v>51.43</v>
      </c>
      <c r="CW588" s="2" t="n">
        <v>0</v>
      </c>
      <c r="CX588" s="2" t="n">
        <v>52.86</v>
      </c>
      <c r="CY588" s="2" t="n">
        <v>57.14</v>
      </c>
      <c r="CZ588" s="2" t="n">
        <v>0</v>
      </c>
      <c r="DA588" s="2" t="n">
        <v>57.14</v>
      </c>
      <c r="DB588" s="2" t="n">
        <v>62.86</v>
      </c>
      <c r="DC588" s="2" t="n">
        <v>0</v>
      </c>
      <c r="DD588" s="2" t="n">
        <v>67.14</v>
      </c>
      <c r="DE588" s="2" t="n">
        <v>71.43000000000001</v>
      </c>
      <c r="DF588" s="2" t="n">
        <v>0</v>
      </c>
      <c r="DG588" s="2" t="n">
        <v>71.43000000000001</v>
      </c>
      <c r="DH588" s="2" t="n">
        <v>71.43000000000001</v>
      </c>
      <c r="DI588" s="2" t="n">
        <v>0</v>
      </c>
      <c r="DJ588" s="2" t="n">
        <v>71.43000000000001</v>
      </c>
      <c r="DK588" s="2" t="n">
        <v>75.23999999999999</v>
      </c>
      <c r="DL588" s="2" t="n">
        <v>0</v>
      </c>
      <c r="DM588" s="2" t="n">
        <v>98.09999999999999</v>
      </c>
      <c r="DN588" s="2" t="n">
        <v>100</v>
      </c>
      <c r="DO588" s="2" t="n">
        <v>0</v>
      </c>
      <c r="DP588" s="2" t="n">
        <v>100</v>
      </c>
      <c r="DQ588" s="2" t="n">
        <v>100</v>
      </c>
      <c r="DR588" s="2" t="n">
        <v>0</v>
      </c>
      <c r="DS588" s="2" t="n">
        <v>100</v>
      </c>
      <c r="DT588" s="2" t="n">
        <v>100</v>
      </c>
      <c r="DU588" s="2" t="n">
        <v>0</v>
      </c>
      <c r="DV588" s="2" t="n">
        <v>100</v>
      </c>
      <c r="DW588" s="2" t="n">
        <v>100</v>
      </c>
      <c r="DX588" s="2" t="n">
        <v>0</v>
      </c>
      <c r="DY588" s="2" t="n">
        <v>100</v>
      </c>
      <c r="DZ588" s="2" t="n">
        <v>100</v>
      </c>
      <c r="EA588" s="2" t="n">
        <v>0</v>
      </c>
      <c r="EB588" s="2" t="n">
        <v>100</v>
      </c>
      <c r="EC588" s="2" t="n">
        <v>100</v>
      </c>
      <c r="ED588" s="2" t="n">
        <v>0</v>
      </c>
      <c r="EE588" s="2" t="n">
        <v>100</v>
      </c>
      <c r="EF588" s="2" t="n">
        <v>100</v>
      </c>
      <c r="EG588" s="2" t="n">
        <v>0</v>
      </c>
      <c r="EH588" s="2" t="n">
        <v>100</v>
      </c>
      <c r="EI588" s="2" t="n">
        <v>100</v>
      </c>
      <c r="EJ588" s="2" t="n">
        <v>0</v>
      </c>
      <c r="EK588" s="2" t="n">
        <v>100</v>
      </c>
      <c r="EL588" s="2" t="n">
        <v>100</v>
      </c>
      <c r="EM588" s="2" t="n">
        <v>0</v>
      </c>
      <c r="EN588" s="2" t="n">
        <v>100</v>
      </c>
      <c r="EO588" s="2" t="n">
        <v>100</v>
      </c>
      <c r="EP588" s="2" t="n">
        <v>0</v>
      </c>
      <c r="EQ588" s="2" t="n">
        <v>100</v>
      </c>
      <c r="ER588" s="2" t="n">
        <v>100</v>
      </c>
      <c r="ES588" s="2" t="n">
        <v>0</v>
      </c>
    </row>
    <row r="589">
      <c r="A589" s="2" t="n">
        <v>3</v>
      </c>
      <c r="B589" s="2" t="inlineStr">
        <is>
          <t>26.03.01</t>
        </is>
      </c>
      <c r="C589" s="2" t="inlineStr">
        <is>
          <t>Alçapão de chapa lisa 200x130cm</t>
        </is>
      </c>
      <c r="D589" s="2" t="inlineStr">
        <is>
          <t>02/08/2027</t>
        </is>
      </c>
      <c r="E589" s="2" t="inlineStr">
        <is>
          <t>29/06/2028</t>
        </is>
      </c>
      <c r="F589" s="2" t="n">
        <v>4245.619393043389</v>
      </c>
      <c r="G589" s="2" t="n">
        <v>0</v>
      </c>
      <c r="H589" s="2" t="n">
        <v>4245.619393043389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  <c r="AN589" s="2" t="n">
        <v>0</v>
      </c>
      <c r="AO589" s="2" t="n">
        <v>0</v>
      </c>
      <c r="AP589" s="2" t="n">
        <v>0</v>
      </c>
      <c r="AQ589" s="2" t="n">
        <v>0</v>
      </c>
      <c r="AR589" s="2" t="n">
        <v>0</v>
      </c>
      <c r="AS589" s="2" t="n">
        <v>0</v>
      </c>
      <c r="AT589" s="2" t="n">
        <v>0</v>
      </c>
      <c r="AU589" s="2" t="n">
        <v>0</v>
      </c>
      <c r="AV589" s="2" t="n">
        <v>0</v>
      </c>
      <c r="AW589" s="2" t="n">
        <v>0</v>
      </c>
      <c r="AX589" s="2" t="n">
        <v>0</v>
      </c>
      <c r="AY589" s="2" t="n">
        <v>0</v>
      </c>
      <c r="AZ589" s="2" t="n">
        <v>0</v>
      </c>
      <c r="BA589" s="2" t="n">
        <v>0</v>
      </c>
      <c r="BB589" s="2" t="n">
        <v>0</v>
      </c>
      <c r="BC589" s="2" t="n">
        <v>0</v>
      </c>
      <c r="BD589" s="2" t="n">
        <v>0</v>
      </c>
      <c r="BE589" s="2" t="n">
        <v>0</v>
      </c>
      <c r="BF589" s="2" t="n">
        <v>0</v>
      </c>
      <c r="BG589" s="2" t="n">
        <v>0</v>
      </c>
      <c r="BH589" s="2" t="n">
        <v>0</v>
      </c>
      <c r="BI589" s="2" t="n">
        <v>0</v>
      </c>
      <c r="BJ589" s="2" t="n">
        <v>0</v>
      </c>
      <c r="BK589" s="2" t="n">
        <v>0</v>
      </c>
      <c r="BL589" s="2" t="n">
        <v>0</v>
      </c>
      <c r="BM589" s="2" t="n">
        <v>0</v>
      </c>
      <c r="BN589" s="2" t="n">
        <v>0</v>
      </c>
      <c r="BO589" s="2" t="n">
        <v>0</v>
      </c>
      <c r="BP589" s="2" t="n">
        <v>0</v>
      </c>
      <c r="BQ589" s="2" t="n">
        <v>0</v>
      </c>
      <c r="BR589" s="2" t="n">
        <v>0</v>
      </c>
      <c r="BS589" s="2" t="n">
        <v>0</v>
      </c>
      <c r="BT589" s="2" t="n">
        <v>0</v>
      </c>
      <c r="BU589" s="2" t="n">
        <v>0</v>
      </c>
      <c r="BV589" s="2" t="n">
        <v>0</v>
      </c>
      <c r="BW589" s="2" t="n">
        <v>0</v>
      </c>
      <c r="BX589" s="2" t="n">
        <v>0</v>
      </c>
      <c r="BY589" s="2" t="n">
        <v>0</v>
      </c>
      <c r="BZ589" s="2" t="n">
        <v>0</v>
      </c>
      <c r="CA589" s="2" t="n">
        <v>0</v>
      </c>
      <c r="CB589" s="2" t="n">
        <v>0</v>
      </c>
      <c r="CC589" s="2" t="n">
        <v>0</v>
      </c>
      <c r="CD589" s="2" t="n">
        <v>0</v>
      </c>
      <c r="CE589" s="2" t="n">
        <v>0</v>
      </c>
      <c r="CF589" s="2" t="n">
        <v>0</v>
      </c>
      <c r="CG589" s="2" t="n">
        <v>0</v>
      </c>
      <c r="CH589" s="2" t="n">
        <v>0</v>
      </c>
      <c r="CI589" s="2" t="n">
        <v>14.29</v>
      </c>
      <c r="CJ589" s="2" t="n">
        <v>28.57</v>
      </c>
      <c r="CK589" s="2" t="n">
        <v>0</v>
      </c>
      <c r="CL589" s="2" t="n">
        <v>28.57</v>
      </c>
      <c r="CM589" s="2" t="n">
        <v>28.57</v>
      </c>
      <c r="CN589" s="2" t="n">
        <v>0</v>
      </c>
      <c r="CO589" s="2" t="n">
        <v>28.57</v>
      </c>
      <c r="CP589" s="2" t="n">
        <v>42.86</v>
      </c>
      <c r="CQ589" s="2" t="n">
        <v>0</v>
      </c>
      <c r="CR589" s="2" t="n">
        <v>42.86</v>
      </c>
      <c r="CS589" s="2" t="n">
        <v>42.86</v>
      </c>
      <c r="CT589" s="2" t="n">
        <v>0</v>
      </c>
      <c r="CU589" s="2" t="n">
        <v>42.86</v>
      </c>
      <c r="CV589" s="2" t="n">
        <v>51.43</v>
      </c>
      <c r="CW589" s="2" t="n">
        <v>0</v>
      </c>
      <c r="CX589" s="2" t="n">
        <v>52.86</v>
      </c>
      <c r="CY589" s="2" t="n">
        <v>57.14</v>
      </c>
      <c r="CZ589" s="2" t="n">
        <v>0</v>
      </c>
      <c r="DA589" s="2" t="n">
        <v>57.14</v>
      </c>
      <c r="DB589" s="2" t="n">
        <v>62.86</v>
      </c>
      <c r="DC589" s="2" t="n">
        <v>0</v>
      </c>
      <c r="DD589" s="2" t="n">
        <v>67.14</v>
      </c>
      <c r="DE589" s="2" t="n">
        <v>71.43000000000001</v>
      </c>
      <c r="DF589" s="2" t="n">
        <v>0</v>
      </c>
      <c r="DG589" s="2" t="n">
        <v>71.43000000000001</v>
      </c>
      <c r="DH589" s="2" t="n">
        <v>71.43000000000001</v>
      </c>
      <c r="DI589" s="2" t="n">
        <v>0</v>
      </c>
      <c r="DJ589" s="2" t="n">
        <v>71.43000000000001</v>
      </c>
      <c r="DK589" s="2" t="n">
        <v>75.23999999999999</v>
      </c>
      <c r="DL589" s="2" t="n">
        <v>0</v>
      </c>
      <c r="DM589" s="2" t="n">
        <v>98.09999999999999</v>
      </c>
      <c r="DN589" s="2" t="n">
        <v>100</v>
      </c>
      <c r="DO589" s="2" t="n">
        <v>0</v>
      </c>
      <c r="DP589" s="2" t="n">
        <v>100</v>
      </c>
      <c r="DQ589" s="2" t="n">
        <v>100</v>
      </c>
      <c r="DR589" s="2" t="n">
        <v>0</v>
      </c>
      <c r="DS589" s="2" t="n">
        <v>100</v>
      </c>
      <c r="DT589" s="2" t="n">
        <v>100</v>
      </c>
      <c r="DU589" s="2" t="n">
        <v>0</v>
      </c>
      <c r="DV589" s="2" t="n">
        <v>100</v>
      </c>
      <c r="DW589" s="2" t="n">
        <v>100</v>
      </c>
      <c r="DX589" s="2" t="n">
        <v>0</v>
      </c>
      <c r="DY589" s="2" t="n">
        <v>100</v>
      </c>
      <c r="DZ589" s="2" t="n">
        <v>100</v>
      </c>
      <c r="EA589" s="2" t="n">
        <v>0</v>
      </c>
      <c r="EB589" s="2" t="n">
        <v>100</v>
      </c>
      <c r="EC589" s="2" t="n">
        <v>100</v>
      </c>
      <c r="ED589" s="2" t="n">
        <v>0</v>
      </c>
      <c r="EE589" s="2" t="n">
        <v>100</v>
      </c>
      <c r="EF589" s="2" t="n">
        <v>100</v>
      </c>
      <c r="EG589" s="2" t="n">
        <v>0</v>
      </c>
      <c r="EH589" s="2" t="n">
        <v>100</v>
      </c>
      <c r="EI589" s="2" t="n">
        <v>100</v>
      </c>
      <c r="EJ589" s="2" t="n">
        <v>0</v>
      </c>
      <c r="EK589" s="2" t="n">
        <v>100</v>
      </c>
      <c r="EL589" s="2" t="n">
        <v>100</v>
      </c>
      <c r="EM589" s="2" t="n">
        <v>0</v>
      </c>
      <c r="EN589" s="2" t="n">
        <v>100</v>
      </c>
      <c r="EO589" s="2" t="n">
        <v>100</v>
      </c>
      <c r="EP589" s="2" t="n">
        <v>0</v>
      </c>
      <c r="EQ589" s="2" t="n">
        <v>100</v>
      </c>
      <c r="ER589" s="2" t="n">
        <v>100</v>
      </c>
      <c r="ES589" s="2" t="n">
        <v>0</v>
      </c>
    </row>
    <row r="590">
      <c r="A590" s="2" t="n">
        <v>3</v>
      </c>
      <c r="B590" s="2" t="inlineStr">
        <is>
          <t>26.03.02</t>
        </is>
      </c>
      <c r="C590" s="2" t="inlineStr">
        <is>
          <t>Alçapão de chapa lisa 80x80cm</t>
        </is>
      </c>
      <c r="D590" s="2" t="inlineStr">
        <is>
          <t>02/08/2027</t>
        </is>
      </c>
      <c r="E590" s="2" t="inlineStr">
        <is>
          <t>29/06/2028</t>
        </is>
      </c>
      <c r="F590" s="2" t="n">
        <v>2438.509600106973</v>
      </c>
      <c r="G590" s="2" t="n">
        <v>0</v>
      </c>
      <c r="H590" s="2" t="n">
        <v>2438.509600106973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  <c r="AN590" s="2" t="n">
        <v>0</v>
      </c>
      <c r="AO590" s="2" t="n">
        <v>0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n">
        <v>0</v>
      </c>
      <c r="AZ590" s="2" t="n">
        <v>0</v>
      </c>
      <c r="BA590" s="2" t="n">
        <v>0</v>
      </c>
      <c r="BB590" s="2" t="n">
        <v>0</v>
      </c>
      <c r="BC590" s="2" t="n">
        <v>0</v>
      </c>
      <c r="BD590" s="2" t="n">
        <v>0</v>
      </c>
      <c r="BE590" s="2" t="n">
        <v>0</v>
      </c>
      <c r="BF590" s="2" t="n">
        <v>0</v>
      </c>
      <c r="BG590" s="2" t="n">
        <v>0</v>
      </c>
      <c r="BH590" s="2" t="n">
        <v>0</v>
      </c>
      <c r="BI590" s="2" t="n">
        <v>0</v>
      </c>
      <c r="BJ590" s="2" t="n">
        <v>0</v>
      </c>
      <c r="BK590" s="2" t="n">
        <v>0</v>
      </c>
      <c r="BL590" s="2" t="n">
        <v>0</v>
      </c>
      <c r="BM590" s="2" t="n">
        <v>0</v>
      </c>
      <c r="BN590" s="2" t="n">
        <v>0</v>
      </c>
      <c r="BO590" s="2" t="n">
        <v>0</v>
      </c>
      <c r="BP590" s="2" t="n">
        <v>0</v>
      </c>
      <c r="BQ590" s="2" t="n">
        <v>0</v>
      </c>
      <c r="BR590" s="2" t="n">
        <v>0</v>
      </c>
      <c r="BS590" s="2" t="n">
        <v>0</v>
      </c>
      <c r="BT590" s="2" t="n">
        <v>0</v>
      </c>
      <c r="BU590" s="2" t="n">
        <v>0</v>
      </c>
      <c r="BV590" s="2" t="n">
        <v>0</v>
      </c>
      <c r="BW590" s="2" t="n">
        <v>0</v>
      </c>
      <c r="BX590" s="2" t="n">
        <v>0</v>
      </c>
      <c r="BY590" s="2" t="n">
        <v>0</v>
      </c>
      <c r="BZ590" s="2" t="n">
        <v>0</v>
      </c>
      <c r="CA590" s="2" t="n">
        <v>0</v>
      </c>
      <c r="CB590" s="2" t="n">
        <v>0</v>
      </c>
      <c r="CC590" s="2" t="n">
        <v>0</v>
      </c>
      <c r="CD590" s="2" t="n">
        <v>0</v>
      </c>
      <c r="CE590" s="2" t="n">
        <v>0</v>
      </c>
      <c r="CF590" s="2" t="n">
        <v>0</v>
      </c>
      <c r="CG590" s="2" t="n">
        <v>0</v>
      </c>
      <c r="CH590" s="2" t="n">
        <v>0</v>
      </c>
      <c r="CI590" s="2" t="n">
        <v>14.29</v>
      </c>
      <c r="CJ590" s="2" t="n">
        <v>28.57</v>
      </c>
      <c r="CK590" s="2" t="n">
        <v>0</v>
      </c>
      <c r="CL590" s="2" t="n">
        <v>28.57</v>
      </c>
      <c r="CM590" s="2" t="n">
        <v>28.57</v>
      </c>
      <c r="CN590" s="2" t="n">
        <v>0</v>
      </c>
      <c r="CO590" s="2" t="n">
        <v>28.57</v>
      </c>
      <c r="CP590" s="2" t="n">
        <v>42.86</v>
      </c>
      <c r="CQ590" s="2" t="n">
        <v>0</v>
      </c>
      <c r="CR590" s="2" t="n">
        <v>42.86</v>
      </c>
      <c r="CS590" s="2" t="n">
        <v>42.86</v>
      </c>
      <c r="CT590" s="2" t="n">
        <v>0</v>
      </c>
      <c r="CU590" s="2" t="n">
        <v>42.86</v>
      </c>
      <c r="CV590" s="2" t="n">
        <v>51.43</v>
      </c>
      <c r="CW590" s="2" t="n">
        <v>0</v>
      </c>
      <c r="CX590" s="2" t="n">
        <v>52.86</v>
      </c>
      <c r="CY590" s="2" t="n">
        <v>57.14</v>
      </c>
      <c r="CZ590" s="2" t="n">
        <v>0</v>
      </c>
      <c r="DA590" s="2" t="n">
        <v>57.14</v>
      </c>
      <c r="DB590" s="2" t="n">
        <v>62.86</v>
      </c>
      <c r="DC590" s="2" t="n">
        <v>0</v>
      </c>
      <c r="DD590" s="2" t="n">
        <v>67.14</v>
      </c>
      <c r="DE590" s="2" t="n">
        <v>71.43000000000001</v>
      </c>
      <c r="DF590" s="2" t="n">
        <v>0</v>
      </c>
      <c r="DG590" s="2" t="n">
        <v>71.43000000000001</v>
      </c>
      <c r="DH590" s="2" t="n">
        <v>71.43000000000001</v>
      </c>
      <c r="DI590" s="2" t="n">
        <v>0</v>
      </c>
      <c r="DJ590" s="2" t="n">
        <v>71.43000000000001</v>
      </c>
      <c r="DK590" s="2" t="n">
        <v>75.23999999999999</v>
      </c>
      <c r="DL590" s="2" t="n">
        <v>0</v>
      </c>
      <c r="DM590" s="2" t="n">
        <v>98.09999999999999</v>
      </c>
      <c r="DN590" s="2" t="n">
        <v>100</v>
      </c>
      <c r="DO590" s="2" t="n">
        <v>0</v>
      </c>
      <c r="DP590" s="2" t="n">
        <v>100</v>
      </c>
      <c r="DQ590" s="2" t="n">
        <v>100</v>
      </c>
      <c r="DR590" s="2" t="n">
        <v>0</v>
      </c>
      <c r="DS590" s="2" t="n">
        <v>100</v>
      </c>
      <c r="DT590" s="2" t="n">
        <v>100</v>
      </c>
      <c r="DU590" s="2" t="n">
        <v>0</v>
      </c>
      <c r="DV590" s="2" t="n">
        <v>100</v>
      </c>
      <c r="DW590" s="2" t="n">
        <v>100</v>
      </c>
      <c r="DX590" s="2" t="n">
        <v>0</v>
      </c>
      <c r="DY590" s="2" t="n">
        <v>100</v>
      </c>
      <c r="DZ590" s="2" t="n">
        <v>100</v>
      </c>
      <c r="EA590" s="2" t="n">
        <v>0</v>
      </c>
      <c r="EB590" s="2" t="n">
        <v>100</v>
      </c>
      <c r="EC590" s="2" t="n">
        <v>100</v>
      </c>
      <c r="ED590" s="2" t="n">
        <v>0</v>
      </c>
      <c r="EE590" s="2" t="n">
        <v>100</v>
      </c>
      <c r="EF590" s="2" t="n">
        <v>100</v>
      </c>
      <c r="EG590" s="2" t="n">
        <v>0</v>
      </c>
      <c r="EH590" s="2" t="n">
        <v>100</v>
      </c>
      <c r="EI590" s="2" t="n">
        <v>100</v>
      </c>
      <c r="EJ590" s="2" t="n">
        <v>0</v>
      </c>
      <c r="EK590" s="2" t="n">
        <v>100</v>
      </c>
      <c r="EL590" s="2" t="n">
        <v>100</v>
      </c>
      <c r="EM590" s="2" t="n">
        <v>0</v>
      </c>
      <c r="EN590" s="2" t="n">
        <v>100</v>
      </c>
      <c r="EO590" s="2" t="n">
        <v>100</v>
      </c>
      <c r="EP590" s="2" t="n">
        <v>0</v>
      </c>
      <c r="EQ590" s="2" t="n">
        <v>100</v>
      </c>
      <c r="ER590" s="2" t="n">
        <v>100</v>
      </c>
      <c r="ES590" s="2" t="n">
        <v>0</v>
      </c>
    </row>
    <row r="591">
      <c r="A591" s="2" t="n">
        <v>3</v>
      </c>
      <c r="B591" s="2" t="inlineStr">
        <is>
          <t>26.03.03</t>
        </is>
      </c>
      <c r="C591" s="2" t="inlineStr">
        <is>
          <t>AL02 - Portinhola de abrir em aço galvanizado, 80x80cm</t>
        </is>
      </c>
      <c r="D591" s="2" t="inlineStr">
        <is>
          <t>02/08/2027</t>
        </is>
      </c>
      <c r="E591" s="2" t="inlineStr">
        <is>
          <t>29/06/2028</t>
        </is>
      </c>
      <c r="F591" s="2" t="n">
        <v>2438.509600106973</v>
      </c>
      <c r="G591" s="2" t="n">
        <v>0</v>
      </c>
      <c r="H591" s="2" t="n">
        <v>2438.509600106973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  <c r="AN591" s="2" t="n">
        <v>0</v>
      </c>
      <c r="AO591" s="2" t="n">
        <v>0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0</v>
      </c>
      <c r="AY591" s="2" t="n">
        <v>0</v>
      </c>
      <c r="AZ591" s="2" t="n">
        <v>0</v>
      </c>
      <c r="BA591" s="2" t="n">
        <v>0</v>
      </c>
      <c r="BB591" s="2" t="n">
        <v>0</v>
      </c>
      <c r="BC591" s="2" t="n">
        <v>0</v>
      </c>
      <c r="BD591" s="2" t="n">
        <v>0</v>
      </c>
      <c r="BE591" s="2" t="n">
        <v>0</v>
      </c>
      <c r="BF591" s="2" t="n">
        <v>0</v>
      </c>
      <c r="BG591" s="2" t="n">
        <v>0</v>
      </c>
      <c r="BH591" s="2" t="n">
        <v>0</v>
      </c>
      <c r="BI591" s="2" t="n">
        <v>0</v>
      </c>
      <c r="BJ591" s="2" t="n">
        <v>0</v>
      </c>
      <c r="BK591" s="2" t="n">
        <v>0</v>
      </c>
      <c r="BL591" s="2" t="n">
        <v>0</v>
      </c>
      <c r="BM591" s="2" t="n">
        <v>0</v>
      </c>
      <c r="BN591" s="2" t="n">
        <v>0</v>
      </c>
      <c r="BO591" s="2" t="n">
        <v>0</v>
      </c>
      <c r="BP591" s="2" t="n">
        <v>0</v>
      </c>
      <c r="BQ591" s="2" t="n">
        <v>0</v>
      </c>
      <c r="BR591" s="2" t="n">
        <v>0</v>
      </c>
      <c r="BS591" s="2" t="n">
        <v>0</v>
      </c>
      <c r="BT591" s="2" t="n">
        <v>0</v>
      </c>
      <c r="BU591" s="2" t="n">
        <v>0</v>
      </c>
      <c r="BV591" s="2" t="n">
        <v>0</v>
      </c>
      <c r="BW591" s="2" t="n">
        <v>0</v>
      </c>
      <c r="BX591" s="2" t="n">
        <v>0</v>
      </c>
      <c r="BY591" s="2" t="n">
        <v>0</v>
      </c>
      <c r="BZ591" s="2" t="n">
        <v>0</v>
      </c>
      <c r="CA591" s="2" t="n">
        <v>0</v>
      </c>
      <c r="CB591" s="2" t="n">
        <v>0</v>
      </c>
      <c r="CC591" s="2" t="n">
        <v>0</v>
      </c>
      <c r="CD591" s="2" t="n">
        <v>0</v>
      </c>
      <c r="CE591" s="2" t="n">
        <v>0</v>
      </c>
      <c r="CF591" s="2" t="n">
        <v>0</v>
      </c>
      <c r="CG591" s="2" t="n">
        <v>0</v>
      </c>
      <c r="CH591" s="2" t="n">
        <v>0</v>
      </c>
      <c r="CI591" s="2" t="n">
        <v>14.29</v>
      </c>
      <c r="CJ591" s="2" t="n">
        <v>28.57</v>
      </c>
      <c r="CK591" s="2" t="n">
        <v>0</v>
      </c>
      <c r="CL591" s="2" t="n">
        <v>28.57</v>
      </c>
      <c r="CM591" s="2" t="n">
        <v>28.57</v>
      </c>
      <c r="CN591" s="2" t="n">
        <v>0</v>
      </c>
      <c r="CO591" s="2" t="n">
        <v>28.57</v>
      </c>
      <c r="CP591" s="2" t="n">
        <v>42.86</v>
      </c>
      <c r="CQ591" s="2" t="n">
        <v>0</v>
      </c>
      <c r="CR591" s="2" t="n">
        <v>42.86</v>
      </c>
      <c r="CS591" s="2" t="n">
        <v>42.86</v>
      </c>
      <c r="CT591" s="2" t="n">
        <v>0</v>
      </c>
      <c r="CU591" s="2" t="n">
        <v>42.86</v>
      </c>
      <c r="CV591" s="2" t="n">
        <v>51.43</v>
      </c>
      <c r="CW591" s="2" t="n">
        <v>0</v>
      </c>
      <c r="CX591" s="2" t="n">
        <v>52.86</v>
      </c>
      <c r="CY591" s="2" t="n">
        <v>57.14</v>
      </c>
      <c r="CZ591" s="2" t="n">
        <v>0</v>
      </c>
      <c r="DA591" s="2" t="n">
        <v>57.14</v>
      </c>
      <c r="DB591" s="2" t="n">
        <v>62.86</v>
      </c>
      <c r="DC591" s="2" t="n">
        <v>0</v>
      </c>
      <c r="DD591" s="2" t="n">
        <v>67.14</v>
      </c>
      <c r="DE591" s="2" t="n">
        <v>71.43000000000001</v>
      </c>
      <c r="DF591" s="2" t="n">
        <v>0</v>
      </c>
      <c r="DG591" s="2" t="n">
        <v>71.43000000000001</v>
      </c>
      <c r="DH591" s="2" t="n">
        <v>71.43000000000001</v>
      </c>
      <c r="DI591" s="2" t="n">
        <v>0</v>
      </c>
      <c r="DJ591" s="2" t="n">
        <v>71.43000000000001</v>
      </c>
      <c r="DK591" s="2" t="n">
        <v>75.23999999999999</v>
      </c>
      <c r="DL591" s="2" t="n">
        <v>0</v>
      </c>
      <c r="DM591" s="2" t="n">
        <v>98.09999999999999</v>
      </c>
      <c r="DN591" s="2" t="n">
        <v>100</v>
      </c>
      <c r="DO591" s="2" t="n">
        <v>0</v>
      </c>
      <c r="DP591" s="2" t="n">
        <v>100</v>
      </c>
      <c r="DQ591" s="2" t="n">
        <v>100</v>
      </c>
      <c r="DR591" s="2" t="n">
        <v>0</v>
      </c>
      <c r="DS591" s="2" t="n">
        <v>100</v>
      </c>
      <c r="DT591" s="2" t="n">
        <v>100</v>
      </c>
      <c r="DU591" s="2" t="n">
        <v>0</v>
      </c>
      <c r="DV591" s="2" t="n">
        <v>100</v>
      </c>
      <c r="DW591" s="2" t="n">
        <v>100</v>
      </c>
      <c r="DX591" s="2" t="n">
        <v>0</v>
      </c>
      <c r="DY591" s="2" t="n">
        <v>100</v>
      </c>
      <c r="DZ591" s="2" t="n">
        <v>100</v>
      </c>
      <c r="EA591" s="2" t="n">
        <v>0</v>
      </c>
      <c r="EB591" s="2" t="n">
        <v>100</v>
      </c>
      <c r="EC591" s="2" t="n">
        <v>100</v>
      </c>
      <c r="ED591" s="2" t="n">
        <v>0</v>
      </c>
      <c r="EE591" s="2" t="n">
        <v>100</v>
      </c>
      <c r="EF591" s="2" t="n">
        <v>100</v>
      </c>
      <c r="EG591" s="2" t="n">
        <v>0</v>
      </c>
      <c r="EH591" s="2" t="n">
        <v>100</v>
      </c>
      <c r="EI591" s="2" t="n">
        <v>100</v>
      </c>
      <c r="EJ591" s="2" t="n">
        <v>0</v>
      </c>
      <c r="EK591" s="2" t="n">
        <v>100</v>
      </c>
      <c r="EL591" s="2" t="n">
        <v>100</v>
      </c>
      <c r="EM591" s="2" t="n">
        <v>0</v>
      </c>
      <c r="EN591" s="2" t="n">
        <v>100</v>
      </c>
      <c r="EO591" s="2" t="n">
        <v>100</v>
      </c>
      <c r="EP591" s="2" t="n">
        <v>0</v>
      </c>
      <c r="EQ591" s="2" t="n">
        <v>100</v>
      </c>
      <c r="ER591" s="2" t="n">
        <v>100</v>
      </c>
      <c r="ES591" s="2" t="n">
        <v>0</v>
      </c>
    </row>
    <row r="592">
      <c r="A592" s="2" t="n">
        <v>3</v>
      </c>
      <c r="B592" s="2" t="inlineStr">
        <is>
          <t>26.03.04</t>
        </is>
      </c>
      <c r="C592" s="2" t="inlineStr">
        <is>
          <t>AL01 - Portinhola de abrir em aço galvanizado, 80x60cm</t>
        </is>
      </c>
      <c r="D592" s="2" t="inlineStr">
        <is>
          <t>02/08/2027</t>
        </is>
      </c>
      <c r="E592" s="2" t="inlineStr">
        <is>
          <t>29/06/2028</t>
        </is>
      </c>
      <c r="F592" s="2" t="n">
        <v>261.2688857257471</v>
      </c>
      <c r="G592" s="2" t="n">
        <v>0</v>
      </c>
      <c r="H592" s="2" t="n">
        <v>261.2688857257471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0</v>
      </c>
      <c r="AN592" s="2" t="n">
        <v>0</v>
      </c>
      <c r="AO592" s="2" t="n">
        <v>0</v>
      </c>
      <c r="AP592" s="2" t="n">
        <v>0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0</v>
      </c>
      <c r="AX592" s="2" t="n">
        <v>0</v>
      </c>
      <c r="AY592" s="2" t="n">
        <v>0</v>
      </c>
      <c r="AZ592" s="2" t="n">
        <v>0</v>
      </c>
      <c r="BA592" s="2" t="n">
        <v>0</v>
      </c>
      <c r="BB592" s="2" t="n">
        <v>0</v>
      </c>
      <c r="BC592" s="2" t="n">
        <v>0</v>
      </c>
      <c r="BD592" s="2" t="n">
        <v>0</v>
      </c>
      <c r="BE592" s="2" t="n">
        <v>0</v>
      </c>
      <c r="BF592" s="2" t="n">
        <v>0</v>
      </c>
      <c r="BG592" s="2" t="n">
        <v>0</v>
      </c>
      <c r="BH592" s="2" t="n">
        <v>0</v>
      </c>
      <c r="BI592" s="2" t="n">
        <v>0</v>
      </c>
      <c r="BJ592" s="2" t="n">
        <v>0</v>
      </c>
      <c r="BK592" s="2" t="n">
        <v>0</v>
      </c>
      <c r="BL592" s="2" t="n">
        <v>0</v>
      </c>
      <c r="BM592" s="2" t="n">
        <v>0</v>
      </c>
      <c r="BN592" s="2" t="n">
        <v>0</v>
      </c>
      <c r="BO592" s="2" t="n">
        <v>0</v>
      </c>
      <c r="BP592" s="2" t="n">
        <v>0</v>
      </c>
      <c r="BQ592" s="2" t="n">
        <v>0</v>
      </c>
      <c r="BR592" s="2" t="n">
        <v>0</v>
      </c>
      <c r="BS592" s="2" t="n">
        <v>0</v>
      </c>
      <c r="BT592" s="2" t="n">
        <v>0</v>
      </c>
      <c r="BU592" s="2" t="n">
        <v>0</v>
      </c>
      <c r="BV592" s="2" t="n">
        <v>0</v>
      </c>
      <c r="BW592" s="2" t="n">
        <v>0</v>
      </c>
      <c r="BX592" s="2" t="n">
        <v>0</v>
      </c>
      <c r="BY592" s="2" t="n">
        <v>0</v>
      </c>
      <c r="BZ592" s="2" t="n">
        <v>0</v>
      </c>
      <c r="CA592" s="2" t="n">
        <v>0</v>
      </c>
      <c r="CB592" s="2" t="n">
        <v>0</v>
      </c>
      <c r="CC592" s="2" t="n">
        <v>0</v>
      </c>
      <c r="CD592" s="2" t="n">
        <v>0</v>
      </c>
      <c r="CE592" s="2" t="n">
        <v>0</v>
      </c>
      <c r="CF592" s="2" t="n">
        <v>0</v>
      </c>
      <c r="CG592" s="2" t="n">
        <v>0</v>
      </c>
      <c r="CH592" s="2" t="n">
        <v>0</v>
      </c>
      <c r="CI592" s="2" t="n">
        <v>14.29</v>
      </c>
      <c r="CJ592" s="2" t="n">
        <v>28.57</v>
      </c>
      <c r="CK592" s="2" t="n">
        <v>0</v>
      </c>
      <c r="CL592" s="2" t="n">
        <v>28.57</v>
      </c>
      <c r="CM592" s="2" t="n">
        <v>28.57</v>
      </c>
      <c r="CN592" s="2" t="n">
        <v>0</v>
      </c>
      <c r="CO592" s="2" t="n">
        <v>28.57</v>
      </c>
      <c r="CP592" s="2" t="n">
        <v>42.86</v>
      </c>
      <c r="CQ592" s="2" t="n">
        <v>0</v>
      </c>
      <c r="CR592" s="2" t="n">
        <v>42.86</v>
      </c>
      <c r="CS592" s="2" t="n">
        <v>42.86</v>
      </c>
      <c r="CT592" s="2" t="n">
        <v>0</v>
      </c>
      <c r="CU592" s="2" t="n">
        <v>42.86</v>
      </c>
      <c r="CV592" s="2" t="n">
        <v>51.43</v>
      </c>
      <c r="CW592" s="2" t="n">
        <v>0</v>
      </c>
      <c r="CX592" s="2" t="n">
        <v>52.86</v>
      </c>
      <c r="CY592" s="2" t="n">
        <v>57.14</v>
      </c>
      <c r="CZ592" s="2" t="n">
        <v>0</v>
      </c>
      <c r="DA592" s="2" t="n">
        <v>57.14</v>
      </c>
      <c r="DB592" s="2" t="n">
        <v>62.86</v>
      </c>
      <c r="DC592" s="2" t="n">
        <v>0</v>
      </c>
      <c r="DD592" s="2" t="n">
        <v>67.14</v>
      </c>
      <c r="DE592" s="2" t="n">
        <v>71.43000000000001</v>
      </c>
      <c r="DF592" s="2" t="n">
        <v>0</v>
      </c>
      <c r="DG592" s="2" t="n">
        <v>71.43000000000001</v>
      </c>
      <c r="DH592" s="2" t="n">
        <v>71.43000000000001</v>
      </c>
      <c r="DI592" s="2" t="n">
        <v>0</v>
      </c>
      <c r="DJ592" s="2" t="n">
        <v>71.43000000000001</v>
      </c>
      <c r="DK592" s="2" t="n">
        <v>75.23999999999999</v>
      </c>
      <c r="DL592" s="2" t="n">
        <v>0</v>
      </c>
      <c r="DM592" s="2" t="n">
        <v>98.09999999999999</v>
      </c>
      <c r="DN592" s="2" t="n">
        <v>100</v>
      </c>
      <c r="DO592" s="2" t="n">
        <v>0</v>
      </c>
      <c r="DP592" s="2" t="n">
        <v>100</v>
      </c>
      <c r="DQ592" s="2" t="n">
        <v>100</v>
      </c>
      <c r="DR592" s="2" t="n">
        <v>0</v>
      </c>
      <c r="DS592" s="2" t="n">
        <v>100</v>
      </c>
      <c r="DT592" s="2" t="n">
        <v>100</v>
      </c>
      <c r="DU592" s="2" t="n">
        <v>0</v>
      </c>
      <c r="DV592" s="2" t="n">
        <v>100</v>
      </c>
      <c r="DW592" s="2" t="n">
        <v>100</v>
      </c>
      <c r="DX592" s="2" t="n">
        <v>0</v>
      </c>
      <c r="DY592" s="2" t="n">
        <v>100</v>
      </c>
      <c r="DZ592" s="2" t="n">
        <v>100</v>
      </c>
      <c r="EA592" s="2" t="n">
        <v>0</v>
      </c>
      <c r="EB592" s="2" t="n">
        <v>100</v>
      </c>
      <c r="EC592" s="2" t="n">
        <v>100</v>
      </c>
      <c r="ED592" s="2" t="n">
        <v>0</v>
      </c>
      <c r="EE592" s="2" t="n">
        <v>100</v>
      </c>
      <c r="EF592" s="2" t="n">
        <v>100</v>
      </c>
      <c r="EG592" s="2" t="n">
        <v>0</v>
      </c>
      <c r="EH592" s="2" t="n">
        <v>100</v>
      </c>
      <c r="EI592" s="2" t="n">
        <v>100</v>
      </c>
      <c r="EJ592" s="2" t="n">
        <v>0</v>
      </c>
      <c r="EK592" s="2" t="n">
        <v>100</v>
      </c>
      <c r="EL592" s="2" t="n">
        <v>100</v>
      </c>
      <c r="EM592" s="2" t="n">
        <v>0</v>
      </c>
      <c r="EN592" s="2" t="n">
        <v>100</v>
      </c>
      <c r="EO592" s="2" t="n">
        <v>100</v>
      </c>
      <c r="EP592" s="2" t="n">
        <v>0</v>
      </c>
      <c r="EQ592" s="2" t="n">
        <v>100</v>
      </c>
      <c r="ER592" s="2" t="n">
        <v>100</v>
      </c>
      <c r="ES592" s="2" t="n">
        <v>0</v>
      </c>
    </row>
    <row r="593">
      <c r="A593" s="2" t="n">
        <v>2</v>
      </c>
      <c r="B593" s="2" t="inlineStr">
        <is>
          <t>26.04</t>
        </is>
      </c>
      <c r="C593" s="2" t="inlineStr">
        <is>
          <t>Corrimaos e guarda corpos</t>
        </is>
      </c>
      <c r="D593" s="2" t="inlineStr">
        <is>
          <t>22/02/2028</t>
        </is>
      </c>
      <c r="E593" s="2" t="inlineStr">
        <is>
          <t>25/01/2029</t>
        </is>
      </c>
      <c r="F593" s="2" t="n">
        <v>138929.1556170276</v>
      </c>
      <c r="G593" s="2" t="n">
        <v>0</v>
      </c>
      <c r="H593" s="2" t="n">
        <v>138929.1556170276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  <c r="AN593" s="2" t="n">
        <v>0</v>
      </c>
      <c r="AO593" s="2" t="n">
        <v>0</v>
      </c>
      <c r="AP593" s="2" t="n">
        <v>0</v>
      </c>
      <c r="AQ593" s="2" t="n">
        <v>0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n">
        <v>0</v>
      </c>
      <c r="AZ593" s="2" t="n">
        <v>0</v>
      </c>
      <c r="BA593" s="2" t="n">
        <v>0</v>
      </c>
      <c r="BB593" s="2" t="n">
        <v>0</v>
      </c>
      <c r="BC593" s="2" t="n">
        <v>0</v>
      </c>
      <c r="BD593" s="2" t="n">
        <v>0</v>
      </c>
      <c r="BE593" s="2" t="n">
        <v>0</v>
      </c>
      <c r="BF593" s="2" t="n">
        <v>0</v>
      </c>
      <c r="BG593" s="2" t="n">
        <v>0</v>
      </c>
      <c r="BH593" s="2" t="n">
        <v>0</v>
      </c>
      <c r="BI593" s="2" t="n">
        <v>0</v>
      </c>
      <c r="BJ593" s="2" t="n">
        <v>0</v>
      </c>
      <c r="BK593" s="2" t="n">
        <v>0</v>
      </c>
      <c r="BL593" s="2" t="n">
        <v>0</v>
      </c>
      <c r="BM593" s="2" t="n">
        <v>0</v>
      </c>
      <c r="BN593" s="2" t="n">
        <v>0</v>
      </c>
      <c r="BO593" s="2" t="n">
        <v>0</v>
      </c>
      <c r="BP593" s="2" t="n">
        <v>0</v>
      </c>
      <c r="BQ593" s="2" t="n">
        <v>0</v>
      </c>
      <c r="BR593" s="2" t="n">
        <v>0</v>
      </c>
      <c r="BS593" s="2" t="n">
        <v>0</v>
      </c>
      <c r="BT593" s="2" t="n">
        <v>0</v>
      </c>
      <c r="BU593" s="2" t="n">
        <v>0</v>
      </c>
      <c r="BV593" s="2" t="n">
        <v>0</v>
      </c>
      <c r="BW593" s="2" t="n">
        <v>0</v>
      </c>
      <c r="BX593" s="2" t="n">
        <v>0</v>
      </c>
      <c r="BY593" s="2" t="n">
        <v>0</v>
      </c>
      <c r="BZ593" s="2" t="n">
        <v>0</v>
      </c>
      <c r="CA593" s="2" t="n">
        <v>0</v>
      </c>
      <c r="CB593" s="2" t="n">
        <v>0</v>
      </c>
      <c r="CC593" s="2" t="n">
        <v>0</v>
      </c>
      <c r="CD593" s="2" t="n">
        <v>0</v>
      </c>
      <c r="CE593" s="2" t="n">
        <v>0</v>
      </c>
      <c r="CF593" s="2" t="n">
        <v>0</v>
      </c>
      <c r="CG593" s="2" t="n">
        <v>0</v>
      </c>
      <c r="CH593" s="2" t="n">
        <v>0</v>
      </c>
      <c r="CI593" s="2" t="n">
        <v>0</v>
      </c>
      <c r="CJ593" s="2" t="n">
        <v>0</v>
      </c>
      <c r="CK593" s="2" t="n">
        <v>0</v>
      </c>
      <c r="CL593" s="2" t="n">
        <v>0</v>
      </c>
      <c r="CM593" s="2" t="n">
        <v>0</v>
      </c>
      <c r="CN593" s="2" t="n">
        <v>0</v>
      </c>
      <c r="CO593" s="2" t="n">
        <v>0</v>
      </c>
      <c r="CP593" s="2" t="n">
        <v>0</v>
      </c>
      <c r="CQ593" s="2" t="n">
        <v>0</v>
      </c>
      <c r="CR593" s="2" t="n">
        <v>0</v>
      </c>
      <c r="CS593" s="2" t="n">
        <v>0</v>
      </c>
      <c r="CT593" s="2" t="n">
        <v>0</v>
      </c>
      <c r="CU593" s="2" t="n">
        <v>0</v>
      </c>
      <c r="CV593" s="2" t="n">
        <v>0</v>
      </c>
      <c r="CW593" s="2" t="n">
        <v>0</v>
      </c>
      <c r="CX593" s="2" t="n">
        <v>0</v>
      </c>
      <c r="CY593" s="2" t="n">
        <v>0</v>
      </c>
      <c r="CZ593" s="2" t="n">
        <v>0</v>
      </c>
      <c r="DA593" s="2" t="n">
        <v>1.98</v>
      </c>
      <c r="DB593" s="2" t="n">
        <v>11.91</v>
      </c>
      <c r="DC593" s="2" t="n">
        <v>0</v>
      </c>
      <c r="DD593" s="2" t="n">
        <v>47.64</v>
      </c>
      <c r="DE593" s="2" t="n">
        <v>57.56</v>
      </c>
      <c r="DF593" s="2" t="n">
        <v>0</v>
      </c>
      <c r="DG593" s="2" t="n">
        <v>83.37</v>
      </c>
      <c r="DH593" s="2" t="n">
        <v>93.29000000000001</v>
      </c>
      <c r="DI593" s="2" t="n">
        <v>0</v>
      </c>
      <c r="DJ593" s="2" t="n">
        <v>99.23999999999999</v>
      </c>
      <c r="DK593" s="2" t="n">
        <v>99.23999999999999</v>
      </c>
      <c r="DL593" s="2" t="n">
        <v>0</v>
      </c>
      <c r="DM593" s="2" t="n">
        <v>99.23999999999999</v>
      </c>
      <c r="DN593" s="2" t="n">
        <v>99.23999999999999</v>
      </c>
      <c r="DO593" s="2" t="n">
        <v>0</v>
      </c>
      <c r="DP593" s="2" t="n">
        <v>99.23999999999999</v>
      </c>
      <c r="DQ593" s="2" t="n">
        <v>99.3</v>
      </c>
      <c r="DR593" s="2" t="n">
        <v>0</v>
      </c>
      <c r="DS593" s="2" t="n">
        <v>99.33</v>
      </c>
      <c r="DT593" s="2" t="n">
        <v>99.64</v>
      </c>
      <c r="DU593" s="2" t="n">
        <v>0</v>
      </c>
      <c r="DV593" s="2" t="n">
        <v>99.64</v>
      </c>
      <c r="DW593" s="2" t="n">
        <v>99.84999999999999</v>
      </c>
      <c r="DX593" s="2" t="n">
        <v>0</v>
      </c>
      <c r="DY593" s="2" t="n">
        <v>99.84999999999999</v>
      </c>
      <c r="DZ593" s="2" t="n">
        <v>99.84999999999999</v>
      </c>
      <c r="EA593" s="2" t="n">
        <v>0</v>
      </c>
      <c r="EB593" s="2" t="n">
        <v>99.84999999999999</v>
      </c>
      <c r="EC593" s="2" t="n">
        <v>99.84999999999999</v>
      </c>
      <c r="ED593" s="2" t="n">
        <v>0</v>
      </c>
      <c r="EE593" s="2" t="n">
        <v>99.84999999999999</v>
      </c>
      <c r="EF593" s="2" t="n">
        <v>99.88</v>
      </c>
      <c r="EG593" s="2" t="n">
        <v>0</v>
      </c>
      <c r="EH593" s="2" t="n">
        <v>99.89</v>
      </c>
      <c r="EI593" s="2" t="n">
        <v>100</v>
      </c>
      <c r="EJ593" s="2" t="n">
        <v>0</v>
      </c>
      <c r="EK593" s="2" t="n">
        <v>100</v>
      </c>
      <c r="EL593" s="2" t="n">
        <v>100</v>
      </c>
      <c r="EM593" s="2" t="n">
        <v>0</v>
      </c>
      <c r="EN593" s="2" t="n">
        <v>100</v>
      </c>
      <c r="EO593" s="2" t="n">
        <v>100</v>
      </c>
      <c r="EP593" s="2" t="n">
        <v>0</v>
      </c>
      <c r="EQ593" s="2" t="n">
        <v>100</v>
      </c>
      <c r="ER593" s="2" t="n">
        <v>100</v>
      </c>
      <c r="ES593" s="2" t="n">
        <v>0</v>
      </c>
    </row>
    <row r="594">
      <c r="A594" s="2" t="n">
        <v>3</v>
      </c>
      <c r="B594" s="2" t="inlineStr">
        <is>
          <t>26.04.01</t>
        </is>
      </c>
      <c r="C594" s="2" t="inlineStr">
        <is>
          <t>Corrimãos em aço carbono pintados com tinta esmalte</t>
        </is>
      </c>
      <c r="D594" s="2" t="inlineStr">
        <is>
          <t>22/02/2028</t>
        </is>
      </c>
      <c r="E594" s="2" t="inlineStr">
        <is>
          <t>04/05/2028</t>
        </is>
      </c>
      <c r="F594" s="2" t="n">
        <v>137879.2596011776</v>
      </c>
      <c r="G594" s="2" t="n">
        <v>0</v>
      </c>
      <c r="H594" s="2" t="n">
        <v>137879.2596011776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  <c r="AN594" s="2" t="n">
        <v>0</v>
      </c>
      <c r="AO594" s="2" t="n">
        <v>0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n">
        <v>0</v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0</v>
      </c>
      <c r="BE594" s="2" t="n">
        <v>0</v>
      </c>
      <c r="BF594" s="2" t="n">
        <v>0</v>
      </c>
      <c r="BG594" s="2" t="n">
        <v>0</v>
      </c>
      <c r="BH594" s="2" t="n">
        <v>0</v>
      </c>
      <c r="BI594" s="2" t="n">
        <v>0</v>
      </c>
      <c r="BJ594" s="2" t="n">
        <v>0</v>
      </c>
      <c r="BK594" s="2" t="n">
        <v>0</v>
      </c>
      <c r="BL594" s="2" t="n">
        <v>0</v>
      </c>
      <c r="BM594" s="2" t="n">
        <v>0</v>
      </c>
      <c r="BN594" s="2" t="n">
        <v>0</v>
      </c>
      <c r="BO594" s="2" t="n">
        <v>0</v>
      </c>
      <c r="BP594" s="2" t="n">
        <v>0</v>
      </c>
      <c r="BQ594" s="2" t="n">
        <v>0</v>
      </c>
      <c r="BR594" s="2" t="n">
        <v>0</v>
      </c>
      <c r="BS594" s="2" t="n">
        <v>0</v>
      </c>
      <c r="BT594" s="2" t="n">
        <v>0</v>
      </c>
      <c r="BU594" s="2" t="n">
        <v>0</v>
      </c>
      <c r="BV594" s="2" t="n">
        <v>0</v>
      </c>
      <c r="BW594" s="2" t="n">
        <v>0</v>
      </c>
      <c r="BX594" s="2" t="n">
        <v>0</v>
      </c>
      <c r="BY594" s="2" t="n">
        <v>0</v>
      </c>
      <c r="BZ594" s="2" t="n">
        <v>0</v>
      </c>
      <c r="CA594" s="2" t="n">
        <v>0</v>
      </c>
      <c r="CB594" s="2" t="n">
        <v>0</v>
      </c>
      <c r="CC594" s="2" t="n">
        <v>0</v>
      </c>
      <c r="CD594" s="2" t="n">
        <v>0</v>
      </c>
      <c r="CE594" s="2" t="n">
        <v>0</v>
      </c>
      <c r="CF594" s="2" t="n">
        <v>0</v>
      </c>
      <c r="CG594" s="2" t="n">
        <v>0</v>
      </c>
      <c r="CH594" s="2" t="n">
        <v>0</v>
      </c>
      <c r="CI594" s="2" t="n">
        <v>0</v>
      </c>
      <c r="CJ594" s="2" t="n">
        <v>0</v>
      </c>
      <c r="CK594" s="2" t="n">
        <v>0</v>
      </c>
      <c r="CL594" s="2" t="n">
        <v>0</v>
      </c>
      <c r="CM594" s="2" t="n">
        <v>0</v>
      </c>
      <c r="CN594" s="2" t="n">
        <v>0</v>
      </c>
      <c r="CO594" s="2" t="n">
        <v>0</v>
      </c>
      <c r="CP594" s="2" t="n">
        <v>0</v>
      </c>
      <c r="CQ594" s="2" t="n">
        <v>0</v>
      </c>
      <c r="CR594" s="2" t="n">
        <v>0</v>
      </c>
      <c r="CS594" s="2" t="n">
        <v>0</v>
      </c>
      <c r="CT594" s="2" t="n">
        <v>0</v>
      </c>
      <c r="CU594" s="2" t="n">
        <v>0</v>
      </c>
      <c r="CV594" s="2" t="n">
        <v>0</v>
      </c>
      <c r="CW594" s="2" t="n">
        <v>0</v>
      </c>
      <c r="CX594" s="2" t="n">
        <v>0</v>
      </c>
      <c r="CY594" s="2" t="n">
        <v>0</v>
      </c>
      <c r="CZ594" s="2" t="n">
        <v>0</v>
      </c>
      <c r="DA594" s="2" t="n">
        <v>2</v>
      </c>
      <c r="DB594" s="2" t="n">
        <v>12</v>
      </c>
      <c r="DC594" s="2" t="n">
        <v>0</v>
      </c>
      <c r="DD594" s="2" t="n">
        <v>48</v>
      </c>
      <c r="DE594" s="2" t="n">
        <v>58</v>
      </c>
      <c r="DF594" s="2" t="n">
        <v>0</v>
      </c>
      <c r="DG594" s="2" t="n">
        <v>84</v>
      </c>
      <c r="DH594" s="2" t="n">
        <v>94</v>
      </c>
      <c r="DI594" s="2" t="n">
        <v>0</v>
      </c>
      <c r="DJ594" s="2" t="n">
        <v>100</v>
      </c>
      <c r="DK594" s="2" t="n">
        <v>100</v>
      </c>
      <c r="DL594" s="2" t="n">
        <v>0</v>
      </c>
      <c r="DM594" s="2" t="n">
        <v>100</v>
      </c>
      <c r="DN594" s="2" t="n">
        <v>100</v>
      </c>
      <c r="DO594" s="2" t="n">
        <v>0</v>
      </c>
      <c r="DP594" s="2" t="n">
        <v>100</v>
      </c>
      <c r="DQ594" s="2" t="n">
        <v>100</v>
      </c>
      <c r="DR594" s="2" t="n">
        <v>0</v>
      </c>
      <c r="DS594" s="2" t="n">
        <v>100</v>
      </c>
      <c r="DT594" s="2" t="n">
        <v>100</v>
      </c>
      <c r="DU594" s="2" t="n">
        <v>0</v>
      </c>
      <c r="DV594" s="2" t="n">
        <v>100</v>
      </c>
      <c r="DW594" s="2" t="n">
        <v>100</v>
      </c>
      <c r="DX594" s="2" t="n">
        <v>0</v>
      </c>
      <c r="DY594" s="2" t="n">
        <v>100</v>
      </c>
      <c r="DZ594" s="2" t="n">
        <v>100</v>
      </c>
      <c r="EA594" s="2" t="n">
        <v>0</v>
      </c>
      <c r="EB594" s="2" t="n">
        <v>100</v>
      </c>
      <c r="EC594" s="2" t="n">
        <v>100</v>
      </c>
      <c r="ED594" s="2" t="n">
        <v>0</v>
      </c>
      <c r="EE594" s="2" t="n">
        <v>100</v>
      </c>
      <c r="EF594" s="2" t="n">
        <v>100</v>
      </c>
      <c r="EG594" s="2" t="n">
        <v>0</v>
      </c>
      <c r="EH594" s="2" t="n">
        <v>100</v>
      </c>
      <c r="EI594" s="2" t="n">
        <v>100</v>
      </c>
      <c r="EJ594" s="2" t="n">
        <v>0</v>
      </c>
      <c r="EK594" s="2" t="n">
        <v>100</v>
      </c>
      <c r="EL594" s="2" t="n">
        <v>100</v>
      </c>
      <c r="EM594" s="2" t="n">
        <v>0</v>
      </c>
      <c r="EN594" s="2" t="n">
        <v>100</v>
      </c>
      <c r="EO594" s="2" t="n">
        <v>100</v>
      </c>
      <c r="EP594" s="2" t="n">
        <v>0</v>
      </c>
      <c r="EQ594" s="2" t="n">
        <v>100</v>
      </c>
      <c r="ER594" s="2" t="n">
        <v>100</v>
      </c>
      <c r="ES594" s="2" t="n">
        <v>0</v>
      </c>
    </row>
    <row r="595">
      <c r="A595" s="2" t="n">
        <v>3</v>
      </c>
      <c r="B595" s="2" t="inlineStr">
        <is>
          <t>26.04.02</t>
        </is>
      </c>
      <c r="C595" s="2" t="inlineStr">
        <is>
          <t>Guarda-corpo tubular de aço H=120cm</t>
        </is>
      </c>
      <c r="D595" s="2" t="inlineStr">
        <is>
          <t>26/07/2028</t>
        </is>
      </c>
      <c r="E595" s="2" t="inlineStr">
        <is>
          <t>25/01/2029</t>
        </is>
      </c>
      <c r="F595" s="2" t="n">
        <v>1049.896015850082</v>
      </c>
      <c r="G595" s="2" t="n">
        <v>0</v>
      </c>
      <c r="H595" s="2" t="n">
        <v>1049.896015850082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  <c r="AN595" s="2" t="n">
        <v>0</v>
      </c>
      <c r="AO595" s="2" t="n">
        <v>0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n">
        <v>0</v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F595" s="2" t="n">
        <v>0</v>
      </c>
      <c r="BG595" s="2" t="n">
        <v>0</v>
      </c>
      <c r="BH595" s="2" t="n">
        <v>0</v>
      </c>
      <c r="BI595" s="2" t="n">
        <v>0</v>
      </c>
      <c r="BJ595" s="2" t="n">
        <v>0</v>
      </c>
      <c r="BK595" s="2" t="n">
        <v>0</v>
      </c>
      <c r="BL595" s="2" t="n">
        <v>0</v>
      </c>
      <c r="BM595" s="2" t="n">
        <v>0</v>
      </c>
      <c r="BN595" s="2" t="n">
        <v>0</v>
      </c>
      <c r="BO595" s="2" t="n">
        <v>0</v>
      </c>
      <c r="BP595" s="2" t="n">
        <v>0</v>
      </c>
      <c r="BQ595" s="2" t="n">
        <v>0</v>
      </c>
      <c r="BR595" s="2" t="n">
        <v>0</v>
      </c>
      <c r="BS595" s="2" t="n">
        <v>0</v>
      </c>
      <c r="BT595" s="2" t="n">
        <v>0</v>
      </c>
      <c r="BU595" s="2" t="n">
        <v>0</v>
      </c>
      <c r="BV595" s="2" t="n">
        <v>0</v>
      </c>
      <c r="BW595" s="2" t="n">
        <v>0</v>
      </c>
      <c r="BX595" s="2" t="n">
        <v>0</v>
      </c>
      <c r="BY595" s="2" t="n">
        <v>0</v>
      </c>
      <c r="BZ595" s="2" t="n">
        <v>0</v>
      </c>
      <c r="CA595" s="2" t="n">
        <v>0</v>
      </c>
      <c r="CB595" s="2" t="n">
        <v>0</v>
      </c>
      <c r="CC595" s="2" t="n">
        <v>0</v>
      </c>
      <c r="CD595" s="2" t="n">
        <v>0</v>
      </c>
      <c r="CE595" s="2" t="n">
        <v>0</v>
      </c>
      <c r="CF595" s="2" t="n">
        <v>0</v>
      </c>
      <c r="CG595" s="2" t="n">
        <v>0</v>
      </c>
      <c r="CH595" s="2" t="n">
        <v>0</v>
      </c>
      <c r="CI595" s="2" t="n">
        <v>0</v>
      </c>
      <c r="CJ595" s="2" t="n">
        <v>0</v>
      </c>
      <c r="CK595" s="2" t="n">
        <v>0</v>
      </c>
      <c r="CL595" s="2" t="n">
        <v>0</v>
      </c>
      <c r="CM595" s="2" t="n">
        <v>0</v>
      </c>
      <c r="CN595" s="2" t="n">
        <v>0</v>
      </c>
      <c r="CO595" s="2" t="n">
        <v>0</v>
      </c>
      <c r="CP595" s="2" t="n">
        <v>0</v>
      </c>
      <c r="CQ595" s="2" t="n">
        <v>0</v>
      </c>
      <c r="CR595" s="2" t="n">
        <v>0</v>
      </c>
      <c r="CS595" s="2" t="n">
        <v>0</v>
      </c>
      <c r="CT595" s="2" t="n">
        <v>0</v>
      </c>
      <c r="CU595" s="2" t="n">
        <v>0</v>
      </c>
      <c r="CV595" s="2" t="n">
        <v>0</v>
      </c>
      <c r="CW595" s="2" t="n">
        <v>0</v>
      </c>
      <c r="CX595" s="2" t="n">
        <v>0</v>
      </c>
      <c r="CY595" s="2" t="n">
        <v>0</v>
      </c>
      <c r="CZ595" s="2" t="n">
        <v>0</v>
      </c>
      <c r="DA595" s="2" t="n">
        <v>0</v>
      </c>
      <c r="DB595" s="2" t="n">
        <v>0</v>
      </c>
      <c r="DC595" s="2" t="n">
        <v>0</v>
      </c>
      <c r="DD595" s="2" t="n">
        <v>0</v>
      </c>
      <c r="DE595" s="2" t="n">
        <v>0</v>
      </c>
      <c r="DF595" s="2" t="n">
        <v>0</v>
      </c>
      <c r="DG595" s="2" t="n">
        <v>0</v>
      </c>
      <c r="DH595" s="2" t="n">
        <v>0</v>
      </c>
      <c r="DI595" s="2" t="n">
        <v>0</v>
      </c>
      <c r="DJ595" s="2" t="n">
        <v>0</v>
      </c>
      <c r="DK595" s="2" t="n">
        <v>0</v>
      </c>
      <c r="DL595" s="2" t="n">
        <v>0</v>
      </c>
      <c r="DM595" s="2" t="n">
        <v>0</v>
      </c>
      <c r="DN595" s="2" t="n">
        <v>0</v>
      </c>
      <c r="DO595" s="2" t="n">
        <v>0</v>
      </c>
      <c r="DP595" s="2" t="n">
        <v>0</v>
      </c>
      <c r="DQ595" s="2" t="n">
        <v>8</v>
      </c>
      <c r="DR595" s="2" t="n">
        <v>0</v>
      </c>
      <c r="DS595" s="2" t="n">
        <v>12</v>
      </c>
      <c r="DT595" s="2" t="n">
        <v>52</v>
      </c>
      <c r="DU595" s="2" t="n">
        <v>0</v>
      </c>
      <c r="DV595" s="2" t="n">
        <v>52</v>
      </c>
      <c r="DW595" s="2" t="n">
        <v>80</v>
      </c>
      <c r="DX595" s="2" t="n">
        <v>0</v>
      </c>
      <c r="DY595" s="2" t="n">
        <v>80</v>
      </c>
      <c r="DZ595" s="2" t="n">
        <v>80</v>
      </c>
      <c r="EA595" s="2" t="n">
        <v>0</v>
      </c>
      <c r="EB595" s="2" t="n">
        <v>80</v>
      </c>
      <c r="EC595" s="2" t="n">
        <v>80</v>
      </c>
      <c r="ED595" s="2" t="n">
        <v>0</v>
      </c>
      <c r="EE595" s="2" t="n">
        <v>80</v>
      </c>
      <c r="EF595" s="2" t="n">
        <v>83.64</v>
      </c>
      <c r="EG595" s="2" t="n">
        <v>0</v>
      </c>
      <c r="EH595" s="2" t="n">
        <v>85.45</v>
      </c>
      <c r="EI595" s="2" t="n">
        <v>100</v>
      </c>
      <c r="EJ595" s="2" t="n">
        <v>0</v>
      </c>
      <c r="EK595" s="2" t="n">
        <v>100</v>
      </c>
      <c r="EL595" s="2" t="n">
        <v>100</v>
      </c>
      <c r="EM595" s="2" t="n">
        <v>0</v>
      </c>
      <c r="EN595" s="2" t="n">
        <v>100</v>
      </c>
      <c r="EO595" s="2" t="n">
        <v>100</v>
      </c>
      <c r="EP595" s="2" t="n">
        <v>0</v>
      </c>
      <c r="EQ595" s="2" t="n">
        <v>100</v>
      </c>
      <c r="ER595" s="2" t="n">
        <v>100</v>
      </c>
      <c r="ES595" s="2" t="n">
        <v>0</v>
      </c>
    </row>
    <row r="596">
      <c r="A596" s="2" t="n">
        <v>2</v>
      </c>
      <c r="B596" s="2" t="inlineStr">
        <is>
          <t>26.05</t>
        </is>
      </c>
      <c r="C596" s="2" t="inlineStr">
        <is>
          <t>Gradis, portoes e fechamentos</t>
        </is>
      </c>
      <c r="D596" s="2" t="inlineStr">
        <is>
          <t>02/08/2027</t>
        </is>
      </c>
      <c r="E596" s="2" t="inlineStr">
        <is>
          <t>29/06/2028</t>
        </is>
      </c>
      <c r="F596" s="2" t="n">
        <v>28431</v>
      </c>
      <c r="G596" s="2" t="n">
        <v>0</v>
      </c>
      <c r="H596" s="2" t="n">
        <v>28431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  <c r="AN596" s="2" t="n">
        <v>0</v>
      </c>
      <c r="AO596" s="2" t="n">
        <v>0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 t="n">
        <v>0</v>
      </c>
      <c r="AY596" s="2" t="n">
        <v>0</v>
      </c>
      <c r="AZ596" s="2" t="n">
        <v>0</v>
      </c>
      <c r="BA596" s="2" t="n">
        <v>0</v>
      </c>
      <c r="BB596" s="2" t="n">
        <v>0</v>
      </c>
      <c r="BC596" s="2" t="n">
        <v>0</v>
      </c>
      <c r="BD596" s="2" t="n">
        <v>0</v>
      </c>
      <c r="BE596" s="2" t="n">
        <v>0</v>
      </c>
      <c r="BF596" s="2" t="n">
        <v>0</v>
      </c>
      <c r="BG596" s="2" t="n">
        <v>0</v>
      </c>
      <c r="BH596" s="2" t="n">
        <v>0</v>
      </c>
      <c r="BI596" s="2" t="n">
        <v>0</v>
      </c>
      <c r="BJ596" s="2" t="n">
        <v>0</v>
      </c>
      <c r="BK596" s="2" t="n">
        <v>0</v>
      </c>
      <c r="BL596" s="2" t="n">
        <v>0</v>
      </c>
      <c r="BM596" s="2" t="n">
        <v>0</v>
      </c>
      <c r="BN596" s="2" t="n">
        <v>0</v>
      </c>
      <c r="BO596" s="2" t="n">
        <v>0</v>
      </c>
      <c r="BP596" s="2" t="n">
        <v>0</v>
      </c>
      <c r="BQ596" s="2" t="n">
        <v>0</v>
      </c>
      <c r="BR596" s="2" t="n">
        <v>0</v>
      </c>
      <c r="BS596" s="2" t="n">
        <v>0</v>
      </c>
      <c r="BT596" s="2" t="n">
        <v>0</v>
      </c>
      <c r="BU596" s="2" t="n">
        <v>0</v>
      </c>
      <c r="BV596" s="2" t="n">
        <v>0</v>
      </c>
      <c r="BW596" s="2" t="n">
        <v>0</v>
      </c>
      <c r="BX596" s="2" t="n">
        <v>0</v>
      </c>
      <c r="BY596" s="2" t="n">
        <v>0</v>
      </c>
      <c r="BZ596" s="2" t="n">
        <v>0</v>
      </c>
      <c r="CA596" s="2" t="n">
        <v>0</v>
      </c>
      <c r="CB596" s="2" t="n">
        <v>0</v>
      </c>
      <c r="CC596" s="2" t="n">
        <v>0</v>
      </c>
      <c r="CD596" s="2" t="n">
        <v>0</v>
      </c>
      <c r="CE596" s="2" t="n">
        <v>0</v>
      </c>
      <c r="CF596" s="2" t="n">
        <v>0</v>
      </c>
      <c r="CG596" s="2" t="n">
        <v>0</v>
      </c>
      <c r="CH596" s="2" t="n">
        <v>0</v>
      </c>
      <c r="CI596" s="2" t="n">
        <v>14.29</v>
      </c>
      <c r="CJ596" s="2" t="n">
        <v>28.57</v>
      </c>
      <c r="CK596" s="2" t="n">
        <v>0</v>
      </c>
      <c r="CL596" s="2" t="n">
        <v>28.57</v>
      </c>
      <c r="CM596" s="2" t="n">
        <v>28.57</v>
      </c>
      <c r="CN596" s="2" t="n">
        <v>0</v>
      </c>
      <c r="CO596" s="2" t="n">
        <v>28.57</v>
      </c>
      <c r="CP596" s="2" t="n">
        <v>42.86</v>
      </c>
      <c r="CQ596" s="2" t="n">
        <v>0</v>
      </c>
      <c r="CR596" s="2" t="n">
        <v>42.86</v>
      </c>
      <c r="CS596" s="2" t="n">
        <v>42.86</v>
      </c>
      <c r="CT596" s="2" t="n">
        <v>0</v>
      </c>
      <c r="CU596" s="2" t="n">
        <v>42.86</v>
      </c>
      <c r="CV596" s="2" t="n">
        <v>51.43</v>
      </c>
      <c r="CW596" s="2" t="n">
        <v>0</v>
      </c>
      <c r="CX596" s="2" t="n">
        <v>52.86</v>
      </c>
      <c r="CY596" s="2" t="n">
        <v>57.14</v>
      </c>
      <c r="CZ596" s="2" t="n">
        <v>0</v>
      </c>
      <c r="DA596" s="2" t="n">
        <v>57.14</v>
      </c>
      <c r="DB596" s="2" t="n">
        <v>62.86</v>
      </c>
      <c r="DC596" s="2" t="n">
        <v>0</v>
      </c>
      <c r="DD596" s="2" t="n">
        <v>67.14</v>
      </c>
      <c r="DE596" s="2" t="n">
        <v>71.43000000000001</v>
      </c>
      <c r="DF596" s="2" t="n">
        <v>0</v>
      </c>
      <c r="DG596" s="2" t="n">
        <v>71.43000000000001</v>
      </c>
      <c r="DH596" s="2" t="n">
        <v>71.43000000000001</v>
      </c>
      <c r="DI596" s="2" t="n">
        <v>0</v>
      </c>
      <c r="DJ596" s="2" t="n">
        <v>71.43000000000001</v>
      </c>
      <c r="DK596" s="2" t="n">
        <v>75.23999999999999</v>
      </c>
      <c r="DL596" s="2" t="n">
        <v>0</v>
      </c>
      <c r="DM596" s="2" t="n">
        <v>98.09999999999999</v>
      </c>
      <c r="DN596" s="2" t="n">
        <v>100</v>
      </c>
      <c r="DO596" s="2" t="n">
        <v>0</v>
      </c>
      <c r="DP596" s="2" t="n">
        <v>100</v>
      </c>
      <c r="DQ596" s="2" t="n">
        <v>100</v>
      </c>
      <c r="DR596" s="2" t="n">
        <v>0</v>
      </c>
      <c r="DS596" s="2" t="n">
        <v>100</v>
      </c>
      <c r="DT596" s="2" t="n">
        <v>100</v>
      </c>
      <c r="DU596" s="2" t="n">
        <v>0</v>
      </c>
      <c r="DV596" s="2" t="n">
        <v>100</v>
      </c>
      <c r="DW596" s="2" t="n">
        <v>100</v>
      </c>
      <c r="DX596" s="2" t="n">
        <v>0</v>
      </c>
      <c r="DY596" s="2" t="n">
        <v>100</v>
      </c>
      <c r="DZ596" s="2" t="n">
        <v>100</v>
      </c>
      <c r="EA596" s="2" t="n">
        <v>0</v>
      </c>
      <c r="EB596" s="2" t="n">
        <v>100</v>
      </c>
      <c r="EC596" s="2" t="n">
        <v>100</v>
      </c>
      <c r="ED596" s="2" t="n">
        <v>0</v>
      </c>
      <c r="EE596" s="2" t="n">
        <v>100</v>
      </c>
      <c r="EF596" s="2" t="n">
        <v>100</v>
      </c>
      <c r="EG596" s="2" t="n">
        <v>0</v>
      </c>
      <c r="EH596" s="2" t="n">
        <v>100</v>
      </c>
      <c r="EI596" s="2" t="n">
        <v>100</v>
      </c>
      <c r="EJ596" s="2" t="n">
        <v>0</v>
      </c>
      <c r="EK596" s="2" t="n">
        <v>100</v>
      </c>
      <c r="EL596" s="2" t="n">
        <v>100</v>
      </c>
      <c r="EM596" s="2" t="n">
        <v>0</v>
      </c>
      <c r="EN596" s="2" t="n">
        <v>100</v>
      </c>
      <c r="EO596" s="2" t="n">
        <v>100</v>
      </c>
      <c r="EP596" s="2" t="n">
        <v>0</v>
      </c>
      <c r="EQ596" s="2" t="n">
        <v>100</v>
      </c>
      <c r="ER596" s="2" t="n">
        <v>100</v>
      </c>
      <c r="ES596" s="2" t="n">
        <v>0</v>
      </c>
    </row>
    <row r="597">
      <c r="A597" s="2" t="n">
        <v>3</v>
      </c>
      <c r="B597" s="2" t="inlineStr">
        <is>
          <t>26.05.01</t>
        </is>
      </c>
      <c r="C597" s="2" t="inlineStr">
        <is>
          <t>Al 01 - Alambrado a ser definido, tonalidade Bronze 104</t>
        </is>
      </c>
      <c r="D597" s="2" t="inlineStr">
        <is>
          <t>02/08/2027</t>
        </is>
      </c>
      <c r="E597" s="2" t="inlineStr">
        <is>
          <t>29/06/2028</t>
        </is>
      </c>
      <c r="F597" s="2" t="n">
        <v>28431</v>
      </c>
      <c r="G597" s="2" t="n">
        <v>0</v>
      </c>
      <c r="H597" s="2" t="n">
        <v>28431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  <c r="AN597" s="2" t="n">
        <v>0</v>
      </c>
      <c r="AO597" s="2" t="n">
        <v>0</v>
      </c>
      <c r="AP597" s="2" t="n">
        <v>0</v>
      </c>
      <c r="AQ597" s="2" t="n">
        <v>0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>
        <v>0</v>
      </c>
      <c r="AX597" s="2" t="n">
        <v>0</v>
      </c>
      <c r="AY597" s="2" t="n">
        <v>0</v>
      </c>
      <c r="AZ597" s="2" t="n">
        <v>0</v>
      </c>
      <c r="BA597" s="2" t="n">
        <v>0</v>
      </c>
      <c r="BB597" s="2" t="n">
        <v>0</v>
      </c>
      <c r="BC597" s="2" t="n">
        <v>0</v>
      </c>
      <c r="BD597" s="2" t="n">
        <v>0</v>
      </c>
      <c r="BE597" s="2" t="n">
        <v>0</v>
      </c>
      <c r="BF597" s="2" t="n">
        <v>0</v>
      </c>
      <c r="BG597" s="2" t="n">
        <v>0</v>
      </c>
      <c r="BH597" s="2" t="n">
        <v>0</v>
      </c>
      <c r="BI597" s="2" t="n">
        <v>0</v>
      </c>
      <c r="BJ597" s="2" t="n">
        <v>0</v>
      </c>
      <c r="BK597" s="2" t="n">
        <v>0</v>
      </c>
      <c r="BL597" s="2" t="n">
        <v>0</v>
      </c>
      <c r="BM597" s="2" t="n">
        <v>0</v>
      </c>
      <c r="BN597" s="2" t="n">
        <v>0</v>
      </c>
      <c r="BO597" s="2" t="n">
        <v>0</v>
      </c>
      <c r="BP597" s="2" t="n">
        <v>0</v>
      </c>
      <c r="BQ597" s="2" t="n">
        <v>0</v>
      </c>
      <c r="BR597" s="2" t="n">
        <v>0</v>
      </c>
      <c r="BS597" s="2" t="n">
        <v>0</v>
      </c>
      <c r="BT597" s="2" t="n">
        <v>0</v>
      </c>
      <c r="BU597" s="2" t="n">
        <v>0</v>
      </c>
      <c r="BV597" s="2" t="n">
        <v>0</v>
      </c>
      <c r="BW597" s="2" t="n">
        <v>0</v>
      </c>
      <c r="BX597" s="2" t="n">
        <v>0</v>
      </c>
      <c r="BY597" s="2" t="n">
        <v>0</v>
      </c>
      <c r="BZ597" s="2" t="n">
        <v>0</v>
      </c>
      <c r="CA597" s="2" t="n">
        <v>0</v>
      </c>
      <c r="CB597" s="2" t="n">
        <v>0</v>
      </c>
      <c r="CC597" s="2" t="n">
        <v>0</v>
      </c>
      <c r="CD597" s="2" t="n">
        <v>0</v>
      </c>
      <c r="CE597" s="2" t="n">
        <v>0</v>
      </c>
      <c r="CF597" s="2" t="n">
        <v>0</v>
      </c>
      <c r="CG597" s="2" t="n">
        <v>0</v>
      </c>
      <c r="CH597" s="2" t="n">
        <v>0</v>
      </c>
      <c r="CI597" s="2" t="n">
        <v>14.29</v>
      </c>
      <c r="CJ597" s="2" t="n">
        <v>28.57</v>
      </c>
      <c r="CK597" s="2" t="n">
        <v>0</v>
      </c>
      <c r="CL597" s="2" t="n">
        <v>28.57</v>
      </c>
      <c r="CM597" s="2" t="n">
        <v>28.57</v>
      </c>
      <c r="CN597" s="2" t="n">
        <v>0</v>
      </c>
      <c r="CO597" s="2" t="n">
        <v>28.57</v>
      </c>
      <c r="CP597" s="2" t="n">
        <v>42.86</v>
      </c>
      <c r="CQ597" s="2" t="n">
        <v>0</v>
      </c>
      <c r="CR597" s="2" t="n">
        <v>42.86</v>
      </c>
      <c r="CS597" s="2" t="n">
        <v>42.86</v>
      </c>
      <c r="CT597" s="2" t="n">
        <v>0</v>
      </c>
      <c r="CU597" s="2" t="n">
        <v>42.86</v>
      </c>
      <c r="CV597" s="2" t="n">
        <v>51.43</v>
      </c>
      <c r="CW597" s="2" t="n">
        <v>0</v>
      </c>
      <c r="CX597" s="2" t="n">
        <v>52.86</v>
      </c>
      <c r="CY597" s="2" t="n">
        <v>57.14</v>
      </c>
      <c r="CZ597" s="2" t="n">
        <v>0</v>
      </c>
      <c r="DA597" s="2" t="n">
        <v>57.14</v>
      </c>
      <c r="DB597" s="2" t="n">
        <v>62.86</v>
      </c>
      <c r="DC597" s="2" t="n">
        <v>0</v>
      </c>
      <c r="DD597" s="2" t="n">
        <v>67.14</v>
      </c>
      <c r="DE597" s="2" t="n">
        <v>71.43000000000001</v>
      </c>
      <c r="DF597" s="2" t="n">
        <v>0</v>
      </c>
      <c r="DG597" s="2" t="n">
        <v>71.43000000000001</v>
      </c>
      <c r="DH597" s="2" t="n">
        <v>71.43000000000001</v>
      </c>
      <c r="DI597" s="2" t="n">
        <v>0</v>
      </c>
      <c r="DJ597" s="2" t="n">
        <v>71.43000000000001</v>
      </c>
      <c r="DK597" s="2" t="n">
        <v>75.23999999999999</v>
      </c>
      <c r="DL597" s="2" t="n">
        <v>0</v>
      </c>
      <c r="DM597" s="2" t="n">
        <v>98.09999999999999</v>
      </c>
      <c r="DN597" s="2" t="n">
        <v>100</v>
      </c>
      <c r="DO597" s="2" t="n">
        <v>0</v>
      </c>
      <c r="DP597" s="2" t="n">
        <v>100</v>
      </c>
      <c r="DQ597" s="2" t="n">
        <v>100</v>
      </c>
      <c r="DR597" s="2" t="n">
        <v>0</v>
      </c>
      <c r="DS597" s="2" t="n">
        <v>100</v>
      </c>
      <c r="DT597" s="2" t="n">
        <v>100</v>
      </c>
      <c r="DU597" s="2" t="n">
        <v>0</v>
      </c>
      <c r="DV597" s="2" t="n">
        <v>100</v>
      </c>
      <c r="DW597" s="2" t="n">
        <v>100</v>
      </c>
      <c r="DX597" s="2" t="n">
        <v>0</v>
      </c>
      <c r="DY597" s="2" t="n">
        <v>100</v>
      </c>
      <c r="DZ597" s="2" t="n">
        <v>100</v>
      </c>
      <c r="EA597" s="2" t="n">
        <v>0</v>
      </c>
      <c r="EB597" s="2" t="n">
        <v>100</v>
      </c>
      <c r="EC597" s="2" t="n">
        <v>100</v>
      </c>
      <c r="ED597" s="2" t="n">
        <v>0</v>
      </c>
      <c r="EE597" s="2" t="n">
        <v>100</v>
      </c>
      <c r="EF597" s="2" t="n">
        <v>100</v>
      </c>
      <c r="EG597" s="2" t="n">
        <v>0</v>
      </c>
      <c r="EH597" s="2" t="n">
        <v>100</v>
      </c>
      <c r="EI597" s="2" t="n">
        <v>100</v>
      </c>
      <c r="EJ597" s="2" t="n">
        <v>0</v>
      </c>
      <c r="EK597" s="2" t="n">
        <v>100</v>
      </c>
      <c r="EL597" s="2" t="n">
        <v>100</v>
      </c>
      <c r="EM597" s="2" t="n">
        <v>0</v>
      </c>
      <c r="EN597" s="2" t="n">
        <v>100</v>
      </c>
      <c r="EO597" s="2" t="n">
        <v>100</v>
      </c>
      <c r="EP597" s="2" t="n">
        <v>0</v>
      </c>
      <c r="EQ597" s="2" t="n">
        <v>100</v>
      </c>
      <c r="ER597" s="2" t="n">
        <v>100</v>
      </c>
      <c r="ES597" s="2" t="n">
        <v>0</v>
      </c>
    </row>
    <row r="598">
      <c r="A598" s="2" t="n">
        <v>2</v>
      </c>
      <c r="B598" s="2" t="inlineStr">
        <is>
          <t>26.06</t>
        </is>
      </c>
      <c r="C598" s="2" t="inlineStr">
        <is>
          <t>Escadas</t>
        </is>
      </c>
      <c r="D598" s="2" t="inlineStr">
        <is>
          <t>02/08/2027</t>
        </is>
      </c>
      <c r="E598" s="2" t="inlineStr">
        <is>
          <t>29/06/2028</t>
        </is>
      </c>
      <c r="F598" s="2" t="n">
        <v>6799.807968574239</v>
      </c>
      <c r="G598" s="2" t="n">
        <v>0</v>
      </c>
      <c r="H598" s="2" t="n">
        <v>6799.807968574239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  <c r="AN598" s="2" t="n">
        <v>0</v>
      </c>
      <c r="AO598" s="2" t="n">
        <v>0</v>
      </c>
      <c r="AP598" s="2" t="n">
        <v>0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>
        <v>0</v>
      </c>
      <c r="AX598" s="2" t="n">
        <v>0</v>
      </c>
      <c r="AY598" s="2" t="n">
        <v>0</v>
      </c>
      <c r="AZ598" s="2" t="n">
        <v>0</v>
      </c>
      <c r="BA598" s="2" t="n">
        <v>0</v>
      </c>
      <c r="BB598" s="2" t="n">
        <v>0</v>
      </c>
      <c r="BC598" s="2" t="n">
        <v>0</v>
      </c>
      <c r="BD598" s="2" t="n">
        <v>0</v>
      </c>
      <c r="BE598" s="2" t="n">
        <v>0</v>
      </c>
      <c r="BF598" s="2" t="n">
        <v>0</v>
      </c>
      <c r="BG598" s="2" t="n">
        <v>0</v>
      </c>
      <c r="BH598" s="2" t="n">
        <v>0</v>
      </c>
      <c r="BI598" s="2" t="n">
        <v>0</v>
      </c>
      <c r="BJ598" s="2" t="n">
        <v>0</v>
      </c>
      <c r="BK598" s="2" t="n">
        <v>0</v>
      </c>
      <c r="BL598" s="2" t="n">
        <v>0</v>
      </c>
      <c r="BM598" s="2" t="n">
        <v>0</v>
      </c>
      <c r="BN598" s="2" t="n">
        <v>0</v>
      </c>
      <c r="BO598" s="2" t="n">
        <v>0</v>
      </c>
      <c r="BP598" s="2" t="n">
        <v>0</v>
      </c>
      <c r="BQ598" s="2" t="n">
        <v>0</v>
      </c>
      <c r="BR598" s="2" t="n">
        <v>0</v>
      </c>
      <c r="BS598" s="2" t="n">
        <v>0</v>
      </c>
      <c r="BT598" s="2" t="n">
        <v>0</v>
      </c>
      <c r="BU598" s="2" t="n">
        <v>0</v>
      </c>
      <c r="BV598" s="2" t="n">
        <v>0</v>
      </c>
      <c r="BW598" s="2" t="n">
        <v>0</v>
      </c>
      <c r="BX598" s="2" t="n">
        <v>0</v>
      </c>
      <c r="BY598" s="2" t="n">
        <v>0</v>
      </c>
      <c r="BZ598" s="2" t="n">
        <v>0</v>
      </c>
      <c r="CA598" s="2" t="n">
        <v>0</v>
      </c>
      <c r="CB598" s="2" t="n">
        <v>0</v>
      </c>
      <c r="CC598" s="2" t="n">
        <v>0</v>
      </c>
      <c r="CD598" s="2" t="n">
        <v>0</v>
      </c>
      <c r="CE598" s="2" t="n">
        <v>0</v>
      </c>
      <c r="CF598" s="2" t="n">
        <v>0</v>
      </c>
      <c r="CG598" s="2" t="n">
        <v>0</v>
      </c>
      <c r="CH598" s="2" t="n">
        <v>0</v>
      </c>
      <c r="CI598" s="2" t="n">
        <v>14.29</v>
      </c>
      <c r="CJ598" s="2" t="n">
        <v>28.57</v>
      </c>
      <c r="CK598" s="2" t="n">
        <v>0</v>
      </c>
      <c r="CL598" s="2" t="n">
        <v>28.57</v>
      </c>
      <c r="CM598" s="2" t="n">
        <v>28.57</v>
      </c>
      <c r="CN598" s="2" t="n">
        <v>0</v>
      </c>
      <c r="CO598" s="2" t="n">
        <v>28.57</v>
      </c>
      <c r="CP598" s="2" t="n">
        <v>42.86</v>
      </c>
      <c r="CQ598" s="2" t="n">
        <v>0</v>
      </c>
      <c r="CR598" s="2" t="n">
        <v>42.86</v>
      </c>
      <c r="CS598" s="2" t="n">
        <v>42.86</v>
      </c>
      <c r="CT598" s="2" t="n">
        <v>0</v>
      </c>
      <c r="CU598" s="2" t="n">
        <v>42.86</v>
      </c>
      <c r="CV598" s="2" t="n">
        <v>51.43</v>
      </c>
      <c r="CW598" s="2" t="n">
        <v>0</v>
      </c>
      <c r="CX598" s="2" t="n">
        <v>52.86</v>
      </c>
      <c r="CY598" s="2" t="n">
        <v>57.14</v>
      </c>
      <c r="CZ598" s="2" t="n">
        <v>0</v>
      </c>
      <c r="DA598" s="2" t="n">
        <v>57.14</v>
      </c>
      <c r="DB598" s="2" t="n">
        <v>62.86</v>
      </c>
      <c r="DC598" s="2" t="n">
        <v>0</v>
      </c>
      <c r="DD598" s="2" t="n">
        <v>67.14</v>
      </c>
      <c r="DE598" s="2" t="n">
        <v>71.43000000000001</v>
      </c>
      <c r="DF598" s="2" t="n">
        <v>0</v>
      </c>
      <c r="DG598" s="2" t="n">
        <v>71.43000000000001</v>
      </c>
      <c r="DH598" s="2" t="n">
        <v>71.43000000000001</v>
      </c>
      <c r="DI598" s="2" t="n">
        <v>0</v>
      </c>
      <c r="DJ598" s="2" t="n">
        <v>71.43000000000001</v>
      </c>
      <c r="DK598" s="2" t="n">
        <v>75.23999999999999</v>
      </c>
      <c r="DL598" s="2" t="n">
        <v>0</v>
      </c>
      <c r="DM598" s="2" t="n">
        <v>98.09999999999999</v>
      </c>
      <c r="DN598" s="2" t="n">
        <v>100</v>
      </c>
      <c r="DO598" s="2" t="n">
        <v>0</v>
      </c>
      <c r="DP598" s="2" t="n">
        <v>100</v>
      </c>
      <c r="DQ598" s="2" t="n">
        <v>100</v>
      </c>
      <c r="DR598" s="2" t="n">
        <v>0</v>
      </c>
      <c r="DS598" s="2" t="n">
        <v>100</v>
      </c>
      <c r="DT598" s="2" t="n">
        <v>100</v>
      </c>
      <c r="DU598" s="2" t="n">
        <v>0</v>
      </c>
      <c r="DV598" s="2" t="n">
        <v>100</v>
      </c>
      <c r="DW598" s="2" t="n">
        <v>100</v>
      </c>
      <c r="DX598" s="2" t="n">
        <v>0</v>
      </c>
      <c r="DY598" s="2" t="n">
        <v>100</v>
      </c>
      <c r="DZ598" s="2" t="n">
        <v>100</v>
      </c>
      <c r="EA598" s="2" t="n">
        <v>0</v>
      </c>
      <c r="EB598" s="2" t="n">
        <v>100</v>
      </c>
      <c r="EC598" s="2" t="n">
        <v>100</v>
      </c>
      <c r="ED598" s="2" t="n">
        <v>0</v>
      </c>
      <c r="EE598" s="2" t="n">
        <v>100</v>
      </c>
      <c r="EF598" s="2" t="n">
        <v>100</v>
      </c>
      <c r="EG598" s="2" t="n">
        <v>0</v>
      </c>
      <c r="EH598" s="2" t="n">
        <v>100</v>
      </c>
      <c r="EI598" s="2" t="n">
        <v>100</v>
      </c>
      <c r="EJ598" s="2" t="n">
        <v>0</v>
      </c>
      <c r="EK598" s="2" t="n">
        <v>100</v>
      </c>
      <c r="EL598" s="2" t="n">
        <v>100</v>
      </c>
      <c r="EM598" s="2" t="n">
        <v>0</v>
      </c>
      <c r="EN598" s="2" t="n">
        <v>100</v>
      </c>
      <c r="EO598" s="2" t="n">
        <v>100</v>
      </c>
      <c r="EP598" s="2" t="n">
        <v>0</v>
      </c>
      <c r="EQ598" s="2" t="n">
        <v>100</v>
      </c>
      <c r="ER598" s="2" t="n">
        <v>100</v>
      </c>
      <c r="ES598" s="2" t="n">
        <v>0</v>
      </c>
    </row>
    <row r="599">
      <c r="A599" s="2" t="n">
        <v>3</v>
      </c>
      <c r="B599" s="2" t="inlineStr">
        <is>
          <t>26.06.01</t>
        </is>
      </c>
      <c r="C599" s="2" t="inlineStr">
        <is>
          <t>Escada de marinheiro - degraus chumbados</t>
        </is>
      </c>
      <c r="D599" s="2" t="inlineStr">
        <is>
          <t>02/08/2027</t>
        </is>
      </c>
      <c r="E599" s="2" t="inlineStr">
        <is>
          <t>29/06/2028</t>
        </is>
      </c>
      <c r="F599" s="2" t="n">
        <v>6799.807968574239</v>
      </c>
      <c r="G599" s="2" t="n">
        <v>0</v>
      </c>
      <c r="H599" s="2" t="n">
        <v>6799.807968574239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  <c r="AN599" s="2" t="n">
        <v>0</v>
      </c>
      <c r="AO599" s="2" t="n">
        <v>0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n">
        <v>0</v>
      </c>
      <c r="AZ599" s="2" t="n">
        <v>0</v>
      </c>
      <c r="BA599" s="2" t="n">
        <v>0</v>
      </c>
      <c r="BB599" s="2" t="n">
        <v>0</v>
      </c>
      <c r="BC599" s="2" t="n">
        <v>0</v>
      </c>
      <c r="BD599" s="2" t="n">
        <v>0</v>
      </c>
      <c r="BE599" s="2" t="n">
        <v>0</v>
      </c>
      <c r="BF599" s="2" t="n">
        <v>0</v>
      </c>
      <c r="BG599" s="2" t="n">
        <v>0</v>
      </c>
      <c r="BH599" s="2" t="n">
        <v>0</v>
      </c>
      <c r="BI599" s="2" t="n">
        <v>0</v>
      </c>
      <c r="BJ599" s="2" t="n">
        <v>0</v>
      </c>
      <c r="BK599" s="2" t="n">
        <v>0</v>
      </c>
      <c r="BL599" s="2" t="n">
        <v>0</v>
      </c>
      <c r="BM599" s="2" t="n">
        <v>0</v>
      </c>
      <c r="BN599" s="2" t="n">
        <v>0</v>
      </c>
      <c r="BO599" s="2" t="n">
        <v>0</v>
      </c>
      <c r="BP599" s="2" t="n">
        <v>0</v>
      </c>
      <c r="BQ599" s="2" t="n">
        <v>0</v>
      </c>
      <c r="BR599" s="2" t="n">
        <v>0</v>
      </c>
      <c r="BS599" s="2" t="n">
        <v>0</v>
      </c>
      <c r="BT599" s="2" t="n">
        <v>0</v>
      </c>
      <c r="BU599" s="2" t="n">
        <v>0</v>
      </c>
      <c r="BV599" s="2" t="n">
        <v>0</v>
      </c>
      <c r="BW599" s="2" t="n">
        <v>0</v>
      </c>
      <c r="BX599" s="2" t="n">
        <v>0</v>
      </c>
      <c r="BY599" s="2" t="n">
        <v>0</v>
      </c>
      <c r="BZ599" s="2" t="n">
        <v>0</v>
      </c>
      <c r="CA599" s="2" t="n">
        <v>0</v>
      </c>
      <c r="CB599" s="2" t="n">
        <v>0</v>
      </c>
      <c r="CC599" s="2" t="n">
        <v>0</v>
      </c>
      <c r="CD599" s="2" t="n">
        <v>0</v>
      </c>
      <c r="CE599" s="2" t="n">
        <v>0</v>
      </c>
      <c r="CF599" s="2" t="n">
        <v>0</v>
      </c>
      <c r="CG599" s="2" t="n">
        <v>0</v>
      </c>
      <c r="CH599" s="2" t="n">
        <v>0</v>
      </c>
      <c r="CI599" s="2" t="n">
        <v>14.29</v>
      </c>
      <c r="CJ599" s="2" t="n">
        <v>28.57</v>
      </c>
      <c r="CK599" s="2" t="n">
        <v>0</v>
      </c>
      <c r="CL599" s="2" t="n">
        <v>28.57</v>
      </c>
      <c r="CM599" s="2" t="n">
        <v>28.57</v>
      </c>
      <c r="CN599" s="2" t="n">
        <v>0</v>
      </c>
      <c r="CO599" s="2" t="n">
        <v>28.57</v>
      </c>
      <c r="CP599" s="2" t="n">
        <v>42.86</v>
      </c>
      <c r="CQ599" s="2" t="n">
        <v>0</v>
      </c>
      <c r="CR599" s="2" t="n">
        <v>42.86</v>
      </c>
      <c r="CS599" s="2" t="n">
        <v>42.86</v>
      </c>
      <c r="CT599" s="2" t="n">
        <v>0</v>
      </c>
      <c r="CU599" s="2" t="n">
        <v>42.86</v>
      </c>
      <c r="CV599" s="2" t="n">
        <v>51.43</v>
      </c>
      <c r="CW599" s="2" t="n">
        <v>0</v>
      </c>
      <c r="CX599" s="2" t="n">
        <v>52.86</v>
      </c>
      <c r="CY599" s="2" t="n">
        <v>57.14</v>
      </c>
      <c r="CZ599" s="2" t="n">
        <v>0</v>
      </c>
      <c r="DA599" s="2" t="n">
        <v>57.14</v>
      </c>
      <c r="DB599" s="2" t="n">
        <v>62.86</v>
      </c>
      <c r="DC599" s="2" t="n">
        <v>0</v>
      </c>
      <c r="DD599" s="2" t="n">
        <v>67.14</v>
      </c>
      <c r="DE599" s="2" t="n">
        <v>71.43000000000001</v>
      </c>
      <c r="DF599" s="2" t="n">
        <v>0</v>
      </c>
      <c r="DG599" s="2" t="n">
        <v>71.43000000000001</v>
      </c>
      <c r="DH599" s="2" t="n">
        <v>71.43000000000001</v>
      </c>
      <c r="DI599" s="2" t="n">
        <v>0</v>
      </c>
      <c r="DJ599" s="2" t="n">
        <v>71.43000000000001</v>
      </c>
      <c r="DK599" s="2" t="n">
        <v>75.23999999999999</v>
      </c>
      <c r="DL599" s="2" t="n">
        <v>0</v>
      </c>
      <c r="DM599" s="2" t="n">
        <v>98.09999999999999</v>
      </c>
      <c r="DN599" s="2" t="n">
        <v>100</v>
      </c>
      <c r="DO599" s="2" t="n">
        <v>0</v>
      </c>
      <c r="DP599" s="2" t="n">
        <v>100</v>
      </c>
      <c r="DQ599" s="2" t="n">
        <v>100</v>
      </c>
      <c r="DR599" s="2" t="n">
        <v>0</v>
      </c>
      <c r="DS599" s="2" t="n">
        <v>100</v>
      </c>
      <c r="DT599" s="2" t="n">
        <v>100</v>
      </c>
      <c r="DU599" s="2" t="n">
        <v>0</v>
      </c>
      <c r="DV599" s="2" t="n">
        <v>100</v>
      </c>
      <c r="DW599" s="2" t="n">
        <v>100</v>
      </c>
      <c r="DX599" s="2" t="n">
        <v>0</v>
      </c>
      <c r="DY599" s="2" t="n">
        <v>100</v>
      </c>
      <c r="DZ599" s="2" t="n">
        <v>100</v>
      </c>
      <c r="EA599" s="2" t="n">
        <v>0</v>
      </c>
      <c r="EB599" s="2" t="n">
        <v>100</v>
      </c>
      <c r="EC599" s="2" t="n">
        <v>100</v>
      </c>
      <c r="ED599" s="2" t="n">
        <v>0</v>
      </c>
      <c r="EE599" s="2" t="n">
        <v>100</v>
      </c>
      <c r="EF599" s="2" t="n">
        <v>100</v>
      </c>
      <c r="EG599" s="2" t="n">
        <v>0</v>
      </c>
      <c r="EH599" s="2" t="n">
        <v>100</v>
      </c>
      <c r="EI599" s="2" t="n">
        <v>100</v>
      </c>
      <c r="EJ599" s="2" t="n">
        <v>0</v>
      </c>
      <c r="EK599" s="2" t="n">
        <v>100</v>
      </c>
      <c r="EL599" s="2" t="n">
        <v>100</v>
      </c>
      <c r="EM599" s="2" t="n">
        <v>0</v>
      </c>
      <c r="EN599" s="2" t="n">
        <v>100</v>
      </c>
      <c r="EO599" s="2" t="n">
        <v>100</v>
      </c>
      <c r="EP599" s="2" t="n">
        <v>0</v>
      </c>
      <c r="EQ599" s="2" t="n">
        <v>100</v>
      </c>
      <c r="ER599" s="2" t="n">
        <v>100</v>
      </c>
      <c r="ES599" s="2" t="n">
        <v>0</v>
      </c>
    </row>
    <row r="600">
      <c r="A600" s="2" t="n">
        <v>2</v>
      </c>
      <c r="B600" s="2" t="inlineStr">
        <is>
          <t>26.07</t>
        </is>
      </c>
      <c r="C600" s="2" t="inlineStr">
        <is>
          <t>Diversos</t>
        </is>
      </c>
      <c r="D600" s="2" t="inlineStr">
        <is>
          <t>02/08/2027</t>
        </is>
      </c>
      <c r="E600" s="2" t="inlineStr">
        <is>
          <t>29/06/2028</t>
        </is>
      </c>
      <c r="F600" s="2" t="n">
        <v>132724.8654528943</v>
      </c>
      <c r="G600" s="2" t="n">
        <v>0</v>
      </c>
      <c r="H600" s="2" t="n">
        <v>132724.8654528943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  <c r="AN600" s="2" t="n">
        <v>0</v>
      </c>
      <c r="AO600" s="2" t="n">
        <v>0</v>
      </c>
      <c r="AP600" s="2" t="n">
        <v>0</v>
      </c>
      <c r="AQ600" s="2" t="n">
        <v>0</v>
      </c>
      <c r="AR600" s="2" t="n">
        <v>0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>
        <v>0</v>
      </c>
      <c r="AX600" s="2" t="n">
        <v>0</v>
      </c>
      <c r="AY600" s="2" t="n">
        <v>0</v>
      </c>
      <c r="AZ600" s="2" t="n">
        <v>0</v>
      </c>
      <c r="BA600" s="2" t="n">
        <v>0</v>
      </c>
      <c r="BB600" s="2" t="n">
        <v>0</v>
      </c>
      <c r="BC600" s="2" t="n">
        <v>0</v>
      </c>
      <c r="BD600" s="2" t="n">
        <v>0</v>
      </c>
      <c r="BE600" s="2" t="n">
        <v>0</v>
      </c>
      <c r="BF600" s="2" t="n">
        <v>0</v>
      </c>
      <c r="BG600" s="2" t="n">
        <v>0</v>
      </c>
      <c r="BH600" s="2" t="n">
        <v>0</v>
      </c>
      <c r="BI600" s="2" t="n">
        <v>0</v>
      </c>
      <c r="BJ600" s="2" t="n">
        <v>0</v>
      </c>
      <c r="BK600" s="2" t="n">
        <v>0</v>
      </c>
      <c r="BL600" s="2" t="n">
        <v>0</v>
      </c>
      <c r="BM600" s="2" t="n">
        <v>0</v>
      </c>
      <c r="BN600" s="2" t="n">
        <v>0</v>
      </c>
      <c r="BO600" s="2" t="n">
        <v>0</v>
      </c>
      <c r="BP600" s="2" t="n">
        <v>0</v>
      </c>
      <c r="BQ600" s="2" t="n">
        <v>0</v>
      </c>
      <c r="BR600" s="2" t="n">
        <v>0</v>
      </c>
      <c r="BS600" s="2" t="n">
        <v>0</v>
      </c>
      <c r="BT600" s="2" t="n">
        <v>0</v>
      </c>
      <c r="BU600" s="2" t="n">
        <v>0</v>
      </c>
      <c r="BV600" s="2" t="n">
        <v>0</v>
      </c>
      <c r="BW600" s="2" t="n">
        <v>0</v>
      </c>
      <c r="BX600" s="2" t="n">
        <v>0</v>
      </c>
      <c r="BY600" s="2" t="n">
        <v>0</v>
      </c>
      <c r="BZ600" s="2" t="n">
        <v>0</v>
      </c>
      <c r="CA600" s="2" t="n">
        <v>0</v>
      </c>
      <c r="CB600" s="2" t="n">
        <v>0</v>
      </c>
      <c r="CC600" s="2" t="n">
        <v>0</v>
      </c>
      <c r="CD600" s="2" t="n">
        <v>0</v>
      </c>
      <c r="CE600" s="2" t="n">
        <v>0</v>
      </c>
      <c r="CF600" s="2" t="n">
        <v>0</v>
      </c>
      <c r="CG600" s="2" t="n">
        <v>0</v>
      </c>
      <c r="CH600" s="2" t="n">
        <v>0</v>
      </c>
      <c r="CI600" s="2" t="n">
        <v>14.29</v>
      </c>
      <c r="CJ600" s="2" t="n">
        <v>28.57</v>
      </c>
      <c r="CK600" s="2" t="n">
        <v>0</v>
      </c>
      <c r="CL600" s="2" t="n">
        <v>28.57</v>
      </c>
      <c r="CM600" s="2" t="n">
        <v>28.57</v>
      </c>
      <c r="CN600" s="2" t="n">
        <v>0</v>
      </c>
      <c r="CO600" s="2" t="n">
        <v>28.57</v>
      </c>
      <c r="CP600" s="2" t="n">
        <v>42.86</v>
      </c>
      <c r="CQ600" s="2" t="n">
        <v>0</v>
      </c>
      <c r="CR600" s="2" t="n">
        <v>42.86</v>
      </c>
      <c r="CS600" s="2" t="n">
        <v>42.86</v>
      </c>
      <c r="CT600" s="2" t="n">
        <v>0</v>
      </c>
      <c r="CU600" s="2" t="n">
        <v>42.86</v>
      </c>
      <c r="CV600" s="2" t="n">
        <v>51.43</v>
      </c>
      <c r="CW600" s="2" t="n">
        <v>0</v>
      </c>
      <c r="CX600" s="2" t="n">
        <v>52.86</v>
      </c>
      <c r="CY600" s="2" t="n">
        <v>57.14</v>
      </c>
      <c r="CZ600" s="2" t="n">
        <v>0</v>
      </c>
      <c r="DA600" s="2" t="n">
        <v>57.14</v>
      </c>
      <c r="DB600" s="2" t="n">
        <v>62.86</v>
      </c>
      <c r="DC600" s="2" t="n">
        <v>0</v>
      </c>
      <c r="DD600" s="2" t="n">
        <v>67.14</v>
      </c>
      <c r="DE600" s="2" t="n">
        <v>71.43000000000001</v>
      </c>
      <c r="DF600" s="2" t="n">
        <v>0</v>
      </c>
      <c r="DG600" s="2" t="n">
        <v>71.43000000000001</v>
      </c>
      <c r="DH600" s="2" t="n">
        <v>71.43000000000001</v>
      </c>
      <c r="DI600" s="2" t="n">
        <v>0</v>
      </c>
      <c r="DJ600" s="2" t="n">
        <v>71.43000000000001</v>
      </c>
      <c r="DK600" s="2" t="n">
        <v>75.23999999999999</v>
      </c>
      <c r="DL600" s="2" t="n">
        <v>0</v>
      </c>
      <c r="DM600" s="2" t="n">
        <v>98.09999999999999</v>
      </c>
      <c r="DN600" s="2" t="n">
        <v>100</v>
      </c>
      <c r="DO600" s="2" t="n">
        <v>0</v>
      </c>
      <c r="DP600" s="2" t="n">
        <v>100</v>
      </c>
      <c r="DQ600" s="2" t="n">
        <v>100</v>
      </c>
      <c r="DR600" s="2" t="n">
        <v>0</v>
      </c>
      <c r="DS600" s="2" t="n">
        <v>100</v>
      </c>
      <c r="DT600" s="2" t="n">
        <v>100</v>
      </c>
      <c r="DU600" s="2" t="n">
        <v>0</v>
      </c>
      <c r="DV600" s="2" t="n">
        <v>100</v>
      </c>
      <c r="DW600" s="2" t="n">
        <v>100</v>
      </c>
      <c r="DX600" s="2" t="n">
        <v>0</v>
      </c>
      <c r="DY600" s="2" t="n">
        <v>100</v>
      </c>
      <c r="DZ600" s="2" t="n">
        <v>100</v>
      </c>
      <c r="EA600" s="2" t="n">
        <v>0</v>
      </c>
      <c r="EB600" s="2" t="n">
        <v>100</v>
      </c>
      <c r="EC600" s="2" t="n">
        <v>100</v>
      </c>
      <c r="ED600" s="2" t="n">
        <v>0</v>
      </c>
      <c r="EE600" s="2" t="n">
        <v>100</v>
      </c>
      <c r="EF600" s="2" t="n">
        <v>100</v>
      </c>
      <c r="EG600" s="2" t="n">
        <v>0</v>
      </c>
      <c r="EH600" s="2" t="n">
        <v>100</v>
      </c>
      <c r="EI600" s="2" t="n">
        <v>100</v>
      </c>
      <c r="EJ600" s="2" t="n">
        <v>0</v>
      </c>
      <c r="EK600" s="2" t="n">
        <v>100</v>
      </c>
      <c r="EL600" s="2" t="n">
        <v>100</v>
      </c>
      <c r="EM600" s="2" t="n">
        <v>0</v>
      </c>
      <c r="EN600" s="2" t="n">
        <v>100</v>
      </c>
      <c r="EO600" s="2" t="n">
        <v>100</v>
      </c>
      <c r="EP600" s="2" t="n">
        <v>0</v>
      </c>
      <c r="EQ600" s="2" t="n">
        <v>100</v>
      </c>
      <c r="ER600" s="2" t="n">
        <v>100</v>
      </c>
      <c r="ES600" s="2" t="n">
        <v>0</v>
      </c>
    </row>
    <row r="601">
      <c r="A601" s="2" t="n">
        <v>3</v>
      </c>
      <c r="B601" s="2" t="inlineStr">
        <is>
          <t>26.07.01</t>
        </is>
      </c>
      <c r="C601" s="2" t="inlineStr">
        <is>
          <t>Canaleta de drenagem com grelha de aço para estacionamento</t>
        </is>
      </c>
      <c r="D601" s="2" t="inlineStr">
        <is>
          <t>02/08/2027</t>
        </is>
      </c>
      <c r="E601" s="2" t="inlineStr">
        <is>
          <t>29/06/2028</t>
        </is>
      </c>
      <c r="F601" s="2" t="n">
        <v>130702.5333201268</v>
      </c>
      <c r="G601" s="2" t="n">
        <v>0</v>
      </c>
      <c r="H601" s="2" t="n">
        <v>130702.5333201268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0</v>
      </c>
      <c r="AM601" s="2" t="n">
        <v>0</v>
      </c>
      <c r="AN601" s="2" t="n">
        <v>0</v>
      </c>
      <c r="AO601" s="2" t="n">
        <v>0</v>
      </c>
      <c r="AP601" s="2" t="n">
        <v>0</v>
      </c>
      <c r="AQ601" s="2" t="n">
        <v>0</v>
      </c>
      <c r="AR601" s="2" t="n">
        <v>0</v>
      </c>
      <c r="AS601" s="2" t="n">
        <v>0</v>
      </c>
      <c r="AT601" s="2" t="n">
        <v>0</v>
      </c>
      <c r="AU601" s="2" t="n">
        <v>0</v>
      </c>
      <c r="AV601" s="2" t="n">
        <v>0</v>
      </c>
      <c r="AW601" s="2" t="n">
        <v>0</v>
      </c>
      <c r="AX601" s="2" t="n">
        <v>0</v>
      </c>
      <c r="AY601" s="2" t="n">
        <v>0</v>
      </c>
      <c r="AZ601" s="2" t="n">
        <v>0</v>
      </c>
      <c r="BA601" s="2" t="n">
        <v>0</v>
      </c>
      <c r="BB601" s="2" t="n">
        <v>0</v>
      </c>
      <c r="BC601" s="2" t="n">
        <v>0</v>
      </c>
      <c r="BD601" s="2" t="n">
        <v>0</v>
      </c>
      <c r="BE601" s="2" t="n">
        <v>0</v>
      </c>
      <c r="BF601" s="2" t="n">
        <v>0</v>
      </c>
      <c r="BG601" s="2" t="n">
        <v>0</v>
      </c>
      <c r="BH601" s="2" t="n">
        <v>0</v>
      </c>
      <c r="BI601" s="2" t="n">
        <v>0</v>
      </c>
      <c r="BJ601" s="2" t="n">
        <v>0</v>
      </c>
      <c r="BK601" s="2" t="n">
        <v>0</v>
      </c>
      <c r="BL601" s="2" t="n">
        <v>0</v>
      </c>
      <c r="BM601" s="2" t="n">
        <v>0</v>
      </c>
      <c r="BN601" s="2" t="n">
        <v>0</v>
      </c>
      <c r="BO601" s="2" t="n">
        <v>0</v>
      </c>
      <c r="BP601" s="2" t="n">
        <v>0</v>
      </c>
      <c r="BQ601" s="2" t="n">
        <v>0</v>
      </c>
      <c r="BR601" s="2" t="n">
        <v>0</v>
      </c>
      <c r="BS601" s="2" t="n">
        <v>0</v>
      </c>
      <c r="BT601" s="2" t="n">
        <v>0</v>
      </c>
      <c r="BU601" s="2" t="n">
        <v>0</v>
      </c>
      <c r="BV601" s="2" t="n">
        <v>0</v>
      </c>
      <c r="BW601" s="2" t="n">
        <v>0</v>
      </c>
      <c r="BX601" s="2" t="n">
        <v>0</v>
      </c>
      <c r="BY601" s="2" t="n">
        <v>0</v>
      </c>
      <c r="BZ601" s="2" t="n">
        <v>0</v>
      </c>
      <c r="CA601" s="2" t="n">
        <v>0</v>
      </c>
      <c r="CB601" s="2" t="n">
        <v>0</v>
      </c>
      <c r="CC601" s="2" t="n">
        <v>0</v>
      </c>
      <c r="CD601" s="2" t="n">
        <v>0</v>
      </c>
      <c r="CE601" s="2" t="n">
        <v>0</v>
      </c>
      <c r="CF601" s="2" t="n">
        <v>0</v>
      </c>
      <c r="CG601" s="2" t="n">
        <v>0</v>
      </c>
      <c r="CH601" s="2" t="n">
        <v>0</v>
      </c>
      <c r="CI601" s="2" t="n">
        <v>14.29</v>
      </c>
      <c r="CJ601" s="2" t="n">
        <v>28.57</v>
      </c>
      <c r="CK601" s="2" t="n">
        <v>0</v>
      </c>
      <c r="CL601" s="2" t="n">
        <v>28.57</v>
      </c>
      <c r="CM601" s="2" t="n">
        <v>28.57</v>
      </c>
      <c r="CN601" s="2" t="n">
        <v>0</v>
      </c>
      <c r="CO601" s="2" t="n">
        <v>28.57</v>
      </c>
      <c r="CP601" s="2" t="n">
        <v>42.86</v>
      </c>
      <c r="CQ601" s="2" t="n">
        <v>0</v>
      </c>
      <c r="CR601" s="2" t="n">
        <v>42.86</v>
      </c>
      <c r="CS601" s="2" t="n">
        <v>42.86</v>
      </c>
      <c r="CT601" s="2" t="n">
        <v>0</v>
      </c>
      <c r="CU601" s="2" t="n">
        <v>42.86</v>
      </c>
      <c r="CV601" s="2" t="n">
        <v>51.43</v>
      </c>
      <c r="CW601" s="2" t="n">
        <v>0</v>
      </c>
      <c r="CX601" s="2" t="n">
        <v>52.86</v>
      </c>
      <c r="CY601" s="2" t="n">
        <v>57.14</v>
      </c>
      <c r="CZ601" s="2" t="n">
        <v>0</v>
      </c>
      <c r="DA601" s="2" t="n">
        <v>57.14</v>
      </c>
      <c r="DB601" s="2" t="n">
        <v>62.86</v>
      </c>
      <c r="DC601" s="2" t="n">
        <v>0</v>
      </c>
      <c r="DD601" s="2" t="n">
        <v>67.14</v>
      </c>
      <c r="DE601" s="2" t="n">
        <v>71.43000000000001</v>
      </c>
      <c r="DF601" s="2" t="n">
        <v>0</v>
      </c>
      <c r="DG601" s="2" t="n">
        <v>71.43000000000001</v>
      </c>
      <c r="DH601" s="2" t="n">
        <v>71.43000000000001</v>
      </c>
      <c r="DI601" s="2" t="n">
        <v>0</v>
      </c>
      <c r="DJ601" s="2" t="n">
        <v>71.43000000000001</v>
      </c>
      <c r="DK601" s="2" t="n">
        <v>75.23999999999999</v>
      </c>
      <c r="DL601" s="2" t="n">
        <v>0</v>
      </c>
      <c r="DM601" s="2" t="n">
        <v>98.09999999999999</v>
      </c>
      <c r="DN601" s="2" t="n">
        <v>100</v>
      </c>
      <c r="DO601" s="2" t="n">
        <v>0</v>
      </c>
      <c r="DP601" s="2" t="n">
        <v>100</v>
      </c>
      <c r="DQ601" s="2" t="n">
        <v>100</v>
      </c>
      <c r="DR601" s="2" t="n">
        <v>0</v>
      </c>
      <c r="DS601" s="2" t="n">
        <v>100</v>
      </c>
      <c r="DT601" s="2" t="n">
        <v>100</v>
      </c>
      <c r="DU601" s="2" t="n">
        <v>0</v>
      </c>
      <c r="DV601" s="2" t="n">
        <v>100</v>
      </c>
      <c r="DW601" s="2" t="n">
        <v>100</v>
      </c>
      <c r="DX601" s="2" t="n">
        <v>0</v>
      </c>
      <c r="DY601" s="2" t="n">
        <v>100</v>
      </c>
      <c r="DZ601" s="2" t="n">
        <v>100</v>
      </c>
      <c r="EA601" s="2" t="n">
        <v>0</v>
      </c>
      <c r="EB601" s="2" t="n">
        <v>100</v>
      </c>
      <c r="EC601" s="2" t="n">
        <v>100</v>
      </c>
      <c r="ED601" s="2" t="n">
        <v>0</v>
      </c>
      <c r="EE601" s="2" t="n">
        <v>100</v>
      </c>
      <c r="EF601" s="2" t="n">
        <v>100</v>
      </c>
      <c r="EG601" s="2" t="n">
        <v>0</v>
      </c>
      <c r="EH601" s="2" t="n">
        <v>100</v>
      </c>
      <c r="EI601" s="2" t="n">
        <v>100</v>
      </c>
      <c r="EJ601" s="2" t="n">
        <v>0</v>
      </c>
      <c r="EK601" s="2" t="n">
        <v>100</v>
      </c>
      <c r="EL601" s="2" t="n">
        <v>100</v>
      </c>
      <c r="EM601" s="2" t="n">
        <v>0</v>
      </c>
      <c r="EN601" s="2" t="n">
        <v>100</v>
      </c>
      <c r="EO601" s="2" t="n">
        <v>100</v>
      </c>
      <c r="EP601" s="2" t="n">
        <v>0</v>
      </c>
      <c r="EQ601" s="2" t="n">
        <v>100</v>
      </c>
      <c r="ER601" s="2" t="n">
        <v>100</v>
      </c>
      <c r="ES601" s="2" t="n">
        <v>0</v>
      </c>
    </row>
    <row r="602">
      <c r="A602" s="2" t="n">
        <v>3</v>
      </c>
      <c r="B602" s="2" t="inlineStr">
        <is>
          <t>26.07.02</t>
        </is>
      </c>
      <c r="C602" s="2" t="inlineStr">
        <is>
          <t>Grelha praça pavimentada</t>
        </is>
      </c>
      <c r="D602" s="2" t="inlineStr">
        <is>
          <t>02/08/2027</t>
        </is>
      </c>
      <c r="E602" s="2" t="inlineStr">
        <is>
          <t>29/06/2028</t>
        </is>
      </c>
      <c r="F602" s="2" t="n">
        <v>2022.332132767437</v>
      </c>
      <c r="G602" s="2" t="n">
        <v>0</v>
      </c>
      <c r="H602" s="2" t="n">
        <v>2022.332132767437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  <c r="AN602" s="2" t="n">
        <v>0</v>
      </c>
      <c r="AO602" s="2" t="n">
        <v>0</v>
      </c>
      <c r="AP602" s="2" t="n">
        <v>0</v>
      </c>
      <c r="AQ602" s="2" t="n">
        <v>0</v>
      </c>
      <c r="AR602" s="2" t="n">
        <v>0</v>
      </c>
      <c r="AS602" s="2" t="n">
        <v>0</v>
      </c>
      <c r="AT602" s="2" t="n">
        <v>0</v>
      </c>
      <c r="AU602" s="2" t="n">
        <v>0</v>
      </c>
      <c r="AV602" s="2" t="n">
        <v>0</v>
      </c>
      <c r="AW602" s="2" t="n">
        <v>0</v>
      </c>
      <c r="AX602" s="2" t="n">
        <v>0</v>
      </c>
      <c r="AY602" s="2" t="n">
        <v>0</v>
      </c>
      <c r="AZ602" s="2" t="n">
        <v>0</v>
      </c>
      <c r="BA602" s="2" t="n">
        <v>0</v>
      </c>
      <c r="BB602" s="2" t="n">
        <v>0</v>
      </c>
      <c r="BC602" s="2" t="n">
        <v>0</v>
      </c>
      <c r="BD602" s="2" t="n">
        <v>0</v>
      </c>
      <c r="BE602" s="2" t="n">
        <v>0</v>
      </c>
      <c r="BF602" s="2" t="n">
        <v>0</v>
      </c>
      <c r="BG602" s="2" t="n">
        <v>0</v>
      </c>
      <c r="BH602" s="2" t="n">
        <v>0</v>
      </c>
      <c r="BI602" s="2" t="n">
        <v>0</v>
      </c>
      <c r="BJ602" s="2" t="n">
        <v>0</v>
      </c>
      <c r="BK602" s="2" t="n">
        <v>0</v>
      </c>
      <c r="BL602" s="2" t="n">
        <v>0</v>
      </c>
      <c r="BM602" s="2" t="n">
        <v>0</v>
      </c>
      <c r="BN602" s="2" t="n">
        <v>0</v>
      </c>
      <c r="BO602" s="2" t="n">
        <v>0</v>
      </c>
      <c r="BP602" s="2" t="n">
        <v>0</v>
      </c>
      <c r="BQ602" s="2" t="n">
        <v>0</v>
      </c>
      <c r="BR602" s="2" t="n">
        <v>0</v>
      </c>
      <c r="BS602" s="2" t="n">
        <v>0</v>
      </c>
      <c r="BT602" s="2" t="n">
        <v>0</v>
      </c>
      <c r="BU602" s="2" t="n">
        <v>0</v>
      </c>
      <c r="BV602" s="2" t="n">
        <v>0</v>
      </c>
      <c r="BW602" s="2" t="n">
        <v>0</v>
      </c>
      <c r="BX602" s="2" t="n">
        <v>0</v>
      </c>
      <c r="BY602" s="2" t="n">
        <v>0</v>
      </c>
      <c r="BZ602" s="2" t="n">
        <v>0</v>
      </c>
      <c r="CA602" s="2" t="n">
        <v>0</v>
      </c>
      <c r="CB602" s="2" t="n">
        <v>0</v>
      </c>
      <c r="CC602" s="2" t="n">
        <v>0</v>
      </c>
      <c r="CD602" s="2" t="n">
        <v>0</v>
      </c>
      <c r="CE602" s="2" t="n">
        <v>0</v>
      </c>
      <c r="CF602" s="2" t="n">
        <v>0</v>
      </c>
      <c r="CG602" s="2" t="n">
        <v>0</v>
      </c>
      <c r="CH602" s="2" t="n">
        <v>0</v>
      </c>
      <c r="CI602" s="2" t="n">
        <v>14.29</v>
      </c>
      <c r="CJ602" s="2" t="n">
        <v>28.57</v>
      </c>
      <c r="CK602" s="2" t="n">
        <v>0</v>
      </c>
      <c r="CL602" s="2" t="n">
        <v>28.57</v>
      </c>
      <c r="CM602" s="2" t="n">
        <v>28.57</v>
      </c>
      <c r="CN602" s="2" t="n">
        <v>0</v>
      </c>
      <c r="CO602" s="2" t="n">
        <v>28.57</v>
      </c>
      <c r="CP602" s="2" t="n">
        <v>42.86</v>
      </c>
      <c r="CQ602" s="2" t="n">
        <v>0</v>
      </c>
      <c r="CR602" s="2" t="n">
        <v>42.86</v>
      </c>
      <c r="CS602" s="2" t="n">
        <v>42.86</v>
      </c>
      <c r="CT602" s="2" t="n">
        <v>0</v>
      </c>
      <c r="CU602" s="2" t="n">
        <v>42.86</v>
      </c>
      <c r="CV602" s="2" t="n">
        <v>51.43</v>
      </c>
      <c r="CW602" s="2" t="n">
        <v>0</v>
      </c>
      <c r="CX602" s="2" t="n">
        <v>52.86</v>
      </c>
      <c r="CY602" s="2" t="n">
        <v>57.14</v>
      </c>
      <c r="CZ602" s="2" t="n">
        <v>0</v>
      </c>
      <c r="DA602" s="2" t="n">
        <v>57.14</v>
      </c>
      <c r="DB602" s="2" t="n">
        <v>62.86</v>
      </c>
      <c r="DC602" s="2" t="n">
        <v>0</v>
      </c>
      <c r="DD602" s="2" t="n">
        <v>67.14</v>
      </c>
      <c r="DE602" s="2" t="n">
        <v>71.43000000000001</v>
      </c>
      <c r="DF602" s="2" t="n">
        <v>0</v>
      </c>
      <c r="DG602" s="2" t="n">
        <v>71.43000000000001</v>
      </c>
      <c r="DH602" s="2" t="n">
        <v>71.43000000000001</v>
      </c>
      <c r="DI602" s="2" t="n">
        <v>0</v>
      </c>
      <c r="DJ602" s="2" t="n">
        <v>71.43000000000001</v>
      </c>
      <c r="DK602" s="2" t="n">
        <v>75.23999999999999</v>
      </c>
      <c r="DL602" s="2" t="n">
        <v>0</v>
      </c>
      <c r="DM602" s="2" t="n">
        <v>98.09999999999999</v>
      </c>
      <c r="DN602" s="2" t="n">
        <v>100</v>
      </c>
      <c r="DO602" s="2" t="n">
        <v>0</v>
      </c>
      <c r="DP602" s="2" t="n">
        <v>100</v>
      </c>
      <c r="DQ602" s="2" t="n">
        <v>100</v>
      </c>
      <c r="DR602" s="2" t="n">
        <v>0</v>
      </c>
      <c r="DS602" s="2" t="n">
        <v>100</v>
      </c>
      <c r="DT602" s="2" t="n">
        <v>100</v>
      </c>
      <c r="DU602" s="2" t="n">
        <v>0</v>
      </c>
      <c r="DV602" s="2" t="n">
        <v>100</v>
      </c>
      <c r="DW602" s="2" t="n">
        <v>100</v>
      </c>
      <c r="DX602" s="2" t="n">
        <v>0</v>
      </c>
      <c r="DY602" s="2" t="n">
        <v>100</v>
      </c>
      <c r="DZ602" s="2" t="n">
        <v>100</v>
      </c>
      <c r="EA602" s="2" t="n">
        <v>0</v>
      </c>
      <c r="EB602" s="2" t="n">
        <v>100</v>
      </c>
      <c r="EC602" s="2" t="n">
        <v>100</v>
      </c>
      <c r="ED602" s="2" t="n">
        <v>0</v>
      </c>
      <c r="EE602" s="2" t="n">
        <v>100</v>
      </c>
      <c r="EF602" s="2" t="n">
        <v>100</v>
      </c>
      <c r="EG602" s="2" t="n">
        <v>0</v>
      </c>
      <c r="EH602" s="2" t="n">
        <v>100</v>
      </c>
      <c r="EI602" s="2" t="n">
        <v>100</v>
      </c>
      <c r="EJ602" s="2" t="n">
        <v>0</v>
      </c>
      <c r="EK602" s="2" t="n">
        <v>100</v>
      </c>
      <c r="EL602" s="2" t="n">
        <v>100</v>
      </c>
      <c r="EM602" s="2" t="n">
        <v>0</v>
      </c>
      <c r="EN602" s="2" t="n">
        <v>100</v>
      </c>
      <c r="EO602" s="2" t="n">
        <v>100</v>
      </c>
      <c r="EP602" s="2" t="n">
        <v>0</v>
      </c>
      <c r="EQ602" s="2" t="n">
        <v>100</v>
      </c>
      <c r="ER602" s="2" t="n">
        <v>100</v>
      </c>
      <c r="ES602" s="2" t="n">
        <v>0</v>
      </c>
    </row>
    <row r="603">
      <c r="A603" s="2" t="n">
        <v>1</v>
      </c>
      <c r="B603" s="2" t="inlineStr">
        <is>
          <t>27</t>
        </is>
      </c>
      <c r="C603" s="2" t="inlineStr">
        <is>
          <t>MARCENARIA</t>
        </is>
      </c>
      <c r="D603" s="2" t="inlineStr">
        <is>
          <t>04/02/2028</t>
        </is>
      </c>
      <c r="E603" s="2" t="inlineStr">
        <is>
          <t>16/01/2029</t>
        </is>
      </c>
      <c r="F603" s="2" t="n">
        <v>2977368.360484116</v>
      </c>
      <c r="G603" s="2" t="n">
        <v>0</v>
      </c>
      <c r="H603" s="2" t="n">
        <v>2977368.360484116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  <c r="AN603" s="2" t="n">
        <v>0</v>
      </c>
      <c r="AO603" s="2" t="n">
        <v>0</v>
      </c>
      <c r="AP603" s="2" t="n">
        <v>0</v>
      </c>
      <c r="AQ603" s="2" t="n">
        <v>0</v>
      </c>
      <c r="AR603" s="2" t="n">
        <v>0</v>
      </c>
      <c r="AS603" s="2" t="n">
        <v>0</v>
      </c>
      <c r="AT603" s="2" t="n">
        <v>0</v>
      </c>
      <c r="AU603" s="2" t="n">
        <v>0</v>
      </c>
      <c r="AV603" s="2" t="n">
        <v>0</v>
      </c>
      <c r="AW603" s="2" t="n">
        <v>0</v>
      </c>
      <c r="AX603" s="2" t="n">
        <v>0</v>
      </c>
      <c r="AY603" s="2" t="n">
        <v>0</v>
      </c>
      <c r="AZ603" s="2" t="n">
        <v>0</v>
      </c>
      <c r="BA603" s="2" t="n">
        <v>0</v>
      </c>
      <c r="BB603" s="2" t="n">
        <v>0</v>
      </c>
      <c r="BC603" s="2" t="n">
        <v>0</v>
      </c>
      <c r="BD603" s="2" t="n">
        <v>0</v>
      </c>
      <c r="BE603" s="2" t="n">
        <v>0</v>
      </c>
      <c r="BF603" s="2" t="n">
        <v>0</v>
      </c>
      <c r="BG603" s="2" t="n">
        <v>0</v>
      </c>
      <c r="BH603" s="2" t="n">
        <v>0</v>
      </c>
      <c r="BI603" s="2" t="n">
        <v>0</v>
      </c>
      <c r="BJ603" s="2" t="n">
        <v>0</v>
      </c>
      <c r="BK603" s="2" t="n">
        <v>0</v>
      </c>
      <c r="BL603" s="2" t="n">
        <v>0</v>
      </c>
      <c r="BM603" s="2" t="n">
        <v>0</v>
      </c>
      <c r="BN603" s="2" t="n">
        <v>0</v>
      </c>
      <c r="BO603" s="2" t="n">
        <v>0</v>
      </c>
      <c r="BP603" s="2" t="n">
        <v>0</v>
      </c>
      <c r="BQ603" s="2" t="n">
        <v>0</v>
      </c>
      <c r="BR603" s="2" t="n">
        <v>0</v>
      </c>
      <c r="BS603" s="2" t="n">
        <v>0</v>
      </c>
      <c r="BT603" s="2" t="n">
        <v>0</v>
      </c>
      <c r="BU603" s="2" t="n">
        <v>0</v>
      </c>
      <c r="BV603" s="2" t="n">
        <v>0</v>
      </c>
      <c r="BW603" s="2" t="n">
        <v>0</v>
      </c>
      <c r="BX603" s="2" t="n">
        <v>0</v>
      </c>
      <c r="BY603" s="2" t="n">
        <v>0</v>
      </c>
      <c r="BZ603" s="2" t="n">
        <v>0</v>
      </c>
      <c r="CA603" s="2" t="n">
        <v>0</v>
      </c>
      <c r="CB603" s="2" t="n">
        <v>0</v>
      </c>
      <c r="CC603" s="2" t="n">
        <v>0</v>
      </c>
      <c r="CD603" s="2" t="n">
        <v>0</v>
      </c>
      <c r="CE603" s="2" t="n">
        <v>0</v>
      </c>
      <c r="CF603" s="2" t="n">
        <v>0</v>
      </c>
      <c r="CG603" s="2" t="n">
        <v>0</v>
      </c>
      <c r="CH603" s="2" t="n">
        <v>0</v>
      </c>
      <c r="CI603" s="2" t="n">
        <v>0</v>
      </c>
      <c r="CJ603" s="2" t="n">
        <v>0</v>
      </c>
      <c r="CK603" s="2" t="n">
        <v>0</v>
      </c>
      <c r="CL603" s="2" t="n">
        <v>0</v>
      </c>
      <c r="CM603" s="2" t="n">
        <v>0</v>
      </c>
      <c r="CN603" s="2" t="n">
        <v>0</v>
      </c>
      <c r="CO603" s="2" t="n">
        <v>0</v>
      </c>
      <c r="CP603" s="2" t="n">
        <v>0</v>
      </c>
      <c r="CQ603" s="2" t="n">
        <v>0</v>
      </c>
      <c r="CR603" s="2" t="n">
        <v>0</v>
      </c>
      <c r="CS603" s="2" t="n">
        <v>0</v>
      </c>
      <c r="CT603" s="2" t="n">
        <v>0</v>
      </c>
      <c r="CU603" s="2" t="n">
        <v>0</v>
      </c>
      <c r="CV603" s="2" t="n">
        <v>0</v>
      </c>
      <c r="CW603" s="2" t="n">
        <v>0</v>
      </c>
      <c r="CX603" s="2" t="n">
        <v>0</v>
      </c>
      <c r="CY603" s="2" t="n">
        <v>0</v>
      </c>
      <c r="CZ603" s="2" t="n">
        <v>0</v>
      </c>
      <c r="DA603" s="2" t="n">
        <v>4.71</v>
      </c>
      <c r="DB603" s="2" t="n">
        <v>6.61</v>
      </c>
      <c r="DC603" s="2" t="n">
        <v>0</v>
      </c>
      <c r="DD603" s="2" t="n">
        <v>13.53</v>
      </c>
      <c r="DE603" s="2" t="n">
        <v>15.47</v>
      </c>
      <c r="DF603" s="2" t="n">
        <v>0</v>
      </c>
      <c r="DG603" s="2" t="n">
        <v>21.05</v>
      </c>
      <c r="DH603" s="2" t="n">
        <v>23.01</v>
      </c>
      <c r="DI603" s="2" t="n">
        <v>0</v>
      </c>
      <c r="DJ603" s="2" t="n">
        <v>30.76</v>
      </c>
      <c r="DK603" s="2" t="n">
        <v>32.71</v>
      </c>
      <c r="DL603" s="2" t="n">
        <v>0</v>
      </c>
      <c r="DM603" s="2" t="n">
        <v>39.66</v>
      </c>
      <c r="DN603" s="2" t="n">
        <v>41.61</v>
      </c>
      <c r="DO603" s="2" t="n">
        <v>0</v>
      </c>
      <c r="DP603" s="2" t="n">
        <v>48.54</v>
      </c>
      <c r="DQ603" s="2" t="n">
        <v>50.55</v>
      </c>
      <c r="DR603" s="2" t="n">
        <v>0</v>
      </c>
      <c r="DS603" s="2" t="n">
        <v>57.75</v>
      </c>
      <c r="DT603" s="2" t="n">
        <v>59.64</v>
      </c>
      <c r="DU603" s="2" t="n">
        <v>0</v>
      </c>
      <c r="DV603" s="2" t="n">
        <v>65.34</v>
      </c>
      <c r="DW603" s="2" t="n">
        <v>67.23999999999999</v>
      </c>
      <c r="DX603" s="2" t="n">
        <v>0</v>
      </c>
      <c r="DY603" s="2" t="n">
        <v>73.31</v>
      </c>
      <c r="DZ603" s="2" t="n">
        <v>75.90000000000001</v>
      </c>
      <c r="EA603" s="2" t="n">
        <v>0</v>
      </c>
      <c r="EB603" s="2" t="n">
        <v>81.13</v>
      </c>
      <c r="EC603" s="2" t="n">
        <v>92.18000000000001</v>
      </c>
      <c r="ED603" s="2" t="n">
        <v>0</v>
      </c>
      <c r="EE603" s="2" t="n">
        <v>95.40000000000001</v>
      </c>
      <c r="EF603" s="2" t="n">
        <v>96.14</v>
      </c>
      <c r="EG603" s="2" t="n">
        <v>0</v>
      </c>
      <c r="EH603" s="2" t="n">
        <v>100</v>
      </c>
      <c r="EI603" s="2" t="n">
        <v>100</v>
      </c>
      <c r="EJ603" s="2" t="n">
        <v>0</v>
      </c>
      <c r="EK603" s="2" t="n">
        <v>100</v>
      </c>
      <c r="EL603" s="2" t="n">
        <v>100</v>
      </c>
      <c r="EM603" s="2" t="n">
        <v>0</v>
      </c>
      <c r="EN603" s="2" t="n">
        <v>100</v>
      </c>
      <c r="EO603" s="2" t="n">
        <v>100</v>
      </c>
      <c r="EP603" s="2" t="n">
        <v>0</v>
      </c>
      <c r="EQ603" s="2" t="n">
        <v>100</v>
      </c>
      <c r="ER603" s="2" t="n">
        <v>100</v>
      </c>
      <c r="ES603" s="2" t="n">
        <v>0</v>
      </c>
    </row>
    <row r="604">
      <c r="A604" s="2" t="n">
        <v>2</v>
      </c>
      <c r="B604" s="2" t="inlineStr">
        <is>
          <t>27.01</t>
        </is>
      </c>
      <c r="C604" s="2" t="inlineStr">
        <is>
          <t>Esquadrias de madeira</t>
        </is>
      </c>
      <c r="D604" s="2" t="inlineStr">
        <is>
          <t>04/02/2028</t>
        </is>
      </c>
      <c r="E604" s="2" t="inlineStr">
        <is>
          <t>12/01/2029</t>
        </is>
      </c>
      <c r="F604" s="2" t="n">
        <v>2481921.240484116</v>
      </c>
      <c r="G604" s="2" t="n">
        <v>0</v>
      </c>
      <c r="H604" s="2" t="n">
        <v>2481921.240484116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  <c r="AN604" s="2" t="n">
        <v>0</v>
      </c>
      <c r="AO604" s="2" t="n">
        <v>0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n">
        <v>0</v>
      </c>
      <c r="AZ604" s="2" t="n">
        <v>0</v>
      </c>
      <c r="BA604" s="2" t="n">
        <v>0</v>
      </c>
      <c r="BB604" s="2" t="n">
        <v>0</v>
      </c>
      <c r="BC604" s="2" t="n">
        <v>0</v>
      </c>
      <c r="BD604" s="2" t="n">
        <v>0</v>
      </c>
      <c r="BE604" s="2" t="n">
        <v>0</v>
      </c>
      <c r="BF604" s="2" t="n">
        <v>0</v>
      </c>
      <c r="BG604" s="2" t="n">
        <v>0</v>
      </c>
      <c r="BH604" s="2" t="n">
        <v>0</v>
      </c>
      <c r="BI604" s="2" t="n">
        <v>0</v>
      </c>
      <c r="BJ604" s="2" t="n">
        <v>0</v>
      </c>
      <c r="BK604" s="2" t="n">
        <v>0</v>
      </c>
      <c r="BL604" s="2" t="n">
        <v>0</v>
      </c>
      <c r="BM604" s="2" t="n">
        <v>0</v>
      </c>
      <c r="BN604" s="2" t="n">
        <v>0</v>
      </c>
      <c r="BO604" s="2" t="n">
        <v>0</v>
      </c>
      <c r="BP604" s="2" t="n">
        <v>0</v>
      </c>
      <c r="BQ604" s="2" t="n">
        <v>0</v>
      </c>
      <c r="BR604" s="2" t="n">
        <v>0</v>
      </c>
      <c r="BS604" s="2" t="n">
        <v>0</v>
      </c>
      <c r="BT604" s="2" t="n">
        <v>0</v>
      </c>
      <c r="BU604" s="2" t="n">
        <v>0</v>
      </c>
      <c r="BV604" s="2" t="n">
        <v>0</v>
      </c>
      <c r="BW604" s="2" t="n">
        <v>0</v>
      </c>
      <c r="BX604" s="2" t="n">
        <v>0</v>
      </c>
      <c r="BY604" s="2" t="n">
        <v>0</v>
      </c>
      <c r="BZ604" s="2" t="n">
        <v>0</v>
      </c>
      <c r="CA604" s="2" t="n">
        <v>0</v>
      </c>
      <c r="CB604" s="2" t="n">
        <v>0</v>
      </c>
      <c r="CC604" s="2" t="n">
        <v>0</v>
      </c>
      <c r="CD604" s="2" t="n">
        <v>0</v>
      </c>
      <c r="CE604" s="2" t="n">
        <v>0</v>
      </c>
      <c r="CF604" s="2" t="n">
        <v>0</v>
      </c>
      <c r="CG604" s="2" t="n">
        <v>0</v>
      </c>
      <c r="CH604" s="2" t="n">
        <v>0</v>
      </c>
      <c r="CI604" s="2" t="n">
        <v>0</v>
      </c>
      <c r="CJ604" s="2" t="n">
        <v>0</v>
      </c>
      <c r="CK604" s="2" t="n">
        <v>0</v>
      </c>
      <c r="CL604" s="2" t="n">
        <v>0</v>
      </c>
      <c r="CM604" s="2" t="n">
        <v>0</v>
      </c>
      <c r="CN604" s="2" t="n">
        <v>0</v>
      </c>
      <c r="CO604" s="2" t="n">
        <v>0</v>
      </c>
      <c r="CP604" s="2" t="n">
        <v>0</v>
      </c>
      <c r="CQ604" s="2" t="n">
        <v>0</v>
      </c>
      <c r="CR604" s="2" t="n">
        <v>0</v>
      </c>
      <c r="CS604" s="2" t="n">
        <v>0</v>
      </c>
      <c r="CT604" s="2" t="n">
        <v>0</v>
      </c>
      <c r="CU604" s="2" t="n">
        <v>0</v>
      </c>
      <c r="CV604" s="2" t="n">
        <v>0</v>
      </c>
      <c r="CW604" s="2" t="n">
        <v>0</v>
      </c>
      <c r="CX604" s="2" t="n">
        <v>0</v>
      </c>
      <c r="CY604" s="2" t="n">
        <v>0</v>
      </c>
      <c r="CZ604" s="2" t="n">
        <v>0</v>
      </c>
      <c r="DA604" s="2" t="n">
        <v>5.34</v>
      </c>
      <c r="DB604" s="2" t="n">
        <v>7.4</v>
      </c>
      <c r="DC604" s="2" t="n">
        <v>0</v>
      </c>
      <c r="DD604" s="2" t="n">
        <v>14.9</v>
      </c>
      <c r="DE604" s="2" t="n">
        <v>17</v>
      </c>
      <c r="DF604" s="2" t="n">
        <v>0</v>
      </c>
      <c r="DG604" s="2" t="n">
        <v>23.12</v>
      </c>
      <c r="DH604" s="2" t="n">
        <v>25.25</v>
      </c>
      <c r="DI604" s="2" t="n">
        <v>0</v>
      </c>
      <c r="DJ604" s="2" t="n">
        <v>33.79</v>
      </c>
      <c r="DK604" s="2" t="n">
        <v>35.91</v>
      </c>
      <c r="DL604" s="2" t="n">
        <v>0</v>
      </c>
      <c r="DM604" s="2" t="n">
        <v>43.54</v>
      </c>
      <c r="DN604" s="2" t="n">
        <v>45.66</v>
      </c>
      <c r="DO604" s="2" t="n">
        <v>0</v>
      </c>
      <c r="DP604" s="2" t="n">
        <v>53.26</v>
      </c>
      <c r="DQ604" s="2" t="n">
        <v>55.45</v>
      </c>
      <c r="DR604" s="2" t="n">
        <v>0</v>
      </c>
      <c r="DS604" s="2" t="n">
        <v>63.33</v>
      </c>
      <c r="DT604" s="2" t="n">
        <v>65.38</v>
      </c>
      <c r="DU604" s="2" t="n">
        <v>0</v>
      </c>
      <c r="DV604" s="2" t="n">
        <v>71.55</v>
      </c>
      <c r="DW604" s="2" t="n">
        <v>73.61</v>
      </c>
      <c r="DX604" s="2" t="n">
        <v>0</v>
      </c>
      <c r="DY604" s="2" t="n">
        <v>80.18000000000001</v>
      </c>
      <c r="DZ604" s="2" t="n">
        <v>83.06999999999999</v>
      </c>
      <c r="EA604" s="2" t="n">
        <v>0</v>
      </c>
      <c r="EB604" s="2" t="n">
        <v>88.72</v>
      </c>
      <c r="EC604" s="2" t="n">
        <v>91.78</v>
      </c>
      <c r="ED604" s="2" t="n">
        <v>0</v>
      </c>
      <c r="EE604" s="2" t="n">
        <v>95.19</v>
      </c>
      <c r="EF604" s="2" t="n">
        <v>95.86</v>
      </c>
      <c r="EG604" s="2" t="n">
        <v>0</v>
      </c>
      <c r="EH604" s="2" t="n">
        <v>100</v>
      </c>
      <c r="EI604" s="2" t="n">
        <v>100</v>
      </c>
      <c r="EJ604" s="2" t="n">
        <v>0</v>
      </c>
      <c r="EK604" s="2" t="n">
        <v>100</v>
      </c>
      <c r="EL604" s="2" t="n">
        <v>100</v>
      </c>
      <c r="EM604" s="2" t="n">
        <v>0</v>
      </c>
      <c r="EN604" s="2" t="n">
        <v>100</v>
      </c>
      <c r="EO604" s="2" t="n">
        <v>100</v>
      </c>
      <c r="EP604" s="2" t="n">
        <v>0</v>
      </c>
      <c r="EQ604" s="2" t="n">
        <v>100</v>
      </c>
      <c r="ER604" s="2" t="n">
        <v>100</v>
      </c>
      <c r="ES604" s="2" t="n">
        <v>0</v>
      </c>
    </row>
    <row r="605">
      <c r="A605" s="2" t="n">
        <v>3</v>
      </c>
      <c r="B605" s="2" t="inlineStr">
        <is>
          <t>27.01.01</t>
        </is>
      </c>
      <c r="C605" s="2" t="inlineStr">
        <is>
          <t>Portas</t>
        </is>
      </c>
      <c r="D605" s="2" t="inlineStr">
        <is>
          <t>04/02/2028</t>
        </is>
      </c>
      <c r="E605" s="2" t="inlineStr">
        <is>
          <t>12/01/2029</t>
        </is>
      </c>
      <c r="F605" s="2" t="n">
        <v>1867817.226884116</v>
      </c>
      <c r="G605" s="2" t="n">
        <v>0</v>
      </c>
      <c r="H605" s="2" t="n">
        <v>1867817.226884116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  <c r="AN605" s="2" t="n">
        <v>0</v>
      </c>
      <c r="AO605" s="2" t="n">
        <v>0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n">
        <v>0</v>
      </c>
      <c r="AZ605" s="2" t="n">
        <v>0</v>
      </c>
      <c r="BA605" s="2" t="n">
        <v>0</v>
      </c>
      <c r="BB605" s="2" t="n">
        <v>0</v>
      </c>
      <c r="BC605" s="2" t="n">
        <v>0</v>
      </c>
      <c r="BD605" s="2" t="n">
        <v>0</v>
      </c>
      <c r="BE605" s="2" t="n">
        <v>0</v>
      </c>
      <c r="BF605" s="2" t="n">
        <v>0</v>
      </c>
      <c r="BG605" s="2" t="n">
        <v>0</v>
      </c>
      <c r="BH605" s="2" t="n">
        <v>0</v>
      </c>
      <c r="BI605" s="2" t="n">
        <v>0</v>
      </c>
      <c r="BJ605" s="2" t="n">
        <v>0</v>
      </c>
      <c r="BK605" s="2" t="n">
        <v>0</v>
      </c>
      <c r="BL605" s="2" t="n">
        <v>0</v>
      </c>
      <c r="BM605" s="2" t="n">
        <v>0</v>
      </c>
      <c r="BN605" s="2" t="n">
        <v>0</v>
      </c>
      <c r="BO605" s="2" t="n">
        <v>0</v>
      </c>
      <c r="BP605" s="2" t="n">
        <v>0</v>
      </c>
      <c r="BQ605" s="2" t="n">
        <v>0</v>
      </c>
      <c r="BR605" s="2" t="n">
        <v>0</v>
      </c>
      <c r="BS605" s="2" t="n">
        <v>0</v>
      </c>
      <c r="BT605" s="2" t="n">
        <v>0</v>
      </c>
      <c r="BU605" s="2" t="n">
        <v>0</v>
      </c>
      <c r="BV605" s="2" t="n">
        <v>0</v>
      </c>
      <c r="BW605" s="2" t="n">
        <v>0</v>
      </c>
      <c r="BX605" s="2" t="n">
        <v>0</v>
      </c>
      <c r="BY605" s="2" t="n">
        <v>0</v>
      </c>
      <c r="BZ605" s="2" t="n">
        <v>0</v>
      </c>
      <c r="CA605" s="2" t="n">
        <v>0</v>
      </c>
      <c r="CB605" s="2" t="n">
        <v>0</v>
      </c>
      <c r="CC605" s="2" t="n">
        <v>0</v>
      </c>
      <c r="CD605" s="2" t="n">
        <v>0</v>
      </c>
      <c r="CE605" s="2" t="n">
        <v>0</v>
      </c>
      <c r="CF605" s="2" t="n">
        <v>0</v>
      </c>
      <c r="CG605" s="2" t="n">
        <v>0</v>
      </c>
      <c r="CH605" s="2" t="n">
        <v>0</v>
      </c>
      <c r="CI605" s="2" t="n">
        <v>0</v>
      </c>
      <c r="CJ605" s="2" t="n">
        <v>0</v>
      </c>
      <c r="CK605" s="2" t="n">
        <v>0</v>
      </c>
      <c r="CL605" s="2" t="n">
        <v>0</v>
      </c>
      <c r="CM605" s="2" t="n">
        <v>0</v>
      </c>
      <c r="CN605" s="2" t="n">
        <v>0</v>
      </c>
      <c r="CO605" s="2" t="n">
        <v>0</v>
      </c>
      <c r="CP605" s="2" t="n">
        <v>0</v>
      </c>
      <c r="CQ605" s="2" t="n">
        <v>0</v>
      </c>
      <c r="CR605" s="2" t="n">
        <v>0</v>
      </c>
      <c r="CS605" s="2" t="n">
        <v>0</v>
      </c>
      <c r="CT605" s="2" t="n">
        <v>0</v>
      </c>
      <c r="CU605" s="2" t="n">
        <v>0</v>
      </c>
      <c r="CV605" s="2" t="n">
        <v>0</v>
      </c>
      <c r="CW605" s="2" t="n">
        <v>0</v>
      </c>
      <c r="CX605" s="2" t="n">
        <v>0</v>
      </c>
      <c r="CY605" s="2" t="n">
        <v>0</v>
      </c>
      <c r="CZ605" s="2" t="n">
        <v>0</v>
      </c>
      <c r="DA605" s="2" t="n">
        <v>5.34</v>
      </c>
      <c r="DB605" s="2" t="n">
        <v>7.4</v>
      </c>
      <c r="DC605" s="2" t="n">
        <v>0</v>
      </c>
      <c r="DD605" s="2" t="n">
        <v>14.9</v>
      </c>
      <c r="DE605" s="2" t="n">
        <v>17</v>
      </c>
      <c r="DF605" s="2" t="n">
        <v>0</v>
      </c>
      <c r="DG605" s="2" t="n">
        <v>23.12</v>
      </c>
      <c r="DH605" s="2" t="n">
        <v>25.25</v>
      </c>
      <c r="DI605" s="2" t="n">
        <v>0</v>
      </c>
      <c r="DJ605" s="2" t="n">
        <v>33.79</v>
      </c>
      <c r="DK605" s="2" t="n">
        <v>35.91</v>
      </c>
      <c r="DL605" s="2" t="n">
        <v>0</v>
      </c>
      <c r="DM605" s="2" t="n">
        <v>43.54</v>
      </c>
      <c r="DN605" s="2" t="n">
        <v>45.66</v>
      </c>
      <c r="DO605" s="2" t="n">
        <v>0</v>
      </c>
      <c r="DP605" s="2" t="n">
        <v>53.26</v>
      </c>
      <c r="DQ605" s="2" t="n">
        <v>55.45</v>
      </c>
      <c r="DR605" s="2" t="n">
        <v>0</v>
      </c>
      <c r="DS605" s="2" t="n">
        <v>63.33</v>
      </c>
      <c r="DT605" s="2" t="n">
        <v>65.38</v>
      </c>
      <c r="DU605" s="2" t="n">
        <v>0</v>
      </c>
      <c r="DV605" s="2" t="n">
        <v>71.55</v>
      </c>
      <c r="DW605" s="2" t="n">
        <v>73.61</v>
      </c>
      <c r="DX605" s="2" t="n">
        <v>0</v>
      </c>
      <c r="DY605" s="2" t="n">
        <v>80.18000000000001</v>
      </c>
      <c r="DZ605" s="2" t="n">
        <v>83.06999999999999</v>
      </c>
      <c r="EA605" s="2" t="n">
        <v>0</v>
      </c>
      <c r="EB605" s="2" t="n">
        <v>88.72</v>
      </c>
      <c r="EC605" s="2" t="n">
        <v>91.78</v>
      </c>
      <c r="ED605" s="2" t="n">
        <v>0</v>
      </c>
      <c r="EE605" s="2" t="n">
        <v>95.19</v>
      </c>
      <c r="EF605" s="2" t="n">
        <v>95.86</v>
      </c>
      <c r="EG605" s="2" t="n">
        <v>0</v>
      </c>
      <c r="EH605" s="2" t="n">
        <v>100</v>
      </c>
      <c r="EI605" s="2" t="n">
        <v>100</v>
      </c>
      <c r="EJ605" s="2" t="n">
        <v>0</v>
      </c>
      <c r="EK605" s="2" t="n">
        <v>100</v>
      </c>
      <c r="EL605" s="2" t="n">
        <v>100</v>
      </c>
      <c r="EM605" s="2" t="n">
        <v>0</v>
      </c>
      <c r="EN605" s="2" t="n">
        <v>100</v>
      </c>
      <c r="EO605" s="2" t="n">
        <v>100</v>
      </c>
      <c r="EP605" s="2" t="n">
        <v>0</v>
      </c>
      <c r="EQ605" s="2" t="n">
        <v>100</v>
      </c>
      <c r="ER605" s="2" t="n">
        <v>100</v>
      </c>
      <c r="ES605" s="2" t="n">
        <v>0</v>
      </c>
    </row>
    <row r="606">
      <c r="A606" s="2" t="n">
        <v>4</v>
      </c>
      <c r="B606" s="2" t="inlineStr">
        <is>
          <t>27.01.01.01</t>
        </is>
      </c>
      <c r="C606" s="2" t="inlineStr">
        <is>
          <t>P01 - Porta de madeira, 1fl de abrir, 60x210cm</t>
        </is>
      </c>
      <c r="D606" s="2" t="inlineStr">
        <is>
          <t>04/02/2028</t>
        </is>
      </c>
      <c r="E606" s="2" t="inlineStr">
        <is>
          <t>12/01/2029</t>
        </is>
      </c>
      <c r="F606" s="2" t="n">
        <v>56304</v>
      </c>
      <c r="G606" s="2" t="n">
        <v>0</v>
      </c>
      <c r="H606" s="2" t="n">
        <v>56304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  <c r="AN606" s="2" t="n">
        <v>0</v>
      </c>
      <c r="AO606" s="2" t="n">
        <v>0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n">
        <v>0</v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n">
        <v>0</v>
      </c>
      <c r="BI606" s="2" t="n">
        <v>0</v>
      </c>
      <c r="BJ606" s="2" t="n">
        <v>0</v>
      </c>
      <c r="BK606" s="2" t="n">
        <v>0</v>
      </c>
      <c r="BL606" s="2" t="n">
        <v>0</v>
      </c>
      <c r="BM606" s="2" t="n">
        <v>0</v>
      </c>
      <c r="BN606" s="2" t="n">
        <v>0</v>
      </c>
      <c r="BO606" s="2" t="n">
        <v>0</v>
      </c>
      <c r="BP606" s="2" t="n">
        <v>0</v>
      </c>
      <c r="BQ606" s="2" t="n">
        <v>0</v>
      </c>
      <c r="BR606" s="2" t="n">
        <v>0</v>
      </c>
      <c r="BS606" s="2" t="n">
        <v>0</v>
      </c>
      <c r="BT606" s="2" t="n">
        <v>0</v>
      </c>
      <c r="BU606" s="2" t="n">
        <v>0</v>
      </c>
      <c r="BV606" s="2" t="n">
        <v>0</v>
      </c>
      <c r="BW606" s="2" t="n">
        <v>0</v>
      </c>
      <c r="BX606" s="2" t="n">
        <v>0</v>
      </c>
      <c r="BY606" s="2" t="n">
        <v>0</v>
      </c>
      <c r="BZ606" s="2" t="n">
        <v>0</v>
      </c>
      <c r="CA606" s="2" t="n">
        <v>0</v>
      </c>
      <c r="CB606" s="2" t="n">
        <v>0</v>
      </c>
      <c r="CC606" s="2" t="n">
        <v>0</v>
      </c>
      <c r="CD606" s="2" t="n">
        <v>0</v>
      </c>
      <c r="CE606" s="2" t="n">
        <v>0</v>
      </c>
      <c r="CF606" s="2" t="n">
        <v>0</v>
      </c>
      <c r="CG606" s="2" t="n">
        <v>0</v>
      </c>
      <c r="CH606" s="2" t="n">
        <v>0</v>
      </c>
      <c r="CI606" s="2" t="n">
        <v>0</v>
      </c>
      <c r="CJ606" s="2" t="n">
        <v>0</v>
      </c>
      <c r="CK606" s="2" t="n">
        <v>0</v>
      </c>
      <c r="CL606" s="2" t="n">
        <v>0</v>
      </c>
      <c r="CM606" s="2" t="n">
        <v>0</v>
      </c>
      <c r="CN606" s="2" t="n">
        <v>0</v>
      </c>
      <c r="CO606" s="2" t="n">
        <v>0</v>
      </c>
      <c r="CP606" s="2" t="n">
        <v>0</v>
      </c>
      <c r="CQ606" s="2" t="n">
        <v>0</v>
      </c>
      <c r="CR606" s="2" t="n">
        <v>0</v>
      </c>
      <c r="CS606" s="2" t="n">
        <v>0</v>
      </c>
      <c r="CT606" s="2" t="n">
        <v>0</v>
      </c>
      <c r="CU606" s="2" t="n">
        <v>0</v>
      </c>
      <c r="CV606" s="2" t="n">
        <v>0</v>
      </c>
      <c r="CW606" s="2" t="n">
        <v>0</v>
      </c>
      <c r="CX606" s="2" t="n">
        <v>0</v>
      </c>
      <c r="CY606" s="2" t="n">
        <v>0</v>
      </c>
      <c r="CZ606" s="2" t="n">
        <v>0</v>
      </c>
      <c r="DA606" s="2" t="n">
        <v>5.34</v>
      </c>
      <c r="DB606" s="2" t="n">
        <v>7.4</v>
      </c>
      <c r="DC606" s="2" t="n">
        <v>0</v>
      </c>
      <c r="DD606" s="2" t="n">
        <v>14.9</v>
      </c>
      <c r="DE606" s="2" t="n">
        <v>17</v>
      </c>
      <c r="DF606" s="2" t="n">
        <v>0</v>
      </c>
      <c r="DG606" s="2" t="n">
        <v>23.12</v>
      </c>
      <c r="DH606" s="2" t="n">
        <v>25.25</v>
      </c>
      <c r="DI606" s="2" t="n">
        <v>0</v>
      </c>
      <c r="DJ606" s="2" t="n">
        <v>33.79</v>
      </c>
      <c r="DK606" s="2" t="n">
        <v>35.91</v>
      </c>
      <c r="DL606" s="2" t="n">
        <v>0</v>
      </c>
      <c r="DM606" s="2" t="n">
        <v>43.54</v>
      </c>
      <c r="DN606" s="2" t="n">
        <v>45.66</v>
      </c>
      <c r="DO606" s="2" t="n">
        <v>0</v>
      </c>
      <c r="DP606" s="2" t="n">
        <v>53.26</v>
      </c>
      <c r="DQ606" s="2" t="n">
        <v>55.45</v>
      </c>
      <c r="DR606" s="2" t="n">
        <v>0</v>
      </c>
      <c r="DS606" s="2" t="n">
        <v>63.33</v>
      </c>
      <c r="DT606" s="2" t="n">
        <v>65.38</v>
      </c>
      <c r="DU606" s="2" t="n">
        <v>0</v>
      </c>
      <c r="DV606" s="2" t="n">
        <v>71.55</v>
      </c>
      <c r="DW606" s="2" t="n">
        <v>73.61</v>
      </c>
      <c r="DX606" s="2" t="n">
        <v>0</v>
      </c>
      <c r="DY606" s="2" t="n">
        <v>80.18000000000001</v>
      </c>
      <c r="DZ606" s="2" t="n">
        <v>83.06999999999999</v>
      </c>
      <c r="EA606" s="2" t="n">
        <v>0</v>
      </c>
      <c r="EB606" s="2" t="n">
        <v>88.72</v>
      </c>
      <c r="EC606" s="2" t="n">
        <v>91.78</v>
      </c>
      <c r="ED606" s="2" t="n">
        <v>0</v>
      </c>
      <c r="EE606" s="2" t="n">
        <v>95.19</v>
      </c>
      <c r="EF606" s="2" t="n">
        <v>95.86</v>
      </c>
      <c r="EG606" s="2" t="n">
        <v>0</v>
      </c>
      <c r="EH606" s="2" t="n">
        <v>100</v>
      </c>
      <c r="EI606" s="2" t="n">
        <v>100</v>
      </c>
      <c r="EJ606" s="2" t="n">
        <v>0</v>
      </c>
      <c r="EK606" s="2" t="n">
        <v>100</v>
      </c>
      <c r="EL606" s="2" t="n">
        <v>100</v>
      </c>
      <c r="EM606" s="2" t="n">
        <v>0</v>
      </c>
      <c r="EN606" s="2" t="n">
        <v>100</v>
      </c>
      <c r="EO606" s="2" t="n">
        <v>100</v>
      </c>
      <c r="EP606" s="2" t="n">
        <v>0</v>
      </c>
      <c r="EQ606" s="2" t="n">
        <v>100</v>
      </c>
      <c r="ER606" s="2" t="n">
        <v>100</v>
      </c>
      <c r="ES606" s="2" t="n">
        <v>0</v>
      </c>
    </row>
    <row r="607">
      <c r="A607" s="2" t="n">
        <v>4</v>
      </c>
      <c r="B607" s="2" t="inlineStr">
        <is>
          <t>27.01.01.02</t>
        </is>
      </c>
      <c r="C607" s="2" t="inlineStr">
        <is>
          <t>P02 - Porta de madeira, correr 1fl, 60x210cm</t>
        </is>
      </c>
      <c r="D607" s="2" t="inlineStr">
        <is>
          <t>04/02/2028</t>
        </is>
      </c>
      <c r="E607" s="2" t="inlineStr">
        <is>
          <t>12/01/2029</t>
        </is>
      </c>
      <c r="F607" s="2" t="n">
        <v>113781</v>
      </c>
      <c r="G607" s="2" t="n">
        <v>0</v>
      </c>
      <c r="H607" s="2" t="n">
        <v>113781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  <c r="AN607" s="2" t="n">
        <v>0</v>
      </c>
      <c r="AO607" s="2" t="n">
        <v>0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n">
        <v>0</v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0</v>
      </c>
      <c r="BE607" s="2" t="n">
        <v>0</v>
      </c>
      <c r="BF607" s="2" t="n">
        <v>0</v>
      </c>
      <c r="BG607" s="2" t="n">
        <v>0</v>
      </c>
      <c r="BH607" s="2" t="n">
        <v>0</v>
      </c>
      <c r="BI607" s="2" t="n">
        <v>0</v>
      </c>
      <c r="BJ607" s="2" t="n">
        <v>0</v>
      </c>
      <c r="BK607" s="2" t="n">
        <v>0</v>
      </c>
      <c r="BL607" s="2" t="n">
        <v>0</v>
      </c>
      <c r="BM607" s="2" t="n">
        <v>0</v>
      </c>
      <c r="BN607" s="2" t="n">
        <v>0</v>
      </c>
      <c r="BO607" s="2" t="n">
        <v>0</v>
      </c>
      <c r="BP607" s="2" t="n">
        <v>0</v>
      </c>
      <c r="BQ607" s="2" t="n">
        <v>0</v>
      </c>
      <c r="BR607" s="2" t="n">
        <v>0</v>
      </c>
      <c r="BS607" s="2" t="n">
        <v>0</v>
      </c>
      <c r="BT607" s="2" t="n">
        <v>0</v>
      </c>
      <c r="BU607" s="2" t="n">
        <v>0</v>
      </c>
      <c r="BV607" s="2" t="n">
        <v>0</v>
      </c>
      <c r="BW607" s="2" t="n">
        <v>0</v>
      </c>
      <c r="BX607" s="2" t="n">
        <v>0</v>
      </c>
      <c r="BY607" s="2" t="n">
        <v>0</v>
      </c>
      <c r="BZ607" s="2" t="n">
        <v>0</v>
      </c>
      <c r="CA607" s="2" t="n">
        <v>0</v>
      </c>
      <c r="CB607" s="2" t="n">
        <v>0</v>
      </c>
      <c r="CC607" s="2" t="n">
        <v>0</v>
      </c>
      <c r="CD607" s="2" t="n">
        <v>0</v>
      </c>
      <c r="CE607" s="2" t="n">
        <v>0</v>
      </c>
      <c r="CF607" s="2" t="n">
        <v>0</v>
      </c>
      <c r="CG607" s="2" t="n">
        <v>0</v>
      </c>
      <c r="CH607" s="2" t="n">
        <v>0</v>
      </c>
      <c r="CI607" s="2" t="n">
        <v>0</v>
      </c>
      <c r="CJ607" s="2" t="n">
        <v>0</v>
      </c>
      <c r="CK607" s="2" t="n">
        <v>0</v>
      </c>
      <c r="CL607" s="2" t="n">
        <v>0</v>
      </c>
      <c r="CM607" s="2" t="n">
        <v>0</v>
      </c>
      <c r="CN607" s="2" t="n">
        <v>0</v>
      </c>
      <c r="CO607" s="2" t="n">
        <v>0</v>
      </c>
      <c r="CP607" s="2" t="n">
        <v>0</v>
      </c>
      <c r="CQ607" s="2" t="n">
        <v>0</v>
      </c>
      <c r="CR607" s="2" t="n">
        <v>0</v>
      </c>
      <c r="CS607" s="2" t="n">
        <v>0</v>
      </c>
      <c r="CT607" s="2" t="n">
        <v>0</v>
      </c>
      <c r="CU607" s="2" t="n">
        <v>0</v>
      </c>
      <c r="CV607" s="2" t="n">
        <v>0</v>
      </c>
      <c r="CW607" s="2" t="n">
        <v>0</v>
      </c>
      <c r="CX607" s="2" t="n">
        <v>0</v>
      </c>
      <c r="CY607" s="2" t="n">
        <v>0</v>
      </c>
      <c r="CZ607" s="2" t="n">
        <v>0</v>
      </c>
      <c r="DA607" s="2" t="n">
        <v>5.34</v>
      </c>
      <c r="DB607" s="2" t="n">
        <v>7.4</v>
      </c>
      <c r="DC607" s="2" t="n">
        <v>0</v>
      </c>
      <c r="DD607" s="2" t="n">
        <v>14.9</v>
      </c>
      <c r="DE607" s="2" t="n">
        <v>17</v>
      </c>
      <c r="DF607" s="2" t="n">
        <v>0</v>
      </c>
      <c r="DG607" s="2" t="n">
        <v>23.12</v>
      </c>
      <c r="DH607" s="2" t="n">
        <v>25.25</v>
      </c>
      <c r="DI607" s="2" t="n">
        <v>0</v>
      </c>
      <c r="DJ607" s="2" t="n">
        <v>33.79</v>
      </c>
      <c r="DK607" s="2" t="n">
        <v>35.91</v>
      </c>
      <c r="DL607" s="2" t="n">
        <v>0</v>
      </c>
      <c r="DM607" s="2" t="n">
        <v>43.54</v>
      </c>
      <c r="DN607" s="2" t="n">
        <v>45.66</v>
      </c>
      <c r="DO607" s="2" t="n">
        <v>0</v>
      </c>
      <c r="DP607" s="2" t="n">
        <v>53.26</v>
      </c>
      <c r="DQ607" s="2" t="n">
        <v>55.45</v>
      </c>
      <c r="DR607" s="2" t="n">
        <v>0</v>
      </c>
      <c r="DS607" s="2" t="n">
        <v>63.33</v>
      </c>
      <c r="DT607" s="2" t="n">
        <v>65.38</v>
      </c>
      <c r="DU607" s="2" t="n">
        <v>0</v>
      </c>
      <c r="DV607" s="2" t="n">
        <v>71.55</v>
      </c>
      <c r="DW607" s="2" t="n">
        <v>73.61</v>
      </c>
      <c r="DX607" s="2" t="n">
        <v>0</v>
      </c>
      <c r="DY607" s="2" t="n">
        <v>80.18000000000001</v>
      </c>
      <c r="DZ607" s="2" t="n">
        <v>83.06999999999999</v>
      </c>
      <c r="EA607" s="2" t="n">
        <v>0</v>
      </c>
      <c r="EB607" s="2" t="n">
        <v>88.72</v>
      </c>
      <c r="EC607" s="2" t="n">
        <v>91.78</v>
      </c>
      <c r="ED607" s="2" t="n">
        <v>0</v>
      </c>
      <c r="EE607" s="2" t="n">
        <v>95.19</v>
      </c>
      <c r="EF607" s="2" t="n">
        <v>95.86</v>
      </c>
      <c r="EG607" s="2" t="n">
        <v>0</v>
      </c>
      <c r="EH607" s="2" t="n">
        <v>100</v>
      </c>
      <c r="EI607" s="2" t="n">
        <v>100</v>
      </c>
      <c r="EJ607" s="2" t="n">
        <v>0</v>
      </c>
      <c r="EK607" s="2" t="n">
        <v>100</v>
      </c>
      <c r="EL607" s="2" t="n">
        <v>100</v>
      </c>
      <c r="EM607" s="2" t="n">
        <v>0</v>
      </c>
      <c r="EN607" s="2" t="n">
        <v>100</v>
      </c>
      <c r="EO607" s="2" t="n">
        <v>100</v>
      </c>
      <c r="EP607" s="2" t="n">
        <v>0</v>
      </c>
      <c r="EQ607" s="2" t="n">
        <v>100</v>
      </c>
      <c r="ER607" s="2" t="n">
        <v>100</v>
      </c>
      <c r="ES607" s="2" t="n">
        <v>0</v>
      </c>
    </row>
    <row r="608">
      <c r="A608" s="2" t="n">
        <v>4</v>
      </c>
      <c r="B608" s="2" t="inlineStr">
        <is>
          <t>27.01.01.03</t>
        </is>
      </c>
      <c r="C608" s="2" t="inlineStr">
        <is>
          <t>P03 - Porta de madeira, 1fl de abrir, 70x210cm</t>
        </is>
      </c>
      <c r="D608" s="2" t="inlineStr">
        <is>
          <t>04/02/2028</t>
        </is>
      </c>
      <c r="E608" s="2" t="inlineStr">
        <is>
          <t>12/01/2029</t>
        </is>
      </c>
      <c r="F608" s="2" t="n">
        <v>377706</v>
      </c>
      <c r="G608" s="2" t="n">
        <v>0</v>
      </c>
      <c r="H608" s="2" t="n">
        <v>377706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  <c r="AN608" s="2" t="n">
        <v>0</v>
      </c>
      <c r="AO608" s="2" t="n">
        <v>0</v>
      </c>
      <c r="AP608" s="2" t="n">
        <v>0</v>
      </c>
      <c r="AQ608" s="2" t="n">
        <v>0</v>
      </c>
      <c r="AR608" s="2" t="n">
        <v>0</v>
      </c>
      <c r="AS608" s="2" t="n">
        <v>0</v>
      </c>
      <c r="AT608" s="2" t="n">
        <v>0</v>
      </c>
      <c r="AU608" s="2" t="n">
        <v>0</v>
      </c>
      <c r="AV608" s="2" t="n">
        <v>0</v>
      </c>
      <c r="AW608" s="2" t="n">
        <v>0</v>
      </c>
      <c r="AX608" s="2" t="n">
        <v>0</v>
      </c>
      <c r="AY608" s="2" t="n">
        <v>0</v>
      </c>
      <c r="AZ608" s="2" t="n">
        <v>0</v>
      </c>
      <c r="BA608" s="2" t="n">
        <v>0</v>
      </c>
      <c r="BB608" s="2" t="n">
        <v>0</v>
      </c>
      <c r="BC608" s="2" t="n">
        <v>0</v>
      </c>
      <c r="BD608" s="2" t="n">
        <v>0</v>
      </c>
      <c r="BE608" s="2" t="n">
        <v>0</v>
      </c>
      <c r="BF608" s="2" t="n">
        <v>0</v>
      </c>
      <c r="BG608" s="2" t="n">
        <v>0</v>
      </c>
      <c r="BH608" s="2" t="n">
        <v>0</v>
      </c>
      <c r="BI608" s="2" t="n">
        <v>0</v>
      </c>
      <c r="BJ608" s="2" t="n">
        <v>0</v>
      </c>
      <c r="BK608" s="2" t="n">
        <v>0</v>
      </c>
      <c r="BL608" s="2" t="n">
        <v>0</v>
      </c>
      <c r="BM608" s="2" t="n">
        <v>0</v>
      </c>
      <c r="BN608" s="2" t="n">
        <v>0</v>
      </c>
      <c r="BO608" s="2" t="n">
        <v>0</v>
      </c>
      <c r="BP608" s="2" t="n">
        <v>0</v>
      </c>
      <c r="BQ608" s="2" t="n">
        <v>0</v>
      </c>
      <c r="BR608" s="2" t="n">
        <v>0</v>
      </c>
      <c r="BS608" s="2" t="n">
        <v>0</v>
      </c>
      <c r="BT608" s="2" t="n">
        <v>0</v>
      </c>
      <c r="BU608" s="2" t="n">
        <v>0</v>
      </c>
      <c r="BV608" s="2" t="n">
        <v>0</v>
      </c>
      <c r="BW608" s="2" t="n">
        <v>0</v>
      </c>
      <c r="BX608" s="2" t="n">
        <v>0</v>
      </c>
      <c r="BY608" s="2" t="n">
        <v>0</v>
      </c>
      <c r="BZ608" s="2" t="n">
        <v>0</v>
      </c>
      <c r="CA608" s="2" t="n">
        <v>0</v>
      </c>
      <c r="CB608" s="2" t="n">
        <v>0</v>
      </c>
      <c r="CC608" s="2" t="n">
        <v>0</v>
      </c>
      <c r="CD608" s="2" t="n">
        <v>0</v>
      </c>
      <c r="CE608" s="2" t="n">
        <v>0</v>
      </c>
      <c r="CF608" s="2" t="n">
        <v>0</v>
      </c>
      <c r="CG608" s="2" t="n">
        <v>0</v>
      </c>
      <c r="CH608" s="2" t="n">
        <v>0</v>
      </c>
      <c r="CI608" s="2" t="n">
        <v>0</v>
      </c>
      <c r="CJ608" s="2" t="n">
        <v>0</v>
      </c>
      <c r="CK608" s="2" t="n">
        <v>0</v>
      </c>
      <c r="CL608" s="2" t="n">
        <v>0</v>
      </c>
      <c r="CM608" s="2" t="n">
        <v>0</v>
      </c>
      <c r="CN608" s="2" t="n">
        <v>0</v>
      </c>
      <c r="CO608" s="2" t="n">
        <v>0</v>
      </c>
      <c r="CP608" s="2" t="n">
        <v>0</v>
      </c>
      <c r="CQ608" s="2" t="n">
        <v>0</v>
      </c>
      <c r="CR608" s="2" t="n">
        <v>0</v>
      </c>
      <c r="CS608" s="2" t="n">
        <v>0</v>
      </c>
      <c r="CT608" s="2" t="n">
        <v>0</v>
      </c>
      <c r="CU608" s="2" t="n">
        <v>0</v>
      </c>
      <c r="CV608" s="2" t="n">
        <v>0</v>
      </c>
      <c r="CW608" s="2" t="n">
        <v>0</v>
      </c>
      <c r="CX608" s="2" t="n">
        <v>0</v>
      </c>
      <c r="CY608" s="2" t="n">
        <v>0</v>
      </c>
      <c r="CZ608" s="2" t="n">
        <v>0</v>
      </c>
      <c r="DA608" s="2" t="n">
        <v>5.34</v>
      </c>
      <c r="DB608" s="2" t="n">
        <v>7.4</v>
      </c>
      <c r="DC608" s="2" t="n">
        <v>0</v>
      </c>
      <c r="DD608" s="2" t="n">
        <v>14.9</v>
      </c>
      <c r="DE608" s="2" t="n">
        <v>17</v>
      </c>
      <c r="DF608" s="2" t="n">
        <v>0</v>
      </c>
      <c r="DG608" s="2" t="n">
        <v>23.12</v>
      </c>
      <c r="DH608" s="2" t="n">
        <v>25.25</v>
      </c>
      <c r="DI608" s="2" t="n">
        <v>0</v>
      </c>
      <c r="DJ608" s="2" t="n">
        <v>33.79</v>
      </c>
      <c r="DK608" s="2" t="n">
        <v>35.91</v>
      </c>
      <c r="DL608" s="2" t="n">
        <v>0</v>
      </c>
      <c r="DM608" s="2" t="n">
        <v>43.54</v>
      </c>
      <c r="DN608" s="2" t="n">
        <v>45.66</v>
      </c>
      <c r="DO608" s="2" t="n">
        <v>0</v>
      </c>
      <c r="DP608" s="2" t="n">
        <v>53.26</v>
      </c>
      <c r="DQ608" s="2" t="n">
        <v>55.45</v>
      </c>
      <c r="DR608" s="2" t="n">
        <v>0</v>
      </c>
      <c r="DS608" s="2" t="n">
        <v>63.33</v>
      </c>
      <c r="DT608" s="2" t="n">
        <v>65.38</v>
      </c>
      <c r="DU608" s="2" t="n">
        <v>0</v>
      </c>
      <c r="DV608" s="2" t="n">
        <v>71.55</v>
      </c>
      <c r="DW608" s="2" t="n">
        <v>73.61</v>
      </c>
      <c r="DX608" s="2" t="n">
        <v>0</v>
      </c>
      <c r="DY608" s="2" t="n">
        <v>80.18000000000001</v>
      </c>
      <c r="DZ608" s="2" t="n">
        <v>83.06999999999999</v>
      </c>
      <c r="EA608" s="2" t="n">
        <v>0</v>
      </c>
      <c r="EB608" s="2" t="n">
        <v>88.72</v>
      </c>
      <c r="EC608" s="2" t="n">
        <v>91.78</v>
      </c>
      <c r="ED608" s="2" t="n">
        <v>0</v>
      </c>
      <c r="EE608" s="2" t="n">
        <v>95.19</v>
      </c>
      <c r="EF608" s="2" t="n">
        <v>95.86</v>
      </c>
      <c r="EG608" s="2" t="n">
        <v>0</v>
      </c>
      <c r="EH608" s="2" t="n">
        <v>100</v>
      </c>
      <c r="EI608" s="2" t="n">
        <v>100</v>
      </c>
      <c r="EJ608" s="2" t="n">
        <v>0</v>
      </c>
      <c r="EK608" s="2" t="n">
        <v>100</v>
      </c>
      <c r="EL608" s="2" t="n">
        <v>100</v>
      </c>
      <c r="EM608" s="2" t="n">
        <v>0</v>
      </c>
      <c r="EN608" s="2" t="n">
        <v>100</v>
      </c>
      <c r="EO608" s="2" t="n">
        <v>100</v>
      </c>
      <c r="EP608" s="2" t="n">
        <v>0</v>
      </c>
      <c r="EQ608" s="2" t="n">
        <v>100</v>
      </c>
      <c r="ER608" s="2" t="n">
        <v>100</v>
      </c>
      <c r="ES608" s="2" t="n">
        <v>0</v>
      </c>
    </row>
    <row r="609">
      <c r="A609" s="2" t="n">
        <v>4</v>
      </c>
      <c r="B609" s="2" t="inlineStr">
        <is>
          <t>27.01.01.04</t>
        </is>
      </c>
      <c r="C609" s="2" t="inlineStr">
        <is>
          <t>P04 - Porta de madeira, correr 1fl, 70x210cm</t>
        </is>
      </c>
      <c r="D609" s="2" t="inlineStr">
        <is>
          <t>04/02/2028</t>
        </is>
      </c>
      <c r="E609" s="2" t="inlineStr">
        <is>
          <t>12/01/2029</t>
        </is>
      </c>
      <c r="F609" s="2" t="n">
        <v>258060</v>
      </c>
      <c r="G609" s="2" t="n">
        <v>0</v>
      </c>
      <c r="H609" s="2" t="n">
        <v>258060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  <c r="AN609" s="2" t="n">
        <v>0</v>
      </c>
      <c r="AO609" s="2" t="n">
        <v>0</v>
      </c>
      <c r="AP609" s="2" t="n">
        <v>0</v>
      </c>
      <c r="AQ609" s="2" t="n">
        <v>0</v>
      </c>
      <c r="AR609" s="2" t="n">
        <v>0</v>
      </c>
      <c r="AS609" s="2" t="n">
        <v>0</v>
      </c>
      <c r="AT609" s="2" t="n">
        <v>0</v>
      </c>
      <c r="AU609" s="2" t="n">
        <v>0</v>
      </c>
      <c r="AV609" s="2" t="n">
        <v>0</v>
      </c>
      <c r="AW609" s="2" t="n">
        <v>0</v>
      </c>
      <c r="AX609" s="2" t="n">
        <v>0</v>
      </c>
      <c r="AY609" s="2" t="n">
        <v>0</v>
      </c>
      <c r="AZ609" s="2" t="n">
        <v>0</v>
      </c>
      <c r="BA609" s="2" t="n">
        <v>0</v>
      </c>
      <c r="BB609" s="2" t="n">
        <v>0</v>
      </c>
      <c r="BC609" s="2" t="n">
        <v>0</v>
      </c>
      <c r="BD609" s="2" t="n">
        <v>0</v>
      </c>
      <c r="BE609" s="2" t="n">
        <v>0</v>
      </c>
      <c r="BF609" s="2" t="n">
        <v>0</v>
      </c>
      <c r="BG609" s="2" t="n">
        <v>0</v>
      </c>
      <c r="BH609" s="2" t="n">
        <v>0</v>
      </c>
      <c r="BI609" s="2" t="n">
        <v>0</v>
      </c>
      <c r="BJ609" s="2" t="n">
        <v>0</v>
      </c>
      <c r="BK609" s="2" t="n">
        <v>0</v>
      </c>
      <c r="BL609" s="2" t="n">
        <v>0</v>
      </c>
      <c r="BM609" s="2" t="n">
        <v>0</v>
      </c>
      <c r="BN609" s="2" t="n">
        <v>0</v>
      </c>
      <c r="BO609" s="2" t="n">
        <v>0</v>
      </c>
      <c r="BP609" s="2" t="n">
        <v>0</v>
      </c>
      <c r="BQ609" s="2" t="n">
        <v>0</v>
      </c>
      <c r="BR609" s="2" t="n">
        <v>0</v>
      </c>
      <c r="BS609" s="2" t="n">
        <v>0</v>
      </c>
      <c r="BT609" s="2" t="n">
        <v>0</v>
      </c>
      <c r="BU609" s="2" t="n">
        <v>0</v>
      </c>
      <c r="BV609" s="2" t="n">
        <v>0</v>
      </c>
      <c r="BW609" s="2" t="n">
        <v>0</v>
      </c>
      <c r="BX609" s="2" t="n">
        <v>0</v>
      </c>
      <c r="BY609" s="2" t="n">
        <v>0</v>
      </c>
      <c r="BZ609" s="2" t="n">
        <v>0</v>
      </c>
      <c r="CA609" s="2" t="n">
        <v>0</v>
      </c>
      <c r="CB609" s="2" t="n">
        <v>0</v>
      </c>
      <c r="CC609" s="2" t="n">
        <v>0</v>
      </c>
      <c r="CD609" s="2" t="n">
        <v>0</v>
      </c>
      <c r="CE609" s="2" t="n">
        <v>0</v>
      </c>
      <c r="CF609" s="2" t="n">
        <v>0</v>
      </c>
      <c r="CG609" s="2" t="n">
        <v>0</v>
      </c>
      <c r="CH609" s="2" t="n">
        <v>0</v>
      </c>
      <c r="CI609" s="2" t="n">
        <v>0</v>
      </c>
      <c r="CJ609" s="2" t="n">
        <v>0</v>
      </c>
      <c r="CK609" s="2" t="n">
        <v>0</v>
      </c>
      <c r="CL609" s="2" t="n">
        <v>0</v>
      </c>
      <c r="CM609" s="2" t="n">
        <v>0</v>
      </c>
      <c r="CN609" s="2" t="n">
        <v>0</v>
      </c>
      <c r="CO609" s="2" t="n">
        <v>0</v>
      </c>
      <c r="CP609" s="2" t="n">
        <v>0</v>
      </c>
      <c r="CQ609" s="2" t="n">
        <v>0</v>
      </c>
      <c r="CR609" s="2" t="n">
        <v>0</v>
      </c>
      <c r="CS609" s="2" t="n">
        <v>0</v>
      </c>
      <c r="CT609" s="2" t="n">
        <v>0</v>
      </c>
      <c r="CU609" s="2" t="n">
        <v>0</v>
      </c>
      <c r="CV609" s="2" t="n">
        <v>0</v>
      </c>
      <c r="CW609" s="2" t="n">
        <v>0</v>
      </c>
      <c r="CX609" s="2" t="n">
        <v>0</v>
      </c>
      <c r="CY609" s="2" t="n">
        <v>0</v>
      </c>
      <c r="CZ609" s="2" t="n">
        <v>0</v>
      </c>
      <c r="DA609" s="2" t="n">
        <v>5.34</v>
      </c>
      <c r="DB609" s="2" t="n">
        <v>7.4</v>
      </c>
      <c r="DC609" s="2" t="n">
        <v>0</v>
      </c>
      <c r="DD609" s="2" t="n">
        <v>14.9</v>
      </c>
      <c r="DE609" s="2" t="n">
        <v>17</v>
      </c>
      <c r="DF609" s="2" t="n">
        <v>0</v>
      </c>
      <c r="DG609" s="2" t="n">
        <v>23.12</v>
      </c>
      <c r="DH609" s="2" t="n">
        <v>25.25</v>
      </c>
      <c r="DI609" s="2" t="n">
        <v>0</v>
      </c>
      <c r="DJ609" s="2" t="n">
        <v>33.79</v>
      </c>
      <c r="DK609" s="2" t="n">
        <v>35.91</v>
      </c>
      <c r="DL609" s="2" t="n">
        <v>0</v>
      </c>
      <c r="DM609" s="2" t="n">
        <v>43.54</v>
      </c>
      <c r="DN609" s="2" t="n">
        <v>45.66</v>
      </c>
      <c r="DO609" s="2" t="n">
        <v>0</v>
      </c>
      <c r="DP609" s="2" t="n">
        <v>53.26</v>
      </c>
      <c r="DQ609" s="2" t="n">
        <v>55.45</v>
      </c>
      <c r="DR609" s="2" t="n">
        <v>0</v>
      </c>
      <c r="DS609" s="2" t="n">
        <v>63.33</v>
      </c>
      <c r="DT609" s="2" t="n">
        <v>65.38</v>
      </c>
      <c r="DU609" s="2" t="n">
        <v>0</v>
      </c>
      <c r="DV609" s="2" t="n">
        <v>71.55</v>
      </c>
      <c r="DW609" s="2" t="n">
        <v>73.61</v>
      </c>
      <c r="DX609" s="2" t="n">
        <v>0</v>
      </c>
      <c r="DY609" s="2" t="n">
        <v>80.18000000000001</v>
      </c>
      <c r="DZ609" s="2" t="n">
        <v>83.06999999999999</v>
      </c>
      <c r="EA609" s="2" t="n">
        <v>0</v>
      </c>
      <c r="EB609" s="2" t="n">
        <v>88.72</v>
      </c>
      <c r="EC609" s="2" t="n">
        <v>91.78</v>
      </c>
      <c r="ED609" s="2" t="n">
        <v>0</v>
      </c>
      <c r="EE609" s="2" t="n">
        <v>95.19</v>
      </c>
      <c r="EF609" s="2" t="n">
        <v>95.86</v>
      </c>
      <c r="EG609" s="2" t="n">
        <v>0</v>
      </c>
      <c r="EH609" s="2" t="n">
        <v>100</v>
      </c>
      <c r="EI609" s="2" t="n">
        <v>100</v>
      </c>
      <c r="EJ609" s="2" t="n">
        <v>0</v>
      </c>
      <c r="EK609" s="2" t="n">
        <v>100</v>
      </c>
      <c r="EL609" s="2" t="n">
        <v>100</v>
      </c>
      <c r="EM609" s="2" t="n">
        <v>0</v>
      </c>
      <c r="EN609" s="2" t="n">
        <v>100</v>
      </c>
      <c r="EO609" s="2" t="n">
        <v>100</v>
      </c>
      <c r="EP609" s="2" t="n">
        <v>0</v>
      </c>
      <c r="EQ609" s="2" t="n">
        <v>100</v>
      </c>
      <c r="ER609" s="2" t="n">
        <v>100</v>
      </c>
      <c r="ES609" s="2" t="n">
        <v>0</v>
      </c>
    </row>
    <row r="610">
      <c r="A610" s="2" t="n">
        <v>4</v>
      </c>
      <c r="B610" s="2" t="inlineStr">
        <is>
          <t>27.01.01.05</t>
        </is>
      </c>
      <c r="C610" s="2" t="inlineStr">
        <is>
          <t>P03 - Porta de madeira, 1fl de abrir, 80x210cm</t>
        </is>
      </c>
      <c r="D610" s="2" t="inlineStr">
        <is>
          <t>04/02/2028</t>
        </is>
      </c>
      <c r="E610" s="2" t="inlineStr">
        <is>
          <t>12/01/2029</t>
        </is>
      </c>
      <c r="F610" s="2" t="n">
        <v>26979</v>
      </c>
      <c r="G610" s="2" t="n">
        <v>0</v>
      </c>
      <c r="H610" s="2" t="n">
        <v>26979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  <c r="AN610" s="2" t="n">
        <v>0</v>
      </c>
      <c r="AO610" s="2" t="n">
        <v>0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n">
        <v>0</v>
      </c>
      <c r="AZ610" s="2" t="n">
        <v>0</v>
      </c>
      <c r="BA610" s="2" t="n">
        <v>0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0</v>
      </c>
      <c r="BG610" s="2" t="n">
        <v>0</v>
      </c>
      <c r="BH610" s="2" t="n">
        <v>0</v>
      </c>
      <c r="BI610" s="2" t="n">
        <v>0</v>
      </c>
      <c r="BJ610" s="2" t="n">
        <v>0</v>
      </c>
      <c r="BK610" s="2" t="n">
        <v>0</v>
      </c>
      <c r="BL610" s="2" t="n">
        <v>0</v>
      </c>
      <c r="BM610" s="2" t="n">
        <v>0</v>
      </c>
      <c r="BN610" s="2" t="n">
        <v>0</v>
      </c>
      <c r="BO610" s="2" t="n">
        <v>0</v>
      </c>
      <c r="BP610" s="2" t="n">
        <v>0</v>
      </c>
      <c r="BQ610" s="2" t="n">
        <v>0</v>
      </c>
      <c r="BR610" s="2" t="n">
        <v>0</v>
      </c>
      <c r="BS610" s="2" t="n">
        <v>0</v>
      </c>
      <c r="BT610" s="2" t="n">
        <v>0</v>
      </c>
      <c r="BU610" s="2" t="n">
        <v>0</v>
      </c>
      <c r="BV610" s="2" t="n">
        <v>0</v>
      </c>
      <c r="BW610" s="2" t="n">
        <v>0</v>
      </c>
      <c r="BX610" s="2" t="n">
        <v>0</v>
      </c>
      <c r="BY610" s="2" t="n">
        <v>0</v>
      </c>
      <c r="BZ610" s="2" t="n">
        <v>0</v>
      </c>
      <c r="CA610" s="2" t="n">
        <v>0</v>
      </c>
      <c r="CB610" s="2" t="n">
        <v>0</v>
      </c>
      <c r="CC610" s="2" t="n">
        <v>0</v>
      </c>
      <c r="CD610" s="2" t="n">
        <v>0</v>
      </c>
      <c r="CE610" s="2" t="n">
        <v>0</v>
      </c>
      <c r="CF610" s="2" t="n">
        <v>0</v>
      </c>
      <c r="CG610" s="2" t="n">
        <v>0</v>
      </c>
      <c r="CH610" s="2" t="n">
        <v>0</v>
      </c>
      <c r="CI610" s="2" t="n">
        <v>0</v>
      </c>
      <c r="CJ610" s="2" t="n">
        <v>0</v>
      </c>
      <c r="CK610" s="2" t="n">
        <v>0</v>
      </c>
      <c r="CL610" s="2" t="n">
        <v>0</v>
      </c>
      <c r="CM610" s="2" t="n">
        <v>0</v>
      </c>
      <c r="CN610" s="2" t="n">
        <v>0</v>
      </c>
      <c r="CO610" s="2" t="n">
        <v>0</v>
      </c>
      <c r="CP610" s="2" t="n">
        <v>0</v>
      </c>
      <c r="CQ610" s="2" t="n">
        <v>0</v>
      </c>
      <c r="CR610" s="2" t="n">
        <v>0</v>
      </c>
      <c r="CS610" s="2" t="n">
        <v>0</v>
      </c>
      <c r="CT610" s="2" t="n">
        <v>0</v>
      </c>
      <c r="CU610" s="2" t="n">
        <v>0</v>
      </c>
      <c r="CV610" s="2" t="n">
        <v>0</v>
      </c>
      <c r="CW610" s="2" t="n">
        <v>0</v>
      </c>
      <c r="CX610" s="2" t="n">
        <v>0</v>
      </c>
      <c r="CY610" s="2" t="n">
        <v>0</v>
      </c>
      <c r="CZ610" s="2" t="n">
        <v>0</v>
      </c>
      <c r="DA610" s="2" t="n">
        <v>5.34</v>
      </c>
      <c r="DB610" s="2" t="n">
        <v>7.4</v>
      </c>
      <c r="DC610" s="2" t="n">
        <v>0</v>
      </c>
      <c r="DD610" s="2" t="n">
        <v>14.9</v>
      </c>
      <c r="DE610" s="2" t="n">
        <v>17</v>
      </c>
      <c r="DF610" s="2" t="n">
        <v>0</v>
      </c>
      <c r="DG610" s="2" t="n">
        <v>23.12</v>
      </c>
      <c r="DH610" s="2" t="n">
        <v>25.25</v>
      </c>
      <c r="DI610" s="2" t="n">
        <v>0</v>
      </c>
      <c r="DJ610" s="2" t="n">
        <v>33.79</v>
      </c>
      <c r="DK610" s="2" t="n">
        <v>35.91</v>
      </c>
      <c r="DL610" s="2" t="n">
        <v>0</v>
      </c>
      <c r="DM610" s="2" t="n">
        <v>43.54</v>
      </c>
      <c r="DN610" s="2" t="n">
        <v>45.66</v>
      </c>
      <c r="DO610" s="2" t="n">
        <v>0</v>
      </c>
      <c r="DP610" s="2" t="n">
        <v>53.26</v>
      </c>
      <c r="DQ610" s="2" t="n">
        <v>55.45</v>
      </c>
      <c r="DR610" s="2" t="n">
        <v>0</v>
      </c>
      <c r="DS610" s="2" t="n">
        <v>63.33</v>
      </c>
      <c r="DT610" s="2" t="n">
        <v>65.38</v>
      </c>
      <c r="DU610" s="2" t="n">
        <v>0</v>
      </c>
      <c r="DV610" s="2" t="n">
        <v>71.55</v>
      </c>
      <c r="DW610" s="2" t="n">
        <v>73.61</v>
      </c>
      <c r="DX610" s="2" t="n">
        <v>0</v>
      </c>
      <c r="DY610" s="2" t="n">
        <v>80.18000000000001</v>
      </c>
      <c r="DZ610" s="2" t="n">
        <v>83.06999999999999</v>
      </c>
      <c r="EA610" s="2" t="n">
        <v>0</v>
      </c>
      <c r="EB610" s="2" t="n">
        <v>88.72</v>
      </c>
      <c r="EC610" s="2" t="n">
        <v>91.78</v>
      </c>
      <c r="ED610" s="2" t="n">
        <v>0</v>
      </c>
      <c r="EE610" s="2" t="n">
        <v>95.19</v>
      </c>
      <c r="EF610" s="2" t="n">
        <v>95.86</v>
      </c>
      <c r="EG610" s="2" t="n">
        <v>0</v>
      </c>
      <c r="EH610" s="2" t="n">
        <v>100</v>
      </c>
      <c r="EI610" s="2" t="n">
        <v>100</v>
      </c>
      <c r="EJ610" s="2" t="n">
        <v>0</v>
      </c>
      <c r="EK610" s="2" t="n">
        <v>100</v>
      </c>
      <c r="EL610" s="2" t="n">
        <v>100</v>
      </c>
      <c r="EM610" s="2" t="n">
        <v>0</v>
      </c>
      <c r="EN610" s="2" t="n">
        <v>100</v>
      </c>
      <c r="EO610" s="2" t="n">
        <v>100</v>
      </c>
      <c r="EP610" s="2" t="n">
        <v>0</v>
      </c>
      <c r="EQ610" s="2" t="n">
        <v>100</v>
      </c>
      <c r="ER610" s="2" t="n">
        <v>100</v>
      </c>
      <c r="ES610" s="2" t="n">
        <v>0</v>
      </c>
    </row>
    <row r="611">
      <c r="A611" s="2" t="n">
        <v>4</v>
      </c>
      <c r="B611" s="2" t="inlineStr">
        <is>
          <t>27.01.01.06</t>
        </is>
      </c>
      <c r="C611" s="2" t="inlineStr">
        <is>
          <t>P05 - Porta de madeira, 1fl de abrir, 80x210cm</t>
        </is>
      </c>
      <c r="D611" s="2" t="inlineStr">
        <is>
          <t>04/02/2028</t>
        </is>
      </c>
      <c r="E611" s="2" t="inlineStr">
        <is>
          <t>12/01/2029</t>
        </is>
      </c>
      <c r="F611" s="2" t="n">
        <v>746028</v>
      </c>
      <c r="G611" s="2" t="n">
        <v>0</v>
      </c>
      <c r="H611" s="2" t="n">
        <v>746028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  <c r="AN611" s="2" t="n">
        <v>0</v>
      </c>
      <c r="AO611" s="2" t="n">
        <v>0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n">
        <v>0</v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n">
        <v>0</v>
      </c>
      <c r="BI611" s="2" t="n">
        <v>0</v>
      </c>
      <c r="BJ611" s="2" t="n">
        <v>0</v>
      </c>
      <c r="BK611" s="2" t="n">
        <v>0</v>
      </c>
      <c r="BL611" s="2" t="n">
        <v>0</v>
      </c>
      <c r="BM611" s="2" t="n">
        <v>0</v>
      </c>
      <c r="BN611" s="2" t="n">
        <v>0</v>
      </c>
      <c r="BO611" s="2" t="n">
        <v>0</v>
      </c>
      <c r="BP611" s="2" t="n">
        <v>0</v>
      </c>
      <c r="BQ611" s="2" t="n">
        <v>0</v>
      </c>
      <c r="BR611" s="2" t="n">
        <v>0</v>
      </c>
      <c r="BS611" s="2" t="n">
        <v>0</v>
      </c>
      <c r="BT611" s="2" t="n">
        <v>0</v>
      </c>
      <c r="BU611" s="2" t="n">
        <v>0</v>
      </c>
      <c r="BV611" s="2" t="n">
        <v>0</v>
      </c>
      <c r="BW611" s="2" t="n">
        <v>0</v>
      </c>
      <c r="BX611" s="2" t="n">
        <v>0</v>
      </c>
      <c r="BY611" s="2" t="n">
        <v>0</v>
      </c>
      <c r="BZ611" s="2" t="n">
        <v>0</v>
      </c>
      <c r="CA611" s="2" t="n">
        <v>0</v>
      </c>
      <c r="CB611" s="2" t="n">
        <v>0</v>
      </c>
      <c r="CC611" s="2" t="n">
        <v>0</v>
      </c>
      <c r="CD611" s="2" t="n">
        <v>0</v>
      </c>
      <c r="CE611" s="2" t="n">
        <v>0</v>
      </c>
      <c r="CF611" s="2" t="n">
        <v>0</v>
      </c>
      <c r="CG611" s="2" t="n">
        <v>0</v>
      </c>
      <c r="CH611" s="2" t="n">
        <v>0</v>
      </c>
      <c r="CI611" s="2" t="n">
        <v>0</v>
      </c>
      <c r="CJ611" s="2" t="n">
        <v>0</v>
      </c>
      <c r="CK611" s="2" t="n">
        <v>0</v>
      </c>
      <c r="CL611" s="2" t="n">
        <v>0</v>
      </c>
      <c r="CM611" s="2" t="n">
        <v>0</v>
      </c>
      <c r="CN611" s="2" t="n">
        <v>0</v>
      </c>
      <c r="CO611" s="2" t="n">
        <v>0</v>
      </c>
      <c r="CP611" s="2" t="n">
        <v>0</v>
      </c>
      <c r="CQ611" s="2" t="n">
        <v>0</v>
      </c>
      <c r="CR611" s="2" t="n">
        <v>0</v>
      </c>
      <c r="CS611" s="2" t="n">
        <v>0</v>
      </c>
      <c r="CT611" s="2" t="n">
        <v>0</v>
      </c>
      <c r="CU611" s="2" t="n">
        <v>0</v>
      </c>
      <c r="CV611" s="2" t="n">
        <v>0</v>
      </c>
      <c r="CW611" s="2" t="n">
        <v>0</v>
      </c>
      <c r="CX611" s="2" t="n">
        <v>0</v>
      </c>
      <c r="CY611" s="2" t="n">
        <v>0</v>
      </c>
      <c r="CZ611" s="2" t="n">
        <v>0</v>
      </c>
      <c r="DA611" s="2" t="n">
        <v>5.34</v>
      </c>
      <c r="DB611" s="2" t="n">
        <v>7.4</v>
      </c>
      <c r="DC611" s="2" t="n">
        <v>0</v>
      </c>
      <c r="DD611" s="2" t="n">
        <v>14.9</v>
      </c>
      <c r="DE611" s="2" t="n">
        <v>17</v>
      </c>
      <c r="DF611" s="2" t="n">
        <v>0</v>
      </c>
      <c r="DG611" s="2" t="n">
        <v>23.12</v>
      </c>
      <c r="DH611" s="2" t="n">
        <v>25.25</v>
      </c>
      <c r="DI611" s="2" t="n">
        <v>0</v>
      </c>
      <c r="DJ611" s="2" t="n">
        <v>33.79</v>
      </c>
      <c r="DK611" s="2" t="n">
        <v>35.91</v>
      </c>
      <c r="DL611" s="2" t="n">
        <v>0</v>
      </c>
      <c r="DM611" s="2" t="n">
        <v>43.54</v>
      </c>
      <c r="DN611" s="2" t="n">
        <v>45.66</v>
      </c>
      <c r="DO611" s="2" t="n">
        <v>0</v>
      </c>
      <c r="DP611" s="2" t="n">
        <v>53.26</v>
      </c>
      <c r="DQ611" s="2" t="n">
        <v>55.45</v>
      </c>
      <c r="DR611" s="2" t="n">
        <v>0</v>
      </c>
      <c r="DS611" s="2" t="n">
        <v>63.33</v>
      </c>
      <c r="DT611" s="2" t="n">
        <v>65.38</v>
      </c>
      <c r="DU611" s="2" t="n">
        <v>0</v>
      </c>
      <c r="DV611" s="2" t="n">
        <v>71.55</v>
      </c>
      <c r="DW611" s="2" t="n">
        <v>73.61</v>
      </c>
      <c r="DX611" s="2" t="n">
        <v>0</v>
      </c>
      <c r="DY611" s="2" t="n">
        <v>80.18000000000001</v>
      </c>
      <c r="DZ611" s="2" t="n">
        <v>83.06999999999999</v>
      </c>
      <c r="EA611" s="2" t="n">
        <v>0</v>
      </c>
      <c r="EB611" s="2" t="n">
        <v>88.72</v>
      </c>
      <c r="EC611" s="2" t="n">
        <v>91.78</v>
      </c>
      <c r="ED611" s="2" t="n">
        <v>0</v>
      </c>
      <c r="EE611" s="2" t="n">
        <v>95.19</v>
      </c>
      <c r="EF611" s="2" t="n">
        <v>95.86</v>
      </c>
      <c r="EG611" s="2" t="n">
        <v>0</v>
      </c>
      <c r="EH611" s="2" t="n">
        <v>100</v>
      </c>
      <c r="EI611" s="2" t="n">
        <v>100</v>
      </c>
      <c r="EJ611" s="2" t="n">
        <v>0</v>
      </c>
      <c r="EK611" s="2" t="n">
        <v>100</v>
      </c>
      <c r="EL611" s="2" t="n">
        <v>100</v>
      </c>
      <c r="EM611" s="2" t="n">
        <v>0</v>
      </c>
      <c r="EN611" s="2" t="n">
        <v>100</v>
      </c>
      <c r="EO611" s="2" t="n">
        <v>100</v>
      </c>
      <c r="EP611" s="2" t="n">
        <v>0</v>
      </c>
      <c r="EQ611" s="2" t="n">
        <v>100</v>
      </c>
      <c r="ER611" s="2" t="n">
        <v>100</v>
      </c>
      <c r="ES611" s="2" t="n">
        <v>0</v>
      </c>
    </row>
    <row r="612">
      <c r="A612" s="2" t="n">
        <v>4</v>
      </c>
      <c r="B612" s="2" t="inlineStr">
        <is>
          <t>27.01.01.07</t>
        </is>
      </c>
      <c r="C612" s="2" t="inlineStr">
        <is>
          <t>P06 - Porta de madeira, 1fl de abrir, 90x210cm</t>
        </is>
      </c>
      <c r="D612" s="2" t="inlineStr">
        <is>
          <t>04/02/2028</t>
        </is>
      </c>
      <c r="E612" s="2" t="inlineStr">
        <is>
          <t>12/01/2029</t>
        </is>
      </c>
      <c r="F612" s="2" t="n">
        <v>233427</v>
      </c>
      <c r="G612" s="2" t="n">
        <v>0</v>
      </c>
      <c r="H612" s="2" t="n">
        <v>233427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0</v>
      </c>
      <c r="AN612" s="2" t="n">
        <v>0</v>
      </c>
      <c r="AO612" s="2" t="n">
        <v>0</v>
      </c>
      <c r="AP612" s="2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0</v>
      </c>
      <c r="AY612" s="2" t="n">
        <v>0</v>
      </c>
      <c r="AZ612" s="2" t="n">
        <v>0</v>
      </c>
      <c r="BA612" s="2" t="n">
        <v>0</v>
      </c>
      <c r="BB612" s="2" t="n">
        <v>0</v>
      </c>
      <c r="BC612" s="2" t="n">
        <v>0</v>
      </c>
      <c r="BD612" s="2" t="n">
        <v>0</v>
      </c>
      <c r="BE612" s="2" t="n">
        <v>0</v>
      </c>
      <c r="BF612" s="2" t="n">
        <v>0</v>
      </c>
      <c r="BG612" s="2" t="n">
        <v>0</v>
      </c>
      <c r="BH612" s="2" t="n">
        <v>0</v>
      </c>
      <c r="BI612" s="2" t="n">
        <v>0</v>
      </c>
      <c r="BJ612" s="2" t="n">
        <v>0</v>
      </c>
      <c r="BK612" s="2" t="n">
        <v>0</v>
      </c>
      <c r="BL612" s="2" t="n">
        <v>0</v>
      </c>
      <c r="BM612" s="2" t="n">
        <v>0</v>
      </c>
      <c r="BN612" s="2" t="n">
        <v>0</v>
      </c>
      <c r="BO612" s="2" t="n">
        <v>0</v>
      </c>
      <c r="BP612" s="2" t="n">
        <v>0</v>
      </c>
      <c r="BQ612" s="2" t="n">
        <v>0</v>
      </c>
      <c r="BR612" s="2" t="n">
        <v>0</v>
      </c>
      <c r="BS612" s="2" t="n">
        <v>0</v>
      </c>
      <c r="BT612" s="2" t="n">
        <v>0</v>
      </c>
      <c r="BU612" s="2" t="n">
        <v>0</v>
      </c>
      <c r="BV612" s="2" t="n">
        <v>0</v>
      </c>
      <c r="BW612" s="2" t="n">
        <v>0</v>
      </c>
      <c r="BX612" s="2" t="n">
        <v>0</v>
      </c>
      <c r="BY612" s="2" t="n">
        <v>0</v>
      </c>
      <c r="BZ612" s="2" t="n">
        <v>0</v>
      </c>
      <c r="CA612" s="2" t="n">
        <v>0</v>
      </c>
      <c r="CB612" s="2" t="n">
        <v>0</v>
      </c>
      <c r="CC612" s="2" t="n">
        <v>0</v>
      </c>
      <c r="CD612" s="2" t="n">
        <v>0</v>
      </c>
      <c r="CE612" s="2" t="n">
        <v>0</v>
      </c>
      <c r="CF612" s="2" t="n">
        <v>0</v>
      </c>
      <c r="CG612" s="2" t="n">
        <v>0</v>
      </c>
      <c r="CH612" s="2" t="n">
        <v>0</v>
      </c>
      <c r="CI612" s="2" t="n">
        <v>0</v>
      </c>
      <c r="CJ612" s="2" t="n">
        <v>0</v>
      </c>
      <c r="CK612" s="2" t="n">
        <v>0</v>
      </c>
      <c r="CL612" s="2" t="n">
        <v>0</v>
      </c>
      <c r="CM612" s="2" t="n">
        <v>0</v>
      </c>
      <c r="CN612" s="2" t="n">
        <v>0</v>
      </c>
      <c r="CO612" s="2" t="n">
        <v>0</v>
      </c>
      <c r="CP612" s="2" t="n">
        <v>0</v>
      </c>
      <c r="CQ612" s="2" t="n">
        <v>0</v>
      </c>
      <c r="CR612" s="2" t="n">
        <v>0</v>
      </c>
      <c r="CS612" s="2" t="n">
        <v>0</v>
      </c>
      <c r="CT612" s="2" t="n">
        <v>0</v>
      </c>
      <c r="CU612" s="2" t="n">
        <v>0</v>
      </c>
      <c r="CV612" s="2" t="n">
        <v>0</v>
      </c>
      <c r="CW612" s="2" t="n">
        <v>0</v>
      </c>
      <c r="CX612" s="2" t="n">
        <v>0</v>
      </c>
      <c r="CY612" s="2" t="n">
        <v>0</v>
      </c>
      <c r="CZ612" s="2" t="n">
        <v>0</v>
      </c>
      <c r="DA612" s="2" t="n">
        <v>5.34</v>
      </c>
      <c r="DB612" s="2" t="n">
        <v>7.4</v>
      </c>
      <c r="DC612" s="2" t="n">
        <v>0</v>
      </c>
      <c r="DD612" s="2" t="n">
        <v>14.9</v>
      </c>
      <c r="DE612" s="2" t="n">
        <v>17</v>
      </c>
      <c r="DF612" s="2" t="n">
        <v>0</v>
      </c>
      <c r="DG612" s="2" t="n">
        <v>23.12</v>
      </c>
      <c r="DH612" s="2" t="n">
        <v>25.25</v>
      </c>
      <c r="DI612" s="2" t="n">
        <v>0</v>
      </c>
      <c r="DJ612" s="2" t="n">
        <v>33.79</v>
      </c>
      <c r="DK612" s="2" t="n">
        <v>35.91</v>
      </c>
      <c r="DL612" s="2" t="n">
        <v>0</v>
      </c>
      <c r="DM612" s="2" t="n">
        <v>43.54</v>
      </c>
      <c r="DN612" s="2" t="n">
        <v>45.66</v>
      </c>
      <c r="DO612" s="2" t="n">
        <v>0</v>
      </c>
      <c r="DP612" s="2" t="n">
        <v>53.26</v>
      </c>
      <c r="DQ612" s="2" t="n">
        <v>55.45</v>
      </c>
      <c r="DR612" s="2" t="n">
        <v>0</v>
      </c>
      <c r="DS612" s="2" t="n">
        <v>63.33</v>
      </c>
      <c r="DT612" s="2" t="n">
        <v>65.38</v>
      </c>
      <c r="DU612" s="2" t="n">
        <v>0</v>
      </c>
      <c r="DV612" s="2" t="n">
        <v>71.55</v>
      </c>
      <c r="DW612" s="2" t="n">
        <v>73.61</v>
      </c>
      <c r="DX612" s="2" t="n">
        <v>0</v>
      </c>
      <c r="DY612" s="2" t="n">
        <v>80.18000000000001</v>
      </c>
      <c r="DZ612" s="2" t="n">
        <v>83.06999999999999</v>
      </c>
      <c r="EA612" s="2" t="n">
        <v>0</v>
      </c>
      <c r="EB612" s="2" t="n">
        <v>88.72</v>
      </c>
      <c r="EC612" s="2" t="n">
        <v>91.78</v>
      </c>
      <c r="ED612" s="2" t="n">
        <v>0</v>
      </c>
      <c r="EE612" s="2" t="n">
        <v>95.19</v>
      </c>
      <c r="EF612" s="2" t="n">
        <v>95.86</v>
      </c>
      <c r="EG612" s="2" t="n">
        <v>0</v>
      </c>
      <c r="EH612" s="2" t="n">
        <v>100</v>
      </c>
      <c r="EI612" s="2" t="n">
        <v>100</v>
      </c>
      <c r="EJ612" s="2" t="n">
        <v>0</v>
      </c>
      <c r="EK612" s="2" t="n">
        <v>100</v>
      </c>
      <c r="EL612" s="2" t="n">
        <v>100</v>
      </c>
      <c r="EM612" s="2" t="n">
        <v>0</v>
      </c>
      <c r="EN612" s="2" t="n">
        <v>100</v>
      </c>
      <c r="EO612" s="2" t="n">
        <v>100</v>
      </c>
      <c r="EP612" s="2" t="n">
        <v>0</v>
      </c>
      <c r="EQ612" s="2" t="n">
        <v>100</v>
      </c>
      <c r="ER612" s="2" t="n">
        <v>100</v>
      </c>
      <c r="ES612" s="2" t="n">
        <v>0</v>
      </c>
    </row>
    <row r="613">
      <c r="A613" s="2" t="n">
        <v>4</v>
      </c>
      <c r="B613" s="2" t="inlineStr">
        <is>
          <t>27.01.01.08</t>
        </is>
      </c>
      <c r="C613" s="2" t="inlineStr">
        <is>
          <t>P08 - Porta de madeira, correr 1fl, 120x210cm</t>
        </is>
      </c>
      <c r="D613" s="2" t="inlineStr">
        <is>
          <t>04/02/2028</t>
        </is>
      </c>
      <c r="E613" s="2" t="inlineStr">
        <is>
          <t>12/01/2029</t>
        </is>
      </c>
      <c r="F613" s="2" t="n">
        <v>1759.5</v>
      </c>
      <c r="G613" s="2" t="n">
        <v>0</v>
      </c>
      <c r="H613" s="2" t="n">
        <v>1759.5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s="2" t="n">
        <v>0</v>
      </c>
      <c r="AN613" s="2" t="n">
        <v>0</v>
      </c>
      <c r="AO613" s="2" t="n">
        <v>0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0</v>
      </c>
      <c r="AX613" s="2" t="n">
        <v>0</v>
      </c>
      <c r="AY613" s="2" t="n">
        <v>0</v>
      </c>
      <c r="AZ613" s="2" t="n">
        <v>0</v>
      </c>
      <c r="BA613" s="2" t="n">
        <v>0</v>
      </c>
      <c r="BB613" s="2" t="n">
        <v>0</v>
      </c>
      <c r="BC613" s="2" t="n">
        <v>0</v>
      </c>
      <c r="BD613" s="2" t="n">
        <v>0</v>
      </c>
      <c r="BE613" s="2" t="n">
        <v>0</v>
      </c>
      <c r="BF613" s="2" t="n">
        <v>0</v>
      </c>
      <c r="BG613" s="2" t="n">
        <v>0</v>
      </c>
      <c r="BH613" s="2" t="n">
        <v>0</v>
      </c>
      <c r="BI613" s="2" t="n">
        <v>0</v>
      </c>
      <c r="BJ613" s="2" t="n">
        <v>0</v>
      </c>
      <c r="BK613" s="2" t="n">
        <v>0</v>
      </c>
      <c r="BL613" s="2" t="n">
        <v>0</v>
      </c>
      <c r="BM613" s="2" t="n">
        <v>0</v>
      </c>
      <c r="BN613" s="2" t="n">
        <v>0</v>
      </c>
      <c r="BO613" s="2" t="n">
        <v>0</v>
      </c>
      <c r="BP613" s="2" t="n">
        <v>0</v>
      </c>
      <c r="BQ613" s="2" t="n">
        <v>0</v>
      </c>
      <c r="BR613" s="2" t="n">
        <v>0</v>
      </c>
      <c r="BS613" s="2" t="n">
        <v>0</v>
      </c>
      <c r="BT613" s="2" t="n">
        <v>0</v>
      </c>
      <c r="BU613" s="2" t="n">
        <v>0</v>
      </c>
      <c r="BV613" s="2" t="n">
        <v>0</v>
      </c>
      <c r="BW613" s="2" t="n">
        <v>0</v>
      </c>
      <c r="BX613" s="2" t="n">
        <v>0</v>
      </c>
      <c r="BY613" s="2" t="n">
        <v>0</v>
      </c>
      <c r="BZ613" s="2" t="n">
        <v>0</v>
      </c>
      <c r="CA613" s="2" t="n">
        <v>0</v>
      </c>
      <c r="CB613" s="2" t="n">
        <v>0</v>
      </c>
      <c r="CC613" s="2" t="n">
        <v>0</v>
      </c>
      <c r="CD613" s="2" t="n">
        <v>0</v>
      </c>
      <c r="CE613" s="2" t="n">
        <v>0</v>
      </c>
      <c r="CF613" s="2" t="n">
        <v>0</v>
      </c>
      <c r="CG613" s="2" t="n">
        <v>0</v>
      </c>
      <c r="CH613" s="2" t="n">
        <v>0</v>
      </c>
      <c r="CI613" s="2" t="n">
        <v>0</v>
      </c>
      <c r="CJ613" s="2" t="n">
        <v>0</v>
      </c>
      <c r="CK613" s="2" t="n">
        <v>0</v>
      </c>
      <c r="CL613" s="2" t="n">
        <v>0</v>
      </c>
      <c r="CM613" s="2" t="n">
        <v>0</v>
      </c>
      <c r="CN613" s="2" t="n">
        <v>0</v>
      </c>
      <c r="CO613" s="2" t="n">
        <v>0</v>
      </c>
      <c r="CP613" s="2" t="n">
        <v>0</v>
      </c>
      <c r="CQ613" s="2" t="n">
        <v>0</v>
      </c>
      <c r="CR613" s="2" t="n">
        <v>0</v>
      </c>
      <c r="CS613" s="2" t="n">
        <v>0</v>
      </c>
      <c r="CT613" s="2" t="n">
        <v>0</v>
      </c>
      <c r="CU613" s="2" t="n">
        <v>0</v>
      </c>
      <c r="CV613" s="2" t="n">
        <v>0</v>
      </c>
      <c r="CW613" s="2" t="n">
        <v>0</v>
      </c>
      <c r="CX613" s="2" t="n">
        <v>0</v>
      </c>
      <c r="CY613" s="2" t="n">
        <v>0</v>
      </c>
      <c r="CZ613" s="2" t="n">
        <v>0</v>
      </c>
      <c r="DA613" s="2" t="n">
        <v>5.34</v>
      </c>
      <c r="DB613" s="2" t="n">
        <v>7.4</v>
      </c>
      <c r="DC613" s="2" t="n">
        <v>0</v>
      </c>
      <c r="DD613" s="2" t="n">
        <v>14.9</v>
      </c>
      <c r="DE613" s="2" t="n">
        <v>17</v>
      </c>
      <c r="DF613" s="2" t="n">
        <v>0</v>
      </c>
      <c r="DG613" s="2" t="n">
        <v>23.12</v>
      </c>
      <c r="DH613" s="2" t="n">
        <v>25.25</v>
      </c>
      <c r="DI613" s="2" t="n">
        <v>0</v>
      </c>
      <c r="DJ613" s="2" t="n">
        <v>33.79</v>
      </c>
      <c r="DK613" s="2" t="n">
        <v>35.91</v>
      </c>
      <c r="DL613" s="2" t="n">
        <v>0</v>
      </c>
      <c r="DM613" s="2" t="n">
        <v>43.54</v>
      </c>
      <c r="DN613" s="2" t="n">
        <v>45.66</v>
      </c>
      <c r="DO613" s="2" t="n">
        <v>0</v>
      </c>
      <c r="DP613" s="2" t="n">
        <v>53.26</v>
      </c>
      <c r="DQ613" s="2" t="n">
        <v>55.45</v>
      </c>
      <c r="DR613" s="2" t="n">
        <v>0</v>
      </c>
      <c r="DS613" s="2" t="n">
        <v>63.33</v>
      </c>
      <c r="DT613" s="2" t="n">
        <v>65.38</v>
      </c>
      <c r="DU613" s="2" t="n">
        <v>0</v>
      </c>
      <c r="DV613" s="2" t="n">
        <v>71.55</v>
      </c>
      <c r="DW613" s="2" t="n">
        <v>73.61</v>
      </c>
      <c r="DX613" s="2" t="n">
        <v>0</v>
      </c>
      <c r="DY613" s="2" t="n">
        <v>80.18000000000001</v>
      </c>
      <c r="DZ613" s="2" t="n">
        <v>83.06999999999999</v>
      </c>
      <c r="EA613" s="2" t="n">
        <v>0</v>
      </c>
      <c r="EB613" s="2" t="n">
        <v>88.72</v>
      </c>
      <c r="EC613" s="2" t="n">
        <v>91.78</v>
      </c>
      <c r="ED613" s="2" t="n">
        <v>0</v>
      </c>
      <c r="EE613" s="2" t="n">
        <v>95.19</v>
      </c>
      <c r="EF613" s="2" t="n">
        <v>95.86</v>
      </c>
      <c r="EG613" s="2" t="n">
        <v>0</v>
      </c>
      <c r="EH613" s="2" t="n">
        <v>100</v>
      </c>
      <c r="EI613" s="2" t="n">
        <v>100</v>
      </c>
      <c r="EJ613" s="2" t="n">
        <v>0</v>
      </c>
      <c r="EK613" s="2" t="n">
        <v>100</v>
      </c>
      <c r="EL613" s="2" t="n">
        <v>100</v>
      </c>
      <c r="EM613" s="2" t="n">
        <v>0</v>
      </c>
      <c r="EN613" s="2" t="n">
        <v>100</v>
      </c>
      <c r="EO613" s="2" t="n">
        <v>100</v>
      </c>
      <c r="EP613" s="2" t="n">
        <v>0</v>
      </c>
      <c r="EQ613" s="2" t="n">
        <v>100</v>
      </c>
      <c r="ER613" s="2" t="n">
        <v>100</v>
      </c>
      <c r="ES613" s="2" t="n">
        <v>0</v>
      </c>
    </row>
    <row r="614">
      <c r="A614" s="2" t="n">
        <v>4</v>
      </c>
      <c r="B614" s="2" t="inlineStr">
        <is>
          <t>27.01.01.09</t>
        </is>
      </c>
      <c r="C614" s="2" t="inlineStr">
        <is>
          <t>Preenchimento lateral para portas com espuma expansiva de poliuretano</t>
        </is>
      </c>
      <c r="D614" s="2" t="inlineStr">
        <is>
          <t>04/02/2028</t>
        </is>
      </c>
      <c r="E614" s="2" t="inlineStr">
        <is>
          <t>12/01/2029</t>
        </is>
      </c>
      <c r="F614" s="2" t="n">
        <v>53772.72688411609</v>
      </c>
      <c r="G614" s="2" t="n">
        <v>0</v>
      </c>
      <c r="H614" s="2" t="n">
        <v>53772.72688411609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  <c r="AN614" s="2" t="n">
        <v>0</v>
      </c>
      <c r="AO614" s="2" t="n">
        <v>0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n">
        <v>0</v>
      </c>
      <c r="AZ614" s="2" t="n">
        <v>0</v>
      </c>
      <c r="BA614" s="2" t="n">
        <v>0</v>
      </c>
      <c r="BB614" s="2" t="n">
        <v>0</v>
      </c>
      <c r="BC614" s="2" t="n">
        <v>0</v>
      </c>
      <c r="BD614" s="2" t="n">
        <v>0</v>
      </c>
      <c r="BE614" s="2" t="n">
        <v>0</v>
      </c>
      <c r="BF614" s="2" t="n">
        <v>0</v>
      </c>
      <c r="BG614" s="2" t="n">
        <v>0</v>
      </c>
      <c r="BH614" s="2" t="n">
        <v>0</v>
      </c>
      <c r="BI614" s="2" t="n">
        <v>0</v>
      </c>
      <c r="BJ614" s="2" t="n">
        <v>0</v>
      </c>
      <c r="BK614" s="2" t="n">
        <v>0</v>
      </c>
      <c r="BL614" s="2" t="n">
        <v>0</v>
      </c>
      <c r="BM614" s="2" t="n">
        <v>0</v>
      </c>
      <c r="BN614" s="2" t="n">
        <v>0</v>
      </c>
      <c r="BO614" s="2" t="n">
        <v>0</v>
      </c>
      <c r="BP614" s="2" t="n">
        <v>0</v>
      </c>
      <c r="BQ614" s="2" t="n">
        <v>0</v>
      </c>
      <c r="BR614" s="2" t="n">
        <v>0</v>
      </c>
      <c r="BS614" s="2" t="n">
        <v>0</v>
      </c>
      <c r="BT614" s="2" t="n">
        <v>0</v>
      </c>
      <c r="BU614" s="2" t="n">
        <v>0</v>
      </c>
      <c r="BV614" s="2" t="n">
        <v>0</v>
      </c>
      <c r="BW614" s="2" t="n">
        <v>0</v>
      </c>
      <c r="BX614" s="2" t="n">
        <v>0</v>
      </c>
      <c r="BY614" s="2" t="n">
        <v>0</v>
      </c>
      <c r="BZ614" s="2" t="n">
        <v>0</v>
      </c>
      <c r="CA614" s="2" t="n">
        <v>0</v>
      </c>
      <c r="CB614" s="2" t="n">
        <v>0</v>
      </c>
      <c r="CC614" s="2" t="n">
        <v>0</v>
      </c>
      <c r="CD614" s="2" t="n">
        <v>0</v>
      </c>
      <c r="CE614" s="2" t="n">
        <v>0</v>
      </c>
      <c r="CF614" s="2" t="n">
        <v>0</v>
      </c>
      <c r="CG614" s="2" t="n">
        <v>0</v>
      </c>
      <c r="CH614" s="2" t="n">
        <v>0</v>
      </c>
      <c r="CI614" s="2" t="n">
        <v>0</v>
      </c>
      <c r="CJ614" s="2" t="n">
        <v>0</v>
      </c>
      <c r="CK614" s="2" t="n">
        <v>0</v>
      </c>
      <c r="CL614" s="2" t="n">
        <v>0</v>
      </c>
      <c r="CM614" s="2" t="n">
        <v>0</v>
      </c>
      <c r="CN614" s="2" t="n">
        <v>0</v>
      </c>
      <c r="CO614" s="2" t="n">
        <v>0</v>
      </c>
      <c r="CP614" s="2" t="n">
        <v>0</v>
      </c>
      <c r="CQ614" s="2" t="n">
        <v>0</v>
      </c>
      <c r="CR614" s="2" t="n">
        <v>0</v>
      </c>
      <c r="CS614" s="2" t="n">
        <v>0</v>
      </c>
      <c r="CT614" s="2" t="n">
        <v>0</v>
      </c>
      <c r="CU614" s="2" t="n">
        <v>0</v>
      </c>
      <c r="CV614" s="2" t="n">
        <v>0</v>
      </c>
      <c r="CW614" s="2" t="n">
        <v>0</v>
      </c>
      <c r="CX614" s="2" t="n">
        <v>0</v>
      </c>
      <c r="CY614" s="2" t="n">
        <v>0</v>
      </c>
      <c r="CZ614" s="2" t="n">
        <v>0</v>
      </c>
      <c r="DA614" s="2" t="n">
        <v>5.34</v>
      </c>
      <c r="DB614" s="2" t="n">
        <v>7.4</v>
      </c>
      <c r="DC614" s="2" t="n">
        <v>0</v>
      </c>
      <c r="DD614" s="2" t="n">
        <v>14.9</v>
      </c>
      <c r="DE614" s="2" t="n">
        <v>17</v>
      </c>
      <c r="DF614" s="2" t="n">
        <v>0</v>
      </c>
      <c r="DG614" s="2" t="n">
        <v>23.12</v>
      </c>
      <c r="DH614" s="2" t="n">
        <v>25.25</v>
      </c>
      <c r="DI614" s="2" t="n">
        <v>0</v>
      </c>
      <c r="DJ614" s="2" t="n">
        <v>33.79</v>
      </c>
      <c r="DK614" s="2" t="n">
        <v>35.91</v>
      </c>
      <c r="DL614" s="2" t="n">
        <v>0</v>
      </c>
      <c r="DM614" s="2" t="n">
        <v>43.54</v>
      </c>
      <c r="DN614" s="2" t="n">
        <v>45.66</v>
      </c>
      <c r="DO614" s="2" t="n">
        <v>0</v>
      </c>
      <c r="DP614" s="2" t="n">
        <v>53.26</v>
      </c>
      <c r="DQ614" s="2" t="n">
        <v>55.45</v>
      </c>
      <c r="DR614" s="2" t="n">
        <v>0</v>
      </c>
      <c r="DS614" s="2" t="n">
        <v>63.33</v>
      </c>
      <c r="DT614" s="2" t="n">
        <v>65.38</v>
      </c>
      <c r="DU614" s="2" t="n">
        <v>0</v>
      </c>
      <c r="DV614" s="2" t="n">
        <v>71.55</v>
      </c>
      <c r="DW614" s="2" t="n">
        <v>73.61</v>
      </c>
      <c r="DX614" s="2" t="n">
        <v>0</v>
      </c>
      <c r="DY614" s="2" t="n">
        <v>80.18000000000001</v>
      </c>
      <c r="DZ614" s="2" t="n">
        <v>83.06999999999999</v>
      </c>
      <c r="EA614" s="2" t="n">
        <v>0</v>
      </c>
      <c r="EB614" s="2" t="n">
        <v>88.72</v>
      </c>
      <c r="EC614" s="2" t="n">
        <v>91.78</v>
      </c>
      <c r="ED614" s="2" t="n">
        <v>0</v>
      </c>
      <c r="EE614" s="2" t="n">
        <v>95.19</v>
      </c>
      <c r="EF614" s="2" t="n">
        <v>95.86</v>
      </c>
      <c r="EG614" s="2" t="n">
        <v>0</v>
      </c>
      <c r="EH614" s="2" t="n">
        <v>100</v>
      </c>
      <c r="EI614" s="2" t="n">
        <v>100</v>
      </c>
      <c r="EJ614" s="2" t="n">
        <v>0</v>
      </c>
      <c r="EK614" s="2" t="n">
        <v>100</v>
      </c>
      <c r="EL614" s="2" t="n">
        <v>100</v>
      </c>
      <c r="EM614" s="2" t="n">
        <v>0</v>
      </c>
      <c r="EN614" s="2" t="n">
        <v>100</v>
      </c>
      <c r="EO614" s="2" t="n">
        <v>100</v>
      </c>
      <c r="EP614" s="2" t="n">
        <v>0</v>
      </c>
      <c r="EQ614" s="2" t="n">
        <v>100</v>
      </c>
      <c r="ER614" s="2" t="n">
        <v>100</v>
      </c>
      <c r="ES614" s="2" t="n">
        <v>0</v>
      </c>
    </row>
    <row r="615">
      <c r="A615" s="2" t="n">
        <v>3</v>
      </c>
      <c r="B615" s="2" t="inlineStr">
        <is>
          <t>27.01.02</t>
        </is>
      </c>
      <c r="C615" s="2" t="inlineStr">
        <is>
          <t>Ferragens</t>
        </is>
      </c>
      <c r="D615" s="2" t="inlineStr">
        <is>
          <t>04/02/2028</t>
        </is>
      </c>
      <c r="E615" s="2" t="inlineStr">
        <is>
          <t>12/01/2029</t>
        </is>
      </c>
      <c r="F615" s="2" t="n">
        <v>614104.0135999999</v>
      </c>
      <c r="G615" s="2" t="n">
        <v>0</v>
      </c>
      <c r="H615" s="2" t="n">
        <v>614104.0135999999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  <c r="AN615" s="2" t="n">
        <v>0</v>
      </c>
      <c r="AO615" s="2" t="n">
        <v>0</v>
      </c>
      <c r="AP615" s="2" t="n">
        <v>0</v>
      </c>
      <c r="AQ615" s="2" t="n">
        <v>0</v>
      </c>
      <c r="AR615" s="2" t="n">
        <v>0</v>
      </c>
      <c r="AS615" s="2" t="n">
        <v>0</v>
      </c>
      <c r="AT615" s="2" t="n">
        <v>0</v>
      </c>
      <c r="AU615" s="2" t="n">
        <v>0</v>
      </c>
      <c r="AV615" s="2" t="n">
        <v>0</v>
      </c>
      <c r="AW615" s="2" t="n">
        <v>0</v>
      </c>
      <c r="AX615" s="2" t="n">
        <v>0</v>
      </c>
      <c r="AY615" s="2" t="n">
        <v>0</v>
      </c>
      <c r="AZ615" s="2" t="n">
        <v>0</v>
      </c>
      <c r="BA615" s="2" t="n">
        <v>0</v>
      </c>
      <c r="BB615" s="2" t="n">
        <v>0</v>
      </c>
      <c r="BC615" s="2" t="n">
        <v>0</v>
      </c>
      <c r="BD615" s="2" t="n">
        <v>0</v>
      </c>
      <c r="BE615" s="2" t="n">
        <v>0</v>
      </c>
      <c r="BF615" s="2" t="n">
        <v>0</v>
      </c>
      <c r="BG615" s="2" t="n">
        <v>0</v>
      </c>
      <c r="BH615" s="2" t="n">
        <v>0</v>
      </c>
      <c r="BI615" s="2" t="n">
        <v>0</v>
      </c>
      <c r="BJ615" s="2" t="n">
        <v>0</v>
      </c>
      <c r="BK615" s="2" t="n">
        <v>0</v>
      </c>
      <c r="BL615" s="2" t="n">
        <v>0</v>
      </c>
      <c r="BM615" s="2" t="n">
        <v>0</v>
      </c>
      <c r="BN615" s="2" t="n">
        <v>0</v>
      </c>
      <c r="BO615" s="2" t="n">
        <v>0</v>
      </c>
      <c r="BP615" s="2" t="n">
        <v>0</v>
      </c>
      <c r="BQ615" s="2" t="n">
        <v>0</v>
      </c>
      <c r="BR615" s="2" t="n">
        <v>0</v>
      </c>
      <c r="BS615" s="2" t="n">
        <v>0</v>
      </c>
      <c r="BT615" s="2" t="n">
        <v>0</v>
      </c>
      <c r="BU615" s="2" t="n">
        <v>0</v>
      </c>
      <c r="BV615" s="2" t="n">
        <v>0</v>
      </c>
      <c r="BW615" s="2" t="n">
        <v>0</v>
      </c>
      <c r="BX615" s="2" t="n">
        <v>0</v>
      </c>
      <c r="BY615" s="2" t="n">
        <v>0</v>
      </c>
      <c r="BZ615" s="2" t="n">
        <v>0</v>
      </c>
      <c r="CA615" s="2" t="n">
        <v>0</v>
      </c>
      <c r="CB615" s="2" t="n">
        <v>0</v>
      </c>
      <c r="CC615" s="2" t="n">
        <v>0</v>
      </c>
      <c r="CD615" s="2" t="n">
        <v>0</v>
      </c>
      <c r="CE615" s="2" t="n">
        <v>0</v>
      </c>
      <c r="CF615" s="2" t="n">
        <v>0</v>
      </c>
      <c r="CG615" s="2" t="n">
        <v>0</v>
      </c>
      <c r="CH615" s="2" t="n">
        <v>0</v>
      </c>
      <c r="CI615" s="2" t="n">
        <v>0</v>
      </c>
      <c r="CJ615" s="2" t="n">
        <v>0</v>
      </c>
      <c r="CK615" s="2" t="n">
        <v>0</v>
      </c>
      <c r="CL615" s="2" t="n">
        <v>0</v>
      </c>
      <c r="CM615" s="2" t="n">
        <v>0</v>
      </c>
      <c r="CN615" s="2" t="n">
        <v>0</v>
      </c>
      <c r="CO615" s="2" t="n">
        <v>0</v>
      </c>
      <c r="CP615" s="2" t="n">
        <v>0</v>
      </c>
      <c r="CQ615" s="2" t="n">
        <v>0</v>
      </c>
      <c r="CR615" s="2" t="n">
        <v>0</v>
      </c>
      <c r="CS615" s="2" t="n">
        <v>0</v>
      </c>
      <c r="CT615" s="2" t="n">
        <v>0</v>
      </c>
      <c r="CU615" s="2" t="n">
        <v>0</v>
      </c>
      <c r="CV615" s="2" t="n">
        <v>0</v>
      </c>
      <c r="CW615" s="2" t="n">
        <v>0</v>
      </c>
      <c r="CX615" s="2" t="n">
        <v>0</v>
      </c>
      <c r="CY615" s="2" t="n">
        <v>0</v>
      </c>
      <c r="CZ615" s="2" t="n">
        <v>0</v>
      </c>
      <c r="DA615" s="2" t="n">
        <v>5.34</v>
      </c>
      <c r="DB615" s="2" t="n">
        <v>7.4</v>
      </c>
      <c r="DC615" s="2" t="n">
        <v>0</v>
      </c>
      <c r="DD615" s="2" t="n">
        <v>14.9</v>
      </c>
      <c r="DE615" s="2" t="n">
        <v>17</v>
      </c>
      <c r="DF615" s="2" t="n">
        <v>0</v>
      </c>
      <c r="DG615" s="2" t="n">
        <v>23.12</v>
      </c>
      <c r="DH615" s="2" t="n">
        <v>25.25</v>
      </c>
      <c r="DI615" s="2" t="n">
        <v>0</v>
      </c>
      <c r="DJ615" s="2" t="n">
        <v>33.79</v>
      </c>
      <c r="DK615" s="2" t="n">
        <v>35.91</v>
      </c>
      <c r="DL615" s="2" t="n">
        <v>0</v>
      </c>
      <c r="DM615" s="2" t="n">
        <v>43.54</v>
      </c>
      <c r="DN615" s="2" t="n">
        <v>45.66</v>
      </c>
      <c r="DO615" s="2" t="n">
        <v>0</v>
      </c>
      <c r="DP615" s="2" t="n">
        <v>53.26</v>
      </c>
      <c r="DQ615" s="2" t="n">
        <v>55.45</v>
      </c>
      <c r="DR615" s="2" t="n">
        <v>0</v>
      </c>
      <c r="DS615" s="2" t="n">
        <v>63.33</v>
      </c>
      <c r="DT615" s="2" t="n">
        <v>65.38</v>
      </c>
      <c r="DU615" s="2" t="n">
        <v>0</v>
      </c>
      <c r="DV615" s="2" t="n">
        <v>71.55</v>
      </c>
      <c r="DW615" s="2" t="n">
        <v>73.61</v>
      </c>
      <c r="DX615" s="2" t="n">
        <v>0</v>
      </c>
      <c r="DY615" s="2" t="n">
        <v>80.18000000000001</v>
      </c>
      <c r="DZ615" s="2" t="n">
        <v>83.06999999999999</v>
      </c>
      <c r="EA615" s="2" t="n">
        <v>0</v>
      </c>
      <c r="EB615" s="2" t="n">
        <v>88.72</v>
      </c>
      <c r="EC615" s="2" t="n">
        <v>91.78</v>
      </c>
      <c r="ED615" s="2" t="n">
        <v>0</v>
      </c>
      <c r="EE615" s="2" t="n">
        <v>95.19</v>
      </c>
      <c r="EF615" s="2" t="n">
        <v>95.86</v>
      </c>
      <c r="EG615" s="2" t="n">
        <v>0</v>
      </c>
      <c r="EH615" s="2" t="n">
        <v>100</v>
      </c>
      <c r="EI615" s="2" t="n">
        <v>100</v>
      </c>
      <c r="EJ615" s="2" t="n">
        <v>0</v>
      </c>
      <c r="EK615" s="2" t="n">
        <v>100</v>
      </c>
      <c r="EL615" s="2" t="n">
        <v>100</v>
      </c>
      <c r="EM615" s="2" t="n">
        <v>0</v>
      </c>
      <c r="EN615" s="2" t="n">
        <v>100</v>
      </c>
      <c r="EO615" s="2" t="n">
        <v>100</v>
      </c>
      <c r="EP615" s="2" t="n">
        <v>0</v>
      </c>
      <c r="EQ615" s="2" t="n">
        <v>100</v>
      </c>
      <c r="ER615" s="2" t="n">
        <v>100</v>
      </c>
      <c r="ES615" s="2" t="n">
        <v>0</v>
      </c>
    </row>
    <row r="616">
      <c r="A616" s="2" t="n">
        <v>4</v>
      </c>
      <c r="B616" s="2" t="inlineStr">
        <is>
          <t>27.01.02.01</t>
        </is>
      </c>
      <c r="C616" s="2" t="inlineStr">
        <is>
          <t>Dobradiça cromada 3"</t>
        </is>
      </c>
      <c r="D616" s="2" t="inlineStr">
        <is>
          <t>04/02/2028</t>
        </is>
      </c>
      <c r="E616" s="2" t="inlineStr">
        <is>
          <t>12/01/2029</t>
        </is>
      </c>
      <c r="F616" s="2" t="n">
        <v>128940</v>
      </c>
      <c r="G616" s="2" t="n">
        <v>0</v>
      </c>
      <c r="H616" s="2" t="n">
        <v>128940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  <c r="AN616" s="2" t="n">
        <v>0</v>
      </c>
      <c r="AO616" s="2" t="n">
        <v>0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n">
        <v>0</v>
      </c>
      <c r="AZ616" s="2" t="n">
        <v>0</v>
      </c>
      <c r="BA616" s="2" t="n">
        <v>0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n">
        <v>0</v>
      </c>
      <c r="BI616" s="2" t="n">
        <v>0</v>
      </c>
      <c r="BJ616" s="2" t="n">
        <v>0</v>
      </c>
      <c r="BK616" s="2" t="n">
        <v>0</v>
      </c>
      <c r="BL616" s="2" t="n">
        <v>0</v>
      </c>
      <c r="BM616" s="2" t="n">
        <v>0</v>
      </c>
      <c r="BN616" s="2" t="n">
        <v>0</v>
      </c>
      <c r="BO616" s="2" t="n">
        <v>0</v>
      </c>
      <c r="BP616" s="2" t="n">
        <v>0</v>
      </c>
      <c r="BQ616" s="2" t="n">
        <v>0</v>
      </c>
      <c r="BR616" s="2" t="n">
        <v>0</v>
      </c>
      <c r="BS616" s="2" t="n">
        <v>0</v>
      </c>
      <c r="BT616" s="2" t="n">
        <v>0</v>
      </c>
      <c r="BU616" s="2" t="n">
        <v>0</v>
      </c>
      <c r="BV616" s="2" t="n">
        <v>0</v>
      </c>
      <c r="BW616" s="2" t="n">
        <v>0</v>
      </c>
      <c r="BX616" s="2" t="n">
        <v>0</v>
      </c>
      <c r="BY616" s="2" t="n">
        <v>0</v>
      </c>
      <c r="BZ616" s="2" t="n">
        <v>0</v>
      </c>
      <c r="CA616" s="2" t="n">
        <v>0</v>
      </c>
      <c r="CB616" s="2" t="n">
        <v>0</v>
      </c>
      <c r="CC616" s="2" t="n">
        <v>0</v>
      </c>
      <c r="CD616" s="2" t="n">
        <v>0</v>
      </c>
      <c r="CE616" s="2" t="n">
        <v>0</v>
      </c>
      <c r="CF616" s="2" t="n">
        <v>0</v>
      </c>
      <c r="CG616" s="2" t="n">
        <v>0</v>
      </c>
      <c r="CH616" s="2" t="n">
        <v>0</v>
      </c>
      <c r="CI616" s="2" t="n">
        <v>0</v>
      </c>
      <c r="CJ616" s="2" t="n">
        <v>0</v>
      </c>
      <c r="CK616" s="2" t="n">
        <v>0</v>
      </c>
      <c r="CL616" s="2" t="n">
        <v>0</v>
      </c>
      <c r="CM616" s="2" t="n">
        <v>0</v>
      </c>
      <c r="CN616" s="2" t="n">
        <v>0</v>
      </c>
      <c r="CO616" s="2" t="n">
        <v>0</v>
      </c>
      <c r="CP616" s="2" t="n">
        <v>0</v>
      </c>
      <c r="CQ616" s="2" t="n">
        <v>0</v>
      </c>
      <c r="CR616" s="2" t="n">
        <v>0</v>
      </c>
      <c r="CS616" s="2" t="n">
        <v>0</v>
      </c>
      <c r="CT616" s="2" t="n">
        <v>0</v>
      </c>
      <c r="CU616" s="2" t="n">
        <v>0</v>
      </c>
      <c r="CV616" s="2" t="n">
        <v>0</v>
      </c>
      <c r="CW616" s="2" t="n">
        <v>0</v>
      </c>
      <c r="CX616" s="2" t="n">
        <v>0</v>
      </c>
      <c r="CY616" s="2" t="n">
        <v>0</v>
      </c>
      <c r="CZ616" s="2" t="n">
        <v>0</v>
      </c>
      <c r="DA616" s="2" t="n">
        <v>5.34</v>
      </c>
      <c r="DB616" s="2" t="n">
        <v>7.4</v>
      </c>
      <c r="DC616" s="2" t="n">
        <v>0</v>
      </c>
      <c r="DD616" s="2" t="n">
        <v>14.9</v>
      </c>
      <c r="DE616" s="2" t="n">
        <v>17</v>
      </c>
      <c r="DF616" s="2" t="n">
        <v>0</v>
      </c>
      <c r="DG616" s="2" t="n">
        <v>23.12</v>
      </c>
      <c r="DH616" s="2" t="n">
        <v>25.25</v>
      </c>
      <c r="DI616" s="2" t="n">
        <v>0</v>
      </c>
      <c r="DJ616" s="2" t="n">
        <v>33.79</v>
      </c>
      <c r="DK616" s="2" t="n">
        <v>35.91</v>
      </c>
      <c r="DL616" s="2" t="n">
        <v>0</v>
      </c>
      <c r="DM616" s="2" t="n">
        <v>43.54</v>
      </c>
      <c r="DN616" s="2" t="n">
        <v>45.66</v>
      </c>
      <c r="DO616" s="2" t="n">
        <v>0</v>
      </c>
      <c r="DP616" s="2" t="n">
        <v>53.26</v>
      </c>
      <c r="DQ616" s="2" t="n">
        <v>55.45</v>
      </c>
      <c r="DR616" s="2" t="n">
        <v>0</v>
      </c>
      <c r="DS616" s="2" t="n">
        <v>63.33</v>
      </c>
      <c r="DT616" s="2" t="n">
        <v>65.38</v>
      </c>
      <c r="DU616" s="2" t="n">
        <v>0</v>
      </c>
      <c r="DV616" s="2" t="n">
        <v>71.55</v>
      </c>
      <c r="DW616" s="2" t="n">
        <v>73.61</v>
      </c>
      <c r="DX616" s="2" t="n">
        <v>0</v>
      </c>
      <c r="DY616" s="2" t="n">
        <v>80.18000000000001</v>
      </c>
      <c r="DZ616" s="2" t="n">
        <v>83.06999999999999</v>
      </c>
      <c r="EA616" s="2" t="n">
        <v>0</v>
      </c>
      <c r="EB616" s="2" t="n">
        <v>88.72</v>
      </c>
      <c r="EC616" s="2" t="n">
        <v>91.78</v>
      </c>
      <c r="ED616" s="2" t="n">
        <v>0</v>
      </c>
      <c r="EE616" s="2" t="n">
        <v>95.19</v>
      </c>
      <c r="EF616" s="2" t="n">
        <v>95.86</v>
      </c>
      <c r="EG616" s="2" t="n">
        <v>0</v>
      </c>
      <c r="EH616" s="2" t="n">
        <v>100</v>
      </c>
      <c r="EI616" s="2" t="n">
        <v>100</v>
      </c>
      <c r="EJ616" s="2" t="n">
        <v>0</v>
      </c>
      <c r="EK616" s="2" t="n">
        <v>100</v>
      </c>
      <c r="EL616" s="2" t="n">
        <v>100</v>
      </c>
      <c r="EM616" s="2" t="n">
        <v>0</v>
      </c>
      <c r="EN616" s="2" t="n">
        <v>100</v>
      </c>
      <c r="EO616" s="2" t="n">
        <v>100</v>
      </c>
      <c r="EP616" s="2" t="n">
        <v>0</v>
      </c>
      <c r="EQ616" s="2" t="n">
        <v>100</v>
      </c>
      <c r="ER616" s="2" t="n">
        <v>100</v>
      </c>
      <c r="ES616" s="2" t="n">
        <v>0</v>
      </c>
    </row>
    <row r="617">
      <c r="A617" s="2" t="n">
        <v>4</v>
      </c>
      <c r="B617" s="2" t="inlineStr">
        <is>
          <t>27.01.02.02</t>
        </is>
      </c>
      <c r="C617" s="2" t="inlineStr">
        <is>
          <t>Fechadura multiponto com lingueta (4 bolts em aço maciço no sistema de travamento central e 3 em cada sistema auxiliar (mul-T-lock)| Cilindro perfil euro com chaves  codificadas e cópias controladas mediante autorização (ref.: Mul-T-Lock)</t>
        </is>
      </c>
      <c r="D617" s="2" t="inlineStr">
        <is>
          <t>04/02/2028</t>
        </is>
      </c>
      <c r="E617" s="2" t="inlineStr">
        <is>
          <t>12/01/2029</t>
        </is>
      </c>
      <c r="F617" s="2" t="n">
        <v>256840.0136</v>
      </c>
      <c r="G617" s="2" t="n">
        <v>0</v>
      </c>
      <c r="H617" s="2" t="n">
        <v>256840.0136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0</v>
      </c>
      <c r="AO617" s="2" t="n">
        <v>0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n">
        <v>0</v>
      </c>
      <c r="AZ617" s="2" t="n">
        <v>0</v>
      </c>
      <c r="BA617" s="2" t="n">
        <v>0</v>
      </c>
      <c r="BB617" s="2" t="n">
        <v>0</v>
      </c>
      <c r="BC617" s="2" t="n">
        <v>0</v>
      </c>
      <c r="BD617" s="2" t="n">
        <v>0</v>
      </c>
      <c r="BE617" s="2" t="n">
        <v>0</v>
      </c>
      <c r="BF617" s="2" t="n">
        <v>0</v>
      </c>
      <c r="BG617" s="2" t="n">
        <v>0</v>
      </c>
      <c r="BH617" s="2" t="n">
        <v>0</v>
      </c>
      <c r="BI617" s="2" t="n">
        <v>0</v>
      </c>
      <c r="BJ617" s="2" t="n">
        <v>0</v>
      </c>
      <c r="BK617" s="2" t="n">
        <v>0</v>
      </c>
      <c r="BL617" s="2" t="n">
        <v>0</v>
      </c>
      <c r="BM617" s="2" t="n">
        <v>0</v>
      </c>
      <c r="BN617" s="2" t="n">
        <v>0</v>
      </c>
      <c r="BO617" s="2" t="n">
        <v>0</v>
      </c>
      <c r="BP617" s="2" t="n">
        <v>0</v>
      </c>
      <c r="BQ617" s="2" t="n">
        <v>0</v>
      </c>
      <c r="BR617" s="2" t="n">
        <v>0</v>
      </c>
      <c r="BS617" s="2" t="n">
        <v>0</v>
      </c>
      <c r="BT617" s="2" t="n">
        <v>0</v>
      </c>
      <c r="BU617" s="2" t="n">
        <v>0</v>
      </c>
      <c r="BV617" s="2" t="n">
        <v>0</v>
      </c>
      <c r="BW617" s="2" t="n">
        <v>0</v>
      </c>
      <c r="BX617" s="2" t="n">
        <v>0</v>
      </c>
      <c r="BY617" s="2" t="n">
        <v>0</v>
      </c>
      <c r="BZ617" s="2" t="n">
        <v>0</v>
      </c>
      <c r="CA617" s="2" t="n">
        <v>0</v>
      </c>
      <c r="CB617" s="2" t="n">
        <v>0</v>
      </c>
      <c r="CC617" s="2" t="n">
        <v>0</v>
      </c>
      <c r="CD617" s="2" t="n">
        <v>0</v>
      </c>
      <c r="CE617" s="2" t="n">
        <v>0</v>
      </c>
      <c r="CF617" s="2" t="n">
        <v>0</v>
      </c>
      <c r="CG617" s="2" t="n">
        <v>0</v>
      </c>
      <c r="CH617" s="2" t="n">
        <v>0</v>
      </c>
      <c r="CI617" s="2" t="n">
        <v>0</v>
      </c>
      <c r="CJ617" s="2" t="n">
        <v>0</v>
      </c>
      <c r="CK617" s="2" t="n">
        <v>0</v>
      </c>
      <c r="CL617" s="2" t="n">
        <v>0</v>
      </c>
      <c r="CM617" s="2" t="n">
        <v>0</v>
      </c>
      <c r="CN617" s="2" t="n">
        <v>0</v>
      </c>
      <c r="CO617" s="2" t="n">
        <v>0</v>
      </c>
      <c r="CP617" s="2" t="n">
        <v>0</v>
      </c>
      <c r="CQ617" s="2" t="n">
        <v>0</v>
      </c>
      <c r="CR617" s="2" t="n">
        <v>0</v>
      </c>
      <c r="CS617" s="2" t="n">
        <v>0</v>
      </c>
      <c r="CT617" s="2" t="n">
        <v>0</v>
      </c>
      <c r="CU617" s="2" t="n">
        <v>0</v>
      </c>
      <c r="CV617" s="2" t="n">
        <v>0</v>
      </c>
      <c r="CW617" s="2" t="n">
        <v>0</v>
      </c>
      <c r="CX617" s="2" t="n">
        <v>0</v>
      </c>
      <c r="CY617" s="2" t="n">
        <v>0</v>
      </c>
      <c r="CZ617" s="2" t="n">
        <v>0</v>
      </c>
      <c r="DA617" s="2" t="n">
        <v>5.34</v>
      </c>
      <c r="DB617" s="2" t="n">
        <v>7.4</v>
      </c>
      <c r="DC617" s="2" t="n">
        <v>0</v>
      </c>
      <c r="DD617" s="2" t="n">
        <v>14.9</v>
      </c>
      <c r="DE617" s="2" t="n">
        <v>17</v>
      </c>
      <c r="DF617" s="2" t="n">
        <v>0</v>
      </c>
      <c r="DG617" s="2" t="n">
        <v>23.12</v>
      </c>
      <c r="DH617" s="2" t="n">
        <v>25.25</v>
      </c>
      <c r="DI617" s="2" t="n">
        <v>0</v>
      </c>
      <c r="DJ617" s="2" t="n">
        <v>33.79</v>
      </c>
      <c r="DK617" s="2" t="n">
        <v>35.91</v>
      </c>
      <c r="DL617" s="2" t="n">
        <v>0</v>
      </c>
      <c r="DM617" s="2" t="n">
        <v>43.54</v>
      </c>
      <c r="DN617" s="2" t="n">
        <v>45.66</v>
      </c>
      <c r="DO617" s="2" t="n">
        <v>0</v>
      </c>
      <c r="DP617" s="2" t="n">
        <v>53.26</v>
      </c>
      <c r="DQ617" s="2" t="n">
        <v>55.45</v>
      </c>
      <c r="DR617" s="2" t="n">
        <v>0</v>
      </c>
      <c r="DS617" s="2" t="n">
        <v>63.33</v>
      </c>
      <c r="DT617" s="2" t="n">
        <v>65.38</v>
      </c>
      <c r="DU617" s="2" t="n">
        <v>0</v>
      </c>
      <c r="DV617" s="2" t="n">
        <v>71.55</v>
      </c>
      <c r="DW617" s="2" t="n">
        <v>73.61</v>
      </c>
      <c r="DX617" s="2" t="n">
        <v>0</v>
      </c>
      <c r="DY617" s="2" t="n">
        <v>80.18000000000001</v>
      </c>
      <c r="DZ617" s="2" t="n">
        <v>83.06999999999999</v>
      </c>
      <c r="EA617" s="2" t="n">
        <v>0</v>
      </c>
      <c r="EB617" s="2" t="n">
        <v>88.72</v>
      </c>
      <c r="EC617" s="2" t="n">
        <v>91.78</v>
      </c>
      <c r="ED617" s="2" t="n">
        <v>0</v>
      </c>
      <c r="EE617" s="2" t="n">
        <v>95.19</v>
      </c>
      <c r="EF617" s="2" t="n">
        <v>95.86</v>
      </c>
      <c r="EG617" s="2" t="n">
        <v>0</v>
      </c>
      <c r="EH617" s="2" t="n">
        <v>100</v>
      </c>
      <c r="EI617" s="2" t="n">
        <v>100</v>
      </c>
      <c r="EJ617" s="2" t="n">
        <v>0</v>
      </c>
      <c r="EK617" s="2" t="n">
        <v>100</v>
      </c>
      <c r="EL617" s="2" t="n">
        <v>100</v>
      </c>
      <c r="EM617" s="2" t="n">
        <v>0</v>
      </c>
      <c r="EN617" s="2" t="n">
        <v>100</v>
      </c>
      <c r="EO617" s="2" t="n">
        <v>100</v>
      </c>
      <c r="EP617" s="2" t="n">
        <v>0</v>
      </c>
      <c r="EQ617" s="2" t="n">
        <v>100</v>
      </c>
      <c r="ER617" s="2" t="n">
        <v>100</v>
      </c>
      <c r="ES617" s="2" t="n">
        <v>0</v>
      </c>
    </row>
    <row r="618">
      <c r="A618" s="2" t="n">
        <v>4</v>
      </c>
      <c r="B618" s="2" t="inlineStr">
        <is>
          <t>27.01.02.03</t>
        </is>
      </c>
      <c r="C618" s="2" t="inlineStr">
        <is>
          <t>Fechadura biométrica</t>
        </is>
      </c>
      <c r="D618" s="2" t="inlineStr">
        <is>
          <t>04/02/2028</t>
        </is>
      </c>
      <c r="E618" s="2" t="inlineStr">
        <is>
          <t>12/01/2029</t>
        </is>
      </c>
      <c r="F618" s="2" t="n">
        <v>112700</v>
      </c>
      <c r="G618" s="2" t="n">
        <v>0</v>
      </c>
      <c r="H618" s="2" t="n">
        <v>112700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  <c r="AN618" s="2" t="n">
        <v>0</v>
      </c>
      <c r="AO618" s="2" t="n">
        <v>0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n">
        <v>0</v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n">
        <v>0</v>
      </c>
      <c r="BI618" s="2" t="n">
        <v>0</v>
      </c>
      <c r="BJ618" s="2" t="n">
        <v>0</v>
      </c>
      <c r="BK618" s="2" t="n">
        <v>0</v>
      </c>
      <c r="BL618" s="2" t="n">
        <v>0</v>
      </c>
      <c r="BM618" s="2" t="n">
        <v>0</v>
      </c>
      <c r="BN618" s="2" t="n">
        <v>0</v>
      </c>
      <c r="BO618" s="2" t="n">
        <v>0</v>
      </c>
      <c r="BP618" s="2" t="n">
        <v>0</v>
      </c>
      <c r="BQ618" s="2" t="n">
        <v>0</v>
      </c>
      <c r="BR618" s="2" t="n">
        <v>0</v>
      </c>
      <c r="BS618" s="2" t="n">
        <v>0</v>
      </c>
      <c r="BT618" s="2" t="n">
        <v>0</v>
      </c>
      <c r="BU618" s="2" t="n">
        <v>0</v>
      </c>
      <c r="BV618" s="2" t="n">
        <v>0</v>
      </c>
      <c r="BW618" s="2" t="n">
        <v>0</v>
      </c>
      <c r="BX618" s="2" t="n">
        <v>0</v>
      </c>
      <c r="BY618" s="2" t="n">
        <v>0</v>
      </c>
      <c r="BZ618" s="2" t="n">
        <v>0</v>
      </c>
      <c r="CA618" s="2" t="n">
        <v>0</v>
      </c>
      <c r="CB618" s="2" t="n">
        <v>0</v>
      </c>
      <c r="CC618" s="2" t="n">
        <v>0</v>
      </c>
      <c r="CD618" s="2" t="n">
        <v>0</v>
      </c>
      <c r="CE618" s="2" t="n">
        <v>0</v>
      </c>
      <c r="CF618" s="2" t="n">
        <v>0</v>
      </c>
      <c r="CG618" s="2" t="n">
        <v>0</v>
      </c>
      <c r="CH618" s="2" t="n">
        <v>0</v>
      </c>
      <c r="CI618" s="2" t="n">
        <v>0</v>
      </c>
      <c r="CJ618" s="2" t="n">
        <v>0</v>
      </c>
      <c r="CK618" s="2" t="n">
        <v>0</v>
      </c>
      <c r="CL618" s="2" t="n">
        <v>0</v>
      </c>
      <c r="CM618" s="2" t="n">
        <v>0</v>
      </c>
      <c r="CN618" s="2" t="n">
        <v>0</v>
      </c>
      <c r="CO618" s="2" t="n">
        <v>0</v>
      </c>
      <c r="CP618" s="2" t="n">
        <v>0</v>
      </c>
      <c r="CQ618" s="2" t="n">
        <v>0</v>
      </c>
      <c r="CR618" s="2" t="n">
        <v>0</v>
      </c>
      <c r="CS618" s="2" t="n">
        <v>0</v>
      </c>
      <c r="CT618" s="2" t="n">
        <v>0</v>
      </c>
      <c r="CU618" s="2" t="n">
        <v>0</v>
      </c>
      <c r="CV618" s="2" t="n">
        <v>0</v>
      </c>
      <c r="CW618" s="2" t="n">
        <v>0</v>
      </c>
      <c r="CX618" s="2" t="n">
        <v>0</v>
      </c>
      <c r="CY618" s="2" t="n">
        <v>0</v>
      </c>
      <c r="CZ618" s="2" t="n">
        <v>0</v>
      </c>
      <c r="DA618" s="2" t="n">
        <v>5.34</v>
      </c>
      <c r="DB618" s="2" t="n">
        <v>7.4</v>
      </c>
      <c r="DC618" s="2" t="n">
        <v>0</v>
      </c>
      <c r="DD618" s="2" t="n">
        <v>14.9</v>
      </c>
      <c r="DE618" s="2" t="n">
        <v>17</v>
      </c>
      <c r="DF618" s="2" t="n">
        <v>0</v>
      </c>
      <c r="DG618" s="2" t="n">
        <v>23.12</v>
      </c>
      <c r="DH618" s="2" t="n">
        <v>25.25</v>
      </c>
      <c r="DI618" s="2" t="n">
        <v>0</v>
      </c>
      <c r="DJ618" s="2" t="n">
        <v>33.79</v>
      </c>
      <c r="DK618" s="2" t="n">
        <v>35.91</v>
      </c>
      <c r="DL618" s="2" t="n">
        <v>0</v>
      </c>
      <c r="DM618" s="2" t="n">
        <v>43.54</v>
      </c>
      <c r="DN618" s="2" t="n">
        <v>45.66</v>
      </c>
      <c r="DO618" s="2" t="n">
        <v>0</v>
      </c>
      <c r="DP618" s="2" t="n">
        <v>53.26</v>
      </c>
      <c r="DQ618" s="2" t="n">
        <v>55.45</v>
      </c>
      <c r="DR618" s="2" t="n">
        <v>0</v>
      </c>
      <c r="DS618" s="2" t="n">
        <v>63.33</v>
      </c>
      <c r="DT618" s="2" t="n">
        <v>65.38</v>
      </c>
      <c r="DU618" s="2" t="n">
        <v>0</v>
      </c>
      <c r="DV618" s="2" t="n">
        <v>71.55</v>
      </c>
      <c r="DW618" s="2" t="n">
        <v>73.61</v>
      </c>
      <c r="DX618" s="2" t="n">
        <v>0</v>
      </c>
      <c r="DY618" s="2" t="n">
        <v>80.18000000000001</v>
      </c>
      <c r="DZ618" s="2" t="n">
        <v>83.06999999999999</v>
      </c>
      <c r="EA618" s="2" t="n">
        <v>0</v>
      </c>
      <c r="EB618" s="2" t="n">
        <v>88.72</v>
      </c>
      <c r="EC618" s="2" t="n">
        <v>91.78</v>
      </c>
      <c r="ED618" s="2" t="n">
        <v>0</v>
      </c>
      <c r="EE618" s="2" t="n">
        <v>95.19</v>
      </c>
      <c r="EF618" s="2" t="n">
        <v>95.86</v>
      </c>
      <c r="EG618" s="2" t="n">
        <v>0</v>
      </c>
      <c r="EH618" s="2" t="n">
        <v>100</v>
      </c>
      <c r="EI618" s="2" t="n">
        <v>100</v>
      </c>
      <c r="EJ618" s="2" t="n">
        <v>0</v>
      </c>
      <c r="EK618" s="2" t="n">
        <v>100</v>
      </c>
      <c r="EL618" s="2" t="n">
        <v>100</v>
      </c>
      <c r="EM618" s="2" t="n">
        <v>0</v>
      </c>
      <c r="EN618" s="2" t="n">
        <v>100</v>
      </c>
      <c r="EO618" s="2" t="n">
        <v>100</v>
      </c>
      <c r="EP618" s="2" t="n">
        <v>0</v>
      </c>
      <c r="EQ618" s="2" t="n">
        <v>100</v>
      </c>
      <c r="ER618" s="2" t="n">
        <v>100</v>
      </c>
      <c r="ES618" s="2" t="n">
        <v>0</v>
      </c>
    </row>
    <row r="619">
      <c r="A619" s="2" t="n">
        <v>4</v>
      </c>
      <c r="B619" s="2" t="inlineStr">
        <is>
          <t>27.01.02.04</t>
        </is>
      </c>
      <c r="C619" s="2" t="inlineStr">
        <is>
          <t>Conjunto de ferragens para porta de correr com montagem por fora da alvenaria</t>
        </is>
      </c>
      <c r="D619" s="2" t="inlineStr">
        <is>
          <t>04/02/2028</t>
        </is>
      </c>
      <c r="E619" s="2" t="inlineStr">
        <is>
          <t>12/01/2029</t>
        </is>
      </c>
      <c r="F619" s="2" t="n">
        <v>109900</v>
      </c>
      <c r="G619" s="2" t="n">
        <v>0</v>
      </c>
      <c r="H619" s="2" t="n">
        <v>109900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0</v>
      </c>
      <c r="AO619" s="2" t="n">
        <v>0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n">
        <v>0</v>
      </c>
      <c r="AZ619" s="2" t="n">
        <v>0</v>
      </c>
      <c r="BA619" s="2" t="n">
        <v>0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n">
        <v>0</v>
      </c>
      <c r="BI619" s="2" t="n">
        <v>0</v>
      </c>
      <c r="BJ619" s="2" t="n">
        <v>0</v>
      </c>
      <c r="BK619" s="2" t="n">
        <v>0</v>
      </c>
      <c r="BL619" s="2" t="n">
        <v>0</v>
      </c>
      <c r="BM619" s="2" t="n">
        <v>0</v>
      </c>
      <c r="BN619" s="2" t="n">
        <v>0</v>
      </c>
      <c r="BO619" s="2" t="n">
        <v>0</v>
      </c>
      <c r="BP619" s="2" t="n">
        <v>0</v>
      </c>
      <c r="BQ619" s="2" t="n">
        <v>0</v>
      </c>
      <c r="BR619" s="2" t="n">
        <v>0</v>
      </c>
      <c r="BS619" s="2" t="n">
        <v>0</v>
      </c>
      <c r="BT619" s="2" t="n">
        <v>0</v>
      </c>
      <c r="BU619" s="2" t="n">
        <v>0</v>
      </c>
      <c r="BV619" s="2" t="n">
        <v>0</v>
      </c>
      <c r="BW619" s="2" t="n">
        <v>0</v>
      </c>
      <c r="BX619" s="2" t="n">
        <v>0</v>
      </c>
      <c r="BY619" s="2" t="n">
        <v>0</v>
      </c>
      <c r="BZ619" s="2" t="n">
        <v>0</v>
      </c>
      <c r="CA619" s="2" t="n">
        <v>0</v>
      </c>
      <c r="CB619" s="2" t="n">
        <v>0</v>
      </c>
      <c r="CC619" s="2" t="n">
        <v>0</v>
      </c>
      <c r="CD619" s="2" t="n">
        <v>0</v>
      </c>
      <c r="CE619" s="2" t="n">
        <v>0</v>
      </c>
      <c r="CF619" s="2" t="n">
        <v>0</v>
      </c>
      <c r="CG619" s="2" t="n">
        <v>0</v>
      </c>
      <c r="CH619" s="2" t="n">
        <v>0</v>
      </c>
      <c r="CI619" s="2" t="n">
        <v>0</v>
      </c>
      <c r="CJ619" s="2" t="n">
        <v>0</v>
      </c>
      <c r="CK619" s="2" t="n">
        <v>0</v>
      </c>
      <c r="CL619" s="2" t="n">
        <v>0</v>
      </c>
      <c r="CM619" s="2" t="n">
        <v>0</v>
      </c>
      <c r="CN619" s="2" t="n">
        <v>0</v>
      </c>
      <c r="CO619" s="2" t="n">
        <v>0</v>
      </c>
      <c r="CP619" s="2" t="n">
        <v>0</v>
      </c>
      <c r="CQ619" s="2" t="n">
        <v>0</v>
      </c>
      <c r="CR619" s="2" t="n">
        <v>0</v>
      </c>
      <c r="CS619" s="2" t="n">
        <v>0</v>
      </c>
      <c r="CT619" s="2" t="n">
        <v>0</v>
      </c>
      <c r="CU619" s="2" t="n">
        <v>0</v>
      </c>
      <c r="CV619" s="2" t="n">
        <v>0</v>
      </c>
      <c r="CW619" s="2" t="n">
        <v>0</v>
      </c>
      <c r="CX619" s="2" t="n">
        <v>0</v>
      </c>
      <c r="CY619" s="2" t="n">
        <v>0</v>
      </c>
      <c r="CZ619" s="2" t="n">
        <v>0</v>
      </c>
      <c r="DA619" s="2" t="n">
        <v>5.34</v>
      </c>
      <c r="DB619" s="2" t="n">
        <v>7.4</v>
      </c>
      <c r="DC619" s="2" t="n">
        <v>0</v>
      </c>
      <c r="DD619" s="2" t="n">
        <v>14.9</v>
      </c>
      <c r="DE619" s="2" t="n">
        <v>17</v>
      </c>
      <c r="DF619" s="2" t="n">
        <v>0</v>
      </c>
      <c r="DG619" s="2" t="n">
        <v>23.12</v>
      </c>
      <c r="DH619" s="2" t="n">
        <v>25.25</v>
      </c>
      <c r="DI619" s="2" t="n">
        <v>0</v>
      </c>
      <c r="DJ619" s="2" t="n">
        <v>33.79</v>
      </c>
      <c r="DK619" s="2" t="n">
        <v>35.91</v>
      </c>
      <c r="DL619" s="2" t="n">
        <v>0</v>
      </c>
      <c r="DM619" s="2" t="n">
        <v>43.54</v>
      </c>
      <c r="DN619" s="2" t="n">
        <v>45.66</v>
      </c>
      <c r="DO619" s="2" t="n">
        <v>0</v>
      </c>
      <c r="DP619" s="2" t="n">
        <v>53.26</v>
      </c>
      <c r="DQ619" s="2" t="n">
        <v>55.45</v>
      </c>
      <c r="DR619" s="2" t="n">
        <v>0</v>
      </c>
      <c r="DS619" s="2" t="n">
        <v>63.33</v>
      </c>
      <c r="DT619" s="2" t="n">
        <v>65.38</v>
      </c>
      <c r="DU619" s="2" t="n">
        <v>0</v>
      </c>
      <c r="DV619" s="2" t="n">
        <v>71.55</v>
      </c>
      <c r="DW619" s="2" t="n">
        <v>73.61</v>
      </c>
      <c r="DX619" s="2" t="n">
        <v>0</v>
      </c>
      <c r="DY619" s="2" t="n">
        <v>80.18000000000001</v>
      </c>
      <c r="DZ619" s="2" t="n">
        <v>83.06999999999999</v>
      </c>
      <c r="EA619" s="2" t="n">
        <v>0</v>
      </c>
      <c r="EB619" s="2" t="n">
        <v>88.72</v>
      </c>
      <c r="EC619" s="2" t="n">
        <v>91.78</v>
      </c>
      <c r="ED619" s="2" t="n">
        <v>0</v>
      </c>
      <c r="EE619" s="2" t="n">
        <v>95.19</v>
      </c>
      <c r="EF619" s="2" t="n">
        <v>95.86</v>
      </c>
      <c r="EG619" s="2" t="n">
        <v>0</v>
      </c>
      <c r="EH619" s="2" t="n">
        <v>100</v>
      </c>
      <c r="EI619" s="2" t="n">
        <v>100</v>
      </c>
      <c r="EJ619" s="2" t="n">
        <v>0</v>
      </c>
      <c r="EK619" s="2" t="n">
        <v>100</v>
      </c>
      <c r="EL619" s="2" t="n">
        <v>100</v>
      </c>
      <c r="EM619" s="2" t="n">
        <v>0</v>
      </c>
      <c r="EN619" s="2" t="n">
        <v>100</v>
      </c>
      <c r="EO619" s="2" t="n">
        <v>100</v>
      </c>
      <c r="EP619" s="2" t="n">
        <v>0</v>
      </c>
      <c r="EQ619" s="2" t="n">
        <v>100</v>
      </c>
      <c r="ER619" s="2" t="n">
        <v>100</v>
      </c>
      <c r="ES619" s="2" t="n">
        <v>0</v>
      </c>
    </row>
    <row r="620">
      <c r="A620" s="2" t="n">
        <v>4</v>
      </c>
      <c r="B620" s="2" t="inlineStr">
        <is>
          <t>27.01.02.05</t>
        </is>
      </c>
      <c r="C620" s="2" t="inlineStr">
        <is>
          <t>Conjunto de ferragens para porta de correr com montagem por dentro da alvenaria (porta concha)</t>
        </is>
      </c>
      <c r="D620" s="2" t="inlineStr">
        <is>
          <t>04/02/2028</t>
        </is>
      </c>
      <c r="E620" s="2" t="inlineStr">
        <is>
          <t>12/01/2029</t>
        </is>
      </c>
      <c r="F620" s="2" t="n">
        <v>5400</v>
      </c>
      <c r="G620" s="2" t="n">
        <v>0</v>
      </c>
      <c r="H620" s="2" t="n">
        <v>5400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0</v>
      </c>
      <c r="AM620" s="2" t="n">
        <v>0</v>
      </c>
      <c r="AN620" s="2" t="n">
        <v>0</v>
      </c>
      <c r="AO620" s="2" t="n">
        <v>0</v>
      </c>
      <c r="AP620" s="2" t="n">
        <v>0</v>
      </c>
      <c r="AQ620" s="2" t="n">
        <v>0</v>
      </c>
      <c r="AR620" s="2" t="n">
        <v>0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 t="n">
        <v>0</v>
      </c>
      <c r="AX620" s="2" t="n">
        <v>0</v>
      </c>
      <c r="AY620" s="2" t="n">
        <v>0</v>
      </c>
      <c r="AZ620" s="2" t="n">
        <v>0</v>
      </c>
      <c r="BA620" s="2" t="n">
        <v>0</v>
      </c>
      <c r="BB620" s="2" t="n">
        <v>0</v>
      </c>
      <c r="BC620" s="2" t="n">
        <v>0</v>
      </c>
      <c r="BD620" s="2" t="n">
        <v>0</v>
      </c>
      <c r="BE620" s="2" t="n">
        <v>0</v>
      </c>
      <c r="BF620" s="2" t="n">
        <v>0</v>
      </c>
      <c r="BG620" s="2" t="n">
        <v>0</v>
      </c>
      <c r="BH620" s="2" t="n">
        <v>0</v>
      </c>
      <c r="BI620" s="2" t="n">
        <v>0</v>
      </c>
      <c r="BJ620" s="2" t="n">
        <v>0</v>
      </c>
      <c r="BK620" s="2" t="n">
        <v>0</v>
      </c>
      <c r="BL620" s="2" t="n">
        <v>0</v>
      </c>
      <c r="BM620" s="2" t="n">
        <v>0</v>
      </c>
      <c r="BN620" s="2" t="n">
        <v>0</v>
      </c>
      <c r="BO620" s="2" t="n">
        <v>0</v>
      </c>
      <c r="BP620" s="2" t="n">
        <v>0</v>
      </c>
      <c r="BQ620" s="2" t="n">
        <v>0</v>
      </c>
      <c r="BR620" s="2" t="n">
        <v>0</v>
      </c>
      <c r="BS620" s="2" t="n">
        <v>0</v>
      </c>
      <c r="BT620" s="2" t="n">
        <v>0</v>
      </c>
      <c r="BU620" s="2" t="n">
        <v>0</v>
      </c>
      <c r="BV620" s="2" t="n">
        <v>0</v>
      </c>
      <c r="BW620" s="2" t="n">
        <v>0</v>
      </c>
      <c r="BX620" s="2" t="n">
        <v>0</v>
      </c>
      <c r="BY620" s="2" t="n">
        <v>0</v>
      </c>
      <c r="BZ620" s="2" t="n">
        <v>0</v>
      </c>
      <c r="CA620" s="2" t="n">
        <v>0</v>
      </c>
      <c r="CB620" s="2" t="n">
        <v>0</v>
      </c>
      <c r="CC620" s="2" t="n">
        <v>0</v>
      </c>
      <c r="CD620" s="2" t="n">
        <v>0</v>
      </c>
      <c r="CE620" s="2" t="n">
        <v>0</v>
      </c>
      <c r="CF620" s="2" t="n">
        <v>0</v>
      </c>
      <c r="CG620" s="2" t="n">
        <v>0</v>
      </c>
      <c r="CH620" s="2" t="n">
        <v>0</v>
      </c>
      <c r="CI620" s="2" t="n">
        <v>0</v>
      </c>
      <c r="CJ620" s="2" t="n">
        <v>0</v>
      </c>
      <c r="CK620" s="2" t="n">
        <v>0</v>
      </c>
      <c r="CL620" s="2" t="n">
        <v>0</v>
      </c>
      <c r="CM620" s="2" t="n">
        <v>0</v>
      </c>
      <c r="CN620" s="2" t="n">
        <v>0</v>
      </c>
      <c r="CO620" s="2" t="n">
        <v>0</v>
      </c>
      <c r="CP620" s="2" t="n">
        <v>0</v>
      </c>
      <c r="CQ620" s="2" t="n">
        <v>0</v>
      </c>
      <c r="CR620" s="2" t="n">
        <v>0</v>
      </c>
      <c r="CS620" s="2" t="n">
        <v>0</v>
      </c>
      <c r="CT620" s="2" t="n">
        <v>0</v>
      </c>
      <c r="CU620" s="2" t="n">
        <v>0</v>
      </c>
      <c r="CV620" s="2" t="n">
        <v>0</v>
      </c>
      <c r="CW620" s="2" t="n">
        <v>0</v>
      </c>
      <c r="CX620" s="2" t="n">
        <v>0</v>
      </c>
      <c r="CY620" s="2" t="n">
        <v>0</v>
      </c>
      <c r="CZ620" s="2" t="n">
        <v>0</v>
      </c>
      <c r="DA620" s="2" t="n">
        <v>5.34</v>
      </c>
      <c r="DB620" s="2" t="n">
        <v>7.4</v>
      </c>
      <c r="DC620" s="2" t="n">
        <v>0</v>
      </c>
      <c r="DD620" s="2" t="n">
        <v>14.9</v>
      </c>
      <c r="DE620" s="2" t="n">
        <v>17</v>
      </c>
      <c r="DF620" s="2" t="n">
        <v>0</v>
      </c>
      <c r="DG620" s="2" t="n">
        <v>23.12</v>
      </c>
      <c r="DH620" s="2" t="n">
        <v>25.25</v>
      </c>
      <c r="DI620" s="2" t="n">
        <v>0</v>
      </c>
      <c r="DJ620" s="2" t="n">
        <v>33.79</v>
      </c>
      <c r="DK620" s="2" t="n">
        <v>35.91</v>
      </c>
      <c r="DL620" s="2" t="n">
        <v>0</v>
      </c>
      <c r="DM620" s="2" t="n">
        <v>43.54</v>
      </c>
      <c r="DN620" s="2" t="n">
        <v>45.66</v>
      </c>
      <c r="DO620" s="2" t="n">
        <v>0</v>
      </c>
      <c r="DP620" s="2" t="n">
        <v>53.26</v>
      </c>
      <c r="DQ620" s="2" t="n">
        <v>55.45</v>
      </c>
      <c r="DR620" s="2" t="n">
        <v>0</v>
      </c>
      <c r="DS620" s="2" t="n">
        <v>63.33</v>
      </c>
      <c r="DT620" s="2" t="n">
        <v>65.38</v>
      </c>
      <c r="DU620" s="2" t="n">
        <v>0</v>
      </c>
      <c r="DV620" s="2" t="n">
        <v>71.55</v>
      </c>
      <c r="DW620" s="2" t="n">
        <v>73.61</v>
      </c>
      <c r="DX620" s="2" t="n">
        <v>0</v>
      </c>
      <c r="DY620" s="2" t="n">
        <v>80.18000000000001</v>
      </c>
      <c r="DZ620" s="2" t="n">
        <v>83.06999999999999</v>
      </c>
      <c r="EA620" s="2" t="n">
        <v>0</v>
      </c>
      <c r="EB620" s="2" t="n">
        <v>88.72</v>
      </c>
      <c r="EC620" s="2" t="n">
        <v>91.78</v>
      </c>
      <c r="ED620" s="2" t="n">
        <v>0</v>
      </c>
      <c r="EE620" s="2" t="n">
        <v>95.19</v>
      </c>
      <c r="EF620" s="2" t="n">
        <v>95.86</v>
      </c>
      <c r="EG620" s="2" t="n">
        <v>0</v>
      </c>
      <c r="EH620" s="2" t="n">
        <v>100</v>
      </c>
      <c r="EI620" s="2" t="n">
        <v>100</v>
      </c>
      <c r="EJ620" s="2" t="n">
        <v>0</v>
      </c>
      <c r="EK620" s="2" t="n">
        <v>100</v>
      </c>
      <c r="EL620" s="2" t="n">
        <v>100</v>
      </c>
      <c r="EM620" s="2" t="n">
        <v>0</v>
      </c>
      <c r="EN620" s="2" t="n">
        <v>100</v>
      </c>
      <c r="EO620" s="2" t="n">
        <v>100</v>
      </c>
      <c r="EP620" s="2" t="n">
        <v>0</v>
      </c>
      <c r="EQ620" s="2" t="n">
        <v>100</v>
      </c>
      <c r="ER620" s="2" t="n">
        <v>100</v>
      </c>
      <c r="ES620" s="2" t="n">
        <v>0</v>
      </c>
    </row>
    <row r="621">
      <c r="A621" s="2" t="n">
        <v>4</v>
      </c>
      <c r="B621" s="2" t="inlineStr">
        <is>
          <t>27.01.02.06</t>
        </is>
      </c>
      <c r="C621" s="2" t="inlineStr">
        <is>
          <t>Cadeado PADO para alçapões</t>
        </is>
      </c>
      <c r="D621" s="2" t="inlineStr">
        <is>
          <t>04/02/2028</t>
        </is>
      </c>
      <c r="E621" s="2" t="inlineStr">
        <is>
          <t>12/01/2029</t>
        </is>
      </c>
      <c r="F621" s="2" t="n">
        <v>324</v>
      </c>
      <c r="G621" s="2" t="n">
        <v>0</v>
      </c>
      <c r="H621" s="2" t="n">
        <v>324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  <c r="AN621" s="2" t="n">
        <v>0</v>
      </c>
      <c r="AO621" s="2" t="n">
        <v>0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n">
        <v>0</v>
      </c>
      <c r="AZ621" s="2" t="n">
        <v>0</v>
      </c>
      <c r="BA621" s="2" t="n">
        <v>0</v>
      </c>
      <c r="BB621" s="2" t="n">
        <v>0</v>
      </c>
      <c r="BC621" s="2" t="n">
        <v>0</v>
      </c>
      <c r="BD621" s="2" t="n">
        <v>0</v>
      </c>
      <c r="BE621" s="2" t="n">
        <v>0</v>
      </c>
      <c r="BF621" s="2" t="n">
        <v>0</v>
      </c>
      <c r="BG621" s="2" t="n">
        <v>0</v>
      </c>
      <c r="BH621" s="2" t="n">
        <v>0</v>
      </c>
      <c r="BI621" s="2" t="n">
        <v>0</v>
      </c>
      <c r="BJ621" s="2" t="n">
        <v>0</v>
      </c>
      <c r="BK621" s="2" t="n">
        <v>0</v>
      </c>
      <c r="BL621" s="2" t="n">
        <v>0</v>
      </c>
      <c r="BM621" s="2" t="n">
        <v>0</v>
      </c>
      <c r="BN621" s="2" t="n">
        <v>0</v>
      </c>
      <c r="BO621" s="2" t="n">
        <v>0</v>
      </c>
      <c r="BP621" s="2" t="n">
        <v>0</v>
      </c>
      <c r="BQ621" s="2" t="n">
        <v>0</v>
      </c>
      <c r="BR621" s="2" t="n">
        <v>0</v>
      </c>
      <c r="BS621" s="2" t="n">
        <v>0</v>
      </c>
      <c r="BT621" s="2" t="n">
        <v>0</v>
      </c>
      <c r="BU621" s="2" t="n">
        <v>0</v>
      </c>
      <c r="BV621" s="2" t="n">
        <v>0</v>
      </c>
      <c r="BW621" s="2" t="n">
        <v>0</v>
      </c>
      <c r="BX621" s="2" t="n">
        <v>0</v>
      </c>
      <c r="BY621" s="2" t="n">
        <v>0</v>
      </c>
      <c r="BZ621" s="2" t="n">
        <v>0</v>
      </c>
      <c r="CA621" s="2" t="n">
        <v>0</v>
      </c>
      <c r="CB621" s="2" t="n">
        <v>0</v>
      </c>
      <c r="CC621" s="2" t="n">
        <v>0</v>
      </c>
      <c r="CD621" s="2" t="n">
        <v>0</v>
      </c>
      <c r="CE621" s="2" t="n">
        <v>0</v>
      </c>
      <c r="CF621" s="2" t="n">
        <v>0</v>
      </c>
      <c r="CG621" s="2" t="n">
        <v>0</v>
      </c>
      <c r="CH621" s="2" t="n">
        <v>0</v>
      </c>
      <c r="CI621" s="2" t="n">
        <v>0</v>
      </c>
      <c r="CJ621" s="2" t="n">
        <v>0</v>
      </c>
      <c r="CK621" s="2" t="n">
        <v>0</v>
      </c>
      <c r="CL621" s="2" t="n">
        <v>0</v>
      </c>
      <c r="CM621" s="2" t="n">
        <v>0</v>
      </c>
      <c r="CN621" s="2" t="n">
        <v>0</v>
      </c>
      <c r="CO621" s="2" t="n">
        <v>0</v>
      </c>
      <c r="CP621" s="2" t="n">
        <v>0</v>
      </c>
      <c r="CQ621" s="2" t="n">
        <v>0</v>
      </c>
      <c r="CR621" s="2" t="n">
        <v>0</v>
      </c>
      <c r="CS621" s="2" t="n">
        <v>0</v>
      </c>
      <c r="CT621" s="2" t="n">
        <v>0</v>
      </c>
      <c r="CU621" s="2" t="n">
        <v>0</v>
      </c>
      <c r="CV621" s="2" t="n">
        <v>0</v>
      </c>
      <c r="CW621" s="2" t="n">
        <v>0</v>
      </c>
      <c r="CX621" s="2" t="n">
        <v>0</v>
      </c>
      <c r="CY621" s="2" t="n">
        <v>0</v>
      </c>
      <c r="CZ621" s="2" t="n">
        <v>0</v>
      </c>
      <c r="DA621" s="2" t="n">
        <v>5.34</v>
      </c>
      <c r="DB621" s="2" t="n">
        <v>7.4</v>
      </c>
      <c r="DC621" s="2" t="n">
        <v>0</v>
      </c>
      <c r="DD621" s="2" t="n">
        <v>14.9</v>
      </c>
      <c r="DE621" s="2" t="n">
        <v>17</v>
      </c>
      <c r="DF621" s="2" t="n">
        <v>0</v>
      </c>
      <c r="DG621" s="2" t="n">
        <v>23.12</v>
      </c>
      <c r="DH621" s="2" t="n">
        <v>25.25</v>
      </c>
      <c r="DI621" s="2" t="n">
        <v>0</v>
      </c>
      <c r="DJ621" s="2" t="n">
        <v>33.79</v>
      </c>
      <c r="DK621" s="2" t="n">
        <v>35.91</v>
      </c>
      <c r="DL621" s="2" t="n">
        <v>0</v>
      </c>
      <c r="DM621" s="2" t="n">
        <v>43.54</v>
      </c>
      <c r="DN621" s="2" t="n">
        <v>45.66</v>
      </c>
      <c r="DO621" s="2" t="n">
        <v>0</v>
      </c>
      <c r="DP621" s="2" t="n">
        <v>53.26</v>
      </c>
      <c r="DQ621" s="2" t="n">
        <v>55.45</v>
      </c>
      <c r="DR621" s="2" t="n">
        <v>0</v>
      </c>
      <c r="DS621" s="2" t="n">
        <v>63.33</v>
      </c>
      <c r="DT621" s="2" t="n">
        <v>65.38</v>
      </c>
      <c r="DU621" s="2" t="n">
        <v>0</v>
      </c>
      <c r="DV621" s="2" t="n">
        <v>71.55</v>
      </c>
      <c r="DW621" s="2" t="n">
        <v>73.61</v>
      </c>
      <c r="DX621" s="2" t="n">
        <v>0</v>
      </c>
      <c r="DY621" s="2" t="n">
        <v>80.18000000000001</v>
      </c>
      <c r="DZ621" s="2" t="n">
        <v>83.06999999999999</v>
      </c>
      <c r="EA621" s="2" t="n">
        <v>0</v>
      </c>
      <c r="EB621" s="2" t="n">
        <v>88.72</v>
      </c>
      <c r="EC621" s="2" t="n">
        <v>91.78</v>
      </c>
      <c r="ED621" s="2" t="n">
        <v>0</v>
      </c>
      <c r="EE621" s="2" t="n">
        <v>95.19</v>
      </c>
      <c r="EF621" s="2" t="n">
        <v>95.86</v>
      </c>
      <c r="EG621" s="2" t="n">
        <v>0</v>
      </c>
      <c r="EH621" s="2" t="n">
        <v>100</v>
      </c>
      <c r="EI621" s="2" t="n">
        <v>100</v>
      </c>
      <c r="EJ621" s="2" t="n">
        <v>0</v>
      </c>
      <c r="EK621" s="2" t="n">
        <v>100</v>
      </c>
      <c r="EL621" s="2" t="n">
        <v>100</v>
      </c>
      <c r="EM621" s="2" t="n">
        <v>0</v>
      </c>
      <c r="EN621" s="2" t="n">
        <v>100</v>
      </c>
      <c r="EO621" s="2" t="n">
        <v>100</v>
      </c>
      <c r="EP621" s="2" t="n">
        <v>0</v>
      </c>
      <c r="EQ621" s="2" t="n">
        <v>100</v>
      </c>
      <c r="ER621" s="2" t="n">
        <v>100</v>
      </c>
      <c r="ES621" s="2" t="n">
        <v>0</v>
      </c>
    </row>
    <row r="622">
      <c r="A622" s="2" t="n">
        <v>2</v>
      </c>
      <c r="B622" s="2" t="inlineStr">
        <is>
          <t>27.02</t>
        </is>
      </c>
      <c r="C622" s="2" t="inlineStr">
        <is>
          <t>Paineis</t>
        </is>
      </c>
      <c r="D622" s="2" t="inlineStr">
        <is>
          <t>14/02/2028</t>
        </is>
      </c>
      <c r="E622" s="2" t="inlineStr">
        <is>
          <t>16/01/2029</t>
        </is>
      </c>
      <c r="F622" s="2" t="n">
        <v>495447.12</v>
      </c>
      <c r="G622" s="2" t="n">
        <v>0</v>
      </c>
      <c r="H622" s="2" t="n">
        <v>495447.12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0</v>
      </c>
      <c r="AM622" s="2" t="n">
        <v>0</v>
      </c>
      <c r="AN622" s="2" t="n">
        <v>0</v>
      </c>
      <c r="AO622" s="2" t="n">
        <v>0</v>
      </c>
      <c r="AP622" s="2" t="n">
        <v>0</v>
      </c>
      <c r="AQ622" s="2" t="n">
        <v>0</v>
      </c>
      <c r="AR622" s="2" t="n">
        <v>0</v>
      </c>
      <c r="AS622" s="2" t="n">
        <v>0</v>
      </c>
      <c r="AT622" s="2" t="n">
        <v>0</v>
      </c>
      <c r="AU622" s="2" t="n">
        <v>0</v>
      </c>
      <c r="AV622" s="2" t="n">
        <v>0</v>
      </c>
      <c r="AW622" s="2" t="n">
        <v>0</v>
      </c>
      <c r="AX622" s="2" t="n">
        <v>0</v>
      </c>
      <c r="AY622" s="2" t="n">
        <v>0</v>
      </c>
      <c r="AZ622" s="2" t="n">
        <v>0</v>
      </c>
      <c r="BA622" s="2" t="n">
        <v>0</v>
      </c>
      <c r="BB622" s="2" t="n">
        <v>0</v>
      </c>
      <c r="BC622" s="2" t="n">
        <v>0</v>
      </c>
      <c r="BD622" s="2" t="n">
        <v>0</v>
      </c>
      <c r="BE622" s="2" t="n">
        <v>0</v>
      </c>
      <c r="BF622" s="2" t="n">
        <v>0</v>
      </c>
      <c r="BG622" s="2" t="n">
        <v>0</v>
      </c>
      <c r="BH622" s="2" t="n">
        <v>0</v>
      </c>
      <c r="BI622" s="2" t="n">
        <v>0</v>
      </c>
      <c r="BJ622" s="2" t="n">
        <v>0</v>
      </c>
      <c r="BK622" s="2" t="n">
        <v>0</v>
      </c>
      <c r="BL622" s="2" t="n">
        <v>0</v>
      </c>
      <c r="BM622" s="2" t="n">
        <v>0</v>
      </c>
      <c r="BN622" s="2" t="n">
        <v>0</v>
      </c>
      <c r="BO622" s="2" t="n">
        <v>0</v>
      </c>
      <c r="BP622" s="2" t="n">
        <v>0</v>
      </c>
      <c r="BQ622" s="2" t="n">
        <v>0</v>
      </c>
      <c r="BR622" s="2" t="n">
        <v>0</v>
      </c>
      <c r="BS622" s="2" t="n">
        <v>0</v>
      </c>
      <c r="BT622" s="2" t="n">
        <v>0</v>
      </c>
      <c r="BU622" s="2" t="n">
        <v>0</v>
      </c>
      <c r="BV622" s="2" t="n">
        <v>0</v>
      </c>
      <c r="BW622" s="2" t="n">
        <v>0</v>
      </c>
      <c r="BX622" s="2" t="n">
        <v>0</v>
      </c>
      <c r="BY622" s="2" t="n">
        <v>0</v>
      </c>
      <c r="BZ622" s="2" t="n">
        <v>0</v>
      </c>
      <c r="CA622" s="2" t="n">
        <v>0</v>
      </c>
      <c r="CB622" s="2" t="n">
        <v>0</v>
      </c>
      <c r="CC622" s="2" t="n">
        <v>0</v>
      </c>
      <c r="CD622" s="2" t="n">
        <v>0</v>
      </c>
      <c r="CE622" s="2" t="n">
        <v>0</v>
      </c>
      <c r="CF622" s="2" t="n">
        <v>0</v>
      </c>
      <c r="CG622" s="2" t="n">
        <v>0</v>
      </c>
      <c r="CH622" s="2" t="n">
        <v>0</v>
      </c>
      <c r="CI622" s="2" t="n">
        <v>0</v>
      </c>
      <c r="CJ622" s="2" t="n">
        <v>0</v>
      </c>
      <c r="CK622" s="2" t="n">
        <v>0</v>
      </c>
      <c r="CL622" s="2" t="n">
        <v>0</v>
      </c>
      <c r="CM622" s="2" t="n">
        <v>0</v>
      </c>
      <c r="CN622" s="2" t="n">
        <v>0</v>
      </c>
      <c r="CO622" s="2" t="n">
        <v>0</v>
      </c>
      <c r="CP622" s="2" t="n">
        <v>0</v>
      </c>
      <c r="CQ622" s="2" t="n">
        <v>0</v>
      </c>
      <c r="CR622" s="2" t="n">
        <v>0</v>
      </c>
      <c r="CS622" s="2" t="n">
        <v>0</v>
      </c>
      <c r="CT622" s="2" t="n">
        <v>0</v>
      </c>
      <c r="CU622" s="2" t="n">
        <v>0</v>
      </c>
      <c r="CV622" s="2" t="n">
        <v>0</v>
      </c>
      <c r="CW622" s="2" t="n">
        <v>0</v>
      </c>
      <c r="CX622" s="2" t="n">
        <v>0</v>
      </c>
      <c r="CY622" s="2" t="n">
        <v>0</v>
      </c>
      <c r="CZ622" s="2" t="n">
        <v>0</v>
      </c>
      <c r="DA622" s="2" t="n">
        <v>1.56</v>
      </c>
      <c r="DB622" s="2" t="n">
        <v>2.67</v>
      </c>
      <c r="DC622" s="2" t="n">
        <v>0</v>
      </c>
      <c r="DD622" s="2" t="n">
        <v>6.67</v>
      </c>
      <c r="DE622" s="2" t="n">
        <v>7.78</v>
      </c>
      <c r="DF622" s="2" t="n">
        <v>0</v>
      </c>
      <c r="DG622" s="2" t="n">
        <v>10.67</v>
      </c>
      <c r="DH622" s="2" t="n">
        <v>11.78</v>
      </c>
      <c r="DI622" s="2" t="n">
        <v>0</v>
      </c>
      <c r="DJ622" s="2" t="n">
        <v>15.56</v>
      </c>
      <c r="DK622" s="2" t="n">
        <v>16.67</v>
      </c>
      <c r="DL622" s="2" t="n">
        <v>0</v>
      </c>
      <c r="DM622" s="2" t="n">
        <v>20.22</v>
      </c>
      <c r="DN622" s="2" t="n">
        <v>21.33</v>
      </c>
      <c r="DO622" s="2" t="n">
        <v>0</v>
      </c>
      <c r="DP622" s="2" t="n">
        <v>24.89</v>
      </c>
      <c r="DQ622" s="2" t="n">
        <v>26</v>
      </c>
      <c r="DR622" s="2" t="n">
        <v>0</v>
      </c>
      <c r="DS622" s="2" t="n">
        <v>29.78</v>
      </c>
      <c r="DT622" s="2" t="n">
        <v>30.89</v>
      </c>
      <c r="DU622" s="2" t="n">
        <v>0</v>
      </c>
      <c r="DV622" s="2" t="n">
        <v>34.22</v>
      </c>
      <c r="DW622" s="2" t="n">
        <v>35.33</v>
      </c>
      <c r="DX622" s="2" t="n">
        <v>0</v>
      </c>
      <c r="DY622" s="2" t="n">
        <v>38.89</v>
      </c>
      <c r="DZ622" s="2" t="n">
        <v>40</v>
      </c>
      <c r="EA622" s="2" t="n">
        <v>0</v>
      </c>
      <c r="EB622" s="2" t="n">
        <v>43.11</v>
      </c>
      <c r="EC622" s="2" t="n">
        <v>94.22</v>
      </c>
      <c r="ED622" s="2" t="n">
        <v>0</v>
      </c>
      <c r="EE622" s="2" t="n">
        <v>96.44</v>
      </c>
      <c r="EF622" s="2" t="n">
        <v>97.56</v>
      </c>
      <c r="EG622" s="2" t="n">
        <v>0</v>
      </c>
      <c r="EH622" s="2" t="n">
        <v>100</v>
      </c>
      <c r="EI622" s="2" t="n">
        <v>100</v>
      </c>
      <c r="EJ622" s="2" t="n">
        <v>0</v>
      </c>
      <c r="EK622" s="2" t="n">
        <v>100</v>
      </c>
      <c r="EL622" s="2" t="n">
        <v>100</v>
      </c>
      <c r="EM622" s="2" t="n">
        <v>0</v>
      </c>
      <c r="EN622" s="2" t="n">
        <v>100</v>
      </c>
      <c r="EO622" s="2" t="n">
        <v>100</v>
      </c>
      <c r="EP622" s="2" t="n">
        <v>0</v>
      </c>
      <c r="EQ622" s="2" t="n">
        <v>100</v>
      </c>
      <c r="ER622" s="2" t="n">
        <v>100</v>
      </c>
      <c r="ES622" s="2" t="n">
        <v>0</v>
      </c>
    </row>
    <row r="623">
      <c r="A623" s="2" t="n">
        <v>3</v>
      </c>
      <c r="B623" s="2" t="inlineStr">
        <is>
          <t>27.02.01</t>
        </is>
      </c>
      <c r="C623" s="2" t="inlineStr">
        <is>
          <t>Paines de MDF para fechamento de shafts</t>
        </is>
      </c>
      <c r="D623" s="2" t="inlineStr">
        <is>
          <t>14/02/2028</t>
        </is>
      </c>
      <c r="E623" s="2" t="inlineStr">
        <is>
          <t>16/01/2029</t>
        </is>
      </c>
      <c r="F623" s="2" t="n">
        <v>495447.12</v>
      </c>
      <c r="G623" s="2" t="n">
        <v>0</v>
      </c>
      <c r="H623" s="2" t="n">
        <v>495447.12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  <c r="AM623" s="2" t="n">
        <v>0</v>
      </c>
      <c r="AN623" s="2" t="n">
        <v>0</v>
      </c>
      <c r="AO623" s="2" t="n">
        <v>0</v>
      </c>
      <c r="AP623" s="2" t="n">
        <v>0</v>
      </c>
      <c r="AQ623" s="2" t="n">
        <v>0</v>
      </c>
      <c r="AR623" s="2" t="n">
        <v>0</v>
      </c>
      <c r="AS623" s="2" t="n">
        <v>0</v>
      </c>
      <c r="AT623" s="2" t="n">
        <v>0</v>
      </c>
      <c r="AU623" s="2" t="n">
        <v>0</v>
      </c>
      <c r="AV623" s="2" t="n">
        <v>0</v>
      </c>
      <c r="AW623" s="2" t="n">
        <v>0</v>
      </c>
      <c r="AX623" s="2" t="n">
        <v>0</v>
      </c>
      <c r="AY623" s="2" t="n">
        <v>0</v>
      </c>
      <c r="AZ623" s="2" t="n">
        <v>0</v>
      </c>
      <c r="BA623" s="2" t="n">
        <v>0</v>
      </c>
      <c r="BB623" s="2" t="n">
        <v>0</v>
      </c>
      <c r="BC623" s="2" t="n">
        <v>0</v>
      </c>
      <c r="BD623" s="2" t="n">
        <v>0</v>
      </c>
      <c r="BE623" s="2" t="n">
        <v>0</v>
      </c>
      <c r="BF623" s="2" t="n">
        <v>0</v>
      </c>
      <c r="BG623" s="2" t="n">
        <v>0</v>
      </c>
      <c r="BH623" s="2" t="n">
        <v>0</v>
      </c>
      <c r="BI623" s="2" t="n">
        <v>0</v>
      </c>
      <c r="BJ623" s="2" t="n">
        <v>0</v>
      </c>
      <c r="BK623" s="2" t="n">
        <v>0</v>
      </c>
      <c r="BL623" s="2" t="n">
        <v>0</v>
      </c>
      <c r="BM623" s="2" t="n">
        <v>0</v>
      </c>
      <c r="BN623" s="2" t="n">
        <v>0</v>
      </c>
      <c r="BO623" s="2" t="n">
        <v>0</v>
      </c>
      <c r="BP623" s="2" t="n">
        <v>0</v>
      </c>
      <c r="BQ623" s="2" t="n">
        <v>0</v>
      </c>
      <c r="BR623" s="2" t="n">
        <v>0</v>
      </c>
      <c r="BS623" s="2" t="n">
        <v>0</v>
      </c>
      <c r="BT623" s="2" t="n">
        <v>0</v>
      </c>
      <c r="BU623" s="2" t="n">
        <v>0</v>
      </c>
      <c r="BV623" s="2" t="n">
        <v>0</v>
      </c>
      <c r="BW623" s="2" t="n">
        <v>0</v>
      </c>
      <c r="BX623" s="2" t="n">
        <v>0</v>
      </c>
      <c r="BY623" s="2" t="n">
        <v>0</v>
      </c>
      <c r="BZ623" s="2" t="n">
        <v>0</v>
      </c>
      <c r="CA623" s="2" t="n">
        <v>0</v>
      </c>
      <c r="CB623" s="2" t="n">
        <v>0</v>
      </c>
      <c r="CC623" s="2" t="n">
        <v>0</v>
      </c>
      <c r="CD623" s="2" t="n">
        <v>0</v>
      </c>
      <c r="CE623" s="2" t="n">
        <v>0</v>
      </c>
      <c r="CF623" s="2" t="n">
        <v>0</v>
      </c>
      <c r="CG623" s="2" t="n">
        <v>0</v>
      </c>
      <c r="CH623" s="2" t="n">
        <v>0</v>
      </c>
      <c r="CI623" s="2" t="n">
        <v>0</v>
      </c>
      <c r="CJ623" s="2" t="n">
        <v>0</v>
      </c>
      <c r="CK623" s="2" t="n">
        <v>0</v>
      </c>
      <c r="CL623" s="2" t="n">
        <v>0</v>
      </c>
      <c r="CM623" s="2" t="n">
        <v>0</v>
      </c>
      <c r="CN623" s="2" t="n">
        <v>0</v>
      </c>
      <c r="CO623" s="2" t="n">
        <v>0</v>
      </c>
      <c r="CP623" s="2" t="n">
        <v>0</v>
      </c>
      <c r="CQ623" s="2" t="n">
        <v>0</v>
      </c>
      <c r="CR623" s="2" t="n">
        <v>0</v>
      </c>
      <c r="CS623" s="2" t="n">
        <v>0</v>
      </c>
      <c r="CT623" s="2" t="n">
        <v>0</v>
      </c>
      <c r="CU623" s="2" t="n">
        <v>0</v>
      </c>
      <c r="CV623" s="2" t="n">
        <v>0</v>
      </c>
      <c r="CW623" s="2" t="n">
        <v>0</v>
      </c>
      <c r="CX623" s="2" t="n">
        <v>0</v>
      </c>
      <c r="CY623" s="2" t="n">
        <v>0</v>
      </c>
      <c r="CZ623" s="2" t="n">
        <v>0</v>
      </c>
      <c r="DA623" s="2" t="n">
        <v>1.56</v>
      </c>
      <c r="DB623" s="2" t="n">
        <v>2.67</v>
      </c>
      <c r="DC623" s="2" t="n">
        <v>0</v>
      </c>
      <c r="DD623" s="2" t="n">
        <v>6.67</v>
      </c>
      <c r="DE623" s="2" t="n">
        <v>7.78</v>
      </c>
      <c r="DF623" s="2" t="n">
        <v>0</v>
      </c>
      <c r="DG623" s="2" t="n">
        <v>10.67</v>
      </c>
      <c r="DH623" s="2" t="n">
        <v>11.78</v>
      </c>
      <c r="DI623" s="2" t="n">
        <v>0</v>
      </c>
      <c r="DJ623" s="2" t="n">
        <v>15.56</v>
      </c>
      <c r="DK623" s="2" t="n">
        <v>16.67</v>
      </c>
      <c r="DL623" s="2" t="n">
        <v>0</v>
      </c>
      <c r="DM623" s="2" t="n">
        <v>20.22</v>
      </c>
      <c r="DN623" s="2" t="n">
        <v>21.33</v>
      </c>
      <c r="DO623" s="2" t="n">
        <v>0</v>
      </c>
      <c r="DP623" s="2" t="n">
        <v>24.89</v>
      </c>
      <c r="DQ623" s="2" t="n">
        <v>26</v>
      </c>
      <c r="DR623" s="2" t="n">
        <v>0</v>
      </c>
      <c r="DS623" s="2" t="n">
        <v>29.78</v>
      </c>
      <c r="DT623" s="2" t="n">
        <v>30.89</v>
      </c>
      <c r="DU623" s="2" t="n">
        <v>0</v>
      </c>
      <c r="DV623" s="2" t="n">
        <v>34.22</v>
      </c>
      <c r="DW623" s="2" t="n">
        <v>35.33</v>
      </c>
      <c r="DX623" s="2" t="n">
        <v>0</v>
      </c>
      <c r="DY623" s="2" t="n">
        <v>38.89</v>
      </c>
      <c r="DZ623" s="2" t="n">
        <v>40</v>
      </c>
      <c r="EA623" s="2" t="n">
        <v>0</v>
      </c>
      <c r="EB623" s="2" t="n">
        <v>43.11</v>
      </c>
      <c r="EC623" s="2" t="n">
        <v>94.22</v>
      </c>
      <c r="ED623" s="2" t="n">
        <v>0</v>
      </c>
      <c r="EE623" s="2" t="n">
        <v>96.44</v>
      </c>
      <c r="EF623" s="2" t="n">
        <v>97.56</v>
      </c>
      <c r="EG623" s="2" t="n">
        <v>0</v>
      </c>
      <c r="EH623" s="2" t="n">
        <v>100</v>
      </c>
      <c r="EI623" s="2" t="n">
        <v>100</v>
      </c>
      <c r="EJ623" s="2" t="n">
        <v>0</v>
      </c>
      <c r="EK623" s="2" t="n">
        <v>100</v>
      </c>
      <c r="EL623" s="2" t="n">
        <v>100</v>
      </c>
      <c r="EM623" s="2" t="n">
        <v>0</v>
      </c>
      <c r="EN623" s="2" t="n">
        <v>100</v>
      </c>
      <c r="EO623" s="2" t="n">
        <v>100</v>
      </c>
      <c r="EP623" s="2" t="n">
        <v>0</v>
      </c>
      <c r="EQ623" s="2" t="n">
        <v>100</v>
      </c>
      <c r="ER623" s="2" t="n">
        <v>100</v>
      </c>
      <c r="ES623" s="2" t="n">
        <v>0</v>
      </c>
    </row>
    <row r="624">
      <c r="A624" s="2" t="n">
        <v>1</v>
      </c>
      <c r="B624" s="2" t="inlineStr">
        <is>
          <t>28</t>
        </is>
      </c>
      <c r="C624" s="2" t="inlineStr">
        <is>
          <t>REVESTIMENTOS DE MASSA EM PISOS</t>
        </is>
      </c>
      <c r="D624" s="2" t="inlineStr">
        <is>
          <t>16/04/2027</t>
        </is>
      </c>
      <c r="E624" s="2" t="inlineStr">
        <is>
          <t>07/08/2028</t>
        </is>
      </c>
      <c r="F624" s="2" t="n">
        <v>1096073.332080485</v>
      </c>
      <c r="G624" s="2" t="n">
        <v>0</v>
      </c>
      <c r="H624" s="2" t="n">
        <v>1096073.332080485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0</v>
      </c>
      <c r="AN624" s="2" t="n">
        <v>0</v>
      </c>
      <c r="AO624" s="2" t="n">
        <v>0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n">
        <v>0</v>
      </c>
      <c r="AZ624" s="2" t="n">
        <v>0</v>
      </c>
      <c r="BA624" s="2" t="n">
        <v>0</v>
      </c>
      <c r="BB624" s="2" t="n">
        <v>0</v>
      </c>
      <c r="BC624" s="2" t="n">
        <v>0</v>
      </c>
      <c r="BD624" s="2" t="n">
        <v>0</v>
      </c>
      <c r="BE624" s="2" t="n">
        <v>0</v>
      </c>
      <c r="BF624" s="2" t="n">
        <v>0</v>
      </c>
      <c r="BG624" s="2" t="n">
        <v>0</v>
      </c>
      <c r="BH624" s="2" t="n">
        <v>0</v>
      </c>
      <c r="BI624" s="2" t="n">
        <v>0</v>
      </c>
      <c r="BJ624" s="2" t="n">
        <v>0</v>
      </c>
      <c r="BK624" s="2" t="n">
        <v>0</v>
      </c>
      <c r="BL624" s="2" t="n">
        <v>0</v>
      </c>
      <c r="BM624" s="2" t="n">
        <v>0</v>
      </c>
      <c r="BN624" s="2" t="n">
        <v>0</v>
      </c>
      <c r="BO624" s="2" t="n">
        <v>0</v>
      </c>
      <c r="BP624" s="2" t="n">
        <v>0</v>
      </c>
      <c r="BQ624" s="2" t="n">
        <v>0</v>
      </c>
      <c r="BR624" s="2" t="n">
        <v>0</v>
      </c>
      <c r="BS624" s="2" t="n">
        <v>0</v>
      </c>
      <c r="BT624" s="2" t="n">
        <v>0</v>
      </c>
      <c r="BU624" s="2" t="n">
        <v>0</v>
      </c>
      <c r="BV624" s="2" t="n">
        <v>0</v>
      </c>
      <c r="BW624" s="2" t="n">
        <v>0.08</v>
      </c>
      <c r="BX624" s="2" t="n">
        <v>0.16</v>
      </c>
      <c r="BY624" s="2" t="n">
        <v>0</v>
      </c>
      <c r="BZ624" s="2" t="n">
        <v>0.41</v>
      </c>
      <c r="CA624" s="2" t="n">
        <v>0.49</v>
      </c>
      <c r="CB624" s="2" t="n">
        <v>0</v>
      </c>
      <c r="CC624" s="2" t="n">
        <v>1.95</v>
      </c>
      <c r="CD624" s="2" t="n">
        <v>4.11</v>
      </c>
      <c r="CE624" s="2" t="n">
        <v>0</v>
      </c>
      <c r="CF624" s="2" t="n">
        <v>9.970000000000001</v>
      </c>
      <c r="CG624" s="2" t="n">
        <v>11.69</v>
      </c>
      <c r="CH624" s="2" t="n">
        <v>0</v>
      </c>
      <c r="CI624" s="2" t="n">
        <v>17.69</v>
      </c>
      <c r="CJ624" s="2" t="n">
        <v>19.84</v>
      </c>
      <c r="CK624" s="2" t="n">
        <v>0</v>
      </c>
      <c r="CL624" s="2" t="n">
        <v>26.2</v>
      </c>
      <c r="CM624" s="2" t="n">
        <v>27.98</v>
      </c>
      <c r="CN624" s="2" t="n">
        <v>0</v>
      </c>
      <c r="CO624" s="2" t="n">
        <v>34.24</v>
      </c>
      <c r="CP624" s="2" t="n">
        <v>36.39</v>
      </c>
      <c r="CQ624" s="2" t="n">
        <v>0</v>
      </c>
      <c r="CR624" s="2" t="n">
        <v>51.67</v>
      </c>
      <c r="CS624" s="2" t="n">
        <v>54.58</v>
      </c>
      <c r="CT624" s="2" t="n">
        <v>0</v>
      </c>
      <c r="CU624" s="2" t="n">
        <v>59.72</v>
      </c>
      <c r="CV624" s="2" t="n">
        <v>61.51</v>
      </c>
      <c r="CW624" s="2" t="n">
        <v>0</v>
      </c>
      <c r="CX624" s="2" t="n">
        <v>67.41</v>
      </c>
      <c r="CY624" s="2" t="n">
        <v>69.43000000000001</v>
      </c>
      <c r="CZ624" s="2" t="n">
        <v>0</v>
      </c>
      <c r="DA624" s="2" t="n">
        <v>76.02</v>
      </c>
      <c r="DB624" s="2" t="n">
        <v>77.73999999999999</v>
      </c>
      <c r="DC624" s="2" t="n">
        <v>0</v>
      </c>
      <c r="DD624" s="2" t="n">
        <v>83.67</v>
      </c>
      <c r="DE624" s="2" t="n">
        <v>85.33</v>
      </c>
      <c r="DF624" s="2" t="n">
        <v>0</v>
      </c>
      <c r="DG624" s="2" t="n">
        <v>89.58</v>
      </c>
      <c r="DH624" s="2" t="n">
        <v>91.33</v>
      </c>
      <c r="DI624" s="2" t="n">
        <v>0</v>
      </c>
      <c r="DJ624" s="2" t="n">
        <v>94.18000000000001</v>
      </c>
      <c r="DK624" s="2" t="n">
        <v>94.29000000000001</v>
      </c>
      <c r="DL624" s="2" t="n">
        <v>0</v>
      </c>
      <c r="DM624" s="2" t="n">
        <v>94.38</v>
      </c>
      <c r="DN624" s="2" t="n">
        <v>95.90000000000001</v>
      </c>
      <c r="DO624" s="2" t="n">
        <v>0</v>
      </c>
      <c r="DP624" s="2" t="n">
        <v>98.97</v>
      </c>
      <c r="DQ624" s="2" t="n">
        <v>99.92</v>
      </c>
      <c r="DR624" s="2" t="n">
        <v>0</v>
      </c>
      <c r="DS624" s="2" t="n">
        <v>99.95</v>
      </c>
      <c r="DT624" s="2" t="n">
        <v>100</v>
      </c>
      <c r="DU624" s="2" t="n">
        <v>0</v>
      </c>
      <c r="DV624" s="2" t="n">
        <v>100</v>
      </c>
      <c r="DW624" s="2" t="n">
        <v>100</v>
      </c>
      <c r="DX624" s="2" t="n">
        <v>0</v>
      </c>
      <c r="DY624" s="2" t="n">
        <v>100</v>
      </c>
      <c r="DZ624" s="2" t="n">
        <v>100</v>
      </c>
      <c r="EA624" s="2" t="n">
        <v>0</v>
      </c>
      <c r="EB624" s="2" t="n">
        <v>100</v>
      </c>
      <c r="EC624" s="2" t="n">
        <v>100</v>
      </c>
      <c r="ED624" s="2" t="n">
        <v>0</v>
      </c>
      <c r="EE624" s="2" t="n">
        <v>100</v>
      </c>
      <c r="EF624" s="2" t="n">
        <v>100</v>
      </c>
      <c r="EG624" s="2" t="n">
        <v>0</v>
      </c>
      <c r="EH624" s="2" t="n">
        <v>100</v>
      </c>
      <c r="EI624" s="2" t="n">
        <v>100</v>
      </c>
      <c r="EJ624" s="2" t="n">
        <v>0</v>
      </c>
      <c r="EK624" s="2" t="n">
        <v>100</v>
      </c>
      <c r="EL624" s="2" t="n">
        <v>100</v>
      </c>
      <c r="EM624" s="2" t="n">
        <v>0</v>
      </c>
      <c r="EN624" s="2" t="n">
        <v>100</v>
      </c>
      <c r="EO624" s="2" t="n">
        <v>100</v>
      </c>
      <c r="EP624" s="2" t="n">
        <v>0</v>
      </c>
      <c r="EQ624" s="2" t="n">
        <v>100</v>
      </c>
      <c r="ER624" s="2" t="n">
        <v>100</v>
      </c>
      <c r="ES624" s="2" t="n">
        <v>0</v>
      </c>
    </row>
    <row r="625">
      <c r="A625" s="2" t="n">
        <v>2</v>
      </c>
      <c r="B625" s="2" t="inlineStr">
        <is>
          <t>28.01</t>
        </is>
      </c>
      <c r="C625" s="2" t="inlineStr">
        <is>
          <t>Serviços complentares ao piso internos</t>
        </is>
      </c>
      <c r="D625" s="2" t="inlineStr">
        <is>
          <t>16/04/2027</t>
        </is>
      </c>
      <c r="E625" s="2" t="inlineStr">
        <is>
          <t>07/08/2028</t>
        </is>
      </c>
      <c r="F625" s="2" t="n">
        <v>987444.6301995977</v>
      </c>
      <c r="G625" s="2" t="n">
        <v>0</v>
      </c>
      <c r="H625" s="2" t="n">
        <v>987444.6301995977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  <c r="AM625" s="2" t="n">
        <v>0</v>
      </c>
      <c r="AN625" s="2" t="n">
        <v>0</v>
      </c>
      <c r="AO625" s="2" t="n">
        <v>0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n">
        <v>0</v>
      </c>
      <c r="AZ625" s="2" t="n">
        <v>0</v>
      </c>
      <c r="BA625" s="2" t="n">
        <v>0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n">
        <v>0</v>
      </c>
      <c r="BI625" s="2" t="n">
        <v>0</v>
      </c>
      <c r="BJ625" s="2" t="n">
        <v>0</v>
      </c>
      <c r="BK625" s="2" t="n">
        <v>0</v>
      </c>
      <c r="BL625" s="2" t="n">
        <v>0</v>
      </c>
      <c r="BM625" s="2" t="n">
        <v>0</v>
      </c>
      <c r="BN625" s="2" t="n">
        <v>0</v>
      </c>
      <c r="BO625" s="2" t="n">
        <v>0</v>
      </c>
      <c r="BP625" s="2" t="n">
        <v>0</v>
      </c>
      <c r="BQ625" s="2" t="n">
        <v>0</v>
      </c>
      <c r="BR625" s="2" t="n">
        <v>0</v>
      </c>
      <c r="BS625" s="2" t="n">
        <v>0</v>
      </c>
      <c r="BT625" s="2" t="n">
        <v>0</v>
      </c>
      <c r="BU625" s="2" t="n">
        <v>0</v>
      </c>
      <c r="BV625" s="2" t="n">
        <v>0</v>
      </c>
      <c r="BW625" s="2" t="n">
        <v>0.09</v>
      </c>
      <c r="BX625" s="2" t="n">
        <v>0.18</v>
      </c>
      <c r="BY625" s="2" t="n">
        <v>0</v>
      </c>
      <c r="BZ625" s="2" t="n">
        <v>0.45</v>
      </c>
      <c r="CA625" s="2" t="n">
        <v>0.55</v>
      </c>
      <c r="CB625" s="2" t="n">
        <v>0</v>
      </c>
      <c r="CC625" s="2" t="n">
        <v>2.09</v>
      </c>
      <c r="CD625" s="2" t="n">
        <v>4.29</v>
      </c>
      <c r="CE625" s="2" t="n">
        <v>0</v>
      </c>
      <c r="CF625" s="2" t="n">
        <v>10.14</v>
      </c>
      <c r="CG625" s="2" t="n">
        <v>11.86</v>
      </c>
      <c r="CH625" s="2" t="n">
        <v>0</v>
      </c>
      <c r="CI625" s="2" t="n">
        <v>17.86</v>
      </c>
      <c r="CJ625" s="2" t="n">
        <v>20.05</v>
      </c>
      <c r="CK625" s="2" t="n">
        <v>0</v>
      </c>
      <c r="CL625" s="2" t="n">
        <v>26.4</v>
      </c>
      <c r="CM625" s="2" t="n">
        <v>28.18</v>
      </c>
      <c r="CN625" s="2" t="n">
        <v>0</v>
      </c>
      <c r="CO625" s="2" t="n">
        <v>34.43</v>
      </c>
      <c r="CP625" s="2" t="n">
        <v>36.62</v>
      </c>
      <c r="CQ625" s="2" t="n">
        <v>0</v>
      </c>
      <c r="CR625" s="2" t="n">
        <v>51.81</v>
      </c>
      <c r="CS625" s="2" t="n">
        <v>54.71</v>
      </c>
      <c r="CT625" s="2" t="n">
        <v>0</v>
      </c>
      <c r="CU625" s="2" t="n">
        <v>59.84</v>
      </c>
      <c r="CV625" s="2" t="n">
        <v>61.64</v>
      </c>
      <c r="CW625" s="2" t="n">
        <v>0</v>
      </c>
      <c r="CX625" s="2" t="n">
        <v>67.54000000000001</v>
      </c>
      <c r="CY625" s="2" t="n">
        <v>69.58</v>
      </c>
      <c r="CZ625" s="2" t="n">
        <v>0</v>
      </c>
      <c r="DA625" s="2" t="n">
        <v>76.15000000000001</v>
      </c>
      <c r="DB625" s="2" t="n">
        <v>77.87</v>
      </c>
      <c r="DC625" s="2" t="n">
        <v>0</v>
      </c>
      <c r="DD625" s="2" t="n">
        <v>83.76000000000001</v>
      </c>
      <c r="DE625" s="2" t="n">
        <v>85.41</v>
      </c>
      <c r="DF625" s="2" t="n">
        <v>0</v>
      </c>
      <c r="DG625" s="2" t="n">
        <v>89.63</v>
      </c>
      <c r="DH625" s="2" t="n">
        <v>91.38</v>
      </c>
      <c r="DI625" s="2" t="n">
        <v>0</v>
      </c>
      <c r="DJ625" s="2" t="n">
        <v>94.22</v>
      </c>
      <c r="DK625" s="2" t="n">
        <v>94.33</v>
      </c>
      <c r="DL625" s="2" t="n">
        <v>0</v>
      </c>
      <c r="DM625" s="2" t="n">
        <v>94.42</v>
      </c>
      <c r="DN625" s="2" t="n">
        <v>95.93000000000001</v>
      </c>
      <c r="DO625" s="2" t="n">
        <v>0</v>
      </c>
      <c r="DP625" s="2" t="n">
        <v>98.98</v>
      </c>
      <c r="DQ625" s="2" t="n">
        <v>99.92</v>
      </c>
      <c r="DR625" s="2" t="n">
        <v>0</v>
      </c>
      <c r="DS625" s="2" t="n">
        <v>99.95</v>
      </c>
      <c r="DT625" s="2" t="n">
        <v>100</v>
      </c>
      <c r="DU625" s="2" t="n">
        <v>0</v>
      </c>
      <c r="DV625" s="2" t="n">
        <v>100</v>
      </c>
      <c r="DW625" s="2" t="n">
        <v>100</v>
      </c>
      <c r="DX625" s="2" t="n">
        <v>0</v>
      </c>
      <c r="DY625" s="2" t="n">
        <v>100</v>
      </c>
      <c r="DZ625" s="2" t="n">
        <v>100</v>
      </c>
      <c r="EA625" s="2" t="n">
        <v>0</v>
      </c>
      <c r="EB625" s="2" t="n">
        <v>100</v>
      </c>
      <c r="EC625" s="2" t="n">
        <v>100</v>
      </c>
      <c r="ED625" s="2" t="n">
        <v>0</v>
      </c>
      <c r="EE625" s="2" t="n">
        <v>100</v>
      </c>
      <c r="EF625" s="2" t="n">
        <v>100</v>
      </c>
      <c r="EG625" s="2" t="n">
        <v>0</v>
      </c>
      <c r="EH625" s="2" t="n">
        <v>100</v>
      </c>
      <c r="EI625" s="2" t="n">
        <v>100</v>
      </c>
      <c r="EJ625" s="2" t="n">
        <v>0</v>
      </c>
      <c r="EK625" s="2" t="n">
        <v>100</v>
      </c>
      <c r="EL625" s="2" t="n">
        <v>100</v>
      </c>
      <c r="EM625" s="2" t="n">
        <v>0</v>
      </c>
      <c r="EN625" s="2" t="n">
        <v>100</v>
      </c>
      <c r="EO625" s="2" t="n">
        <v>100</v>
      </c>
      <c r="EP625" s="2" t="n">
        <v>0</v>
      </c>
      <c r="EQ625" s="2" t="n">
        <v>100</v>
      </c>
      <c r="ER625" s="2" t="n">
        <v>100</v>
      </c>
      <c r="ES625" s="2" t="n">
        <v>0</v>
      </c>
    </row>
    <row r="626">
      <c r="A626" s="2" t="n">
        <v>3</v>
      </c>
      <c r="B626" s="2" t="inlineStr">
        <is>
          <t>28.01.01</t>
        </is>
      </c>
      <c r="C626" s="2" t="inlineStr">
        <is>
          <t>Taliscamento de Pisos</t>
        </is>
      </c>
      <c r="D626" s="2" t="inlineStr">
        <is>
          <t>16/04/2027</t>
        </is>
      </c>
      <c r="E626" s="2" t="inlineStr">
        <is>
          <t>09/05/2028</t>
        </is>
      </c>
      <c r="F626" s="2" t="n">
        <v>67238.69579459999</v>
      </c>
      <c r="G626" s="2" t="n">
        <v>0</v>
      </c>
      <c r="H626" s="2" t="n">
        <v>67238.69579459999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  <c r="AN626" s="2" t="n">
        <v>0</v>
      </c>
      <c r="AO626" s="2" t="n">
        <v>0</v>
      </c>
      <c r="AP626" s="2" t="n">
        <v>0</v>
      </c>
      <c r="AQ626" s="2" t="n">
        <v>0</v>
      </c>
      <c r="AR626" s="2" t="n">
        <v>0</v>
      </c>
      <c r="AS626" s="2" t="n">
        <v>0</v>
      </c>
      <c r="AT626" s="2" t="n">
        <v>0</v>
      </c>
      <c r="AU626" s="2" t="n">
        <v>0</v>
      </c>
      <c r="AV626" s="2" t="n">
        <v>0</v>
      </c>
      <c r="AW626" s="2" t="n">
        <v>0</v>
      </c>
      <c r="AX626" s="2" t="n">
        <v>0</v>
      </c>
      <c r="AY626" s="2" t="n">
        <v>0</v>
      </c>
      <c r="AZ626" s="2" t="n">
        <v>0</v>
      </c>
      <c r="BA626" s="2" t="n">
        <v>0</v>
      </c>
      <c r="BB626" s="2" t="n">
        <v>0</v>
      </c>
      <c r="BC626" s="2" t="n">
        <v>0</v>
      </c>
      <c r="BD626" s="2" t="n">
        <v>0</v>
      </c>
      <c r="BE626" s="2" t="n">
        <v>0</v>
      </c>
      <c r="BF626" s="2" t="n">
        <v>0</v>
      </c>
      <c r="BG626" s="2" t="n">
        <v>0</v>
      </c>
      <c r="BH626" s="2" t="n">
        <v>0</v>
      </c>
      <c r="BI626" s="2" t="n">
        <v>0</v>
      </c>
      <c r="BJ626" s="2" t="n">
        <v>0</v>
      </c>
      <c r="BK626" s="2" t="n">
        <v>0</v>
      </c>
      <c r="BL626" s="2" t="n">
        <v>0</v>
      </c>
      <c r="BM626" s="2" t="n">
        <v>0</v>
      </c>
      <c r="BN626" s="2" t="n">
        <v>0</v>
      </c>
      <c r="BO626" s="2" t="n">
        <v>0</v>
      </c>
      <c r="BP626" s="2" t="n">
        <v>0</v>
      </c>
      <c r="BQ626" s="2" t="n">
        <v>0</v>
      </c>
      <c r="BR626" s="2" t="n">
        <v>0</v>
      </c>
      <c r="BS626" s="2" t="n">
        <v>0</v>
      </c>
      <c r="BT626" s="2" t="n">
        <v>0</v>
      </c>
      <c r="BU626" s="2" t="n">
        <v>0</v>
      </c>
      <c r="BV626" s="2" t="n">
        <v>0</v>
      </c>
      <c r="BW626" s="2" t="n">
        <v>1.33</v>
      </c>
      <c r="BX626" s="2" t="n">
        <v>2.67</v>
      </c>
      <c r="BY626" s="2" t="n">
        <v>0</v>
      </c>
      <c r="BZ626" s="2" t="n">
        <v>6.67</v>
      </c>
      <c r="CA626" s="2" t="n">
        <v>8.01</v>
      </c>
      <c r="CB626" s="2" t="n">
        <v>0</v>
      </c>
      <c r="CC626" s="2" t="n">
        <v>21.14</v>
      </c>
      <c r="CD626" s="2" t="n">
        <v>29.72</v>
      </c>
      <c r="CE626" s="2" t="n">
        <v>0</v>
      </c>
      <c r="CF626" s="2" t="n">
        <v>34.6</v>
      </c>
      <c r="CG626" s="2" t="n">
        <v>35.96</v>
      </c>
      <c r="CH626" s="2" t="n">
        <v>0</v>
      </c>
      <c r="CI626" s="2" t="n">
        <v>41.37</v>
      </c>
      <c r="CJ626" s="2" t="n">
        <v>49.05</v>
      </c>
      <c r="CK626" s="2" t="n">
        <v>0</v>
      </c>
      <c r="CL626" s="2" t="n">
        <v>54.13</v>
      </c>
      <c r="CM626" s="2" t="n">
        <v>55.5</v>
      </c>
      <c r="CN626" s="2" t="n">
        <v>0</v>
      </c>
      <c r="CO626" s="2" t="n">
        <v>59.89</v>
      </c>
      <c r="CP626" s="2" t="n">
        <v>67.52</v>
      </c>
      <c r="CQ626" s="2" t="n">
        <v>0</v>
      </c>
      <c r="CR626" s="2" t="n">
        <v>71.90000000000001</v>
      </c>
      <c r="CS626" s="2" t="n">
        <v>73.26000000000001</v>
      </c>
      <c r="CT626" s="2" t="n">
        <v>0</v>
      </c>
      <c r="CU626" s="2" t="n">
        <v>77.02</v>
      </c>
      <c r="CV626" s="2" t="n">
        <v>79.62</v>
      </c>
      <c r="CW626" s="2" t="n">
        <v>0</v>
      </c>
      <c r="CX626" s="2" t="n">
        <v>84.52</v>
      </c>
      <c r="CY626" s="2" t="n">
        <v>90.26000000000001</v>
      </c>
      <c r="CZ626" s="2" t="n">
        <v>0</v>
      </c>
      <c r="DA626" s="2" t="n">
        <v>94.36</v>
      </c>
      <c r="DB626" s="2" t="n">
        <v>95.72</v>
      </c>
      <c r="DC626" s="2" t="n">
        <v>0</v>
      </c>
      <c r="DD626" s="2" t="n">
        <v>96.45999999999999</v>
      </c>
      <c r="DE626" s="2" t="n">
        <v>96.84999999999999</v>
      </c>
      <c r="DF626" s="2" t="n">
        <v>0</v>
      </c>
      <c r="DG626" s="2" t="n">
        <v>96.79000000000001</v>
      </c>
      <c r="DH626" s="2" t="n">
        <v>98.40000000000001</v>
      </c>
      <c r="DI626" s="2" t="n">
        <v>0</v>
      </c>
      <c r="DJ626" s="2" t="n">
        <v>100</v>
      </c>
      <c r="DK626" s="2" t="n">
        <v>100</v>
      </c>
      <c r="DL626" s="2" t="n">
        <v>0</v>
      </c>
      <c r="DM626" s="2" t="n">
        <v>100</v>
      </c>
      <c r="DN626" s="2" t="n">
        <v>100</v>
      </c>
      <c r="DO626" s="2" t="n">
        <v>0</v>
      </c>
      <c r="DP626" s="2" t="n">
        <v>100</v>
      </c>
      <c r="DQ626" s="2" t="n">
        <v>100</v>
      </c>
      <c r="DR626" s="2" t="n">
        <v>0</v>
      </c>
      <c r="DS626" s="2" t="n">
        <v>100</v>
      </c>
      <c r="DT626" s="2" t="n">
        <v>100</v>
      </c>
      <c r="DU626" s="2" t="n">
        <v>0</v>
      </c>
      <c r="DV626" s="2" t="n">
        <v>100</v>
      </c>
      <c r="DW626" s="2" t="n">
        <v>100</v>
      </c>
      <c r="DX626" s="2" t="n">
        <v>0</v>
      </c>
      <c r="DY626" s="2" t="n">
        <v>100</v>
      </c>
      <c r="DZ626" s="2" t="n">
        <v>100</v>
      </c>
      <c r="EA626" s="2" t="n">
        <v>0</v>
      </c>
      <c r="EB626" s="2" t="n">
        <v>100</v>
      </c>
      <c r="EC626" s="2" t="n">
        <v>100</v>
      </c>
      <c r="ED626" s="2" t="n">
        <v>0</v>
      </c>
      <c r="EE626" s="2" t="n">
        <v>100</v>
      </c>
      <c r="EF626" s="2" t="n">
        <v>100</v>
      </c>
      <c r="EG626" s="2" t="n">
        <v>0</v>
      </c>
      <c r="EH626" s="2" t="n">
        <v>100</v>
      </c>
      <c r="EI626" s="2" t="n">
        <v>100</v>
      </c>
      <c r="EJ626" s="2" t="n">
        <v>0</v>
      </c>
      <c r="EK626" s="2" t="n">
        <v>100</v>
      </c>
      <c r="EL626" s="2" t="n">
        <v>100</v>
      </c>
      <c r="EM626" s="2" t="n">
        <v>0</v>
      </c>
      <c r="EN626" s="2" t="n">
        <v>100</v>
      </c>
      <c r="EO626" s="2" t="n">
        <v>100</v>
      </c>
      <c r="EP626" s="2" t="n">
        <v>0</v>
      </c>
      <c r="EQ626" s="2" t="n">
        <v>100</v>
      </c>
      <c r="ER626" s="2" t="n">
        <v>100</v>
      </c>
      <c r="ES626" s="2" t="n">
        <v>0</v>
      </c>
    </row>
    <row r="627">
      <c r="A627" s="2" t="n">
        <v>3</v>
      </c>
      <c r="B627" s="2" t="inlineStr">
        <is>
          <t>28.01.02</t>
        </is>
      </c>
      <c r="C627" s="2" t="inlineStr">
        <is>
          <t>Camada de regularização com argamassa de cimento e areia</t>
        </is>
      </c>
      <c r="D627" s="2" t="inlineStr">
        <is>
          <t>22/06/2027</t>
        </is>
      </c>
      <c r="E627" s="2" t="inlineStr">
        <is>
          <t>07/08/2028</t>
        </is>
      </c>
      <c r="F627" s="2" t="n">
        <v>636572.969336979</v>
      </c>
      <c r="G627" s="2" t="n">
        <v>0</v>
      </c>
      <c r="H627" s="2" t="n">
        <v>636572.969336979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0</v>
      </c>
      <c r="AP627" s="2" t="n">
        <v>0</v>
      </c>
      <c r="AQ627" s="2" t="n">
        <v>0</v>
      </c>
      <c r="AR627" s="2" t="n">
        <v>0</v>
      </c>
      <c r="AS627" s="2" t="n">
        <v>0</v>
      </c>
      <c r="AT627" s="2" t="n">
        <v>0</v>
      </c>
      <c r="AU627" s="2" t="n">
        <v>0</v>
      </c>
      <c r="AV627" s="2" t="n">
        <v>0</v>
      </c>
      <c r="AW627" s="2" t="n">
        <v>0</v>
      </c>
      <c r="AX627" s="2" t="n">
        <v>0</v>
      </c>
      <c r="AY627" s="2" t="n">
        <v>0</v>
      </c>
      <c r="AZ627" s="2" t="n">
        <v>0</v>
      </c>
      <c r="BA627" s="2" t="n">
        <v>0</v>
      </c>
      <c r="BB627" s="2" t="n">
        <v>0</v>
      </c>
      <c r="BC627" s="2" t="n">
        <v>0</v>
      </c>
      <c r="BD627" s="2" t="n">
        <v>0</v>
      </c>
      <c r="BE627" s="2" t="n">
        <v>0</v>
      </c>
      <c r="BF627" s="2" t="n">
        <v>0</v>
      </c>
      <c r="BG627" s="2" t="n">
        <v>0</v>
      </c>
      <c r="BH627" s="2" t="n">
        <v>0</v>
      </c>
      <c r="BI627" s="2" t="n">
        <v>0</v>
      </c>
      <c r="BJ627" s="2" t="n">
        <v>0</v>
      </c>
      <c r="BK627" s="2" t="n">
        <v>0</v>
      </c>
      <c r="BL627" s="2" t="n">
        <v>0</v>
      </c>
      <c r="BM627" s="2" t="n">
        <v>0</v>
      </c>
      <c r="BN627" s="2" t="n">
        <v>0</v>
      </c>
      <c r="BO627" s="2" t="n">
        <v>0</v>
      </c>
      <c r="BP627" s="2" t="n">
        <v>0</v>
      </c>
      <c r="BQ627" s="2" t="n">
        <v>0</v>
      </c>
      <c r="BR627" s="2" t="n">
        <v>0</v>
      </c>
      <c r="BS627" s="2" t="n">
        <v>0</v>
      </c>
      <c r="BT627" s="2" t="n">
        <v>0</v>
      </c>
      <c r="BU627" s="2" t="n">
        <v>0</v>
      </c>
      <c r="BV627" s="2" t="n">
        <v>0</v>
      </c>
      <c r="BW627" s="2" t="n">
        <v>0</v>
      </c>
      <c r="BX627" s="2" t="n">
        <v>0</v>
      </c>
      <c r="BY627" s="2" t="n">
        <v>0</v>
      </c>
      <c r="BZ627" s="2" t="n">
        <v>0</v>
      </c>
      <c r="CA627" s="2" t="n">
        <v>0</v>
      </c>
      <c r="CB627" s="2" t="n">
        <v>0</v>
      </c>
      <c r="CC627" s="2" t="n">
        <v>0.7</v>
      </c>
      <c r="CD627" s="2" t="n">
        <v>2.44</v>
      </c>
      <c r="CE627" s="2" t="n">
        <v>0</v>
      </c>
      <c r="CF627" s="2" t="n">
        <v>8.359999999999999</v>
      </c>
      <c r="CG627" s="2" t="n">
        <v>10.1</v>
      </c>
      <c r="CH627" s="2" t="n">
        <v>0</v>
      </c>
      <c r="CI627" s="2" t="n">
        <v>16.15</v>
      </c>
      <c r="CJ627" s="2" t="n">
        <v>17.93</v>
      </c>
      <c r="CK627" s="2" t="n">
        <v>0</v>
      </c>
      <c r="CL627" s="2" t="n">
        <v>24.38</v>
      </c>
      <c r="CM627" s="2" t="n">
        <v>26.18</v>
      </c>
      <c r="CN627" s="2" t="n">
        <v>0</v>
      </c>
      <c r="CO627" s="2" t="n">
        <v>32.57</v>
      </c>
      <c r="CP627" s="2" t="n">
        <v>34.36</v>
      </c>
      <c r="CQ627" s="2" t="n">
        <v>0</v>
      </c>
      <c r="CR627" s="2" t="n">
        <v>50.34</v>
      </c>
      <c r="CS627" s="2" t="n">
        <v>53.36</v>
      </c>
      <c r="CT627" s="2" t="n">
        <v>0</v>
      </c>
      <c r="CU627" s="2" t="n">
        <v>58.59</v>
      </c>
      <c r="CV627" s="2" t="n">
        <v>60.33</v>
      </c>
      <c r="CW627" s="2" t="n">
        <v>0</v>
      </c>
      <c r="CX627" s="2" t="n">
        <v>66.3</v>
      </c>
      <c r="CY627" s="2" t="n">
        <v>68.06999999999999</v>
      </c>
      <c r="CZ627" s="2" t="n">
        <v>0</v>
      </c>
      <c r="DA627" s="2" t="n">
        <v>74.81999999999999</v>
      </c>
      <c r="DB627" s="2" t="n">
        <v>76.56</v>
      </c>
      <c r="DC627" s="2" t="n">
        <v>0</v>
      </c>
      <c r="DD627" s="2" t="n">
        <v>82.83</v>
      </c>
      <c r="DE627" s="2" t="n">
        <v>84.56999999999999</v>
      </c>
      <c r="DF627" s="2" t="n">
        <v>0</v>
      </c>
      <c r="DG627" s="2" t="n">
        <v>89.09999999999999</v>
      </c>
      <c r="DH627" s="2" t="n">
        <v>90.87</v>
      </c>
      <c r="DI627" s="2" t="n">
        <v>0</v>
      </c>
      <c r="DJ627" s="2" t="n">
        <v>93.8</v>
      </c>
      <c r="DK627" s="2" t="n">
        <v>93.92</v>
      </c>
      <c r="DL627" s="2" t="n">
        <v>0</v>
      </c>
      <c r="DM627" s="2" t="n">
        <v>94.01000000000001</v>
      </c>
      <c r="DN627" s="2" t="n">
        <v>95.63</v>
      </c>
      <c r="DO627" s="2" t="n">
        <v>0</v>
      </c>
      <c r="DP627" s="2" t="n">
        <v>98.90000000000001</v>
      </c>
      <c r="DQ627" s="2" t="n">
        <v>99.91</v>
      </c>
      <c r="DR627" s="2" t="n">
        <v>0</v>
      </c>
      <c r="DS627" s="2" t="n">
        <v>99.95</v>
      </c>
      <c r="DT627" s="2" t="n">
        <v>100</v>
      </c>
      <c r="DU627" s="2" t="n">
        <v>0</v>
      </c>
      <c r="DV627" s="2" t="n">
        <v>100</v>
      </c>
      <c r="DW627" s="2" t="n">
        <v>100</v>
      </c>
      <c r="DX627" s="2" t="n">
        <v>0</v>
      </c>
      <c r="DY627" s="2" t="n">
        <v>100</v>
      </c>
      <c r="DZ627" s="2" t="n">
        <v>100</v>
      </c>
      <c r="EA627" s="2" t="n">
        <v>0</v>
      </c>
      <c r="EB627" s="2" t="n">
        <v>100</v>
      </c>
      <c r="EC627" s="2" t="n">
        <v>100</v>
      </c>
      <c r="ED627" s="2" t="n">
        <v>0</v>
      </c>
      <c r="EE627" s="2" t="n">
        <v>100</v>
      </c>
      <c r="EF627" s="2" t="n">
        <v>100</v>
      </c>
      <c r="EG627" s="2" t="n">
        <v>0</v>
      </c>
      <c r="EH627" s="2" t="n">
        <v>100</v>
      </c>
      <c r="EI627" s="2" t="n">
        <v>100</v>
      </c>
      <c r="EJ627" s="2" t="n">
        <v>0</v>
      </c>
      <c r="EK627" s="2" t="n">
        <v>100</v>
      </c>
      <c r="EL627" s="2" t="n">
        <v>100</v>
      </c>
      <c r="EM627" s="2" t="n">
        <v>0</v>
      </c>
      <c r="EN627" s="2" t="n">
        <v>100</v>
      </c>
      <c r="EO627" s="2" t="n">
        <v>100</v>
      </c>
      <c r="EP627" s="2" t="n">
        <v>0</v>
      </c>
      <c r="EQ627" s="2" t="n">
        <v>100</v>
      </c>
      <c r="ER627" s="2" t="n">
        <v>100</v>
      </c>
      <c r="ES627" s="2" t="n">
        <v>0</v>
      </c>
    </row>
    <row r="628">
      <c r="A628" s="2" t="n">
        <v>3</v>
      </c>
      <c r="B628" s="2" t="inlineStr">
        <is>
          <t>28.01.03</t>
        </is>
      </c>
      <c r="C628" s="2" t="inlineStr">
        <is>
          <t>(Lojas) Camada de regularização com argamassa de cimento e areia</t>
        </is>
      </c>
      <c r="D628" s="2" t="inlineStr">
        <is>
          <t>22/06/2027</t>
        </is>
      </c>
      <c r="E628" s="2" t="inlineStr">
        <is>
          <t>07/08/2028</t>
        </is>
      </c>
      <c r="F628" s="2" t="n">
        <v>32719.40141021828</v>
      </c>
      <c r="G628" s="2" t="n">
        <v>0</v>
      </c>
      <c r="H628" s="2" t="n">
        <v>32719.40141021828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  <c r="AN628" s="2" t="n">
        <v>0</v>
      </c>
      <c r="AO628" s="2" t="n">
        <v>0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n">
        <v>0</v>
      </c>
      <c r="AZ628" s="2" t="n">
        <v>0</v>
      </c>
      <c r="BA628" s="2" t="n">
        <v>0</v>
      </c>
      <c r="BB628" s="2" t="n">
        <v>0</v>
      </c>
      <c r="BC628" s="2" t="n">
        <v>0</v>
      </c>
      <c r="BD628" s="2" t="n">
        <v>0</v>
      </c>
      <c r="BE628" s="2" t="n">
        <v>0</v>
      </c>
      <c r="BF628" s="2" t="n">
        <v>0</v>
      </c>
      <c r="BG628" s="2" t="n">
        <v>0</v>
      </c>
      <c r="BH628" s="2" t="n">
        <v>0</v>
      </c>
      <c r="BI628" s="2" t="n">
        <v>0</v>
      </c>
      <c r="BJ628" s="2" t="n">
        <v>0</v>
      </c>
      <c r="BK628" s="2" t="n">
        <v>0</v>
      </c>
      <c r="BL628" s="2" t="n">
        <v>0</v>
      </c>
      <c r="BM628" s="2" t="n">
        <v>0</v>
      </c>
      <c r="BN628" s="2" t="n">
        <v>0</v>
      </c>
      <c r="BO628" s="2" t="n">
        <v>0</v>
      </c>
      <c r="BP628" s="2" t="n">
        <v>0</v>
      </c>
      <c r="BQ628" s="2" t="n">
        <v>0</v>
      </c>
      <c r="BR628" s="2" t="n">
        <v>0</v>
      </c>
      <c r="BS628" s="2" t="n">
        <v>0</v>
      </c>
      <c r="BT628" s="2" t="n">
        <v>0</v>
      </c>
      <c r="BU628" s="2" t="n">
        <v>0</v>
      </c>
      <c r="BV628" s="2" t="n">
        <v>0</v>
      </c>
      <c r="BW628" s="2" t="n">
        <v>0</v>
      </c>
      <c r="BX628" s="2" t="n">
        <v>0</v>
      </c>
      <c r="BY628" s="2" t="n">
        <v>0</v>
      </c>
      <c r="BZ628" s="2" t="n">
        <v>0</v>
      </c>
      <c r="CA628" s="2" t="n">
        <v>0</v>
      </c>
      <c r="CB628" s="2" t="n">
        <v>0</v>
      </c>
      <c r="CC628" s="2" t="n">
        <v>0.7</v>
      </c>
      <c r="CD628" s="2" t="n">
        <v>2.44</v>
      </c>
      <c r="CE628" s="2" t="n">
        <v>0</v>
      </c>
      <c r="CF628" s="2" t="n">
        <v>8.359999999999999</v>
      </c>
      <c r="CG628" s="2" t="n">
        <v>10.1</v>
      </c>
      <c r="CH628" s="2" t="n">
        <v>0</v>
      </c>
      <c r="CI628" s="2" t="n">
        <v>16.15</v>
      </c>
      <c r="CJ628" s="2" t="n">
        <v>17.93</v>
      </c>
      <c r="CK628" s="2" t="n">
        <v>0</v>
      </c>
      <c r="CL628" s="2" t="n">
        <v>24.38</v>
      </c>
      <c r="CM628" s="2" t="n">
        <v>26.18</v>
      </c>
      <c r="CN628" s="2" t="n">
        <v>0</v>
      </c>
      <c r="CO628" s="2" t="n">
        <v>32.57</v>
      </c>
      <c r="CP628" s="2" t="n">
        <v>34.36</v>
      </c>
      <c r="CQ628" s="2" t="n">
        <v>0</v>
      </c>
      <c r="CR628" s="2" t="n">
        <v>50.34</v>
      </c>
      <c r="CS628" s="2" t="n">
        <v>53.36</v>
      </c>
      <c r="CT628" s="2" t="n">
        <v>0</v>
      </c>
      <c r="CU628" s="2" t="n">
        <v>58.59</v>
      </c>
      <c r="CV628" s="2" t="n">
        <v>60.33</v>
      </c>
      <c r="CW628" s="2" t="n">
        <v>0</v>
      </c>
      <c r="CX628" s="2" t="n">
        <v>66.3</v>
      </c>
      <c r="CY628" s="2" t="n">
        <v>68.06999999999999</v>
      </c>
      <c r="CZ628" s="2" t="n">
        <v>0</v>
      </c>
      <c r="DA628" s="2" t="n">
        <v>74.81999999999999</v>
      </c>
      <c r="DB628" s="2" t="n">
        <v>76.56</v>
      </c>
      <c r="DC628" s="2" t="n">
        <v>0</v>
      </c>
      <c r="DD628" s="2" t="n">
        <v>82.83</v>
      </c>
      <c r="DE628" s="2" t="n">
        <v>84.56999999999999</v>
      </c>
      <c r="DF628" s="2" t="n">
        <v>0</v>
      </c>
      <c r="DG628" s="2" t="n">
        <v>89.09999999999999</v>
      </c>
      <c r="DH628" s="2" t="n">
        <v>90.87</v>
      </c>
      <c r="DI628" s="2" t="n">
        <v>0</v>
      </c>
      <c r="DJ628" s="2" t="n">
        <v>93.8</v>
      </c>
      <c r="DK628" s="2" t="n">
        <v>93.92</v>
      </c>
      <c r="DL628" s="2" t="n">
        <v>0</v>
      </c>
      <c r="DM628" s="2" t="n">
        <v>94.01000000000001</v>
      </c>
      <c r="DN628" s="2" t="n">
        <v>95.63</v>
      </c>
      <c r="DO628" s="2" t="n">
        <v>0</v>
      </c>
      <c r="DP628" s="2" t="n">
        <v>98.90000000000001</v>
      </c>
      <c r="DQ628" s="2" t="n">
        <v>99.91</v>
      </c>
      <c r="DR628" s="2" t="n">
        <v>0</v>
      </c>
      <c r="DS628" s="2" t="n">
        <v>99.95</v>
      </c>
      <c r="DT628" s="2" t="n">
        <v>100</v>
      </c>
      <c r="DU628" s="2" t="n">
        <v>0</v>
      </c>
      <c r="DV628" s="2" t="n">
        <v>100</v>
      </c>
      <c r="DW628" s="2" t="n">
        <v>100</v>
      </c>
      <c r="DX628" s="2" t="n">
        <v>0</v>
      </c>
      <c r="DY628" s="2" t="n">
        <v>100</v>
      </c>
      <c r="DZ628" s="2" t="n">
        <v>100</v>
      </c>
      <c r="EA628" s="2" t="n">
        <v>0</v>
      </c>
      <c r="EB628" s="2" t="n">
        <v>100</v>
      </c>
      <c r="EC628" s="2" t="n">
        <v>100</v>
      </c>
      <c r="ED628" s="2" t="n">
        <v>0</v>
      </c>
      <c r="EE628" s="2" t="n">
        <v>100</v>
      </c>
      <c r="EF628" s="2" t="n">
        <v>100</v>
      </c>
      <c r="EG628" s="2" t="n">
        <v>0</v>
      </c>
      <c r="EH628" s="2" t="n">
        <v>100</v>
      </c>
      <c r="EI628" s="2" t="n">
        <v>100</v>
      </c>
      <c r="EJ628" s="2" t="n">
        <v>0</v>
      </c>
      <c r="EK628" s="2" t="n">
        <v>100</v>
      </c>
      <c r="EL628" s="2" t="n">
        <v>100</v>
      </c>
      <c r="EM628" s="2" t="n">
        <v>0</v>
      </c>
      <c r="EN628" s="2" t="n">
        <v>100</v>
      </c>
      <c r="EO628" s="2" t="n">
        <v>100</v>
      </c>
      <c r="EP628" s="2" t="n">
        <v>0</v>
      </c>
      <c r="EQ628" s="2" t="n">
        <v>100</v>
      </c>
      <c r="ER628" s="2" t="n">
        <v>100</v>
      </c>
      <c r="ES628" s="2" t="n">
        <v>0</v>
      </c>
    </row>
    <row r="629">
      <c r="A629" s="2" t="n">
        <v>3</v>
      </c>
      <c r="B629" s="2" t="inlineStr">
        <is>
          <t>28.01.04</t>
        </is>
      </c>
      <c r="C629" s="2" t="inlineStr">
        <is>
          <t>Proteção de pisos contra tráfego de obra</t>
        </is>
      </c>
      <c r="D629" s="2" t="inlineStr">
        <is>
          <t>22/06/2027</t>
        </is>
      </c>
      <c r="E629" s="2" t="inlineStr">
        <is>
          <t>07/08/2028</t>
        </is>
      </c>
      <c r="F629" s="2" t="n">
        <v>250913.5636578005</v>
      </c>
      <c r="G629" s="2" t="n">
        <v>0</v>
      </c>
      <c r="H629" s="2" t="n">
        <v>250913.5636578005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0</v>
      </c>
      <c r="AM629" s="2" t="n">
        <v>0</v>
      </c>
      <c r="AN629" s="2" t="n">
        <v>0</v>
      </c>
      <c r="AO629" s="2" t="n">
        <v>0</v>
      </c>
      <c r="AP629" s="2" t="n">
        <v>0</v>
      </c>
      <c r="AQ629" s="2" t="n">
        <v>0</v>
      </c>
      <c r="AR629" s="2" t="n">
        <v>0</v>
      </c>
      <c r="AS629" s="2" t="n">
        <v>0</v>
      </c>
      <c r="AT629" s="2" t="n">
        <v>0</v>
      </c>
      <c r="AU629" s="2" t="n">
        <v>0</v>
      </c>
      <c r="AV629" s="2" t="n">
        <v>0</v>
      </c>
      <c r="AW629" s="2" t="n">
        <v>0</v>
      </c>
      <c r="AX629" s="2" t="n">
        <v>0</v>
      </c>
      <c r="AY629" s="2" t="n">
        <v>0</v>
      </c>
      <c r="AZ629" s="2" t="n">
        <v>0</v>
      </c>
      <c r="BA629" s="2" t="n">
        <v>0</v>
      </c>
      <c r="BB629" s="2" t="n">
        <v>0</v>
      </c>
      <c r="BC629" s="2" t="n">
        <v>0</v>
      </c>
      <c r="BD629" s="2" t="n">
        <v>0</v>
      </c>
      <c r="BE629" s="2" t="n">
        <v>0</v>
      </c>
      <c r="BF629" s="2" t="n">
        <v>0</v>
      </c>
      <c r="BG629" s="2" t="n">
        <v>0</v>
      </c>
      <c r="BH629" s="2" t="n">
        <v>0</v>
      </c>
      <c r="BI629" s="2" t="n">
        <v>0</v>
      </c>
      <c r="BJ629" s="2" t="n">
        <v>0</v>
      </c>
      <c r="BK629" s="2" t="n">
        <v>0</v>
      </c>
      <c r="BL629" s="2" t="n">
        <v>0</v>
      </c>
      <c r="BM629" s="2" t="n">
        <v>0</v>
      </c>
      <c r="BN629" s="2" t="n">
        <v>0</v>
      </c>
      <c r="BO629" s="2" t="n">
        <v>0</v>
      </c>
      <c r="BP629" s="2" t="n">
        <v>0</v>
      </c>
      <c r="BQ629" s="2" t="n">
        <v>0</v>
      </c>
      <c r="BR629" s="2" t="n">
        <v>0</v>
      </c>
      <c r="BS629" s="2" t="n">
        <v>0</v>
      </c>
      <c r="BT629" s="2" t="n">
        <v>0</v>
      </c>
      <c r="BU629" s="2" t="n">
        <v>0</v>
      </c>
      <c r="BV629" s="2" t="n">
        <v>0</v>
      </c>
      <c r="BW629" s="2" t="n">
        <v>0</v>
      </c>
      <c r="BX629" s="2" t="n">
        <v>0</v>
      </c>
      <c r="BY629" s="2" t="n">
        <v>0</v>
      </c>
      <c r="BZ629" s="2" t="n">
        <v>0</v>
      </c>
      <c r="CA629" s="2" t="n">
        <v>0</v>
      </c>
      <c r="CB629" s="2" t="n">
        <v>0</v>
      </c>
      <c r="CC629" s="2" t="n">
        <v>0.7</v>
      </c>
      <c r="CD629" s="2" t="n">
        <v>2.44</v>
      </c>
      <c r="CE629" s="2" t="n">
        <v>0</v>
      </c>
      <c r="CF629" s="2" t="n">
        <v>8.359999999999999</v>
      </c>
      <c r="CG629" s="2" t="n">
        <v>10.1</v>
      </c>
      <c r="CH629" s="2" t="n">
        <v>0</v>
      </c>
      <c r="CI629" s="2" t="n">
        <v>16.15</v>
      </c>
      <c r="CJ629" s="2" t="n">
        <v>17.93</v>
      </c>
      <c r="CK629" s="2" t="n">
        <v>0</v>
      </c>
      <c r="CL629" s="2" t="n">
        <v>24.38</v>
      </c>
      <c r="CM629" s="2" t="n">
        <v>26.18</v>
      </c>
      <c r="CN629" s="2" t="n">
        <v>0</v>
      </c>
      <c r="CO629" s="2" t="n">
        <v>32.57</v>
      </c>
      <c r="CP629" s="2" t="n">
        <v>34.36</v>
      </c>
      <c r="CQ629" s="2" t="n">
        <v>0</v>
      </c>
      <c r="CR629" s="2" t="n">
        <v>50.34</v>
      </c>
      <c r="CS629" s="2" t="n">
        <v>53.36</v>
      </c>
      <c r="CT629" s="2" t="n">
        <v>0</v>
      </c>
      <c r="CU629" s="2" t="n">
        <v>58.59</v>
      </c>
      <c r="CV629" s="2" t="n">
        <v>60.33</v>
      </c>
      <c r="CW629" s="2" t="n">
        <v>0</v>
      </c>
      <c r="CX629" s="2" t="n">
        <v>66.3</v>
      </c>
      <c r="CY629" s="2" t="n">
        <v>68.06999999999999</v>
      </c>
      <c r="CZ629" s="2" t="n">
        <v>0</v>
      </c>
      <c r="DA629" s="2" t="n">
        <v>74.81999999999999</v>
      </c>
      <c r="DB629" s="2" t="n">
        <v>76.56</v>
      </c>
      <c r="DC629" s="2" t="n">
        <v>0</v>
      </c>
      <c r="DD629" s="2" t="n">
        <v>82.83</v>
      </c>
      <c r="DE629" s="2" t="n">
        <v>84.56999999999999</v>
      </c>
      <c r="DF629" s="2" t="n">
        <v>0</v>
      </c>
      <c r="DG629" s="2" t="n">
        <v>89.09999999999999</v>
      </c>
      <c r="DH629" s="2" t="n">
        <v>90.87</v>
      </c>
      <c r="DI629" s="2" t="n">
        <v>0</v>
      </c>
      <c r="DJ629" s="2" t="n">
        <v>93.8</v>
      </c>
      <c r="DK629" s="2" t="n">
        <v>93.92</v>
      </c>
      <c r="DL629" s="2" t="n">
        <v>0</v>
      </c>
      <c r="DM629" s="2" t="n">
        <v>94.01000000000001</v>
      </c>
      <c r="DN629" s="2" t="n">
        <v>95.63</v>
      </c>
      <c r="DO629" s="2" t="n">
        <v>0</v>
      </c>
      <c r="DP629" s="2" t="n">
        <v>98.90000000000001</v>
      </c>
      <c r="DQ629" s="2" t="n">
        <v>99.91</v>
      </c>
      <c r="DR629" s="2" t="n">
        <v>0</v>
      </c>
      <c r="DS629" s="2" t="n">
        <v>99.95</v>
      </c>
      <c r="DT629" s="2" t="n">
        <v>100</v>
      </c>
      <c r="DU629" s="2" t="n">
        <v>0</v>
      </c>
      <c r="DV629" s="2" t="n">
        <v>100</v>
      </c>
      <c r="DW629" s="2" t="n">
        <v>100</v>
      </c>
      <c r="DX629" s="2" t="n">
        <v>0</v>
      </c>
      <c r="DY629" s="2" t="n">
        <v>100</v>
      </c>
      <c r="DZ629" s="2" t="n">
        <v>100</v>
      </c>
      <c r="EA629" s="2" t="n">
        <v>0</v>
      </c>
      <c r="EB629" s="2" t="n">
        <v>100</v>
      </c>
      <c r="EC629" s="2" t="n">
        <v>100</v>
      </c>
      <c r="ED629" s="2" t="n">
        <v>0</v>
      </c>
      <c r="EE629" s="2" t="n">
        <v>100</v>
      </c>
      <c r="EF629" s="2" t="n">
        <v>100</v>
      </c>
      <c r="EG629" s="2" t="n">
        <v>0</v>
      </c>
      <c r="EH629" s="2" t="n">
        <v>100</v>
      </c>
      <c r="EI629" s="2" t="n">
        <v>100</v>
      </c>
      <c r="EJ629" s="2" t="n">
        <v>0</v>
      </c>
      <c r="EK629" s="2" t="n">
        <v>100</v>
      </c>
      <c r="EL629" s="2" t="n">
        <v>100</v>
      </c>
      <c r="EM629" s="2" t="n">
        <v>0</v>
      </c>
      <c r="EN629" s="2" t="n">
        <v>100</v>
      </c>
      <c r="EO629" s="2" t="n">
        <v>100</v>
      </c>
      <c r="EP629" s="2" t="n">
        <v>0</v>
      </c>
      <c r="EQ629" s="2" t="n">
        <v>100</v>
      </c>
      <c r="ER629" s="2" t="n">
        <v>100</v>
      </c>
      <c r="ES629" s="2" t="n">
        <v>0</v>
      </c>
    </row>
    <row r="630">
      <c r="A630" s="2" t="n">
        <v>2</v>
      </c>
      <c r="B630" s="2" t="inlineStr">
        <is>
          <t>28.02</t>
        </is>
      </c>
      <c r="C630" s="2" t="inlineStr">
        <is>
          <t>Serviços complentares ao piso externos</t>
        </is>
      </c>
      <c r="D630" s="2" t="inlineStr">
        <is>
          <t>22/06/2027</t>
        </is>
      </c>
      <c r="E630" s="2" t="inlineStr">
        <is>
          <t>07/08/2028</t>
        </is>
      </c>
      <c r="F630" s="2" t="n">
        <v>108628.7018808873</v>
      </c>
      <c r="G630" s="2" t="n">
        <v>0</v>
      </c>
      <c r="H630" s="2" t="n">
        <v>108628.7018808873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  <c r="AN630" s="2" t="n">
        <v>0</v>
      </c>
      <c r="AO630" s="2" t="n">
        <v>0</v>
      </c>
      <c r="AP630" s="2" t="n">
        <v>0</v>
      </c>
      <c r="AQ630" s="2" t="n">
        <v>0</v>
      </c>
      <c r="AR630" s="2" t="n">
        <v>0</v>
      </c>
      <c r="AS630" s="2" t="n">
        <v>0</v>
      </c>
      <c r="AT630" s="2" t="n">
        <v>0</v>
      </c>
      <c r="AU630" s="2" t="n">
        <v>0</v>
      </c>
      <c r="AV630" s="2" t="n">
        <v>0</v>
      </c>
      <c r="AW630" s="2" t="n">
        <v>0</v>
      </c>
      <c r="AX630" s="2" t="n">
        <v>0</v>
      </c>
      <c r="AY630" s="2" t="n">
        <v>0</v>
      </c>
      <c r="AZ630" s="2" t="n">
        <v>0</v>
      </c>
      <c r="BA630" s="2" t="n">
        <v>0</v>
      </c>
      <c r="BB630" s="2" t="n">
        <v>0</v>
      </c>
      <c r="BC630" s="2" t="n">
        <v>0</v>
      </c>
      <c r="BD630" s="2" t="n">
        <v>0</v>
      </c>
      <c r="BE630" s="2" t="n">
        <v>0</v>
      </c>
      <c r="BF630" s="2" t="n">
        <v>0</v>
      </c>
      <c r="BG630" s="2" t="n">
        <v>0</v>
      </c>
      <c r="BH630" s="2" t="n">
        <v>0</v>
      </c>
      <c r="BI630" s="2" t="n">
        <v>0</v>
      </c>
      <c r="BJ630" s="2" t="n">
        <v>0</v>
      </c>
      <c r="BK630" s="2" t="n">
        <v>0</v>
      </c>
      <c r="BL630" s="2" t="n">
        <v>0</v>
      </c>
      <c r="BM630" s="2" t="n">
        <v>0</v>
      </c>
      <c r="BN630" s="2" t="n">
        <v>0</v>
      </c>
      <c r="BO630" s="2" t="n">
        <v>0</v>
      </c>
      <c r="BP630" s="2" t="n">
        <v>0</v>
      </c>
      <c r="BQ630" s="2" t="n">
        <v>0</v>
      </c>
      <c r="BR630" s="2" t="n">
        <v>0</v>
      </c>
      <c r="BS630" s="2" t="n">
        <v>0</v>
      </c>
      <c r="BT630" s="2" t="n">
        <v>0</v>
      </c>
      <c r="BU630" s="2" t="n">
        <v>0</v>
      </c>
      <c r="BV630" s="2" t="n">
        <v>0</v>
      </c>
      <c r="BW630" s="2" t="n">
        <v>0</v>
      </c>
      <c r="BX630" s="2" t="n">
        <v>0</v>
      </c>
      <c r="BY630" s="2" t="n">
        <v>0</v>
      </c>
      <c r="BZ630" s="2" t="n">
        <v>0</v>
      </c>
      <c r="CA630" s="2" t="n">
        <v>0</v>
      </c>
      <c r="CB630" s="2" t="n">
        <v>0</v>
      </c>
      <c r="CC630" s="2" t="n">
        <v>0.7</v>
      </c>
      <c r="CD630" s="2" t="n">
        <v>2.44</v>
      </c>
      <c r="CE630" s="2" t="n">
        <v>0</v>
      </c>
      <c r="CF630" s="2" t="n">
        <v>8.359999999999999</v>
      </c>
      <c r="CG630" s="2" t="n">
        <v>10.1</v>
      </c>
      <c r="CH630" s="2" t="n">
        <v>0</v>
      </c>
      <c r="CI630" s="2" t="n">
        <v>16.15</v>
      </c>
      <c r="CJ630" s="2" t="n">
        <v>17.93</v>
      </c>
      <c r="CK630" s="2" t="n">
        <v>0</v>
      </c>
      <c r="CL630" s="2" t="n">
        <v>24.38</v>
      </c>
      <c r="CM630" s="2" t="n">
        <v>26.18</v>
      </c>
      <c r="CN630" s="2" t="n">
        <v>0</v>
      </c>
      <c r="CO630" s="2" t="n">
        <v>32.57</v>
      </c>
      <c r="CP630" s="2" t="n">
        <v>34.36</v>
      </c>
      <c r="CQ630" s="2" t="n">
        <v>0</v>
      </c>
      <c r="CR630" s="2" t="n">
        <v>50.34</v>
      </c>
      <c r="CS630" s="2" t="n">
        <v>53.36</v>
      </c>
      <c r="CT630" s="2" t="n">
        <v>0</v>
      </c>
      <c r="CU630" s="2" t="n">
        <v>58.59</v>
      </c>
      <c r="CV630" s="2" t="n">
        <v>60.33</v>
      </c>
      <c r="CW630" s="2" t="n">
        <v>0</v>
      </c>
      <c r="CX630" s="2" t="n">
        <v>66.3</v>
      </c>
      <c r="CY630" s="2" t="n">
        <v>68.06999999999999</v>
      </c>
      <c r="CZ630" s="2" t="n">
        <v>0</v>
      </c>
      <c r="DA630" s="2" t="n">
        <v>74.81999999999999</v>
      </c>
      <c r="DB630" s="2" t="n">
        <v>76.56</v>
      </c>
      <c r="DC630" s="2" t="n">
        <v>0</v>
      </c>
      <c r="DD630" s="2" t="n">
        <v>82.83</v>
      </c>
      <c r="DE630" s="2" t="n">
        <v>84.56999999999999</v>
      </c>
      <c r="DF630" s="2" t="n">
        <v>0</v>
      </c>
      <c r="DG630" s="2" t="n">
        <v>89.09999999999999</v>
      </c>
      <c r="DH630" s="2" t="n">
        <v>90.87</v>
      </c>
      <c r="DI630" s="2" t="n">
        <v>0</v>
      </c>
      <c r="DJ630" s="2" t="n">
        <v>93.8</v>
      </c>
      <c r="DK630" s="2" t="n">
        <v>93.92</v>
      </c>
      <c r="DL630" s="2" t="n">
        <v>0</v>
      </c>
      <c r="DM630" s="2" t="n">
        <v>94.01000000000001</v>
      </c>
      <c r="DN630" s="2" t="n">
        <v>95.63</v>
      </c>
      <c r="DO630" s="2" t="n">
        <v>0</v>
      </c>
      <c r="DP630" s="2" t="n">
        <v>98.90000000000001</v>
      </c>
      <c r="DQ630" s="2" t="n">
        <v>99.91</v>
      </c>
      <c r="DR630" s="2" t="n">
        <v>0</v>
      </c>
      <c r="DS630" s="2" t="n">
        <v>99.95</v>
      </c>
      <c r="DT630" s="2" t="n">
        <v>100</v>
      </c>
      <c r="DU630" s="2" t="n">
        <v>0</v>
      </c>
      <c r="DV630" s="2" t="n">
        <v>100</v>
      </c>
      <c r="DW630" s="2" t="n">
        <v>100</v>
      </c>
      <c r="DX630" s="2" t="n">
        <v>0</v>
      </c>
      <c r="DY630" s="2" t="n">
        <v>100</v>
      </c>
      <c r="DZ630" s="2" t="n">
        <v>100</v>
      </c>
      <c r="EA630" s="2" t="n">
        <v>0</v>
      </c>
      <c r="EB630" s="2" t="n">
        <v>100</v>
      </c>
      <c r="EC630" s="2" t="n">
        <v>100</v>
      </c>
      <c r="ED630" s="2" t="n">
        <v>0</v>
      </c>
      <c r="EE630" s="2" t="n">
        <v>100</v>
      </c>
      <c r="EF630" s="2" t="n">
        <v>100</v>
      </c>
      <c r="EG630" s="2" t="n">
        <v>0</v>
      </c>
      <c r="EH630" s="2" t="n">
        <v>100</v>
      </c>
      <c r="EI630" s="2" t="n">
        <v>100</v>
      </c>
      <c r="EJ630" s="2" t="n">
        <v>0</v>
      </c>
      <c r="EK630" s="2" t="n">
        <v>100</v>
      </c>
      <c r="EL630" s="2" t="n">
        <v>100</v>
      </c>
      <c r="EM630" s="2" t="n">
        <v>0</v>
      </c>
      <c r="EN630" s="2" t="n">
        <v>100</v>
      </c>
      <c r="EO630" s="2" t="n">
        <v>100</v>
      </c>
      <c r="EP630" s="2" t="n">
        <v>0</v>
      </c>
      <c r="EQ630" s="2" t="n">
        <v>100</v>
      </c>
      <c r="ER630" s="2" t="n">
        <v>100</v>
      </c>
      <c r="ES630" s="2" t="n">
        <v>0</v>
      </c>
    </row>
    <row r="631">
      <c r="A631" s="2" t="n">
        <v>3</v>
      </c>
      <c r="B631" s="2" t="inlineStr">
        <is>
          <t>28.02.01</t>
        </is>
      </c>
      <c r="C631" s="2" t="inlineStr">
        <is>
          <t>Taliscamento de Pisos</t>
        </is>
      </c>
      <c r="D631" s="2" t="inlineStr">
        <is>
          <t>22/06/2027</t>
        </is>
      </c>
      <c r="E631" s="2" t="inlineStr">
        <is>
          <t>07/08/2028</t>
        </is>
      </c>
      <c r="F631" s="2" t="n">
        <v>9916.8284572512</v>
      </c>
      <c r="G631" s="2" t="n">
        <v>0</v>
      </c>
      <c r="H631" s="2" t="n">
        <v>9916.8284572512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  <c r="AM631" s="2" t="n">
        <v>0</v>
      </c>
      <c r="AN631" s="2" t="n">
        <v>0</v>
      </c>
      <c r="AO631" s="2" t="n">
        <v>0</v>
      </c>
      <c r="AP631" s="2" t="n">
        <v>0</v>
      </c>
      <c r="AQ631" s="2" t="n">
        <v>0</v>
      </c>
      <c r="AR631" s="2" t="n">
        <v>0</v>
      </c>
      <c r="AS631" s="2" t="n">
        <v>0</v>
      </c>
      <c r="AT631" s="2" t="n">
        <v>0</v>
      </c>
      <c r="AU631" s="2" t="n">
        <v>0</v>
      </c>
      <c r="AV631" s="2" t="n">
        <v>0</v>
      </c>
      <c r="AW631" s="2" t="n">
        <v>0</v>
      </c>
      <c r="AX631" s="2" t="n">
        <v>0</v>
      </c>
      <c r="AY631" s="2" t="n">
        <v>0</v>
      </c>
      <c r="AZ631" s="2" t="n">
        <v>0</v>
      </c>
      <c r="BA631" s="2" t="n">
        <v>0</v>
      </c>
      <c r="BB631" s="2" t="n">
        <v>0</v>
      </c>
      <c r="BC631" s="2" t="n">
        <v>0</v>
      </c>
      <c r="BD631" s="2" t="n">
        <v>0</v>
      </c>
      <c r="BE631" s="2" t="n">
        <v>0</v>
      </c>
      <c r="BF631" s="2" t="n">
        <v>0</v>
      </c>
      <c r="BG631" s="2" t="n">
        <v>0</v>
      </c>
      <c r="BH631" s="2" t="n">
        <v>0</v>
      </c>
      <c r="BI631" s="2" t="n">
        <v>0</v>
      </c>
      <c r="BJ631" s="2" t="n">
        <v>0</v>
      </c>
      <c r="BK631" s="2" t="n">
        <v>0</v>
      </c>
      <c r="BL631" s="2" t="n">
        <v>0</v>
      </c>
      <c r="BM631" s="2" t="n">
        <v>0</v>
      </c>
      <c r="BN631" s="2" t="n">
        <v>0</v>
      </c>
      <c r="BO631" s="2" t="n">
        <v>0</v>
      </c>
      <c r="BP631" s="2" t="n">
        <v>0</v>
      </c>
      <c r="BQ631" s="2" t="n">
        <v>0</v>
      </c>
      <c r="BR631" s="2" t="n">
        <v>0</v>
      </c>
      <c r="BS631" s="2" t="n">
        <v>0</v>
      </c>
      <c r="BT631" s="2" t="n">
        <v>0</v>
      </c>
      <c r="BU631" s="2" t="n">
        <v>0</v>
      </c>
      <c r="BV631" s="2" t="n">
        <v>0</v>
      </c>
      <c r="BW631" s="2" t="n">
        <v>0</v>
      </c>
      <c r="BX631" s="2" t="n">
        <v>0</v>
      </c>
      <c r="BY631" s="2" t="n">
        <v>0</v>
      </c>
      <c r="BZ631" s="2" t="n">
        <v>0</v>
      </c>
      <c r="CA631" s="2" t="n">
        <v>0</v>
      </c>
      <c r="CB631" s="2" t="n">
        <v>0</v>
      </c>
      <c r="CC631" s="2" t="n">
        <v>0.7</v>
      </c>
      <c r="CD631" s="2" t="n">
        <v>2.44</v>
      </c>
      <c r="CE631" s="2" t="n">
        <v>0</v>
      </c>
      <c r="CF631" s="2" t="n">
        <v>8.359999999999999</v>
      </c>
      <c r="CG631" s="2" t="n">
        <v>10.1</v>
      </c>
      <c r="CH631" s="2" t="n">
        <v>0</v>
      </c>
      <c r="CI631" s="2" t="n">
        <v>16.15</v>
      </c>
      <c r="CJ631" s="2" t="n">
        <v>17.93</v>
      </c>
      <c r="CK631" s="2" t="n">
        <v>0</v>
      </c>
      <c r="CL631" s="2" t="n">
        <v>24.38</v>
      </c>
      <c r="CM631" s="2" t="n">
        <v>26.18</v>
      </c>
      <c r="CN631" s="2" t="n">
        <v>0</v>
      </c>
      <c r="CO631" s="2" t="n">
        <v>32.57</v>
      </c>
      <c r="CP631" s="2" t="n">
        <v>34.36</v>
      </c>
      <c r="CQ631" s="2" t="n">
        <v>0</v>
      </c>
      <c r="CR631" s="2" t="n">
        <v>50.34</v>
      </c>
      <c r="CS631" s="2" t="n">
        <v>53.36</v>
      </c>
      <c r="CT631" s="2" t="n">
        <v>0</v>
      </c>
      <c r="CU631" s="2" t="n">
        <v>58.59</v>
      </c>
      <c r="CV631" s="2" t="n">
        <v>60.33</v>
      </c>
      <c r="CW631" s="2" t="n">
        <v>0</v>
      </c>
      <c r="CX631" s="2" t="n">
        <v>66.3</v>
      </c>
      <c r="CY631" s="2" t="n">
        <v>68.06999999999999</v>
      </c>
      <c r="CZ631" s="2" t="n">
        <v>0</v>
      </c>
      <c r="DA631" s="2" t="n">
        <v>74.81999999999999</v>
      </c>
      <c r="DB631" s="2" t="n">
        <v>76.56</v>
      </c>
      <c r="DC631" s="2" t="n">
        <v>0</v>
      </c>
      <c r="DD631" s="2" t="n">
        <v>82.83</v>
      </c>
      <c r="DE631" s="2" t="n">
        <v>84.56999999999999</v>
      </c>
      <c r="DF631" s="2" t="n">
        <v>0</v>
      </c>
      <c r="DG631" s="2" t="n">
        <v>89.09999999999999</v>
      </c>
      <c r="DH631" s="2" t="n">
        <v>90.87</v>
      </c>
      <c r="DI631" s="2" t="n">
        <v>0</v>
      </c>
      <c r="DJ631" s="2" t="n">
        <v>93.8</v>
      </c>
      <c r="DK631" s="2" t="n">
        <v>93.92</v>
      </c>
      <c r="DL631" s="2" t="n">
        <v>0</v>
      </c>
      <c r="DM631" s="2" t="n">
        <v>94.01000000000001</v>
      </c>
      <c r="DN631" s="2" t="n">
        <v>95.63</v>
      </c>
      <c r="DO631" s="2" t="n">
        <v>0</v>
      </c>
      <c r="DP631" s="2" t="n">
        <v>98.90000000000001</v>
      </c>
      <c r="DQ631" s="2" t="n">
        <v>99.91</v>
      </c>
      <c r="DR631" s="2" t="n">
        <v>0</v>
      </c>
      <c r="DS631" s="2" t="n">
        <v>99.95</v>
      </c>
      <c r="DT631" s="2" t="n">
        <v>100</v>
      </c>
      <c r="DU631" s="2" t="n">
        <v>0</v>
      </c>
      <c r="DV631" s="2" t="n">
        <v>100</v>
      </c>
      <c r="DW631" s="2" t="n">
        <v>100</v>
      </c>
      <c r="DX631" s="2" t="n">
        <v>0</v>
      </c>
      <c r="DY631" s="2" t="n">
        <v>100</v>
      </c>
      <c r="DZ631" s="2" t="n">
        <v>100</v>
      </c>
      <c r="EA631" s="2" t="n">
        <v>0</v>
      </c>
      <c r="EB631" s="2" t="n">
        <v>100</v>
      </c>
      <c r="EC631" s="2" t="n">
        <v>100</v>
      </c>
      <c r="ED631" s="2" t="n">
        <v>0</v>
      </c>
      <c r="EE631" s="2" t="n">
        <v>100</v>
      </c>
      <c r="EF631" s="2" t="n">
        <v>100</v>
      </c>
      <c r="EG631" s="2" t="n">
        <v>0</v>
      </c>
      <c r="EH631" s="2" t="n">
        <v>100</v>
      </c>
      <c r="EI631" s="2" t="n">
        <v>100</v>
      </c>
      <c r="EJ631" s="2" t="n">
        <v>0</v>
      </c>
      <c r="EK631" s="2" t="n">
        <v>100</v>
      </c>
      <c r="EL631" s="2" t="n">
        <v>100</v>
      </c>
      <c r="EM631" s="2" t="n">
        <v>0</v>
      </c>
      <c r="EN631" s="2" t="n">
        <v>100</v>
      </c>
      <c r="EO631" s="2" t="n">
        <v>100</v>
      </c>
      <c r="EP631" s="2" t="n">
        <v>0</v>
      </c>
      <c r="EQ631" s="2" t="n">
        <v>100</v>
      </c>
      <c r="ER631" s="2" t="n">
        <v>100</v>
      </c>
      <c r="ES631" s="2" t="n">
        <v>0</v>
      </c>
    </row>
    <row r="632">
      <c r="A632" s="2" t="n">
        <v>3</v>
      </c>
      <c r="B632" s="2" t="inlineStr">
        <is>
          <t>28.02.02</t>
        </is>
      </c>
      <c r="C632" s="2" t="inlineStr">
        <is>
          <t>Camada de regularização com argamassa de cimento e areia</t>
        </is>
      </c>
      <c r="D632" s="2" t="inlineStr">
        <is>
          <t>22/06/2027</t>
        </is>
      </c>
      <c r="E632" s="2" t="inlineStr">
        <is>
          <t>07/08/2028</t>
        </is>
      </c>
      <c r="F632" s="2" t="n">
        <v>98711.87342363609</v>
      </c>
      <c r="G632" s="2" t="n">
        <v>0</v>
      </c>
      <c r="H632" s="2" t="n">
        <v>98711.87342363609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0</v>
      </c>
      <c r="AM632" s="2" t="n">
        <v>0</v>
      </c>
      <c r="AN632" s="2" t="n">
        <v>0</v>
      </c>
      <c r="AO632" s="2" t="n">
        <v>0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0</v>
      </c>
      <c r="AX632" s="2" t="n">
        <v>0</v>
      </c>
      <c r="AY632" s="2" t="n">
        <v>0</v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n">
        <v>0</v>
      </c>
      <c r="BI632" s="2" t="n">
        <v>0</v>
      </c>
      <c r="BJ632" s="2" t="n">
        <v>0</v>
      </c>
      <c r="BK632" s="2" t="n">
        <v>0</v>
      </c>
      <c r="BL632" s="2" t="n">
        <v>0</v>
      </c>
      <c r="BM632" s="2" t="n">
        <v>0</v>
      </c>
      <c r="BN632" s="2" t="n">
        <v>0</v>
      </c>
      <c r="BO632" s="2" t="n">
        <v>0</v>
      </c>
      <c r="BP632" s="2" t="n">
        <v>0</v>
      </c>
      <c r="BQ632" s="2" t="n">
        <v>0</v>
      </c>
      <c r="BR632" s="2" t="n">
        <v>0</v>
      </c>
      <c r="BS632" s="2" t="n">
        <v>0</v>
      </c>
      <c r="BT632" s="2" t="n">
        <v>0</v>
      </c>
      <c r="BU632" s="2" t="n">
        <v>0</v>
      </c>
      <c r="BV632" s="2" t="n">
        <v>0</v>
      </c>
      <c r="BW632" s="2" t="n">
        <v>0</v>
      </c>
      <c r="BX632" s="2" t="n">
        <v>0</v>
      </c>
      <c r="BY632" s="2" t="n">
        <v>0</v>
      </c>
      <c r="BZ632" s="2" t="n">
        <v>0</v>
      </c>
      <c r="CA632" s="2" t="n">
        <v>0</v>
      </c>
      <c r="CB632" s="2" t="n">
        <v>0</v>
      </c>
      <c r="CC632" s="2" t="n">
        <v>0.7</v>
      </c>
      <c r="CD632" s="2" t="n">
        <v>2.44</v>
      </c>
      <c r="CE632" s="2" t="n">
        <v>0</v>
      </c>
      <c r="CF632" s="2" t="n">
        <v>8.359999999999999</v>
      </c>
      <c r="CG632" s="2" t="n">
        <v>10.1</v>
      </c>
      <c r="CH632" s="2" t="n">
        <v>0</v>
      </c>
      <c r="CI632" s="2" t="n">
        <v>16.15</v>
      </c>
      <c r="CJ632" s="2" t="n">
        <v>17.93</v>
      </c>
      <c r="CK632" s="2" t="n">
        <v>0</v>
      </c>
      <c r="CL632" s="2" t="n">
        <v>24.38</v>
      </c>
      <c r="CM632" s="2" t="n">
        <v>26.18</v>
      </c>
      <c r="CN632" s="2" t="n">
        <v>0</v>
      </c>
      <c r="CO632" s="2" t="n">
        <v>32.57</v>
      </c>
      <c r="CP632" s="2" t="n">
        <v>34.36</v>
      </c>
      <c r="CQ632" s="2" t="n">
        <v>0</v>
      </c>
      <c r="CR632" s="2" t="n">
        <v>50.34</v>
      </c>
      <c r="CS632" s="2" t="n">
        <v>53.36</v>
      </c>
      <c r="CT632" s="2" t="n">
        <v>0</v>
      </c>
      <c r="CU632" s="2" t="n">
        <v>58.59</v>
      </c>
      <c r="CV632" s="2" t="n">
        <v>60.33</v>
      </c>
      <c r="CW632" s="2" t="n">
        <v>0</v>
      </c>
      <c r="CX632" s="2" t="n">
        <v>66.3</v>
      </c>
      <c r="CY632" s="2" t="n">
        <v>68.06999999999999</v>
      </c>
      <c r="CZ632" s="2" t="n">
        <v>0</v>
      </c>
      <c r="DA632" s="2" t="n">
        <v>74.81999999999999</v>
      </c>
      <c r="DB632" s="2" t="n">
        <v>76.56</v>
      </c>
      <c r="DC632" s="2" t="n">
        <v>0</v>
      </c>
      <c r="DD632" s="2" t="n">
        <v>82.83</v>
      </c>
      <c r="DE632" s="2" t="n">
        <v>84.56999999999999</v>
      </c>
      <c r="DF632" s="2" t="n">
        <v>0</v>
      </c>
      <c r="DG632" s="2" t="n">
        <v>89.09999999999999</v>
      </c>
      <c r="DH632" s="2" t="n">
        <v>90.87</v>
      </c>
      <c r="DI632" s="2" t="n">
        <v>0</v>
      </c>
      <c r="DJ632" s="2" t="n">
        <v>93.8</v>
      </c>
      <c r="DK632" s="2" t="n">
        <v>93.92</v>
      </c>
      <c r="DL632" s="2" t="n">
        <v>0</v>
      </c>
      <c r="DM632" s="2" t="n">
        <v>94.01000000000001</v>
      </c>
      <c r="DN632" s="2" t="n">
        <v>95.63</v>
      </c>
      <c r="DO632" s="2" t="n">
        <v>0</v>
      </c>
      <c r="DP632" s="2" t="n">
        <v>98.90000000000001</v>
      </c>
      <c r="DQ632" s="2" t="n">
        <v>99.91</v>
      </c>
      <c r="DR632" s="2" t="n">
        <v>0</v>
      </c>
      <c r="DS632" s="2" t="n">
        <v>99.95</v>
      </c>
      <c r="DT632" s="2" t="n">
        <v>100</v>
      </c>
      <c r="DU632" s="2" t="n">
        <v>0</v>
      </c>
      <c r="DV632" s="2" t="n">
        <v>100</v>
      </c>
      <c r="DW632" s="2" t="n">
        <v>100</v>
      </c>
      <c r="DX632" s="2" t="n">
        <v>0</v>
      </c>
      <c r="DY632" s="2" t="n">
        <v>100</v>
      </c>
      <c r="DZ632" s="2" t="n">
        <v>100</v>
      </c>
      <c r="EA632" s="2" t="n">
        <v>0</v>
      </c>
      <c r="EB632" s="2" t="n">
        <v>100</v>
      </c>
      <c r="EC632" s="2" t="n">
        <v>100</v>
      </c>
      <c r="ED632" s="2" t="n">
        <v>0</v>
      </c>
      <c r="EE632" s="2" t="n">
        <v>100</v>
      </c>
      <c r="EF632" s="2" t="n">
        <v>100</v>
      </c>
      <c r="EG632" s="2" t="n">
        <v>0</v>
      </c>
      <c r="EH632" s="2" t="n">
        <v>100</v>
      </c>
      <c r="EI632" s="2" t="n">
        <v>100</v>
      </c>
      <c r="EJ632" s="2" t="n">
        <v>0</v>
      </c>
      <c r="EK632" s="2" t="n">
        <v>100</v>
      </c>
      <c r="EL632" s="2" t="n">
        <v>100</v>
      </c>
      <c r="EM632" s="2" t="n">
        <v>0</v>
      </c>
      <c r="EN632" s="2" t="n">
        <v>100</v>
      </c>
      <c r="EO632" s="2" t="n">
        <v>100</v>
      </c>
      <c r="EP632" s="2" t="n">
        <v>0</v>
      </c>
      <c r="EQ632" s="2" t="n">
        <v>100</v>
      </c>
      <c r="ER632" s="2" t="n">
        <v>100</v>
      </c>
      <c r="ES632" s="2" t="n">
        <v>0</v>
      </c>
    </row>
    <row r="633">
      <c r="A633" s="2" t="n">
        <v>1</v>
      </c>
      <c r="B633" s="2" t="inlineStr">
        <is>
          <t>29</t>
        </is>
      </c>
      <c r="C633" s="2" t="inlineStr">
        <is>
          <t>REVESTIMENTOS DE MASSA EM PAREDES</t>
        </is>
      </c>
      <c r="D633" s="2" t="inlineStr">
        <is>
          <t>16/04/2027</t>
        </is>
      </c>
      <c r="E633" s="2" t="inlineStr">
        <is>
          <t>21/06/2028</t>
        </is>
      </c>
      <c r="F633" s="2" t="n">
        <v>2518191.191567985</v>
      </c>
      <c r="G633" s="2" t="n">
        <v>0</v>
      </c>
      <c r="H633" s="2" t="n">
        <v>2518191.191567985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  <c r="AN633" s="2" t="n">
        <v>0</v>
      </c>
      <c r="AO633" s="2" t="n">
        <v>0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n">
        <v>0</v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n">
        <v>0</v>
      </c>
      <c r="BI633" s="2" t="n">
        <v>0</v>
      </c>
      <c r="BJ633" s="2" t="n">
        <v>0</v>
      </c>
      <c r="BK633" s="2" t="n">
        <v>0</v>
      </c>
      <c r="BL633" s="2" t="n">
        <v>0</v>
      </c>
      <c r="BM633" s="2" t="n">
        <v>0</v>
      </c>
      <c r="BN633" s="2" t="n">
        <v>0</v>
      </c>
      <c r="BO633" s="2" t="n">
        <v>0</v>
      </c>
      <c r="BP633" s="2" t="n">
        <v>0</v>
      </c>
      <c r="BQ633" s="2" t="n">
        <v>0</v>
      </c>
      <c r="BR633" s="2" t="n">
        <v>0</v>
      </c>
      <c r="BS633" s="2" t="n">
        <v>0</v>
      </c>
      <c r="BT633" s="2" t="n">
        <v>0</v>
      </c>
      <c r="BU633" s="2" t="n">
        <v>0</v>
      </c>
      <c r="BV633" s="2" t="n">
        <v>0</v>
      </c>
      <c r="BW633" s="2" t="n">
        <v>0.12</v>
      </c>
      <c r="BX633" s="2" t="n">
        <v>0.23</v>
      </c>
      <c r="BY633" s="2" t="n">
        <v>0</v>
      </c>
      <c r="BZ633" s="2" t="n">
        <v>0.58</v>
      </c>
      <c r="CA633" s="2" t="n">
        <v>1.42</v>
      </c>
      <c r="CB633" s="2" t="n">
        <v>0</v>
      </c>
      <c r="CC633" s="2" t="n">
        <v>6.67</v>
      </c>
      <c r="CD633" s="2" t="n">
        <v>8.619999999999999</v>
      </c>
      <c r="CE633" s="2" t="n">
        <v>0</v>
      </c>
      <c r="CF633" s="2" t="n">
        <v>13.16</v>
      </c>
      <c r="CG633" s="2" t="n">
        <v>14.49</v>
      </c>
      <c r="CH633" s="2" t="n">
        <v>0</v>
      </c>
      <c r="CI633" s="2" t="n">
        <v>19.43</v>
      </c>
      <c r="CJ633" s="2" t="n">
        <v>23.54</v>
      </c>
      <c r="CK633" s="2" t="n">
        <v>0</v>
      </c>
      <c r="CL633" s="2" t="n">
        <v>36.62</v>
      </c>
      <c r="CM633" s="2" t="n">
        <v>40.97</v>
      </c>
      <c r="CN633" s="2" t="n">
        <v>0</v>
      </c>
      <c r="CO633" s="2" t="n">
        <v>46.07</v>
      </c>
      <c r="CP633" s="2" t="n">
        <v>50.56</v>
      </c>
      <c r="CQ633" s="2" t="n">
        <v>0</v>
      </c>
      <c r="CR633" s="2" t="n">
        <v>54.93</v>
      </c>
      <c r="CS633" s="2" t="n">
        <v>58.85</v>
      </c>
      <c r="CT633" s="2" t="n">
        <v>0</v>
      </c>
      <c r="CU633" s="2" t="n">
        <v>61.41</v>
      </c>
      <c r="CV633" s="2" t="n">
        <v>65.45</v>
      </c>
      <c r="CW633" s="2" t="n">
        <v>0</v>
      </c>
      <c r="CX633" s="2" t="n">
        <v>70.68000000000001</v>
      </c>
      <c r="CY633" s="2" t="n">
        <v>75.03</v>
      </c>
      <c r="CZ633" s="2" t="n">
        <v>0</v>
      </c>
      <c r="DA633" s="2" t="n">
        <v>79.54000000000001</v>
      </c>
      <c r="DB633" s="2" t="n">
        <v>83.45999999999999</v>
      </c>
      <c r="DC633" s="2" t="n">
        <v>0</v>
      </c>
      <c r="DD633" s="2" t="n">
        <v>88.27</v>
      </c>
      <c r="DE633" s="2" t="n">
        <v>92.18000000000001</v>
      </c>
      <c r="DF633" s="2" t="n">
        <v>0</v>
      </c>
      <c r="DG633" s="2" t="n">
        <v>93.23</v>
      </c>
      <c r="DH633" s="2" t="n">
        <v>96.15000000000001</v>
      </c>
      <c r="DI633" s="2" t="n">
        <v>0</v>
      </c>
      <c r="DJ633" s="2" t="n">
        <v>96.37</v>
      </c>
      <c r="DK633" s="2" t="n">
        <v>97.59999999999999</v>
      </c>
      <c r="DL633" s="2" t="n">
        <v>0</v>
      </c>
      <c r="DM633" s="2" t="n">
        <v>99.92</v>
      </c>
      <c r="DN633" s="2" t="n">
        <v>100</v>
      </c>
      <c r="DO633" s="2" t="n">
        <v>0</v>
      </c>
      <c r="DP633" s="2" t="n">
        <v>100</v>
      </c>
      <c r="DQ633" s="2" t="n">
        <v>100</v>
      </c>
      <c r="DR633" s="2" t="n">
        <v>0</v>
      </c>
      <c r="DS633" s="2" t="n">
        <v>100</v>
      </c>
      <c r="DT633" s="2" t="n">
        <v>100</v>
      </c>
      <c r="DU633" s="2" t="n">
        <v>0</v>
      </c>
      <c r="DV633" s="2" t="n">
        <v>100</v>
      </c>
      <c r="DW633" s="2" t="n">
        <v>100</v>
      </c>
      <c r="DX633" s="2" t="n">
        <v>0</v>
      </c>
      <c r="DY633" s="2" t="n">
        <v>100</v>
      </c>
      <c r="DZ633" s="2" t="n">
        <v>100</v>
      </c>
      <c r="EA633" s="2" t="n">
        <v>0</v>
      </c>
      <c r="EB633" s="2" t="n">
        <v>100</v>
      </c>
      <c r="EC633" s="2" t="n">
        <v>100</v>
      </c>
      <c r="ED633" s="2" t="n">
        <v>0</v>
      </c>
      <c r="EE633" s="2" t="n">
        <v>100</v>
      </c>
      <c r="EF633" s="2" t="n">
        <v>100</v>
      </c>
      <c r="EG633" s="2" t="n">
        <v>0</v>
      </c>
      <c r="EH633" s="2" t="n">
        <v>100</v>
      </c>
      <c r="EI633" s="2" t="n">
        <v>100</v>
      </c>
      <c r="EJ633" s="2" t="n">
        <v>0</v>
      </c>
      <c r="EK633" s="2" t="n">
        <v>100</v>
      </c>
      <c r="EL633" s="2" t="n">
        <v>100</v>
      </c>
      <c r="EM633" s="2" t="n">
        <v>0</v>
      </c>
      <c r="EN633" s="2" t="n">
        <v>100</v>
      </c>
      <c r="EO633" s="2" t="n">
        <v>100</v>
      </c>
      <c r="EP633" s="2" t="n">
        <v>0</v>
      </c>
      <c r="EQ633" s="2" t="n">
        <v>100</v>
      </c>
      <c r="ER633" s="2" t="n">
        <v>100</v>
      </c>
      <c r="ES633" s="2" t="n">
        <v>0</v>
      </c>
    </row>
    <row r="634">
      <c r="A634" s="2" t="n">
        <v>2</v>
      </c>
      <c r="B634" s="2" t="inlineStr">
        <is>
          <t>29.01</t>
        </is>
      </c>
      <c r="C634" s="2" t="inlineStr">
        <is>
          <t>Revestimentos Internos</t>
        </is>
      </c>
      <c r="D634" s="2" t="inlineStr">
        <is>
          <t>16/04/2027</t>
        </is>
      </c>
      <c r="E634" s="2" t="inlineStr">
        <is>
          <t>21/06/2028</t>
        </is>
      </c>
      <c r="F634" s="2" t="n">
        <v>2518191.191567985</v>
      </c>
      <c r="G634" s="2" t="n">
        <v>0</v>
      </c>
      <c r="H634" s="2" t="n">
        <v>2518191.191567985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  <c r="AN634" s="2" t="n">
        <v>0</v>
      </c>
      <c r="AO634" s="2" t="n">
        <v>0</v>
      </c>
      <c r="AP634" s="2" t="n">
        <v>0</v>
      </c>
      <c r="AQ634" s="2" t="n">
        <v>0</v>
      </c>
      <c r="AR634" s="2" t="n">
        <v>0</v>
      </c>
      <c r="AS634" s="2" t="n">
        <v>0</v>
      </c>
      <c r="AT634" s="2" t="n">
        <v>0</v>
      </c>
      <c r="AU634" s="2" t="n">
        <v>0</v>
      </c>
      <c r="AV634" s="2" t="n">
        <v>0</v>
      </c>
      <c r="AW634" s="2" t="n">
        <v>0</v>
      </c>
      <c r="AX634" s="2" t="n">
        <v>0</v>
      </c>
      <c r="AY634" s="2" t="n">
        <v>0</v>
      </c>
      <c r="AZ634" s="2" t="n">
        <v>0</v>
      </c>
      <c r="BA634" s="2" t="n">
        <v>0</v>
      </c>
      <c r="BB634" s="2" t="n">
        <v>0</v>
      </c>
      <c r="BC634" s="2" t="n">
        <v>0</v>
      </c>
      <c r="BD634" s="2" t="n">
        <v>0</v>
      </c>
      <c r="BE634" s="2" t="n">
        <v>0</v>
      </c>
      <c r="BF634" s="2" t="n">
        <v>0</v>
      </c>
      <c r="BG634" s="2" t="n">
        <v>0</v>
      </c>
      <c r="BH634" s="2" t="n">
        <v>0</v>
      </c>
      <c r="BI634" s="2" t="n">
        <v>0</v>
      </c>
      <c r="BJ634" s="2" t="n">
        <v>0</v>
      </c>
      <c r="BK634" s="2" t="n">
        <v>0</v>
      </c>
      <c r="BL634" s="2" t="n">
        <v>0</v>
      </c>
      <c r="BM634" s="2" t="n">
        <v>0</v>
      </c>
      <c r="BN634" s="2" t="n">
        <v>0</v>
      </c>
      <c r="BO634" s="2" t="n">
        <v>0</v>
      </c>
      <c r="BP634" s="2" t="n">
        <v>0</v>
      </c>
      <c r="BQ634" s="2" t="n">
        <v>0</v>
      </c>
      <c r="BR634" s="2" t="n">
        <v>0</v>
      </c>
      <c r="BS634" s="2" t="n">
        <v>0</v>
      </c>
      <c r="BT634" s="2" t="n">
        <v>0</v>
      </c>
      <c r="BU634" s="2" t="n">
        <v>0</v>
      </c>
      <c r="BV634" s="2" t="n">
        <v>0</v>
      </c>
      <c r="BW634" s="2" t="n">
        <v>0.12</v>
      </c>
      <c r="BX634" s="2" t="n">
        <v>0.23</v>
      </c>
      <c r="BY634" s="2" t="n">
        <v>0</v>
      </c>
      <c r="BZ634" s="2" t="n">
        <v>0.58</v>
      </c>
      <c r="CA634" s="2" t="n">
        <v>1.42</v>
      </c>
      <c r="CB634" s="2" t="n">
        <v>0</v>
      </c>
      <c r="CC634" s="2" t="n">
        <v>6.67</v>
      </c>
      <c r="CD634" s="2" t="n">
        <v>8.619999999999999</v>
      </c>
      <c r="CE634" s="2" t="n">
        <v>0</v>
      </c>
      <c r="CF634" s="2" t="n">
        <v>13.16</v>
      </c>
      <c r="CG634" s="2" t="n">
        <v>14.49</v>
      </c>
      <c r="CH634" s="2" t="n">
        <v>0</v>
      </c>
      <c r="CI634" s="2" t="n">
        <v>19.43</v>
      </c>
      <c r="CJ634" s="2" t="n">
        <v>23.54</v>
      </c>
      <c r="CK634" s="2" t="n">
        <v>0</v>
      </c>
      <c r="CL634" s="2" t="n">
        <v>36.62</v>
      </c>
      <c r="CM634" s="2" t="n">
        <v>40.97</v>
      </c>
      <c r="CN634" s="2" t="n">
        <v>0</v>
      </c>
      <c r="CO634" s="2" t="n">
        <v>46.07</v>
      </c>
      <c r="CP634" s="2" t="n">
        <v>50.56</v>
      </c>
      <c r="CQ634" s="2" t="n">
        <v>0</v>
      </c>
      <c r="CR634" s="2" t="n">
        <v>54.93</v>
      </c>
      <c r="CS634" s="2" t="n">
        <v>58.85</v>
      </c>
      <c r="CT634" s="2" t="n">
        <v>0</v>
      </c>
      <c r="CU634" s="2" t="n">
        <v>61.41</v>
      </c>
      <c r="CV634" s="2" t="n">
        <v>65.45</v>
      </c>
      <c r="CW634" s="2" t="n">
        <v>0</v>
      </c>
      <c r="CX634" s="2" t="n">
        <v>70.68000000000001</v>
      </c>
      <c r="CY634" s="2" t="n">
        <v>75.03</v>
      </c>
      <c r="CZ634" s="2" t="n">
        <v>0</v>
      </c>
      <c r="DA634" s="2" t="n">
        <v>79.54000000000001</v>
      </c>
      <c r="DB634" s="2" t="n">
        <v>83.45999999999999</v>
      </c>
      <c r="DC634" s="2" t="n">
        <v>0</v>
      </c>
      <c r="DD634" s="2" t="n">
        <v>88.27</v>
      </c>
      <c r="DE634" s="2" t="n">
        <v>92.18000000000001</v>
      </c>
      <c r="DF634" s="2" t="n">
        <v>0</v>
      </c>
      <c r="DG634" s="2" t="n">
        <v>93.23</v>
      </c>
      <c r="DH634" s="2" t="n">
        <v>96.15000000000001</v>
      </c>
      <c r="DI634" s="2" t="n">
        <v>0</v>
      </c>
      <c r="DJ634" s="2" t="n">
        <v>96.37</v>
      </c>
      <c r="DK634" s="2" t="n">
        <v>97.59999999999999</v>
      </c>
      <c r="DL634" s="2" t="n">
        <v>0</v>
      </c>
      <c r="DM634" s="2" t="n">
        <v>99.92</v>
      </c>
      <c r="DN634" s="2" t="n">
        <v>100</v>
      </c>
      <c r="DO634" s="2" t="n">
        <v>0</v>
      </c>
      <c r="DP634" s="2" t="n">
        <v>100</v>
      </c>
      <c r="DQ634" s="2" t="n">
        <v>100</v>
      </c>
      <c r="DR634" s="2" t="n">
        <v>0</v>
      </c>
      <c r="DS634" s="2" t="n">
        <v>100</v>
      </c>
      <c r="DT634" s="2" t="n">
        <v>100</v>
      </c>
      <c r="DU634" s="2" t="n">
        <v>0</v>
      </c>
      <c r="DV634" s="2" t="n">
        <v>100</v>
      </c>
      <c r="DW634" s="2" t="n">
        <v>100</v>
      </c>
      <c r="DX634" s="2" t="n">
        <v>0</v>
      </c>
      <c r="DY634" s="2" t="n">
        <v>100</v>
      </c>
      <c r="DZ634" s="2" t="n">
        <v>100</v>
      </c>
      <c r="EA634" s="2" t="n">
        <v>0</v>
      </c>
      <c r="EB634" s="2" t="n">
        <v>100</v>
      </c>
      <c r="EC634" s="2" t="n">
        <v>100</v>
      </c>
      <c r="ED634" s="2" t="n">
        <v>0</v>
      </c>
      <c r="EE634" s="2" t="n">
        <v>100</v>
      </c>
      <c r="EF634" s="2" t="n">
        <v>100</v>
      </c>
      <c r="EG634" s="2" t="n">
        <v>0</v>
      </c>
      <c r="EH634" s="2" t="n">
        <v>100</v>
      </c>
      <c r="EI634" s="2" t="n">
        <v>100</v>
      </c>
      <c r="EJ634" s="2" t="n">
        <v>0</v>
      </c>
      <c r="EK634" s="2" t="n">
        <v>100</v>
      </c>
      <c r="EL634" s="2" t="n">
        <v>100</v>
      </c>
      <c r="EM634" s="2" t="n">
        <v>0</v>
      </c>
      <c r="EN634" s="2" t="n">
        <v>100</v>
      </c>
      <c r="EO634" s="2" t="n">
        <v>100</v>
      </c>
      <c r="EP634" s="2" t="n">
        <v>0</v>
      </c>
      <c r="EQ634" s="2" t="n">
        <v>100</v>
      </c>
      <c r="ER634" s="2" t="n">
        <v>100</v>
      </c>
      <c r="ES634" s="2" t="n">
        <v>0</v>
      </c>
    </row>
    <row r="635">
      <c r="A635" s="2" t="n">
        <v>3</v>
      </c>
      <c r="B635" s="2" t="inlineStr">
        <is>
          <t>29.01.01</t>
        </is>
      </c>
      <c r="C635" s="2" t="inlineStr">
        <is>
          <t>Taliscamento de Parede</t>
        </is>
      </c>
      <c r="D635" s="2" t="inlineStr">
        <is>
          <t>16/04/2027</t>
        </is>
      </c>
      <c r="E635" s="2" t="inlineStr">
        <is>
          <t>09/05/2028</t>
        </is>
      </c>
      <c r="F635" s="2" t="n">
        <v>217501.6993709106</v>
      </c>
      <c r="G635" s="2" t="n">
        <v>0</v>
      </c>
      <c r="H635" s="2" t="n">
        <v>217501.6993709106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  <c r="AM635" s="2" t="n">
        <v>0</v>
      </c>
      <c r="AN635" s="2" t="n">
        <v>0</v>
      </c>
      <c r="AO635" s="2" t="n">
        <v>0</v>
      </c>
      <c r="AP635" s="2" t="n">
        <v>0</v>
      </c>
      <c r="AQ635" s="2" t="n">
        <v>0</v>
      </c>
      <c r="AR635" s="2" t="n">
        <v>0</v>
      </c>
      <c r="AS635" s="2" t="n">
        <v>0</v>
      </c>
      <c r="AT635" s="2" t="n">
        <v>0</v>
      </c>
      <c r="AU635" s="2" t="n">
        <v>0</v>
      </c>
      <c r="AV635" s="2" t="n">
        <v>0</v>
      </c>
      <c r="AW635" s="2" t="n">
        <v>0</v>
      </c>
      <c r="AX635" s="2" t="n">
        <v>0</v>
      </c>
      <c r="AY635" s="2" t="n">
        <v>0</v>
      </c>
      <c r="AZ635" s="2" t="n">
        <v>0</v>
      </c>
      <c r="BA635" s="2" t="n">
        <v>0</v>
      </c>
      <c r="BB635" s="2" t="n">
        <v>0</v>
      </c>
      <c r="BC635" s="2" t="n">
        <v>0</v>
      </c>
      <c r="BD635" s="2" t="n">
        <v>0</v>
      </c>
      <c r="BE635" s="2" t="n">
        <v>0</v>
      </c>
      <c r="BF635" s="2" t="n">
        <v>0</v>
      </c>
      <c r="BG635" s="2" t="n">
        <v>0</v>
      </c>
      <c r="BH635" s="2" t="n">
        <v>0</v>
      </c>
      <c r="BI635" s="2" t="n">
        <v>0</v>
      </c>
      <c r="BJ635" s="2" t="n">
        <v>0</v>
      </c>
      <c r="BK635" s="2" t="n">
        <v>0</v>
      </c>
      <c r="BL635" s="2" t="n">
        <v>0</v>
      </c>
      <c r="BM635" s="2" t="n">
        <v>0</v>
      </c>
      <c r="BN635" s="2" t="n">
        <v>0</v>
      </c>
      <c r="BO635" s="2" t="n">
        <v>0</v>
      </c>
      <c r="BP635" s="2" t="n">
        <v>0</v>
      </c>
      <c r="BQ635" s="2" t="n">
        <v>0</v>
      </c>
      <c r="BR635" s="2" t="n">
        <v>0</v>
      </c>
      <c r="BS635" s="2" t="n">
        <v>0</v>
      </c>
      <c r="BT635" s="2" t="n">
        <v>0</v>
      </c>
      <c r="BU635" s="2" t="n">
        <v>0</v>
      </c>
      <c r="BV635" s="2" t="n">
        <v>0</v>
      </c>
      <c r="BW635" s="2" t="n">
        <v>1.33</v>
      </c>
      <c r="BX635" s="2" t="n">
        <v>2.67</v>
      </c>
      <c r="BY635" s="2" t="n">
        <v>0</v>
      </c>
      <c r="BZ635" s="2" t="n">
        <v>6.67</v>
      </c>
      <c r="CA635" s="2" t="n">
        <v>8.01</v>
      </c>
      <c r="CB635" s="2" t="n">
        <v>0</v>
      </c>
      <c r="CC635" s="2" t="n">
        <v>21.14</v>
      </c>
      <c r="CD635" s="2" t="n">
        <v>29.72</v>
      </c>
      <c r="CE635" s="2" t="n">
        <v>0</v>
      </c>
      <c r="CF635" s="2" t="n">
        <v>34.6</v>
      </c>
      <c r="CG635" s="2" t="n">
        <v>35.96</v>
      </c>
      <c r="CH635" s="2" t="n">
        <v>0</v>
      </c>
      <c r="CI635" s="2" t="n">
        <v>41.37</v>
      </c>
      <c r="CJ635" s="2" t="n">
        <v>49.05</v>
      </c>
      <c r="CK635" s="2" t="n">
        <v>0</v>
      </c>
      <c r="CL635" s="2" t="n">
        <v>54.13</v>
      </c>
      <c r="CM635" s="2" t="n">
        <v>55.5</v>
      </c>
      <c r="CN635" s="2" t="n">
        <v>0</v>
      </c>
      <c r="CO635" s="2" t="n">
        <v>59.89</v>
      </c>
      <c r="CP635" s="2" t="n">
        <v>67.52</v>
      </c>
      <c r="CQ635" s="2" t="n">
        <v>0</v>
      </c>
      <c r="CR635" s="2" t="n">
        <v>71.90000000000001</v>
      </c>
      <c r="CS635" s="2" t="n">
        <v>73.26000000000001</v>
      </c>
      <c r="CT635" s="2" t="n">
        <v>0</v>
      </c>
      <c r="CU635" s="2" t="n">
        <v>77.02</v>
      </c>
      <c r="CV635" s="2" t="n">
        <v>79.62</v>
      </c>
      <c r="CW635" s="2" t="n">
        <v>0</v>
      </c>
      <c r="CX635" s="2" t="n">
        <v>84.52</v>
      </c>
      <c r="CY635" s="2" t="n">
        <v>90.26000000000001</v>
      </c>
      <c r="CZ635" s="2" t="n">
        <v>0</v>
      </c>
      <c r="DA635" s="2" t="n">
        <v>94.36</v>
      </c>
      <c r="DB635" s="2" t="n">
        <v>95.72</v>
      </c>
      <c r="DC635" s="2" t="n">
        <v>0</v>
      </c>
      <c r="DD635" s="2" t="n">
        <v>96.45999999999999</v>
      </c>
      <c r="DE635" s="2" t="n">
        <v>96.84999999999999</v>
      </c>
      <c r="DF635" s="2" t="n">
        <v>0</v>
      </c>
      <c r="DG635" s="2" t="n">
        <v>96.79000000000001</v>
      </c>
      <c r="DH635" s="2" t="n">
        <v>98.40000000000001</v>
      </c>
      <c r="DI635" s="2" t="n">
        <v>0</v>
      </c>
      <c r="DJ635" s="2" t="n">
        <v>100</v>
      </c>
      <c r="DK635" s="2" t="n">
        <v>100</v>
      </c>
      <c r="DL635" s="2" t="n">
        <v>0</v>
      </c>
      <c r="DM635" s="2" t="n">
        <v>100</v>
      </c>
      <c r="DN635" s="2" t="n">
        <v>100</v>
      </c>
      <c r="DO635" s="2" t="n">
        <v>0</v>
      </c>
      <c r="DP635" s="2" t="n">
        <v>100</v>
      </c>
      <c r="DQ635" s="2" t="n">
        <v>100</v>
      </c>
      <c r="DR635" s="2" t="n">
        <v>0</v>
      </c>
      <c r="DS635" s="2" t="n">
        <v>100</v>
      </c>
      <c r="DT635" s="2" t="n">
        <v>100</v>
      </c>
      <c r="DU635" s="2" t="n">
        <v>0</v>
      </c>
      <c r="DV635" s="2" t="n">
        <v>100</v>
      </c>
      <c r="DW635" s="2" t="n">
        <v>100</v>
      </c>
      <c r="DX635" s="2" t="n">
        <v>0</v>
      </c>
      <c r="DY635" s="2" t="n">
        <v>100</v>
      </c>
      <c r="DZ635" s="2" t="n">
        <v>100</v>
      </c>
      <c r="EA635" s="2" t="n">
        <v>0</v>
      </c>
      <c r="EB635" s="2" t="n">
        <v>100</v>
      </c>
      <c r="EC635" s="2" t="n">
        <v>100</v>
      </c>
      <c r="ED635" s="2" t="n">
        <v>0</v>
      </c>
      <c r="EE635" s="2" t="n">
        <v>100</v>
      </c>
      <c r="EF635" s="2" t="n">
        <v>100</v>
      </c>
      <c r="EG635" s="2" t="n">
        <v>0</v>
      </c>
      <c r="EH635" s="2" t="n">
        <v>100</v>
      </c>
      <c r="EI635" s="2" t="n">
        <v>100</v>
      </c>
      <c r="EJ635" s="2" t="n">
        <v>0</v>
      </c>
      <c r="EK635" s="2" t="n">
        <v>100</v>
      </c>
      <c r="EL635" s="2" t="n">
        <v>100</v>
      </c>
      <c r="EM635" s="2" t="n">
        <v>0</v>
      </c>
      <c r="EN635" s="2" t="n">
        <v>100</v>
      </c>
      <c r="EO635" s="2" t="n">
        <v>100</v>
      </c>
      <c r="EP635" s="2" t="n">
        <v>0</v>
      </c>
      <c r="EQ635" s="2" t="n">
        <v>100</v>
      </c>
      <c r="ER635" s="2" t="n">
        <v>100</v>
      </c>
      <c r="ES635" s="2" t="n">
        <v>0</v>
      </c>
    </row>
    <row r="636">
      <c r="A636" s="2" t="n">
        <v>3</v>
      </c>
      <c r="B636" s="2" t="inlineStr">
        <is>
          <t>29.01.02</t>
        </is>
      </c>
      <c r="C636" s="2" t="inlineStr">
        <is>
          <t>Chapisco</t>
        </is>
      </c>
      <c r="D636" s="2" t="inlineStr">
        <is>
          <t>26/05/2027</t>
        </is>
      </c>
      <c r="E636" s="2" t="inlineStr">
        <is>
          <t>21/06/2028</t>
        </is>
      </c>
      <c r="F636" s="2" t="n">
        <v>314651.9661635658</v>
      </c>
      <c r="G636" s="2" t="n">
        <v>0</v>
      </c>
      <c r="H636" s="2" t="n">
        <v>314651.9661635658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  <c r="AN636" s="2" t="n">
        <v>0</v>
      </c>
      <c r="AO636" s="2" t="n">
        <v>0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n">
        <v>0</v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n">
        <v>0</v>
      </c>
      <c r="BI636" s="2" t="n">
        <v>0</v>
      </c>
      <c r="BJ636" s="2" t="n">
        <v>0</v>
      </c>
      <c r="BK636" s="2" t="n">
        <v>0</v>
      </c>
      <c r="BL636" s="2" t="n">
        <v>0</v>
      </c>
      <c r="BM636" s="2" t="n">
        <v>0</v>
      </c>
      <c r="BN636" s="2" t="n">
        <v>0</v>
      </c>
      <c r="BO636" s="2" t="n">
        <v>0</v>
      </c>
      <c r="BP636" s="2" t="n">
        <v>0</v>
      </c>
      <c r="BQ636" s="2" t="n">
        <v>0</v>
      </c>
      <c r="BR636" s="2" t="n">
        <v>0</v>
      </c>
      <c r="BS636" s="2" t="n">
        <v>0</v>
      </c>
      <c r="BT636" s="2" t="n">
        <v>0</v>
      </c>
      <c r="BU636" s="2" t="n">
        <v>0</v>
      </c>
      <c r="BV636" s="2" t="n">
        <v>0</v>
      </c>
      <c r="BW636" s="2" t="n">
        <v>0</v>
      </c>
      <c r="BX636" s="2" t="n">
        <v>0</v>
      </c>
      <c r="BY636" s="2" t="n">
        <v>0</v>
      </c>
      <c r="BZ636" s="2" t="n">
        <v>0</v>
      </c>
      <c r="CA636" s="2" t="n">
        <v>0.79</v>
      </c>
      <c r="CB636" s="2" t="n">
        <v>0</v>
      </c>
      <c r="CC636" s="2" t="n">
        <v>5.3</v>
      </c>
      <c r="CD636" s="2" t="n">
        <v>6.63</v>
      </c>
      <c r="CE636" s="2" t="n">
        <v>0</v>
      </c>
      <c r="CF636" s="2" t="n">
        <v>11.13</v>
      </c>
      <c r="CG636" s="2" t="n">
        <v>12.46</v>
      </c>
      <c r="CH636" s="2" t="n">
        <v>0</v>
      </c>
      <c r="CI636" s="2" t="n">
        <v>17.36</v>
      </c>
      <c r="CJ636" s="2" t="n">
        <v>21.12</v>
      </c>
      <c r="CK636" s="2" t="n">
        <v>0</v>
      </c>
      <c r="CL636" s="2" t="n">
        <v>34.96</v>
      </c>
      <c r="CM636" s="2" t="n">
        <v>39.6</v>
      </c>
      <c r="CN636" s="2" t="n">
        <v>0</v>
      </c>
      <c r="CO636" s="2" t="n">
        <v>44.76</v>
      </c>
      <c r="CP636" s="2" t="n">
        <v>48.96</v>
      </c>
      <c r="CQ636" s="2" t="n">
        <v>0</v>
      </c>
      <c r="CR636" s="2" t="n">
        <v>53.32</v>
      </c>
      <c r="CS636" s="2" t="n">
        <v>57.48</v>
      </c>
      <c r="CT636" s="2" t="n">
        <v>0</v>
      </c>
      <c r="CU636" s="2" t="n">
        <v>59.94</v>
      </c>
      <c r="CV636" s="2" t="n">
        <v>64.11</v>
      </c>
      <c r="CW636" s="2" t="n">
        <v>0</v>
      </c>
      <c r="CX636" s="2" t="n">
        <v>69.38</v>
      </c>
      <c r="CY636" s="2" t="n">
        <v>73.59</v>
      </c>
      <c r="CZ636" s="2" t="n">
        <v>0</v>
      </c>
      <c r="DA636" s="2" t="n">
        <v>78.14</v>
      </c>
      <c r="DB636" s="2" t="n">
        <v>82.3</v>
      </c>
      <c r="DC636" s="2" t="n">
        <v>0</v>
      </c>
      <c r="DD636" s="2" t="n">
        <v>87.5</v>
      </c>
      <c r="DE636" s="2" t="n">
        <v>91.73999999999999</v>
      </c>
      <c r="DF636" s="2" t="n">
        <v>0</v>
      </c>
      <c r="DG636" s="2" t="n">
        <v>92.89</v>
      </c>
      <c r="DH636" s="2" t="n">
        <v>95.94</v>
      </c>
      <c r="DI636" s="2" t="n">
        <v>0</v>
      </c>
      <c r="DJ636" s="2" t="n">
        <v>96.03</v>
      </c>
      <c r="DK636" s="2" t="n">
        <v>97.37</v>
      </c>
      <c r="DL636" s="2" t="n">
        <v>0</v>
      </c>
      <c r="DM636" s="2" t="n">
        <v>99.91</v>
      </c>
      <c r="DN636" s="2" t="n">
        <v>100</v>
      </c>
      <c r="DO636" s="2" t="n">
        <v>0</v>
      </c>
      <c r="DP636" s="2" t="n">
        <v>100</v>
      </c>
      <c r="DQ636" s="2" t="n">
        <v>100</v>
      </c>
      <c r="DR636" s="2" t="n">
        <v>0</v>
      </c>
      <c r="DS636" s="2" t="n">
        <v>100</v>
      </c>
      <c r="DT636" s="2" t="n">
        <v>100</v>
      </c>
      <c r="DU636" s="2" t="n">
        <v>0</v>
      </c>
      <c r="DV636" s="2" t="n">
        <v>100</v>
      </c>
      <c r="DW636" s="2" t="n">
        <v>100</v>
      </c>
      <c r="DX636" s="2" t="n">
        <v>0</v>
      </c>
      <c r="DY636" s="2" t="n">
        <v>100</v>
      </c>
      <c r="DZ636" s="2" t="n">
        <v>100</v>
      </c>
      <c r="EA636" s="2" t="n">
        <v>0</v>
      </c>
      <c r="EB636" s="2" t="n">
        <v>100</v>
      </c>
      <c r="EC636" s="2" t="n">
        <v>100</v>
      </c>
      <c r="ED636" s="2" t="n">
        <v>0</v>
      </c>
      <c r="EE636" s="2" t="n">
        <v>100</v>
      </c>
      <c r="EF636" s="2" t="n">
        <v>100</v>
      </c>
      <c r="EG636" s="2" t="n">
        <v>0</v>
      </c>
      <c r="EH636" s="2" t="n">
        <v>100</v>
      </c>
      <c r="EI636" s="2" t="n">
        <v>100</v>
      </c>
      <c r="EJ636" s="2" t="n">
        <v>0</v>
      </c>
      <c r="EK636" s="2" t="n">
        <v>100</v>
      </c>
      <c r="EL636" s="2" t="n">
        <v>100</v>
      </c>
      <c r="EM636" s="2" t="n">
        <v>0</v>
      </c>
      <c r="EN636" s="2" t="n">
        <v>100</v>
      </c>
      <c r="EO636" s="2" t="n">
        <v>100</v>
      </c>
      <c r="EP636" s="2" t="n">
        <v>0</v>
      </c>
      <c r="EQ636" s="2" t="n">
        <v>100</v>
      </c>
      <c r="ER636" s="2" t="n">
        <v>100</v>
      </c>
      <c r="ES636" s="2" t="n">
        <v>0</v>
      </c>
    </row>
    <row r="637">
      <c r="A637" s="2" t="n">
        <v>3</v>
      </c>
      <c r="B637" s="2" t="inlineStr">
        <is>
          <t>29.01.03</t>
        </is>
      </c>
      <c r="C637" s="2" t="inlineStr">
        <is>
          <t>Emboço esp. 25mm</t>
        </is>
      </c>
      <c r="D637" s="2" t="inlineStr">
        <is>
          <t>26/05/2027</t>
        </is>
      </c>
      <c r="E637" s="2" t="inlineStr">
        <is>
          <t>21/06/2028</t>
        </is>
      </c>
      <c r="F637" s="2" t="n">
        <v>251862.3929226378</v>
      </c>
      <c r="G637" s="2" t="n">
        <v>0</v>
      </c>
      <c r="H637" s="2" t="n">
        <v>251862.3929226378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  <c r="AM637" s="2" t="n">
        <v>0</v>
      </c>
      <c r="AN637" s="2" t="n">
        <v>0</v>
      </c>
      <c r="AO637" s="2" t="n">
        <v>0</v>
      </c>
      <c r="AP637" s="2" t="n">
        <v>0</v>
      </c>
      <c r="AQ637" s="2" t="n">
        <v>0</v>
      </c>
      <c r="AR637" s="2" t="n">
        <v>0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 t="n">
        <v>0</v>
      </c>
      <c r="AX637" s="2" t="n">
        <v>0</v>
      </c>
      <c r="AY637" s="2" t="n">
        <v>0</v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n">
        <v>0</v>
      </c>
      <c r="BI637" s="2" t="n">
        <v>0</v>
      </c>
      <c r="BJ637" s="2" t="n">
        <v>0</v>
      </c>
      <c r="BK637" s="2" t="n">
        <v>0</v>
      </c>
      <c r="BL637" s="2" t="n">
        <v>0</v>
      </c>
      <c r="BM637" s="2" t="n">
        <v>0</v>
      </c>
      <c r="BN637" s="2" t="n">
        <v>0</v>
      </c>
      <c r="BO637" s="2" t="n">
        <v>0</v>
      </c>
      <c r="BP637" s="2" t="n">
        <v>0</v>
      </c>
      <c r="BQ637" s="2" t="n">
        <v>0</v>
      </c>
      <c r="BR637" s="2" t="n">
        <v>0</v>
      </c>
      <c r="BS637" s="2" t="n">
        <v>0</v>
      </c>
      <c r="BT637" s="2" t="n">
        <v>0</v>
      </c>
      <c r="BU637" s="2" t="n">
        <v>0</v>
      </c>
      <c r="BV637" s="2" t="n">
        <v>0</v>
      </c>
      <c r="BW637" s="2" t="n">
        <v>0</v>
      </c>
      <c r="BX637" s="2" t="n">
        <v>0</v>
      </c>
      <c r="BY637" s="2" t="n">
        <v>0</v>
      </c>
      <c r="BZ637" s="2" t="n">
        <v>0</v>
      </c>
      <c r="CA637" s="2" t="n">
        <v>0.79</v>
      </c>
      <c r="CB637" s="2" t="n">
        <v>0</v>
      </c>
      <c r="CC637" s="2" t="n">
        <v>5.3</v>
      </c>
      <c r="CD637" s="2" t="n">
        <v>6.63</v>
      </c>
      <c r="CE637" s="2" t="n">
        <v>0</v>
      </c>
      <c r="CF637" s="2" t="n">
        <v>11.13</v>
      </c>
      <c r="CG637" s="2" t="n">
        <v>12.46</v>
      </c>
      <c r="CH637" s="2" t="n">
        <v>0</v>
      </c>
      <c r="CI637" s="2" t="n">
        <v>17.36</v>
      </c>
      <c r="CJ637" s="2" t="n">
        <v>21.12</v>
      </c>
      <c r="CK637" s="2" t="n">
        <v>0</v>
      </c>
      <c r="CL637" s="2" t="n">
        <v>34.96</v>
      </c>
      <c r="CM637" s="2" t="n">
        <v>39.6</v>
      </c>
      <c r="CN637" s="2" t="n">
        <v>0</v>
      </c>
      <c r="CO637" s="2" t="n">
        <v>44.76</v>
      </c>
      <c r="CP637" s="2" t="n">
        <v>48.96</v>
      </c>
      <c r="CQ637" s="2" t="n">
        <v>0</v>
      </c>
      <c r="CR637" s="2" t="n">
        <v>53.32</v>
      </c>
      <c r="CS637" s="2" t="n">
        <v>57.48</v>
      </c>
      <c r="CT637" s="2" t="n">
        <v>0</v>
      </c>
      <c r="CU637" s="2" t="n">
        <v>59.94</v>
      </c>
      <c r="CV637" s="2" t="n">
        <v>64.11</v>
      </c>
      <c r="CW637" s="2" t="n">
        <v>0</v>
      </c>
      <c r="CX637" s="2" t="n">
        <v>69.38</v>
      </c>
      <c r="CY637" s="2" t="n">
        <v>73.59</v>
      </c>
      <c r="CZ637" s="2" t="n">
        <v>0</v>
      </c>
      <c r="DA637" s="2" t="n">
        <v>78.14</v>
      </c>
      <c r="DB637" s="2" t="n">
        <v>82.3</v>
      </c>
      <c r="DC637" s="2" t="n">
        <v>0</v>
      </c>
      <c r="DD637" s="2" t="n">
        <v>87.5</v>
      </c>
      <c r="DE637" s="2" t="n">
        <v>91.73999999999999</v>
      </c>
      <c r="DF637" s="2" t="n">
        <v>0</v>
      </c>
      <c r="DG637" s="2" t="n">
        <v>92.89</v>
      </c>
      <c r="DH637" s="2" t="n">
        <v>95.94</v>
      </c>
      <c r="DI637" s="2" t="n">
        <v>0</v>
      </c>
      <c r="DJ637" s="2" t="n">
        <v>96.03</v>
      </c>
      <c r="DK637" s="2" t="n">
        <v>97.37</v>
      </c>
      <c r="DL637" s="2" t="n">
        <v>0</v>
      </c>
      <c r="DM637" s="2" t="n">
        <v>99.91</v>
      </c>
      <c r="DN637" s="2" t="n">
        <v>100</v>
      </c>
      <c r="DO637" s="2" t="n">
        <v>0</v>
      </c>
      <c r="DP637" s="2" t="n">
        <v>100</v>
      </c>
      <c r="DQ637" s="2" t="n">
        <v>100</v>
      </c>
      <c r="DR637" s="2" t="n">
        <v>0</v>
      </c>
      <c r="DS637" s="2" t="n">
        <v>100</v>
      </c>
      <c r="DT637" s="2" t="n">
        <v>100</v>
      </c>
      <c r="DU637" s="2" t="n">
        <v>0</v>
      </c>
      <c r="DV637" s="2" t="n">
        <v>100</v>
      </c>
      <c r="DW637" s="2" t="n">
        <v>100</v>
      </c>
      <c r="DX637" s="2" t="n">
        <v>0</v>
      </c>
      <c r="DY637" s="2" t="n">
        <v>100</v>
      </c>
      <c r="DZ637" s="2" t="n">
        <v>100</v>
      </c>
      <c r="EA637" s="2" t="n">
        <v>0</v>
      </c>
      <c r="EB637" s="2" t="n">
        <v>100</v>
      </c>
      <c r="EC637" s="2" t="n">
        <v>100</v>
      </c>
      <c r="ED637" s="2" t="n">
        <v>0</v>
      </c>
      <c r="EE637" s="2" t="n">
        <v>100</v>
      </c>
      <c r="EF637" s="2" t="n">
        <v>100</v>
      </c>
      <c r="EG637" s="2" t="n">
        <v>0</v>
      </c>
      <c r="EH637" s="2" t="n">
        <v>100</v>
      </c>
      <c r="EI637" s="2" t="n">
        <v>100</v>
      </c>
      <c r="EJ637" s="2" t="n">
        <v>0</v>
      </c>
      <c r="EK637" s="2" t="n">
        <v>100</v>
      </c>
      <c r="EL637" s="2" t="n">
        <v>100</v>
      </c>
      <c r="EM637" s="2" t="n">
        <v>0</v>
      </c>
      <c r="EN637" s="2" t="n">
        <v>100</v>
      </c>
      <c r="EO637" s="2" t="n">
        <v>100</v>
      </c>
      <c r="EP637" s="2" t="n">
        <v>0</v>
      </c>
      <c r="EQ637" s="2" t="n">
        <v>100</v>
      </c>
      <c r="ER637" s="2" t="n">
        <v>100</v>
      </c>
      <c r="ES637" s="2" t="n">
        <v>0</v>
      </c>
    </row>
    <row r="638">
      <c r="A638" s="2" t="n">
        <v>3</v>
      </c>
      <c r="B638" s="2" t="inlineStr">
        <is>
          <t>29.01.04</t>
        </is>
      </c>
      <c r="C638" s="2" t="inlineStr">
        <is>
          <t>Reboco esp. 25mm</t>
        </is>
      </c>
      <c r="D638" s="2" t="inlineStr">
        <is>
          <t>26/05/2027</t>
        </is>
      </c>
      <c r="E638" s="2" t="inlineStr">
        <is>
          <t>21/06/2028</t>
        </is>
      </c>
      <c r="F638" s="2" t="n">
        <v>1344547.556056695</v>
      </c>
      <c r="G638" s="2" t="n">
        <v>0</v>
      </c>
      <c r="H638" s="2" t="n">
        <v>1344547.556056695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  <c r="AN638" s="2" t="n">
        <v>0</v>
      </c>
      <c r="AO638" s="2" t="n">
        <v>0</v>
      </c>
      <c r="AP638" s="2" t="n">
        <v>0</v>
      </c>
      <c r="AQ638" s="2" t="n">
        <v>0</v>
      </c>
      <c r="AR638" s="2" t="n">
        <v>0</v>
      </c>
      <c r="AS638" s="2" t="n">
        <v>0</v>
      </c>
      <c r="AT638" s="2" t="n">
        <v>0</v>
      </c>
      <c r="AU638" s="2" t="n">
        <v>0</v>
      </c>
      <c r="AV638" s="2" t="n">
        <v>0</v>
      </c>
      <c r="AW638" s="2" t="n">
        <v>0</v>
      </c>
      <c r="AX638" s="2" t="n">
        <v>0</v>
      </c>
      <c r="AY638" s="2" t="n">
        <v>0</v>
      </c>
      <c r="AZ638" s="2" t="n">
        <v>0</v>
      </c>
      <c r="BA638" s="2" t="n">
        <v>0</v>
      </c>
      <c r="BB638" s="2" t="n">
        <v>0</v>
      </c>
      <c r="BC638" s="2" t="n">
        <v>0</v>
      </c>
      <c r="BD638" s="2" t="n">
        <v>0</v>
      </c>
      <c r="BE638" s="2" t="n">
        <v>0</v>
      </c>
      <c r="BF638" s="2" t="n">
        <v>0</v>
      </c>
      <c r="BG638" s="2" t="n">
        <v>0</v>
      </c>
      <c r="BH638" s="2" t="n">
        <v>0</v>
      </c>
      <c r="BI638" s="2" t="n">
        <v>0</v>
      </c>
      <c r="BJ638" s="2" t="n">
        <v>0</v>
      </c>
      <c r="BK638" s="2" t="n">
        <v>0</v>
      </c>
      <c r="BL638" s="2" t="n">
        <v>0</v>
      </c>
      <c r="BM638" s="2" t="n">
        <v>0</v>
      </c>
      <c r="BN638" s="2" t="n">
        <v>0</v>
      </c>
      <c r="BO638" s="2" t="n">
        <v>0</v>
      </c>
      <c r="BP638" s="2" t="n">
        <v>0</v>
      </c>
      <c r="BQ638" s="2" t="n">
        <v>0</v>
      </c>
      <c r="BR638" s="2" t="n">
        <v>0</v>
      </c>
      <c r="BS638" s="2" t="n">
        <v>0</v>
      </c>
      <c r="BT638" s="2" t="n">
        <v>0</v>
      </c>
      <c r="BU638" s="2" t="n">
        <v>0</v>
      </c>
      <c r="BV638" s="2" t="n">
        <v>0</v>
      </c>
      <c r="BW638" s="2" t="n">
        <v>0</v>
      </c>
      <c r="BX638" s="2" t="n">
        <v>0</v>
      </c>
      <c r="BY638" s="2" t="n">
        <v>0</v>
      </c>
      <c r="BZ638" s="2" t="n">
        <v>0</v>
      </c>
      <c r="CA638" s="2" t="n">
        <v>0.79</v>
      </c>
      <c r="CB638" s="2" t="n">
        <v>0</v>
      </c>
      <c r="CC638" s="2" t="n">
        <v>5.3</v>
      </c>
      <c r="CD638" s="2" t="n">
        <v>6.63</v>
      </c>
      <c r="CE638" s="2" t="n">
        <v>0</v>
      </c>
      <c r="CF638" s="2" t="n">
        <v>11.13</v>
      </c>
      <c r="CG638" s="2" t="n">
        <v>12.46</v>
      </c>
      <c r="CH638" s="2" t="n">
        <v>0</v>
      </c>
      <c r="CI638" s="2" t="n">
        <v>17.36</v>
      </c>
      <c r="CJ638" s="2" t="n">
        <v>21.12</v>
      </c>
      <c r="CK638" s="2" t="n">
        <v>0</v>
      </c>
      <c r="CL638" s="2" t="n">
        <v>34.96</v>
      </c>
      <c r="CM638" s="2" t="n">
        <v>39.6</v>
      </c>
      <c r="CN638" s="2" t="n">
        <v>0</v>
      </c>
      <c r="CO638" s="2" t="n">
        <v>44.76</v>
      </c>
      <c r="CP638" s="2" t="n">
        <v>48.96</v>
      </c>
      <c r="CQ638" s="2" t="n">
        <v>0</v>
      </c>
      <c r="CR638" s="2" t="n">
        <v>53.32</v>
      </c>
      <c r="CS638" s="2" t="n">
        <v>57.48</v>
      </c>
      <c r="CT638" s="2" t="n">
        <v>0</v>
      </c>
      <c r="CU638" s="2" t="n">
        <v>59.94</v>
      </c>
      <c r="CV638" s="2" t="n">
        <v>64.11</v>
      </c>
      <c r="CW638" s="2" t="n">
        <v>0</v>
      </c>
      <c r="CX638" s="2" t="n">
        <v>69.38</v>
      </c>
      <c r="CY638" s="2" t="n">
        <v>73.59</v>
      </c>
      <c r="CZ638" s="2" t="n">
        <v>0</v>
      </c>
      <c r="DA638" s="2" t="n">
        <v>78.14</v>
      </c>
      <c r="DB638" s="2" t="n">
        <v>82.3</v>
      </c>
      <c r="DC638" s="2" t="n">
        <v>0</v>
      </c>
      <c r="DD638" s="2" t="n">
        <v>87.5</v>
      </c>
      <c r="DE638" s="2" t="n">
        <v>91.73999999999999</v>
      </c>
      <c r="DF638" s="2" t="n">
        <v>0</v>
      </c>
      <c r="DG638" s="2" t="n">
        <v>92.89</v>
      </c>
      <c r="DH638" s="2" t="n">
        <v>95.94</v>
      </c>
      <c r="DI638" s="2" t="n">
        <v>0</v>
      </c>
      <c r="DJ638" s="2" t="n">
        <v>96.03</v>
      </c>
      <c r="DK638" s="2" t="n">
        <v>97.37</v>
      </c>
      <c r="DL638" s="2" t="n">
        <v>0</v>
      </c>
      <c r="DM638" s="2" t="n">
        <v>99.91</v>
      </c>
      <c r="DN638" s="2" t="n">
        <v>100</v>
      </c>
      <c r="DO638" s="2" t="n">
        <v>0</v>
      </c>
      <c r="DP638" s="2" t="n">
        <v>100</v>
      </c>
      <c r="DQ638" s="2" t="n">
        <v>100</v>
      </c>
      <c r="DR638" s="2" t="n">
        <v>0</v>
      </c>
      <c r="DS638" s="2" t="n">
        <v>100</v>
      </c>
      <c r="DT638" s="2" t="n">
        <v>100</v>
      </c>
      <c r="DU638" s="2" t="n">
        <v>0</v>
      </c>
      <c r="DV638" s="2" t="n">
        <v>100</v>
      </c>
      <c r="DW638" s="2" t="n">
        <v>100</v>
      </c>
      <c r="DX638" s="2" t="n">
        <v>0</v>
      </c>
      <c r="DY638" s="2" t="n">
        <v>100</v>
      </c>
      <c r="DZ638" s="2" t="n">
        <v>100</v>
      </c>
      <c r="EA638" s="2" t="n">
        <v>0</v>
      </c>
      <c r="EB638" s="2" t="n">
        <v>100</v>
      </c>
      <c r="EC638" s="2" t="n">
        <v>100</v>
      </c>
      <c r="ED638" s="2" t="n">
        <v>0</v>
      </c>
      <c r="EE638" s="2" t="n">
        <v>100</v>
      </c>
      <c r="EF638" s="2" t="n">
        <v>100</v>
      </c>
      <c r="EG638" s="2" t="n">
        <v>0</v>
      </c>
      <c r="EH638" s="2" t="n">
        <v>100</v>
      </c>
      <c r="EI638" s="2" t="n">
        <v>100</v>
      </c>
      <c r="EJ638" s="2" t="n">
        <v>0</v>
      </c>
      <c r="EK638" s="2" t="n">
        <v>100</v>
      </c>
      <c r="EL638" s="2" t="n">
        <v>100</v>
      </c>
      <c r="EM638" s="2" t="n">
        <v>0</v>
      </c>
      <c r="EN638" s="2" t="n">
        <v>100</v>
      </c>
      <c r="EO638" s="2" t="n">
        <v>100</v>
      </c>
      <c r="EP638" s="2" t="n">
        <v>0</v>
      </c>
      <c r="EQ638" s="2" t="n">
        <v>100</v>
      </c>
      <c r="ER638" s="2" t="n">
        <v>100</v>
      </c>
      <c r="ES638" s="2" t="n">
        <v>0</v>
      </c>
    </row>
    <row r="639">
      <c r="A639" s="2" t="n">
        <v>3</v>
      </c>
      <c r="B639" s="2" t="inlineStr">
        <is>
          <t>29.01.05</t>
        </is>
      </c>
      <c r="C639" s="2" t="inlineStr">
        <is>
          <t>Espalas para esquadrias (até 40cm)</t>
        </is>
      </c>
      <c r="D639" s="2" t="inlineStr">
        <is>
          <t>26/05/2027</t>
        </is>
      </c>
      <c r="E639" s="2" t="inlineStr">
        <is>
          <t>21/06/2028</t>
        </is>
      </c>
      <c r="F639" s="2" t="n">
        <v>389627.5770541759</v>
      </c>
      <c r="G639" s="2" t="n">
        <v>0</v>
      </c>
      <c r="H639" s="2" t="n">
        <v>389627.5770541759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0</v>
      </c>
      <c r="AM639" s="2" t="n">
        <v>0</v>
      </c>
      <c r="AN639" s="2" t="n">
        <v>0</v>
      </c>
      <c r="AO639" s="2" t="n">
        <v>0</v>
      </c>
      <c r="AP639" s="2" t="n">
        <v>0</v>
      </c>
      <c r="AQ639" s="2" t="n">
        <v>0</v>
      </c>
      <c r="AR639" s="2" t="n">
        <v>0</v>
      </c>
      <c r="AS639" s="2" t="n">
        <v>0</v>
      </c>
      <c r="AT639" s="2" t="n">
        <v>0</v>
      </c>
      <c r="AU639" s="2" t="n">
        <v>0</v>
      </c>
      <c r="AV639" s="2" t="n">
        <v>0</v>
      </c>
      <c r="AW639" s="2" t="n">
        <v>0</v>
      </c>
      <c r="AX639" s="2" t="n">
        <v>0</v>
      </c>
      <c r="AY639" s="2" t="n">
        <v>0</v>
      </c>
      <c r="AZ639" s="2" t="n">
        <v>0</v>
      </c>
      <c r="BA639" s="2" t="n">
        <v>0</v>
      </c>
      <c r="BB639" s="2" t="n">
        <v>0</v>
      </c>
      <c r="BC639" s="2" t="n">
        <v>0</v>
      </c>
      <c r="BD639" s="2" t="n">
        <v>0</v>
      </c>
      <c r="BE639" s="2" t="n">
        <v>0</v>
      </c>
      <c r="BF639" s="2" t="n">
        <v>0</v>
      </c>
      <c r="BG639" s="2" t="n">
        <v>0</v>
      </c>
      <c r="BH639" s="2" t="n">
        <v>0</v>
      </c>
      <c r="BI639" s="2" t="n">
        <v>0</v>
      </c>
      <c r="BJ639" s="2" t="n">
        <v>0</v>
      </c>
      <c r="BK639" s="2" t="n">
        <v>0</v>
      </c>
      <c r="BL639" s="2" t="n">
        <v>0</v>
      </c>
      <c r="BM639" s="2" t="n">
        <v>0</v>
      </c>
      <c r="BN639" s="2" t="n">
        <v>0</v>
      </c>
      <c r="BO639" s="2" t="n">
        <v>0</v>
      </c>
      <c r="BP639" s="2" t="n">
        <v>0</v>
      </c>
      <c r="BQ639" s="2" t="n">
        <v>0</v>
      </c>
      <c r="BR639" s="2" t="n">
        <v>0</v>
      </c>
      <c r="BS639" s="2" t="n">
        <v>0</v>
      </c>
      <c r="BT639" s="2" t="n">
        <v>0</v>
      </c>
      <c r="BU639" s="2" t="n">
        <v>0</v>
      </c>
      <c r="BV639" s="2" t="n">
        <v>0</v>
      </c>
      <c r="BW639" s="2" t="n">
        <v>0</v>
      </c>
      <c r="BX639" s="2" t="n">
        <v>0</v>
      </c>
      <c r="BY639" s="2" t="n">
        <v>0</v>
      </c>
      <c r="BZ639" s="2" t="n">
        <v>0</v>
      </c>
      <c r="CA639" s="2" t="n">
        <v>0.79</v>
      </c>
      <c r="CB639" s="2" t="n">
        <v>0</v>
      </c>
      <c r="CC639" s="2" t="n">
        <v>5.3</v>
      </c>
      <c r="CD639" s="2" t="n">
        <v>6.63</v>
      </c>
      <c r="CE639" s="2" t="n">
        <v>0</v>
      </c>
      <c r="CF639" s="2" t="n">
        <v>11.13</v>
      </c>
      <c r="CG639" s="2" t="n">
        <v>12.46</v>
      </c>
      <c r="CH639" s="2" t="n">
        <v>0</v>
      </c>
      <c r="CI639" s="2" t="n">
        <v>17.36</v>
      </c>
      <c r="CJ639" s="2" t="n">
        <v>21.12</v>
      </c>
      <c r="CK639" s="2" t="n">
        <v>0</v>
      </c>
      <c r="CL639" s="2" t="n">
        <v>34.96</v>
      </c>
      <c r="CM639" s="2" t="n">
        <v>39.6</v>
      </c>
      <c r="CN639" s="2" t="n">
        <v>0</v>
      </c>
      <c r="CO639" s="2" t="n">
        <v>44.76</v>
      </c>
      <c r="CP639" s="2" t="n">
        <v>48.96</v>
      </c>
      <c r="CQ639" s="2" t="n">
        <v>0</v>
      </c>
      <c r="CR639" s="2" t="n">
        <v>53.32</v>
      </c>
      <c r="CS639" s="2" t="n">
        <v>57.48</v>
      </c>
      <c r="CT639" s="2" t="n">
        <v>0</v>
      </c>
      <c r="CU639" s="2" t="n">
        <v>59.94</v>
      </c>
      <c r="CV639" s="2" t="n">
        <v>64.11</v>
      </c>
      <c r="CW639" s="2" t="n">
        <v>0</v>
      </c>
      <c r="CX639" s="2" t="n">
        <v>69.38</v>
      </c>
      <c r="CY639" s="2" t="n">
        <v>73.59</v>
      </c>
      <c r="CZ639" s="2" t="n">
        <v>0</v>
      </c>
      <c r="DA639" s="2" t="n">
        <v>78.14</v>
      </c>
      <c r="DB639" s="2" t="n">
        <v>82.3</v>
      </c>
      <c r="DC639" s="2" t="n">
        <v>0</v>
      </c>
      <c r="DD639" s="2" t="n">
        <v>87.5</v>
      </c>
      <c r="DE639" s="2" t="n">
        <v>91.73999999999999</v>
      </c>
      <c r="DF639" s="2" t="n">
        <v>0</v>
      </c>
      <c r="DG639" s="2" t="n">
        <v>92.89</v>
      </c>
      <c r="DH639" s="2" t="n">
        <v>95.94</v>
      </c>
      <c r="DI639" s="2" t="n">
        <v>0</v>
      </c>
      <c r="DJ639" s="2" t="n">
        <v>96.03</v>
      </c>
      <c r="DK639" s="2" t="n">
        <v>97.37</v>
      </c>
      <c r="DL639" s="2" t="n">
        <v>0</v>
      </c>
      <c r="DM639" s="2" t="n">
        <v>99.91</v>
      </c>
      <c r="DN639" s="2" t="n">
        <v>100</v>
      </c>
      <c r="DO639" s="2" t="n">
        <v>0</v>
      </c>
      <c r="DP639" s="2" t="n">
        <v>100</v>
      </c>
      <c r="DQ639" s="2" t="n">
        <v>100</v>
      </c>
      <c r="DR639" s="2" t="n">
        <v>0</v>
      </c>
      <c r="DS639" s="2" t="n">
        <v>100</v>
      </c>
      <c r="DT639" s="2" t="n">
        <v>100</v>
      </c>
      <c r="DU639" s="2" t="n">
        <v>0</v>
      </c>
      <c r="DV639" s="2" t="n">
        <v>100</v>
      </c>
      <c r="DW639" s="2" t="n">
        <v>100</v>
      </c>
      <c r="DX639" s="2" t="n">
        <v>0</v>
      </c>
      <c r="DY639" s="2" t="n">
        <v>100</v>
      </c>
      <c r="DZ639" s="2" t="n">
        <v>100</v>
      </c>
      <c r="EA639" s="2" t="n">
        <v>0</v>
      </c>
      <c r="EB639" s="2" t="n">
        <v>100</v>
      </c>
      <c r="EC639" s="2" t="n">
        <v>100</v>
      </c>
      <c r="ED639" s="2" t="n">
        <v>0</v>
      </c>
      <c r="EE639" s="2" t="n">
        <v>100</v>
      </c>
      <c r="EF639" s="2" t="n">
        <v>100</v>
      </c>
      <c r="EG639" s="2" t="n">
        <v>0</v>
      </c>
      <c r="EH639" s="2" t="n">
        <v>100</v>
      </c>
      <c r="EI639" s="2" t="n">
        <v>100</v>
      </c>
      <c r="EJ639" s="2" t="n">
        <v>0</v>
      </c>
      <c r="EK639" s="2" t="n">
        <v>100</v>
      </c>
      <c r="EL639" s="2" t="n">
        <v>100</v>
      </c>
      <c r="EM639" s="2" t="n">
        <v>0</v>
      </c>
      <c r="EN639" s="2" t="n">
        <v>100</v>
      </c>
      <c r="EO639" s="2" t="n">
        <v>100</v>
      </c>
      <c r="EP639" s="2" t="n">
        <v>0</v>
      </c>
      <c r="EQ639" s="2" t="n">
        <v>100</v>
      </c>
      <c r="ER639" s="2" t="n">
        <v>100</v>
      </c>
      <c r="ES639" s="2" t="n">
        <v>0</v>
      </c>
    </row>
    <row r="640">
      <c r="A640" s="2" t="n">
        <v>1</v>
      </c>
      <c r="B640" s="2" t="inlineStr">
        <is>
          <t>30</t>
        </is>
      </c>
      <c r="C640" s="2" t="inlineStr">
        <is>
          <t>REVESTIMENTOS DE ACABAMENTO</t>
        </is>
      </c>
      <c r="D640" s="2" t="inlineStr">
        <is>
          <t>24/08/2027</t>
        </is>
      </c>
      <c r="E640" s="2" t="inlineStr">
        <is>
          <t>15/02/2029</t>
        </is>
      </c>
      <c r="F640" s="2" t="n">
        <v>10402356.24608444</v>
      </c>
      <c r="G640" s="2" t="n">
        <v>0</v>
      </c>
      <c r="H640" s="2" t="n">
        <v>10402356.24608444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  <c r="AM640" s="2" t="n">
        <v>0</v>
      </c>
      <c r="AN640" s="2" t="n">
        <v>0</v>
      </c>
      <c r="AO640" s="2" t="n">
        <v>0</v>
      </c>
      <c r="AP640" s="2" t="n">
        <v>0</v>
      </c>
      <c r="AQ640" s="2" t="n">
        <v>0</v>
      </c>
      <c r="AR640" s="2" t="n">
        <v>0</v>
      </c>
      <c r="AS640" s="2" t="n">
        <v>0</v>
      </c>
      <c r="AT640" s="2" t="n">
        <v>0</v>
      </c>
      <c r="AU640" s="2" t="n">
        <v>0</v>
      </c>
      <c r="AV640" s="2" t="n">
        <v>0</v>
      </c>
      <c r="AW640" s="2" t="n">
        <v>0</v>
      </c>
      <c r="AX640" s="2" t="n">
        <v>0</v>
      </c>
      <c r="AY640" s="2" t="n">
        <v>0</v>
      </c>
      <c r="AZ640" s="2" t="n">
        <v>0</v>
      </c>
      <c r="BA640" s="2" t="n">
        <v>0</v>
      </c>
      <c r="BB640" s="2" t="n">
        <v>0</v>
      </c>
      <c r="BC640" s="2" t="n">
        <v>0</v>
      </c>
      <c r="BD640" s="2" t="n">
        <v>0</v>
      </c>
      <c r="BE640" s="2" t="n">
        <v>0</v>
      </c>
      <c r="BF640" s="2" t="n">
        <v>0</v>
      </c>
      <c r="BG640" s="2" t="n">
        <v>0</v>
      </c>
      <c r="BH640" s="2" t="n">
        <v>0</v>
      </c>
      <c r="BI640" s="2" t="n">
        <v>0</v>
      </c>
      <c r="BJ640" s="2" t="n">
        <v>0</v>
      </c>
      <c r="BK640" s="2" t="n">
        <v>0</v>
      </c>
      <c r="BL640" s="2" t="n">
        <v>0</v>
      </c>
      <c r="BM640" s="2" t="n">
        <v>0</v>
      </c>
      <c r="BN640" s="2" t="n">
        <v>0</v>
      </c>
      <c r="BO640" s="2" t="n">
        <v>0</v>
      </c>
      <c r="BP640" s="2" t="n">
        <v>0</v>
      </c>
      <c r="BQ640" s="2" t="n">
        <v>0</v>
      </c>
      <c r="BR640" s="2" t="n">
        <v>0</v>
      </c>
      <c r="BS640" s="2" t="n">
        <v>0</v>
      </c>
      <c r="BT640" s="2" t="n">
        <v>0</v>
      </c>
      <c r="BU640" s="2" t="n">
        <v>0</v>
      </c>
      <c r="BV640" s="2" t="n">
        <v>0</v>
      </c>
      <c r="BW640" s="2" t="n">
        <v>0</v>
      </c>
      <c r="BX640" s="2" t="n">
        <v>0</v>
      </c>
      <c r="BY640" s="2" t="n">
        <v>0</v>
      </c>
      <c r="BZ640" s="2" t="n">
        <v>0</v>
      </c>
      <c r="CA640" s="2" t="n">
        <v>0</v>
      </c>
      <c r="CB640" s="2" t="n">
        <v>0</v>
      </c>
      <c r="CC640" s="2" t="n">
        <v>0</v>
      </c>
      <c r="CD640" s="2" t="n">
        <v>0</v>
      </c>
      <c r="CE640" s="2" t="n">
        <v>0</v>
      </c>
      <c r="CF640" s="2" t="n">
        <v>0</v>
      </c>
      <c r="CG640" s="2" t="n">
        <v>0</v>
      </c>
      <c r="CH640" s="2" t="n">
        <v>0</v>
      </c>
      <c r="CI640" s="2" t="n">
        <v>0.08</v>
      </c>
      <c r="CJ640" s="2" t="n">
        <v>0.48</v>
      </c>
      <c r="CK640" s="2" t="n">
        <v>0</v>
      </c>
      <c r="CL640" s="2" t="n">
        <v>3.2</v>
      </c>
      <c r="CM640" s="2" t="n">
        <v>4.53</v>
      </c>
      <c r="CN640" s="2" t="n">
        <v>0</v>
      </c>
      <c r="CO640" s="2" t="n">
        <v>8.699999999999999</v>
      </c>
      <c r="CP640" s="2" t="n">
        <v>10.04</v>
      </c>
      <c r="CQ640" s="2" t="n">
        <v>0</v>
      </c>
      <c r="CR640" s="2" t="n">
        <v>14.45</v>
      </c>
      <c r="CS640" s="2" t="n">
        <v>15.79</v>
      </c>
      <c r="CT640" s="2" t="n">
        <v>0</v>
      </c>
      <c r="CU640" s="2" t="n">
        <v>21.96</v>
      </c>
      <c r="CV640" s="2" t="n">
        <v>23.29</v>
      </c>
      <c r="CW640" s="2" t="n">
        <v>0</v>
      </c>
      <c r="CX640" s="2" t="n">
        <v>30.98</v>
      </c>
      <c r="CY640" s="2" t="n">
        <v>32.46</v>
      </c>
      <c r="CZ640" s="2" t="n">
        <v>0</v>
      </c>
      <c r="DA640" s="2" t="n">
        <v>37.48</v>
      </c>
      <c r="DB640" s="2" t="n">
        <v>39.16</v>
      </c>
      <c r="DC640" s="2" t="n">
        <v>0</v>
      </c>
      <c r="DD640" s="2" t="n">
        <v>45.94</v>
      </c>
      <c r="DE640" s="2" t="n">
        <v>47.69</v>
      </c>
      <c r="DF640" s="2" t="n">
        <v>0</v>
      </c>
      <c r="DG640" s="2" t="n">
        <v>52.94</v>
      </c>
      <c r="DH640" s="2" t="n">
        <v>54.65</v>
      </c>
      <c r="DI640" s="2" t="n">
        <v>0</v>
      </c>
      <c r="DJ640" s="2" t="n">
        <v>60.38</v>
      </c>
      <c r="DK640" s="2" t="n">
        <v>62.47</v>
      </c>
      <c r="DL640" s="2" t="n">
        <v>0</v>
      </c>
      <c r="DM640" s="2" t="n">
        <v>68.66</v>
      </c>
      <c r="DN640" s="2" t="n">
        <v>70.44</v>
      </c>
      <c r="DO640" s="2" t="n">
        <v>0</v>
      </c>
      <c r="DP640" s="2" t="n">
        <v>75.81</v>
      </c>
      <c r="DQ640" s="2" t="n">
        <v>77.42</v>
      </c>
      <c r="DR640" s="2" t="n">
        <v>0</v>
      </c>
      <c r="DS640" s="2" t="n">
        <v>80.09999999999999</v>
      </c>
      <c r="DT640" s="2" t="n">
        <v>81.29000000000001</v>
      </c>
      <c r="DU640" s="2" t="n">
        <v>0</v>
      </c>
      <c r="DV640" s="2" t="n">
        <v>85.06</v>
      </c>
      <c r="DW640" s="2" t="n">
        <v>86.33</v>
      </c>
      <c r="DX640" s="2" t="n">
        <v>0</v>
      </c>
      <c r="DY640" s="2" t="n">
        <v>89.40000000000001</v>
      </c>
      <c r="DZ640" s="2" t="n">
        <v>90.42</v>
      </c>
      <c r="EA640" s="2" t="n">
        <v>0</v>
      </c>
      <c r="EB640" s="2" t="n">
        <v>91.33</v>
      </c>
      <c r="EC640" s="2" t="n">
        <v>93.64</v>
      </c>
      <c r="ED640" s="2" t="n">
        <v>0</v>
      </c>
      <c r="EE640" s="2" t="n">
        <v>94.48999999999999</v>
      </c>
      <c r="EF640" s="2" t="n">
        <v>96.52</v>
      </c>
      <c r="EG640" s="2" t="n">
        <v>0</v>
      </c>
      <c r="EH640" s="2" t="n">
        <v>98.95999999999999</v>
      </c>
      <c r="EI640" s="2" t="n">
        <v>99.05</v>
      </c>
      <c r="EJ640" s="2" t="n">
        <v>0</v>
      </c>
      <c r="EK640" s="2" t="n">
        <v>99.97</v>
      </c>
      <c r="EL640" s="2" t="n">
        <v>99.97</v>
      </c>
      <c r="EM640" s="2" t="n">
        <v>0</v>
      </c>
      <c r="EN640" s="2" t="n">
        <v>99.97</v>
      </c>
      <c r="EO640" s="2" t="n">
        <v>99.97</v>
      </c>
      <c r="EP640" s="2" t="n">
        <v>0</v>
      </c>
      <c r="EQ640" s="2" t="n">
        <v>99.97</v>
      </c>
      <c r="ER640" s="2" t="n">
        <v>99.97</v>
      </c>
      <c r="ES640" s="2" t="n">
        <v>0</v>
      </c>
    </row>
    <row r="641">
      <c r="A641" s="2" t="n">
        <v>2</v>
      </c>
      <c r="B641" s="2" t="inlineStr">
        <is>
          <t>30.01</t>
        </is>
      </c>
      <c r="C641" s="2" t="inlineStr">
        <is>
          <t>Pisos internos</t>
        </is>
      </c>
      <c r="D641" s="2" t="inlineStr">
        <is>
          <t>06/09/2027</t>
        </is>
      </c>
      <c r="E641" s="2" t="inlineStr">
        <is>
          <t>03/01/2029</t>
        </is>
      </c>
      <c r="F641" s="2" t="n">
        <v>3355985.310816925</v>
      </c>
      <c r="G641" s="2" t="n">
        <v>0</v>
      </c>
      <c r="H641" s="2" t="n">
        <v>3355985.310816925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  <c r="AN641" s="2" t="n">
        <v>0</v>
      </c>
      <c r="AO641" s="2" t="n">
        <v>0</v>
      </c>
      <c r="AP641" s="2" t="n">
        <v>0</v>
      </c>
      <c r="AQ641" s="2" t="n">
        <v>0</v>
      </c>
      <c r="AR641" s="2" t="n">
        <v>0</v>
      </c>
      <c r="AS641" s="2" t="n">
        <v>0</v>
      </c>
      <c r="AT641" s="2" t="n">
        <v>0</v>
      </c>
      <c r="AU641" s="2" t="n">
        <v>0</v>
      </c>
      <c r="AV641" s="2" t="n">
        <v>0</v>
      </c>
      <c r="AW641" s="2" t="n">
        <v>0</v>
      </c>
      <c r="AX641" s="2" t="n">
        <v>0</v>
      </c>
      <c r="AY641" s="2" t="n">
        <v>0</v>
      </c>
      <c r="AZ641" s="2" t="n">
        <v>0</v>
      </c>
      <c r="BA641" s="2" t="n">
        <v>0</v>
      </c>
      <c r="BB641" s="2" t="n">
        <v>0</v>
      </c>
      <c r="BC641" s="2" t="n">
        <v>0</v>
      </c>
      <c r="BD641" s="2" t="n">
        <v>0</v>
      </c>
      <c r="BE641" s="2" t="n">
        <v>0</v>
      </c>
      <c r="BF641" s="2" t="n">
        <v>0</v>
      </c>
      <c r="BG641" s="2" t="n">
        <v>0</v>
      </c>
      <c r="BH641" s="2" t="n">
        <v>0</v>
      </c>
      <c r="BI641" s="2" t="n">
        <v>0</v>
      </c>
      <c r="BJ641" s="2" t="n">
        <v>0</v>
      </c>
      <c r="BK641" s="2" t="n">
        <v>0</v>
      </c>
      <c r="BL641" s="2" t="n">
        <v>0</v>
      </c>
      <c r="BM641" s="2" t="n">
        <v>0</v>
      </c>
      <c r="BN641" s="2" t="n">
        <v>0</v>
      </c>
      <c r="BO641" s="2" t="n">
        <v>0</v>
      </c>
      <c r="BP641" s="2" t="n">
        <v>0</v>
      </c>
      <c r="BQ641" s="2" t="n">
        <v>0</v>
      </c>
      <c r="BR641" s="2" t="n">
        <v>0</v>
      </c>
      <c r="BS641" s="2" t="n">
        <v>0</v>
      </c>
      <c r="BT641" s="2" t="n">
        <v>0</v>
      </c>
      <c r="BU641" s="2" t="n">
        <v>0</v>
      </c>
      <c r="BV641" s="2" t="n">
        <v>0</v>
      </c>
      <c r="BW641" s="2" t="n">
        <v>0</v>
      </c>
      <c r="BX641" s="2" t="n">
        <v>0</v>
      </c>
      <c r="BY641" s="2" t="n">
        <v>0</v>
      </c>
      <c r="BZ641" s="2" t="n">
        <v>0</v>
      </c>
      <c r="CA641" s="2" t="n">
        <v>0</v>
      </c>
      <c r="CB641" s="2" t="n">
        <v>0</v>
      </c>
      <c r="CC641" s="2" t="n">
        <v>0</v>
      </c>
      <c r="CD641" s="2" t="n">
        <v>0</v>
      </c>
      <c r="CE641" s="2" t="n">
        <v>0</v>
      </c>
      <c r="CF641" s="2" t="n">
        <v>0</v>
      </c>
      <c r="CG641" s="2" t="n">
        <v>0</v>
      </c>
      <c r="CH641" s="2" t="n">
        <v>0</v>
      </c>
      <c r="CI641" s="2" t="n">
        <v>0</v>
      </c>
      <c r="CJ641" s="2" t="n">
        <v>0</v>
      </c>
      <c r="CK641" s="2" t="n">
        <v>0</v>
      </c>
      <c r="CL641" s="2" t="n">
        <v>3.23</v>
      </c>
      <c r="CM641" s="2" t="n">
        <v>4.69</v>
      </c>
      <c r="CN641" s="2" t="n">
        <v>0</v>
      </c>
      <c r="CO641" s="2" t="n">
        <v>9.06</v>
      </c>
      <c r="CP641" s="2" t="n">
        <v>10.51</v>
      </c>
      <c r="CQ641" s="2" t="n">
        <v>0</v>
      </c>
      <c r="CR641" s="2" t="n">
        <v>14.88</v>
      </c>
      <c r="CS641" s="2" t="n">
        <v>16.33</v>
      </c>
      <c r="CT641" s="2" t="n">
        <v>0</v>
      </c>
      <c r="CU641" s="2" t="n">
        <v>19.53</v>
      </c>
      <c r="CV641" s="2" t="n">
        <v>20.99</v>
      </c>
      <c r="CW641" s="2" t="n">
        <v>0</v>
      </c>
      <c r="CX641" s="2" t="n">
        <v>25.75</v>
      </c>
      <c r="CY641" s="2" t="n">
        <v>27.72</v>
      </c>
      <c r="CZ641" s="2" t="n">
        <v>0</v>
      </c>
      <c r="DA641" s="2" t="n">
        <v>34.09</v>
      </c>
      <c r="DB641" s="2" t="n">
        <v>36.07</v>
      </c>
      <c r="DC641" s="2" t="n">
        <v>0</v>
      </c>
      <c r="DD641" s="2" t="n">
        <v>44.31</v>
      </c>
      <c r="DE641" s="2" t="n">
        <v>46.5</v>
      </c>
      <c r="DF641" s="2" t="n">
        <v>0</v>
      </c>
      <c r="DG641" s="2" t="n">
        <v>53.47</v>
      </c>
      <c r="DH641" s="2" t="n">
        <v>55.44</v>
      </c>
      <c r="DI641" s="2" t="n">
        <v>0</v>
      </c>
      <c r="DJ641" s="2" t="n">
        <v>62.14</v>
      </c>
      <c r="DK641" s="2" t="n">
        <v>65.29000000000001</v>
      </c>
      <c r="DL641" s="2" t="n">
        <v>0</v>
      </c>
      <c r="DM641" s="2" t="n">
        <v>71.59999999999999</v>
      </c>
      <c r="DN641" s="2" t="n">
        <v>73.62</v>
      </c>
      <c r="DO641" s="2" t="n">
        <v>0</v>
      </c>
      <c r="DP641" s="2" t="n">
        <v>79.5</v>
      </c>
      <c r="DQ641" s="2" t="n">
        <v>81.53</v>
      </c>
      <c r="DR641" s="2" t="n">
        <v>0</v>
      </c>
      <c r="DS641" s="2" t="n">
        <v>83.81999999999999</v>
      </c>
      <c r="DT641" s="2" t="n">
        <v>85.81999999999999</v>
      </c>
      <c r="DU641" s="2" t="n">
        <v>0</v>
      </c>
      <c r="DV641" s="2" t="n">
        <v>88.51000000000001</v>
      </c>
      <c r="DW641" s="2" t="n">
        <v>91.31</v>
      </c>
      <c r="DX641" s="2" t="n">
        <v>0</v>
      </c>
      <c r="DY641" s="2" t="n">
        <v>93.03</v>
      </c>
      <c r="DZ641" s="2" t="n">
        <v>94.88</v>
      </c>
      <c r="EA641" s="2" t="n">
        <v>0</v>
      </c>
      <c r="EB641" s="2" t="n">
        <v>96.20999999999999</v>
      </c>
      <c r="EC641" s="2" t="n">
        <v>97.95999999999999</v>
      </c>
      <c r="ED641" s="2" t="n">
        <v>0</v>
      </c>
      <c r="EE641" s="2" t="n">
        <v>97.95999999999999</v>
      </c>
      <c r="EF641" s="2" t="n">
        <v>99.65000000000001</v>
      </c>
      <c r="EG641" s="2" t="n">
        <v>0</v>
      </c>
      <c r="EH641" s="2" t="n">
        <v>99.92</v>
      </c>
      <c r="EI641" s="2" t="n">
        <v>99.92</v>
      </c>
      <c r="EJ641" s="2" t="n">
        <v>0</v>
      </c>
      <c r="EK641" s="2" t="n">
        <v>99.92</v>
      </c>
      <c r="EL641" s="2" t="n">
        <v>99.92</v>
      </c>
      <c r="EM641" s="2" t="n">
        <v>0</v>
      </c>
      <c r="EN641" s="2" t="n">
        <v>99.92</v>
      </c>
      <c r="EO641" s="2" t="n">
        <v>99.92</v>
      </c>
      <c r="EP641" s="2" t="n">
        <v>0</v>
      </c>
      <c r="EQ641" s="2" t="n">
        <v>99.92</v>
      </c>
      <c r="ER641" s="2" t="n">
        <v>99.92</v>
      </c>
      <c r="ES641" s="2" t="n">
        <v>0</v>
      </c>
    </row>
    <row r="642">
      <c r="A642" s="2" t="n">
        <v>3</v>
      </c>
      <c r="B642" s="2" t="inlineStr">
        <is>
          <t>30.01.01</t>
        </is>
      </c>
      <c r="C642" s="2" t="inlineStr">
        <is>
          <t>Porcelanato</t>
        </is>
      </c>
      <c r="D642" s="2" t="inlineStr">
        <is>
          <t>06/09/2027</t>
        </is>
      </c>
      <c r="E642" s="2" t="inlineStr">
        <is>
          <t>28/09/2028</t>
        </is>
      </c>
      <c r="F642" s="2" t="n">
        <v>1822942.203467994</v>
      </c>
      <c r="G642" s="2" t="n">
        <v>0</v>
      </c>
      <c r="H642" s="2" t="n">
        <v>1822942.203467994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0</v>
      </c>
      <c r="AM642" s="2" t="n">
        <v>0</v>
      </c>
      <c r="AN642" s="2" t="n">
        <v>0</v>
      </c>
      <c r="AO642" s="2" t="n">
        <v>0</v>
      </c>
      <c r="AP642" s="2" t="n">
        <v>0</v>
      </c>
      <c r="AQ642" s="2" t="n">
        <v>0</v>
      </c>
      <c r="AR642" s="2" t="n">
        <v>0</v>
      </c>
      <c r="AS642" s="2" t="n">
        <v>0</v>
      </c>
      <c r="AT642" s="2" t="n">
        <v>0</v>
      </c>
      <c r="AU642" s="2" t="n">
        <v>0</v>
      </c>
      <c r="AV642" s="2" t="n">
        <v>0</v>
      </c>
      <c r="AW642" s="2" t="n">
        <v>0</v>
      </c>
      <c r="AX642" s="2" t="n">
        <v>0</v>
      </c>
      <c r="AY642" s="2" t="n">
        <v>0</v>
      </c>
      <c r="AZ642" s="2" t="n">
        <v>0</v>
      </c>
      <c r="BA642" s="2" t="n">
        <v>0</v>
      </c>
      <c r="BB642" s="2" t="n">
        <v>0</v>
      </c>
      <c r="BC642" s="2" t="n">
        <v>0</v>
      </c>
      <c r="BD642" s="2" t="n">
        <v>0</v>
      </c>
      <c r="BE642" s="2" t="n">
        <v>0</v>
      </c>
      <c r="BF642" s="2" t="n">
        <v>0</v>
      </c>
      <c r="BG642" s="2" t="n">
        <v>0</v>
      </c>
      <c r="BH642" s="2" t="n">
        <v>0</v>
      </c>
      <c r="BI642" s="2" t="n">
        <v>0</v>
      </c>
      <c r="BJ642" s="2" t="n">
        <v>0</v>
      </c>
      <c r="BK642" s="2" t="n">
        <v>0</v>
      </c>
      <c r="BL642" s="2" t="n">
        <v>0</v>
      </c>
      <c r="BM642" s="2" t="n">
        <v>0</v>
      </c>
      <c r="BN642" s="2" t="n">
        <v>0</v>
      </c>
      <c r="BO642" s="2" t="n">
        <v>0</v>
      </c>
      <c r="BP642" s="2" t="n">
        <v>0</v>
      </c>
      <c r="BQ642" s="2" t="n">
        <v>0</v>
      </c>
      <c r="BR642" s="2" t="n">
        <v>0</v>
      </c>
      <c r="BS642" s="2" t="n">
        <v>0</v>
      </c>
      <c r="BT642" s="2" t="n">
        <v>0</v>
      </c>
      <c r="BU642" s="2" t="n">
        <v>0</v>
      </c>
      <c r="BV642" s="2" t="n">
        <v>0</v>
      </c>
      <c r="BW642" s="2" t="n">
        <v>0</v>
      </c>
      <c r="BX642" s="2" t="n">
        <v>0</v>
      </c>
      <c r="BY642" s="2" t="n">
        <v>0</v>
      </c>
      <c r="BZ642" s="2" t="n">
        <v>0</v>
      </c>
      <c r="CA642" s="2" t="n">
        <v>0</v>
      </c>
      <c r="CB642" s="2" t="n">
        <v>0</v>
      </c>
      <c r="CC642" s="2" t="n">
        <v>0</v>
      </c>
      <c r="CD642" s="2" t="n">
        <v>0</v>
      </c>
      <c r="CE642" s="2" t="n">
        <v>0</v>
      </c>
      <c r="CF642" s="2" t="n">
        <v>0</v>
      </c>
      <c r="CG642" s="2" t="n">
        <v>0</v>
      </c>
      <c r="CH642" s="2" t="n">
        <v>0</v>
      </c>
      <c r="CI642" s="2" t="n">
        <v>0</v>
      </c>
      <c r="CJ642" s="2" t="n">
        <v>0</v>
      </c>
      <c r="CK642" s="2" t="n">
        <v>0</v>
      </c>
      <c r="CL642" s="2" t="n">
        <v>5.5</v>
      </c>
      <c r="CM642" s="2" t="n">
        <v>7.62</v>
      </c>
      <c r="CN642" s="2" t="n">
        <v>0</v>
      </c>
      <c r="CO642" s="2" t="n">
        <v>13.97</v>
      </c>
      <c r="CP642" s="2" t="n">
        <v>16.09</v>
      </c>
      <c r="CQ642" s="2" t="n">
        <v>0</v>
      </c>
      <c r="CR642" s="2" t="n">
        <v>22.44</v>
      </c>
      <c r="CS642" s="2" t="n">
        <v>24.56</v>
      </c>
      <c r="CT642" s="2" t="n">
        <v>0</v>
      </c>
      <c r="CU642" s="2" t="n">
        <v>29.21</v>
      </c>
      <c r="CV642" s="2" t="n">
        <v>31.33</v>
      </c>
      <c r="CW642" s="2" t="n">
        <v>0</v>
      </c>
      <c r="CX642" s="2" t="n">
        <v>38.11</v>
      </c>
      <c r="CY642" s="2" t="n">
        <v>40.22</v>
      </c>
      <c r="CZ642" s="2" t="n">
        <v>0</v>
      </c>
      <c r="DA642" s="2" t="n">
        <v>47.12</v>
      </c>
      <c r="DB642" s="2" t="n">
        <v>49.25</v>
      </c>
      <c r="DC642" s="2" t="n">
        <v>0</v>
      </c>
      <c r="DD642" s="2" t="n">
        <v>57.62</v>
      </c>
      <c r="DE642" s="2" t="n">
        <v>59.86</v>
      </c>
      <c r="DF642" s="2" t="n">
        <v>0</v>
      </c>
      <c r="DG642" s="2" t="n">
        <v>66.3</v>
      </c>
      <c r="DH642" s="2" t="n">
        <v>68.42</v>
      </c>
      <c r="DI642" s="2" t="n">
        <v>0</v>
      </c>
      <c r="DJ642" s="2" t="n">
        <v>75.62</v>
      </c>
      <c r="DK642" s="2" t="n">
        <v>77.73</v>
      </c>
      <c r="DL642" s="2" t="n">
        <v>0</v>
      </c>
      <c r="DM642" s="2" t="n">
        <v>84.51000000000001</v>
      </c>
      <c r="DN642" s="2" t="n">
        <v>86.73</v>
      </c>
      <c r="DO642" s="2" t="n">
        <v>0</v>
      </c>
      <c r="DP642" s="2" t="n">
        <v>92.72</v>
      </c>
      <c r="DQ642" s="2" t="n">
        <v>94.94</v>
      </c>
      <c r="DR642" s="2" t="n">
        <v>0</v>
      </c>
      <c r="DS642" s="2" t="n">
        <v>95.48</v>
      </c>
      <c r="DT642" s="2" t="n">
        <v>96.04000000000001</v>
      </c>
      <c r="DU642" s="2" t="n">
        <v>0</v>
      </c>
      <c r="DV642" s="2" t="n">
        <v>98.16</v>
      </c>
      <c r="DW642" s="2" t="n">
        <v>99.84999999999999</v>
      </c>
      <c r="DX642" s="2" t="n">
        <v>0</v>
      </c>
      <c r="DY642" s="2" t="n">
        <v>99.84999999999999</v>
      </c>
      <c r="DZ642" s="2" t="n">
        <v>99.84999999999999</v>
      </c>
      <c r="EA642" s="2" t="n">
        <v>0</v>
      </c>
      <c r="EB642" s="2" t="n">
        <v>99.84999999999999</v>
      </c>
      <c r="EC642" s="2" t="n">
        <v>99.84999999999999</v>
      </c>
      <c r="ED642" s="2" t="n">
        <v>0</v>
      </c>
      <c r="EE642" s="2" t="n">
        <v>99.84999999999999</v>
      </c>
      <c r="EF642" s="2" t="n">
        <v>99.84999999999999</v>
      </c>
      <c r="EG642" s="2" t="n">
        <v>0</v>
      </c>
      <c r="EH642" s="2" t="n">
        <v>99.84999999999999</v>
      </c>
      <c r="EI642" s="2" t="n">
        <v>99.84999999999999</v>
      </c>
      <c r="EJ642" s="2" t="n">
        <v>0</v>
      </c>
      <c r="EK642" s="2" t="n">
        <v>99.84999999999999</v>
      </c>
      <c r="EL642" s="2" t="n">
        <v>99.84999999999999</v>
      </c>
      <c r="EM642" s="2" t="n">
        <v>0</v>
      </c>
      <c r="EN642" s="2" t="n">
        <v>99.84999999999999</v>
      </c>
      <c r="EO642" s="2" t="n">
        <v>99.84999999999999</v>
      </c>
      <c r="EP642" s="2" t="n">
        <v>0</v>
      </c>
      <c r="EQ642" s="2" t="n">
        <v>99.84999999999999</v>
      </c>
      <c r="ER642" s="2" t="n">
        <v>99.84999999999999</v>
      </c>
      <c r="ES642" s="2" t="n">
        <v>0</v>
      </c>
    </row>
    <row r="643">
      <c r="A643" s="2" t="n">
        <v>4</v>
      </c>
      <c r="B643" s="2" t="inlineStr">
        <is>
          <t>30.01.01.01</t>
        </is>
      </c>
      <c r="C643" s="2" t="inlineStr">
        <is>
          <t>Piso Porcelanato, 120x120cm, com acabamento acetinado. Ref.: Eliane, Khali OffWhite AC, assentado com argamassa colante em pó ACIII</t>
        </is>
      </c>
      <c r="D643" s="2" t="inlineStr">
        <is>
          <t>06/09/2027</t>
        </is>
      </c>
      <c r="E643" s="2" t="inlineStr">
        <is>
          <t>28/09/2028</t>
        </is>
      </c>
      <c r="F643" s="2" t="n">
        <v>1626387.356618633</v>
      </c>
      <c r="G643" s="2" t="n">
        <v>0</v>
      </c>
      <c r="H643" s="2" t="n">
        <v>1626387.356618633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  <c r="AN643" s="2" t="n">
        <v>0</v>
      </c>
      <c r="AO643" s="2" t="n">
        <v>0</v>
      </c>
      <c r="AP643" s="2" t="n">
        <v>0</v>
      </c>
      <c r="AQ643" s="2" t="n">
        <v>0</v>
      </c>
      <c r="AR643" s="2" t="n">
        <v>0</v>
      </c>
      <c r="AS643" s="2" t="n">
        <v>0</v>
      </c>
      <c r="AT643" s="2" t="n">
        <v>0</v>
      </c>
      <c r="AU643" s="2" t="n">
        <v>0</v>
      </c>
      <c r="AV643" s="2" t="n">
        <v>0</v>
      </c>
      <c r="AW643" s="2" t="n">
        <v>0</v>
      </c>
      <c r="AX643" s="2" t="n">
        <v>0</v>
      </c>
      <c r="AY643" s="2" t="n">
        <v>0</v>
      </c>
      <c r="AZ643" s="2" t="n">
        <v>0</v>
      </c>
      <c r="BA643" s="2" t="n">
        <v>0</v>
      </c>
      <c r="BB643" s="2" t="n">
        <v>0</v>
      </c>
      <c r="BC643" s="2" t="n">
        <v>0</v>
      </c>
      <c r="BD643" s="2" t="n">
        <v>0</v>
      </c>
      <c r="BE643" s="2" t="n">
        <v>0</v>
      </c>
      <c r="BF643" s="2" t="n">
        <v>0</v>
      </c>
      <c r="BG643" s="2" t="n">
        <v>0</v>
      </c>
      <c r="BH643" s="2" t="n">
        <v>0</v>
      </c>
      <c r="BI643" s="2" t="n">
        <v>0</v>
      </c>
      <c r="BJ643" s="2" t="n">
        <v>0</v>
      </c>
      <c r="BK643" s="2" t="n">
        <v>0</v>
      </c>
      <c r="BL643" s="2" t="n">
        <v>0</v>
      </c>
      <c r="BM643" s="2" t="n">
        <v>0</v>
      </c>
      <c r="BN643" s="2" t="n">
        <v>0</v>
      </c>
      <c r="BO643" s="2" t="n">
        <v>0</v>
      </c>
      <c r="BP643" s="2" t="n">
        <v>0</v>
      </c>
      <c r="BQ643" s="2" t="n">
        <v>0</v>
      </c>
      <c r="BR643" s="2" t="n">
        <v>0</v>
      </c>
      <c r="BS643" s="2" t="n">
        <v>0</v>
      </c>
      <c r="BT643" s="2" t="n">
        <v>0</v>
      </c>
      <c r="BU643" s="2" t="n">
        <v>0</v>
      </c>
      <c r="BV643" s="2" t="n">
        <v>0</v>
      </c>
      <c r="BW643" s="2" t="n">
        <v>0</v>
      </c>
      <c r="BX643" s="2" t="n">
        <v>0</v>
      </c>
      <c r="BY643" s="2" t="n">
        <v>0</v>
      </c>
      <c r="BZ643" s="2" t="n">
        <v>0</v>
      </c>
      <c r="CA643" s="2" t="n">
        <v>0</v>
      </c>
      <c r="CB643" s="2" t="n">
        <v>0</v>
      </c>
      <c r="CC643" s="2" t="n">
        <v>0</v>
      </c>
      <c r="CD643" s="2" t="n">
        <v>0</v>
      </c>
      <c r="CE643" s="2" t="n">
        <v>0</v>
      </c>
      <c r="CF643" s="2" t="n">
        <v>0</v>
      </c>
      <c r="CG643" s="2" t="n">
        <v>0</v>
      </c>
      <c r="CH643" s="2" t="n">
        <v>0</v>
      </c>
      <c r="CI643" s="2" t="n">
        <v>0</v>
      </c>
      <c r="CJ643" s="2" t="n">
        <v>0</v>
      </c>
      <c r="CK643" s="2" t="n">
        <v>0</v>
      </c>
      <c r="CL643" s="2" t="n">
        <v>5.5</v>
      </c>
      <c r="CM643" s="2" t="n">
        <v>7.62</v>
      </c>
      <c r="CN643" s="2" t="n">
        <v>0</v>
      </c>
      <c r="CO643" s="2" t="n">
        <v>13.97</v>
      </c>
      <c r="CP643" s="2" t="n">
        <v>16.09</v>
      </c>
      <c r="CQ643" s="2" t="n">
        <v>0</v>
      </c>
      <c r="CR643" s="2" t="n">
        <v>22.44</v>
      </c>
      <c r="CS643" s="2" t="n">
        <v>24.56</v>
      </c>
      <c r="CT643" s="2" t="n">
        <v>0</v>
      </c>
      <c r="CU643" s="2" t="n">
        <v>29.21</v>
      </c>
      <c r="CV643" s="2" t="n">
        <v>31.33</v>
      </c>
      <c r="CW643" s="2" t="n">
        <v>0</v>
      </c>
      <c r="CX643" s="2" t="n">
        <v>38.11</v>
      </c>
      <c r="CY643" s="2" t="n">
        <v>40.22</v>
      </c>
      <c r="CZ643" s="2" t="n">
        <v>0</v>
      </c>
      <c r="DA643" s="2" t="n">
        <v>47.12</v>
      </c>
      <c r="DB643" s="2" t="n">
        <v>49.25</v>
      </c>
      <c r="DC643" s="2" t="n">
        <v>0</v>
      </c>
      <c r="DD643" s="2" t="n">
        <v>57.62</v>
      </c>
      <c r="DE643" s="2" t="n">
        <v>59.86</v>
      </c>
      <c r="DF643" s="2" t="n">
        <v>0</v>
      </c>
      <c r="DG643" s="2" t="n">
        <v>66.3</v>
      </c>
      <c r="DH643" s="2" t="n">
        <v>68.42</v>
      </c>
      <c r="DI643" s="2" t="n">
        <v>0</v>
      </c>
      <c r="DJ643" s="2" t="n">
        <v>75.62</v>
      </c>
      <c r="DK643" s="2" t="n">
        <v>77.73</v>
      </c>
      <c r="DL643" s="2" t="n">
        <v>0</v>
      </c>
      <c r="DM643" s="2" t="n">
        <v>84.51000000000001</v>
      </c>
      <c r="DN643" s="2" t="n">
        <v>86.73</v>
      </c>
      <c r="DO643" s="2" t="n">
        <v>0</v>
      </c>
      <c r="DP643" s="2" t="n">
        <v>92.72</v>
      </c>
      <c r="DQ643" s="2" t="n">
        <v>94.94</v>
      </c>
      <c r="DR643" s="2" t="n">
        <v>0</v>
      </c>
      <c r="DS643" s="2" t="n">
        <v>95.48</v>
      </c>
      <c r="DT643" s="2" t="n">
        <v>96.04000000000001</v>
      </c>
      <c r="DU643" s="2" t="n">
        <v>0</v>
      </c>
      <c r="DV643" s="2" t="n">
        <v>98.16</v>
      </c>
      <c r="DW643" s="2" t="n">
        <v>99.84999999999999</v>
      </c>
      <c r="DX643" s="2" t="n">
        <v>0</v>
      </c>
      <c r="DY643" s="2" t="n">
        <v>99.84999999999999</v>
      </c>
      <c r="DZ643" s="2" t="n">
        <v>99.84999999999999</v>
      </c>
      <c r="EA643" s="2" t="n">
        <v>0</v>
      </c>
      <c r="EB643" s="2" t="n">
        <v>99.84999999999999</v>
      </c>
      <c r="EC643" s="2" t="n">
        <v>99.84999999999999</v>
      </c>
      <c r="ED643" s="2" t="n">
        <v>0</v>
      </c>
      <c r="EE643" s="2" t="n">
        <v>99.84999999999999</v>
      </c>
      <c r="EF643" s="2" t="n">
        <v>99.84999999999999</v>
      </c>
      <c r="EG643" s="2" t="n">
        <v>0</v>
      </c>
      <c r="EH643" s="2" t="n">
        <v>99.84999999999999</v>
      </c>
      <c r="EI643" s="2" t="n">
        <v>99.84999999999999</v>
      </c>
      <c r="EJ643" s="2" t="n">
        <v>0</v>
      </c>
      <c r="EK643" s="2" t="n">
        <v>99.84999999999999</v>
      </c>
      <c r="EL643" s="2" t="n">
        <v>99.84999999999999</v>
      </c>
      <c r="EM643" s="2" t="n">
        <v>0</v>
      </c>
      <c r="EN643" s="2" t="n">
        <v>99.84999999999999</v>
      </c>
      <c r="EO643" s="2" t="n">
        <v>99.84999999999999</v>
      </c>
      <c r="EP643" s="2" t="n">
        <v>0</v>
      </c>
      <c r="EQ643" s="2" t="n">
        <v>99.84999999999999</v>
      </c>
      <c r="ER643" s="2" t="n">
        <v>99.84999999999999</v>
      </c>
      <c r="ES643" s="2" t="n">
        <v>0</v>
      </c>
    </row>
    <row r="644">
      <c r="A644" s="2" t="n">
        <v>4</v>
      </c>
      <c r="B644" s="2" t="inlineStr">
        <is>
          <t>30.01.01.02</t>
        </is>
      </c>
      <c r="C644" s="2" t="inlineStr">
        <is>
          <t>Piso Porcelanato, 90x90cm, com acabamento acetinado. Ref.: Eliane, Khali OffWhite AC, assentado com argamassa colante em pó ACIII</t>
        </is>
      </c>
      <c r="D644" s="2" t="inlineStr">
        <is>
          <t>06/09/2027</t>
        </is>
      </c>
      <c r="E644" s="2" t="inlineStr">
        <is>
          <t>28/09/2028</t>
        </is>
      </c>
      <c r="F644" s="2" t="n">
        <v>109859.4855055257</v>
      </c>
      <c r="G644" s="2" t="n">
        <v>0</v>
      </c>
      <c r="H644" s="2" t="n">
        <v>109859.4855055257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0</v>
      </c>
      <c r="AM644" s="2" t="n">
        <v>0</v>
      </c>
      <c r="AN644" s="2" t="n">
        <v>0</v>
      </c>
      <c r="AO644" s="2" t="n">
        <v>0</v>
      </c>
      <c r="AP644" s="2" t="n">
        <v>0</v>
      </c>
      <c r="AQ644" s="2" t="n">
        <v>0</v>
      </c>
      <c r="AR644" s="2" t="n">
        <v>0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 t="n">
        <v>0</v>
      </c>
      <c r="AX644" s="2" t="n">
        <v>0</v>
      </c>
      <c r="AY644" s="2" t="n">
        <v>0</v>
      </c>
      <c r="AZ644" s="2" t="n">
        <v>0</v>
      </c>
      <c r="BA644" s="2" t="n">
        <v>0</v>
      </c>
      <c r="BB644" s="2" t="n">
        <v>0</v>
      </c>
      <c r="BC644" s="2" t="n">
        <v>0</v>
      </c>
      <c r="BD644" s="2" t="n">
        <v>0</v>
      </c>
      <c r="BE644" s="2" t="n">
        <v>0</v>
      </c>
      <c r="BF644" s="2" t="n">
        <v>0</v>
      </c>
      <c r="BG644" s="2" t="n">
        <v>0</v>
      </c>
      <c r="BH644" s="2" t="n">
        <v>0</v>
      </c>
      <c r="BI644" s="2" t="n">
        <v>0</v>
      </c>
      <c r="BJ644" s="2" t="n">
        <v>0</v>
      </c>
      <c r="BK644" s="2" t="n">
        <v>0</v>
      </c>
      <c r="BL644" s="2" t="n">
        <v>0</v>
      </c>
      <c r="BM644" s="2" t="n">
        <v>0</v>
      </c>
      <c r="BN644" s="2" t="n">
        <v>0</v>
      </c>
      <c r="BO644" s="2" t="n">
        <v>0</v>
      </c>
      <c r="BP644" s="2" t="n">
        <v>0</v>
      </c>
      <c r="BQ644" s="2" t="n">
        <v>0</v>
      </c>
      <c r="BR644" s="2" t="n">
        <v>0</v>
      </c>
      <c r="BS644" s="2" t="n">
        <v>0</v>
      </c>
      <c r="BT644" s="2" t="n">
        <v>0</v>
      </c>
      <c r="BU644" s="2" t="n">
        <v>0</v>
      </c>
      <c r="BV644" s="2" t="n">
        <v>0</v>
      </c>
      <c r="BW644" s="2" t="n">
        <v>0</v>
      </c>
      <c r="BX644" s="2" t="n">
        <v>0</v>
      </c>
      <c r="BY644" s="2" t="n">
        <v>0</v>
      </c>
      <c r="BZ644" s="2" t="n">
        <v>0</v>
      </c>
      <c r="CA644" s="2" t="n">
        <v>0</v>
      </c>
      <c r="CB644" s="2" t="n">
        <v>0</v>
      </c>
      <c r="CC644" s="2" t="n">
        <v>0</v>
      </c>
      <c r="CD644" s="2" t="n">
        <v>0</v>
      </c>
      <c r="CE644" s="2" t="n">
        <v>0</v>
      </c>
      <c r="CF644" s="2" t="n">
        <v>0</v>
      </c>
      <c r="CG644" s="2" t="n">
        <v>0</v>
      </c>
      <c r="CH644" s="2" t="n">
        <v>0</v>
      </c>
      <c r="CI644" s="2" t="n">
        <v>0</v>
      </c>
      <c r="CJ644" s="2" t="n">
        <v>0</v>
      </c>
      <c r="CK644" s="2" t="n">
        <v>0</v>
      </c>
      <c r="CL644" s="2" t="n">
        <v>5.5</v>
      </c>
      <c r="CM644" s="2" t="n">
        <v>7.62</v>
      </c>
      <c r="CN644" s="2" t="n">
        <v>0</v>
      </c>
      <c r="CO644" s="2" t="n">
        <v>13.97</v>
      </c>
      <c r="CP644" s="2" t="n">
        <v>16.09</v>
      </c>
      <c r="CQ644" s="2" t="n">
        <v>0</v>
      </c>
      <c r="CR644" s="2" t="n">
        <v>22.44</v>
      </c>
      <c r="CS644" s="2" t="n">
        <v>24.56</v>
      </c>
      <c r="CT644" s="2" t="n">
        <v>0</v>
      </c>
      <c r="CU644" s="2" t="n">
        <v>29.21</v>
      </c>
      <c r="CV644" s="2" t="n">
        <v>31.33</v>
      </c>
      <c r="CW644" s="2" t="n">
        <v>0</v>
      </c>
      <c r="CX644" s="2" t="n">
        <v>38.11</v>
      </c>
      <c r="CY644" s="2" t="n">
        <v>40.22</v>
      </c>
      <c r="CZ644" s="2" t="n">
        <v>0</v>
      </c>
      <c r="DA644" s="2" t="n">
        <v>47.12</v>
      </c>
      <c r="DB644" s="2" t="n">
        <v>49.25</v>
      </c>
      <c r="DC644" s="2" t="n">
        <v>0</v>
      </c>
      <c r="DD644" s="2" t="n">
        <v>57.62</v>
      </c>
      <c r="DE644" s="2" t="n">
        <v>59.86</v>
      </c>
      <c r="DF644" s="2" t="n">
        <v>0</v>
      </c>
      <c r="DG644" s="2" t="n">
        <v>66.3</v>
      </c>
      <c r="DH644" s="2" t="n">
        <v>68.42</v>
      </c>
      <c r="DI644" s="2" t="n">
        <v>0</v>
      </c>
      <c r="DJ644" s="2" t="n">
        <v>75.62</v>
      </c>
      <c r="DK644" s="2" t="n">
        <v>77.73</v>
      </c>
      <c r="DL644" s="2" t="n">
        <v>0</v>
      </c>
      <c r="DM644" s="2" t="n">
        <v>84.51000000000001</v>
      </c>
      <c r="DN644" s="2" t="n">
        <v>86.73</v>
      </c>
      <c r="DO644" s="2" t="n">
        <v>0</v>
      </c>
      <c r="DP644" s="2" t="n">
        <v>92.72</v>
      </c>
      <c r="DQ644" s="2" t="n">
        <v>94.94</v>
      </c>
      <c r="DR644" s="2" t="n">
        <v>0</v>
      </c>
      <c r="DS644" s="2" t="n">
        <v>95.48</v>
      </c>
      <c r="DT644" s="2" t="n">
        <v>96.04000000000001</v>
      </c>
      <c r="DU644" s="2" t="n">
        <v>0</v>
      </c>
      <c r="DV644" s="2" t="n">
        <v>98.16</v>
      </c>
      <c r="DW644" s="2" t="n">
        <v>99.84999999999999</v>
      </c>
      <c r="DX644" s="2" t="n">
        <v>0</v>
      </c>
      <c r="DY644" s="2" t="n">
        <v>99.84999999999999</v>
      </c>
      <c r="DZ644" s="2" t="n">
        <v>99.84999999999999</v>
      </c>
      <c r="EA644" s="2" t="n">
        <v>0</v>
      </c>
      <c r="EB644" s="2" t="n">
        <v>99.84999999999999</v>
      </c>
      <c r="EC644" s="2" t="n">
        <v>99.84999999999999</v>
      </c>
      <c r="ED644" s="2" t="n">
        <v>0</v>
      </c>
      <c r="EE644" s="2" t="n">
        <v>99.84999999999999</v>
      </c>
      <c r="EF644" s="2" t="n">
        <v>99.84999999999999</v>
      </c>
      <c r="EG644" s="2" t="n">
        <v>0</v>
      </c>
      <c r="EH644" s="2" t="n">
        <v>99.84999999999999</v>
      </c>
      <c r="EI644" s="2" t="n">
        <v>99.84999999999999</v>
      </c>
      <c r="EJ644" s="2" t="n">
        <v>0</v>
      </c>
      <c r="EK644" s="2" t="n">
        <v>99.84999999999999</v>
      </c>
      <c r="EL644" s="2" t="n">
        <v>99.84999999999999</v>
      </c>
      <c r="EM644" s="2" t="n">
        <v>0</v>
      </c>
      <c r="EN644" s="2" t="n">
        <v>99.84999999999999</v>
      </c>
      <c r="EO644" s="2" t="n">
        <v>99.84999999999999</v>
      </c>
      <c r="EP644" s="2" t="n">
        <v>0</v>
      </c>
      <c r="EQ644" s="2" t="n">
        <v>99.84999999999999</v>
      </c>
      <c r="ER644" s="2" t="n">
        <v>99.84999999999999</v>
      </c>
      <c r="ES644" s="2" t="n">
        <v>0</v>
      </c>
    </row>
    <row r="645">
      <c r="A645" s="2" t="n">
        <v>4</v>
      </c>
      <c r="B645" s="2" t="inlineStr">
        <is>
          <t>30.01.01.03</t>
        </is>
      </c>
      <c r="C645" s="2" t="inlineStr">
        <is>
          <t>Piso Porcelanato, 120x120cm, com acabamento resistente ao escorregamento. Ref.: Eliane, Khali OffWhite EXT, assentado com argamassa colante em pó ACIII</t>
        </is>
      </c>
      <c r="D645" s="2" t="inlineStr">
        <is>
          <t>06/09/2027</t>
        </is>
      </c>
      <c r="E645" s="2" t="inlineStr">
        <is>
          <t>28/09/2028</t>
        </is>
      </c>
      <c r="F645" s="2" t="n">
        <v>37762.23243934309</v>
      </c>
      <c r="G645" s="2" t="n">
        <v>0</v>
      </c>
      <c r="H645" s="2" t="n">
        <v>37762.23243934309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0</v>
      </c>
      <c r="AM645" s="2" t="n">
        <v>0</v>
      </c>
      <c r="AN645" s="2" t="n">
        <v>0</v>
      </c>
      <c r="AO645" s="2" t="n">
        <v>0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 t="n">
        <v>0</v>
      </c>
      <c r="AX645" s="2" t="n">
        <v>0</v>
      </c>
      <c r="AY645" s="2" t="n">
        <v>0</v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n">
        <v>0</v>
      </c>
      <c r="BE645" s="2" t="n">
        <v>0</v>
      </c>
      <c r="BF645" s="2" t="n">
        <v>0</v>
      </c>
      <c r="BG645" s="2" t="n">
        <v>0</v>
      </c>
      <c r="BH645" s="2" t="n">
        <v>0</v>
      </c>
      <c r="BI645" s="2" t="n">
        <v>0</v>
      </c>
      <c r="BJ645" s="2" t="n">
        <v>0</v>
      </c>
      <c r="BK645" s="2" t="n">
        <v>0</v>
      </c>
      <c r="BL645" s="2" t="n">
        <v>0</v>
      </c>
      <c r="BM645" s="2" t="n">
        <v>0</v>
      </c>
      <c r="BN645" s="2" t="n">
        <v>0</v>
      </c>
      <c r="BO645" s="2" t="n">
        <v>0</v>
      </c>
      <c r="BP645" s="2" t="n">
        <v>0</v>
      </c>
      <c r="BQ645" s="2" t="n">
        <v>0</v>
      </c>
      <c r="BR645" s="2" t="n">
        <v>0</v>
      </c>
      <c r="BS645" s="2" t="n">
        <v>0</v>
      </c>
      <c r="BT645" s="2" t="n">
        <v>0</v>
      </c>
      <c r="BU645" s="2" t="n">
        <v>0</v>
      </c>
      <c r="BV645" s="2" t="n">
        <v>0</v>
      </c>
      <c r="BW645" s="2" t="n">
        <v>0</v>
      </c>
      <c r="BX645" s="2" t="n">
        <v>0</v>
      </c>
      <c r="BY645" s="2" t="n">
        <v>0</v>
      </c>
      <c r="BZ645" s="2" t="n">
        <v>0</v>
      </c>
      <c r="CA645" s="2" t="n">
        <v>0</v>
      </c>
      <c r="CB645" s="2" t="n">
        <v>0</v>
      </c>
      <c r="CC645" s="2" t="n">
        <v>0</v>
      </c>
      <c r="CD645" s="2" t="n">
        <v>0</v>
      </c>
      <c r="CE645" s="2" t="n">
        <v>0</v>
      </c>
      <c r="CF645" s="2" t="n">
        <v>0</v>
      </c>
      <c r="CG645" s="2" t="n">
        <v>0</v>
      </c>
      <c r="CH645" s="2" t="n">
        <v>0</v>
      </c>
      <c r="CI645" s="2" t="n">
        <v>0</v>
      </c>
      <c r="CJ645" s="2" t="n">
        <v>0</v>
      </c>
      <c r="CK645" s="2" t="n">
        <v>0</v>
      </c>
      <c r="CL645" s="2" t="n">
        <v>5.5</v>
      </c>
      <c r="CM645" s="2" t="n">
        <v>7.62</v>
      </c>
      <c r="CN645" s="2" t="n">
        <v>0</v>
      </c>
      <c r="CO645" s="2" t="n">
        <v>13.97</v>
      </c>
      <c r="CP645" s="2" t="n">
        <v>16.09</v>
      </c>
      <c r="CQ645" s="2" t="n">
        <v>0</v>
      </c>
      <c r="CR645" s="2" t="n">
        <v>22.44</v>
      </c>
      <c r="CS645" s="2" t="n">
        <v>24.56</v>
      </c>
      <c r="CT645" s="2" t="n">
        <v>0</v>
      </c>
      <c r="CU645" s="2" t="n">
        <v>29.21</v>
      </c>
      <c r="CV645" s="2" t="n">
        <v>31.33</v>
      </c>
      <c r="CW645" s="2" t="n">
        <v>0</v>
      </c>
      <c r="CX645" s="2" t="n">
        <v>38.11</v>
      </c>
      <c r="CY645" s="2" t="n">
        <v>40.22</v>
      </c>
      <c r="CZ645" s="2" t="n">
        <v>0</v>
      </c>
      <c r="DA645" s="2" t="n">
        <v>47.12</v>
      </c>
      <c r="DB645" s="2" t="n">
        <v>49.25</v>
      </c>
      <c r="DC645" s="2" t="n">
        <v>0</v>
      </c>
      <c r="DD645" s="2" t="n">
        <v>57.62</v>
      </c>
      <c r="DE645" s="2" t="n">
        <v>59.86</v>
      </c>
      <c r="DF645" s="2" t="n">
        <v>0</v>
      </c>
      <c r="DG645" s="2" t="n">
        <v>66.3</v>
      </c>
      <c r="DH645" s="2" t="n">
        <v>68.42</v>
      </c>
      <c r="DI645" s="2" t="n">
        <v>0</v>
      </c>
      <c r="DJ645" s="2" t="n">
        <v>75.62</v>
      </c>
      <c r="DK645" s="2" t="n">
        <v>77.73</v>
      </c>
      <c r="DL645" s="2" t="n">
        <v>0</v>
      </c>
      <c r="DM645" s="2" t="n">
        <v>84.51000000000001</v>
      </c>
      <c r="DN645" s="2" t="n">
        <v>86.73</v>
      </c>
      <c r="DO645" s="2" t="n">
        <v>0</v>
      </c>
      <c r="DP645" s="2" t="n">
        <v>92.72</v>
      </c>
      <c r="DQ645" s="2" t="n">
        <v>94.94</v>
      </c>
      <c r="DR645" s="2" t="n">
        <v>0</v>
      </c>
      <c r="DS645" s="2" t="n">
        <v>95.48</v>
      </c>
      <c r="DT645" s="2" t="n">
        <v>96.04000000000001</v>
      </c>
      <c r="DU645" s="2" t="n">
        <v>0</v>
      </c>
      <c r="DV645" s="2" t="n">
        <v>98.16</v>
      </c>
      <c r="DW645" s="2" t="n">
        <v>99.84999999999999</v>
      </c>
      <c r="DX645" s="2" t="n">
        <v>0</v>
      </c>
      <c r="DY645" s="2" t="n">
        <v>99.84999999999999</v>
      </c>
      <c r="DZ645" s="2" t="n">
        <v>99.84999999999999</v>
      </c>
      <c r="EA645" s="2" t="n">
        <v>0</v>
      </c>
      <c r="EB645" s="2" t="n">
        <v>99.84999999999999</v>
      </c>
      <c r="EC645" s="2" t="n">
        <v>99.84999999999999</v>
      </c>
      <c r="ED645" s="2" t="n">
        <v>0</v>
      </c>
      <c r="EE645" s="2" t="n">
        <v>99.84999999999999</v>
      </c>
      <c r="EF645" s="2" t="n">
        <v>99.84999999999999</v>
      </c>
      <c r="EG645" s="2" t="n">
        <v>0</v>
      </c>
      <c r="EH645" s="2" t="n">
        <v>99.84999999999999</v>
      </c>
      <c r="EI645" s="2" t="n">
        <v>99.84999999999999</v>
      </c>
      <c r="EJ645" s="2" t="n">
        <v>0</v>
      </c>
      <c r="EK645" s="2" t="n">
        <v>99.84999999999999</v>
      </c>
      <c r="EL645" s="2" t="n">
        <v>99.84999999999999</v>
      </c>
      <c r="EM645" s="2" t="n">
        <v>0</v>
      </c>
      <c r="EN645" s="2" t="n">
        <v>99.84999999999999</v>
      </c>
      <c r="EO645" s="2" t="n">
        <v>99.84999999999999</v>
      </c>
      <c r="EP645" s="2" t="n">
        <v>0</v>
      </c>
      <c r="EQ645" s="2" t="n">
        <v>99.84999999999999</v>
      </c>
      <c r="ER645" s="2" t="n">
        <v>99.84999999999999</v>
      </c>
      <c r="ES645" s="2" t="n">
        <v>0</v>
      </c>
    </row>
    <row r="646">
      <c r="A646" s="2" t="n">
        <v>4</v>
      </c>
      <c r="B646" s="2" t="inlineStr">
        <is>
          <t>30.01.01.04</t>
        </is>
      </c>
      <c r="C646" s="2" t="inlineStr">
        <is>
          <t>Piso Porcelanato 90x90cm, com acabamento acetinado. Ref.: Eliane, Munari Branco AC, assentado com argamassa colante em pó ACIII</t>
        </is>
      </c>
      <c r="D646" s="2" t="inlineStr">
        <is>
          <t>06/09/2027</t>
        </is>
      </c>
      <c r="E646" s="2" t="inlineStr">
        <is>
          <t>28/09/2028</t>
        </is>
      </c>
      <c r="F646" s="2" t="n">
        <v>3833.522855622626</v>
      </c>
      <c r="G646" s="2" t="n">
        <v>0</v>
      </c>
      <c r="H646" s="2" t="n">
        <v>3833.522855622626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  <c r="AN646" s="2" t="n">
        <v>0</v>
      </c>
      <c r="AO646" s="2" t="n">
        <v>0</v>
      </c>
      <c r="AP646" s="2" t="n">
        <v>0</v>
      </c>
      <c r="AQ646" s="2" t="n">
        <v>0</v>
      </c>
      <c r="AR646" s="2" t="n">
        <v>0</v>
      </c>
      <c r="AS646" s="2" t="n">
        <v>0</v>
      </c>
      <c r="AT646" s="2" t="n">
        <v>0</v>
      </c>
      <c r="AU646" s="2" t="n">
        <v>0</v>
      </c>
      <c r="AV646" s="2" t="n">
        <v>0</v>
      </c>
      <c r="AW646" s="2" t="n">
        <v>0</v>
      </c>
      <c r="AX646" s="2" t="n">
        <v>0</v>
      </c>
      <c r="AY646" s="2" t="n">
        <v>0</v>
      </c>
      <c r="AZ646" s="2" t="n">
        <v>0</v>
      </c>
      <c r="BA646" s="2" t="n">
        <v>0</v>
      </c>
      <c r="BB646" s="2" t="n">
        <v>0</v>
      </c>
      <c r="BC646" s="2" t="n">
        <v>0</v>
      </c>
      <c r="BD646" s="2" t="n">
        <v>0</v>
      </c>
      <c r="BE646" s="2" t="n">
        <v>0</v>
      </c>
      <c r="BF646" s="2" t="n">
        <v>0</v>
      </c>
      <c r="BG646" s="2" t="n">
        <v>0</v>
      </c>
      <c r="BH646" s="2" t="n">
        <v>0</v>
      </c>
      <c r="BI646" s="2" t="n">
        <v>0</v>
      </c>
      <c r="BJ646" s="2" t="n">
        <v>0</v>
      </c>
      <c r="BK646" s="2" t="n">
        <v>0</v>
      </c>
      <c r="BL646" s="2" t="n">
        <v>0</v>
      </c>
      <c r="BM646" s="2" t="n">
        <v>0</v>
      </c>
      <c r="BN646" s="2" t="n">
        <v>0</v>
      </c>
      <c r="BO646" s="2" t="n">
        <v>0</v>
      </c>
      <c r="BP646" s="2" t="n">
        <v>0</v>
      </c>
      <c r="BQ646" s="2" t="n">
        <v>0</v>
      </c>
      <c r="BR646" s="2" t="n">
        <v>0</v>
      </c>
      <c r="BS646" s="2" t="n">
        <v>0</v>
      </c>
      <c r="BT646" s="2" t="n">
        <v>0</v>
      </c>
      <c r="BU646" s="2" t="n">
        <v>0</v>
      </c>
      <c r="BV646" s="2" t="n">
        <v>0</v>
      </c>
      <c r="BW646" s="2" t="n">
        <v>0</v>
      </c>
      <c r="BX646" s="2" t="n">
        <v>0</v>
      </c>
      <c r="BY646" s="2" t="n">
        <v>0</v>
      </c>
      <c r="BZ646" s="2" t="n">
        <v>0</v>
      </c>
      <c r="CA646" s="2" t="n">
        <v>0</v>
      </c>
      <c r="CB646" s="2" t="n">
        <v>0</v>
      </c>
      <c r="CC646" s="2" t="n">
        <v>0</v>
      </c>
      <c r="CD646" s="2" t="n">
        <v>0</v>
      </c>
      <c r="CE646" s="2" t="n">
        <v>0</v>
      </c>
      <c r="CF646" s="2" t="n">
        <v>0</v>
      </c>
      <c r="CG646" s="2" t="n">
        <v>0</v>
      </c>
      <c r="CH646" s="2" t="n">
        <v>0</v>
      </c>
      <c r="CI646" s="2" t="n">
        <v>0</v>
      </c>
      <c r="CJ646" s="2" t="n">
        <v>0</v>
      </c>
      <c r="CK646" s="2" t="n">
        <v>0</v>
      </c>
      <c r="CL646" s="2" t="n">
        <v>5.5</v>
      </c>
      <c r="CM646" s="2" t="n">
        <v>7.62</v>
      </c>
      <c r="CN646" s="2" t="n">
        <v>0</v>
      </c>
      <c r="CO646" s="2" t="n">
        <v>13.97</v>
      </c>
      <c r="CP646" s="2" t="n">
        <v>16.09</v>
      </c>
      <c r="CQ646" s="2" t="n">
        <v>0</v>
      </c>
      <c r="CR646" s="2" t="n">
        <v>22.44</v>
      </c>
      <c r="CS646" s="2" t="n">
        <v>24.56</v>
      </c>
      <c r="CT646" s="2" t="n">
        <v>0</v>
      </c>
      <c r="CU646" s="2" t="n">
        <v>29.21</v>
      </c>
      <c r="CV646" s="2" t="n">
        <v>31.33</v>
      </c>
      <c r="CW646" s="2" t="n">
        <v>0</v>
      </c>
      <c r="CX646" s="2" t="n">
        <v>38.11</v>
      </c>
      <c r="CY646" s="2" t="n">
        <v>40.22</v>
      </c>
      <c r="CZ646" s="2" t="n">
        <v>0</v>
      </c>
      <c r="DA646" s="2" t="n">
        <v>47.12</v>
      </c>
      <c r="DB646" s="2" t="n">
        <v>49.25</v>
      </c>
      <c r="DC646" s="2" t="n">
        <v>0</v>
      </c>
      <c r="DD646" s="2" t="n">
        <v>57.62</v>
      </c>
      <c r="DE646" s="2" t="n">
        <v>59.86</v>
      </c>
      <c r="DF646" s="2" t="n">
        <v>0</v>
      </c>
      <c r="DG646" s="2" t="n">
        <v>66.3</v>
      </c>
      <c r="DH646" s="2" t="n">
        <v>68.42</v>
      </c>
      <c r="DI646" s="2" t="n">
        <v>0</v>
      </c>
      <c r="DJ646" s="2" t="n">
        <v>75.62</v>
      </c>
      <c r="DK646" s="2" t="n">
        <v>77.73</v>
      </c>
      <c r="DL646" s="2" t="n">
        <v>0</v>
      </c>
      <c r="DM646" s="2" t="n">
        <v>84.51000000000001</v>
      </c>
      <c r="DN646" s="2" t="n">
        <v>86.73</v>
      </c>
      <c r="DO646" s="2" t="n">
        <v>0</v>
      </c>
      <c r="DP646" s="2" t="n">
        <v>92.72</v>
      </c>
      <c r="DQ646" s="2" t="n">
        <v>94.94</v>
      </c>
      <c r="DR646" s="2" t="n">
        <v>0</v>
      </c>
      <c r="DS646" s="2" t="n">
        <v>95.48</v>
      </c>
      <c r="DT646" s="2" t="n">
        <v>96.04000000000001</v>
      </c>
      <c r="DU646" s="2" t="n">
        <v>0</v>
      </c>
      <c r="DV646" s="2" t="n">
        <v>98.16</v>
      </c>
      <c r="DW646" s="2" t="n">
        <v>99.84999999999999</v>
      </c>
      <c r="DX646" s="2" t="n">
        <v>0</v>
      </c>
      <c r="DY646" s="2" t="n">
        <v>99.84999999999999</v>
      </c>
      <c r="DZ646" s="2" t="n">
        <v>99.84999999999999</v>
      </c>
      <c r="EA646" s="2" t="n">
        <v>0</v>
      </c>
      <c r="EB646" s="2" t="n">
        <v>99.84999999999999</v>
      </c>
      <c r="EC646" s="2" t="n">
        <v>99.84999999999999</v>
      </c>
      <c r="ED646" s="2" t="n">
        <v>0</v>
      </c>
      <c r="EE646" s="2" t="n">
        <v>99.84999999999999</v>
      </c>
      <c r="EF646" s="2" t="n">
        <v>99.84999999999999</v>
      </c>
      <c r="EG646" s="2" t="n">
        <v>0</v>
      </c>
      <c r="EH646" s="2" t="n">
        <v>99.84999999999999</v>
      </c>
      <c r="EI646" s="2" t="n">
        <v>99.84999999999999</v>
      </c>
      <c r="EJ646" s="2" t="n">
        <v>0</v>
      </c>
      <c r="EK646" s="2" t="n">
        <v>99.84999999999999</v>
      </c>
      <c r="EL646" s="2" t="n">
        <v>99.84999999999999</v>
      </c>
      <c r="EM646" s="2" t="n">
        <v>0</v>
      </c>
      <c r="EN646" s="2" t="n">
        <v>99.84999999999999</v>
      </c>
      <c r="EO646" s="2" t="n">
        <v>99.84999999999999</v>
      </c>
      <c r="EP646" s="2" t="n">
        <v>0</v>
      </c>
      <c r="EQ646" s="2" t="n">
        <v>99.84999999999999</v>
      </c>
      <c r="ER646" s="2" t="n">
        <v>99.84999999999999</v>
      </c>
      <c r="ES646" s="2" t="n">
        <v>0</v>
      </c>
    </row>
    <row r="647">
      <c r="A647" s="2" t="n">
        <v>4</v>
      </c>
      <c r="B647" s="2" t="inlineStr">
        <is>
          <t>30.01.01.05</t>
        </is>
      </c>
      <c r="C647" s="2" t="inlineStr">
        <is>
          <t>Piso Porcelanato 60x60cm, com acabamento acetinado. Ref.: Eliane, Munari Branco AC assentado com argamassa colante em pó ACIII</t>
        </is>
      </c>
      <c r="D647" s="2" t="inlineStr">
        <is>
          <t>06/09/2027</t>
        </is>
      </c>
      <c r="E647" s="2" t="inlineStr">
        <is>
          <t>28/09/2028</t>
        </is>
      </c>
      <c r="F647" s="2" t="n">
        <v>26853.370096</v>
      </c>
      <c r="G647" s="2" t="n">
        <v>0</v>
      </c>
      <c r="H647" s="2" t="n">
        <v>26853.370096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  <c r="AM647" s="2" t="n">
        <v>0</v>
      </c>
      <c r="AN647" s="2" t="n">
        <v>0</v>
      </c>
      <c r="AO647" s="2" t="n">
        <v>0</v>
      </c>
      <c r="AP647" s="2" t="n">
        <v>0</v>
      </c>
      <c r="AQ647" s="2" t="n">
        <v>0</v>
      </c>
      <c r="AR647" s="2" t="n">
        <v>0</v>
      </c>
      <c r="AS647" s="2" t="n">
        <v>0</v>
      </c>
      <c r="AT647" s="2" t="n">
        <v>0</v>
      </c>
      <c r="AU647" s="2" t="n">
        <v>0</v>
      </c>
      <c r="AV647" s="2" t="n">
        <v>0</v>
      </c>
      <c r="AW647" s="2" t="n">
        <v>0</v>
      </c>
      <c r="AX647" s="2" t="n">
        <v>0</v>
      </c>
      <c r="AY647" s="2" t="n">
        <v>0</v>
      </c>
      <c r="AZ647" s="2" t="n">
        <v>0</v>
      </c>
      <c r="BA647" s="2" t="n">
        <v>0</v>
      </c>
      <c r="BB647" s="2" t="n">
        <v>0</v>
      </c>
      <c r="BC647" s="2" t="n">
        <v>0</v>
      </c>
      <c r="BD647" s="2" t="n">
        <v>0</v>
      </c>
      <c r="BE647" s="2" t="n">
        <v>0</v>
      </c>
      <c r="BF647" s="2" t="n">
        <v>0</v>
      </c>
      <c r="BG647" s="2" t="n">
        <v>0</v>
      </c>
      <c r="BH647" s="2" t="n">
        <v>0</v>
      </c>
      <c r="BI647" s="2" t="n">
        <v>0</v>
      </c>
      <c r="BJ647" s="2" t="n">
        <v>0</v>
      </c>
      <c r="BK647" s="2" t="n">
        <v>0</v>
      </c>
      <c r="BL647" s="2" t="n">
        <v>0</v>
      </c>
      <c r="BM647" s="2" t="n">
        <v>0</v>
      </c>
      <c r="BN647" s="2" t="n">
        <v>0</v>
      </c>
      <c r="BO647" s="2" t="n">
        <v>0</v>
      </c>
      <c r="BP647" s="2" t="n">
        <v>0</v>
      </c>
      <c r="BQ647" s="2" t="n">
        <v>0</v>
      </c>
      <c r="BR647" s="2" t="n">
        <v>0</v>
      </c>
      <c r="BS647" s="2" t="n">
        <v>0</v>
      </c>
      <c r="BT647" s="2" t="n">
        <v>0</v>
      </c>
      <c r="BU647" s="2" t="n">
        <v>0</v>
      </c>
      <c r="BV647" s="2" t="n">
        <v>0</v>
      </c>
      <c r="BW647" s="2" t="n">
        <v>0</v>
      </c>
      <c r="BX647" s="2" t="n">
        <v>0</v>
      </c>
      <c r="BY647" s="2" t="n">
        <v>0</v>
      </c>
      <c r="BZ647" s="2" t="n">
        <v>0</v>
      </c>
      <c r="CA647" s="2" t="n">
        <v>0</v>
      </c>
      <c r="CB647" s="2" t="n">
        <v>0</v>
      </c>
      <c r="CC647" s="2" t="n">
        <v>0</v>
      </c>
      <c r="CD647" s="2" t="n">
        <v>0</v>
      </c>
      <c r="CE647" s="2" t="n">
        <v>0</v>
      </c>
      <c r="CF647" s="2" t="n">
        <v>0</v>
      </c>
      <c r="CG647" s="2" t="n">
        <v>0</v>
      </c>
      <c r="CH647" s="2" t="n">
        <v>0</v>
      </c>
      <c r="CI647" s="2" t="n">
        <v>0</v>
      </c>
      <c r="CJ647" s="2" t="n">
        <v>0</v>
      </c>
      <c r="CK647" s="2" t="n">
        <v>0</v>
      </c>
      <c r="CL647" s="2" t="n">
        <v>5.5</v>
      </c>
      <c r="CM647" s="2" t="n">
        <v>7.62</v>
      </c>
      <c r="CN647" s="2" t="n">
        <v>0</v>
      </c>
      <c r="CO647" s="2" t="n">
        <v>13.97</v>
      </c>
      <c r="CP647" s="2" t="n">
        <v>16.09</v>
      </c>
      <c r="CQ647" s="2" t="n">
        <v>0</v>
      </c>
      <c r="CR647" s="2" t="n">
        <v>22.44</v>
      </c>
      <c r="CS647" s="2" t="n">
        <v>24.56</v>
      </c>
      <c r="CT647" s="2" t="n">
        <v>0</v>
      </c>
      <c r="CU647" s="2" t="n">
        <v>29.21</v>
      </c>
      <c r="CV647" s="2" t="n">
        <v>31.33</v>
      </c>
      <c r="CW647" s="2" t="n">
        <v>0</v>
      </c>
      <c r="CX647" s="2" t="n">
        <v>38.11</v>
      </c>
      <c r="CY647" s="2" t="n">
        <v>40.22</v>
      </c>
      <c r="CZ647" s="2" t="n">
        <v>0</v>
      </c>
      <c r="DA647" s="2" t="n">
        <v>47.12</v>
      </c>
      <c r="DB647" s="2" t="n">
        <v>49.25</v>
      </c>
      <c r="DC647" s="2" t="n">
        <v>0</v>
      </c>
      <c r="DD647" s="2" t="n">
        <v>57.62</v>
      </c>
      <c r="DE647" s="2" t="n">
        <v>59.86</v>
      </c>
      <c r="DF647" s="2" t="n">
        <v>0</v>
      </c>
      <c r="DG647" s="2" t="n">
        <v>66.3</v>
      </c>
      <c r="DH647" s="2" t="n">
        <v>68.42</v>
      </c>
      <c r="DI647" s="2" t="n">
        <v>0</v>
      </c>
      <c r="DJ647" s="2" t="n">
        <v>75.62</v>
      </c>
      <c r="DK647" s="2" t="n">
        <v>77.73</v>
      </c>
      <c r="DL647" s="2" t="n">
        <v>0</v>
      </c>
      <c r="DM647" s="2" t="n">
        <v>84.51000000000001</v>
      </c>
      <c r="DN647" s="2" t="n">
        <v>86.73</v>
      </c>
      <c r="DO647" s="2" t="n">
        <v>0</v>
      </c>
      <c r="DP647" s="2" t="n">
        <v>92.72</v>
      </c>
      <c r="DQ647" s="2" t="n">
        <v>94.94</v>
      </c>
      <c r="DR647" s="2" t="n">
        <v>0</v>
      </c>
      <c r="DS647" s="2" t="n">
        <v>95.48</v>
      </c>
      <c r="DT647" s="2" t="n">
        <v>96.04000000000001</v>
      </c>
      <c r="DU647" s="2" t="n">
        <v>0</v>
      </c>
      <c r="DV647" s="2" t="n">
        <v>98.16</v>
      </c>
      <c r="DW647" s="2" t="n">
        <v>99.84999999999999</v>
      </c>
      <c r="DX647" s="2" t="n">
        <v>0</v>
      </c>
      <c r="DY647" s="2" t="n">
        <v>99.84999999999999</v>
      </c>
      <c r="DZ647" s="2" t="n">
        <v>99.84999999999999</v>
      </c>
      <c r="EA647" s="2" t="n">
        <v>0</v>
      </c>
      <c r="EB647" s="2" t="n">
        <v>99.84999999999999</v>
      </c>
      <c r="EC647" s="2" t="n">
        <v>99.84999999999999</v>
      </c>
      <c r="ED647" s="2" t="n">
        <v>0</v>
      </c>
      <c r="EE647" s="2" t="n">
        <v>99.84999999999999</v>
      </c>
      <c r="EF647" s="2" t="n">
        <v>99.84999999999999</v>
      </c>
      <c r="EG647" s="2" t="n">
        <v>0</v>
      </c>
      <c r="EH647" s="2" t="n">
        <v>99.84999999999999</v>
      </c>
      <c r="EI647" s="2" t="n">
        <v>99.84999999999999</v>
      </c>
      <c r="EJ647" s="2" t="n">
        <v>0</v>
      </c>
      <c r="EK647" s="2" t="n">
        <v>99.84999999999999</v>
      </c>
      <c r="EL647" s="2" t="n">
        <v>99.84999999999999</v>
      </c>
      <c r="EM647" s="2" t="n">
        <v>0</v>
      </c>
      <c r="EN647" s="2" t="n">
        <v>99.84999999999999</v>
      </c>
      <c r="EO647" s="2" t="n">
        <v>99.84999999999999</v>
      </c>
      <c r="EP647" s="2" t="n">
        <v>0</v>
      </c>
      <c r="EQ647" s="2" t="n">
        <v>99.84999999999999</v>
      </c>
      <c r="ER647" s="2" t="n">
        <v>99.84999999999999</v>
      </c>
      <c r="ES647" s="2" t="n">
        <v>0</v>
      </c>
    </row>
    <row r="648">
      <c r="A648" s="2" t="n">
        <v>4</v>
      </c>
      <c r="B648" s="2" t="inlineStr">
        <is>
          <t>30.01.01.06</t>
        </is>
      </c>
      <c r="C648" s="2" t="inlineStr">
        <is>
          <t>Piso Porcelanato Eliane Munari Branco AC 90x90cm, assentado com argamassa colante em pó ACIII</t>
        </is>
      </c>
      <c r="D648" s="2" t="inlineStr">
        <is>
          <t>06/09/2027</t>
        </is>
      </c>
      <c r="E648" s="2" t="inlineStr">
        <is>
          <t>28/09/2028</t>
        </is>
      </c>
      <c r="F648" s="2" t="n">
        <v>1274.945858347828</v>
      </c>
      <c r="G648" s="2" t="n">
        <v>0</v>
      </c>
      <c r="H648" s="2" t="n">
        <v>1274.945858347828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0</v>
      </c>
      <c r="AN648" s="2" t="n">
        <v>0</v>
      </c>
      <c r="AO648" s="2" t="n">
        <v>0</v>
      </c>
      <c r="AP648" s="2" t="n">
        <v>0</v>
      </c>
      <c r="AQ648" s="2" t="n">
        <v>0</v>
      </c>
      <c r="AR648" s="2" t="n">
        <v>0</v>
      </c>
      <c r="AS648" s="2" t="n">
        <v>0</v>
      </c>
      <c r="AT648" s="2" t="n">
        <v>0</v>
      </c>
      <c r="AU648" s="2" t="n">
        <v>0</v>
      </c>
      <c r="AV648" s="2" t="n">
        <v>0</v>
      </c>
      <c r="AW648" s="2" t="n">
        <v>0</v>
      </c>
      <c r="AX648" s="2" t="n">
        <v>0</v>
      </c>
      <c r="AY648" s="2" t="n">
        <v>0</v>
      </c>
      <c r="AZ648" s="2" t="n">
        <v>0</v>
      </c>
      <c r="BA648" s="2" t="n">
        <v>0</v>
      </c>
      <c r="BB648" s="2" t="n">
        <v>0</v>
      </c>
      <c r="BC648" s="2" t="n">
        <v>0</v>
      </c>
      <c r="BD648" s="2" t="n">
        <v>0</v>
      </c>
      <c r="BE648" s="2" t="n">
        <v>0</v>
      </c>
      <c r="BF648" s="2" t="n">
        <v>0</v>
      </c>
      <c r="BG648" s="2" t="n">
        <v>0</v>
      </c>
      <c r="BH648" s="2" t="n">
        <v>0</v>
      </c>
      <c r="BI648" s="2" t="n">
        <v>0</v>
      </c>
      <c r="BJ648" s="2" t="n">
        <v>0</v>
      </c>
      <c r="BK648" s="2" t="n">
        <v>0</v>
      </c>
      <c r="BL648" s="2" t="n">
        <v>0</v>
      </c>
      <c r="BM648" s="2" t="n">
        <v>0</v>
      </c>
      <c r="BN648" s="2" t="n">
        <v>0</v>
      </c>
      <c r="BO648" s="2" t="n">
        <v>0</v>
      </c>
      <c r="BP648" s="2" t="n">
        <v>0</v>
      </c>
      <c r="BQ648" s="2" t="n">
        <v>0</v>
      </c>
      <c r="BR648" s="2" t="n">
        <v>0</v>
      </c>
      <c r="BS648" s="2" t="n">
        <v>0</v>
      </c>
      <c r="BT648" s="2" t="n">
        <v>0</v>
      </c>
      <c r="BU648" s="2" t="n">
        <v>0</v>
      </c>
      <c r="BV648" s="2" t="n">
        <v>0</v>
      </c>
      <c r="BW648" s="2" t="n">
        <v>0</v>
      </c>
      <c r="BX648" s="2" t="n">
        <v>0</v>
      </c>
      <c r="BY648" s="2" t="n">
        <v>0</v>
      </c>
      <c r="BZ648" s="2" t="n">
        <v>0</v>
      </c>
      <c r="CA648" s="2" t="n">
        <v>0</v>
      </c>
      <c r="CB648" s="2" t="n">
        <v>0</v>
      </c>
      <c r="CC648" s="2" t="n">
        <v>0</v>
      </c>
      <c r="CD648" s="2" t="n">
        <v>0</v>
      </c>
      <c r="CE648" s="2" t="n">
        <v>0</v>
      </c>
      <c r="CF648" s="2" t="n">
        <v>0</v>
      </c>
      <c r="CG648" s="2" t="n">
        <v>0</v>
      </c>
      <c r="CH648" s="2" t="n">
        <v>0</v>
      </c>
      <c r="CI648" s="2" t="n">
        <v>0</v>
      </c>
      <c r="CJ648" s="2" t="n">
        <v>0</v>
      </c>
      <c r="CK648" s="2" t="n">
        <v>0</v>
      </c>
      <c r="CL648" s="2" t="n">
        <v>5.5</v>
      </c>
      <c r="CM648" s="2" t="n">
        <v>7.62</v>
      </c>
      <c r="CN648" s="2" t="n">
        <v>0</v>
      </c>
      <c r="CO648" s="2" t="n">
        <v>13.97</v>
      </c>
      <c r="CP648" s="2" t="n">
        <v>16.09</v>
      </c>
      <c r="CQ648" s="2" t="n">
        <v>0</v>
      </c>
      <c r="CR648" s="2" t="n">
        <v>22.44</v>
      </c>
      <c r="CS648" s="2" t="n">
        <v>24.56</v>
      </c>
      <c r="CT648" s="2" t="n">
        <v>0</v>
      </c>
      <c r="CU648" s="2" t="n">
        <v>29.21</v>
      </c>
      <c r="CV648" s="2" t="n">
        <v>31.33</v>
      </c>
      <c r="CW648" s="2" t="n">
        <v>0</v>
      </c>
      <c r="CX648" s="2" t="n">
        <v>38.11</v>
      </c>
      <c r="CY648" s="2" t="n">
        <v>40.22</v>
      </c>
      <c r="CZ648" s="2" t="n">
        <v>0</v>
      </c>
      <c r="DA648" s="2" t="n">
        <v>47.12</v>
      </c>
      <c r="DB648" s="2" t="n">
        <v>49.25</v>
      </c>
      <c r="DC648" s="2" t="n">
        <v>0</v>
      </c>
      <c r="DD648" s="2" t="n">
        <v>57.62</v>
      </c>
      <c r="DE648" s="2" t="n">
        <v>59.86</v>
      </c>
      <c r="DF648" s="2" t="n">
        <v>0</v>
      </c>
      <c r="DG648" s="2" t="n">
        <v>66.3</v>
      </c>
      <c r="DH648" s="2" t="n">
        <v>68.42</v>
      </c>
      <c r="DI648" s="2" t="n">
        <v>0</v>
      </c>
      <c r="DJ648" s="2" t="n">
        <v>75.62</v>
      </c>
      <c r="DK648" s="2" t="n">
        <v>77.73</v>
      </c>
      <c r="DL648" s="2" t="n">
        <v>0</v>
      </c>
      <c r="DM648" s="2" t="n">
        <v>84.51000000000001</v>
      </c>
      <c r="DN648" s="2" t="n">
        <v>86.73</v>
      </c>
      <c r="DO648" s="2" t="n">
        <v>0</v>
      </c>
      <c r="DP648" s="2" t="n">
        <v>92.72</v>
      </c>
      <c r="DQ648" s="2" t="n">
        <v>94.94</v>
      </c>
      <c r="DR648" s="2" t="n">
        <v>0</v>
      </c>
      <c r="DS648" s="2" t="n">
        <v>95.48</v>
      </c>
      <c r="DT648" s="2" t="n">
        <v>96.04000000000001</v>
      </c>
      <c r="DU648" s="2" t="n">
        <v>0</v>
      </c>
      <c r="DV648" s="2" t="n">
        <v>98.16</v>
      </c>
      <c r="DW648" s="2" t="n">
        <v>99.84999999999999</v>
      </c>
      <c r="DX648" s="2" t="n">
        <v>0</v>
      </c>
      <c r="DY648" s="2" t="n">
        <v>99.84999999999999</v>
      </c>
      <c r="DZ648" s="2" t="n">
        <v>99.84999999999999</v>
      </c>
      <c r="EA648" s="2" t="n">
        <v>0</v>
      </c>
      <c r="EB648" s="2" t="n">
        <v>99.84999999999999</v>
      </c>
      <c r="EC648" s="2" t="n">
        <v>99.84999999999999</v>
      </c>
      <c r="ED648" s="2" t="n">
        <v>0</v>
      </c>
      <c r="EE648" s="2" t="n">
        <v>99.84999999999999</v>
      </c>
      <c r="EF648" s="2" t="n">
        <v>99.84999999999999</v>
      </c>
      <c r="EG648" s="2" t="n">
        <v>0</v>
      </c>
      <c r="EH648" s="2" t="n">
        <v>99.84999999999999</v>
      </c>
      <c r="EI648" s="2" t="n">
        <v>99.84999999999999</v>
      </c>
      <c r="EJ648" s="2" t="n">
        <v>0</v>
      </c>
      <c r="EK648" s="2" t="n">
        <v>99.84999999999999</v>
      </c>
      <c r="EL648" s="2" t="n">
        <v>99.84999999999999</v>
      </c>
      <c r="EM648" s="2" t="n">
        <v>0</v>
      </c>
      <c r="EN648" s="2" t="n">
        <v>99.84999999999999</v>
      </c>
      <c r="EO648" s="2" t="n">
        <v>99.84999999999999</v>
      </c>
      <c r="EP648" s="2" t="n">
        <v>0</v>
      </c>
      <c r="EQ648" s="2" t="n">
        <v>99.84999999999999</v>
      </c>
      <c r="ER648" s="2" t="n">
        <v>99.84999999999999</v>
      </c>
      <c r="ES648" s="2" t="n">
        <v>0</v>
      </c>
    </row>
    <row r="649">
      <c r="A649" s="2" t="n">
        <v>4</v>
      </c>
      <c r="B649" s="2" t="inlineStr">
        <is>
          <t>30.01.01.07</t>
        </is>
      </c>
      <c r="C649" s="2" t="inlineStr">
        <is>
          <t>Piso Porcelanato Eliane FGMF Silica Corda MA 120x120cm, assentado com argamassa colante em pó ACIII</t>
        </is>
      </c>
      <c r="D649" s="2" t="inlineStr">
        <is>
          <t>06/09/2027</t>
        </is>
      </c>
      <c r="E649" s="2" t="inlineStr">
        <is>
          <t>28/09/2028</t>
        </is>
      </c>
      <c r="F649" s="2" t="n">
        <v>16971.29009452077</v>
      </c>
      <c r="G649" s="2" t="n">
        <v>0</v>
      </c>
      <c r="H649" s="2" t="n">
        <v>16971.29009452077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s="2" t="n">
        <v>0</v>
      </c>
      <c r="AN649" s="2" t="n">
        <v>0</v>
      </c>
      <c r="AO649" s="2" t="n">
        <v>0</v>
      </c>
      <c r="AP649" s="2" t="n">
        <v>0</v>
      </c>
      <c r="AQ649" s="2" t="n">
        <v>0</v>
      </c>
      <c r="AR649" s="2" t="n">
        <v>0</v>
      </c>
      <c r="AS649" s="2" t="n">
        <v>0</v>
      </c>
      <c r="AT649" s="2" t="n">
        <v>0</v>
      </c>
      <c r="AU649" s="2" t="n">
        <v>0</v>
      </c>
      <c r="AV649" s="2" t="n">
        <v>0</v>
      </c>
      <c r="AW649" s="2" t="n">
        <v>0</v>
      </c>
      <c r="AX649" s="2" t="n">
        <v>0</v>
      </c>
      <c r="AY649" s="2" t="n">
        <v>0</v>
      </c>
      <c r="AZ649" s="2" t="n">
        <v>0</v>
      </c>
      <c r="BA649" s="2" t="n">
        <v>0</v>
      </c>
      <c r="BB649" s="2" t="n">
        <v>0</v>
      </c>
      <c r="BC649" s="2" t="n">
        <v>0</v>
      </c>
      <c r="BD649" s="2" t="n">
        <v>0</v>
      </c>
      <c r="BE649" s="2" t="n">
        <v>0</v>
      </c>
      <c r="BF649" s="2" t="n">
        <v>0</v>
      </c>
      <c r="BG649" s="2" t="n">
        <v>0</v>
      </c>
      <c r="BH649" s="2" t="n">
        <v>0</v>
      </c>
      <c r="BI649" s="2" t="n">
        <v>0</v>
      </c>
      <c r="BJ649" s="2" t="n">
        <v>0</v>
      </c>
      <c r="BK649" s="2" t="n">
        <v>0</v>
      </c>
      <c r="BL649" s="2" t="n">
        <v>0</v>
      </c>
      <c r="BM649" s="2" t="n">
        <v>0</v>
      </c>
      <c r="BN649" s="2" t="n">
        <v>0</v>
      </c>
      <c r="BO649" s="2" t="n">
        <v>0</v>
      </c>
      <c r="BP649" s="2" t="n">
        <v>0</v>
      </c>
      <c r="BQ649" s="2" t="n">
        <v>0</v>
      </c>
      <c r="BR649" s="2" t="n">
        <v>0</v>
      </c>
      <c r="BS649" s="2" t="n">
        <v>0</v>
      </c>
      <c r="BT649" s="2" t="n">
        <v>0</v>
      </c>
      <c r="BU649" s="2" t="n">
        <v>0</v>
      </c>
      <c r="BV649" s="2" t="n">
        <v>0</v>
      </c>
      <c r="BW649" s="2" t="n">
        <v>0</v>
      </c>
      <c r="BX649" s="2" t="n">
        <v>0</v>
      </c>
      <c r="BY649" s="2" t="n">
        <v>0</v>
      </c>
      <c r="BZ649" s="2" t="n">
        <v>0</v>
      </c>
      <c r="CA649" s="2" t="n">
        <v>0</v>
      </c>
      <c r="CB649" s="2" t="n">
        <v>0</v>
      </c>
      <c r="CC649" s="2" t="n">
        <v>0</v>
      </c>
      <c r="CD649" s="2" t="n">
        <v>0</v>
      </c>
      <c r="CE649" s="2" t="n">
        <v>0</v>
      </c>
      <c r="CF649" s="2" t="n">
        <v>0</v>
      </c>
      <c r="CG649" s="2" t="n">
        <v>0</v>
      </c>
      <c r="CH649" s="2" t="n">
        <v>0</v>
      </c>
      <c r="CI649" s="2" t="n">
        <v>0</v>
      </c>
      <c r="CJ649" s="2" t="n">
        <v>0</v>
      </c>
      <c r="CK649" s="2" t="n">
        <v>0</v>
      </c>
      <c r="CL649" s="2" t="n">
        <v>5.5</v>
      </c>
      <c r="CM649" s="2" t="n">
        <v>7.62</v>
      </c>
      <c r="CN649" s="2" t="n">
        <v>0</v>
      </c>
      <c r="CO649" s="2" t="n">
        <v>13.97</v>
      </c>
      <c r="CP649" s="2" t="n">
        <v>16.09</v>
      </c>
      <c r="CQ649" s="2" t="n">
        <v>0</v>
      </c>
      <c r="CR649" s="2" t="n">
        <v>22.44</v>
      </c>
      <c r="CS649" s="2" t="n">
        <v>24.56</v>
      </c>
      <c r="CT649" s="2" t="n">
        <v>0</v>
      </c>
      <c r="CU649" s="2" t="n">
        <v>29.21</v>
      </c>
      <c r="CV649" s="2" t="n">
        <v>31.33</v>
      </c>
      <c r="CW649" s="2" t="n">
        <v>0</v>
      </c>
      <c r="CX649" s="2" t="n">
        <v>38.11</v>
      </c>
      <c r="CY649" s="2" t="n">
        <v>40.22</v>
      </c>
      <c r="CZ649" s="2" t="n">
        <v>0</v>
      </c>
      <c r="DA649" s="2" t="n">
        <v>47.12</v>
      </c>
      <c r="DB649" s="2" t="n">
        <v>49.25</v>
      </c>
      <c r="DC649" s="2" t="n">
        <v>0</v>
      </c>
      <c r="DD649" s="2" t="n">
        <v>57.62</v>
      </c>
      <c r="DE649" s="2" t="n">
        <v>59.86</v>
      </c>
      <c r="DF649" s="2" t="n">
        <v>0</v>
      </c>
      <c r="DG649" s="2" t="n">
        <v>66.3</v>
      </c>
      <c r="DH649" s="2" t="n">
        <v>68.42</v>
      </c>
      <c r="DI649" s="2" t="n">
        <v>0</v>
      </c>
      <c r="DJ649" s="2" t="n">
        <v>75.62</v>
      </c>
      <c r="DK649" s="2" t="n">
        <v>77.73</v>
      </c>
      <c r="DL649" s="2" t="n">
        <v>0</v>
      </c>
      <c r="DM649" s="2" t="n">
        <v>84.51000000000001</v>
      </c>
      <c r="DN649" s="2" t="n">
        <v>86.73</v>
      </c>
      <c r="DO649" s="2" t="n">
        <v>0</v>
      </c>
      <c r="DP649" s="2" t="n">
        <v>92.72</v>
      </c>
      <c r="DQ649" s="2" t="n">
        <v>94.94</v>
      </c>
      <c r="DR649" s="2" t="n">
        <v>0</v>
      </c>
      <c r="DS649" s="2" t="n">
        <v>95.48</v>
      </c>
      <c r="DT649" s="2" t="n">
        <v>96.04000000000001</v>
      </c>
      <c r="DU649" s="2" t="n">
        <v>0</v>
      </c>
      <c r="DV649" s="2" t="n">
        <v>98.16</v>
      </c>
      <c r="DW649" s="2" t="n">
        <v>99.84999999999999</v>
      </c>
      <c r="DX649" s="2" t="n">
        <v>0</v>
      </c>
      <c r="DY649" s="2" t="n">
        <v>99.84999999999999</v>
      </c>
      <c r="DZ649" s="2" t="n">
        <v>99.84999999999999</v>
      </c>
      <c r="EA649" s="2" t="n">
        <v>0</v>
      </c>
      <c r="EB649" s="2" t="n">
        <v>99.84999999999999</v>
      </c>
      <c r="EC649" s="2" t="n">
        <v>99.84999999999999</v>
      </c>
      <c r="ED649" s="2" t="n">
        <v>0</v>
      </c>
      <c r="EE649" s="2" t="n">
        <v>99.84999999999999</v>
      </c>
      <c r="EF649" s="2" t="n">
        <v>99.84999999999999</v>
      </c>
      <c r="EG649" s="2" t="n">
        <v>0</v>
      </c>
      <c r="EH649" s="2" t="n">
        <v>99.84999999999999</v>
      </c>
      <c r="EI649" s="2" t="n">
        <v>99.84999999999999</v>
      </c>
      <c r="EJ649" s="2" t="n">
        <v>0</v>
      </c>
      <c r="EK649" s="2" t="n">
        <v>99.84999999999999</v>
      </c>
      <c r="EL649" s="2" t="n">
        <v>99.84999999999999</v>
      </c>
      <c r="EM649" s="2" t="n">
        <v>0</v>
      </c>
      <c r="EN649" s="2" t="n">
        <v>99.84999999999999</v>
      </c>
      <c r="EO649" s="2" t="n">
        <v>99.84999999999999</v>
      </c>
      <c r="EP649" s="2" t="n">
        <v>0</v>
      </c>
      <c r="EQ649" s="2" t="n">
        <v>99.84999999999999</v>
      </c>
      <c r="ER649" s="2" t="n">
        <v>99.84999999999999</v>
      </c>
      <c r="ES649" s="2" t="n">
        <v>0</v>
      </c>
    </row>
    <row r="650">
      <c r="A650" s="2" t="n">
        <v>3</v>
      </c>
      <c r="B650" s="2" t="inlineStr">
        <is>
          <t>30.01.02</t>
        </is>
      </c>
      <c r="C650" s="2" t="inlineStr">
        <is>
          <t>Emborrachados</t>
        </is>
      </c>
      <c r="D650" s="2" t="inlineStr">
        <is>
          <t>18/05/2028</t>
        </is>
      </c>
      <c r="E650" s="2" t="inlineStr">
        <is>
          <t>31/05/2028</t>
        </is>
      </c>
      <c r="F650" s="2" t="n">
        <v>39716.73</v>
      </c>
      <c r="G650" s="2" t="n">
        <v>0</v>
      </c>
      <c r="H650" s="2" t="n">
        <v>39716.73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0</v>
      </c>
      <c r="AM650" s="2" t="n">
        <v>0</v>
      </c>
      <c r="AN650" s="2" t="n">
        <v>0</v>
      </c>
      <c r="AO650" s="2" t="n">
        <v>0</v>
      </c>
      <c r="AP650" s="2" t="n">
        <v>0</v>
      </c>
      <c r="AQ650" s="2" t="n">
        <v>0</v>
      </c>
      <c r="AR650" s="2" t="n">
        <v>0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0</v>
      </c>
      <c r="AX650" s="2" t="n">
        <v>0</v>
      </c>
      <c r="AY650" s="2" t="n">
        <v>0</v>
      </c>
      <c r="AZ650" s="2" t="n">
        <v>0</v>
      </c>
      <c r="BA650" s="2" t="n">
        <v>0</v>
      </c>
      <c r="BB650" s="2" t="n">
        <v>0</v>
      </c>
      <c r="BC650" s="2" t="n">
        <v>0</v>
      </c>
      <c r="BD650" s="2" t="n">
        <v>0</v>
      </c>
      <c r="BE650" s="2" t="n">
        <v>0</v>
      </c>
      <c r="BF650" s="2" t="n">
        <v>0</v>
      </c>
      <c r="BG650" s="2" t="n">
        <v>0</v>
      </c>
      <c r="BH650" s="2" t="n">
        <v>0</v>
      </c>
      <c r="BI650" s="2" t="n">
        <v>0</v>
      </c>
      <c r="BJ650" s="2" t="n">
        <v>0</v>
      </c>
      <c r="BK650" s="2" t="n">
        <v>0</v>
      </c>
      <c r="BL650" s="2" t="n">
        <v>0</v>
      </c>
      <c r="BM650" s="2" t="n">
        <v>0</v>
      </c>
      <c r="BN650" s="2" t="n">
        <v>0</v>
      </c>
      <c r="BO650" s="2" t="n">
        <v>0</v>
      </c>
      <c r="BP650" s="2" t="n">
        <v>0</v>
      </c>
      <c r="BQ650" s="2" t="n">
        <v>0</v>
      </c>
      <c r="BR650" s="2" t="n">
        <v>0</v>
      </c>
      <c r="BS650" s="2" t="n">
        <v>0</v>
      </c>
      <c r="BT650" s="2" t="n">
        <v>0</v>
      </c>
      <c r="BU650" s="2" t="n">
        <v>0</v>
      </c>
      <c r="BV650" s="2" t="n">
        <v>0</v>
      </c>
      <c r="BW650" s="2" t="n">
        <v>0</v>
      </c>
      <c r="BX650" s="2" t="n">
        <v>0</v>
      </c>
      <c r="BY650" s="2" t="n">
        <v>0</v>
      </c>
      <c r="BZ650" s="2" t="n">
        <v>0</v>
      </c>
      <c r="CA650" s="2" t="n">
        <v>0</v>
      </c>
      <c r="CB650" s="2" t="n">
        <v>0</v>
      </c>
      <c r="CC650" s="2" t="n">
        <v>0</v>
      </c>
      <c r="CD650" s="2" t="n">
        <v>0</v>
      </c>
      <c r="CE650" s="2" t="n">
        <v>0</v>
      </c>
      <c r="CF650" s="2" t="n">
        <v>0</v>
      </c>
      <c r="CG650" s="2" t="n">
        <v>0</v>
      </c>
      <c r="CH650" s="2" t="n">
        <v>0</v>
      </c>
      <c r="CI650" s="2" t="n">
        <v>0</v>
      </c>
      <c r="CJ650" s="2" t="n">
        <v>0</v>
      </c>
      <c r="CK650" s="2" t="n">
        <v>0</v>
      </c>
      <c r="CL650" s="2" t="n">
        <v>0</v>
      </c>
      <c r="CM650" s="2" t="n">
        <v>0</v>
      </c>
      <c r="CN650" s="2" t="n">
        <v>0</v>
      </c>
      <c r="CO650" s="2" t="n">
        <v>0</v>
      </c>
      <c r="CP650" s="2" t="n">
        <v>0</v>
      </c>
      <c r="CQ650" s="2" t="n">
        <v>0</v>
      </c>
      <c r="CR650" s="2" t="n">
        <v>0</v>
      </c>
      <c r="CS650" s="2" t="n">
        <v>0</v>
      </c>
      <c r="CT650" s="2" t="n">
        <v>0</v>
      </c>
      <c r="CU650" s="2" t="n">
        <v>0</v>
      </c>
      <c r="CV650" s="2" t="n">
        <v>0</v>
      </c>
      <c r="CW650" s="2" t="n">
        <v>0</v>
      </c>
      <c r="CX650" s="2" t="n">
        <v>0</v>
      </c>
      <c r="CY650" s="2" t="n">
        <v>0</v>
      </c>
      <c r="CZ650" s="2" t="n">
        <v>0</v>
      </c>
      <c r="DA650" s="2" t="n">
        <v>0</v>
      </c>
      <c r="DB650" s="2" t="n">
        <v>0</v>
      </c>
      <c r="DC650" s="2" t="n">
        <v>0</v>
      </c>
      <c r="DD650" s="2" t="n">
        <v>0</v>
      </c>
      <c r="DE650" s="2" t="n">
        <v>0</v>
      </c>
      <c r="DF650" s="2" t="n">
        <v>0</v>
      </c>
      <c r="DG650" s="2" t="n">
        <v>0</v>
      </c>
      <c r="DH650" s="2" t="n">
        <v>0</v>
      </c>
      <c r="DI650" s="2" t="n">
        <v>0</v>
      </c>
      <c r="DJ650" s="2" t="n">
        <v>0</v>
      </c>
      <c r="DK650" s="2" t="n">
        <v>100</v>
      </c>
      <c r="DL650" s="2" t="n">
        <v>0</v>
      </c>
      <c r="DM650" s="2" t="n">
        <v>100</v>
      </c>
      <c r="DN650" s="2" t="n">
        <v>100</v>
      </c>
      <c r="DO650" s="2" t="n">
        <v>0</v>
      </c>
      <c r="DP650" s="2" t="n">
        <v>100</v>
      </c>
      <c r="DQ650" s="2" t="n">
        <v>100</v>
      </c>
      <c r="DR650" s="2" t="n">
        <v>0</v>
      </c>
      <c r="DS650" s="2" t="n">
        <v>100</v>
      </c>
      <c r="DT650" s="2" t="n">
        <v>100</v>
      </c>
      <c r="DU650" s="2" t="n">
        <v>0</v>
      </c>
      <c r="DV650" s="2" t="n">
        <v>100</v>
      </c>
      <c r="DW650" s="2" t="n">
        <v>100</v>
      </c>
      <c r="DX650" s="2" t="n">
        <v>0</v>
      </c>
      <c r="DY650" s="2" t="n">
        <v>100</v>
      </c>
      <c r="DZ650" s="2" t="n">
        <v>100</v>
      </c>
      <c r="EA650" s="2" t="n">
        <v>0</v>
      </c>
      <c r="EB650" s="2" t="n">
        <v>100</v>
      </c>
      <c r="EC650" s="2" t="n">
        <v>100</v>
      </c>
      <c r="ED650" s="2" t="n">
        <v>0</v>
      </c>
      <c r="EE650" s="2" t="n">
        <v>100</v>
      </c>
      <c r="EF650" s="2" t="n">
        <v>100</v>
      </c>
      <c r="EG650" s="2" t="n">
        <v>0</v>
      </c>
      <c r="EH650" s="2" t="n">
        <v>100</v>
      </c>
      <c r="EI650" s="2" t="n">
        <v>100</v>
      </c>
      <c r="EJ650" s="2" t="n">
        <v>0</v>
      </c>
      <c r="EK650" s="2" t="n">
        <v>100</v>
      </c>
      <c r="EL650" s="2" t="n">
        <v>100</v>
      </c>
      <c r="EM650" s="2" t="n">
        <v>0</v>
      </c>
      <c r="EN650" s="2" t="n">
        <v>100</v>
      </c>
      <c r="EO650" s="2" t="n">
        <v>100</v>
      </c>
      <c r="EP650" s="2" t="n">
        <v>0</v>
      </c>
      <c r="EQ650" s="2" t="n">
        <v>100</v>
      </c>
      <c r="ER650" s="2" t="n">
        <v>100</v>
      </c>
      <c r="ES650" s="2" t="n">
        <v>0</v>
      </c>
    </row>
    <row r="651">
      <c r="A651" s="2" t="n">
        <v>4</v>
      </c>
      <c r="B651" s="2" t="inlineStr">
        <is>
          <t>30.01.02.01</t>
        </is>
      </c>
      <c r="C651" s="2" t="inlineStr">
        <is>
          <t>Piso emborrachado Impact Soft Peso Livre Evolution (1x1m – Preto – Aubicon)</t>
        </is>
      </c>
      <c r="D651" s="2" t="inlineStr">
        <is>
          <t>18/05/2028</t>
        </is>
      </c>
      <c r="E651" s="2" t="inlineStr">
        <is>
          <t>31/05/2028</t>
        </is>
      </c>
      <c r="F651" s="2" t="n">
        <v>39716.73</v>
      </c>
      <c r="G651" s="2" t="n">
        <v>0</v>
      </c>
      <c r="H651" s="2" t="n">
        <v>39716.73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  <c r="AN651" s="2" t="n">
        <v>0</v>
      </c>
      <c r="AO651" s="2" t="n">
        <v>0</v>
      </c>
      <c r="AP651" s="2" t="n">
        <v>0</v>
      </c>
      <c r="AQ651" s="2" t="n">
        <v>0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0</v>
      </c>
      <c r="AX651" s="2" t="n">
        <v>0</v>
      </c>
      <c r="AY651" s="2" t="n">
        <v>0</v>
      </c>
      <c r="AZ651" s="2" t="n">
        <v>0</v>
      </c>
      <c r="BA651" s="2" t="n">
        <v>0</v>
      </c>
      <c r="BB651" s="2" t="n">
        <v>0</v>
      </c>
      <c r="BC651" s="2" t="n">
        <v>0</v>
      </c>
      <c r="BD651" s="2" t="n">
        <v>0</v>
      </c>
      <c r="BE651" s="2" t="n">
        <v>0</v>
      </c>
      <c r="BF651" s="2" t="n">
        <v>0</v>
      </c>
      <c r="BG651" s="2" t="n">
        <v>0</v>
      </c>
      <c r="BH651" s="2" t="n">
        <v>0</v>
      </c>
      <c r="BI651" s="2" t="n">
        <v>0</v>
      </c>
      <c r="BJ651" s="2" t="n">
        <v>0</v>
      </c>
      <c r="BK651" s="2" t="n">
        <v>0</v>
      </c>
      <c r="BL651" s="2" t="n">
        <v>0</v>
      </c>
      <c r="BM651" s="2" t="n">
        <v>0</v>
      </c>
      <c r="BN651" s="2" t="n">
        <v>0</v>
      </c>
      <c r="BO651" s="2" t="n">
        <v>0</v>
      </c>
      <c r="BP651" s="2" t="n">
        <v>0</v>
      </c>
      <c r="BQ651" s="2" t="n">
        <v>0</v>
      </c>
      <c r="BR651" s="2" t="n">
        <v>0</v>
      </c>
      <c r="BS651" s="2" t="n">
        <v>0</v>
      </c>
      <c r="BT651" s="2" t="n">
        <v>0</v>
      </c>
      <c r="BU651" s="2" t="n">
        <v>0</v>
      </c>
      <c r="BV651" s="2" t="n">
        <v>0</v>
      </c>
      <c r="BW651" s="2" t="n">
        <v>0</v>
      </c>
      <c r="BX651" s="2" t="n">
        <v>0</v>
      </c>
      <c r="BY651" s="2" t="n">
        <v>0</v>
      </c>
      <c r="BZ651" s="2" t="n">
        <v>0</v>
      </c>
      <c r="CA651" s="2" t="n">
        <v>0</v>
      </c>
      <c r="CB651" s="2" t="n">
        <v>0</v>
      </c>
      <c r="CC651" s="2" t="n">
        <v>0</v>
      </c>
      <c r="CD651" s="2" t="n">
        <v>0</v>
      </c>
      <c r="CE651" s="2" t="n">
        <v>0</v>
      </c>
      <c r="CF651" s="2" t="n">
        <v>0</v>
      </c>
      <c r="CG651" s="2" t="n">
        <v>0</v>
      </c>
      <c r="CH651" s="2" t="n">
        <v>0</v>
      </c>
      <c r="CI651" s="2" t="n">
        <v>0</v>
      </c>
      <c r="CJ651" s="2" t="n">
        <v>0</v>
      </c>
      <c r="CK651" s="2" t="n">
        <v>0</v>
      </c>
      <c r="CL651" s="2" t="n">
        <v>0</v>
      </c>
      <c r="CM651" s="2" t="n">
        <v>0</v>
      </c>
      <c r="CN651" s="2" t="n">
        <v>0</v>
      </c>
      <c r="CO651" s="2" t="n">
        <v>0</v>
      </c>
      <c r="CP651" s="2" t="n">
        <v>0</v>
      </c>
      <c r="CQ651" s="2" t="n">
        <v>0</v>
      </c>
      <c r="CR651" s="2" t="n">
        <v>0</v>
      </c>
      <c r="CS651" s="2" t="n">
        <v>0</v>
      </c>
      <c r="CT651" s="2" t="n">
        <v>0</v>
      </c>
      <c r="CU651" s="2" t="n">
        <v>0</v>
      </c>
      <c r="CV651" s="2" t="n">
        <v>0</v>
      </c>
      <c r="CW651" s="2" t="n">
        <v>0</v>
      </c>
      <c r="CX651" s="2" t="n">
        <v>0</v>
      </c>
      <c r="CY651" s="2" t="n">
        <v>0</v>
      </c>
      <c r="CZ651" s="2" t="n">
        <v>0</v>
      </c>
      <c r="DA651" s="2" t="n">
        <v>0</v>
      </c>
      <c r="DB651" s="2" t="n">
        <v>0</v>
      </c>
      <c r="DC651" s="2" t="n">
        <v>0</v>
      </c>
      <c r="DD651" s="2" t="n">
        <v>0</v>
      </c>
      <c r="DE651" s="2" t="n">
        <v>0</v>
      </c>
      <c r="DF651" s="2" t="n">
        <v>0</v>
      </c>
      <c r="DG651" s="2" t="n">
        <v>0</v>
      </c>
      <c r="DH651" s="2" t="n">
        <v>0</v>
      </c>
      <c r="DI651" s="2" t="n">
        <v>0</v>
      </c>
      <c r="DJ651" s="2" t="n">
        <v>0</v>
      </c>
      <c r="DK651" s="2" t="n">
        <v>100</v>
      </c>
      <c r="DL651" s="2" t="n">
        <v>0</v>
      </c>
      <c r="DM651" s="2" t="n">
        <v>100</v>
      </c>
      <c r="DN651" s="2" t="n">
        <v>100</v>
      </c>
      <c r="DO651" s="2" t="n">
        <v>0</v>
      </c>
      <c r="DP651" s="2" t="n">
        <v>100</v>
      </c>
      <c r="DQ651" s="2" t="n">
        <v>100</v>
      </c>
      <c r="DR651" s="2" t="n">
        <v>0</v>
      </c>
      <c r="DS651" s="2" t="n">
        <v>100</v>
      </c>
      <c r="DT651" s="2" t="n">
        <v>100</v>
      </c>
      <c r="DU651" s="2" t="n">
        <v>0</v>
      </c>
      <c r="DV651" s="2" t="n">
        <v>100</v>
      </c>
      <c r="DW651" s="2" t="n">
        <v>100</v>
      </c>
      <c r="DX651" s="2" t="n">
        <v>0</v>
      </c>
      <c r="DY651" s="2" t="n">
        <v>100</v>
      </c>
      <c r="DZ651" s="2" t="n">
        <v>100</v>
      </c>
      <c r="EA651" s="2" t="n">
        <v>0</v>
      </c>
      <c r="EB651" s="2" t="n">
        <v>100</v>
      </c>
      <c r="EC651" s="2" t="n">
        <v>100</v>
      </c>
      <c r="ED651" s="2" t="n">
        <v>0</v>
      </c>
      <c r="EE651" s="2" t="n">
        <v>100</v>
      </c>
      <c r="EF651" s="2" t="n">
        <v>100</v>
      </c>
      <c r="EG651" s="2" t="n">
        <v>0</v>
      </c>
      <c r="EH651" s="2" t="n">
        <v>100</v>
      </c>
      <c r="EI651" s="2" t="n">
        <v>100</v>
      </c>
      <c r="EJ651" s="2" t="n">
        <v>0</v>
      </c>
      <c r="EK651" s="2" t="n">
        <v>100</v>
      </c>
      <c r="EL651" s="2" t="n">
        <v>100</v>
      </c>
      <c r="EM651" s="2" t="n">
        <v>0</v>
      </c>
      <c r="EN651" s="2" t="n">
        <v>100</v>
      </c>
      <c r="EO651" s="2" t="n">
        <v>100</v>
      </c>
      <c r="EP651" s="2" t="n">
        <v>0</v>
      </c>
      <c r="EQ651" s="2" t="n">
        <v>100</v>
      </c>
      <c r="ER651" s="2" t="n">
        <v>100</v>
      </c>
      <c r="ES651" s="2" t="n">
        <v>0</v>
      </c>
    </row>
    <row r="652">
      <c r="A652" s="2" t="n">
        <v>3</v>
      </c>
      <c r="B652" s="2" t="inlineStr">
        <is>
          <t>30.01.03</t>
        </is>
      </c>
      <c r="C652" s="2" t="inlineStr">
        <is>
          <t>Pedras</t>
        </is>
      </c>
      <c r="D652" s="2" t="inlineStr">
        <is>
          <t>20/09/2027</t>
        </is>
      </c>
      <c r="E652" s="2" t="inlineStr">
        <is>
          <t>04/08/2028</t>
        </is>
      </c>
      <c r="F652" s="2" t="n">
        <v>442714.7675793841</v>
      </c>
      <c r="G652" s="2" t="n">
        <v>0</v>
      </c>
      <c r="H652" s="2" t="n">
        <v>442714.7675793841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  <c r="AM652" s="2" t="n">
        <v>0</v>
      </c>
      <c r="AN652" s="2" t="n">
        <v>0</v>
      </c>
      <c r="AO652" s="2" t="n">
        <v>0</v>
      </c>
      <c r="AP652" s="2" t="n">
        <v>0</v>
      </c>
      <c r="AQ652" s="2" t="n">
        <v>0</v>
      </c>
      <c r="AR652" s="2" t="n">
        <v>0</v>
      </c>
      <c r="AS652" s="2" t="n">
        <v>0</v>
      </c>
      <c r="AT652" s="2" t="n">
        <v>0</v>
      </c>
      <c r="AU652" s="2" t="n">
        <v>0</v>
      </c>
      <c r="AV652" s="2" t="n">
        <v>0</v>
      </c>
      <c r="AW652" s="2" t="n">
        <v>0</v>
      </c>
      <c r="AX652" s="2" t="n">
        <v>0</v>
      </c>
      <c r="AY652" s="2" t="n">
        <v>0</v>
      </c>
      <c r="AZ652" s="2" t="n">
        <v>0</v>
      </c>
      <c r="BA652" s="2" t="n">
        <v>0</v>
      </c>
      <c r="BB652" s="2" t="n">
        <v>0</v>
      </c>
      <c r="BC652" s="2" t="n">
        <v>0</v>
      </c>
      <c r="BD652" s="2" t="n">
        <v>0</v>
      </c>
      <c r="BE652" s="2" t="n">
        <v>0</v>
      </c>
      <c r="BF652" s="2" t="n">
        <v>0</v>
      </c>
      <c r="BG652" s="2" t="n">
        <v>0</v>
      </c>
      <c r="BH652" s="2" t="n">
        <v>0</v>
      </c>
      <c r="BI652" s="2" t="n">
        <v>0</v>
      </c>
      <c r="BJ652" s="2" t="n">
        <v>0</v>
      </c>
      <c r="BK652" s="2" t="n">
        <v>0</v>
      </c>
      <c r="BL652" s="2" t="n">
        <v>0</v>
      </c>
      <c r="BM652" s="2" t="n">
        <v>0</v>
      </c>
      <c r="BN652" s="2" t="n">
        <v>0</v>
      </c>
      <c r="BO652" s="2" t="n">
        <v>0</v>
      </c>
      <c r="BP652" s="2" t="n">
        <v>0</v>
      </c>
      <c r="BQ652" s="2" t="n">
        <v>0</v>
      </c>
      <c r="BR652" s="2" t="n">
        <v>0</v>
      </c>
      <c r="BS652" s="2" t="n">
        <v>0</v>
      </c>
      <c r="BT652" s="2" t="n">
        <v>0</v>
      </c>
      <c r="BU652" s="2" t="n">
        <v>0</v>
      </c>
      <c r="BV652" s="2" t="n">
        <v>0</v>
      </c>
      <c r="BW652" s="2" t="n">
        <v>0</v>
      </c>
      <c r="BX652" s="2" t="n">
        <v>0</v>
      </c>
      <c r="BY652" s="2" t="n">
        <v>0</v>
      </c>
      <c r="BZ652" s="2" t="n">
        <v>0</v>
      </c>
      <c r="CA652" s="2" t="n">
        <v>0</v>
      </c>
      <c r="CB652" s="2" t="n">
        <v>0</v>
      </c>
      <c r="CC652" s="2" t="n">
        <v>0</v>
      </c>
      <c r="CD652" s="2" t="n">
        <v>0</v>
      </c>
      <c r="CE652" s="2" t="n">
        <v>0</v>
      </c>
      <c r="CF652" s="2" t="n">
        <v>0</v>
      </c>
      <c r="CG652" s="2" t="n">
        <v>0</v>
      </c>
      <c r="CH652" s="2" t="n">
        <v>0</v>
      </c>
      <c r="CI652" s="2" t="n">
        <v>0</v>
      </c>
      <c r="CJ652" s="2" t="n">
        <v>0</v>
      </c>
      <c r="CK652" s="2" t="n">
        <v>0</v>
      </c>
      <c r="CL652" s="2" t="n">
        <v>1.85</v>
      </c>
      <c r="CM652" s="2" t="n">
        <v>4.17</v>
      </c>
      <c r="CN652" s="2" t="n">
        <v>0</v>
      </c>
      <c r="CO652" s="2" t="n">
        <v>11.11</v>
      </c>
      <c r="CP652" s="2" t="n">
        <v>13.43</v>
      </c>
      <c r="CQ652" s="2" t="n">
        <v>0</v>
      </c>
      <c r="CR652" s="2" t="n">
        <v>20.37</v>
      </c>
      <c r="CS652" s="2" t="n">
        <v>22.69</v>
      </c>
      <c r="CT652" s="2" t="n">
        <v>0</v>
      </c>
      <c r="CU652" s="2" t="n">
        <v>27.78</v>
      </c>
      <c r="CV652" s="2" t="n">
        <v>30.09</v>
      </c>
      <c r="CW652" s="2" t="n">
        <v>0</v>
      </c>
      <c r="CX652" s="2" t="n">
        <v>37.5</v>
      </c>
      <c r="CY652" s="2" t="n">
        <v>39.81</v>
      </c>
      <c r="CZ652" s="2" t="n">
        <v>0</v>
      </c>
      <c r="DA652" s="2" t="n">
        <v>47.22</v>
      </c>
      <c r="DB652" s="2" t="n">
        <v>49.54</v>
      </c>
      <c r="DC652" s="2" t="n">
        <v>0</v>
      </c>
      <c r="DD652" s="2" t="n">
        <v>57.87</v>
      </c>
      <c r="DE652" s="2" t="n">
        <v>60.19</v>
      </c>
      <c r="DF652" s="2" t="n">
        <v>0</v>
      </c>
      <c r="DG652" s="2" t="n">
        <v>66.2</v>
      </c>
      <c r="DH652" s="2" t="n">
        <v>68.52</v>
      </c>
      <c r="DI652" s="2" t="n">
        <v>0</v>
      </c>
      <c r="DJ652" s="2" t="n">
        <v>76.39</v>
      </c>
      <c r="DK652" s="2" t="n">
        <v>78.7</v>
      </c>
      <c r="DL652" s="2" t="n">
        <v>0</v>
      </c>
      <c r="DM652" s="2" t="n">
        <v>86.11</v>
      </c>
      <c r="DN652" s="2" t="n">
        <v>88.43000000000001</v>
      </c>
      <c r="DO652" s="2" t="n">
        <v>0</v>
      </c>
      <c r="DP652" s="2" t="n">
        <v>95.83</v>
      </c>
      <c r="DQ652" s="2" t="n">
        <v>98.15000000000001</v>
      </c>
      <c r="DR652" s="2" t="n">
        <v>0</v>
      </c>
      <c r="DS652" s="2" t="n">
        <v>100</v>
      </c>
      <c r="DT652" s="2" t="n">
        <v>100</v>
      </c>
      <c r="DU652" s="2" t="n">
        <v>0</v>
      </c>
      <c r="DV652" s="2" t="n">
        <v>100</v>
      </c>
      <c r="DW652" s="2" t="n">
        <v>100</v>
      </c>
      <c r="DX652" s="2" t="n">
        <v>0</v>
      </c>
      <c r="DY652" s="2" t="n">
        <v>100</v>
      </c>
      <c r="DZ652" s="2" t="n">
        <v>100</v>
      </c>
      <c r="EA652" s="2" t="n">
        <v>0</v>
      </c>
      <c r="EB652" s="2" t="n">
        <v>100</v>
      </c>
      <c r="EC652" s="2" t="n">
        <v>100</v>
      </c>
      <c r="ED652" s="2" t="n">
        <v>0</v>
      </c>
      <c r="EE652" s="2" t="n">
        <v>100</v>
      </c>
      <c r="EF652" s="2" t="n">
        <v>100</v>
      </c>
      <c r="EG652" s="2" t="n">
        <v>0</v>
      </c>
      <c r="EH652" s="2" t="n">
        <v>100</v>
      </c>
      <c r="EI652" s="2" t="n">
        <v>100</v>
      </c>
      <c r="EJ652" s="2" t="n">
        <v>0</v>
      </c>
      <c r="EK652" s="2" t="n">
        <v>100</v>
      </c>
      <c r="EL652" s="2" t="n">
        <v>100</v>
      </c>
      <c r="EM652" s="2" t="n">
        <v>0</v>
      </c>
      <c r="EN652" s="2" t="n">
        <v>100</v>
      </c>
      <c r="EO652" s="2" t="n">
        <v>100</v>
      </c>
      <c r="EP652" s="2" t="n">
        <v>0</v>
      </c>
      <c r="EQ652" s="2" t="n">
        <v>100</v>
      </c>
      <c r="ER652" s="2" t="n">
        <v>100</v>
      </c>
      <c r="ES652" s="2" t="n">
        <v>0</v>
      </c>
    </row>
    <row r="653">
      <c r="A653" s="2" t="n">
        <v>4</v>
      </c>
      <c r="B653" s="2" t="inlineStr">
        <is>
          <t>30.01.03.01</t>
        </is>
      </c>
      <c r="C653" s="2" t="inlineStr">
        <is>
          <t>Piso de granito Ornamental White, espessura 2cm, com acabamento levigado, assentado com argamassa colante em pó ACIII</t>
        </is>
      </c>
      <c r="D653" s="2" t="inlineStr">
        <is>
          <t>20/09/2027</t>
        </is>
      </c>
      <c r="E653" s="2" t="inlineStr">
        <is>
          <t>04/08/2028</t>
        </is>
      </c>
      <c r="F653" s="2" t="n">
        <v>348223.4108101546</v>
      </c>
      <c r="G653" s="2" t="n">
        <v>0</v>
      </c>
      <c r="H653" s="2" t="n">
        <v>348223.4108101546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  <c r="AN653" s="2" t="n">
        <v>0</v>
      </c>
      <c r="AO653" s="2" t="n">
        <v>0</v>
      </c>
      <c r="AP653" s="2" t="n">
        <v>0</v>
      </c>
      <c r="AQ653" s="2" t="n">
        <v>0</v>
      </c>
      <c r="AR653" s="2" t="n">
        <v>0</v>
      </c>
      <c r="AS653" s="2" t="n">
        <v>0</v>
      </c>
      <c r="AT653" s="2" t="n">
        <v>0</v>
      </c>
      <c r="AU653" s="2" t="n">
        <v>0</v>
      </c>
      <c r="AV653" s="2" t="n">
        <v>0</v>
      </c>
      <c r="AW653" s="2" t="n">
        <v>0</v>
      </c>
      <c r="AX653" s="2" t="n">
        <v>0</v>
      </c>
      <c r="AY653" s="2" t="n">
        <v>0</v>
      </c>
      <c r="AZ653" s="2" t="n">
        <v>0</v>
      </c>
      <c r="BA653" s="2" t="n">
        <v>0</v>
      </c>
      <c r="BB653" s="2" t="n">
        <v>0</v>
      </c>
      <c r="BC653" s="2" t="n">
        <v>0</v>
      </c>
      <c r="BD653" s="2" t="n">
        <v>0</v>
      </c>
      <c r="BE653" s="2" t="n">
        <v>0</v>
      </c>
      <c r="BF653" s="2" t="n">
        <v>0</v>
      </c>
      <c r="BG653" s="2" t="n">
        <v>0</v>
      </c>
      <c r="BH653" s="2" t="n">
        <v>0</v>
      </c>
      <c r="BI653" s="2" t="n">
        <v>0</v>
      </c>
      <c r="BJ653" s="2" t="n">
        <v>0</v>
      </c>
      <c r="BK653" s="2" t="n">
        <v>0</v>
      </c>
      <c r="BL653" s="2" t="n">
        <v>0</v>
      </c>
      <c r="BM653" s="2" t="n">
        <v>0</v>
      </c>
      <c r="BN653" s="2" t="n">
        <v>0</v>
      </c>
      <c r="BO653" s="2" t="n">
        <v>0</v>
      </c>
      <c r="BP653" s="2" t="n">
        <v>0</v>
      </c>
      <c r="BQ653" s="2" t="n">
        <v>0</v>
      </c>
      <c r="BR653" s="2" t="n">
        <v>0</v>
      </c>
      <c r="BS653" s="2" t="n">
        <v>0</v>
      </c>
      <c r="BT653" s="2" t="n">
        <v>0</v>
      </c>
      <c r="BU653" s="2" t="n">
        <v>0</v>
      </c>
      <c r="BV653" s="2" t="n">
        <v>0</v>
      </c>
      <c r="BW653" s="2" t="n">
        <v>0</v>
      </c>
      <c r="BX653" s="2" t="n">
        <v>0</v>
      </c>
      <c r="BY653" s="2" t="n">
        <v>0</v>
      </c>
      <c r="BZ653" s="2" t="n">
        <v>0</v>
      </c>
      <c r="CA653" s="2" t="n">
        <v>0</v>
      </c>
      <c r="CB653" s="2" t="n">
        <v>0</v>
      </c>
      <c r="CC653" s="2" t="n">
        <v>0</v>
      </c>
      <c r="CD653" s="2" t="n">
        <v>0</v>
      </c>
      <c r="CE653" s="2" t="n">
        <v>0</v>
      </c>
      <c r="CF653" s="2" t="n">
        <v>0</v>
      </c>
      <c r="CG653" s="2" t="n">
        <v>0</v>
      </c>
      <c r="CH653" s="2" t="n">
        <v>0</v>
      </c>
      <c r="CI653" s="2" t="n">
        <v>0</v>
      </c>
      <c r="CJ653" s="2" t="n">
        <v>0</v>
      </c>
      <c r="CK653" s="2" t="n">
        <v>0</v>
      </c>
      <c r="CL653" s="2" t="n">
        <v>1.85</v>
      </c>
      <c r="CM653" s="2" t="n">
        <v>4.17</v>
      </c>
      <c r="CN653" s="2" t="n">
        <v>0</v>
      </c>
      <c r="CO653" s="2" t="n">
        <v>11.11</v>
      </c>
      <c r="CP653" s="2" t="n">
        <v>13.43</v>
      </c>
      <c r="CQ653" s="2" t="n">
        <v>0</v>
      </c>
      <c r="CR653" s="2" t="n">
        <v>20.37</v>
      </c>
      <c r="CS653" s="2" t="n">
        <v>22.69</v>
      </c>
      <c r="CT653" s="2" t="n">
        <v>0</v>
      </c>
      <c r="CU653" s="2" t="n">
        <v>27.78</v>
      </c>
      <c r="CV653" s="2" t="n">
        <v>30.09</v>
      </c>
      <c r="CW653" s="2" t="n">
        <v>0</v>
      </c>
      <c r="CX653" s="2" t="n">
        <v>37.5</v>
      </c>
      <c r="CY653" s="2" t="n">
        <v>39.81</v>
      </c>
      <c r="CZ653" s="2" t="n">
        <v>0</v>
      </c>
      <c r="DA653" s="2" t="n">
        <v>47.22</v>
      </c>
      <c r="DB653" s="2" t="n">
        <v>49.54</v>
      </c>
      <c r="DC653" s="2" t="n">
        <v>0</v>
      </c>
      <c r="DD653" s="2" t="n">
        <v>57.87</v>
      </c>
      <c r="DE653" s="2" t="n">
        <v>60.19</v>
      </c>
      <c r="DF653" s="2" t="n">
        <v>0</v>
      </c>
      <c r="DG653" s="2" t="n">
        <v>66.2</v>
      </c>
      <c r="DH653" s="2" t="n">
        <v>68.52</v>
      </c>
      <c r="DI653" s="2" t="n">
        <v>0</v>
      </c>
      <c r="DJ653" s="2" t="n">
        <v>76.39</v>
      </c>
      <c r="DK653" s="2" t="n">
        <v>78.7</v>
      </c>
      <c r="DL653" s="2" t="n">
        <v>0</v>
      </c>
      <c r="DM653" s="2" t="n">
        <v>86.11</v>
      </c>
      <c r="DN653" s="2" t="n">
        <v>88.43000000000001</v>
      </c>
      <c r="DO653" s="2" t="n">
        <v>0</v>
      </c>
      <c r="DP653" s="2" t="n">
        <v>95.83</v>
      </c>
      <c r="DQ653" s="2" t="n">
        <v>98.15000000000001</v>
      </c>
      <c r="DR653" s="2" t="n">
        <v>0</v>
      </c>
      <c r="DS653" s="2" t="n">
        <v>100</v>
      </c>
      <c r="DT653" s="2" t="n">
        <v>100</v>
      </c>
      <c r="DU653" s="2" t="n">
        <v>0</v>
      </c>
      <c r="DV653" s="2" t="n">
        <v>100</v>
      </c>
      <c r="DW653" s="2" t="n">
        <v>100</v>
      </c>
      <c r="DX653" s="2" t="n">
        <v>0</v>
      </c>
      <c r="DY653" s="2" t="n">
        <v>100</v>
      </c>
      <c r="DZ653" s="2" t="n">
        <v>100</v>
      </c>
      <c r="EA653" s="2" t="n">
        <v>0</v>
      </c>
      <c r="EB653" s="2" t="n">
        <v>100</v>
      </c>
      <c r="EC653" s="2" t="n">
        <v>100</v>
      </c>
      <c r="ED653" s="2" t="n">
        <v>0</v>
      </c>
      <c r="EE653" s="2" t="n">
        <v>100</v>
      </c>
      <c r="EF653" s="2" t="n">
        <v>100</v>
      </c>
      <c r="EG653" s="2" t="n">
        <v>0</v>
      </c>
      <c r="EH653" s="2" t="n">
        <v>100</v>
      </c>
      <c r="EI653" s="2" t="n">
        <v>100</v>
      </c>
      <c r="EJ653" s="2" t="n">
        <v>0</v>
      </c>
      <c r="EK653" s="2" t="n">
        <v>100</v>
      </c>
      <c r="EL653" s="2" t="n">
        <v>100</v>
      </c>
      <c r="EM653" s="2" t="n">
        <v>0</v>
      </c>
      <c r="EN653" s="2" t="n">
        <v>100</v>
      </c>
      <c r="EO653" s="2" t="n">
        <v>100</v>
      </c>
      <c r="EP653" s="2" t="n">
        <v>0</v>
      </c>
      <c r="EQ653" s="2" t="n">
        <v>100</v>
      </c>
      <c r="ER653" s="2" t="n">
        <v>100</v>
      </c>
      <c r="ES653" s="2" t="n">
        <v>0</v>
      </c>
    </row>
    <row r="654">
      <c r="A654" s="2" t="n">
        <v>4</v>
      </c>
      <c r="B654" s="2" t="inlineStr">
        <is>
          <t>30.01.03.02</t>
        </is>
      </c>
      <c r="C654" s="2" t="inlineStr">
        <is>
          <t>Piso de mármore Branco Paraná Matarazzo escovado assentado com argamassa colante em pó ACIII</t>
        </is>
      </c>
      <c r="D654" s="2" t="inlineStr">
        <is>
          <t>20/09/2027</t>
        </is>
      </c>
      <c r="E654" s="2" t="inlineStr">
        <is>
          <t>04/08/2028</t>
        </is>
      </c>
      <c r="F654" s="2" t="n">
        <v>83690.60047724318</v>
      </c>
      <c r="G654" s="2" t="n">
        <v>0</v>
      </c>
      <c r="H654" s="2" t="n">
        <v>83690.60047724318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  <c r="AM654" s="2" t="n">
        <v>0</v>
      </c>
      <c r="AN654" s="2" t="n">
        <v>0</v>
      </c>
      <c r="AO654" s="2" t="n">
        <v>0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n">
        <v>0</v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n">
        <v>0</v>
      </c>
      <c r="BI654" s="2" t="n">
        <v>0</v>
      </c>
      <c r="BJ654" s="2" t="n">
        <v>0</v>
      </c>
      <c r="BK654" s="2" t="n">
        <v>0</v>
      </c>
      <c r="BL654" s="2" t="n">
        <v>0</v>
      </c>
      <c r="BM654" s="2" t="n">
        <v>0</v>
      </c>
      <c r="BN654" s="2" t="n">
        <v>0</v>
      </c>
      <c r="BO654" s="2" t="n">
        <v>0</v>
      </c>
      <c r="BP654" s="2" t="n">
        <v>0</v>
      </c>
      <c r="BQ654" s="2" t="n">
        <v>0</v>
      </c>
      <c r="BR654" s="2" t="n">
        <v>0</v>
      </c>
      <c r="BS654" s="2" t="n">
        <v>0</v>
      </c>
      <c r="BT654" s="2" t="n">
        <v>0</v>
      </c>
      <c r="BU654" s="2" t="n">
        <v>0</v>
      </c>
      <c r="BV654" s="2" t="n">
        <v>0</v>
      </c>
      <c r="BW654" s="2" t="n">
        <v>0</v>
      </c>
      <c r="BX654" s="2" t="n">
        <v>0</v>
      </c>
      <c r="BY654" s="2" t="n">
        <v>0</v>
      </c>
      <c r="BZ654" s="2" t="n">
        <v>0</v>
      </c>
      <c r="CA654" s="2" t="n">
        <v>0</v>
      </c>
      <c r="CB654" s="2" t="n">
        <v>0</v>
      </c>
      <c r="CC654" s="2" t="n">
        <v>0</v>
      </c>
      <c r="CD654" s="2" t="n">
        <v>0</v>
      </c>
      <c r="CE654" s="2" t="n">
        <v>0</v>
      </c>
      <c r="CF654" s="2" t="n">
        <v>0</v>
      </c>
      <c r="CG654" s="2" t="n">
        <v>0</v>
      </c>
      <c r="CH654" s="2" t="n">
        <v>0</v>
      </c>
      <c r="CI654" s="2" t="n">
        <v>0</v>
      </c>
      <c r="CJ654" s="2" t="n">
        <v>0</v>
      </c>
      <c r="CK654" s="2" t="n">
        <v>0</v>
      </c>
      <c r="CL654" s="2" t="n">
        <v>1.85</v>
      </c>
      <c r="CM654" s="2" t="n">
        <v>4.17</v>
      </c>
      <c r="CN654" s="2" t="n">
        <v>0</v>
      </c>
      <c r="CO654" s="2" t="n">
        <v>11.11</v>
      </c>
      <c r="CP654" s="2" t="n">
        <v>13.43</v>
      </c>
      <c r="CQ654" s="2" t="n">
        <v>0</v>
      </c>
      <c r="CR654" s="2" t="n">
        <v>20.37</v>
      </c>
      <c r="CS654" s="2" t="n">
        <v>22.69</v>
      </c>
      <c r="CT654" s="2" t="n">
        <v>0</v>
      </c>
      <c r="CU654" s="2" t="n">
        <v>27.78</v>
      </c>
      <c r="CV654" s="2" t="n">
        <v>30.09</v>
      </c>
      <c r="CW654" s="2" t="n">
        <v>0</v>
      </c>
      <c r="CX654" s="2" t="n">
        <v>37.5</v>
      </c>
      <c r="CY654" s="2" t="n">
        <v>39.81</v>
      </c>
      <c r="CZ654" s="2" t="n">
        <v>0</v>
      </c>
      <c r="DA654" s="2" t="n">
        <v>47.22</v>
      </c>
      <c r="DB654" s="2" t="n">
        <v>49.54</v>
      </c>
      <c r="DC654" s="2" t="n">
        <v>0</v>
      </c>
      <c r="DD654" s="2" t="n">
        <v>57.87</v>
      </c>
      <c r="DE654" s="2" t="n">
        <v>60.19</v>
      </c>
      <c r="DF654" s="2" t="n">
        <v>0</v>
      </c>
      <c r="DG654" s="2" t="n">
        <v>66.2</v>
      </c>
      <c r="DH654" s="2" t="n">
        <v>68.52</v>
      </c>
      <c r="DI654" s="2" t="n">
        <v>0</v>
      </c>
      <c r="DJ654" s="2" t="n">
        <v>76.39</v>
      </c>
      <c r="DK654" s="2" t="n">
        <v>78.7</v>
      </c>
      <c r="DL654" s="2" t="n">
        <v>0</v>
      </c>
      <c r="DM654" s="2" t="n">
        <v>86.11</v>
      </c>
      <c r="DN654" s="2" t="n">
        <v>88.43000000000001</v>
      </c>
      <c r="DO654" s="2" t="n">
        <v>0</v>
      </c>
      <c r="DP654" s="2" t="n">
        <v>95.83</v>
      </c>
      <c r="DQ654" s="2" t="n">
        <v>98.15000000000001</v>
      </c>
      <c r="DR654" s="2" t="n">
        <v>0</v>
      </c>
      <c r="DS654" s="2" t="n">
        <v>100</v>
      </c>
      <c r="DT654" s="2" t="n">
        <v>100</v>
      </c>
      <c r="DU654" s="2" t="n">
        <v>0</v>
      </c>
      <c r="DV654" s="2" t="n">
        <v>100</v>
      </c>
      <c r="DW654" s="2" t="n">
        <v>100</v>
      </c>
      <c r="DX654" s="2" t="n">
        <v>0</v>
      </c>
      <c r="DY654" s="2" t="n">
        <v>100</v>
      </c>
      <c r="DZ654" s="2" t="n">
        <v>100</v>
      </c>
      <c r="EA654" s="2" t="n">
        <v>0</v>
      </c>
      <c r="EB654" s="2" t="n">
        <v>100</v>
      </c>
      <c r="EC654" s="2" t="n">
        <v>100</v>
      </c>
      <c r="ED654" s="2" t="n">
        <v>0</v>
      </c>
      <c r="EE654" s="2" t="n">
        <v>100</v>
      </c>
      <c r="EF654" s="2" t="n">
        <v>100</v>
      </c>
      <c r="EG654" s="2" t="n">
        <v>0</v>
      </c>
      <c r="EH654" s="2" t="n">
        <v>100</v>
      </c>
      <c r="EI654" s="2" t="n">
        <v>100</v>
      </c>
      <c r="EJ654" s="2" t="n">
        <v>0</v>
      </c>
      <c r="EK654" s="2" t="n">
        <v>100</v>
      </c>
      <c r="EL654" s="2" t="n">
        <v>100</v>
      </c>
      <c r="EM654" s="2" t="n">
        <v>0</v>
      </c>
      <c r="EN654" s="2" t="n">
        <v>100</v>
      </c>
      <c r="EO654" s="2" t="n">
        <v>100</v>
      </c>
      <c r="EP654" s="2" t="n">
        <v>0</v>
      </c>
      <c r="EQ654" s="2" t="n">
        <v>100</v>
      </c>
      <c r="ER654" s="2" t="n">
        <v>100</v>
      </c>
      <c r="ES654" s="2" t="n">
        <v>0</v>
      </c>
    </row>
    <row r="655">
      <c r="A655" s="2" t="n">
        <v>4</v>
      </c>
      <c r="B655" s="2" t="inlineStr">
        <is>
          <t>30.01.03.03</t>
        </is>
      </c>
      <c r="C655" s="2" t="inlineStr">
        <is>
          <t>Piso de Granito Ornamental White levigado para elevadores  assentado com argamassa colante em pó ACIII</t>
        </is>
      </c>
      <c r="D655" s="2" t="inlineStr">
        <is>
          <t>20/09/2027</t>
        </is>
      </c>
      <c r="E655" s="2" t="inlineStr">
        <is>
          <t>04/08/2028</t>
        </is>
      </c>
      <c r="F655" s="2" t="n">
        <v>10800.75629198626</v>
      </c>
      <c r="G655" s="2" t="n">
        <v>0</v>
      </c>
      <c r="H655" s="2" t="n">
        <v>10800.75629198626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  <c r="AM655" s="2" t="n">
        <v>0</v>
      </c>
      <c r="AN655" s="2" t="n">
        <v>0</v>
      </c>
      <c r="AO655" s="2" t="n">
        <v>0</v>
      </c>
      <c r="AP655" s="2" t="n">
        <v>0</v>
      </c>
      <c r="AQ655" s="2" t="n">
        <v>0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n">
        <v>0</v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0</v>
      </c>
      <c r="BG655" s="2" t="n">
        <v>0</v>
      </c>
      <c r="BH655" s="2" t="n">
        <v>0</v>
      </c>
      <c r="BI655" s="2" t="n">
        <v>0</v>
      </c>
      <c r="BJ655" s="2" t="n">
        <v>0</v>
      </c>
      <c r="BK655" s="2" t="n">
        <v>0</v>
      </c>
      <c r="BL655" s="2" t="n">
        <v>0</v>
      </c>
      <c r="BM655" s="2" t="n">
        <v>0</v>
      </c>
      <c r="BN655" s="2" t="n">
        <v>0</v>
      </c>
      <c r="BO655" s="2" t="n">
        <v>0</v>
      </c>
      <c r="BP655" s="2" t="n">
        <v>0</v>
      </c>
      <c r="BQ655" s="2" t="n">
        <v>0</v>
      </c>
      <c r="BR655" s="2" t="n">
        <v>0</v>
      </c>
      <c r="BS655" s="2" t="n">
        <v>0</v>
      </c>
      <c r="BT655" s="2" t="n">
        <v>0</v>
      </c>
      <c r="BU655" s="2" t="n">
        <v>0</v>
      </c>
      <c r="BV655" s="2" t="n">
        <v>0</v>
      </c>
      <c r="BW655" s="2" t="n">
        <v>0</v>
      </c>
      <c r="BX655" s="2" t="n">
        <v>0</v>
      </c>
      <c r="BY655" s="2" t="n">
        <v>0</v>
      </c>
      <c r="BZ655" s="2" t="n">
        <v>0</v>
      </c>
      <c r="CA655" s="2" t="n">
        <v>0</v>
      </c>
      <c r="CB655" s="2" t="n">
        <v>0</v>
      </c>
      <c r="CC655" s="2" t="n">
        <v>0</v>
      </c>
      <c r="CD655" s="2" t="n">
        <v>0</v>
      </c>
      <c r="CE655" s="2" t="n">
        <v>0</v>
      </c>
      <c r="CF655" s="2" t="n">
        <v>0</v>
      </c>
      <c r="CG655" s="2" t="n">
        <v>0</v>
      </c>
      <c r="CH655" s="2" t="n">
        <v>0</v>
      </c>
      <c r="CI655" s="2" t="n">
        <v>0</v>
      </c>
      <c r="CJ655" s="2" t="n">
        <v>0</v>
      </c>
      <c r="CK655" s="2" t="n">
        <v>0</v>
      </c>
      <c r="CL655" s="2" t="n">
        <v>1.85</v>
      </c>
      <c r="CM655" s="2" t="n">
        <v>4.17</v>
      </c>
      <c r="CN655" s="2" t="n">
        <v>0</v>
      </c>
      <c r="CO655" s="2" t="n">
        <v>11.11</v>
      </c>
      <c r="CP655" s="2" t="n">
        <v>13.43</v>
      </c>
      <c r="CQ655" s="2" t="n">
        <v>0</v>
      </c>
      <c r="CR655" s="2" t="n">
        <v>20.37</v>
      </c>
      <c r="CS655" s="2" t="n">
        <v>22.69</v>
      </c>
      <c r="CT655" s="2" t="n">
        <v>0</v>
      </c>
      <c r="CU655" s="2" t="n">
        <v>27.78</v>
      </c>
      <c r="CV655" s="2" t="n">
        <v>30.09</v>
      </c>
      <c r="CW655" s="2" t="n">
        <v>0</v>
      </c>
      <c r="CX655" s="2" t="n">
        <v>37.5</v>
      </c>
      <c r="CY655" s="2" t="n">
        <v>39.81</v>
      </c>
      <c r="CZ655" s="2" t="n">
        <v>0</v>
      </c>
      <c r="DA655" s="2" t="n">
        <v>47.22</v>
      </c>
      <c r="DB655" s="2" t="n">
        <v>49.54</v>
      </c>
      <c r="DC655" s="2" t="n">
        <v>0</v>
      </c>
      <c r="DD655" s="2" t="n">
        <v>57.87</v>
      </c>
      <c r="DE655" s="2" t="n">
        <v>60.19</v>
      </c>
      <c r="DF655" s="2" t="n">
        <v>0</v>
      </c>
      <c r="DG655" s="2" t="n">
        <v>66.2</v>
      </c>
      <c r="DH655" s="2" t="n">
        <v>68.52</v>
      </c>
      <c r="DI655" s="2" t="n">
        <v>0</v>
      </c>
      <c r="DJ655" s="2" t="n">
        <v>76.39</v>
      </c>
      <c r="DK655" s="2" t="n">
        <v>78.7</v>
      </c>
      <c r="DL655" s="2" t="n">
        <v>0</v>
      </c>
      <c r="DM655" s="2" t="n">
        <v>86.11</v>
      </c>
      <c r="DN655" s="2" t="n">
        <v>88.43000000000001</v>
      </c>
      <c r="DO655" s="2" t="n">
        <v>0</v>
      </c>
      <c r="DP655" s="2" t="n">
        <v>95.83</v>
      </c>
      <c r="DQ655" s="2" t="n">
        <v>98.15000000000001</v>
      </c>
      <c r="DR655" s="2" t="n">
        <v>0</v>
      </c>
      <c r="DS655" s="2" t="n">
        <v>100</v>
      </c>
      <c r="DT655" s="2" t="n">
        <v>100</v>
      </c>
      <c r="DU655" s="2" t="n">
        <v>0</v>
      </c>
      <c r="DV655" s="2" t="n">
        <v>100</v>
      </c>
      <c r="DW655" s="2" t="n">
        <v>100</v>
      </c>
      <c r="DX655" s="2" t="n">
        <v>0</v>
      </c>
      <c r="DY655" s="2" t="n">
        <v>100</v>
      </c>
      <c r="DZ655" s="2" t="n">
        <v>100</v>
      </c>
      <c r="EA655" s="2" t="n">
        <v>0</v>
      </c>
      <c r="EB655" s="2" t="n">
        <v>100</v>
      </c>
      <c r="EC655" s="2" t="n">
        <v>100</v>
      </c>
      <c r="ED655" s="2" t="n">
        <v>0</v>
      </c>
      <c r="EE655" s="2" t="n">
        <v>100</v>
      </c>
      <c r="EF655" s="2" t="n">
        <v>100</v>
      </c>
      <c r="EG655" s="2" t="n">
        <v>0</v>
      </c>
      <c r="EH655" s="2" t="n">
        <v>100</v>
      </c>
      <c r="EI655" s="2" t="n">
        <v>100</v>
      </c>
      <c r="EJ655" s="2" t="n">
        <v>0</v>
      </c>
      <c r="EK655" s="2" t="n">
        <v>100</v>
      </c>
      <c r="EL655" s="2" t="n">
        <v>100</v>
      </c>
      <c r="EM655" s="2" t="n">
        <v>0</v>
      </c>
      <c r="EN655" s="2" t="n">
        <v>100</v>
      </c>
      <c r="EO655" s="2" t="n">
        <v>100</v>
      </c>
      <c r="EP655" s="2" t="n">
        <v>0</v>
      </c>
      <c r="EQ655" s="2" t="n">
        <v>100</v>
      </c>
      <c r="ER655" s="2" t="n">
        <v>100</v>
      </c>
      <c r="ES655" s="2" t="n">
        <v>0</v>
      </c>
    </row>
    <row r="656">
      <c r="A656" s="2" t="n">
        <v>3</v>
      </c>
      <c r="B656" s="2" t="inlineStr">
        <is>
          <t>30.01.04</t>
        </is>
      </c>
      <c r="C656" s="2" t="inlineStr">
        <is>
          <t>Sintéticos e Vinílicos</t>
        </is>
      </c>
      <c r="D656" s="2" t="inlineStr">
        <is>
          <t>24/01/2028</t>
        </is>
      </c>
      <c r="E656" s="2" t="inlineStr">
        <is>
          <t>03/01/2029</t>
        </is>
      </c>
      <c r="F656" s="2" t="n">
        <v>777295.3919999999</v>
      </c>
      <c r="G656" s="2" t="n">
        <v>0</v>
      </c>
      <c r="H656" s="2" t="n">
        <v>777295.3919999999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0</v>
      </c>
      <c r="AM656" s="2" t="n">
        <v>0</v>
      </c>
      <c r="AN656" s="2" t="n">
        <v>0</v>
      </c>
      <c r="AO656" s="2" t="n">
        <v>0</v>
      </c>
      <c r="AP656" s="2" t="n">
        <v>0</v>
      </c>
      <c r="AQ656" s="2" t="n">
        <v>0</v>
      </c>
      <c r="AR656" s="2" t="n">
        <v>0</v>
      </c>
      <c r="AS656" s="2" t="n">
        <v>0</v>
      </c>
      <c r="AT656" s="2" t="n">
        <v>0</v>
      </c>
      <c r="AU656" s="2" t="n">
        <v>0</v>
      </c>
      <c r="AV656" s="2" t="n">
        <v>0</v>
      </c>
      <c r="AW656" s="2" t="n">
        <v>0</v>
      </c>
      <c r="AX656" s="2" t="n">
        <v>0</v>
      </c>
      <c r="AY656" s="2" t="n">
        <v>0</v>
      </c>
      <c r="AZ656" s="2" t="n">
        <v>0</v>
      </c>
      <c r="BA656" s="2" t="n">
        <v>0</v>
      </c>
      <c r="BB656" s="2" t="n">
        <v>0</v>
      </c>
      <c r="BC656" s="2" t="n">
        <v>0</v>
      </c>
      <c r="BD656" s="2" t="n">
        <v>0</v>
      </c>
      <c r="BE656" s="2" t="n">
        <v>0</v>
      </c>
      <c r="BF656" s="2" t="n">
        <v>0</v>
      </c>
      <c r="BG656" s="2" t="n">
        <v>0</v>
      </c>
      <c r="BH656" s="2" t="n">
        <v>0</v>
      </c>
      <c r="BI656" s="2" t="n">
        <v>0</v>
      </c>
      <c r="BJ656" s="2" t="n">
        <v>0</v>
      </c>
      <c r="BK656" s="2" t="n">
        <v>0</v>
      </c>
      <c r="BL656" s="2" t="n">
        <v>0</v>
      </c>
      <c r="BM656" s="2" t="n">
        <v>0</v>
      </c>
      <c r="BN656" s="2" t="n">
        <v>0</v>
      </c>
      <c r="BO656" s="2" t="n">
        <v>0</v>
      </c>
      <c r="BP656" s="2" t="n">
        <v>0</v>
      </c>
      <c r="BQ656" s="2" t="n">
        <v>0</v>
      </c>
      <c r="BR656" s="2" t="n">
        <v>0</v>
      </c>
      <c r="BS656" s="2" t="n">
        <v>0</v>
      </c>
      <c r="BT656" s="2" t="n">
        <v>0</v>
      </c>
      <c r="BU656" s="2" t="n">
        <v>0</v>
      </c>
      <c r="BV656" s="2" t="n">
        <v>0</v>
      </c>
      <c r="BW656" s="2" t="n">
        <v>0</v>
      </c>
      <c r="BX656" s="2" t="n">
        <v>0</v>
      </c>
      <c r="BY656" s="2" t="n">
        <v>0</v>
      </c>
      <c r="BZ656" s="2" t="n">
        <v>0</v>
      </c>
      <c r="CA656" s="2" t="n">
        <v>0</v>
      </c>
      <c r="CB656" s="2" t="n">
        <v>0</v>
      </c>
      <c r="CC656" s="2" t="n">
        <v>0</v>
      </c>
      <c r="CD656" s="2" t="n">
        <v>0</v>
      </c>
      <c r="CE656" s="2" t="n">
        <v>0</v>
      </c>
      <c r="CF656" s="2" t="n">
        <v>0</v>
      </c>
      <c r="CG656" s="2" t="n">
        <v>0</v>
      </c>
      <c r="CH656" s="2" t="n">
        <v>0</v>
      </c>
      <c r="CI656" s="2" t="n">
        <v>0</v>
      </c>
      <c r="CJ656" s="2" t="n">
        <v>0</v>
      </c>
      <c r="CK656" s="2" t="n">
        <v>0</v>
      </c>
      <c r="CL656" s="2" t="n">
        <v>0</v>
      </c>
      <c r="CM656" s="2" t="n">
        <v>0</v>
      </c>
      <c r="CN656" s="2" t="n">
        <v>0</v>
      </c>
      <c r="CO656" s="2" t="n">
        <v>0</v>
      </c>
      <c r="CP656" s="2" t="n">
        <v>0</v>
      </c>
      <c r="CQ656" s="2" t="n">
        <v>0</v>
      </c>
      <c r="CR656" s="2" t="n">
        <v>0</v>
      </c>
      <c r="CS656" s="2" t="n">
        <v>0</v>
      </c>
      <c r="CT656" s="2" t="n">
        <v>0</v>
      </c>
      <c r="CU656" s="2" t="n">
        <v>0</v>
      </c>
      <c r="CV656" s="2" t="n">
        <v>0</v>
      </c>
      <c r="CW656" s="2" t="n">
        <v>0</v>
      </c>
      <c r="CX656" s="2" t="n">
        <v>0.44</v>
      </c>
      <c r="CY656" s="2" t="n">
        <v>2.67</v>
      </c>
      <c r="CZ656" s="2" t="n">
        <v>0</v>
      </c>
      <c r="DA656" s="2" t="n">
        <v>9.779999999999999</v>
      </c>
      <c r="DB656" s="2" t="n">
        <v>12</v>
      </c>
      <c r="DC656" s="2" t="n">
        <v>0</v>
      </c>
      <c r="DD656" s="2" t="n">
        <v>20</v>
      </c>
      <c r="DE656" s="2" t="n">
        <v>22.22</v>
      </c>
      <c r="DF656" s="2" t="n">
        <v>0</v>
      </c>
      <c r="DG656" s="2" t="n">
        <v>28</v>
      </c>
      <c r="DH656" s="2" t="n">
        <v>30.22</v>
      </c>
      <c r="DI656" s="2" t="n">
        <v>0</v>
      </c>
      <c r="DJ656" s="2" t="n">
        <v>37.78</v>
      </c>
      <c r="DK656" s="2" t="n">
        <v>40</v>
      </c>
      <c r="DL656" s="2" t="n">
        <v>0</v>
      </c>
      <c r="DM656" s="2" t="n">
        <v>47.11</v>
      </c>
      <c r="DN656" s="2" t="n">
        <v>49.33</v>
      </c>
      <c r="DO656" s="2" t="n">
        <v>0</v>
      </c>
      <c r="DP656" s="2" t="n">
        <v>56.44</v>
      </c>
      <c r="DQ656" s="2" t="n">
        <v>58.67</v>
      </c>
      <c r="DR656" s="2" t="n">
        <v>0</v>
      </c>
      <c r="DS656" s="2" t="n">
        <v>66.22</v>
      </c>
      <c r="DT656" s="2" t="n">
        <v>68.44</v>
      </c>
      <c r="DU656" s="2" t="n">
        <v>0</v>
      </c>
      <c r="DV656" s="2" t="n">
        <v>75.11</v>
      </c>
      <c r="DW656" s="2" t="n">
        <v>77.33</v>
      </c>
      <c r="DX656" s="2" t="n">
        <v>0</v>
      </c>
      <c r="DY656" s="2" t="n">
        <v>84.44</v>
      </c>
      <c r="DZ656" s="2" t="n">
        <v>86.67</v>
      </c>
      <c r="EA656" s="2" t="n">
        <v>0</v>
      </c>
      <c r="EB656" s="2" t="n">
        <v>92.7</v>
      </c>
      <c r="EC656" s="2" t="n">
        <v>94.45</v>
      </c>
      <c r="ED656" s="2" t="n">
        <v>0</v>
      </c>
      <c r="EE656" s="2" t="n">
        <v>95.91</v>
      </c>
      <c r="EF656" s="2" t="n">
        <v>98.86</v>
      </c>
      <c r="EG656" s="2" t="n">
        <v>0</v>
      </c>
      <c r="EH656" s="2" t="n">
        <v>100</v>
      </c>
      <c r="EI656" s="2" t="n">
        <v>100</v>
      </c>
      <c r="EJ656" s="2" t="n">
        <v>0</v>
      </c>
      <c r="EK656" s="2" t="n">
        <v>100</v>
      </c>
      <c r="EL656" s="2" t="n">
        <v>100</v>
      </c>
      <c r="EM656" s="2" t="n">
        <v>0</v>
      </c>
      <c r="EN656" s="2" t="n">
        <v>100</v>
      </c>
      <c r="EO656" s="2" t="n">
        <v>100</v>
      </c>
      <c r="EP656" s="2" t="n">
        <v>0</v>
      </c>
      <c r="EQ656" s="2" t="n">
        <v>100</v>
      </c>
      <c r="ER656" s="2" t="n">
        <v>100</v>
      </c>
      <c r="ES656" s="2" t="n">
        <v>0</v>
      </c>
    </row>
    <row r="657">
      <c r="A657" s="2" t="n">
        <v>4</v>
      </c>
      <c r="B657" s="2" t="inlineStr">
        <is>
          <t>30.01.04.01</t>
        </is>
      </c>
      <c r="C657" s="2" t="inlineStr">
        <is>
          <t>Piso vinílico em réguas, 18,4x121,9cm,  padrão madeirado. Ref.: Durafloor, Austin, llinha Urban.</t>
        </is>
      </c>
      <c r="D657" s="2" t="inlineStr">
        <is>
          <t>24/01/2028</t>
        </is>
      </c>
      <c r="E657" s="2" t="inlineStr">
        <is>
          <t>03/01/2029</t>
        </is>
      </c>
      <c r="F657" s="2" t="n">
        <v>774168.0639999999</v>
      </c>
      <c r="G657" s="2" t="n">
        <v>0</v>
      </c>
      <c r="H657" s="2" t="n">
        <v>774168.0639999999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0</v>
      </c>
      <c r="AM657" s="2" t="n">
        <v>0</v>
      </c>
      <c r="AN657" s="2" t="n">
        <v>0</v>
      </c>
      <c r="AO657" s="2" t="n">
        <v>0</v>
      </c>
      <c r="AP657" s="2" t="n">
        <v>0</v>
      </c>
      <c r="AQ657" s="2" t="n">
        <v>0</v>
      </c>
      <c r="AR657" s="2" t="n">
        <v>0</v>
      </c>
      <c r="AS657" s="2" t="n">
        <v>0</v>
      </c>
      <c r="AT657" s="2" t="n">
        <v>0</v>
      </c>
      <c r="AU657" s="2" t="n">
        <v>0</v>
      </c>
      <c r="AV657" s="2" t="n">
        <v>0</v>
      </c>
      <c r="AW657" s="2" t="n">
        <v>0</v>
      </c>
      <c r="AX657" s="2" t="n">
        <v>0</v>
      </c>
      <c r="AY657" s="2" t="n">
        <v>0</v>
      </c>
      <c r="AZ657" s="2" t="n">
        <v>0</v>
      </c>
      <c r="BA657" s="2" t="n">
        <v>0</v>
      </c>
      <c r="BB657" s="2" t="n">
        <v>0</v>
      </c>
      <c r="BC657" s="2" t="n">
        <v>0</v>
      </c>
      <c r="BD657" s="2" t="n">
        <v>0</v>
      </c>
      <c r="BE657" s="2" t="n">
        <v>0</v>
      </c>
      <c r="BF657" s="2" t="n">
        <v>0</v>
      </c>
      <c r="BG657" s="2" t="n">
        <v>0</v>
      </c>
      <c r="BH657" s="2" t="n">
        <v>0</v>
      </c>
      <c r="BI657" s="2" t="n">
        <v>0</v>
      </c>
      <c r="BJ657" s="2" t="n">
        <v>0</v>
      </c>
      <c r="BK657" s="2" t="n">
        <v>0</v>
      </c>
      <c r="BL657" s="2" t="n">
        <v>0</v>
      </c>
      <c r="BM657" s="2" t="n">
        <v>0</v>
      </c>
      <c r="BN657" s="2" t="n">
        <v>0</v>
      </c>
      <c r="BO657" s="2" t="n">
        <v>0</v>
      </c>
      <c r="BP657" s="2" t="n">
        <v>0</v>
      </c>
      <c r="BQ657" s="2" t="n">
        <v>0</v>
      </c>
      <c r="BR657" s="2" t="n">
        <v>0</v>
      </c>
      <c r="BS657" s="2" t="n">
        <v>0</v>
      </c>
      <c r="BT657" s="2" t="n">
        <v>0</v>
      </c>
      <c r="BU657" s="2" t="n">
        <v>0</v>
      </c>
      <c r="BV657" s="2" t="n">
        <v>0</v>
      </c>
      <c r="BW657" s="2" t="n">
        <v>0</v>
      </c>
      <c r="BX657" s="2" t="n">
        <v>0</v>
      </c>
      <c r="BY657" s="2" t="n">
        <v>0</v>
      </c>
      <c r="BZ657" s="2" t="n">
        <v>0</v>
      </c>
      <c r="CA657" s="2" t="n">
        <v>0</v>
      </c>
      <c r="CB657" s="2" t="n">
        <v>0</v>
      </c>
      <c r="CC657" s="2" t="n">
        <v>0</v>
      </c>
      <c r="CD657" s="2" t="n">
        <v>0</v>
      </c>
      <c r="CE657" s="2" t="n">
        <v>0</v>
      </c>
      <c r="CF657" s="2" t="n">
        <v>0</v>
      </c>
      <c r="CG657" s="2" t="n">
        <v>0</v>
      </c>
      <c r="CH657" s="2" t="n">
        <v>0</v>
      </c>
      <c r="CI657" s="2" t="n">
        <v>0</v>
      </c>
      <c r="CJ657" s="2" t="n">
        <v>0</v>
      </c>
      <c r="CK657" s="2" t="n">
        <v>0</v>
      </c>
      <c r="CL657" s="2" t="n">
        <v>0</v>
      </c>
      <c r="CM657" s="2" t="n">
        <v>0</v>
      </c>
      <c r="CN657" s="2" t="n">
        <v>0</v>
      </c>
      <c r="CO657" s="2" t="n">
        <v>0</v>
      </c>
      <c r="CP657" s="2" t="n">
        <v>0</v>
      </c>
      <c r="CQ657" s="2" t="n">
        <v>0</v>
      </c>
      <c r="CR657" s="2" t="n">
        <v>0</v>
      </c>
      <c r="CS657" s="2" t="n">
        <v>0</v>
      </c>
      <c r="CT657" s="2" t="n">
        <v>0</v>
      </c>
      <c r="CU657" s="2" t="n">
        <v>0</v>
      </c>
      <c r="CV657" s="2" t="n">
        <v>0</v>
      </c>
      <c r="CW657" s="2" t="n">
        <v>0</v>
      </c>
      <c r="CX657" s="2" t="n">
        <v>0.44</v>
      </c>
      <c r="CY657" s="2" t="n">
        <v>2.67</v>
      </c>
      <c r="CZ657" s="2" t="n">
        <v>0</v>
      </c>
      <c r="DA657" s="2" t="n">
        <v>9.779999999999999</v>
      </c>
      <c r="DB657" s="2" t="n">
        <v>12</v>
      </c>
      <c r="DC657" s="2" t="n">
        <v>0</v>
      </c>
      <c r="DD657" s="2" t="n">
        <v>20</v>
      </c>
      <c r="DE657" s="2" t="n">
        <v>22.22</v>
      </c>
      <c r="DF657" s="2" t="n">
        <v>0</v>
      </c>
      <c r="DG657" s="2" t="n">
        <v>28</v>
      </c>
      <c r="DH657" s="2" t="n">
        <v>30.22</v>
      </c>
      <c r="DI657" s="2" t="n">
        <v>0</v>
      </c>
      <c r="DJ657" s="2" t="n">
        <v>37.78</v>
      </c>
      <c r="DK657" s="2" t="n">
        <v>40</v>
      </c>
      <c r="DL657" s="2" t="n">
        <v>0</v>
      </c>
      <c r="DM657" s="2" t="n">
        <v>47.11</v>
      </c>
      <c r="DN657" s="2" t="n">
        <v>49.33</v>
      </c>
      <c r="DO657" s="2" t="n">
        <v>0</v>
      </c>
      <c r="DP657" s="2" t="n">
        <v>56.44</v>
      </c>
      <c r="DQ657" s="2" t="n">
        <v>58.67</v>
      </c>
      <c r="DR657" s="2" t="n">
        <v>0</v>
      </c>
      <c r="DS657" s="2" t="n">
        <v>66.22</v>
      </c>
      <c r="DT657" s="2" t="n">
        <v>68.44</v>
      </c>
      <c r="DU657" s="2" t="n">
        <v>0</v>
      </c>
      <c r="DV657" s="2" t="n">
        <v>75.11</v>
      </c>
      <c r="DW657" s="2" t="n">
        <v>77.33</v>
      </c>
      <c r="DX657" s="2" t="n">
        <v>0</v>
      </c>
      <c r="DY657" s="2" t="n">
        <v>84.44</v>
      </c>
      <c r="DZ657" s="2" t="n">
        <v>86.67</v>
      </c>
      <c r="EA657" s="2" t="n">
        <v>0</v>
      </c>
      <c r="EB657" s="2" t="n">
        <v>92.7</v>
      </c>
      <c r="EC657" s="2" t="n">
        <v>94.45</v>
      </c>
      <c r="ED657" s="2" t="n">
        <v>0</v>
      </c>
      <c r="EE657" s="2" t="n">
        <v>95.91</v>
      </c>
      <c r="EF657" s="2" t="n">
        <v>98.86</v>
      </c>
      <c r="EG657" s="2" t="n">
        <v>0</v>
      </c>
      <c r="EH657" s="2" t="n">
        <v>100</v>
      </c>
      <c r="EI657" s="2" t="n">
        <v>100</v>
      </c>
      <c r="EJ657" s="2" t="n">
        <v>0</v>
      </c>
      <c r="EK657" s="2" t="n">
        <v>100</v>
      </c>
      <c r="EL657" s="2" t="n">
        <v>100</v>
      </c>
      <c r="EM657" s="2" t="n">
        <v>0</v>
      </c>
      <c r="EN657" s="2" t="n">
        <v>100</v>
      </c>
      <c r="EO657" s="2" t="n">
        <v>100</v>
      </c>
      <c r="EP657" s="2" t="n">
        <v>0</v>
      </c>
      <c r="EQ657" s="2" t="n">
        <v>100</v>
      </c>
      <c r="ER657" s="2" t="n">
        <v>100</v>
      </c>
      <c r="ES657" s="2" t="n">
        <v>0</v>
      </c>
    </row>
    <row r="658">
      <c r="A658" s="2" t="n">
        <v>4</v>
      </c>
      <c r="B658" s="2" t="inlineStr">
        <is>
          <t>30.01.04.02</t>
        </is>
      </c>
      <c r="C658" s="2" t="inlineStr">
        <is>
          <t>Vinílico Durafloor Austin Liha Urbann (2mm)</t>
        </is>
      </c>
      <c r="D658" s="2" t="inlineStr">
        <is>
          <t>24/01/2028</t>
        </is>
      </c>
      <c r="E658" s="2" t="inlineStr">
        <is>
          <t>03/01/2029</t>
        </is>
      </c>
      <c r="F658" s="2" t="n">
        <v>3127.328</v>
      </c>
      <c r="G658" s="2" t="n">
        <v>0</v>
      </c>
      <c r="H658" s="2" t="n">
        <v>3127.328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0</v>
      </c>
      <c r="AN658" s="2" t="n">
        <v>0</v>
      </c>
      <c r="AO658" s="2" t="n">
        <v>0</v>
      </c>
      <c r="AP658" s="2" t="n">
        <v>0</v>
      </c>
      <c r="AQ658" s="2" t="n">
        <v>0</v>
      </c>
      <c r="AR658" s="2" t="n">
        <v>0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 t="n">
        <v>0</v>
      </c>
      <c r="AX658" s="2" t="n">
        <v>0</v>
      </c>
      <c r="AY658" s="2" t="n">
        <v>0</v>
      </c>
      <c r="AZ658" s="2" t="n">
        <v>0</v>
      </c>
      <c r="BA658" s="2" t="n">
        <v>0</v>
      </c>
      <c r="BB658" s="2" t="n">
        <v>0</v>
      </c>
      <c r="BC658" s="2" t="n">
        <v>0</v>
      </c>
      <c r="BD658" s="2" t="n">
        <v>0</v>
      </c>
      <c r="BE658" s="2" t="n">
        <v>0</v>
      </c>
      <c r="BF658" s="2" t="n">
        <v>0</v>
      </c>
      <c r="BG658" s="2" t="n">
        <v>0</v>
      </c>
      <c r="BH658" s="2" t="n">
        <v>0</v>
      </c>
      <c r="BI658" s="2" t="n">
        <v>0</v>
      </c>
      <c r="BJ658" s="2" t="n">
        <v>0</v>
      </c>
      <c r="BK658" s="2" t="n">
        <v>0</v>
      </c>
      <c r="BL658" s="2" t="n">
        <v>0</v>
      </c>
      <c r="BM658" s="2" t="n">
        <v>0</v>
      </c>
      <c r="BN658" s="2" t="n">
        <v>0</v>
      </c>
      <c r="BO658" s="2" t="n">
        <v>0</v>
      </c>
      <c r="BP658" s="2" t="n">
        <v>0</v>
      </c>
      <c r="BQ658" s="2" t="n">
        <v>0</v>
      </c>
      <c r="BR658" s="2" t="n">
        <v>0</v>
      </c>
      <c r="BS658" s="2" t="n">
        <v>0</v>
      </c>
      <c r="BT658" s="2" t="n">
        <v>0</v>
      </c>
      <c r="BU658" s="2" t="n">
        <v>0</v>
      </c>
      <c r="BV658" s="2" t="n">
        <v>0</v>
      </c>
      <c r="BW658" s="2" t="n">
        <v>0</v>
      </c>
      <c r="BX658" s="2" t="n">
        <v>0</v>
      </c>
      <c r="BY658" s="2" t="n">
        <v>0</v>
      </c>
      <c r="BZ658" s="2" t="n">
        <v>0</v>
      </c>
      <c r="CA658" s="2" t="n">
        <v>0</v>
      </c>
      <c r="CB658" s="2" t="n">
        <v>0</v>
      </c>
      <c r="CC658" s="2" t="n">
        <v>0</v>
      </c>
      <c r="CD658" s="2" t="n">
        <v>0</v>
      </c>
      <c r="CE658" s="2" t="n">
        <v>0</v>
      </c>
      <c r="CF658" s="2" t="n">
        <v>0</v>
      </c>
      <c r="CG658" s="2" t="n">
        <v>0</v>
      </c>
      <c r="CH658" s="2" t="n">
        <v>0</v>
      </c>
      <c r="CI658" s="2" t="n">
        <v>0</v>
      </c>
      <c r="CJ658" s="2" t="n">
        <v>0</v>
      </c>
      <c r="CK658" s="2" t="n">
        <v>0</v>
      </c>
      <c r="CL658" s="2" t="n">
        <v>0</v>
      </c>
      <c r="CM658" s="2" t="n">
        <v>0</v>
      </c>
      <c r="CN658" s="2" t="n">
        <v>0</v>
      </c>
      <c r="CO658" s="2" t="n">
        <v>0</v>
      </c>
      <c r="CP658" s="2" t="n">
        <v>0</v>
      </c>
      <c r="CQ658" s="2" t="n">
        <v>0</v>
      </c>
      <c r="CR658" s="2" t="n">
        <v>0</v>
      </c>
      <c r="CS658" s="2" t="n">
        <v>0</v>
      </c>
      <c r="CT658" s="2" t="n">
        <v>0</v>
      </c>
      <c r="CU658" s="2" t="n">
        <v>0</v>
      </c>
      <c r="CV658" s="2" t="n">
        <v>0</v>
      </c>
      <c r="CW658" s="2" t="n">
        <v>0</v>
      </c>
      <c r="CX658" s="2" t="n">
        <v>0.44</v>
      </c>
      <c r="CY658" s="2" t="n">
        <v>2.67</v>
      </c>
      <c r="CZ658" s="2" t="n">
        <v>0</v>
      </c>
      <c r="DA658" s="2" t="n">
        <v>9.779999999999999</v>
      </c>
      <c r="DB658" s="2" t="n">
        <v>12</v>
      </c>
      <c r="DC658" s="2" t="n">
        <v>0</v>
      </c>
      <c r="DD658" s="2" t="n">
        <v>20</v>
      </c>
      <c r="DE658" s="2" t="n">
        <v>22.22</v>
      </c>
      <c r="DF658" s="2" t="n">
        <v>0</v>
      </c>
      <c r="DG658" s="2" t="n">
        <v>28</v>
      </c>
      <c r="DH658" s="2" t="n">
        <v>30.22</v>
      </c>
      <c r="DI658" s="2" t="n">
        <v>0</v>
      </c>
      <c r="DJ658" s="2" t="n">
        <v>37.78</v>
      </c>
      <c r="DK658" s="2" t="n">
        <v>40</v>
      </c>
      <c r="DL658" s="2" t="n">
        <v>0</v>
      </c>
      <c r="DM658" s="2" t="n">
        <v>47.11</v>
      </c>
      <c r="DN658" s="2" t="n">
        <v>49.33</v>
      </c>
      <c r="DO658" s="2" t="n">
        <v>0</v>
      </c>
      <c r="DP658" s="2" t="n">
        <v>56.44</v>
      </c>
      <c r="DQ658" s="2" t="n">
        <v>58.67</v>
      </c>
      <c r="DR658" s="2" t="n">
        <v>0</v>
      </c>
      <c r="DS658" s="2" t="n">
        <v>66.22</v>
      </c>
      <c r="DT658" s="2" t="n">
        <v>68.44</v>
      </c>
      <c r="DU658" s="2" t="n">
        <v>0</v>
      </c>
      <c r="DV658" s="2" t="n">
        <v>75.11</v>
      </c>
      <c r="DW658" s="2" t="n">
        <v>77.33</v>
      </c>
      <c r="DX658" s="2" t="n">
        <v>0</v>
      </c>
      <c r="DY658" s="2" t="n">
        <v>84.44</v>
      </c>
      <c r="DZ658" s="2" t="n">
        <v>86.67</v>
      </c>
      <c r="EA658" s="2" t="n">
        <v>0</v>
      </c>
      <c r="EB658" s="2" t="n">
        <v>92.7</v>
      </c>
      <c r="EC658" s="2" t="n">
        <v>94.45</v>
      </c>
      <c r="ED658" s="2" t="n">
        <v>0</v>
      </c>
      <c r="EE658" s="2" t="n">
        <v>95.91</v>
      </c>
      <c r="EF658" s="2" t="n">
        <v>98.86</v>
      </c>
      <c r="EG658" s="2" t="n">
        <v>0</v>
      </c>
      <c r="EH658" s="2" t="n">
        <v>100</v>
      </c>
      <c r="EI658" s="2" t="n">
        <v>100</v>
      </c>
      <c r="EJ658" s="2" t="n">
        <v>0</v>
      </c>
      <c r="EK658" s="2" t="n">
        <v>100</v>
      </c>
      <c r="EL658" s="2" t="n">
        <v>100</v>
      </c>
      <c r="EM658" s="2" t="n">
        <v>0</v>
      </c>
      <c r="EN658" s="2" t="n">
        <v>100</v>
      </c>
      <c r="EO658" s="2" t="n">
        <v>100</v>
      </c>
      <c r="EP658" s="2" t="n">
        <v>0</v>
      </c>
      <c r="EQ658" s="2" t="n">
        <v>100</v>
      </c>
      <c r="ER658" s="2" t="n">
        <v>100</v>
      </c>
      <c r="ES658" s="2" t="n">
        <v>0</v>
      </c>
    </row>
    <row r="659">
      <c r="A659" s="2" t="n">
        <v>3</v>
      </c>
      <c r="B659" s="2" t="inlineStr">
        <is>
          <t>30.01.05</t>
        </is>
      </c>
      <c r="C659" s="2" t="inlineStr">
        <is>
          <t>Concreto e/ou cimentados</t>
        </is>
      </c>
      <c r="D659" s="2" t="inlineStr">
        <is>
          <t>24/03/2028</t>
        </is>
      </c>
      <c r="E659" s="2" t="inlineStr">
        <is>
          <t>15/12/2028</t>
        </is>
      </c>
      <c r="F659" s="2" t="n">
        <v>273316.2177695479</v>
      </c>
      <c r="G659" s="2" t="n">
        <v>0</v>
      </c>
      <c r="H659" s="2" t="n">
        <v>273316.2177695479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0</v>
      </c>
      <c r="AL659" s="2" t="n">
        <v>0</v>
      </c>
      <c r="AM659" s="2" t="n">
        <v>0</v>
      </c>
      <c r="AN659" s="2" t="n">
        <v>0</v>
      </c>
      <c r="AO659" s="2" t="n">
        <v>0</v>
      </c>
      <c r="AP659" s="2" t="n">
        <v>0</v>
      </c>
      <c r="AQ659" s="2" t="n">
        <v>0</v>
      </c>
      <c r="AR659" s="2" t="n">
        <v>0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 t="n">
        <v>0</v>
      </c>
      <c r="AX659" s="2" t="n">
        <v>0</v>
      </c>
      <c r="AY659" s="2" t="n">
        <v>0</v>
      </c>
      <c r="AZ659" s="2" t="n">
        <v>0</v>
      </c>
      <c r="BA659" s="2" t="n">
        <v>0</v>
      </c>
      <c r="BB659" s="2" t="n">
        <v>0</v>
      </c>
      <c r="BC659" s="2" t="n">
        <v>0</v>
      </c>
      <c r="BD659" s="2" t="n">
        <v>0</v>
      </c>
      <c r="BE659" s="2" t="n">
        <v>0</v>
      </c>
      <c r="BF659" s="2" t="n">
        <v>0</v>
      </c>
      <c r="BG659" s="2" t="n">
        <v>0</v>
      </c>
      <c r="BH659" s="2" t="n">
        <v>0</v>
      </c>
      <c r="BI659" s="2" t="n">
        <v>0</v>
      </c>
      <c r="BJ659" s="2" t="n">
        <v>0</v>
      </c>
      <c r="BK659" s="2" t="n">
        <v>0</v>
      </c>
      <c r="BL659" s="2" t="n">
        <v>0</v>
      </c>
      <c r="BM659" s="2" t="n">
        <v>0</v>
      </c>
      <c r="BN659" s="2" t="n">
        <v>0</v>
      </c>
      <c r="BO659" s="2" t="n">
        <v>0</v>
      </c>
      <c r="BP659" s="2" t="n">
        <v>0</v>
      </c>
      <c r="BQ659" s="2" t="n">
        <v>0</v>
      </c>
      <c r="BR659" s="2" t="n">
        <v>0</v>
      </c>
      <c r="BS659" s="2" t="n">
        <v>0</v>
      </c>
      <c r="BT659" s="2" t="n">
        <v>0</v>
      </c>
      <c r="BU659" s="2" t="n">
        <v>0</v>
      </c>
      <c r="BV659" s="2" t="n">
        <v>0</v>
      </c>
      <c r="BW659" s="2" t="n">
        <v>0</v>
      </c>
      <c r="BX659" s="2" t="n">
        <v>0</v>
      </c>
      <c r="BY659" s="2" t="n">
        <v>0</v>
      </c>
      <c r="BZ659" s="2" t="n">
        <v>0</v>
      </c>
      <c r="CA659" s="2" t="n">
        <v>0</v>
      </c>
      <c r="CB659" s="2" t="n">
        <v>0</v>
      </c>
      <c r="CC659" s="2" t="n">
        <v>0</v>
      </c>
      <c r="CD659" s="2" t="n">
        <v>0</v>
      </c>
      <c r="CE659" s="2" t="n">
        <v>0</v>
      </c>
      <c r="CF659" s="2" t="n">
        <v>0</v>
      </c>
      <c r="CG659" s="2" t="n">
        <v>0</v>
      </c>
      <c r="CH659" s="2" t="n">
        <v>0</v>
      </c>
      <c r="CI659" s="2" t="n">
        <v>0</v>
      </c>
      <c r="CJ659" s="2" t="n">
        <v>0</v>
      </c>
      <c r="CK659" s="2" t="n">
        <v>0</v>
      </c>
      <c r="CL659" s="2" t="n">
        <v>0</v>
      </c>
      <c r="CM659" s="2" t="n">
        <v>0</v>
      </c>
      <c r="CN659" s="2" t="n">
        <v>0</v>
      </c>
      <c r="CO659" s="2" t="n">
        <v>0</v>
      </c>
      <c r="CP659" s="2" t="n">
        <v>0</v>
      </c>
      <c r="CQ659" s="2" t="n">
        <v>0</v>
      </c>
      <c r="CR659" s="2" t="n">
        <v>0</v>
      </c>
      <c r="CS659" s="2" t="n">
        <v>0</v>
      </c>
      <c r="CT659" s="2" t="n">
        <v>0</v>
      </c>
      <c r="CU659" s="2" t="n">
        <v>0</v>
      </c>
      <c r="CV659" s="2" t="n">
        <v>0</v>
      </c>
      <c r="CW659" s="2" t="n">
        <v>0</v>
      </c>
      <c r="CX659" s="2" t="n">
        <v>0</v>
      </c>
      <c r="CY659" s="2" t="n">
        <v>0</v>
      </c>
      <c r="CZ659" s="2" t="n">
        <v>0</v>
      </c>
      <c r="DA659" s="2" t="n">
        <v>0</v>
      </c>
      <c r="DB659" s="2" t="n">
        <v>0</v>
      </c>
      <c r="DC659" s="2" t="n">
        <v>0</v>
      </c>
      <c r="DD659" s="2" t="n">
        <v>9.16</v>
      </c>
      <c r="DE659" s="2" t="n">
        <v>10.99</v>
      </c>
      <c r="DF659" s="2" t="n">
        <v>0</v>
      </c>
      <c r="DG659" s="2" t="n">
        <v>27.48</v>
      </c>
      <c r="DH659" s="2" t="n">
        <v>27.48</v>
      </c>
      <c r="DI659" s="2" t="n">
        <v>0</v>
      </c>
      <c r="DJ659" s="2" t="n">
        <v>27.48</v>
      </c>
      <c r="DK659" s="2" t="n">
        <v>27.48</v>
      </c>
      <c r="DL659" s="2" t="n">
        <v>0</v>
      </c>
      <c r="DM659" s="2" t="n">
        <v>27.48</v>
      </c>
      <c r="DN659" s="2" t="n">
        <v>27.48</v>
      </c>
      <c r="DO659" s="2" t="n">
        <v>0</v>
      </c>
      <c r="DP659" s="2" t="n">
        <v>27.48</v>
      </c>
      <c r="DQ659" s="2" t="n">
        <v>27.48</v>
      </c>
      <c r="DR659" s="2" t="n">
        <v>0</v>
      </c>
      <c r="DS659" s="2" t="n">
        <v>27.48</v>
      </c>
      <c r="DT659" s="2" t="n">
        <v>41.99</v>
      </c>
      <c r="DU659" s="2" t="n">
        <v>0</v>
      </c>
      <c r="DV659" s="2" t="n">
        <v>41.99</v>
      </c>
      <c r="DW659" s="2" t="n">
        <v>58.8</v>
      </c>
      <c r="DX659" s="2" t="n">
        <v>0</v>
      </c>
      <c r="DY659" s="2" t="n">
        <v>59.62</v>
      </c>
      <c r="DZ659" s="2" t="n">
        <v>76.09999999999999</v>
      </c>
      <c r="EA659" s="2" t="n">
        <v>0</v>
      </c>
      <c r="EB659" s="2" t="n">
        <v>75.28</v>
      </c>
      <c r="EC659" s="2" t="n">
        <v>91.76000000000001</v>
      </c>
      <c r="ED659" s="2" t="n">
        <v>0</v>
      </c>
      <c r="EE659" s="2" t="n">
        <v>87.64</v>
      </c>
      <c r="EF659" s="2" t="n">
        <v>100</v>
      </c>
      <c r="EG659" s="2" t="n">
        <v>0</v>
      </c>
      <c r="EH659" s="2" t="n">
        <v>100</v>
      </c>
      <c r="EI659" s="2" t="n">
        <v>100</v>
      </c>
      <c r="EJ659" s="2" t="n">
        <v>0</v>
      </c>
      <c r="EK659" s="2" t="n">
        <v>100</v>
      </c>
      <c r="EL659" s="2" t="n">
        <v>100</v>
      </c>
      <c r="EM659" s="2" t="n">
        <v>0</v>
      </c>
      <c r="EN659" s="2" t="n">
        <v>100</v>
      </c>
      <c r="EO659" s="2" t="n">
        <v>100</v>
      </c>
      <c r="EP659" s="2" t="n">
        <v>0</v>
      </c>
      <c r="EQ659" s="2" t="n">
        <v>100</v>
      </c>
      <c r="ER659" s="2" t="n">
        <v>100</v>
      </c>
      <c r="ES659" s="2" t="n">
        <v>0</v>
      </c>
    </row>
    <row r="660">
      <c r="A660" s="2" t="n">
        <v>4</v>
      </c>
      <c r="B660" s="2" t="inlineStr">
        <is>
          <t>30.01.05.01</t>
        </is>
      </c>
      <c r="C660" s="2" t="inlineStr">
        <is>
          <t>Concreto mecanizado com acabamento polido, sem camada de regularização</t>
        </is>
      </c>
      <c r="D660" s="2" t="inlineStr">
        <is>
          <t>24/03/2028</t>
        </is>
      </c>
      <c r="E660" s="2" t="inlineStr">
        <is>
          <t>15/12/2028</t>
        </is>
      </c>
      <c r="F660" s="2" t="n">
        <v>124027.76985</v>
      </c>
      <c r="G660" s="2" t="n">
        <v>0</v>
      </c>
      <c r="H660" s="2" t="n">
        <v>124027.76985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  <c r="AM660" s="2" t="n">
        <v>0</v>
      </c>
      <c r="AN660" s="2" t="n">
        <v>0</v>
      </c>
      <c r="AO660" s="2" t="n">
        <v>0</v>
      </c>
      <c r="AP660" s="2" t="n">
        <v>0</v>
      </c>
      <c r="AQ660" s="2" t="n">
        <v>0</v>
      </c>
      <c r="AR660" s="2" t="n">
        <v>0</v>
      </c>
      <c r="AS660" s="2" t="n">
        <v>0</v>
      </c>
      <c r="AT660" s="2" t="n">
        <v>0</v>
      </c>
      <c r="AU660" s="2" t="n">
        <v>0</v>
      </c>
      <c r="AV660" s="2" t="n">
        <v>0</v>
      </c>
      <c r="AW660" s="2" t="n">
        <v>0</v>
      </c>
      <c r="AX660" s="2" t="n">
        <v>0</v>
      </c>
      <c r="AY660" s="2" t="n">
        <v>0</v>
      </c>
      <c r="AZ660" s="2" t="n">
        <v>0</v>
      </c>
      <c r="BA660" s="2" t="n">
        <v>0</v>
      </c>
      <c r="BB660" s="2" t="n">
        <v>0</v>
      </c>
      <c r="BC660" s="2" t="n">
        <v>0</v>
      </c>
      <c r="BD660" s="2" t="n">
        <v>0</v>
      </c>
      <c r="BE660" s="2" t="n">
        <v>0</v>
      </c>
      <c r="BF660" s="2" t="n">
        <v>0</v>
      </c>
      <c r="BG660" s="2" t="n">
        <v>0</v>
      </c>
      <c r="BH660" s="2" t="n">
        <v>0</v>
      </c>
      <c r="BI660" s="2" t="n">
        <v>0</v>
      </c>
      <c r="BJ660" s="2" t="n">
        <v>0</v>
      </c>
      <c r="BK660" s="2" t="n">
        <v>0</v>
      </c>
      <c r="BL660" s="2" t="n">
        <v>0</v>
      </c>
      <c r="BM660" s="2" t="n">
        <v>0</v>
      </c>
      <c r="BN660" s="2" t="n">
        <v>0</v>
      </c>
      <c r="BO660" s="2" t="n">
        <v>0</v>
      </c>
      <c r="BP660" s="2" t="n">
        <v>0</v>
      </c>
      <c r="BQ660" s="2" t="n">
        <v>0</v>
      </c>
      <c r="BR660" s="2" t="n">
        <v>0</v>
      </c>
      <c r="BS660" s="2" t="n">
        <v>0</v>
      </c>
      <c r="BT660" s="2" t="n">
        <v>0</v>
      </c>
      <c r="BU660" s="2" t="n">
        <v>0</v>
      </c>
      <c r="BV660" s="2" t="n">
        <v>0</v>
      </c>
      <c r="BW660" s="2" t="n">
        <v>0</v>
      </c>
      <c r="BX660" s="2" t="n">
        <v>0</v>
      </c>
      <c r="BY660" s="2" t="n">
        <v>0</v>
      </c>
      <c r="BZ660" s="2" t="n">
        <v>0</v>
      </c>
      <c r="CA660" s="2" t="n">
        <v>0</v>
      </c>
      <c r="CB660" s="2" t="n">
        <v>0</v>
      </c>
      <c r="CC660" s="2" t="n">
        <v>0</v>
      </c>
      <c r="CD660" s="2" t="n">
        <v>0</v>
      </c>
      <c r="CE660" s="2" t="n">
        <v>0</v>
      </c>
      <c r="CF660" s="2" t="n">
        <v>0</v>
      </c>
      <c r="CG660" s="2" t="n">
        <v>0</v>
      </c>
      <c r="CH660" s="2" t="n">
        <v>0</v>
      </c>
      <c r="CI660" s="2" t="n">
        <v>0</v>
      </c>
      <c r="CJ660" s="2" t="n">
        <v>0</v>
      </c>
      <c r="CK660" s="2" t="n">
        <v>0</v>
      </c>
      <c r="CL660" s="2" t="n">
        <v>0</v>
      </c>
      <c r="CM660" s="2" t="n">
        <v>0</v>
      </c>
      <c r="CN660" s="2" t="n">
        <v>0</v>
      </c>
      <c r="CO660" s="2" t="n">
        <v>0</v>
      </c>
      <c r="CP660" s="2" t="n">
        <v>0</v>
      </c>
      <c r="CQ660" s="2" t="n">
        <v>0</v>
      </c>
      <c r="CR660" s="2" t="n">
        <v>0</v>
      </c>
      <c r="CS660" s="2" t="n">
        <v>0</v>
      </c>
      <c r="CT660" s="2" t="n">
        <v>0</v>
      </c>
      <c r="CU660" s="2" t="n">
        <v>0</v>
      </c>
      <c r="CV660" s="2" t="n">
        <v>0</v>
      </c>
      <c r="CW660" s="2" t="n">
        <v>0</v>
      </c>
      <c r="CX660" s="2" t="n">
        <v>0</v>
      </c>
      <c r="CY660" s="2" t="n">
        <v>0</v>
      </c>
      <c r="CZ660" s="2" t="n">
        <v>0</v>
      </c>
      <c r="DA660" s="2" t="n">
        <v>0</v>
      </c>
      <c r="DB660" s="2" t="n">
        <v>0</v>
      </c>
      <c r="DC660" s="2" t="n">
        <v>0</v>
      </c>
      <c r="DD660" s="2" t="n">
        <v>9.16</v>
      </c>
      <c r="DE660" s="2" t="n">
        <v>10.99</v>
      </c>
      <c r="DF660" s="2" t="n">
        <v>0</v>
      </c>
      <c r="DG660" s="2" t="n">
        <v>27.48</v>
      </c>
      <c r="DH660" s="2" t="n">
        <v>27.48</v>
      </c>
      <c r="DI660" s="2" t="n">
        <v>0</v>
      </c>
      <c r="DJ660" s="2" t="n">
        <v>27.48</v>
      </c>
      <c r="DK660" s="2" t="n">
        <v>27.48</v>
      </c>
      <c r="DL660" s="2" t="n">
        <v>0</v>
      </c>
      <c r="DM660" s="2" t="n">
        <v>27.48</v>
      </c>
      <c r="DN660" s="2" t="n">
        <v>27.48</v>
      </c>
      <c r="DO660" s="2" t="n">
        <v>0</v>
      </c>
      <c r="DP660" s="2" t="n">
        <v>27.48</v>
      </c>
      <c r="DQ660" s="2" t="n">
        <v>27.48</v>
      </c>
      <c r="DR660" s="2" t="n">
        <v>0</v>
      </c>
      <c r="DS660" s="2" t="n">
        <v>27.48</v>
      </c>
      <c r="DT660" s="2" t="n">
        <v>41.99</v>
      </c>
      <c r="DU660" s="2" t="n">
        <v>0</v>
      </c>
      <c r="DV660" s="2" t="n">
        <v>41.99</v>
      </c>
      <c r="DW660" s="2" t="n">
        <v>58.8</v>
      </c>
      <c r="DX660" s="2" t="n">
        <v>0</v>
      </c>
      <c r="DY660" s="2" t="n">
        <v>59.62</v>
      </c>
      <c r="DZ660" s="2" t="n">
        <v>76.09999999999999</v>
      </c>
      <c r="EA660" s="2" t="n">
        <v>0</v>
      </c>
      <c r="EB660" s="2" t="n">
        <v>75.28</v>
      </c>
      <c r="EC660" s="2" t="n">
        <v>91.76000000000001</v>
      </c>
      <c r="ED660" s="2" t="n">
        <v>0</v>
      </c>
      <c r="EE660" s="2" t="n">
        <v>87.64</v>
      </c>
      <c r="EF660" s="2" t="n">
        <v>100</v>
      </c>
      <c r="EG660" s="2" t="n">
        <v>0</v>
      </c>
      <c r="EH660" s="2" t="n">
        <v>100</v>
      </c>
      <c r="EI660" s="2" t="n">
        <v>100</v>
      </c>
      <c r="EJ660" s="2" t="n">
        <v>0</v>
      </c>
      <c r="EK660" s="2" t="n">
        <v>100</v>
      </c>
      <c r="EL660" s="2" t="n">
        <v>100</v>
      </c>
      <c r="EM660" s="2" t="n">
        <v>0</v>
      </c>
      <c r="EN660" s="2" t="n">
        <v>100</v>
      </c>
      <c r="EO660" s="2" t="n">
        <v>100</v>
      </c>
      <c r="EP660" s="2" t="n">
        <v>0</v>
      </c>
      <c r="EQ660" s="2" t="n">
        <v>100</v>
      </c>
      <c r="ER660" s="2" t="n">
        <v>100</v>
      </c>
      <c r="ES660" s="2" t="n">
        <v>0</v>
      </c>
    </row>
    <row r="661">
      <c r="A661" s="2" t="n">
        <v>4</v>
      </c>
      <c r="B661" s="2" t="inlineStr">
        <is>
          <t>30.01.05.02</t>
        </is>
      </c>
      <c r="C661" s="2" t="inlineStr">
        <is>
          <t>Piso cimentado queimado - panos amplos</t>
        </is>
      </c>
      <c r="D661" s="2" t="inlineStr">
        <is>
          <t>24/03/2028</t>
        </is>
      </c>
      <c r="E661" s="2" t="inlineStr">
        <is>
          <t>15/12/2028</t>
        </is>
      </c>
      <c r="F661" s="2" t="n">
        <v>22357.25393905229</v>
      </c>
      <c r="G661" s="2" t="n">
        <v>0</v>
      </c>
      <c r="H661" s="2" t="n">
        <v>22357.25393905229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0</v>
      </c>
      <c r="AM661" s="2" t="n">
        <v>0</v>
      </c>
      <c r="AN661" s="2" t="n">
        <v>0</v>
      </c>
      <c r="AO661" s="2" t="n">
        <v>0</v>
      </c>
      <c r="AP661" s="2" t="n">
        <v>0</v>
      </c>
      <c r="AQ661" s="2" t="n">
        <v>0</v>
      </c>
      <c r="AR661" s="2" t="n">
        <v>0</v>
      </c>
      <c r="AS661" s="2" t="n">
        <v>0</v>
      </c>
      <c r="AT661" s="2" t="n">
        <v>0</v>
      </c>
      <c r="AU661" s="2" t="n">
        <v>0</v>
      </c>
      <c r="AV661" s="2" t="n">
        <v>0</v>
      </c>
      <c r="AW661" s="2" t="n">
        <v>0</v>
      </c>
      <c r="AX661" s="2" t="n">
        <v>0</v>
      </c>
      <c r="AY661" s="2" t="n">
        <v>0</v>
      </c>
      <c r="AZ661" s="2" t="n">
        <v>0</v>
      </c>
      <c r="BA661" s="2" t="n">
        <v>0</v>
      </c>
      <c r="BB661" s="2" t="n">
        <v>0</v>
      </c>
      <c r="BC661" s="2" t="n">
        <v>0</v>
      </c>
      <c r="BD661" s="2" t="n">
        <v>0</v>
      </c>
      <c r="BE661" s="2" t="n">
        <v>0</v>
      </c>
      <c r="BF661" s="2" t="n">
        <v>0</v>
      </c>
      <c r="BG661" s="2" t="n">
        <v>0</v>
      </c>
      <c r="BH661" s="2" t="n">
        <v>0</v>
      </c>
      <c r="BI661" s="2" t="n">
        <v>0</v>
      </c>
      <c r="BJ661" s="2" t="n">
        <v>0</v>
      </c>
      <c r="BK661" s="2" t="n">
        <v>0</v>
      </c>
      <c r="BL661" s="2" t="n">
        <v>0</v>
      </c>
      <c r="BM661" s="2" t="n">
        <v>0</v>
      </c>
      <c r="BN661" s="2" t="n">
        <v>0</v>
      </c>
      <c r="BO661" s="2" t="n">
        <v>0</v>
      </c>
      <c r="BP661" s="2" t="n">
        <v>0</v>
      </c>
      <c r="BQ661" s="2" t="n">
        <v>0</v>
      </c>
      <c r="BR661" s="2" t="n">
        <v>0</v>
      </c>
      <c r="BS661" s="2" t="n">
        <v>0</v>
      </c>
      <c r="BT661" s="2" t="n">
        <v>0</v>
      </c>
      <c r="BU661" s="2" t="n">
        <v>0</v>
      </c>
      <c r="BV661" s="2" t="n">
        <v>0</v>
      </c>
      <c r="BW661" s="2" t="n">
        <v>0</v>
      </c>
      <c r="BX661" s="2" t="n">
        <v>0</v>
      </c>
      <c r="BY661" s="2" t="n">
        <v>0</v>
      </c>
      <c r="BZ661" s="2" t="n">
        <v>0</v>
      </c>
      <c r="CA661" s="2" t="n">
        <v>0</v>
      </c>
      <c r="CB661" s="2" t="n">
        <v>0</v>
      </c>
      <c r="CC661" s="2" t="n">
        <v>0</v>
      </c>
      <c r="CD661" s="2" t="n">
        <v>0</v>
      </c>
      <c r="CE661" s="2" t="n">
        <v>0</v>
      </c>
      <c r="CF661" s="2" t="n">
        <v>0</v>
      </c>
      <c r="CG661" s="2" t="n">
        <v>0</v>
      </c>
      <c r="CH661" s="2" t="n">
        <v>0</v>
      </c>
      <c r="CI661" s="2" t="n">
        <v>0</v>
      </c>
      <c r="CJ661" s="2" t="n">
        <v>0</v>
      </c>
      <c r="CK661" s="2" t="n">
        <v>0</v>
      </c>
      <c r="CL661" s="2" t="n">
        <v>0</v>
      </c>
      <c r="CM661" s="2" t="n">
        <v>0</v>
      </c>
      <c r="CN661" s="2" t="n">
        <v>0</v>
      </c>
      <c r="CO661" s="2" t="n">
        <v>0</v>
      </c>
      <c r="CP661" s="2" t="n">
        <v>0</v>
      </c>
      <c r="CQ661" s="2" t="n">
        <v>0</v>
      </c>
      <c r="CR661" s="2" t="n">
        <v>0</v>
      </c>
      <c r="CS661" s="2" t="n">
        <v>0</v>
      </c>
      <c r="CT661" s="2" t="n">
        <v>0</v>
      </c>
      <c r="CU661" s="2" t="n">
        <v>0</v>
      </c>
      <c r="CV661" s="2" t="n">
        <v>0</v>
      </c>
      <c r="CW661" s="2" t="n">
        <v>0</v>
      </c>
      <c r="CX661" s="2" t="n">
        <v>0</v>
      </c>
      <c r="CY661" s="2" t="n">
        <v>0</v>
      </c>
      <c r="CZ661" s="2" t="n">
        <v>0</v>
      </c>
      <c r="DA661" s="2" t="n">
        <v>0</v>
      </c>
      <c r="DB661" s="2" t="n">
        <v>0</v>
      </c>
      <c r="DC661" s="2" t="n">
        <v>0</v>
      </c>
      <c r="DD661" s="2" t="n">
        <v>9.16</v>
      </c>
      <c r="DE661" s="2" t="n">
        <v>10.99</v>
      </c>
      <c r="DF661" s="2" t="n">
        <v>0</v>
      </c>
      <c r="DG661" s="2" t="n">
        <v>27.48</v>
      </c>
      <c r="DH661" s="2" t="n">
        <v>27.48</v>
      </c>
      <c r="DI661" s="2" t="n">
        <v>0</v>
      </c>
      <c r="DJ661" s="2" t="n">
        <v>27.48</v>
      </c>
      <c r="DK661" s="2" t="n">
        <v>27.48</v>
      </c>
      <c r="DL661" s="2" t="n">
        <v>0</v>
      </c>
      <c r="DM661" s="2" t="n">
        <v>27.48</v>
      </c>
      <c r="DN661" s="2" t="n">
        <v>27.48</v>
      </c>
      <c r="DO661" s="2" t="n">
        <v>0</v>
      </c>
      <c r="DP661" s="2" t="n">
        <v>27.48</v>
      </c>
      <c r="DQ661" s="2" t="n">
        <v>27.48</v>
      </c>
      <c r="DR661" s="2" t="n">
        <v>0</v>
      </c>
      <c r="DS661" s="2" t="n">
        <v>27.48</v>
      </c>
      <c r="DT661" s="2" t="n">
        <v>41.99</v>
      </c>
      <c r="DU661" s="2" t="n">
        <v>0</v>
      </c>
      <c r="DV661" s="2" t="n">
        <v>41.99</v>
      </c>
      <c r="DW661" s="2" t="n">
        <v>58.8</v>
      </c>
      <c r="DX661" s="2" t="n">
        <v>0</v>
      </c>
      <c r="DY661" s="2" t="n">
        <v>59.62</v>
      </c>
      <c r="DZ661" s="2" t="n">
        <v>76.09999999999999</v>
      </c>
      <c r="EA661" s="2" t="n">
        <v>0</v>
      </c>
      <c r="EB661" s="2" t="n">
        <v>75.28</v>
      </c>
      <c r="EC661" s="2" t="n">
        <v>91.76000000000001</v>
      </c>
      <c r="ED661" s="2" t="n">
        <v>0</v>
      </c>
      <c r="EE661" s="2" t="n">
        <v>87.64</v>
      </c>
      <c r="EF661" s="2" t="n">
        <v>100</v>
      </c>
      <c r="EG661" s="2" t="n">
        <v>0</v>
      </c>
      <c r="EH661" s="2" t="n">
        <v>100</v>
      </c>
      <c r="EI661" s="2" t="n">
        <v>100</v>
      </c>
      <c r="EJ661" s="2" t="n">
        <v>0</v>
      </c>
      <c r="EK661" s="2" t="n">
        <v>100</v>
      </c>
      <c r="EL661" s="2" t="n">
        <v>100</v>
      </c>
      <c r="EM661" s="2" t="n">
        <v>0</v>
      </c>
      <c r="EN661" s="2" t="n">
        <v>100</v>
      </c>
      <c r="EO661" s="2" t="n">
        <v>100</v>
      </c>
      <c r="EP661" s="2" t="n">
        <v>0</v>
      </c>
      <c r="EQ661" s="2" t="n">
        <v>100</v>
      </c>
      <c r="ER661" s="2" t="n">
        <v>100</v>
      </c>
      <c r="ES661" s="2" t="n">
        <v>0</v>
      </c>
    </row>
    <row r="662">
      <c r="A662" s="2" t="n">
        <v>4</v>
      </c>
      <c r="B662" s="2" t="inlineStr">
        <is>
          <t>30.01.05.03</t>
        </is>
      </c>
      <c r="C662" s="2" t="inlineStr">
        <is>
          <t>Piso cimentado queimado - escadarias</t>
        </is>
      </c>
      <c r="D662" s="2" t="inlineStr">
        <is>
          <t>24/03/2028</t>
        </is>
      </c>
      <c r="E662" s="2" t="inlineStr">
        <is>
          <t>15/12/2028</t>
        </is>
      </c>
      <c r="F662" s="2" t="n">
        <v>74407.65674434621</v>
      </c>
      <c r="G662" s="2" t="n">
        <v>0</v>
      </c>
      <c r="H662" s="2" t="n">
        <v>74407.65674434621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0</v>
      </c>
      <c r="AM662" s="2" t="n">
        <v>0</v>
      </c>
      <c r="AN662" s="2" t="n">
        <v>0</v>
      </c>
      <c r="AO662" s="2" t="n">
        <v>0</v>
      </c>
      <c r="AP662" s="2" t="n">
        <v>0</v>
      </c>
      <c r="AQ662" s="2" t="n">
        <v>0</v>
      </c>
      <c r="AR662" s="2" t="n">
        <v>0</v>
      </c>
      <c r="AS662" s="2" t="n">
        <v>0</v>
      </c>
      <c r="AT662" s="2" t="n">
        <v>0</v>
      </c>
      <c r="AU662" s="2" t="n">
        <v>0</v>
      </c>
      <c r="AV662" s="2" t="n">
        <v>0</v>
      </c>
      <c r="AW662" s="2" t="n">
        <v>0</v>
      </c>
      <c r="AX662" s="2" t="n">
        <v>0</v>
      </c>
      <c r="AY662" s="2" t="n">
        <v>0</v>
      </c>
      <c r="AZ662" s="2" t="n">
        <v>0</v>
      </c>
      <c r="BA662" s="2" t="n">
        <v>0</v>
      </c>
      <c r="BB662" s="2" t="n">
        <v>0</v>
      </c>
      <c r="BC662" s="2" t="n">
        <v>0</v>
      </c>
      <c r="BD662" s="2" t="n">
        <v>0</v>
      </c>
      <c r="BE662" s="2" t="n">
        <v>0</v>
      </c>
      <c r="BF662" s="2" t="n">
        <v>0</v>
      </c>
      <c r="BG662" s="2" t="n">
        <v>0</v>
      </c>
      <c r="BH662" s="2" t="n">
        <v>0</v>
      </c>
      <c r="BI662" s="2" t="n">
        <v>0</v>
      </c>
      <c r="BJ662" s="2" t="n">
        <v>0</v>
      </c>
      <c r="BK662" s="2" t="n">
        <v>0</v>
      </c>
      <c r="BL662" s="2" t="n">
        <v>0</v>
      </c>
      <c r="BM662" s="2" t="n">
        <v>0</v>
      </c>
      <c r="BN662" s="2" t="n">
        <v>0</v>
      </c>
      <c r="BO662" s="2" t="n">
        <v>0</v>
      </c>
      <c r="BP662" s="2" t="n">
        <v>0</v>
      </c>
      <c r="BQ662" s="2" t="n">
        <v>0</v>
      </c>
      <c r="BR662" s="2" t="n">
        <v>0</v>
      </c>
      <c r="BS662" s="2" t="n">
        <v>0</v>
      </c>
      <c r="BT662" s="2" t="n">
        <v>0</v>
      </c>
      <c r="BU662" s="2" t="n">
        <v>0</v>
      </c>
      <c r="BV662" s="2" t="n">
        <v>0</v>
      </c>
      <c r="BW662" s="2" t="n">
        <v>0</v>
      </c>
      <c r="BX662" s="2" t="n">
        <v>0</v>
      </c>
      <c r="BY662" s="2" t="n">
        <v>0</v>
      </c>
      <c r="BZ662" s="2" t="n">
        <v>0</v>
      </c>
      <c r="CA662" s="2" t="n">
        <v>0</v>
      </c>
      <c r="CB662" s="2" t="n">
        <v>0</v>
      </c>
      <c r="CC662" s="2" t="n">
        <v>0</v>
      </c>
      <c r="CD662" s="2" t="n">
        <v>0</v>
      </c>
      <c r="CE662" s="2" t="n">
        <v>0</v>
      </c>
      <c r="CF662" s="2" t="n">
        <v>0</v>
      </c>
      <c r="CG662" s="2" t="n">
        <v>0</v>
      </c>
      <c r="CH662" s="2" t="n">
        <v>0</v>
      </c>
      <c r="CI662" s="2" t="n">
        <v>0</v>
      </c>
      <c r="CJ662" s="2" t="n">
        <v>0</v>
      </c>
      <c r="CK662" s="2" t="n">
        <v>0</v>
      </c>
      <c r="CL662" s="2" t="n">
        <v>0</v>
      </c>
      <c r="CM662" s="2" t="n">
        <v>0</v>
      </c>
      <c r="CN662" s="2" t="n">
        <v>0</v>
      </c>
      <c r="CO662" s="2" t="n">
        <v>0</v>
      </c>
      <c r="CP662" s="2" t="n">
        <v>0</v>
      </c>
      <c r="CQ662" s="2" t="n">
        <v>0</v>
      </c>
      <c r="CR662" s="2" t="n">
        <v>0</v>
      </c>
      <c r="CS662" s="2" t="n">
        <v>0</v>
      </c>
      <c r="CT662" s="2" t="n">
        <v>0</v>
      </c>
      <c r="CU662" s="2" t="n">
        <v>0</v>
      </c>
      <c r="CV662" s="2" t="n">
        <v>0</v>
      </c>
      <c r="CW662" s="2" t="n">
        <v>0</v>
      </c>
      <c r="CX662" s="2" t="n">
        <v>0</v>
      </c>
      <c r="CY662" s="2" t="n">
        <v>0</v>
      </c>
      <c r="CZ662" s="2" t="n">
        <v>0</v>
      </c>
      <c r="DA662" s="2" t="n">
        <v>0</v>
      </c>
      <c r="DB662" s="2" t="n">
        <v>0</v>
      </c>
      <c r="DC662" s="2" t="n">
        <v>0</v>
      </c>
      <c r="DD662" s="2" t="n">
        <v>9.16</v>
      </c>
      <c r="DE662" s="2" t="n">
        <v>10.99</v>
      </c>
      <c r="DF662" s="2" t="n">
        <v>0</v>
      </c>
      <c r="DG662" s="2" t="n">
        <v>27.48</v>
      </c>
      <c r="DH662" s="2" t="n">
        <v>27.48</v>
      </c>
      <c r="DI662" s="2" t="n">
        <v>0</v>
      </c>
      <c r="DJ662" s="2" t="n">
        <v>27.48</v>
      </c>
      <c r="DK662" s="2" t="n">
        <v>27.48</v>
      </c>
      <c r="DL662" s="2" t="n">
        <v>0</v>
      </c>
      <c r="DM662" s="2" t="n">
        <v>27.48</v>
      </c>
      <c r="DN662" s="2" t="n">
        <v>27.48</v>
      </c>
      <c r="DO662" s="2" t="n">
        <v>0</v>
      </c>
      <c r="DP662" s="2" t="n">
        <v>27.48</v>
      </c>
      <c r="DQ662" s="2" t="n">
        <v>27.48</v>
      </c>
      <c r="DR662" s="2" t="n">
        <v>0</v>
      </c>
      <c r="DS662" s="2" t="n">
        <v>27.48</v>
      </c>
      <c r="DT662" s="2" t="n">
        <v>41.99</v>
      </c>
      <c r="DU662" s="2" t="n">
        <v>0</v>
      </c>
      <c r="DV662" s="2" t="n">
        <v>41.99</v>
      </c>
      <c r="DW662" s="2" t="n">
        <v>58.8</v>
      </c>
      <c r="DX662" s="2" t="n">
        <v>0</v>
      </c>
      <c r="DY662" s="2" t="n">
        <v>59.62</v>
      </c>
      <c r="DZ662" s="2" t="n">
        <v>76.09999999999999</v>
      </c>
      <c r="EA662" s="2" t="n">
        <v>0</v>
      </c>
      <c r="EB662" s="2" t="n">
        <v>75.28</v>
      </c>
      <c r="EC662" s="2" t="n">
        <v>91.76000000000001</v>
      </c>
      <c r="ED662" s="2" t="n">
        <v>0</v>
      </c>
      <c r="EE662" s="2" t="n">
        <v>87.64</v>
      </c>
      <c r="EF662" s="2" t="n">
        <v>100</v>
      </c>
      <c r="EG662" s="2" t="n">
        <v>0</v>
      </c>
      <c r="EH662" s="2" t="n">
        <v>100</v>
      </c>
      <c r="EI662" s="2" t="n">
        <v>100</v>
      </c>
      <c r="EJ662" s="2" t="n">
        <v>0</v>
      </c>
      <c r="EK662" s="2" t="n">
        <v>100</v>
      </c>
      <c r="EL662" s="2" t="n">
        <v>100</v>
      </c>
      <c r="EM662" s="2" t="n">
        <v>0</v>
      </c>
      <c r="EN662" s="2" t="n">
        <v>100</v>
      </c>
      <c r="EO662" s="2" t="n">
        <v>100</v>
      </c>
      <c r="EP662" s="2" t="n">
        <v>0</v>
      </c>
      <c r="EQ662" s="2" t="n">
        <v>100</v>
      </c>
      <c r="ER662" s="2" t="n">
        <v>100</v>
      </c>
      <c r="ES662" s="2" t="n">
        <v>0</v>
      </c>
    </row>
    <row r="663">
      <c r="A663" s="2" t="n">
        <v>4</v>
      </c>
      <c r="B663" s="2" t="inlineStr">
        <is>
          <t>30.01.05.04</t>
        </is>
      </c>
      <c r="C663" s="2" t="inlineStr">
        <is>
          <t>Piso em ladrilho hidráulico 20x20cm, modelo rampa, cor cinza.</t>
        </is>
      </c>
      <c r="D663" s="2" t="inlineStr">
        <is>
          <t>24/03/2028</t>
        </is>
      </c>
      <c r="E663" s="2" t="inlineStr">
        <is>
          <t>15/12/2028</t>
        </is>
      </c>
      <c r="F663" s="2" t="n">
        <v>52523.53723614944</v>
      </c>
      <c r="G663" s="2" t="n">
        <v>0</v>
      </c>
      <c r="H663" s="2" t="n">
        <v>52523.53723614944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0</v>
      </c>
      <c r="AM663" s="2" t="n">
        <v>0</v>
      </c>
      <c r="AN663" s="2" t="n">
        <v>0</v>
      </c>
      <c r="AO663" s="2" t="n">
        <v>0</v>
      </c>
      <c r="AP663" s="2" t="n">
        <v>0</v>
      </c>
      <c r="AQ663" s="2" t="n">
        <v>0</v>
      </c>
      <c r="AR663" s="2" t="n">
        <v>0</v>
      </c>
      <c r="AS663" s="2" t="n">
        <v>0</v>
      </c>
      <c r="AT663" s="2" t="n">
        <v>0</v>
      </c>
      <c r="AU663" s="2" t="n">
        <v>0</v>
      </c>
      <c r="AV663" s="2" t="n">
        <v>0</v>
      </c>
      <c r="AW663" s="2" t="n">
        <v>0</v>
      </c>
      <c r="AX663" s="2" t="n">
        <v>0</v>
      </c>
      <c r="AY663" s="2" t="n">
        <v>0</v>
      </c>
      <c r="AZ663" s="2" t="n">
        <v>0</v>
      </c>
      <c r="BA663" s="2" t="n">
        <v>0</v>
      </c>
      <c r="BB663" s="2" t="n">
        <v>0</v>
      </c>
      <c r="BC663" s="2" t="n">
        <v>0</v>
      </c>
      <c r="BD663" s="2" t="n">
        <v>0</v>
      </c>
      <c r="BE663" s="2" t="n">
        <v>0</v>
      </c>
      <c r="BF663" s="2" t="n">
        <v>0</v>
      </c>
      <c r="BG663" s="2" t="n">
        <v>0</v>
      </c>
      <c r="BH663" s="2" t="n">
        <v>0</v>
      </c>
      <c r="BI663" s="2" t="n">
        <v>0</v>
      </c>
      <c r="BJ663" s="2" t="n">
        <v>0</v>
      </c>
      <c r="BK663" s="2" t="n">
        <v>0</v>
      </c>
      <c r="BL663" s="2" t="n">
        <v>0</v>
      </c>
      <c r="BM663" s="2" t="n">
        <v>0</v>
      </c>
      <c r="BN663" s="2" t="n">
        <v>0</v>
      </c>
      <c r="BO663" s="2" t="n">
        <v>0</v>
      </c>
      <c r="BP663" s="2" t="n">
        <v>0</v>
      </c>
      <c r="BQ663" s="2" t="n">
        <v>0</v>
      </c>
      <c r="BR663" s="2" t="n">
        <v>0</v>
      </c>
      <c r="BS663" s="2" t="n">
        <v>0</v>
      </c>
      <c r="BT663" s="2" t="n">
        <v>0</v>
      </c>
      <c r="BU663" s="2" t="n">
        <v>0</v>
      </c>
      <c r="BV663" s="2" t="n">
        <v>0</v>
      </c>
      <c r="BW663" s="2" t="n">
        <v>0</v>
      </c>
      <c r="BX663" s="2" t="n">
        <v>0</v>
      </c>
      <c r="BY663" s="2" t="n">
        <v>0</v>
      </c>
      <c r="BZ663" s="2" t="n">
        <v>0</v>
      </c>
      <c r="CA663" s="2" t="n">
        <v>0</v>
      </c>
      <c r="CB663" s="2" t="n">
        <v>0</v>
      </c>
      <c r="CC663" s="2" t="n">
        <v>0</v>
      </c>
      <c r="CD663" s="2" t="n">
        <v>0</v>
      </c>
      <c r="CE663" s="2" t="n">
        <v>0</v>
      </c>
      <c r="CF663" s="2" t="n">
        <v>0</v>
      </c>
      <c r="CG663" s="2" t="n">
        <v>0</v>
      </c>
      <c r="CH663" s="2" t="n">
        <v>0</v>
      </c>
      <c r="CI663" s="2" t="n">
        <v>0</v>
      </c>
      <c r="CJ663" s="2" t="n">
        <v>0</v>
      </c>
      <c r="CK663" s="2" t="n">
        <v>0</v>
      </c>
      <c r="CL663" s="2" t="n">
        <v>0</v>
      </c>
      <c r="CM663" s="2" t="n">
        <v>0</v>
      </c>
      <c r="CN663" s="2" t="n">
        <v>0</v>
      </c>
      <c r="CO663" s="2" t="n">
        <v>0</v>
      </c>
      <c r="CP663" s="2" t="n">
        <v>0</v>
      </c>
      <c r="CQ663" s="2" t="n">
        <v>0</v>
      </c>
      <c r="CR663" s="2" t="n">
        <v>0</v>
      </c>
      <c r="CS663" s="2" t="n">
        <v>0</v>
      </c>
      <c r="CT663" s="2" t="n">
        <v>0</v>
      </c>
      <c r="CU663" s="2" t="n">
        <v>0</v>
      </c>
      <c r="CV663" s="2" t="n">
        <v>0</v>
      </c>
      <c r="CW663" s="2" t="n">
        <v>0</v>
      </c>
      <c r="CX663" s="2" t="n">
        <v>0</v>
      </c>
      <c r="CY663" s="2" t="n">
        <v>0</v>
      </c>
      <c r="CZ663" s="2" t="n">
        <v>0</v>
      </c>
      <c r="DA663" s="2" t="n">
        <v>0</v>
      </c>
      <c r="DB663" s="2" t="n">
        <v>0</v>
      </c>
      <c r="DC663" s="2" t="n">
        <v>0</v>
      </c>
      <c r="DD663" s="2" t="n">
        <v>9.16</v>
      </c>
      <c r="DE663" s="2" t="n">
        <v>10.99</v>
      </c>
      <c r="DF663" s="2" t="n">
        <v>0</v>
      </c>
      <c r="DG663" s="2" t="n">
        <v>27.48</v>
      </c>
      <c r="DH663" s="2" t="n">
        <v>27.48</v>
      </c>
      <c r="DI663" s="2" t="n">
        <v>0</v>
      </c>
      <c r="DJ663" s="2" t="n">
        <v>27.48</v>
      </c>
      <c r="DK663" s="2" t="n">
        <v>27.48</v>
      </c>
      <c r="DL663" s="2" t="n">
        <v>0</v>
      </c>
      <c r="DM663" s="2" t="n">
        <v>27.48</v>
      </c>
      <c r="DN663" s="2" t="n">
        <v>27.48</v>
      </c>
      <c r="DO663" s="2" t="n">
        <v>0</v>
      </c>
      <c r="DP663" s="2" t="n">
        <v>27.48</v>
      </c>
      <c r="DQ663" s="2" t="n">
        <v>27.48</v>
      </c>
      <c r="DR663" s="2" t="n">
        <v>0</v>
      </c>
      <c r="DS663" s="2" t="n">
        <v>27.48</v>
      </c>
      <c r="DT663" s="2" t="n">
        <v>41.99</v>
      </c>
      <c r="DU663" s="2" t="n">
        <v>0</v>
      </c>
      <c r="DV663" s="2" t="n">
        <v>41.99</v>
      </c>
      <c r="DW663" s="2" t="n">
        <v>58.8</v>
      </c>
      <c r="DX663" s="2" t="n">
        <v>0</v>
      </c>
      <c r="DY663" s="2" t="n">
        <v>59.62</v>
      </c>
      <c r="DZ663" s="2" t="n">
        <v>76.09999999999999</v>
      </c>
      <c r="EA663" s="2" t="n">
        <v>0</v>
      </c>
      <c r="EB663" s="2" t="n">
        <v>75.28</v>
      </c>
      <c r="EC663" s="2" t="n">
        <v>91.76000000000001</v>
      </c>
      <c r="ED663" s="2" t="n">
        <v>0</v>
      </c>
      <c r="EE663" s="2" t="n">
        <v>87.64</v>
      </c>
      <c r="EF663" s="2" t="n">
        <v>100</v>
      </c>
      <c r="EG663" s="2" t="n">
        <v>0</v>
      </c>
      <c r="EH663" s="2" t="n">
        <v>100</v>
      </c>
      <c r="EI663" s="2" t="n">
        <v>100</v>
      </c>
      <c r="EJ663" s="2" t="n">
        <v>0</v>
      </c>
      <c r="EK663" s="2" t="n">
        <v>100</v>
      </c>
      <c r="EL663" s="2" t="n">
        <v>100</v>
      </c>
      <c r="EM663" s="2" t="n">
        <v>0</v>
      </c>
      <c r="EN663" s="2" t="n">
        <v>100</v>
      </c>
      <c r="EO663" s="2" t="n">
        <v>100</v>
      </c>
      <c r="EP663" s="2" t="n">
        <v>0</v>
      </c>
      <c r="EQ663" s="2" t="n">
        <v>100</v>
      </c>
      <c r="ER663" s="2" t="n">
        <v>100</v>
      </c>
      <c r="ES663" s="2" t="n">
        <v>0</v>
      </c>
    </row>
    <row r="664">
      <c r="A664" s="2" t="n">
        <v>2</v>
      </c>
      <c r="B664" s="2" t="inlineStr">
        <is>
          <t>30.02</t>
        </is>
      </c>
      <c r="C664" s="2" t="inlineStr">
        <is>
          <t>Rodapés internos</t>
        </is>
      </c>
      <c r="D664" s="2" t="inlineStr">
        <is>
          <t>17/02/2028</t>
        </is>
      </c>
      <c r="E664" s="2" t="inlineStr">
        <is>
          <t>23/01/2029</t>
        </is>
      </c>
      <c r="F664" s="2" t="n">
        <v>925320.0568130966</v>
      </c>
      <c r="G664" s="2" t="n">
        <v>0</v>
      </c>
      <c r="H664" s="2" t="n">
        <v>925320.0568130966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0</v>
      </c>
      <c r="AN664" s="2" t="n">
        <v>0</v>
      </c>
      <c r="AO664" s="2" t="n">
        <v>0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n">
        <v>0</v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n">
        <v>0</v>
      </c>
      <c r="BI664" s="2" t="n">
        <v>0</v>
      </c>
      <c r="BJ664" s="2" t="n">
        <v>0</v>
      </c>
      <c r="BK664" s="2" t="n">
        <v>0</v>
      </c>
      <c r="BL664" s="2" t="n">
        <v>0</v>
      </c>
      <c r="BM664" s="2" t="n">
        <v>0</v>
      </c>
      <c r="BN664" s="2" t="n">
        <v>0</v>
      </c>
      <c r="BO664" s="2" t="n">
        <v>0</v>
      </c>
      <c r="BP664" s="2" t="n">
        <v>0</v>
      </c>
      <c r="BQ664" s="2" t="n">
        <v>0</v>
      </c>
      <c r="BR664" s="2" t="n">
        <v>0</v>
      </c>
      <c r="BS664" s="2" t="n">
        <v>0</v>
      </c>
      <c r="BT664" s="2" t="n">
        <v>0</v>
      </c>
      <c r="BU664" s="2" t="n">
        <v>0</v>
      </c>
      <c r="BV664" s="2" t="n">
        <v>0</v>
      </c>
      <c r="BW664" s="2" t="n">
        <v>0</v>
      </c>
      <c r="BX664" s="2" t="n">
        <v>0</v>
      </c>
      <c r="BY664" s="2" t="n">
        <v>0</v>
      </c>
      <c r="BZ664" s="2" t="n">
        <v>0</v>
      </c>
      <c r="CA664" s="2" t="n">
        <v>0</v>
      </c>
      <c r="CB664" s="2" t="n">
        <v>0</v>
      </c>
      <c r="CC664" s="2" t="n">
        <v>0</v>
      </c>
      <c r="CD664" s="2" t="n">
        <v>0</v>
      </c>
      <c r="CE664" s="2" t="n">
        <v>0</v>
      </c>
      <c r="CF664" s="2" t="n">
        <v>0</v>
      </c>
      <c r="CG664" s="2" t="n">
        <v>0</v>
      </c>
      <c r="CH664" s="2" t="n">
        <v>0</v>
      </c>
      <c r="CI664" s="2" t="n">
        <v>0</v>
      </c>
      <c r="CJ664" s="2" t="n">
        <v>0</v>
      </c>
      <c r="CK664" s="2" t="n">
        <v>0</v>
      </c>
      <c r="CL664" s="2" t="n">
        <v>0</v>
      </c>
      <c r="CM664" s="2" t="n">
        <v>0</v>
      </c>
      <c r="CN664" s="2" t="n">
        <v>0</v>
      </c>
      <c r="CO664" s="2" t="n">
        <v>0</v>
      </c>
      <c r="CP664" s="2" t="n">
        <v>0</v>
      </c>
      <c r="CQ664" s="2" t="n">
        <v>0</v>
      </c>
      <c r="CR664" s="2" t="n">
        <v>0</v>
      </c>
      <c r="CS664" s="2" t="n">
        <v>0</v>
      </c>
      <c r="CT664" s="2" t="n">
        <v>0</v>
      </c>
      <c r="CU664" s="2" t="n">
        <v>0</v>
      </c>
      <c r="CV664" s="2" t="n">
        <v>0</v>
      </c>
      <c r="CW664" s="2" t="n">
        <v>0</v>
      </c>
      <c r="CX664" s="2" t="n">
        <v>0</v>
      </c>
      <c r="CY664" s="2" t="n">
        <v>0</v>
      </c>
      <c r="CZ664" s="2" t="n">
        <v>0</v>
      </c>
      <c r="DA664" s="2" t="n">
        <v>1.78</v>
      </c>
      <c r="DB664" s="2" t="n">
        <v>4</v>
      </c>
      <c r="DC664" s="2" t="n">
        <v>0</v>
      </c>
      <c r="DD664" s="2" t="n">
        <v>12</v>
      </c>
      <c r="DE664" s="2" t="n">
        <v>14.22</v>
      </c>
      <c r="DF664" s="2" t="n">
        <v>0</v>
      </c>
      <c r="DG664" s="2" t="n">
        <v>20</v>
      </c>
      <c r="DH664" s="2" t="n">
        <v>22.22</v>
      </c>
      <c r="DI664" s="2" t="n">
        <v>0</v>
      </c>
      <c r="DJ664" s="2" t="n">
        <v>29.78</v>
      </c>
      <c r="DK664" s="2" t="n">
        <v>32</v>
      </c>
      <c r="DL664" s="2" t="n">
        <v>0</v>
      </c>
      <c r="DM664" s="2" t="n">
        <v>39.11</v>
      </c>
      <c r="DN664" s="2" t="n">
        <v>41.33</v>
      </c>
      <c r="DO664" s="2" t="n">
        <v>0</v>
      </c>
      <c r="DP664" s="2" t="n">
        <v>48.44</v>
      </c>
      <c r="DQ664" s="2" t="n">
        <v>50.67</v>
      </c>
      <c r="DR664" s="2" t="n">
        <v>0</v>
      </c>
      <c r="DS664" s="2" t="n">
        <v>58.22</v>
      </c>
      <c r="DT664" s="2" t="n">
        <v>60.44</v>
      </c>
      <c r="DU664" s="2" t="n">
        <v>0</v>
      </c>
      <c r="DV664" s="2" t="n">
        <v>67.11</v>
      </c>
      <c r="DW664" s="2" t="n">
        <v>69.33</v>
      </c>
      <c r="DX664" s="2" t="n">
        <v>0</v>
      </c>
      <c r="DY664" s="2" t="n">
        <v>76.44</v>
      </c>
      <c r="DZ664" s="2" t="n">
        <v>78.67</v>
      </c>
      <c r="EA664" s="2" t="n">
        <v>0</v>
      </c>
      <c r="EB664" s="2" t="n">
        <v>84.89</v>
      </c>
      <c r="EC664" s="2" t="n">
        <v>87.11</v>
      </c>
      <c r="ED664" s="2" t="n">
        <v>0</v>
      </c>
      <c r="EE664" s="2" t="n">
        <v>91.56</v>
      </c>
      <c r="EF664" s="2" t="n">
        <v>93.40000000000001</v>
      </c>
      <c r="EG664" s="2" t="n">
        <v>0</v>
      </c>
      <c r="EH664" s="2" t="n">
        <v>100</v>
      </c>
      <c r="EI664" s="2" t="n">
        <v>100</v>
      </c>
      <c r="EJ664" s="2" t="n">
        <v>0</v>
      </c>
      <c r="EK664" s="2" t="n">
        <v>100</v>
      </c>
      <c r="EL664" s="2" t="n">
        <v>100</v>
      </c>
      <c r="EM664" s="2" t="n">
        <v>0</v>
      </c>
      <c r="EN664" s="2" t="n">
        <v>100</v>
      </c>
      <c r="EO664" s="2" t="n">
        <v>100</v>
      </c>
      <c r="EP664" s="2" t="n">
        <v>0</v>
      </c>
      <c r="EQ664" s="2" t="n">
        <v>100</v>
      </c>
      <c r="ER664" s="2" t="n">
        <v>100</v>
      </c>
      <c r="ES664" s="2" t="n">
        <v>0</v>
      </c>
    </row>
    <row r="665">
      <c r="A665" s="2" t="n">
        <v>3</v>
      </c>
      <c r="B665" s="2" t="inlineStr">
        <is>
          <t>30.02.01</t>
        </is>
      </c>
      <c r="C665" s="2" t="inlineStr">
        <is>
          <t>Porcelanato</t>
        </is>
      </c>
      <c r="D665" s="2" t="inlineStr">
        <is>
          <t>17/02/2028</t>
        </is>
      </c>
      <c r="E665" s="2" t="inlineStr">
        <is>
          <t>23/01/2029</t>
        </is>
      </c>
      <c r="F665" s="2" t="n">
        <v>340748.4784289562</v>
      </c>
      <c r="G665" s="2" t="n">
        <v>0</v>
      </c>
      <c r="H665" s="2" t="n">
        <v>340748.4784289562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0</v>
      </c>
      <c r="AM665" s="2" t="n">
        <v>0</v>
      </c>
      <c r="AN665" s="2" t="n">
        <v>0</v>
      </c>
      <c r="AO665" s="2" t="n">
        <v>0</v>
      </c>
      <c r="AP665" s="2" t="n">
        <v>0</v>
      </c>
      <c r="AQ665" s="2" t="n">
        <v>0</v>
      </c>
      <c r="AR665" s="2" t="n">
        <v>0</v>
      </c>
      <c r="AS665" s="2" t="n">
        <v>0</v>
      </c>
      <c r="AT665" s="2" t="n">
        <v>0</v>
      </c>
      <c r="AU665" s="2" t="n">
        <v>0</v>
      </c>
      <c r="AV665" s="2" t="n">
        <v>0</v>
      </c>
      <c r="AW665" s="2" t="n">
        <v>0</v>
      </c>
      <c r="AX665" s="2" t="n">
        <v>0</v>
      </c>
      <c r="AY665" s="2" t="n">
        <v>0</v>
      </c>
      <c r="AZ665" s="2" t="n">
        <v>0</v>
      </c>
      <c r="BA665" s="2" t="n">
        <v>0</v>
      </c>
      <c r="BB665" s="2" t="n">
        <v>0</v>
      </c>
      <c r="BC665" s="2" t="n">
        <v>0</v>
      </c>
      <c r="BD665" s="2" t="n">
        <v>0</v>
      </c>
      <c r="BE665" s="2" t="n">
        <v>0</v>
      </c>
      <c r="BF665" s="2" t="n">
        <v>0</v>
      </c>
      <c r="BG665" s="2" t="n">
        <v>0</v>
      </c>
      <c r="BH665" s="2" t="n">
        <v>0</v>
      </c>
      <c r="BI665" s="2" t="n">
        <v>0</v>
      </c>
      <c r="BJ665" s="2" t="n">
        <v>0</v>
      </c>
      <c r="BK665" s="2" t="n">
        <v>0</v>
      </c>
      <c r="BL665" s="2" t="n">
        <v>0</v>
      </c>
      <c r="BM665" s="2" t="n">
        <v>0</v>
      </c>
      <c r="BN665" s="2" t="n">
        <v>0</v>
      </c>
      <c r="BO665" s="2" t="n">
        <v>0</v>
      </c>
      <c r="BP665" s="2" t="n">
        <v>0</v>
      </c>
      <c r="BQ665" s="2" t="n">
        <v>0</v>
      </c>
      <c r="BR665" s="2" t="n">
        <v>0</v>
      </c>
      <c r="BS665" s="2" t="n">
        <v>0</v>
      </c>
      <c r="BT665" s="2" t="n">
        <v>0</v>
      </c>
      <c r="BU665" s="2" t="n">
        <v>0</v>
      </c>
      <c r="BV665" s="2" t="n">
        <v>0</v>
      </c>
      <c r="BW665" s="2" t="n">
        <v>0</v>
      </c>
      <c r="BX665" s="2" t="n">
        <v>0</v>
      </c>
      <c r="BY665" s="2" t="n">
        <v>0</v>
      </c>
      <c r="BZ665" s="2" t="n">
        <v>0</v>
      </c>
      <c r="CA665" s="2" t="n">
        <v>0</v>
      </c>
      <c r="CB665" s="2" t="n">
        <v>0</v>
      </c>
      <c r="CC665" s="2" t="n">
        <v>0</v>
      </c>
      <c r="CD665" s="2" t="n">
        <v>0</v>
      </c>
      <c r="CE665" s="2" t="n">
        <v>0</v>
      </c>
      <c r="CF665" s="2" t="n">
        <v>0</v>
      </c>
      <c r="CG665" s="2" t="n">
        <v>0</v>
      </c>
      <c r="CH665" s="2" t="n">
        <v>0</v>
      </c>
      <c r="CI665" s="2" t="n">
        <v>0</v>
      </c>
      <c r="CJ665" s="2" t="n">
        <v>0</v>
      </c>
      <c r="CK665" s="2" t="n">
        <v>0</v>
      </c>
      <c r="CL665" s="2" t="n">
        <v>0</v>
      </c>
      <c r="CM665" s="2" t="n">
        <v>0</v>
      </c>
      <c r="CN665" s="2" t="n">
        <v>0</v>
      </c>
      <c r="CO665" s="2" t="n">
        <v>0</v>
      </c>
      <c r="CP665" s="2" t="n">
        <v>0</v>
      </c>
      <c r="CQ665" s="2" t="n">
        <v>0</v>
      </c>
      <c r="CR665" s="2" t="n">
        <v>0</v>
      </c>
      <c r="CS665" s="2" t="n">
        <v>0</v>
      </c>
      <c r="CT665" s="2" t="n">
        <v>0</v>
      </c>
      <c r="CU665" s="2" t="n">
        <v>0</v>
      </c>
      <c r="CV665" s="2" t="n">
        <v>0</v>
      </c>
      <c r="CW665" s="2" t="n">
        <v>0</v>
      </c>
      <c r="CX665" s="2" t="n">
        <v>0</v>
      </c>
      <c r="CY665" s="2" t="n">
        <v>0</v>
      </c>
      <c r="CZ665" s="2" t="n">
        <v>0</v>
      </c>
      <c r="DA665" s="2" t="n">
        <v>1.78</v>
      </c>
      <c r="DB665" s="2" t="n">
        <v>4</v>
      </c>
      <c r="DC665" s="2" t="n">
        <v>0</v>
      </c>
      <c r="DD665" s="2" t="n">
        <v>12</v>
      </c>
      <c r="DE665" s="2" t="n">
        <v>14.22</v>
      </c>
      <c r="DF665" s="2" t="n">
        <v>0</v>
      </c>
      <c r="DG665" s="2" t="n">
        <v>20</v>
      </c>
      <c r="DH665" s="2" t="n">
        <v>22.22</v>
      </c>
      <c r="DI665" s="2" t="n">
        <v>0</v>
      </c>
      <c r="DJ665" s="2" t="n">
        <v>29.78</v>
      </c>
      <c r="DK665" s="2" t="n">
        <v>32</v>
      </c>
      <c r="DL665" s="2" t="n">
        <v>0</v>
      </c>
      <c r="DM665" s="2" t="n">
        <v>39.11</v>
      </c>
      <c r="DN665" s="2" t="n">
        <v>41.33</v>
      </c>
      <c r="DO665" s="2" t="n">
        <v>0</v>
      </c>
      <c r="DP665" s="2" t="n">
        <v>48.44</v>
      </c>
      <c r="DQ665" s="2" t="n">
        <v>50.67</v>
      </c>
      <c r="DR665" s="2" t="n">
        <v>0</v>
      </c>
      <c r="DS665" s="2" t="n">
        <v>58.22</v>
      </c>
      <c r="DT665" s="2" t="n">
        <v>60.44</v>
      </c>
      <c r="DU665" s="2" t="n">
        <v>0</v>
      </c>
      <c r="DV665" s="2" t="n">
        <v>67.11</v>
      </c>
      <c r="DW665" s="2" t="n">
        <v>69.33</v>
      </c>
      <c r="DX665" s="2" t="n">
        <v>0</v>
      </c>
      <c r="DY665" s="2" t="n">
        <v>76.44</v>
      </c>
      <c r="DZ665" s="2" t="n">
        <v>78.67</v>
      </c>
      <c r="EA665" s="2" t="n">
        <v>0</v>
      </c>
      <c r="EB665" s="2" t="n">
        <v>84.89</v>
      </c>
      <c r="EC665" s="2" t="n">
        <v>87.11</v>
      </c>
      <c r="ED665" s="2" t="n">
        <v>0</v>
      </c>
      <c r="EE665" s="2" t="n">
        <v>91.56</v>
      </c>
      <c r="EF665" s="2" t="n">
        <v>93.40000000000001</v>
      </c>
      <c r="EG665" s="2" t="n">
        <v>0</v>
      </c>
      <c r="EH665" s="2" t="n">
        <v>100</v>
      </c>
      <c r="EI665" s="2" t="n">
        <v>100</v>
      </c>
      <c r="EJ665" s="2" t="n">
        <v>0</v>
      </c>
      <c r="EK665" s="2" t="n">
        <v>100</v>
      </c>
      <c r="EL665" s="2" t="n">
        <v>100</v>
      </c>
      <c r="EM665" s="2" t="n">
        <v>0</v>
      </c>
      <c r="EN665" s="2" t="n">
        <v>100</v>
      </c>
      <c r="EO665" s="2" t="n">
        <v>100</v>
      </c>
      <c r="EP665" s="2" t="n">
        <v>0</v>
      </c>
      <c r="EQ665" s="2" t="n">
        <v>100</v>
      </c>
      <c r="ER665" s="2" t="n">
        <v>100</v>
      </c>
      <c r="ES665" s="2" t="n">
        <v>0</v>
      </c>
    </row>
    <row r="666">
      <c r="A666" s="2" t="n">
        <v>4</v>
      </c>
      <c r="B666" s="2" t="inlineStr">
        <is>
          <t>30.02.01.01</t>
        </is>
      </c>
      <c r="C666" s="2" t="inlineStr">
        <is>
          <t>Rodapé para Piso Porcelanato, com acabamento acetinado. Ref.: Eliane, Khali OffWhite AC 10x120cm, assentado com argamassa colante em pó ACIII</t>
        </is>
      </c>
      <c r="D666" s="2" t="inlineStr">
        <is>
          <t>17/02/2028</t>
        </is>
      </c>
      <c r="E666" s="2" t="inlineStr">
        <is>
          <t>23/01/2029</t>
        </is>
      </c>
      <c r="F666" s="2" t="n">
        <v>269606.8862480847</v>
      </c>
      <c r="G666" s="2" t="n">
        <v>0</v>
      </c>
      <c r="H666" s="2" t="n">
        <v>269606.8862480847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  <c r="AN666" s="2" t="n">
        <v>0</v>
      </c>
      <c r="AO666" s="2" t="n">
        <v>0</v>
      </c>
      <c r="AP666" s="2" t="n">
        <v>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n">
        <v>0</v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n">
        <v>0</v>
      </c>
      <c r="BI666" s="2" t="n">
        <v>0</v>
      </c>
      <c r="BJ666" s="2" t="n">
        <v>0</v>
      </c>
      <c r="BK666" s="2" t="n">
        <v>0</v>
      </c>
      <c r="BL666" s="2" t="n">
        <v>0</v>
      </c>
      <c r="BM666" s="2" t="n">
        <v>0</v>
      </c>
      <c r="BN666" s="2" t="n">
        <v>0</v>
      </c>
      <c r="BO666" s="2" t="n">
        <v>0</v>
      </c>
      <c r="BP666" s="2" t="n">
        <v>0</v>
      </c>
      <c r="BQ666" s="2" t="n">
        <v>0</v>
      </c>
      <c r="BR666" s="2" t="n">
        <v>0</v>
      </c>
      <c r="BS666" s="2" t="n">
        <v>0</v>
      </c>
      <c r="BT666" s="2" t="n">
        <v>0</v>
      </c>
      <c r="BU666" s="2" t="n">
        <v>0</v>
      </c>
      <c r="BV666" s="2" t="n">
        <v>0</v>
      </c>
      <c r="BW666" s="2" t="n">
        <v>0</v>
      </c>
      <c r="BX666" s="2" t="n">
        <v>0</v>
      </c>
      <c r="BY666" s="2" t="n">
        <v>0</v>
      </c>
      <c r="BZ666" s="2" t="n">
        <v>0</v>
      </c>
      <c r="CA666" s="2" t="n">
        <v>0</v>
      </c>
      <c r="CB666" s="2" t="n">
        <v>0</v>
      </c>
      <c r="CC666" s="2" t="n">
        <v>0</v>
      </c>
      <c r="CD666" s="2" t="n">
        <v>0</v>
      </c>
      <c r="CE666" s="2" t="n">
        <v>0</v>
      </c>
      <c r="CF666" s="2" t="n">
        <v>0</v>
      </c>
      <c r="CG666" s="2" t="n">
        <v>0</v>
      </c>
      <c r="CH666" s="2" t="n">
        <v>0</v>
      </c>
      <c r="CI666" s="2" t="n">
        <v>0</v>
      </c>
      <c r="CJ666" s="2" t="n">
        <v>0</v>
      </c>
      <c r="CK666" s="2" t="n">
        <v>0</v>
      </c>
      <c r="CL666" s="2" t="n">
        <v>0</v>
      </c>
      <c r="CM666" s="2" t="n">
        <v>0</v>
      </c>
      <c r="CN666" s="2" t="n">
        <v>0</v>
      </c>
      <c r="CO666" s="2" t="n">
        <v>0</v>
      </c>
      <c r="CP666" s="2" t="n">
        <v>0</v>
      </c>
      <c r="CQ666" s="2" t="n">
        <v>0</v>
      </c>
      <c r="CR666" s="2" t="n">
        <v>0</v>
      </c>
      <c r="CS666" s="2" t="n">
        <v>0</v>
      </c>
      <c r="CT666" s="2" t="n">
        <v>0</v>
      </c>
      <c r="CU666" s="2" t="n">
        <v>0</v>
      </c>
      <c r="CV666" s="2" t="n">
        <v>0</v>
      </c>
      <c r="CW666" s="2" t="n">
        <v>0</v>
      </c>
      <c r="CX666" s="2" t="n">
        <v>0</v>
      </c>
      <c r="CY666" s="2" t="n">
        <v>0</v>
      </c>
      <c r="CZ666" s="2" t="n">
        <v>0</v>
      </c>
      <c r="DA666" s="2" t="n">
        <v>1.78</v>
      </c>
      <c r="DB666" s="2" t="n">
        <v>4</v>
      </c>
      <c r="DC666" s="2" t="n">
        <v>0</v>
      </c>
      <c r="DD666" s="2" t="n">
        <v>12</v>
      </c>
      <c r="DE666" s="2" t="n">
        <v>14.22</v>
      </c>
      <c r="DF666" s="2" t="n">
        <v>0</v>
      </c>
      <c r="DG666" s="2" t="n">
        <v>20</v>
      </c>
      <c r="DH666" s="2" t="n">
        <v>22.22</v>
      </c>
      <c r="DI666" s="2" t="n">
        <v>0</v>
      </c>
      <c r="DJ666" s="2" t="n">
        <v>29.78</v>
      </c>
      <c r="DK666" s="2" t="n">
        <v>32</v>
      </c>
      <c r="DL666" s="2" t="n">
        <v>0</v>
      </c>
      <c r="DM666" s="2" t="n">
        <v>39.11</v>
      </c>
      <c r="DN666" s="2" t="n">
        <v>41.33</v>
      </c>
      <c r="DO666" s="2" t="n">
        <v>0</v>
      </c>
      <c r="DP666" s="2" t="n">
        <v>48.44</v>
      </c>
      <c r="DQ666" s="2" t="n">
        <v>50.67</v>
      </c>
      <c r="DR666" s="2" t="n">
        <v>0</v>
      </c>
      <c r="DS666" s="2" t="n">
        <v>58.22</v>
      </c>
      <c r="DT666" s="2" t="n">
        <v>60.44</v>
      </c>
      <c r="DU666" s="2" t="n">
        <v>0</v>
      </c>
      <c r="DV666" s="2" t="n">
        <v>67.11</v>
      </c>
      <c r="DW666" s="2" t="n">
        <v>69.33</v>
      </c>
      <c r="DX666" s="2" t="n">
        <v>0</v>
      </c>
      <c r="DY666" s="2" t="n">
        <v>76.44</v>
      </c>
      <c r="DZ666" s="2" t="n">
        <v>78.67</v>
      </c>
      <c r="EA666" s="2" t="n">
        <v>0</v>
      </c>
      <c r="EB666" s="2" t="n">
        <v>84.89</v>
      </c>
      <c r="EC666" s="2" t="n">
        <v>87.11</v>
      </c>
      <c r="ED666" s="2" t="n">
        <v>0</v>
      </c>
      <c r="EE666" s="2" t="n">
        <v>91.56</v>
      </c>
      <c r="EF666" s="2" t="n">
        <v>93.40000000000001</v>
      </c>
      <c r="EG666" s="2" t="n">
        <v>0</v>
      </c>
      <c r="EH666" s="2" t="n">
        <v>100</v>
      </c>
      <c r="EI666" s="2" t="n">
        <v>100</v>
      </c>
      <c r="EJ666" s="2" t="n">
        <v>0</v>
      </c>
      <c r="EK666" s="2" t="n">
        <v>100</v>
      </c>
      <c r="EL666" s="2" t="n">
        <v>100</v>
      </c>
      <c r="EM666" s="2" t="n">
        <v>0</v>
      </c>
      <c r="EN666" s="2" t="n">
        <v>100</v>
      </c>
      <c r="EO666" s="2" t="n">
        <v>100</v>
      </c>
      <c r="EP666" s="2" t="n">
        <v>0</v>
      </c>
      <c r="EQ666" s="2" t="n">
        <v>100</v>
      </c>
      <c r="ER666" s="2" t="n">
        <v>100</v>
      </c>
      <c r="ES666" s="2" t="n">
        <v>0</v>
      </c>
    </row>
    <row r="667">
      <c r="A667" s="2" t="n">
        <v>4</v>
      </c>
      <c r="B667" s="2" t="inlineStr">
        <is>
          <t>30.02.01.02</t>
        </is>
      </c>
      <c r="C667" s="2" t="inlineStr">
        <is>
          <t>Rodapé para Piso Porcelanato, com acabamento acetinado. Ref.: Eliane, Khali OffWhite AC 10x120cm, assentado com argamassa colante em pó ACIII</t>
        </is>
      </c>
      <c r="D667" s="2" t="inlineStr">
        <is>
          <t>17/02/2028</t>
        </is>
      </c>
      <c r="E667" s="2" t="inlineStr">
        <is>
          <t>23/01/2029</t>
        </is>
      </c>
      <c r="F667" s="2" t="n">
        <v>61183.90800915172</v>
      </c>
      <c r="G667" s="2" t="n">
        <v>0</v>
      </c>
      <c r="H667" s="2" t="n">
        <v>61183.90800915172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  <c r="AN667" s="2" t="n">
        <v>0</v>
      </c>
      <c r="AO667" s="2" t="n">
        <v>0</v>
      </c>
      <c r="AP667" s="2" t="n">
        <v>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n">
        <v>0</v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F667" s="2" t="n">
        <v>0</v>
      </c>
      <c r="BG667" s="2" t="n">
        <v>0</v>
      </c>
      <c r="BH667" s="2" t="n">
        <v>0</v>
      </c>
      <c r="BI667" s="2" t="n">
        <v>0</v>
      </c>
      <c r="BJ667" s="2" t="n">
        <v>0</v>
      </c>
      <c r="BK667" s="2" t="n">
        <v>0</v>
      </c>
      <c r="BL667" s="2" t="n">
        <v>0</v>
      </c>
      <c r="BM667" s="2" t="n">
        <v>0</v>
      </c>
      <c r="BN667" s="2" t="n">
        <v>0</v>
      </c>
      <c r="BO667" s="2" t="n">
        <v>0</v>
      </c>
      <c r="BP667" s="2" t="n">
        <v>0</v>
      </c>
      <c r="BQ667" s="2" t="n">
        <v>0</v>
      </c>
      <c r="BR667" s="2" t="n">
        <v>0</v>
      </c>
      <c r="BS667" s="2" t="n">
        <v>0</v>
      </c>
      <c r="BT667" s="2" t="n">
        <v>0</v>
      </c>
      <c r="BU667" s="2" t="n">
        <v>0</v>
      </c>
      <c r="BV667" s="2" t="n">
        <v>0</v>
      </c>
      <c r="BW667" s="2" t="n">
        <v>0</v>
      </c>
      <c r="BX667" s="2" t="n">
        <v>0</v>
      </c>
      <c r="BY667" s="2" t="n">
        <v>0</v>
      </c>
      <c r="BZ667" s="2" t="n">
        <v>0</v>
      </c>
      <c r="CA667" s="2" t="n">
        <v>0</v>
      </c>
      <c r="CB667" s="2" t="n">
        <v>0</v>
      </c>
      <c r="CC667" s="2" t="n">
        <v>0</v>
      </c>
      <c r="CD667" s="2" t="n">
        <v>0</v>
      </c>
      <c r="CE667" s="2" t="n">
        <v>0</v>
      </c>
      <c r="CF667" s="2" t="n">
        <v>0</v>
      </c>
      <c r="CG667" s="2" t="n">
        <v>0</v>
      </c>
      <c r="CH667" s="2" t="n">
        <v>0</v>
      </c>
      <c r="CI667" s="2" t="n">
        <v>0</v>
      </c>
      <c r="CJ667" s="2" t="n">
        <v>0</v>
      </c>
      <c r="CK667" s="2" t="n">
        <v>0</v>
      </c>
      <c r="CL667" s="2" t="n">
        <v>0</v>
      </c>
      <c r="CM667" s="2" t="n">
        <v>0</v>
      </c>
      <c r="CN667" s="2" t="n">
        <v>0</v>
      </c>
      <c r="CO667" s="2" t="n">
        <v>0</v>
      </c>
      <c r="CP667" s="2" t="n">
        <v>0</v>
      </c>
      <c r="CQ667" s="2" t="n">
        <v>0</v>
      </c>
      <c r="CR667" s="2" t="n">
        <v>0</v>
      </c>
      <c r="CS667" s="2" t="n">
        <v>0</v>
      </c>
      <c r="CT667" s="2" t="n">
        <v>0</v>
      </c>
      <c r="CU667" s="2" t="n">
        <v>0</v>
      </c>
      <c r="CV667" s="2" t="n">
        <v>0</v>
      </c>
      <c r="CW667" s="2" t="n">
        <v>0</v>
      </c>
      <c r="CX667" s="2" t="n">
        <v>0</v>
      </c>
      <c r="CY667" s="2" t="n">
        <v>0</v>
      </c>
      <c r="CZ667" s="2" t="n">
        <v>0</v>
      </c>
      <c r="DA667" s="2" t="n">
        <v>1.78</v>
      </c>
      <c r="DB667" s="2" t="n">
        <v>4</v>
      </c>
      <c r="DC667" s="2" t="n">
        <v>0</v>
      </c>
      <c r="DD667" s="2" t="n">
        <v>12</v>
      </c>
      <c r="DE667" s="2" t="n">
        <v>14.22</v>
      </c>
      <c r="DF667" s="2" t="n">
        <v>0</v>
      </c>
      <c r="DG667" s="2" t="n">
        <v>20</v>
      </c>
      <c r="DH667" s="2" t="n">
        <v>22.22</v>
      </c>
      <c r="DI667" s="2" t="n">
        <v>0</v>
      </c>
      <c r="DJ667" s="2" t="n">
        <v>29.78</v>
      </c>
      <c r="DK667" s="2" t="n">
        <v>32</v>
      </c>
      <c r="DL667" s="2" t="n">
        <v>0</v>
      </c>
      <c r="DM667" s="2" t="n">
        <v>39.11</v>
      </c>
      <c r="DN667" s="2" t="n">
        <v>41.33</v>
      </c>
      <c r="DO667" s="2" t="n">
        <v>0</v>
      </c>
      <c r="DP667" s="2" t="n">
        <v>48.44</v>
      </c>
      <c r="DQ667" s="2" t="n">
        <v>50.67</v>
      </c>
      <c r="DR667" s="2" t="n">
        <v>0</v>
      </c>
      <c r="DS667" s="2" t="n">
        <v>58.22</v>
      </c>
      <c r="DT667" s="2" t="n">
        <v>60.44</v>
      </c>
      <c r="DU667" s="2" t="n">
        <v>0</v>
      </c>
      <c r="DV667" s="2" t="n">
        <v>67.11</v>
      </c>
      <c r="DW667" s="2" t="n">
        <v>69.33</v>
      </c>
      <c r="DX667" s="2" t="n">
        <v>0</v>
      </c>
      <c r="DY667" s="2" t="n">
        <v>76.44</v>
      </c>
      <c r="DZ667" s="2" t="n">
        <v>78.67</v>
      </c>
      <c r="EA667" s="2" t="n">
        <v>0</v>
      </c>
      <c r="EB667" s="2" t="n">
        <v>84.89</v>
      </c>
      <c r="EC667" s="2" t="n">
        <v>87.11</v>
      </c>
      <c r="ED667" s="2" t="n">
        <v>0</v>
      </c>
      <c r="EE667" s="2" t="n">
        <v>91.56</v>
      </c>
      <c r="EF667" s="2" t="n">
        <v>93.40000000000001</v>
      </c>
      <c r="EG667" s="2" t="n">
        <v>0</v>
      </c>
      <c r="EH667" s="2" t="n">
        <v>100</v>
      </c>
      <c r="EI667" s="2" t="n">
        <v>100</v>
      </c>
      <c r="EJ667" s="2" t="n">
        <v>0</v>
      </c>
      <c r="EK667" s="2" t="n">
        <v>100</v>
      </c>
      <c r="EL667" s="2" t="n">
        <v>100</v>
      </c>
      <c r="EM667" s="2" t="n">
        <v>0</v>
      </c>
      <c r="EN667" s="2" t="n">
        <v>100</v>
      </c>
      <c r="EO667" s="2" t="n">
        <v>100</v>
      </c>
      <c r="EP667" s="2" t="n">
        <v>0</v>
      </c>
      <c r="EQ667" s="2" t="n">
        <v>100</v>
      </c>
      <c r="ER667" s="2" t="n">
        <v>100</v>
      </c>
      <c r="ES667" s="2" t="n">
        <v>0</v>
      </c>
    </row>
    <row r="668">
      <c r="A668" s="2" t="n">
        <v>4</v>
      </c>
      <c r="B668" s="2" t="inlineStr">
        <is>
          <t>30.02.01.03</t>
        </is>
      </c>
      <c r="C668" s="2" t="inlineStr">
        <is>
          <t>Rodapé para Piso Porcelanato, com acabamento resistente ao escorregamento. Ref.: Eliane, Khali OffWhite EXT 10x90cm, assentado com argamassa colante em pó ACIII</t>
        </is>
      </c>
      <c r="D668" s="2" t="inlineStr">
        <is>
          <t>17/02/2028</t>
        </is>
      </c>
      <c r="E668" s="2" t="inlineStr">
        <is>
          <t>23/01/2029</t>
        </is>
      </c>
      <c r="F668" s="2" t="n">
        <v>3705.2574835841</v>
      </c>
      <c r="G668" s="2" t="n">
        <v>0</v>
      </c>
      <c r="H668" s="2" t="n">
        <v>3705.2574835841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0</v>
      </c>
      <c r="AM668" s="2" t="n">
        <v>0</v>
      </c>
      <c r="AN668" s="2" t="n">
        <v>0</v>
      </c>
      <c r="AO668" s="2" t="n">
        <v>0</v>
      </c>
      <c r="AP668" s="2" t="n">
        <v>0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 t="n">
        <v>0</v>
      </c>
      <c r="AX668" s="2" t="n">
        <v>0</v>
      </c>
      <c r="AY668" s="2" t="n">
        <v>0</v>
      </c>
      <c r="AZ668" s="2" t="n">
        <v>0</v>
      </c>
      <c r="BA668" s="2" t="n">
        <v>0</v>
      </c>
      <c r="BB668" s="2" t="n">
        <v>0</v>
      </c>
      <c r="BC668" s="2" t="n">
        <v>0</v>
      </c>
      <c r="BD668" s="2" t="n">
        <v>0</v>
      </c>
      <c r="BE668" s="2" t="n">
        <v>0</v>
      </c>
      <c r="BF668" s="2" t="n">
        <v>0</v>
      </c>
      <c r="BG668" s="2" t="n">
        <v>0</v>
      </c>
      <c r="BH668" s="2" t="n">
        <v>0</v>
      </c>
      <c r="BI668" s="2" t="n">
        <v>0</v>
      </c>
      <c r="BJ668" s="2" t="n">
        <v>0</v>
      </c>
      <c r="BK668" s="2" t="n">
        <v>0</v>
      </c>
      <c r="BL668" s="2" t="n">
        <v>0</v>
      </c>
      <c r="BM668" s="2" t="n">
        <v>0</v>
      </c>
      <c r="BN668" s="2" t="n">
        <v>0</v>
      </c>
      <c r="BO668" s="2" t="n">
        <v>0</v>
      </c>
      <c r="BP668" s="2" t="n">
        <v>0</v>
      </c>
      <c r="BQ668" s="2" t="n">
        <v>0</v>
      </c>
      <c r="BR668" s="2" t="n">
        <v>0</v>
      </c>
      <c r="BS668" s="2" t="n">
        <v>0</v>
      </c>
      <c r="BT668" s="2" t="n">
        <v>0</v>
      </c>
      <c r="BU668" s="2" t="n">
        <v>0</v>
      </c>
      <c r="BV668" s="2" t="n">
        <v>0</v>
      </c>
      <c r="BW668" s="2" t="n">
        <v>0</v>
      </c>
      <c r="BX668" s="2" t="n">
        <v>0</v>
      </c>
      <c r="BY668" s="2" t="n">
        <v>0</v>
      </c>
      <c r="BZ668" s="2" t="n">
        <v>0</v>
      </c>
      <c r="CA668" s="2" t="n">
        <v>0</v>
      </c>
      <c r="CB668" s="2" t="n">
        <v>0</v>
      </c>
      <c r="CC668" s="2" t="n">
        <v>0</v>
      </c>
      <c r="CD668" s="2" t="n">
        <v>0</v>
      </c>
      <c r="CE668" s="2" t="n">
        <v>0</v>
      </c>
      <c r="CF668" s="2" t="n">
        <v>0</v>
      </c>
      <c r="CG668" s="2" t="n">
        <v>0</v>
      </c>
      <c r="CH668" s="2" t="n">
        <v>0</v>
      </c>
      <c r="CI668" s="2" t="n">
        <v>0</v>
      </c>
      <c r="CJ668" s="2" t="n">
        <v>0</v>
      </c>
      <c r="CK668" s="2" t="n">
        <v>0</v>
      </c>
      <c r="CL668" s="2" t="n">
        <v>0</v>
      </c>
      <c r="CM668" s="2" t="n">
        <v>0</v>
      </c>
      <c r="CN668" s="2" t="n">
        <v>0</v>
      </c>
      <c r="CO668" s="2" t="n">
        <v>0</v>
      </c>
      <c r="CP668" s="2" t="n">
        <v>0</v>
      </c>
      <c r="CQ668" s="2" t="n">
        <v>0</v>
      </c>
      <c r="CR668" s="2" t="n">
        <v>0</v>
      </c>
      <c r="CS668" s="2" t="n">
        <v>0</v>
      </c>
      <c r="CT668" s="2" t="n">
        <v>0</v>
      </c>
      <c r="CU668" s="2" t="n">
        <v>0</v>
      </c>
      <c r="CV668" s="2" t="n">
        <v>0</v>
      </c>
      <c r="CW668" s="2" t="n">
        <v>0</v>
      </c>
      <c r="CX668" s="2" t="n">
        <v>0</v>
      </c>
      <c r="CY668" s="2" t="n">
        <v>0</v>
      </c>
      <c r="CZ668" s="2" t="n">
        <v>0</v>
      </c>
      <c r="DA668" s="2" t="n">
        <v>1.78</v>
      </c>
      <c r="DB668" s="2" t="n">
        <v>4</v>
      </c>
      <c r="DC668" s="2" t="n">
        <v>0</v>
      </c>
      <c r="DD668" s="2" t="n">
        <v>12</v>
      </c>
      <c r="DE668" s="2" t="n">
        <v>14.22</v>
      </c>
      <c r="DF668" s="2" t="n">
        <v>0</v>
      </c>
      <c r="DG668" s="2" t="n">
        <v>20</v>
      </c>
      <c r="DH668" s="2" t="n">
        <v>22.22</v>
      </c>
      <c r="DI668" s="2" t="n">
        <v>0</v>
      </c>
      <c r="DJ668" s="2" t="n">
        <v>29.78</v>
      </c>
      <c r="DK668" s="2" t="n">
        <v>32</v>
      </c>
      <c r="DL668" s="2" t="n">
        <v>0</v>
      </c>
      <c r="DM668" s="2" t="n">
        <v>39.11</v>
      </c>
      <c r="DN668" s="2" t="n">
        <v>41.33</v>
      </c>
      <c r="DO668" s="2" t="n">
        <v>0</v>
      </c>
      <c r="DP668" s="2" t="n">
        <v>48.44</v>
      </c>
      <c r="DQ668" s="2" t="n">
        <v>50.67</v>
      </c>
      <c r="DR668" s="2" t="n">
        <v>0</v>
      </c>
      <c r="DS668" s="2" t="n">
        <v>58.22</v>
      </c>
      <c r="DT668" s="2" t="n">
        <v>60.44</v>
      </c>
      <c r="DU668" s="2" t="n">
        <v>0</v>
      </c>
      <c r="DV668" s="2" t="n">
        <v>67.11</v>
      </c>
      <c r="DW668" s="2" t="n">
        <v>69.33</v>
      </c>
      <c r="DX668" s="2" t="n">
        <v>0</v>
      </c>
      <c r="DY668" s="2" t="n">
        <v>76.44</v>
      </c>
      <c r="DZ668" s="2" t="n">
        <v>78.67</v>
      </c>
      <c r="EA668" s="2" t="n">
        <v>0</v>
      </c>
      <c r="EB668" s="2" t="n">
        <v>84.89</v>
      </c>
      <c r="EC668" s="2" t="n">
        <v>87.11</v>
      </c>
      <c r="ED668" s="2" t="n">
        <v>0</v>
      </c>
      <c r="EE668" s="2" t="n">
        <v>91.56</v>
      </c>
      <c r="EF668" s="2" t="n">
        <v>93.40000000000001</v>
      </c>
      <c r="EG668" s="2" t="n">
        <v>0</v>
      </c>
      <c r="EH668" s="2" t="n">
        <v>100</v>
      </c>
      <c r="EI668" s="2" t="n">
        <v>100</v>
      </c>
      <c r="EJ668" s="2" t="n">
        <v>0</v>
      </c>
      <c r="EK668" s="2" t="n">
        <v>100</v>
      </c>
      <c r="EL668" s="2" t="n">
        <v>100</v>
      </c>
      <c r="EM668" s="2" t="n">
        <v>0</v>
      </c>
      <c r="EN668" s="2" t="n">
        <v>100</v>
      </c>
      <c r="EO668" s="2" t="n">
        <v>100</v>
      </c>
      <c r="EP668" s="2" t="n">
        <v>0</v>
      </c>
      <c r="EQ668" s="2" t="n">
        <v>100</v>
      </c>
      <c r="ER668" s="2" t="n">
        <v>100</v>
      </c>
      <c r="ES668" s="2" t="n">
        <v>0</v>
      </c>
    </row>
    <row r="669">
      <c r="A669" s="2" t="n">
        <v>4</v>
      </c>
      <c r="B669" s="2" t="inlineStr">
        <is>
          <t>30.02.01.04</t>
        </is>
      </c>
      <c r="C669" s="2" t="inlineStr">
        <is>
          <t>Rodapé para Piso Porcelanato 90x90cm, com acabamento acetinado. Ref.: Eliane, Munari Branco AC, h=10cm, assentado com argamassa colante em pó ACIII</t>
        </is>
      </c>
      <c r="D669" s="2" t="inlineStr">
        <is>
          <t>17/02/2028</t>
        </is>
      </c>
      <c r="E669" s="2" t="inlineStr">
        <is>
          <t>23/01/2029</t>
        </is>
      </c>
      <c r="F669" s="2" t="n">
        <v>533.980326992763</v>
      </c>
      <c r="G669" s="2" t="n">
        <v>0</v>
      </c>
      <c r="H669" s="2" t="n">
        <v>533.980326992763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  <c r="AN669" s="2" t="n">
        <v>0</v>
      </c>
      <c r="AO669" s="2" t="n">
        <v>0</v>
      </c>
      <c r="AP669" s="2" t="n">
        <v>0</v>
      </c>
      <c r="AQ669" s="2" t="n">
        <v>0</v>
      </c>
      <c r="AR669" s="2" t="n">
        <v>0</v>
      </c>
      <c r="AS669" s="2" t="n">
        <v>0</v>
      </c>
      <c r="AT669" s="2" t="n">
        <v>0</v>
      </c>
      <c r="AU669" s="2" t="n">
        <v>0</v>
      </c>
      <c r="AV669" s="2" t="n">
        <v>0</v>
      </c>
      <c r="AW669" s="2" t="n">
        <v>0</v>
      </c>
      <c r="AX669" s="2" t="n">
        <v>0</v>
      </c>
      <c r="AY669" s="2" t="n">
        <v>0</v>
      </c>
      <c r="AZ669" s="2" t="n">
        <v>0</v>
      </c>
      <c r="BA669" s="2" t="n">
        <v>0</v>
      </c>
      <c r="BB669" s="2" t="n">
        <v>0</v>
      </c>
      <c r="BC669" s="2" t="n">
        <v>0</v>
      </c>
      <c r="BD669" s="2" t="n">
        <v>0</v>
      </c>
      <c r="BE669" s="2" t="n">
        <v>0</v>
      </c>
      <c r="BF669" s="2" t="n">
        <v>0</v>
      </c>
      <c r="BG669" s="2" t="n">
        <v>0</v>
      </c>
      <c r="BH669" s="2" t="n">
        <v>0</v>
      </c>
      <c r="BI669" s="2" t="n">
        <v>0</v>
      </c>
      <c r="BJ669" s="2" t="n">
        <v>0</v>
      </c>
      <c r="BK669" s="2" t="n">
        <v>0</v>
      </c>
      <c r="BL669" s="2" t="n">
        <v>0</v>
      </c>
      <c r="BM669" s="2" t="n">
        <v>0</v>
      </c>
      <c r="BN669" s="2" t="n">
        <v>0</v>
      </c>
      <c r="BO669" s="2" t="n">
        <v>0</v>
      </c>
      <c r="BP669" s="2" t="n">
        <v>0</v>
      </c>
      <c r="BQ669" s="2" t="n">
        <v>0</v>
      </c>
      <c r="BR669" s="2" t="n">
        <v>0</v>
      </c>
      <c r="BS669" s="2" t="n">
        <v>0</v>
      </c>
      <c r="BT669" s="2" t="n">
        <v>0</v>
      </c>
      <c r="BU669" s="2" t="n">
        <v>0</v>
      </c>
      <c r="BV669" s="2" t="n">
        <v>0</v>
      </c>
      <c r="BW669" s="2" t="n">
        <v>0</v>
      </c>
      <c r="BX669" s="2" t="n">
        <v>0</v>
      </c>
      <c r="BY669" s="2" t="n">
        <v>0</v>
      </c>
      <c r="BZ669" s="2" t="n">
        <v>0</v>
      </c>
      <c r="CA669" s="2" t="n">
        <v>0</v>
      </c>
      <c r="CB669" s="2" t="n">
        <v>0</v>
      </c>
      <c r="CC669" s="2" t="n">
        <v>0</v>
      </c>
      <c r="CD669" s="2" t="n">
        <v>0</v>
      </c>
      <c r="CE669" s="2" t="n">
        <v>0</v>
      </c>
      <c r="CF669" s="2" t="n">
        <v>0</v>
      </c>
      <c r="CG669" s="2" t="n">
        <v>0</v>
      </c>
      <c r="CH669" s="2" t="n">
        <v>0</v>
      </c>
      <c r="CI669" s="2" t="n">
        <v>0</v>
      </c>
      <c r="CJ669" s="2" t="n">
        <v>0</v>
      </c>
      <c r="CK669" s="2" t="n">
        <v>0</v>
      </c>
      <c r="CL669" s="2" t="n">
        <v>0</v>
      </c>
      <c r="CM669" s="2" t="n">
        <v>0</v>
      </c>
      <c r="CN669" s="2" t="n">
        <v>0</v>
      </c>
      <c r="CO669" s="2" t="n">
        <v>0</v>
      </c>
      <c r="CP669" s="2" t="n">
        <v>0</v>
      </c>
      <c r="CQ669" s="2" t="n">
        <v>0</v>
      </c>
      <c r="CR669" s="2" t="n">
        <v>0</v>
      </c>
      <c r="CS669" s="2" t="n">
        <v>0</v>
      </c>
      <c r="CT669" s="2" t="n">
        <v>0</v>
      </c>
      <c r="CU669" s="2" t="n">
        <v>0</v>
      </c>
      <c r="CV669" s="2" t="n">
        <v>0</v>
      </c>
      <c r="CW669" s="2" t="n">
        <v>0</v>
      </c>
      <c r="CX669" s="2" t="n">
        <v>0</v>
      </c>
      <c r="CY669" s="2" t="n">
        <v>0</v>
      </c>
      <c r="CZ669" s="2" t="n">
        <v>0</v>
      </c>
      <c r="DA669" s="2" t="n">
        <v>1.78</v>
      </c>
      <c r="DB669" s="2" t="n">
        <v>4</v>
      </c>
      <c r="DC669" s="2" t="n">
        <v>0</v>
      </c>
      <c r="DD669" s="2" t="n">
        <v>12</v>
      </c>
      <c r="DE669" s="2" t="n">
        <v>14.22</v>
      </c>
      <c r="DF669" s="2" t="n">
        <v>0</v>
      </c>
      <c r="DG669" s="2" t="n">
        <v>20</v>
      </c>
      <c r="DH669" s="2" t="n">
        <v>22.22</v>
      </c>
      <c r="DI669" s="2" t="n">
        <v>0</v>
      </c>
      <c r="DJ669" s="2" t="n">
        <v>29.78</v>
      </c>
      <c r="DK669" s="2" t="n">
        <v>32</v>
      </c>
      <c r="DL669" s="2" t="n">
        <v>0</v>
      </c>
      <c r="DM669" s="2" t="n">
        <v>39.11</v>
      </c>
      <c r="DN669" s="2" t="n">
        <v>41.33</v>
      </c>
      <c r="DO669" s="2" t="n">
        <v>0</v>
      </c>
      <c r="DP669" s="2" t="n">
        <v>48.44</v>
      </c>
      <c r="DQ669" s="2" t="n">
        <v>50.67</v>
      </c>
      <c r="DR669" s="2" t="n">
        <v>0</v>
      </c>
      <c r="DS669" s="2" t="n">
        <v>58.22</v>
      </c>
      <c r="DT669" s="2" t="n">
        <v>60.44</v>
      </c>
      <c r="DU669" s="2" t="n">
        <v>0</v>
      </c>
      <c r="DV669" s="2" t="n">
        <v>67.11</v>
      </c>
      <c r="DW669" s="2" t="n">
        <v>69.33</v>
      </c>
      <c r="DX669" s="2" t="n">
        <v>0</v>
      </c>
      <c r="DY669" s="2" t="n">
        <v>76.44</v>
      </c>
      <c r="DZ669" s="2" t="n">
        <v>78.67</v>
      </c>
      <c r="EA669" s="2" t="n">
        <v>0</v>
      </c>
      <c r="EB669" s="2" t="n">
        <v>84.89</v>
      </c>
      <c r="EC669" s="2" t="n">
        <v>87.11</v>
      </c>
      <c r="ED669" s="2" t="n">
        <v>0</v>
      </c>
      <c r="EE669" s="2" t="n">
        <v>91.56</v>
      </c>
      <c r="EF669" s="2" t="n">
        <v>93.40000000000001</v>
      </c>
      <c r="EG669" s="2" t="n">
        <v>0</v>
      </c>
      <c r="EH669" s="2" t="n">
        <v>100</v>
      </c>
      <c r="EI669" s="2" t="n">
        <v>100</v>
      </c>
      <c r="EJ669" s="2" t="n">
        <v>0</v>
      </c>
      <c r="EK669" s="2" t="n">
        <v>100</v>
      </c>
      <c r="EL669" s="2" t="n">
        <v>100</v>
      </c>
      <c r="EM669" s="2" t="n">
        <v>0</v>
      </c>
      <c r="EN669" s="2" t="n">
        <v>100</v>
      </c>
      <c r="EO669" s="2" t="n">
        <v>100</v>
      </c>
      <c r="EP669" s="2" t="n">
        <v>0</v>
      </c>
      <c r="EQ669" s="2" t="n">
        <v>100</v>
      </c>
      <c r="ER669" s="2" t="n">
        <v>100</v>
      </c>
      <c r="ES669" s="2" t="n">
        <v>0</v>
      </c>
    </row>
    <row r="670">
      <c r="A670" s="2" t="n">
        <v>4</v>
      </c>
      <c r="B670" s="2" t="inlineStr">
        <is>
          <t>30.02.01.05</t>
        </is>
      </c>
      <c r="C670" s="2" t="inlineStr">
        <is>
          <t>Rodapé para Piso Porcelanato 10x60cm, com acabamento acetinado. Ref.: Eliane, Munari Branco A, h=10cm, assentado com argamassa colante em pó ACIII</t>
        </is>
      </c>
      <c r="D670" s="2" t="inlineStr">
        <is>
          <t>17/02/2028</t>
        </is>
      </c>
      <c r="E670" s="2" t="inlineStr">
        <is>
          <t>23/01/2029</t>
        </is>
      </c>
      <c r="F670" s="2" t="n">
        <v>5718.446361142968</v>
      </c>
      <c r="G670" s="2" t="n">
        <v>0</v>
      </c>
      <c r="H670" s="2" t="n">
        <v>5718.446361142968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  <c r="AM670" s="2" t="n">
        <v>0</v>
      </c>
      <c r="AN670" s="2" t="n">
        <v>0</v>
      </c>
      <c r="AO670" s="2" t="n">
        <v>0</v>
      </c>
      <c r="AP670" s="2" t="n">
        <v>0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n">
        <v>0</v>
      </c>
      <c r="AZ670" s="2" t="n">
        <v>0</v>
      </c>
      <c r="BA670" s="2" t="n">
        <v>0</v>
      </c>
      <c r="BB670" s="2" t="n">
        <v>0</v>
      </c>
      <c r="BC670" s="2" t="n">
        <v>0</v>
      </c>
      <c r="BD670" s="2" t="n">
        <v>0</v>
      </c>
      <c r="BE670" s="2" t="n">
        <v>0</v>
      </c>
      <c r="BF670" s="2" t="n">
        <v>0</v>
      </c>
      <c r="BG670" s="2" t="n">
        <v>0</v>
      </c>
      <c r="BH670" s="2" t="n">
        <v>0</v>
      </c>
      <c r="BI670" s="2" t="n">
        <v>0</v>
      </c>
      <c r="BJ670" s="2" t="n">
        <v>0</v>
      </c>
      <c r="BK670" s="2" t="n">
        <v>0</v>
      </c>
      <c r="BL670" s="2" t="n">
        <v>0</v>
      </c>
      <c r="BM670" s="2" t="n">
        <v>0</v>
      </c>
      <c r="BN670" s="2" t="n">
        <v>0</v>
      </c>
      <c r="BO670" s="2" t="n">
        <v>0</v>
      </c>
      <c r="BP670" s="2" t="n">
        <v>0</v>
      </c>
      <c r="BQ670" s="2" t="n">
        <v>0</v>
      </c>
      <c r="BR670" s="2" t="n">
        <v>0</v>
      </c>
      <c r="BS670" s="2" t="n">
        <v>0</v>
      </c>
      <c r="BT670" s="2" t="n">
        <v>0</v>
      </c>
      <c r="BU670" s="2" t="n">
        <v>0</v>
      </c>
      <c r="BV670" s="2" t="n">
        <v>0</v>
      </c>
      <c r="BW670" s="2" t="n">
        <v>0</v>
      </c>
      <c r="BX670" s="2" t="n">
        <v>0</v>
      </c>
      <c r="BY670" s="2" t="n">
        <v>0</v>
      </c>
      <c r="BZ670" s="2" t="n">
        <v>0</v>
      </c>
      <c r="CA670" s="2" t="n">
        <v>0</v>
      </c>
      <c r="CB670" s="2" t="n">
        <v>0</v>
      </c>
      <c r="CC670" s="2" t="n">
        <v>0</v>
      </c>
      <c r="CD670" s="2" t="n">
        <v>0</v>
      </c>
      <c r="CE670" s="2" t="n">
        <v>0</v>
      </c>
      <c r="CF670" s="2" t="n">
        <v>0</v>
      </c>
      <c r="CG670" s="2" t="n">
        <v>0</v>
      </c>
      <c r="CH670" s="2" t="n">
        <v>0</v>
      </c>
      <c r="CI670" s="2" t="n">
        <v>0</v>
      </c>
      <c r="CJ670" s="2" t="n">
        <v>0</v>
      </c>
      <c r="CK670" s="2" t="n">
        <v>0</v>
      </c>
      <c r="CL670" s="2" t="n">
        <v>0</v>
      </c>
      <c r="CM670" s="2" t="n">
        <v>0</v>
      </c>
      <c r="CN670" s="2" t="n">
        <v>0</v>
      </c>
      <c r="CO670" s="2" t="n">
        <v>0</v>
      </c>
      <c r="CP670" s="2" t="n">
        <v>0</v>
      </c>
      <c r="CQ670" s="2" t="n">
        <v>0</v>
      </c>
      <c r="CR670" s="2" t="n">
        <v>0</v>
      </c>
      <c r="CS670" s="2" t="n">
        <v>0</v>
      </c>
      <c r="CT670" s="2" t="n">
        <v>0</v>
      </c>
      <c r="CU670" s="2" t="n">
        <v>0</v>
      </c>
      <c r="CV670" s="2" t="n">
        <v>0</v>
      </c>
      <c r="CW670" s="2" t="n">
        <v>0</v>
      </c>
      <c r="CX670" s="2" t="n">
        <v>0</v>
      </c>
      <c r="CY670" s="2" t="n">
        <v>0</v>
      </c>
      <c r="CZ670" s="2" t="n">
        <v>0</v>
      </c>
      <c r="DA670" s="2" t="n">
        <v>1.78</v>
      </c>
      <c r="DB670" s="2" t="n">
        <v>4</v>
      </c>
      <c r="DC670" s="2" t="n">
        <v>0</v>
      </c>
      <c r="DD670" s="2" t="n">
        <v>12</v>
      </c>
      <c r="DE670" s="2" t="n">
        <v>14.22</v>
      </c>
      <c r="DF670" s="2" t="n">
        <v>0</v>
      </c>
      <c r="DG670" s="2" t="n">
        <v>20</v>
      </c>
      <c r="DH670" s="2" t="n">
        <v>22.22</v>
      </c>
      <c r="DI670" s="2" t="n">
        <v>0</v>
      </c>
      <c r="DJ670" s="2" t="n">
        <v>29.78</v>
      </c>
      <c r="DK670" s="2" t="n">
        <v>32</v>
      </c>
      <c r="DL670" s="2" t="n">
        <v>0</v>
      </c>
      <c r="DM670" s="2" t="n">
        <v>39.11</v>
      </c>
      <c r="DN670" s="2" t="n">
        <v>41.33</v>
      </c>
      <c r="DO670" s="2" t="n">
        <v>0</v>
      </c>
      <c r="DP670" s="2" t="n">
        <v>48.44</v>
      </c>
      <c r="DQ670" s="2" t="n">
        <v>50.67</v>
      </c>
      <c r="DR670" s="2" t="n">
        <v>0</v>
      </c>
      <c r="DS670" s="2" t="n">
        <v>58.22</v>
      </c>
      <c r="DT670" s="2" t="n">
        <v>60.44</v>
      </c>
      <c r="DU670" s="2" t="n">
        <v>0</v>
      </c>
      <c r="DV670" s="2" t="n">
        <v>67.11</v>
      </c>
      <c r="DW670" s="2" t="n">
        <v>69.33</v>
      </c>
      <c r="DX670" s="2" t="n">
        <v>0</v>
      </c>
      <c r="DY670" s="2" t="n">
        <v>76.44</v>
      </c>
      <c r="DZ670" s="2" t="n">
        <v>78.67</v>
      </c>
      <c r="EA670" s="2" t="n">
        <v>0</v>
      </c>
      <c r="EB670" s="2" t="n">
        <v>84.89</v>
      </c>
      <c r="EC670" s="2" t="n">
        <v>87.11</v>
      </c>
      <c r="ED670" s="2" t="n">
        <v>0</v>
      </c>
      <c r="EE670" s="2" t="n">
        <v>91.56</v>
      </c>
      <c r="EF670" s="2" t="n">
        <v>93.40000000000001</v>
      </c>
      <c r="EG670" s="2" t="n">
        <v>0</v>
      </c>
      <c r="EH670" s="2" t="n">
        <v>100</v>
      </c>
      <c r="EI670" s="2" t="n">
        <v>100</v>
      </c>
      <c r="EJ670" s="2" t="n">
        <v>0</v>
      </c>
      <c r="EK670" s="2" t="n">
        <v>100</v>
      </c>
      <c r="EL670" s="2" t="n">
        <v>100</v>
      </c>
      <c r="EM670" s="2" t="n">
        <v>0</v>
      </c>
      <c r="EN670" s="2" t="n">
        <v>100</v>
      </c>
      <c r="EO670" s="2" t="n">
        <v>100</v>
      </c>
      <c r="EP670" s="2" t="n">
        <v>0</v>
      </c>
      <c r="EQ670" s="2" t="n">
        <v>100</v>
      </c>
      <c r="ER670" s="2" t="n">
        <v>100</v>
      </c>
      <c r="ES670" s="2" t="n">
        <v>0</v>
      </c>
    </row>
    <row r="671">
      <c r="A671" s="2" t="n">
        <v>3</v>
      </c>
      <c r="B671" s="2" t="inlineStr">
        <is>
          <t>30.02.03</t>
        </is>
      </c>
      <c r="C671" s="2" t="inlineStr">
        <is>
          <t>Pedras</t>
        </is>
      </c>
      <c r="D671" s="2" t="inlineStr">
        <is>
          <t>17/02/2028</t>
        </is>
      </c>
      <c r="E671" s="2" t="inlineStr">
        <is>
          <t>23/01/2029</t>
        </is>
      </c>
      <c r="F671" s="2" t="n">
        <v>59075.11601310952</v>
      </c>
      <c r="G671" s="2" t="n">
        <v>0</v>
      </c>
      <c r="H671" s="2" t="n">
        <v>59075.11601310952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  <c r="AM671" s="2" t="n">
        <v>0</v>
      </c>
      <c r="AN671" s="2" t="n">
        <v>0</v>
      </c>
      <c r="AO671" s="2" t="n">
        <v>0</v>
      </c>
      <c r="AP671" s="2" t="n">
        <v>0</v>
      </c>
      <c r="AQ671" s="2" t="n">
        <v>0</v>
      </c>
      <c r="AR671" s="2" t="n">
        <v>0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n">
        <v>0</v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n">
        <v>0</v>
      </c>
      <c r="BE671" s="2" t="n">
        <v>0</v>
      </c>
      <c r="BF671" s="2" t="n">
        <v>0</v>
      </c>
      <c r="BG671" s="2" t="n">
        <v>0</v>
      </c>
      <c r="BH671" s="2" t="n">
        <v>0</v>
      </c>
      <c r="BI671" s="2" t="n">
        <v>0</v>
      </c>
      <c r="BJ671" s="2" t="n">
        <v>0</v>
      </c>
      <c r="BK671" s="2" t="n">
        <v>0</v>
      </c>
      <c r="BL671" s="2" t="n">
        <v>0</v>
      </c>
      <c r="BM671" s="2" t="n">
        <v>0</v>
      </c>
      <c r="BN671" s="2" t="n">
        <v>0</v>
      </c>
      <c r="BO671" s="2" t="n">
        <v>0</v>
      </c>
      <c r="BP671" s="2" t="n">
        <v>0</v>
      </c>
      <c r="BQ671" s="2" t="n">
        <v>0</v>
      </c>
      <c r="BR671" s="2" t="n">
        <v>0</v>
      </c>
      <c r="BS671" s="2" t="n">
        <v>0</v>
      </c>
      <c r="BT671" s="2" t="n">
        <v>0</v>
      </c>
      <c r="BU671" s="2" t="n">
        <v>0</v>
      </c>
      <c r="BV671" s="2" t="n">
        <v>0</v>
      </c>
      <c r="BW671" s="2" t="n">
        <v>0</v>
      </c>
      <c r="BX671" s="2" t="n">
        <v>0</v>
      </c>
      <c r="BY671" s="2" t="n">
        <v>0</v>
      </c>
      <c r="BZ671" s="2" t="n">
        <v>0</v>
      </c>
      <c r="CA671" s="2" t="n">
        <v>0</v>
      </c>
      <c r="CB671" s="2" t="n">
        <v>0</v>
      </c>
      <c r="CC671" s="2" t="n">
        <v>0</v>
      </c>
      <c r="CD671" s="2" t="n">
        <v>0</v>
      </c>
      <c r="CE671" s="2" t="n">
        <v>0</v>
      </c>
      <c r="CF671" s="2" t="n">
        <v>0</v>
      </c>
      <c r="CG671" s="2" t="n">
        <v>0</v>
      </c>
      <c r="CH671" s="2" t="n">
        <v>0</v>
      </c>
      <c r="CI671" s="2" t="n">
        <v>0</v>
      </c>
      <c r="CJ671" s="2" t="n">
        <v>0</v>
      </c>
      <c r="CK671" s="2" t="n">
        <v>0</v>
      </c>
      <c r="CL671" s="2" t="n">
        <v>0</v>
      </c>
      <c r="CM671" s="2" t="n">
        <v>0</v>
      </c>
      <c r="CN671" s="2" t="n">
        <v>0</v>
      </c>
      <c r="CO671" s="2" t="n">
        <v>0</v>
      </c>
      <c r="CP671" s="2" t="n">
        <v>0</v>
      </c>
      <c r="CQ671" s="2" t="n">
        <v>0</v>
      </c>
      <c r="CR671" s="2" t="n">
        <v>0</v>
      </c>
      <c r="CS671" s="2" t="n">
        <v>0</v>
      </c>
      <c r="CT671" s="2" t="n">
        <v>0</v>
      </c>
      <c r="CU671" s="2" t="n">
        <v>0</v>
      </c>
      <c r="CV671" s="2" t="n">
        <v>0</v>
      </c>
      <c r="CW671" s="2" t="n">
        <v>0</v>
      </c>
      <c r="CX671" s="2" t="n">
        <v>0</v>
      </c>
      <c r="CY671" s="2" t="n">
        <v>0</v>
      </c>
      <c r="CZ671" s="2" t="n">
        <v>0</v>
      </c>
      <c r="DA671" s="2" t="n">
        <v>1.78</v>
      </c>
      <c r="DB671" s="2" t="n">
        <v>4</v>
      </c>
      <c r="DC671" s="2" t="n">
        <v>0</v>
      </c>
      <c r="DD671" s="2" t="n">
        <v>12</v>
      </c>
      <c r="DE671" s="2" t="n">
        <v>14.22</v>
      </c>
      <c r="DF671" s="2" t="n">
        <v>0</v>
      </c>
      <c r="DG671" s="2" t="n">
        <v>20</v>
      </c>
      <c r="DH671" s="2" t="n">
        <v>22.22</v>
      </c>
      <c r="DI671" s="2" t="n">
        <v>0</v>
      </c>
      <c r="DJ671" s="2" t="n">
        <v>29.78</v>
      </c>
      <c r="DK671" s="2" t="n">
        <v>32</v>
      </c>
      <c r="DL671" s="2" t="n">
        <v>0</v>
      </c>
      <c r="DM671" s="2" t="n">
        <v>39.11</v>
      </c>
      <c r="DN671" s="2" t="n">
        <v>41.33</v>
      </c>
      <c r="DO671" s="2" t="n">
        <v>0</v>
      </c>
      <c r="DP671" s="2" t="n">
        <v>48.44</v>
      </c>
      <c r="DQ671" s="2" t="n">
        <v>50.67</v>
      </c>
      <c r="DR671" s="2" t="n">
        <v>0</v>
      </c>
      <c r="DS671" s="2" t="n">
        <v>58.22</v>
      </c>
      <c r="DT671" s="2" t="n">
        <v>60.44</v>
      </c>
      <c r="DU671" s="2" t="n">
        <v>0</v>
      </c>
      <c r="DV671" s="2" t="n">
        <v>67.11</v>
      </c>
      <c r="DW671" s="2" t="n">
        <v>69.33</v>
      </c>
      <c r="DX671" s="2" t="n">
        <v>0</v>
      </c>
      <c r="DY671" s="2" t="n">
        <v>76.44</v>
      </c>
      <c r="DZ671" s="2" t="n">
        <v>78.67</v>
      </c>
      <c r="EA671" s="2" t="n">
        <v>0</v>
      </c>
      <c r="EB671" s="2" t="n">
        <v>84.89</v>
      </c>
      <c r="EC671" s="2" t="n">
        <v>87.11</v>
      </c>
      <c r="ED671" s="2" t="n">
        <v>0</v>
      </c>
      <c r="EE671" s="2" t="n">
        <v>91.56</v>
      </c>
      <c r="EF671" s="2" t="n">
        <v>93.40000000000001</v>
      </c>
      <c r="EG671" s="2" t="n">
        <v>0</v>
      </c>
      <c r="EH671" s="2" t="n">
        <v>100</v>
      </c>
      <c r="EI671" s="2" t="n">
        <v>100</v>
      </c>
      <c r="EJ671" s="2" t="n">
        <v>0</v>
      </c>
      <c r="EK671" s="2" t="n">
        <v>100</v>
      </c>
      <c r="EL671" s="2" t="n">
        <v>100</v>
      </c>
      <c r="EM671" s="2" t="n">
        <v>0</v>
      </c>
      <c r="EN671" s="2" t="n">
        <v>100</v>
      </c>
      <c r="EO671" s="2" t="n">
        <v>100</v>
      </c>
      <c r="EP671" s="2" t="n">
        <v>0</v>
      </c>
      <c r="EQ671" s="2" t="n">
        <v>100</v>
      </c>
      <c r="ER671" s="2" t="n">
        <v>100</v>
      </c>
      <c r="ES671" s="2" t="n">
        <v>0</v>
      </c>
    </row>
    <row r="672">
      <c r="A672" s="2" t="n">
        <v>4</v>
      </c>
      <c r="B672" s="2" t="inlineStr">
        <is>
          <t>30.02.03.01</t>
        </is>
      </c>
      <c r="C672" s="2" t="inlineStr">
        <is>
          <t>Rodapé para Piso de granito Branco Ornamental White, acabamento levigado, assentado com argamassa colante em pó ACIII</t>
        </is>
      </c>
      <c r="D672" s="2" t="inlineStr">
        <is>
          <t>17/02/2028</t>
        </is>
      </c>
      <c r="E672" s="2" t="inlineStr">
        <is>
          <t>23/01/2029</t>
        </is>
      </c>
      <c r="F672" s="2" t="n">
        <v>59075.11601310952</v>
      </c>
      <c r="G672" s="2" t="n">
        <v>0</v>
      </c>
      <c r="H672" s="2" t="n">
        <v>59075.11601310952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0</v>
      </c>
      <c r="AN672" s="2" t="n">
        <v>0</v>
      </c>
      <c r="AO672" s="2" t="n">
        <v>0</v>
      </c>
      <c r="AP672" s="2" t="n">
        <v>0</v>
      </c>
      <c r="AQ672" s="2" t="n">
        <v>0</v>
      </c>
      <c r="AR672" s="2" t="n">
        <v>0</v>
      </c>
      <c r="AS672" s="2" t="n">
        <v>0</v>
      </c>
      <c r="AT672" s="2" t="n">
        <v>0</v>
      </c>
      <c r="AU672" s="2" t="n">
        <v>0</v>
      </c>
      <c r="AV672" s="2" t="n">
        <v>0</v>
      </c>
      <c r="AW672" s="2" t="n">
        <v>0</v>
      </c>
      <c r="AX672" s="2" t="n">
        <v>0</v>
      </c>
      <c r="AY672" s="2" t="n">
        <v>0</v>
      </c>
      <c r="AZ672" s="2" t="n">
        <v>0</v>
      </c>
      <c r="BA672" s="2" t="n">
        <v>0</v>
      </c>
      <c r="BB672" s="2" t="n">
        <v>0</v>
      </c>
      <c r="BC672" s="2" t="n">
        <v>0</v>
      </c>
      <c r="BD672" s="2" t="n">
        <v>0</v>
      </c>
      <c r="BE672" s="2" t="n">
        <v>0</v>
      </c>
      <c r="BF672" s="2" t="n">
        <v>0</v>
      </c>
      <c r="BG672" s="2" t="n">
        <v>0</v>
      </c>
      <c r="BH672" s="2" t="n">
        <v>0</v>
      </c>
      <c r="BI672" s="2" t="n">
        <v>0</v>
      </c>
      <c r="BJ672" s="2" t="n">
        <v>0</v>
      </c>
      <c r="BK672" s="2" t="n">
        <v>0</v>
      </c>
      <c r="BL672" s="2" t="n">
        <v>0</v>
      </c>
      <c r="BM672" s="2" t="n">
        <v>0</v>
      </c>
      <c r="BN672" s="2" t="n">
        <v>0</v>
      </c>
      <c r="BO672" s="2" t="n">
        <v>0</v>
      </c>
      <c r="BP672" s="2" t="n">
        <v>0</v>
      </c>
      <c r="BQ672" s="2" t="n">
        <v>0</v>
      </c>
      <c r="BR672" s="2" t="n">
        <v>0</v>
      </c>
      <c r="BS672" s="2" t="n">
        <v>0</v>
      </c>
      <c r="BT672" s="2" t="n">
        <v>0</v>
      </c>
      <c r="BU672" s="2" t="n">
        <v>0</v>
      </c>
      <c r="BV672" s="2" t="n">
        <v>0</v>
      </c>
      <c r="BW672" s="2" t="n">
        <v>0</v>
      </c>
      <c r="BX672" s="2" t="n">
        <v>0</v>
      </c>
      <c r="BY672" s="2" t="n">
        <v>0</v>
      </c>
      <c r="BZ672" s="2" t="n">
        <v>0</v>
      </c>
      <c r="CA672" s="2" t="n">
        <v>0</v>
      </c>
      <c r="CB672" s="2" t="n">
        <v>0</v>
      </c>
      <c r="CC672" s="2" t="n">
        <v>0</v>
      </c>
      <c r="CD672" s="2" t="n">
        <v>0</v>
      </c>
      <c r="CE672" s="2" t="n">
        <v>0</v>
      </c>
      <c r="CF672" s="2" t="n">
        <v>0</v>
      </c>
      <c r="CG672" s="2" t="n">
        <v>0</v>
      </c>
      <c r="CH672" s="2" t="n">
        <v>0</v>
      </c>
      <c r="CI672" s="2" t="n">
        <v>0</v>
      </c>
      <c r="CJ672" s="2" t="n">
        <v>0</v>
      </c>
      <c r="CK672" s="2" t="n">
        <v>0</v>
      </c>
      <c r="CL672" s="2" t="n">
        <v>0</v>
      </c>
      <c r="CM672" s="2" t="n">
        <v>0</v>
      </c>
      <c r="CN672" s="2" t="n">
        <v>0</v>
      </c>
      <c r="CO672" s="2" t="n">
        <v>0</v>
      </c>
      <c r="CP672" s="2" t="n">
        <v>0</v>
      </c>
      <c r="CQ672" s="2" t="n">
        <v>0</v>
      </c>
      <c r="CR672" s="2" t="n">
        <v>0</v>
      </c>
      <c r="CS672" s="2" t="n">
        <v>0</v>
      </c>
      <c r="CT672" s="2" t="n">
        <v>0</v>
      </c>
      <c r="CU672" s="2" t="n">
        <v>0</v>
      </c>
      <c r="CV672" s="2" t="n">
        <v>0</v>
      </c>
      <c r="CW672" s="2" t="n">
        <v>0</v>
      </c>
      <c r="CX672" s="2" t="n">
        <v>0</v>
      </c>
      <c r="CY672" s="2" t="n">
        <v>0</v>
      </c>
      <c r="CZ672" s="2" t="n">
        <v>0</v>
      </c>
      <c r="DA672" s="2" t="n">
        <v>1.78</v>
      </c>
      <c r="DB672" s="2" t="n">
        <v>4</v>
      </c>
      <c r="DC672" s="2" t="n">
        <v>0</v>
      </c>
      <c r="DD672" s="2" t="n">
        <v>12</v>
      </c>
      <c r="DE672" s="2" t="n">
        <v>14.22</v>
      </c>
      <c r="DF672" s="2" t="n">
        <v>0</v>
      </c>
      <c r="DG672" s="2" t="n">
        <v>20</v>
      </c>
      <c r="DH672" s="2" t="n">
        <v>22.22</v>
      </c>
      <c r="DI672" s="2" t="n">
        <v>0</v>
      </c>
      <c r="DJ672" s="2" t="n">
        <v>29.78</v>
      </c>
      <c r="DK672" s="2" t="n">
        <v>32</v>
      </c>
      <c r="DL672" s="2" t="n">
        <v>0</v>
      </c>
      <c r="DM672" s="2" t="n">
        <v>39.11</v>
      </c>
      <c r="DN672" s="2" t="n">
        <v>41.33</v>
      </c>
      <c r="DO672" s="2" t="n">
        <v>0</v>
      </c>
      <c r="DP672" s="2" t="n">
        <v>48.44</v>
      </c>
      <c r="DQ672" s="2" t="n">
        <v>50.67</v>
      </c>
      <c r="DR672" s="2" t="n">
        <v>0</v>
      </c>
      <c r="DS672" s="2" t="n">
        <v>58.22</v>
      </c>
      <c r="DT672" s="2" t="n">
        <v>60.44</v>
      </c>
      <c r="DU672" s="2" t="n">
        <v>0</v>
      </c>
      <c r="DV672" s="2" t="n">
        <v>67.11</v>
      </c>
      <c r="DW672" s="2" t="n">
        <v>69.33</v>
      </c>
      <c r="DX672" s="2" t="n">
        <v>0</v>
      </c>
      <c r="DY672" s="2" t="n">
        <v>76.44</v>
      </c>
      <c r="DZ672" s="2" t="n">
        <v>78.67</v>
      </c>
      <c r="EA672" s="2" t="n">
        <v>0</v>
      </c>
      <c r="EB672" s="2" t="n">
        <v>84.89</v>
      </c>
      <c r="EC672" s="2" t="n">
        <v>87.11</v>
      </c>
      <c r="ED672" s="2" t="n">
        <v>0</v>
      </c>
      <c r="EE672" s="2" t="n">
        <v>91.56</v>
      </c>
      <c r="EF672" s="2" t="n">
        <v>93.40000000000001</v>
      </c>
      <c r="EG672" s="2" t="n">
        <v>0</v>
      </c>
      <c r="EH672" s="2" t="n">
        <v>100</v>
      </c>
      <c r="EI672" s="2" t="n">
        <v>100</v>
      </c>
      <c r="EJ672" s="2" t="n">
        <v>0</v>
      </c>
      <c r="EK672" s="2" t="n">
        <v>100</v>
      </c>
      <c r="EL672" s="2" t="n">
        <v>100</v>
      </c>
      <c r="EM672" s="2" t="n">
        <v>0</v>
      </c>
      <c r="EN672" s="2" t="n">
        <v>100</v>
      </c>
      <c r="EO672" s="2" t="n">
        <v>100</v>
      </c>
      <c r="EP672" s="2" t="n">
        <v>0</v>
      </c>
      <c r="EQ672" s="2" t="n">
        <v>100</v>
      </c>
      <c r="ER672" s="2" t="n">
        <v>100</v>
      </c>
      <c r="ES672" s="2" t="n">
        <v>0</v>
      </c>
    </row>
    <row r="673">
      <c r="A673" s="2" t="n">
        <v>3</v>
      </c>
      <c r="B673" s="2" t="inlineStr">
        <is>
          <t>30.02.04</t>
        </is>
      </c>
      <c r="C673" s="2" t="inlineStr">
        <is>
          <t>Sintéticos e Vinílicos</t>
        </is>
      </c>
      <c r="D673" s="2" t="inlineStr">
        <is>
          <t>17/02/2028</t>
        </is>
      </c>
      <c r="E673" s="2" t="inlineStr">
        <is>
          <t>23/01/2029</t>
        </is>
      </c>
      <c r="F673" s="2" t="n">
        <v>525496.4623710309</v>
      </c>
      <c r="G673" s="2" t="n">
        <v>0</v>
      </c>
      <c r="H673" s="2" t="n">
        <v>525496.4623710309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  <c r="AM673" s="2" t="n">
        <v>0</v>
      </c>
      <c r="AN673" s="2" t="n">
        <v>0</v>
      </c>
      <c r="AO673" s="2" t="n">
        <v>0</v>
      </c>
      <c r="AP673" s="2" t="n">
        <v>0</v>
      </c>
      <c r="AQ673" s="2" t="n">
        <v>0</v>
      </c>
      <c r="AR673" s="2" t="n">
        <v>0</v>
      </c>
      <c r="AS673" s="2" t="n">
        <v>0</v>
      </c>
      <c r="AT673" s="2" t="n">
        <v>0</v>
      </c>
      <c r="AU673" s="2" t="n">
        <v>0</v>
      </c>
      <c r="AV673" s="2" t="n">
        <v>0</v>
      </c>
      <c r="AW673" s="2" t="n">
        <v>0</v>
      </c>
      <c r="AX673" s="2" t="n">
        <v>0</v>
      </c>
      <c r="AY673" s="2" t="n">
        <v>0</v>
      </c>
      <c r="AZ673" s="2" t="n">
        <v>0</v>
      </c>
      <c r="BA673" s="2" t="n">
        <v>0</v>
      </c>
      <c r="BB673" s="2" t="n">
        <v>0</v>
      </c>
      <c r="BC673" s="2" t="n">
        <v>0</v>
      </c>
      <c r="BD673" s="2" t="n">
        <v>0</v>
      </c>
      <c r="BE673" s="2" t="n">
        <v>0</v>
      </c>
      <c r="BF673" s="2" t="n">
        <v>0</v>
      </c>
      <c r="BG673" s="2" t="n">
        <v>0</v>
      </c>
      <c r="BH673" s="2" t="n">
        <v>0</v>
      </c>
      <c r="BI673" s="2" t="n">
        <v>0</v>
      </c>
      <c r="BJ673" s="2" t="n">
        <v>0</v>
      </c>
      <c r="BK673" s="2" t="n">
        <v>0</v>
      </c>
      <c r="BL673" s="2" t="n">
        <v>0</v>
      </c>
      <c r="BM673" s="2" t="n">
        <v>0</v>
      </c>
      <c r="BN673" s="2" t="n">
        <v>0</v>
      </c>
      <c r="BO673" s="2" t="n">
        <v>0</v>
      </c>
      <c r="BP673" s="2" t="n">
        <v>0</v>
      </c>
      <c r="BQ673" s="2" t="n">
        <v>0</v>
      </c>
      <c r="BR673" s="2" t="n">
        <v>0</v>
      </c>
      <c r="BS673" s="2" t="n">
        <v>0</v>
      </c>
      <c r="BT673" s="2" t="n">
        <v>0</v>
      </c>
      <c r="BU673" s="2" t="n">
        <v>0</v>
      </c>
      <c r="BV673" s="2" t="n">
        <v>0</v>
      </c>
      <c r="BW673" s="2" t="n">
        <v>0</v>
      </c>
      <c r="BX673" s="2" t="n">
        <v>0</v>
      </c>
      <c r="BY673" s="2" t="n">
        <v>0</v>
      </c>
      <c r="BZ673" s="2" t="n">
        <v>0</v>
      </c>
      <c r="CA673" s="2" t="n">
        <v>0</v>
      </c>
      <c r="CB673" s="2" t="n">
        <v>0</v>
      </c>
      <c r="CC673" s="2" t="n">
        <v>0</v>
      </c>
      <c r="CD673" s="2" t="n">
        <v>0</v>
      </c>
      <c r="CE673" s="2" t="n">
        <v>0</v>
      </c>
      <c r="CF673" s="2" t="n">
        <v>0</v>
      </c>
      <c r="CG673" s="2" t="n">
        <v>0</v>
      </c>
      <c r="CH673" s="2" t="n">
        <v>0</v>
      </c>
      <c r="CI673" s="2" t="n">
        <v>0</v>
      </c>
      <c r="CJ673" s="2" t="n">
        <v>0</v>
      </c>
      <c r="CK673" s="2" t="n">
        <v>0</v>
      </c>
      <c r="CL673" s="2" t="n">
        <v>0</v>
      </c>
      <c r="CM673" s="2" t="n">
        <v>0</v>
      </c>
      <c r="CN673" s="2" t="n">
        <v>0</v>
      </c>
      <c r="CO673" s="2" t="n">
        <v>0</v>
      </c>
      <c r="CP673" s="2" t="n">
        <v>0</v>
      </c>
      <c r="CQ673" s="2" t="n">
        <v>0</v>
      </c>
      <c r="CR673" s="2" t="n">
        <v>0</v>
      </c>
      <c r="CS673" s="2" t="n">
        <v>0</v>
      </c>
      <c r="CT673" s="2" t="n">
        <v>0</v>
      </c>
      <c r="CU673" s="2" t="n">
        <v>0</v>
      </c>
      <c r="CV673" s="2" t="n">
        <v>0</v>
      </c>
      <c r="CW673" s="2" t="n">
        <v>0</v>
      </c>
      <c r="CX673" s="2" t="n">
        <v>0</v>
      </c>
      <c r="CY673" s="2" t="n">
        <v>0</v>
      </c>
      <c r="CZ673" s="2" t="n">
        <v>0</v>
      </c>
      <c r="DA673" s="2" t="n">
        <v>1.78</v>
      </c>
      <c r="DB673" s="2" t="n">
        <v>4</v>
      </c>
      <c r="DC673" s="2" t="n">
        <v>0</v>
      </c>
      <c r="DD673" s="2" t="n">
        <v>12</v>
      </c>
      <c r="DE673" s="2" t="n">
        <v>14.22</v>
      </c>
      <c r="DF673" s="2" t="n">
        <v>0</v>
      </c>
      <c r="DG673" s="2" t="n">
        <v>20</v>
      </c>
      <c r="DH673" s="2" t="n">
        <v>22.22</v>
      </c>
      <c r="DI673" s="2" t="n">
        <v>0</v>
      </c>
      <c r="DJ673" s="2" t="n">
        <v>29.78</v>
      </c>
      <c r="DK673" s="2" t="n">
        <v>32</v>
      </c>
      <c r="DL673" s="2" t="n">
        <v>0</v>
      </c>
      <c r="DM673" s="2" t="n">
        <v>39.11</v>
      </c>
      <c r="DN673" s="2" t="n">
        <v>41.33</v>
      </c>
      <c r="DO673" s="2" t="n">
        <v>0</v>
      </c>
      <c r="DP673" s="2" t="n">
        <v>48.44</v>
      </c>
      <c r="DQ673" s="2" t="n">
        <v>50.67</v>
      </c>
      <c r="DR673" s="2" t="n">
        <v>0</v>
      </c>
      <c r="DS673" s="2" t="n">
        <v>58.22</v>
      </c>
      <c r="DT673" s="2" t="n">
        <v>60.44</v>
      </c>
      <c r="DU673" s="2" t="n">
        <v>0</v>
      </c>
      <c r="DV673" s="2" t="n">
        <v>67.11</v>
      </c>
      <c r="DW673" s="2" t="n">
        <v>69.33</v>
      </c>
      <c r="DX673" s="2" t="n">
        <v>0</v>
      </c>
      <c r="DY673" s="2" t="n">
        <v>76.44</v>
      </c>
      <c r="DZ673" s="2" t="n">
        <v>78.67</v>
      </c>
      <c r="EA673" s="2" t="n">
        <v>0</v>
      </c>
      <c r="EB673" s="2" t="n">
        <v>84.89</v>
      </c>
      <c r="EC673" s="2" t="n">
        <v>87.11</v>
      </c>
      <c r="ED673" s="2" t="n">
        <v>0</v>
      </c>
      <c r="EE673" s="2" t="n">
        <v>91.56</v>
      </c>
      <c r="EF673" s="2" t="n">
        <v>93.40000000000001</v>
      </c>
      <c r="EG673" s="2" t="n">
        <v>0</v>
      </c>
      <c r="EH673" s="2" t="n">
        <v>100</v>
      </c>
      <c r="EI673" s="2" t="n">
        <v>100</v>
      </c>
      <c r="EJ673" s="2" t="n">
        <v>0</v>
      </c>
      <c r="EK673" s="2" t="n">
        <v>100</v>
      </c>
      <c r="EL673" s="2" t="n">
        <v>100</v>
      </c>
      <c r="EM673" s="2" t="n">
        <v>0</v>
      </c>
      <c r="EN673" s="2" t="n">
        <v>100</v>
      </c>
      <c r="EO673" s="2" t="n">
        <v>100</v>
      </c>
      <c r="EP673" s="2" t="n">
        <v>0</v>
      </c>
      <c r="EQ673" s="2" t="n">
        <v>100</v>
      </c>
      <c r="ER673" s="2" t="n">
        <v>100</v>
      </c>
      <c r="ES673" s="2" t="n">
        <v>0</v>
      </c>
    </row>
    <row r="674">
      <c r="A674" s="2" t="n">
        <v>4</v>
      </c>
      <c r="B674" s="2" t="inlineStr">
        <is>
          <t>30.02.04.01</t>
        </is>
      </c>
      <c r="C674" s="2" t="inlineStr">
        <is>
          <t>Rodapé em madeira reflorestada, cor branca, h=12cm. Ref.: Durafloor Easy Y-01 120.</t>
        </is>
      </c>
      <c r="D674" s="2" t="inlineStr">
        <is>
          <t>17/02/2028</t>
        </is>
      </c>
      <c r="E674" s="2" t="inlineStr">
        <is>
          <t>23/01/2029</t>
        </is>
      </c>
      <c r="F674" s="2" t="n">
        <v>478243.3623</v>
      </c>
      <c r="G674" s="2" t="n">
        <v>0</v>
      </c>
      <c r="H674" s="2" t="n">
        <v>478243.3623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0</v>
      </c>
      <c r="AM674" s="2" t="n">
        <v>0</v>
      </c>
      <c r="AN674" s="2" t="n">
        <v>0</v>
      </c>
      <c r="AO674" s="2" t="n">
        <v>0</v>
      </c>
      <c r="AP674" s="2" t="n">
        <v>0</v>
      </c>
      <c r="AQ674" s="2" t="n">
        <v>0</v>
      </c>
      <c r="AR674" s="2" t="n">
        <v>0</v>
      </c>
      <c r="AS674" s="2" t="n">
        <v>0</v>
      </c>
      <c r="AT674" s="2" t="n">
        <v>0</v>
      </c>
      <c r="AU674" s="2" t="n">
        <v>0</v>
      </c>
      <c r="AV674" s="2" t="n">
        <v>0</v>
      </c>
      <c r="AW674" s="2" t="n">
        <v>0</v>
      </c>
      <c r="AX674" s="2" t="n">
        <v>0</v>
      </c>
      <c r="AY674" s="2" t="n">
        <v>0</v>
      </c>
      <c r="AZ674" s="2" t="n">
        <v>0</v>
      </c>
      <c r="BA674" s="2" t="n">
        <v>0</v>
      </c>
      <c r="BB674" s="2" t="n">
        <v>0</v>
      </c>
      <c r="BC674" s="2" t="n">
        <v>0</v>
      </c>
      <c r="BD674" s="2" t="n">
        <v>0</v>
      </c>
      <c r="BE674" s="2" t="n">
        <v>0</v>
      </c>
      <c r="BF674" s="2" t="n">
        <v>0</v>
      </c>
      <c r="BG674" s="2" t="n">
        <v>0</v>
      </c>
      <c r="BH674" s="2" t="n">
        <v>0</v>
      </c>
      <c r="BI674" s="2" t="n">
        <v>0</v>
      </c>
      <c r="BJ674" s="2" t="n">
        <v>0</v>
      </c>
      <c r="BK674" s="2" t="n">
        <v>0</v>
      </c>
      <c r="BL674" s="2" t="n">
        <v>0</v>
      </c>
      <c r="BM674" s="2" t="n">
        <v>0</v>
      </c>
      <c r="BN674" s="2" t="n">
        <v>0</v>
      </c>
      <c r="BO674" s="2" t="n">
        <v>0</v>
      </c>
      <c r="BP674" s="2" t="n">
        <v>0</v>
      </c>
      <c r="BQ674" s="2" t="n">
        <v>0</v>
      </c>
      <c r="BR674" s="2" t="n">
        <v>0</v>
      </c>
      <c r="BS674" s="2" t="n">
        <v>0</v>
      </c>
      <c r="BT674" s="2" t="n">
        <v>0</v>
      </c>
      <c r="BU674" s="2" t="n">
        <v>0</v>
      </c>
      <c r="BV674" s="2" t="n">
        <v>0</v>
      </c>
      <c r="BW674" s="2" t="n">
        <v>0</v>
      </c>
      <c r="BX674" s="2" t="n">
        <v>0</v>
      </c>
      <c r="BY674" s="2" t="n">
        <v>0</v>
      </c>
      <c r="BZ674" s="2" t="n">
        <v>0</v>
      </c>
      <c r="CA674" s="2" t="n">
        <v>0</v>
      </c>
      <c r="CB674" s="2" t="n">
        <v>0</v>
      </c>
      <c r="CC674" s="2" t="n">
        <v>0</v>
      </c>
      <c r="CD674" s="2" t="n">
        <v>0</v>
      </c>
      <c r="CE674" s="2" t="n">
        <v>0</v>
      </c>
      <c r="CF674" s="2" t="n">
        <v>0</v>
      </c>
      <c r="CG674" s="2" t="n">
        <v>0</v>
      </c>
      <c r="CH674" s="2" t="n">
        <v>0</v>
      </c>
      <c r="CI674" s="2" t="n">
        <v>0</v>
      </c>
      <c r="CJ674" s="2" t="n">
        <v>0</v>
      </c>
      <c r="CK674" s="2" t="n">
        <v>0</v>
      </c>
      <c r="CL674" s="2" t="n">
        <v>0</v>
      </c>
      <c r="CM674" s="2" t="n">
        <v>0</v>
      </c>
      <c r="CN674" s="2" t="n">
        <v>0</v>
      </c>
      <c r="CO674" s="2" t="n">
        <v>0</v>
      </c>
      <c r="CP674" s="2" t="n">
        <v>0</v>
      </c>
      <c r="CQ674" s="2" t="n">
        <v>0</v>
      </c>
      <c r="CR674" s="2" t="n">
        <v>0</v>
      </c>
      <c r="CS674" s="2" t="n">
        <v>0</v>
      </c>
      <c r="CT674" s="2" t="n">
        <v>0</v>
      </c>
      <c r="CU674" s="2" t="n">
        <v>0</v>
      </c>
      <c r="CV674" s="2" t="n">
        <v>0</v>
      </c>
      <c r="CW674" s="2" t="n">
        <v>0</v>
      </c>
      <c r="CX674" s="2" t="n">
        <v>0</v>
      </c>
      <c r="CY674" s="2" t="n">
        <v>0</v>
      </c>
      <c r="CZ674" s="2" t="n">
        <v>0</v>
      </c>
      <c r="DA674" s="2" t="n">
        <v>1.78</v>
      </c>
      <c r="DB674" s="2" t="n">
        <v>4</v>
      </c>
      <c r="DC674" s="2" t="n">
        <v>0</v>
      </c>
      <c r="DD674" s="2" t="n">
        <v>12</v>
      </c>
      <c r="DE674" s="2" t="n">
        <v>14.22</v>
      </c>
      <c r="DF674" s="2" t="n">
        <v>0</v>
      </c>
      <c r="DG674" s="2" t="n">
        <v>20</v>
      </c>
      <c r="DH674" s="2" t="n">
        <v>22.22</v>
      </c>
      <c r="DI674" s="2" t="n">
        <v>0</v>
      </c>
      <c r="DJ674" s="2" t="n">
        <v>29.78</v>
      </c>
      <c r="DK674" s="2" t="n">
        <v>32</v>
      </c>
      <c r="DL674" s="2" t="n">
        <v>0</v>
      </c>
      <c r="DM674" s="2" t="n">
        <v>39.11</v>
      </c>
      <c r="DN674" s="2" t="n">
        <v>41.33</v>
      </c>
      <c r="DO674" s="2" t="n">
        <v>0</v>
      </c>
      <c r="DP674" s="2" t="n">
        <v>48.44</v>
      </c>
      <c r="DQ674" s="2" t="n">
        <v>50.67</v>
      </c>
      <c r="DR674" s="2" t="n">
        <v>0</v>
      </c>
      <c r="DS674" s="2" t="n">
        <v>58.22</v>
      </c>
      <c r="DT674" s="2" t="n">
        <v>60.44</v>
      </c>
      <c r="DU674" s="2" t="n">
        <v>0</v>
      </c>
      <c r="DV674" s="2" t="n">
        <v>67.11</v>
      </c>
      <c r="DW674" s="2" t="n">
        <v>69.33</v>
      </c>
      <c r="DX674" s="2" t="n">
        <v>0</v>
      </c>
      <c r="DY674" s="2" t="n">
        <v>76.44</v>
      </c>
      <c r="DZ674" s="2" t="n">
        <v>78.67</v>
      </c>
      <c r="EA674" s="2" t="n">
        <v>0</v>
      </c>
      <c r="EB674" s="2" t="n">
        <v>84.89</v>
      </c>
      <c r="EC674" s="2" t="n">
        <v>87.11</v>
      </c>
      <c r="ED674" s="2" t="n">
        <v>0</v>
      </c>
      <c r="EE674" s="2" t="n">
        <v>91.56</v>
      </c>
      <c r="EF674" s="2" t="n">
        <v>93.40000000000001</v>
      </c>
      <c r="EG674" s="2" t="n">
        <v>0</v>
      </c>
      <c r="EH674" s="2" t="n">
        <v>100</v>
      </c>
      <c r="EI674" s="2" t="n">
        <v>100</v>
      </c>
      <c r="EJ674" s="2" t="n">
        <v>0</v>
      </c>
      <c r="EK674" s="2" t="n">
        <v>100</v>
      </c>
      <c r="EL674" s="2" t="n">
        <v>100</v>
      </c>
      <c r="EM674" s="2" t="n">
        <v>0</v>
      </c>
      <c r="EN674" s="2" t="n">
        <v>100</v>
      </c>
      <c r="EO674" s="2" t="n">
        <v>100</v>
      </c>
      <c r="EP674" s="2" t="n">
        <v>0</v>
      </c>
      <c r="EQ674" s="2" t="n">
        <v>100</v>
      </c>
      <c r="ER674" s="2" t="n">
        <v>100</v>
      </c>
      <c r="ES674" s="2" t="n">
        <v>0</v>
      </c>
    </row>
    <row r="675">
      <c r="A675" s="2" t="n">
        <v>4</v>
      </c>
      <c r="B675" s="2" t="inlineStr">
        <is>
          <t>30.02.04.02</t>
        </is>
      </c>
      <c r="C675" s="2" t="inlineStr">
        <is>
          <t>Rodapé de poliestireno, ref.: Santa Luzia 480 com 150mm de altura, pintado na cor da parede</t>
        </is>
      </c>
      <c r="D675" s="2" t="inlineStr">
        <is>
          <t>17/02/2028</t>
        </is>
      </c>
      <c r="E675" s="2" t="inlineStr">
        <is>
          <t>23/01/2029</t>
        </is>
      </c>
      <c r="F675" s="2" t="n">
        <v>1169.2797</v>
      </c>
      <c r="G675" s="2" t="n">
        <v>0</v>
      </c>
      <c r="H675" s="2" t="n">
        <v>1169.2797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0</v>
      </c>
      <c r="AM675" s="2" t="n">
        <v>0</v>
      </c>
      <c r="AN675" s="2" t="n">
        <v>0</v>
      </c>
      <c r="AO675" s="2" t="n">
        <v>0</v>
      </c>
      <c r="AP675" s="2" t="n">
        <v>0</v>
      </c>
      <c r="AQ675" s="2" t="n">
        <v>0</v>
      </c>
      <c r="AR675" s="2" t="n">
        <v>0</v>
      </c>
      <c r="AS675" s="2" t="n">
        <v>0</v>
      </c>
      <c r="AT675" s="2" t="n">
        <v>0</v>
      </c>
      <c r="AU675" s="2" t="n">
        <v>0</v>
      </c>
      <c r="AV675" s="2" t="n">
        <v>0</v>
      </c>
      <c r="AW675" s="2" t="n">
        <v>0</v>
      </c>
      <c r="AX675" s="2" t="n">
        <v>0</v>
      </c>
      <c r="AY675" s="2" t="n">
        <v>0</v>
      </c>
      <c r="AZ675" s="2" t="n">
        <v>0</v>
      </c>
      <c r="BA675" s="2" t="n">
        <v>0</v>
      </c>
      <c r="BB675" s="2" t="n">
        <v>0</v>
      </c>
      <c r="BC675" s="2" t="n">
        <v>0</v>
      </c>
      <c r="BD675" s="2" t="n">
        <v>0</v>
      </c>
      <c r="BE675" s="2" t="n">
        <v>0</v>
      </c>
      <c r="BF675" s="2" t="n">
        <v>0</v>
      </c>
      <c r="BG675" s="2" t="n">
        <v>0</v>
      </c>
      <c r="BH675" s="2" t="n">
        <v>0</v>
      </c>
      <c r="BI675" s="2" t="n">
        <v>0</v>
      </c>
      <c r="BJ675" s="2" t="n">
        <v>0</v>
      </c>
      <c r="BK675" s="2" t="n">
        <v>0</v>
      </c>
      <c r="BL675" s="2" t="n">
        <v>0</v>
      </c>
      <c r="BM675" s="2" t="n">
        <v>0</v>
      </c>
      <c r="BN675" s="2" t="n">
        <v>0</v>
      </c>
      <c r="BO675" s="2" t="n">
        <v>0</v>
      </c>
      <c r="BP675" s="2" t="n">
        <v>0</v>
      </c>
      <c r="BQ675" s="2" t="n">
        <v>0</v>
      </c>
      <c r="BR675" s="2" t="n">
        <v>0</v>
      </c>
      <c r="BS675" s="2" t="n">
        <v>0</v>
      </c>
      <c r="BT675" s="2" t="n">
        <v>0</v>
      </c>
      <c r="BU675" s="2" t="n">
        <v>0</v>
      </c>
      <c r="BV675" s="2" t="n">
        <v>0</v>
      </c>
      <c r="BW675" s="2" t="n">
        <v>0</v>
      </c>
      <c r="BX675" s="2" t="n">
        <v>0</v>
      </c>
      <c r="BY675" s="2" t="n">
        <v>0</v>
      </c>
      <c r="BZ675" s="2" t="n">
        <v>0</v>
      </c>
      <c r="CA675" s="2" t="n">
        <v>0</v>
      </c>
      <c r="CB675" s="2" t="n">
        <v>0</v>
      </c>
      <c r="CC675" s="2" t="n">
        <v>0</v>
      </c>
      <c r="CD675" s="2" t="n">
        <v>0</v>
      </c>
      <c r="CE675" s="2" t="n">
        <v>0</v>
      </c>
      <c r="CF675" s="2" t="n">
        <v>0</v>
      </c>
      <c r="CG675" s="2" t="n">
        <v>0</v>
      </c>
      <c r="CH675" s="2" t="n">
        <v>0</v>
      </c>
      <c r="CI675" s="2" t="n">
        <v>0</v>
      </c>
      <c r="CJ675" s="2" t="n">
        <v>0</v>
      </c>
      <c r="CK675" s="2" t="n">
        <v>0</v>
      </c>
      <c r="CL675" s="2" t="n">
        <v>0</v>
      </c>
      <c r="CM675" s="2" t="n">
        <v>0</v>
      </c>
      <c r="CN675" s="2" t="n">
        <v>0</v>
      </c>
      <c r="CO675" s="2" t="n">
        <v>0</v>
      </c>
      <c r="CP675" s="2" t="n">
        <v>0</v>
      </c>
      <c r="CQ675" s="2" t="n">
        <v>0</v>
      </c>
      <c r="CR675" s="2" t="n">
        <v>0</v>
      </c>
      <c r="CS675" s="2" t="n">
        <v>0</v>
      </c>
      <c r="CT675" s="2" t="n">
        <v>0</v>
      </c>
      <c r="CU675" s="2" t="n">
        <v>0</v>
      </c>
      <c r="CV675" s="2" t="n">
        <v>0</v>
      </c>
      <c r="CW675" s="2" t="n">
        <v>0</v>
      </c>
      <c r="CX675" s="2" t="n">
        <v>0</v>
      </c>
      <c r="CY675" s="2" t="n">
        <v>0</v>
      </c>
      <c r="CZ675" s="2" t="n">
        <v>0</v>
      </c>
      <c r="DA675" s="2" t="n">
        <v>1.78</v>
      </c>
      <c r="DB675" s="2" t="n">
        <v>4</v>
      </c>
      <c r="DC675" s="2" t="n">
        <v>0</v>
      </c>
      <c r="DD675" s="2" t="n">
        <v>12</v>
      </c>
      <c r="DE675" s="2" t="n">
        <v>14.22</v>
      </c>
      <c r="DF675" s="2" t="n">
        <v>0</v>
      </c>
      <c r="DG675" s="2" t="n">
        <v>20</v>
      </c>
      <c r="DH675" s="2" t="n">
        <v>22.22</v>
      </c>
      <c r="DI675" s="2" t="n">
        <v>0</v>
      </c>
      <c r="DJ675" s="2" t="n">
        <v>29.78</v>
      </c>
      <c r="DK675" s="2" t="n">
        <v>32</v>
      </c>
      <c r="DL675" s="2" t="n">
        <v>0</v>
      </c>
      <c r="DM675" s="2" t="n">
        <v>39.11</v>
      </c>
      <c r="DN675" s="2" t="n">
        <v>41.33</v>
      </c>
      <c r="DO675" s="2" t="n">
        <v>0</v>
      </c>
      <c r="DP675" s="2" t="n">
        <v>48.44</v>
      </c>
      <c r="DQ675" s="2" t="n">
        <v>50.67</v>
      </c>
      <c r="DR675" s="2" t="n">
        <v>0</v>
      </c>
      <c r="DS675" s="2" t="n">
        <v>58.22</v>
      </c>
      <c r="DT675" s="2" t="n">
        <v>60.44</v>
      </c>
      <c r="DU675" s="2" t="n">
        <v>0</v>
      </c>
      <c r="DV675" s="2" t="n">
        <v>67.11</v>
      </c>
      <c r="DW675" s="2" t="n">
        <v>69.33</v>
      </c>
      <c r="DX675" s="2" t="n">
        <v>0</v>
      </c>
      <c r="DY675" s="2" t="n">
        <v>76.44</v>
      </c>
      <c r="DZ675" s="2" t="n">
        <v>78.67</v>
      </c>
      <c r="EA675" s="2" t="n">
        <v>0</v>
      </c>
      <c r="EB675" s="2" t="n">
        <v>84.89</v>
      </c>
      <c r="EC675" s="2" t="n">
        <v>87.11</v>
      </c>
      <c r="ED675" s="2" t="n">
        <v>0</v>
      </c>
      <c r="EE675" s="2" t="n">
        <v>91.56</v>
      </c>
      <c r="EF675" s="2" t="n">
        <v>93.40000000000001</v>
      </c>
      <c r="EG675" s="2" t="n">
        <v>0</v>
      </c>
      <c r="EH675" s="2" t="n">
        <v>100</v>
      </c>
      <c r="EI675" s="2" t="n">
        <v>100</v>
      </c>
      <c r="EJ675" s="2" t="n">
        <v>0</v>
      </c>
      <c r="EK675" s="2" t="n">
        <v>100</v>
      </c>
      <c r="EL675" s="2" t="n">
        <v>100</v>
      </c>
      <c r="EM675" s="2" t="n">
        <v>0</v>
      </c>
      <c r="EN675" s="2" t="n">
        <v>100</v>
      </c>
      <c r="EO675" s="2" t="n">
        <v>100</v>
      </c>
      <c r="EP675" s="2" t="n">
        <v>0</v>
      </c>
      <c r="EQ675" s="2" t="n">
        <v>100</v>
      </c>
      <c r="ER675" s="2" t="n">
        <v>100</v>
      </c>
      <c r="ES675" s="2" t="n">
        <v>0</v>
      </c>
    </row>
    <row r="676">
      <c r="A676" s="2" t="n">
        <v>4</v>
      </c>
      <c r="B676" s="2" t="inlineStr">
        <is>
          <t>30.02.04.03</t>
        </is>
      </c>
      <c r="C676" s="2" t="inlineStr">
        <is>
          <t>Perfil metálico "L" de transição entre pisos (Vinílico e porcelanato)</t>
        </is>
      </c>
      <c r="D676" s="2" t="inlineStr">
        <is>
          <t>17/02/2028</t>
        </is>
      </c>
      <c r="E676" s="2" t="inlineStr">
        <is>
          <t>23/01/2029</t>
        </is>
      </c>
      <c r="F676" s="2" t="n">
        <v>46083.82037103094</v>
      </c>
      <c r="G676" s="2" t="n">
        <v>0</v>
      </c>
      <c r="H676" s="2" t="n">
        <v>46083.82037103094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  <c r="AM676" s="2" t="n">
        <v>0</v>
      </c>
      <c r="AN676" s="2" t="n">
        <v>0</v>
      </c>
      <c r="AO676" s="2" t="n">
        <v>0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n">
        <v>0</v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n">
        <v>0</v>
      </c>
      <c r="BE676" s="2" t="n">
        <v>0</v>
      </c>
      <c r="BF676" s="2" t="n">
        <v>0</v>
      </c>
      <c r="BG676" s="2" t="n">
        <v>0</v>
      </c>
      <c r="BH676" s="2" t="n">
        <v>0</v>
      </c>
      <c r="BI676" s="2" t="n">
        <v>0</v>
      </c>
      <c r="BJ676" s="2" t="n">
        <v>0</v>
      </c>
      <c r="BK676" s="2" t="n">
        <v>0</v>
      </c>
      <c r="BL676" s="2" t="n">
        <v>0</v>
      </c>
      <c r="BM676" s="2" t="n">
        <v>0</v>
      </c>
      <c r="BN676" s="2" t="n">
        <v>0</v>
      </c>
      <c r="BO676" s="2" t="n">
        <v>0</v>
      </c>
      <c r="BP676" s="2" t="n">
        <v>0</v>
      </c>
      <c r="BQ676" s="2" t="n">
        <v>0</v>
      </c>
      <c r="BR676" s="2" t="n">
        <v>0</v>
      </c>
      <c r="BS676" s="2" t="n">
        <v>0</v>
      </c>
      <c r="BT676" s="2" t="n">
        <v>0</v>
      </c>
      <c r="BU676" s="2" t="n">
        <v>0</v>
      </c>
      <c r="BV676" s="2" t="n">
        <v>0</v>
      </c>
      <c r="BW676" s="2" t="n">
        <v>0</v>
      </c>
      <c r="BX676" s="2" t="n">
        <v>0</v>
      </c>
      <c r="BY676" s="2" t="n">
        <v>0</v>
      </c>
      <c r="BZ676" s="2" t="n">
        <v>0</v>
      </c>
      <c r="CA676" s="2" t="n">
        <v>0</v>
      </c>
      <c r="CB676" s="2" t="n">
        <v>0</v>
      </c>
      <c r="CC676" s="2" t="n">
        <v>0</v>
      </c>
      <c r="CD676" s="2" t="n">
        <v>0</v>
      </c>
      <c r="CE676" s="2" t="n">
        <v>0</v>
      </c>
      <c r="CF676" s="2" t="n">
        <v>0</v>
      </c>
      <c r="CG676" s="2" t="n">
        <v>0</v>
      </c>
      <c r="CH676" s="2" t="n">
        <v>0</v>
      </c>
      <c r="CI676" s="2" t="n">
        <v>0</v>
      </c>
      <c r="CJ676" s="2" t="n">
        <v>0</v>
      </c>
      <c r="CK676" s="2" t="n">
        <v>0</v>
      </c>
      <c r="CL676" s="2" t="n">
        <v>0</v>
      </c>
      <c r="CM676" s="2" t="n">
        <v>0</v>
      </c>
      <c r="CN676" s="2" t="n">
        <v>0</v>
      </c>
      <c r="CO676" s="2" t="n">
        <v>0</v>
      </c>
      <c r="CP676" s="2" t="n">
        <v>0</v>
      </c>
      <c r="CQ676" s="2" t="n">
        <v>0</v>
      </c>
      <c r="CR676" s="2" t="n">
        <v>0</v>
      </c>
      <c r="CS676" s="2" t="n">
        <v>0</v>
      </c>
      <c r="CT676" s="2" t="n">
        <v>0</v>
      </c>
      <c r="CU676" s="2" t="n">
        <v>0</v>
      </c>
      <c r="CV676" s="2" t="n">
        <v>0</v>
      </c>
      <c r="CW676" s="2" t="n">
        <v>0</v>
      </c>
      <c r="CX676" s="2" t="n">
        <v>0</v>
      </c>
      <c r="CY676" s="2" t="n">
        <v>0</v>
      </c>
      <c r="CZ676" s="2" t="n">
        <v>0</v>
      </c>
      <c r="DA676" s="2" t="n">
        <v>1.78</v>
      </c>
      <c r="DB676" s="2" t="n">
        <v>4</v>
      </c>
      <c r="DC676" s="2" t="n">
        <v>0</v>
      </c>
      <c r="DD676" s="2" t="n">
        <v>12</v>
      </c>
      <c r="DE676" s="2" t="n">
        <v>14.22</v>
      </c>
      <c r="DF676" s="2" t="n">
        <v>0</v>
      </c>
      <c r="DG676" s="2" t="n">
        <v>20</v>
      </c>
      <c r="DH676" s="2" t="n">
        <v>22.22</v>
      </c>
      <c r="DI676" s="2" t="n">
        <v>0</v>
      </c>
      <c r="DJ676" s="2" t="n">
        <v>29.78</v>
      </c>
      <c r="DK676" s="2" t="n">
        <v>32</v>
      </c>
      <c r="DL676" s="2" t="n">
        <v>0</v>
      </c>
      <c r="DM676" s="2" t="n">
        <v>39.11</v>
      </c>
      <c r="DN676" s="2" t="n">
        <v>41.33</v>
      </c>
      <c r="DO676" s="2" t="n">
        <v>0</v>
      </c>
      <c r="DP676" s="2" t="n">
        <v>48.44</v>
      </c>
      <c r="DQ676" s="2" t="n">
        <v>50.67</v>
      </c>
      <c r="DR676" s="2" t="n">
        <v>0</v>
      </c>
      <c r="DS676" s="2" t="n">
        <v>58.22</v>
      </c>
      <c r="DT676" s="2" t="n">
        <v>60.44</v>
      </c>
      <c r="DU676" s="2" t="n">
        <v>0</v>
      </c>
      <c r="DV676" s="2" t="n">
        <v>67.11</v>
      </c>
      <c r="DW676" s="2" t="n">
        <v>69.33</v>
      </c>
      <c r="DX676" s="2" t="n">
        <v>0</v>
      </c>
      <c r="DY676" s="2" t="n">
        <v>76.44</v>
      </c>
      <c r="DZ676" s="2" t="n">
        <v>78.67</v>
      </c>
      <c r="EA676" s="2" t="n">
        <v>0</v>
      </c>
      <c r="EB676" s="2" t="n">
        <v>84.89</v>
      </c>
      <c r="EC676" s="2" t="n">
        <v>87.11</v>
      </c>
      <c r="ED676" s="2" t="n">
        <v>0</v>
      </c>
      <c r="EE676" s="2" t="n">
        <v>91.56</v>
      </c>
      <c r="EF676" s="2" t="n">
        <v>93.40000000000001</v>
      </c>
      <c r="EG676" s="2" t="n">
        <v>0</v>
      </c>
      <c r="EH676" s="2" t="n">
        <v>100</v>
      </c>
      <c r="EI676" s="2" t="n">
        <v>100</v>
      </c>
      <c r="EJ676" s="2" t="n">
        <v>0</v>
      </c>
      <c r="EK676" s="2" t="n">
        <v>100</v>
      </c>
      <c r="EL676" s="2" t="n">
        <v>100</v>
      </c>
      <c r="EM676" s="2" t="n">
        <v>0</v>
      </c>
      <c r="EN676" s="2" t="n">
        <v>100</v>
      </c>
      <c r="EO676" s="2" t="n">
        <v>100</v>
      </c>
      <c r="EP676" s="2" t="n">
        <v>0</v>
      </c>
      <c r="EQ676" s="2" t="n">
        <v>100</v>
      </c>
      <c r="ER676" s="2" t="n">
        <v>100</v>
      </c>
      <c r="ES676" s="2" t="n">
        <v>0</v>
      </c>
    </row>
    <row r="677">
      <c r="A677" s="2" t="n">
        <v>2</v>
      </c>
      <c r="B677" s="2" t="inlineStr">
        <is>
          <t>30.03</t>
        </is>
      </c>
      <c r="C677" s="2" t="inlineStr">
        <is>
          <t>Pisos externos</t>
        </is>
      </c>
      <c r="D677" s="2" t="inlineStr">
        <is>
          <t>31/05/2028</t>
        </is>
      </c>
      <c r="E677" s="2" t="inlineStr">
        <is>
          <t>15/02/2029</t>
        </is>
      </c>
      <c r="F677" s="2" t="n">
        <v>1092727.246805057</v>
      </c>
      <c r="G677" s="2" t="n">
        <v>0</v>
      </c>
      <c r="H677" s="2" t="n">
        <v>1092727.246805057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0</v>
      </c>
      <c r="AM677" s="2" t="n">
        <v>0</v>
      </c>
      <c r="AN677" s="2" t="n">
        <v>0</v>
      </c>
      <c r="AO677" s="2" t="n">
        <v>0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 t="n">
        <v>0</v>
      </c>
      <c r="AX677" s="2" t="n">
        <v>0</v>
      </c>
      <c r="AY677" s="2" t="n">
        <v>0</v>
      </c>
      <c r="AZ677" s="2" t="n">
        <v>0</v>
      </c>
      <c r="BA677" s="2" t="n">
        <v>0</v>
      </c>
      <c r="BB677" s="2" t="n">
        <v>0</v>
      </c>
      <c r="BC677" s="2" t="n">
        <v>0</v>
      </c>
      <c r="BD677" s="2" t="n">
        <v>0</v>
      </c>
      <c r="BE677" s="2" t="n">
        <v>0</v>
      </c>
      <c r="BF677" s="2" t="n">
        <v>0</v>
      </c>
      <c r="BG677" s="2" t="n">
        <v>0</v>
      </c>
      <c r="BH677" s="2" t="n">
        <v>0</v>
      </c>
      <c r="BI677" s="2" t="n">
        <v>0</v>
      </c>
      <c r="BJ677" s="2" t="n">
        <v>0</v>
      </c>
      <c r="BK677" s="2" t="n">
        <v>0</v>
      </c>
      <c r="BL677" s="2" t="n">
        <v>0</v>
      </c>
      <c r="BM677" s="2" t="n">
        <v>0</v>
      </c>
      <c r="BN677" s="2" t="n">
        <v>0</v>
      </c>
      <c r="BO677" s="2" t="n">
        <v>0</v>
      </c>
      <c r="BP677" s="2" t="n">
        <v>0</v>
      </c>
      <c r="BQ677" s="2" t="n">
        <v>0</v>
      </c>
      <c r="BR677" s="2" t="n">
        <v>0</v>
      </c>
      <c r="BS677" s="2" t="n">
        <v>0</v>
      </c>
      <c r="BT677" s="2" t="n">
        <v>0</v>
      </c>
      <c r="BU677" s="2" t="n">
        <v>0</v>
      </c>
      <c r="BV677" s="2" t="n">
        <v>0</v>
      </c>
      <c r="BW677" s="2" t="n">
        <v>0</v>
      </c>
      <c r="BX677" s="2" t="n">
        <v>0</v>
      </c>
      <c r="BY677" s="2" t="n">
        <v>0</v>
      </c>
      <c r="BZ677" s="2" t="n">
        <v>0</v>
      </c>
      <c r="CA677" s="2" t="n">
        <v>0</v>
      </c>
      <c r="CB677" s="2" t="n">
        <v>0</v>
      </c>
      <c r="CC677" s="2" t="n">
        <v>0</v>
      </c>
      <c r="CD677" s="2" t="n">
        <v>0</v>
      </c>
      <c r="CE677" s="2" t="n">
        <v>0</v>
      </c>
      <c r="CF677" s="2" t="n">
        <v>0</v>
      </c>
      <c r="CG677" s="2" t="n">
        <v>0</v>
      </c>
      <c r="CH677" s="2" t="n">
        <v>0</v>
      </c>
      <c r="CI677" s="2" t="n">
        <v>0</v>
      </c>
      <c r="CJ677" s="2" t="n">
        <v>0</v>
      </c>
      <c r="CK677" s="2" t="n">
        <v>0</v>
      </c>
      <c r="CL677" s="2" t="n">
        <v>0</v>
      </c>
      <c r="CM677" s="2" t="n">
        <v>0</v>
      </c>
      <c r="CN677" s="2" t="n">
        <v>0</v>
      </c>
      <c r="CO677" s="2" t="n">
        <v>0</v>
      </c>
      <c r="CP677" s="2" t="n">
        <v>0</v>
      </c>
      <c r="CQ677" s="2" t="n">
        <v>0</v>
      </c>
      <c r="CR677" s="2" t="n">
        <v>0</v>
      </c>
      <c r="CS677" s="2" t="n">
        <v>0</v>
      </c>
      <c r="CT677" s="2" t="n">
        <v>0</v>
      </c>
      <c r="CU677" s="2" t="n">
        <v>0</v>
      </c>
      <c r="CV677" s="2" t="n">
        <v>0</v>
      </c>
      <c r="CW677" s="2" t="n">
        <v>0</v>
      </c>
      <c r="CX677" s="2" t="n">
        <v>0</v>
      </c>
      <c r="CY677" s="2" t="n">
        <v>0</v>
      </c>
      <c r="CZ677" s="2" t="n">
        <v>0</v>
      </c>
      <c r="DA677" s="2" t="n">
        <v>0</v>
      </c>
      <c r="DB677" s="2" t="n">
        <v>0</v>
      </c>
      <c r="DC677" s="2" t="n">
        <v>0</v>
      </c>
      <c r="DD677" s="2" t="n">
        <v>0</v>
      </c>
      <c r="DE677" s="2" t="n">
        <v>0</v>
      </c>
      <c r="DF677" s="2" t="n">
        <v>0</v>
      </c>
      <c r="DG677" s="2" t="n">
        <v>0</v>
      </c>
      <c r="DH677" s="2" t="n">
        <v>0</v>
      </c>
      <c r="DI677" s="2" t="n">
        <v>0</v>
      </c>
      <c r="DJ677" s="2" t="n">
        <v>0</v>
      </c>
      <c r="DK677" s="2" t="n">
        <v>0.14</v>
      </c>
      <c r="DL677" s="2" t="n">
        <v>0</v>
      </c>
      <c r="DM677" s="2" t="n">
        <v>2.88</v>
      </c>
      <c r="DN677" s="2" t="n">
        <v>3.01</v>
      </c>
      <c r="DO677" s="2" t="n">
        <v>0</v>
      </c>
      <c r="DP677" s="2" t="n">
        <v>5.75</v>
      </c>
      <c r="DQ677" s="2" t="n">
        <v>5.89</v>
      </c>
      <c r="DR677" s="2" t="n">
        <v>0</v>
      </c>
      <c r="DS677" s="2" t="n">
        <v>13.19</v>
      </c>
      <c r="DT677" s="2" t="n">
        <v>13.98</v>
      </c>
      <c r="DU677" s="2" t="n">
        <v>0</v>
      </c>
      <c r="DV677" s="2" t="n">
        <v>29.1</v>
      </c>
      <c r="DW677" s="2" t="n">
        <v>29.9</v>
      </c>
      <c r="DX677" s="2" t="n">
        <v>0</v>
      </c>
      <c r="DY677" s="2" t="n">
        <v>41.04</v>
      </c>
      <c r="DZ677" s="2" t="n">
        <v>43.22</v>
      </c>
      <c r="EA677" s="2" t="n">
        <v>0</v>
      </c>
      <c r="EB677" s="2" t="n">
        <v>42.49</v>
      </c>
      <c r="EC677" s="2" t="n">
        <v>57</v>
      </c>
      <c r="ED677" s="2" t="n">
        <v>0</v>
      </c>
      <c r="EE677" s="2" t="n">
        <v>61.33</v>
      </c>
      <c r="EF677" s="2" t="n">
        <v>73.73999999999999</v>
      </c>
      <c r="EG677" s="2" t="n">
        <v>0</v>
      </c>
      <c r="EH677" s="2" t="n">
        <v>90.45</v>
      </c>
      <c r="EI677" s="2" t="n">
        <v>91.25</v>
      </c>
      <c r="EJ677" s="2" t="n">
        <v>0</v>
      </c>
      <c r="EK677" s="2" t="n">
        <v>100</v>
      </c>
      <c r="EL677" s="2" t="n">
        <v>100</v>
      </c>
      <c r="EM677" s="2" t="n">
        <v>0</v>
      </c>
      <c r="EN677" s="2" t="n">
        <v>100</v>
      </c>
      <c r="EO677" s="2" t="n">
        <v>100</v>
      </c>
      <c r="EP677" s="2" t="n">
        <v>0</v>
      </c>
      <c r="EQ677" s="2" t="n">
        <v>100</v>
      </c>
      <c r="ER677" s="2" t="n">
        <v>100</v>
      </c>
      <c r="ES677" s="2" t="n">
        <v>0</v>
      </c>
    </row>
    <row r="678">
      <c r="A678" s="2" t="n">
        <v>3</v>
      </c>
      <c r="B678" s="2" t="inlineStr">
        <is>
          <t>30.03.01</t>
        </is>
      </c>
      <c r="C678" s="2" t="inlineStr">
        <is>
          <t>Pedras</t>
        </is>
      </c>
      <c r="D678" s="2" t="inlineStr">
        <is>
          <t>18/08/2028</t>
        </is>
      </c>
      <c r="E678" s="2" t="inlineStr">
        <is>
          <t>15/02/2029</t>
        </is>
      </c>
      <c r="F678" s="2" t="n">
        <v>765228.9848050568</v>
      </c>
      <c r="G678" s="2" t="n">
        <v>0</v>
      </c>
      <c r="H678" s="2" t="n">
        <v>765228.9848050568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0</v>
      </c>
      <c r="AN678" s="2" t="n">
        <v>0</v>
      </c>
      <c r="AO678" s="2" t="n">
        <v>0</v>
      </c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</v>
      </c>
      <c r="AU678" s="2" t="n">
        <v>0</v>
      </c>
      <c r="AV678" s="2" t="n">
        <v>0</v>
      </c>
      <c r="AW678" s="2" t="n">
        <v>0</v>
      </c>
      <c r="AX678" s="2" t="n">
        <v>0</v>
      </c>
      <c r="AY678" s="2" t="n">
        <v>0</v>
      </c>
      <c r="AZ678" s="2" t="n">
        <v>0</v>
      </c>
      <c r="BA678" s="2" t="n">
        <v>0</v>
      </c>
      <c r="BB678" s="2" t="n">
        <v>0</v>
      </c>
      <c r="BC678" s="2" t="n">
        <v>0</v>
      </c>
      <c r="BD678" s="2" t="n">
        <v>0</v>
      </c>
      <c r="BE678" s="2" t="n">
        <v>0</v>
      </c>
      <c r="BF678" s="2" t="n">
        <v>0</v>
      </c>
      <c r="BG678" s="2" t="n">
        <v>0</v>
      </c>
      <c r="BH678" s="2" t="n">
        <v>0</v>
      </c>
      <c r="BI678" s="2" t="n">
        <v>0</v>
      </c>
      <c r="BJ678" s="2" t="n">
        <v>0</v>
      </c>
      <c r="BK678" s="2" t="n">
        <v>0</v>
      </c>
      <c r="BL678" s="2" t="n">
        <v>0</v>
      </c>
      <c r="BM678" s="2" t="n">
        <v>0</v>
      </c>
      <c r="BN678" s="2" t="n">
        <v>0</v>
      </c>
      <c r="BO678" s="2" t="n">
        <v>0</v>
      </c>
      <c r="BP678" s="2" t="n">
        <v>0</v>
      </c>
      <c r="BQ678" s="2" t="n">
        <v>0</v>
      </c>
      <c r="BR678" s="2" t="n">
        <v>0</v>
      </c>
      <c r="BS678" s="2" t="n">
        <v>0</v>
      </c>
      <c r="BT678" s="2" t="n">
        <v>0</v>
      </c>
      <c r="BU678" s="2" t="n">
        <v>0</v>
      </c>
      <c r="BV678" s="2" t="n">
        <v>0</v>
      </c>
      <c r="BW678" s="2" t="n">
        <v>0</v>
      </c>
      <c r="BX678" s="2" t="n">
        <v>0</v>
      </c>
      <c r="BY678" s="2" t="n">
        <v>0</v>
      </c>
      <c r="BZ678" s="2" t="n">
        <v>0</v>
      </c>
      <c r="CA678" s="2" t="n">
        <v>0</v>
      </c>
      <c r="CB678" s="2" t="n">
        <v>0</v>
      </c>
      <c r="CC678" s="2" t="n">
        <v>0</v>
      </c>
      <c r="CD678" s="2" t="n">
        <v>0</v>
      </c>
      <c r="CE678" s="2" t="n">
        <v>0</v>
      </c>
      <c r="CF678" s="2" t="n">
        <v>0</v>
      </c>
      <c r="CG678" s="2" t="n">
        <v>0</v>
      </c>
      <c r="CH678" s="2" t="n">
        <v>0</v>
      </c>
      <c r="CI678" s="2" t="n">
        <v>0</v>
      </c>
      <c r="CJ678" s="2" t="n">
        <v>0</v>
      </c>
      <c r="CK678" s="2" t="n">
        <v>0</v>
      </c>
      <c r="CL678" s="2" t="n">
        <v>0</v>
      </c>
      <c r="CM678" s="2" t="n">
        <v>0</v>
      </c>
      <c r="CN678" s="2" t="n">
        <v>0</v>
      </c>
      <c r="CO678" s="2" t="n">
        <v>0</v>
      </c>
      <c r="CP678" s="2" t="n">
        <v>0</v>
      </c>
      <c r="CQ678" s="2" t="n">
        <v>0</v>
      </c>
      <c r="CR678" s="2" t="n">
        <v>0</v>
      </c>
      <c r="CS678" s="2" t="n">
        <v>0</v>
      </c>
      <c r="CT678" s="2" t="n">
        <v>0</v>
      </c>
      <c r="CU678" s="2" t="n">
        <v>0</v>
      </c>
      <c r="CV678" s="2" t="n">
        <v>0</v>
      </c>
      <c r="CW678" s="2" t="n">
        <v>0</v>
      </c>
      <c r="CX678" s="2" t="n">
        <v>0</v>
      </c>
      <c r="CY678" s="2" t="n">
        <v>0</v>
      </c>
      <c r="CZ678" s="2" t="n">
        <v>0</v>
      </c>
      <c r="DA678" s="2" t="n">
        <v>0</v>
      </c>
      <c r="DB678" s="2" t="n">
        <v>0</v>
      </c>
      <c r="DC678" s="2" t="n">
        <v>0</v>
      </c>
      <c r="DD678" s="2" t="n">
        <v>0</v>
      </c>
      <c r="DE678" s="2" t="n">
        <v>0</v>
      </c>
      <c r="DF678" s="2" t="n">
        <v>0</v>
      </c>
      <c r="DG678" s="2" t="n">
        <v>0</v>
      </c>
      <c r="DH678" s="2" t="n">
        <v>0</v>
      </c>
      <c r="DI678" s="2" t="n">
        <v>0</v>
      </c>
      <c r="DJ678" s="2" t="n">
        <v>0</v>
      </c>
      <c r="DK678" s="2" t="n">
        <v>0</v>
      </c>
      <c r="DL678" s="2" t="n">
        <v>0</v>
      </c>
      <c r="DM678" s="2" t="n">
        <v>0</v>
      </c>
      <c r="DN678" s="2" t="n">
        <v>0</v>
      </c>
      <c r="DO678" s="2" t="n">
        <v>0</v>
      </c>
      <c r="DP678" s="2" t="n">
        <v>0</v>
      </c>
      <c r="DQ678" s="2" t="n">
        <v>0</v>
      </c>
      <c r="DR678" s="2" t="n">
        <v>0</v>
      </c>
      <c r="DS678" s="2" t="n">
        <v>10.23</v>
      </c>
      <c r="DT678" s="2" t="n">
        <v>11.36</v>
      </c>
      <c r="DU678" s="2" t="n">
        <v>0</v>
      </c>
      <c r="DV678" s="2" t="n">
        <v>32.95</v>
      </c>
      <c r="DW678" s="2" t="n">
        <v>34.09</v>
      </c>
      <c r="DX678" s="2" t="n">
        <v>0</v>
      </c>
      <c r="DY678" s="2" t="n">
        <v>50</v>
      </c>
      <c r="DZ678" s="2" t="n">
        <v>50</v>
      </c>
      <c r="EA678" s="2" t="n">
        <v>0</v>
      </c>
      <c r="EB678" s="2" t="n">
        <v>50</v>
      </c>
      <c r="EC678" s="2" t="n">
        <v>50</v>
      </c>
      <c r="ED678" s="2" t="n">
        <v>0</v>
      </c>
      <c r="EE678" s="2" t="n">
        <v>61.36</v>
      </c>
      <c r="EF678" s="2" t="n">
        <v>62.5</v>
      </c>
      <c r="EG678" s="2" t="n">
        <v>0</v>
      </c>
      <c r="EH678" s="2" t="n">
        <v>86.36</v>
      </c>
      <c r="EI678" s="2" t="n">
        <v>87.5</v>
      </c>
      <c r="EJ678" s="2" t="n">
        <v>0</v>
      </c>
      <c r="EK678" s="2" t="n">
        <v>100</v>
      </c>
      <c r="EL678" s="2" t="n">
        <v>100</v>
      </c>
      <c r="EM678" s="2" t="n">
        <v>0</v>
      </c>
      <c r="EN678" s="2" t="n">
        <v>100</v>
      </c>
      <c r="EO678" s="2" t="n">
        <v>100</v>
      </c>
      <c r="EP678" s="2" t="n">
        <v>0</v>
      </c>
      <c r="EQ678" s="2" t="n">
        <v>100</v>
      </c>
      <c r="ER678" s="2" t="n">
        <v>100</v>
      </c>
      <c r="ES678" s="2" t="n">
        <v>0</v>
      </c>
    </row>
    <row r="679">
      <c r="A679" s="2" t="n">
        <v>4</v>
      </c>
      <c r="B679" s="2" t="inlineStr">
        <is>
          <t>30.03.01.01</t>
        </is>
      </c>
      <c r="C679" s="2" t="inlineStr">
        <is>
          <t>Piso de granito Ornamental White, espessura 2cm, com acabamento levigado, assentado com argamassa colante em pó ACIII</t>
        </is>
      </c>
      <c r="D679" s="2" t="inlineStr">
        <is>
          <t>18/08/2028</t>
        </is>
      </c>
      <c r="E679" s="2" t="inlineStr">
        <is>
          <t>15/02/2029</t>
        </is>
      </c>
      <c r="F679" s="2" t="n">
        <v>232609.2544185707</v>
      </c>
      <c r="G679" s="2" t="n">
        <v>0</v>
      </c>
      <c r="H679" s="2" t="n">
        <v>232609.2544185707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0</v>
      </c>
      <c r="AM679" s="2" t="n">
        <v>0</v>
      </c>
      <c r="AN679" s="2" t="n">
        <v>0</v>
      </c>
      <c r="AO679" s="2" t="n">
        <v>0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n">
        <v>0</v>
      </c>
      <c r="AZ679" s="2" t="n">
        <v>0</v>
      </c>
      <c r="BA679" s="2" t="n">
        <v>0</v>
      </c>
      <c r="BB679" s="2" t="n">
        <v>0</v>
      </c>
      <c r="BC679" s="2" t="n">
        <v>0</v>
      </c>
      <c r="BD679" s="2" t="n">
        <v>0</v>
      </c>
      <c r="BE679" s="2" t="n">
        <v>0</v>
      </c>
      <c r="BF679" s="2" t="n">
        <v>0</v>
      </c>
      <c r="BG679" s="2" t="n">
        <v>0</v>
      </c>
      <c r="BH679" s="2" t="n">
        <v>0</v>
      </c>
      <c r="BI679" s="2" t="n">
        <v>0</v>
      </c>
      <c r="BJ679" s="2" t="n">
        <v>0</v>
      </c>
      <c r="BK679" s="2" t="n">
        <v>0</v>
      </c>
      <c r="BL679" s="2" t="n">
        <v>0</v>
      </c>
      <c r="BM679" s="2" t="n">
        <v>0</v>
      </c>
      <c r="BN679" s="2" t="n">
        <v>0</v>
      </c>
      <c r="BO679" s="2" t="n">
        <v>0</v>
      </c>
      <c r="BP679" s="2" t="n">
        <v>0</v>
      </c>
      <c r="BQ679" s="2" t="n">
        <v>0</v>
      </c>
      <c r="BR679" s="2" t="n">
        <v>0</v>
      </c>
      <c r="BS679" s="2" t="n">
        <v>0</v>
      </c>
      <c r="BT679" s="2" t="n">
        <v>0</v>
      </c>
      <c r="BU679" s="2" t="n">
        <v>0</v>
      </c>
      <c r="BV679" s="2" t="n">
        <v>0</v>
      </c>
      <c r="BW679" s="2" t="n">
        <v>0</v>
      </c>
      <c r="BX679" s="2" t="n">
        <v>0</v>
      </c>
      <c r="BY679" s="2" t="n">
        <v>0</v>
      </c>
      <c r="BZ679" s="2" t="n">
        <v>0</v>
      </c>
      <c r="CA679" s="2" t="n">
        <v>0</v>
      </c>
      <c r="CB679" s="2" t="n">
        <v>0</v>
      </c>
      <c r="CC679" s="2" t="n">
        <v>0</v>
      </c>
      <c r="CD679" s="2" t="n">
        <v>0</v>
      </c>
      <c r="CE679" s="2" t="n">
        <v>0</v>
      </c>
      <c r="CF679" s="2" t="n">
        <v>0</v>
      </c>
      <c r="CG679" s="2" t="n">
        <v>0</v>
      </c>
      <c r="CH679" s="2" t="n">
        <v>0</v>
      </c>
      <c r="CI679" s="2" t="n">
        <v>0</v>
      </c>
      <c r="CJ679" s="2" t="n">
        <v>0</v>
      </c>
      <c r="CK679" s="2" t="n">
        <v>0</v>
      </c>
      <c r="CL679" s="2" t="n">
        <v>0</v>
      </c>
      <c r="CM679" s="2" t="n">
        <v>0</v>
      </c>
      <c r="CN679" s="2" t="n">
        <v>0</v>
      </c>
      <c r="CO679" s="2" t="n">
        <v>0</v>
      </c>
      <c r="CP679" s="2" t="n">
        <v>0</v>
      </c>
      <c r="CQ679" s="2" t="n">
        <v>0</v>
      </c>
      <c r="CR679" s="2" t="n">
        <v>0</v>
      </c>
      <c r="CS679" s="2" t="n">
        <v>0</v>
      </c>
      <c r="CT679" s="2" t="n">
        <v>0</v>
      </c>
      <c r="CU679" s="2" t="n">
        <v>0</v>
      </c>
      <c r="CV679" s="2" t="n">
        <v>0</v>
      </c>
      <c r="CW679" s="2" t="n">
        <v>0</v>
      </c>
      <c r="CX679" s="2" t="n">
        <v>0</v>
      </c>
      <c r="CY679" s="2" t="n">
        <v>0</v>
      </c>
      <c r="CZ679" s="2" t="n">
        <v>0</v>
      </c>
      <c r="DA679" s="2" t="n">
        <v>0</v>
      </c>
      <c r="DB679" s="2" t="n">
        <v>0</v>
      </c>
      <c r="DC679" s="2" t="n">
        <v>0</v>
      </c>
      <c r="DD679" s="2" t="n">
        <v>0</v>
      </c>
      <c r="DE679" s="2" t="n">
        <v>0</v>
      </c>
      <c r="DF679" s="2" t="n">
        <v>0</v>
      </c>
      <c r="DG679" s="2" t="n">
        <v>0</v>
      </c>
      <c r="DH679" s="2" t="n">
        <v>0</v>
      </c>
      <c r="DI679" s="2" t="n">
        <v>0</v>
      </c>
      <c r="DJ679" s="2" t="n">
        <v>0</v>
      </c>
      <c r="DK679" s="2" t="n">
        <v>0</v>
      </c>
      <c r="DL679" s="2" t="n">
        <v>0</v>
      </c>
      <c r="DM679" s="2" t="n">
        <v>0</v>
      </c>
      <c r="DN679" s="2" t="n">
        <v>0</v>
      </c>
      <c r="DO679" s="2" t="n">
        <v>0</v>
      </c>
      <c r="DP679" s="2" t="n">
        <v>0</v>
      </c>
      <c r="DQ679" s="2" t="n">
        <v>0</v>
      </c>
      <c r="DR679" s="2" t="n">
        <v>0</v>
      </c>
      <c r="DS679" s="2" t="n">
        <v>10.23</v>
      </c>
      <c r="DT679" s="2" t="n">
        <v>11.36</v>
      </c>
      <c r="DU679" s="2" t="n">
        <v>0</v>
      </c>
      <c r="DV679" s="2" t="n">
        <v>32.95</v>
      </c>
      <c r="DW679" s="2" t="n">
        <v>34.09</v>
      </c>
      <c r="DX679" s="2" t="n">
        <v>0</v>
      </c>
      <c r="DY679" s="2" t="n">
        <v>50</v>
      </c>
      <c r="DZ679" s="2" t="n">
        <v>50</v>
      </c>
      <c r="EA679" s="2" t="n">
        <v>0</v>
      </c>
      <c r="EB679" s="2" t="n">
        <v>50</v>
      </c>
      <c r="EC679" s="2" t="n">
        <v>50</v>
      </c>
      <c r="ED679" s="2" t="n">
        <v>0</v>
      </c>
      <c r="EE679" s="2" t="n">
        <v>61.36</v>
      </c>
      <c r="EF679" s="2" t="n">
        <v>62.5</v>
      </c>
      <c r="EG679" s="2" t="n">
        <v>0</v>
      </c>
      <c r="EH679" s="2" t="n">
        <v>86.36</v>
      </c>
      <c r="EI679" s="2" t="n">
        <v>87.5</v>
      </c>
      <c r="EJ679" s="2" t="n">
        <v>0</v>
      </c>
      <c r="EK679" s="2" t="n">
        <v>100</v>
      </c>
      <c r="EL679" s="2" t="n">
        <v>100</v>
      </c>
      <c r="EM679" s="2" t="n">
        <v>0</v>
      </c>
      <c r="EN679" s="2" t="n">
        <v>100</v>
      </c>
      <c r="EO679" s="2" t="n">
        <v>100</v>
      </c>
      <c r="EP679" s="2" t="n">
        <v>0</v>
      </c>
      <c r="EQ679" s="2" t="n">
        <v>100</v>
      </c>
      <c r="ER679" s="2" t="n">
        <v>100</v>
      </c>
      <c r="ES679" s="2" t="n">
        <v>0</v>
      </c>
    </row>
    <row r="680">
      <c r="A680" s="2" t="n">
        <v>4</v>
      </c>
      <c r="B680" s="2" t="inlineStr">
        <is>
          <t>30.03.01.02</t>
        </is>
      </c>
      <c r="C680" s="2" t="inlineStr">
        <is>
          <t>Granito Cinza Castelo com acabamento flameado antiderrapante e detalhes em Granito Verde Ubatuba com acabamento flameado antiderrapante, conforme projeto de Paisagismo da Esplanada (equipe JA8</t>
        </is>
      </c>
      <c r="D680" s="2" t="inlineStr">
        <is>
          <t>18/08/2028</t>
        </is>
      </c>
      <c r="E680" s="2" t="inlineStr">
        <is>
          <t>15/02/2029</t>
        </is>
      </c>
      <c r="F680" s="2" t="n">
        <v>532619.730386486</v>
      </c>
      <c r="G680" s="2" t="n">
        <v>0</v>
      </c>
      <c r="H680" s="2" t="n">
        <v>532619.730386486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  <c r="AN680" s="2" t="n">
        <v>0</v>
      </c>
      <c r="AO680" s="2" t="n">
        <v>0</v>
      </c>
      <c r="AP680" s="2" t="n">
        <v>0</v>
      </c>
      <c r="AQ680" s="2" t="n">
        <v>0</v>
      </c>
      <c r="AR680" s="2" t="n">
        <v>0</v>
      </c>
      <c r="AS680" s="2" t="n">
        <v>0</v>
      </c>
      <c r="AT680" s="2" t="n">
        <v>0</v>
      </c>
      <c r="AU680" s="2" t="n">
        <v>0</v>
      </c>
      <c r="AV680" s="2" t="n">
        <v>0</v>
      </c>
      <c r="AW680" s="2" t="n">
        <v>0</v>
      </c>
      <c r="AX680" s="2" t="n">
        <v>0</v>
      </c>
      <c r="AY680" s="2" t="n">
        <v>0</v>
      </c>
      <c r="AZ680" s="2" t="n">
        <v>0</v>
      </c>
      <c r="BA680" s="2" t="n">
        <v>0</v>
      </c>
      <c r="BB680" s="2" t="n">
        <v>0</v>
      </c>
      <c r="BC680" s="2" t="n">
        <v>0</v>
      </c>
      <c r="BD680" s="2" t="n">
        <v>0</v>
      </c>
      <c r="BE680" s="2" t="n">
        <v>0</v>
      </c>
      <c r="BF680" s="2" t="n">
        <v>0</v>
      </c>
      <c r="BG680" s="2" t="n">
        <v>0</v>
      </c>
      <c r="BH680" s="2" t="n">
        <v>0</v>
      </c>
      <c r="BI680" s="2" t="n">
        <v>0</v>
      </c>
      <c r="BJ680" s="2" t="n">
        <v>0</v>
      </c>
      <c r="BK680" s="2" t="n">
        <v>0</v>
      </c>
      <c r="BL680" s="2" t="n">
        <v>0</v>
      </c>
      <c r="BM680" s="2" t="n">
        <v>0</v>
      </c>
      <c r="BN680" s="2" t="n">
        <v>0</v>
      </c>
      <c r="BO680" s="2" t="n">
        <v>0</v>
      </c>
      <c r="BP680" s="2" t="n">
        <v>0</v>
      </c>
      <c r="BQ680" s="2" t="n">
        <v>0</v>
      </c>
      <c r="BR680" s="2" t="n">
        <v>0</v>
      </c>
      <c r="BS680" s="2" t="n">
        <v>0</v>
      </c>
      <c r="BT680" s="2" t="n">
        <v>0</v>
      </c>
      <c r="BU680" s="2" t="n">
        <v>0</v>
      </c>
      <c r="BV680" s="2" t="n">
        <v>0</v>
      </c>
      <c r="BW680" s="2" t="n">
        <v>0</v>
      </c>
      <c r="BX680" s="2" t="n">
        <v>0</v>
      </c>
      <c r="BY680" s="2" t="n">
        <v>0</v>
      </c>
      <c r="BZ680" s="2" t="n">
        <v>0</v>
      </c>
      <c r="CA680" s="2" t="n">
        <v>0</v>
      </c>
      <c r="CB680" s="2" t="n">
        <v>0</v>
      </c>
      <c r="CC680" s="2" t="n">
        <v>0</v>
      </c>
      <c r="CD680" s="2" t="n">
        <v>0</v>
      </c>
      <c r="CE680" s="2" t="n">
        <v>0</v>
      </c>
      <c r="CF680" s="2" t="n">
        <v>0</v>
      </c>
      <c r="CG680" s="2" t="n">
        <v>0</v>
      </c>
      <c r="CH680" s="2" t="n">
        <v>0</v>
      </c>
      <c r="CI680" s="2" t="n">
        <v>0</v>
      </c>
      <c r="CJ680" s="2" t="n">
        <v>0</v>
      </c>
      <c r="CK680" s="2" t="n">
        <v>0</v>
      </c>
      <c r="CL680" s="2" t="n">
        <v>0</v>
      </c>
      <c r="CM680" s="2" t="n">
        <v>0</v>
      </c>
      <c r="CN680" s="2" t="n">
        <v>0</v>
      </c>
      <c r="CO680" s="2" t="n">
        <v>0</v>
      </c>
      <c r="CP680" s="2" t="n">
        <v>0</v>
      </c>
      <c r="CQ680" s="2" t="n">
        <v>0</v>
      </c>
      <c r="CR680" s="2" t="n">
        <v>0</v>
      </c>
      <c r="CS680" s="2" t="n">
        <v>0</v>
      </c>
      <c r="CT680" s="2" t="n">
        <v>0</v>
      </c>
      <c r="CU680" s="2" t="n">
        <v>0</v>
      </c>
      <c r="CV680" s="2" t="n">
        <v>0</v>
      </c>
      <c r="CW680" s="2" t="n">
        <v>0</v>
      </c>
      <c r="CX680" s="2" t="n">
        <v>0</v>
      </c>
      <c r="CY680" s="2" t="n">
        <v>0</v>
      </c>
      <c r="CZ680" s="2" t="n">
        <v>0</v>
      </c>
      <c r="DA680" s="2" t="n">
        <v>0</v>
      </c>
      <c r="DB680" s="2" t="n">
        <v>0</v>
      </c>
      <c r="DC680" s="2" t="n">
        <v>0</v>
      </c>
      <c r="DD680" s="2" t="n">
        <v>0</v>
      </c>
      <c r="DE680" s="2" t="n">
        <v>0</v>
      </c>
      <c r="DF680" s="2" t="n">
        <v>0</v>
      </c>
      <c r="DG680" s="2" t="n">
        <v>0</v>
      </c>
      <c r="DH680" s="2" t="n">
        <v>0</v>
      </c>
      <c r="DI680" s="2" t="n">
        <v>0</v>
      </c>
      <c r="DJ680" s="2" t="n">
        <v>0</v>
      </c>
      <c r="DK680" s="2" t="n">
        <v>0</v>
      </c>
      <c r="DL680" s="2" t="n">
        <v>0</v>
      </c>
      <c r="DM680" s="2" t="n">
        <v>0</v>
      </c>
      <c r="DN680" s="2" t="n">
        <v>0</v>
      </c>
      <c r="DO680" s="2" t="n">
        <v>0</v>
      </c>
      <c r="DP680" s="2" t="n">
        <v>0</v>
      </c>
      <c r="DQ680" s="2" t="n">
        <v>0</v>
      </c>
      <c r="DR680" s="2" t="n">
        <v>0</v>
      </c>
      <c r="DS680" s="2" t="n">
        <v>10.23</v>
      </c>
      <c r="DT680" s="2" t="n">
        <v>11.36</v>
      </c>
      <c r="DU680" s="2" t="n">
        <v>0</v>
      </c>
      <c r="DV680" s="2" t="n">
        <v>32.95</v>
      </c>
      <c r="DW680" s="2" t="n">
        <v>34.09</v>
      </c>
      <c r="DX680" s="2" t="n">
        <v>0</v>
      </c>
      <c r="DY680" s="2" t="n">
        <v>50</v>
      </c>
      <c r="DZ680" s="2" t="n">
        <v>50</v>
      </c>
      <c r="EA680" s="2" t="n">
        <v>0</v>
      </c>
      <c r="EB680" s="2" t="n">
        <v>50</v>
      </c>
      <c r="EC680" s="2" t="n">
        <v>50</v>
      </c>
      <c r="ED680" s="2" t="n">
        <v>0</v>
      </c>
      <c r="EE680" s="2" t="n">
        <v>61.36</v>
      </c>
      <c r="EF680" s="2" t="n">
        <v>62.5</v>
      </c>
      <c r="EG680" s="2" t="n">
        <v>0</v>
      </c>
      <c r="EH680" s="2" t="n">
        <v>86.36</v>
      </c>
      <c r="EI680" s="2" t="n">
        <v>87.5</v>
      </c>
      <c r="EJ680" s="2" t="n">
        <v>0</v>
      </c>
      <c r="EK680" s="2" t="n">
        <v>100</v>
      </c>
      <c r="EL680" s="2" t="n">
        <v>100</v>
      </c>
      <c r="EM680" s="2" t="n">
        <v>0</v>
      </c>
      <c r="EN680" s="2" t="n">
        <v>100</v>
      </c>
      <c r="EO680" s="2" t="n">
        <v>100</v>
      </c>
      <c r="EP680" s="2" t="n">
        <v>0</v>
      </c>
      <c r="EQ680" s="2" t="n">
        <v>100</v>
      </c>
      <c r="ER680" s="2" t="n">
        <v>100</v>
      </c>
      <c r="ES680" s="2" t="n">
        <v>0</v>
      </c>
    </row>
    <row r="681">
      <c r="A681" s="2" t="n">
        <v>3</v>
      </c>
      <c r="B681" s="2" t="inlineStr">
        <is>
          <t>30.03.02</t>
        </is>
      </c>
      <c r="C681" s="2" t="inlineStr">
        <is>
          <t>Pisos de Madeira</t>
        </is>
      </c>
      <c r="D681" s="2" t="inlineStr">
        <is>
          <t>31/05/2028</t>
        </is>
      </c>
      <c r="E681" s="2" t="inlineStr">
        <is>
          <t>01/08/2028</t>
        </is>
      </c>
      <c r="F681" s="2" t="n">
        <v>65858.7</v>
      </c>
      <c r="G681" s="2" t="n">
        <v>0</v>
      </c>
      <c r="H681" s="2" t="n">
        <v>65858.7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0</v>
      </c>
      <c r="AM681" s="2" t="n">
        <v>0</v>
      </c>
      <c r="AN681" s="2" t="n">
        <v>0</v>
      </c>
      <c r="AO681" s="2" t="n">
        <v>0</v>
      </c>
      <c r="AP681" s="2" t="n">
        <v>0</v>
      </c>
      <c r="AQ681" s="2" t="n">
        <v>0</v>
      </c>
      <c r="AR681" s="2" t="n">
        <v>0</v>
      </c>
      <c r="AS681" s="2" t="n">
        <v>0</v>
      </c>
      <c r="AT681" s="2" t="n">
        <v>0</v>
      </c>
      <c r="AU681" s="2" t="n">
        <v>0</v>
      </c>
      <c r="AV681" s="2" t="n">
        <v>0</v>
      </c>
      <c r="AW681" s="2" t="n">
        <v>0</v>
      </c>
      <c r="AX681" s="2" t="n">
        <v>0</v>
      </c>
      <c r="AY681" s="2" t="n">
        <v>0</v>
      </c>
      <c r="AZ681" s="2" t="n">
        <v>0</v>
      </c>
      <c r="BA681" s="2" t="n">
        <v>0</v>
      </c>
      <c r="BB681" s="2" t="n">
        <v>0</v>
      </c>
      <c r="BC681" s="2" t="n">
        <v>0</v>
      </c>
      <c r="BD681" s="2" t="n">
        <v>0</v>
      </c>
      <c r="BE681" s="2" t="n">
        <v>0</v>
      </c>
      <c r="BF681" s="2" t="n">
        <v>0</v>
      </c>
      <c r="BG681" s="2" t="n">
        <v>0</v>
      </c>
      <c r="BH681" s="2" t="n">
        <v>0</v>
      </c>
      <c r="BI681" s="2" t="n">
        <v>0</v>
      </c>
      <c r="BJ681" s="2" t="n">
        <v>0</v>
      </c>
      <c r="BK681" s="2" t="n">
        <v>0</v>
      </c>
      <c r="BL681" s="2" t="n">
        <v>0</v>
      </c>
      <c r="BM681" s="2" t="n">
        <v>0</v>
      </c>
      <c r="BN681" s="2" t="n">
        <v>0</v>
      </c>
      <c r="BO681" s="2" t="n">
        <v>0</v>
      </c>
      <c r="BP681" s="2" t="n">
        <v>0</v>
      </c>
      <c r="BQ681" s="2" t="n">
        <v>0</v>
      </c>
      <c r="BR681" s="2" t="n">
        <v>0</v>
      </c>
      <c r="BS681" s="2" t="n">
        <v>0</v>
      </c>
      <c r="BT681" s="2" t="n">
        <v>0</v>
      </c>
      <c r="BU681" s="2" t="n">
        <v>0</v>
      </c>
      <c r="BV681" s="2" t="n">
        <v>0</v>
      </c>
      <c r="BW681" s="2" t="n">
        <v>0</v>
      </c>
      <c r="BX681" s="2" t="n">
        <v>0</v>
      </c>
      <c r="BY681" s="2" t="n">
        <v>0</v>
      </c>
      <c r="BZ681" s="2" t="n">
        <v>0</v>
      </c>
      <c r="CA681" s="2" t="n">
        <v>0</v>
      </c>
      <c r="CB681" s="2" t="n">
        <v>0</v>
      </c>
      <c r="CC681" s="2" t="n">
        <v>0</v>
      </c>
      <c r="CD681" s="2" t="n">
        <v>0</v>
      </c>
      <c r="CE681" s="2" t="n">
        <v>0</v>
      </c>
      <c r="CF681" s="2" t="n">
        <v>0</v>
      </c>
      <c r="CG681" s="2" t="n">
        <v>0</v>
      </c>
      <c r="CH681" s="2" t="n">
        <v>0</v>
      </c>
      <c r="CI681" s="2" t="n">
        <v>0</v>
      </c>
      <c r="CJ681" s="2" t="n">
        <v>0</v>
      </c>
      <c r="CK681" s="2" t="n">
        <v>0</v>
      </c>
      <c r="CL681" s="2" t="n">
        <v>0</v>
      </c>
      <c r="CM681" s="2" t="n">
        <v>0</v>
      </c>
      <c r="CN681" s="2" t="n">
        <v>0</v>
      </c>
      <c r="CO681" s="2" t="n">
        <v>0</v>
      </c>
      <c r="CP681" s="2" t="n">
        <v>0</v>
      </c>
      <c r="CQ681" s="2" t="n">
        <v>0</v>
      </c>
      <c r="CR681" s="2" t="n">
        <v>0</v>
      </c>
      <c r="CS681" s="2" t="n">
        <v>0</v>
      </c>
      <c r="CT681" s="2" t="n">
        <v>0</v>
      </c>
      <c r="CU681" s="2" t="n">
        <v>0</v>
      </c>
      <c r="CV681" s="2" t="n">
        <v>0</v>
      </c>
      <c r="CW681" s="2" t="n">
        <v>0</v>
      </c>
      <c r="CX681" s="2" t="n">
        <v>0</v>
      </c>
      <c r="CY681" s="2" t="n">
        <v>0</v>
      </c>
      <c r="CZ681" s="2" t="n">
        <v>0</v>
      </c>
      <c r="DA681" s="2" t="n">
        <v>0</v>
      </c>
      <c r="DB681" s="2" t="n">
        <v>0</v>
      </c>
      <c r="DC681" s="2" t="n">
        <v>0</v>
      </c>
      <c r="DD681" s="2" t="n">
        <v>0</v>
      </c>
      <c r="DE681" s="2" t="n">
        <v>0</v>
      </c>
      <c r="DF681" s="2" t="n">
        <v>0</v>
      </c>
      <c r="DG681" s="2" t="n">
        <v>0</v>
      </c>
      <c r="DH681" s="2" t="n">
        <v>0</v>
      </c>
      <c r="DI681" s="2" t="n">
        <v>0</v>
      </c>
      <c r="DJ681" s="2" t="n">
        <v>0</v>
      </c>
      <c r="DK681" s="2" t="n">
        <v>2.27</v>
      </c>
      <c r="DL681" s="2" t="n">
        <v>0</v>
      </c>
      <c r="DM681" s="2" t="n">
        <v>47.73</v>
      </c>
      <c r="DN681" s="2" t="n">
        <v>50</v>
      </c>
      <c r="DO681" s="2" t="n">
        <v>0</v>
      </c>
      <c r="DP681" s="2" t="n">
        <v>95.45</v>
      </c>
      <c r="DQ681" s="2" t="n">
        <v>97.73</v>
      </c>
      <c r="DR681" s="2" t="n">
        <v>0</v>
      </c>
      <c r="DS681" s="2" t="n">
        <v>100</v>
      </c>
      <c r="DT681" s="2" t="n">
        <v>100</v>
      </c>
      <c r="DU681" s="2" t="n">
        <v>0</v>
      </c>
      <c r="DV681" s="2" t="n">
        <v>100</v>
      </c>
      <c r="DW681" s="2" t="n">
        <v>100</v>
      </c>
      <c r="DX681" s="2" t="n">
        <v>0</v>
      </c>
      <c r="DY681" s="2" t="n">
        <v>100</v>
      </c>
      <c r="DZ681" s="2" t="n">
        <v>100</v>
      </c>
      <c r="EA681" s="2" t="n">
        <v>0</v>
      </c>
      <c r="EB681" s="2" t="n">
        <v>100</v>
      </c>
      <c r="EC681" s="2" t="n">
        <v>100</v>
      </c>
      <c r="ED681" s="2" t="n">
        <v>0</v>
      </c>
      <c r="EE681" s="2" t="n">
        <v>100</v>
      </c>
      <c r="EF681" s="2" t="n">
        <v>100</v>
      </c>
      <c r="EG681" s="2" t="n">
        <v>0</v>
      </c>
      <c r="EH681" s="2" t="n">
        <v>100</v>
      </c>
      <c r="EI681" s="2" t="n">
        <v>100</v>
      </c>
      <c r="EJ681" s="2" t="n">
        <v>0</v>
      </c>
      <c r="EK681" s="2" t="n">
        <v>100</v>
      </c>
      <c r="EL681" s="2" t="n">
        <v>100</v>
      </c>
      <c r="EM681" s="2" t="n">
        <v>0</v>
      </c>
      <c r="EN681" s="2" t="n">
        <v>100</v>
      </c>
      <c r="EO681" s="2" t="n">
        <v>100</v>
      </c>
      <c r="EP681" s="2" t="n">
        <v>0</v>
      </c>
      <c r="EQ681" s="2" t="n">
        <v>100</v>
      </c>
      <c r="ER681" s="2" t="n">
        <v>100</v>
      </c>
      <c r="ES681" s="2" t="n">
        <v>0</v>
      </c>
    </row>
    <row r="682">
      <c r="A682" s="2" t="n">
        <v>4</v>
      </c>
      <c r="B682" s="2" t="inlineStr">
        <is>
          <t>30.03.02.01</t>
        </is>
      </c>
      <c r="C682" s="2" t="inlineStr">
        <is>
          <t>Deck em madeira Cumaru</t>
        </is>
      </c>
      <c r="D682" s="2" t="inlineStr">
        <is>
          <t>31/05/2028</t>
        </is>
      </c>
      <c r="E682" s="2" t="inlineStr">
        <is>
          <t>01/08/2028</t>
        </is>
      </c>
      <c r="F682" s="2" t="n">
        <v>65858.7</v>
      </c>
      <c r="G682" s="2" t="n">
        <v>0</v>
      </c>
      <c r="H682" s="2" t="n">
        <v>65858.7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0</v>
      </c>
      <c r="AM682" s="2" t="n">
        <v>0</v>
      </c>
      <c r="AN682" s="2" t="n">
        <v>0</v>
      </c>
      <c r="AO682" s="2" t="n">
        <v>0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n">
        <v>0</v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n">
        <v>0</v>
      </c>
      <c r="BE682" s="2" t="n">
        <v>0</v>
      </c>
      <c r="BF682" s="2" t="n">
        <v>0</v>
      </c>
      <c r="BG682" s="2" t="n">
        <v>0</v>
      </c>
      <c r="BH682" s="2" t="n">
        <v>0</v>
      </c>
      <c r="BI682" s="2" t="n">
        <v>0</v>
      </c>
      <c r="BJ682" s="2" t="n">
        <v>0</v>
      </c>
      <c r="BK682" s="2" t="n">
        <v>0</v>
      </c>
      <c r="BL682" s="2" t="n">
        <v>0</v>
      </c>
      <c r="BM682" s="2" t="n">
        <v>0</v>
      </c>
      <c r="BN682" s="2" t="n">
        <v>0</v>
      </c>
      <c r="BO682" s="2" t="n">
        <v>0</v>
      </c>
      <c r="BP682" s="2" t="n">
        <v>0</v>
      </c>
      <c r="BQ682" s="2" t="n">
        <v>0</v>
      </c>
      <c r="BR682" s="2" t="n">
        <v>0</v>
      </c>
      <c r="BS682" s="2" t="n">
        <v>0</v>
      </c>
      <c r="BT682" s="2" t="n">
        <v>0</v>
      </c>
      <c r="BU682" s="2" t="n">
        <v>0</v>
      </c>
      <c r="BV682" s="2" t="n">
        <v>0</v>
      </c>
      <c r="BW682" s="2" t="n">
        <v>0</v>
      </c>
      <c r="BX682" s="2" t="n">
        <v>0</v>
      </c>
      <c r="BY682" s="2" t="n">
        <v>0</v>
      </c>
      <c r="BZ682" s="2" t="n">
        <v>0</v>
      </c>
      <c r="CA682" s="2" t="n">
        <v>0</v>
      </c>
      <c r="CB682" s="2" t="n">
        <v>0</v>
      </c>
      <c r="CC682" s="2" t="n">
        <v>0</v>
      </c>
      <c r="CD682" s="2" t="n">
        <v>0</v>
      </c>
      <c r="CE682" s="2" t="n">
        <v>0</v>
      </c>
      <c r="CF682" s="2" t="n">
        <v>0</v>
      </c>
      <c r="CG682" s="2" t="n">
        <v>0</v>
      </c>
      <c r="CH682" s="2" t="n">
        <v>0</v>
      </c>
      <c r="CI682" s="2" t="n">
        <v>0</v>
      </c>
      <c r="CJ682" s="2" t="n">
        <v>0</v>
      </c>
      <c r="CK682" s="2" t="n">
        <v>0</v>
      </c>
      <c r="CL682" s="2" t="n">
        <v>0</v>
      </c>
      <c r="CM682" s="2" t="n">
        <v>0</v>
      </c>
      <c r="CN682" s="2" t="n">
        <v>0</v>
      </c>
      <c r="CO682" s="2" t="n">
        <v>0</v>
      </c>
      <c r="CP682" s="2" t="n">
        <v>0</v>
      </c>
      <c r="CQ682" s="2" t="n">
        <v>0</v>
      </c>
      <c r="CR682" s="2" t="n">
        <v>0</v>
      </c>
      <c r="CS682" s="2" t="n">
        <v>0</v>
      </c>
      <c r="CT682" s="2" t="n">
        <v>0</v>
      </c>
      <c r="CU682" s="2" t="n">
        <v>0</v>
      </c>
      <c r="CV682" s="2" t="n">
        <v>0</v>
      </c>
      <c r="CW682" s="2" t="n">
        <v>0</v>
      </c>
      <c r="CX682" s="2" t="n">
        <v>0</v>
      </c>
      <c r="CY682" s="2" t="n">
        <v>0</v>
      </c>
      <c r="CZ682" s="2" t="n">
        <v>0</v>
      </c>
      <c r="DA682" s="2" t="n">
        <v>0</v>
      </c>
      <c r="DB682" s="2" t="n">
        <v>0</v>
      </c>
      <c r="DC682" s="2" t="n">
        <v>0</v>
      </c>
      <c r="DD682" s="2" t="n">
        <v>0</v>
      </c>
      <c r="DE682" s="2" t="n">
        <v>0</v>
      </c>
      <c r="DF682" s="2" t="n">
        <v>0</v>
      </c>
      <c r="DG682" s="2" t="n">
        <v>0</v>
      </c>
      <c r="DH682" s="2" t="n">
        <v>0</v>
      </c>
      <c r="DI682" s="2" t="n">
        <v>0</v>
      </c>
      <c r="DJ682" s="2" t="n">
        <v>0</v>
      </c>
      <c r="DK682" s="2" t="n">
        <v>2.27</v>
      </c>
      <c r="DL682" s="2" t="n">
        <v>0</v>
      </c>
      <c r="DM682" s="2" t="n">
        <v>47.73</v>
      </c>
      <c r="DN682" s="2" t="n">
        <v>50</v>
      </c>
      <c r="DO682" s="2" t="n">
        <v>0</v>
      </c>
      <c r="DP682" s="2" t="n">
        <v>95.45</v>
      </c>
      <c r="DQ682" s="2" t="n">
        <v>97.73</v>
      </c>
      <c r="DR682" s="2" t="n">
        <v>0</v>
      </c>
      <c r="DS682" s="2" t="n">
        <v>100</v>
      </c>
      <c r="DT682" s="2" t="n">
        <v>100</v>
      </c>
      <c r="DU682" s="2" t="n">
        <v>0</v>
      </c>
      <c r="DV682" s="2" t="n">
        <v>100</v>
      </c>
      <c r="DW682" s="2" t="n">
        <v>100</v>
      </c>
      <c r="DX682" s="2" t="n">
        <v>0</v>
      </c>
      <c r="DY682" s="2" t="n">
        <v>100</v>
      </c>
      <c r="DZ682" s="2" t="n">
        <v>100</v>
      </c>
      <c r="EA682" s="2" t="n">
        <v>0</v>
      </c>
      <c r="EB682" s="2" t="n">
        <v>100</v>
      </c>
      <c r="EC682" s="2" t="n">
        <v>100</v>
      </c>
      <c r="ED682" s="2" t="n">
        <v>0</v>
      </c>
      <c r="EE682" s="2" t="n">
        <v>100</v>
      </c>
      <c r="EF682" s="2" t="n">
        <v>100</v>
      </c>
      <c r="EG682" s="2" t="n">
        <v>0</v>
      </c>
      <c r="EH682" s="2" t="n">
        <v>100</v>
      </c>
      <c r="EI682" s="2" t="n">
        <v>100</v>
      </c>
      <c r="EJ682" s="2" t="n">
        <v>0</v>
      </c>
      <c r="EK682" s="2" t="n">
        <v>100</v>
      </c>
      <c r="EL682" s="2" t="n">
        <v>100</v>
      </c>
      <c r="EM682" s="2" t="n">
        <v>0</v>
      </c>
      <c r="EN682" s="2" t="n">
        <v>100</v>
      </c>
      <c r="EO682" s="2" t="n">
        <v>100</v>
      </c>
      <c r="EP682" s="2" t="n">
        <v>0</v>
      </c>
      <c r="EQ682" s="2" t="n">
        <v>100</v>
      </c>
      <c r="ER682" s="2" t="n">
        <v>100</v>
      </c>
      <c r="ES682" s="2" t="n">
        <v>0</v>
      </c>
    </row>
    <row r="683">
      <c r="A683" s="2" t="n">
        <v>3</v>
      </c>
      <c r="B683" s="2" t="inlineStr">
        <is>
          <t>30.03.03</t>
        </is>
      </c>
      <c r="C683" s="2" t="inlineStr">
        <is>
          <t>Pisos Especiais</t>
        </is>
      </c>
      <c r="D683" s="2" t="inlineStr">
        <is>
          <t>27/10/2028</t>
        </is>
      </c>
      <c r="E683" s="2" t="inlineStr">
        <is>
          <t>18/12/2028</t>
        </is>
      </c>
      <c r="F683" s="2" t="n">
        <v>261639.562</v>
      </c>
      <c r="G683" s="2" t="n">
        <v>0</v>
      </c>
      <c r="H683" s="2" t="n">
        <v>261639.562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0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0</v>
      </c>
      <c r="AM683" s="2" t="n">
        <v>0</v>
      </c>
      <c r="AN683" s="2" t="n">
        <v>0</v>
      </c>
      <c r="AO683" s="2" t="n">
        <v>0</v>
      </c>
      <c r="AP683" s="2" t="n">
        <v>0</v>
      </c>
      <c r="AQ683" s="2" t="n">
        <v>0</v>
      </c>
      <c r="AR683" s="2" t="n">
        <v>0</v>
      </c>
      <c r="AS683" s="2" t="n">
        <v>0</v>
      </c>
      <c r="AT683" s="2" t="n">
        <v>0</v>
      </c>
      <c r="AU683" s="2" t="n">
        <v>0</v>
      </c>
      <c r="AV683" s="2" t="n">
        <v>0</v>
      </c>
      <c r="AW683" s="2" t="n">
        <v>0</v>
      </c>
      <c r="AX683" s="2" t="n">
        <v>0</v>
      </c>
      <c r="AY683" s="2" t="n">
        <v>0</v>
      </c>
      <c r="AZ683" s="2" t="n">
        <v>0</v>
      </c>
      <c r="BA683" s="2" t="n">
        <v>0</v>
      </c>
      <c r="BB683" s="2" t="n">
        <v>0</v>
      </c>
      <c r="BC683" s="2" t="n">
        <v>0</v>
      </c>
      <c r="BD683" s="2" t="n">
        <v>0</v>
      </c>
      <c r="BE683" s="2" t="n">
        <v>0</v>
      </c>
      <c r="BF683" s="2" t="n">
        <v>0</v>
      </c>
      <c r="BG683" s="2" t="n">
        <v>0</v>
      </c>
      <c r="BH683" s="2" t="n">
        <v>0</v>
      </c>
      <c r="BI683" s="2" t="n">
        <v>0</v>
      </c>
      <c r="BJ683" s="2" t="n">
        <v>0</v>
      </c>
      <c r="BK683" s="2" t="n">
        <v>0</v>
      </c>
      <c r="BL683" s="2" t="n">
        <v>0</v>
      </c>
      <c r="BM683" s="2" t="n">
        <v>0</v>
      </c>
      <c r="BN683" s="2" t="n">
        <v>0</v>
      </c>
      <c r="BO683" s="2" t="n">
        <v>0</v>
      </c>
      <c r="BP683" s="2" t="n">
        <v>0</v>
      </c>
      <c r="BQ683" s="2" t="n">
        <v>0</v>
      </c>
      <c r="BR683" s="2" t="n">
        <v>0</v>
      </c>
      <c r="BS683" s="2" t="n">
        <v>0</v>
      </c>
      <c r="BT683" s="2" t="n">
        <v>0</v>
      </c>
      <c r="BU683" s="2" t="n">
        <v>0</v>
      </c>
      <c r="BV683" s="2" t="n">
        <v>0</v>
      </c>
      <c r="BW683" s="2" t="n">
        <v>0</v>
      </c>
      <c r="BX683" s="2" t="n">
        <v>0</v>
      </c>
      <c r="BY683" s="2" t="n">
        <v>0</v>
      </c>
      <c r="BZ683" s="2" t="n">
        <v>0</v>
      </c>
      <c r="CA683" s="2" t="n">
        <v>0</v>
      </c>
      <c r="CB683" s="2" t="n">
        <v>0</v>
      </c>
      <c r="CC683" s="2" t="n">
        <v>0</v>
      </c>
      <c r="CD683" s="2" t="n">
        <v>0</v>
      </c>
      <c r="CE683" s="2" t="n">
        <v>0</v>
      </c>
      <c r="CF683" s="2" t="n">
        <v>0</v>
      </c>
      <c r="CG683" s="2" t="n">
        <v>0</v>
      </c>
      <c r="CH683" s="2" t="n">
        <v>0</v>
      </c>
      <c r="CI683" s="2" t="n">
        <v>0</v>
      </c>
      <c r="CJ683" s="2" t="n">
        <v>0</v>
      </c>
      <c r="CK683" s="2" t="n">
        <v>0</v>
      </c>
      <c r="CL683" s="2" t="n">
        <v>0</v>
      </c>
      <c r="CM683" s="2" t="n">
        <v>0</v>
      </c>
      <c r="CN683" s="2" t="n">
        <v>0</v>
      </c>
      <c r="CO683" s="2" t="n">
        <v>0</v>
      </c>
      <c r="CP683" s="2" t="n">
        <v>0</v>
      </c>
      <c r="CQ683" s="2" t="n">
        <v>0</v>
      </c>
      <c r="CR683" s="2" t="n">
        <v>0</v>
      </c>
      <c r="CS683" s="2" t="n">
        <v>0</v>
      </c>
      <c r="CT683" s="2" t="n">
        <v>0</v>
      </c>
      <c r="CU683" s="2" t="n">
        <v>0</v>
      </c>
      <c r="CV683" s="2" t="n">
        <v>0</v>
      </c>
      <c r="CW683" s="2" t="n">
        <v>0</v>
      </c>
      <c r="CX683" s="2" t="n">
        <v>0</v>
      </c>
      <c r="CY683" s="2" t="n">
        <v>0</v>
      </c>
      <c r="CZ683" s="2" t="n">
        <v>0</v>
      </c>
      <c r="DA683" s="2" t="n">
        <v>0</v>
      </c>
      <c r="DB683" s="2" t="n">
        <v>0</v>
      </c>
      <c r="DC683" s="2" t="n">
        <v>0</v>
      </c>
      <c r="DD683" s="2" t="n">
        <v>0</v>
      </c>
      <c r="DE683" s="2" t="n">
        <v>0</v>
      </c>
      <c r="DF683" s="2" t="n">
        <v>0</v>
      </c>
      <c r="DG683" s="2" t="n">
        <v>0</v>
      </c>
      <c r="DH683" s="2" t="n">
        <v>0</v>
      </c>
      <c r="DI683" s="2" t="n">
        <v>0</v>
      </c>
      <c r="DJ683" s="2" t="n">
        <v>0</v>
      </c>
      <c r="DK683" s="2" t="n">
        <v>0</v>
      </c>
      <c r="DL683" s="2" t="n">
        <v>0</v>
      </c>
      <c r="DM683" s="2" t="n">
        <v>0</v>
      </c>
      <c r="DN683" s="2" t="n">
        <v>0</v>
      </c>
      <c r="DO683" s="2" t="n">
        <v>0</v>
      </c>
      <c r="DP683" s="2" t="n">
        <v>0</v>
      </c>
      <c r="DQ683" s="2" t="n">
        <v>0</v>
      </c>
      <c r="DR683" s="2" t="n">
        <v>0</v>
      </c>
      <c r="DS683" s="2" t="n">
        <v>0</v>
      </c>
      <c r="DT683" s="2" t="n">
        <v>0</v>
      </c>
      <c r="DU683" s="2" t="n">
        <v>0</v>
      </c>
      <c r="DV683" s="2" t="n">
        <v>0</v>
      </c>
      <c r="DW683" s="2" t="n">
        <v>0</v>
      </c>
      <c r="DX683" s="2" t="n">
        <v>0</v>
      </c>
      <c r="DY683" s="2" t="n">
        <v>0</v>
      </c>
      <c r="DZ683" s="2" t="n">
        <v>9.09</v>
      </c>
      <c r="EA683" s="2" t="n">
        <v>0</v>
      </c>
      <c r="EB683" s="2" t="n">
        <v>6.06</v>
      </c>
      <c r="EC683" s="2" t="n">
        <v>66.67</v>
      </c>
      <c r="ED683" s="2" t="n">
        <v>0</v>
      </c>
      <c r="EE683" s="2" t="n">
        <v>51.52</v>
      </c>
      <c r="EF683" s="2" t="n">
        <v>100</v>
      </c>
      <c r="EG683" s="2" t="n">
        <v>0</v>
      </c>
      <c r="EH683" s="2" t="n">
        <v>100</v>
      </c>
      <c r="EI683" s="2" t="n">
        <v>100</v>
      </c>
      <c r="EJ683" s="2" t="n">
        <v>0</v>
      </c>
      <c r="EK683" s="2" t="n">
        <v>100</v>
      </c>
      <c r="EL683" s="2" t="n">
        <v>100</v>
      </c>
      <c r="EM683" s="2" t="n">
        <v>0</v>
      </c>
      <c r="EN683" s="2" t="n">
        <v>100</v>
      </c>
      <c r="EO683" s="2" t="n">
        <v>100</v>
      </c>
      <c r="EP683" s="2" t="n">
        <v>0</v>
      </c>
      <c r="EQ683" s="2" t="n">
        <v>100</v>
      </c>
      <c r="ER683" s="2" t="n">
        <v>100</v>
      </c>
      <c r="ES683" s="2" t="n">
        <v>0</v>
      </c>
    </row>
    <row r="684">
      <c r="A684" s="2" t="n">
        <v>4</v>
      </c>
      <c r="B684" s="2" t="inlineStr">
        <is>
          <t>30.03.03.01</t>
        </is>
      </c>
      <c r="C684" s="2" t="inlineStr">
        <is>
          <t>Piso Impact Soft 50 | Placas de 1x1 m | Aubicon</t>
        </is>
      </c>
      <c r="D684" s="2" t="inlineStr">
        <is>
          <t>27/10/2028</t>
        </is>
      </c>
      <c r="E684" s="2" t="inlineStr">
        <is>
          <t>18/12/2028</t>
        </is>
      </c>
      <c r="F684" s="2" t="n">
        <v>30295.89</v>
      </c>
      <c r="G684" s="2" t="n">
        <v>0</v>
      </c>
      <c r="H684" s="2" t="n">
        <v>30295.89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0</v>
      </c>
      <c r="AM684" s="2" t="n">
        <v>0</v>
      </c>
      <c r="AN684" s="2" t="n">
        <v>0</v>
      </c>
      <c r="AO684" s="2" t="n">
        <v>0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n">
        <v>0</v>
      </c>
      <c r="AZ684" s="2" t="n">
        <v>0</v>
      </c>
      <c r="BA684" s="2" t="n">
        <v>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n">
        <v>0</v>
      </c>
      <c r="BI684" s="2" t="n">
        <v>0</v>
      </c>
      <c r="BJ684" s="2" t="n">
        <v>0</v>
      </c>
      <c r="BK684" s="2" t="n">
        <v>0</v>
      </c>
      <c r="BL684" s="2" t="n">
        <v>0</v>
      </c>
      <c r="BM684" s="2" t="n">
        <v>0</v>
      </c>
      <c r="BN684" s="2" t="n">
        <v>0</v>
      </c>
      <c r="BO684" s="2" t="n">
        <v>0</v>
      </c>
      <c r="BP684" s="2" t="n">
        <v>0</v>
      </c>
      <c r="BQ684" s="2" t="n">
        <v>0</v>
      </c>
      <c r="BR684" s="2" t="n">
        <v>0</v>
      </c>
      <c r="BS684" s="2" t="n">
        <v>0</v>
      </c>
      <c r="BT684" s="2" t="n">
        <v>0</v>
      </c>
      <c r="BU684" s="2" t="n">
        <v>0</v>
      </c>
      <c r="BV684" s="2" t="n">
        <v>0</v>
      </c>
      <c r="BW684" s="2" t="n">
        <v>0</v>
      </c>
      <c r="BX684" s="2" t="n">
        <v>0</v>
      </c>
      <c r="BY684" s="2" t="n">
        <v>0</v>
      </c>
      <c r="BZ684" s="2" t="n">
        <v>0</v>
      </c>
      <c r="CA684" s="2" t="n">
        <v>0</v>
      </c>
      <c r="CB684" s="2" t="n">
        <v>0</v>
      </c>
      <c r="CC684" s="2" t="n">
        <v>0</v>
      </c>
      <c r="CD684" s="2" t="n">
        <v>0</v>
      </c>
      <c r="CE684" s="2" t="n">
        <v>0</v>
      </c>
      <c r="CF684" s="2" t="n">
        <v>0</v>
      </c>
      <c r="CG684" s="2" t="n">
        <v>0</v>
      </c>
      <c r="CH684" s="2" t="n">
        <v>0</v>
      </c>
      <c r="CI684" s="2" t="n">
        <v>0</v>
      </c>
      <c r="CJ684" s="2" t="n">
        <v>0</v>
      </c>
      <c r="CK684" s="2" t="n">
        <v>0</v>
      </c>
      <c r="CL684" s="2" t="n">
        <v>0</v>
      </c>
      <c r="CM684" s="2" t="n">
        <v>0</v>
      </c>
      <c r="CN684" s="2" t="n">
        <v>0</v>
      </c>
      <c r="CO684" s="2" t="n">
        <v>0</v>
      </c>
      <c r="CP684" s="2" t="n">
        <v>0</v>
      </c>
      <c r="CQ684" s="2" t="n">
        <v>0</v>
      </c>
      <c r="CR684" s="2" t="n">
        <v>0</v>
      </c>
      <c r="CS684" s="2" t="n">
        <v>0</v>
      </c>
      <c r="CT684" s="2" t="n">
        <v>0</v>
      </c>
      <c r="CU684" s="2" t="n">
        <v>0</v>
      </c>
      <c r="CV684" s="2" t="n">
        <v>0</v>
      </c>
      <c r="CW684" s="2" t="n">
        <v>0</v>
      </c>
      <c r="CX684" s="2" t="n">
        <v>0</v>
      </c>
      <c r="CY684" s="2" t="n">
        <v>0</v>
      </c>
      <c r="CZ684" s="2" t="n">
        <v>0</v>
      </c>
      <c r="DA684" s="2" t="n">
        <v>0</v>
      </c>
      <c r="DB684" s="2" t="n">
        <v>0</v>
      </c>
      <c r="DC684" s="2" t="n">
        <v>0</v>
      </c>
      <c r="DD684" s="2" t="n">
        <v>0</v>
      </c>
      <c r="DE684" s="2" t="n">
        <v>0</v>
      </c>
      <c r="DF684" s="2" t="n">
        <v>0</v>
      </c>
      <c r="DG684" s="2" t="n">
        <v>0</v>
      </c>
      <c r="DH684" s="2" t="n">
        <v>0</v>
      </c>
      <c r="DI684" s="2" t="n">
        <v>0</v>
      </c>
      <c r="DJ684" s="2" t="n">
        <v>0</v>
      </c>
      <c r="DK684" s="2" t="n">
        <v>0</v>
      </c>
      <c r="DL684" s="2" t="n">
        <v>0</v>
      </c>
      <c r="DM684" s="2" t="n">
        <v>0</v>
      </c>
      <c r="DN684" s="2" t="n">
        <v>0</v>
      </c>
      <c r="DO684" s="2" t="n">
        <v>0</v>
      </c>
      <c r="DP684" s="2" t="n">
        <v>0</v>
      </c>
      <c r="DQ684" s="2" t="n">
        <v>0</v>
      </c>
      <c r="DR684" s="2" t="n">
        <v>0</v>
      </c>
      <c r="DS684" s="2" t="n">
        <v>0</v>
      </c>
      <c r="DT684" s="2" t="n">
        <v>0</v>
      </c>
      <c r="DU684" s="2" t="n">
        <v>0</v>
      </c>
      <c r="DV684" s="2" t="n">
        <v>0</v>
      </c>
      <c r="DW684" s="2" t="n">
        <v>0</v>
      </c>
      <c r="DX684" s="2" t="n">
        <v>0</v>
      </c>
      <c r="DY684" s="2" t="n">
        <v>0</v>
      </c>
      <c r="DZ684" s="2" t="n">
        <v>9.09</v>
      </c>
      <c r="EA684" s="2" t="n">
        <v>0</v>
      </c>
      <c r="EB684" s="2" t="n">
        <v>6.06</v>
      </c>
      <c r="EC684" s="2" t="n">
        <v>66.67</v>
      </c>
      <c r="ED684" s="2" t="n">
        <v>0</v>
      </c>
      <c r="EE684" s="2" t="n">
        <v>51.52</v>
      </c>
      <c r="EF684" s="2" t="n">
        <v>100</v>
      </c>
      <c r="EG684" s="2" t="n">
        <v>0</v>
      </c>
      <c r="EH684" s="2" t="n">
        <v>100</v>
      </c>
      <c r="EI684" s="2" t="n">
        <v>100</v>
      </c>
      <c r="EJ684" s="2" t="n">
        <v>0</v>
      </c>
      <c r="EK684" s="2" t="n">
        <v>100</v>
      </c>
      <c r="EL684" s="2" t="n">
        <v>100</v>
      </c>
      <c r="EM684" s="2" t="n">
        <v>0</v>
      </c>
      <c r="EN684" s="2" t="n">
        <v>100</v>
      </c>
      <c r="EO684" s="2" t="n">
        <v>100</v>
      </c>
      <c r="EP684" s="2" t="n">
        <v>0</v>
      </c>
      <c r="EQ684" s="2" t="n">
        <v>100</v>
      </c>
      <c r="ER684" s="2" t="n">
        <v>100</v>
      </c>
      <c r="ES684" s="2" t="n">
        <v>0</v>
      </c>
    </row>
    <row r="685">
      <c r="A685" s="2" t="n">
        <v>4</v>
      </c>
      <c r="B685" s="2" t="inlineStr">
        <is>
          <t>30.03.03.02</t>
        </is>
      </c>
      <c r="C685" s="2" t="inlineStr">
        <is>
          <t>Piso elevado pilotis (Acabamento considerado nos itens específicos)</t>
        </is>
      </c>
      <c r="D685" s="2" t="inlineStr">
        <is>
          <t>27/10/2028</t>
        </is>
      </c>
      <c r="E685" s="2" t="inlineStr">
        <is>
          <t>18/12/2028</t>
        </is>
      </c>
      <c r="F685" s="2" t="n">
        <v>231343.672</v>
      </c>
      <c r="G685" s="2" t="n">
        <v>0</v>
      </c>
      <c r="H685" s="2" t="n">
        <v>231343.672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n">
        <v>0</v>
      </c>
      <c r="AK685" s="2" t="n">
        <v>0</v>
      </c>
      <c r="AL685" s="2" t="n">
        <v>0</v>
      </c>
      <c r="AM685" s="2" t="n">
        <v>0</v>
      </c>
      <c r="AN685" s="2" t="n">
        <v>0</v>
      </c>
      <c r="AO685" s="2" t="n">
        <v>0</v>
      </c>
      <c r="AP685" s="2" t="n">
        <v>0</v>
      </c>
      <c r="AQ685" s="2" t="n">
        <v>0</v>
      </c>
      <c r="AR685" s="2" t="n">
        <v>0</v>
      </c>
      <c r="AS685" s="2" t="n">
        <v>0</v>
      </c>
      <c r="AT685" s="2" t="n">
        <v>0</v>
      </c>
      <c r="AU685" s="2" t="n">
        <v>0</v>
      </c>
      <c r="AV685" s="2" t="n">
        <v>0</v>
      </c>
      <c r="AW685" s="2" t="n">
        <v>0</v>
      </c>
      <c r="AX685" s="2" t="n">
        <v>0</v>
      </c>
      <c r="AY685" s="2" t="n">
        <v>0</v>
      </c>
      <c r="AZ685" s="2" t="n">
        <v>0</v>
      </c>
      <c r="BA685" s="2" t="n">
        <v>0</v>
      </c>
      <c r="BB685" s="2" t="n">
        <v>0</v>
      </c>
      <c r="BC685" s="2" t="n">
        <v>0</v>
      </c>
      <c r="BD685" s="2" t="n">
        <v>0</v>
      </c>
      <c r="BE685" s="2" t="n">
        <v>0</v>
      </c>
      <c r="BF685" s="2" t="n">
        <v>0</v>
      </c>
      <c r="BG685" s="2" t="n">
        <v>0</v>
      </c>
      <c r="BH685" s="2" t="n">
        <v>0</v>
      </c>
      <c r="BI685" s="2" t="n">
        <v>0</v>
      </c>
      <c r="BJ685" s="2" t="n">
        <v>0</v>
      </c>
      <c r="BK685" s="2" t="n">
        <v>0</v>
      </c>
      <c r="BL685" s="2" t="n">
        <v>0</v>
      </c>
      <c r="BM685" s="2" t="n">
        <v>0</v>
      </c>
      <c r="BN685" s="2" t="n">
        <v>0</v>
      </c>
      <c r="BO685" s="2" t="n">
        <v>0</v>
      </c>
      <c r="BP685" s="2" t="n">
        <v>0</v>
      </c>
      <c r="BQ685" s="2" t="n">
        <v>0</v>
      </c>
      <c r="BR685" s="2" t="n">
        <v>0</v>
      </c>
      <c r="BS685" s="2" t="n">
        <v>0</v>
      </c>
      <c r="BT685" s="2" t="n">
        <v>0</v>
      </c>
      <c r="BU685" s="2" t="n">
        <v>0</v>
      </c>
      <c r="BV685" s="2" t="n">
        <v>0</v>
      </c>
      <c r="BW685" s="2" t="n">
        <v>0</v>
      </c>
      <c r="BX685" s="2" t="n">
        <v>0</v>
      </c>
      <c r="BY685" s="2" t="n">
        <v>0</v>
      </c>
      <c r="BZ685" s="2" t="n">
        <v>0</v>
      </c>
      <c r="CA685" s="2" t="n">
        <v>0</v>
      </c>
      <c r="CB685" s="2" t="n">
        <v>0</v>
      </c>
      <c r="CC685" s="2" t="n">
        <v>0</v>
      </c>
      <c r="CD685" s="2" t="n">
        <v>0</v>
      </c>
      <c r="CE685" s="2" t="n">
        <v>0</v>
      </c>
      <c r="CF685" s="2" t="n">
        <v>0</v>
      </c>
      <c r="CG685" s="2" t="n">
        <v>0</v>
      </c>
      <c r="CH685" s="2" t="n">
        <v>0</v>
      </c>
      <c r="CI685" s="2" t="n">
        <v>0</v>
      </c>
      <c r="CJ685" s="2" t="n">
        <v>0</v>
      </c>
      <c r="CK685" s="2" t="n">
        <v>0</v>
      </c>
      <c r="CL685" s="2" t="n">
        <v>0</v>
      </c>
      <c r="CM685" s="2" t="n">
        <v>0</v>
      </c>
      <c r="CN685" s="2" t="n">
        <v>0</v>
      </c>
      <c r="CO685" s="2" t="n">
        <v>0</v>
      </c>
      <c r="CP685" s="2" t="n">
        <v>0</v>
      </c>
      <c r="CQ685" s="2" t="n">
        <v>0</v>
      </c>
      <c r="CR685" s="2" t="n">
        <v>0</v>
      </c>
      <c r="CS685" s="2" t="n">
        <v>0</v>
      </c>
      <c r="CT685" s="2" t="n">
        <v>0</v>
      </c>
      <c r="CU685" s="2" t="n">
        <v>0</v>
      </c>
      <c r="CV685" s="2" t="n">
        <v>0</v>
      </c>
      <c r="CW685" s="2" t="n">
        <v>0</v>
      </c>
      <c r="CX685" s="2" t="n">
        <v>0</v>
      </c>
      <c r="CY685" s="2" t="n">
        <v>0</v>
      </c>
      <c r="CZ685" s="2" t="n">
        <v>0</v>
      </c>
      <c r="DA685" s="2" t="n">
        <v>0</v>
      </c>
      <c r="DB685" s="2" t="n">
        <v>0</v>
      </c>
      <c r="DC685" s="2" t="n">
        <v>0</v>
      </c>
      <c r="DD685" s="2" t="n">
        <v>0</v>
      </c>
      <c r="DE685" s="2" t="n">
        <v>0</v>
      </c>
      <c r="DF685" s="2" t="n">
        <v>0</v>
      </c>
      <c r="DG685" s="2" t="n">
        <v>0</v>
      </c>
      <c r="DH685" s="2" t="n">
        <v>0</v>
      </c>
      <c r="DI685" s="2" t="n">
        <v>0</v>
      </c>
      <c r="DJ685" s="2" t="n">
        <v>0</v>
      </c>
      <c r="DK685" s="2" t="n">
        <v>0</v>
      </c>
      <c r="DL685" s="2" t="n">
        <v>0</v>
      </c>
      <c r="DM685" s="2" t="n">
        <v>0</v>
      </c>
      <c r="DN685" s="2" t="n">
        <v>0</v>
      </c>
      <c r="DO685" s="2" t="n">
        <v>0</v>
      </c>
      <c r="DP685" s="2" t="n">
        <v>0</v>
      </c>
      <c r="DQ685" s="2" t="n">
        <v>0</v>
      </c>
      <c r="DR685" s="2" t="n">
        <v>0</v>
      </c>
      <c r="DS685" s="2" t="n">
        <v>0</v>
      </c>
      <c r="DT685" s="2" t="n">
        <v>0</v>
      </c>
      <c r="DU685" s="2" t="n">
        <v>0</v>
      </c>
      <c r="DV685" s="2" t="n">
        <v>0</v>
      </c>
      <c r="DW685" s="2" t="n">
        <v>0</v>
      </c>
      <c r="DX685" s="2" t="n">
        <v>0</v>
      </c>
      <c r="DY685" s="2" t="n">
        <v>0</v>
      </c>
      <c r="DZ685" s="2" t="n">
        <v>9.09</v>
      </c>
      <c r="EA685" s="2" t="n">
        <v>0</v>
      </c>
      <c r="EB685" s="2" t="n">
        <v>6.06</v>
      </c>
      <c r="EC685" s="2" t="n">
        <v>66.67</v>
      </c>
      <c r="ED685" s="2" t="n">
        <v>0</v>
      </c>
      <c r="EE685" s="2" t="n">
        <v>51.52</v>
      </c>
      <c r="EF685" s="2" t="n">
        <v>100</v>
      </c>
      <c r="EG685" s="2" t="n">
        <v>0</v>
      </c>
      <c r="EH685" s="2" t="n">
        <v>100</v>
      </c>
      <c r="EI685" s="2" t="n">
        <v>100</v>
      </c>
      <c r="EJ685" s="2" t="n">
        <v>0</v>
      </c>
      <c r="EK685" s="2" t="n">
        <v>100</v>
      </c>
      <c r="EL685" s="2" t="n">
        <v>100</v>
      </c>
      <c r="EM685" s="2" t="n">
        <v>0</v>
      </c>
      <c r="EN685" s="2" t="n">
        <v>100</v>
      </c>
      <c r="EO685" s="2" t="n">
        <v>100</v>
      </c>
      <c r="EP685" s="2" t="n">
        <v>0</v>
      </c>
      <c r="EQ685" s="2" t="n">
        <v>100</v>
      </c>
      <c r="ER685" s="2" t="n">
        <v>100</v>
      </c>
      <c r="ES685" s="2" t="n">
        <v>0</v>
      </c>
    </row>
    <row r="686">
      <c r="A686" s="2" t="n">
        <v>2</v>
      </c>
      <c r="B686" s="2" t="inlineStr">
        <is>
          <t>30.04</t>
        </is>
      </c>
      <c r="C686" s="2" t="inlineStr">
        <is>
          <t>Rodapés externos</t>
        </is>
      </c>
      <c r="D686" s="2" t="inlineStr">
        <is>
          <t>31/05/2028</t>
        </is>
      </c>
      <c r="E686" s="2" t="inlineStr">
        <is>
          <t>15/02/2029</t>
        </is>
      </c>
      <c r="F686" s="2" t="n">
        <v>13890.04916672509</v>
      </c>
      <c r="G686" s="2" t="n">
        <v>0</v>
      </c>
      <c r="H686" s="2" t="n">
        <v>13890.04916672509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  <c r="AM686" s="2" t="n">
        <v>0</v>
      </c>
      <c r="AN686" s="2" t="n">
        <v>0</v>
      </c>
      <c r="AO686" s="2" t="n">
        <v>0</v>
      </c>
      <c r="AP686" s="2" t="n">
        <v>0</v>
      </c>
      <c r="AQ686" s="2" t="n">
        <v>0</v>
      </c>
      <c r="AR686" s="2" t="n">
        <v>0</v>
      </c>
      <c r="AS686" s="2" t="n">
        <v>0</v>
      </c>
      <c r="AT686" s="2" t="n">
        <v>0</v>
      </c>
      <c r="AU686" s="2" t="n">
        <v>0</v>
      </c>
      <c r="AV686" s="2" t="n">
        <v>0</v>
      </c>
      <c r="AW686" s="2" t="n">
        <v>0</v>
      </c>
      <c r="AX686" s="2" t="n">
        <v>0</v>
      </c>
      <c r="AY686" s="2" t="n">
        <v>0</v>
      </c>
      <c r="AZ686" s="2" t="n">
        <v>0</v>
      </c>
      <c r="BA686" s="2" t="n">
        <v>0</v>
      </c>
      <c r="BB686" s="2" t="n">
        <v>0</v>
      </c>
      <c r="BC686" s="2" t="n">
        <v>0</v>
      </c>
      <c r="BD686" s="2" t="n">
        <v>0</v>
      </c>
      <c r="BE686" s="2" t="n">
        <v>0</v>
      </c>
      <c r="BF686" s="2" t="n">
        <v>0</v>
      </c>
      <c r="BG686" s="2" t="n">
        <v>0</v>
      </c>
      <c r="BH686" s="2" t="n">
        <v>0</v>
      </c>
      <c r="BI686" s="2" t="n">
        <v>0</v>
      </c>
      <c r="BJ686" s="2" t="n">
        <v>0</v>
      </c>
      <c r="BK686" s="2" t="n">
        <v>0</v>
      </c>
      <c r="BL686" s="2" t="n">
        <v>0</v>
      </c>
      <c r="BM686" s="2" t="n">
        <v>0</v>
      </c>
      <c r="BN686" s="2" t="n">
        <v>0</v>
      </c>
      <c r="BO686" s="2" t="n">
        <v>0</v>
      </c>
      <c r="BP686" s="2" t="n">
        <v>0</v>
      </c>
      <c r="BQ686" s="2" t="n">
        <v>0</v>
      </c>
      <c r="BR686" s="2" t="n">
        <v>0</v>
      </c>
      <c r="BS686" s="2" t="n">
        <v>0</v>
      </c>
      <c r="BT686" s="2" t="n">
        <v>0</v>
      </c>
      <c r="BU686" s="2" t="n">
        <v>0</v>
      </c>
      <c r="BV686" s="2" t="n">
        <v>0</v>
      </c>
      <c r="BW686" s="2" t="n">
        <v>0</v>
      </c>
      <c r="BX686" s="2" t="n">
        <v>0</v>
      </c>
      <c r="BY686" s="2" t="n">
        <v>0</v>
      </c>
      <c r="BZ686" s="2" t="n">
        <v>0</v>
      </c>
      <c r="CA686" s="2" t="n">
        <v>0</v>
      </c>
      <c r="CB686" s="2" t="n">
        <v>0</v>
      </c>
      <c r="CC686" s="2" t="n">
        <v>0</v>
      </c>
      <c r="CD686" s="2" t="n">
        <v>0</v>
      </c>
      <c r="CE686" s="2" t="n">
        <v>0</v>
      </c>
      <c r="CF686" s="2" t="n">
        <v>0</v>
      </c>
      <c r="CG686" s="2" t="n">
        <v>0</v>
      </c>
      <c r="CH686" s="2" t="n">
        <v>0</v>
      </c>
      <c r="CI686" s="2" t="n">
        <v>0</v>
      </c>
      <c r="CJ686" s="2" t="n">
        <v>0</v>
      </c>
      <c r="CK686" s="2" t="n">
        <v>0</v>
      </c>
      <c r="CL686" s="2" t="n">
        <v>0</v>
      </c>
      <c r="CM686" s="2" t="n">
        <v>0</v>
      </c>
      <c r="CN686" s="2" t="n">
        <v>0</v>
      </c>
      <c r="CO686" s="2" t="n">
        <v>0</v>
      </c>
      <c r="CP686" s="2" t="n">
        <v>0</v>
      </c>
      <c r="CQ686" s="2" t="n">
        <v>0</v>
      </c>
      <c r="CR686" s="2" t="n">
        <v>0</v>
      </c>
      <c r="CS686" s="2" t="n">
        <v>0</v>
      </c>
      <c r="CT686" s="2" t="n">
        <v>0</v>
      </c>
      <c r="CU686" s="2" t="n">
        <v>0</v>
      </c>
      <c r="CV686" s="2" t="n">
        <v>0</v>
      </c>
      <c r="CW686" s="2" t="n">
        <v>0</v>
      </c>
      <c r="CX686" s="2" t="n">
        <v>0</v>
      </c>
      <c r="CY686" s="2" t="n">
        <v>0</v>
      </c>
      <c r="CZ686" s="2" t="n">
        <v>0</v>
      </c>
      <c r="DA686" s="2" t="n">
        <v>0</v>
      </c>
      <c r="DB686" s="2" t="n">
        <v>0</v>
      </c>
      <c r="DC686" s="2" t="n">
        <v>0</v>
      </c>
      <c r="DD686" s="2" t="n">
        <v>0</v>
      </c>
      <c r="DE686" s="2" t="n">
        <v>0</v>
      </c>
      <c r="DF686" s="2" t="n">
        <v>0</v>
      </c>
      <c r="DG686" s="2" t="n">
        <v>0</v>
      </c>
      <c r="DH686" s="2" t="n">
        <v>0</v>
      </c>
      <c r="DI686" s="2" t="n">
        <v>0</v>
      </c>
      <c r="DJ686" s="2" t="n">
        <v>0</v>
      </c>
      <c r="DK686" s="2" t="n">
        <v>0.57</v>
      </c>
      <c r="DL686" s="2" t="n">
        <v>0</v>
      </c>
      <c r="DM686" s="2" t="n">
        <v>11.93</v>
      </c>
      <c r="DN686" s="2" t="n">
        <v>12.5</v>
      </c>
      <c r="DO686" s="2" t="n">
        <v>0</v>
      </c>
      <c r="DP686" s="2" t="n">
        <v>23.86</v>
      </c>
      <c r="DQ686" s="2" t="n">
        <v>42.77</v>
      </c>
      <c r="DR686" s="2" t="n">
        <v>0</v>
      </c>
      <c r="DS686" s="2" t="n">
        <v>50</v>
      </c>
      <c r="DT686" s="2" t="n">
        <v>50</v>
      </c>
      <c r="DU686" s="2" t="n">
        <v>0</v>
      </c>
      <c r="DV686" s="2" t="n">
        <v>50</v>
      </c>
      <c r="DW686" s="2" t="n">
        <v>50</v>
      </c>
      <c r="DX686" s="2" t="n">
        <v>0</v>
      </c>
      <c r="DY686" s="2" t="n">
        <v>50</v>
      </c>
      <c r="DZ686" s="2" t="n">
        <v>52.27</v>
      </c>
      <c r="EA686" s="2" t="n">
        <v>0</v>
      </c>
      <c r="EB686" s="2" t="n">
        <v>51.52</v>
      </c>
      <c r="EC686" s="2" t="n">
        <v>66.67</v>
      </c>
      <c r="ED686" s="2" t="n">
        <v>0</v>
      </c>
      <c r="EE686" s="2" t="n">
        <v>68.56</v>
      </c>
      <c r="EF686" s="2" t="n">
        <v>81.25</v>
      </c>
      <c r="EG686" s="2" t="n">
        <v>0</v>
      </c>
      <c r="EH686" s="2" t="n">
        <v>93.18000000000001</v>
      </c>
      <c r="EI686" s="2" t="n">
        <v>93.75</v>
      </c>
      <c r="EJ686" s="2" t="n">
        <v>0</v>
      </c>
      <c r="EK686" s="2" t="n">
        <v>100</v>
      </c>
      <c r="EL686" s="2" t="n">
        <v>100</v>
      </c>
      <c r="EM686" s="2" t="n">
        <v>0</v>
      </c>
      <c r="EN686" s="2" t="n">
        <v>100</v>
      </c>
      <c r="EO686" s="2" t="n">
        <v>100</v>
      </c>
      <c r="EP686" s="2" t="n">
        <v>0</v>
      </c>
      <c r="EQ686" s="2" t="n">
        <v>100</v>
      </c>
      <c r="ER686" s="2" t="n">
        <v>100</v>
      </c>
      <c r="ES686" s="2" t="n">
        <v>0</v>
      </c>
    </row>
    <row r="687">
      <c r="A687" s="2" t="n">
        <v>3</v>
      </c>
      <c r="B687" s="2" t="inlineStr">
        <is>
          <t>30.04.01</t>
        </is>
      </c>
      <c r="C687" s="2" t="inlineStr">
        <is>
          <t>Rodapé para Piso de granito Branco Ornamental White, acabamento levigado, h=10cm, assentado com argamassa colante em pó ACIII</t>
        </is>
      </c>
      <c r="D687" s="2" t="inlineStr">
        <is>
          <t>31/05/2028</t>
        </is>
      </c>
      <c r="E687" s="2" t="inlineStr">
        <is>
          <t>15/02/2029</t>
        </is>
      </c>
      <c r="F687" s="2" t="n">
        <v>13890.04916672509</v>
      </c>
      <c r="G687" s="2" t="n">
        <v>0</v>
      </c>
      <c r="H687" s="2" t="n">
        <v>13890.04916672509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0</v>
      </c>
      <c r="AL687" s="2" t="n">
        <v>0</v>
      </c>
      <c r="AM687" s="2" t="n">
        <v>0</v>
      </c>
      <c r="AN687" s="2" t="n">
        <v>0</v>
      </c>
      <c r="AO687" s="2" t="n">
        <v>0</v>
      </c>
      <c r="AP687" s="2" t="n">
        <v>0</v>
      </c>
      <c r="AQ687" s="2" t="n">
        <v>0</v>
      </c>
      <c r="AR687" s="2" t="n">
        <v>0</v>
      </c>
      <c r="AS687" s="2" t="n">
        <v>0</v>
      </c>
      <c r="AT687" s="2" t="n">
        <v>0</v>
      </c>
      <c r="AU687" s="2" t="n">
        <v>0</v>
      </c>
      <c r="AV687" s="2" t="n">
        <v>0</v>
      </c>
      <c r="AW687" s="2" t="n">
        <v>0</v>
      </c>
      <c r="AX687" s="2" t="n">
        <v>0</v>
      </c>
      <c r="AY687" s="2" t="n">
        <v>0</v>
      </c>
      <c r="AZ687" s="2" t="n">
        <v>0</v>
      </c>
      <c r="BA687" s="2" t="n">
        <v>0</v>
      </c>
      <c r="BB687" s="2" t="n">
        <v>0</v>
      </c>
      <c r="BC687" s="2" t="n">
        <v>0</v>
      </c>
      <c r="BD687" s="2" t="n">
        <v>0</v>
      </c>
      <c r="BE687" s="2" t="n">
        <v>0</v>
      </c>
      <c r="BF687" s="2" t="n">
        <v>0</v>
      </c>
      <c r="BG687" s="2" t="n">
        <v>0</v>
      </c>
      <c r="BH687" s="2" t="n">
        <v>0</v>
      </c>
      <c r="BI687" s="2" t="n">
        <v>0</v>
      </c>
      <c r="BJ687" s="2" t="n">
        <v>0</v>
      </c>
      <c r="BK687" s="2" t="n">
        <v>0</v>
      </c>
      <c r="BL687" s="2" t="n">
        <v>0</v>
      </c>
      <c r="BM687" s="2" t="n">
        <v>0</v>
      </c>
      <c r="BN687" s="2" t="n">
        <v>0</v>
      </c>
      <c r="BO687" s="2" t="n">
        <v>0</v>
      </c>
      <c r="BP687" s="2" t="n">
        <v>0</v>
      </c>
      <c r="BQ687" s="2" t="n">
        <v>0</v>
      </c>
      <c r="BR687" s="2" t="n">
        <v>0</v>
      </c>
      <c r="BS687" s="2" t="n">
        <v>0</v>
      </c>
      <c r="BT687" s="2" t="n">
        <v>0</v>
      </c>
      <c r="BU687" s="2" t="n">
        <v>0</v>
      </c>
      <c r="BV687" s="2" t="n">
        <v>0</v>
      </c>
      <c r="BW687" s="2" t="n">
        <v>0</v>
      </c>
      <c r="BX687" s="2" t="n">
        <v>0</v>
      </c>
      <c r="BY687" s="2" t="n">
        <v>0</v>
      </c>
      <c r="BZ687" s="2" t="n">
        <v>0</v>
      </c>
      <c r="CA687" s="2" t="n">
        <v>0</v>
      </c>
      <c r="CB687" s="2" t="n">
        <v>0</v>
      </c>
      <c r="CC687" s="2" t="n">
        <v>0</v>
      </c>
      <c r="CD687" s="2" t="n">
        <v>0</v>
      </c>
      <c r="CE687" s="2" t="n">
        <v>0</v>
      </c>
      <c r="CF687" s="2" t="n">
        <v>0</v>
      </c>
      <c r="CG687" s="2" t="n">
        <v>0</v>
      </c>
      <c r="CH687" s="2" t="n">
        <v>0</v>
      </c>
      <c r="CI687" s="2" t="n">
        <v>0</v>
      </c>
      <c r="CJ687" s="2" t="n">
        <v>0</v>
      </c>
      <c r="CK687" s="2" t="n">
        <v>0</v>
      </c>
      <c r="CL687" s="2" t="n">
        <v>0</v>
      </c>
      <c r="CM687" s="2" t="n">
        <v>0</v>
      </c>
      <c r="CN687" s="2" t="n">
        <v>0</v>
      </c>
      <c r="CO687" s="2" t="n">
        <v>0</v>
      </c>
      <c r="CP687" s="2" t="n">
        <v>0</v>
      </c>
      <c r="CQ687" s="2" t="n">
        <v>0</v>
      </c>
      <c r="CR687" s="2" t="n">
        <v>0</v>
      </c>
      <c r="CS687" s="2" t="n">
        <v>0</v>
      </c>
      <c r="CT687" s="2" t="n">
        <v>0</v>
      </c>
      <c r="CU687" s="2" t="n">
        <v>0</v>
      </c>
      <c r="CV687" s="2" t="n">
        <v>0</v>
      </c>
      <c r="CW687" s="2" t="n">
        <v>0</v>
      </c>
      <c r="CX687" s="2" t="n">
        <v>0</v>
      </c>
      <c r="CY687" s="2" t="n">
        <v>0</v>
      </c>
      <c r="CZ687" s="2" t="n">
        <v>0</v>
      </c>
      <c r="DA687" s="2" t="n">
        <v>0</v>
      </c>
      <c r="DB687" s="2" t="n">
        <v>0</v>
      </c>
      <c r="DC687" s="2" t="n">
        <v>0</v>
      </c>
      <c r="DD687" s="2" t="n">
        <v>0</v>
      </c>
      <c r="DE687" s="2" t="n">
        <v>0</v>
      </c>
      <c r="DF687" s="2" t="n">
        <v>0</v>
      </c>
      <c r="DG687" s="2" t="n">
        <v>0</v>
      </c>
      <c r="DH687" s="2" t="n">
        <v>0</v>
      </c>
      <c r="DI687" s="2" t="n">
        <v>0</v>
      </c>
      <c r="DJ687" s="2" t="n">
        <v>0</v>
      </c>
      <c r="DK687" s="2" t="n">
        <v>0.57</v>
      </c>
      <c r="DL687" s="2" t="n">
        <v>0</v>
      </c>
      <c r="DM687" s="2" t="n">
        <v>11.93</v>
      </c>
      <c r="DN687" s="2" t="n">
        <v>12.5</v>
      </c>
      <c r="DO687" s="2" t="n">
        <v>0</v>
      </c>
      <c r="DP687" s="2" t="n">
        <v>23.86</v>
      </c>
      <c r="DQ687" s="2" t="n">
        <v>42.77</v>
      </c>
      <c r="DR687" s="2" t="n">
        <v>0</v>
      </c>
      <c r="DS687" s="2" t="n">
        <v>50</v>
      </c>
      <c r="DT687" s="2" t="n">
        <v>50</v>
      </c>
      <c r="DU687" s="2" t="n">
        <v>0</v>
      </c>
      <c r="DV687" s="2" t="n">
        <v>50</v>
      </c>
      <c r="DW687" s="2" t="n">
        <v>50</v>
      </c>
      <c r="DX687" s="2" t="n">
        <v>0</v>
      </c>
      <c r="DY687" s="2" t="n">
        <v>50</v>
      </c>
      <c r="DZ687" s="2" t="n">
        <v>52.27</v>
      </c>
      <c r="EA687" s="2" t="n">
        <v>0</v>
      </c>
      <c r="EB687" s="2" t="n">
        <v>51.52</v>
      </c>
      <c r="EC687" s="2" t="n">
        <v>66.67</v>
      </c>
      <c r="ED687" s="2" t="n">
        <v>0</v>
      </c>
      <c r="EE687" s="2" t="n">
        <v>68.56</v>
      </c>
      <c r="EF687" s="2" t="n">
        <v>81.25</v>
      </c>
      <c r="EG687" s="2" t="n">
        <v>0</v>
      </c>
      <c r="EH687" s="2" t="n">
        <v>93.18000000000001</v>
      </c>
      <c r="EI687" s="2" t="n">
        <v>93.75</v>
      </c>
      <c r="EJ687" s="2" t="n">
        <v>0</v>
      </c>
      <c r="EK687" s="2" t="n">
        <v>100</v>
      </c>
      <c r="EL687" s="2" t="n">
        <v>100</v>
      </c>
      <c r="EM687" s="2" t="n">
        <v>0</v>
      </c>
      <c r="EN687" s="2" t="n">
        <v>100</v>
      </c>
      <c r="EO687" s="2" t="n">
        <v>100</v>
      </c>
      <c r="EP687" s="2" t="n">
        <v>0</v>
      </c>
      <c r="EQ687" s="2" t="n">
        <v>100</v>
      </c>
      <c r="ER687" s="2" t="n">
        <v>100</v>
      </c>
      <c r="ES687" s="2" t="n">
        <v>0</v>
      </c>
    </row>
    <row r="688">
      <c r="A688" s="2" t="n">
        <v>2</v>
      </c>
      <c r="B688" s="2" t="inlineStr">
        <is>
          <t>30.05</t>
        </is>
      </c>
      <c r="C688" s="2" t="inlineStr">
        <is>
          <t>Paredes</t>
        </is>
      </c>
      <c r="D688" s="2" t="inlineStr">
        <is>
          <t>24/08/2027</t>
        </is>
      </c>
      <c r="E688" s="2" t="inlineStr">
        <is>
          <t>15/09/2028</t>
        </is>
      </c>
      <c r="F688" s="2" t="n">
        <v>2335493.609353417</v>
      </c>
      <c r="G688" s="2" t="n">
        <v>0</v>
      </c>
      <c r="H688" s="2" t="n">
        <v>2335493.609353417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0</v>
      </c>
      <c r="AM688" s="2" t="n">
        <v>0</v>
      </c>
      <c r="AN688" s="2" t="n">
        <v>0</v>
      </c>
      <c r="AO688" s="2" t="n">
        <v>0</v>
      </c>
      <c r="AP688" s="2" t="n">
        <v>0</v>
      </c>
      <c r="AQ688" s="2" t="n">
        <v>0</v>
      </c>
      <c r="AR688" s="2" t="n">
        <v>0</v>
      </c>
      <c r="AS688" s="2" t="n">
        <v>0</v>
      </c>
      <c r="AT688" s="2" t="n">
        <v>0</v>
      </c>
      <c r="AU688" s="2" t="n">
        <v>0</v>
      </c>
      <c r="AV688" s="2" t="n">
        <v>0</v>
      </c>
      <c r="AW688" s="2" t="n">
        <v>0</v>
      </c>
      <c r="AX688" s="2" t="n">
        <v>0</v>
      </c>
      <c r="AY688" s="2" t="n">
        <v>0</v>
      </c>
      <c r="AZ688" s="2" t="n">
        <v>0</v>
      </c>
      <c r="BA688" s="2" t="n">
        <v>0</v>
      </c>
      <c r="BB688" s="2" t="n">
        <v>0</v>
      </c>
      <c r="BC688" s="2" t="n">
        <v>0</v>
      </c>
      <c r="BD688" s="2" t="n">
        <v>0</v>
      </c>
      <c r="BE688" s="2" t="n">
        <v>0</v>
      </c>
      <c r="BF688" s="2" t="n">
        <v>0</v>
      </c>
      <c r="BG688" s="2" t="n">
        <v>0</v>
      </c>
      <c r="BH688" s="2" t="n">
        <v>0</v>
      </c>
      <c r="BI688" s="2" t="n">
        <v>0</v>
      </c>
      <c r="BJ688" s="2" t="n">
        <v>0</v>
      </c>
      <c r="BK688" s="2" t="n">
        <v>0</v>
      </c>
      <c r="BL688" s="2" t="n">
        <v>0</v>
      </c>
      <c r="BM688" s="2" t="n">
        <v>0</v>
      </c>
      <c r="BN688" s="2" t="n">
        <v>0</v>
      </c>
      <c r="BO688" s="2" t="n">
        <v>0</v>
      </c>
      <c r="BP688" s="2" t="n">
        <v>0</v>
      </c>
      <c r="BQ688" s="2" t="n">
        <v>0</v>
      </c>
      <c r="BR688" s="2" t="n">
        <v>0</v>
      </c>
      <c r="BS688" s="2" t="n">
        <v>0</v>
      </c>
      <c r="BT688" s="2" t="n">
        <v>0</v>
      </c>
      <c r="BU688" s="2" t="n">
        <v>0</v>
      </c>
      <c r="BV688" s="2" t="n">
        <v>0</v>
      </c>
      <c r="BW688" s="2" t="n">
        <v>0</v>
      </c>
      <c r="BX688" s="2" t="n">
        <v>0</v>
      </c>
      <c r="BY688" s="2" t="n">
        <v>0</v>
      </c>
      <c r="BZ688" s="2" t="n">
        <v>0</v>
      </c>
      <c r="CA688" s="2" t="n">
        <v>0</v>
      </c>
      <c r="CB688" s="2" t="n">
        <v>0</v>
      </c>
      <c r="CC688" s="2" t="n">
        <v>0</v>
      </c>
      <c r="CD688" s="2" t="n">
        <v>0</v>
      </c>
      <c r="CE688" s="2" t="n">
        <v>0</v>
      </c>
      <c r="CF688" s="2" t="n">
        <v>0</v>
      </c>
      <c r="CG688" s="2" t="n">
        <v>0</v>
      </c>
      <c r="CH688" s="2" t="n">
        <v>0</v>
      </c>
      <c r="CI688" s="2" t="n">
        <v>0.36</v>
      </c>
      <c r="CJ688" s="2" t="n">
        <v>2.15</v>
      </c>
      <c r="CK688" s="2" t="n">
        <v>0</v>
      </c>
      <c r="CL688" s="2" t="n">
        <v>8.050000000000001</v>
      </c>
      <c r="CM688" s="2" t="n">
        <v>9.880000000000001</v>
      </c>
      <c r="CN688" s="2" t="n">
        <v>0</v>
      </c>
      <c r="CO688" s="2" t="n">
        <v>16.11</v>
      </c>
      <c r="CP688" s="2" t="n">
        <v>17.97</v>
      </c>
      <c r="CQ688" s="2" t="n">
        <v>0</v>
      </c>
      <c r="CR688" s="2" t="n">
        <v>24.53</v>
      </c>
      <c r="CS688" s="2" t="n">
        <v>26.38</v>
      </c>
      <c r="CT688" s="2" t="n">
        <v>0</v>
      </c>
      <c r="CU688" s="2" t="n">
        <v>43.83</v>
      </c>
      <c r="CV688" s="2" t="n">
        <v>45.65</v>
      </c>
      <c r="CW688" s="2" t="n">
        <v>0</v>
      </c>
      <c r="CX688" s="2" t="n">
        <v>51.66</v>
      </c>
      <c r="CY688" s="2" t="n">
        <v>53.45</v>
      </c>
      <c r="CZ688" s="2" t="n">
        <v>0</v>
      </c>
      <c r="DA688" s="2" t="n">
        <v>59.4</v>
      </c>
      <c r="DB688" s="2" t="n">
        <v>61.19</v>
      </c>
      <c r="DC688" s="2" t="n">
        <v>0</v>
      </c>
      <c r="DD688" s="2" t="n">
        <v>69.06999999999999</v>
      </c>
      <c r="DE688" s="2" t="n">
        <v>70.86</v>
      </c>
      <c r="DF688" s="2" t="n">
        <v>0</v>
      </c>
      <c r="DG688" s="2" t="n">
        <v>75.51000000000001</v>
      </c>
      <c r="DH688" s="2" t="n">
        <v>77.31</v>
      </c>
      <c r="DI688" s="2" t="n">
        <v>0</v>
      </c>
      <c r="DJ688" s="2" t="n">
        <v>83.40000000000001</v>
      </c>
      <c r="DK688" s="2" t="n">
        <v>85.19</v>
      </c>
      <c r="DL688" s="2" t="n">
        <v>0</v>
      </c>
      <c r="DM688" s="2" t="n">
        <v>90.92</v>
      </c>
      <c r="DN688" s="2" t="n">
        <v>92.94</v>
      </c>
      <c r="DO688" s="2" t="n">
        <v>0</v>
      </c>
      <c r="DP688" s="2" t="n">
        <v>95.65000000000001</v>
      </c>
      <c r="DQ688" s="2" t="n">
        <v>96.78</v>
      </c>
      <c r="DR688" s="2" t="n">
        <v>0</v>
      </c>
      <c r="DS688" s="2" t="n">
        <v>96.78</v>
      </c>
      <c r="DT688" s="2" t="n">
        <v>96.78</v>
      </c>
      <c r="DU688" s="2" t="n">
        <v>0</v>
      </c>
      <c r="DV688" s="2" t="n">
        <v>100</v>
      </c>
      <c r="DW688" s="2" t="n">
        <v>100</v>
      </c>
      <c r="DX688" s="2" t="n">
        <v>0</v>
      </c>
      <c r="DY688" s="2" t="n">
        <v>100</v>
      </c>
      <c r="DZ688" s="2" t="n">
        <v>100</v>
      </c>
      <c r="EA688" s="2" t="n">
        <v>0</v>
      </c>
      <c r="EB688" s="2" t="n">
        <v>100</v>
      </c>
      <c r="EC688" s="2" t="n">
        <v>100</v>
      </c>
      <c r="ED688" s="2" t="n">
        <v>0</v>
      </c>
      <c r="EE688" s="2" t="n">
        <v>100</v>
      </c>
      <c r="EF688" s="2" t="n">
        <v>100</v>
      </c>
      <c r="EG688" s="2" t="n">
        <v>0</v>
      </c>
      <c r="EH688" s="2" t="n">
        <v>100</v>
      </c>
      <c r="EI688" s="2" t="n">
        <v>100</v>
      </c>
      <c r="EJ688" s="2" t="n">
        <v>0</v>
      </c>
      <c r="EK688" s="2" t="n">
        <v>100</v>
      </c>
      <c r="EL688" s="2" t="n">
        <v>100</v>
      </c>
      <c r="EM688" s="2" t="n">
        <v>0</v>
      </c>
      <c r="EN688" s="2" t="n">
        <v>100</v>
      </c>
      <c r="EO688" s="2" t="n">
        <v>100</v>
      </c>
      <c r="EP688" s="2" t="n">
        <v>0</v>
      </c>
      <c r="EQ688" s="2" t="n">
        <v>100</v>
      </c>
      <c r="ER688" s="2" t="n">
        <v>100</v>
      </c>
      <c r="ES688" s="2" t="n">
        <v>0</v>
      </c>
    </row>
    <row r="689">
      <c r="A689" s="2" t="n">
        <v>3</v>
      </c>
      <c r="B689" s="2" t="inlineStr">
        <is>
          <t>30.05.01</t>
        </is>
      </c>
      <c r="C689" s="2" t="inlineStr">
        <is>
          <t>Porcelanatos</t>
        </is>
      </c>
      <c r="D689" s="2" t="inlineStr">
        <is>
          <t>24/08/2027</t>
        </is>
      </c>
      <c r="E689" s="2" t="inlineStr">
        <is>
          <t>15/09/2028</t>
        </is>
      </c>
      <c r="F689" s="2" t="n">
        <v>2021085.037302193</v>
      </c>
      <c r="G689" s="2" t="n">
        <v>0</v>
      </c>
      <c r="H689" s="2" t="n">
        <v>2021085.037302193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n">
        <v>0</v>
      </c>
      <c r="AK689" s="2" t="n">
        <v>0</v>
      </c>
      <c r="AL689" s="2" t="n">
        <v>0</v>
      </c>
      <c r="AM689" s="2" t="n">
        <v>0</v>
      </c>
      <c r="AN689" s="2" t="n">
        <v>0</v>
      </c>
      <c r="AO689" s="2" t="n">
        <v>0</v>
      </c>
      <c r="AP689" s="2" t="n">
        <v>0</v>
      </c>
      <c r="AQ689" s="2" t="n">
        <v>0</v>
      </c>
      <c r="AR689" s="2" t="n">
        <v>0</v>
      </c>
      <c r="AS689" s="2" t="n">
        <v>0</v>
      </c>
      <c r="AT689" s="2" t="n">
        <v>0</v>
      </c>
      <c r="AU689" s="2" t="n">
        <v>0</v>
      </c>
      <c r="AV689" s="2" t="n">
        <v>0</v>
      </c>
      <c r="AW689" s="2" t="n">
        <v>0</v>
      </c>
      <c r="AX689" s="2" t="n">
        <v>0</v>
      </c>
      <c r="AY689" s="2" t="n">
        <v>0</v>
      </c>
      <c r="AZ689" s="2" t="n">
        <v>0</v>
      </c>
      <c r="BA689" s="2" t="n">
        <v>0</v>
      </c>
      <c r="BB689" s="2" t="n">
        <v>0</v>
      </c>
      <c r="BC689" s="2" t="n">
        <v>0</v>
      </c>
      <c r="BD689" s="2" t="n">
        <v>0</v>
      </c>
      <c r="BE689" s="2" t="n">
        <v>0</v>
      </c>
      <c r="BF689" s="2" t="n">
        <v>0</v>
      </c>
      <c r="BG689" s="2" t="n">
        <v>0</v>
      </c>
      <c r="BH689" s="2" t="n">
        <v>0</v>
      </c>
      <c r="BI689" s="2" t="n">
        <v>0</v>
      </c>
      <c r="BJ689" s="2" t="n">
        <v>0</v>
      </c>
      <c r="BK689" s="2" t="n">
        <v>0</v>
      </c>
      <c r="BL689" s="2" t="n">
        <v>0</v>
      </c>
      <c r="BM689" s="2" t="n">
        <v>0</v>
      </c>
      <c r="BN689" s="2" t="n">
        <v>0</v>
      </c>
      <c r="BO689" s="2" t="n">
        <v>0</v>
      </c>
      <c r="BP689" s="2" t="n">
        <v>0</v>
      </c>
      <c r="BQ689" s="2" t="n">
        <v>0</v>
      </c>
      <c r="BR689" s="2" t="n">
        <v>0</v>
      </c>
      <c r="BS689" s="2" t="n">
        <v>0</v>
      </c>
      <c r="BT689" s="2" t="n">
        <v>0</v>
      </c>
      <c r="BU689" s="2" t="n">
        <v>0</v>
      </c>
      <c r="BV689" s="2" t="n">
        <v>0</v>
      </c>
      <c r="BW689" s="2" t="n">
        <v>0</v>
      </c>
      <c r="BX689" s="2" t="n">
        <v>0</v>
      </c>
      <c r="BY689" s="2" t="n">
        <v>0</v>
      </c>
      <c r="BZ689" s="2" t="n">
        <v>0</v>
      </c>
      <c r="CA689" s="2" t="n">
        <v>0</v>
      </c>
      <c r="CB689" s="2" t="n">
        <v>0</v>
      </c>
      <c r="CC689" s="2" t="n">
        <v>0</v>
      </c>
      <c r="CD689" s="2" t="n">
        <v>0</v>
      </c>
      <c r="CE689" s="2" t="n">
        <v>0</v>
      </c>
      <c r="CF689" s="2" t="n">
        <v>0</v>
      </c>
      <c r="CG689" s="2" t="n">
        <v>0</v>
      </c>
      <c r="CH689" s="2" t="n">
        <v>0</v>
      </c>
      <c r="CI689" s="2" t="n">
        <v>0.36</v>
      </c>
      <c r="CJ689" s="2" t="n">
        <v>2.15</v>
      </c>
      <c r="CK689" s="2" t="n">
        <v>0</v>
      </c>
      <c r="CL689" s="2" t="n">
        <v>8.050000000000001</v>
      </c>
      <c r="CM689" s="2" t="n">
        <v>9.880000000000001</v>
      </c>
      <c r="CN689" s="2" t="n">
        <v>0</v>
      </c>
      <c r="CO689" s="2" t="n">
        <v>16.11</v>
      </c>
      <c r="CP689" s="2" t="n">
        <v>17.97</v>
      </c>
      <c r="CQ689" s="2" t="n">
        <v>0</v>
      </c>
      <c r="CR689" s="2" t="n">
        <v>24.53</v>
      </c>
      <c r="CS689" s="2" t="n">
        <v>26.38</v>
      </c>
      <c r="CT689" s="2" t="n">
        <v>0</v>
      </c>
      <c r="CU689" s="2" t="n">
        <v>43.83</v>
      </c>
      <c r="CV689" s="2" t="n">
        <v>45.65</v>
      </c>
      <c r="CW689" s="2" t="n">
        <v>0</v>
      </c>
      <c r="CX689" s="2" t="n">
        <v>51.66</v>
      </c>
      <c r="CY689" s="2" t="n">
        <v>53.45</v>
      </c>
      <c r="CZ689" s="2" t="n">
        <v>0</v>
      </c>
      <c r="DA689" s="2" t="n">
        <v>59.4</v>
      </c>
      <c r="DB689" s="2" t="n">
        <v>61.19</v>
      </c>
      <c r="DC689" s="2" t="n">
        <v>0</v>
      </c>
      <c r="DD689" s="2" t="n">
        <v>69.06999999999999</v>
      </c>
      <c r="DE689" s="2" t="n">
        <v>70.86</v>
      </c>
      <c r="DF689" s="2" t="n">
        <v>0</v>
      </c>
      <c r="DG689" s="2" t="n">
        <v>75.51000000000001</v>
      </c>
      <c r="DH689" s="2" t="n">
        <v>77.31</v>
      </c>
      <c r="DI689" s="2" t="n">
        <v>0</v>
      </c>
      <c r="DJ689" s="2" t="n">
        <v>83.40000000000001</v>
      </c>
      <c r="DK689" s="2" t="n">
        <v>85.19</v>
      </c>
      <c r="DL689" s="2" t="n">
        <v>0</v>
      </c>
      <c r="DM689" s="2" t="n">
        <v>90.92</v>
      </c>
      <c r="DN689" s="2" t="n">
        <v>92.94</v>
      </c>
      <c r="DO689" s="2" t="n">
        <v>0</v>
      </c>
      <c r="DP689" s="2" t="n">
        <v>95.65000000000001</v>
      </c>
      <c r="DQ689" s="2" t="n">
        <v>96.78</v>
      </c>
      <c r="DR689" s="2" t="n">
        <v>0</v>
      </c>
      <c r="DS689" s="2" t="n">
        <v>96.78</v>
      </c>
      <c r="DT689" s="2" t="n">
        <v>96.78</v>
      </c>
      <c r="DU689" s="2" t="n">
        <v>0</v>
      </c>
      <c r="DV689" s="2" t="n">
        <v>100</v>
      </c>
      <c r="DW689" s="2" t="n">
        <v>100</v>
      </c>
      <c r="DX689" s="2" t="n">
        <v>0</v>
      </c>
      <c r="DY689" s="2" t="n">
        <v>100</v>
      </c>
      <c r="DZ689" s="2" t="n">
        <v>100</v>
      </c>
      <c r="EA689" s="2" t="n">
        <v>0</v>
      </c>
      <c r="EB689" s="2" t="n">
        <v>100</v>
      </c>
      <c r="EC689" s="2" t="n">
        <v>100</v>
      </c>
      <c r="ED689" s="2" t="n">
        <v>0</v>
      </c>
      <c r="EE689" s="2" t="n">
        <v>100</v>
      </c>
      <c r="EF689" s="2" t="n">
        <v>100</v>
      </c>
      <c r="EG689" s="2" t="n">
        <v>0</v>
      </c>
      <c r="EH689" s="2" t="n">
        <v>100</v>
      </c>
      <c r="EI689" s="2" t="n">
        <v>100</v>
      </c>
      <c r="EJ689" s="2" t="n">
        <v>0</v>
      </c>
      <c r="EK689" s="2" t="n">
        <v>100</v>
      </c>
      <c r="EL689" s="2" t="n">
        <v>100</v>
      </c>
      <c r="EM689" s="2" t="n">
        <v>0</v>
      </c>
      <c r="EN689" s="2" t="n">
        <v>100</v>
      </c>
      <c r="EO689" s="2" t="n">
        <v>100</v>
      </c>
      <c r="EP689" s="2" t="n">
        <v>0</v>
      </c>
      <c r="EQ689" s="2" t="n">
        <v>100</v>
      </c>
      <c r="ER689" s="2" t="n">
        <v>100</v>
      </c>
      <c r="ES689" s="2" t="n">
        <v>0</v>
      </c>
    </row>
    <row r="690">
      <c r="A690" s="2" t="n">
        <v>4</v>
      </c>
      <c r="B690" s="2" t="inlineStr">
        <is>
          <t>30.05.01.01</t>
        </is>
      </c>
      <c r="C690" s="2" t="inlineStr">
        <is>
          <t>Revestimento Porcelanato, 60x120cm, com acabamento acetinado. Ref.: Eliane, Khali OffWhite AC, assentado com argamassa colante em pó ACIII</t>
        </is>
      </c>
      <c r="D690" s="2" t="inlineStr">
        <is>
          <t>24/08/2027</t>
        </is>
      </c>
      <c r="E690" s="2" t="inlineStr">
        <is>
          <t>15/09/2028</t>
        </is>
      </c>
      <c r="F690" s="2" t="n">
        <v>601418.3067337605</v>
      </c>
      <c r="G690" s="2" t="n">
        <v>0</v>
      </c>
      <c r="H690" s="2" t="n">
        <v>601418.3067337605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n">
        <v>0</v>
      </c>
      <c r="AE690" s="2" t="n">
        <v>0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0</v>
      </c>
      <c r="AM690" s="2" t="n">
        <v>0</v>
      </c>
      <c r="AN690" s="2" t="n">
        <v>0</v>
      </c>
      <c r="AO690" s="2" t="n">
        <v>0</v>
      </c>
      <c r="AP690" s="2" t="n">
        <v>0</v>
      </c>
      <c r="AQ690" s="2" t="n">
        <v>0</v>
      </c>
      <c r="AR690" s="2" t="n">
        <v>0</v>
      </c>
      <c r="AS690" s="2" t="n">
        <v>0</v>
      </c>
      <c r="AT690" s="2" t="n">
        <v>0</v>
      </c>
      <c r="AU690" s="2" t="n">
        <v>0</v>
      </c>
      <c r="AV690" s="2" t="n">
        <v>0</v>
      </c>
      <c r="AW690" s="2" t="n">
        <v>0</v>
      </c>
      <c r="AX690" s="2" t="n">
        <v>0</v>
      </c>
      <c r="AY690" s="2" t="n">
        <v>0</v>
      </c>
      <c r="AZ690" s="2" t="n">
        <v>0</v>
      </c>
      <c r="BA690" s="2" t="n">
        <v>0</v>
      </c>
      <c r="BB690" s="2" t="n">
        <v>0</v>
      </c>
      <c r="BC690" s="2" t="n">
        <v>0</v>
      </c>
      <c r="BD690" s="2" t="n">
        <v>0</v>
      </c>
      <c r="BE690" s="2" t="n">
        <v>0</v>
      </c>
      <c r="BF690" s="2" t="n">
        <v>0</v>
      </c>
      <c r="BG690" s="2" t="n">
        <v>0</v>
      </c>
      <c r="BH690" s="2" t="n">
        <v>0</v>
      </c>
      <c r="BI690" s="2" t="n">
        <v>0</v>
      </c>
      <c r="BJ690" s="2" t="n">
        <v>0</v>
      </c>
      <c r="BK690" s="2" t="n">
        <v>0</v>
      </c>
      <c r="BL690" s="2" t="n">
        <v>0</v>
      </c>
      <c r="BM690" s="2" t="n">
        <v>0</v>
      </c>
      <c r="BN690" s="2" t="n">
        <v>0</v>
      </c>
      <c r="BO690" s="2" t="n">
        <v>0</v>
      </c>
      <c r="BP690" s="2" t="n">
        <v>0</v>
      </c>
      <c r="BQ690" s="2" t="n">
        <v>0</v>
      </c>
      <c r="BR690" s="2" t="n">
        <v>0</v>
      </c>
      <c r="BS690" s="2" t="n">
        <v>0</v>
      </c>
      <c r="BT690" s="2" t="n">
        <v>0</v>
      </c>
      <c r="BU690" s="2" t="n">
        <v>0</v>
      </c>
      <c r="BV690" s="2" t="n">
        <v>0</v>
      </c>
      <c r="BW690" s="2" t="n">
        <v>0</v>
      </c>
      <c r="BX690" s="2" t="n">
        <v>0</v>
      </c>
      <c r="BY690" s="2" t="n">
        <v>0</v>
      </c>
      <c r="BZ690" s="2" t="n">
        <v>0</v>
      </c>
      <c r="CA690" s="2" t="n">
        <v>0</v>
      </c>
      <c r="CB690" s="2" t="n">
        <v>0</v>
      </c>
      <c r="CC690" s="2" t="n">
        <v>0</v>
      </c>
      <c r="CD690" s="2" t="n">
        <v>0</v>
      </c>
      <c r="CE690" s="2" t="n">
        <v>0</v>
      </c>
      <c r="CF690" s="2" t="n">
        <v>0</v>
      </c>
      <c r="CG690" s="2" t="n">
        <v>0</v>
      </c>
      <c r="CH690" s="2" t="n">
        <v>0</v>
      </c>
      <c r="CI690" s="2" t="n">
        <v>0.36</v>
      </c>
      <c r="CJ690" s="2" t="n">
        <v>2.15</v>
      </c>
      <c r="CK690" s="2" t="n">
        <v>0</v>
      </c>
      <c r="CL690" s="2" t="n">
        <v>8.050000000000001</v>
      </c>
      <c r="CM690" s="2" t="n">
        <v>9.880000000000001</v>
      </c>
      <c r="CN690" s="2" t="n">
        <v>0</v>
      </c>
      <c r="CO690" s="2" t="n">
        <v>16.11</v>
      </c>
      <c r="CP690" s="2" t="n">
        <v>17.97</v>
      </c>
      <c r="CQ690" s="2" t="n">
        <v>0</v>
      </c>
      <c r="CR690" s="2" t="n">
        <v>24.53</v>
      </c>
      <c r="CS690" s="2" t="n">
        <v>26.38</v>
      </c>
      <c r="CT690" s="2" t="n">
        <v>0</v>
      </c>
      <c r="CU690" s="2" t="n">
        <v>43.83</v>
      </c>
      <c r="CV690" s="2" t="n">
        <v>45.65</v>
      </c>
      <c r="CW690" s="2" t="n">
        <v>0</v>
      </c>
      <c r="CX690" s="2" t="n">
        <v>51.66</v>
      </c>
      <c r="CY690" s="2" t="n">
        <v>53.45</v>
      </c>
      <c r="CZ690" s="2" t="n">
        <v>0</v>
      </c>
      <c r="DA690" s="2" t="n">
        <v>59.4</v>
      </c>
      <c r="DB690" s="2" t="n">
        <v>61.19</v>
      </c>
      <c r="DC690" s="2" t="n">
        <v>0</v>
      </c>
      <c r="DD690" s="2" t="n">
        <v>69.06999999999999</v>
      </c>
      <c r="DE690" s="2" t="n">
        <v>70.86</v>
      </c>
      <c r="DF690" s="2" t="n">
        <v>0</v>
      </c>
      <c r="DG690" s="2" t="n">
        <v>75.51000000000001</v>
      </c>
      <c r="DH690" s="2" t="n">
        <v>77.31</v>
      </c>
      <c r="DI690" s="2" t="n">
        <v>0</v>
      </c>
      <c r="DJ690" s="2" t="n">
        <v>83.40000000000001</v>
      </c>
      <c r="DK690" s="2" t="n">
        <v>85.19</v>
      </c>
      <c r="DL690" s="2" t="n">
        <v>0</v>
      </c>
      <c r="DM690" s="2" t="n">
        <v>90.92</v>
      </c>
      <c r="DN690" s="2" t="n">
        <v>92.94</v>
      </c>
      <c r="DO690" s="2" t="n">
        <v>0</v>
      </c>
      <c r="DP690" s="2" t="n">
        <v>95.65000000000001</v>
      </c>
      <c r="DQ690" s="2" t="n">
        <v>96.78</v>
      </c>
      <c r="DR690" s="2" t="n">
        <v>0</v>
      </c>
      <c r="DS690" s="2" t="n">
        <v>96.78</v>
      </c>
      <c r="DT690" s="2" t="n">
        <v>96.78</v>
      </c>
      <c r="DU690" s="2" t="n">
        <v>0</v>
      </c>
      <c r="DV690" s="2" t="n">
        <v>100</v>
      </c>
      <c r="DW690" s="2" t="n">
        <v>100</v>
      </c>
      <c r="DX690" s="2" t="n">
        <v>0</v>
      </c>
      <c r="DY690" s="2" t="n">
        <v>100</v>
      </c>
      <c r="DZ690" s="2" t="n">
        <v>100</v>
      </c>
      <c r="EA690" s="2" t="n">
        <v>0</v>
      </c>
      <c r="EB690" s="2" t="n">
        <v>100</v>
      </c>
      <c r="EC690" s="2" t="n">
        <v>100</v>
      </c>
      <c r="ED690" s="2" t="n">
        <v>0</v>
      </c>
      <c r="EE690" s="2" t="n">
        <v>100</v>
      </c>
      <c r="EF690" s="2" t="n">
        <v>100</v>
      </c>
      <c r="EG690" s="2" t="n">
        <v>0</v>
      </c>
      <c r="EH690" s="2" t="n">
        <v>100</v>
      </c>
      <c r="EI690" s="2" t="n">
        <v>100</v>
      </c>
      <c r="EJ690" s="2" t="n">
        <v>0</v>
      </c>
      <c r="EK690" s="2" t="n">
        <v>100</v>
      </c>
      <c r="EL690" s="2" t="n">
        <v>100</v>
      </c>
      <c r="EM690" s="2" t="n">
        <v>0</v>
      </c>
      <c r="EN690" s="2" t="n">
        <v>100</v>
      </c>
      <c r="EO690" s="2" t="n">
        <v>100</v>
      </c>
      <c r="EP690" s="2" t="n">
        <v>0</v>
      </c>
      <c r="EQ690" s="2" t="n">
        <v>100</v>
      </c>
      <c r="ER690" s="2" t="n">
        <v>100</v>
      </c>
      <c r="ES690" s="2" t="n">
        <v>0</v>
      </c>
    </row>
    <row r="691">
      <c r="A691" s="2" t="n">
        <v>4</v>
      </c>
      <c r="B691" s="2" t="inlineStr">
        <is>
          <t>30.05.01.02</t>
        </is>
      </c>
      <c r="C691" s="2" t="inlineStr">
        <is>
          <t>Drywall - Revestimento Porcelanato, 60x120cm, com acabamento acetinado. Ref.: Eliane, Khali OffWhite AC, assentado com argamassa colante em pó ACIII</t>
        </is>
      </c>
      <c r="D691" s="2" t="inlineStr">
        <is>
          <t>24/08/2027</t>
        </is>
      </c>
      <c r="E691" s="2" t="inlineStr">
        <is>
          <t>15/09/2028</t>
        </is>
      </c>
      <c r="F691" s="2" t="n">
        <v>948996.6815525878</v>
      </c>
      <c r="G691" s="2" t="n">
        <v>0</v>
      </c>
      <c r="H691" s="2" t="n">
        <v>948996.6815525878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0</v>
      </c>
      <c r="AC691" s="2" t="n">
        <v>0</v>
      </c>
      <c r="AD691" s="2" t="n">
        <v>0</v>
      </c>
      <c r="AE691" s="2" t="n">
        <v>0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n">
        <v>0</v>
      </c>
      <c r="AK691" s="2" t="n">
        <v>0</v>
      </c>
      <c r="AL691" s="2" t="n">
        <v>0</v>
      </c>
      <c r="AM691" s="2" t="n">
        <v>0</v>
      </c>
      <c r="AN691" s="2" t="n">
        <v>0</v>
      </c>
      <c r="AO691" s="2" t="n">
        <v>0</v>
      </c>
      <c r="AP691" s="2" t="n">
        <v>0</v>
      </c>
      <c r="AQ691" s="2" t="n">
        <v>0</v>
      </c>
      <c r="AR691" s="2" t="n">
        <v>0</v>
      </c>
      <c r="AS691" s="2" t="n">
        <v>0</v>
      </c>
      <c r="AT691" s="2" t="n">
        <v>0</v>
      </c>
      <c r="AU691" s="2" t="n">
        <v>0</v>
      </c>
      <c r="AV691" s="2" t="n">
        <v>0</v>
      </c>
      <c r="AW691" s="2" t="n">
        <v>0</v>
      </c>
      <c r="AX691" s="2" t="n">
        <v>0</v>
      </c>
      <c r="AY691" s="2" t="n">
        <v>0</v>
      </c>
      <c r="AZ691" s="2" t="n">
        <v>0</v>
      </c>
      <c r="BA691" s="2" t="n">
        <v>0</v>
      </c>
      <c r="BB691" s="2" t="n">
        <v>0</v>
      </c>
      <c r="BC691" s="2" t="n">
        <v>0</v>
      </c>
      <c r="BD691" s="2" t="n">
        <v>0</v>
      </c>
      <c r="BE691" s="2" t="n">
        <v>0</v>
      </c>
      <c r="BF691" s="2" t="n">
        <v>0</v>
      </c>
      <c r="BG691" s="2" t="n">
        <v>0</v>
      </c>
      <c r="BH691" s="2" t="n">
        <v>0</v>
      </c>
      <c r="BI691" s="2" t="n">
        <v>0</v>
      </c>
      <c r="BJ691" s="2" t="n">
        <v>0</v>
      </c>
      <c r="BK691" s="2" t="n">
        <v>0</v>
      </c>
      <c r="BL691" s="2" t="n">
        <v>0</v>
      </c>
      <c r="BM691" s="2" t="n">
        <v>0</v>
      </c>
      <c r="BN691" s="2" t="n">
        <v>0</v>
      </c>
      <c r="BO691" s="2" t="n">
        <v>0</v>
      </c>
      <c r="BP691" s="2" t="n">
        <v>0</v>
      </c>
      <c r="BQ691" s="2" t="n">
        <v>0</v>
      </c>
      <c r="BR691" s="2" t="n">
        <v>0</v>
      </c>
      <c r="BS691" s="2" t="n">
        <v>0</v>
      </c>
      <c r="BT691" s="2" t="n">
        <v>0</v>
      </c>
      <c r="BU691" s="2" t="n">
        <v>0</v>
      </c>
      <c r="BV691" s="2" t="n">
        <v>0</v>
      </c>
      <c r="BW691" s="2" t="n">
        <v>0</v>
      </c>
      <c r="BX691" s="2" t="n">
        <v>0</v>
      </c>
      <c r="BY691" s="2" t="n">
        <v>0</v>
      </c>
      <c r="BZ691" s="2" t="n">
        <v>0</v>
      </c>
      <c r="CA691" s="2" t="n">
        <v>0</v>
      </c>
      <c r="CB691" s="2" t="n">
        <v>0</v>
      </c>
      <c r="CC691" s="2" t="n">
        <v>0</v>
      </c>
      <c r="CD691" s="2" t="n">
        <v>0</v>
      </c>
      <c r="CE691" s="2" t="n">
        <v>0</v>
      </c>
      <c r="CF691" s="2" t="n">
        <v>0</v>
      </c>
      <c r="CG691" s="2" t="n">
        <v>0</v>
      </c>
      <c r="CH691" s="2" t="n">
        <v>0</v>
      </c>
      <c r="CI691" s="2" t="n">
        <v>0.36</v>
      </c>
      <c r="CJ691" s="2" t="n">
        <v>2.15</v>
      </c>
      <c r="CK691" s="2" t="n">
        <v>0</v>
      </c>
      <c r="CL691" s="2" t="n">
        <v>8.050000000000001</v>
      </c>
      <c r="CM691" s="2" t="n">
        <v>9.880000000000001</v>
      </c>
      <c r="CN691" s="2" t="n">
        <v>0</v>
      </c>
      <c r="CO691" s="2" t="n">
        <v>16.11</v>
      </c>
      <c r="CP691" s="2" t="n">
        <v>17.97</v>
      </c>
      <c r="CQ691" s="2" t="n">
        <v>0</v>
      </c>
      <c r="CR691" s="2" t="n">
        <v>24.53</v>
      </c>
      <c r="CS691" s="2" t="n">
        <v>26.38</v>
      </c>
      <c r="CT691" s="2" t="n">
        <v>0</v>
      </c>
      <c r="CU691" s="2" t="n">
        <v>43.83</v>
      </c>
      <c r="CV691" s="2" t="n">
        <v>45.65</v>
      </c>
      <c r="CW691" s="2" t="n">
        <v>0</v>
      </c>
      <c r="CX691" s="2" t="n">
        <v>51.66</v>
      </c>
      <c r="CY691" s="2" t="n">
        <v>53.45</v>
      </c>
      <c r="CZ691" s="2" t="n">
        <v>0</v>
      </c>
      <c r="DA691" s="2" t="n">
        <v>59.4</v>
      </c>
      <c r="DB691" s="2" t="n">
        <v>61.19</v>
      </c>
      <c r="DC691" s="2" t="n">
        <v>0</v>
      </c>
      <c r="DD691" s="2" t="n">
        <v>69.06999999999999</v>
      </c>
      <c r="DE691" s="2" t="n">
        <v>70.86</v>
      </c>
      <c r="DF691" s="2" t="n">
        <v>0</v>
      </c>
      <c r="DG691" s="2" t="n">
        <v>75.51000000000001</v>
      </c>
      <c r="DH691" s="2" t="n">
        <v>77.31</v>
      </c>
      <c r="DI691" s="2" t="n">
        <v>0</v>
      </c>
      <c r="DJ691" s="2" t="n">
        <v>83.40000000000001</v>
      </c>
      <c r="DK691" s="2" t="n">
        <v>85.19</v>
      </c>
      <c r="DL691" s="2" t="n">
        <v>0</v>
      </c>
      <c r="DM691" s="2" t="n">
        <v>90.92</v>
      </c>
      <c r="DN691" s="2" t="n">
        <v>92.94</v>
      </c>
      <c r="DO691" s="2" t="n">
        <v>0</v>
      </c>
      <c r="DP691" s="2" t="n">
        <v>95.65000000000001</v>
      </c>
      <c r="DQ691" s="2" t="n">
        <v>96.78</v>
      </c>
      <c r="DR691" s="2" t="n">
        <v>0</v>
      </c>
      <c r="DS691" s="2" t="n">
        <v>96.78</v>
      </c>
      <c r="DT691" s="2" t="n">
        <v>96.78</v>
      </c>
      <c r="DU691" s="2" t="n">
        <v>0</v>
      </c>
      <c r="DV691" s="2" t="n">
        <v>100</v>
      </c>
      <c r="DW691" s="2" t="n">
        <v>100</v>
      </c>
      <c r="DX691" s="2" t="n">
        <v>0</v>
      </c>
      <c r="DY691" s="2" t="n">
        <v>100</v>
      </c>
      <c r="DZ691" s="2" t="n">
        <v>100</v>
      </c>
      <c r="EA691" s="2" t="n">
        <v>0</v>
      </c>
      <c r="EB691" s="2" t="n">
        <v>100</v>
      </c>
      <c r="EC691" s="2" t="n">
        <v>100</v>
      </c>
      <c r="ED691" s="2" t="n">
        <v>0</v>
      </c>
      <c r="EE691" s="2" t="n">
        <v>100</v>
      </c>
      <c r="EF691" s="2" t="n">
        <v>100</v>
      </c>
      <c r="EG691" s="2" t="n">
        <v>0</v>
      </c>
      <c r="EH691" s="2" t="n">
        <v>100</v>
      </c>
      <c r="EI691" s="2" t="n">
        <v>100</v>
      </c>
      <c r="EJ691" s="2" t="n">
        <v>0</v>
      </c>
      <c r="EK691" s="2" t="n">
        <v>100</v>
      </c>
      <c r="EL691" s="2" t="n">
        <v>100</v>
      </c>
      <c r="EM691" s="2" t="n">
        <v>0</v>
      </c>
      <c r="EN691" s="2" t="n">
        <v>100</v>
      </c>
      <c r="EO691" s="2" t="n">
        <v>100</v>
      </c>
      <c r="EP691" s="2" t="n">
        <v>0</v>
      </c>
      <c r="EQ691" s="2" t="n">
        <v>100</v>
      </c>
      <c r="ER691" s="2" t="n">
        <v>100</v>
      </c>
      <c r="ES691" s="2" t="n">
        <v>0</v>
      </c>
    </row>
    <row r="692">
      <c r="A692" s="2" t="n">
        <v>4</v>
      </c>
      <c r="B692" s="2" t="inlineStr">
        <is>
          <t>30.05.01.03</t>
        </is>
      </c>
      <c r="C692" s="2" t="inlineStr">
        <is>
          <t>Revestimento Porcelanato branco, 32,5x59cm, com acabamento acetinado. Ref.: Eliane, Forma Branco AC RET assentado com argamassa colante em pó ACIII</t>
        </is>
      </c>
      <c r="D692" s="2" t="inlineStr">
        <is>
          <t>24/08/2027</t>
        </is>
      </c>
      <c r="E692" s="2" t="inlineStr">
        <is>
          <t>15/09/2028</t>
        </is>
      </c>
      <c r="F692" s="2" t="n">
        <v>134089.146114497</v>
      </c>
      <c r="G692" s="2" t="n">
        <v>0</v>
      </c>
      <c r="H692" s="2" t="n">
        <v>134089.146114497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n">
        <v>0</v>
      </c>
      <c r="AK692" s="2" t="n">
        <v>0</v>
      </c>
      <c r="AL692" s="2" t="n">
        <v>0</v>
      </c>
      <c r="AM692" s="2" t="n">
        <v>0</v>
      </c>
      <c r="AN692" s="2" t="n">
        <v>0</v>
      </c>
      <c r="AO692" s="2" t="n">
        <v>0</v>
      </c>
      <c r="AP692" s="2" t="n">
        <v>0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n">
        <v>0</v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n">
        <v>0</v>
      </c>
      <c r="BE692" s="2" t="n">
        <v>0</v>
      </c>
      <c r="BF692" s="2" t="n">
        <v>0</v>
      </c>
      <c r="BG692" s="2" t="n">
        <v>0</v>
      </c>
      <c r="BH692" s="2" t="n">
        <v>0</v>
      </c>
      <c r="BI692" s="2" t="n">
        <v>0</v>
      </c>
      <c r="BJ692" s="2" t="n">
        <v>0</v>
      </c>
      <c r="BK692" s="2" t="n">
        <v>0</v>
      </c>
      <c r="BL692" s="2" t="n">
        <v>0</v>
      </c>
      <c r="BM692" s="2" t="n">
        <v>0</v>
      </c>
      <c r="BN692" s="2" t="n">
        <v>0</v>
      </c>
      <c r="BO692" s="2" t="n">
        <v>0</v>
      </c>
      <c r="BP692" s="2" t="n">
        <v>0</v>
      </c>
      <c r="BQ692" s="2" t="n">
        <v>0</v>
      </c>
      <c r="BR692" s="2" t="n">
        <v>0</v>
      </c>
      <c r="BS692" s="2" t="n">
        <v>0</v>
      </c>
      <c r="BT692" s="2" t="n">
        <v>0</v>
      </c>
      <c r="BU692" s="2" t="n">
        <v>0</v>
      </c>
      <c r="BV692" s="2" t="n">
        <v>0</v>
      </c>
      <c r="BW692" s="2" t="n">
        <v>0</v>
      </c>
      <c r="BX692" s="2" t="n">
        <v>0</v>
      </c>
      <c r="BY692" s="2" t="n">
        <v>0</v>
      </c>
      <c r="BZ692" s="2" t="n">
        <v>0</v>
      </c>
      <c r="CA692" s="2" t="n">
        <v>0</v>
      </c>
      <c r="CB692" s="2" t="n">
        <v>0</v>
      </c>
      <c r="CC692" s="2" t="n">
        <v>0</v>
      </c>
      <c r="CD692" s="2" t="n">
        <v>0</v>
      </c>
      <c r="CE692" s="2" t="n">
        <v>0</v>
      </c>
      <c r="CF692" s="2" t="n">
        <v>0</v>
      </c>
      <c r="CG692" s="2" t="n">
        <v>0</v>
      </c>
      <c r="CH692" s="2" t="n">
        <v>0</v>
      </c>
      <c r="CI692" s="2" t="n">
        <v>0.36</v>
      </c>
      <c r="CJ692" s="2" t="n">
        <v>2.15</v>
      </c>
      <c r="CK692" s="2" t="n">
        <v>0</v>
      </c>
      <c r="CL692" s="2" t="n">
        <v>8.050000000000001</v>
      </c>
      <c r="CM692" s="2" t="n">
        <v>9.880000000000001</v>
      </c>
      <c r="CN692" s="2" t="n">
        <v>0</v>
      </c>
      <c r="CO692" s="2" t="n">
        <v>16.11</v>
      </c>
      <c r="CP692" s="2" t="n">
        <v>17.97</v>
      </c>
      <c r="CQ692" s="2" t="n">
        <v>0</v>
      </c>
      <c r="CR692" s="2" t="n">
        <v>24.53</v>
      </c>
      <c r="CS692" s="2" t="n">
        <v>26.38</v>
      </c>
      <c r="CT692" s="2" t="n">
        <v>0</v>
      </c>
      <c r="CU692" s="2" t="n">
        <v>43.83</v>
      </c>
      <c r="CV692" s="2" t="n">
        <v>45.65</v>
      </c>
      <c r="CW692" s="2" t="n">
        <v>0</v>
      </c>
      <c r="CX692" s="2" t="n">
        <v>51.66</v>
      </c>
      <c r="CY692" s="2" t="n">
        <v>53.45</v>
      </c>
      <c r="CZ692" s="2" t="n">
        <v>0</v>
      </c>
      <c r="DA692" s="2" t="n">
        <v>59.4</v>
      </c>
      <c r="DB692" s="2" t="n">
        <v>61.19</v>
      </c>
      <c r="DC692" s="2" t="n">
        <v>0</v>
      </c>
      <c r="DD692" s="2" t="n">
        <v>69.06999999999999</v>
      </c>
      <c r="DE692" s="2" t="n">
        <v>70.86</v>
      </c>
      <c r="DF692" s="2" t="n">
        <v>0</v>
      </c>
      <c r="DG692" s="2" t="n">
        <v>75.51000000000001</v>
      </c>
      <c r="DH692" s="2" t="n">
        <v>77.31</v>
      </c>
      <c r="DI692" s="2" t="n">
        <v>0</v>
      </c>
      <c r="DJ692" s="2" t="n">
        <v>83.40000000000001</v>
      </c>
      <c r="DK692" s="2" t="n">
        <v>85.19</v>
      </c>
      <c r="DL692" s="2" t="n">
        <v>0</v>
      </c>
      <c r="DM692" s="2" t="n">
        <v>90.92</v>
      </c>
      <c r="DN692" s="2" t="n">
        <v>92.94</v>
      </c>
      <c r="DO692" s="2" t="n">
        <v>0</v>
      </c>
      <c r="DP692" s="2" t="n">
        <v>95.65000000000001</v>
      </c>
      <c r="DQ692" s="2" t="n">
        <v>96.78</v>
      </c>
      <c r="DR692" s="2" t="n">
        <v>0</v>
      </c>
      <c r="DS692" s="2" t="n">
        <v>96.78</v>
      </c>
      <c r="DT692" s="2" t="n">
        <v>96.78</v>
      </c>
      <c r="DU692" s="2" t="n">
        <v>0</v>
      </c>
      <c r="DV692" s="2" t="n">
        <v>100</v>
      </c>
      <c r="DW692" s="2" t="n">
        <v>100</v>
      </c>
      <c r="DX692" s="2" t="n">
        <v>0</v>
      </c>
      <c r="DY692" s="2" t="n">
        <v>100</v>
      </c>
      <c r="DZ692" s="2" t="n">
        <v>100</v>
      </c>
      <c r="EA692" s="2" t="n">
        <v>0</v>
      </c>
      <c r="EB692" s="2" t="n">
        <v>100</v>
      </c>
      <c r="EC692" s="2" t="n">
        <v>100</v>
      </c>
      <c r="ED692" s="2" t="n">
        <v>0</v>
      </c>
      <c r="EE692" s="2" t="n">
        <v>100</v>
      </c>
      <c r="EF692" s="2" t="n">
        <v>100</v>
      </c>
      <c r="EG692" s="2" t="n">
        <v>0</v>
      </c>
      <c r="EH692" s="2" t="n">
        <v>100</v>
      </c>
      <c r="EI692" s="2" t="n">
        <v>100</v>
      </c>
      <c r="EJ692" s="2" t="n">
        <v>0</v>
      </c>
      <c r="EK692" s="2" t="n">
        <v>100</v>
      </c>
      <c r="EL692" s="2" t="n">
        <v>100</v>
      </c>
      <c r="EM692" s="2" t="n">
        <v>0</v>
      </c>
      <c r="EN692" s="2" t="n">
        <v>100</v>
      </c>
      <c r="EO692" s="2" t="n">
        <v>100</v>
      </c>
      <c r="EP692" s="2" t="n">
        <v>0</v>
      </c>
      <c r="EQ692" s="2" t="n">
        <v>100</v>
      </c>
      <c r="ER692" s="2" t="n">
        <v>100</v>
      </c>
      <c r="ES692" s="2" t="n">
        <v>0</v>
      </c>
    </row>
    <row r="693">
      <c r="A693" s="2" t="n">
        <v>4</v>
      </c>
      <c r="B693" s="2" t="inlineStr">
        <is>
          <t>30.05.01.04</t>
        </is>
      </c>
      <c r="C693" s="2" t="inlineStr">
        <is>
          <t>Drywall - Revestimento Porcelanato branco, 32,5x59cm, com acabamento acetinado. Ref.: Eliane, Forma Branco AC RET assentado com argamassa colante em pó ACIII</t>
        </is>
      </c>
      <c r="D693" s="2" t="inlineStr">
        <is>
          <t>24/08/2027</t>
        </is>
      </c>
      <c r="E693" s="2" t="inlineStr">
        <is>
          <t>15/09/2028</t>
        </is>
      </c>
      <c r="F693" s="2" t="n">
        <v>222574.0053163433</v>
      </c>
      <c r="G693" s="2" t="n">
        <v>0</v>
      </c>
      <c r="H693" s="2" t="n">
        <v>222574.0053163433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0</v>
      </c>
      <c r="AM693" s="2" t="n">
        <v>0</v>
      </c>
      <c r="AN693" s="2" t="n">
        <v>0</v>
      </c>
      <c r="AO693" s="2" t="n">
        <v>0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n">
        <v>0</v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n">
        <v>0</v>
      </c>
      <c r="BI693" s="2" t="n">
        <v>0</v>
      </c>
      <c r="BJ693" s="2" t="n">
        <v>0</v>
      </c>
      <c r="BK693" s="2" t="n">
        <v>0</v>
      </c>
      <c r="BL693" s="2" t="n">
        <v>0</v>
      </c>
      <c r="BM693" s="2" t="n">
        <v>0</v>
      </c>
      <c r="BN693" s="2" t="n">
        <v>0</v>
      </c>
      <c r="BO693" s="2" t="n">
        <v>0</v>
      </c>
      <c r="BP693" s="2" t="n">
        <v>0</v>
      </c>
      <c r="BQ693" s="2" t="n">
        <v>0</v>
      </c>
      <c r="BR693" s="2" t="n">
        <v>0</v>
      </c>
      <c r="BS693" s="2" t="n">
        <v>0</v>
      </c>
      <c r="BT693" s="2" t="n">
        <v>0</v>
      </c>
      <c r="BU693" s="2" t="n">
        <v>0</v>
      </c>
      <c r="BV693" s="2" t="n">
        <v>0</v>
      </c>
      <c r="BW693" s="2" t="n">
        <v>0</v>
      </c>
      <c r="BX693" s="2" t="n">
        <v>0</v>
      </c>
      <c r="BY693" s="2" t="n">
        <v>0</v>
      </c>
      <c r="BZ693" s="2" t="n">
        <v>0</v>
      </c>
      <c r="CA693" s="2" t="n">
        <v>0</v>
      </c>
      <c r="CB693" s="2" t="n">
        <v>0</v>
      </c>
      <c r="CC693" s="2" t="n">
        <v>0</v>
      </c>
      <c r="CD693" s="2" t="n">
        <v>0</v>
      </c>
      <c r="CE693" s="2" t="n">
        <v>0</v>
      </c>
      <c r="CF693" s="2" t="n">
        <v>0</v>
      </c>
      <c r="CG693" s="2" t="n">
        <v>0</v>
      </c>
      <c r="CH693" s="2" t="n">
        <v>0</v>
      </c>
      <c r="CI693" s="2" t="n">
        <v>0.36</v>
      </c>
      <c r="CJ693" s="2" t="n">
        <v>2.15</v>
      </c>
      <c r="CK693" s="2" t="n">
        <v>0</v>
      </c>
      <c r="CL693" s="2" t="n">
        <v>8.050000000000001</v>
      </c>
      <c r="CM693" s="2" t="n">
        <v>9.880000000000001</v>
      </c>
      <c r="CN693" s="2" t="n">
        <v>0</v>
      </c>
      <c r="CO693" s="2" t="n">
        <v>16.11</v>
      </c>
      <c r="CP693" s="2" t="n">
        <v>17.97</v>
      </c>
      <c r="CQ693" s="2" t="n">
        <v>0</v>
      </c>
      <c r="CR693" s="2" t="n">
        <v>24.53</v>
      </c>
      <c r="CS693" s="2" t="n">
        <v>26.38</v>
      </c>
      <c r="CT693" s="2" t="n">
        <v>0</v>
      </c>
      <c r="CU693" s="2" t="n">
        <v>43.83</v>
      </c>
      <c r="CV693" s="2" t="n">
        <v>45.65</v>
      </c>
      <c r="CW693" s="2" t="n">
        <v>0</v>
      </c>
      <c r="CX693" s="2" t="n">
        <v>51.66</v>
      </c>
      <c r="CY693" s="2" t="n">
        <v>53.45</v>
      </c>
      <c r="CZ693" s="2" t="n">
        <v>0</v>
      </c>
      <c r="DA693" s="2" t="n">
        <v>59.4</v>
      </c>
      <c r="DB693" s="2" t="n">
        <v>61.19</v>
      </c>
      <c r="DC693" s="2" t="n">
        <v>0</v>
      </c>
      <c r="DD693" s="2" t="n">
        <v>69.06999999999999</v>
      </c>
      <c r="DE693" s="2" t="n">
        <v>70.86</v>
      </c>
      <c r="DF693" s="2" t="n">
        <v>0</v>
      </c>
      <c r="DG693" s="2" t="n">
        <v>75.51000000000001</v>
      </c>
      <c r="DH693" s="2" t="n">
        <v>77.31</v>
      </c>
      <c r="DI693" s="2" t="n">
        <v>0</v>
      </c>
      <c r="DJ693" s="2" t="n">
        <v>83.40000000000001</v>
      </c>
      <c r="DK693" s="2" t="n">
        <v>85.19</v>
      </c>
      <c r="DL693" s="2" t="n">
        <v>0</v>
      </c>
      <c r="DM693" s="2" t="n">
        <v>90.92</v>
      </c>
      <c r="DN693" s="2" t="n">
        <v>92.94</v>
      </c>
      <c r="DO693" s="2" t="n">
        <v>0</v>
      </c>
      <c r="DP693" s="2" t="n">
        <v>95.65000000000001</v>
      </c>
      <c r="DQ693" s="2" t="n">
        <v>96.78</v>
      </c>
      <c r="DR693" s="2" t="n">
        <v>0</v>
      </c>
      <c r="DS693" s="2" t="n">
        <v>96.78</v>
      </c>
      <c r="DT693" s="2" t="n">
        <v>96.78</v>
      </c>
      <c r="DU693" s="2" t="n">
        <v>0</v>
      </c>
      <c r="DV693" s="2" t="n">
        <v>100</v>
      </c>
      <c r="DW693" s="2" t="n">
        <v>100</v>
      </c>
      <c r="DX693" s="2" t="n">
        <v>0</v>
      </c>
      <c r="DY693" s="2" t="n">
        <v>100</v>
      </c>
      <c r="DZ693" s="2" t="n">
        <v>100</v>
      </c>
      <c r="EA693" s="2" t="n">
        <v>0</v>
      </c>
      <c r="EB693" s="2" t="n">
        <v>100</v>
      </c>
      <c r="EC693" s="2" t="n">
        <v>100</v>
      </c>
      <c r="ED693" s="2" t="n">
        <v>0</v>
      </c>
      <c r="EE693" s="2" t="n">
        <v>100</v>
      </c>
      <c r="EF693" s="2" t="n">
        <v>100</v>
      </c>
      <c r="EG693" s="2" t="n">
        <v>0</v>
      </c>
      <c r="EH693" s="2" t="n">
        <v>100</v>
      </c>
      <c r="EI693" s="2" t="n">
        <v>100</v>
      </c>
      <c r="EJ693" s="2" t="n">
        <v>0</v>
      </c>
      <c r="EK693" s="2" t="n">
        <v>100</v>
      </c>
      <c r="EL693" s="2" t="n">
        <v>100</v>
      </c>
      <c r="EM693" s="2" t="n">
        <v>0</v>
      </c>
      <c r="EN693" s="2" t="n">
        <v>100</v>
      </c>
      <c r="EO693" s="2" t="n">
        <v>100</v>
      </c>
      <c r="EP693" s="2" t="n">
        <v>0</v>
      </c>
      <c r="EQ693" s="2" t="n">
        <v>100</v>
      </c>
      <c r="ER693" s="2" t="n">
        <v>100</v>
      </c>
      <c r="ES693" s="2" t="n">
        <v>0</v>
      </c>
    </row>
    <row r="694">
      <c r="A694" s="2" t="n">
        <v>4</v>
      </c>
      <c r="B694" s="2" t="inlineStr">
        <is>
          <t>30.05.01.05</t>
        </is>
      </c>
      <c r="C694" s="2" t="inlineStr">
        <is>
          <t>Revestimento Porcelanato 60x60cm, com acabamento acetinado. Paginação conforme detalhamento. Ref.: Eliane, Munari Branco AC,  assentado com argamassa colante em pó ACIII</t>
        </is>
      </c>
      <c r="D694" s="2" t="inlineStr">
        <is>
          <t>24/08/2027</t>
        </is>
      </c>
      <c r="E694" s="2" t="inlineStr">
        <is>
          <t>15/09/2028</t>
        </is>
      </c>
      <c r="F694" s="2" t="n">
        <v>21032.70640128</v>
      </c>
      <c r="G694" s="2" t="n">
        <v>0</v>
      </c>
      <c r="H694" s="2" t="n">
        <v>21032.70640128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  <c r="AM694" s="2" t="n">
        <v>0</v>
      </c>
      <c r="AN694" s="2" t="n">
        <v>0</v>
      </c>
      <c r="AO694" s="2" t="n">
        <v>0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n">
        <v>0</v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n">
        <v>0</v>
      </c>
      <c r="BI694" s="2" t="n">
        <v>0</v>
      </c>
      <c r="BJ694" s="2" t="n">
        <v>0</v>
      </c>
      <c r="BK694" s="2" t="n">
        <v>0</v>
      </c>
      <c r="BL694" s="2" t="n">
        <v>0</v>
      </c>
      <c r="BM694" s="2" t="n">
        <v>0</v>
      </c>
      <c r="BN694" s="2" t="n">
        <v>0</v>
      </c>
      <c r="BO694" s="2" t="n">
        <v>0</v>
      </c>
      <c r="BP694" s="2" t="n">
        <v>0</v>
      </c>
      <c r="BQ694" s="2" t="n">
        <v>0</v>
      </c>
      <c r="BR694" s="2" t="n">
        <v>0</v>
      </c>
      <c r="BS694" s="2" t="n">
        <v>0</v>
      </c>
      <c r="BT694" s="2" t="n">
        <v>0</v>
      </c>
      <c r="BU694" s="2" t="n">
        <v>0</v>
      </c>
      <c r="BV694" s="2" t="n">
        <v>0</v>
      </c>
      <c r="BW694" s="2" t="n">
        <v>0</v>
      </c>
      <c r="BX694" s="2" t="n">
        <v>0</v>
      </c>
      <c r="BY694" s="2" t="n">
        <v>0</v>
      </c>
      <c r="BZ694" s="2" t="n">
        <v>0</v>
      </c>
      <c r="CA694" s="2" t="n">
        <v>0</v>
      </c>
      <c r="CB694" s="2" t="n">
        <v>0</v>
      </c>
      <c r="CC694" s="2" t="n">
        <v>0</v>
      </c>
      <c r="CD694" s="2" t="n">
        <v>0</v>
      </c>
      <c r="CE694" s="2" t="n">
        <v>0</v>
      </c>
      <c r="CF694" s="2" t="n">
        <v>0</v>
      </c>
      <c r="CG694" s="2" t="n">
        <v>0</v>
      </c>
      <c r="CH694" s="2" t="n">
        <v>0</v>
      </c>
      <c r="CI694" s="2" t="n">
        <v>0.36</v>
      </c>
      <c r="CJ694" s="2" t="n">
        <v>2.15</v>
      </c>
      <c r="CK694" s="2" t="n">
        <v>0</v>
      </c>
      <c r="CL694" s="2" t="n">
        <v>8.050000000000001</v>
      </c>
      <c r="CM694" s="2" t="n">
        <v>9.880000000000001</v>
      </c>
      <c r="CN694" s="2" t="n">
        <v>0</v>
      </c>
      <c r="CO694" s="2" t="n">
        <v>16.11</v>
      </c>
      <c r="CP694" s="2" t="n">
        <v>17.97</v>
      </c>
      <c r="CQ694" s="2" t="n">
        <v>0</v>
      </c>
      <c r="CR694" s="2" t="n">
        <v>24.53</v>
      </c>
      <c r="CS694" s="2" t="n">
        <v>26.38</v>
      </c>
      <c r="CT694" s="2" t="n">
        <v>0</v>
      </c>
      <c r="CU694" s="2" t="n">
        <v>43.83</v>
      </c>
      <c r="CV694" s="2" t="n">
        <v>45.65</v>
      </c>
      <c r="CW694" s="2" t="n">
        <v>0</v>
      </c>
      <c r="CX694" s="2" t="n">
        <v>51.66</v>
      </c>
      <c r="CY694" s="2" t="n">
        <v>53.45</v>
      </c>
      <c r="CZ694" s="2" t="n">
        <v>0</v>
      </c>
      <c r="DA694" s="2" t="n">
        <v>59.4</v>
      </c>
      <c r="DB694" s="2" t="n">
        <v>61.19</v>
      </c>
      <c r="DC694" s="2" t="n">
        <v>0</v>
      </c>
      <c r="DD694" s="2" t="n">
        <v>69.06999999999999</v>
      </c>
      <c r="DE694" s="2" t="n">
        <v>70.86</v>
      </c>
      <c r="DF694" s="2" t="n">
        <v>0</v>
      </c>
      <c r="DG694" s="2" t="n">
        <v>75.51000000000001</v>
      </c>
      <c r="DH694" s="2" t="n">
        <v>77.31</v>
      </c>
      <c r="DI694" s="2" t="n">
        <v>0</v>
      </c>
      <c r="DJ694" s="2" t="n">
        <v>83.40000000000001</v>
      </c>
      <c r="DK694" s="2" t="n">
        <v>85.19</v>
      </c>
      <c r="DL694" s="2" t="n">
        <v>0</v>
      </c>
      <c r="DM694" s="2" t="n">
        <v>90.92</v>
      </c>
      <c r="DN694" s="2" t="n">
        <v>92.94</v>
      </c>
      <c r="DO694" s="2" t="n">
        <v>0</v>
      </c>
      <c r="DP694" s="2" t="n">
        <v>95.65000000000001</v>
      </c>
      <c r="DQ694" s="2" t="n">
        <v>96.78</v>
      </c>
      <c r="DR694" s="2" t="n">
        <v>0</v>
      </c>
      <c r="DS694" s="2" t="n">
        <v>96.78</v>
      </c>
      <c r="DT694" s="2" t="n">
        <v>96.78</v>
      </c>
      <c r="DU694" s="2" t="n">
        <v>0</v>
      </c>
      <c r="DV694" s="2" t="n">
        <v>100</v>
      </c>
      <c r="DW694" s="2" t="n">
        <v>100</v>
      </c>
      <c r="DX694" s="2" t="n">
        <v>0</v>
      </c>
      <c r="DY694" s="2" t="n">
        <v>100</v>
      </c>
      <c r="DZ694" s="2" t="n">
        <v>100</v>
      </c>
      <c r="EA694" s="2" t="n">
        <v>0</v>
      </c>
      <c r="EB694" s="2" t="n">
        <v>100</v>
      </c>
      <c r="EC694" s="2" t="n">
        <v>100</v>
      </c>
      <c r="ED694" s="2" t="n">
        <v>0</v>
      </c>
      <c r="EE694" s="2" t="n">
        <v>100</v>
      </c>
      <c r="EF694" s="2" t="n">
        <v>100</v>
      </c>
      <c r="EG694" s="2" t="n">
        <v>0</v>
      </c>
      <c r="EH694" s="2" t="n">
        <v>100</v>
      </c>
      <c r="EI694" s="2" t="n">
        <v>100</v>
      </c>
      <c r="EJ694" s="2" t="n">
        <v>0</v>
      </c>
      <c r="EK694" s="2" t="n">
        <v>100</v>
      </c>
      <c r="EL694" s="2" t="n">
        <v>100</v>
      </c>
      <c r="EM694" s="2" t="n">
        <v>0</v>
      </c>
      <c r="EN694" s="2" t="n">
        <v>100</v>
      </c>
      <c r="EO694" s="2" t="n">
        <v>100</v>
      </c>
      <c r="EP694" s="2" t="n">
        <v>0</v>
      </c>
      <c r="EQ694" s="2" t="n">
        <v>100</v>
      </c>
      <c r="ER694" s="2" t="n">
        <v>100</v>
      </c>
      <c r="ES694" s="2" t="n">
        <v>0</v>
      </c>
    </row>
    <row r="695">
      <c r="A695" s="2" t="n">
        <v>4</v>
      </c>
      <c r="B695" s="2" t="inlineStr">
        <is>
          <t>30.05.01.06</t>
        </is>
      </c>
      <c r="C695" s="2" t="inlineStr">
        <is>
          <t>Revestimento Porcelanato Eliane Munari Branco AC 90x90cm assentado com argamassa colante em pó ACIII</t>
        </is>
      </c>
      <c r="D695" s="2" t="inlineStr">
        <is>
          <t>24/08/2027</t>
        </is>
      </c>
      <c r="E695" s="2" t="inlineStr">
        <is>
          <t>15/09/2028</t>
        </is>
      </c>
      <c r="F695" s="2" t="n">
        <v>9412.688907834883</v>
      </c>
      <c r="G695" s="2" t="n">
        <v>0</v>
      </c>
      <c r="H695" s="2" t="n">
        <v>9412.688907834883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0</v>
      </c>
      <c r="AM695" s="2" t="n">
        <v>0</v>
      </c>
      <c r="AN695" s="2" t="n">
        <v>0</v>
      </c>
      <c r="AO695" s="2" t="n">
        <v>0</v>
      </c>
      <c r="AP695" s="2" t="n">
        <v>0</v>
      </c>
      <c r="AQ695" s="2" t="n">
        <v>0</v>
      </c>
      <c r="AR695" s="2" t="n">
        <v>0</v>
      </c>
      <c r="AS695" s="2" t="n">
        <v>0</v>
      </c>
      <c r="AT695" s="2" t="n">
        <v>0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n">
        <v>0</v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0</v>
      </c>
      <c r="BE695" s="2" t="n">
        <v>0</v>
      </c>
      <c r="BF695" s="2" t="n">
        <v>0</v>
      </c>
      <c r="BG695" s="2" t="n">
        <v>0</v>
      </c>
      <c r="BH695" s="2" t="n">
        <v>0</v>
      </c>
      <c r="BI695" s="2" t="n">
        <v>0</v>
      </c>
      <c r="BJ695" s="2" t="n">
        <v>0</v>
      </c>
      <c r="BK695" s="2" t="n">
        <v>0</v>
      </c>
      <c r="BL695" s="2" t="n">
        <v>0</v>
      </c>
      <c r="BM695" s="2" t="n">
        <v>0</v>
      </c>
      <c r="BN695" s="2" t="n">
        <v>0</v>
      </c>
      <c r="BO695" s="2" t="n">
        <v>0</v>
      </c>
      <c r="BP695" s="2" t="n">
        <v>0</v>
      </c>
      <c r="BQ695" s="2" t="n">
        <v>0</v>
      </c>
      <c r="BR695" s="2" t="n">
        <v>0</v>
      </c>
      <c r="BS695" s="2" t="n">
        <v>0</v>
      </c>
      <c r="BT695" s="2" t="n">
        <v>0</v>
      </c>
      <c r="BU695" s="2" t="n">
        <v>0</v>
      </c>
      <c r="BV695" s="2" t="n">
        <v>0</v>
      </c>
      <c r="BW695" s="2" t="n">
        <v>0</v>
      </c>
      <c r="BX695" s="2" t="n">
        <v>0</v>
      </c>
      <c r="BY695" s="2" t="n">
        <v>0</v>
      </c>
      <c r="BZ695" s="2" t="n">
        <v>0</v>
      </c>
      <c r="CA695" s="2" t="n">
        <v>0</v>
      </c>
      <c r="CB695" s="2" t="n">
        <v>0</v>
      </c>
      <c r="CC695" s="2" t="n">
        <v>0</v>
      </c>
      <c r="CD695" s="2" t="n">
        <v>0</v>
      </c>
      <c r="CE695" s="2" t="n">
        <v>0</v>
      </c>
      <c r="CF695" s="2" t="n">
        <v>0</v>
      </c>
      <c r="CG695" s="2" t="n">
        <v>0</v>
      </c>
      <c r="CH695" s="2" t="n">
        <v>0</v>
      </c>
      <c r="CI695" s="2" t="n">
        <v>0.36</v>
      </c>
      <c r="CJ695" s="2" t="n">
        <v>2.15</v>
      </c>
      <c r="CK695" s="2" t="n">
        <v>0</v>
      </c>
      <c r="CL695" s="2" t="n">
        <v>8.050000000000001</v>
      </c>
      <c r="CM695" s="2" t="n">
        <v>9.880000000000001</v>
      </c>
      <c r="CN695" s="2" t="n">
        <v>0</v>
      </c>
      <c r="CO695" s="2" t="n">
        <v>16.11</v>
      </c>
      <c r="CP695" s="2" t="n">
        <v>17.97</v>
      </c>
      <c r="CQ695" s="2" t="n">
        <v>0</v>
      </c>
      <c r="CR695" s="2" t="n">
        <v>24.53</v>
      </c>
      <c r="CS695" s="2" t="n">
        <v>26.38</v>
      </c>
      <c r="CT695" s="2" t="n">
        <v>0</v>
      </c>
      <c r="CU695" s="2" t="n">
        <v>43.83</v>
      </c>
      <c r="CV695" s="2" t="n">
        <v>45.65</v>
      </c>
      <c r="CW695" s="2" t="n">
        <v>0</v>
      </c>
      <c r="CX695" s="2" t="n">
        <v>51.66</v>
      </c>
      <c r="CY695" s="2" t="n">
        <v>53.45</v>
      </c>
      <c r="CZ695" s="2" t="n">
        <v>0</v>
      </c>
      <c r="DA695" s="2" t="n">
        <v>59.4</v>
      </c>
      <c r="DB695" s="2" t="n">
        <v>61.19</v>
      </c>
      <c r="DC695" s="2" t="n">
        <v>0</v>
      </c>
      <c r="DD695" s="2" t="n">
        <v>69.06999999999999</v>
      </c>
      <c r="DE695" s="2" t="n">
        <v>70.86</v>
      </c>
      <c r="DF695" s="2" t="n">
        <v>0</v>
      </c>
      <c r="DG695" s="2" t="n">
        <v>75.51000000000001</v>
      </c>
      <c r="DH695" s="2" t="n">
        <v>77.31</v>
      </c>
      <c r="DI695" s="2" t="n">
        <v>0</v>
      </c>
      <c r="DJ695" s="2" t="n">
        <v>83.40000000000001</v>
      </c>
      <c r="DK695" s="2" t="n">
        <v>85.19</v>
      </c>
      <c r="DL695" s="2" t="n">
        <v>0</v>
      </c>
      <c r="DM695" s="2" t="n">
        <v>90.92</v>
      </c>
      <c r="DN695" s="2" t="n">
        <v>92.94</v>
      </c>
      <c r="DO695" s="2" t="n">
        <v>0</v>
      </c>
      <c r="DP695" s="2" t="n">
        <v>95.65000000000001</v>
      </c>
      <c r="DQ695" s="2" t="n">
        <v>96.78</v>
      </c>
      <c r="DR695" s="2" t="n">
        <v>0</v>
      </c>
      <c r="DS695" s="2" t="n">
        <v>96.78</v>
      </c>
      <c r="DT695" s="2" t="n">
        <v>96.78</v>
      </c>
      <c r="DU695" s="2" t="n">
        <v>0</v>
      </c>
      <c r="DV695" s="2" t="n">
        <v>100</v>
      </c>
      <c r="DW695" s="2" t="n">
        <v>100</v>
      </c>
      <c r="DX695" s="2" t="n">
        <v>0</v>
      </c>
      <c r="DY695" s="2" t="n">
        <v>100</v>
      </c>
      <c r="DZ695" s="2" t="n">
        <v>100</v>
      </c>
      <c r="EA695" s="2" t="n">
        <v>0</v>
      </c>
      <c r="EB695" s="2" t="n">
        <v>100</v>
      </c>
      <c r="EC695" s="2" t="n">
        <v>100</v>
      </c>
      <c r="ED695" s="2" t="n">
        <v>0</v>
      </c>
      <c r="EE695" s="2" t="n">
        <v>100</v>
      </c>
      <c r="EF695" s="2" t="n">
        <v>100</v>
      </c>
      <c r="EG695" s="2" t="n">
        <v>0</v>
      </c>
      <c r="EH695" s="2" t="n">
        <v>100</v>
      </c>
      <c r="EI695" s="2" t="n">
        <v>100</v>
      </c>
      <c r="EJ695" s="2" t="n">
        <v>0</v>
      </c>
      <c r="EK695" s="2" t="n">
        <v>100</v>
      </c>
      <c r="EL695" s="2" t="n">
        <v>100</v>
      </c>
      <c r="EM695" s="2" t="n">
        <v>0</v>
      </c>
      <c r="EN695" s="2" t="n">
        <v>100</v>
      </c>
      <c r="EO695" s="2" t="n">
        <v>100</v>
      </c>
      <c r="EP695" s="2" t="n">
        <v>0</v>
      </c>
      <c r="EQ695" s="2" t="n">
        <v>100</v>
      </c>
      <c r="ER695" s="2" t="n">
        <v>100</v>
      </c>
      <c r="ES695" s="2" t="n">
        <v>0</v>
      </c>
    </row>
    <row r="696">
      <c r="A696" s="2" t="n">
        <v>4</v>
      </c>
      <c r="B696" s="2" t="inlineStr">
        <is>
          <t>30.05.01.07</t>
        </is>
      </c>
      <c r="C696" s="2" t="inlineStr">
        <is>
          <t>Revestimento Porcelanato FGMF Silica Corda MA 120x120cm assentado com argamassa colante em pó ACIII</t>
        </is>
      </c>
      <c r="D696" s="2" t="inlineStr">
        <is>
          <t>24/08/2027</t>
        </is>
      </c>
      <c r="E696" s="2" t="inlineStr">
        <is>
          <t>15/09/2028</t>
        </is>
      </c>
      <c r="F696" s="2" t="n">
        <v>72683.08640067904</v>
      </c>
      <c r="G696" s="2" t="n">
        <v>0</v>
      </c>
      <c r="H696" s="2" t="n">
        <v>72683.08640067904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0</v>
      </c>
      <c r="AN696" s="2" t="n">
        <v>0</v>
      </c>
      <c r="AO696" s="2" t="n">
        <v>0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0</v>
      </c>
      <c r="AV696" s="2" t="n">
        <v>0</v>
      </c>
      <c r="AW696" s="2" t="n">
        <v>0</v>
      </c>
      <c r="AX696" s="2" t="n">
        <v>0</v>
      </c>
      <c r="AY696" s="2" t="n">
        <v>0</v>
      </c>
      <c r="AZ696" s="2" t="n">
        <v>0</v>
      </c>
      <c r="BA696" s="2" t="n">
        <v>0</v>
      </c>
      <c r="BB696" s="2" t="n">
        <v>0</v>
      </c>
      <c r="BC696" s="2" t="n">
        <v>0</v>
      </c>
      <c r="BD696" s="2" t="n">
        <v>0</v>
      </c>
      <c r="BE696" s="2" t="n">
        <v>0</v>
      </c>
      <c r="BF696" s="2" t="n">
        <v>0</v>
      </c>
      <c r="BG696" s="2" t="n">
        <v>0</v>
      </c>
      <c r="BH696" s="2" t="n">
        <v>0</v>
      </c>
      <c r="BI696" s="2" t="n">
        <v>0</v>
      </c>
      <c r="BJ696" s="2" t="n">
        <v>0</v>
      </c>
      <c r="BK696" s="2" t="n">
        <v>0</v>
      </c>
      <c r="BL696" s="2" t="n">
        <v>0</v>
      </c>
      <c r="BM696" s="2" t="n">
        <v>0</v>
      </c>
      <c r="BN696" s="2" t="n">
        <v>0</v>
      </c>
      <c r="BO696" s="2" t="n">
        <v>0</v>
      </c>
      <c r="BP696" s="2" t="n">
        <v>0</v>
      </c>
      <c r="BQ696" s="2" t="n">
        <v>0</v>
      </c>
      <c r="BR696" s="2" t="n">
        <v>0</v>
      </c>
      <c r="BS696" s="2" t="n">
        <v>0</v>
      </c>
      <c r="BT696" s="2" t="n">
        <v>0</v>
      </c>
      <c r="BU696" s="2" t="n">
        <v>0</v>
      </c>
      <c r="BV696" s="2" t="n">
        <v>0</v>
      </c>
      <c r="BW696" s="2" t="n">
        <v>0</v>
      </c>
      <c r="BX696" s="2" t="n">
        <v>0</v>
      </c>
      <c r="BY696" s="2" t="n">
        <v>0</v>
      </c>
      <c r="BZ696" s="2" t="n">
        <v>0</v>
      </c>
      <c r="CA696" s="2" t="n">
        <v>0</v>
      </c>
      <c r="CB696" s="2" t="n">
        <v>0</v>
      </c>
      <c r="CC696" s="2" t="n">
        <v>0</v>
      </c>
      <c r="CD696" s="2" t="n">
        <v>0</v>
      </c>
      <c r="CE696" s="2" t="n">
        <v>0</v>
      </c>
      <c r="CF696" s="2" t="n">
        <v>0</v>
      </c>
      <c r="CG696" s="2" t="n">
        <v>0</v>
      </c>
      <c r="CH696" s="2" t="n">
        <v>0</v>
      </c>
      <c r="CI696" s="2" t="n">
        <v>0.36</v>
      </c>
      <c r="CJ696" s="2" t="n">
        <v>2.15</v>
      </c>
      <c r="CK696" s="2" t="n">
        <v>0</v>
      </c>
      <c r="CL696" s="2" t="n">
        <v>8.050000000000001</v>
      </c>
      <c r="CM696" s="2" t="n">
        <v>9.880000000000001</v>
      </c>
      <c r="CN696" s="2" t="n">
        <v>0</v>
      </c>
      <c r="CO696" s="2" t="n">
        <v>16.11</v>
      </c>
      <c r="CP696" s="2" t="n">
        <v>17.97</v>
      </c>
      <c r="CQ696" s="2" t="n">
        <v>0</v>
      </c>
      <c r="CR696" s="2" t="n">
        <v>24.53</v>
      </c>
      <c r="CS696" s="2" t="n">
        <v>26.38</v>
      </c>
      <c r="CT696" s="2" t="n">
        <v>0</v>
      </c>
      <c r="CU696" s="2" t="n">
        <v>43.83</v>
      </c>
      <c r="CV696" s="2" t="n">
        <v>45.65</v>
      </c>
      <c r="CW696" s="2" t="n">
        <v>0</v>
      </c>
      <c r="CX696" s="2" t="n">
        <v>51.66</v>
      </c>
      <c r="CY696" s="2" t="n">
        <v>53.45</v>
      </c>
      <c r="CZ696" s="2" t="n">
        <v>0</v>
      </c>
      <c r="DA696" s="2" t="n">
        <v>59.4</v>
      </c>
      <c r="DB696" s="2" t="n">
        <v>61.19</v>
      </c>
      <c r="DC696" s="2" t="n">
        <v>0</v>
      </c>
      <c r="DD696" s="2" t="n">
        <v>69.06999999999999</v>
      </c>
      <c r="DE696" s="2" t="n">
        <v>70.86</v>
      </c>
      <c r="DF696" s="2" t="n">
        <v>0</v>
      </c>
      <c r="DG696" s="2" t="n">
        <v>75.51000000000001</v>
      </c>
      <c r="DH696" s="2" t="n">
        <v>77.31</v>
      </c>
      <c r="DI696" s="2" t="n">
        <v>0</v>
      </c>
      <c r="DJ696" s="2" t="n">
        <v>83.40000000000001</v>
      </c>
      <c r="DK696" s="2" t="n">
        <v>85.19</v>
      </c>
      <c r="DL696" s="2" t="n">
        <v>0</v>
      </c>
      <c r="DM696" s="2" t="n">
        <v>90.92</v>
      </c>
      <c r="DN696" s="2" t="n">
        <v>92.94</v>
      </c>
      <c r="DO696" s="2" t="n">
        <v>0</v>
      </c>
      <c r="DP696" s="2" t="n">
        <v>95.65000000000001</v>
      </c>
      <c r="DQ696" s="2" t="n">
        <v>96.78</v>
      </c>
      <c r="DR696" s="2" t="n">
        <v>0</v>
      </c>
      <c r="DS696" s="2" t="n">
        <v>96.78</v>
      </c>
      <c r="DT696" s="2" t="n">
        <v>96.78</v>
      </c>
      <c r="DU696" s="2" t="n">
        <v>0</v>
      </c>
      <c r="DV696" s="2" t="n">
        <v>100</v>
      </c>
      <c r="DW696" s="2" t="n">
        <v>100</v>
      </c>
      <c r="DX696" s="2" t="n">
        <v>0</v>
      </c>
      <c r="DY696" s="2" t="n">
        <v>100</v>
      </c>
      <c r="DZ696" s="2" t="n">
        <v>100</v>
      </c>
      <c r="EA696" s="2" t="n">
        <v>0</v>
      </c>
      <c r="EB696" s="2" t="n">
        <v>100</v>
      </c>
      <c r="EC696" s="2" t="n">
        <v>100</v>
      </c>
      <c r="ED696" s="2" t="n">
        <v>0</v>
      </c>
      <c r="EE696" s="2" t="n">
        <v>100</v>
      </c>
      <c r="EF696" s="2" t="n">
        <v>100</v>
      </c>
      <c r="EG696" s="2" t="n">
        <v>0</v>
      </c>
      <c r="EH696" s="2" t="n">
        <v>100</v>
      </c>
      <c r="EI696" s="2" t="n">
        <v>100</v>
      </c>
      <c r="EJ696" s="2" t="n">
        <v>0</v>
      </c>
      <c r="EK696" s="2" t="n">
        <v>100</v>
      </c>
      <c r="EL696" s="2" t="n">
        <v>100</v>
      </c>
      <c r="EM696" s="2" t="n">
        <v>0</v>
      </c>
      <c r="EN696" s="2" t="n">
        <v>100</v>
      </c>
      <c r="EO696" s="2" t="n">
        <v>100</v>
      </c>
      <c r="EP696" s="2" t="n">
        <v>0</v>
      </c>
      <c r="EQ696" s="2" t="n">
        <v>100</v>
      </c>
      <c r="ER696" s="2" t="n">
        <v>100</v>
      </c>
      <c r="ES696" s="2" t="n">
        <v>0</v>
      </c>
    </row>
    <row r="697">
      <c r="A697" s="2" t="n">
        <v>4</v>
      </c>
      <c r="B697" s="2" t="inlineStr">
        <is>
          <t>30.05.01.08</t>
        </is>
      </c>
      <c r="C697" s="2" t="inlineStr">
        <is>
          <t>Revestimento Porcelanato Eliane Khali Off White AC 120x120cm assentado com argamassa colante em pó ACIII</t>
        </is>
      </c>
      <c r="D697" s="2" t="inlineStr">
        <is>
          <t>24/08/2027</t>
        </is>
      </c>
      <c r="E697" s="2" t="inlineStr">
        <is>
          <t>15/09/2028</t>
        </is>
      </c>
      <c r="F697" s="2" t="n">
        <v>10878.41587521086</v>
      </c>
      <c r="G697" s="2" t="n">
        <v>0</v>
      </c>
      <c r="H697" s="2" t="n">
        <v>10878.41587521086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0</v>
      </c>
      <c r="AM697" s="2" t="n">
        <v>0</v>
      </c>
      <c r="AN697" s="2" t="n">
        <v>0</v>
      </c>
      <c r="AO697" s="2" t="n">
        <v>0</v>
      </c>
      <c r="AP697" s="2" t="n">
        <v>0</v>
      </c>
      <c r="AQ697" s="2" t="n">
        <v>0</v>
      </c>
      <c r="AR697" s="2" t="n">
        <v>0</v>
      </c>
      <c r="AS697" s="2" t="n">
        <v>0</v>
      </c>
      <c r="AT697" s="2" t="n">
        <v>0</v>
      </c>
      <c r="AU697" s="2" t="n">
        <v>0</v>
      </c>
      <c r="AV697" s="2" t="n">
        <v>0</v>
      </c>
      <c r="AW697" s="2" t="n">
        <v>0</v>
      </c>
      <c r="AX697" s="2" t="n">
        <v>0</v>
      </c>
      <c r="AY697" s="2" t="n">
        <v>0</v>
      </c>
      <c r="AZ697" s="2" t="n">
        <v>0</v>
      </c>
      <c r="BA697" s="2" t="n">
        <v>0</v>
      </c>
      <c r="BB697" s="2" t="n">
        <v>0</v>
      </c>
      <c r="BC697" s="2" t="n">
        <v>0</v>
      </c>
      <c r="BD697" s="2" t="n">
        <v>0</v>
      </c>
      <c r="BE697" s="2" t="n">
        <v>0</v>
      </c>
      <c r="BF697" s="2" t="n">
        <v>0</v>
      </c>
      <c r="BG697" s="2" t="n">
        <v>0</v>
      </c>
      <c r="BH697" s="2" t="n">
        <v>0</v>
      </c>
      <c r="BI697" s="2" t="n">
        <v>0</v>
      </c>
      <c r="BJ697" s="2" t="n">
        <v>0</v>
      </c>
      <c r="BK697" s="2" t="n">
        <v>0</v>
      </c>
      <c r="BL697" s="2" t="n">
        <v>0</v>
      </c>
      <c r="BM697" s="2" t="n">
        <v>0</v>
      </c>
      <c r="BN697" s="2" t="n">
        <v>0</v>
      </c>
      <c r="BO697" s="2" t="n">
        <v>0</v>
      </c>
      <c r="BP697" s="2" t="n">
        <v>0</v>
      </c>
      <c r="BQ697" s="2" t="n">
        <v>0</v>
      </c>
      <c r="BR697" s="2" t="n">
        <v>0</v>
      </c>
      <c r="BS697" s="2" t="n">
        <v>0</v>
      </c>
      <c r="BT697" s="2" t="n">
        <v>0</v>
      </c>
      <c r="BU697" s="2" t="n">
        <v>0</v>
      </c>
      <c r="BV697" s="2" t="n">
        <v>0</v>
      </c>
      <c r="BW697" s="2" t="n">
        <v>0</v>
      </c>
      <c r="BX697" s="2" t="n">
        <v>0</v>
      </c>
      <c r="BY697" s="2" t="n">
        <v>0</v>
      </c>
      <c r="BZ697" s="2" t="n">
        <v>0</v>
      </c>
      <c r="CA697" s="2" t="n">
        <v>0</v>
      </c>
      <c r="CB697" s="2" t="n">
        <v>0</v>
      </c>
      <c r="CC697" s="2" t="n">
        <v>0</v>
      </c>
      <c r="CD697" s="2" t="n">
        <v>0</v>
      </c>
      <c r="CE697" s="2" t="n">
        <v>0</v>
      </c>
      <c r="CF697" s="2" t="n">
        <v>0</v>
      </c>
      <c r="CG697" s="2" t="n">
        <v>0</v>
      </c>
      <c r="CH697" s="2" t="n">
        <v>0</v>
      </c>
      <c r="CI697" s="2" t="n">
        <v>0.36</v>
      </c>
      <c r="CJ697" s="2" t="n">
        <v>2.15</v>
      </c>
      <c r="CK697" s="2" t="n">
        <v>0</v>
      </c>
      <c r="CL697" s="2" t="n">
        <v>8.050000000000001</v>
      </c>
      <c r="CM697" s="2" t="n">
        <v>9.880000000000001</v>
      </c>
      <c r="CN697" s="2" t="n">
        <v>0</v>
      </c>
      <c r="CO697" s="2" t="n">
        <v>16.11</v>
      </c>
      <c r="CP697" s="2" t="n">
        <v>17.97</v>
      </c>
      <c r="CQ697" s="2" t="n">
        <v>0</v>
      </c>
      <c r="CR697" s="2" t="n">
        <v>24.53</v>
      </c>
      <c r="CS697" s="2" t="n">
        <v>26.38</v>
      </c>
      <c r="CT697" s="2" t="n">
        <v>0</v>
      </c>
      <c r="CU697" s="2" t="n">
        <v>43.83</v>
      </c>
      <c r="CV697" s="2" t="n">
        <v>45.65</v>
      </c>
      <c r="CW697" s="2" t="n">
        <v>0</v>
      </c>
      <c r="CX697" s="2" t="n">
        <v>51.66</v>
      </c>
      <c r="CY697" s="2" t="n">
        <v>53.45</v>
      </c>
      <c r="CZ697" s="2" t="n">
        <v>0</v>
      </c>
      <c r="DA697" s="2" t="n">
        <v>59.4</v>
      </c>
      <c r="DB697" s="2" t="n">
        <v>61.19</v>
      </c>
      <c r="DC697" s="2" t="n">
        <v>0</v>
      </c>
      <c r="DD697" s="2" t="n">
        <v>69.06999999999999</v>
      </c>
      <c r="DE697" s="2" t="n">
        <v>70.86</v>
      </c>
      <c r="DF697" s="2" t="n">
        <v>0</v>
      </c>
      <c r="DG697" s="2" t="n">
        <v>75.51000000000001</v>
      </c>
      <c r="DH697" s="2" t="n">
        <v>77.31</v>
      </c>
      <c r="DI697" s="2" t="n">
        <v>0</v>
      </c>
      <c r="DJ697" s="2" t="n">
        <v>83.40000000000001</v>
      </c>
      <c r="DK697" s="2" t="n">
        <v>85.19</v>
      </c>
      <c r="DL697" s="2" t="n">
        <v>0</v>
      </c>
      <c r="DM697" s="2" t="n">
        <v>90.92</v>
      </c>
      <c r="DN697" s="2" t="n">
        <v>92.94</v>
      </c>
      <c r="DO697" s="2" t="n">
        <v>0</v>
      </c>
      <c r="DP697" s="2" t="n">
        <v>95.65000000000001</v>
      </c>
      <c r="DQ697" s="2" t="n">
        <v>96.78</v>
      </c>
      <c r="DR697" s="2" t="n">
        <v>0</v>
      </c>
      <c r="DS697" s="2" t="n">
        <v>96.78</v>
      </c>
      <c r="DT697" s="2" t="n">
        <v>96.78</v>
      </c>
      <c r="DU697" s="2" t="n">
        <v>0</v>
      </c>
      <c r="DV697" s="2" t="n">
        <v>100</v>
      </c>
      <c r="DW697" s="2" t="n">
        <v>100</v>
      </c>
      <c r="DX697" s="2" t="n">
        <v>0</v>
      </c>
      <c r="DY697" s="2" t="n">
        <v>100</v>
      </c>
      <c r="DZ697" s="2" t="n">
        <v>100</v>
      </c>
      <c r="EA697" s="2" t="n">
        <v>0</v>
      </c>
      <c r="EB697" s="2" t="n">
        <v>100</v>
      </c>
      <c r="EC697" s="2" t="n">
        <v>100</v>
      </c>
      <c r="ED697" s="2" t="n">
        <v>0</v>
      </c>
      <c r="EE697" s="2" t="n">
        <v>100</v>
      </c>
      <c r="EF697" s="2" t="n">
        <v>100</v>
      </c>
      <c r="EG697" s="2" t="n">
        <v>0</v>
      </c>
      <c r="EH697" s="2" t="n">
        <v>100</v>
      </c>
      <c r="EI697" s="2" t="n">
        <v>100</v>
      </c>
      <c r="EJ697" s="2" t="n">
        <v>0</v>
      </c>
      <c r="EK697" s="2" t="n">
        <v>100</v>
      </c>
      <c r="EL697" s="2" t="n">
        <v>100</v>
      </c>
      <c r="EM697" s="2" t="n">
        <v>0</v>
      </c>
      <c r="EN697" s="2" t="n">
        <v>100</v>
      </c>
      <c r="EO697" s="2" t="n">
        <v>100</v>
      </c>
      <c r="EP697" s="2" t="n">
        <v>0</v>
      </c>
      <c r="EQ697" s="2" t="n">
        <v>100</v>
      </c>
      <c r="ER697" s="2" t="n">
        <v>100</v>
      </c>
      <c r="ES697" s="2" t="n">
        <v>0</v>
      </c>
    </row>
    <row r="698">
      <c r="A698" s="2" t="n">
        <v>3</v>
      </c>
      <c r="B698" s="2" t="inlineStr">
        <is>
          <t>30.05.02</t>
        </is>
      </c>
      <c r="C698" s="2" t="inlineStr">
        <is>
          <t>Revestimento com pedras</t>
        </is>
      </c>
      <c r="D698" s="2" t="inlineStr">
        <is>
          <t>24/08/2027</t>
        </is>
      </c>
      <c r="E698" s="2" t="inlineStr">
        <is>
          <t>15/09/2028</t>
        </is>
      </c>
      <c r="F698" s="2" t="n">
        <v>305294.0027438743</v>
      </c>
      <c r="G698" s="2" t="n">
        <v>0</v>
      </c>
      <c r="H698" s="2" t="n">
        <v>305294.0027438743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0</v>
      </c>
      <c r="AM698" s="2" t="n">
        <v>0</v>
      </c>
      <c r="AN698" s="2" t="n">
        <v>0</v>
      </c>
      <c r="AO698" s="2" t="n">
        <v>0</v>
      </c>
      <c r="AP698" s="2" t="n">
        <v>0</v>
      </c>
      <c r="AQ698" s="2" t="n">
        <v>0</v>
      </c>
      <c r="AR698" s="2" t="n">
        <v>0</v>
      </c>
      <c r="AS698" s="2" t="n">
        <v>0</v>
      </c>
      <c r="AT698" s="2" t="n">
        <v>0</v>
      </c>
      <c r="AU698" s="2" t="n">
        <v>0</v>
      </c>
      <c r="AV698" s="2" t="n">
        <v>0</v>
      </c>
      <c r="AW698" s="2" t="n">
        <v>0</v>
      </c>
      <c r="AX698" s="2" t="n">
        <v>0</v>
      </c>
      <c r="AY698" s="2" t="n">
        <v>0</v>
      </c>
      <c r="AZ698" s="2" t="n">
        <v>0</v>
      </c>
      <c r="BA698" s="2" t="n">
        <v>0</v>
      </c>
      <c r="BB698" s="2" t="n">
        <v>0</v>
      </c>
      <c r="BC698" s="2" t="n">
        <v>0</v>
      </c>
      <c r="BD698" s="2" t="n">
        <v>0</v>
      </c>
      <c r="BE698" s="2" t="n">
        <v>0</v>
      </c>
      <c r="BF698" s="2" t="n">
        <v>0</v>
      </c>
      <c r="BG698" s="2" t="n">
        <v>0</v>
      </c>
      <c r="BH698" s="2" t="n">
        <v>0</v>
      </c>
      <c r="BI698" s="2" t="n">
        <v>0</v>
      </c>
      <c r="BJ698" s="2" t="n">
        <v>0</v>
      </c>
      <c r="BK698" s="2" t="n">
        <v>0</v>
      </c>
      <c r="BL698" s="2" t="n">
        <v>0</v>
      </c>
      <c r="BM698" s="2" t="n">
        <v>0</v>
      </c>
      <c r="BN698" s="2" t="n">
        <v>0</v>
      </c>
      <c r="BO698" s="2" t="n">
        <v>0</v>
      </c>
      <c r="BP698" s="2" t="n">
        <v>0</v>
      </c>
      <c r="BQ698" s="2" t="n">
        <v>0</v>
      </c>
      <c r="BR698" s="2" t="n">
        <v>0</v>
      </c>
      <c r="BS698" s="2" t="n">
        <v>0</v>
      </c>
      <c r="BT698" s="2" t="n">
        <v>0</v>
      </c>
      <c r="BU698" s="2" t="n">
        <v>0</v>
      </c>
      <c r="BV698" s="2" t="n">
        <v>0</v>
      </c>
      <c r="BW698" s="2" t="n">
        <v>0</v>
      </c>
      <c r="BX698" s="2" t="n">
        <v>0</v>
      </c>
      <c r="BY698" s="2" t="n">
        <v>0</v>
      </c>
      <c r="BZ698" s="2" t="n">
        <v>0</v>
      </c>
      <c r="CA698" s="2" t="n">
        <v>0</v>
      </c>
      <c r="CB698" s="2" t="n">
        <v>0</v>
      </c>
      <c r="CC698" s="2" t="n">
        <v>0</v>
      </c>
      <c r="CD698" s="2" t="n">
        <v>0</v>
      </c>
      <c r="CE698" s="2" t="n">
        <v>0</v>
      </c>
      <c r="CF698" s="2" t="n">
        <v>0</v>
      </c>
      <c r="CG698" s="2" t="n">
        <v>0</v>
      </c>
      <c r="CH698" s="2" t="n">
        <v>0</v>
      </c>
      <c r="CI698" s="2" t="n">
        <v>0.36</v>
      </c>
      <c r="CJ698" s="2" t="n">
        <v>2.15</v>
      </c>
      <c r="CK698" s="2" t="n">
        <v>0</v>
      </c>
      <c r="CL698" s="2" t="n">
        <v>8.050000000000001</v>
      </c>
      <c r="CM698" s="2" t="n">
        <v>9.880000000000001</v>
      </c>
      <c r="CN698" s="2" t="n">
        <v>0</v>
      </c>
      <c r="CO698" s="2" t="n">
        <v>16.11</v>
      </c>
      <c r="CP698" s="2" t="n">
        <v>17.97</v>
      </c>
      <c r="CQ698" s="2" t="n">
        <v>0</v>
      </c>
      <c r="CR698" s="2" t="n">
        <v>24.53</v>
      </c>
      <c r="CS698" s="2" t="n">
        <v>26.38</v>
      </c>
      <c r="CT698" s="2" t="n">
        <v>0</v>
      </c>
      <c r="CU698" s="2" t="n">
        <v>43.83</v>
      </c>
      <c r="CV698" s="2" t="n">
        <v>45.65</v>
      </c>
      <c r="CW698" s="2" t="n">
        <v>0</v>
      </c>
      <c r="CX698" s="2" t="n">
        <v>51.66</v>
      </c>
      <c r="CY698" s="2" t="n">
        <v>53.45</v>
      </c>
      <c r="CZ698" s="2" t="n">
        <v>0</v>
      </c>
      <c r="DA698" s="2" t="n">
        <v>59.4</v>
      </c>
      <c r="DB698" s="2" t="n">
        <v>61.19</v>
      </c>
      <c r="DC698" s="2" t="n">
        <v>0</v>
      </c>
      <c r="DD698" s="2" t="n">
        <v>69.06999999999999</v>
      </c>
      <c r="DE698" s="2" t="n">
        <v>70.86</v>
      </c>
      <c r="DF698" s="2" t="n">
        <v>0</v>
      </c>
      <c r="DG698" s="2" t="n">
        <v>75.51000000000001</v>
      </c>
      <c r="DH698" s="2" t="n">
        <v>77.31</v>
      </c>
      <c r="DI698" s="2" t="n">
        <v>0</v>
      </c>
      <c r="DJ698" s="2" t="n">
        <v>83.40000000000001</v>
      </c>
      <c r="DK698" s="2" t="n">
        <v>85.19</v>
      </c>
      <c r="DL698" s="2" t="n">
        <v>0</v>
      </c>
      <c r="DM698" s="2" t="n">
        <v>90.92</v>
      </c>
      <c r="DN698" s="2" t="n">
        <v>92.94</v>
      </c>
      <c r="DO698" s="2" t="n">
        <v>0</v>
      </c>
      <c r="DP698" s="2" t="n">
        <v>95.65000000000001</v>
      </c>
      <c r="DQ698" s="2" t="n">
        <v>96.78</v>
      </c>
      <c r="DR698" s="2" t="n">
        <v>0</v>
      </c>
      <c r="DS698" s="2" t="n">
        <v>96.78</v>
      </c>
      <c r="DT698" s="2" t="n">
        <v>96.78</v>
      </c>
      <c r="DU698" s="2" t="n">
        <v>0</v>
      </c>
      <c r="DV698" s="2" t="n">
        <v>100</v>
      </c>
      <c r="DW698" s="2" t="n">
        <v>100</v>
      </c>
      <c r="DX698" s="2" t="n">
        <v>0</v>
      </c>
      <c r="DY698" s="2" t="n">
        <v>100</v>
      </c>
      <c r="DZ698" s="2" t="n">
        <v>100</v>
      </c>
      <c r="EA698" s="2" t="n">
        <v>0</v>
      </c>
      <c r="EB698" s="2" t="n">
        <v>100</v>
      </c>
      <c r="EC698" s="2" t="n">
        <v>100</v>
      </c>
      <c r="ED698" s="2" t="n">
        <v>0</v>
      </c>
      <c r="EE698" s="2" t="n">
        <v>100</v>
      </c>
      <c r="EF698" s="2" t="n">
        <v>100</v>
      </c>
      <c r="EG698" s="2" t="n">
        <v>0</v>
      </c>
      <c r="EH698" s="2" t="n">
        <v>100</v>
      </c>
      <c r="EI698" s="2" t="n">
        <v>100</v>
      </c>
      <c r="EJ698" s="2" t="n">
        <v>0</v>
      </c>
      <c r="EK698" s="2" t="n">
        <v>100</v>
      </c>
      <c r="EL698" s="2" t="n">
        <v>100</v>
      </c>
      <c r="EM698" s="2" t="n">
        <v>0</v>
      </c>
      <c r="EN698" s="2" t="n">
        <v>100</v>
      </c>
      <c r="EO698" s="2" t="n">
        <v>100</v>
      </c>
      <c r="EP698" s="2" t="n">
        <v>0</v>
      </c>
      <c r="EQ698" s="2" t="n">
        <v>100</v>
      </c>
      <c r="ER698" s="2" t="n">
        <v>100</v>
      </c>
      <c r="ES698" s="2" t="n">
        <v>0</v>
      </c>
    </row>
    <row r="699">
      <c r="A699" s="2" t="n">
        <v>4</v>
      </c>
      <c r="B699" s="2" t="inlineStr">
        <is>
          <t>30.05.02.01</t>
        </is>
      </c>
      <c r="C699" s="2" t="inlineStr">
        <is>
          <t>Mosaido de Ardósia verde, assentado com argamassa de cimento e areia</t>
        </is>
      </c>
      <c r="D699" s="2" t="inlineStr">
        <is>
          <t>24/08/2027</t>
        </is>
      </c>
      <c r="E699" s="2" t="inlineStr">
        <is>
          <t>15/09/2028</t>
        </is>
      </c>
      <c r="F699" s="2" t="n">
        <v>96641.37189631518</v>
      </c>
      <c r="G699" s="2" t="n">
        <v>0</v>
      </c>
      <c r="H699" s="2" t="n">
        <v>96641.37189631518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0</v>
      </c>
      <c r="AM699" s="2" t="n">
        <v>0</v>
      </c>
      <c r="AN699" s="2" t="n">
        <v>0</v>
      </c>
      <c r="AO699" s="2" t="n">
        <v>0</v>
      </c>
      <c r="AP699" s="2" t="n">
        <v>0</v>
      </c>
      <c r="AQ699" s="2" t="n">
        <v>0</v>
      </c>
      <c r="AR699" s="2" t="n">
        <v>0</v>
      </c>
      <c r="AS699" s="2" t="n">
        <v>0</v>
      </c>
      <c r="AT699" s="2" t="n">
        <v>0</v>
      </c>
      <c r="AU699" s="2" t="n">
        <v>0</v>
      </c>
      <c r="AV699" s="2" t="n">
        <v>0</v>
      </c>
      <c r="AW699" s="2" t="n">
        <v>0</v>
      </c>
      <c r="AX699" s="2" t="n">
        <v>0</v>
      </c>
      <c r="AY699" s="2" t="n">
        <v>0</v>
      </c>
      <c r="AZ699" s="2" t="n">
        <v>0</v>
      </c>
      <c r="BA699" s="2" t="n">
        <v>0</v>
      </c>
      <c r="BB699" s="2" t="n">
        <v>0</v>
      </c>
      <c r="BC699" s="2" t="n">
        <v>0</v>
      </c>
      <c r="BD699" s="2" t="n">
        <v>0</v>
      </c>
      <c r="BE699" s="2" t="n">
        <v>0</v>
      </c>
      <c r="BF699" s="2" t="n">
        <v>0</v>
      </c>
      <c r="BG699" s="2" t="n">
        <v>0</v>
      </c>
      <c r="BH699" s="2" t="n">
        <v>0</v>
      </c>
      <c r="BI699" s="2" t="n">
        <v>0</v>
      </c>
      <c r="BJ699" s="2" t="n">
        <v>0</v>
      </c>
      <c r="BK699" s="2" t="n">
        <v>0</v>
      </c>
      <c r="BL699" s="2" t="n">
        <v>0</v>
      </c>
      <c r="BM699" s="2" t="n">
        <v>0</v>
      </c>
      <c r="BN699" s="2" t="n">
        <v>0</v>
      </c>
      <c r="BO699" s="2" t="n">
        <v>0</v>
      </c>
      <c r="BP699" s="2" t="n">
        <v>0</v>
      </c>
      <c r="BQ699" s="2" t="n">
        <v>0</v>
      </c>
      <c r="BR699" s="2" t="n">
        <v>0</v>
      </c>
      <c r="BS699" s="2" t="n">
        <v>0</v>
      </c>
      <c r="BT699" s="2" t="n">
        <v>0</v>
      </c>
      <c r="BU699" s="2" t="n">
        <v>0</v>
      </c>
      <c r="BV699" s="2" t="n">
        <v>0</v>
      </c>
      <c r="BW699" s="2" t="n">
        <v>0</v>
      </c>
      <c r="BX699" s="2" t="n">
        <v>0</v>
      </c>
      <c r="BY699" s="2" t="n">
        <v>0</v>
      </c>
      <c r="BZ699" s="2" t="n">
        <v>0</v>
      </c>
      <c r="CA699" s="2" t="n">
        <v>0</v>
      </c>
      <c r="CB699" s="2" t="n">
        <v>0</v>
      </c>
      <c r="CC699" s="2" t="n">
        <v>0</v>
      </c>
      <c r="CD699" s="2" t="n">
        <v>0</v>
      </c>
      <c r="CE699" s="2" t="n">
        <v>0</v>
      </c>
      <c r="CF699" s="2" t="n">
        <v>0</v>
      </c>
      <c r="CG699" s="2" t="n">
        <v>0</v>
      </c>
      <c r="CH699" s="2" t="n">
        <v>0</v>
      </c>
      <c r="CI699" s="2" t="n">
        <v>0.36</v>
      </c>
      <c r="CJ699" s="2" t="n">
        <v>2.15</v>
      </c>
      <c r="CK699" s="2" t="n">
        <v>0</v>
      </c>
      <c r="CL699" s="2" t="n">
        <v>8.050000000000001</v>
      </c>
      <c r="CM699" s="2" t="n">
        <v>9.880000000000001</v>
      </c>
      <c r="CN699" s="2" t="n">
        <v>0</v>
      </c>
      <c r="CO699" s="2" t="n">
        <v>16.11</v>
      </c>
      <c r="CP699" s="2" t="n">
        <v>17.97</v>
      </c>
      <c r="CQ699" s="2" t="n">
        <v>0</v>
      </c>
      <c r="CR699" s="2" t="n">
        <v>24.53</v>
      </c>
      <c r="CS699" s="2" t="n">
        <v>26.38</v>
      </c>
      <c r="CT699" s="2" t="n">
        <v>0</v>
      </c>
      <c r="CU699" s="2" t="n">
        <v>43.83</v>
      </c>
      <c r="CV699" s="2" t="n">
        <v>45.65</v>
      </c>
      <c r="CW699" s="2" t="n">
        <v>0</v>
      </c>
      <c r="CX699" s="2" t="n">
        <v>51.66</v>
      </c>
      <c r="CY699" s="2" t="n">
        <v>53.45</v>
      </c>
      <c r="CZ699" s="2" t="n">
        <v>0</v>
      </c>
      <c r="DA699" s="2" t="n">
        <v>59.4</v>
      </c>
      <c r="DB699" s="2" t="n">
        <v>61.19</v>
      </c>
      <c r="DC699" s="2" t="n">
        <v>0</v>
      </c>
      <c r="DD699" s="2" t="n">
        <v>69.06999999999999</v>
      </c>
      <c r="DE699" s="2" t="n">
        <v>70.86</v>
      </c>
      <c r="DF699" s="2" t="n">
        <v>0</v>
      </c>
      <c r="DG699" s="2" t="n">
        <v>75.51000000000001</v>
      </c>
      <c r="DH699" s="2" t="n">
        <v>77.31</v>
      </c>
      <c r="DI699" s="2" t="n">
        <v>0</v>
      </c>
      <c r="DJ699" s="2" t="n">
        <v>83.40000000000001</v>
      </c>
      <c r="DK699" s="2" t="n">
        <v>85.19</v>
      </c>
      <c r="DL699" s="2" t="n">
        <v>0</v>
      </c>
      <c r="DM699" s="2" t="n">
        <v>90.92</v>
      </c>
      <c r="DN699" s="2" t="n">
        <v>92.94</v>
      </c>
      <c r="DO699" s="2" t="n">
        <v>0</v>
      </c>
      <c r="DP699" s="2" t="n">
        <v>95.65000000000001</v>
      </c>
      <c r="DQ699" s="2" t="n">
        <v>96.78</v>
      </c>
      <c r="DR699" s="2" t="n">
        <v>0</v>
      </c>
      <c r="DS699" s="2" t="n">
        <v>96.78</v>
      </c>
      <c r="DT699" s="2" t="n">
        <v>96.78</v>
      </c>
      <c r="DU699" s="2" t="n">
        <v>0</v>
      </c>
      <c r="DV699" s="2" t="n">
        <v>100</v>
      </c>
      <c r="DW699" s="2" t="n">
        <v>100</v>
      </c>
      <c r="DX699" s="2" t="n">
        <v>0</v>
      </c>
      <c r="DY699" s="2" t="n">
        <v>100</v>
      </c>
      <c r="DZ699" s="2" t="n">
        <v>100</v>
      </c>
      <c r="EA699" s="2" t="n">
        <v>0</v>
      </c>
      <c r="EB699" s="2" t="n">
        <v>100</v>
      </c>
      <c r="EC699" s="2" t="n">
        <v>100</v>
      </c>
      <c r="ED699" s="2" t="n">
        <v>0</v>
      </c>
      <c r="EE699" s="2" t="n">
        <v>100</v>
      </c>
      <c r="EF699" s="2" t="n">
        <v>100</v>
      </c>
      <c r="EG699" s="2" t="n">
        <v>0</v>
      </c>
      <c r="EH699" s="2" t="n">
        <v>100</v>
      </c>
      <c r="EI699" s="2" t="n">
        <v>100</v>
      </c>
      <c r="EJ699" s="2" t="n">
        <v>0</v>
      </c>
      <c r="EK699" s="2" t="n">
        <v>100</v>
      </c>
      <c r="EL699" s="2" t="n">
        <v>100</v>
      </c>
      <c r="EM699" s="2" t="n">
        <v>0</v>
      </c>
      <c r="EN699" s="2" t="n">
        <v>100</v>
      </c>
      <c r="EO699" s="2" t="n">
        <v>100</v>
      </c>
      <c r="EP699" s="2" t="n">
        <v>0</v>
      </c>
      <c r="EQ699" s="2" t="n">
        <v>100</v>
      </c>
      <c r="ER699" s="2" t="n">
        <v>100</v>
      </c>
      <c r="ES699" s="2" t="n">
        <v>0</v>
      </c>
    </row>
    <row r="700">
      <c r="A700" s="2" t="n">
        <v>4</v>
      </c>
      <c r="B700" s="2" t="inlineStr">
        <is>
          <t>30.05.02.02</t>
        </is>
      </c>
      <c r="C700" s="2" t="inlineStr">
        <is>
          <t>Revestimento em mosaico verde escovada paginação "French Pattern" assentado com argamassa de cimento e areia</t>
        </is>
      </c>
      <c r="D700" s="2" t="inlineStr">
        <is>
          <t>24/08/2027</t>
        </is>
      </c>
      <c r="E700" s="2" t="inlineStr">
        <is>
          <t>15/09/2028</t>
        </is>
      </c>
      <c r="F700" s="2" t="n">
        <v>208652.6308475591</v>
      </c>
      <c r="G700" s="2" t="n">
        <v>0</v>
      </c>
      <c r="H700" s="2" t="n">
        <v>208652.6308475591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0</v>
      </c>
      <c r="AN700" s="2" t="n">
        <v>0</v>
      </c>
      <c r="AO700" s="2" t="n">
        <v>0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n">
        <v>0</v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n">
        <v>0</v>
      </c>
      <c r="BI700" s="2" t="n">
        <v>0</v>
      </c>
      <c r="BJ700" s="2" t="n">
        <v>0</v>
      </c>
      <c r="BK700" s="2" t="n">
        <v>0</v>
      </c>
      <c r="BL700" s="2" t="n">
        <v>0</v>
      </c>
      <c r="BM700" s="2" t="n">
        <v>0</v>
      </c>
      <c r="BN700" s="2" t="n">
        <v>0</v>
      </c>
      <c r="BO700" s="2" t="n">
        <v>0</v>
      </c>
      <c r="BP700" s="2" t="n">
        <v>0</v>
      </c>
      <c r="BQ700" s="2" t="n">
        <v>0</v>
      </c>
      <c r="BR700" s="2" t="n">
        <v>0</v>
      </c>
      <c r="BS700" s="2" t="n">
        <v>0</v>
      </c>
      <c r="BT700" s="2" t="n">
        <v>0</v>
      </c>
      <c r="BU700" s="2" t="n">
        <v>0</v>
      </c>
      <c r="BV700" s="2" t="n">
        <v>0</v>
      </c>
      <c r="BW700" s="2" t="n">
        <v>0</v>
      </c>
      <c r="BX700" s="2" t="n">
        <v>0</v>
      </c>
      <c r="BY700" s="2" t="n">
        <v>0</v>
      </c>
      <c r="BZ700" s="2" t="n">
        <v>0</v>
      </c>
      <c r="CA700" s="2" t="n">
        <v>0</v>
      </c>
      <c r="CB700" s="2" t="n">
        <v>0</v>
      </c>
      <c r="CC700" s="2" t="n">
        <v>0</v>
      </c>
      <c r="CD700" s="2" t="n">
        <v>0</v>
      </c>
      <c r="CE700" s="2" t="n">
        <v>0</v>
      </c>
      <c r="CF700" s="2" t="n">
        <v>0</v>
      </c>
      <c r="CG700" s="2" t="n">
        <v>0</v>
      </c>
      <c r="CH700" s="2" t="n">
        <v>0</v>
      </c>
      <c r="CI700" s="2" t="n">
        <v>0.36</v>
      </c>
      <c r="CJ700" s="2" t="n">
        <v>2.15</v>
      </c>
      <c r="CK700" s="2" t="n">
        <v>0</v>
      </c>
      <c r="CL700" s="2" t="n">
        <v>8.050000000000001</v>
      </c>
      <c r="CM700" s="2" t="n">
        <v>9.880000000000001</v>
      </c>
      <c r="CN700" s="2" t="n">
        <v>0</v>
      </c>
      <c r="CO700" s="2" t="n">
        <v>16.11</v>
      </c>
      <c r="CP700" s="2" t="n">
        <v>17.97</v>
      </c>
      <c r="CQ700" s="2" t="n">
        <v>0</v>
      </c>
      <c r="CR700" s="2" t="n">
        <v>24.53</v>
      </c>
      <c r="CS700" s="2" t="n">
        <v>26.38</v>
      </c>
      <c r="CT700" s="2" t="n">
        <v>0</v>
      </c>
      <c r="CU700" s="2" t="n">
        <v>43.83</v>
      </c>
      <c r="CV700" s="2" t="n">
        <v>45.65</v>
      </c>
      <c r="CW700" s="2" t="n">
        <v>0</v>
      </c>
      <c r="CX700" s="2" t="n">
        <v>51.66</v>
      </c>
      <c r="CY700" s="2" t="n">
        <v>53.45</v>
      </c>
      <c r="CZ700" s="2" t="n">
        <v>0</v>
      </c>
      <c r="DA700" s="2" t="n">
        <v>59.4</v>
      </c>
      <c r="DB700" s="2" t="n">
        <v>61.19</v>
      </c>
      <c r="DC700" s="2" t="n">
        <v>0</v>
      </c>
      <c r="DD700" s="2" t="n">
        <v>69.06999999999999</v>
      </c>
      <c r="DE700" s="2" t="n">
        <v>70.86</v>
      </c>
      <c r="DF700" s="2" t="n">
        <v>0</v>
      </c>
      <c r="DG700" s="2" t="n">
        <v>75.51000000000001</v>
      </c>
      <c r="DH700" s="2" t="n">
        <v>77.31</v>
      </c>
      <c r="DI700" s="2" t="n">
        <v>0</v>
      </c>
      <c r="DJ700" s="2" t="n">
        <v>83.40000000000001</v>
      </c>
      <c r="DK700" s="2" t="n">
        <v>85.19</v>
      </c>
      <c r="DL700" s="2" t="n">
        <v>0</v>
      </c>
      <c r="DM700" s="2" t="n">
        <v>90.92</v>
      </c>
      <c r="DN700" s="2" t="n">
        <v>92.94</v>
      </c>
      <c r="DO700" s="2" t="n">
        <v>0</v>
      </c>
      <c r="DP700" s="2" t="n">
        <v>95.65000000000001</v>
      </c>
      <c r="DQ700" s="2" t="n">
        <v>96.78</v>
      </c>
      <c r="DR700" s="2" t="n">
        <v>0</v>
      </c>
      <c r="DS700" s="2" t="n">
        <v>96.78</v>
      </c>
      <c r="DT700" s="2" t="n">
        <v>96.78</v>
      </c>
      <c r="DU700" s="2" t="n">
        <v>0</v>
      </c>
      <c r="DV700" s="2" t="n">
        <v>100</v>
      </c>
      <c r="DW700" s="2" t="n">
        <v>100</v>
      </c>
      <c r="DX700" s="2" t="n">
        <v>0</v>
      </c>
      <c r="DY700" s="2" t="n">
        <v>100</v>
      </c>
      <c r="DZ700" s="2" t="n">
        <v>100</v>
      </c>
      <c r="EA700" s="2" t="n">
        <v>0</v>
      </c>
      <c r="EB700" s="2" t="n">
        <v>100</v>
      </c>
      <c r="EC700" s="2" t="n">
        <v>100</v>
      </c>
      <c r="ED700" s="2" t="n">
        <v>0</v>
      </c>
      <c r="EE700" s="2" t="n">
        <v>100</v>
      </c>
      <c r="EF700" s="2" t="n">
        <v>100</v>
      </c>
      <c r="EG700" s="2" t="n">
        <v>0</v>
      </c>
      <c r="EH700" s="2" t="n">
        <v>100</v>
      </c>
      <c r="EI700" s="2" t="n">
        <v>100</v>
      </c>
      <c r="EJ700" s="2" t="n">
        <v>0</v>
      </c>
      <c r="EK700" s="2" t="n">
        <v>100</v>
      </c>
      <c r="EL700" s="2" t="n">
        <v>100</v>
      </c>
      <c r="EM700" s="2" t="n">
        <v>0</v>
      </c>
      <c r="EN700" s="2" t="n">
        <v>100</v>
      </c>
      <c r="EO700" s="2" t="n">
        <v>100</v>
      </c>
      <c r="EP700" s="2" t="n">
        <v>0</v>
      </c>
      <c r="EQ700" s="2" t="n">
        <v>100</v>
      </c>
      <c r="ER700" s="2" t="n">
        <v>100</v>
      </c>
      <c r="ES700" s="2" t="n">
        <v>0</v>
      </c>
    </row>
    <row r="701">
      <c r="A701" s="2" t="n">
        <v>3</v>
      </c>
      <c r="B701" s="2" t="inlineStr">
        <is>
          <t>30.05.03</t>
        </is>
      </c>
      <c r="C701" s="2" t="inlineStr">
        <is>
          <t>Papel de parede</t>
        </is>
      </c>
      <c r="D701" s="2" t="inlineStr">
        <is>
          <t>24/08/2027</t>
        </is>
      </c>
      <c r="E701" s="2" t="inlineStr">
        <is>
          <t>15/09/2028</t>
        </is>
      </c>
      <c r="F701" s="2" t="n">
        <v>9114.569307348842</v>
      </c>
      <c r="G701" s="2" t="n">
        <v>0</v>
      </c>
      <c r="H701" s="2" t="n">
        <v>9114.569307348842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0</v>
      </c>
      <c r="AM701" s="2" t="n">
        <v>0</v>
      </c>
      <c r="AN701" s="2" t="n">
        <v>0</v>
      </c>
      <c r="AO701" s="2" t="n">
        <v>0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n">
        <v>0</v>
      </c>
      <c r="AZ701" s="2" t="n">
        <v>0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n">
        <v>0</v>
      </c>
      <c r="BI701" s="2" t="n">
        <v>0</v>
      </c>
      <c r="BJ701" s="2" t="n">
        <v>0</v>
      </c>
      <c r="BK701" s="2" t="n">
        <v>0</v>
      </c>
      <c r="BL701" s="2" t="n">
        <v>0</v>
      </c>
      <c r="BM701" s="2" t="n">
        <v>0</v>
      </c>
      <c r="BN701" s="2" t="n">
        <v>0</v>
      </c>
      <c r="BO701" s="2" t="n">
        <v>0</v>
      </c>
      <c r="BP701" s="2" t="n">
        <v>0</v>
      </c>
      <c r="BQ701" s="2" t="n">
        <v>0</v>
      </c>
      <c r="BR701" s="2" t="n">
        <v>0</v>
      </c>
      <c r="BS701" s="2" t="n">
        <v>0</v>
      </c>
      <c r="BT701" s="2" t="n">
        <v>0</v>
      </c>
      <c r="BU701" s="2" t="n">
        <v>0</v>
      </c>
      <c r="BV701" s="2" t="n">
        <v>0</v>
      </c>
      <c r="BW701" s="2" t="n">
        <v>0</v>
      </c>
      <c r="BX701" s="2" t="n">
        <v>0</v>
      </c>
      <c r="BY701" s="2" t="n">
        <v>0</v>
      </c>
      <c r="BZ701" s="2" t="n">
        <v>0</v>
      </c>
      <c r="CA701" s="2" t="n">
        <v>0</v>
      </c>
      <c r="CB701" s="2" t="n">
        <v>0</v>
      </c>
      <c r="CC701" s="2" t="n">
        <v>0</v>
      </c>
      <c r="CD701" s="2" t="n">
        <v>0</v>
      </c>
      <c r="CE701" s="2" t="n">
        <v>0</v>
      </c>
      <c r="CF701" s="2" t="n">
        <v>0</v>
      </c>
      <c r="CG701" s="2" t="n">
        <v>0</v>
      </c>
      <c r="CH701" s="2" t="n">
        <v>0</v>
      </c>
      <c r="CI701" s="2" t="n">
        <v>0.36</v>
      </c>
      <c r="CJ701" s="2" t="n">
        <v>2.15</v>
      </c>
      <c r="CK701" s="2" t="n">
        <v>0</v>
      </c>
      <c r="CL701" s="2" t="n">
        <v>8.050000000000001</v>
      </c>
      <c r="CM701" s="2" t="n">
        <v>9.880000000000001</v>
      </c>
      <c r="CN701" s="2" t="n">
        <v>0</v>
      </c>
      <c r="CO701" s="2" t="n">
        <v>16.11</v>
      </c>
      <c r="CP701" s="2" t="n">
        <v>17.97</v>
      </c>
      <c r="CQ701" s="2" t="n">
        <v>0</v>
      </c>
      <c r="CR701" s="2" t="n">
        <v>24.53</v>
      </c>
      <c r="CS701" s="2" t="n">
        <v>26.38</v>
      </c>
      <c r="CT701" s="2" t="n">
        <v>0</v>
      </c>
      <c r="CU701" s="2" t="n">
        <v>43.83</v>
      </c>
      <c r="CV701" s="2" t="n">
        <v>45.65</v>
      </c>
      <c r="CW701" s="2" t="n">
        <v>0</v>
      </c>
      <c r="CX701" s="2" t="n">
        <v>51.66</v>
      </c>
      <c r="CY701" s="2" t="n">
        <v>53.45</v>
      </c>
      <c r="CZ701" s="2" t="n">
        <v>0</v>
      </c>
      <c r="DA701" s="2" t="n">
        <v>59.4</v>
      </c>
      <c r="DB701" s="2" t="n">
        <v>61.19</v>
      </c>
      <c r="DC701" s="2" t="n">
        <v>0</v>
      </c>
      <c r="DD701" s="2" t="n">
        <v>69.06999999999999</v>
      </c>
      <c r="DE701" s="2" t="n">
        <v>70.86</v>
      </c>
      <c r="DF701" s="2" t="n">
        <v>0</v>
      </c>
      <c r="DG701" s="2" t="n">
        <v>75.51000000000001</v>
      </c>
      <c r="DH701" s="2" t="n">
        <v>77.31</v>
      </c>
      <c r="DI701" s="2" t="n">
        <v>0</v>
      </c>
      <c r="DJ701" s="2" t="n">
        <v>83.40000000000001</v>
      </c>
      <c r="DK701" s="2" t="n">
        <v>85.19</v>
      </c>
      <c r="DL701" s="2" t="n">
        <v>0</v>
      </c>
      <c r="DM701" s="2" t="n">
        <v>90.92</v>
      </c>
      <c r="DN701" s="2" t="n">
        <v>92.94</v>
      </c>
      <c r="DO701" s="2" t="n">
        <v>0</v>
      </c>
      <c r="DP701" s="2" t="n">
        <v>95.65000000000001</v>
      </c>
      <c r="DQ701" s="2" t="n">
        <v>96.78</v>
      </c>
      <c r="DR701" s="2" t="n">
        <v>0</v>
      </c>
      <c r="DS701" s="2" t="n">
        <v>96.78</v>
      </c>
      <c r="DT701" s="2" t="n">
        <v>96.78</v>
      </c>
      <c r="DU701" s="2" t="n">
        <v>0</v>
      </c>
      <c r="DV701" s="2" t="n">
        <v>100</v>
      </c>
      <c r="DW701" s="2" t="n">
        <v>100</v>
      </c>
      <c r="DX701" s="2" t="n">
        <v>0</v>
      </c>
      <c r="DY701" s="2" t="n">
        <v>100</v>
      </c>
      <c r="DZ701" s="2" t="n">
        <v>100</v>
      </c>
      <c r="EA701" s="2" t="n">
        <v>0</v>
      </c>
      <c r="EB701" s="2" t="n">
        <v>100</v>
      </c>
      <c r="EC701" s="2" t="n">
        <v>100</v>
      </c>
      <c r="ED701" s="2" t="n">
        <v>0</v>
      </c>
      <c r="EE701" s="2" t="n">
        <v>100</v>
      </c>
      <c r="EF701" s="2" t="n">
        <v>100</v>
      </c>
      <c r="EG701" s="2" t="n">
        <v>0</v>
      </c>
      <c r="EH701" s="2" t="n">
        <v>100</v>
      </c>
      <c r="EI701" s="2" t="n">
        <v>100</v>
      </c>
      <c r="EJ701" s="2" t="n">
        <v>0</v>
      </c>
      <c r="EK701" s="2" t="n">
        <v>100</v>
      </c>
      <c r="EL701" s="2" t="n">
        <v>100</v>
      </c>
      <c r="EM701" s="2" t="n">
        <v>0</v>
      </c>
      <c r="EN701" s="2" t="n">
        <v>100</v>
      </c>
      <c r="EO701" s="2" t="n">
        <v>100</v>
      </c>
      <c r="EP701" s="2" t="n">
        <v>0</v>
      </c>
      <c r="EQ701" s="2" t="n">
        <v>100</v>
      </c>
      <c r="ER701" s="2" t="n">
        <v>100</v>
      </c>
      <c r="ES701" s="2" t="n">
        <v>0</v>
      </c>
    </row>
    <row r="702">
      <c r="A702" s="2" t="n">
        <v>4</v>
      </c>
      <c r="B702" s="2" t="inlineStr">
        <is>
          <t>30.05.03.01</t>
        </is>
      </c>
      <c r="C702" s="2" t="inlineStr">
        <is>
          <t>Emassamento acrílico (1 demão + retoques)</t>
        </is>
      </c>
      <c r="D702" s="2" t="inlineStr">
        <is>
          <t>24/08/2027</t>
        </is>
      </c>
      <c r="E702" s="2" t="inlineStr">
        <is>
          <t>15/09/2028</t>
        </is>
      </c>
      <c r="F702" s="2" t="n">
        <v>237.47852505</v>
      </c>
      <c r="G702" s="2" t="n">
        <v>0</v>
      </c>
      <c r="H702" s="2" t="n">
        <v>237.47852505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  <c r="AN702" s="2" t="n">
        <v>0</v>
      </c>
      <c r="AO702" s="2" t="n">
        <v>0</v>
      </c>
      <c r="AP702" s="2" t="n">
        <v>0</v>
      </c>
      <c r="AQ702" s="2" t="n">
        <v>0</v>
      </c>
      <c r="AR702" s="2" t="n">
        <v>0</v>
      </c>
      <c r="AS702" s="2" t="n">
        <v>0</v>
      </c>
      <c r="AT702" s="2" t="n">
        <v>0</v>
      </c>
      <c r="AU702" s="2" t="n">
        <v>0</v>
      </c>
      <c r="AV702" s="2" t="n">
        <v>0</v>
      </c>
      <c r="AW702" s="2" t="n">
        <v>0</v>
      </c>
      <c r="AX702" s="2" t="n">
        <v>0</v>
      </c>
      <c r="AY702" s="2" t="n">
        <v>0</v>
      </c>
      <c r="AZ702" s="2" t="n">
        <v>0</v>
      </c>
      <c r="BA702" s="2" t="n">
        <v>0</v>
      </c>
      <c r="BB702" s="2" t="n">
        <v>0</v>
      </c>
      <c r="BC702" s="2" t="n">
        <v>0</v>
      </c>
      <c r="BD702" s="2" t="n">
        <v>0</v>
      </c>
      <c r="BE702" s="2" t="n">
        <v>0</v>
      </c>
      <c r="BF702" s="2" t="n">
        <v>0</v>
      </c>
      <c r="BG702" s="2" t="n">
        <v>0</v>
      </c>
      <c r="BH702" s="2" t="n">
        <v>0</v>
      </c>
      <c r="BI702" s="2" t="n">
        <v>0</v>
      </c>
      <c r="BJ702" s="2" t="n">
        <v>0</v>
      </c>
      <c r="BK702" s="2" t="n">
        <v>0</v>
      </c>
      <c r="BL702" s="2" t="n">
        <v>0</v>
      </c>
      <c r="BM702" s="2" t="n">
        <v>0</v>
      </c>
      <c r="BN702" s="2" t="n">
        <v>0</v>
      </c>
      <c r="BO702" s="2" t="n">
        <v>0</v>
      </c>
      <c r="BP702" s="2" t="n">
        <v>0</v>
      </c>
      <c r="BQ702" s="2" t="n">
        <v>0</v>
      </c>
      <c r="BR702" s="2" t="n">
        <v>0</v>
      </c>
      <c r="BS702" s="2" t="n">
        <v>0</v>
      </c>
      <c r="BT702" s="2" t="n">
        <v>0</v>
      </c>
      <c r="BU702" s="2" t="n">
        <v>0</v>
      </c>
      <c r="BV702" s="2" t="n">
        <v>0</v>
      </c>
      <c r="BW702" s="2" t="n">
        <v>0</v>
      </c>
      <c r="BX702" s="2" t="n">
        <v>0</v>
      </c>
      <c r="BY702" s="2" t="n">
        <v>0</v>
      </c>
      <c r="BZ702" s="2" t="n">
        <v>0</v>
      </c>
      <c r="CA702" s="2" t="n">
        <v>0</v>
      </c>
      <c r="CB702" s="2" t="n">
        <v>0</v>
      </c>
      <c r="CC702" s="2" t="n">
        <v>0</v>
      </c>
      <c r="CD702" s="2" t="n">
        <v>0</v>
      </c>
      <c r="CE702" s="2" t="n">
        <v>0</v>
      </c>
      <c r="CF702" s="2" t="n">
        <v>0</v>
      </c>
      <c r="CG702" s="2" t="n">
        <v>0</v>
      </c>
      <c r="CH702" s="2" t="n">
        <v>0</v>
      </c>
      <c r="CI702" s="2" t="n">
        <v>0.36</v>
      </c>
      <c r="CJ702" s="2" t="n">
        <v>2.15</v>
      </c>
      <c r="CK702" s="2" t="n">
        <v>0</v>
      </c>
      <c r="CL702" s="2" t="n">
        <v>8.050000000000001</v>
      </c>
      <c r="CM702" s="2" t="n">
        <v>9.880000000000001</v>
      </c>
      <c r="CN702" s="2" t="n">
        <v>0</v>
      </c>
      <c r="CO702" s="2" t="n">
        <v>16.11</v>
      </c>
      <c r="CP702" s="2" t="n">
        <v>17.97</v>
      </c>
      <c r="CQ702" s="2" t="n">
        <v>0</v>
      </c>
      <c r="CR702" s="2" t="n">
        <v>24.53</v>
      </c>
      <c r="CS702" s="2" t="n">
        <v>26.38</v>
      </c>
      <c r="CT702" s="2" t="n">
        <v>0</v>
      </c>
      <c r="CU702" s="2" t="n">
        <v>43.83</v>
      </c>
      <c r="CV702" s="2" t="n">
        <v>45.65</v>
      </c>
      <c r="CW702" s="2" t="n">
        <v>0</v>
      </c>
      <c r="CX702" s="2" t="n">
        <v>51.66</v>
      </c>
      <c r="CY702" s="2" t="n">
        <v>53.45</v>
      </c>
      <c r="CZ702" s="2" t="n">
        <v>0</v>
      </c>
      <c r="DA702" s="2" t="n">
        <v>59.4</v>
      </c>
      <c r="DB702" s="2" t="n">
        <v>61.19</v>
      </c>
      <c r="DC702" s="2" t="n">
        <v>0</v>
      </c>
      <c r="DD702" s="2" t="n">
        <v>69.06999999999999</v>
      </c>
      <c r="DE702" s="2" t="n">
        <v>70.86</v>
      </c>
      <c r="DF702" s="2" t="n">
        <v>0</v>
      </c>
      <c r="DG702" s="2" t="n">
        <v>75.51000000000001</v>
      </c>
      <c r="DH702" s="2" t="n">
        <v>77.31</v>
      </c>
      <c r="DI702" s="2" t="n">
        <v>0</v>
      </c>
      <c r="DJ702" s="2" t="n">
        <v>83.40000000000001</v>
      </c>
      <c r="DK702" s="2" t="n">
        <v>85.19</v>
      </c>
      <c r="DL702" s="2" t="n">
        <v>0</v>
      </c>
      <c r="DM702" s="2" t="n">
        <v>90.92</v>
      </c>
      <c r="DN702" s="2" t="n">
        <v>92.94</v>
      </c>
      <c r="DO702" s="2" t="n">
        <v>0</v>
      </c>
      <c r="DP702" s="2" t="n">
        <v>95.65000000000001</v>
      </c>
      <c r="DQ702" s="2" t="n">
        <v>96.78</v>
      </c>
      <c r="DR702" s="2" t="n">
        <v>0</v>
      </c>
      <c r="DS702" s="2" t="n">
        <v>96.78</v>
      </c>
      <c r="DT702" s="2" t="n">
        <v>96.78</v>
      </c>
      <c r="DU702" s="2" t="n">
        <v>0</v>
      </c>
      <c r="DV702" s="2" t="n">
        <v>100</v>
      </c>
      <c r="DW702" s="2" t="n">
        <v>100</v>
      </c>
      <c r="DX702" s="2" t="n">
        <v>0</v>
      </c>
      <c r="DY702" s="2" t="n">
        <v>100</v>
      </c>
      <c r="DZ702" s="2" t="n">
        <v>100</v>
      </c>
      <c r="EA702" s="2" t="n">
        <v>0</v>
      </c>
      <c r="EB702" s="2" t="n">
        <v>100</v>
      </c>
      <c r="EC702" s="2" t="n">
        <v>100</v>
      </c>
      <c r="ED702" s="2" t="n">
        <v>0</v>
      </c>
      <c r="EE702" s="2" t="n">
        <v>100</v>
      </c>
      <c r="EF702" s="2" t="n">
        <v>100</v>
      </c>
      <c r="EG702" s="2" t="n">
        <v>0</v>
      </c>
      <c r="EH702" s="2" t="n">
        <v>100</v>
      </c>
      <c r="EI702" s="2" t="n">
        <v>100</v>
      </c>
      <c r="EJ702" s="2" t="n">
        <v>0</v>
      </c>
      <c r="EK702" s="2" t="n">
        <v>100</v>
      </c>
      <c r="EL702" s="2" t="n">
        <v>100</v>
      </c>
      <c r="EM702" s="2" t="n">
        <v>0</v>
      </c>
      <c r="EN702" s="2" t="n">
        <v>100</v>
      </c>
      <c r="EO702" s="2" t="n">
        <v>100</v>
      </c>
      <c r="EP702" s="2" t="n">
        <v>0</v>
      </c>
      <c r="EQ702" s="2" t="n">
        <v>100</v>
      </c>
      <c r="ER702" s="2" t="n">
        <v>100</v>
      </c>
      <c r="ES702" s="2" t="n">
        <v>0</v>
      </c>
    </row>
    <row r="703">
      <c r="A703" s="2" t="n">
        <v>4</v>
      </c>
      <c r="B703" s="2" t="inlineStr">
        <is>
          <t>30.05.03.02</t>
        </is>
      </c>
      <c r="C703" s="2" t="inlineStr">
        <is>
          <t>Emassamento acrílico (1 demão + retoques)</t>
        </is>
      </c>
      <c r="D703" s="2" t="inlineStr">
        <is>
          <t>24/08/2027</t>
        </is>
      </c>
      <c r="E703" s="2" t="inlineStr">
        <is>
          <t>15/09/2028</t>
        </is>
      </c>
      <c r="F703" s="2" t="n">
        <v>237.47852505</v>
      </c>
      <c r="G703" s="2" t="n">
        <v>0</v>
      </c>
      <c r="H703" s="2" t="n">
        <v>237.47852505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0</v>
      </c>
      <c r="AM703" s="2" t="n">
        <v>0</v>
      </c>
      <c r="AN703" s="2" t="n">
        <v>0</v>
      </c>
      <c r="AO703" s="2" t="n">
        <v>0</v>
      </c>
      <c r="AP703" s="2" t="n">
        <v>0</v>
      </c>
      <c r="AQ703" s="2" t="n">
        <v>0</v>
      </c>
      <c r="AR703" s="2" t="n">
        <v>0</v>
      </c>
      <c r="AS703" s="2" t="n">
        <v>0</v>
      </c>
      <c r="AT703" s="2" t="n">
        <v>0</v>
      </c>
      <c r="AU703" s="2" t="n">
        <v>0</v>
      </c>
      <c r="AV703" s="2" t="n">
        <v>0</v>
      </c>
      <c r="AW703" s="2" t="n">
        <v>0</v>
      </c>
      <c r="AX703" s="2" t="n">
        <v>0</v>
      </c>
      <c r="AY703" s="2" t="n">
        <v>0</v>
      </c>
      <c r="AZ703" s="2" t="n">
        <v>0</v>
      </c>
      <c r="BA703" s="2" t="n">
        <v>0</v>
      </c>
      <c r="BB703" s="2" t="n">
        <v>0</v>
      </c>
      <c r="BC703" s="2" t="n">
        <v>0</v>
      </c>
      <c r="BD703" s="2" t="n">
        <v>0</v>
      </c>
      <c r="BE703" s="2" t="n">
        <v>0</v>
      </c>
      <c r="BF703" s="2" t="n">
        <v>0</v>
      </c>
      <c r="BG703" s="2" t="n">
        <v>0</v>
      </c>
      <c r="BH703" s="2" t="n">
        <v>0</v>
      </c>
      <c r="BI703" s="2" t="n">
        <v>0</v>
      </c>
      <c r="BJ703" s="2" t="n">
        <v>0</v>
      </c>
      <c r="BK703" s="2" t="n">
        <v>0</v>
      </c>
      <c r="BL703" s="2" t="n">
        <v>0</v>
      </c>
      <c r="BM703" s="2" t="n">
        <v>0</v>
      </c>
      <c r="BN703" s="2" t="n">
        <v>0</v>
      </c>
      <c r="BO703" s="2" t="n">
        <v>0</v>
      </c>
      <c r="BP703" s="2" t="n">
        <v>0</v>
      </c>
      <c r="BQ703" s="2" t="n">
        <v>0</v>
      </c>
      <c r="BR703" s="2" t="n">
        <v>0</v>
      </c>
      <c r="BS703" s="2" t="n">
        <v>0</v>
      </c>
      <c r="BT703" s="2" t="n">
        <v>0</v>
      </c>
      <c r="BU703" s="2" t="n">
        <v>0</v>
      </c>
      <c r="BV703" s="2" t="n">
        <v>0</v>
      </c>
      <c r="BW703" s="2" t="n">
        <v>0</v>
      </c>
      <c r="BX703" s="2" t="n">
        <v>0</v>
      </c>
      <c r="BY703" s="2" t="n">
        <v>0</v>
      </c>
      <c r="BZ703" s="2" t="n">
        <v>0</v>
      </c>
      <c r="CA703" s="2" t="n">
        <v>0</v>
      </c>
      <c r="CB703" s="2" t="n">
        <v>0</v>
      </c>
      <c r="CC703" s="2" t="n">
        <v>0</v>
      </c>
      <c r="CD703" s="2" t="n">
        <v>0</v>
      </c>
      <c r="CE703" s="2" t="n">
        <v>0</v>
      </c>
      <c r="CF703" s="2" t="n">
        <v>0</v>
      </c>
      <c r="CG703" s="2" t="n">
        <v>0</v>
      </c>
      <c r="CH703" s="2" t="n">
        <v>0</v>
      </c>
      <c r="CI703" s="2" t="n">
        <v>0.36</v>
      </c>
      <c r="CJ703" s="2" t="n">
        <v>2.15</v>
      </c>
      <c r="CK703" s="2" t="n">
        <v>0</v>
      </c>
      <c r="CL703" s="2" t="n">
        <v>8.050000000000001</v>
      </c>
      <c r="CM703" s="2" t="n">
        <v>9.880000000000001</v>
      </c>
      <c r="CN703" s="2" t="n">
        <v>0</v>
      </c>
      <c r="CO703" s="2" t="n">
        <v>16.11</v>
      </c>
      <c r="CP703" s="2" t="n">
        <v>17.97</v>
      </c>
      <c r="CQ703" s="2" t="n">
        <v>0</v>
      </c>
      <c r="CR703" s="2" t="n">
        <v>24.53</v>
      </c>
      <c r="CS703" s="2" t="n">
        <v>26.38</v>
      </c>
      <c r="CT703" s="2" t="n">
        <v>0</v>
      </c>
      <c r="CU703" s="2" t="n">
        <v>43.83</v>
      </c>
      <c r="CV703" s="2" t="n">
        <v>45.65</v>
      </c>
      <c r="CW703" s="2" t="n">
        <v>0</v>
      </c>
      <c r="CX703" s="2" t="n">
        <v>51.66</v>
      </c>
      <c r="CY703" s="2" t="n">
        <v>53.45</v>
      </c>
      <c r="CZ703" s="2" t="n">
        <v>0</v>
      </c>
      <c r="DA703" s="2" t="n">
        <v>59.4</v>
      </c>
      <c r="DB703" s="2" t="n">
        <v>61.19</v>
      </c>
      <c r="DC703" s="2" t="n">
        <v>0</v>
      </c>
      <c r="DD703" s="2" t="n">
        <v>69.06999999999999</v>
      </c>
      <c r="DE703" s="2" t="n">
        <v>70.86</v>
      </c>
      <c r="DF703" s="2" t="n">
        <v>0</v>
      </c>
      <c r="DG703" s="2" t="n">
        <v>75.51000000000001</v>
      </c>
      <c r="DH703" s="2" t="n">
        <v>77.31</v>
      </c>
      <c r="DI703" s="2" t="n">
        <v>0</v>
      </c>
      <c r="DJ703" s="2" t="n">
        <v>83.40000000000001</v>
      </c>
      <c r="DK703" s="2" t="n">
        <v>85.19</v>
      </c>
      <c r="DL703" s="2" t="n">
        <v>0</v>
      </c>
      <c r="DM703" s="2" t="n">
        <v>90.92</v>
      </c>
      <c r="DN703" s="2" t="n">
        <v>92.94</v>
      </c>
      <c r="DO703" s="2" t="n">
        <v>0</v>
      </c>
      <c r="DP703" s="2" t="n">
        <v>95.65000000000001</v>
      </c>
      <c r="DQ703" s="2" t="n">
        <v>96.78</v>
      </c>
      <c r="DR703" s="2" t="n">
        <v>0</v>
      </c>
      <c r="DS703" s="2" t="n">
        <v>96.78</v>
      </c>
      <c r="DT703" s="2" t="n">
        <v>96.78</v>
      </c>
      <c r="DU703" s="2" t="n">
        <v>0</v>
      </c>
      <c r="DV703" s="2" t="n">
        <v>100</v>
      </c>
      <c r="DW703" s="2" t="n">
        <v>100</v>
      </c>
      <c r="DX703" s="2" t="n">
        <v>0</v>
      </c>
      <c r="DY703" s="2" t="n">
        <v>100</v>
      </c>
      <c r="DZ703" s="2" t="n">
        <v>100</v>
      </c>
      <c r="EA703" s="2" t="n">
        <v>0</v>
      </c>
      <c r="EB703" s="2" t="n">
        <v>100</v>
      </c>
      <c r="EC703" s="2" t="n">
        <v>100</v>
      </c>
      <c r="ED703" s="2" t="n">
        <v>0</v>
      </c>
      <c r="EE703" s="2" t="n">
        <v>100</v>
      </c>
      <c r="EF703" s="2" t="n">
        <v>100</v>
      </c>
      <c r="EG703" s="2" t="n">
        <v>0</v>
      </c>
      <c r="EH703" s="2" t="n">
        <v>100</v>
      </c>
      <c r="EI703" s="2" t="n">
        <v>100</v>
      </c>
      <c r="EJ703" s="2" t="n">
        <v>0</v>
      </c>
      <c r="EK703" s="2" t="n">
        <v>100</v>
      </c>
      <c r="EL703" s="2" t="n">
        <v>100</v>
      </c>
      <c r="EM703" s="2" t="n">
        <v>0</v>
      </c>
      <c r="EN703" s="2" t="n">
        <v>100</v>
      </c>
      <c r="EO703" s="2" t="n">
        <v>100</v>
      </c>
      <c r="EP703" s="2" t="n">
        <v>0</v>
      </c>
      <c r="EQ703" s="2" t="n">
        <v>100</v>
      </c>
      <c r="ER703" s="2" t="n">
        <v>100</v>
      </c>
      <c r="ES703" s="2" t="n">
        <v>0</v>
      </c>
    </row>
    <row r="704">
      <c r="A704" s="2" t="n">
        <v>4</v>
      </c>
      <c r="B704" s="2" t="inlineStr">
        <is>
          <t>30.05.03.03</t>
        </is>
      </c>
      <c r="C704" s="2" t="inlineStr">
        <is>
          <t>Pintura acrílica sobre paredes - Reboco (1 demão selador + 3 demãos Latex acrílico)</t>
        </is>
      </c>
      <c r="D704" s="2" t="inlineStr">
        <is>
          <t>24/08/2027</t>
        </is>
      </c>
      <c r="E704" s="2" t="inlineStr">
        <is>
          <t>15/09/2028</t>
        </is>
      </c>
      <c r="F704" s="2" t="n">
        <v>498.820507248842</v>
      </c>
      <c r="G704" s="2" t="n">
        <v>0</v>
      </c>
      <c r="H704" s="2" t="n">
        <v>498.820507248842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0</v>
      </c>
      <c r="AM704" s="2" t="n">
        <v>0</v>
      </c>
      <c r="AN704" s="2" t="n">
        <v>0</v>
      </c>
      <c r="AO704" s="2" t="n">
        <v>0</v>
      </c>
      <c r="AP704" s="2" t="n">
        <v>0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n">
        <v>0</v>
      </c>
      <c r="AZ704" s="2" t="n">
        <v>0</v>
      </c>
      <c r="BA704" s="2" t="n">
        <v>0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n">
        <v>0</v>
      </c>
      <c r="BI704" s="2" t="n">
        <v>0</v>
      </c>
      <c r="BJ704" s="2" t="n">
        <v>0</v>
      </c>
      <c r="BK704" s="2" t="n">
        <v>0</v>
      </c>
      <c r="BL704" s="2" t="n">
        <v>0</v>
      </c>
      <c r="BM704" s="2" t="n">
        <v>0</v>
      </c>
      <c r="BN704" s="2" t="n">
        <v>0</v>
      </c>
      <c r="BO704" s="2" t="n">
        <v>0</v>
      </c>
      <c r="BP704" s="2" t="n">
        <v>0</v>
      </c>
      <c r="BQ704" s="2" t="n">
        <v>0</v>
      </c>
      <c r="BR704" s="2" t="n">
        <v>0</v>
      </c>
      <c r="BS704" s="2" t="n">
        <v>0</v>
      </c>
      <c r="BT704" s="2" t="n">
        <v>0</v>
      </c>
      <c r="BU704" s="2" t="n">
        <v>0</v>
      </c>
      <c r="BV704" s="2" t="n">
        <v>0</v>
      </c>
      <c r="BW704" s="2" t="n">
        <v>0</v>
      </c>
      <c r="BX704" s="2" t="n">
        <v>0</v>
      </c>
      <c r="BY704" s="2" t="n">
        <v>0</v>
      </c>
      <c r="BZ704" s="2" t="n">
        <v>0</v>
      </c>
      <c r="CA704" s="2" t="n">
        <v>0</v>
      </c>
      <c r="CB704" s="2" t="n">
        <v>0</v>
      </c>
      <c r="CC704" s="2" t="n">
        <v>0</v>
      </c>
      <c r="CD704" s="2" t="n">
        <v>0</v>
      </c>
      <c r="CE704" s="2" t="n">
        <v>0</v>
      </c>
      <c r="CF704" s="2" t="n">
        <v>0</v>
      </c>
      <c r="CG704" s="2" t="n">
        <v>0</v>
      </c>
      <c r="CH704" s="2" t="n">
        <v>0</v>
      </c>
      <c r="CI704" s="2" t="n">
        <v>0.36</v>
      </c>
      <c r="CJ704" s="2" t="n">
        <v>2.15</v>
      </c>
      <c r="CK704" s="2" t="n">
        <v>0</v>
      </c>
      <c r="CL704" s="2" t="n">
        <v>8.050000000000001</v>
      </c>
      <c r="CM704" s="2" t="n">
        <v>9.880000000000001</v>
      </c>
      <c r="CN704" s="2" t="n">
        <v>0</v>
      </c>
      <c r="CO704" s="2" t="n">
        <v>16.11</v>
      </c>
      <c r="CP704" s="2" t="n">
        <v>17.97</v>
      </c>
      <c r="CQ704" s="2" t="n">
        <v>0</v>
      </c>
      <c r="CR704" s="2" t="n">
        <v>24.53</v>
      </c>
      <c r="CS704" s="2" t="n">
        <v>26.38</v>
      </c>
      <c r="CT704" s="2" t="n">
        <v>0</v>
      </c>
      <c r="CU704" s="2" t="n">
        <v>43.83</v>
      </c>
      <c r="CV704" s="2" t="n">
        <v>45.65</v>
      </c>
      <c r="CW704" s="2" t="n">
        <v>0</v>
      </c>
      <c r="CX704" s="2" t="n">
        <v>51.66</v>
      </c>
      <c r="CY704" s="2" t="n">
        <v>53.45</v>
      </c>
      <c r="CZ704" s="2" t="n">
        <v>0</v>
      </c>
      <c r="DA704" s="2" t="n">
        <v>59.4</v>
      </c>
      <c r="DB704" s="2" t="n">
        <v>61.19</v>
      </c>
      <c r="DC704" s="2" t="n">
        <v>0</v>
      </c>
      <c r="DD704" s="2" t="n">
        <v>69.06999999999999</v>
      </c>
      <c r="DE704" s="2" t="n">
        <v>70.86</v>
      </c>
      <c r="DF704" s="2" t="n">
        <v>0</v>
      </c>
      <c r="DG704" s="2" t="n">
        <v>75.51000000000001</v>
      </c>
      <c r="DH704" s="2" t="n">
        <v>77.31</v>
      </c>
      <c r="DI704" s="2" t="n">
        <v>0</v>
      </c>
      <c r="DJ704" s="2" t="n">
        <v>83.40000000000001</v>
      </c>
      <c r="DK704" s="2" t="n">
        <v>85.19</v>
      </c>
      <c r="DL704" s="2" t="n">
        <v>0</v>
      </c>
      <c r="DM704" s="2" t="n">
        <v>90.92</v>
      </c>
      <c r="DN704" s="2" t="n">
        <v>92.94</v>
      </c>
      <c r="DO704" s="2" t="n">
        <v>0</v>
      </c>
      <c r="DP704" s="2" t="n">
        <v>95.65000000000001</v>
      </c>
      <c r="DQ704" s="2" t="n">
        <v>96.78</v>
      </c>
      <c r="DR704" s="2" t="n">
        <v>0</v>
      </c>
      <c r="DS704" s="2" t="n">
        <v>96.78</v>
      </c>
      <c r="DT704" s="2" t="n">
        <v>96.78</v>
      </c>
      <c r="DU704" s="2" t="n">
        <v>0</v>
      </c>
      <c r="DV704" s="2" t="n">
        <v>100</v>
      </c>
      <c r="DW704" s="2" t="n">
        <v>100</v>
      </c>
      <c r="DX704" s="2" t="n">
        <v>0</v>
      </c>
      <c r="DY704" s="2" t="n">
        <v>100</v>
      </c>
      <c r="DZ704" s="2" t="n">
        <v>100</v>
      </c>
      <c r="EA704" s="2" t="n">
        <v>0</v>
      </c>
      <c r="EB704" s="2" t="n">
        <v>100</v>
      </c>
      <c r="EC704" s="2" t="n">
        <v>100</v>
      </c>
      <c r="ED704" s="2" t="n">
        <v>0</v>
      </c>
      <c r="EE704" s="2" t="n">
        <v>100</v>
      </c>
      <c r="EF704" s="2" t="n">
        <v>100</v>
      </c>
      <c r="EG704" s="2" t="n">
        <v>0</v>
      </c>
      <c r="EH704" s="2" t="n">
        <v>100</v>
      </c>
      <c r="EI704" s="2" t="n">
        <v>100</v>
      </c>
      <c r="EJ704" s="2" t="n">
        <v>0</v>
      </c>
      <c r="EK704" s="2" t="n">
        <v>100</v>
      </c>
      <c r="EL704" s="2" t="n">
        <v>100</v>
      </c>
      <c r="EM704" s="2" t="n">
        <v>0</v>
      </c>
      <c r="EN704" s="2" t="n">
        <v>100</v>
      </c>
      <c r="EO704" s="2" t="n">
        <v>100</v>
      </c>
      <c r="EP704" s="2" t="n">
        <v>0</v>
      </c>
      <c r="EQ704" s="2" t="n">
        <v>100</v>
      </c>
      <c r="ER704" s="2" t="n">
        <v>100</v>
      </c>
      <c r="ES704" s="2" t="n">
        <v>0</v>
      </c>
    </row>
    <row r="705">
      <c r="A705" s="2" t="n">
        <v>4</v>
      </c>
      <c r="B705" s="2" t="inlineStr">
        <is>
          <t>30.05.03.04</t>
        </is>
      </c>
      <c r="C705" s="2" t="inlineStr">
        <is>
          <t>(Reboco) Papel de parede</t>
        </is>
      </c>
      <c r="D705" s="2" t="inlineStr">
        <is>
          <t>24/08/2027</t>
        </is>
      </c>
      <c r="E705" s="2" t="inlineStr">
        <is>
          <t>15/09/2028</t>
        </is>
      </c>
      <c r="F705" s="2" t="n">
        <v>8140.79175</v>
      </c>
      <c r="G705" s="2" t="n">
        <v>0</v>
      </c>
      <c r="H705" s="2" t="n">
        <v>8140.79175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n">
        <v>0</v>
      </c>
      <c r="AK705" s="2" t="n">
        <v>0</v>
      </c>
      <c r="AL705" s="2" t="n">
        <v>0</v>
      </c>
      <c r="AM705" s="2" t="n">
        <v>0</v>
      </c>
      <c r="AN705" s="2" t="n">
        <v>0</v>
      </c>
      <c r="AO705" s="2" t="n">
        <v>0</v>
      </c>
      <c r="AP705" s="2" t="n">
        <v>0</v>
      </c>
      <c r="AQ705" s="2" t="n">
        <v>0</v>
      </c>
      <c r="AR705" s="2" t="n">
        <v>0</v>
      </c>
      <c r="AS705" s="2" t="n">
        <v>0</v>
      </c>
      <c r="AT705" s="2" t="n">
        <v>0</v>
      </c>
      <c r="AU705" s="2" t="n">
        <v>0</v>
      </c>
      <c r="AV705" s="2" t="n">
        <v>0</v>
      </c>
      <c r="AW705" s="2" t="n">
        <v>0</v>
      </c>
      <c r="AX705" s="2" t="n">
        <v>0</v>
      </c>
      <c r="AY705" s="2" t="n">
        <v>0</v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n">
        <v>0</v>
      </c>
      <c r="BE705" s="2" t="n">
        <v>0</v>
      </c>
      <c r="BF705" s="2" t="n">
        <v>0</v>
      </c>
      <c r="BG705" s="2" t="n">
        <v>0</v>
      </c>
      <c r="BH705" s="2" t="n">
        <v>0</v>
      </c>
      <c r="BI705" s="2" t="n">
        <v>0</v>
      </c>
      <c r="BJ705" s="2" t="n">
        <v>0</v>
      </c>
      <c r="BK705" s="2" t="n">
        <v>0</v>
      </c>
      <c r="BL705" s="2" t="n">
        <v>0</v>
      </c>
      <c r="BM705" s="2" t="n">
        <v>0</v>
      </c>
      <c r="BN705" s="2" t="n">
        <v>0</v>
      </c>
      <c r="BO705" s="2" t="n">
        <v>0</v>
      </c>
      <c r="BP705" s="2" t="n">
        <v>0</v>
      </c>
      <c r="BQ705" s="2" t="n">
        <v>0</v>
      </c>
      <c r="BR705" s="2" t="n">
        <v>0</v>
      </c>
      <c r="BS705" s="2" t="n">
        <v>0</v>
      </c>
      <c r="BT705" s="2" t="n">
        <v>0</v>
      </c>
      <c r="BU705" s="2" t="n">
        <v>0</v>
      </c>
      <c r="BV705" s="2" t="n">
        <v>0</v>
      </c>
      <c r="BW705" s="2" t="n">
        <v>0</v>
      </c>
      <c r="BX705" s="2" t="n">
        <v>0</v>
      </c>
      <c r="BY705" s="2" t="n">
        <v>0</v>
      </c>
      <c r="BZ705" s="2" t="n">
        <v>0</v>
      </c>
      <c r="CA705" s="2" t="n">
        <v>0</v>
      </c>
      <c r="CB705" s="2" t="n">
        <v>0</v>
      </c>
      <c r="CC705" s="2" t="n">
        <v>0</v>
      </c>
      <c r="CD705" s="2" t="n">
        <v>0</v>
      </c>
      <c r="CE705" s="2" t="n">
        <v>0</v>
      </c>
      <c r="CF705" s="2" t="n">
        <v>0</v>
      </c>
      <c r="CG705" s="2" t="n">
        <v>0</v>
      </c>
      <c r="CH705" s="2" t="n">
        <v>0</v>
      </c>
      <c r="CI705" s="2" t="n">
        <v>0.36</v>
      </c>
      <c r="CJ705" s="2" t="n">
        <v>2.15</v>
      </c>
      <c r="CK705" s="2" t="n">
        <v>0</v>
      </c>
      <c r="CL705" s="2" t="n">
        <v>8.050000000000001</v>
      </c>
      <c r="CM705" s="2" t="n">
        <v>9.880000000000001</v>
      </c>
      <c r="CN705" s="2" t="n">
        <v>0</v>
      </c>
      <c r="CO705" s="2" t="n">
        <v>16.11</v>
      </c>
      <c r="CP705" s="2" t="n">
        <v>17.97</v>
      </c>
      <c r="CQ705" s="2" t="n">
        <v>0</v>
      </c>
      <c r="CR705" s="2" t="n">
        <v>24.53</v>
      </c>
      <c r="CS705" s="2" t="n">
        <v>26.38</v>
      </c>
      <c r="CT705" s="2" t="n">
        <v>0</v>
      </c>
      <c r="CU705" s="2" t="n">
        <v>43.83</v>
      </c>
      <c r="CV705" s="2" t="n">
        <v>45.65</v>
      </c>
      <c r="CW705" s="2" t="n">
        <v>0</v>
      </c>
      <c r="CX705" s="2" t="n">
        <v>51.66</v>
      </c>
      <c r="CY705" s="2" t="n">
        <v>53.45</v>
      </c>
      <c r="CZ705" s="2" t="n">
        <v>0</v>
      </c>
      <c r="DA705" s="2" t="n">
        <v>59.4</v>
      </c>
      <c r="DB705" s="2" t="n">
        <v>61.19</v>
      </c>
      <c r="DC705" s="2" t="n">
        <v>0</v>
      </c>
      <c r="DD705" s="2" t="n">
        <v>69.06999999999999</v>
      </c>
      <c r="DE705" s="2" t="n">
        <v>70.86</v>
      </c>
      <c r="DF705" s="2" t="n">
        <v>0</v>
      </c>
      <c r="DG705" s="2" t="n">
        <v>75.51000000000001</v>
      </c>
      <c r="DH705" s="2" t="n">
        <v>77.31</v>
      </c>
      <c r="DI705" s="2" t="n">
        <v>0</v>
      </c>
      <c r="DJ705" s="2" t="n">
        <v>83.40000000000001</v>
      </c>
      <c r="DK705" s="2" t="n">
        <v>85.19</v>
      </c>
      <c r="DL705" s="2" t="n">
        <v>0</v>
      </c>
      <c r="DM705" s="2" t="n">
        <v>90.92</v>
      </c>
      <c r="DN705" s="2" t="n">
        <v>92.94</v>
      </c>
      <c r="DO705" s="2" t="n">
        <v>0</v>
      </c>
      <c r="DP705" s="2" t="n">
        <v>95.65000000000001</v>
      </c>
      <c r="DQ705" s="2" t="n">
        <v>96.78</v>
      </c>
      <c r="DR705" s="2" t="n">
        <v>0</v>
      </c>
      <c r="DS705" s="2" t="n">
        <v>96.78</v>
      </c>
      <c r="DT705" s="2" t="n">
        <v>96.78</v>
      </c>
      <c r="DU705" s="2" t="n">
        <v>0</v>
      </c>
      <c r="DV705" s="2" t="n">
        <v>100</v>
      </c>
      <c r="DW705" s="2" t="n">
        <v>100</v>
      </c>
      <c r="DX705" s="2" t="n">
        <v>0</v>
      </c>
      <c r="DY705" s="2" t="n">
        <v>100</v>
      </c>
      <c r="DZ705" s="2" t="n">
        <v>100</v>
      </c>
      <c r="EA705" s="2" t="n">
        <v>0</v>
      </c>
      <c r="EB705" s="2" t="n">
        <v>100</v>
      </c>
      <c r="EC705" s="2" t="n">
        <v>100</v>
      </c>
      <c r="ED705" s="2" t="n">
        <v>0</v>
      </c>
      <c r="EE705" s="2" t="n">
        <v>100</v>
      </c>
      <c r="EF705" s="2" t="n">
        <v>100</v>
      </c>
      <c r="EG705" s="2" t="n">
        <v>0</v>
      </c>
      <c r="EH705" s="2" t="n">
        <v>100</v>
      </c>
      <c r="EI705" s="2" t="n">
        <v>100</v>
      </c>
      <c r="EJ705" s="2" t="n">
        <v>0</v>
      </c>
      <c r="EK705" s="2" t="n">
        <v>100</v>
      </c>
      <c r="EL705" s="2" t="n">
        <v>100</v>
      </c>
      <c r="EM705" s="2" t="n">
        <v>0</v>
      </c>
      <c r="EN705" s="2" t="n">
        <v>100</v>
      </c>
      <c r="EO705" s="2" t="n">
        <v>100</v>
      </c>
      <c r="EP705" s="2" t="n">
        <v>0</v>
      </c>
      <c r="EQ705" s="2" t="n">
        <v>100</v>
      </c>
      <c r="ER705" s="2" t="n">
        <v>100</v>
      </c>
      <c r="ES705" s="2" t="n">
        <v>0</v>
      </c>
    </row>
    <row r="706">
      <c r="A706" s="2" t="n">
        <v>2</v>
      </c>
      <c r="B706" s="2" t="inlineStr">
        <is>
          <t>30.06</t>
        </is>
      </c>
      <c r="C706" s="2" t="inlineStr">
        <is>
          <t>Bancadas</t>
        </is>
      </c>
      <c r="D706" s="2" t="inlineStr">
        <is>
          <t>20/09/2027</t>
        </is>
      </c>
      <c r="E706" s="2" t="inlineStr">
        <is>
          <t>11/10/2028</t>
        </is>
      </c>
      <c r="F706" s="2" t="n">
        <v>2561097.883850688</v>
      </c>
      <c r="G706" s="2" t="n">
        <v>0</v>
      </c>
      <c r="H706" s="2" t="n">
        <v>2561097.883850688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0</v>
      </c>
      <c r="AM706" s="2" t="n">
        <v>0</v>
      </c>
      <c r="AN706" s="2" t="n">
        <v>0</v>
      </c>
      <c r="AO706" s="2" t="n">
        <v>0</v>
      </c>
      <c r="AP706" s="2" t="n">
        <v>0</v>
      </c>
      <c r="AQ706" s="2" t="n">
        <v>0</v>
      </c>
      <c r="AR706" s="2" t="n">
        <v>0</v>
      </c>
      <c r="AS706" s="2" t="n">
        <v>0</v>
      </c>
      <c r="AT706" s="2" t="n">
        <v>0</v>
      </c>
      <c r="AU706" s="2" t="n">
        <v>0</v>
      </c>
      <c r="AV706" s="2" t="n">
        <v>0</v>
      </c>
      <c r="AW706" s="2" t="n">
        <v>0</v>
      </c>
      <c r="AX706" s="2" t="n">
        <v>0</v>
      </c>
      <c r="AY706" s="2" t="n">
        <v>0</v>
      </c>
      <c r="AZ706" s="2" t="n">
        <v>0</v>
      </c>
      <c r="BA706" s="2" t="n">
        <v>0</v>
      </c>
      <c r="BB706" s="2" t="n">
        <v>0</v>
      </c>
      <c r="BC706" s="2" t="n">
        <v>0</v>
      </c>
      <c r="BD706" s="2" t="n">
        <v>0</v>
      </c>
      <c r="BE706" s="2" t="n">
        <v>0</v>
      </c>
      <c r="BF706" s="2" t="n">
        <v>0</v>
      </c>
      <c r="BG706" s="2" t="n">
        <v>0</v>
      </c>
      <c r="BH706" s="2" t="n">
        <v>0</v>
      </c>
      <c r="BI706" s="2" t="n">
        <v>0</v>
      </c>
      <c r="BJ706" s="2" t="n">
        <v>0</v>
      </c>
      <c r="BK706" s="2" t="n">
        <v>0</v>
      </c>
      <c r="BL706" s="2" t="n">
        <v>0</v>
      </c>
      <c r="BM706" s="2" t="n">
        <v>0</v>
      </c>
      <c r="BN706" s="2" t="n">
        <v>0</v>
      </c>
      <c r="BO706" s="2" t="n">
        <v>0</v>
      </c>
      <c r="BP706" s="2" t="n">
        <v>0</v>
      </c>
      <c r="BQ706" s="2" t="n">
        <v>0</v>
      </c>
      <c r="BR706" s="2" t="n">
        <v>0</v>
      </c>
      <c r="BS706" s="2" t="n">
        <v>0</v>
      </c>
      <c r="BT706" s="2" t="n">
        <v>0</v>
      </c>
      <c r="BU706" s="2" t="n">
        <v>0</v>
      </c>
      <c r="BV706" s="2" t="n">
        <v>0</v>
      </c>
      <c r="BW706" s="2" t="n">
        <v>0</v>
      </c>
      <c r="BX706" s="2" t="n">
        <v>0</v>
      </c>
      <c r="BY706" s="2" t="n">
        <v>0</v>
      </c>
      <c r="BZ706" s="2" t="n">
        <v>0</v>
      </c>
      <c r="CA706" s="2" t="n">
        <v>0</v>
      </c>
      <c r="CB706" s="2" t="n">
        <v>0</v>
      </c>
      <c r="CC706" s="2" t="n">
        <v>0</v>
      </c>
      <c r="CD706" s="2" t="n">
        <v>0</v>
      </c>
      <c r="CE706" s="2" t="n">
        <v>0</v>
      </c>
      <c r="CF706" s="2" t="n">
        <v>0</v>
      </c>
      <c r="CG706" s="2" t="n">
        <v>0</v>
      </c>
      <c r="CH706" s="2" t="n">
        <v>0</v>
      </c>
      <c r="CI706" s="2" t="n">
        <v>0</v>
      </c>
      <c r="CJ706" s="2" t="n">
        <v>0</v>
      </c>
      <c r="CK706" s="2" t="n">
        <v>0</v>
      </c>
      <c r="CL706" s="2" t="n">
        <v>1.43</v>
      </c>
      <c r="CM706" s="2" t="n">
        <v>3.23</v>
      </c>
      <c r="CN706" s="2" t="n">
        <v>0</v>
      </c>
      <c r="CO706" s="2" t="n">
        <v>8.77</v>
      </c>
      <c r="CP706" s="2" t="n">
        <v>10.6</v>
      </c>
      <c r="CQ706" s="2" t="n">
        <v>0</v>
      </c>
      <c r="CR706" s="2" t="n">
        <v>16.84</v>
      </c>
      <c r="CS706" s="2" t="n">
        <v>18.69</v>
      </c>
      <c r="CT706" s="2" t="n">
        <v>0</v>
      </c>
      <c r="CU706" s="2" t="n">
        <v>23.62</v>
      </c>
      <c r="CV706" s="2" t="n">
        <v>25.46</v>
      </c>
      <c r="CW706" s="2" t="n">
        <v>0</v>
      </c>
      <c r="CX706" s="2" t="n">
        <v>44.96</v>
      </c>
      <c r="CY706" s="2" t="n">
        <v>46.79</v>
      </c>
      <c r="CZ706" s="2" t="n">
        <v>0</v>
      </c>
      <c r="DA706" s="2" t="n">
        <v>52.76</v>
      </c>
      <c r="DB706" s="2" t="n">
        <v>54.56</v>
      </c>
      <c r="DC706" s="2" t="n">
        <v>0</v>
      </c>
      <c r="DD706" s="2" t="n">
        <v>61.22</v>
      </c>
      <c r="DE706" s="2" t="n">
        <v>63.01</v>
      </c>
      <c r="DF706" s="2" t="n">
        <v>0</v>
      </c>
      <c r="DG706" s="2" t="n">
        <v>68.88</v>
      </c>
      <c r="DH706" s="2" t="n">
        <v>70.79000000000001</v>
      </c>
      <c r="DI706" s="2" t="n">
        <v>0</v>
      </c>
      <c r="DJ706" s="2" t="n">
        <v>76.98999999999999</v>
      </c>
      <c r="DK706" s="2" t="n">
        <v>78.78</v>
      </c>
      <c r="DL706" s="2" t="n">
        <v>0</v>
      </c>
      <c r="DM706" s="2" t="n">
        <v>84.52</v>
      </c>
      <c r="DN706" s="2" t="n">
        <v>86.31</v>
      </c>
      <c r="DO706" s="2" t="n">
        <v>0</v>
      </c>
      <c r="DP706" s="2" t="n">
        <v>92.04000000000001</v>
      </c>
      <c r="DQ706" s="2" t="n">
        <v>93.83</v>
      </c>
      <c r="DR706" s="2" t="n">
        <v>0</v>
      </c>
      <c r="DS706" s="2" t="n">
        <v>95.73</v>
      </c>
      <c r="DT706" s="2" t="n">
        <v>96.77</v>
      </c>
      <c r="DU706" s="2" t="n">
        <v>0</v>
      </c>
      <c r="DV706" s="2" t="n">
        <v>96.77</v>
      </c>
      <c r="DW706" s="2" t="n">
        <v>97.13</v>
      </c>
      <c r="DX706" s="2" t="n">
        <v>0</v>
      </c>
      <c r="DY706" s="2" t="n">
        <v>100</v>
      </c>
      <c r="DZ706" s="2" t="n">
        <v>100</v>
      </c>
      <c r="EA706" s="2" t="n">
        <v>0</v>
      </c>
      <c r="EB706" s="2" t="n">
        <v>100</v>
      </c>
      <c r="EC706" s="2" t="n">
        <v>100</v>
      </c>
      <c r="ED706" s="2" t="n">
        <v>0</v>
      </c>
      <c r="EE706" s="2" t="n">
        <v>100</v>
      </c>
      <c r="EF706" s="2" t="n">
        <v>100</v>
      </c>
      <c r="EG706" s="2" t="n">
        <v>0</v>
      </c>
      <c r="EH706" s="2" t="n">
        <v>100</v>
      </c>
      <c r="EI706" s="2" t="n">
        <v>100</v>
      </c>
      <c r="EJ706" s="2" t="n">
        <v>0</v>
      </c>
      <c r="EK706" s="2" t="n">
        <v>100</v>
      </c>
      <c r="EL706" s="2" t="n">
        <v>100</v>
      </c>
      <c r="EM706" s="2" t="n">
        <v>0</v>
      </c>
      <c r="EN706" s="2" t="n">
        <v>100</v>
      </c>
      <c r="EO706" s="2" t="n">
        <v>100</v>
      </c>
      <c r="EP706" s="2" t="n">
        <v>0</v>
      </c>
      <c r="EQ706" s="2" t="n">
        <v>100</v>
      </c>
      <c r="ER706" s="2" t="n">
        <v>100</v>
      </c>
      <c r="ES706" s="2" t="n">
        <v>0</v>
      </c>
    </row>
    <row r="707">
      <c r="A707" s="2" t="n">
        <v>3</v>
      </c>
      <c r="B707" s="2" t="inlineStr">
        <is>
          <t>30.06.01</t>
        </is>
      </c>
      <c r="C707" s="2" t="inlineStr">
        <is>
          <t>Bancadas de granito branco siena escovado</t>
        </is>
      </c>
      <c r="D707" s="2" t="inlineStr">
        <is>
          <t>20/09/2027</t>
        </is>
      </c>
      <c r="E707" s="2" t="inlineStr">
        <is>
          <t>11/10/2028</t>
        </is>
      </c>
      <c r="F707" s="2" t="n">
        <v>648161.0296975744</v>
      </c>
      <c r="G707" s="2" t="n">
        <v>0</v>
      </c>
      <c r="H707" s="2" t="n">
        <v>648161.0296975744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n">
        <v>0</v>
      </c>
      <c r="AK707" s="2" t="n">
        <v>0</v>
      </c>
      <c r="AL707" s="2" t="n">
        <v>0</v>
      </c>
      <c r="AM707" s="2" t="n">
        <v>0</v>
      </c>
      <c r="AN707" s="2" t="n">
        <v>0</v>
      </c>
      <c r="AO707" s="2" t="n">
        <v>0</v>
      </c>
      <c r="AP707" s="2" t="n">
        <v>0</v>
      </c>
      <c r="AQ707" s="2" t="n">
        <v>0</v>
      </c>
      <c r="AR707" s="2" t="n">
        <v>0</v>
      </c>
      <c r="AS707" s="2" t="n">
        <v>0</v>
      </c>
      <c r="AT707" s="2" t="n">
        <v>0</v>
      </c>
      <c r="AU707" s="2" t="n">
        <v>0</v>
      </c>
      <c r="AV707" s="2" t="n">
        <v>0</v>
      </c>
      <c r="AW707" s="2" t="n">
        <v>0</v>
      </c>
      <c r="AX707" s="2" t="n">
        <v>0</v>
      </c>
      <c r="AY707" s="2" t="n">
        <v>0</v>
      </c>
      <c r="AZ707" s="2" t="n">
        <v>0</v>
      </c>
      <c r="BA707" s="2" t="n">
        <v>0</v>
      </c>
      <c r="BB707" s="2" t="n">
        <v>0</v>
      </c>
      <c r="BC707" s="2" t="n">
        <v>0</v>
      </c>
      <c r="BD707" s="2" t="n">
        <v>0</v>
      </c>
      <c r="BE707" s="2" t="n">
        <v>0</v>
      </c>
      <c r="BF707" s="2" t="n">
        <v>0</v>
      </c>
      <c r="BG707" s="2" t="n">
        <v>0</v>
      </c>
      <c r="BH707" s="2" t="n">
        <v>0</v>
      </c>
      <c r="BI707" s="2" t="n">
        <v>0</v>
      </c>
      <c r="BJ707" s="2" t="n">
        <v>0</v>
      </c>
      <c r="BK707" s="2" t="n">
        <v>0</v>
      </c>
      <c r="BL707" s="2" t="n">
        <v>0</v>
      </c>
      <c r="BM707" s="2" t="n">
        <v>0</v>
      </c>
      <c r="BN707" s="2" t="n">
        <v>0</v>
      </c>
      <c r="BO707" s="2" t="n">
        <v>0</v>
      </c>
      <c r="BP707" s="2" t="n">
        <v>0</v>
      </c>
      <c r="BQ707" s="2" t="n">
        <v>0</v>
      </c>
      <c r="BR707" s="2" t="n">
        <v>0</v>
      </c>
      <c r="BS707" s="2" t="n">
        <v>0</v>
      </c>
      <c r="BT707" s="2" t="n">
        <v>0</v>
      </c>
      <c r="BU707" s="2" t="n">
        <v>0</v>
      </c>
      <c r="BV707" s="2" t="n">
        <v>0</v>
      </c>
      <c r="BW707" s="2" t="n">
        <v>0</v>
      </c>
      <c r="BX707" s="2" t="n">
        <v>0</v>
      </c>
      <c r="BY707" s="2" t="n">
        <v>0</v>
      </c>
      <c r="BZ707" s="2" t="n">
        <v>0</v>
      </c>
      <c r="CA707" s="2" t="n">
        <v>0</v>
      </c>
      <c r="CB707" s="2" t="n">
        <v>0</v>
      </c>
      <c r="CC707" s="2" t="n">
        <v>0</v>
      </c>
      <c r="CD707" s="2" t="n">
        <v>0</v>
      </c>
      <c r="CE707" s="2" t="n">
        <v>0</v>
      </c>
      <c r="CF707" s="2" t="n">
        <v>0</v>
      </c>
      <c r="CG707" s="2" t="n">
        <v>0</v>
      </c>
      <c r="CH707" s="2" t="n">
        <v>0</v>
      </c>
      <c r="CI707" s="2" t="n">
        <v>0</v>
      </c>
      <c r="CJ707" s="2" t="n">
        <v>0</v>
      </c>
      <c r="CK707" s="2" t="n">
        <v>0</v>
      </c>
      <c r="CL707" s="2" t="n">
        <v>1.43</v>
      </c>
      <c r="CM707" s="2" t="n">
        <v>3.23</v>
      </c>
      <c r="CN707" s="2" t="n">
        <v>0</v>
      </c>
      <c r="CO707" s="2" t="n">
        <v>8.77</v>
      </c>
      <c r="CP707" s="2" t="n">
        <v>10.6</v>
      </c>
      <c r="CQ707" s="2" t="n">
        <v>0</v>
      </c>
      <c r="CR707" s="2" t="n">
        <v>16.84</v>
      </c>
      <c r="CS707" s="2" t="n">
        <v>18.69</v>
      </c>
      <c r="CT707" s="2" t="n">
        <v>0</v>
      </c>
      <c r="CU707" s="2" t="n">
        <v>23.62</v>
      </c>
      <c r="CV707" s="2" t="n">
        <v>25.46</v>
      </c>
      <c r="CW707" s="2" t="n">
        <v>0</v>
      </c>
      <c r="CX707" s="2" t="n">
        <v>44.96</v>
      </c>
      <c r="CY707" s="2" t="n">
        <v>46.79</v>
      </c>
      <c r="CZ707" s="2" t="n">
        <v>0</v>
      </c>
      <c r="DA707" s="2" t="n">
        <v>52.76</v>
      </c>
      <c r="DB707" s="2" t="n">
        <v>54.56</v>
      </c>
      <c r="DC707" s="2" t="n">
        <v>0</v>
      </c>
      <c r="DD707" s="2" t="n">
        <v>61.22</v>
      </c>
      <c r="DE707" s="2" t="n">
        <v>63.01</v>
      </c>
      <c r="DF707" s="2" t="n">
        <v>0</v>
      </c>
      <c r="DG707" s="2" t="n">
        <v>68.88</v>
      </c>
      <c r="DH707" s="2" t="n">
        <v>70.79000000000001</v>
      </c>
      <c r="DI707" s="2" t="n">
        <v>0</v>
      </c>
      <c r="DJ707" s="2" t="n">
        <v>76.98999999999999</v>
      </c>
      <c r="DK707" s="2" t="n">
        <v>78.78</v>
      </c>
      <c r="DL707" s="2" t="n">
        <v>0</v>
      </c>
      <c r="DM707" s="2" t="n">
        <v>84.52</v>
      </c>
      <c r="DN707" s="2" t="n">
        <v>86.31</v>
      </c>
      <c r="DO707" s="2" t="n">
        <v>0</v>
      </c>
      <c r="DP707" s="2" t="n">
        <v>92.04000000000001</v>
      </c>
      <c r="DQ707" s="2" t="n">
        <v>93.83</v>
      </c>
      <c r="DR707" s="2" t="n">
        <v>0</v>
      </c>
      <c r="DS707" s="2" t="n">
        <v>95.73</v>
      </c>
      <c r="DT707" s="2" t="n">
        <v>96.77</v>
      </c>
      <c r="DU707" s="2" t="n">
        <v>0</v>
      </c>
      <c r="DV707" s="2" t="n">
        <v>96.77</v>
      </c>
      <c r="DW707" s="2" t="n">
        <v>97.13</v>
      </c>
      <c r="DX707" s="2" t="n">
        <v>0</v>
      </c>
      <c r="DY707" s="2" t="n">
        <v>100</v>
      </c>
      <c r="DZ707" s="2" t="n">
        <v>100</v>
      </c>
      <c r="EA707" s="2" t="n">
        <v>0</v>
      </c>
      <c r="EB707" s="2" t="n">
        <v>100</v>
      </c>
      <c r="EC707" s="2" t="n">
        <v>100</v>
      </c>
      <c r="ED707" s="2" t="n">
        <v>0</v>
      </c>
      <c r="EE707" s="2" t="n">
        <v>100</v>
      </c>
      <c r="EF707" s="2" t="n">
        <v>100</v>
      </c>
      <c r="EG707" s="2" t="n">
        <v>0</v>
      </c>
      <c r="EH707" s="2" t="n">
        <v>100</v>
      </c>
      <c r="EI707" s="2" t="n">
        <v>100</v>
      </c>
      <c r="EJ707" s="2" t="n">
        <v>0</v>
      </c>
      <c r="EK707" s="2" t="n">
        <v>100</v>
      </c>
      <c r="EL707" s="2" t="n">
        <v>100</v>
      </c>
      <c r="EM707" s="2" t="n">
        <v>0</v>
      </c>
      <c r="EN707" s="2" t="n">
        <v>100</v>
      </c>
      <c r="EO707" s="2" t="n">
        <v>100</v>
      </c>
      <c r="EP707" s="2" t="n">
        <v>0</v>
      </c>
      <c r="EQ707" s="2" t="n">
        <v>100</v>
      </c>
      <c r="ER707" s="2" t="n">
        <v>100</v>
      </c>
      <c r="ES707" s="2" t="n">
        <v>0</v>
      </c>
    </row>
    <row r="708">
      <c r="A708" s="2" t="n">
        <v>4</v>
      </c>
      <c r="B708" s="2" t="inlineStr">
        <is>
          <t>30.06.01.01</t>
        </is>
      </c>
      <c r="C708" s="2" t="inlineStr">
        <is>
          <t>Bancada em granito Branco Siena escovado</t>
        </is>
      </c>
      <c r="D708" s="2" t="inlineStr">
        <is>
          <t>20/09/2027</t>
        </is>
      </c>
      <c r="E708" s="2" t="inlineStr">
        <is>
          <t>11/10/2028</t>
        </is>
      </c>
      <c r="F708" s="2" t="n">
        <v>390140.0894985</v>
      </c>
      <c r="G708" s="2" t="n">
        <v>0</v>
      </c>
      <c r="H708" s="2" t="n">
        <v>390140.0894985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2" t="n">
        <v>0</v>
      </c>
      <c r="AN708" s="2" t="n">
        <v>0</v>
      </c>
      <c r="AO708" s="2" t="n">
        <v>0</v>
      </c>
      <c r="AP708" s="2" t="n">
        <v>0</v>
      </c>
      <c r="AQ708" s="2" t="n">
        <v>0</v>
      </c>
      <c r="AR708" s="2" t="n">
        <v>0</v>
      </c>
      <c r="AS708" s="2" t="n">
        <v>0</v>
      </c>
      <c r="AT708" s="2" t="n">
        <v>0</v>
      </c>
      <c r="AU708" s="2" t="n">
        <v>0</v>
      </c>
      <c r="AV708" s="2" t="n">
        <v>0</v>
      </c>
      <c r="AW708" s="2" t="n">
        <v>0</v>
      </c>
      <c r="AX708" s="2" t="n">
        <v>0</v>
      </c>
      <c r="AY708" s="2" t="n">
        <v>0</v>
      </c>
      <c r="AZ708" s="2" t="n">
        <v>0</v>
      </c>
      <c r="BA708" s="2" t="n">
        <v>0</v>
      </c>
      <c r="BB708" s="2" t="n">
        <v>0</v>
      </c>
      <c r="BC708" s="2" t="n">
        <v>0</v>
      </c>
      <c r="BD708" s="2" t="n">
        <v>0</v>
      </c>
      <c r="BE708" s="2" t="n">
        <v>0</v>
      </c>
      <c r="BF708" s="2" t="n">
        <v>0</v>
      </c>
      <c r="BG708" s="2" t="n">
        <v>0</v>
      </c>
      <c r="BH708" s="2" t="n">
        <v>0</v>
      </c>
      <c r="BI708" s="2" t="n">
        <v>0</v>
      </c>
      <c r="BJ708" s="2" t="n">
        <v>0</v>
      </c>
      <c r="BK708" s="2" t="n">
        <v>0</v>
      </c>
      <c r="BL708" s="2" t="n">
        <v>0</v>
      </c>
      <c r="BM708" s="2" t="n">
        <v>0</v>
      </c>
      <c r="BN708" s="2" t="n">
        <v>0</v>
      </c>
      <c r="BO708" s="2" t="n">
        <v>0</v>
      </c>
      <c r="BP708" s="2" t="n">
        <v>0</v>
      </c>
      <c r="BQ708" s="2" t="n">
        <v>0</v>
      </c>
      <c r="BR708" s="2" t="n">
        <v>0</v>
      </c>
      <c r="BS708" s="2" t="n">
        <v>0</v>
      </c>
      <c r="BT708" s="2" t="n">
        <v>0</v>
      </c>
      <c r="BU708" s="2" t="n">
        <v>0</v>
      </c>
      <c r="BV708" s="2" t="n">
        <v>0</v>
      </c>
      <c r="BW708" s="2" t="n">
        <v>0</v>
      </c>
      <c r="BX708" s="2" t="n">
        <v>0</v>
      </c>
      <c r="BY708" s="2" t="n">
        <v>0</v>
      </c>
      <c r="BZ708" s="2" t="n">
        <v>0</v>
      </c>
      <c r="CA708" s="2" t="n">
        <v>0</v>
      </c>
      <c r="CB708" s="2" t="n">
        <v>0</v>
      </c>
      <c r="CC708" s="2" t="n">
        <v>0</v>
      </c>
      <c r="CD708" s="2" t="n">
        <v>0</v>
      </c>
      <c r="CE708" s="2" t="n">
        <v>0</v>
      </c>
      <c r="CF708" s="2" t="n">
        <v>0</v>
      </c>
      <c r="CG708" s="2" t="n">
        <v>0</v>
      </c>
      <c r="CH708" s="2" t="n">
        <v>0</v>
      </c>
      <c r="CI708" s="2" t="n">
        <v>0</v>
      </c>
      <c r="CJ708" s="2" t="n">
        <v>0</v>
      </c>
      <c r="CK708" s="2" t="n">
        <v>0</v>
      </c>
      <c r="CL708" s="2" t="n">
        <v>1.43</v>
      </c>
      <c r="CM708" s="2" t="n">
        <v>3.23</v>
      </c>
      <c r="CN708" s="2" t="n">
        <v>0</v>
      </c>
      <c r="CO708" s="2" t="n">
        <v>8.77</v>
      </c>
      <c r="CP708" s="2" t="n">
        <v>10.6</v>
      </c>
      <c r="CQ708" s="2" t="n">
        <v>0</v>
      </c>
      <c r="CR708" s="2" t="n">
        <v>16.84</v>
      </c>
      <c r="CS708" s="2" t="n">
        <v>18.69</v>
      </c>
      <c r="CT708" s="2" t="n">
        <v>0</v>
      </c>
      <c r="CU708" s="2" t="n">
        <v>23.62</v>
      </c>
      <c r="CV708" s="2" t="n">
        <v>25.46</v>
      </c>
      <c r="CW708" s="2" t="n">
        <v>0</v>
      </c>
      <c r="CX708" s="2" t="n">
        <v>44.96</v>
      </c>
      <c r="CY708" s="2" t="n">
        <v>46.79</v>
      </c>
      <c r="CZ708" s="2" t="n">
        <v>0</v>
      </c>
      <c r="DA708" s="2" t="n">
        <v>52.76</v>
      </c>
      <c r="DB708" s="2" t="n">
        <v>54.56</v>
      </c>
      <c r="DC708" s="2" t="n">
        <v>0</v>
      </c>
      <c r="DD708" s="2" t="n">
        <v>61.22</v>
      </c>
      <c r="DE708" s="2" t="n">
        <v>63.01</v>
      </c>
      <c r="DF708" s="2" t="n">
        <v>0</v>
      </c>
      <c r="DG708" s="2" t="n">
        <v>68.88</v>
      </c>
      <c r="DH708" s="2" t="n">
        <v>70.79000000000001</v>
      </c>
      <c r="DI708" s="2" t="n">
        <v>0</v>
      </c>
      <c r="DJ708" s="2" t="n">
        <v>76.98999999999999</v>
      </c>
      <c r="DK708" s="2" t="n">
        <v>78.78</v>
      </c>
      <c r="DL708" s="2" t="n">
        <v>0</v>
      </c>
      <c r="DM708" s="2" t="n">
        <v>84.52</v>
      </c>
      <c r="DN708" s="2" t="n">
        <v>86.31</v>
      </c>
      <c r="DO708" s="2" t="n">
        <v>0</v>
      </c>
      <c r="DP708" s="2" t="n">
        <v>92.04000000000001</v>
      </c>
      <c r="DQ708" s="2" t="n">
        <v>93.83</v>
      </c>
      <c r="DR708" s="2" t="n">
        <v>0</v>
      </c>
      <c r="DS708" s="2" t="n">
        <v>95.73</v>
      </c>
      <c r="DT708" s="2" t="n">
        <v>96.77</v>
      </c>
      <c r="DU708" s="2" t="n">
        <v>0</v>
      </c>
      <c r="DV708" s="2" t="n">
        <v>96.77</v>
      </c>
      <c r="DW708" s="2" t="n">
        <v>97.13</v>
      </c>
      <c r="DX708" s="2" t="n">
        <v>0</v>
      </c>
      <c r="DY708" s="2" t="n">
        <v>100</v>
      </c>
      <c r="DZ708" s="2" t="n">
        <v>100</v>
      </c>
      <c r="EA708" s="2" t="n">
        <v>0</v>
      </c>
      <c r="EB708" s="2" t="n">
        <v>100</v>
      </c>
      <c r="EC708" s="2" t="n">
        <v>100</v>
      </c>
      <c r="ED708" s="2" t="n">
        <v>0</v>
      </c>
      <c r="EE708" s="2" t="n">
        <v>100</v>
      </c>
      <c r="EF708" s="2" t="n">
        <v>100</v>
      </c>
      <c r="EG708" s="2" t="n">
        <v>0</v>
      </c>
      <c r="EH708" s="2" t="n">
        <v>100</v>
      </c>
      <c r="EI708" s="2" t="n">
        <v>100</v>
      </c>
      <c r="EJ708" s="2" t="n">
        <v>0</v>
      </c>
      <c r="EK708" s="2" t="n">
        <v>100</v>
      </c>
      <c r="EL708" s="2" t="n">
        <v>100</v>
      </c>
      <c r="EM708" s="2" t="n">
        <v>0</v>
      </c>
      <c r="EN708" s="2" t="n">
        <v>100</v>
      </c>
      <c r="EO708" s="2" t="n">
        <v>100</v>
      </c>
      <c r="EP708" s="2" t="n">
        <v>0</v>
      </c>
      <c r="EQ708" s="2" t="n">
        <v>100</v>
      </c>
      <c r="ER708" s="2" t="n">
        <v>100</v>
      </c>
      <c r="ES708" s="2" t="n">
        <v>0</v>
      </c>
    </row>
    <row r="709">
      <c r="A709" s="2" t="n">
        <v>4</v>
      </c>
      <c r="B709" s="2" t="inlineStr">
        <is>
          <t>30.06.01.02</t>
        </is>
      </c>
      <c r="C709" s="2" t="inlineStr">
        <is>
          <t>Fechamento lateral para bancada de granito</t>
        </is>
      </c>
      <c r="D709" s="2" t="inlineStr">
        <is>
          <t>20/09/2027</t>
        </is>
      </c>
      <c r="E709" s="2" t="inlineStr">
        <is>
          <t>11/10/2028</t>
        </is>
      </c>
      <c r="F709" s="2" t="n">
        <v>3938.24181465</v>
      </c>
      <c r="G709" s="2" t="n">
        <v>0</v>
      </c>
      <c r="H709" s="2" t="n">
        <v>3938.24181465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n">
        <v>0</v>
      </c>
      <c r="AK709" s="2" t="n">
        <v>0</v>
      </c>
      <c r="AL709" s="2" t="n">
        <v>0</v>
      </c>
      <c r="AM709" s="2" t="n">
        <v>0</v>
      </c>
      <c r="AN709" s="2" t="n">
        <v>0</v>
      </c>
      <c r="AO709" s="2" t="n">
        <v>0</v>
      </c>
      <c r="AP709" s="2" t="n">
        <v>0</v>
      </c>
      <c r="AQ709" s="2" t="n">
        <v>0</v>
      </c>
      <c r="AR709" s="2" t="n">
        <v>0</v>
      </c>
      <c r="AS709" s="2" t="n">
        <v>0</v>
      </c>
      <c r="AT709" s="2" t="n">
        <v>0</v>
      </c>
      <c r="AU709" s="2" t="n">
        <v>0</v>
      </c>
      <c r="AV709" s="2" t="n">
        <v>0</v>
      </c>
      <c r="AW709" s="2" t="n">
        <v>0</v>
      </c>
      <c r="AX709" s="2" t="n">
        <v>0</v>
      </c>
      <c r="AY709" s="2" t="n">
        <v>0</v>
      </c>
      <c r="AZ709" s="2" t="n">
        <v>0</v>
      </c>
      <c r="BA709" s="2" t="n">
        <v>0</v>
      </c>
      <c r="BB709" s="2" t="n">
        <v>0</v>
      </c>
      <c r="BC709" s="2" t="n">
        <v>0</v>
      </c>
      <c r="BD709" s="2" t="n">
        <v>0</v>
      </c>
      <c r="BE709" s="2" t="n">
        <v>0</v>
      </c>
      <c r="BF709" s="2" t="n">
        <v>0</v>
      </c>
      <c r="BG709" s="2" t="n">
        <v>0</v>
      </c>
      <c r="BH709" s="2" t="n">
        <v>0</v>
      </c>
      <c r="BI709" s="2" t="n">
        <v>0</v>
      </c>
      <c r="BJ709" s="2" t="n">
        <v>0</v>
      </c>
      <c r="BK709" s="2" t="n">
        <v>0</v>
      </c>
      <c r="BL709" s="2" t="n">
        <v>0</v>
      </c>
      <c r="BM709" s="2" t="n">
        <v>0</v>
      </c>
      <c r="BN709" s="2" t="n">
        <v>0</v>
      </c>
      <c r="BO709" s="2" t="n">
        <v>0</v>
      </c>
      <c r="BP709" s="2" t="n">
        <v>0</v>
      </c>
      <c r="BQ709" s="2" t="n">
        <v>0</v>
      </c>
      <c r="BR709" s="2" t="n">
        <v>0</v>
      </c>
      <c r="BS709" s="2" t="n">
        <v>0</v>
      </c>
      <c r="BT709" s="2" t="n">
        <v>0</v>
      </c>
      <c r="BU709" s="2" t="n">
        <v>0</v>
      </c>
      <c r="BV709" s="2" t="n">
        <v>0</v>
      </c>
      <c r="BW709" s="2" t="n">
        <v>0</v>
      </c>
      <c r="BX709" s="2" t="n">
        <v>0</v>
      </c>
      <c r="BY709" s="2" t="n">
        <v>0</v>
      </c>
      <c r="BZ709" s="2" t="n">
        <v>0</v>
      </c>
      <c r="CA709" s="2" t="n">
        <v>0</v>
      </c>
      <c r="CB709" s="2" t="n">
        <v>0</v>
      </c>
      <c r="CC709" s="2" t="n">
        <v>0</v>
      </c>
      <c r="CD709" s="2" t="n">
        <v>0</v>
      </c>
      <c r="CE709" s="2" t="n">
        <v>0</v>
      </c>
      <c r="CF709" s="2" t="n">
        <v>0</v>
      </c>
      <c r="CG709" s="2" t="n">
        <v>0</v>
      </c>
      <c r="CH709" s="2" t="n">
        <v>0</v>
      </c>
      <c r="CI709" s="2" t="n">
        <v>0</v>
      </c>
      <c r="CJ709" s="2" t="n">
        <v>0</v>
      </c>
      <c r="CK709" s="2" t="n">
        <v>0</v>
      </c>
      <c r="CL709" s="2" t="n">
        <v>1.43</v>
      </c>
      <c r="CM709" s="2" t="n">
        <v>3.23</v>
      </c>
      <c r="CN709" s="2" t="n">
        <v>0</v>
      </c>
      <c r="CO709" s="2" t="n">
        <v>8.77</v>
      </c>
      <c r="CP709" s="2" t="n">
        <v>10.6</v>
      </c>
      <c r="CQ709" s="2" t="n">
        <v>0</v>
      </c>
      <c r="CR709" s="2" t="n">
        <v>16.84</v>
      </c>
      <c r="CS709" s="2" t="n">
        <v>18.69</v>
      </c>
      <c r="CT709" s="2" t="n">
        <v>0</v>
      </c>
      <c r="CU709" s="2" t="n">
        <v>23.62</v>
      </c>
      <c r="CV709" s="2" t="n">
        <v>25.46</v>
      </c>
      <c r="CW709" s="2" t="n">
        <v>0</v>
      </c>
      <c r="CX709" s="2" t="n">
        <v>44.96</v>
      </c>
      <c r="CY709" s="2" t="n">
        <v>46.79</v>
      </c>
      <c r="CZ709" s="2" t="n">
        <v>0</v>
      </c>
      <c r="DA709" s="2" t="n">
        <v>52.76</v>
      </c>
      <c r="DB709" s="2" t="n">
        <v>54.56</v>
      </c>
      <c r="DC709" s="2" t="n">
        <v>0</v>
      </c>
      <c r="DD709" s="2" t="n">
        <v>61.22</v>
      </c>
      <c r="DE709" s="2" t="n">
        <v>63.01</v>
      </c>
      <c r="DF709" s="2" t="n">
        <v>0</v>
      </c>
      <c r="DG709" s="2" t="n">
        <v>68.88</v>
      </c>
      <c r="DH709" s="2" t="n">
        <v>70.79000000000001</v>
      </c>
      <c r="DI709" s="2" t="n">
        <v>0</v>
      </c>
      <c r="DJ709" s="2" t="n">
        <v>76.98999999999999</v>
      </c>
      <c r="DK709" s="2" t="n">
        <v>78.78</v>
      </c>
      <c r="DL709" s="2" t="n">
        <v>0</v>
      </c>
      <c r="DM709" s="2" t="n">
        <v>84.52</v>
      </c>
      <c r="DN709" s="2" t="n">
        <v>86.31</v>
      </c>
      <c r="DO709" s="2" t="n">
        <v>0</v>
      </c>
      <c r="DP709" s="2" t="n">
        <v>92.04000000000001</v>
      </c>
      <c r="DQ709" s="2" t="n">
        <v>93.83</v>
      </c>
      <c r="DR709" s="2" t="n">
        <v>0</v>
      </c>
      <c r="DS709" s="2" t="n">
        <v>95.73</v>
      </c>
      <c r="DT709" s="2" t="n">
        <v>96.77</v>
      </c>
      <c r="DU709" s="2" t="n">
        <v>0</v>
      </c>
      <c r="DV709" s="2" t="n">
        <v>96.77</v>
      </c>
      <c r="DW709" s="2" t="n">
        <v>97.13</v>
      </c>
      <c r="DX709" s="2" t="n">
        <v>0</v>
      </c>
      <c r="DY709" s="2" t="n">
        <v>100</v>
      </c>
      <c r="DZ709" s="2" t="n">
        <v>100</v>
      </c>
      <c r="EA709" s="2" t="n">
        <v>0</v>
      </c>
      <c r="EB709" s="2" t="n">
        <v>100</v>
      </c>
      <c r="EC709" s="2" t="n">
        <v>100</v>
      </c>
      <c r="ED709" s="2" t="n">
        <v>0</v>
      </c>
      <c r="EE709" s="2" t="n">
        <v>100</v>
      </c>
      <c r="EF709" s="2" t="n">
        <v>100</v>
      </c>
      <c r="EG709" s="2" t="n">
        <v>0</v>
      </c>
      <c r="EH709" s="2" t="n">
        <v>100</v>
      </c>
      <c r="EI709" s="2" t="n">
        <v>100</v>
      </c>
      <c r="EJ709" s="2" t="n">
        <v>0</v>
      </c>
      <c r="EK709" s="2" t="n">
        <v>100</v>
      </c>
      <c r="EL709" s="2" t="n">
        <v>100</v>
      </c>
      <c r="EM709" s="2" t="n">
        <v>0</v>
      </c>
      <c r="EN709" s="2" t="n">
        <v>100</v>
      </c>
      <c r="EO709" s="2" t="n">
        <v>100</v>
      </c>
      <c r="EP709" s="2" t="n">
        <v>0</v>
      </c>
      <c r="EQ709" s="2" t="n">
        <v>100</v>
      </c>
      <c r="ER709" s="2" t="n">
        <v>100</v>
      </c>
      <c r="ES709" s="2" t="n">
        <v>0</v>
      </c>
    </row>
    <row r="710">
      <c r="A710" s="2" t="n">
        <v>4</v>
      </c>
      <c r="B710" s="2" t="inlineStr">
        <is>
          <t>30.06.01.03</t>
        </is>
      </c>
      <c r="C710" s="2" t="inlineStr">
        <is>
          <t>Testeira de granito Branco Siena escovado h=10cm</t>
        </is>
      </c>
      <c r="D710" s="2" t="inlineStr">
        <is>
          <t>20/09/2027</t>
        </is>
      </c>
      <c r="E710" s="2" t="inlineStr">
        <is>
          <t>11/10/2028</t>
        </is>
      </c>
      <c r="F710" s="2" t="n">
        <v>92582.12387944997</v>
      </c>
      <c r="G710" s="2" t="n">
        <v>0</v>
      </c>
      <c r="H710" s="2" t="n">
        <v>92582.12387944997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0</v>
      </c>
      <c r="AM710" s="2" t="n">
        <v>0</v>
      </c>
      <c r="AN710" s="2" t="n">
        <v>0</v>
      </c>
      <c r="AO710" s="2" t="n">
        <v>0</v>
      </c>
      <c r="AP710" s="2" t="n">
        <v>0</v>
      </c>
      <c r="AQ710" s="2" t="n">
        <v>0</v>
      </c>
      <c r="AR710" s="2" t="n">
        <v>0</v>
      </c>
      <c r="AS710" s="2" t="n">
        <v>0</v>
      </c>
      <c r="AT710" s="2" t="n">
        <v>0</v>
      </c>
      <c r="AU710" s="2" t="n">
        <v>0</v>
      </c>
      <c r="AV710" s="2" t="n">
        <v>0</v>
      </c>
      <c r="AW710" s="2" t="n">
        <v>0</v>
      </c>
      <c r="AX710" s="2" t="n">
        <v>0</v>
      </c>
      <c r="AY710" s="2" t="n">
        <v>0</v>
      </c>
      <c r="AZ710" s="2" t="n">
        <v>0</v>
      </c>
      <c r="BA710" s="2" t="n">
        <v>0</v>
      </c>
      <c r="BB710" s="2" t="n">
        <v>0</v>
      </c>
      <c r="BC710" s="2" t="n">
        <v>0</v>
      </c>
      <c r="BD710" s="2" t="n">
        <v>0</v>
      </c>
      <c r="BE710" s="2" t="n">
        <v>0</v>
      </c>
      <c r="BF710" s="2" t="n">
        <v>0</v>
      </c>
      <c r="BG710" s="2" t="n">
        <v>0</v>
      </c>
      <c r="BH710" s="2" t="n">
        <v>0</v>
      </c>
      <c r="BI710" s="2" t="n">
        <v>0</v>
      </c>
      <c r="BJ710" s="2" t="n">
        <v>0</v>
      </c>
      <c r="BK710" s="2" t="n">
        <v>0</v>
      </c>
      <c r="BL710" s="2" t="n">
        <v>0</v>
      </c>
      <c r="BM710" s="2" t="n">
        <v>0</v>
      </c>
      <c r="BN710" s="2" t="n">
        <v>0</v>
      </c>
      <c r="BO710" s="2" t="n">
        <v>0</v>
      </c>
      <c r="BP710" s="2" t="n">
        <v>0</v>
      </c>
      <c r="BQ710" s="2" t="n">
        <v>0</v>
      </c>
      <c r="BR710" s="2" t="n">
        <v>0</v>
      </c>
      <c r="BS710" s="2" t="n">
        <v>0</v>
      </c>
      <c r="BT710" s="2" t="n">
        <v>0</v>
      </c>
      <c r="BU710" s="2" t="n">
        <v>0</v>
      </c>
      <c r="BV710" s="2" t="n">
        <v>0</v>
      </c>
      <c r="BW710" s="2" t="n">
        <v>0</v>
      </c>
      <c r="BX710" s="2" t="n">
        <v>0</v>
      </c>
      <c r="BY710" s="2" t="n">
        <v>0</v>
      </c>
      <c r="BZ710" s="2" t="n">
        <v>0</v>
      </c>
      <c r="CA710" s="2" t="n">
        <v>0</v>
      </c>
      <c r="CB710" s="2" t="n">
        <v>0</v>
      </c>
      <c r="CC710" s="2" t="n">
        <v>0</v>
      </c>
      <c r="CD710" s="2" t="n">
        <v>0</v>
      </c>
      <c r="CE710" s="2" t="n">
        <v>0</v>
      </c>
      <c r="CF710" s="2" t="n">
        <v>0</v>
      </c>
      <c r="CG710" s="2" t="n">
        <v>0</v>
      </c>
      <c r="CH710" s="2" t="n">
        <v>0</v>
      </c>
      <c r="CI710" s="2" t="n">
        <v>0</v>
      </c>
      <c r="CJ710" s="2" t="n">
        <v>0</v>
      </c>
      <c r="CK710" s="2" t="n">
        <v>0</v>
      </c>
      <c r="CL710" s="2" t="n">
        <v>1.43</v>
      </c>
      <c r="CM710" s="2" t="n">
        <v>3.23</v>
      </c>
      <c r="CN710" s="2" t="n">
        <v>0</v>
      </c>
      <c r="CO710" s="2" t="n">
        <v>8.77</v>
      </c>
      <c r="CP710" s="2" t="n">
        <v>10.6</v>
      </c>
      <c r="CQ710" s="2" t="n">
        <v>0</v>
      </c>
      <c r="CR710" s="2" t="n">
        <v>16.84</v>
      </c>
      <c r="CS710" s="2" t="n">
        <v>18.69</v>
      </c>
      <c r="CT710" s="2" t="n">
        <v>0</v>
      </c>
      <c r="CU710" s="2" t="n">
        <v>23.62</v>
      </c>
      <c r="CV710" s="2" t="n">
        <v>25.46</v>
      </c>
      <c r="CW710" s="2" t="n">
        <v>0</v>
      </c>
      <c r="CX710" s="2" t="n">
        <v>44.96</v>
      </c>
      <c r="CY710" s="2" t="n">
        <v>46.79</v>
      </c>
      <c r="CZ710" s="2" t="n">
        <v>0</v>
      </c>
      <c r="DA710" s="2" t="n">
        <v>52.76</v>
      </c>
      <c r="DB710" s="2" t="n">
        <v>54.56</v>
      </c>
      <c r="DC710" s="2" t="n">
        <v>0</v>
      </c>
      <c r="DD710" s="2" t="n">
        <v>61.22</v>
      </c>
      <c r="DE710" s="2" t="n">
        <v>63.01</v>
      </c>
      <c r="DF710" s="2" t="n">
        <v>0</v>
      </c>
      <c r="DG710" s="2" t="n">
        <v>68.88</v>
      </c>
      <c r="DH710" s="2" t="n">
        <v>70.79000000000001</v>
      </c>
      <c r="DI710" s="2" t="n">
        <v>0</v>
      </c>
      <c r="DJ710" s="2" t="n">
        <v>76.98999999999999</v>
      </c>
      <c r="DK710" s="2" t="n">
        <v>78.78</v>
      </c>
      <c r="DL710" s="2" t="n">
        <v>0</v>
      </c>
      <c r="DM710" s="2" t="n">
        <v>84.52</v>
      </c>
      <c r="DN710" s="2" t="n">
        <v>86.31</v>
      </c>
      <c r="DO710" s="2" t="n">
        <v>0</v>
      </c>
      <c r="DP710" s="2" t="n">
        <v>92.04000000000001</v>
      </c>
      <c r="DQ710" s="2" t="n">
        <v>93.83</v>
      </c>
      <c r="DR710" s="2" t="n">
        <v>0</v>
      </c>
      <c r="DS710" s="2" t="n">
        <v>95.73</v>
      </c>
      <c r="DT710" s="2" t="n">
        <v>96.77</v>
      </c>
      <c r="DU710" s="2" t="n">
        <v>0</v>
      </c>
      <c r="DV710" s="2" t="n">
        <v>96.77</v>
      </c>
      <c r="DW710" s="2" t="n">
        <v>97.13</v>
      </c>
      <c r="DX710" s="2" t="n">
        <v>0</v>
      </c>
      <c r="DY710" s="2" t="n">
        <v>100</v>
      </c>
      <c r="DZ710" s="2" t="n">
        <v>100</v>
      </c>
      <c r="EA710" s="2" t="n">
        <v>0</v>
      </c>
      <c r="EB710" s="2" t="n">
        <v>100</v>
      </c>
      <c r="EC710" s="2" t="n">
        <v>100</v>
      </c>
      <c r="ED710" s="2" t="n">
        <v>0</v>
      </c>
      <c r="EE710" s="2" t="n">
        <v>100</v>
      </c>
      <c r="EF710" s="2" t="n">
        <v>100</v>
      </c>
      <c r="EG710" s="2" t="n">
        <v>0</v>
      </c>
      <c r="EH710" s="2" t="n">
        <v>100</v>
      </c>
      <c r="EI710" s="2" t="n">
        <v>100</v>
      </c>
      <c r="EJ710" s="2" t="n">
        <v>0</v>
      </c>
      <c r="EK710" s="2" t="n">
        <v>100</v>
      </c>
      <c r="EL710" s="2" t="n">
        <v>100</v>
      </c>
      <c r="EM710" s="2" t="n">
        <v>0</v>
      </c>
      <c r="EN710" s="2" t="n">
        <v>100</v>
      </c>
      <c r="EO710" s="2" t="n">
        <v>100</v>
      </c>
      <c r="EP710" s="2" t="n">
        <v>0</v>
      </c>
      <c r="EQ710" s="2" t="n">
        <v>100</v>
      </c>
      <c r="ER710" s="2" t="n">
        <v>100</v>
      </c>
      <c r="ES710" s="2" t="n">
        <v>0</v>
      </c>
    </row>
    <row r="711">
      <c r="A711" s="2" t="n">
        <v>4</v>
      </c>
      <c r="B711" s="2" t="inlineStr">
        <is>
          <t>30.06.01.04</t>
        </is>
      </c>
      <c r="C711" s="2" t="inlineStr">
        <is>
          <t>Rodabanca de granito Branco Siena escovado h=10cm</t>
        </is>
      </c>
      <c r="D711" s="2" t="inlineStr">
        <is>
          <t>20/09/2027</t>
        </is>
      </c>
      <c r="E711" s="2" t="inlineStr">
        <is>
          <t>11/10/2028</t>
        </is>
      </c>
      <c r="F711" s="2" t="n">
        <v>120759.1016708</v>
      </c>
      <c r="G711" s="2" t="n">
        <v>0</v>
      </c>
      <c r="H711" s="2" t="n">
        <v>120759.1016708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0</v>
      </c>
      <c r="AL711" s="2" t="n">
        <v>0</v>
      </c>
      <c r="AM711" s="2" t="n">
        <v>0</v>
      </c>
      <c r="AN711" s="2" t="n">
        <v>0</v>
      </c>
      <c r="AO711" s="2" t="n">
        <v>0</v>
      </c>
      <c r="AP711" s="2" t="n">
        <v>0</v>
      </c>
      <c r="AQ711" s="2" t="n">
        <v>0</v>
      </c>
      <c r="AR711" s="2" t="n">
        <v>0</v>
      </c>
      <c r="AS711" s="2" t="n">
        <v>0</v>
      </c>
      <c r="AT711" s="2" t="n">
        <v>0</v>
      </c>
      <c r="AU711" s="2" t="n">
        <v>0</v>
      </c>
      <c r="AV711" s="2" t="n">
        <v>0</v>
      </c>
      <c r="AW711" s="2" t="n">
        <v>0</v>
      </c>
      <c r="AX711" s="2" t="n">
        <v>0</v>
      </c>
      <c r="AY711" s="2" t="n">
        <v>0</v>
      </c>
      <c r="AZ711" s="2" t="n">
        <v>0</v>
      </c>
      <c r="BA711" s="2" t="n">
        <v>0</v>
      </c>
      <c r="BB711" s="2" t="n">
        <v>0</v>
      </c>
      <c r="BC711" s="2" t="n">
        <v>0</v>
      </c>
      <c r="BD711" s="2" t="n">
        <v>0</v>
      </c>
      <c r="BE711" s="2" t="n">
        <v>0</v>
      </c>
      <c r="BF711" s="2" t="n">
        <v>0</v>
      </c>
      <c r="BG711" s="2" t="n">
        <v>0</v>
      </c>
      <c r="BH711" s="2" t="n">
        <v>0</v>
      </c>
      <c r="BI711" s="2" t="n">
        <v>0</v>
      </c>
      <c r="BJ711" s="2" t="n">
        <v>0</v>
      </c>
      <c r="BK711" s="2" t="n">
        <v>0</v>
      </c>
      <c r="BL711" s="2" t="n">
        <v>0</v>
      </c>
      <c r="BM711" s="2" t="n">
        <v>0</v>
      </c>
      <c r="BN711" s="2" t="n">
        <v>0</v>
      </c>
      <c r="BO711" s="2" t="n">
        <v>0</v>
      </c>
      <c r="BP711" s="2" t="n">
        <v>0</v>
      </c>
      <c r="BQ711" s="2" t="n">
        <v>0</v>
      </c>
      <c r="BR711" s="2" t="n">
        <v>0</v>
      </c>
      <c r="BS711" s="2" t="n">
        <v>0</v>
      </c>
      <c r="BT711" s="2" t="n">
        <v>0</v>
      </c>
      <c r="BU711" s="2" t="n">
        <v>0</v>
      </c>
      <c r="BV711" s="2" t="n">
        <v>0</v>
      </c>
      <c r="BW711" s="2" t="n">
        <v>0</v>
      </c>
      <c r="BX711" s="2" t="n">
        <v>0</v>
      </c>
      <c r="BY711" s="2" t="n">
        <v>0</v>
      </c>
      <c r="BZ711" s="2" t="n">
        <v>0</v>
      </c>
      <c r="CA711" s="2" t="n">
        <v>0</v>
      </c>
      <c r="CB711" s="2" t="n">
        <v>0</v>
      </c>
      <c r="CC711" s="2" t="n">
        <v>0</v>
      </c>
      <c r="CD711" s="2" t="n">
        <v>0</v>
      </c>
      <c r="CE711" s="2" t="n">
        <v>0</v>
      </c>
      <c r="CF711" s="2" t="n">
        <v>0</v>
      </c>
      <c r="CG711" s="2" t="n">
        <v>0</v>
      </c>
      <c r="CH711" s="2" t="n">
        <v>0</v>
      </c>
      <c r="CI711" s="2" t="n">
        <v>0</v>
      </c>
      <c r="CJ711" s="2" t="n">
        <v>0</v>
      </c>
      <c r="CK711" s="2" t="n">
        <v>0</v>
      </c>
      <c r="CL711" s="2" t="n">
        <v>1.43</v>
      </c>
      <c r="CM711" s="2" t="n">
        <v>3.23</v>
      </c>
      <c r="CN711" s="2" t="n">
        <v>0</v>
      </c>
      <c r="CO711" s="2" t="n">
        <v>8.77</v>
      </c>
      <c r="CP711" s="2" t="n">
        <v>10.6</v>
      </c>
      <c r="CQ711" s="2" t="n">
        <v>0</v>
      </c>
      <c r="CR711" s="2" t="n">
        <v>16.84</v>
      </c>
      <c r="CS711" s="2" t="n">
        <v>18.69</v>
      </c>
      <c r="CT711" s="2" t="n">
        <v>0</v>
      </c>
      <c r="CU711" s="2" t="n">
        <v>23.62</v>
      </c>
      <c r="CV711" s="2" t="n">
        <v>25.46</v>
      </c>
      <c r="CW711" s="2" t="n">
        <v>0</v>
      </c>
      <c r="CX711" s="2" t="n">
        <v>44.96</v>
      </c>
      <c r="CY711" s="2" t="n">
        <v>46.79</v>
      </c>
      <c r="CZ711" s="2" t="n">
        <v>0</v>
      </c>
      <c r="DA711" s="2" t="n">
        <v>52.76</v>
      </c>
      <c r="DB711" s="2" t="n">
        <v>54.56</v>
      </c>
      <c r="DC711" s="2" t="n">
        <v>0</v>
      </c>
      <c r="DD711" s="2" t="n">
        <v>61.22</v>
      </c>
      <c r="DE711" s="2" t="n">
        <v>63.01</v>
      </c>
      <c r="DF711" s="2" t="n">
        <v>0</v>
      </c>
      <c r="DG711" s="2" t="n">
        <v>68.88</v>
      </c>
      <c r="DH711" s="2" t="n">
        <v>70.79000000000001</v>
      </c>
      <c r="DI711" s="2" t="n">
        <v>0</v>
      </c>
      <c r="DJ711" s="2" t="n">
        <v>76.98999999999999</v>
      </c>
      <c r="DK711" s="2" t="n">
        <v>78.78</v>
      </c>
      <c r="DL711" s="2" t="n">
        <v>0</v>
      </c>
      <c r="DM711" s="2" t="n">
        <v>84.52</v>
      </c>
      <c r="DN711" s="2" t="n">
        <v>86.31</v>
      </c>
      <c r="DO711" s="2" t="n">
        <v>0</v>
      </c>
      <c r="DP711" s="2" t="n">
        <v>92.04000000000001</v>
      </c>
      <c r="DQ711" s="2" t="n">
        <v>93.83</v>
      </c>
      <c r="DR711" s="2" t="n">
        <v>0</v>
      </c>
      <c r="DS711" s="2" t="n">
        <v>95.73</v>
      </c>
      <c r="DT711" s="2" t="n">
        <v>96.77</v>
      </c>
      <c r="DU711" s="2" t="n">
        <v>0</v>
      </c>
      <c r="DV711" s="2" t="n">
        <v>96.77</v>
      </c>
      <c r="DW711" s="2" t="n">
        <v>97.13</v>
      </c>
      <c r="DX711" s="2" t="n">
        <v>0</v>
      </c>
      <c r="DY711" s="2" t="n">
        <v>100</v>
      </c>
      <c r="DZ711" s="2" t="n">
        <v>100</v>
      </c>
      <c r="EA711" s="2" t="n">
        <v>0</v>
      </c>
      <c r="EB711" s="2" t="n">
        <v>100</v>
      </c>
      <c r="EC711" s="2" t="n">
        <v>100</v>
      </c>
      <c r="ED711" s="2" t="n">
        <v>0</v>
      </c>
      <c r="EE711" s="2" t="n">
        <v>100</v>
      </c>
      <c r="EF711" s="2" t="n">
        <v>100</v>
      </c>
      <c r="EG711" s="2" t="n">
        <v>0</v>
      </c>
      <c r="EH711" s="2" t="n">
        <v>100</v>
      </c>
      <c r="EI711" s="2" t="n">
        <v>100</v>
      </c>
      <c r="EJ711" s="2" t="n">
        <v>0</v>
      </c>
      <c r="EK711" s="2" t="n">
        <v>100</v>
      </c>
      <c r="EL711" s="2" t="n">
        <v>100</v>
      </c>
      <c r="EM711" s="2" t="n">
        <v>0</v>
      </c>
      <c r="EN711" s="2" t="n">
        <v>100</v>
      </c>
      <c r="EO711" s="2" t="n">
        <v>100</v>
      </c>
      <c r="EP711" s="2" t="n">
        <v>0</v>
      </c>
      <c r="EQ711" s="2" t="n">
        <v>100</v>
      </c>
      <c r="ER711" s="2" t="n">
        <v>100</v>
      </c>
      <c r="ES711" s="2" t="n">
        <v>0</v>
      </c>
    </row>
    <row r="712">
      <c r="A712" s="2" t="n">
        <v>4</v>
      </c>
      <c r="B712" s="2" t="inlineStr">
        <is>
          <t>30.06.01.05</t>
        </is>
      </c>
      <c r="C712" s="2" t="inlineStr">
        <is>
          <t>Furo e colagem de bojo</t>
        </is>
      </c>
      <c r="D712" s="2" t="inlineStr">
        <is>
          <t>20/09/2027</t>
        </is>
      </c>
      <c r="E712" s="2" t="inlineStr">
        <is>
          <t>11/10/2028</t>
        </is>
      </c>
      <c r="F712" s="2" t="n">
        <v>9090</v>
      </c>
      <c r="G712" s="2" t="n">
        <v>0</v>
      </c>
      <c r="H712" s="2" t="n">
        <v>9090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n">
        <v>0</v>
      </c>
      <c r="AK712" s="2" t="n">
        <v>0</v>
      </c>
      <c r="AL712" s="2" t="n">
        <v>0</v>
      </c>
      <c r="AM712" s="2" t="n">
        <v>0</v>
      </c>
      <c r="AN712" s="2" t="n">
        <v>0</v>
      </c>
      <c r="AO712" s="2" t="n">
        <v>0</v>
      </c>
      <c r="AP712" s="2" t="n">
        <v>0</v>
      </c>
      <c r="AQ712" s="2" t="n">
        <v>0</v>
      </c>
      <c r="AR712" s="2" t="n">
        <v>0</v>
      </c>
      <c r="AS712" s="2" t="n">
        <v>0</v>
      </c>
      <c r="AT712" s="2" t="n">
        <v>0</v>
      </c>
      <c r="AU712" s="2" t="n">
        <v>0</v>
      </c>
      <c r="AV712" s="2" t="n">
        <v>0</v>
      </c>
      <c r="AW712" s="2" t="n">
        <v>0</v>
      </c>
      <c r="AX712" s="2" t="n">
        <v>0</v>
      </c>
      <c r="AY712" s="2" t="n">
        <v>0</v>
      </c>
      <c r="AZ712" s="2" t="n">
        <v>0</v>
      </c>
      <c r="BA712" s="2" t="n">
        <v>0</v>
      </c>
      <c r="BB712" s="2" t="n">
        <v>0</v>
      </c>
      <c r="BC712" s="2" t="n">
        <v>0</v>
      </c>
      <c r="BD712" s="2" t="n">
        <v>0</v>
      </c>
      <c r="BE712" s="2" t="n">
        <v>0</v>
      </c>
      <c r="BF712" s="2" t="n">
        <v>0</v>
      </c>
      <c r="BG712" s="2" t="n">
        <v>0</v>
      </c>
      <c r="BH712" s="2" t="n">
        <v>0</v>
      </c>
      <c r="BI712" s="2" t="n">
        <v>0</v>
      </c>
      <c r="BJ712" s="2" t="n">
        <v>0</v>
      </c>
      <c r="BK712" s="2" t="n">
        <v>0</v>
      </c>
      <c r="BL712" s="2" t="n">
        <v>0</v>
      </c>
      <c r="BM712" s="2" t="n">
        <v>0</v>
      </c>
      <c r="BN712" s="2" t="n">
        <v>0</v>
      </c>
      <c r="BO712" s="2" t="n">
        <v>0</v>
      </c>
      <c r="BP712" s="2" t="n">
        <v>0</v>
      </c>
      <c r="BQ712" s="2" t="n">
        <v>0</v>
      </c>
      <c r="BR712" s="2" t="n">
        <v>0</v>
      </c>
      <c r="BS712" s="2" t="n">
        <v>0</v>
      </c>
      <c r="BT712" s="2" t="n">
        <v>0</v>
      </c>
      <c r="BU712" s="2" t="n">
        <v>0</v>
      </c>
      <c r="BV712" s="2" t="n">
        <v>0</v>
      </c>
      <c r="BW712" s="2" t="n">
        <v>0</v>
      </c>
      <c r="BX712" s="2" t="n">
        <v>0</v>
      </c>
      <c r="BY712" s="2" t="n">
        <v>0</v>
      </c>
      <c r="BZ712" s="2" t="n">
        <v>0</v>
      </c>
      <c r="CA712" s="2" t="n">
        <v>0</v>
      </c>
      <c r="CB712" s="2" t="n">
        <v>0</v>
      </c>
      <c r="CC712" s="2" t="n">
        <v>0</v>
      </c>
      <c r="CD712" s="2" t="n">
        <v>0</v>
      </c>
      <c r="CE712" s="2" t="n">
        <v>0</v>
      </c>
      <c r="CF712" s="2" t="n">
        <v>0</v>
      </c>
      <c r="CG712" s="2" t="n">
        <v>0</v>
      </c>
      <c r="CH712" s="2" t="n">
        <v>0</v>
      </c>
      <c r="CI712" s="2" t="n">
        <v>0</v>
      </c>
      <c r="CJ712" s="2" t="n">
        <v>0</v>
      </c>
      <c r="CK712" s="2" t="n">
        <v>0</v>
      </c>
      <c r="CL712" s="2" t="n">
        <v>1.43</v>
      </c>
      <c r="CM712" s="2" t="n">
        <v>3.23</v>
      </c>
      <c r="CN712" s="2" t="n">
        <v>0</v>
      </c>
      <c r="CO712" s="2" t="n">
        <v>8.77</v>
      </c>
      <c r="CP712" s="2" t="n">
        <v>10.6</v>
      </c>
      <c r="CQ712" s="2" t="n">
        <v>0</v>
      </c>
      <c r="CR712" s="2" t="n">
        <v>16.84</v>
      </c>
      <c r="CS712" s="2" t="n">
        <v>18.69</v>
      </c>
      <c r="CT712" s="2" t="n">
        <v>0</v>
      </c>
      <c r="CU712" s="2" t="n">
        <v>23.62</v>
      </c>
      <c r="CV712" s="2" t="n">
        <v>25.46</v>
      </c>
      <c r="CW712" s="2" t="n">
        <v>0</v>
      </c>
      <c r="CX712" s="2" t="n">
        <v>44.96</v>
      </c>
      <c r="CY712" s="2" t="n">
        <v>46.79</v>
      </c>
      <c r="CZ712" s="2" t="n">
        <v>0</v>
      </c>
      <c r="DA712" s="2" t="n">
        <v>52.76</v>
      </c>
      <c r="DB712" s="2" t="n">
        <v>54.56</v>
      </c>
      <c r="DC712" s="2" t="n">
        <v>0</v>
      </c>
      <c r="DD712" s="2" t="n">
        <v>61.22</v>
      </c>
      <c r="DE712" s="2" t="n">
        <v>63.01</v>
      </c>
      <c r="DF712" s="2" t="n">
        <v>0</v>
      </c>
      <c r="DG712" s="2" t="n">
        <v>68.88</v>
      </c>
      <c r="DH712" s="2" t="n">
        <v>70.79000000000001</v>
      </c>
      <c r="DI712" s="2" t="n">
        <v>0</v>
      </c>
      <c r="DJ712" s="2" t="n">
        <v>76.98999999999999</v>
      </c>
      <c r="DK712" s="2" t="n">
        <v>78.78</v>
      </c>
      <c r="DL712" s="2" t="n">
        <v>0</v>
      </c>
      <c r="DM712" s="2" t="n">
        <v>84.52</v>
      </c>
      <c r="DN712" s="2" t="n">
        <v>86.31</v>
      </c>
      <c r="DO712" s="2" t="n">
        <v>0</v>
      </c>
      <c r="DP712" s="2" t="n">
        <v>92.04000000000001</v>
      </c>
      <c r="DQ712" s="2" t="n">
        <v>93.83</v>
      </c>
      <c r="DR712" s="2" t="n">
        <v>0</v>
      </c>
      <c r="DS712" s="2" t="n">
        <v>95.73</v>
      </c>
      <c r="DT712" s="2" t="n">
        <v>96.77</v>
      </c>
      <c r="DU712" s="2" t="n">
        <v>0</v>
      </c>
      <c r="DV712" s="2" t="n">
        <v>96.77</v>
      </c>
      <c r="DW712" s="2" t="n">
        <v>97.13</v>
      </c>
      <c r="DX712" s="2" t="n">
        <v>0</v>
      </c>
      <c r="DY712" s="2" t="n">
        <v>100</v>
      </c>
      <c r="DZ712" s="2" t="n">
        <v>100</v>
      </c>
      <c r="EA712" s="2" t="n">
        <v>0</v>
      </c>
      <c r="EB712" s="2" t="n">
        <v>100</v>
      </c>
      <c r="EC712" s="2" t="n">
        <v>100</v>
      </c>
      <c r="ED712" s="2" t="n">
        <v>0</v>
      </c>
      <c r="EE712" s="2" t="n">
        <v>100</v>
      </c>
      <c r="EF712" s="2" t="n">
        <v>100</v>
      </c>
      <c r="EG712" s="2" t="n">
        <v>0</v>
      </c>
      <c r="EH712" s="2" t="n">
        <v>100</v>
      </c>
      <c r="EI712" s="2" t="n">
        <v>100</v>
      </c>
      <c r="EJ712" s="2" t="n">
        <v>0</v>
      </c>
      <c r="EK712" s="2" t="n">
        <v>100</v>
      </c>
      <c r="EL712" s="2" t="n">
        <v>100</v>
      </c>
      <c r="EM712" s="2" t="n">
        <v>0</v>
      </c>
      <c r="EN712" s="2" t="n">
        <v>100</v>
      </c>
      <c r="EO712" s="2" t="n">
        <v>100</v>
      </c>
      <c r="EP712" s="2" t="n">
        <v>0</v>
      </c>
      <c r="EQ712" s="2" t="n">
        <v>100</v>
      </c>
      <c r="ER712" s="2" t="n">
        <v>100</v>
      </c>
      <c r="ES712" s="2" t="n">
        <v>0</v>
      </c>
    </row>
    <row r="713">
      <c r="A713" s="2" t="n">
        <v>4</v>
      </c>
      <c r="B713" s="2" t="inlineStr">
        <is>
          <t>30.06.01.06</t>
        </is>
      </c>
      <c r="C713" s="2" t="inlineStr">
        <is>
          <t>Mãos francesas para bancadas</t>
        </is>
      </c>
      <c r="D713" s="2" t="inlineStr">
        <is>
          <t>20/09/2027</t>
        </is>
      </c>
      <c r="E713" s="2" t="inlineStr">
        <is>
          <t>11/10/2028</t>
        </is>
      </c>
      <c r="F713" s="2" t="n">
        <v>24275</v>
      </c>
      <c r="G713" s="2" t="n">
        <v>0</v>
      </c>
      <c r="H713" s="2" t="n">
        <v>24275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n">
        <v>0</v>
      </c>
      <c r="AK713" s="2" t="n">
        <v>0</v>
      </c>
      <c r="AL713" s="2" t="n">
        <v>0</v>
      </c>
      <c r="AM713" s="2" t="n">
        <v>0</v>
      </c>
      <c r="AN713" s="2" t="n">
        <v>0</v>
      </c>
      <c r="AO713" s="2" t="n">
        <v>0</v>
      </c>
      <c r="AP713" s="2" t="n">
        <v>0</v>
      </c>
      <c r="AQ713" s="2" t="n">
        <v>0</v>
      </c>
      <c r="AR713" s="2" t="n">
        <v>0</v>
      </c>
      <c r="AS713" s="2" t="n">
        <v>0</v>
      </c>
      <c r="AT713" s="2" t="n">
        <v>0</v>
      </c>
      <c r="AU713" s="2" t="n">
        <v>0</v>
      </c>
      <c r="AV713" s="2" t="n">
        <v>0</v>
      </c>
      <c r="AW713" s="2" t="n">
        <v>0</v>
      </c>
      <c r="AX713" s="2" t="n">
        <v>0</v>
      </c>
      <c r="AY713" s="2" t="n">
        <v>0</v>
      </c>
      <c r="AZ713" s="2" t="n">
        <v>0</v>
      </c>
      <c r="BA713" s="2" t="n">
        <v>0</v>
      </c>
      <c r="BB713" s="2" t="n">
        <v>0</v>
      </c>
      <c r="BC713" s="2" t="n">
        <v>0</v>
      </c>
      <c r="BD713" s="2" t="n">
        <v>0</v>
      </c>
      <c r="BE713" s="2" t="n">
        <v>0</v>
      </c>
      <c r="BF713" s="2" t="n">
        <v>0</v>
      </c>
      <c r="BG713" s="2" t="n">
        <v>0</v>
      </c>
      <c r="BH713" s="2" t="n">
        <v>0</v>
      </c>
      <c r="BI713" s="2" t="n">
        <v>0</v>
      </c>
      <c r="BJ713" s="2" t="n">
        <v>0</v>
      </c>
      <c r="BK713" s="2" t="n">
        <v>0</v>
      </c>
      <c r="BL713" s="2" t="n">
        <v>0</v>
      </c>
      <c r="BM713" s="2" t="n">
        <v>0</v>
      </c>
      <c r="BN713" s="2" t="n">
        <v>0</v>
      </c>
      <c r="BO713" s="2" t="n">
        <v>0</v>
      </c>
      <c r="BP713" s="2" t="n">
        <v>0</v>
      </c>
      <c r="BQ713" s="2" t="n">
        <v>0</v>
      </c>
      <c r="BR713" s="2" t="n">
        <v>0</v>
      </c>
      <c r="BS713" s="2" t="n">
        <v>0</v>
      </c>
      <c r="BT713" s="2" t="n">
        <v>0</v>
      </c>
      <c r="BU713" s="2" t="n">
        <v>0</v>
      </c>
      <c r="BV713" s="2" t="n">
        <v>0</v>
      </c>
      <c r="BW713" s="2" t="n">
        <v>0</v>
      </c>
      <c r="BX713" s="2" t="n">
        <v>0</v>
      </c>
      <c r="BY713" s="2" t="n">
        <v>0</v>
      </c>
      <c r="BZ713" s="2" t="n">
        <v>0</v>
      </c>
      <c r="CA713" s="2" t="n">
        <v>0</v>
      </c>
      <c r="CB713" s="2" t="n">
        <v>0</v>
      </c>
      <c r="CC713" s="2" t="n">
        <v>0</v>
      </c>
      <c r="CD713" s="2" t="n">
        <v>0</v>
      </c>
      <c r="CE713" s="2" t="n">
        <v>0</v>
      </c>
      <c r="CF713" s="2" t="n">
        <v>0</v>
      </c>
      <c r="CG713" s="2" t="n">
        <v>0</v>
      </c>
      <c r="CH713" s="2" t="n">
        <v>0</v>
      </c>
      <c r="CI713" s="2" t="n">
        <v>0</v>
      </c>
      <c r="CJ713" s="2" t="n">
        <v>0</v>
      </c>
      <c r="CK713" s="2" t="n">
        <v>0</v>
      </c>
      <c r="CL713" s="2" t="n">
        <v>1.43</v>
      </c>
      <c r="CM713" s="2" t="n">
        <v>3.23</v>
      </c>
      <c r="CN713" s="2" t="n">
        <v>0</v>
      </c>
      <c r="CO713" s="2" t="n">
        <v>8.77</v>
      </c>
      <c r="CP713" s="2" t="n">
        <v>10.6</v>
      </c>
      <c r="CQ713" s="2" t="n">
        <v>0</v>
      </c>
      <c r="CR713" s="2" t="n">
        <v>16.84</v>
      </c>
      <c r="CS713" s="2" t="n">
        <v>18.69</v>
      </c>
      <c r="CT713" s="2" t="n">
        <v>0</v>
      </c>
      <c r="CU713" s="2" t="n">
        <v>23.62</v>
      </c>
      <c r="CV713" s="2" t="n">
        <v>25.46</v>
      </c>
      <c r="CW713" s="2" t="n">
        <v>0</v>
      </c>
      <c r="CX713" s="2" t="n">
        <v>44.96</v>
      </c>
      <c r="CY713" s="2" t="n">
        <v>46.79</v>
      </c>
      <c r="CZ713" s="2" t="n">
        <v>0</v>
      </c>
      <c r="DA713" s="2" t="n">
        <v>52.76</v>
      </c>
      <c r="DB713" s="2" t="n">
        <v>54.56</v>
      </c>
      <c r="DC713" s="2" t="n">
        <v>0</v>
      </c>
      <c r="DD713" s="2" t="n">
        <v>61.22</v>
      </c>
      <c r="DE713" s="2" t="n">
        <v>63.01</v>
      </c>
      <c r="DF713" s="2" t="n">
        <v>0</v>
      </c>
      <c r="DG713" s="2" t="n">
        <v>68.88</v>
      </c>
      <c r="DH713" s="2" t="n">
        <v>70.79000000000001</v>
      </c>
      <c r="DI713" s="2" t="n">
        <v>0</v>
      </c>
      <c r="DJ713" s="2" t="n">
        <v>76.98999999999999</v>
      </c>
      <c r="DK713" s="2" t="n">
        <v>78.78</v>
      </c>
      <c r="DL713" s="2" t="n">
        <v>0</v>
      </c>
      <c r="DM713" s="2" t="n">
        <v>84.52</v>
      </c>
      <c r="DN713" s="2" t="n">
        <v>86.31</v>
      </c>
      <c r="DO713" s="2" t="n">
        <v>0</v>
      </c>
      <c r="DP713" s="2" t="n">
        <v>92.04000000000001</v>
      </c>
      <c r="DQ713" s="2" t="n">
        <v>93.83</v>
      </c>
      <c r="DR713" s="2" t="n">
        <v>0</v>
      </c>
      <c r="DS713" s="2" t="n">
        <v>95.73</v>
      </c>
      <c r="DT713" s="2" t="n">
        <v>96.77</v>
      </c>
      <c r="DU713" s="2" t="n">
        <v>0</v>
      </c>
      <c r="DV713" s="2" t="n">
        <v>96.77</v>
      </c>
      <c r="DW713" s="2" t="n">
        <v>97.13</v>
      </c>
      <c r="DX713" s="2" t="n">
        <v>0</v>
      </c>
      <c r="DY713" s="2" t="n">
        <v>100</v>
      </c>
      <c r="DZ713" s="2" t="n">
        <v>100</v>
      </c>
      <c r="EA713" s="2" t="n">
        <v>0</v>
      </c>
      <c r="EB713" s="2" t="n">
        <v>100</v>
      </c>
      <c r="EC713" s="2" t="n">
        <v>100</v>
      </c>
      <c r="ED713" s="2" t="n">
        <v>0</v>
      </c>
      <c r="EE713" s="2" t="n">
        <v>100</v>
      </c>
      <c r="EF713" s="2" t="n">
        <v>100</v>
      </c>
      <c r="EG713" s="2" t="n">
        <v>0</v>
      </c>
      <c r="EH713" s="2" t="n">
        <v>100</v>
      </c>
      <c r="EI713" s="2" t="n">
        <v>100</v>
      </c>
      <c r="EJ713" s="2" t="n">
        <v>0</v>
      </c>
      <c r="EK713" s="2" t="n">
        <v>100</v>
      </c>
      <c r="EL713" s="2" t="n">
        <v>100</v>
      </c>
      <c r="EM713" s="2" t="n">
        <v>0</v>
      </c>
      <c r="EN713" s="2" t="n">
        <v>100</v>
      </c>
      <c r="EO713" s="2" t="n">
        <v>100</v>
      </c>
      <c r="EP713" s="2" t="n">
        <v>0</v>
      </c>
      <c r="EQ713" s="2" t="n">
        <v>100</v>
      </c>
      <c r="ER713" s="2" t="n">
        <v>100</v>
      </c>
      <c r="ES713" s="2" t="n">
        <v>0</v>
      </c>
    </row>
    <row r="714">
      <c r="A714" s="2" t="n">
        <v>4</v>
      </c>
      <c r="B714" s="2" t="inlineStr">
        <is>
          <t>30.06.01.07</t>
        </is>
      </c>
      <c r="C714" s="2" t="inlineStr">
        <is>
          <t>Proteção de bancadas contra manuseio de obra</t>
        </is>
      </c>
      <c r="D714" s="2" t="inlineStr">
        <is>
          <t>20/09/2027</t>
        </is>
      </c>
      <c r="E714" s="2" t="inlineStr">
        <is>
          <t>11/10/2028</t>
        </is>
      </c>
      <c r="F714" s="2" t="n">
        <v>7376.472834174527</v>
      </c>
      <c r="G714" s="2" t="n">
        <v>0</v>
      </c>
      <c r="H714" s="2" t="n">
        <v>7376.472834174527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s="2" t="n">
        <v>0</v>
      </c>
      <c r="AN714" s="2" t="n">
        <v>0</v>
      </c>
      <c r="AO714" s="2" t="n">
        <v>0</v>
      </c>
      <c r="AP714" s="2" t="n">
        <v>0</v>
      </c>
      <c r="AQ714" s="2" t="n">
        <v>0</v>
      </c>
      <c r="AR714" s="2" t="n">
        <v>0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n">
        <v>0</v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n">
        <v>0</v>
      </c>
      <c r="BE714" s="2" t="n">
        <v>0</v>
      </c>
      <c r="BF714" s="2" t="n">
        <v>0</v>
      </c>
      <c r="BG714" s="2" t="n">
        <v>0</v>
      </c>
      <c r="BH714" s="2" t="n">
        <v>0</v>
      </c>
      <c r="BI714" s="2" t="n">
        <v>0</v>
      </c>
      <c r="BJ714" s="2" t="n">
        <v>0</v>
      </c>
      <c r="BK714" s="2" t="n">
        <v>0</v>
      </c>
      <c r="BL714" s="2" t="n">
        <v>0</v>
      </c>
      <c r="BM714" s="2" t="n">
        <v>0</v>
      </c>
      <c r="BN714" s="2" t="n">
        <v>0</v>
      </c>
      <c r="BO714" s="2" t="n">
        <v>0</v>
      </c>
      <c r="BP714" s="2" t="n">
        <v>0</v>
      </c>
      <c r="BQ714" s="2" t="n">
        <v>0</v>
      </c>
      <c r="BR714" s="2" t="n">
        <v>0</v>
      </c>
      <c r="BS714" s="2" t="n">
        <v>0</v>
      </c>
      <c r="BT714" s="2" t="n">
        <v>0</v>
      </c>
      <c r="BU714" s="2" t="n">
        <v>0</v>
      </c>
      <c r="BV714" s="2" t="n">
        <v>0</v>
      </c>
      <c r="BW714" s="2" t="n">
        <v>0</v>
      </c>
      <c r="BX714" s="2" t="n">
        <v>0</v>
      </c>
      <c r="BY714" s="2" t="n">
        <v>0</v>
      </c>
      <c r="BZ714" s="2" t="n">
        <v>0</v>
      </c>
      <c r="CA714" s="2" t="n">
        <v>0</v>
      </c>
      <c r="CB714" s="2" t="n">
        <v>0</v>
      </c>
      <c r="CC714" s="2" t="n">
        <v>0</v>
      </c>
      <c r="CD714" s="2" t="n">
        <v>0</v>
      </c>
      <c r="CE714" s="2" t="n">
        <v>0</v>
      </c>
      <c r="CF714" s="2" t="n">
        <v>0</v>
      </c>
      <c r="CG714" s="2" t="n">
        <v>0</v>
      </c>
      <c r="CH714" s="2" t="n">
        <v>0</v>
      </c>
      <c r="CI714" s="2" t="n">
        <v>0</v>
      </c>
      <c r="CJ714" s="2" t="n">
        <v>0</v>
      </c>
      <c r="CK714" s="2" t="n">
        <v>0</v>
      </c>
      <c r="CL714" s="2" t="n">
        <v>1.43</v>
      </c>
      <c r="CM714" s="2" t="n">
        <v>3.23</v>
      </c>
      <c r="CN714" s="2" t="n">
        <v>0</v>
      </c>
      <c r="CO714" s="2" t="n">
        <v>8.77</v>
      </c>
      <c r="CP714" s="2" t="n">
        <v>10.6</v>
      </c>
      <c r="CQ714" s="2" t="n">
        <v>0</v>
      </c>
      <c r="CR714" s="2" t="n">
        <v>16.84</v>
      </c>
      <c r="CS714" s="2" t="n">
        <v>18.69</v>
      </c>
      <c r="CT714" s="2" t="n">
        <v>0</v>
      </c>
      <c r="CU714" s="2" t="n">
        <v>23.62</v>
      </c>
      <c r="CV714" s="2" t="n">
        <v>25.46</v>
      </c>
      <c r="CW714" s="2" t="n">
        <v>0</v>
      </c>
      <c r="CX714" s="2" t="n">
        <v>44.96</v>
      </c>
      <c r="CY714" s="2" t="n">
        <v>46.79</v>
      </c>
      <c r="CZ714" s="2" t="n">
        <v>0</v>
      </c>
      <c r="DA714" s="2" t="n">
        <v>52.76</v>
      </c>
      <c r="DB714" s="2" t="n">
        <v>54.56</v>
      </c>
      <c r="DC714" s="2" t="n">
        <v>0</v>
      </c>
      <c r="DD714" s="2" t="n">
        <v>61.22</v>
      </c>
      <c r="DE714" s="2" t="n">
        <v>63.01</v>
      </c>
      <c r="DF714" s="2" t="n">
        <v>0</v>
      </c>
      <c r="DG714" s="2" t="n">
        <v>68.88</v>
      </c>
      <c r="DH714" s="2" t="n">
        <v>70.79000000000001</v>
      </c>
      <c r="DI714" s="2" t="n">
        <v>0</v>
      </c>
      <c r="DJ714" s="2" t="n">
        <v>76.98999999999999</v>
      </c>
      <c r="DK714" s="2" t="n">
        <v>78.78</v>
      </c>
      <c r="DL714" s="2" t="n">
        <v>0</v>
      </c>
      <c r="DM714" s="2" t="n">
        <v>84.52</v>
      </c>
      <c r="DN714" s="2" t="n">
        <v>86.31</v>
      </c>
      <c r="DO714" s="2" t="n">
        <v>0</v>
      </c>
      <c r="DP714" s="2" t="n">
        <v>92.04000000000001</v>
      </c>
      <c r="DQ714" s="2" t="n">
        <v>93.83</v>
      </c>
      <c r="DR714" s="2" t="n">
        <v>0</v>
      </c>
      <c r="DS714" s="2" t="n">
        <v>95.73</v>
      </c>
      <c r="DT714" s="2" t="n">
        <v>96.77</v>
      </c>
      <c r="DU714" s="2" t="n">
        <v>0</v>
      </c>
      <c r="DV714" s="2" t="n">
        <v>96.77</v>
      </c>
      <c r="DW714" s="2" t="n">
        <v>97.13</v>
      </c>
      <c r="DX714" s="2" t="n">
        <v>0</v>
      </c>
      <c r="DY714" s="2" t="n">
        <v>100</v>
      </c>
      <c r="DZ714" s="2" t="n">
        <v>100</v>
      </c>
      <c r="EA714" s="2" t="n">
        <v>0</v>
      </c>
      <c r="EB714" s="2" t="n">
        <v>100</v>
      </c>
      <c r="EC714" s="2" t="n">
        <v>100</v>
      </c>
      <c r="ED714" s="2" t="n">
        <v>0</v>
      </c>
      <c r="EE714" s="2" t="n">
        <v>100</v>
      </c>
      <c r="EF714" s="2" t="n">
        <v>100</v>
      </c>
      <c r="EG714" s="2" t="n">
        <v>0</v>
      </c>
      <c r="EH714" s="2" t="n">
        <v>100</v>
      </c>
      <c r="EI714" s="2" t="n">
        <v>100</v>
      </c>
      <c r="EJ714" s="2" t="n">
        <v>0</v>
      </c>
      <c r="EK714" s="2" t="n">
        <v>100</v>
      </c>
      <c r="EL714" s="2" t="n">
        <v>100</v>
      </c>
      <c r="EM714" s="2" t="n">
        <v>0</v>
      </c>
      <c r="EN714" s="2" t="n">
        <v>100</v>
      </c>
      <c r="EO714" s="2" t="n">
        <v>100</v>
      </c>
      <c r="EP714" s="2" t="n">
        <v>0</v>
      </c>
      <c r="EQ714" s="2" t="n">
        <v>100</v>
      </c>
      <c r="ER714" s="2" t="n">
        <v>100</v>
      </c>
      <c r="ES714" s="2" t="n">
        <v>0</v>
      </c>
    </row>
    <row r="715">
      <c r="A715" s="2" t="n">
        <v>3</v>
      </c>
      <c r="B715" s="2" t="inlineStr">
        <is>
          <t>30.06.02</t>
        </is>
      </c>
      <c r="C715" s="2" t="inlineStr">
        <is>
          <t>Bancadas de granito a definir  - Copa| Guarita SS</t>
        </is>
      </c>
      <c r="D715" s="2" t="inlineStr">
        <is>
          <t>20/09/2027</t>
        </is>
      </c>
      <c r="E715" s="2" t="inlineStr">
        <is>
          <t>11/10/2028</t>
        </is>
      </c>
      <c r="F715" s="2" t="n">
        <v>4435.196582303804</v>
      </c>
      <c r="G715" s="2" t="n">
        <v>0</v>
      </c>
      <c r="H715" s="2" t="n">
        <v>4435.196582303804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  <c r="AM715" s="2" t="n">
        <v>0</v>
      </c>
      <c r="AN715" s="2" t="n">
        <v>0</v>
      </c>
      <c r="AO715" s="2" t="n">
        <v>0</v>
      </c>
      <c r="AP715" s="2" t="n">
        <v>0</v>
      </c>
      <c r="AQ715" s="2" t="n">
        <v>0</v>
      </c>
      <c r="AR715" s="2" t="n">
        <v>0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n">
        <v>0</v>
      </c>
      <c r="AZ715" s="2" t="n">
        <v>0</v>
      </c>
      <c r="BA715" s="2" t="n">
        <v>0</v>
      </c>
      <c r="BB715" s="2" t="n">
        <v>0</v>
      </c>
      <c r="BC715" s="2" t="n">
        <v>0</v>
      </c>
      <c r="BD715" s="2" t="n">
        <v>0</v>
      </c>
      <c r="BE715" s="2" t="n">
        <v>0</v>
      </c>
      <c r="BF715" s="2" t="n">
        <v>0</v>
      </c>
      <c r="BG715" s="2" t="n">
        <v>0</v>
      </c>
      <c r="BH715" s="2" t="n">
        <v>0</v>
      </c>
      <c r="BI715" s="2" t="n">
        <v>0</v>
      </c>
      <c r="BJ715" s="2" t="n">
        <v>0</v>
      </c>
      <c r="BK715" s="2" t="n">
        <v>0</v>
      </c>
      <c r="BL715" s="2" t="n">
        <v>0</v>
      </c>
      <c r="BM715" s="2" t="n">
        <v>0</v>
      </c>
      <c r="BN715" s="2" t="n">
        <v>0</v>
      </c>
      <c r="BO715" s="2" t="n">
        <v>0</v>
      </c>
      <c r="BP715" s="2" t="n">
        <v>0</v>
      </c>
      <c r="BQ715" s="2" t="n">
        <v>0</v>
      </c>
      <c r="BR715" s="2" t="n">
        <v>0</v>
      </c>
      <c r="BS715" s="2" t="n">
        <v>0</v>
      </c>
      <c r="BT715" s="2" t="n">
        <v>0</v>
      </c>
      <c r="BU715" s="2" t="n">
        <v>0</v>
      </c>
      <c r="BV715" s="2" t="n">
        <v>0</v>
      </c>
      <c r="BW715" s="2" t="n">
        <v>0</v>
      </c>
      <c r="BX715" s="2" t="n">
        <v>0</v>
      </c>
      <c r="BY715" s="2" t="n">
        <v>0</v>
      </c>
      <c r="BZ715" s="2" t="n">
        <v>0</v>
      </c>
      <c r="CA715" s="2" t="n">
        <v>0</v>
      </c>
      <c r="CB715" s="2" t="n">
        <v>0</v>
      </c>
      <c r="CC715" s="2" t="n">
        <v>0</v>
      </c>
      <c r="CD715" s="2" t="n">
        <v>0</v>
      </c>
      <c r="CE715" s="2" t="n">
        <v>0</v>
      </c>
      <c r="CF715" s="2" t="n">
        <v>0</v>
      </c>
      <c r="CG715" s="2" t="n">
        <v>0</v>
      </c>
      <c r="CH715" s="2" t="n">
        <v>0</v>
      </c>
      <c r="CI715" s="2" t="n">
        <v>0</v>
      </c>
      <c r="CJ715" s="2" t="n">
        <v>0</v>
      </c>
      <c r="CK715" s="2" t="n">
        <v>0</v>
      </c>
      <c r="CL715" s="2" t="n">
        <v>1.43</v>
      </c>
      <c r="CM715" s="2" t="n">
        <v>3.23</v>
      </c>
      <c r="CN715" s="2" t="n">
        <v>0</v>
      </c>
      <c r="CO715" s="2" t="n">
        <v>8.77</v>
      </c>
      <c r="CP715" s="2" t="n">
        <v>10.6</v>
      </c>
      <c r="CQ715" s="2" t="n">
        <v>0</v>
      </c>
      <c r="CR715" s="2" t="n">
        <v>16.84</v>
      </c>
      <c r="CS715" s="2" t="n">
        <v>18.69</v>
      </c>
      <c r="CT715" s="2" t="n">
        <v>0</v>
      </c>
      <c r="CU715" s="2" t="n">
        <v>23.62</v>
      </c>
      <c r="CV715" s="2" t="n">
        <v>25.46</v>
      </c>
      <c r="CW715" s="2" t="n">
        <v>0</v>
      </c>
      <c r="CX715" s="2" t="n">
        <v>44.96</v>
      </c>
      <c r="CY715" s="2" t="n">
        <v>46.79</v>
      </c>
      <c r="CZ715" s="2" t="n">
        <v>0</v>
      </c>
      <c r="DA715" s="2" t="n">
        <v>52.76</v>
      </c>
      <c r="DB715" s="2" t="n">
        <v>54.56</v>
      </c>
      <c r="DC715" s="2" t="n">
        <v>0</v>
      </c>
      <c r="DD715" s="2" t="n">
        <v>61.22</v>
      </c>
      <c r="DE715" s="2" t="n">
        <v>63.01</v>
      </c>
      <c r="DF715" s="2" t="n">
        <v>0</v>
      </c>
      <c r="DG715" s="2" t="n">
        <v>68.88</v>
      </c>
      <c r="DH715" s="2" t="n">
        <v>70.79000000000001</v>
      </c>
      <c r="DI715" s="2" t="n">
        <v>0</v>
      </c>
      <c r="DJ715" s="2" t="n">
        <v>76.98999999999999</v>
      </c>
      <c r="DK715" s="2" t="n">
        <v>78.78</v>
      </c>
      <c r="DL715" s="2" t="n">
        <v>0</v>
      </c>
      <c r="DM715" s="2" t="n">
        <v>84.52</v>
      </c>
      <c r="DN715" s="2" t="n">
        <v>86.31</v>
      </c>
      <c r="DO715" s="2" t="n">
        <v>0</v>
      </c>
      <c r="DP715" s="2" t="n">
        <v>92.04000000000001</v>
      </c>
      <c r="DQ715" s="2" t="n">
        <v>93.83</v>
      </c>
      <c r="DR715" s="2" t="n">
        <v>0</v>
      </c>
      <c r="DS715" s="2" t="n">
        <v>95.73</v>
      </c>
      <c r="DT715" s="2" t="n">
        <v>96.77</v>
      </c>
      <c r="DU715" s="2" t="n">
        <v>0</v>
      </c>
      <c r="DV715" s="2" t="n">
        <v>96.77</v>
      </c>
      <c r="DW715" s="2" t="n">
        <v>97.13</v>
      </c>
      <c r="DX715" s="2" t="n">
        <v>0</v>
      </c>
      <c r="DY715" s="2" t="n">
        <v>100</v>
      </c>
      <c r="DZ715" s="2" t="n">
        <v>100</v>
      </c>
      <c r="EA715" s="2" t="n">
        <v>0</v>
      </c>
      <c r="EB715" s="2" t="n">
        <v>100</v>
      </c>
      <c r="EC715" s="2" t="n">
        <v>100</v>
      </c>
      <c r="ED715" s="2" t="n">
        <v>0</v>
      </c>
      <c r="EE715" s="2" t="n">
        <v>100</v>
      </c>
      <c r="EF715" s="2" t="n">
        <v>100</v>
      </c>
      <c r="EG715" s="2" t="n">
        <v>0</v>
      </c>
      <c r="EH715" s="2" t="n">
        <v>100</v>
      </c>
      <c r="EI715" s="2" t="n">
        <v>100</v>
      </c>
      <c r="EJ715" s="2" t="n">
        <v>0</v>
      </c>
      <c r="EK715" s="2" t="n">
        <v>100</v>
      </c>
      <c r="EL715" s="2" t="n">
        <v>100</v>
      </c>
      <c r="EM715" s="2" t="n">
        <v>0</v>
      </c>
      <c r="EN715" s="2" t="n">
        <v>100</v>
      </c>
      <c r="EO715" s="2" t="n">
        <v>100</v>
      </c>
      <c r="EP715" s="2" t="n">
        <v>0</v>
      </c>
      <c r="EQ715" s="2" t="n">
        <v>100</v>
      </c>
      <c r="ER715" s="2" t="n">
        <v>100</v>
      </c>
      <c r="ES715" s="2" t="n">
        <v>0</v>
      </c>
    </row>
    <row r="716">
      <c r="A716" s="2" t="n">
        <v>4</v>
      </c>
      <c r="B716" s="2" t="inlineStr">
        <is>
          <t>30.06.02.01</t>
        </is>
      </c>
      <c r="C716" s="2" t="inlineStr">
        <is>
          <t>Bancadas de granito</t>
        </is>
      </c>
      <c r="D716" s="2" t="inlineStr">
        <is>
          <t>20/09/2027</t>
        </is>
      </c>
      <c r="E716" s="2" t="inlineStr">
        <is>
          <t>11/10/2028</t>
        </is>
      </c>
      <c r="F716" s="2" t="n">
        <v>2515.015766</v>
      </c>
      <c r="G716" s="2" t="n">
        <v>0</v>
      </c>
      <c r="H716" s="2" t="n">
        <v>2515.015766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0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0</v>
      </c>
      <c r="AM716" s="2" t="n">
        <v>0</v>
      </c>
      <c r="AN716" s="2" t="n">
        <v>0</v>
      </c>
      <c r="AO716" s="2" t="n">
        <v>0</v>
      </c>
      <c r="AP716" s="2" t="n">
        <v>0</v>
      </c>
      <c r="AQ716" s="2" t="n">
        <v>0</v>
      </c>
      <c r="AR716" s="2" t="n">
        <v>0</v>
      </c>
      <c r="AS716" s="2" t="n">
        <v>0</v>
      </c>
      <c r="AT716" s="2" t="n">
        <v>0</v>
      </c>
      <c r="AU716" s="2" t="n">
        <v>0</v>
      </c>
      <c r="AV716" s="2" t="n">
        <v>0</v>
      </c>
      <c r="AW716" s="2" t="n">
        <v>0</v>
      </c>
      <c r="AX716" s="2" t="n">
        <v>0</v>
      </c>
      <c r="AY716" s="2" t="n">
        <v>0</v>
      </c>
      <c r="AZ716" s="2" t="n">
        <v>0</v>
      </c>
      <c r="BA716" s="2" t="n">
        <v>0</v>
      </c>
      <c r="BB716" s="2" t="n">
        <v>0</v>
      </c>
      <c r="BC716" s="2" t="n">
        <v>0</v>
      </c>
      <c r="BD716" s="2" t="n">
        <v>0</v>
      </c>
      <c r="BE716" s="2" t="n">
        <v>0</v>
      </c>
      <c r="BF716" s="2" t="n">
        <v>0</v>
      </c>
      <c r="BG716" s="2" t="n">
        <v>0</v>
      </c>
      <c r="BH716" s="2" t="n">
        <v>0</v>
      </c>
      <c r="BI716" s="2" t="n">
        <v>0</v>
      </c>
      <c r="BJ716" s="2" t="n">
        <v>0</v>
      </c>
      <c r="BK716" s="2" t="n">
        <v>0</v>
      </c>
      <c r="BL716" s="2" t="n">
        <v>0</v>
      </c>
      <c r="BM716" s="2" t="n">
        <v>0</v>
      </c>
      <c r="BN716" s="2" t="n">
        <v>0</v>
      </c>
      <c r="BO716" s="2" t="n">
        <v>0</v>
      </c>
      <c r="BP716" s="2" t="n">
        <v>0</v>
      </c>
      <c r="BQ716" s="2" t="n">
        <v>0</v>
      </c>
      <c r="BR716" s="2" t="n">
        <v>0</v>
      </c>
      <c r="BS716" s="2" t="n">
        <v>0</v>
      </c>
      <c r="BT716" s="2" t="n">
        <v>0</v>
      </c>
      <c r="BU716" s="2" t="n">
        <v>0</v>
      </c>
      <c r="BV716" s="2" t="n">
        <v>0</v>
      </c>
      <c r="BW716" s="2" t="n">
        <v>0</v>
      </c>
      <c r="BX716" s="2" t="n">
        <v>0</v>
      </c>
      <c r="BY716" s="2" t="n">
        <v>0</v>
      </c>
      <c r="BZ716" s="2" t="n">
        <v>0</v>
      </c>
      <c r="CA716" s="2" t="n">
        <v>0</v>
      </c>
      <c r="CB716" s="2" t="n">
        <v>0</v>
      </c>
      <c r="CC716" s="2" t="n">
        <v>0</v>
      </c>
      <c r="CD716" s="2" t="n">
        <v>0</v>
      </c>
      <c r="CE716" s="2" t="n">
        <v>0</v>
      </c>
      <c r="CF716" s="2" t="n">
        <v>0</v>
      </c>
      <c r="CG716" s="2" t="n">
        <v>0</v>
      </c>
      <c r="CH716" s="2" t="n">
        <v>0</v>
      </c>
      <c r="CI716" s="2" t="n">
        <v>0</v>
      </c>
      <c r="CJ716" s="2" t="n">
        <v>0</v>
      </c>
      <c r="CK716" s="2" t="n">
        <v>0</v>
      </c>
      <c r="CL716" s="2" t="n">
        <v>1.43</v>
      </c>
      <c r="CM716" s="2" t="n">
        <v>3.23</v>
      </c>
      <c r="CN716" s="2" t="n">
        <v>0</v>
      </c>
      <c r="CO716" s="2" t="n">
        <v>8.77</v>
      </c>
      <c r="CP716" s="2" t="n">
        <v>10.6</v>
      </c>
      <c r="CQ716" s="2" t="n">
        <v>0</v>
      </c>
      <c r="CR716" s="2" t="n">
        <v>16.84</v>
      </c>
      <c r="CS716" s="2" t="n">
        <v>18.69</v>
      </c>
      <c r="CT716" s="2" t="n">
        <v>0</v>
      </c>
      <c r="CU716" s="2" t="n">
        <v>23.62</v>
      </c>
      <c r="CV716" s="2" t="n">
        <v>25.46</v>
      </c>
      <c r="CW716" s="2" t="n">
        <v>0</v>
      </c>
      <c r="CX716" s="2" t="n">
        <v>44.96</v>
      </c>
      <c r="CY716" s="2" t="n">
        <v>46.79</v>
      </c>
      <c r="CZ716" s="2" t="n">
        <v>0</v>
      </c>
      <c r="DA716" s="2" t="n">
        <v>52.76</v>
      </c>
      <c r="DB716" s="2" t="n">
        <v>54.56</v>
      </c>
      <c r="DC716" s="2" t="n">
        <v>0</v>
      </c>
      <c r="DD716" s="2" t="n">
        <v>61.22</v>
      </c>
      <c r="DE716" s="2" t="n">
        <v>63.01</v>
      </c>
      <c r="DF716" s="2" t="n">
        <v>0</v>
      </c>
      <c r="DG716" s="2" t="n">
        <v>68.88</v>
      </c>
      <c r="DH716" s="2" t="n">
        <v>70.79000000000001</v>
      </c>
      <c r="DI716" s="2" t="n">
        <v>0</v>
      </c>
      <c r="DJ716" s="2" t="n">
        <v>76.98999999999999</v>
      </c>
      <c r="DK716" s="2" t="n">
        <v>78.78</v>
      </c>
      <c r="DL716" s="2" t="n">
        <v>0</v>
      </c>
      <c r="DM716" s="2" t="n">
        <v>84.52</v>
      </c>
      <c r="DN716" s="2" t="n">
        <v>86.31</v>
      </c>
      <c r="DO716" s="2" t="n">
        <v>0</v>
      </c>
      <c r="DP716" s="2" t="n">
        <v>92.04000000000001</v>
      </c>
      <c r="DQ716" s="2" t="n">
        <v>93.83</v>
      </c>
      <c r="DR716" s="2" t="n">
        <v>0</v>
      </c>
      <c r="DS716" s="2" t="n">
        <v>95.73</v>
      </c>
      <c r="DT716" s="2" t="n">
        <v>96.77</v>
      </c>
      <c r="DU716" s="2" t="n">
        <v>0</v>
      </c>
      <c r="DV716" s="2" t="n">
        <v>96.77</v>
      </c>
      <c r="DW716" s="2" t="n">
        <v>97.13</v>
      </c>
      <c r="DX716" s="2" t="n">
        <v>0</v>
      </c>
      <c r="DY716" s="2" t="n">
        <v>100</v>
      </c>
      <c r="DZ716" s="2" t="n">
        <v>100</v>
      </c>
      <c r="EA716" s="2" t="n">
        <v>0</v>
      </c>
      <c r="EB716" s="2" t="n">
        <v>100</v>
      </c>
      <c r="EC716" s="2" t="n">
        <v>100</v>
      </c>
      <c r="ED716" s="2" t="n">
        <v>0</v>
      </c>
      <c r="EE716" s="2" t="n">
        <v>100</v>
      </c>
      <c r="EF716" s="2" t="n">
        <v>100</v>
      </c>
      <c r="EG716" s="2" t="n">
        <v>0</v>
      </c>
      <c r="EH716" s="2" t="n">
        <v>100</v>
      </c>
      <c r="EI716" s="2" t="n">
        <v>100</v>
      </c>
      <c r="EJ716" s="2" t="n">
        <v>0</v>
      </c>
      <c r="EK716" s="2" t="n">
        <v>100</v>
      </c>
      <c r="EL716" s="2" t="n">
        <v>100</v>
      </c>
      <c r="EM716" s="2" t="n">
        <v>0</v>
      </c>
      <c r="EN716" s="2" t="n">
        <v>100</v>
      </c>
      <c r="EO716" s="2" t="n">
        <v>100</v>
      </c>
      <c r="EP716" s="2" t="n">
        <v>0</v>
      </c>
      <c r="EQ716" s="2" t="n">
        <v>100</v>
      </c>
      <c r="ER716" s="2" t="n">
        <v>100</v>
      </c>
      <c r="ES716" s="2" t="n">
        <v>0</v>
      </c>
    </row>
    <row r="717">
      <c r="A717" s="2" t="n">
        <v>4</v>
      </c>
      <c r="B717" s="2" t="inlineStr">
        <is>
          <t>30.06.02.02</t>
        </is>
      </c>
      <c r="C717" s="2" t="inlineStr">
        <is>
          <t>Testeira de granito h=10cm</t>
        </is>
      </c>
      <c r="D717" s="2" t="inlineStr">
        <is>
          <t>20/09/2027</t>
        </is>
      </c>
      <c r="E717" s="2" t="inlineStr">
        <is>
          <t>11/10/2028</t>
        </is>
      </c>
      <c r="F717" s="2" t="n">
        <v>792.9800558749998</v>
      </c>
      <c r="G717" s="2" t="n">
        <v>0</v>
      </c>
      <c r="H717" s="2" t="n">
        <v>792.9800558749998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0</v>
      </c>
      <c r="AM717" s="2" t="n">
        <v>0</v>
      </c>
      <c r="AN717" s="2" t="n">
        <v>0</v>
      </c>
      <c r="AO717" s="2" t="n">
        <v>0</v>
      </c>
      <c r="AP717" s="2" t="n">
        <v>0</v>
      </c>
      <c r="AQ717" s="2" t="n">
        <v>0</v>
      </c>
      <c r="AR717" s="2" t="n">
        <v>0</v>
      </c>
      <c r="AS717" s="2" t="n">
        <v>0</v>
      </c>
      <c r="AT717" s="2" t="n">
        <v>0</v>
      </c>
      <c r="AU717" s="2" t="n">
        <v>0</v>
      </c>
      <c r="AV717" s="2" t="n">
        <v>0</v>
      </c>
      <c r="AW717" s="2" t="n">
        <v>0</v>
      </c>
      <c r="AX717" s="2" t="n">
        <v>0</v>
      </c>
      <c r="AY717" s="2" t="n">
        <v>0</v>
      </c>
      <c r="AZ717" s="2" t="n">
        <v>0</v>
      </c>
      <c r="BA717" s="2" t="n">
        <v>0</v>
      </c>
      <c r="BB717" s="2" t="n">
        <v>0</v>
      </c>
      <c r="BC717" s="2" t="n">
        <v>0</v>
      </c>
      <c r="BD717" s="2" t="n">
        <v>0</v>
      </c>
      <c r="BE717" s="2" t="n">
        <v>0</v>
      </c>
      <c r="BF717" s="2" t="n">
        <v>0</v>
      </c>
      <c r="BG717" s="2" t="n">
        <v>0</v>
      </c>
      <c r="BH717" s="2" t="n">
        <v>0</v>
      </c>
      <c r="BI717" s="2" t="n">
        <v>0</v>
      </c>
      <c r="BJ717" s="2" t="n">
        <v>0</v>
      </c>
      <c r="BK717" s="2" t="n">
        <v>0</v>
      </c>
      <c r="BL717" s="2" t="n">
        <v>0</v>
      </c>
      <c r="BM717" s="2" t="n">
        <v>0</v>
      </c>
      <c r="BN717" s="2" t="n">
        <v>0</v>
      </c>
      <c r="BO717" s="2" t="n">
        <v>0</v>
      </c>
      <c r="BP717" s="2" t="n">
        <v>0</v>
      </c>
      <c r="BQ717" s="2" t="n">
        <v>0</v>
      </c>
      <c r="BR717" s="2" t="n">
        <v>0</v>
      </c>
      <c r="BS717" s="2" t="n">
        <v>0</v>
      </c>
      <c r="BT717" s="2" t="n">
        <v>0</v>
      </c>
      <c r="BU717" s="2" t="n">
        <v>0</v>
      </c>
      <c r="BV717" s="2" t="n">
        <v>0</v>
      </c>
      <c r="BW717" s="2" t="n">
        <v>0</v>
      </c>
      <c r="BX717" s="2" t="n">
        <v>0</v>
      </c>
      <c r="BY717" s="2" t="n">
        <v>0</v>
      </c>
      <c r="BZ717" s="2" t="n">
        <v>0</v>
      </c>
      <c r="CA717" s="2" t="n">
        <v>0</v>
      </c>
      <c r="CB717" s="2" t="n">
        <v>0</v>
      </c>
      <c r="CC717" s="2" t="n">
        <v>0</v>
      </c>
      <c r="CD717" s="2" t="n">
        <v>0</v>
      </c>
      <c r="CE717" s="2" t="n">
        <v>0</v>
      </c>
      <c r="CF717" s="2" t="n">
        <v>0</v>
      </c>
      <c r="CG717" s="2" t="n">
        <v>0</v>
      </c>
      <c r="CH717" s="2" t="n">
        <v>0</v>
      </c>
      <c r="CI717" s="2" t="n">
        <v>0</v>
      </c>
      <c r="CJ717" s="2" t="n">
        <v>0</v>
      </c>
      <c r="CK717" s="2" t="n">
        <v>0</v>
      </c>
      <c r="CL717" s="2" t="n">
        <v>1.43</v>
      </c>
      <c r="CM717" s="2" t="n">
        <v>3.23</v>
      </c>
      <c r="CN717" s="2" t="n">
        <v>0</v>
      </c>
      <c r="CO717" s="2" t="n">
        <v>8.77</v>
      </c>
      <c r="CP717" s="2" t="n">
        <v>10.6</v>
      </c>
      <c r="CQ717" s="2" t="n">
        <v>0</v>
      </c>
      <c r="CR717" s="2" t="n">
        <v>16.84</v>
      </c>
      <c r="CS717" s="2" t="n">
        <v>18.69</v>
      </c>
      <c r="CT717" s="2" t="n">
        <v>0</v>
      </c>
      <c r="CU717" s="2" t="n">
        <v>23.62</v>
      </c>
      <c r="CV717" s="2" t="n">
        <v>25.46</v>
      </c>
      <c r="CW717" s="2" t="n">
        <v>0</v>
      </c>
      <c r="CX717" s="2" t="n">
        <v>44.96</v>
      </c>
      <c r="CY717" s="2" t="n">
        <v>46.79</v>
      </c>
      <c r="CZ717" s="2" t="n">
        <v>0</v>
      </c>
      <c r="DA717" s="2" t="n">
        <v>52.76</v>
      </c>
      <c r="DB717" s="2" t="n">
        <v>54.56</v>
      </c>
      <c r="DC717" s="2" t="n">
        <v>0</v>
      </c>
      <c r="DD717" s="2" t="n">
        <v>61.22</v>
      </c>
      <c r="DE717" s="2" t="n">
        <v>63.01</v>
      </c>
      <c r="DF717" s="2" t="n">
        <v>0</v>
      </c>
      <c r="DG717" s="2" t="n">
        <v>68.88</v>
      </c>
      <c r="DH717" s="2" t="n">
        <v>70.79000000000001</v>
      </c>
      <c r="DI717" s="2" t="n">
        <v>0</v>
      </c>
      <c r="DJ717" s="2" t="n">
        <v>76.98999999999999</v>
      </c>
      <c r="DK717" s="2" t="n">
        <v>78.78</v>
      </c>
      <c r="DL717" s="2" t="n">
        <v>0</v>
      </c>
      <c r="DM717" s="2" t="n">
        <v>84.52</v>
      </c>
      <c r="DN717" s="2" t="n">
        <v>86.31</v>
      </c>
      <c r="DO717" s="2" t="n">
        <v>0</v>
      </c>
      <c r="DP717" s="2" t="n">
        <v>92.04000000000001</v>
      </c>
      <c r="DQ717" s="2" t="n">
        <v>93.83</v>
      </c>
      <c r="DR717" s="2" t="n">
        <v>0</v>
      </c>
      <c r="DS717" s="2" t="n">
        <v>95.73</v>
      </c>
      <c r="DT717" s="2" t="n">
        <v>96.77</v>
      </c>
      <c r="DU717" s="2" t="n">
        <v>0</v>
      </c>
      <c r="DV717" s="2" t="n">
        <v>96.77</v>
      </c>
      <c r="DW717" s="2" t="n">
        <v>97.13</v>
      </c>
      <c r="DX717" s="2" t="n">
        <v>0</v>
      </c>
      <c r="DY717" s="2" t="n">
        <v>100</v>
      </c>
      <c r="DZ717" s="2" t="n">
        <v>100</v>
      </c>
      <c r="EA717" s="2" t="n">
        <v>0</v>
      </c>
      <c r="EB717" s="2" t="n">
        <v>100</v>
      </c>
      <c r="EC717" s="2" t="n">
        <v>100</v>
      </c>
      <c r="ED717" s="2" t="n">
        <v>0</v>
      </c>
      <c r="EE717" s="2" t="n">
        <v>100</v>
      </c>
      <c r="EF717" s="2" t="n">
        <v>100</v>
      </c>
      <c r="EG717" s="2" t="n">
        <v>0</v>
      </c>
      <c r="EH717" s="2" t="n">
        <v>100</v>
      </c>
      <c r="EI717" s="2" t="n">
        <v>100</v>
      </c>
      <c r="EJ717" s="2" t="n">
        <v>0</v>
      </c>
      <c r="EK717" s="2" t="n">
        <v>100</v>
      </c>
      <c r="EL717" s="2" t="n">
        <v>100</v>
      </c>
      <c r="EM717" s="2" t="n">
        <v>0</v>
      </c>
      <c r="EN717" s="2" t="n">
        <v>100</v>
      </c>
      <c r="EO717" s="2" t="n">
        <v>100</v>
      </c>
      <c r="EP717" s="2" t="n">
        <v>0</v>
      </c>
      <c r="EQ717" s="2" t="n">
        <v>100</v>
      </c>
      <c r="ER717" s="2" t="n">
        <v>100</v>
      </c>
      <c r="ES717" s="2" t="n">
        <v>0</v>
      </c>
    </row>
    <row r="718">
      <c r="A718" s="2" t="n">
        <v>4</v>
      </c>
      <c r="B718" s="2" t="inlineStr">
        <is>
          <t>30.06.02.03</t>
        </is>
      </c>
      <c r="C718" s="2" t="inlineStr">
        <is>
          <t>Rodabanca de granito h=10cm</t>
        </is>
      </c>
      <c r="D718" s="2" t="inlineStr">
        <is>
          <t>20/09/2027</t>
        </is>
      </c>
      <c r="E718" s="2" t="inlineStr">
        <is>
          <t>11/10/2028</t>
        </is>
      </c>
      <c r="F718" s="2" t="n">
        <v>884.7204982249998</v>
      </c>
      <c r="G718" s="2" t="n">
        <v>0</v>
      </c>
      <c r="H718" s="2" t="n">
        <v>884.7204982249998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0</v>
      </c>
      <c r="AM718" s="2" t="n">
        <v>0</v>
      </c>
      <c r="AN718" s="2" t="n">
        <v>0</v>
      </c>
      <c r="AO718" s="2" t="n">
        <v>0</v>
      </c>
      <c r="AP718" s="2" t="n">
        <v>0</v>
      </c>
      <c r="AQ718" s="2" t="n">
        <v>0</v>
      </c>
      <c r="AR718" s="2" t="n">
        <v>0</v>
      </c>
      <c r="AS718" s="2" t="n">
        <v>0</v>
      </c>
      <c r="AT718" s="2" t="n">
        <v>0</v>
      </c>
      <c r="AU718" s="2" t="n">
        <v>0</v>
      </c>
      <c r="AV718" s="2" t="n">
        <v>0</v>
      </c>
      <c r="AW718" s="2" t="n">
        <v>0</v>
      </c>
      <c r="AX718" s="2" t="n">
        <v>0</v>
      </c>
      <c r="AY718" s="2" t="n">
        <v>0</v>
      </c>
      <c r="AZ718" s="2" t="n">
        <v>0</v>
      </c>
      <c r="BA718" s="2" t="n">
        <v>0</v>
      </c>
      <c r="BB718" s="2" t="n">
        <v>0</v>
      </c>
      <c r="BC718" s="2" t="n">
        <v>0</v>
      </c>
      <c r="BD718" s="2" t="n">
        <v>0</v>
      </c>
      <c r="BE718" s="2" t="n">
        <v>0</v>
      </c>
      <c r="BF718" s="2" t="n">
        <v>0</v>
      </c>
      <c r="BG718" s="2" t="n">
        <v>0</v>
      </c>
      <c r="BH718" s="2" t="n">
        <v>0</v>
      </c>
      <c r="BI718" s="2" t="n">
        <v>0</v>
      </c>
      <c r="BJ718" s="2" t="n">
        <v>0</v>
      </c>
      <c r="BK718" s="2" t="n">
        <v>0</v>
      </c>
      <c r="BL718" s="2" t="n">
        <v>0</v>
      </c>
      <c r="BM718" s="2" t="n">
        <v>0</v>
      </c>
      <c r="BN718" s="2" t="n">
        <v>0</v>
      </c>
      <c r="BO718" s="2" t="n">
        <v>0</v>
      </c>
      <c r="BP718" s="2" t="n">
        <v>0</v>
      </c>
      <c r="BQ718" s="2" t="n">
        <v>0</v>
      </c>
      <c r="BR718" s="2" t="n">
        <v>0</v>
      </c>
      <c r="BS718" s="2" t="n">
        <v>0</v>
      </c>
      <c r="BT718" s="2" t="n">
        <v>0</v>
      </c>
      <c r="BU718" s="2" t="n">
        <v>0</v>
      </c>
      <c r="BV718" s="2" t="n">
        <v>0</v>
      </c>
      <c r="BW718" s="2" t="n">
        <v>0</v>
      </c>
      <c r="BX718" s="2" t="n">
        <v>0</v>
      </c>
      <c r="BY718" s="2" t="n">
        <v>0</v>
      </c>
      <c r="BZ718" s="2" t="n">
        <v>0</v>
      </c>
      <c r="CA718" s="2" t="n">
        <v>0</v>
      </c>
      <c r="CB718" s="2" t="n">
        <v>0</v>
      </c>
      <c r="CC718" s="2" t="n">
        <v>0</v>
      </c>
      <c r="CD718" s="2" t="n">
        <v>0</v>
      </c>
      <c r="CE718" s="2" t="n">
        <v>0</v>
      </c>
      <c r="CF718" s="2" t="n">
        <v>0</v>
      </c>
      <c r="CG718" s="2" t="n">
        <v>0</v>
      </c>
      <c r="CH718" s="2" t="n">
        <v>0</v>
      </c>
      <c r="CI718" s="2" t="n">
        <v>0</v>
      </c>
      <c r="CJ718" s="2" t="n">
        <v>0</v>
      </c>
      <c r="CK718" s="2" t="n">
        <v>0</v>
      </c>
      <c r="CL718" s="2" t="n">
        <v>1.43</v>
      </c>
      <c r="CM718" s="2" t="n">
        <v>3.23</v>
      </c>
      <c r="CN718" s="2" t="n">
        <v>0</v>
      </c>
      <c r="CO718" s="2" t="n">
        <v>8.77</v>
      </c>
      <c r="CP718" s="2" t="n">
        <v>10.6</v>
      </c>
      <c r="CQ718" s="2" t="n">
        <v>0</v>
      </c>
      <c r="CR718" s="2" t="n">
        <v>16.84</v>
      </c>
      <c r="CS718" s="2" t="n">
        <v>18.69</v>
      </c>
      <c r="CT718" s="2" t="n">
        <v>0</v>
      </c>
      <c r="CU718" s="2" t="n">
        <v>23.62</v>
      </c>
      <c r="CV718" s="2" t="n">
        <v>25.46</v>
      </c>
      <c r="CW718" s="2" t="n">
        <v>0</v>
      </c>
      <c r="CX718" s="2" t="n">
        <v>44.96</v>
      </c>
      <c r="CY718" s="2" t="n">
        <v>46.79</v>
      </c>
      <c r="CZ718" s="2" t="n">
        <v>0</v>
      </c>
      <c r="DA718" s="2" t="n">
        <v>52.76</v>
      </c>
      <c r="DB718" s="2" t="n">
        <v>54.56</v>
      </c>
      <c r="DC718" s="2" t="n">
        <v>0</v>
      </c>
      <c r="DD718" s="2" t="n">
        <v>61.22</v>
      </c>
      <c r="DE718" s="2" t="n">
        <v>63.01</v>
      </c>
      <c r="DF718" s="2" t="n">
        <v>0</v>
      </c>
      <c r="DG718" s="2" t="n">
        <v>68.88</v>
      </c>
      <c r="DH718" s="2" t="n">
        <v>70.79000000000001</v>
      </c>
      <c r="DI718" s="2" t="n">
        <v>0</v>
      </c>
      <c r="DJ718" s="2" t="n">
        <v>76.98999999999999</v>
      </c>
      <c r="DK718" s="2" t="n">
        <v>78.78</v>
      </c>
      <c r="DL718" s="2" t="n">
        <v>0</v>
      </c>
      <c r="DM718" s="2" t="n">
        <v>84.52</v>
      </c>
      <c r="DN718" s="2" t="n">
        <v>86.31</v>
      </c>
      <c r="DO718" s="2" t="n">
        <v>0</v>
      </c>
      <c r="DP718" s="2" t="n">
        <v>92.04000000000001</v>
      </c>
      <c r="DQ718" s="2" t="n">
        <v>93.83</v>
      </c>
      <c r="DR718" s="2" t="n">
        <v>0</v>
      </c>
      <c r="DS718" s="2" t="n">
        <v>95.73</v>
      </c>
      <c r="DT718" s="2" t="n">
        <v>96.77</v>
      </c>
      <c r="DU718" s="2" t="n">
        <v>0</v>
      </c>
      <c r="DV718" s="2" t="n">
        <v>96.77</v>
      </c>
      <c r="DW718" s="2" t="n">
        <v>97.13</v>
      </c>
      <c r="DX718" s="2" t="n">
        <v>0</v>
      </c>
      <c r="DY718" s="2" t="n">
        <v>100</v>
      </c>
      <c r="DZ718" s="2" t="n">
        <v>100</v>
      </c>
      <c r="EA718" s="2" t="n">
        <v>0</v>
      </c>
      <c r="EB718" s="2" t="n">
        <v>100</v>
      </c>
      <c r="EC718" s="2" t="n">
        <v>100</v>
      </c>
      <c r="ED718" s="2" t="n">
        <v>0</v>
      </c>
      <c r="EE718" s="2" t="n">
        <v>100</v>
      </c>
      <c r="EF718" s="2" t="n">
        <v>100</v>
      </c>
      <c r="EG718" s="2" t="n">
        <v>0</v>
      </c>
      <c r="EH718" s="2" t="n">
        <v>100</v>
      </c>
      <c r="EI718" s="2" t="n">
        <v>100</v>
      </c>
      <c r="EJ718" s="2" t="n">
        <v>0</v>
      </c>
      <c r="EK718" s="2" t="n">
        <v>100</v>
      </c>
      <c r="EL718" s="2" t="n">
        <v>100</v>
      </c>
      <c r="EM718" s="2" t="n">
        <v>0</v>
      </c>
      <c r="EN718" s="2" t="n">
        <v>100</v>
      </c>
      <c r="EO718" s="2" t="n">
        <v>100</v>
      </c>
      <c r="EP718" s="2" t="n">
        <v>0</v>
      </c>
      <c r="EQ718" s="2" t="n">
        <v>100</v>
      </c>
      <c r="ER718" s="2" t="n">
        <v>100</v>
      </c>
      <c r="ES718" s="2" t="n">
        <v>0</v>
      </c>
    </row>
    <row r="719">
      <c r="A719" s="2" t="n">
        <v>4</v>
      </c>
      <c r="B719" s="2" t="inlineStr">
        <is>
          <t>30.06.02.04</t>
        </is>
      </c>
      <c r="C719" s="2" t="inlineStr">
        <is>
          <t>Furo e colagem de bojo</t>
        </is>
      </c>
      <c r="D719" s="2" t="inlineStr">
        <is>
          <t>20/09/2027</t>
        </is>
      </c>
      <c r="E719" s="2" t="inlineStr">
        <is>
          <t>11/10/2028</t>
        </is>
      </c>
      <c r="F719" s="2" t="n">
        <v>45</v>
      </c>
      <c r="G719" s="2" t="n">
        <v>0</v>
      </c>
      <c r="H719" s="2" t="n">
        <v>45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0</v>
      </c>
      <c r="AM719" s="2" t="n">
        <v>0</v>
      </c>
      <c r="AN719" s="2" t="n">
        <v>0</v>
      </c>
      <c r="AO719" s="2" t="n">
        <v>0</v>
      </c>
      <c r="AP719" s="2" t="n">
        <v>0</v>
      </c>
      <c r="AQ719" s="2" t="n">
        <v>0</v>
      </c>
      <c r="AR719" s="2" t="n">
        <v>0</v>
      </c>
      <c r="AS719" s="2" t="n">
        <v>0</v>
      </c>
      <c r="AT719" s="2" t="n">
        <v>0</v>
      </c>
      <c r="AU719" s="2" t="n">
        <v>0</v>
      </c>
      <c r="AV719" s="2" t="n">
        <v>0</v>
      </c>
      <c r="AW719" s="2" t="n">
        <v>0</v>
      </c>
      <c r="AX719" s="2" t="n">
        <v>0</v>
      </c>
      <c r="AY719" s="2" t="n">
        <v>0</v>
      </c>
      <c r="AZ719" s="2" t="n">
        <v>0</v>
      </c>
      <c r="BA719" s="2" t="n">
        <v>0</v>
      </c>
      <c r="BB719" s="2" t="n">
        <v>0</v>
      </c>
      <c r="BC719" s="2" t="n">
        <v>0</v>
      </c>
      <c r="BD719" s="2" t="n">
        <v>0</v>
      </c>
      <c r="BE719" s="2" t="n">
        <v>0</v>
      </c>
      <c r="BF719" s="2" t="n">
        <v>0</v>
      </c>
      <c r="BG719" s="2" t="n">
        <v>0</v>
      </c>
      <c r="BH719" s="2" t="n">
        <v>0</v>
      </c>
      <c r="BI719" s="2" t="n">
        <v>0</v>
      </c>
      <c r="BJ719" s="2" t="n">
        <v>0</v>
      </c>
      <c r="BK719" s="2" t="n">
        <v>0</v>
      </c>
      <c r="BL719" s="2" t="n">
        <v>0</v>
      </c>
      <c r="BM719" s="2" t="n">
        <v>0</v>
      </c>
      <c r="BN719" s="2" t="n">
        <v>0</v>
      </c>
      <c r="BO719" s="2" t="n">
        <v>0</v>
      </c>
      <c r="BP719" s="2" t="n">
        <v>0</v>
      </c>
      <c r="BQ719" s="2" t="n">
        <v>0</v>
      </c>
      <c r="BR719" s="2" t="n">
        <v>0</v>
      </c>
      <c r="BS719" s="2" t="n">
        <v>0</v>
      </c>
      <c r="BT719" s="2" t="n">
        <v>0</v>
      </c>
      <c r="BU719" s="2" t="n">
        <v>0</v>
      </c>
      <c r="BV719" s="2" t="n">
        <v>0</v>
      </c>
      <c r="BW719" s="2" t="n">
        <v>0</v>
      </c>
      <c r="BX719" s="2" t="n">
        <v>0</v>
      </c>
      <c r="BY719" s="2" t="n">
        <v>0</v>
      </c>
      <c r="BZ719" s="2" t="n">
        <v>0</v>
      </c>
      <c r="CA719" s="2" t="n">
        <v>0</v>
      </c>
      <c r="CB719" s="2" t="n">
        <v>0</v>
      </c>
      <c r="CC719" s="2" t="n">
        <v>0</v>
      </c>
      <c r="CD719" s="2" t="n">
        <v>0</v>
      </c>
      <c r="CE719" s="2" t="n">
        <v>0</v>
      </c>
      <c r="CF719" s="2" t="n">
        <v>0</v>
      </c>
      <c r="CG719" s="2" t="n">
        <v>0</v>
      </c>
      <c r="CH719" s="2" t="n">
        <v>0</v>
      </c>
      <c r="CI719" s="2" t="n">
        <v>0</v>
      </c>
      <c r="CJ719" s="2" t="n">
        <v>0</v>
      </c>
      <c r="CK719" s="2" t="n">
        <v>0</v>
      </c>
      <c r="CL719" s="2" t="n">
        <v>1.43</v>
      </c>
      <c r="CM719" s="2" t="n">
        <v>3.23</v>
      </c>
      <c r="CN719" s="2" t="n">
        <v>0</v>
      </c>
      <c r="CO719" s="2" t="n">
        <v>8.77</v>
      </c>
      <c r="CP719" s="2" t="n">
        <v>10.6</v>
      </c>
      <c r="CQ719" s="2" t="n">
        <v>0</v>
      </c>
      <c r="CR719" s="2" t="n">
        <v>16.84</v>
      </c>
      <c r="CS719" s="2" t="n">
        <v>18.69</v>
      </c>
      <c r="CT719" s="2" t="n">
        <v>0</v>
      </c>
      <c r="CU719" s="2" t="n">
        <v>23.62</v>
      </c>
      <c r="CV719" s="2" t="n">
        <v>25.46</v>
      </c>
      <c r="CW719" s="2" t="n">
        <v>0</v>
      </c>
      <c r="CX719" s="2" t="n">
        <v>44.96</v>
      </c>
      <c r="CY719" s="2" t="n">
        <v>46.79</v>
      </c>
      <c r="CZ719" s="2" t="n">
        <v>0</v>
      </c>
      <c r="DA719" s="2" t="n">
        <v>52.76</v>
      </c>
      <c r="DB719" s="2" t="n">
        <v>54.56</v>
      </c>
      <c r="DC719" s="2" t="n">
        <v>0</v>
      </c>
      <c r="DD719" s="2" t="n">
        <v>61.22</v>
      </c>
      <c r="DE719" s="2" t="n">
        <v>63.01</v>
      </c>
      <c r="DF719" s="2" t="n">
        <v>0</v>
      </c>
      <c r="DG719" s="2" t="n">
        <v>68.88</v>
      </c>
      <c r="DH719" s="2" t="n">
        <v>70.79000000000001</v>
      </c>
      <c r="DI719" s="2" t="n">
        <v>0</v>
      </c>
      <c r="DJ719" s="2" t="n">
        <v>76.98999999999999</v>
      </c>
      <c r="DK719" s="2" t="n">
        <v>78.78</v>
      </c>
      <c r="DL719" s="2" t="n">
        <v>0</v>
      </c>
      <c r="DM719" s="2" t="n">
        <v>84.52</v>
      </c>
      <c r="DN719" s="2" t="n">
        <v>86.31</v>
      </c>
      <c r="DO719" s="2" t="n">
        <v>0</v>
      </c>
      <c r="DP719" s="2" t="n">
        <v>92.04000000000001</v>
      </c>
      <c r="DQ719" s="2" t="n">
        <v>93.83</v>
      </c>
      <c r="DR719" s="2" t="n">
        <v>0</v>
      </c>
      <c r="DS719" s="2" t="n">
        <v>95.73</v>
      </c>
      <c r="DT719" s="2" t="n">
        <v>96.77</v>
      </c>
      <c r="DU719" s="2" t="n">
        <v>0</v>
      </c>
      <c r="DV719" s="2" t="n">
        <v>96.77</v>
      </c>
      <c r="DW719" s="2" t="n">
        <v>97.13</v>
      </c>
      <c r="DX719" s="2" t="n">
        <v>0</v>
      </c>
      <c r="DY719" s="2" t="n">
        <v>100</v>
      </c>
      <c r="DZ719" s="2" t="n">
        <v>100</v>
      </c>
      <c r="EA719" s="2" t="n">
        <v>0</v>
      </c>
      <c r="EB719" s="2" t="n">
        <v>100</v>
      </c>
      <c r="EC719" s="2" t="n">
        <v>100</v>
      </c>
      <c r="ED719" s="2" t="n">
        <v>0</v>
      </c>
      <c r="EE719" s="2" t="n">
        <v>100</v>
      </c>
      <c r="EF719" s="2" t="n">
        <v>100</v>
      </c>
      <c r="EG719" s="2" t="n">
        <v>0</v>
      </c>
      <c r="EH719" s="2" t="n">
        <v>100</v>
      </c>
      <c r="EI719" s="2" t="n">
        <v>100</v>
      </c>
      <c r="EJ719" s="2" t="n">
        <v>0</v>
      </c>
      <c r="EK719" s="2" t="n">
        <v>100</v>
      </c>
      <c r="EL719" s="2" t="n">
        <v>100</v>
      </c>
      <c r="EM719" s="2" t="n">
        <v>0</v>
      </c>
      <c r="EN719" s="2" t="n">
        <v>100</v>
      </c>
      <c r="EO719" s="2" t="n">
        <v>100</v>
      </c>
      <c r="EP719" s="2" t="n">
        <v>0</v>
      </c>
      <c r="EQ719" s="2" t="n">
        <v>100</v>
      </c>
      <c r="ER719" s="2" t="n">
        <v>100</v>
      </c>
      <c r="ES719" s="2" t="n">
        <v>0</v>
      </c>
    </row>
    <row r="720">
      <c r="A720" s="2" t="n">
        <v>4</v>
      </c>
      <c r="B720" s="2" t="inlineStr">
        <is>
          <t>30.06.02.05</t>
        </is>
      </c>
      <c r="C720" s="2" t="inlineStr">
        <is>
          <t>Mãos francesas para bancadas</t>
        </is>
      </c>
      <c r="D720" s="2" t="inlineStr">
        <is>
          <t>20/09/2027</t>
        </is>
      </c>
      <c r="E720" s="2" t="inlineStr">
        <is>
          <t>11/10/2028</t>
        </is>
      </c>
      <c r="F720" s="2" t="n">
        <v>150</v>
      </c>
      <c r="G720" s="2" t="n">
        <v>0</v>
      </c>
      <c r="H720" s="2" t="n">
        <v>150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0</v>
      </c>
      <c r="AM720" s="2" t="n">
        <v>0</v>
      </c>
      <c r="AN720" s="2" t="n">
        <v>0</v>
      </c>
      <c r="AO720" s="2" t="n">
        <v>0</v>
      </c>
      <c r="AP720" s="2" t="n">
        <v>0</v>
      </c>
      <c r="AQ720" s="2" t="n">
        <v>0</v>
      </c>
      <c r="AR720" s="2" t="n">
        <v>0</v>
      </c>
      <c r="AS720" s="2" t="n">
        <v>0</v>
      </c>
      <c r="AT720" s="2" t="n">
        <v>0</v>
      </c>
      <c r="AU720" s="2" t="n">
        <v>0</v>
      </c>
      <c r="AV720" s="2" t="n">
        <v>0</v>
      </c>
      <c r="AW720" s="2" t="n">
        <v>0</v>
      </c>
      <c r="AX720" s="2" t="n">
        <v>0</v>
      </c>
      <c r="AY720" s="2" t="n">
        <v>0</v>
      </c>
      <c r="AZ720" s="2" t="n">
        <v>0</v>
      </c>
      <c r="BA720" s="2" t="n">
        <v>0</v>
      </c>
      <c r="BB720" s="2" t="n">
        <v>0</v>
      </c>
      <c r="BC720" s="2" t="n">
        <v>0</v>
      </c>
      <c r="BD720" s="2" t="n">
        <v>0</v>
      </c>
      <c r="BE720" s="2" t="n">
        <v>0</v>
      </c>
      <c r="BF720" s="2" t="n">
        <v>0</v>
      </c>
      <c r="BG720" s="2" t="n">
        <v>0</v>
      </c>
      <c r="BH720" s="2" t="n">
        <v>0</v>
      </c>
      <c r="BI720" s="2" t="n">
        <v>0</v>
      </c>
      <c r="BJ720" s="2" t="n">
        <v>0</v>
      </c>
      <c r="BK720" s="2" t="n">
        <v>0</v>
      </c>
      <c r="BL720" s="2" t="n">
        <v>0</v>
      </c>
      <c r="BM720" s="2" t="n">
        <v>0</v>
      </c>
      <c r="BN720" s="2" t="n">
        <v>0</v>
      </c>
      <c r="BO720" s="2" t="n">
        <v>0</v>
      </c>
      <c r="BP720" s="2" t="n">
        <v>0</v>
      </c>
      <c r="BQ720" s="2" t="n">
        <v>0</v>
      </c>
      <c r="BR720" s="2" t="n">
        <v>0</v>
      </c>
      <c r="BS720" s="2" t="n">
        <v>0</v>
      </c>
      <c r="BT720" s="2" t="n">
        <v>0</v>
      </c>
      <c r="BU720" s="2" t="n">
        <v>0</v>
      </c>
      <c r="BV720" s="2" t="n">
        <v>0</v>
      </c>
      <c r="BW720" s="2" t="n">
        <v>0</v>
      </c>
      <c r="BX720" s="2" t="n">
        <v>0</v>
      </c>
      <c r="BY720" s="2" t="n">
        <v>0</v>
      </c>
      <c r="BZ720" s="2" t="n">
        <v>0</v>
      </c>
      <c r="CA720" s="2" t="n">
        <v>0</v>
      </c>
      <c r="CB720" s="2" t="n">
        <v>0</v>
      </c>
      <c r="CC720" s="2" t="n">
        <v>0</v>
      </c>
      <c r="CD720" s="2" t="n">
        <v>0</v>
      </c>
      <c r="CE720" s="2" t="n">
        <v>0</v>
      </c>
      <c r="CF720" s="2" t="n">
        <v>0</v>
      </c>
      <c r="CG720" s="2" t="n">
        <v>0</v>
      </c>
      <c r="CH720" s="2" t="n">
        <v>0</v>
      </c>
      <c r="CI720" s="2" t="n">
        <v>0</v>
      </c>
      <c r="CJ720" s="2" t="n">
        <v>0</v>
      </c>
      <c r="CK720" s="2" t="n">
        <v>0</v>
      </c>
      <c r="CL720" s="2" t="n">
        <v>1.43</v>
      </c>
      <c r="CM720" s="2" t="n">
        <v>3.23</v>
      </c>
      <c r="CN720" s="2" t="n">
        <v>0</v>
      </c>
      <c r="CO720" s="2" t="n">
        <v>8.77</v>
      </c>
      <c r="CP720" s="2" t="n">
        <v>10.6</v>
      </c>
      <c r="CQ720" s="2" t="n">
        <v>0</v>
      </c>
      <c r="CR720" s="2" t="n">
        <v>16.84</v>
      </c>
      <c r="CS720" s="2" t="n">
        <v>18.69</v>
      </c>
      <c r="CT720" s="2" t="n">
        <v>0</v>
      </c>
      <c r="CU720" s="2" t="n">
        <v>23.62</v>
      </c>
      <c r="CV720" s="2" t="n">
        <v>25.46</v>
      </c>
      <c r="CW720" s="2" t="n">
        <v>0</v>
      </c>
      <c r="CX720" s="2" t="n">
        <v>44.96</v>
      </c>
      <c r="CY720" s="2" t="n">
        <v>46.79</v>
      </c>
      <c r="CZ720" s="2" t="n">
        <v>0</v>
      </c>
      <c r="DA720" s="2" t="n">
        <v>52.76</v>
      </c>
      <c r="DB720" s="2" t="n">
        <v>54.56</v>
      </c>
      <c r="DC720" s="2" t="n">
        <v>0</v>
      </c>
      <c r="DD720" s="2" t="n">
        <v>61.22</v>
      </c>
      <c r="DE720" s="2" t="n">
        <v>63.01</v>
      </c>
      <c r="DF720" s="2" t="n">
        <v>0</v>
      </c>
      <c r="DG720" s="2" t="n">
        <v>68.88</v>
      </c>
      <c r="DH720" s="2" t="n">
        <v>70.79000000000001</v>
      </c>
      <c r="DI720" s="2" t="n">
        <v>0</v>
      </c>
      <c r="DJ720" s="2" t="n">
        <v>76.98999999999999</v>
      </c>
      <c r="DK720" s="2" t="n">
        <v>78.78</v>
      </c>
      <c r="DL720" s="2" t="n">
        <v>0</v>
      </c>
      <c r="DM720" s="2" t="n">
        <v>84.52</v>
      </c>
      <c r="DN720" s="2" t="n">
        <v>86.31</v>
      </c>
      <c r="DO720" s="2" t="n">
        <v>0</v>
      </c>
      <c r="DP720" s="2" t="n">
        <v>92.04000000000001</v>
      </c>
      <c r="DQ720" s="2" t="n">
        <v>93.83</v>
      </c>
      <c r="DR720" s="2" t="n">
        <v>0</v>
      </c>
      <c r="DS720" s="2" t="n">
        <v>95.73</v>
      </c>
      <c r="DT720" s="2" t="n">
        <v>96.77</v>
      </c>
      <c r="DU720" s="2" t="n">
        <v>0</v>
      </c>
      <c r="DV720" s="2" t="n">
        <v>96.77</v>
      </c>
      <c r="DW720" s="2" t="n">
        <v>97.13</v>
      </c>
      <c r="DX720" s="2" t="n">
        <v>0</v>
      </c>
      <c r="DY720" s="2" t="n">
        <v>100</v>
      </c>
      <c r="DZ720" s="2" t="n">
        <v>100</v>
      </c>
      <c r="EA720" s="2" t="n">
        <v>0</v>
      </c>
      <c r="EB720" s="2" t="n">
        <v>100</v>
      </c>
      <c r="EC720" s="2" t="n">
        <v>100</v>
      </c>
      <c r="ED720" s="2" t="n">
        <v>0</v>
      </c>
      <c r="EE720" s="2" t="n">
        <v>100</v>
      </c>
      <c r="EF720" s="2" t="n">
        <v>100</v>
      </c>
      <c r="EG720" s="2" t="n">
        <v>0</v>
      </c>
      <c r="EH720" s="2" t="n">
        <v>100</v>
      </c>
      <c r="EI720" s="2" t="n">
        <v>100</v>
      </c>
      <c r="EJ720" s="2" t="n">
        <v>0</v>
      </c>
      <c r="EK720" s="2" t="n">
        <v>100</v>
      </c>
      <c r="EL720" s="2" t="n">
        <v>100</v>
      </c>
      <c r="EM720" s="2" t="n">
        <v>0</v>
      </c>
      <c r="EN720" s="2" t="n">
        <v>100</v>
      </c>
      <c r="EO720" s="2" t="n">
        <v>100</v>
      </c>
      <c r="EP720" s="2" t="n">
        <v>0</v>
      </c>
      <c r="EQ720" s="2" t="n">
        <v>100</v>
      </c>
      <c r="ER720" s="2" t="n">
        <v>100</v>
      </c>
      <c r="ES720" s="2" t="n">
        <v>0</v>
      </c>
    </row>
    <row r="721">
      <c r="A721" s="2" t="n">
        <v>4</v>
      </c>
      <c r="B721" s="2" t="inlineStr">
        <is>
          <t>30.06.02.06</t>
        </is>
      </c>
      <c r="C721" s="2" t="inlineStr">
        <is>
          <t>Proteção de bancadas contra manuseio de obra</t>
        </is>
      </c>
      <c r="D721" s="2" t="inlineStr">
        <is>
          <t>20/09/2027</t>
        </is>
      </c>
      <c r="E721" s="2" t="inlineStr">
        <is>
          <t>11/10/2028</t>
        </is>
      </c>
      <c r="F721" s="2" t="n">
        <v>47.48026220380522</v>
      </c>
      <c r="G721" s="2" t="n">
        <v>0</v>
      </c>
      <c r="H721" s="2" t="n">
        <v>47.48026220380522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0</v>
      </c>
      <c r="AE721" s="2" t="n">
        <v>0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n">
        <v>0</v>
      </c>
      <c r="AK721" s="2" t="n">
        <v>0</v>
      </c>
      <c r="AL721" s="2" t="n">
        <v>0</v>
      </c>
      <c r="AM721" s="2" t="n">
        <v>0</v>
      </c>
      <c r="AN721" s="2" t="n">
        <v>0</v>
      </c>
      <c r="AO721" s="2" t="n">
        <v>0</v>
      </c>
      <c r="AP721" s="2" t="n">
        <v>0</v>
      </c>
      <c r="AQ721" s="2" t="n">
        <v>0</v>
      </c>
      <c r="AR721" s="2" t="n">
        <v>0</v>
      </c>
      <c r="AS721" s="2" t="n">
        <v>0</v>
      </c>
      <c r="AT721" s="2" t="n">
        <v>0</v>
      </c>
      <c r="AU721" s="2" t="n">
        <v>0</v>
      </c>
      <c r="AV721" s="2" t="n">
        <v>0</v>
      </c>
      <c r="AW721" s="2" t="n">
        <v>0</v>
      </c>
      <c r="AX721" s="2" t="n">
        <v>0</v>
      </c>
      <c r="AY721" s="2" t="n">
        <v>0</v>
      </c>
      <c r="AZ721" s="2" t="n">
        <v>0</v>
      </c>
      <c r="BA721" s="2" t="n">
        <v>0</v>
      </c>
      <c r="BB721" s="2" t="n">
        <v>0</v>
      </c>
      <c r="BC721" s="2" t="n">
        <v>0</v>
      </c>
      <c r="BD721" s="2" t="n">
        <v>0</v>
      </c>
      <c r="BE721" s="2" t="n">
        <v>0</v>
      </c>
      <c r="BF721" s="2" t="n">
        <v>0</v>
      </c>
      <c r="BG721" s="2" t="n">
        <v>0</v>
      </c>
      <c r="BH721" s="2" t="n">
        <v>0</v>
      </c>
      <c r="BI721" s="2" t="n">
        <v>0</v>
      </c>
      <c r="BJ721" s="2" t="n">
        <v>0</v>
      </c>
      <c r="BK721" s="2" t="n">
        <v>0</v>
      </c>
      <c r="BL721" s="2" t="n">
        <v>0</v>
      </c>
      <c r="BM721" s="2" t="n">
        <v>0</v>
      </c>
      <c r="BN721" s="2" t="n">
        <v>0</v>
      </c>
      <c r="BO721" s="2" t="n">
        <v>0</v>
      </c>
      <c r="BP721" s="2" t="n">
        <v>0</v>
      </c>
      <c r="BQ721" s="2" t="n">
        <v>0</v>
      </c>
      <c r="BR721" s="2" t="n">
        <v>0</v>
      </c>
      <c r="BS721" s="2" t="n">
        <v>0</v>
      </c>
      <c r="BT721" s="2" t="n">
        <v>0</v>
      </c>
      <c r="BU721" s="2" t="n">
        <v>0</v>
      </c>
      <c r="BV721" s="2" t="n">
        <v>0</v>
      </c>
      <c r="BW721" s="2" t="n">
        <v>0</v>
      </c>
      <c r="BX721" s="2" t="n">
        <v>0</v>
      </c>
      <c r="BY721" s="2" t="n">
        <v>0</v>
      </c>
      <c r="BZ721" s="2" t="n">
        <v>0</v>
      </c>
      <c r="CA721" s="2" t="n">
        <v>0</v>
      </c>
      <c r="CB721" s="2" t="n">
        <v>0</v>
      </c>
      <c r="CC721" s="2" t="n">
        <v>0</v>
      </c>
      <c r="CD721" s="2" t="n">
        <v>0</v>
      </c>
      <c r="CE721" s="2" t="n">
        <v>0</v>
      </c>
      <c r="CF721" s="2" t="n">
        <v>0</v>
      </c>
      <c r="CG721" s="2" t="n">
        <v>0</v>
      </c>
      <c r="CH721" s="2" t="n">
        <v>0</v>
      </c>
      <c r="CI721" s="2" t="n">
        <v>0</v>
      </c>
      <c r="CJ721" s="2" t="n">
        <v>0</v>
      </c>
      <c r="CK721" s="2" t="n">
        <v>0</v>
      </c>
      <c r="CL721" s="2" t="n">
        <v>1.43</v>
      </c>
      <c r="CM721" s="2" t="n">
        <v>3.23</v>
      </c>
      <c r="CN721" s="2" t="n">
        <v>0</v>
      </c>
      <c r="CO721" s="2" t="n">
        <v>8.77</v>
      </c>
      <c r="CP721" s="2" t="n">
        <v>10.6</v>
      </c>
      <c r="CQ721" s="2" t="n">
        <v>0</v>
      </c>
      <c r="CR721" s="2" t="n">
        <v>16.84</v>
      </c>
      <c r="CS721" s="2" t="n">
        <v>18.69</v>
      </c>
      <c r="CT721" s="2" t="n">
        <v>0</v>
      </c>
      <c r="CU721" s="2" t="n">
        <v>23.62</v>
      </c>
      <c r="CV721" s="2" t="n">
        <v>25.46</v>
      </c>
      <c r="CW721" s="2" t="n">
        <v>0</v>
      </c>
      <c r="CX721" s="2" t="n">
        <v>44.96</v>
      </c>
      <c r="CY721" s="2" t="n">
        <v>46.79</v>
      </c>
      <c r="CZ721" s="2" t="n">
        <v>0</v>
      </c>
      <c r="DA721" s="2" t="n">
        <v>52.76</v>
      </c>
      <c r="DB721" s="2" t="n">
        <v>54.56</v>
      </c>
      <c r="DC721" s="2" t="n">
        <v>0</v>
      </c>
      <c r="DD721" s="2" t="n">
        <v>61.22</v>
      </c>
      <c r="DE721" s="2" t="n">
        <v>63.01</v>
      </c>
      <c r="DF721" s="2" t="n">
        <v>0</v>
      </c>
      <c r="DG721" s="2" t="n">
        <v>68.88</v>
      </c>
      <c r="DH721" s="2" t="n">
        <v>70.79000000000001</v>
      </c>
      <c r="DI721" s="2" t="n">
        <v>0</v>
      </c>
      <c r="DJ721" s="2" t="n">
        <v>76.98999999999999</v>
      </c>
      <c r="DK721" s="2" t="n">
        <v>78.78</v>
      </c>
      <c r="DL721" s="2" t="n">
        <v>0</v>
      </c>
      <c r="DM721" s="2" t="n">
        <v>84.52</v>
      </c>
      <c r="DN721" s="2" t="n">
        <v>86.31</v>
      </c>
      <c r="DO721" s="2" t="n">
        <v>0</v>
      </c>
      <c r="DP721" s="2" t="n">
        <v>92.04000000000001</v>
      </c>
      <c r="DQ721" s="2" t="n">
        <v>93.83</v>
      </c>
      <c r="DR721" s="2" t="n">
        <v>0</v>
      </c>
      <c r="DS721" s="2" t="n">
        <v>95.73</v>
      </c>
      <c r="DT721" s="2" t="n">
        <v>96.77</v>
      </c>
      <c r="DU721" s="2" t="n">
        <v>0</v>
      </c>
      <c r="DV721" s="2" t="n">
        <v>96.77</v>
      </c>
      <c r="DW721" s="2" t="n">
        <v>97.13</v>
      </c>
      <c r="DX721" s="2" t="n">
        <v>0</v>
      </c>
      <c r="DY721" s="2" t="n">
        <v>100</v>
      </c>
      <c r="DZ721" s="2" t="n">
        <v>100</v>
      </c>
      <c r="EA721" s="2" t="n">
        <v>0</v>
      </c>
      <c r="EB721" s="2" t="n">
        <v>100</v>
      </c>
      <c r="EC721" s="2" t="n">
        <v>100</v>
      </c>
      <c r="ED721" s="2" t="n">
        <v>0</v>
      </c>
      <c r="EE721" s="2" t="n">
        <v>100</v>
      </c>
      <c r="EF721" s="2" t="n">
        <v>100</v>
      </c>
      <c r="EG721" s="2" t="n">
        <v>0</v>
      </c>
      <c r="EH721" s="2" t="n">
        <v>100</v>
      </c>
      <c r="EI721" s="2" t="n">
        <v>100</v>
      </c>
      <c r="EJ721" s="2" t="n">
        <v>0</v>
      </c>
      <c r="EK721" s="2" t="n">
        <v>100</v>
      </c>
      <c r="EL721" s="2" t="n">
        <v>100</v>
      </c>
      <c r="EM721" s="2" t="n">
        <v>0</v>
      </c>
      <c r="EN721" s="2" t="n">
        <v>100</v>
      </c>
      <c r="EO721" s="2" t="n">
        <v>100</v>
      </c>
      <c r="EP721" s="2" t="n">
        <v>0</v>
      </c>
      <c r="EQ721" s="2" t="n">
        <v>100</v>
      </c>
      <c r="ER721" s="2" t="n">
        <v>100</v>
      </c>
      <c r="ES721" s="2" t="n">
        <v>0</v>
      </c>
    </row>
    <row r="722">
      <c r="A722" s="2" t="n">
        <v>3</v>
      </c>
      <c r="B722" s="2" t="inlineStr">
        <is>
          <t>30.06.03</t>
        </is>
      </c>
      <c r="C722" s="2" t="inlineStr">
        <is>
          <t>Bancada de Granito Verde Candeias Escovado</t>
        </is>
      </c>
      <c r="D722" s="2" t="inlineStr">
        <is>
          <t>20/09/2027</t>
        </is>
      </c>
      <c r="E722" s="2" t="inlineStr">
        <is>
          <t>11/10/2028</t>
        </is>
      </c>
      <c r="F722" s="2" t="n">
        <v>15370.65469191942</v>
      </c>
      <c r="G722" s="2" t="n">
        <v>0</v>
      </c>
      <c r="H722" s="2" t="n">
        <v>15370.65469191942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0</v>
      </c>
      <c r="AM722" s="2" t="n">
        <v>0</v>
      </c>
      <c r="AN722" s="2" t="n">
        <v>0</v>
      </c>
      <c r="AO722" s="2" t="n">
        <v>0</v>
      </c>
      <c r="AP722" s="2" t="n">
        <v>0</v>
      </c>
      <c r="AQ722" s="2" t="n">
        <v>0</v>
      </c>
      <c r="AR722" s="2" t="n">
        <v>0</v>
      </c>
      <c r="AS722" s="2" t="n">
        <v>0</v>
      </c>
      <c r="AT722" s="2" t="n">
        <v>0</v>
      </c>
      <c r="AU722" s="2" t="n">
        <v>0</v>
      </c>
      <c r="AV722" s="2" t="n">
        <v>0</v>
      </c>
      <c r="AW722" s="2" t="n">
        <v>0</v>
      </c>
      <c r="AX722" s="2" t="n">
        <v>0</v>
      </c>
      <c r="AY722" s="2" t="n">
        <v>0</v>
      </c>
      <c r="AZ722" s="2" t="n">
        <v>0</v>
      </c>
      <c r="BA722" s="2" t="n">
        <v>0</v>
      </c>
      <c r="BB722" s="2" t="n">
        <v>0</v>
      </c>
      <c r="BC722" s="2" t="n">
        <v>0</v>
      </c>
      <c r="BD722" s="2" t="n">
        <v>0</v>
      </c>
      <c r="BE722" s="2" t="n">
        <v>0</v>
      </c>
      <c r="BF722" s="2" t="n">
        <v>0</v>
      </c>
      <c r="BG722" s="2" t="n">
        <v>0</v>
      </c>
      <c r="BH722" s="2" t="n">
        <v>0</v>
      </c>
      <c r="BI722" s="2" t="n">
        <v>0</v>
      </c>
      <c r="BJ722" s="2" t="n">
        <v>0</v>
      </c>
      <c r="BK722" s="2" t="n">
        <v>0</v>
      </c>
      <c r="BL722" s="2" t="n">
        <v>0</v>
      </c>
      <c r="BM722" s="2" t="n">
        <v>0</v>
      </c>
      <c r="BN722" s="2" t="n">
        <v>0</v>
      </c>
      <c r="BO722" s="2" t="n">
        <v>0</v>
      </c>
      <c r="BP722" s="2" t="n">
        <v>0</v>
      </c>
      <c r="BQ722" s="2" t="n">
        <v>0</v>
      </c>
      <c r="BR722" s="2" t="n">
        <v>0</v>
      </c>
      <c r="BS722" s="2" t="n">
        <v>0</v>
      </c>
      <c r="BT722" s="2" t="n">
        <v>0</v>
      </c>
      <c r="BU722" s="2" t="n">
        <v>0</v>
      </c>
      <c r="BV722" s="2" t="n">
        <v>0</v>
      </c>
      <c r="BW722" s="2" t="n">
        <v>0</v>
      </c>
      <c r="BX722" s="2" t="n">
        <v>0</v>
      </c>
      <c r="BY722" s="2" t="n">
        <v>0</v>
      </c>
      <c r="BZ722" s="2" t="n">
        <v>0</v>
      </c>
      <c r="CA722" s="2" t="n">
        <v>0</v>
      </c>
      <c r="CB722" s="2" t="n">
        <v>0</v>
      </c>
      <c r="CC722" s="2" t="n">
        <v>0</v>
      </c>
      <c r="CD722" s="2" t="n">
        <v>0</v>
      </c>
      <c r="CE722" s="2" t="n">
        <v>0</v>
      </c>
      <c r="CF722" s="2" t="n">
        <v>0</v>
      </c>
      <c r="CG722" s="2" t="n">
        <v>0</v>
      </c>
      <c r="CH722" s="2" t="n">
        <v>0</v>
      </c>
      <c r="CI722" s="2" t="n">
        <v>0</v>
      </c>
      <c r="CJ722" s="2" t="n">
        <v>0</v>
      </c>
      <c r="CK722" s="2" t="n">
        <v>0</v>
      </c>
      <c r="CL722" s="2" t="n">
        <v>1.43</v>
      </c>
      <c r="CM722" s="2" t="n">
        <v>3.23</v>
      </c>
      <c r="CN722" s="2" t="n">
        <v>0</v>
      </c>
      <c r="CO722" s="2" t="n">
        <v>8.77</v>
      </c>
      <c r="CP722" s="2" t="n">
        <v>10.6</v>
      </c>
      <c r="CQ722" s="2" t="n">
        <v>0</v>
      </c>
      <c r="CR722" s="2" t="n">
        <v>16.84</v>
      </c>
      <c r="CS722" s="2" t="n">
        <v>18.69</v>
      </c>
      <c r="CT722" s="2" t="n">
        <v>0</v>
      </c>
      <c r="CU722" s="2" t="n">
        <v>23.62</v>
      </c>
      <c r="CV722" s="2" t="n">
        <v>25.46</v>
      </c>
      <c r="CW722" s="2" t="n">
        <v>0</v>
      </c>
      <c r="CX722" s="2" t="n">
        <v>44.96</v>
      </c>
      <c r="CY722" s="2" t="n">
        <v>46.79</v>
      </c>
      <c r="CZ722" s="2" t="n">
        <v>0</v>
      </c>
      <c r="DA722" s="2" t="n">
        <v>52.76</v>
      </c>
      <c r="DB722" s="2" t="n">
        <v>54.56</v>
      </c>
      <c r="DC722" s="2" t="n">
        <v>0</v>
      </c>
      <c r="DD722" s="2" t="n">
        <v>61.22</v>
      </c>
      <c r="DE722" s="2" t="n">
        <v>63.01</v>
      </c>
      <c r="DF722" s="2" t="n">
        <v>0</v>
      </c>
      <c r="DG722" s="2" t="n">
        <v>68.88</v>
      </c>
      <c r="DH722" s="2" t="n">
        <v>70.79000000000001</v>
      </c>
      <c r="DI722" s="2" t="n">
        <v>0</v>
      </c>
      <c r="DJ722" s="2" t="n">
        <v>76.98999999999999</v>
      </c>
      <c r="DK722" s="2" t="n">
        <v>78.78</v>
      </c>
      <c r="DL722" s="2" t="n">
        <v>0</v>
      </c>
      <c r="DM722" s="2" t="n">
        <v>84.52</v>
      </c>
      <c r="DN722" s="2" t="n">
        <v>86.31</v>
      </c>
      <c r="DO722" s="2" t="n">
        <v>0</v>
      </c>
      <c r="DP722" s="2" t="n">
        <v>92.04000000000001</v>
      </c>
      <c r="DQ722" s="2" t="n">
        <v>93.83</v>
      </c>
      <c r="DR722" s="2" t="n">
        <v>0</v>
      </c>
      <c r="DS722" s="2" t="n">
        <v>95.73</v>
      </c>
      <c r="DT722" s="2" t="n">
        <v>96.77</v>
      </c>
      <c r="DU722" s="2" t="n">
        <v>0</v>
      </c>
      <c r="DV722" s="2" t="n">
        <v>96.77</v>
      </c>
      <c r="DW722" s="2" t="n">
        <v>97.13</v>
      </c>
      <c r="DX722" s="2" t="n">
        <v>0</v>
      </c>
      <c r="DY722" s="2" t="n">
        <v>100</v>
      </c>
      <c r="DZ722" s="2" t="n">
        <v>100</v>
      </c>
      <c r="EA722" s="2" t="n">
        <v>0</v>
      </c>
      <c r="EB722" s="2" t="n">
        <v>100</v>
      </c>
      <c r="EC722" s="2" t="n">
        <v>100</v>
      </c>
      <c r="ED722" s="2" t="n">
        <v>0</v>
      </c>
      <c r="EE722" s="2" t="n">
        <v>100</v>
      </c>
      <c r="EF722" s="2" t="n">
        <v>100</v>
      </c>
      <c r="EG722" s="2" t="n">
        <v>0</v>
      </c>
      <c r="EH722" s="2" t="n">
        <v>100</v>
      </c>
      <c r="EI722" s="2" t="n">
        <v>100</v>
      </c>
      <c r="EJ722" s="2" t="n">
        <v>0</v>
      </c>
      <c r="EK722" s="2" t="n">
        <v>100</v>
      </c>
      <c r="EL722" s="2" t="n">
        <v>100</v>
      </c>
      <c r="EM722" s="2" t="n">
        <v>0</v>
      </c>
      <c r="EN722" s="2" t="n">
        <v>100</v>
      </c>
      <c r="EO722" s="2" t="n">
        <v>100</v>
      </c>
      <c r="EP722" s="2" t="n">
        <v>0</v>
      </c>
      <c r="EQ722" s="2" t="n">
        <v>100</v>
      </c>
      <c r="ER722" s="2" t="n">
        <v>100</v>
      </c>
      <c r="ES722" s="2" t="n">
        <v>0</v>
      </c>
    </row>
    <row r="723">
      <c r="A723" s="2" t="n">
        <v>4</v>
      </c>
      <c r="B723" s="2" t="inlineStr">
        <is>
          <t>30.06.03.01</t>
        </is>
      </c>
      <c r="C723" s="2" t="inlineStr">
        <is>
          <t>Bancada de Granito Verde Candeias Escovado</t>
        </is>
      </c>
      <c r="D723" s="2" t="inlineStr">
        <is>
          <t>20/09/2027</t>
        </is>
      </c>
      <c r="E723" s="2" t="inlineStr">
        <is>
          <t>11/10/2028</t>
        </is>
      </c>
      <c r="F723" s="2" t="n">
        <v>7727.154398000001</v>
      </c>
      <c r="G723" s="2" t="n">
        <v>0</v>
      </c>
      <c r="H723" s="2" t="n">
        <v>7727.154398000001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0</v>
      </c>
      <c r="AM723" s="2" t="n">
        <v>0</v>
      </c>
      <c r="AN723" s="2" t="n">
        <v>0</v>
      </c>
      <c r="AO723" s="2" t="n">
        <v>0</v>
      </c>
      <c r="AP723" s="2" t="n">
        <v>0</v>
      </c>
      <c r="AQ723" s="2" t="n">
        <v>0</v>
      </c>
      <c r="AR723" s="2" t="n">
        <v>0</v>
      </c>
      <c r="AS723" s="2" t="n">
        <v>0</v>
      </c>
      <c r="AT723" s="2" t="n">
        <v>0</v>
      </c>
      <c r="AU723" s="2" t="n">
        <v>0</v>
      </c>
      <c r="AV723" s="2" t="n">
        <v>0</v>
      </c>
      <c r="AW723" s="2" t="n">
        <v>0</v>
      </c>
      <c r="AX723" s="2" t="n">
        <v>0</v>
      </c>
      <c r="AY723" s="2" t="n">
        <v>0</v>
      </c>
      <c r="AZ723" s="2" t="n">
        <v>0</v>
      </c>
      <c r="BA723" s="2" t="n">
        <v>0</v>
      </c>
      <c r="BB723" s="2" t="n">
        <v>0</v>
      </c>
      <c r="BC723" s="2" t="n">
        <v>0</v>
      </c>
      <c r="BD723" s="2" t="n">
        <v>0</v>
      </c>
      <c r="BE723" s="2" t="n">
        <v>0</v>
      </c>
      <c r="BF723" s="2" t="n">
        <v>0</v>
      </c>
      <c r="BG723" s="2" t="n">
        <v>0</v>
      </c>
      <c r="BH723" s="2" t="n">
        <v>0</v>
      </c>
      <c r="BI723" s="2" t="n">
        <v>0</v>
      </c>
      <c r="BJ723" s="2" t="n">
        <v>0</v>
      </c>
      <c r="BK723" s="2" t="n">
        <v>0</v>
      </c>
      <c r="BL723" s="2" t="n">
        <v>0</v>
      </c>
      <c r="BM723" s="2" t="n">
        <v>0</v>
      </c>
      <c r="BN723" s="2" t="n">
        <v>0</v>
      </c>
      <c r="BO723" s="2" t="n">
        <v>0</v>
      </c>
      <c r="BP723" s="2" t="n">
        <v>0</v>
      </c>
      <c r="BQ723" s="2" t="n">
        <v>0</v>
      </c>
      <c r="BR723" s="2" t="n">
        <v>0</v>
      </c>
      <c r="BS723" s="2" t="n">
        <v>0</v>
      </c>
      <c r="BT723" s="2" t="n">
        <v>0</v>
      </c>
      <c r="BU723" s="2" t="n">
        <v>0</v>
      </c>
      <c r="BV723" s="2" t="n">
        <v>0</v>
      </c>
      <c r="BW723" s="2" t="n">
        <v>0</v>
      </c>
      <c r="BX723" s="2" t="n">
        <v>0</v>
      </c>
      <c r="BY723" s="2" t="n">
        <v>0</v>
      </c>
      <c r="BZ723" s="2" t="n">
        <v>0</v>
      </c>
      <c r="CA723" s="2" t="n">
        <v>0</v>
      </c>
      <c r="CB723" s="2" t="n">
        <v>0</v>
      </c>
      <c r="CC723" s="2" t="n">
        <v>0</v>
      </c>
      <c r="CD723" s="2" t="n">
        <v>0</v>
      </c>
      <c r="CE723" s="2" t="n">
        <v>0</v>
      </c>
      <c r="CF723" s="2" t="n">
        <v>0</v>
      </c>
      <c r="CG723" s="2" t="n">
        <v>0</v>
      </c>
      <c r="CH723" s="2" t="n">
        <v>0</v>
      </c>
      <c r="CI723" s="2" t="n">
        <v>0</v>
      </c>
      <c r="CJ723" s="2" t="n">
        <v>0</v>
      </c>
      <c r="CK723" s="2" t="n">
        <v>0</v>
      </c>
      <c r="CL723" s="2" t="n">
        <v>1.43</v>
      </c>
      <c r="CM723" s="2" t="n">
        <v>3.23</v>
      </c>
      <c r="CN723" s="2" t="n">
        <v>0</v>
      </c>
      <c r="CO723" s="2" t="n">
        <v>8.77</v>
      </c>
      <c r="CP723" s="2" t="n">
        <v>10.6</v>
      </c>
      <c r="CQ723" s="2" t="n">
        <v>0</v>
      </c>
      <c r="CR723" s="2" t="n">
        <v>16.84</v>
      </c>
      <c r="CS723" s="2" t="n">
        <v>18.69</v>
      </c>
      <c r="CT723" s="2" t="n">
        <v>0</v>
      </c>
      <c r="CU723" s="2" t="n">
        <v>23.62</v>
      </c>
      <c r="CV723" s="2" t="n">
        <v>25.46</v>
      </c>
      <c r="CW723" s="2" t="n">
        <v>0</v>
      </c>
      <c r="CX723" s="2" t="n">
        <v>44.96</v>
      </c>
      <c r="CY723" s="2" t="n">
        <v>46.79</v>
      </c>
      <c r="CZ723" s="2" t="n">
        <v>0</v>
      </c>
      <c r="DA723" s="2" t="n">
        <v>52.76</v>
      </c>
      <c r="DB723" s="2" t="n">
        <v>54.56</v>
      </c>
      <c r="DC723" s="2" t="n">
        <v>0</v>
      </c>
      <c r="DD723" s="2" t="n">
        <v>61.22</v>
      </c>
      <c r="DE723" s="2" t="n">
        <v>63.01</v>
      </c>
      <c r="DF723" s="2" t="n">
        <v>0</v>
      </c>
      <c r="DG723" s="2" t="n">
        <v>68.88</v>
      </c>
      <c r="DH723" s="2" t="n">
        <v>70.79000000000001</v>
      </c>
      <c r="DI723" s="2" t="n">
        <v>0</v>
      </c>
      <c r="DJ723" s="2" t="n">
        <v>76.98999999999999</v>
      </c>
      <c r="DK723" s="2" t="n">
        <v>78.78</v>
      </c>
      <c r="DL723" s="2" t="n">
        <v>0</v>
      </c>
      <c r="DM723" s="2" t="n">
        <v>84.52</v>
      </c>
      <c r="DN723" s="2" t="n">
        <v>86.31</v>
      </c>
      <c r="DO723" s="2" t="n">
        <v>0</v>
      </c>
      <c r="DP723" s="2" t="n">
        <v>92.04000000000001</v>
      </c>
      <c r="DQ723" s="2" t="n">
        <v>93.83</v>
      </c>
      <c r="DR723" s="2" t="n">
        <v>0</v>
      </c>
      <c r="DS723" s="2" t="n">
        <v>95.73</v>
      </c>
      <c r="DT723" s="2" t="n">
        <v>96.77</v>
      </c>
      <c r="DU723" s="2" t="n">
        <v>0</v>
      </c>
      <c r="DV723" s="2" t="n">
        <v>96.77</v>
      </c>
      <c r="DW723" s="2" t="n">
        <v>97.13</v>
      </c>
      <c r="DX723" s="2" t="n">
        <v>0</v>
      </c>
      <c r="DY723" s="2" t="n">
        <v>100</v>
      </c>
      <c r="DZ723" s="2" t="n">
        <v>100</v>
      </c>
      <c r="EA723" s="2" t="n">
        <v>0</v>
      </c>
      <c r="EB723" s="2" t="n">
        <v>100</v>
      </c>
      <c r="EC723" s="2" t="n">
        <v>100</v>
      </c>
      <c r="ED723" s="2" t="n">
        <v>0</v>
      </c>
      <c r="EE723" s="2" t="n">
        <v>100</v>
      </c>
      <c r="EF723" s="2" t="n">
        <v>100</v>
      </c>
      <c r="EG723" s="2" t="n">
        <v>0</v>
      </c>
      <c r="EH723" s="2" t="n">
        <v>100</v>
      </c>
      <c r="EI723" s="2" t="n">
        <v>100</v>
      </c>
      <c r="EJ723" s="2" t="n">
        <v>0</v>
      </c>
      <c r="EK723" s="2" t="n">
        <v>100</v>
      </c>
      <c r="EL723" s="2" t="n">
        <v>100</v>
      </c>
      <c r="EM723" s="2" t="n">
        <v>0</v>
      </c>
      <c r="EN723" s="2" t="n">
        <v>100</v>
      </c>
      <c r="EO723" s="2" t="n">
        <v>100</v>
      </c>
      <c r="EP723" s="2" t="n">
        <v>0</v>
      </c>
      <c r="EQ723" s="2" t="n">
        <v>100</v>
      </c>
      <c r="ER723" s="2" t="n">
        <v>100</v>
      </c>
      <c r="ES723" s="2" t="n">
        <v>0</v>
      </c>
    </row>
    <row r="724">
      <c r="A724" s="2" t="n">
        <v>4</v>
      </c>
      <c r="B724" s="2" t="inlineStr">
        <is>
          <t>30.06.03.02</t>
        </is>
      </c>
      <c r="C724" s="2" t="inlineStr">
        <is>
          <t>Fechamento lateral para bancada de Granito Verde Candeias Escovado</t>
        </is>
      </c>
      <c r="D724" s="2" t="inlineStr">
        <is>
          <t>20/09/2027</t>
        </is>
      </c>
      <c r="E724" s="2" t="inlineStr">
        <is>
          <t>11/10/2028</t>
        </is>
      </c>
      <c r="F724" s="2" t="n">
        <v>3993.6825</v>
      </c>
      <c r="G724" s="2" t="n">
        <v>0</v>
      </c>
      <c r="H724" s="2" t="n">
        <v>3993.6825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0</v>
      </c>
      <c r="AM724" s="2" t="n">
        <v>0</v>
      </c>
      <c r="AN724" s="2" t="n">
        <v>0</v>
      </c>
      <c r="AO724" s="2" t="n">
        <v>0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n">
        <v>0</v>
      </c>
      <c r="AZ724" s="2" t="n">
        <v>0</v>
      </c>
      <c r="BA724" s="2" t="n">
        <v>0</v>
      </c>
      <c r="BB724" s="2" t="n">
        <v>0</v>
      </c>
      <c r="BC724" s="2" t="n">
        <v>0</v>
      </c>
      <c r="BD724" s="2" t="n">
        <v>0</v>
      </c>
      <c r="BE724" s="2" t="n">
        <v>0</v>
      </c>
      <c r="BF724" s="2" t="n">
        <v>0</v>
      </c>
      <c r="BG724" s="2" t="n">
        <v>0</v>
      </c>
      <c r="BH724" s="2" t="n">
        <v>0</v>
      </c>
      <c r="BI724" s="2" t="n">
        <v>0</v>
      </c>
      <c r="BJ724" s="2" t="n">
        <v>0</v>
      </c>
      <c r="BK724" s="2" t="n">
        <v>0</v>
      </c>
      <c r="BL724" s="2" t="n">
        <v>0</v>
      </c>
      <c r="BM724" s="2" t="n">
        <v>0</v>
      </c>
      <c r="BN724" s="2" t="n">
        <v>0</v>
      </c>
      <c r="BO724" s="2" t="n">
        <v>0</v>
      </c>
      <c r="BP724" s="2" t="n">
        <v>0</v>
      </c>
      <c r="BQ724" s="2" t="n">
        <v>0</v>
      </c>
      <c r="BR724" s="2" t="n">
        <v>0</v>
      </c>
      <c r="BS724" s="2" t="n">
        <v>0</v>
      </c>
      <c r="BT724" s="2" t="n">
        <v>0</v>
      </c>
      <c r="BU724" s="2" t="n">
        <v>0</v>
      </c>
      <c r="BV724" s="2" t="n">
        <v>0</v>
      </c>
      <c r="BW724" s="2" t="n">
        <v>0</v>
      </c>
      <c r="BX724" s="2" t="n">
        <v>0</v>
      </c>
      <c r="BY724" s="2" t="n">
        <v>0</v>
      </c>
      <c r="BZ724" s="2" t="n">
        <v>0</v>
      </c>
      <c r="CA724" s="2" t="n">
        <v>0</v>
      </c>
      <c r="CB724" s="2" t="n">
        <v>0</v>
      </c>
      <c r="CC724" s="2" t="n">
        <v>0</v>
      </c>
      <c r="CD724" s="2" t="n">
        <v>0</v>
      </c>
      <c r="CE724" s="2" t="n">
        <v>0</v>
      </c>
      <c r="CF724" s="2" t="n">
        <v>0</v>
      </c>
      <c r="CG724" s="2" t="n">
        <v>0</v>
      </c>
      <c r="CH724" s="2" t="n">
        <v>0</v>
      </c>
      <c r="CI724" s="2" t="n">
        <v>0</v>
      </c>
      <c r="CJ724" s="2" t="n">
        <v>0</v>
      </c>
      <c r="CK724" s="2" t="n">
        <v>0</v>
      </c>
      <c r="CL724" s="2" t="n">
        <v>1.43</v>
      </c>
      <c r="CM724" s="2" t="n">
        <v>3.23</v>
      </c>
      <c r="CN724" s="2" t="n">
        <v>0</v>
      </c>
      <c r="CO724" s="2" t="n">
        <v>8.77</v>
      </c>
      <c r="CP724" s="2" t="n">
        <v>10.6</v>
      </c>
      <c r="CQ724" s="2" t="n">
        <v>0</v>
      </c>
      <c r="CR724" s="2" t="n">
        <v>16.84</v>
      </c>
      <c r="CS724" s="2" t="n">
        <v>18.69</v>
      </c>
      <c r="CT724" s="2" t="n">
        <v>0</v>
      </c>
      <c r="CU724" s="2" t="n">
        <v>23.62</v>
      </c>
      <c r="CV724" s="2" t="n">
        <v>25.46</v>
      </c>
      <c r="CW724" s="2" t="n">
        <v>0</v>
      </c>
      <c r="CX724" s="2" t="n">
        <v>44.96</v>
      </c>
      <c r="CY724" s="2" t="n">
        <v>46.79</v>
      </c>
      <c r="CZ724" s="2" t="n">
        <v>0</v>
      </c>
      <c r="DA724" s="2" t="n">
        <v>52.76</v>
      </c>
      <c r="DB724" s="2" t="n">
        <v>54.56</v>
      </c>
      <c r="DC724" s="2" t="n">
        <v>0</v>
      </c>
      <c r="DD724" s="2" t="n">
        <v>61.22</v>
      </c>
      <c r="DE724" s="2" t="n">
        <v>63.01</v>
      </c>
      <c r="DF724" s="2" t="n">
        <v>0</v>
      </c>
      <c r="DG724" s="2" t="n">
        <v>68.88</v>
      </c>
      <c r="DH724" s="2" t="n">
        <v>70.79000000000001</v>
      </c>
      <c r="DI724" s="2" t="n">
        <v>0</v>
      </c>
      <c r="DJ724" s="2" t="n">
        <v>76.98999999999999</v>
      </c>
      <c r="DK724" s="2" t="n">
        <v>78.78</v>
      </c>
      <c r="DL724" s="2" t="n">
        <v>0</v>
      </c>
      <c r="DM724" s="2" t="n">
        <v>84.52</v>
      </c>
      <c r="DN724" s="2" t="n">
        <v>86.31</v>
      </c>
      <c r="DO724" s="2" t="n">
        <v>0</v>
      </c>
      <c r="DP724" s="2" t="n">
        <v>92.04000000000001</v>
      </c>
      <c r="DQ724" s="2" t="n">
        <v>93.83</v>
      </c>
      <c r="DR724" s="2" t="n">
        <v>0</v>
      </c>
      <c r="DS724" s="2" t="n">
        <v>95.73</v>
      </c>
      <c r="DT724" s="2" t="n">
        <v>96.77</v>
      </c>
      <c r="DU724" s="2" t="n">
        <v>0</v>
      </c>
      <c r="DV724" s="2" t="n">
        <v>96.77</v>
      </c>
      <c r="DW724" s="2" t="n">
        <v>97.13</v>
      </c>
      <c r="DX724" s="2" t="n">
        <v>0</v>
      </c>
      <c r="DY724" s="2" t="n">
        <v>100</v>
      </c>
      <c r="DZ724" s="2" t="n">
        <v>100</v>
      </c>
      <c r="EA724" s="2" t="n">
        <v>0</v>
      </c>
      <c r="EB724" s="2" t="n">
        <v>100</v>
      </c>
      <c r="EC724" s="2" t="n">
        <v>100</v>
      </c>
      <c r="ED724" s="2" t="n">
        <v>0</v>
      </c>
      <c r="EE724" s="2" t="n">
        <v>100</v>
      </c>
      <c r="EF724" s="2" t="n">
        <v>100</v>
      </c>
      <c r="EG724" s="2" t="n">
        <v>0</v>
      </c>
      <c r="EH724" s="2" t="n">
        <v>100</v>
      </c>
      <c r="EI724" s="2" t="n">
        <v>100</v>
      </c>
      <c r="EJ724" s="2" t="n">
        <v>0</v>
      </c>
      <c r="EK724" s="2" t="n">
        <v>100</v>
      </c>
      <c r="EL724" s="2" t="n">
        <v>100</v>
      </c>
      <c r="EM724" s="2" t="n">
        <v>0</v>
      </c>
      <c r="EN724" s="2" t="n">
        <v>100</v>
      </c>
      <c r="EO724" s="2" t="n">
        <v>100</v>
      </c>
      <c r="EP724" s="2" t="n">
        <v>0</v>
      </c>
      <c r="EQ724" s="2" t="n">
        <v>100</v>
      </c>
      <c r="ER724" s="2" t="n">
        <v>100</v>
      </c>
      <c r="ES724" s="2" t="n">
        <v>0</v>
      </c>
    </row>
    <row r="725">
      <c r="A725" s="2" t="n">
        <v>4</v>
      </c>
      <c r="B725" s="2" t="inlineStr">
        <is>
          <t>30.06.03.03</t>
        </is>
      </c>
      <c r="C725" s="2" t="inlineStr">
        <is>
          <t>Testeira de granito Verde Candeias Escovado h=10cm</t>
        </is>
      </c>
      <c r="D725" s="2" t="inlineStr">
        <is>
          <t>20/09/2027</t>
        </is>
      </c>
      <c r="E725" s="2" t="inlineStr">
        <is>
          <t>11/10/2028</t>
        </is>
      </c>
      <c r="F725" s="2" t="n">
        <v>1675.1395592</v>
      </c>
      <c r="G725" s="2" t="n">
        <v>0</v>
      </c>
      <c r="H725" s="2" t="n">
        <v>1675.1395592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>
        <v>0</v>
      </c>
      <c r="AE725" s="2" t="n">
        <v>0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n">
        <v>0</v>
      </c>
      <c r="AK725" s="2" t="n">
        <v>0</v>
      </c>
      <c r="AL725" s="2" t="n">
        <v>0</v>
      </c>
      <c r="AM725" s="2" t="n">
        <v>0</v>
      </c>
      <c r="AN725" s="2" t="n">
        <v>0</v>
      </c>
      <c r="AO725" s="2" t="n">
        <v>0</v>
      </c>
      <c r="AP725" s="2" t="n">
        <v>0</v>
      </c>
      <c r="AQ725" s="2" t="n">
        <v>0</v>
      </c>
      <c r="AR725" s="2" t="n">
        <v>0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n">
        <v>0</v>
      </c>
      <c r="AZ725" s="2" t="n">
        <v>0</v>
      </c>
      <c r="BA725" s="2" t="n">
        <v>0</v>
      </c>
      <c r="BB725" s="2" t="n">
        <v>0</v>
      </c>
      <c r="BC725" s="2" t="n">
        <v>0</v>
      </c>
      <c r="BD725" s="2" t="n">
        <v>0</v>
      </c>
      <c r="BE725" s="2" t="n">
        <v>0</v>
      </c>
      <c r="BF725" s="2" t="n">
        <v>0</v>
      </c>
      <c r="BG725" s="2" t="n">
        <v>0</v>
      </c>
      <c r="BH725" s="2" t="n">
        <v>0</v>
      </c>
      <c r="BI725" s="2" t="n">
        <v>0</v>
      </c>
      <c r="BJ725" s="2" t="n">
        <v>0</v>
      </c>
      <c r="BK725" s="2" t="n">
        <v>0</v>
      </c>
      <c r="BL725" s="2" t="n">
        <v>0</v>
      </c>
      <c r="BM725" s="2" t="n">
        <v>0</v>
      </c>
      <c r="BN725" s="2" t="n">
        <v>0</v>
      </c>
      <c r="BO725" s="2" t="n">
        <v>0</v>
      </c>
      <c r="BP725" s="2" t="n">
        <v>0</v>
      </c>
      <c r="BQ725" s="2" t="n">
        <v>0</v>
      </c>
      <c r="BR725" s="2" t="n">
        <v>0</v>
      </c>
      <c r="BS725" s="2" t="n">
        <v>0</v>
      </c>
      <c r="BT725" s="2" t="n">
        <v>0</v>
      </c>
      <c r="BU725" s="2" t="n">
        <v>0</v>
      </c>
      <c r="BV725" s="2" t="n">
        <v>0</v>
      </c>
      <c r="BW725" s="2" t="n">
        <v>0</v>
      </c>
      <c r="BX725" s="2" t="n">
        <v>0</v>
      </c>
      <c r="BY725" s="2" t="n">
        <v>0</v>
      </c>
      <c r="BZ725" s="2" t="n">
        <v>0</v>
      </c>
      <c r="CA725" s="2" t="n">
        <v>0</v>
      </c>
      <c r="CB725" s="2" t="n">
        <v>0</v>
      </c>
      <c r="CC725" s="2" t="n">
        <v>0</v>
      </c>
      <c r="CD725" s="2" t="n">
        <v>0</v>
      </c>
      <c r="CE725" s="2" t="n">
        <v>0</v>
      </c>
      <c r="CF725" s="2" t="n">
        <v>0</v>
      </c>
      <c r="CG725" s="2" t="n">
        <v>0</v>
      </c>
      <c r="CH725" s="2" t="n">
        <v>0</v>
      </c>
      <c r="CI725" s="2" t="n">
        <v>0</v>
      </c>
      <c r="CJ725" s="2" t="n">
        <v>0</v>
      </c>
      <c r="CK725" s="2" t="n">
        <v>0</v>
      </c>
      <c r="CL725" s="2" t="n">
        <v>1.43</v>
      </c>
      <c r="CM725" s="2" t="n">
        <v>3.23</v>
      </c>
      <c r="CN725" s="2" t="n">
        <v>0</v>
      </c>
      <c r="CO725" s="2" t="n">
        <v>8.77</v>
      </c>
      <c r="CP725" s="2" t="n">
        <v>10.6</v>
      </c>
      <c r="CQ725" s="2" t="n">
        <v>0</v>
      </c>
      <c r="CR725" s="2" t="n">
        <v>16.84</v>
      </c>
      <c r="CS725" s="2" t="n">
        <v>18.69</v>
      </c>
      <c r="CT725" s="2" t="n">
        <v>0</v>
      </c>
      <c r="CU725" s="2" t="n">
        <v>23.62</v>
      </c>
      <c r="CV725" s="2" t="n">
        <v>25.46</v>
      </c>
      <c r="CW725" s="2" t="n">
        <v>0</v>
      </c>
      <c r="CX725" s="2" t="n">
        <v>44.96</v>
      </c>
      <c r="CY725" s="2" t="n">
        <v>46.79</v>
      </c>
      <c r="CZ725" s="2" t="n">
        <v>0</v>
      </c>
      <c r="DA725" s="2" t="n">
        <v>52.76</v>
      </c>
      <c r="DB725" s="2" t="n">
        <v>54.56</v>
      </c>
      <c r="DC725" s="2" t="n">
        <v>0</v>
      </c>
      <c r="DD725" s="2" t="n">
        <v>61.22</v>
      </c>
      <c r="DE725" s="2" t="n">
        <v>63.01</v>
      </c>
      <c r="DF725" s="2" t="n">
        <v>0</v>
      </c>
      <c r="DG725" s="2" t="n">
        <v>68.88</v>
      </c>
      <c r="DH725" s="2" t="n">
        <v>70.79000000000001</v>
      </c>
      <c r="DI725" s="2" t="n">
        <v>0</v>
      </c>
      <c r="DJ725" s="2" t="n">
        <v>76.98999999999999</v>
      </c>
      <c r="DK725" s="2" t="n">
        <v>78.78</v>
      </c>
      <c r="DL725" s="2" t="n">
        <v>0</v>
      </c>
      <c r="DM725" s="2" t="n">
        <v>84.52</v>
      </c>
      <c r="DN725" s="2" t="n">
        <v>86.31</v>
      </c>
      <c r="DO725" s="2" t="n">
        <v>0</v>
      </c>
      <c r="DP725" s="2" t="n">
        <v>92.04000000000001</v>
      </c>
      <c r="DQ725" s="2" t="n">
        <v>93.83</v>
      </c>
      <c r="DR725" s="2" t="n">
        <v>0</v>
      </c>
      <c r="DS725" s="2" t="n">
        <v>95.73</v>
      </c>
      <c r="DT725" s="2" t="n">
        <v>96.77</v>
      </c>
      <c r="DU725" s="2" t="n">
        <v>0</v>
      </c>
      <c r="DV725" s="2" t="n">
        <v>96.77</v>
      </c>
      <c r="DW725" s="2" t="n">
        <v>97.13</v>
      </c>
      <c r="DX725" s="2" t="n">
        <v>0</v>
      </c>
      <c r="DY725" s="2" t="n">
        <v>100</v>
      </c>
      <c r="DZ725" s="2" t="n">
        <v>100</v>
      </c>
      <c r="EA725" s="2" t="n">
        <v>0</v>
      </c>
      <c r="EB725" s="2" t="n">
        <v>100</v>
      </c>
      <c r="EC725" s="2" t="n">
        <v>100</v>
      </c>
      <c r="ED725" s="2" t="n">
        <v>0</v>
      </c>
      <c r="EE725" s="2" t="n">
        <v>100</v>
      </c>
      <c r="EF725" s="2" t="n">
        <v>100</v>
      </c>
      <c r="EG725" s="2" t="n">
        <v>0</v>
      </c>
      <c r="EH725" s="2" t="n">
        <v>100</v>
      </c>
      <c r="EI725" s="2" t="n">
        <v>100</v>
      </c>
      <c r="EJ725" s="2" t="n">
        <v>0</v>
      </c>
      <c r="EK725" s="2" t="n">
        <v>100</v>
      </c>
      <c r="EL725" s="2" t="n">
        <v>100</v>
      </c>
      <c r="EM725" s="2" t="n">
        <v>0</v>
      </c>
      <c r="EN725" s="2" t="n">
        <v>100</v>
      </c>
      <c r="EO725" s="2" t="n">
        <v>100</v>
      </c>
      <c r="EP725" s="2" t="n">
        <v>0</v>
      </c>
      <c r="EQ725" s="2" t="n">
        <v>100</v>
      </c>
      <c r="ER725" s="2" t="n">
        <v>100</v>
      </c>
      <c r="ES725" s="2" t="n">
        <v>0</v>
      </c>
    </row>
    <row r="726">
      <c r="A726" s="2" t="n">
        <v>4</v>
      </c>
      <c r="B726" s="2" t="inlineStr">
        <is>
          <t>30.06.03.04</t>
        </is>
      </c>
      <c r="C726" s="2" t="inlineStr">
        <is>
          <t>Rodabanca de granito Verde Candeias Escovado h=10cm</t>
        </is>
      </c>
      <c r="D726" s="2" t="inlineStr">
        <is>
          <t>20/09/2027</t>
        </is>
      </c>
      <c r="E726" s="2" t="inlineStr">
        <is>
          <t>11/10/2028</t>
        </is>
      </c>
      <c r="F726" s="2" t="n">
        <v>1401.3613993</v>
      </c>
      <c r="G726" s="2" t="n">
        <v>0</v>
      </c>
      <c r="H726" s="2" t="n">
        <v>1401.3613993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n">
        <v>0</v>
      </c>
      <c r="AK726" s="2" t="n">
        <v>0</v>
      </c>
      <c r="AL726" s="2" t="n">
        <v>0</v>
      </c>
      <c r="AM726" s="2" t="n">
        <v>0</v>
      </c>
      <c r="AN726" s="2" t="n">
        <v>0</v>
      </c>
      <c r="AO726" s="2" t="n">
        <v>0</v>
      </c>
      <c r="AP726" s="2" t="n">
        <v>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n">
        <v>0</v>
      </c>
      <c r="AZ726" s="2" t="n">
        <v>0</v>
      </c>
      <c r="BA726" s="2" t="n">
        <v>0</v>
      </c>
      <c r="BB726" s="2" t="n">
        <v>0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n">
        <v>0</v>
      </c>
      <c r="BI726" s="2" t="n">
        <v>0</v>
      </c>
      <c r="BJ726" s="2" t="n">
        <v>0</v>
      </c>
      <c r="BK726" s="2" t="n">
        <v>0</v>
      </c>
      <c r="BL726" s="2" t="n">
        <v>0</v>
      </c>
      <c r="BM726" s="2" t="n">
        <v>0</v>
      </c>
      <c r="BN726" s="2" t="n">
        <v>0</v>
      </c>
      <c r="BO726" s="2" t="n">
        <v>0</v>
      </c>
      <c r="BP726" s="2" t="n">
        <v>0</v>
      </c>
      <c r="BQ726" s="2" t="n">
        <v>0</v>
      </c>
      <c r="BR726" s="2" t="n">
        <v>0</v>
      </c>
      <c r="BS726" s="2" t="n">
        <v>0</v>
      </c>
      <c r="BT726" s="2" t="n">
        <v>0</v>
      </c>
      <c r="BU726" s="2" t="n">
        <v>0</v>
      </c>
      <c r="BV726" s="2" t="n">
        <v>0</v>
      </c>
      <c r="BW726" s="2" t="n">
        <v>0</v>
      </c>
      <c r="BX726" s="2" t="n">
        <v>0</v>
      </c>
      <c r="BY726" s="2" t="n">
        <v>0</v>
      </c>
      <c r="BZ726" s="2" t="n">
        <v>0</v>
      </c>
      <c r="CA726" s="2" t="n">
        <v>0</v>
      </c>
      <c r="CB726" s="2" t="n">
        <v>0</v>
      </c>
      <c r="CC726" s="2" t="n">
        <v>0</v>
      </c>
      <c r="CD726" s="2" t="n">
        <v>0</v>
      </c>
      <c r="CE726" s="2" t="n">
        <v>0</v>
      </c>
      <c r="CF726" s="2" t="n">
        <v>0</v>
      </c>
      <c r="CG726" s="2" t="n">
        <v>0</v>
      </c>
      <c r="CH726" s="2" t="n">
        <v>0</v>
      </c>
      <c r="CI726" s="2" t="n">
        <v>0</v>
      </c>
      <c r="CJ726" s="2" t="n">
        <v>0</v>
      </c>
      <c r="CK726" s="2" t="n">
        <v>0</v>
      </c>
      <c r="CL726" s="2" t="n">
        <v>1.43</v>
      </c>
      <c r="CM726" s="2" t="n">
        <v>3.23</v>
      </c>
      <c r="CN726" s="2" t="n">
        <v>0</v>
      </c>
      <c r="CO726" s="2" t="n">
        <v>8.77</v>
      </c>
      <c r="CP726" s="2" t="n">
        <v>10.6</v>
      </c>
      <c r="CQ726" s="2" t="n">
        <v>0</v>
      </c>
      <c r="CR726" s="2" t="n">
        <v>16.84</v>
      </c>
      <c r="CS726" s="2" t="n">
        <v>18.69</v>
      </c>
      <c r="CT726" s="2" t="n">
        <v>0</v>
      </c>
      <c r="CU726" s="2" t="n">
        <v>23.62</v>
      </c>
      <c r="CV726" s="2" t="n">
        <v>25.46</v>
      </c>
      <c r="CW726" s="2" t="n">
        <v>0</v>
      </c>
      <c r="CX726" s="2" t="n">
        <v>44.96</v>
      </c>
      <c r="CY726" s="2" t="n">
        <v>46.79</v>
      </c>
      <c r="CZ726" s="2" t="n">
        <v>0</v>
      </c>
      <c r="DA726" s="2" t="n">
        <v>52.76</v>
      </c>
      <c r="DB726" s="2" t="n">
        <v>54.56</v>
      </c>
      <c r="DC726" s="2" t="n">
        <v>0</v>
      </c>
      <c r="DD726" s="2" t="n">
        <v>61.22</v>
      </c>
      <c r="DE726" s="2" t="n">
        <v>63.01</v>
      </c>
      <c r="DF726" s="2" t="n">
        <v>0</v>
      </c>
      <c r="DG726" s="2" t="n">
        <v>68.88</v>
      </c>
      <c r="DH726" s="2" t="n">
        <v>70.79000000000001</v>
      </c>
      <c r="DI726" s="2" t="n">
        <v>0</v>
      </c>
      <c r="DJ726" s="2" t="n">
        <v>76.98999999999999</v>
      </c>
      <c r="DK726" s="2" t="n">
        <v>78.78</v>
      </c>
      <c r="DL726" s="2" t="n">
        <v>0</v>
      </c>
      <c r="DM726" s="2" t="n">
        <v>84.52</v>
      </c>
      <c r="DN726" s="2" t="n">
        <v>86.31</v>
      </c>
      <c r="DO726" s="2" t="n">
        <v>0</v>
      </c>
      <c r="DP726" s="2" t="n">
        <v>92.04000000000001</v>
      </c>
      <c r="DQ726" s="2" t="n">
        <v>93.83</v>
      </c>
      <c r="DR726" s="2" t="n">
        <v>0</v>
      </c>
      <c r="DS726" s="2" t="n">
        <v>95.73</v>
      </c>
      <c r="DT726" s="2" t="n">
        <v>96.77</v>
      </c>
      <c r="DU726" s="2" t="n">
        <v>0</v>
      </c>
      <c r="DV726" s="2" t="n">
        <v>96.77</v>
      </c>
      <c r="DW726" s="2" t="n">
        <v>97.13</v>
      </c>
      <c r="DX726" s="2" t="n">
        <v>0</v>
      </c>
      <c r="DY726" s="2" t="n">
        <v>100</v>
      </c>
      <c r="DZ726" s="2" t="n">
        <v>100</v>
      </c>
      <c r="EA726" s="2" t="n">
        <v>0</v>
      </c>
      <c r="EB726" s="2" t="n">
        <v>100</v>
      </c>
      <c r="EC726" s="2" t="n">
        <v>100</v>
      </c>
      <c r="ED726" s="2" t="n">
        <v>0</v>
      </c>
      <c r="EE726" s="2" t="n">
        <v>100</v>
      </c>
      <c r="EF726" s="2" t="n">
        <v>100</v>
      </c>
      <c r="EG726" s="2" t="n">
        <v>0</v>
      </c>
      <c r="EH726" s="2" t="n">
        <v>100</v>
      </c>
      <c r="EI726" s="2" t="n">
        <v>100</v>
      </c>
      <c r="EJ726" s="2" t="n">
        <v>0</v>
      </c>
      <c r="EK726" s="2" t="n">
        <v>100</v>
      </c>
      <c r="EL726" s="2" t="n">
        <v>100</v>
      </c>
      <c r="EM726" s="2" t="n">
        <v>0</v>
      </c>
      <c r="EN726" s="2" t="n">
        <v>100</v>
      </c>
      <c r="EO726" s="2" t="n">
        <v>100</v>
      </c>
      <c r="EP726" s="2" t="n">
        <v>0</v>
      </c>
      <c r="EQ726" s="2" t="n">
        <v>100</v>
      </c>
      <c r="ER726" s="2" t="n">
        <v>100</v>
      </c>
      <c r="ES726" s="2" t="n">
        <v>0</v>
      </c>
    </row>
    <row r="727">
      <c r="A727" s="2" t="n">
        <v>4</v>
      </c>
      <c r="B727" s="2" t="inlineStr">
        <is>
          <t>30.06.03.05</t>
        </is>
      </c>
      <c r="C727" s="2" t="inlineStr">
        <is>
          <t>Furo e colagem de bojo</t>
        </is>
      </c>
      <c r="D727" s="2" t="inlineStr">
        <is>
          <t>20/09/2027</t>
        </is>
      </c>
      <c r="E727" s="2" t="inlineStr">
        <is>
          <t>11/10/2028</t>
        </is>
      </c>
      <c r="F727" s="2" t="n">
        <v>90</v>
      </c>
      <c r="G727" s="2" t="n">
        <v>0</v>
      </c>
      <c r="H727" s="2" t="n">
        <v>90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0</v>
      </c>
      <c r="AD727" s="2" t="n">
        <v>0</v>
      </c>
      <c r="AE727" s="2" t="n">
        <v>0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0</v>
      </c>
      <c r="AL727" s="2" t="n">
        <v>0</v>
      </c>
      <c r="AM727" s="2" t="n">
        <v>0</v>
      </c>
      <c r="AN727" s="2" t="n">
        <v>0</v>
      </c>
      <c r="AO727" s="2" t="n">
        <v>0</v>
      </c>
      <c r="AP727" s="2" t="n">
        <v>0</v>
      </c>
      <c r="AQ727" s="2" t="n">
        <v>0</v>
      </c>
      <c r="AR727" s="2" t="n">
        <v>0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n">
        <v>0</v>
      </c>
      <c r="AZ727" s="2" t="n">
        <v>0</v>
      </c>
      <c r="BA727" s="2" t="n">
        <v>0</v>
      </c>
      <c r="BB727" s="2" t="n">
        <v>0</v>
      </c>
      <c r="BC727" s="2" t="n">
        <v>0</v>
      </c>
      <c r="BD727" s="2" t="n">
        <v>0</v>
      </c>
      <c r="BE727" s="2" t="n">
        <v>0</v>
      </c>
      <c r="BF727" s="2" t="n">
        <v>0</v>
      </c>
      <c r="BG727" s="2" t="n">
        <v>0</v>
      </c>
      <c r="BH727" s="2" t="n">
        <v>0</v>
      </c>
      <c r="BI727" s="2" t="n">
        <v>0</v>
      </c>
      <c r="BJ727" s="2" t="n">
        <v>0</v>
      </c>
      <c r="BK727" s="2" t="n">
        <v>0</v>
      </c>
      <c r="BL727" s="2" t="n">
        <v>0</v>
      </c>
      <c r="BM727" s="2" t="n">
        <v>0</v>
      </c>
      <c r="BN727" s="2" t="n">
        <v>0</v>
      </c>
      <c r="BO727" s="2" t="n">
        <v>0</v>
      </c>
      <c r="BP727" s="2" t="n">
        <v>0</v>
      </c>
      <c r="BQ727" s="2" t="n">
        <v>0</v>
      </c>
      <c r="BR727" s="2" t="n">
        <v>0</v>
      </c>
      <c r="BS727" s="2" t="n">
        <v>0</v>
      </c>
      <c r="BT727" s="2" t="n">
        <v>0</v>
      </c>
      <c r="BU727" s="2" t="n">
        <v>0</v>
      </c>
      <c r="BV727" s="2" t="n">
        <v>0</v>
      </c>
      <c r="BW727" s="2" t="n">
        <v>0</v>
      </c>
      <c r="BX727" s="2" t="n">
        <v>0</v>
      </c>
      <c r="BY727" s="2" t="n">
        <v>0</v>
      </c>
      <c r="BZ727" s="2" t="n">
        <v>0</v>
      </c>
      <c r="CA727" s="2" t="n">
        <v>0</v>
      </c>
      <c r="CB727" s="2" t="n">
        <v>0</v>
      </c>
      <c r="CC727" s="2" t="n">
        <v>0</v>
      </c>
      <c r="CD727" s="2" t="n">
        <v>0</v>
      </c>
      <c r="CE727" s="2" t="n">
        <v>0</v>
      </c>
      <c r="CF727" s="2" t="n">
        <v>0</v>
      </c>
      <c r="CG727" s="2" t="n">
        <v>0</v>
      </c>
      <c r="CH727" s="2" t="n">
        <v>0</v>
      </c>
      <c r="CI727" s="2" t="n">
        <v>0</v>
      </c>
      <c r="CJ727" s="2" t="n">
        <v>0</v>
      </c>
      <c r="CK727" s="2" t="n">
        <v>0</v>
      </c>
      <c r="CL727" s="2" t="n">
        <v>1.43</v>
      </c>
      <c r="CM727" s="2" t="n">
        <v>3.23</v>
      </c>
      <c r="CN727" s="2" t="n">
        <v>0</v>
      </c>
      <c r="CO727" s="2" t="n">
        <v>8.77</v>
      </c>
      <c r="CP727" s="2" t="n">
        <v>10.6</v>
      </c>
      <c r="CQ727" s="2" t="n">
        <v>0</v>
      </c>
      <c r="CR727" s="2" t="n">
        <v>16.84</v>
      </c>
      <c r="CS727" s="2" t="n">
        <v>18.69</v>
      </c>
      <c r="CT727" s="2" t="n">
        <v>0</v>
      </c>
      <c r="CU727" s="2" t="n">
        <v>23.62</v>
      </c>
      <c r="CV727" s="2" t="n">
        <v>25.46</v>
      </c>
      <c r="CW727" s="2" t="n">
        <v>0</v>
      </c>
      <c r="CX727" s="2" t="n">
        <v>44.96</v>
      </c>
      <c r="CY727" s="2" t="n">
        <v>46.79</v>
      </c>
      <c r="CZ727" s="2" t="n">
        <v>0</v>
      </c>
      <c r="DA727" s="2" t="n">
        <v>52.76</v>
      </c>
      <c r="DB727" s="2" t="n">
        <v>54.56</v>
      </c>
      <c r="DC727" s="2" t="n">
        <v>0</v>
      </c>
      <c r="DD727" s="2" t="n">
        <v>61.22</v>
      </c>
      <c r="DE727" s="2" t="n">
        <v>63.01</v>
      </c>
      <c r="DF727" s="2" t="n">
        <v>0</v>
      </c>
      <c r="DG727" s="2" t="n">
        <v>68.88</v>
      </c>
      <c r="DH727" s="2" t="n">
        <v>70.79000000000001</v>
      </c>
      <c r="DI727" s="2" t="n">
        <v>0</v>
      </c>
      <c r="DJ727" s="2" t="n">
        <v>76.98999999999999</v>
      </c>
      <c r="DK727" s="2" t="n">
        <v>78.78</v>
      </c>
      <c r="DL727" s="2" t="n">
        <v>0</v>
      </c>
      <c r="DM727" s="2" t="n">
        <v>84.52</v>
      </c>
      <c r="DN727" s="2" t="n">
        <v>86.31</v>
      </c>
      <c r="DO727" s="2" t="n">
        <v>0</v>
      </c>
      <c r="DP727" s="2" t="n">
        <v>92.04000000000001</v>
      </c>
      <c r="DQ727" s="2" t="n">
        <v>93.83</v>
      </c>
      <c r="DR727" s="2" t="n">
        <v>0</v>
      </c>
      <c r="DS727" s="2" t="n">
        <v>95.73</v>
      </c>
      <c r="DT727" s="2" t="n">
        <v>96.77</v>
      </c>
      <c r="DU727" s="2" t="n">
        <v>0</v>
      </c>
      <c r="DV727" s="2" t="n">
        <v>96.77</v>
      </c>
      <c r="DW727" s="2" t="n">
        <v>97.13</v>
      </c>
      <c r="DX727" s="2" t="n">
        <v>0</v>
      </c>
      <c r="DY727" s="2" t="n">
        <v>100</v>
      </c>
      <c r="DZ727" s="2" t="n">
        <v>100</v>
      </c>
      <c r="EA727" s="2" t="n">
        <v>0</v>
      </c>
      <c r="EB727" s="2" t="n">
        <v>100</v>
      </c>
      <c r="EC727" s="2" t="n">
        <v>100</v>
      </c>
      <c r="ED727" s="2" t="n">
        <v>0</v>
      </c>
      <c r="EE727" s="2" t="n">
        <v>100</v>
      </c>
      <c r="EF727" s="2" t="n">
        <v>100</v>
      </c>
      <c r="EG727" s="2" t="n">
        <v>0</v>
      </c>
      <c r="EH727" s="2" t="n">
        <v>100</v>
      </c>
      <c r="EI727" s="2" t="n">
        <v>100</v>
      </c>
      <c r="EJ727" s="2" t="n">
        <v>0</v>
      </c>
      <c r="EK727" s="2" t="n">
        <v>100</v>
      </c>
      <c r="EL727" s="2" t="n">
        <v>100</v>
      </c>
      <c r="EM727" s="2" t="n">
        <v>0</v>
      </c>
      <c r="EN727" s="2" t="n">
        <v>100</v>
      </c>
      <c r="EO727" s="2" t="n">
        <v>100</v>
      </c>
      <c r="EP727" s="2" t="n">
        <v>0</v>
      </c>
      <c r="EQ727" s="2" t="n">
        <v>100</v>
      </c>
      <c r="ER727" s="2" t="n">
        <v>100</v>
      </c>
      <c r="ES727" s="2" t="n">
        <v>0</v>
      </c>
    </row>
    <row r="728">
      <c r="A728" s="2" t="n">
        <v>4</v>
      </c>
      <c r="B728" s="2" t="inlineStr">
        <is>
          <t>30.06.03.06</t>
        </is>
      </c>
      <c r="C728" s="2" t="inlineStr">
        <is>
          <t>Mãos francesas para bancadas</t>
        </is>
      </c>
      <c r="D728" s="2" t="inlineStr">
        <is>
          <t>20/09/2027</t>
        </is>
      </c>
      <c r="E728" s="2" t="inlineStr">
        <is>
          <t>11/10/2028</t>
        </is>
      </c>
      <c r="F728" s="2" t="n">
        <v>250</v>
      </c>
      <c r="G728" s="2" t="n">
        <v>0</v>
      </c>
      <c r="H728" s="2" t="n">
        <v>250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0</v>
      </c>
      <c r="AM728" s="2" t="n">
        <v>0</v>
      </c>
      <c r="AN728" s="2" t="n">
        <v>0</v>
      </c>
      <c r="AO728" s="2" t="n">
        <v>0</v>
      </c>
      <c r="AP728" s="2" t="n">
        <v>0</v>
      </c>
      <c r="AQ728" s="2" t="n">
        <v>0</v>
      </c>
      <c r="AR728" s="2" t="n">
        <v>0</v>
      </c>
      <c r="AS728" s="2" t="n">
        <v>0</v>
      </c>
      <c r="AT728" s="2" t="n">
        <v>0</v>
      </c>
      <c r="AU728" s="2" t="n">
        <v>0</v>
      </c>
      <c r="AV728" s="2" t="n">
        <v>0</v>
      </c>
      <c r="AW728" s="2" t="n">
        <v>0</v>
      </c>
      <c r="AX728" s="2" t="n">
        <v>0</v>
      </c>
      <c r="AY728" s="2" t="n">
        <v>0</v>
      </c>
      <c r="AZ728" s="2" t="n">
        <v>0</v>
      </c>
      <c r="BA728" s="2" t="n">
        <v>0</v>
      </c>
      <c r="BB728" s="2" t="n">
        <v>0</v>
      </c>
      <c r="BC728" s="2" t="n">
        <v>0</v>
      </c>
      <c r="BD728" s="2" t="n">
        <v>0</v>
      </c>
      <c r="BE728" s="2" t="n">
        <v>0</v>
      </c>
      <c r="BF728" s="2" t="n">
        <v>0</v>
      </c>
      <c r="BG728" s="2" t="n">
        <v>0</v>
      </c>
      <c r="BH728" s="2" t="n">
        <v>0</v>
      </c>
      <c r="BI728" s="2" t="n">
        <v>0</v>
      </c>
      <c r="BJ728" s="2" t="n">
        <v>0</v>
      </c>
      <c r="BK728" s="2" t="n">
        <v>0</v>
      </c>
      <c r="BL728" s="2" t="n">
        <v>0</v>
      </c>
      <c r="BM728" s="2" t="n">
        <v>0</v>
      </c>
      <c r="BN728" s="2" t="n">
        <v>0</v>
      </c>
      <c r="BO728" s="2" t="n">
        <v>0</v>
      </c>
      <c r="BP728" s="2" t="n">
        <v>0</v>
      </c>
      <c r="BQ728" s="2" t="n">
        <v>0</v>
      </c>
      <c r="BR728" s="2" t="n">
        <v>0</v>
      </c>
      <c r="BS728" s="2" t="n">
        <v>0</v>
      </c>
      <c r="BT728" s="2" t="n">
        <v>0</v>
      </c>
      <c r="BU728" s="2" t="n">
        <v>0</v>
      </c>
      <c r="BV728" s="2" t="n">
        <v>0</v>
      </c>
      <c r="BW728" s="2" t="n">
        <v>0</v>
      </c>
      <c r="BX728" s="2" t="n">
        <v>0</v>
      </c>
      <c r="BY728" s="2" t="n">
        <v>0</v>
      </c>
      <c r="BZ728" s="2" t="n">
        <v>0</v>
      </c>
      <c r="CA728" s="2" t="n">
        <v>0</v>
      </c>
      <c r="CB728" s="2" t="n">
        <v>0</v>
      </c>
      <c r="CC728" s="2" t="n">
        <v>0</v>
      </c>
      <c r="CD728" s="2" t="n">
        <v>0</v>
      </c>
      <c r="CE728" s="2" t="n">
        <v>0</v>
      </c>
      <c r="CF728" s="2" t="n">
        <v>0</v>
      </c>
      <c r="CG728" s="2" t="n">
        <v>0</v>
      </c>
      <c r="CH728" s="2" t="n">
        <v>0</v>
      </c>
      <c r="CI728" s="2" t="n">
        <v>0</v>
      </c>
      <c r="CJ728" s="2" t="n">
        <v>0</v>
      </c>
      <c r="CK728" s="2" t="n">
        <v>0</v>
      </c>
      <c r="CL728" s="2" t="n">
        <v>1.43</v>
      </c>
      <c r="CM728" s="2" t="n">
        <v>3.23</v>
      </c>
      <c r="CN728" s="2" t="n">
        <v>0</v>
      </c>
      <c r="CO728" s="2" t="n">
        <v>8.77</v>
      </c>
      <c r="CP728" s="2" t="n">
        <v>10.6</v>
      </c>
      <c r="CQ728" s="2" t="n">
        <v>0</v>
      </c>
      <c r="CR728" s="2" t="n">
        <v>16.84</v>
      </c>
      <c r="CS728" s="2" t="n">
        <v>18.69</v>
      </c>
      <c r="CT728" s="2" t="n">
        <v>0</v>
      </c>
      <c r="CU728" s="2" t="n">
        <v>23.62</v>
      </c>
      <c r="CV728" s="2" t="n">
        <v>25.46</v>
      </c>
      <c r="CW728" s="2" t="n">
        <v>0</v>
      </c>
      <c r="CX728" s="2" t="n">
        <v>44.96</v>
      </c>
      <c r="CY728" s="2" t="n">
        <v>46.79</v>
      </c>
      <c r="CZ728" s="2" t="n">
        <v>0</v>
      </c>
      <c r="DA728" s="2" t="n">
        <v>52.76</v>
      </c>
      <c r="DB728" s="2" t="n">
        <v>54.56</v>
      </c>
      <c r="DC728" s="2" t="n">
        <v>0</v>
      </c>
      <c r="DD728" s="2" t="n">
        <v>61.22</v>
      </c>
      <c r="DE728" s="2" t="n">
        <v>63.01</v>
      </c>
      <c r="DF728" s="2" t="n">
        <v>0</v>
      </c>
      <c r="DG728" s="2" t="n">
        <v>68.88</v>
      </c>
      <c r="DH728" s="2" t="n">
        <v>70.79000000000001</v>
      </c>
      <c r="DI728" s="2" t="n">
        <v>0</v>
      </c>
      <c r="DJ728" s="2" t="n">
        <v>76.98999999999999</v>
      </c>
      <c r="DK728" s="2" t="n">
        <v>78.78</v>
      </c>
      <c r="DL728" s="2" t="n">
        <v>0</v>
      </c>
      <c r="DM728" s="2" t="n">
        <v>84.52</v>
      </c>
      <c r="DN728" s="2" t="n">
        <v>86.31</v>
      </c>
      <c r="DO728" s="2" t="n">
        <v>0</v>
      </c>
      <c r="DP728" s="2" t="n">
        <v>92.04000000000001</v>
      </c>
      <c r="DQ728" s="2" t="n">
        <v>93.83</v>
      </c>
      <c r="DR728" s="2" t="n">
        <v>0</v>
      </c>
      <c r="DS728" s="2" t="n">
        <v>95.73</v>
      </c>
      <c r="DT728" s="2" t="n">
        <v>96.77</v>
      </c>
      <c r="DU728" s="2" t="n">
        <v>0</v>
      </c>
      <c r="DV728" s="2" t="n">
        <v>96.77</v>
      </c>
      <c r="DW728" s="2" t="n">
        <v>97.13</v>
      </c>
      <c r="DX728" s="2" t="n">
        <v>0</v>
      </c>
      <c r="DY728" s="2" t="n">
        <v>100</v>
      </c>
      <c r="DZ728" s="2" t="n">
        <v>100</v>
      </c>
      <c r="EA728" s="2" t="n">
        <v>0</v>
      </c>
      <c r="EB728" s="2" t="n">
        <v>100</v>
      </c>
      <c r="EC728" s="2" t="n">
        <v>100</v>
      </c>
      <c r="ED728" s="2" t="n">
        <v>0</v>
      </c>
      <c r="EE728" s="2" t="n">
        <v>100</v>
      </c>
      <c r="EF728" s="2" t="n">
        <v>100</v>
      </c>
      <c r="EG728" s="2" t="n">
        <v>0</v>
      </c>
      <c r="EH728" s="2" t="n">
        <v>100</v>
      </c>
      <c r="EI728" s="2" t="n">
        <v>100</v>
      </c>
      <c r="EJ728" s="2" t="n">
        <v>0</v>
      </c>
      <c r="EK728" s="2" t="n">
        <v>100</v>
      </c>
      <c r="EL728" s="2" t="n">
        <v>100</v>
      </c>
      <c r="EM728" s="2" t="n">
        <v>0</v>
      </c>
      <c r="EN728" s="2" t="n">
        <v>100</v>
      </c>
      <c r="EO728" s="2" t="n">
        <v>100</v>
      </c>
      <c r="EP728" s="2" t="n">
        <v>0</v>
      </c>
      <c r="EQ728" s="2" t="n">
        <v>100</v>
      </c>
      <c r="ER728" s="2" t="n">
        <v>100</v>
      </c>
      <c r="ES728" s="2" t="n">
        <v>0</v>
      </c>
    </row>
    <row r="729">
      <c r="A729" s="2" t="n">
        <v>4</v>
      </c>
      <c r="B729" s="2" t="inlineStr">
        <is>
          <t>30.06.03.07</t>
        </is>
      </c>
      <c r="C729" s="2" t="inlineStr">
        <is>
          <t>Proteção de bancadas contra manuseio de obra</t>
        </is>
      </c>
      <c r="D729" s="2" t="inlineStr">
        <is>
          <t>20/09/2027</t>
        </is>
      </c>
      <c r="E729" s="2" t="inlineStr">
        <is>
          <t>11/10/2028</t>
        </is>
      </c>
      <c r="F729" s="2" t="n">
        <v>233.3168354194132</v>
      </c>
      <c r="G729" s="2" t="n">
        <v>0</v>
      </c>
      <c r="H729" s="2" t="n">
        <v>233.3168354194132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0</v>
      </c>
      <c r="AM729" s="2" t="n">
        <v>0</v>
      </c>
      <c r="AN729" s="2" t="n">
        <v>0</v>
      </c>
      <c r="AO729" s="2" t="n">
        <v>0</v>
      </c>
      <c r="AP729" s="2" t="n">
        <v>0</v>
      </c>
      <c r="AQ729" s="2" t="n">
        <v>0</v>
      </c>
      <c r="AR729" s="2" t="n">
        <v>0</v>
      </c>
      <c r="AS729" s="2" t="n">
        <v>0</v>
      </c>
      <c r="AT729" s="2" t="n">
        <v>0</v>
      </c>
      <c r="AU729" s="2" t="n">
        <v>0</v>
      </c>
      <c r="AV729" s="2" t="n">
        <v>0</v>
      </c>
      <c r="AW729" s="2" t="n">
        <v>0</v>
      </c>
      <c r="AX729" s="2" t="n">
        <v>0</v>
      </c>
      <c r="AY729" s="2" t="n">
        <v>0</v>
      </c>
      <c r="AZ729" s="2" t="n">
        <v>0</v>
      </c>
      <c r="BA729" s="2" t="n">
        <v>0</v>
      </c>
      <c r="BB729" s="2" t="n">
        <v>0</v>
      </c>
      <c r="BC729" s="2" t="n">
        <v>0</v>
      </c>
      <c r="BD729" s="2" t="n">
        <v>0</v>
      </c>
      <c r="BE729" s="2" t="n">
        <v>0</v>
      </c>
      <c r="BF729" s="2" t="n">
        <v>0</v>
      </c>
      <c r="BG729" s="2" t="n">
        <v>0</v>
      </c>
      <c r="BH729" s="2" t="n">
        <v>0</v>
      </c>
      <c r="BI729" s="2" t="n">
        <v>0</v>
      </c>
      <c r="BJ729" s="2" t="n">
        <v>0</v>
      </c>
      <c r="BK729" s="2" t="n">
        <v>0</v>
      </c>
      <c r="BL729" s="2" t="n">
        <v>0</v>
      </c>
      <c r="BM729" s="2" t="n">
        <v>0</v>
      </c>
      <c r="BN729" s="2" t="n">
        <v>0</v>
      </c>
      <c r="BO729" s="2" t="n">
        <v>0</v>
      </c>
      <c r="BP729" s="2" t="n">
        <v>0</v>
      </c>
      <c r="BQ729" s="2" t="n">
        <v>0</v>
      </c>
      <c r="BR729" s="2" t="n">
        <v>0</v>
      </c>
      <c r="BS729" s="2" t="n">
        <v>0</v>
      </c>
      <c r="BT729" s="2" t="n">
        <v>0</v>
      </c>
      <c r="BU729" s="2" t="n">
        <v>0</v>
      </c>
      <c r="BV729" s="2" t="n">
        <v>0</v>
      </c>
      <c r="BW729" s="2" t="n">
        <v>0</v>
      </c>
      <c r="BX729" s="2" t="n">
        <v>0</v>
      </c>
      <c r="BY729" s="2" t="n">
        <v>0</v>
      </c>
      <c r="BZ729" s="2" t="n">
        <v>0</v>
      </c>
      <c r="CA729" s="2" t="n">
        <v>0</v>
      </c>
      <c r="CB729" s="2" t="n">
        <v>0</v>
      </c>
      <c r="CC729" s="2" t="n">
        <v>0</v>
      </c>
      <c r="CD729" s="2" t="n">
        <v>0</v>
      </c>
      <c r="CE729" s="2" t="n">
        <v>0</v>
      </c>
      <c r="CF729" s="2" t="n">
        <v>0</v>
      </c>
      <c r="CG729" s="2" t="n">
        <v>0</v>
      </c>
      <c r="CH729" s="2" t="n">
        <v>0</v>
      </c>
      <c r="CI729" s="2" t="n">
        <v>0</v>
      </c>
      <c r="CJ729" s="2" t="n">
        <v>0</v>
      </c>
      <c r="CK729" s="2" t="n">
        <v>0</v>
      </c>
      <c r="CL729" s="2" t="n">
        <v>1.43</v>
      </c>
      <c r="CM729" s="2" t="n">
        <v>3.23</v>
      </c>
      <c r="CN729" s="2" t="n">
        <v>0</v>
      </c>
      <c r="CO729" s="2" t="n">
        <v>8.77</v>
      </c>
      <c r="CP729" s="2" t="n">
        <v>10.6</v>
      </c>
      <c r="CQ729" s="2" t="n">
        <v>0</v>
      </c>
      <c r="CR729" s="2" t="n">
        <v>16.84</v>
      </c>
      <c r="CS729" s="2" t="n">
        <v>18.69</v>
      </c>
      <c r="CT729" s="2" t="n">
        <v>0</v>
      </c>
      <c r="CU729" s="2" t="n">
        <v>23.62</v>
      </c>
      <c r="CV729" s="2" t="n">
        <v>25.46</v>
      </c>
      <c r="CW729" s="2" t="n">
        <v>0</v>
      </c>
      <c r="CX729" s="2" t="n">
        <v>44.96</v>
      </c>
      <c r="CY729" s="2" t="n">
        <v>46.79</v>
      </c>
      <c r="CZ729" s="2" t="n">
        <v>0</v>
      </c>
      <c r="DA729" s="2" t="n">
        <v>52.76</v>
      </c>
      <c r="DB729" s="2" t="n">
        <v>54.56</v>
      </c>
      <c r="DC729" s="2" t="n">
        <v>0</v>
      </c>
      <c r="DD729" s="2" t="n">
        <v>61.22</v>
      </c>
      <c r="DE729" s="2" t="n">
        <v>63.01</v>
      </c>
      <c r="DF729" s="2" t="n">
        <v>0</v>
      </c>
      <c r="DG729" s="2" t="n">
        <v>68.88</v>
      </c>
      <c r="DH729" s="2" t="n">
        <v>70.79000000000001</v>
      </c>
      <c r="DI729" s="2" t="n">
        <v>0</v>
      </c>
      <c r="DJ729" s="2" t="n">
        <v>76.98999999999999</v>
      </c>
      <c r="DK729" s="2" t="n">
        <v>78.78</v>
      </c>
      <c r="DL729" s="2" t="n">
        <v>0</v>
      </c>
      <c r="DM729" s="2" t="n">
        <v>84.52</v>
      </c>
      <c r="DN729" s="2" t="n">
        <v>86.31</v>
      </c>
      <c r="DO729" s="2" t="n">
        <v>0</v>
      </c>
      <c r="DP729" s="2" t="n">
        <v>92.04000000000001</v>
      </c>
      <c r="DQ729" s="2" t="n">
        <v>93.83</v>
      </c>
      <c r="DR729" s="2" t="n">
        <v>0</v>
      </c>
      <c r="DS729" s="2" t="n">
        <v>95.73</v>
      </c>
      <c r="DT729" s="2" t="n">
        <v>96.77</v>
      </c>
      <c r="DU729" s="2" t="n">
        <v>0</v>
      </c>
      <c r="DV729" s="2" t="n">
        <v>96.77</v>
      </c>
      <c r="DW729" s="2" t="n">
        <v>97.13</v>
      </c>
      <c r="DX729" s="2" t="n">
        <v>0</v>
      </c>
      <c r="DY729" s="2" t="n">
        <v>100</v>
      </c>
      <c r="DZ729" s="2" t="n">
        <v>100</v>
      </c>
      <c r="EA729" s="2" t="n">
        <v>0</v>
      </c>
      <c r="EB729" s="2" t="n">
        <v>100</v>
      </c>
      <c r="EC729" s="2" t="n">
        <v>100</v>
      </c>
      <c r="ED729" s="2" t="n">
        <v>0</v>
      </c>
      <c r="EE729" s="2" t="n">
        <v>100</v>
      </c>
      <c r="EF729" s="2" t="n">
        <v>100</v>
      </c>
      <c r="EG729" s="2" t="n">
        <v>0</v>
      </c>
      <c r="EH729" s="2" t="n">
        <v>100</v>
      </c>
      <c r="EI729" s="2" t="n">
        <v>100</v>
      </c>
      <c r="EJ729" s="2" t="n">
        <v>0</v>
      </c>
      <c r="EK729" s="2" t="n">
        <v>100</v>
      </c>
      <c r="EL729" s="2" t="n">
        <v>100</v>
      </c>
      <c r="EM729" s="2" t="n">
        <v>0</v>
      </c>
      <c r="EN729" s="2" t="n">
        <v>100</v>
      </c>
      <c r="EO729" s="2" t="n">
        <v>100</v>
      </c>
      <c r="EP729" s="2" t="n">
        <v>0</v>
      </c>
      <c r="EQ729" s="2" t="n">
        <v>100</v>
      </c>
      <c r="ER729" s="2" t="n">
        <v>100</v>
      </c>
      <c r="ES729" s="2" t="n">
        <v>0</v>
      </c>
    </row>
    <row r="730">
      <c r="A730" s="2" t="n">
        <v>3</v>
      </c>
      <c r="B730" s="2" t="inlineStr">
        <is>
          <t>30.06.04</t>
        </is>
      </c>
      <c r="C730" s="2" t="inlineStr">
        <is>
          <t>Bancadas de granito White Ornamental</t>
        </is>
      </c>
      <c r="D730" s="2" t="inlineStr">
        <is>
          <t>20/09/2027</t>
        </is>
      </c>
      <c r="E730" s="2" t="inlineStr">
        <is>
          <t>11/10/2028</t>
        </is>
      </c>
      <c r="F730" s="2" t="n">
        <v>29951.47401056578</v>
      </c>
      <c r="G730" s="2" t="n">
        <v>0</v>
      </c>
      <c r="H730" s="2" t="n">
        <v>29951.47401056578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0</v>
      </c>
      <c r="AM730" s="2" t="n">
        <v>0</v>
      </c>
      <c r="AN730" s="2" t="n">
        <v>0</v>
      </c>
      <c r="AO730" s="2" t="n">
        <v>0</v>
      </c>
      <c r="AP730" s="2" t="n">
        <v>0</v>
      </c>
      <c r="AQ730" s="2" t="n">
        <v>0</v>
      </c>
      <c r="AR730" s="2" t="n">
        <v>0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n">
        <v>0</v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0</v>
      </c>
      <c r="BG730" s="2" t="n">
        <v>0</v>
      </c>
      <c r="BH730" s="2" t="n">
        <v>0</v>
      </c>
      <c r="BI730" s="2" t="n">
        <v>0</v>
      </c>
      <c r="BJ730" s="2" t="n">
        <v>0</v>
      </c>
      <c r="BK730" s="2" t="n">
        <v>0</v>
      </c>
      <c r="BL730" s="2" t="n">
        <v>0</v>
      </c>
      <c r="BM730" s="2" t="n">
        <v>0</v>
      </c>
      <c r="BN730" s="2" t="n">
        <v>0</v>
      </c>
      <c r="BO730" s="2" t="n">
        <v>0</v>
      </c>
      <c r="BP730" s="2" t="n">
        <v>0</v>
      </c>
      <c r="BQ730" s="2" t="n">
        <v>0</v>
      </c>
      <c r="BR730" s="2" t="n">
        <v>0</v>
      </c>
      <c r="BS730" s="2" t="n">
        <v>0</v>
      </c>
      <c r="BT730" s="2" t="n">
        <v>0</v>
      </c>
      <c r="BU730" s="2" t="n">
        <v>0</v>
      </c>
      <c r="BV730" s="2" t="n">
        <v>0</v>
      </c>
      <c r="BW730" s="2" t="n">
        <v>0</v>
      </c>
      <c r="BX730" s="2" t="n">
        <v>0</v>
      </c>
      <c r="BY730" s="2" t="n">
        <v>0</v>
      </c>
      <c r="BZ730" s="2" t="n">
        <v>0</v>
      </c>
      <c r="CA730" s="2" t="n">
        <v>0</v>
      </c>
      <c r="CB730" s="2" t="n">
        <v>0</v>
      </c>
      <c r="CC730" s="2" t="n">
        <v>0</v>
      </c>
      <c r="CD730" s="2" t="n">
        <v>0</v>
      </c>
      <c r="CE730" s="2" t="n">
        <v>0</v>
      </c>
      <c r="CF730" s="2" t="n">
        <v>0</v>
      </c>
      <c r="CG730" s="2" t="n">
        <v>0</v>
      </c>
      <c r="CH730" s="2" t="n">
        <v>0</v>
      </c>
      <c r="CI730" s="2" t="n">
        <v>0</v>
      </c>
      <c r="CJ730" s="2" t="n">
        <v>0</v>
      </c>
      <c r="CK730" s="2" t="n">
        <v>0</v>
      </c>
      <c r="CL730" s="2" t="n">
        <v>1.43</v>
      </c>
      <c r="CM730" s="2" t="n">
        <v>3.23</v>
      </c>
      <c r="CN730" s="2" t="n">
        <v>0</v>
      </c>
      <c r="CO730" s="2" t="n">
        <v>8.77</v>
      </c>
      <c r="CP730" s="2" t="n">
        <v>10.6</v>
      </c>
      <c r="CQ730" s="2" t="n">
        <v>0</v>
      </c>
      <c r="CR730" s="2" t="n">
        <v>16.84</v>
      </c>
      <c r="CS730" s="2" t="n">
        <v>18.69</v>
      </c>
      <c r="CT730" s="2" t="n">
        <v>0</v>
      </c>
      <c r="CU730" s="2" t="n">
        <v>23.62</v>
      </c>
      <c r="CV730" s="2" t="n">
        <v>25.46</v>
      </c>
      <c r="CW730" s="2" t="n">
        <v>0</v>
      </c>
      <c r="CX730" s="2" t="n">
        <v>44.96</v>
      </c>
      <c r="CY730" s="2" t="n">
        <v>46.79</v>
      </c>
      <c r="CZ730" s="2" t="n">
        <v>0</v>
      </c>
      <c r="DA730" s="2" t="n">
        <v>52.76</v>
      </c>
      <c r="DB730" s="2" t="n">
        <v>54.56</v>
      </c>
      <c r="DC730" s="2" t="n">
        <v>0</v>
      </c>
      <c r="DD730" s="2" t="n">
        <v>61.22</v>
      </c>
      <c r="DE730" s="2" t="n">
        <v>63.01</v>
      </c>
      <c r="DF730" s="2" t="n">
        <v>0</v>
      </c>
      <c r="DG730" s="2" t="n">
        <v>68.88</v>
      </c>
      <c r="DH730" s="2" t="n">
        <v>70.79000000000001</v>
      </c>
      <c r="DI730" s="2" t="n">
        <v>0</v>
      </c>
      <c r="DJ730" s="2" t="n">
        <v>76.98999999999999</v>
      </c>
      <c r="DK730" s="2" t="n">
        <v>78.78</v>
      </c>
      <c r="DL730" s="2" t="n">
        <v>0</v>
      </c>
      <c r="DM730" s="2" t="n">
        <v>84.52</v>
      </c>
      <c r="DN730" s="2" t="n">
        <v>86.31</v>
      </c>
      <c r="DO730" s="2" t="n">
        <v>0</v>
      </c>
      <c r="DP730" s="2" t="n">
        <v>92.04000000000001</v>
      </c>
      <c r="DQ730" s="2" t="n">
        <v>93.83</v>
      </c>
      <c r="DR730" s="2" t="n">
        <v>0</v>
      </c>
      <c r="DS730" s="2" t="n">
        <v>95.73</v>
      </c>
      <c r="DT730" s="2" t="n">
        <v>96.77</v>
      </c>
      <c r="DU730" s="2" t="n">
        <v>0</v>
      </c>
      <c r="DV730" s="2" t="n">
        <v>96.77</v>
      </c>
      <c r="DW730" s="2" t="n">
        <v>97.13</v>
      </c>
      <c r="DX730" s="2" t="n">
        <v>0</v>
      </c>
      <c r="DY730" s="2" t="n">
        <v>100</v>
      </c>
      <c r="DZ730" s="2" t="n">
        <v>100</v>
      </c>
      <c r="EA730" s="2" t="n">
        <v>0</v>
      </c>
      <c r="EB730" s="2" t="n">
        <v>100</v>
      </c>
      <c r="EC730" s="2" t="n">
        <v>100</v>
      </c>
      <c r="ED730" s="2" t="n">
        <v>0</v>
      </c>
      <c r="EE730" s="2" t="n">
        <v>100</v>
      </c>
      <c r="EF730" s="2" t="n">
        <v>100</v>
      </c>
      <c r="EG730" s="2" t="n">
        <v>0</v>
      </c>
      <c r="EH730" s="2" t="n">
        <v>100</v>
      </c>
      <c r="EI730" s="2" t="n">
        <v>100</v>
      </c>
      <c r="EJ730" s="2" t="n">
        <v>0</v>
      </c>
      <c r="EK730" s="2" t="n">
        <v>100</v>
      </c>
      <c r="EL730" s="2" t="n">
        <v>100</v>
      </c>
      <c r="EM730" s="2" t="n">
        <v>0</v>
      </c>
      <c r="EN730" s="2" t="n">
        <v>100</v>
      </c>
      <c r="EO730" s="2" t="n">
        <v>100</v>
      </c>
      <c r="EP730" s="2" t="n">
        <v>0</v>
      </c>
      <c r="EQ730" s="2" t="n">
        <v>100</v>
      </c>
      <c r="ER730" s="2" t="n">
        <v>100</v>
      </c>
      <c r="ES730" s="2" t="n">
        <v>0</v>
      </c>
    </row>
    <row r="731">
      <c r="A731" s="2" t="n">
        <v>4</v>
      </c>
      <c r="B731" s="2" t="inlineStr">
        <is>
          <t>30.06.04.01</t>
        </is>
      </c>
      <c r="C731" s="2" t="inlineStr">
        <is>
          <t>Bancos em Granito White Ornamental levigado</t>
        </is>
      </c>
      <c r="D731" s="2" t="inlineStr">
        <is>
          <t>20/09/2027</t>
        </is>
      </c>
      <c r="E731" s="2" t="inlineStr">
        <is>
          <t>11/10/2028</t>
        </is>
      </c>
      <c r="F731" s="2" t="n">
        <v>12244.808042</v>
      </c>
      <c r="G731" s="2" t="n">
        <v>0</v>
      </c>
      <c r="H731" s="2" t="n">
        <v>12244.808042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0</v>
      </c>
      <c r="AM731" s="2" t="n">
        <v>0</v>
      </c>
      <c r="AN731" s="2" t="n">
        <v>0</v>
      </c>
      <c r="AO731" s="2" t="n">
        <v>0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n">
        <v>0</v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0</v>
      </c>
      <c r="BF731" s="2" t="n">
        <v>0</v>
      </c>
      <c r="BG731" s="2" t="n">
        <v>0</v>
      </c>
      <c r="BH731" s="2" t="n">
        <v>0</v>
      </c>
      <c r="BI731" s="2" t="n">
        <v>0</v>
      </c>
      <c r="BJ731" s="2" t="n">
        <v>0</v>
      </c>
      <c r="BK731" s="2" t="n">
        <v>0</v>
      </c>
      <c r="BL731" s="2" t="n">
        <v>0</v>
      </c>
      <c r="BM731" s="2" t="n">
        <v>0</v>
      </c>
      <c r="BN731" s="2" t="n">
        <v>0</v>
      </c>
      <c r="BO731" s="2" t="n">
        <v>0</v>
      </c>
      <c r="BP731" s="2" t="n">
        <v>0</v>
      </c>
      <c r="BQ731" s="2" t="n">
        <v>0</v>
      </c>
      <c r="BR731" s="2" t="n">
        <v>0</v>
      </c>
      <c r="BS731" s="2" t="n">
        <v>0</v>
      </c>
      <c r="BT731" s="2" t="n">
        <v>0</v>
      </c>
      <c r="BU731" s="2" t="n">
        <v>0</v>
      </c>
      <c r="BV731" s="2" t="n">
        <v>0</v>
      </c>
      <c r="BW731" s="2" t="n">
        <v>0</v>
      </c>
      <c r="BX731" s="2" t="n">
        <v>0</v>
      </c>
      <c r="BY731" s="2" t="n">
        <v>0</v>
      </c>
      <c r="BZ731" s="2" t="n">
        <v>0</v>
      </c>
      <c r="CA731" s="2" t="n">
        <v>0</v>
      </c>
      <c r="CB731" s="2" t="n">
        <v>0</v>
      </c>
      <c r="CC731" s="2" t="n">
        <v>0</v>
      </c>
      <c r="CD731" s="2" t="n">
        <v>0</v>
      </c>
      <c r="CE731" s="2" t="n">
        <v>0</v>
      </c>
      <c r="CF731" s="2" t="n">
        <v>0</v>
      </c>
      <c r="CG731" s="2" t="n">
        <v>0</v>
      </c>
      <c r="CH731" s="2" t="n">
        <v>0</v>
      </c>
      <c r="CI731" s="2" t="n">
        <v>0</v>
      </c>
      <c r="CJ731" s="2" t="n">
        <v>0</v>
      </c>
      <c r="CK731" s="2" t="n">
        <v>0</v>
      </c>
      <c r="CL731" s="2" t="n">
        <v>1.43</v>
      </c>
      <c r="CM731" s="2" t="n">
        <v>3.23</v>
      </c>
      <c r="CN731" s="2" t="n">
        <v>0</v>
      </c>
      <c r="CO731" s="2" t="n">
        <v>8.77</v>
      </c>
      <c r="CP731" s="2" t="n">
        <v>10.6</v>
      </c>
      <c r="CQ731" s="2" t="n">
        <v>0</v>
      </c>
      <c r="CR731" s="2" t="n">
        <v>16.84</v>
      </c>
      <c r="CS731" s="2" t="n">
        <v>18.69</v>
      </c>
      <c r="CT731" s="2" t="n">
        <v>0</v>
      </c>
      <c r="CU731" s="2" t="n">
        <v>23.62</v>
      </c>
      <c r="CV731" s="2" t="n">
        <v>25.46</v>
      </c>
      <c r="CW731" s="2" t="n">
        <v>0</v>
      </c>
      <c r="CX731" s="2" t="n">
        <v>44.96</v>
      </c>
      <c r="CY731" s="2" t="n">
        <v>46.79</v>
      </c>
      <c r="CZ731" s="2" t="n">
        <v>0</v>
      </c>
      <c r="DA731" s="2" t="n">
        <v>52.76</v>
      </c>
      <c r="DB731" s="2" t="n">
        <v>54.56</v>
      </c>
      <c r="DC731" s="2" t="n">
        <v>0</v>
      </c>
      <c r="DD731" s="2" t="n">
        <v>61.22</v>
      </c>
      <c r="DE731" s="2" t="n">
        <v>63.01</v>
      </c>
      <c r="DF731" s="2" t="n">
        <v>0</v>
      </c>
      <c r="DG731" s="2" t="n">
        <v>68.88</v>
      </c>
      <c r="DH731" s="2" t="n">
        <v>70.79000000000001</v>
      </c>
      <c r="DI731" s="2" t="n">
        <v>0</v>
      </c>
      <c r="DJ731" s="2" t="n">
        <v>76.98999999999999</v>
      </c>
      <c r="DK731" s="2" t="n">
        <v>78.78</v>
      </c>
      <c r="DL731" s="2" t="n">
        <v>0</v>
      </c>
      <c r="DM731" s="2" t="n">
        <v>84.52</v>
      </c>
      <c r="DN731" s="2" t="n">
        <v>86.31</v>
      </c>
      <c r="DO731" s="2" t="n">
        <v>0</v>
      </c>
      <c r="DP731" s="2" t="n">
        <v>92.04000000000001</v>
      </c>
      <c r="DQ731" s="2" t="n">
        <v>93.83</v>
      </c>
      <c r="DR731" s="2" t="n">
        <v>0</v>
      </c>
      <c r="DS731" s="2" t="n">
        <v>95.73</v>
      </c>
      <c r="DT731" s="2" t="n">
        <v>96.77</v>
      </c>
      <c r="DU731" s="2" t="n">
        <v>0</v>
      </c>
      <c r="DV731" s="2" t="n">
        <v>96.77</v>
      </c>
      <c r="DW731" s="2" t="n">
        <v>97.13</v>
      </c>
      <c r="DX731" s="2" t="n">
        <v>0</v>
      </c>
      <c r="DY731" s="2" t="n">
        <v>100</v>
      </c>
      <c r="DZ731" s="2" t="n">
        <v>100</v>
      </c>
      <c r="EA731" s="2" t="n">
        <v>0</v>
      </c>
      <c r="EB731" s="2" t="n">
        <v>100</v>
      </c>
      <c r="EC731" s="2" t="n">
        <v>100</v>
      </c>
      <c r="ED731" s="2" t="n">
        <v>0</v>
      </c>
      <c r="EE731" s="2" t="n">
        <v>100</v>
      </c>
      <c r="EF731" s="2" t="n">
        <v>100</v>
      </c>
      <c r="EG731" s="2" t="n">
        <v>0</v>
      </c>
      <c r="EH731" s="2" t="n">
        <v>100</v>
      </c>
      <c r="EI731" s="2" t="n">
        <v>100</v>
      </c>
      <c r="EJ731" s="2" t="n">
        <v>0</v>
      </c>
      <c r="EK731" s="2" t="n">
        <v>100</v>
      </c>
      <c r="EL731" s="2" t="n">
        <v>100</v>
      </c>
      <c r="EM731" s="2" t="n">
        <v>0</v>
      </c>
      <c r="EN731" s="2" t="n">
        <v>100</v>
      </c>
      <c r="EO731" s="2" t="n">
        <v>100</v>
      </c>
      <c r="EP731" s="2" t="n">
        <v>0</v>
      </c>
      <c r="EQ731" s="2" t="n">
        <v>100</v>
      </c>
      <c r="ER731" s="2" t="n">
        <v>100</v>
      </c>
      <c r="ES731" s="2" t="n">
        <v>0</v>
      </c>
    </row>
    <row r="732">
      <c r="A732" s="2" t="n">
        <v>4</v>
      </c>
      <c r="B732" s="2" t="inlineStr">
        <is>
          <t>30.06.04.02</t>
        </is>
      </c>
      <c r="C732" s="2" t="inlineStr">
        <is>
          <t>Fechamento lateral para bancos em Granito White Ornamental levigado</t>
        </is>
      </c>
      <c r="D732" s="2" t="inlineStr">
        <is>
          <t>20/09/2027</t>
        </is>
      </c>
      <c r="E732" s="2" t="inlineStr">
        <is>
          <t>11/10/2028</t>
        </is>
      </c>
      <c r="F732" s="2" t="n">
        <v>13070.6838333</v>
      </c>
      <c r="G732" s="2" t="n">
        <v>0</v>
      </c>
      <c r="H732" s="2" t="n">
        <v>13070.6838333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0</v>
      </c>
      <c r="AM732" s="2" t="n">
        <v>0</v>
      </c>
      <c r="AN732" s="2" t="n">
        <v>0</v>
      </c>
      <c r="AO732" s="2" t="n">
        <v>0</v>
      </c>
      <c r="AP732" s="2" t="n">
        <v>0</v>
      </c>
      <c r="AQ732" s="2" t="n">
        <v>0</v>
      </c>
      <c r="AR732" s="2" t="n">
        <v>0</v>
      </c>
      <c r="AS732" s="2" t="n">
        <v>0</v>
      </c>
      <c r="AT732" s="2" t="n">
        <v>0</v>
      </c>
      <c r="AU732" s="2" t="n">
        <v>0</v>
      </c>
      <c r="AV732" s="2" t="n">
        <v>0</v>
      </c>
      <c r="AW732" s="2" t="n">
        <v>0</v>
      </c>
      <c r="AX732" s="2" t="n">
        <v>0</v>
      </c>
      <c r="AY732" s="2" t="n">
        <v>0</v>
      </c>
      <c r="AZ732" s="2" t="n">
        <v>0</v>
      </c>
      <c r="BA732" s="2" t="n">
        <v>0</v>
      </c>
      <c r="BB732" s="2" t="n">
        <v>0</v>
      </c>
      <c r="BC732" s="2" t="n">
        <v>0</v>
      </c>
      <c r="BD732" s="2" t="n">
        <v>0</v>
      </c>
      <c r="BE732" s="2" t="n">
        <v>0</v>
      </c>
      <c r="BF732" s="2" t="n">
        <v>0</v>
      </c>
      <c r="BG732" s="2" t="n">
        <v>0</v>
      </c>
      <c r="BH732" s="2" t="n">
        <v>0</v>
      </c>
      <c r="BI732" s="2" t="n">
        <v>0</v>
      </c>
      <c r="BJ732" s="2" t="n">
        <v>0</v>
      </c>
      <c r="BK732" s="2" t="n">
        <v>0</v>
      </c>
      <c r="BL732" s="2" t="n">
        <v>0</v>
      </c>
      <c r="BM732" s="2" t="n">
        <v>0</v>
      </c>
      <c r="BN732" s="2" t="n">
        <v>0</v>
      </c>
      <c r="BO732" s="2" t="n">
        <v>0</v>
      </c>
      <c r="BP732" s="2" t="n">
        <v>0</v>
      </c>
      <c r="BQ732" s="2" t="n">
        <v>0</v>
      </c>
      <c r="BR732" s="2" t="n">
        <v>0</v>
      </c>
      <c r="BS732" s="2" t="n">
        <v>0</v>
      </c>
      <c r="BT732" s="2" t="n">
        <v>0</v>
      </c>
      <c r="BU732" s="2" t="n">
        <v>0</v>
      </c>
      <c r="BV732" s="2" t="n">
        <v>0</v>
      </c>
      <c r="BW732" s="2" t="n">
        <v>0</v>
      </c>
      <c r="BX732" s="2" t="n">
        <v>0</v>
      </c>
      <c r="BY732" s="2" t="n">
        <v>0</v>
      </c>
      <c r="BZ732" s="2" t="n">
        <v>0</v>
      </c>
      <c r="CA732" s="2" t="n">
        <v>0</v>
      </c>
      <c r="CB732" s="2" t="n">
        <v>0</v>
      </c>
      <c r="CC732" s="2" t="n">
        <v>0</v>
      </c>
      <c r="CD732" s="2" t="n">
        <v>0</v>
      </c>
      <c r="CE732" s="2" t="n">
        <v>0</v>
      </c>
      <c r="CF732" s="2" t="n">
        <v>0</v>
      </c>
      <c r="CG732" s="2" t="n">
        <v>0</v>
      </c>
      <c r="CH732" s="2" t="n">
        <v>0</v>
      </c>
      <c r="CI732" s="2" t="n">
        <v>0</v>
      </c>
      <c r="CJ732" s="2" t="n">
        <v>0</v>
      </c>
      <c r="CK732" s="2" t="n">
        <v>0</v>
      </c>
      <c r="CL732" s="2" t="n">
        <v>1.43</v>
      </c>
      <c r="CM732" s="2" t="n">
        <v>3.23</v>
      </c>
      <c r="CN732" s="2" t="n">
        <v>0</v>
      </c>
      <c r="CO732" s="2" t="n">
        <v>8.77</v>
      </c>
      <c r="CP732" s="2" t="n">
        <v>10.6</v>
      </c>
      <c r="CQ732" s="2" t="n">
        <v>0</v>
      </c>
      <c r="CR732" s="2" t="n">
        <v>16.84</v>
      </c>
      <c r="CS732" s="2" t="n">
        <v>18.69</v>
      </c>
      <c r="CT732" s="2" t="n">
        <v>0</v>
      </c>
      <c r="CU732" s="2" t="n">
        <v>23.62</v>
      </c>
      <c r="CV732" s="2" t="n">
        <v>25.46</v>
      </c>
      <c r="CW732" s="2" t="n">
        <v>0</v>
      </c>
      <c r="CX732" s="2" t="n">
        <v>44.96</v>
      </c>
      <c r="CY732" s="2" t="n">
        <v>46.79</v>
      </c>
      <c r="CZ732" s="2" t="n">
        <v>0</v>
      </c>
      <c r="DA732" s="2" t="n">
        <v>52.76</v>
      </c>
      <c r="DB732" s="2" t="n">
        <v>54.56</v>
      </c>
      <c r="DC732" s="2" t="n">
        <v>0</v>
      </c>
      <c r="DD732" s="2" t="n">
        <v>61.22</v>
      </c>
      <c r="DE732" s="2" t="n">
        <v>63.01</v>
      </c>
      <c r="DF732" s="2" t="n">
        <v>0</v>
      </c>
      <c r="DG732" s="2" t="n">
        <v>68.88</v>
      </c>
      <c r="DH732" s="2" t="n">
        <v>70.79000000000001</v>
      </c>
      <c r="DI732" s="2" t="n">
        <v>0</v>
      </c>
      <c r="DJ732" s="2" t="n">
        <v>76.98999999999999</v>
      </c>
      <c r="DK732" s="2" t="n">
        <v>78.78</v>
      </c>
      <c r="DL732" s="2" t="n">
        <v>0</v>
      </c>
      <c r="DM732" s="2" t="n">
        <v>84.52</v>
      </c>
      <c r="DN732" s="2" t="n">
        <v>86.31</v>
      </c>
      <c r="DO732" s="2" t="n">
        <v>0</v>
      </c>
      <c r="DP732" s="2" t="n">
        <v>92.04000000000001</v>
      </c>
      <c r="DQ732" s="2" t="n">
        <v>93.83</v>
      </c>
      <c r="DR732" s="2" t="n">
        <v>0</v>
      </c>
      <c r="DS732" s="2" t="n">
        <v>95.73</v>
      </c>
      <c r="DT732" s="2" t="n">
        <v>96.77</v>
      </c>
      <c r="DU732" s="2" t="n">
        <v>0</v>
      </c>
      <c r="DV732" s="2" t="n">
        <v>96.77</v>
      </c>
      <c r="DW732" s="2" t="n">
        <v>97.13</v>
      </c>
      <c r="DX732" s="2" t="n">
        <v>0</v>
      </c>
      <c r="DY732" s="2" t="n">
        <v>100</v>
      </c>
      <c r="DZ732" s="2" t="n">
        <v>100</v>
      </c>
      <c r="EA732" s="2" t="n">
        <v>0</v>
      </c>
      <c r="EB732" s="2" t="n">
        <v>100</v>
      </c>
      <c r="EC732" s="2" t="n">
        <v>100</v>
      </c>
      <c r="ED732" s="2" t="n">
        <v>0</v>
      </c>
      <c r="EE732" s="2" t="n">
        <v>100</v>
      </c>
      <c r="EF732" s="2" t="n">
        <v>100</v>
      </c>
      <c r="EG732" s="2" t="n">
        <v>0</v>
      </c>
      <c r="EH732" s="2" t="n">
        <v>100</v>
      </c>
      <c r="EI732" s="2" t="n">
        <v>100</v>
      </c>
      <c r="EJ732" s="2" t="n">
        <v>0</v>
      </c>
      <c r="EK732" s="2" t="n">
        <v>100</v>
      </c>
      <c r="EL732" s="2" t="n">
        <v>100</v>
      </c>
      <c r="EM732" s="2" t="n">
        <v>0</v>
      </c>
      <c r="EN732" s="2" t="n">
        <v>100</v>
      </c>
      <c r="EO732" s="2" t="n">
        <v>100</v>
      </c>
      <c r="EP732" s="2" t="n">
        <v>0</v>
      </c>
      <c r="EQ732" s="2" t="n">
        <v>100</v>
      </c>
      <c r="ER732" s="2" t="n">
        <v>100</v>
      </c>
      <c r="ES732" s="2" t="n">
        <v>0</v>
      </c>
    </row>
    <row r="733">
      <c r="A733" s="2" t="n">
        <v>4</v>
      </c>
      <c r="B733" s="2" t="inlineStr">
        <is>
          <t>30.06.04.03</t>
        </is>
      </c>
      <c r="C733" s="2" t="inlineStr">
        <is>
          <t>Testeira de granito white ornamental h=10cm</t>
        </is>
      </c>
      <c r="D733" s="2" t="inlineStr">
        <is>
          <t>20/09/2027</t>
        </is>
      </c>
      <c r="E733" s="2" t="inlineStr">
        <is>
          <t>11/10/2028</t>
        </is>
      </c>
      <c r="F733" s="2" t="n">
        <v>4132.047944999999</v>
      </c>
      <c r="G733" s="2" t="n">
        <v>0</v>
      </c>
      <c r="H733" s="2" t="n">
        <v>4132.047944999999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0</v>
      </c>
      <c r="AM733" s="2" t="n">
        <v>0</v>
      </c>
      <c r="AN733" s="2" t="n">
        <v>0</v>
      </c>
      <c r="AO733" s="2" t="n">
        <v>0</v>
      </c>
      <c r="AP733" s="2" t="n">
        <v>0</v>
      </c>
      <c r="AQ733" s="2" t="n">
        <v>0</v>
      </c>
      <c r="AR733" s="2" t="n">
        <v>0</v>
      </c>
      <c r="AS733" s="2" t="n">
        <v>0</v>
      </c>
      <c r="AT733" s="2" t="n">
        <v>0</v>
      </c>
      <c r="AU733" s="2" t="n">
        <v>0</v>
      </c>
      <c r="AV733" s="2" t="n">
        <v>0</v>
      </c>
      <c r="AW733" s="2" t="n">
        <v>0</v>
      </c>
      <c r="AX733" s="2" t="n">
        <v>0</v>
      </c>
      <c r="AY733" s="2" t="n">
        <v>0</v>
      </c>
      <c r="AZ733" s="2" t="n">
        <v>0</v>
      </c>
      <c r="BA733" s="2" t="n">
        <v>0</v>
      </c>
      <c r="BB733" s="2" t="n">
        <v>0</v>
      </c>
      <c r="BC733" s="2" t="n">
        <v>0</v>
      </c>
      <c r="BD733" s="2" t="n">
        <v>0</v>
      </c>
      <c r="BE733" s="2" t="n">
        <v>0</v>
      </c>
      <c r="BF733" s="2" t="n">
        <v>0</v>
      </c>
      <c r="BG733" s="2" t="n">
        <v>0</v>
      </c>
      <c r="BH733" s="2" t="n">
        <v>0</v>
      </c>
      <c r="BI733" s="2" t="n">
        <v>0</v>
      </c>
      <c r="BJ733" s="2" t="n">
        <v>0</v>
      </c>
      <c r="BK733" s="2" t="n">
        <v>0</v>
      </c>
      <c r="BL733" s="2" t="n">
        <v>0</v>
      </c>
      <c r="BM733" s="2" t="n">
        <v>0</v>
      </c>
      <c r="BN733" s="2" t="n">
        <v>0</v>
      </c>
      <c r="BO733" s="2" t="n">
        <v>0</v>
      </c>
      <c r="BP733" s="2" t="n">
        <v>0</v>
      </c>
      <c r="BQ733" s="2" t="n">
        <v>0</v>
      </c>
      <c r="BR733" s="2" t="n">
        <v>0</v>
      </c>
      <c r="BS733" s="2" t="n">
        <v>0</v>
      </c>
      <c r="BT733" s="2" t="n">
        <v>0</v>
      </c>
      <c r="BU733" s="2" t="n">
        <v>0</v>
      </c>
      <c r="BV733" s="2" t="n">
        <v>0</v>
      </c>
      <c r="BW733" s="2" t="n">
        <v>0</v>
      </c>
      <c r="BX733" s="2" t="n">
        <v>0</v>
      </c>
      <c r="BY733" s="2" t="n">
        <v>0</v>
      </c>
      <c r="BZ733" s="2" t="n">
        <v>0</v>
      </c>
      <c r="CA733" s="2" t="n">
        <v>0</v>
      </c>
      <c r="CB733" s="2" t="n">
        <v>0</v>
      </c>
      <c r="CC733" s="2" t="n">
        <v>0</v>
      </c>
      <c r="CD733" s="2" t="n">
        <v>0</v>
      </c>
      <c r="CE733" s="2" t="n">
        <v>0</v>
      </c>
      <c r="CF733" s="2" t="n">
        <v>0</v>
      </c>
      <c r="CG733" s="2" t="n">
        <v>0</v>
      </c>
      <c r="CH733" s="2" t="n">
        <v>0</v>
      </c>
      <c r="CI733" s="2" t="n">
        <v>0</v>
      </c>
      <c r="CJ733" s="2" t="n">
        <v>0</v>
      </c>
      <c r="CK733" s="2" t="n">
        <v>0</v>
      </c>
      <c r="CL733" s="2" t="n">
        <v>1.43</v>
      </c>
      <c r="CM733" s="2" t="n">
        <v>3.23</v>
      </c>
      <c r="CN733" s="2" t="n">
        <v>0</v>
      </c>
      <c r="CO733" s="2" t="n">
        <v>8.77</v>
      </c>
      <c r="CP733" s="2" t="n">
        <v>10.6</v>
      </c>
      <c r="CQ733" s="2" t="n">
        <v>0</v>
      </c>
      <c r="CR733" s="2" t="n">
        <v>16.84</v>
      </c>
      <c r="CS733" s="2" t="n">
        <v>18.69</v>
      </c>
      <c r="CT733" s="2" t="n">
        <v>0</v>
      </c>
      <c r="CU733" s="2" t="n">
        <v>23.62</v>
      </c>
      <c r="CV733" s="2" t="n">
        <v>25.46</v>
      </c>
      <c r="CW733" s="2" t="n">
        <v>0</v>
      </c>
      <c r="CX733" s="2" t="n">
        <v>44.96</v>
      </c>
      <c r="CY733" s="2" t="n">
        <v>46.79</v>
      </c>
      <c r="CZ733" s="2" t="n">
        <v>0</v>
      </c>
      <c r="DA733" s="2" t="n">
        <v>52.76</v>
      </c>
      <c r="DB733" s="2" t="n">
        <v>54.56</v>
      </c>
      <c r="DC733" s="2" t="n">
        <v>0</v>
      </c>
      <c r="DD733" s="2" t="n">
        <v>61.22</v>
      </c>
      <c r="DE733" s="2" t="n">
        <v>63.01</v>
      </c>
      <c r="DF733" s="2" t="n">
        <v>0</v>
      </c>
      <c r="DG733" s="2" t="n">
        <v>68.88</v>
      </c>
      <c r="DH733" s="2" t="n">
        <v>70.79000000000001</v>
      </c>
      <c r="DI733" s="2" t="n">
        <v>0</v>
      </c>
      <c r="DJ733" s="2" t="n">
        <v>76.98999999999999</v>
      </c>
      <c r="DK733" s="2" t="n">
        <v>78.78</v>
      </c>
      <c r="DL733" s="2" t="n">
        <v>0</v>
      </c>
      <c r="DM733" s="2" t="n">
        <v>84.52</v>
      </c>
      <c r="DN733" s="2" t="n">
        <v>86.31</v>
      </c>
      <c r="DO733" s="2" t="n">
        <v>0</v>
      </c>
      <c r="DP733" s="2" t="n">
        <v>92.04000000000001</v>
      </c>
      <c r="DQ733" s="2" t="n">
        <v>93.83</v>
      </c>
      <c r="DR733" s="2" t="n">
        <v>0</v>
      </c>
      <c r="DS733" s="2" t="n">
        <v>95.73</v>
      </c>
      <c r="DT733" s="2" t="n">
        <v>96.77</v>
      </c>
      <c r="DU733" s="2" t="n">
        <v>0</v>
      </c>
      <c r="DV733" s="2" t="n">
        <v>96.77</v>
      </c>
      <c r="DW733" s="2" t="n">
        <v>97.13</v>
      </c>
      <c r="DX733" s="2" t="n">
        <v>0</v>
      </c>
      <c r="DY733" s="2" t="n">
        <v>100</v>
      </c>
      <c r="DZ733" s="2" t="n">
        <v>100</v>
      </c>
      <c r="EA733" s="2" t="n">
        <v>0</v>
      </c>
      <c r="EB733" s="2" t="n">
        <v>100</v>
      </c>
      <c r="EC733" s="2" t="n">
        <v>100</v>
      </c>
      <c r="ED733" s="2" t="n">
        <v>0</v>
      </c>
      <c r="EE733" s="2" t="n">
        <v>100</v>
      </c>
      <c r="EF733" s="2" t="n">
        <v>100</v>
      </c>
      <c r="EG733" s="2" t="n">
        <v>0</v>
      </c>
      <c r="EH733" s="2" t="n">
        <v>100</v>
      </c>
      <c r="EI733" s="2" t="n">
        <v>100</v>
      </c>
      <c r="EJ733" s="2" t="n">
        <v>0</v>
      </c>
      <c r="EK733" s="2" t="n">
        <v>100</v>
      </c>
      <c r="EL733" s="2" t="n">
        <v>100</v>
      </c>
      <c r="EM733" s="2" t="n">
        <v>0</v>
      </c>
      <c r="EN733" s="2" t="n">
        <v>100</v>
      </c>
      <c r="EO733" s="2" t="n">
        <v>100</v>
      </c>
      <c r="EP733" s="2" t="n">
        <v>0</v>
      </c>
      <c r="EQ733" s="2" t="n">
        <v>100</v>
      </c>
      <c r="ER733" s="2" t="n">
        <v>100</v>
      </c>
      <c r="ES733" s="2" t="n">
        <v>0</v>
      </c>
    </row>
    <row r="734">
      <c r="A734" s="2" t="n">
        <v>4</v>
      </c>
      <c r="B734" s="2" t="inlineStr">
        <is>
          <t>30.06.04.04</t>
        </is>
      </c>
      <c r="C734" s="2" t="inlineStr">
        <is>
          <t>Proteção de bancadas contra manuseio de obra</t>
        </is>
      </c>
      <c r="D734" s="2" t="inlineStr">
        <is>
          <t>20/09/2027</t>
        </is>
      </c>
      <c r="E734" s="2" t="inlineStr">
        <is>
          <t>11/10/2028</t>
        </is>
      </c>
      <c r="F734" s="2" t="n">
        <v>503.9341902657761</v>
      </c>
      <c r="G734" s="2" t="n">
        <v>0</v>
      </c>
      <c r="H734" s="2" t="n">
        <v>503.9341902657761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0</v>
      </c>
      <c r="AM734" s="2" t="n">
        <v>0</v>
      </c>
      <c r="AN734" s="2" t="n">
        <v>0</v>
      </c>
      <c r="AO734" s="2" t="n">
        <v>0</v>
      </c>
      <c r="AP734" s="2" t="n">
        <v>0</v>
      </c>
      <c r="AQ734" s="2" t="n">
        <v>0</v>
      </c>
      <c r="AR734" s="2" t="n">
        <v>0</v>
      </c>
      <c r="AS734" s="2" t="n">
        <v>0</v>
      </c>
      <c r="AT734" s="2" t="n">
        <v>0</v>
      </c>
      <c r="AU734" s="2" t="n">
        <v>0</v>
      </c>
      <c r="AV734" s="2" t="n">
        <v>0</v>
      </c>
      <c r="AW734" s="2" t="n">
        <v>0</v>
      </c>
      <c r="AX734" s="2" t="n">
        <v>0</v>
      </c>
      <c r="AY734" s="2" t="n">
        <v>0</v>
      </c>
      <c r="AZ734" s="2" t="n">
        <v>0</v>
      </c>
      <c r="BA734" s="2" t="n">
        <v>0</v>
      </c>
      <c r="BB734" s="2" t="n">
        <v>0</v>
      </c>
      <c r="BC734" s="2" t="n">
        <v>0</v>
      </c>
      <c r="BD734" s="2" t="n">
        <v>0</v>
      </c>
      <c r="BE734" s="2" t="n">
        <v>0</v>
      </c>
      <c r="BF734" s="2" t="n">
        <v>0</v>
      </c>
      <c r="BG734" s="2" t="n">
        <v>0</v>
      </c>
      <c r="BH734" s="2" t="n">
        <v>0</v>
      </c>
      <c r="BI734" s="2" t="n">
        <v>0</v>
      </c>
      <c r="BJ734" s="2" t="n">
        <v>0</v>
      </c>
      <c r="BK734" s="2" t="n">
        <v>0</v>
      </c>
      <c r="BL734" s="2" t="n">
        <v>0</v>
      </c>
      <c r="BM734" s="2" t="n">
        <v>0</v>
      </c>
      <c r="BN734" s="2" t="n">
        <v>0</v>
      </c>
      <c r="BO734" s="2" t="n">
        <v>0</v>
      </c>
      <c r="BP734" s="2" t="n">
        <v>0</v>
      </c>
      <c r="BQ734" s="2" t="n">
        <v>0</v>
      </c>
      <c r="BR734" s="2" t="n">
        <v>0</v>
      </c>
      <c r="BS734" s="2" t="n">
        <v>0</v>
      </c>
      <c r="BT734" s="2" t="n">
        <v>0</v>
      </c>
      <c r="BU734" s="2" t="n">
        <v>0</v>
      </c>
      <c r="BV734" s="2" t="n">
        <v>0</v>
      </c>
      <c r="BW734" s="2" t="n">
        <v>0</v>
      </c>
      <c r="BX734" s="2" t="n">
        <v>0</v>
      </c>
      <c r="BY734" s="2" t="n">
        <v>0</v>
      </c>
      <c r="BZ734" s="2" t="n">
        <v>0</v>
      </c>
      <c r="CA734" s="2" t="n">
        <v>0</v>
      </c>
      <c r="CB734" s="2" t="n">
        <v>0</v>
      </c>
      <c r="CC734" s="2" t="n">
        <v>0</v>
      </c>
      <c r="CD734" s="2" t="n">
        <v>0</v>
      </c>
      <c r="CE734" s="2" t="n">
        <v>0</v>
      </c>
      <c r="CF734" s="2" t="n">
        <v>0</v>
      </c>
      <c r="CG734" s="2" t="n">
        <v>0</v>
      </c>
      <c r="CH734" s="2" t="n">
        <v>0</v>
      </c>
      <c r="CI734" s="2" t="n">
        <v>0</v>
      </c>
      <c r="CJ734" s="2" t="n">
        <v>0</v>
      </c>
      <c r="CK734" s="2" t="n">
        <v>0</v>
      </c>
      <c r="CL734" s="2" t="n">
        <v>1.43</v>
      </c>
      <c r="CM734" s="2" t="n">
        <v>3.23</v>
      </c>
      <c r="CN734" s="2" t="n">
        <v>0</v>
      </c>
      <c r="CO734" s="2" t="n">
        <v>8.77</v>
      </c>
      <c r="CP734" s="2" t="n">
        <v>10.6</v>
      </c>
      <c r="CQ734" s="2" t="n">
        <v>0</v>
      </c>
      <c r="CR734" s="2" t="n">
        <v>16.84</v>
      </c>
      <c r="CS734" s="2" t="n">
        <v>18.69</v>
      </c>
      <c r="CT734" s="2" t="n">
        <v>0</v>
      </c>
      <c r="CU734" s="2" t="n">
        <v>23.62</v>
      </c>
      <c r="CV734" s="2" t="n">
        <v>25.46</v>
      </c>
      <c r="CW734" s="2" t="n">
        <v>0</v>
      </c>
      <c r="CX734" s="2" t="n">
        <v>44.96</v>
      </c>
      <c r="CY734" s="2" t="n">
        <v>46.79</v>
      </c>
      <c r="CZ734" s="2" t="n">
        <v>0</v>
      </c>
      <c r="DA734" s="2" t="n">
        <v>52.76</v>
      </c>
      <c r="DB734" s="2" t="n">
        <v>54.56</v>
      </c>
      <c r="DC734" s="2" t="n">
        <v>0</v>
      </c>
      <c r="DD734" s="2" t="n">
        <v>61.22</v>
      </c>
      <c r="DE734" s="2" t="n">
        <v>63.01</v>
      </c>
      <c r="DF734" s="2" t="n">
        <v>0</v>
      </c>
      <c r="DG734" s="2" t="n">
        <v>68.88</v>
      </c>
      <c r="DH734" s="2" t="n">
        <v>70.79000000000001</v>
      </c>
      <c r="DI734" s="2" t="n">
        <v>0</v>
      </c>
      <c r="DJ734" s="2" t="n">
        <v>76.98999999999999</v>
      </c>
      <c r="DK734" s="2" t="n">
        <v>78.78</v>
      </c>
      <c r="DL734" s="2" t="n">
        <v>0</v>
      </c>
      <c r="DM734" s="2" t="n">
        <v>84.52</v>
      </c>
      <c r="DN734" s="2" t="n">
        <v>86.31</v>
      </c>
      <c r="DO734" s="2" t="n">
        <v>0</v>
      </c>
      <c r="DP734" s="2" t="n">
        <v>92.04000000000001</v>
      </c>
      <c r="DQ734" s="2" t="n">
        <v>93.83</v>
      </c>
      <c r="DR734" s="2" t="n">
        <v>0</v>
      </c>
      <c r="DS734" s="2" t="n">
        <v>95.73</v>
      </c>
      <c r="DT734" s="2" t="n">
        <v>96.77</v>
      </c>
      <c r="DU734" s="2" t="n">
        <v>0</v>
      </c>
      <c r="DV734" s="2" t="n">
        <v>96.77</v>
      </c>
      <c r="DW734" s="2" t="n">
        <v>97.13</v>
      </c>
      <c r="DX734" s="2" t="n">
        <v>0</v>
      </c>
      <c r="DY734" s="2" t="n">
        <v>100</v>
      </c>
      <c r="DZ734" s="2" t="n">
        <v>100</v>
      </c>
      <c r="EA734" s="2" t="n">
        <v>0</v>
      </c>
      <c r="EB734" s="2" t="n">
        <v>100</v>
      </c>
      <c r="EC734" s="2" t="n">
        <v>100</v>
      </c>
      <c r="ED734" s="2" t="n">
        <v>0</v>
      </c>
      <c r="EE734" s="2" t="n">
        <v>100</v>
      </c>
      <c r="EF734" s="2" t="n">
        <v>100</v>
      </c>
      <c r="EG734" s="2" t="n">
        <v>0</v>
      </c>
      <c r="EH734" s="2" t="n">
        <v>100</v>
      </c>
      <c r="EI734" s="2" t="n">
        <v>100</v>
      </c>
      <c r="EJ734" s="2" t="n">
        <v>0</v>
      </c>
      <c r="EK734" s="2" t="n">
        <v>100</v>
      </c>
      <c r="EL734" s="2" t="n">
        <v>100</v>
      </c>
      <c r="EM734" s="2" t="n">
        <v>0</v>
      </c>
      <c r="EN734" s="2" t="n">
        <v>100</v>
      </c>
      <c r="EO734" s="2" t="n">
        <v>100</v>
      </c>
      <c r="EP734" s="2" t="n">
        <v>0</v>
      </c>
      <c r="EQ734" s="2" t="n">
        <v>100</v>
      </c>
      <c r="ER734" s="2" t="n">
        <v>100</v>
      </c>
      <c r="ES734" s="2" t="n">
        <v>0</v>
      </c>
    </row>
    <row r="735">
      <c r="A735" s="2" t="n">
        <v>3</v>
      </c>
      <c r="B735" s="2" t="inlineStr">
        <is>
          <t>30.06.05</t>
        </is>
      </c>
      <c r="C735" s="2" t="inlineStr">
        <is>
          <t>Bancada em mármore Branco tradicional levigado</t>
        </is>
      </c>
      <c r="D735" s="2" t="inlineStr">
        <is>
          <t>20/09/2027</t>
        </is>
      </c>
      <c r="E735" s="2" t="inlineStr">
        <is>
          <t>11/10/2028</t>
        </is>
      </c>
      <c r="F735" s="2" t="n">
        <v>1159135.822853316</v>
      </c>
      <c r="G735" s="2" t="n">
        <v>0</v>
      </c>
      <c r="H735" s="2" t="n">
        <v>1159135.822853316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n">
        <v>0</v>
      </c>
      <c r="AK735" s="2" t="n">
        <v>0</v>
      </c>
      <c r="AL735" s="2" t="n">
        <v>0</v>
      </c>
      <c r="AM735" s="2" t="n">
        <v>0</v>
      </c>
      <c r="AN735" s="2" t="n">
        <v>0</v>
      </c>
      <c r="AO735" s="2" t="n">
        <v>0</v>
      </c>
      <c r="AP735" s="2" t="n">
        <v>0</v>
      </c>
      <c r="AQ735" s="2" t="n">
        <v>0</v>
      </c>
      <c r="AR735" s="2" t="n">
        <v>0</v>
      </c>
      <c r="AS735" s="2" t="n">
        <v>0</v>
      </c>
      <c r="AT735" s="2" t="n">
        <v>0</v>
      </c>
      <c r="AU735" s="2" t="n">
        <v>0</v>
      </c>
      <c r="AV735" s="2" t="n">
        <v>0</v>
      </c>
      <c r="AW735" s="2" t="n">
        <v>0</v>
      </c>
      <c r="AX735" s="2" t="n">
        <v>0</v>
      </c>
      <c r="AY735" s="2" t="n">
        <v>0</v>
      </c>
      <c r="AZ735" s="2" t="n">
        <v>0</v>
      </c>
      <c r="BA735" s="2" t="n">
        <v>0</v>
      </c>
      <c r="BB735" s="2" t="n">
        <v>0</v>
      </c>
      <c r="BC735" s="2" t="n">
        <v>0</v>
      </c>
      <c r="BD735" s="2" t="n">
        <v>0</v>
      </c>
      <c r="BE735" s="2" t="n">
        <v>0</v>
      </c>
      <c r="BF735" s="2" t="n">
        <v>0</v>
      </c>
      <c r="BG735" s="2" t="n">
        <v>0</v>
      </c>
      <c r="BH735" s="2" t="n">
        <v>0</v>
      </c>
      <c r="BI735" s="2" t="n">
        <v>0</v>
      </c>
      <c r="BJ735" s="2" t="n">
        <v>0</v>
      </c>
      <c r="BK735" s="2" t="n">
        <v>0</v>
      </c>
      <c r="BL735" s="2" t="n">
        <v>0</v>
      </c>
      <c r="BM735" s="2" t="n">
        <v>0</v>
      </c>
      <c r="BN735" s="2" t="n">
        <v>0</v>
      </c>
      <c r="BO735" s="2" t="n">
        <v>0</v>
      </c>
      <c r="BP735" s="2" t="n">
        <v>0</v>
      </c>
      <c r="BQ735" s="2" t="n">
        <v>0</v>
      </c>
      <c r="BR735" s="2" t="n">
        <v>0</v>
      </c>
      <c r="BS735" s="2" t="n">
        <v>0</v>
      </c>
      <c r="BT735" s="2" t="n">
        <v>0</v>
      </c>
      <c r="BU735" s="2" t="n">
        <v>0</v>
      </c>
      <c r="BV735" s="2" t="n">
        <v>0</v>
      </c>
      <c r="BW735" s="2" t="n">
        <v>0</v>
      </c>
      <c r="BX735" s="2" t="n">
        <v>0</v>
      </c>
      <c r="BY735" s="2" t="n">
        <v>0</v>
      </c>
      <c r="BZ735" s="2" t="n">
        <v>0</v>
      </c>
      <c r="CA735" s="2" t="n">
        <v>0</v>
      </c>
      <c r="CB735" s="2" t="n">
        <v>0</v>
      </c>
      <c r="CC735" s="2" t="n">
        <v>0</v>
      </c>
      <c r="CD735" s="2" t="n">
        <v>0</v>
      </c>
      <c r="CE735" s="2" t="n">
        <v>0</v>
      </c>
      <c r="CF735" s="2" t="n">
        <v>0</v>
      </c>
      <c r="CG735" s="2" t="n">
        <v>0</v>
      </c>
      <c r="CH735" s="2" t="n">
        <v>0</v>
      </c>
      <c r="CI735" s="2" t="n">
        <v>0</v>
      </c>
      <c r="CJ735" s="2" t="n">
        <v>0</v>
      </c>
      <c r="CK735" s="2" t="n">
        <v>0</v>
      </c>
      <c r="CL735" s="2" t="n">
        <v>1.43</v>
      </c>
      <c r="CM735" s="2" t="n">
        <v>3.23</v>
      </c>
      <c r="CN735" s="2" t="n">
        <v>0</v>
      </c>
      <c r="CO735" s="2" t="n">
        <v>8.77</v>
      </c>
      <c r="CP735" s="2" t="n">
        <v>10.6</v>
      </c>
      <c r="CQ735" s="2" t="n">
        <v>0</v>
      </c>
      <c r="CR735" s="2" t="n">
        <v>16.84</v>
      </c>
      <c r="CS735" s="2" t="n">
        <v>18.69</v>
      </c>
      <c r="CT735" s="2" t="n">
        <v>0</v>
      </c>
      <c r="CU735" s="2" t="n">
        <v>23.62</v>
      </c>
      <c r="CV735" s="2" t="n">
        <v>25.46</v>
      </c>
      <c r="CW735" s="2" t="n">
        <v>0</v>
      </c>
      <c r="CX735" s="2" t="n">
        <v>44.96</v>
      </c>
      <c r="CY735" s="2" t="n">
        <v>46.79</v>
      </c>
      <c r="CZ735" s="2" t="n">
        <v>0</v>
      </c>
      <c r="DA735" s="2" t="n">
        <v>52.76</v>
      </c>
      <c r="DB735" s="2" t="n">
        <v>54.56</v>
      </c>
      <c r="DC735" s="2" t="n">
        <v>0</v>
      </c>
      <c r="DD735" s="2" t="n">
        <v>61.22</v>
      </c>
      <c r="DE735" s="2" t="n">
        <v>63.01</v>
      </c>
      <c r="DF735" s="2" t="n">
        <v>0</v>
      </c>
      <c r="DG735" s="2" t="n">
        <v>68.88</v>
      </c>
      <c r="DH735" s="2" t="n">
        <v>70.79000000000001</v>
      </c>
      <c r="DI735" s="2" t="n">
        <v>0</v>
      </c>
      <c r="DJ735" s="2" t="n">
        <v>76.98999999999999</v>
      </c>
      <c r="DK735" s="2" t="n">
        <v>78.78</v>
      </c>
      <c r="DL735" s="2" t="n">
        <v>0</v>
      </c>
      <c r="DM735" s="2" t="n">
        <v>84.52</v>
      </c>
      <c r="DN735" s="2" t="n">
        <v>86.31</v>
      </c>
      <c r="DO735" s="2" t="n">
        <v>0</v>
      </c>
      <c r="DP735" s="2" t="n">
        <v>92.04000000000001</v>
      </c>
      <c r="DQ735" s="2" t="n">
        <v>93.83</v>
      </c>
      <c r="DR735" s="2" t="n">
        <v>0</v>
      </c>
      <c r="DS735" s="2" t="n">
        <v>95.73</v>
      </c>
      <c r="DT735" s="2" t="n">
        <v>96.77</v>
      </c>
      <c r="DU735" s="2" t="n">
        <v>0</v>
      </c>
      <c r="DV735" s="2" t="n">
        <v>96.77</v>
      </c>
      <c r="DW735" s="2" t="n">
        <v>97.13</v>
      </c>
      <c r="DX735" s="2" t="n">
        <v>0</v>
      </c>
      <c r="DY735" s="2" t="n">
        <v>100</v>
      </c>
      <c r="DZ735" s="2" t="n">
        <v>100</v>
      </c>
      <c r="EA735" s="2" t="n">
        <v>0</v>
      </c>
      <c r="EB735" s="2" t="n">
        <v>100</v>
      </c>
      <c r="EC735" s="2" t="n">
        <v>100</v>
      </c>
      <c r="ED735" s="2" t="n">
        <v>0</v>
      </c>
      <c r="EE735" s="2" t="n">
        <v>100</v>
      </c>
      <c r="EF735" s="2" t="n">
        <v>100</v>
      </c>
      <c r="EG735" s="2" t="n">
        <v>0</v>
      </c>
      <c r="EH735" s="2" t="n">
        <v>100</v>
      </c>
      <c r="EI735" s="2" t="n">
        <v>100</v>
      </c>
      <c r="EJ735" s="2" t="n">
        <v>0</v>
      </c>
      <c r="EK735" s="2" t="n">
        <v>100</v>
      </c>
      <c r="EL735" s="2" t="n">
        <v>100</v>
      </c>
      <c r="EM735" s="2" t="n">
        <v>0</v>
      </c>
      <c r="EN735" s="2" t="n">
        <v>100</v>
      </c>
      <c r="EO735" s="2" t="n">
        <v>100</v>
      </c>
      <c r="EP735" s="2" t="n">
        <v>0</v>
      </c>
      <c r="EQ735" s="2" t="n">
        <v>100</v>
      </c>
      <c r="ER735" s="2" t="n">
        <v>100</v>
      </c>
      <c r="ES735" s="2" t="n">
        <v>0</v>
      </c>
    </row>
    <row r="736">
      <c r="A736" s="2" t="n">
        <v>4</v>
      </c>
      <c r="B736" s="2" t="inlineStr">
        <is>
          <t>30.06.05.01</t>
        </is>
      </c>
      <c r="C736" s="2" t="inlineStr">
        <is>
          <t>Bancada em mármore Branco tradicional levigado</t>
        </is>
      </c>
      <c r="D736" s="2" t="inlineStr">
        <is>
          <t>20/09/2027</t>
        </is>
      </c>
      <c r="E736" s="2" t="inlineStr">
        <is>
          <t>11/10/2028</t>
        </is>
      </c>
      <c r="F736" s="2" t="n">
        <v>643316.4819929999</v>
      </c>
      <c r="G736" s="2" t="n">
        <v>0</v>
      </c>
      <c r="H736" s="2" t="n">
        <v>643316.4819929999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  <c r="AM736" s="2" t="n">
        <v>0</v>
      </c>
      <c r="AN736" s="2" t="n">
        <v>0</v>
      </c>
      <c r="AO736" s="2" t="n">
        <v>0</v>
      </c>
      <c r="AP736" s="2" t="n">
        <v>0</v>
      </c>
      <c r="AQ736" s="2" t="n">
        <v>0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</v>
      </c>
      <c r="AY736" s="2" t="n">
        <v>0</v>
      </c>
      <c r="AZ736" s="2" t="n">
        <v>0</v>
      </c>
      <c r="BA736" s="2" t="n">
        <v>0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0</v>
      </c>
      <c r="BG736" s="2" t="n">
        <v>0</v>
      </c>
      <c r="BH736" s="2" t="n">
        <v>0</v>
      </c>
      <c r="BI736" s="2" t="n">
        <v>0</v>
      </c>
      <c r="BJ736" s="2" t="n">
        <v>0</v>
      </c>
      <c r="BK736" s="2" t="n">
        <v>0</v>
      </c>
      <c r="BL736" s="2" t="n">
        <v>0</v>
      </c>
      <c r="BM736" s="2" t="n">
        <v>0</v>
      </c>
      <c r="BN736" s="2" t="n">
        <v>0</v>
      </c>
      <c r="BO736" s="2" t="n">
        <v>0</v>
      </c>
      <c r="BP736" s="2" t="n">
        <v>0</v>
      </c>
      <c r="BQ736" s="2" t="n">
        <v>0</v>
      </c>
      <c r="BR736" s="2" t="n">
        <v>0</v>
      </c>
      <c r="BS736" s="2" t="n">
        <v>0</v>
      </c>
      <c r="BT736" s="2" t="n">
        <v>0</v>
      </c>
      <c r="BU736" s="2" t="n">
        <v>0</v>
      </c>
      <c r="BV736" s="2" t="n">
        <v>0</v>
      </c>
      <c r="BW736" s="2" t="n">
        <v>0</v>
      </c>
      <c r="BX736" s="2" t="n">
        <v>0</v>
      </c>
      <c r="BY736" s="2" t="n">
        <v>0</v>
      </c>
      <c r="BZ736" s="2" t="n">
        <v>0</v>
      </c>
      <c r="CA736" s="2" t="n">
        <v>0</v>
      </c>
      <c r="CB736" s="2" t="n">
        <v>0</v>
      </c>
      <c r="CC736" s="2" t="n">
        <v>0</v>
      </c>
      <c r="CD736" s="2" t="n">
        <v>0</v>
      </c>
      <c r="CE736" s="2" t="n">
        <v>0</v>
      </c>
      <c r="CF736" s="2" t="n">
        <v>0</v>
      </c>
      <c r="CG736" s="2" t="n">
        <v>0</v>
      </c>
      <c r="CH736" s="2" t="n">
        <v>0</v>
      </c>
      <c r="CI736" s="2" t="n">
        <v>0</v>
      </c>
      <c r="CJ736" s="2" t="n">
        <v>0</v>
      </c>
      <c r="CK736" s="2" t="n">
        <v>0</v>
      </c>
      <c r="CL736" s="2" t="n">
        <v>1.43</v>
      </c>
      <c r="CM736" s="2" t="n">
        <v>3.23</v>
      </c>
      <c r="CN736" s="2" t="n">
        <v>0</v>
      </c>
      <c r="CO736" s="2" t="n">
        <v>8.77</v>
      </c>
      <c r="CP736" s="2" t="n">
        <v>10.6</v>
      </c>
      <c r="CQ736" s="2" t="n">
        <v>0</v>
      </c>
      <c r="CR736" s="2" t="n">
        <v>16.84</v>
      </c>
      <c r="CS736" s="2" t="n">
        <v>18.69</v>
      </c>
      <c r="CT736" s="2" t="n">
        <v>0</v>
      </c>
      <c r="CU736" s="2" t="n">
        <v>23.62</v>
      </c>
      <c r="CV736" s="2" t="n">
        <v>25.46</v>
      </c>
      <c r="CW736" s="2" t="n">
        <v>0</v>
      </c>
      <c r="CX736" s="2" t="n">
        <v>44.96</v>
      </c>
      <c r="CY736" s="2" t="n">
        <v>46.79</v>
      </c>
      <c r="CZ736" s="2" t="n">
        <v>0</v>
      </c>
      <c r="DA736" s="2" t="n">
        <v>52.76</v>
      </c>
      <c r="DB736" s="2" t="n">
        <v>54.56</v>
      </c>
      <c r="DC736" s="2" t="n">
        <v>0</v>
      </c>
      <c r="DD736" s="2" t="n">
        <v>61.22</v>
      </c>
      <c r="DE736" s="2" t="n">
        <v>63.01</v>
      </c>
      <c r="DF736" s="2" t="n">
        <v>0</v>
      </c>
      <c r="DG736" s="2" t="n">
        <v>68.88</v>
      </c>
      <c r="DH736" s="2" t="n">
        <v>70.79000000000001</v>
      </c>
      <c r="DI736" s="2" t="n">
        <v>0</v>
      </c>
      <c r="DJ736" s="2" t="n">
        <v>76.98999999999999</v>
      </c>
      <c r="DK736" s="2" t="n">
        <v>78.78</v>
      </c>
      <c r="DL736" s="2" t="n">
        <v>0</v>
      </c>
      <c r="DM736" s="2" t="n">
        <v>84.52</v>
      </c>
      <c r="DN736" s="2" t="n">
        <v>86.31</v>
      </c>
      <c r="DO736" s="2" t="n">
        <v>0</v>
      </c>
      <c r="DP736" s="2" t="n">
        <v>92.04000000000001</v>
      </c>
      <c r="DQ736" s="2" t="n">
        <v>93.83</v>
      </c>
      <c r="DR736" s="2" t="n">
        <v>0</v>
      </c>
      <c r="DS736" s="2" t="n">
        <v>95.73</v>
      </c>
      <c r="DT736" s="2" t="n">
        <v>96.77</v>
      </c>
      <c r="DU736" s="2" t="n">
        <v>0</v>
      </c>
      <c r="DV736" s="2" t="n">
        <v>96.77</v>
      </c>
      <c r="DW736" s="2" t="n">
        <v>97.13</v>
      </c>
      <c r="DX736" s="2" t="n">
        <v>0</v>
      </c>
      <c r="DY736" s="2" t="n">
        <v>100</v>
      </c>
      <c r="DZ736" s="2" t="n">
        <v>100</v>
      </c>
      <c r="EA736" s="2" t="n">
        <v>0</v>
      </c>
      <c r="EB736" s="2" t="n">
        <v>100</v>
      </c>
      <c r="EC736" s="2" t="n">
        <v>100</v>
      </c>
      <c r="ED736" s="2" t="n">
        <v>0</v>
      </c>
      <c r="EE736" s="2" t="n">
        <v>100</v>
      </c>
      <c r="EF736" s="2" t="n">
        <v>100</v>
      </c>
      <c r="EG736" s="2" t="n">
        <v>0</v>
      </c>
      <c r="EH736" s="2" t="n">
        <v>100</v>
      </c>
      <c r="EI736" s="2" t="n">
        <v>100</v>
      </c>
      <c r="EJ736" s="2" t="n">
        <v>0</v>
      </c>
      <c r="EK736" s="2" t="n">
        <v>100</v>
      </c>
      <c r="EL736" s="2" t="n">
        <v>100</v>
      </c>
      <c r="EM736" s="2" t="n">
        <v>0</v>
      </c>
      <c r="EN736" s="2" t="n">
        <v>100</v>
      </c>
      <c r="EO736" s="2" t="n">
        <v>100</v>
      </c>
      <c r="EP736" s="2" t="n">
        <v>0</v>
      </c>
      <c r="EQ736" s="2" t="n">
        <v>100</v>
      </c>
      <c r="ER736" s="2" t="n">
        <v>100</v>
      </c>
      <c r="ES736" s="2" t="n">
        <v>0</v>
      </c>
    </row>
    <row r="737">
      <c r="A737" s="2" t="n">
        <v>4</v>
      </c>
      <c r="B737" s="2" t="inlineStr">
        <is>
          <t>30.06.05.02</t>
        </is>
      </c>
      <c r="C737" s="2" t="inlineStr">
        <is>
          <t>Bancada esculpida em mármore Branco tradicional levigado.</t>
        </is>
      </c>
      <c r="D737" s="2" t="inlineStr">
        <is>
          <t>20/09/2027</t>
        </is>
      </c>
      <c r="E737" s="2" t="inlineStr">
        <is>
          <t>11/10/2028</t>
        </is>
      </c>
      <c r="F737" s="2" t="n">
        <v>234553.073584</v>
      </c>
      <c r="G737" s="2" t="n">
        <v>0</v>
      </c>
      <c r="H737" s="2" t="n">
        <v>234553.073584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0</v>
      </c>
      <c r="AM737" s="2" t="n">
        <v>0</v>
      </c>
      <c r="AN737" s="2" t="n">
        <v>0</v>
      </c>
      <c r="AO737" s="2" t="n">
        <v>0</v>
      </c>
      <c r="AP737" s="2" t="n">
        <v>0</v>
      </c>
      <c r="AQ737" s="2" t="n">
        <v>0</v>
      </c>
      <c r="AR737" s="2" t="n">
        <v>0</v>
      </c>
      <c r="AS737" s="2" t="n">
        <v>0</v>
      </c>
      <c r="AT737" s="2" t="n">
        <v>0</v>
      </c>
      <c r="AU737" s="2" t="n">
        <v>0</v>
      </c>
      <c r="AV737" s="2" t="n">
        <v>0</v>
      </c>
      <c r="AW737" s="2" t="n">
        <v>0</v>
      </c>
      <c r="AX737" s="2" t="n">
        <v>0</v>
      </c>
      <c r="AY737" s="2" t="n">
        <v>0</v>
      </c>
      <c r="AZ737" s="2" t="n">
        <v>0</v>
      </c>
      <c r="BA737" s="2" t="n">
        <v>0</v>
      </c>
      <c r="BB737" s="2" t="n">
        <v>0</v>
      </c>
      <c r="BC737" s="2" t="n">
        <v>0</v>
      </c>
      <c r="BD737" s="2" t="n">
        <v>0</v>
      </c>
      <c r="BE737" s="2" t="n">
        <v>0</v>
      </c>
      <c r="BF737" s="2" t="n">
        <v>0</v>
      </c>
      <c r="BG737" s="2" t="n">
        <v>0</v>
      </c>
      <c r="BH737" s="2" t="n">
        <v>0</v>
      </c>
      <c r="BI737" s="2" t="n">
        <v>0</v>
      </c>
      <c r="BJ737" s="2" t="n">
        <v>0</v>
      </c>
      <c r="BK737" s="2" t="n">
        <v>0</v>
      </c>
      <c r="BL737" s="2" t="n">
        <v>0</v>
      </c>
      <c r="BM737" s="2" t="n">
        <v>0</v>
      </c>
      <c r="BN737" s="2" t="n">
        <v>0</v>
      </c>
      <c r="BO737" s="2" t="n">
        <v>0</v>
      </c>
      <c r="BP737" s="2" t="n">
        <v>0</v>
      </c>
      <c r="BQ737" s="2" t="n">
        <v>0</v>
      </c>
      <c r="BR737" s="2" t="n">
        <v>0</v>
      </c>
      <c r="BS737" s="2" t="n">
        <v>0</v>
      </c>
      <c r="BT737" s="2" t="n">
        <v>0</v>
      </c>
      <c r="BU737" s="2" t="n">
        <v>0</v>
      </c>
      <c r="BV737" s="2" t="n">
        <v>0</v>
      </c>
      <c r="BW737" s="2" t="n">
        <v>0</v>
      </c>
      <c r="BX737" s="2" t="n">
        <v>0</v>
      </c>
      <c r="BY737" s="2" t="n">
        <v>0</v>
      </c>
      <c r="BZ737" s="2" t="n">
        <v>0</v>
      </c>
      <c r="CA737" s="2" t="n">
        <v>0</v>
      </c>
      <c r="CB737" s="2" t="n">
        <v>0</v>
      </c>
      <c r="CC737" s="2" t="n">
        <v>0</v>
      </c>
      <c r="CD737" s="2" t="n">
        <v>0</v>
      </c>
      <c r="CE737" s="2" t="n">
        <v>0</v>
      </c>
      <c r="CF737" s="2" t="n">
        <v>0</v>
      </c>
      <c r="CG737" s="2" t="n">
        <v>0</v>
      </c>
      <c r="CH737" s="2" t="n">
        <v>0</v>
      </c>
      <c r="CI737" s="2" t="n">
        <v>0</v>
      </c>
      <c r="CJ737" s="2" t="n">
        <v>0</v>
      </c>
      <c r="CK737" s="2" t="n">
        <v>0</v>
      </c>
      <c r="CL737" s="2" t="n">
        <v>1.43</v>
      </c>
      <c r="CM737" s="2" t="n">
        <v>3.23</v>
      </c>
      <c r="CN737" s="2" t="n">
        <v>0</v>
      </c>
      <c r="CO737" s="2" t="n">
        <v>8.77</v>
      </c>
      <c r="CP737" s="2" t="n">
        <v>10.6</v>
      </c>
      <c r="CQ737" s="2" t="n">
        <v>0</v>
      </c>
      <c r="CR737" s="2" t="n">
        <v>16.84</v>
      </c>
      <c r="CS737" s="2" t="n">
        <v>18.69</v>
      </c>
      <c r="CT737" s="2" t="n">
        <v>0</v>
      </c>
      <c r="CU737" s="2" t="n">
        <v>23.62</v>
      </c>
      <c r="CV737" s="2" t="n">
        <v>25.46</v>
      </c>
      <c r="CW737" s="2" t="n">
        <v>0</v>
      </c>
      <c r="CX737" s="2" t="n">
        <v>44.96</v>
      </c>
      <c r="CY737" s="2" t="n">
        <v>46.79</v>
      </c>
      <c r="CZ737" s="2" t="n">
        <v>0</v>
      </c>
      <c r="DA737" s="2" t="n">
        <v>52.76</v>
      </c>
      <c r="DB737" s="2" t="n">
        <v>54.56</v>
      </c>
      <c r="DC737" s="2" t="n">
        <v>0</v>
      </c>
      <c r="DD737" s="2" t="n">
        <v>61.22</v>
      </c>
      <c r="DE737" s="2" t="n">
        <v>63.01</v>
      </c>
      <c r="DF737" s="2" t="n">
        <v>0</v>
      </c>
      <c r="DG737" s="2" t="n">
        <v>68.88</v>
      </c>
      <c r="DH737" s="2" t="n">
        <v>70.79000000000001</v>
      </c>
      <c r="DI737" s="2" t="n">
        <v>0</v>
      </c>
      <c r="DJ737" s="2" t="n">
        <v>76.98999999999999</v>
      </c>
      <c r="DK737" s="2" t="n">
        <v>78.78</v>
      </c>
      <c r="DL737" s="2" t="n">
        <v>0</v>
      </c>
      <c r="DM737" s="2" t="n">
        <v>84.52</v>
      </c>
      <c r="DN737" s="2" t="n">
        <v>86.31</v>
      </c>
      <c r="DO737" s="2" t="n">
        <v>0</v>
      </c>
      <c r="DP737" s="2" t="n">
        <v>92.04000000000001</v>
      </c>
      <c r="DQ737" s="2" t="n">
        <v>93.83</v>
      </c>
      <c r="DR737" s="2" t="n">
        <v>0</v>
      </c>
      <c r="DS737" s="2" t="n">
        <v>95.73</v>
      </c>
      <c r="DT737" s="2" t="n">
        <v>96.77</v>
      </c>
      <c r="DU737" s="2" t="n">
        <v>0</v>
      </c>
      <c r="DV737" s="2" t="n">
        <v>96.77</v>
      </c>
      <c r="DW737" s="2" t="n">
        <v>97.13</v>
      </c>
      <c r="DX737" s="2" t="n">
        <v>0</v>
      </c>
      <c r="DY737" s="2" t="n">
        <v>100</v>
      </c>
      <c r="DZ737" s="2" t="n">
        <v>100</v>
      </c>
      <c r="EA737" s="2" t="n">
        <v>0</v>
      </c>
      <c r="EB737" s="2" t="n">
        <v>100</v>
      </c>
      <c r="EC737" s="2" t="n">
        <v>100</v>
      </c>
      <c r="ED737" s="2" t="n">
        <v>0</v>
      </c>
      <c r="EE737" s="2" t="n">
        <v>100</v>
      </c>
      <c r="EF737" s="2" t="n">
        <v>100</v>
      </c>
      <c r="EG737" s="2" t="n">
        <v>0</v>
      </c>
      <c r="EH737" s="2" t="n">
        <v>100</v>
      </c>
      <c r="EI737" s="2" t="n">
        <v>100</v>
      </c>
      <c r="EJ737" s="2" t="n">
        <v>0</v>
      </c>
      <c r="EK737" s="2" t="n">
        <v>100</v>
      </c>
      <c r="EL737" s="2" t="n">
        <v>100</v>
      </c>
      <c r="EM737" s="2" t="n">
        <v>0</v>
      </c>
      <c r="EN737" s="2" t="n">
        <v>100</v>
      </c>
      <c r="EO737" s="2" t="n">
        <v>100</v>
      </c>
      <c r="EP737" s="2" t="n">
        <v>0</v>
      </c>
      <c r="EQ737" s="2" t="n">
        <v>100</v>
      </c>
      <c r="ER737" s="2" t="n">
        <v>100</v>
      </c>
      <c r="ES737" s="2" t="n">
        <v>0</v>
      </c>
    </row>
    <row r="738">
      <c r="A738" s="2" t="n">
        <v>4</v>
      </c>
      <c r="B738" s="2" t="inlineStr">
        <is>
          <t>30.06.05.03</t>
        </is>
      </c>
      <c r="C738" s="2" t="inlineStr">
        <is>
          <t>Testeira de mármore Branco tradicional levigado h=10cm</t>
        </is>
      </c>
      <c r="D738" s="2" t="inlineStr">
        <is>
          <t>20/09/2027</t>
        </is>
      </c>
      <c r="E738" s="2" t="inlineStr">
        <is>
          <t>11/10/2028</t>
        </is>
      </c>
      <c r="F738" s="2" t="n">
        <v>114348.80911425</v>
      </c>
      <c r="G738" s="2" t="n">
        <v>0</v>
      </c>
      <c r="H738" s="2" t="n">
        <v>114348.80911425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0</v>
      </c>
      <c r="AM738" s="2" t="n">
        <v>0</v>
      </c>
      <c r="AN738" s="2" t="n">
        <v>0</v>
      </c>
      <c r="AO738" s="2" t="n">
        <v>0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0</v>
      </c>
      <c r="AW738" s="2" t="n">
        <v>0</v>
      </c>
      <c r="AX738" s="2" t="n">
        <v>0</v>
      </c>
      <c r="AY738" s="2" t="n">
        <v>0</v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n">
        <v>0</v>
      </c>
      <c r="BE738" s="2" t="n">
        <v>0</v>
      </c>
      <c r="BF738" s="2" t="n">
        <v>0</v>
      </c>
      <c r="BG738" s="2" t="n">
        <v>0</v>
      </c>
      <c r="BH738" s="2" t="n">
        <v>0</v>
      </c>
      <c r="BI738" s="2" t="n">
        <v>0</v>
      </c>
      <c r="BJ738" s="2" t="n">
        <v>0</v>
      </c>
      <c r="BK738" s="2" t="n">
        <v>0</v>
      </c>
      <c r="BL738" s="2" t="n">
        <v>0</v>
      </c>
      <c r="BM738" s="2" t="n">
        <v>0</v>
      </c>
      <c r="BN738" s="2" t="n">
        <v>0</v>
      </c>
      <c r="BO738" s="2" t="n">
        <v>0</v>
      </c>
      <c r="BP738" s="2" t="n">
        <v>0</v>
      </c>
      <c r="BQ738" s="2" t="n">
        <v>0</v>
      </c>
      <c r="BR738" s="2" t="n">
        <v>0</v>
      </c>
      <c r="BS738" s="2" t="n">
        <v>0</v>
      </c>
      <c r="BT738" s="2" t="n">
        <v>0</v>
      </c>
      <c r="BU738" s="2" t="n">
        <v>0</v>
      </c>
      <c r="BV738" s="2" t="n">
        <v>0</v>
      </c>
      <c r="BW738" s="2" t="n">
        <v>0</v>
      </c>
      <c r="BX738" s="2" t="n">
        <v>0</v>
      </c>
      <c r="BY738" s="2" t="n">
        <v>0</v>
      </c>
      <c r="BZ738" s="2" t="n">
        <v>0</v>
      </c>
      <c r="CA738" s="2" t="n">
        <v>0</v>
      </c>
      <c r="CB738" s="2" t="n">
        <v>0</v>
      </c>
      <c r="CC738" s="2" t="n">
        <v>0</v>
      </c>
      <c r="CD738" s="2" t="n">
        <v>0</v>
      </c>
      <c r="CE738" s="2" t="n">
        <v>0</v>
      </c>
      <c r="CF738" s="2" t="n">
        <v>0</v>
      </c>
      <c r="CG738" s="2" t="n">
        <v>0</v>
      </c>
      <c r="CH738" s="2" t="n">
        <v>0</v>
      </c>
      <c r="CI738" s="2" t="n">
        <v>0</v>
      </c>
      <c r="CJ738" s="2" t="n">
        <v>0</v>
      </c>
      <c r="CK738" s="2" t="n">
        <v>0</v>
      </c>
      <c r="CL738" s="2" t="n">
        <v>1.43</v>
      </c>
      <c r="CM738" s="2" t="n">
        <v>3.23</v>
      </c>
      <c r="CN738" s="2" t="n">
        <v>0</v>
      </c>
      <c r="CO738" s="2" t="n">
        <v>8.77</v>
      </c>
      <c r="CP738" s="2" t="n">
        <v>10.6</v>
      </c>
      <c r="CQ738" s="2" t="n">
        <v>0</v>
      </c>
      <c r="CR738" s="2" t="n">
        <v>16.84</v>
      </c>
      <c r="CS738" s="2" t="n">
        <v>18.69</v>
      </c>
      <c r="CT738" s="2" t="n">
        <v>0</v>
      </c>
      <c r="CU738" s="2" t="n">
        <v>23.62</v>
      </c>
      <c r="CV738" s="2" t="n">
        <v>25.46</v>
      </c>
      <c r="CW738" s="2" t="n">
        <v>0</v>
      </c>
      <c r="CX738" s="2" t="n">
        <v>44.96</v>
      </c>
      <c r="CY738" s="2" t="n">
        <v>46.79</v>
      </c>
      <c r="CZ738" s="2" t="n">
        <v>0</v>
      </c>
      <c r="DA738" s="2" t="n">
        <v>52.76</v>
      </c>
      <c r="DB738" s="2" t="n">
        <v>54.56</v>
      </c>
      <c r="DC738" s="2" t="n">
        <v>0</v>
      </c>
      <c r="DD738" s="2" t="n">
        <v>61.22</v>
      </c>
      <c r="DE738" s="2" t="n">
        <v>63.01</v>
      </c>
      <c r="DF738" s="2" t="n">
        <v>0</v>
      </c>
      <c r="DG738" s="2" t="n">
        <v>68.88</v>
      </c>
      <c r="DH738" s="2" t="n">
        <v>70.79000000000001</v>
      </c>
      <c r="DI738" s="2" t="n">
        <v>0</v>
      </c>
      <c r="DJ738" s="2" t="n">
        <v>76.98999999999999</v>
      </c>
      <c r="DK738" s="2" t="n">
        <v>78.78</v>
      </c>
      <c r="DL738" s="2" t="n">
        <v>0</v>
      </c>
      <c r="DM738" s="2" t="n">
        <v>84.52</v>
      </c>
      <c r="DN738" s="2" t="n">
        <v>86.31</v>
      </c>
      <c r="DO738" s="2" t="n">
        <v>0</v>
      </c>
      <c r="DP738" s="2" t="n">
        <v>92.04000000000001</v>
      </c>
      <c r="DQ738" s="2" t="n">
        <v>93.83</v>
      </c>
      <c r="DR738" s="2" t="n">
        <v>0</v>
      </c>
      <c r="DS738" s="2" t="n">
        <v>95.73</v>
      </c>
      <c r="DT738" s="2" t="n">
        <v>96.77</v>
      </c>
      <c r="DU738" s="2" t="n">
        <v>0</v>
      </c>
      <c r="DV738" s="2" t="n">
        <v>96.77</v>
      </c>
      <c r="DW738" s="2" t="n">
        <v>97.13</v>
      </c>
      <c r="DX738" s="2" t="n">
        <v>0</v>
      </c>
      <c r="DY738" s="2" t="n">
        <v>100</v>
      </c>
      <c r="DZ738" s="2" t="n">
        <v>100</v>
      </c>
      <c r="EA738" s="2" t="n">
        <v>0</v>
      </c>
      <c r="EB738" s="2" t="n">
        <v>100</v>
      </c>
      <c r="EC738" s="2" t="n">
        <v>100</v>
      </c>
      <c r="ED738" s="2" t="n">
        <v>0</v>
      </c>
      <c r="EE738" s="2" t="n">
        <v>100</v>
      </c>
      <c r="EF738" s="2" t="n">
        <v>100</v>
      </c>
      <c r="EG738" s="2" t="n">
        <v>0</v>
      </c>
      <c r="EH738" s="2" t="n">
        <v>100</v>
      </c>
      <c r="EI738" s="2" t="n">
        <v>100</v>
      </c>
      <c r="EJ738" s="2" t="n">
        <v>0</v>
      </c>
      <c r="EK738" s="2" t="n">
        <v>100</v>
      </c>
      <c r="EL738" s="2" t="n">
        <v>100</v>
      </c>
      <c r="EM738" s="2" t="n">
        <v>0</v>
      </c>
      <c r="EN738" s="2" t="n">
        <v>100</v>
      </c>
      <c r="EO738" s="2" t="n">
        <v>100</v>
      </c>
      <c r="EP738" s="2" t="n">
        <v>0</v>
      </c>
      <c r="EQ738" s="2" t="n">
        <v>100</v>
      </c>
      <c r="ER738" s="2" t="n">
        <v>100</v>
      </c>
      <c r="ES738" s="2" t="n">
        <v>0</v>
      </c>
    </row>
    <row r="739">
      <c r="A739" s="2" t="n">
        <v>4</v>
      </c>
      <c r="B739" s="2" t="inlineStr">
        <is>
          <t>30.06.05.04</t>
        </is>
      </c>
      <c r="C739" s="2" t="inlineStr">
        <is>
          <t>Rodabanca de mármore Branco tradicional levigado h=10cm</t>
        </is>
      </c>
      <c r="D739" s="2" t="inlineStr">
        <is>
          <t>20/09/2027</t>
        </is>
      </c>
      <c r="E739" s="2" t="inlineStr">
        <is>
          <t>11/10/2028</t>
        </is>
      </c>
      <c r="F739" s="2" t="n">
        <v>135044.99832075</v>
      </c>
      <c r="G739" s="2" t="n">
        <v>0</v>
      </c>
      <c r="H739" s="2" t="n">
        <v>135044.99832075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n">
        <v>0</v>
      </c>
      <c r="AK739" s="2" t="n">
        <v>0</v>
      </c>
      <c r="AL739" s="2" t="n">
        <v>0</v>
      </c>
      <c r="AM739" s="2" t="n">
        <v>0</v>
      </c>
      <c r="AN739" s="2" t="n">
        <v>0</v>
      </c>
      <c r="AO739" s="2" t="n">
        <v>0</v>
      </c>
      <c r="AP739" s="2" t="n">
        <v>0</v>
      </c>
      <c r="AQ739" s="2" t="n">
        <v>0</v>
      </c>
      <c r="AR739" s="2" t="n">
        <v>0</v>
      </c>
      <c r="AS739" s="2" t="n">
        <v>0</v>
      </c>
      <c r="AT739" s="2" t="n">
        <v>0</v>
      </c>
      <c r="AU739" s="2" t="n">
        <v>0</v>
      </c>
      <c r="AV739" s="2" t="n">
        <v>0</v>
      </c>
      <c r="AW739" s="2" t="n">
        <v>0</v>
      </c>
      <c r="AX739" s="2" t="n">
        <v>0</v>
      </c>
      <c r="AY739" s="2" t="n">
        <v>0</v>
      </c>
      <c r="AZ739" s="2" t="n">
        <v>0</v>
      </c>
      <c r="BA739" s="2" t="n">
        <v>0</v>
      </c>
      <c r="BB739" s="2" t="n">
        <v>0</v>
      </c>
      <c r="BC739" s="2" t="n">
        <v>0</v>
      </c>
      <c r="BD739" s="2" t="n">
        <v>0</v>
      </c>
      <c r="BE739" s="2" t="n">
        <v>0</v>
      </c>
      <c r="BF739" s="2" t="n">
        <v>0</v>
      </c>
      <c r="BG739" s="2" t="n">
        <v>0</v>
      </c>
      <c r="BH739" s="2" t="n">
        <v>0</v>
      </c>
      <c r="BI739" s="2" t="n">
        <v>0</v>
      </c>
      <c r="BJ739" s="2" t="n">
        <v>0</v>
      </c>
      <c r="BK739" s="2" t="n">
        <v>0</v>
      </c>
      <c r="BL739" s="2" t="n">
        <v>0</v>
      </c>
      <c r="BM739" s="2" t="n">
        <v>0</v>
      </c>
      <c r="BN739" s="2" t="n">
        <v>0</v>
      </c>
      <c r="BO739" s="2" t="n">
        <v>0</v>
      </c>
      <c r="BP739" s="2" t="n">
        <v>0</v>
      </c>
      <c r="BQ739" s="2" t="n">
        <v>0</v>
      </c>
      <c r="BR739" s="2" t="n">
        <v>0</v>
      </c>
      <c r="BS739" s="2" t="n">
        <v>0</v>
      </c>
      <c r="BT739" s="2" t="n">
        <v>0</v>
      </c>
      <c r="BU739" s="2" t="n">
        <v>0</v>
      </c>
      <c r="BV739" s="2" t="n">
        <v>0</v>
      </c>
      <c r="BW739" s="2" t="n">
        <v>0</v>
      </c>
      <c r="BX739" s="2" t="n">
        <v>0</v>
      </c>
      <c r="BY739" s="2" t="n">
        <v>0</v>
      </c>
      <c r="BZ739" s="2" t="n">
        <v>0</v>
      </c>
      <c r="CA739" s="2" t="n">
        <v>0</v>
      </c>
      <c r="CB739" s="2" t="n">
        <v>0</v>
      </c>
      <c r="CC739" s="2" t="n">
        <v>0</v>
      </c>
      <c r="CD739" s="2" t="n">
        <v>0</v>
      </c>
      <c r="CE739" s="2" t="n">
        <v>0</v>
      </c>
      <c r="CF739" s="2" t="n">
        <v>0</v>
      </c>
      <c r="CG739" s="2" t="n">
        <v>0</v>
      </c>
      <c r="CH739" s="2" t="n">
        <v>0</v>
      </c>
      <c r="CI739" s="2" t="n">
        <v>0</v>
      </c>
      <c r="CJ739" s="2" t="n">
        <v>0</v>
      </c>
      <c r="CK739" s="2" t="n">
        <v>0</v>
      </c>
      <c r="CL739" s="2" t="n">
        <v>1.43</v>
      </c>
      <c r="CM739" s="2" t="n">
        <v>3.23</v>
      </c>
      <c r="CN739" s="2" t="n">
        <v>0</v>
      </c>
      <c r="CO739" s="2" t="n">
        <v>8.77</v>
      </c>
      <c r="CP739" s="2" t="n">
        <v>10.6</v>
      </c>
      <c r="CQ739" s="2" t="n">
        <v>0</v>
      </c>
      <c r="CR739" s="2" t="n">
        <v>16.84</v>
      </c>
      <c r="CS739" s="2" t="n">
        <v>18.69</v>
      </c>
      <c r="CT739" s="2" t="n">
        <v>0</v>
      </c>
      <c r="CU739" s="2" t="n">
        <v>23.62</v>
      </c>
      <c r="CV739" s="2" t="n">
        <v>25.46</v>
      </c>
      <c r="CW739" s="2" t="n">
        <v>0</v>
      </c>
      <c r="CX739" s="2" t="n">
        <v>44.96</v>
      </c>
      <c r="CY739" s="2" t="n">
        <v>46.79</v>
      </c>
      <c r="CZ739" s="2" t="n">
        <v>0</v>
      </c>
      <c r="DA739" s="2" t="n">
        <v>52.76</v>
      </c>
      <c r="DB739" s="2" t="n">
        <v>54.56</v>
      </c>
      <c r="DC739" s="2" t="n">
        <v>0</v>
      </c>
      <c r="DD739" s="2" t="n">
        <v>61.22</v>
      </c>
      <c r="DE739" s="2" t="n">
        <v>63.01</v>
      </c>
      <c r="DF739" s="2" t="n">
        <v>0</v>
      </c>
      <c r="DG739" s="2" t="n">
        <v>68.88</v>
      </c>
      <c r="DH739" s="2" t="n">
        <v>70.79000000000001</v>
      </c>
      <c r="DI739" s="2" t="n">
        <v>0</v>
      </c>
      <c r="DJ739" s="2" t="n">
        <v>76.98999999999999</v>
      </c>
      <c r="DK739" s="2" t="n">
        <v>78.78</v>
      </c>
      <c r="DL739" s="2" t="n">
        <v>0</v>
      </c>
      <c r="DM739" s="2" t="n">
        <v>84.52</v>
      </c>
      <c r="DN739" s="2" t="n">
        <v>86.31</v>
      </c>
      <c r="DO739" s="2" t="n">
        <v>0</v>
      </c>
      <c r="DP739" s="2" t="n">
        <v>92.04000000000001</v>
      </c>
      <c r="DQ739" s="2" t="n">
        <v>93.83</v>
      </c>
      <c r="DR739" s="2" t="n">
        <v>0</v>
      </c>
      <c r="DS739" s="2" t="n">
        <v>95.73</v>
      </c>
      <c r="DT739" s="2" t="n">
        <v>96.77</v>
      </c>
      <c r="DU739" s="2" t="n">
        <v>0</v>
      </c>
      <c r="DV739" s="2" t="n">
        <v>96.77</v>
      </c>
      <c r="DW739" s="2" t="n">
        <v>97.13</v>
      </c>
      <c r="DX739" s="2" t="n">
        <v>0</v>
      </c>
      <c r="DY739" s="2" t="n">
        <v>100</v>
      </c>
      <c r="DZ739" s="2" t="n">
        <v>100</v>
      </c>
      <c r="EA739" s="2" t="n">
        <v>0</v>
      </c>
      <c r="EB739" s="2" t="n">
        <v>100</v>
      </c>
      <c r="EC739" s="2" t="n">
        <v>100</v>
      </c>
      <c r="ED739" s="2" t="n">
        <v>0</v>
      </c>
      <c r="EE739" s="2" t="n">
        <v>100</v>
      </c>
      <c r="EF739" s="2" t="n">
        <v>100</v>
      </c>
      <c r="EG739" s="2" t="n">
        <v>0</v>
      </c>
      <c r="EH739" s="2" t="n">
        <v>100</v>
      </c>
      <c r="EI739" s="2" t="n">
        <v>100</v>
      </c>
      <c r="EJ739" s="2" t="n">
        <v>0</v>
      </c>
      <c r="EK739" s="2" t="n">
        <v>100</v>
      </c>
      <c r="EL739" s="2" t="n">
        <v>100</v>
      </c>
      <c r="EM739" s="2" t="n">
        <v>0</v>
      </c>
      <c r="EN739" s="2" t="n">
        <v>100</v>
      </c>
      <c r="EO739" s="2" t="n">
        <v>100</v>
      </c>
      <c r="EP739" s="2" t="n">
        <v>0</v>
      </c>
      <c r="EQ739" s="2" t="n">
        <v>100</v>
      </c>
      <c r="ER739" s="2" t="n">
        <v>100</v>
      </c>
      <c r="ES739" s="2" t="n">
        <v>0</v>
      </c>
    </row>
    <row r="740">
      <c r="A740" s="2" t="n">
        <v>4</v>
      </c>
      <c r="B740" s="2" t="inlineStr">
        <is>
          <t>30.06.05.05</t>
        </is>
      </c>
      <c r="C740" s="2" t="inlineStr">
        <is>
          <t>Furo e colagem de bojo</t>
        </is>
      </c>
      <c r="D740" s="2" t="inlineStr">
        <is>
          <t>20/09/2027</t>
        </is>
      </c>
      <c r="E740" s="2" t="inlineStr">
        <is>
          <t>11/10/2028</t>
        </is>
      </c>
      <c r="F740" s="2" t="n">
        <v>11205</v>
      </c>
      <c r="G740" s="2" t="n">
        <v>0</v>
      </c>
      <c r="H740" s="2" t="n">
        <v>11205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0</v>
      </c>
      <c r="AC740" s="2" t="n">
        <v>0</v>
      </c>
      <c r="AD740" s="2" t="n">
        <v>0</v>
      </c>
      <c r="AE740" s="2" t="n">
        <v>0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0</v>
      </c>
      <c r="AM740" s="2" t="n">
        <v>0</v>
      </c>
      <c r="AN740" s="2" t="n">
        <v>0</v>
      </c>
      <c r="AO740" s="2" t="n">
        <v>0</v>
      </c>
      <c r="AP740" s="2" t="n">
        <v>0</v>
      </c>
      <c r="AQ740" s="2" t="n">
        <v>0</v>
      </c>
      <c r="AR740" s="2" t="n">
        <v>0</v>
      </c>
      <c r="AS740" s="2" t="n">
        <v>0</v>
      </c>
      <c r="AT740" s="2" t="n">
        <v>0</v>
      </c>
      <c r="AU740" s="2" t="n">
        <v>0</v>
      </c>
      <c r="AV740" s="2" t="n">
        <v>0</v>
      </c>
      <c r="AW740" s="2" t="n">
        <v>0</v>
      </c>
      <c r="AX740" s="2" t="n">
        <v>0</v>
      </c>
      <c r="AY740" s="2" t="n">
        <v>0</v>
      </c>
      <c r="AZ740" s="2" t="n">
        <v>0</v>
      </c>
      <c r="BA740" s="2" t="n">
        <v>0</v>
      </c>
      <c r="BB740" s="2" t="n">
        <v>0</v>
      </c>
      <c r="BC740" s="2" t="n">
        <v>0</v>
      </c>
      <c r="BD740" s="2" t="n">
        <v>0</v>
      </c>
      <c r="BE740" s="2" t="n">
        <v>0</v>
      </c>
      <c r="BF740" s="2" t="n">
        <v>0</v>
      </c>
      <c r="BG740" s="2" t="n">
        <v>0</v>
      </c>
      <c r="BH740" s="2" t="n">
        <v>0</v>
      </c>
      <c r="BI740" s="2" t="n">
        <v>0</v>
      </c>
      <c r="BJ740" s="2" t="n">
        <v>0</v>
      </c>
      <c r="BK740" s="2" t="n">
        <v>0</v>
      </c>
      <c r="BL740" s="2" t="n">
        <v>0</v>
      </c>
      <c r="BM740" s="2" t="n">
        <v>0</v>
      </c>
      <c r="BN740" s="2" t="n">
        <v>0</v>
      </c>
      <c r="BO740" s="2" t="n">
        <v>0</v>
      </c>
      <c r="BP740" s="2" t="n">
        <v>0</v>
      </c>
      <c r="BQ740" s="2" t="n">
        <v>0</v>
      </c>
      <c r="BR740" s="2" t="n">
        <v>0</v>
      </c>
      <c r="BS740" s="2" t="n">
        <v>0</v>
      </c>
      <c r="BT740" s="2" t="n">
        <v>0</v>
      </c>
      <c r="BU740" s="2" t="n">
        <v>0</v>
      </c>
      <c r="BV740" s="2" t="n">
        <v>0</v>
      </c>
      <c r="BW740" s="2" t="n">
        <v>0</v>
      </c>
      <c r="BX740" s="2" t="n">
        <v>0</v>
      </c>
      <c r="BY740" s="2" t="n">
        <v>0</v>
      </c>
      <c r="BZ740" s="2" t="n">
        <v>0</v>
      </c>
      <c r="CA740" s="2" t="n">
        <v>0</v>
      </c>
      <c r="CB740" s="2" t="n">
        <v>0</v>
      </c>
      <c r="CC740" s="2" t="n">
        <v>0</v>
      </c>
      <c r="CD740" s="2" t="n">
        <v>0</v>
      </c>
      <c r="CE740" s="2" t="n">
        <v>0</v>
      </c>
      <c r="CF740" s="2" t="n">
        <v>0</v>
      </c>
      <c r="CG740" s="2" t="n">
        <v>0</v>
      </c>
      <c r="CH740" s="2" t="n">
        <v>0</v>
      </c>
      <c r="CI740" s="2" t="n">
        <v>0</v>
      </c>
      <c r="CJ740" s="2" t="n">
        <v>0</v>
      </c>
      <c r="CK740" s="2" t="n">
        <v>0</v>
      </c>
      <c r="CL740" s="2" t="n">
        <v>1.43</v>
      </c>
      <c r="CM740" s="2" t="n">
        <v>3.23</v>
      </c>
      <c r="CN740" s="2" t="n">
        <v>0</v>
      </c>
      <c r="CO740" s="2" t="n">
        <v>8.77</v>
      </c>
      <c r="CP740" s="2" t="n">
        <v>10.6</v>
      </c>
      <c r="CQ740" s="2" t="n">
        <v>0</v>
      </c>
      <c r="CR740" s="2" t="n">
        <v>16.84</v>
      </c>
      <c r="CS740" s="2" t="n">
        <v>18.69</v>
      </c>
      <c r="CT740" s="2" t="n">
        <v>0</v>
      </c>
      <c r="CU740" s="2" t="n">
        <v>23.62</v>
      </c>
      <c r="CV740" s="2" t="n">
        <v>25.46</v>
      </c>
      <c r="CW740" s="2" t="n">
        <v>0</v>
      </c>
      <c r="CX740" s="2" t="n">
        <v>44.96</v>
      </c>
      <c r="CY740" s="2" t="n">
        <v>46.79</v>
      </c>
      <c r="CZ740" s="2" t="n">
        <v>0</v>
      </c>
      <c r="DA740" s="2" t="n">
        <v>52.76</v>
      </c>
      <c r="DB740" s="2" t="n">
        <v>54.56</v>
      </c>
      <c r="DC740" s="2" t="n">
        <v>0</v>
      </c>
      <c r="DD740" s="2" t="n">
        <v>61.22</v>
      </c>
      <c r="DE740" s="2" t="n">
        <v>63.01</v>
      </c>
      <c r="DF740" s="2" t="n">
        <v>0</v>
      </c>
      <c r="DG740" s="2" t="n">
        <v>68.88</v>
      </c>
      <c r="DH740" s="2" t="n">
        <v>70.79000000000001</v>
      </c>
      <c r="DI740" s="2" t="n">
        <v>0</v>
      </c>
      <c r="DJ740" s="2" t="n">
        <v>76.98999999999999</v>
      </c>
      <c r="DK740" s="2" t="n">
        <v>78.78</v>
      </c>
      <c r="DL740" s="2" t="n">
        <v>0</v>
      </c>
      <c r="DM740" s="2" t="n">
        <v>84.52</v>
      </c>
      <c r="DN740" s="2" t="n">
        <v>86.31</v>
      </c>
      <c r="DO740" s="2" t="n">
        <v>0</v>
      </c>
      <c r="DP740" s="2" t="n">
        <v>92.04000000000001</v>
      </c>
      <c r="DQ740" s="2" t="n">
        <v>93.83</v>
      </c>
      <c r="DR740" s="2" t="n">
        <v>0</v>
      </c>
      <c r="DS740" s="2" t="n">
        <v>95.73</v>
      </c>
      <c r="DT740" s="2" t="n">
        <v>96.77</v>
      </c>
      <c r="DU740" s="2" t="n">
        <v>0</v>
      </c>
      <c r="DV740" s="2" t="n">
        <v>96.77</v>
      </c>
      <c r="DW740" s="2" t="n">
        <v>97.13</v>
      </c>
      <c r="DX740" s="2" t="n">
        <v>0</v>
      </c>
      <c r="DY740" s="2" t="n">
        <v>100</v>
      </c>
      <c r="DZ740" s="2" t="n">
        <v>100</v>
      </c>
      <c r="EA740" s="2" t="n">
        <v>0</v>
      </c>
      <c r="EB740" s="2" t="n">
        <v>100</v>
      </c>
      <c r="EC740" s="2" t="n">
        <v>100</v>
      </c>
      <c r="ED740" s="2" t="n">
        <v>0</v>
      </c>
      <c r="EE740" s="2" t="n">
        <v>100</v>
      </c>
      <c r="EF740" s="2" t="n">
        <v>100</v>
      </c>
      <c r="EG740" s="2" t="n">
        <v>0</v>
      </c>
      <c r="EH740" s="2" t="n">
        <v>100</v>
      </c>
      <c r="EI740" s="2" t="n">
        <v>100</v>
      </c>
      <c r="EJ740" s="2" t="n">
        <v>0</v>
      </c>
      <c r="EK740" s="2" t="n">
        <v>100</v>
      </c>
      <c r="EL740" s="2" t="n">
        <v>100</v>
      </c>
      <c r="EM740" s="2" t="n">
        <v>0</v>
      </c>
      <c r="EN740" s="2" t="n">
        <v>100</v>
      </c>
      <c r="EO740" s="2" t="n">
        <v>100</v>
      </c>
      <c r="EP740" s="2" t="n">
        <v>0</v>
      </c>
      <c r="EQ740" s="2" t="n">
        <v>100</v>
      </c>
      <c r="ER740" s="2" t="n">
        <v>100</v>
      </c>
      <c r="ES740" s="2" t="n">
        <v>0</v>
      </c>
    </row>
    <row r="741">
      <c r="A741" s="2" t="n">
        <v>4</v>
      </c>
      <c r="B741" s="2" t="inlineStr">
        <is>
          <t>30.06.05.06</t>
        </is>
      </c>
      <c r="C741" s="2" t="inlineStr">
        <is>
          <t>Mãos francesas para bancadas</t>
        </is>
      </c>
      <c r="D741" s="2" t="inlineStr">
        <is>
          <t>20/09/2027</t>
        </is>
      </c>
      <c r="E741" s="2" t="inlineStr">
        <is>
          <t>11/10/2028</t>
        </is>
      </c>
      <c r="F741" s="2" t="n">
        <v>17350</v>
      </c>
      <c r="G741" s="2" t="n">
        <v>0</v>
      </c>
      <c r="H741" s="2" t="n">
        <v>17350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>
        <v>0</v>
      </c>
      <c r="AE741" s="2" t="n">
        <v>0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n">
        <v>0</v>
      </c>
      <c r="AK741" s="2" t="n">
        <v>0</v>
      </c>
      <c r="AL741" s="2" t="n">
        <v>0</v>
      </c>
      <c r="AM741" s="2" t="n">
        <v>0</v>
      </c>
      <c r="AN741" s="2" t="n">
        <v>0</v>
      </c>
      <c r="AO741" s="2" t="n">
        <v>0</v>
      </c>
      <c r="AP741" s="2" t="n">
        <v>0</v>
      </c>
      <c r="AQ741" s="2" t="n">
        <v>0</v>
      </c>
      <c r="AR741" s="2" t="n">
        <v>0</v>
      </c>
      <c r="AS741" s="2" t="n">
        <v>0</v>
      </c>
      <c r="AT741" s="2" t="n">
        <v>0</v>
      </c>
      <c r="AU741" s="2" t="n">
        <v>0</v>
      </c>
      <c r="AV741" s="2" t="n">
        <v>0</v>
      </c>
      <c r="AW741" s="2" t="n">
        <v>0</v>
      </c>
      <c r="AX741" s="2" t="n">
        <v>0</v>
      </c>
      <c r="AY741" s="2" t="n">
        <v>0</v>
      </c>
      <c r="AZ741" s="2" t="n">
        <v>0</v>
      </c>
      <c r="BA741" s="2" t="n">
        <v>0</v>
      </c>
      <c r="BB741" s="2" t="n">
        <v>0</v>
      </c>
      <c r="BC741" s="2" t="n">
        <v>0</v>
      </c>
      <c r="BD741" s="2" t="n">
        <v>0</v>
      </c>
      <c r="BE741" s="2" t="n">
        <v>0</v>
      </c>
      <c r="BF741" s="2" t="n">
        <v>0</v>
      </c>
      <c r="BG741" s="2" t="n">
        <v>0</v>
      </c>
      <c r="BH741" s="2" t="n">
        <v>0</v>
      </c>
      <c r="BI741" s="2" t="n">
        <v>0</v>
      </c>
      <c r="BJ741" s="2" t="n">
        <v>0</v>
      </c>
      <c r="BK741" s="2" t="n">
        <v>0</v>
      </c>
      <c r="BL741" s="2" t="n">
        <v>0</v>
      </c>
      <c r="BM741" s="2" t="n">
        <v>0</v>
      </c>
      <c r="BN741" s="2" t="n">
        <v>0</v>
      </c>
      <c r="BO741" s="2" t="n">
        <v>0</v>
      </c>
      <c r="BP741" s="2" t="n">
        <v>0</v>
      </c>
      <c r="BQ741" s="2" t="n">
        <v>0</v>
      </c>
      <c r="BR741" s="2" t="n">
        <v>0</v>
      </c>
      <c r="BS741" s="2" t="n">
        <v>0</v>
      </c>
      <c r="BT741" s="2" t="n">
        <v>0</v>
      </c>
      <c r="BU741" s="2" t="n">
        <v>0</v>
      </c>
      <c r="BV741" s="2" t="n">
        <v>0</v>
      </c>
      <c r="BW741" s="2" t="n">
        <v>0</v>
      </c>
      <c r="BX741" s="2" t="n">
        <v>0</v>
      </c>
      <c r="BY741" s="2" t="n">
        <v>0</v>
      </c>
      <c r="BZ741" s="2" t="n">
        <v>0</v>
      </c>
      <c r="CA741" s="2" t="n">
        <v>0</v>
      </c>
      <c r="CB741" s="2" t="n">
        <v>0</v>
      </c>
      <c r="CC741" s="2" t="n">
        <v>0</v>
      </c>
      <c r="CD741" s="2" t="n">
        <v>0</v>
      </c>
      <c r="CE741" s="2" t="n">
        <v>0</v>
      </c>
      <c r="CF741" s="2" t="n">
        <v>0</v>
      </c>
      <c r="CG741" s="2" t="n">
        <v>0</v>
      </c>
      <c r="CH741" s="2" t="n">
        <v>0</v>
      </c>
      <c r="CI741" s="2" t="n">
        <v>0</v>
      </c>
      <c r="CJ741" s="2" t="n">
        <v>0</v>
      </c>
      <c r="CK741" s="2" t="n">
        <v>0</v>
      </c>
      <c r="CL741" s="2" t="n">
        <v>1.43</v>
      </c>
      <c r="CM741" s="2" t="n">
        <v>3.23</v>
      </c>
      <c r="CN741" s="2" t="n">
        <v>0</v>
      </c>
      <c r="CO741" s="2" t="n">
        <v>8.77</v>
      </c>
      <c r="CP741" s="2" t="n">
        <v>10.6</v>
      </c>
      <c r="CQ741" s="2" t="n">
        <v>0</v>
      </c>
      <c r="CR741" s="2" t="n">
        <v>16.84</v>
      </c>
      <c r="CS741" s="2" t="n">
        <v>18.69</v>
      </c>
      <c r="CT741" s="2" t="n">
        <v>0</v>
      </c>
      <c r="CU741" s="2" t="n">
        <v>23.62</v>
      </c>
      <c r="CV741" s="2" t="n">
        <v>25.46</v>
      </c>
      <c r="CW741" s="2" t="n">
        <v>0</v>
      </c>
      <c r="CX741" s="2" t="n">
        <v>44.96</v>
      </c>
      <c r="CY741" s="2" t="n">
        <v>46.79</v>
      </c>
      <c r="CZ741" s="2" t="n">
        <v>0</v>
      </c>
      <c r="DA741" s="2" t="n">
        <v>52.76</v>
      </c>
      <c r="DB741" s="2" t="n">
        <v>54.56</v>
      </c>
      <c r="DC741" s="2" t="n">
        <v>0</v>
      </c>
      <c r="DD741" s="2" t="n">
        <v>61.22</v>
      </c>
      <c r="DE741" s="2" t="n">
        <v>63.01</v>
      </c>
      <c r="DF741" s="2" t="n">
        <v>0</v>
      </c>
      <c r="DG741" s="2" t="n">
        <v>68.88</v>
      </c>
      <c r="DH741" s="2" t="n">
        <v>70.79000000000001</v>
      </c>
      <c r="DI741" s="2" t="n">
        <v>0</v>
      </c>
      <c r="DJ741" s="2" t="n">
        <v>76.98999999999999</v>
      </c>
      <c r="DK741" s="2" t="n">
        <v>78.78</v>
      </c>
      <c r="DL741" s="2" t="n">
        <v>0</v>
      </c>
      <c r="DM741" s="2" t="n">
        <v>84.52</v>
      </c>
      <c r="DN741" s="2" t="n">
        <v>86.31</v>
      </c>
      <c r="DO741" s="2" t="n">
        <v>0</v>
      </c>
      <c r="DP741" s="2" t="n">
        <v>92.04000000000001</v>
      </c>
      <c r="DQ741" s="2" t="n">
        <v>93.83</v>
      </c>
      <c r="DR741" s="2" t="n">
        <v>0</v>
      </c>
      <c r="DS741" s="2" t="n">
        <v>95.73</v>
      </c>
      <c r="DT741" s="2" t="n">
        <v>96.77</v>
      </c>
      <c r="DU741" s="2" t="n">
        <v>0</v>
      </c>
      <c r="DV741" s="2" t="n">
        <v>96.77</v>
      </c>
      <c r="DW741" s="2" t="n">
        <v>97.13</v>
      </c>
      <c r="DX741" s="2" t="n">
        <v>0</v>
      </c>
      <c r="DY741" s="2" t="n">
        <v>100</v>
      </c>
      <c r="DZ741" s="2" t="n">
        <v>100</v>
      </c>
      <c r="EA741" s="2" t="n">
        <v>0</v>
      </c>
      <c r="EB741" s="2" t="n">
        <v>100</v>
      </c>
      <c r="EC741" s="2" t="n">
        <v>100</v>
      </c>
      <c r="ED741" s="2" t="n">
        <v>0</v>
      </c>
      <c r="EE741" s="2" t="n">
        <v>100</v>
      </c>
      <c r="EF741" s="2" t="n">
        <v>100</v>
      </c>
      <c r="EG741" s="2" t="n">
        <v>0</v>
      </c>
      <c r="EH741" s="2" t="n">
        <v>100</v>
      </c>
      <c r="EI741" s="2" t="n">
        <v>100</v>
      </c>
      <c r="EJ741" s="2" t="n">
        <v>0</v>
      </c>
      <c r="EK741" s="2" t="n">
        <v>100</v>
      </c>
      <c r="EL741" s="2" t="n">
        <v>100</v>
      </c>
      <c r="EM741" s="2" t="n">
        <v>0</v>
      </c>
      <c r="EN741" s="2" t="n">
        <v>100</v>
      </c>
      <c r="EO741" s="2" t="n">
        <v>100</v>
      </c>
      <c r="EP741" s="2" t="n">
        <v>0</v>
      </c>
      <c r="EQ741" s="2" t="n">
        <v>100</v>
      </c>
      <c r="ER741" s="2" t="n">
        <v>100</v>
      </c>
      <c r="ES741" s="2" t="n">
        <v>0</v>
      </c>
    </row>
    <row r="742">
      <c r="A742" s="2" t="n">
        <v>4</v>
      </c>
      <c r="B742" s="2" t="inlineStr">
        <is>
          <t>30.06.05.07</t>
        </is>
      </c>
      <c r="C742" s="2" t="inlineStr">
        <is>
          <t>Proteção de bancadas contra manuseio de obra</t>
        </is>
      </c>
      <c r="D742" s="2" t="inlineStr">
        <is>
          <t>20/09/2027</t>
        </is>
      </c>
      <c r="E742" s="2" t="inlineStr">
        <is>
          <t>11/10/2028</t>
        </is>
      </c>
      <c r="F742" s="2" t="n">
        <v>3317.459841316429</v>
      </c>
      <c r="G742" s="2" t="n">
        <v>0</v>
      </c>
      <c r="H742" s="2" t="n">
        <v>3317.459841316429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n">
        <v>0</v>
      </c>
      <c r="AK742" s="2" t="n">
        <v>0</v>
      </c>
      <c r="AL742" s="2" t="n">
        <v>0</v>
      </c>
      <c r="AM742" s="2" t="n">
        <v>0</v>
      </c>
      <c r="AN742" s="2" t="n">
        <v>0</v>
      </c>
      <c r="AO742" s="2" t="n">
        <v>0</v>
      </c>
      <c r="AP742" s="2" t="n">
        <v>0</v>
      </c>
      <c r="AQ742" s="2" t="n">
        <v>0</v>
      </c>
      <c r="AR742" s="2" t="n">
        <v>0</v>
      </c>
      <c r="AS742" s="2" t="n">
        <v>0</v>
      </c>
      <c r="AT742" s="2" t="n">
        <v>0</v>
      </c>
      <c r="AU742" s="2" t="n">
        <v>0</v>
      </c>
      <c r="AV742" s="2" t="n">
        <v>0</v>
      </c>
      <c r="AW742" s="2" t="n">
        <v>0</v>
      </c>
      <c r="AX742" s="2" t="n">
        <v>0</v>
      </c>
      <c r="AY742" s="2" t="n">
        <v>0</v>
      </c>
      <c r="AZ742" s="2" t="n">
        <v>0</v>
      </c>
      <c r="BA742" s="2" t="n">
        <v>0</v>
      </c>
      <c r="BB742" s="2" t="n">
        <v>0</v>
      </c>
      <c r="BC742" s="2" t="n">
        <v>0</v>
      </c>
      <c r="BD742" s="2" t="n">
        <v>0</v>
      </c>
      <c r="BE742" s="2" t="n">
        <v>0</v>
      </c>
      <c r="BF742" s="2" t="n">
        <v>0</v>
      </c>
      <c r="BG742" s="2" t="n">
        <v>0</v>
      </c>
      <c r="BH742" s="2" t="n">
        <v>0</v>
      </c>
      <c r="BI742" s="2" t="n">
        <v>0</v>
      </c>
      <c r="BJ742" s="2" t="n">
        <v>0</v>
      </c>
      <c r="BK742" s="2" t="n">
        <v>0</v>
      </c>
      <c r="BL742" s="2" t="n">
        <v>0</v>
      </c>
      <c r="BM742" s="2" t="n">
        <v>0</v>
      </c>
      <c r="BN742" s="2" t="n">
        <v>0</v>
      </c>
      <c r="BO742" s="2" t="n">
        <v>0</v>
      </c>
      <c r="BP742" s="2" t="n">
        <v>0</v>
      </c>
      <c r="BQ742" s="2" t="n">
        <v>0</v>
      </c>
      <c r="BR742" s="2" t="n">
        <v>0</v>
      </c>
      <c r="BS742" s="2" t="n">
        <v>0</v>
      </c>
      <c r="BT742" s="2" t="n">
        <v>0</v>
      </c>
      <c r="BU742" s="2" t="n">
        <v>0</v>
      </c>
      <c r="BV742" s="2" t="n">
        <v>0</v>
      </c>
      <c r="BW742" s="2" t="n">
        <v>0</v>
      </c>
      <c r="BX742" s="2" t="n">
        <v>0</v>
      </c>
      <c r="BY742" s="2" t="n">
        <v>0</v>
      </c>
      <c r="BZ742" s="2" t="n">
        <v>0</v>
      </c>
      <c r="CA742" s="2" t="n">
        <v>0</v>
      </c>
      <c r="CB742" s="2" t="n">
        <v>0</v>
      </c>
      <c r="CC742" s="2" t="n">
        <v>0</v>
      </c>
      <c r="CD742" s="2" t="n">
        <v>0</v>
      </c>
      <c r="CE742" s="2" t="n">
        <v>0</v>
      </c>
      <c r="CF742" s="2" t="n">
        <v>0</v>
      </c>
      <c r="CG742" s="2" t="n">
        <v>0</v>
      </c>
      <c r="CH742" s="2" t="n">
        <v>0</v>
      </c>
      <c r="CI742" s="2" t="n">
        <v>0</v>
      </c>
      <c r="CJ742" s="2" t="n">
        <v>0</v>
      </c>
      <c r="CK742" s="2" t="n">
        <v>0</v>
      </c>
      <c r="CL742" s="2" t="n">
        <v>1.43</v>
      </c>
      <c r="CM742" s="2" t="n">
        <v>3.23</v>
      </c>
      <c r="CN742" s="2" t="n">
        <v>0</v>
      </c>
      <c r="CO742" s="2" t="n">
        <v>8.77</v>
      </c>
      <c r="CP742" s="2" t="n">
        <v>10.6</v>
      </c>
      <c r="CQ742" s="2" t="n">
        <v>0</v>
      </c>
      <c r="CR742" s="2" t="n">
        <v>16.84</v>
      </c>
      <c r="CS742" s="2" t="n">
        <v>18.69</v>
      </c>
      <c r="CT742" s="2" t="n">
        <v>0</v>
      </c>
      <c r="CU742" s="2" t="n">
        <v>23.62</v>
      </c>
      <c r="CV742" s="2" t="n">
        <v>25.46</v>
      </c>
      <c r="CW742" s="2" t="n">
        <v>0</v>
      </c>
      <c r="CX742" s="2" t="n">
        <v>44.96</v>
      </c>
      <c r="CY742" s="2" t="n">
        <v>46.79</v>
      </c>
      <c r="CZ742" s="2" t="n">
        <v>0</v>
      </c>
      <c r="DA742" s="2" t="n">
        <v>52.76</v>
      </c>
      <c r="DB742" s="2" t="n">
        <v>54.56</v>
      </c>
      <c r="DC742" s="2" t="n">
        <v>0</v>
      </c>
      <c r="DD742" s="2" t="n">
        <v>61.22</v>
      </c>
      <c r="DE742" s="2" t="n">
        <v>63.01</v>
      </c>
      <c r="DF742" s="2" t="n">
        <v>0</v>
      </c>
      <c r="DG742" s="2" t="n">
        <v>68.88</v>
      </c>
      <c r="DH742" s="2" t="n">
        <v>70.79000000000001</v>
      </c>
      <c r="DI742" s="2" t="n">
        <v>0</v>
      </c>
      <c r="DJ742" s="2" t="n">
        <v>76.98999999999999</v>
      </c>
      <c r="DK742" s="2" t="n">
        <v>78.78</v>
      </c>
      <c r="DL742" s="2" t="n">
        <v>0</v>
      </c>
      <c r="DM742" s="2" t="n">
        <v>84.52</v>
      </c>
      <c r="DN742" s="2" t="n">
        <v>86.31</v>
      </c>
      <c r="DO742" s="2" t="n">
        <v>0</v>
      </c>
      <c r="DP742" s="2" t="n">
        <v>92.04000000000001</v>
      </c>
      <c r="DQ742" s="2" t="n">
        <v>93.83</v>
      </c>
      <c r="DR742" s="2" t="n">
        <v>0</v>
      </c>
      <c r="DS742" s="2" t="n">
        <v>95.73</v>
      </c>
      <c r="DT742" s="2" t="n">
        <v>96.77</v>
      </c>
      <c r="DU742" s="2" t="n">
        <v>0</v>
      </c>
      <c r="DV742" s="2" t="n">
        <v>96.77</v>
      </c>
      <c r="DW742" s="2" t="n">
        <v>97.13</v>
      </c>
      <c r="DX742" s="2" t="n">
        <v>0</v>
      </c>
      <c r="DY742" s="2" t="n">
        <v>100</v>
      </c>
      <c r="DZ742" s="2" t="n">
        <v>100</v>
      </c>
      <c r="EA742" s="2" t="n">
        <v>0</v>
      </c>
      <c r="EB742" s="2" t="n">
        <v>100</v>
      </c>
      <c r="EC742" s="2" t="n">
        <v>100</v>
      </c>
      <c r="ED742" s="2" t="n">
        <v>0</v>
      </c>
      <c r="EE742" s="2" t="n">
        <v>100</v>
      </c>
      <c r="EF742" s="2" t="n">
        <v>100</v>
      </c>
      <c r="EG742" s="2" t="n">
        <v>0</v>
      </c>
      <c r="EH742" s="2" t="n">
        <v>100</v>
      </c>
      <c r="EI742" s="2" t="n">
        <v>100</v>
      </c>
      <c r="EJ742" s="2" t="n">
        <v>0</v>
      </c>
      <c r="EK742" s="2" t="n">
        <v>100</v>
      </c>
      <c r="EL742" s="2" t="n">
        <v>100</v>
      </c>
      <c r="EM742" s="2" t="n">
        <v>0</v>
      </c>
      <c r="EN742" s="2" t="n">
        <v>100</v>
      </c>
      <c r="EO742" s="2" t="n">
        <v>100</v>
      </c>
      <c r="EP742" s="2" t="n">
        <v>0</v>
      </c>
      <c r="EQ742" s="2" t="n">
        <v>100</v>
      </c>
      <c r="ER742" s="2" t="n">
        <v>100</v>
      </c>
      <c r="ES742" s="2" t="n">
        <v>0</v>
      </c>
    </row>
    <row r="743">
      <c r="A743" s="2" t="n">
        <v>3</v>
      </c>
      <c r="B743" s="2" t="inlineStr">
        <is>
          <t>30.06.06</t>
        </is>
      </c>
      <c r="C743" s="2" t="inlineStr">
        <is>
          <t>Bancada em Quartzito Kalahari Escovado e Hidrofugado</t>
        </is>
      </c>
      <c r="D743" s="2" t="inlineStr">
        <is>
          <t>20/09/2027</t>
        </is>
      </c>
      <c r="E743" s="2" t="inlineStr">
        <is>
          <t>11/10/2028</t>
        </is>
      </c>
      <c r="F743" s="2" t="n">
        <v>39526.46620587145</v>
      </c>
      <c r="G743" s="2" t="n">
        <v>0</v>
      </c>
      <c r="H743" s="2" t="n">
        <v>39526.46620587145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0</v>
      </c>
      <c r="AM743" s="2" t="n">
        <v>0</v>
      </c>
      <c r="AN743" s="2" t="n">
        <v>0</v>
      </c>
      <c r="AO743" s="2" t="n">
        <v>0</v>
      </c>
      <c r="AP743" s="2" t="n">
        <v>0</v>
      </c>
      <c r="AQ743" s="2" t="n">
        <v>0</v>
      </c>
      <c r="AR743" s="2" t="n">
        <v>0</v>
      </c>
      <c r="AS743" s="2" t="n">
        <v>0</v>
      </c>
      <c r="AT743" s="2" t="n">
        <v>0</v>
      </c>
      <c r="AU743" s="2" t="n">
        <v>0</v>
      </c>
      <c r="AV743" s="2" t="n">
        <v>0</v>
      </c>
      <c r="AW743" s="2" t="n">
        <v>0</v>
      </c>
      <c r="AX743" s="2" t="n">
        <v>0</v>
      </c>
      <c r="AY743" s="2" t="n">
        <v>0</v>
      </c>
      <c r="AZ743" s="2" t="n">
        <v>0</v>
      </c>
      <c r="BA743" s="2" t="n">
        <v>0</v>
      </c>
      <c r="BB743" s="2" t="n">
        <v>0</v>
      </c>
      <c r="BC743" s="2" t="n">
        <v>0</v>
      </c>
      <c r="BD743" s="2" t="n">
        <v>0</v>
      </c>
      <c r="BE743" s="2" t="n">
        <v>0</v>
      </c>
      <c r="BF743" s="2" t="n">
        <v>0</v>
      </c>
      <c r="BG743" s="2" t="n">
        <v>0</v>
      </c>
      <c r="BH743" s="2" t="n">
        <v>0</v>
      </c>
      <c r="BI743" s="2" t="n">
        <v>0</v>
      </c>
      <c r="BJ743" s="2" t="n">
        <v>0</v>
      </c>
      <c r="BK743" s="2" t="n">
        <v>0</v>
      </c>
      <c r="BL743" s="2" t="n">
        <v>0</v>
      </c>
      <c r="BM743" s="2" t="n">
        <v>0</v>
      </c>
      <c r="BN743" s="2" t="n">
        <v>0</v>
      </c>
      <c r="BO743" s="2" t="n">
        <v>0</v>
      </c>
      <c r="BP743" s="2" t="n">
        <v>0</v>
      </c>
      <c r="BQ743" s="2" t="n">
        <v>0</v>
      </c>
      <c r="BR743" s="2" t="n">
        <v>0</v>
      </c>
      <c r="BS743" s="2" t="n">
        <v>0</v>
      </c>
      <c r="BT743" s="2" t="n">
        <v>0</v>
      </c>
      <c r="BU743" s="2" t="n">
        <v>0</v>
      </c>
      <c r="BV743" s="2" t="n">
        <v>0</v>
      </c>
      <c r="BW743" s="2" t="n">
        <v>0</v>
      </c>
      <c r="BX743" s="2" t="n">
        <v>0</v>
      </c>
      <c r="BY743" s="2" t="n">
        <v>0</v>
      </c>
      <c r="BZ743" s="2" t="n">
        <v>0</v>
      </c>
      <c r="CA743" s="2" t="n">
        <v>0</v>
      </c>
      <c r="CB743" s="2" t="n">
        <v>0</v>
      </c>
      <c r="CC743" s="2" t="n">
        <v>0</v>
      </c>
      <c r="CD743" s="2" t="n">
        <v>0</v>
      </c>
      <c r="CE743" s="2" t="n">
        <v>0</v>
      </c>
      <c r="CF743" s="2" t="n">
        <v>0</v>
      </c>
      <c r="CG743" s="2" t="n">
        <v>0</v>
      </c>
      <c r="CH743" s="2" t="n">
        <v>0</v>
      </c>
      <c r="CI743" s="2" t="n">
        <v>0</v>
      </c>
      <c r="CJ743" s="2" t="n">
        <v>0</v>
      </c>
      <c r="CK743" s="2" t="n">
        <v>0</v>
      </c>
      <c r="CL743" s="2" t="n">
        <v>1.43</v>
      </c>
      <c r="CM743" s="2" t="n">
        <v>3.23</v>
      </c>
      <c r="CN743" s="2" t="n">
        <v>0</v>
      </c>
      <c r="CO743" s="2" t="n">
        <v>8.77</v>
      </c>
      <c r="CP743" s="2" t="n">
        <v>10.6</v>
      </c>
      <c r="CQ743" s="2" t="n">
        <v>0</v>
      </c>
      <c r="CR743" s="2" t="n">
        <v>16.84</v>
      </c>
      <c r="CS743" s="2" t="n">
        <v>18.69</v>
      </c>
      <c r="CT743" s="2" t="n">
        <v>0</v>
      </c>
      <c r="CU743" s="2" t="n">
        <v>23.62</v>
      </c>
      <c r="CV743" s="2" t="n">
        <v>25.46</v>
      </c>
      <c r="CW743" s="2" t="n">
        <v>0</v>
      </c>
      <c r="CX743" s="2" t="n">
        <v>44.96</v>
      </c>
      <c r="CY743" s="2" t="n">
        <v>46.79</v>
      </c>
      <c r="CZ743" s="2" t="n">
        <v>0</v>
      </c>
      <c r="DA743" s="2" t="n">
        <v>52.76</v>
      </c>
      <c r="DB743" s="2" t="n">
        <v>54.56</v>
      </c>
      <c r="DC743" s="2" t="n">
        <v>0</v>
      </c>
      <c r="DD743" s="2" t="n">
        <v>61.22</v>
      </c>
      <c r="DE743" s="2" t="n">
        <v>63.01</v>
      </c>
      <c r="DF743" s="2" t="n">
        <v>0</v>
      </c>
      <c r="DG743" s="2" t="n">
        <v>68.88</v>
      </c>
      <c r="DH743" s="2" t="n">
        <v>70.79000000000001</v>
      </c>
      <c r="DI743" s="2" t="n">
        <v>0</v>
      </c>
      <c r="DJ743" s="2" t="n">
        <v>76.98999999999999</v>
      </c>
      <c r="DK743" s="2" t="n">
        <v>78.78</v>
      </c>
      <c r="DL743" s="2" t="n">
        <v>0</v>
      </c>
      <c r="DM743" s="2" t="n">
        <v>84.52</v>
      </c>
      <c r="DN743" s="2" t="n">
        <v>86.31</v>
      </c>
      <c r="DO743" s="2" t="n">
        <v>0</v>
      </c>
      <c r="DP743" s="2" t="n">
        <v>92.04000000000001</v>
      </c>
      <c r="DQ743" s="2" t="n">
        <v>93.83</v>
      </c>
      <c r="DR743" s="2" t="n">
        <v>0</v>
      </c>
      <c r="DS743" s="2" t="n">
        <v>95.73</v>
      </c>
      <c r="DT743" s="2" t="n">
        <v>96.77</v>
      </c>
      <c r="DU743" s="2" t="n">
        <v>0</v>
      </c>
      <c r="DV743" s="2" t="n">
        <v>96.77</v>
      </c>
      <c r="DW743" s="2" t="n">
        <v>97.13</v>
      </c>
      <c r="DX743" s="2" t="n">
        <v>0</v>
      </c>
      <c r="DY743" s="2" t="n">
        <v>100</v>
      </c>
      <c r="DZ743" s="2" t="n">
        <v>100</v>
      </c>
      <c r="EA743" s="2" t="n">
        <v>0</v>
      </c>
      <c r="EB743" s="2" t="n">
        <v>100</v>
      </c>
      <c r="EC743" s="2" t="n">
        <v>100</v>
      </c>
      <c r="ED743" s="2" t="n">
        <v>0</v>
      </c>
      <c r="EE743" s="2" t="n">
        <v>100</v>
      </c>
      <c r="EF743" s="2" t="n">
        <v>100</v>
      </c>
      <c r="EG743" s="2" t="n">
        <v>0</v>
      </c>
      <c r="EH743" s="2" t="n">
        <v>100</v>
      </c>
      <c r="EI743" s="2" t="n">
        <v>100</v>
      </c>
      <c r="EJ743" s="2" t="n">
        <v>0</v>
      </c>
      <c r="EK743" s="2" t="n">
        <v>100</v>
      </c>
      <c r="EL743" s="2" t="n">
        <v>100</v>
      </c>
      <c r="EM743" s="2" t="n">
        <v>0</v>
      </c>
      <c r="EN743" s="2" t="n">
        <v>100</v>
      </c>
      <c r="EO743" s="2" t="n">
        <v>100</v>
      </c>
      <c r="EP743" s="2" t="n">
        <v>0</v>
      </c>
      <c r="EQ743" s="2" t="n">
        <v>100</v>
      </c>
      <c r="ER743" s="2" t="n">
        <v>100</v>
      </c>
      <c r="ES743" s="2" t="n">
        <v>0</v>
      </c>
    </row>
    <row r="744">
      <c r="A744" s="2" t="n">
        <v>4</v>
      </c>
      <c r="B744" s="2" t="inlineStr">
        <is>
          <t>30.06.06.01</t>
        </is>
      </c>
      <c r="C744" s="2" t="inlineStr">
        <is>
          <t>Bancada em Quartzito Kalahari Escovado e Hidrofugado</t>
        </is>
      </c>
      <c r="D744" s="2" t="inlineStr">
        <is>
          <t>20/09/2027</t>
        </is>
      </c>
      <c r="E744" s="2" t="inlineStr">
        <is>
          <t>11/10/2028</t>
        </is>
      </c>
      <c r="F744" s="2" t="n">
        <v>17991.622045</v>
      </c>
      <c r="G744" s="2" t="n">
        <v>0</v>
      </c>
      <c r="H744" s="2" t="n">
        <v>17991.622045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0</v>
      </c>
      <c r="AM744" s="2" t="n">
        <v>0</v>
      </c>
      <c r="AN744" s="2" t="n">
        <v>0</v>
      </c>
      <c r="AO744" s="2" t="n">
        <v>0</v>
      </c>
      <c r="AP744" s="2" t="n">
        <v>0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n">
        <v>0</v>
      </c>
      <c r="AZ744" s="2" t="n">
        <v>0</v>
      </c>
      <c r="BA744" s="2" t="n">
        <v>0</v>
      </c>
      <c r="BB744" s="2" t="n">
        <v>0</v>
      </c>
      <c r="BC744" s="2" t="n">
        <v>0</v>
      </c>
      <c r="BD744" s="2" t="n">
        <v>0</v>
      </c>
      <c r="BE744" s="2" t="n">
        <v>0</v>
      </c>
      <c r="BF744" s="2" t="n">
        <v>0</v>
      </c>
      <c r="BG744" s="2" t="n">
        <v>0</v>
      </c>
      <c r="BH744" s="2" t="n">
        <v>0</v>
      </c>
      <c r="BI744" s="2" t="n">
        <v>0</v>
      </c>
      <c r="BJ744" s="2" t="n">
        <v>0</v>
      </c>
      <c r="BK744" s="2" t="n">
        <v>0</v>
      </c>
      <c r="BL744" s="2" t="n">
        <v>0</v>
      </c>
      <c r="BM744" s="2" t="n">
        <v>0</v>
      </c>
      <c r="BN744" s="2" t="n">
        <v>0</v>
      </c>
      <c r="BO744" s="2" t="n">
        <v>0</v>
      </c>
      <c r="BP744" s="2" t="n">
        <v>0</v>
      </c>
      <c r="BQ744" s="2" t="n">
        <v>0</v>
      </c>
      <c r="BR744" s="2" t="n">
        <v>0</v>
      </c>
      <c r="BS744" s="2" t="n">
        <v>0</v>
      </c>
      <c r="BT744" s="2" t="n">
        <v>0</v>
      </c>
      <c r="BU744" s="2" t="n">
        <v>0</v>
      </c>
      <c r="BV744" s="2" t="n">
        <v>0</v>
      </c>
      <c r="BW744" s="2" t="n">
        <v>0</v>
      </c>
      <c r="BX744" s="2" t="n">
        <v>0</v>
      </c>
      <c r="BY744" s="2" t="n">
        <v>0</v>
      </c>
      <c r="BZ744" s="2" t="n">
        <v>0</v>
      </c>
      <c r="CA744" s="2" t="n">
        <v>0</v>
      </c>
      <c r="CB744" s="2" t="n">
        <v>0</v>
      </c>
      <c r="CC744" s="2" t="n">
        <v>0</v>
      </c>
      <c r="CD744" s="2" t="n">
        <v>0</v>
      </c>
      <c r="CE744" s="2" t="n">
        <v>0</v>
      </c>
      <c r="CF744" s="2" t="n">
        <v>0</v>
      </c>
      <c r="CG744" s="2" t="n">
        <v>0</v>
      </c>
      <c r="CH744" s="2" t="n">
        <v>0</v>
      </c>
      <c r="CI744" s="2" t="n">
        <v>0</v>
      </c>
      <c r="CJ744" s="2" t="n">
        <v>0</v>
      </c>
      <c r="CK744" s="2" t="n">
        <v>0</v>
      </c>
      <c r="CL744" s="2" t="n">
        <v>1.43</v>
      </c>
      <c r="CM744" s="2" t="n">
        <v>3.23</v>
      </c>
      <c r="CN744" s="2" t="n">
        <v>0</v>
      </c>
      <c r="CO744" s="2" t="n">
        <v>8.77</v>
      </c>
      <c r="CP744" s="2" t="n">
        <v>10.6</v>
      </c>
      <c r="CQ744" s="2" t="n">
        <v>0</v>
      </c>
      <c r="CR744" s="2" t="n">
        <v>16.84</v>
      </c>
      <c r="CS744" s="2" t="n">
        <v>18.69</v>
      </c>
      <c r="CT744" s="2" t="n">
        <v>0</v>
      </c>
      <c r="CU744" s="2" t="n">
        <v>23.62</v>
      </c>
      <c r="CV744" s="2" t="n">
        <v>25.46</v>
      </c>
      <c r="CW744" s="2" t="n">
        <v>0</v>
      </c>
      <c r="CX744" s="2" t="n">
        <v>44.96</v>
      </c>
      <c r="CY744" s="2" t="n">
        <v>46.79</v>
      </c>
      <c r="CZ744" s="2" t="n">
        <v>0</v>
      </c>
      <c r="DA744" s="2" t="n">
        <v>52.76</v>
      </c>
      <c r="DB744" s="2" t="n">
        <v>54.56</v>
      </c>
      <c r="DC744" s="2" t="n">
        <v>0</v>
      </c>
      <c r="DD744" s="2" t="n">
        <v>61.22</v>
      </c>
      <c r="DE744" s="2" t="n">
        <v>63.01</v>
      </c>
      <c r="DF744" s="2" t="n">
        <v>0</v>
      </c>
      <c r="DG744" s="2" t="n">
        <v>68.88</v>
      </c>
      <c r="DH744" s="2" t="n">
        <v>70.79000000000001</v>
      </c>
      <c r="DI744" s="2" t="n">
        <v>0</v>
      </c>
      <c r="DJ744" s="2" t="n">
        <v>76.98999999999999</v>
      </c>
      <c r="DK744" s="2" t="n">
        <v>78.78</v>
      </c>
      <c r="DL744" s="2" t="n">
        <v>0</v>
      </c>
      <c r="DM744" s="2" t="n">
        <v>84.52</v>
      </c>
      <c r="DN744" s="2" t="n">
        <v>86.31</v>
      </c>
      <c r="DO744" s="2" t="n">
        <v>0</v>
      </c>
      <c r="DP744" s="2" t="n">
        <v>92.04000000000001</v>
      </c>
      <c r="DQ744" s="2" t="n">
        <v>93.83</v>
      </c>
      <c r="DR744" s="2" t="n">
        <v>0</v>
      </c>
      <c r="DS744" s="2" t="n">
        <v>95.73</v>
      </c>
      <c r="DT744" s="2" t="n">
        <v>96.77</v>
      </c>
      <c r="DU744" s="2" t="n">
        <v>0</v>
      </c>
      <c r="DV744" s="2" t="n">
        <v>96.77</v>
      </c>
      <c r="DW744" s="2" t="n">
        <v>97.13</v>
      </c>
      <c r="DX744" s="2" t="n">
        <v>0</v>
      </c>
      <c r="DY744" s="2" t="n">
        <v>100</v>
      </c>
      <c r="DZ744" s="2" t="n">
        <v>100</v>
      </c>
      <c r="EA744" s="2" t="n">
        <v>0</v>
      </c>
      <c r="EB744" s="2" t="n">
        <v>100</v>
      </c>
      <c r="EC744" s="2" t="n">
        <v>100</v>
      </c>
      <c r="ED744" s="2" t="n">
        <v>0</v>
      </c>
      <c r="EE744" s="2" t="n">
        <v>100</v>
      </c>
      <c r="EF744" s="2" t="n">
        <v>100</v>
      </c>
      <c r="EG744" s="2" t="n">
        <v>0</v>
      </c>
      <c r="EH744" s="2" t="n">
        <v>100</v>
      </c>
      <c r="EI744" s="2" t="n">
        <v>100</v>
      </c>
      <c r="EJ744" s="2" t="n">
        <v>0</v>
      </c>
      <c r="EK744" s="2" t="n">
        <v>100</v>
      </c>
      <c r="EL744" s="2" t="n">
        <v>100</v>
      </c>
      <c r="EM744" s="2" t="n">
        <v>0</v>
      </c>
      <c r="EN744" s="2" t="n">
        <v>100</v>
      </c>
      <c r="EO744" s="2" t="n">
        <v>100</v>
      </c>
      <c r="EP744" s="2" t="n">
        <v>0</v>
      </c>
      <c r="EQ744" s="2" t="n">
        <v>100</v>
      </c>
      <c r="ER744" s="2" t="n">
        <v>100</v>
      </c>
      <c r="ES744" s="2" t="n">
        <v>0</v>
      </c>
    </row>
    <row r="745">
      <c r="A745" s="2" t="n">
        <v>4</v>
      </c>
      <c r="B745" s="2" t="inlineStr">
        <is>
          <t>30.06.06.02</t>
        </is>
      </c>
      <c r="C745" s="2" t="inlineStr">
        <is>
          <t>Cuba suspensa "esculpida" Quartzito Kalahari Escovado e Hidrofugado</t>
        </is>
      </c>
      <c r="D745" s="2" t="inlineStr">
        <is>
          <t>20/09/2027</t>
        </is>
      </c>
      <c r="E745" s="2" t="inlineStr">
        <is>
          <t>11/10/2028</t>
        </is>
      </c>
      <c r="F745" s="2" t="n">
        <v>6168.856663500001</v>
      </c>
      <c r="G745" s="2" t="n">
        <v>0</v>
      </c>
      <c r="H745" s="2" t="n">
        <v>6168.856663500001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0</v>
      </c>
      <c r="AM745" s="2" t="n">
        <v>0</v>
      </c>
      <c r="AN745" s="2" t="n">
        <v>0</v>
      </c>
      <c r="AO745" s="2" t="n">
        <v>0</v>
      </c>
      <c r="AP745" s="2" t="n">
        <v>0</v>
      </c>
      <c r="AQ745" s="2" t="n">
        <v>0</v>
      </c>
      <c r="AR745" s="2" t="n">
        <v>0</v>
      </c>
      <c r="AS745" s="2" t="n">
        <v>0</v>
      </c>
      <c r="AT745" s="2" t="n">
        <v>0</v>
      </c>
      <c r="AU745" s="2" t="n">
        <v>0</v>
      </c>
      <c r="AV745" s="2" t="n">
        <v>0</v>
      </c>
      <c r="AW745" s="2" t="n">
        <v>0</v>
      </c>
      <c r="AX745" s="2" t="n">
        <v>0</v>
      </c>
      <c r="AY745" s="2" t="n">
        <v>0</v>
      </c>
      <c r="AZ745" s="2" t="n">
        <v>0</v>
      </c>
      <c r="BA745" s="2" t="n">
        <v>0</v>
      </c>
      <c r="BB745" s="2" t="n">
        <v>0</v>
      </c>
      <c r="BC745" s="2" t="n">
        <v>0</v>
      </c>
      <c r="BD745" s="2" t="n">
        <v>0</v>
      </c>
      <c r="BE745" s="2" t="n">
        <v>0</v>
      </c>
      <c r="BF745" s="2" t="n">
        <v>0</v>
      </c>
      <c r="BG745" s="2" t="n">
        <v>0</v>
      </c>
      <c r="BH745" s="2" t="n">
        <v>0</v>
      </c>
      <c r="BI745" s="2" t="n">
        <v>0</v>
      </c>
      <c r="BJ745" s="2" t="n">
        <v>0</v>
      </c>
      <c r="BK745" s="2" t="n">
        <v>0</v>
      </c>
      <c r="BL745" s="2" t="n">
        <v>0</v>
      </c>
      <c r="BM745" s="2" t="n">
        <v>0</v>
      </c>
      <c r="BN745" s="2" t="n">
        <v>0</v>
      </c>
      <c r="BO745" s="2" t="n">
        <v>0</v>
      </c>
      <c r="BP745" s="2" t="n">
        <v>0</v>
      </c>
      <c r="BQ745" s="2" t="n">
        <v>0</v>
      </c>
      <c r="BR745" s="2" t="n">
        <v>0</v>
      </c>
      <c r="BS745" s="2" t="n">
        <v>0</v>
      </c>
      <c r="BT745" s="2" t="n">
        <v>0</v>
      </c>
      <c r="BU745" s="2" t="n">
        <v>0</v>
      </c>
      <c r="BV745" s="2" t="n">
        <v>0</v>
      </c>
      <c r="BW745" s="2" t="n">
        <v>0</v>
      </c>
      <c r="BX745" s="2" t="n">
        <v>0</v>
      </c>
      <c r="BY745" s="2" t="n">
        <v>0</v>
      </c>
      <c r="BZ745" s="2" t="n">
        <v>0</v>
      </c>
      <c r="CA745" s="2" t="n">
        <v>0</v>
      </c>
      <c r="CB745" s="2" t="n">
        <v>0</v>
      </c>
      <c r="CC745" s="2" t="n">
        <v>0</v>
      </c>
      <c r="CD745" s="2" t="n">
        <v>0</v>
      </c>
      <c r="CE745" s="2" t="n">
        <v>0</v>
      </c>
      <c r="CF745" s="2" t="n">
        <v>0</v>
      </c>
      <c r="CG745" s="2" t="n">
        <v>0</v>
      </c>
      <c r="CH745" s="2" t="n">
        <v>0</v>
      </c>
      <c r="CI745" s="2" t="n">
        <v>0</v>
      </c>
      <c r="CJ745" s="2" t="n">
        <v>0</v>
      </c>
      <c r="CK745" s="2" t="n">
        <v>0</v>
      </c>
      <c r="CL745" s="2" t="n">
        <v>1.43</v>
      </c>
      <c r="CM745" s="2" t="n">
        <v>3.23</v>
      </c>
      <c r="CN745" s="2" t="n">
        <v>0</v>
      </c>
      <c r="CO745" s="2" t="n">
        <v>8.77</v>
      </c>
      <c r="CP745" s="2" t="n">
        <v>10.6</v>
      </c>
      <c r="CQ745" s="2" t="n">
        <v>0</v>
      </c>
      <c r="CR745" s="2" t="n">
        <v>16.84</v>
      </c>
      <c r="CS745" s="2" t="n">
        <v>18.69</v>
      </c>
      <c r="CT745" s="2" t="n">
        <v>0</v>
      </c>
      <c r="CU745" s="2" t="n">
        <v>23.62</v>
      </c>
      <c r="CV745" s="2" t="n">
        <v>25.46</v>
      </c>
      <c r="CW745" s="2" t="n">
        <v>0</v>
      </c>
      <c r="CX745" s="2" t="n">
        <v>44.96</v>
      </c>
      <c r="CY745" s="2" t="n">
        <v>46.79</v>
      </c>
      <c r="CZ745" s="2" t="n">
        <v>0</v>
      </c>
      <c r="DA745" s="2" t="n">
        <v>52.76</v>
      </c>
      <c r="DB745" s="2" t="n">
        <v>54.56</v>
      </c>
      <c r="DC745" s="2" t="n">
        <v>0</v>
      </c>
      <c r="DD745" s="2" t="n">
        <v>61.22</v>
      </c>
      <c r="DE745" s="2" t="n">
        <v>63.01</v>
      </c>
      <c r="DF745" s="2" t="n">
        <v>0</v>
      </c>
      <c r="DG745" s="2" t="n">
        <v>68.88</v>
      </c>
      <c r="DH745" s="2" t="n">
        <v>70.79000000000001</v>
      </c>
      <c r="DI745" s="2" t="n">
        <v>0</v>
      </c>
      <c r="DJ745" s="2" t="n">
        <v>76.98999999999999</v>
      </c>
      <c r="DK745" s="2" t="n">
        <v>78.78</v>
      </c>
      <c r="DL745" s="2" t="n">
        <v>0</v>
      </c>
      <c r="DM745" s="2" t="n">
        <v>84.52</v>
      </c>
      <c r="DN745" s="2" t="n">
        <v>86.31</v>
      </c>
      <c r="DO745" s="2" t="n">
        <v>0</v>
      </c>
      <c r="DP745" s="2" t="n">
        <v>92.04000000000001</v>
      </c>
      <c r="DQ745" s="2" t="n">
        <v>93.83</v>
      </c>
      <c r="DR745" s="2" t="n">
        <v>0</v>
      </c>
      <c r="DS745" s="2" t="n">
        <v>95.73</v>
      </c>
      <c r="DT745" s="2" t="n">
        <v>96.77</v>
      </c>
      <c r="DU745" s="2" t="n">
        <v>0</v>
      </c>
      <c r="DV745" s="2" t="n">
        <v>96.77</v>
      </c>
      <c r="DW745" s="2" t="n">
        <v>97.13</v>
      </c>
      <c r="DX745" s="2" t="n">
        <v>0</v>
      </c>
      <c r="DY745" s="2" t="n">
        <v>100</v>
      </c>
      <c r="DZ745" s="2" t="n">
        <v>100</v>
      </c>
      <c r="EA745" s="2" t="n">
        <v>0</v>
      </c>
      <c r="EB745" s="2" t="n">
        <v>100</v>
      </c>
      <c r="EC745" s="2" t="n">
        <v>100</v>
      </c>
      <c r="ED745" s="2" t="n">
        <v>0</v>
      </c>
      <c r="EE745" s="2" t="n">
        <v>100</v>
      </c>
      <c r="EF745" s="2" t="n">
        <v>100</v>
      </c>
      <c r="EG745" s="2" t="n">
        <v>0</v>
      </c>
      <c r="EH745" s="2" t="n">
        <v>100</v>
      </c>
      <c r="EI745" s="2" t="n">
        <v>100</v>
      </c>
      <c r="EJ745" s="2" t="n">
        <v>0</v>
      </c>
      <c r="EK745" s="2" t="n">
        <v>100</v>
      </c>
      <c r="EL745" s="2" t="n">
        <v>100</v>
      </c>
      <c r="EM745" s="2" t="n">
        <v>0</v>
      </c>
      <c r="EN745" s="2" t="n">
        <v>100</v>
      </c>
      <c r="EO745" s="2" t="n">
        <v>100</v>
      </c>
      <c r="EP745" s="2" t="n">
        <v>0</v>
      </c>
      <c r="EQ745" s="2" t="n">
        <v>100</v>
      </c>
      <c r="ER745" s="2" t="n">
        <v>100</v>
      </c>
      <c r="ES745" s="2" t="n">
        <v>0</v>
      </c>
    </row>
    <row r="746">
      <c r="A746" s="2" t="n">
        <v>4</v>
      </c>
      <c r="B746" s="2" t="inlineStr">
        <is>
          <t>30.06.06.03</t>
        </is>
      </c>
      <c r="C746" s="2" t="inlineStr">
        <is>
          <t>Fechamento lateral para bancada em Quartzito Kalahari Escovado e Hidrofugado</t>
        </is>
      </c>
      <c r="D746" s="2" t="inlineStr">
        <is>
          <t>20/09/2027</t>
        </is>
      </c>
      <c r="E746" s="2" t="inlineStr">
        <is>
          <t>11/10/2028</t>
        </is>
      </c>
      <c r="F746" s="2" t="n">
        <v>11938.07351655</v>
      </c>
      <c r="G746" s="2" t="n">
        <v>0</v>
      </c>
      <c r="H746" s="2" t="n">
        <v>11938.07351655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0</v>
      </c>
      <c r="AM746" s="2" t="n">
        <v>0</v>
      </c>
      <c r="AN746" s="2" t="n">
        <v>0</v>
      </c>
      <c r="AO746" s="2" t="n">
        <v>0</v>
      </c>
      <c r="AP746" s="2" t="n">
        <v>0</v>
      </c>
      <c r="AQ746" s="2" t="n">
        <v>0</v>
      </c>
      <c r="AR746" s="2" t="n">
        <v>0</v>
      </c>
      <c r="AS746" s="2" t="n">
        <v>0</v>
      </c>
      <c r="AT746" s="2" t="n">
        <v>0</v>
      </c>
      <c r="AU746" s="2" t="n">
        <v>0</v>
      </c>
      <c r="AV746" s="2" t="n">
        <v>0</v>
      </c>
      <c r="AW746" s="2" t="n">
        <v>0</v>
      </c>
      <c r="AX746" s="2" t="n">
        <v>0</v>
      </c>
      <c r="AY746" s="2" t="n">
        <v>0</v>
      </c>
      <c r="AZ746" s="2" t="n">
        <v>0</v>
      </c>
      <c r="BA746" s="2" t="n">
        <v>0</v>
      </c>
      <c r="BB746" s="2" t="n">
        <v>0</v>
      </c>
      <c r="BC746" s="2" t="n">
        <v>0</v>
      </c>
      <c r="BD746" s="2" t="n">
        <v>0</v>
      </c>
      <c r="BE746" s="2" t="n">
        <v>0</v>
      </c>
      <c r="BF746" s="2" t="n">
        <v>0</v>
      </c>
      <c r="BG746" s="2" t="n">
        <v>0</v>
      </c>
      <c r="BH746" s="2" t="n">
        <v>0</v>
      </c>
      <c r="BI746" s="2" t="n">
        <v>0</v>
      </c>
      <c r="BJ746" s="2" t="n">
        <v>0</v>
      </c>
      <c r="BK746" s="2" t="n">
        <v>0</v>
      </c>
      <c r="BL746" s="2" t="n">
        <v>0</v>
      </c>
      <c r="BM746" s="2" t="n">
        <v>0</v>
      </c>
      <c r="BN746" s="2" t="n">
        <v>0</v>
      </c>
      <c r="BO746" s="2" t="n">
        <v>0</v>
      </c>
      <c r="BP746" s="2" t="n">
        <v>0</v>
      </c>
      <c r="BQ746" s="2" t="n">
        <v>0</v>
      </c>
      <c r="BR746" s="2" t="n">
        <v>0</v>
      </c>
      <c r="BS746" s="2" t="n">
        <v>0</v>
      </c>
      <c r="BT746" s="2" t="n">
        <v>0</v>
      </c>
      <c r="BU746" s="2" t="n">
        <v>0</v>
      </c>
      <c r="BV746" s="2" t="n">
        <v>0</v>
      </c>
      <c r="BW746" s="2" t="n">
        <v>0</v>
      </c>
      <c r="BX746" s="2" t="n">
        <v>0</v>
      </c>
      <c r="BY746" s="2" t="n">
        <v>0</v>
      </c>
      <c r="BZ746" s="2" t="n">
        <v>0</v>
      </c>
      <c r="CA746" s="2" t="n">
        <v>0</v>
      </c>
      <c r="CB746" s="2" t="n">
        <v>0</v>
      </c>
      <c r="CC746" s="2" t="n">
        <v>0</v>
      </c>
      <c r="CD746" s="2" t="n">
        <v>0</v>
      </c>
      <c r="CE746" s="2" t="n">
        <v>0</v>
      </c>
      <c r="CF746" s="2" t="n">
        <v>0</v>
      </c>
      <c r="CG746" s="2" t="n">
        <v>0</v>
      </c>
      <c r="CH746" s="2" t="n">
        <v>0</v>
      </c>
      <c r="CI746" s="2" t="n">
        <v>0</v>
      </c>
      <c r="CJ746" s="2" t="n">
        <v>0</v>
      </c>
      <c r="CK746" s="2" t="n">
        <v>0</v>
      </c>
      <c r="CL746" s="2" t="n">
        <v>1.43</v>
      </c>
      <c r="CM746" s="2" t="n">
        <v>3.23</v>
      </c>
      <c r="CN746" s="2" t="n">
        <v>0</v>
      </c>
      <c r="CO746" s="2" t="n">
        <v>8.77</v>
      </c>
      <c r="CP746" s="2" t="n">
        <v>10.6</v>
      </c>
      <c r="CQ746" s="2" t="n">
        <v>0</v>
      </c>
      <c r="CR746" s="2" t="n">
        <v>16.84</v>
      </c>
      <c r="CS746" s="2" t="n">
        <v>18.69</v>
      </c>
      <c r="CT746" s="2" t="n">
        <v>0</v>
      </c>
      <c r="CU746" s="2" t="n">
        <v>23.62</v>
      </c>
      <c r="CV746" s="2" t="n">
        <v>25.46</v>
      </c>
      <c r="CW746" s="2" t="n">
        <v>0</v>
      </c>
      <c r="CX746" s="2" t="n">
        <v>44.96</v>
      </c>
      <c r="CY746" s="2" t="n">
        <v>46.79</v>
      </c>
      <c r="CZ746" s="2" t="n">
        <v>0</v>
      </c>
      <c r="DA746" s="2" t="n">
        <v>52.76</v>
      </c>
      <c r="DB746" s="2" t="n">
        <v>54.56</v>
      </c>
      <c r="DC746" s="2" t="n">
        <v>0</v>
      </c>
      <c r="DD746" s="2" t="n">
        <v>61.22</v>
      </c>
      <c r="DE746" s="2" t="n">
        <v>63.01</v>
      </c>
      <c r="DF746" s="2" t="n">
        <v>0</v>
      </c>
      <c r="DG746" s="2" t="n">
        <v>68.88</v>
      </c>
      <c r="DH746" s="2" t="n">
        <v>70.79000000000001</v>
      </c>
      <c r="DI746" s="2" t="n">
        <v>0</v>
      </c>
      <c r="DJ746" s="2" t="n">
        <v>76.98999999999999</v>
      </c>
      <c r="DK746" s="2" t="n">
        <v>78.78</v>
      </c>
      <c r="DL746" s="2" t="n">
        <v>0</v>
      </c>
      <c r="DM746" s="2" t="n">
        <v>84.52</v>
      </c>
      <c r="DN746" s="2" t="n">
        <v>86.31</v>
      </c>
      <c r="DO746" s="2" t="n">
        <v>0</v>
      </c>
      <c r="DP746" s="2" t="n">
        <v>92.04000000000001</v>
      </c>
      <c r="DQ746" s="2" t="n">
        <v>93.83</v>
      </c>
      <c r="DR746" s="2" t="n">
        <v>0</v>
      </c>
      <c r="DS746" s="2" t="n">
        <v>95.73</v>
      </c>
      <c r="DT746" s="2" t="n">
        <v>96.77</v>
      </c>
      <c r="DU746" s="2" t="n">
        <v>0</v>
      </c>
      <c r="DV746" s="2" t="n">
        <v>96.77</v>
      </c>
      <c r="DW746" s="2" t="n">
        <v>97.13</v>
      </c>
      <c r="DX746" s="2" t="n">
        <v>0</v>
      </c>
      <c r="DY746" s="2" t="n">
        <v>100</v>
      </c>
      <c r="DZ746" s="2" t="n">
        <v>100</v>
      </c>
      <c r="EA746" s="2" t="n">
        <v>0</v>
      </c>
      <c r="EB746" s="2" t="n">
        <v>100</v>
      </c>
      <c r="EC746" s="2" t="n">
        <v>100</v>
      </c>
      <c r="ED746" s="2" t="n">
        <v>0</v>
      </c>
      <c r="EE746" s="2" t="n">
        <v>100</v>
      </c>
      <c r="EF746" s="2" t="n">
        <v>100</v>
      </c>
      <c r="EG746" s="2" t="n">
        <v>0</v>
      </c>
      <c r="EH746" s="2" t="n">
        <v>100</v>
      </c>
      <c r="EI746" s="2" t="n">
        <v>100</v>
      </c>
      <c r="EJ746" s="2" t="n">
        <v>0</v>
      </c>
      <c r="EK746" s="2" t="n">
        <v>100</v>
      </c>
      <c r="EL746" s="2" t="n">
        <v>100</v>
      </c>
      <c r="EM746" s="2" t="n">
        <v>0</v>
      </c>
      <c r="EN746" s="2" t="n">
        <v>100</v>
      </c>
      <c r="EO746" s="2" t="n">
        <v>100</v>
      </c>
      <c r="EP746" s="2" t="n">
        <v>0</v>
      </c>
      <c r="EQ746" s="2" t="n">
        <v>100</v>
      </c>
      <c r="ER746" s="2" t="n">
        <v>100</v>
      </c>
      <c r="ES746" s="2" t="n">
        <v>0</v>
      </c>
    </row>
    <row r="747">
      <c r="A747" s="2" t="n">
        <v>4</v>
      </c>
      <c r="B747" s="2" t="inlineStr">
        <is>
          <t>30.06.06.04</t>
        </is>
      </c>
      <c r="C747" s="2" t="inlineStr">
        <is>
          <t>Testeira de mármore h=10cm</t>
        </is>
      </c>
      <c r="D747" s="2" t="inlineStr">
        <is>
          <t>20/09/2027</t>
        </is>
      </c>
      <c r="E747" s="2" t="inlineStr">
        <is>
          <t>11/10/2028</t>
        </is>
      </c>
      <c r="F747" s="2" t="n">
        <v>1654.60365</v>
      </c>
      <c r="G747" s="2" t="n">
        <v>0</v>
      </c>
      <c r="H747" s="2" t="n">
        <v>1654.60365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n">
        <v>0</v>
      </c>
      <c r="AK747" s="2" t="n">
        <v>0</v>
      </c>
      <c r="AL747" s="2" t="n">
        <v>0</v>
      </c>
      <c r="AM747" s="2" t="n">
        <v>0</v>
      </c>
      <c r="AN747" s="2" t="n">
        <v>0</v>
      </c>
      <c r="AO747" s="2" t="n">
        <v>0</v>
      </c>
      <c r="AP747" s="2" t="n">
        <v>0</v>
      </c>
      <c r="AQ747" s="2" t="n">
        <v>0</v>
      </c>
      <c r="AR747" s="2" t="n">
        <v>0</v>
      </c>
      <c r="AS747" s="2" t="n">
        <v>0</v>
      </c>
      <c r="AT747" s="2" t="n">
        <v>0</v>
      </c>
      <c r="AU747" s="2" t="n">
        <v>0</v>
      </c>
      <c r="AV747" s="2" t="n">
        <v>0</v>
      </c>
      <c r="AW747" s="2" t="n">
        <v>0</v>
      </c>
      <c r="AX747" s="2" t="n">
        <v>0</v>
      </c>
      <c r="AY747" s="2" t="n">
        <v>0</v>
      </c>
      <c r="AZ747" s="2" t="n">
        <v>0</v>
      </c>
      <c r="BA747" s="2" t="n">
        <v>0</v>
      </c>
      <c r="BB747" s="2" t="n">
        <v>0</v>
      </c>
      <c r="BC747" s="2" t="n">
        <v>0</v>
      </c>
      <c r="BD747" s="2" t="n">
        <v>0</v>
      </c>
      <c r="BE747" s="2" t="n">
        <v>0</v>
      </c>
      <c r="BF747" s="2" t="n">
        <v>0</v>
      </c>
      <c r="BG747" s="2" t="n">
        <v>0</v>
      </c>
      <c r="BH747" s="2" t="n">
        <v>0</v>
      </c>
      <c r="BI747" s="2" t="n">
        <v>0</v>
      </c>
      <c r="BJ747" s="2" t="n">
        <v>0</v>
      </c>
      <c r="BK747" s="2" t="n">
        <v>0</v>
      </c>
      <c r="BL747" s="2" t="n">
        <v>0</v>
      </c>
      <c r="BM747" s="2" t="n">
        <v>0</v>
      </c>
      <c r="BN747" s="2" t="n">
        <v>0</v>
      </c>
      <c r="BO747" s="2" t="n">
        <v>0</v>
      </c>
      <c r="BP747" s="2" t="n">
        <v>0</v>
      </c>
      <c r="BQ747" s="2" t="n">
        <v>0</v>
      </c>
      <c r="BR747" s="2" t="n">
        <v>0</v>
      </c>
      <c r="BS747" s="2" t="n">
        <v>0</v>
      </c>
      <c r="BT747" s="2" t="n">
        <v>0</v>
      </c>
      <c r="BU747" s="2" t="n">
        <v>0</v>
      </c>
      <c r="BV747" s="2" t="n">
        <v>0</v>
      </c>
      <c r="BW747" s="2" t="n">
        <v>0</v>
      </c>
      <c r="BX747" s="2" t="n">
        <v>0</v>
      </c>
      <c r="BY747" s="2" t="n">
        <v>0</v>
      </c>
      <c r="BZ747" s="2" t="n">
        <v>0</v>
      </c>
      <c r="CA747" s="2" t="n">
        <v>0</v>
      </c>
      <c r="CB747" s="2" t="n">
        <v>0</v>
      </c>
      <c r="CC747" s="2" t="n">
        <v>0</v>
      </c>
      <c r="CD747" s="2" t="n">
        <v>0</v>
      </c>
      <c r="CE747" s="2" t="n">
        <v>0</v>
      </c>
      <c r="CF747" s="2" t="n">
        <v>0</v>
      </c>
      <c r="CG747" s="2" t="n">
        <v>0</v>
      </c>
      <c r="CH747" s="2" t="n">
        <v>0</v>
      </c>
      <c r="CI747" s="2" t="n">
        <v>0</v>
      </c>
      <c r="CJ747" s="2" t="n">
        <v>0</v>
      </c>
      <c r="CK747" s="2" t="n">
        <v>0</v>
      </c>
      <c r="CL747" s="2" t="n">
        <v>1.43</v>
      </c>
      <c r="CM747" s="2" t="n">
        <v>3.23</v>
      </c>
      <c r="CN747" s="2" t="n">
        <v>0</v>
      </c>
      <c r="CO747" s="2" t="n">
        <v>8.77</v>
      </c>
      <c r="CP747" s="2" t="n">
        <v>10.6</v>
      </c>
      <c r="CQ747" s="2" t="n">
        <v>0</v>
      </c>
      <c r="CR747" s="2" t="n">
        <v>16.84</v>
      </c>
      <c r="CS747" s="2" t="n">
        <v>18.69</v>
      </c>
      <c r="CT747" s="2" t="n">
        <v>0</v>
      </c>
      <c r="CU747" s="2" t="n">
        <v>23.62</v>
      </c>
      <c r="CV747" s="2" t="n">
        <v>25.46</v>
      </c>
      <c r="CW747" s="2" t="n">
        <v>0</v>
      </c>
      <c r="CX747" s="2" t="n">
        <v>44.96</v>
      </c>
      <c r="CY747" s="2" t="n">
        <v>46.79</v>
      </c>
      <c r="CZ747" s="2" t="n">
        <v>0</v>
      </c>
      <c r="DA747" s="2" t="n">
        <v>52.76</v>
      </c>
      <c r="DB747" s="2" t="n">
        <v>54.56</v>
      </c>
      <c r="DC747" s="2" t="n">
        <v>0</v>
      </c>
      <c r="DD747" s="2" t="n">
        <v>61.22</v>
      </c>
      <c r="DE747" s="2" t="n">
        <v>63.01</v>
      </c>
      <c r="DF747" s="2" t="n">
        <v>0</v>
      </c>
      <c r="DG747" s="2" t="n">
        <v>68.88</v>
      </c>
      <c r="DH747" s="2" t="n">
        <v>70.79000000000001</v>
      </c>
      <c r="DI747" s="2" t="n">
        <v>0</v>
      </c>
      <c r="DJ747" s="2" t="n">
        <v>76.98999999999999</v>
      </c>
      <c r="DK747" s="2" t="n">
        <v>78.78</v>
      </c>
      <c r="DL747" s="2" t="n">
        <v>0</v>
      </c>
      <c r="DM747" s="2" t="n">
        <v>84.52</v>
      </c>
      <c r="DN747" s="2" t="n">
        <v>86.31</v>
      </c>
      <c r="DO747" s="2" t="n">
        <v>0</v>
      </c>
      <c r="DP747" s="2" t="n">
        <v>92.04000000000001</v>
      </c>
      <c r="DQ747" s="2" t="n">
        <v>93.83</v>
      </c>
      <c r="DR747" s="2" t="n">
        <v>0</v>
      </c>
      <c r="DS747" s="2" t="n">
        <v>95.73</v>
      </c>
      <c r="DT747" s="2" t="n">
        <v>96.77</v>
      </c>
      <c r="DU747" s="2" t="n">
        <v>0</v>
      </c>
      <c r="DV747" s="2" t="n">
        <v>96.77</v>
      </c>
      <c r="DW747" s="2" t="n">
        <v>97.13</v>
      </c>
      <c r="DX747" s="2" t="n">
        <v>0</v>
      </c>
      <c r="DY747" s="2" t="n">
        <v>100</v>
      </c>
      <c r="DZ747" s="2" t="n">
        <v>100</v>
      </c>
      <c r="EA747" s="2" t="n">
        <v>0</v>
      </c>
      <c r="EB747" s="2" t="n">
        <v>100</v>
      </c>
      <c r="EC747" s="2" t="n">
        <v>100</v>
      </c>
      <c r="ED747" s="2" t="n">
        <v>0</v>
      </c>
      <c r="EE747" s="2" t="n">
        <v>100</v>
      </c>
      <c r="EF747" s="2" t="n">
        <v>100</v>
      </c>
      <c r="EG747" s="2" t="n">
        <v>0</v>
      </c>
      <c r="EH747" s="2" t="n">
        <v>100</v>
      </c>
      <c r="EI747" s="2" t="n">
        <v>100</v>
      </c>
      <c r="EJ747" s="2" t="n">
        <v>0</v>
      </c>
      <c r="EK747" s="2" t="n">
        <v>100</v>
      </c>
      <c r="EL747" s="2" t="n">
        <v>100</v>
      </c>
      <c r="EM747" s="2" t="n">
        <v>0</v>
      </c>
      <c r="EN747" s="2" t="n">
        <v>100</v>
      </c>
      <c r="EO747" s="2" t="n">
        <v>100</v>
      </c>
      <c r="EP747" s="2" t="n">
        <v>0</v>
      </c>
      <c r="EQ747" s="2" t="n">
        <v>100</v>
      </c>
      <c r="ER747" s="2" t="n">
        <v>100</v>
      </c>
      <c r="ES747" s="2" t="n">
        <v>0</v>
      </c>
    </row>
    <row r="748">
      <c r="A748" s="2" t="n">
        <v>4</v>
      </c>
      <c r="B748" s="2" t="inlineStr">
        <is>
          <t>30.06.06.05</t>
        </is>
      </c>
      <c r="C748" s="2" t="inlineStr">
        <is>
          <t>Rodabanca de mármore h=10cm</t>
        </is>
      </c>
      <c r="D748" s="2" t="inlineStr">
        <is>
          <t>20/09/2027</t>
        </is>
      </c>
      <c r="E748" s="2" t="inlineStr">
        <is>
          <t>11/10/2028</t>
        </is>
      </c>
      <c r="F748" s="2" t="n">
        <v>1270.70847855</v>
      </c>
      <c r="G748" s="2" t="n">
        <v>0</v>
      </c>
      <c r="H748" s="2" t="n">
        <v>1270.70847855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  <c r="AM748" s="2" t="n">
        <v>0</v>
      </c>
      <c r="AN748" s="2" t="n">
        <v>0</v>
      </c>
      <c r="AO748" s="2" t="n">
        <v>0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 t="n">
        <v>0</v>
      </c>
      <c r="AX748" s="2" t="n">
        <v>0</v>
      </c>
      <c r="AY748" s="2" t="n">
        <v>0</v>
      </c>
      <c r="AZ748" s="2" t="n">
        <v>0</v>
      </c>
      <c r="BA748" s="2" t="n">
        <v>0</v>
      </c>
      <c r="BB748" s="2" t="n">
        <v>0</v>
      </c>
      <c r="BC748" s="2" t="n">
        <v>0</v>
      </c>
      <c r="BD748" s="2" t="n">
        <v>0</v>
      </c>
      <c r="BE748" s="2" t="n">
        <v>0</v>
      </c>
      <c r="BF748" s="2" t="n">
        <v>0</v>
      </c>
      <c r="BG748" s="2" t="n">
        <v>0</v>
      </c>
      <c r="BH748" s="2" t="n">
        <v>0</v>
      </c>
      <c r="BI748" s="2" t="n">
        <v>0</v>
      </c>
      <c r="BJ748" s="2" t="n">
        <v>0</v>
      </c>
      <c r="BK748" s="2" t="n">
        <v>0</v>
      </c>
      <c r="BL748" s="2" t="n">
        <v>0</v>
      </c>
      <c r="BM748" s="2" t="n">
        <v>0</v>
      </c>
      <c r="BN748" s="2" t="n">
        <v>0</v>
      </c>
      <c r="BO748" s="2" t="n">
        <v>0</v>
      </c>
      <c r="BP748" s="2" t="n">
        <v>0</v>
      </c>
      <c r="BQ748" s="2" t="n">
        <v>0</v>
      </c>
      <c r="BR748" s="2" t="n">
        <v>0</v>
      </c>
      <c r="BS748" s="2" t="n">
        <v>0</v>
      </c>
      <c r="BT748" s="2" t="n">
        <v>0</v>
      </c>
      <c r="BU748" s="2" t="n">
        <v>0</v>
      </c>
      <c r="BV748" s="2" t="n">
        <v>0</v>
      </c>
      <c r="BW748" s="2" t="n">
        <v>0</v>
      </c>
      <c r="BX748" s="2" t="n">
        <v>0</v>
      </c>
      <c r="BY748" s="2" t="n">
        <v>0</v>
      </c>
      <c r="BZ748" s="2" t="n">
        <v>0</v>
      </c>
      <c r="CA748" s="2" t="n">
        <v>0</v>
      </c>
      <c r="CB748" s="2" t="n">
        <v>0</v>
      </c>
      <c r="CC748" s="2" t="n">
        <v>0</v>
      </c>
      <c r="CD748" s="2" t="n">
        <v>0</v>
      </c>
      <c r="CE748" s="2" t="n">
        <v>0</v>
      </c>
      <c r="CF748" s="2" t="n">
        <v>0</v>
      </c>
      <c r="CG748" s="2" t="n">
        <v>0</v>
      </c>
      <c r="CH748" s="2" t="n">
        <v>0</v>
      </c>
      <c r="CI748" s="2" t="n">
        <v>0</v>
      </c>
      <c r="CJ748" s="2" t="n">
        <v>0</v>
      </c>
      <c r="CK748" s="2" t="n">
        <v>0</v>
      </c>
      <c r="CL748" s="2" t="n">
        <v>1.43</v>
      </c>
      <c r="CM748" s="2" t="n">
        <v>3.23</v>
      </c>
      <c r="CN748" s="2" t="n">
        <v>0</v>
      </c>
      <c r="CO748" s="2" t="n">
        <v>8.77</v>
      </c>
      <c r="CP748" s="2" t="n">
        <v>10.6</v>
      </c>
      <c r="CQ748" s="2" t="n">
        <v>0</v>
      </c>
      <c r="CR748" s="2" t="n">
        <v>16.84</v>
      </c>
      <c r="CS748" s="2" t="n">
        <v>18.69</v>
      </c>
      <c r="CT748" s="2" t="n">
        <v>0</v>
      </c>
      <c r="CU748" s="2" t="n">
        <v>23.62</v>
      </c>
      <c r="CV748" s="2" t="n">
        <v>25.46</v>
      </c>
      <c r="CW748" s="2" t="n">
        <v>0</v>
      </c>
      <c r="CX748" s="2" t="n">
        <v>44.96</v>
      </c>
      <c r="CY748" s="2" t="n">
        <v>46.79</v>
      </c>
      <c r="CZ748" s="2" t="n">
        <v>0</v>
      </c>
      <c r="DA748" s="2" t="n">
        <v>52.76</v>
      </c>
      <c r="DB748" s="2" t="n">
        <v>54.56</v>
      </c>
      <c r="DC748" s="2" t="n">
        <v>0</v>
      </c>
      <c r="DD748" s="2" t="n">
        <v>61.22</v>
      </c>
      <c r="DE748" s="2" t="n">
        <v>63.01</v>
      </c>
      <c r="DF748" s="2" t="n">
        <v>0</v>
      </c>
      <c r="DG748" s="2" t="n">
        <v>68.88</v>
      </c>
      <c r="DH748" s="2" t="n">
        <v>70.79000000000001</v>
      </c>
      <c r="DI748" s="2" t="n">
        <v>0</v>
      </c>
      <c r="DJ748" s="2" t="n">
        <v>76.98999999999999</v>
      </c>
      <c r="DK748" s="2" t="n">
        <v>78.78</v>
      </c>
      <c r="DL748" s="2" t="n">
        <v>0</v>
      </c>
      <c r="DM748" s="2" t="n">
        <v>84.52</v>
      </c>
      <c r="DN748" s="2" t="n">
        <v>86.31</v>
      </c>
      <c r="DO748" s="2" t="n">
        <v>0</v>
      </c>
      <c r="DP748" s="2" t="n">
        <v>92.04000000000001</v>
      </c>
      <c r="DQ748" s="2" t="n">
        <v>93.83</v>
      </c>
      <c r="DR748" s="2" t="n">
        <v>0</v>
      </c>
      <c r="DS748" s="2" t="n">
        <v>95.73</v>
      </c>
      <c r="DT748" s="2" t="n">
        <v>96.77</v>
      </c>
      <c r="DU748" s="2" t="n">
        <v>0</v>
      </c>
      <c r="DV748" s="2" t="n">
        <v>96.77</v>
      </c>
      <c r="DW748" s="2" t="n">
        <v>97.13</v>
      </c>
      <c r="DX748" s="2" t="n">
        <v>0</v>
      </c>
      <c r="DY748" s="2" t="n">
        <v>100</v>
      </c>
      <c r="DZ748" s="2" t="n">
        <v>100</v>
      </c>
      <c r="EA748" s="2" t="n">
        <v>0</v>
      </c>
      <c r="EB748" s="2" t="n">
        <v>100</v>
      </c>
      <c r="EC748" s="2" t="n">
        <v>100</v>
      </c>
      <c r="ED748" s="2" t="n">
        <v>0</v>
      </c>
      <c r="EE748" s="2" t="n">
        <v>100</v>
      </c>
      <c r="EF748" s="2" t="n">
        <v>100</v>
      </c>
      <c r="EG748" s="2" t="n">
        <v>0</v>
      </c>
      <c r="EH748" s="2" t="n">
        <v>100</v>
      </c>
      <c r="EI748" s="2" t="n">
        <v>100</v>
      </c>
      <c r="EJ748" s="2" t="n">
        <v>0</v>
      </c>
      <c r="EK748" s="2" t="n">
        <v>100</v>
      </c>
      <c r="EL748" s="2" t="n">
        <v>100</v>
      </c>
      <c r="EM748" s="2" t="n">
        <v>0</v>
      </c>
      <c r="EN748" s="2" t="n">
        <v>100</v>
      </c>
      <c r="EO748" s="2" t="n">
        <v>100</v>
      </c>
      <c r="EP748" s="2" t="n">
        <v>0</v>
      </c>
      <c r="EQ748" s="2" t="n">
        <v>100</v>
      </c>
      <c r="ER748" s="2" t="n">
        <v>100</v>
      </c>
      <c r="ES748" s="2" t="n">
        <v>0</v>
      </c>
    </row>
    <row r="749">
      <c r="A749" s="2" t="n">
        <v>4</v>
      </c>
      <c r="B749" s="2" t="inlineStr">
        <is>
          <t>30.06.06.06</t>
        </is>
      </c>
      <c r="C749" s="2" t="inlineStr">
        <is>
          <t>Furo e colagem de bojo</t>
        </is>
      </c>
      <c r="D749" s="2" t="inlineStr">
        <is>
          <t>20/09/2027</t>
        </is>
      </c>
      <c r="E749" s="2" t="inlineStr">
        <is>
          <t>11/10/2028</t>
        </is>
      </c>
      <c r="F749" s="2" t="n">
        <v>45</v>
      </c>
      <c r="G749" s="2" t="n">
        <v>0</v>
      </c>
      <c r="H749" s="2" t="n">
        <v>45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0</v>
      </c>
      <c r="AM749" s="2" t="n">
        <v>0</v>
      </c>
      <c r="AN749" s="2" t="n">
        <v>0</v>
      </c>
      <c r="AO749" s="2" t="n">
        <v>0</v>
      </c>
      <c r="AP749" s="2" t="n">
        <v>0</v>
      </c>
      <c r="AQ749" s="2" t="n">
        <v>0</v>
      </c>
      <c r="AR749" s="2" t="n">
        <v>0</v>
      </c>
      <c r="AS749" s="2" t="n">
        <v>0</v>
      </c>
      <c r="AT749" s="2" t="n">
        <v>0</v>
      </c>
      <c r="AU749" s="2" t="n">
        <v>0</v>
      </c>
      <c r="AV749" s="2" t="n">
        <v>0</v>
      </c>
      <c r="AW749" s="2" t="n">
        <v>0</v>
      </c>
      <c r="AX749" s="2" t="n">
        <v>0</v>
      </c>
      <c r="AY749" s="2" t="n">
        <v>0</v>
      </c>
      <c r="AZ749" s="2" t="n">
        <v>0</v>
      </c>
      <c r="BA749" s="2" t="n">
        <v>0</v>
      </c>
      <c r="BB749" s="2" t="n">
        <v>0</v>
      </c>
      <c r="BC749" s="2" t="n">
        <v>0</v>
      </c>
      <c r="BD749" s="2" t="n">
        <v>0</v>
      </c>
      <c r="BE749" s="2" t="n">
        <v>0</v>
      </c>
      <c r="BF749" s="2" t="n">
        <v>0</v>
      </c>
      <c r="BG749" s="2" t="n">
        <v>0</v>
      </c>
      <c r="BH749" s="2" t="n">
        <v>0</v>
      </c>
      <c r="BI749" s="2" t="n">
        <v>0</v>
      </c>
      <c r="BJ749" s="2" t="n">
        <v>0</v>
      </c>
      <c r="BK749" s="2" t="n">
        <v>0</v>
      </c>
      <c r="BL749" s="2" t="n">
        <v>0</v>
      </c>
      <c r="BM749" s="2" t="n">
        <v>0</v>
      </c>
      <c r="BN749" s="2" t="n">
        <v>0</v>
      </c>
      <c r="BO749" s="2" t="n">
        <v>0</v>
      </c>
      <c r="BP749" s="2" t="n">
        <v>0</v>
      </c>
      <c r="BQ749" s="2" t="n">
        <v>0</v>
      </c>
      <c r="BR749" s="2" t="n">
        <v>0</v>
      </c>
      <c r="BS749" s="2" t="n">
        <v>0</v>
      </c>
      <c r="BT749" s="2" t="n">
        <v>0</v>
      </c>
      <c r="BU749" s="2" t="n">
        <v>0</v>
      </c>
      <c r="BV749" s="2" t="n">
        <v>0</v>
      </c>
      <c r="BW749" s="2" t="n">
        <v>0</v>
      </c>
      <c r="BX749" s="2" t="n">
        <v>0</v>
      </c>
      <c r="BY749" s="2" t="n">
        <v>0</v>
      </c>
      <c r="BZ749" s="2" t="n">
        <v>0</v>
      </c>
      <c r="CA749" s="2" t="n">
        <v>0</v>
      </c>
      <c r="CB749" s="2" t="n">
        <v>0</v>
      </c>
      <c r="CC749" s="2" t="n">
        <v>0</v>
      </c>
      <c r="CD749" s="2" t="n">
        <v>0</v>
      </c>
      <c r="CE749" s="2" t="n">
        <v>0</v>
      </c>
      <c r="CF749" s="2" t="n">
        <v>0</v>
      </c>
      <c r="CG749" s="2" t="n">
        <v>0</v>
      </c>
      <c r="CH749" s="2" t="n">
        <v>0</v>
      </c>
      <c r="CI749" s="2" t="n">
        <v>0</v>
      </c>
      <c r="CJ749" s="2" t="n">
        <v>0</v>
      </c>
      <c r="CK749" s="2" t="n">
        <v>0</v>
      </c>
      <c r="CL749" s="2" t="n">
        <v>1.43</v>
      </c>
      <c r="CM749" s="2" t="n">
        <v>3.23</v>
      </c>
      <c r="CN749" s="2" t="n">
        <v>0</v>
      </c>
      <c r="CO749" s="2" t="n">
        <v>8.77</v>
      </c>
      <c r="CP749" s="2" t="n">
        <v>10.6</v>
      </c>
      <c r="CQ749" s="2" t="n">
        <v>0</v>
      </c>
      <c r="CR749" s="2" t="n">
        <v>16.84</v>
      </c>
      <c r="CS749" s="2" t="n">
        <v>18.69</v>
      </c>
      <c r="CT749" s="2" t="n">
        <v>0</v>
      </c>
      <c r="CU749" s="2" t="n">
        <v>23.62</v>
      </c>
      <c r="CV749" s="2" t="n">
        <v>25.46</v>
      </c>
      <c r="CW749" s="2" t="n">
        <v>0</v>
      </c>
      <c r="CX749" s="2" t="n">
        <v>44.96</v>
      </c>
      <c r="CY749" s="2" t="n">
        <v>46.79</v>
      </c>
      <c r="CZ749" s="2" t="n">
        <v>0</v>
      </c>
      <c r="DA749" s="2" t="n">
        <v>52.76</v>
      </c>
      <c r="DB749" s="2" t="n">
        <v>54.56</v>
      </c>
      <c r="DC749" s="2" t="n">
        <v>0</v>
      </c>
      <c r="DD749" s="2" t="n">
        <v>61.22</v>
      </c>
      <c r="DE749" s="2" t="n">
        <v>63.01</v>
      </c>
      <c r="DF749" s="2" t="n">
        <v>0</v>
      </c>
      <c r="DG749" s="2" t="n">
        <v>68.88</v>
      </c>
      <c r="DH749" s="2" t="n">
        <v>70.79000000000001</v>
      </c>
      <c r="DI749" s="2" t="n">
        <v>0</v>
      </c>
      <c r="DJ749" s="2" t="n">
        <v>76.98999999999999</v>
      </c>
      <c r="DK749" s="2" t="n">
        <v>78.78</v>
      </c>
      <c r="DL749" s="2" t="n">
        <v>0</v>
      </c>
      <c r="DM749" s="2" t="n">
        <v>84.52</v>
      </c>
      <c r="DN749" s="2" t="n">
        <v>86.31</v>
      </c>
      <c r="DO749" s="2" t="n">
        <v>0</v>
      </c>
      <c r="DP749" s="2" t="n">
        <v>92.04000000000001</v>
      </c>
      <c r="DQ749" s="2" t="n">
        <v>93.83</v>
      </c>
      <c r="DR749" s="2" t="n">
        <v>0</v>
      </c>
      <c r="DS749" s="2" t="n">
        <v>95.73</v>
      </c>
      <c r="DT749" s="2" t="n">
        <v>96.77</v>
      </c>
      <c r="DU749" s="2" t="n">
        <v>0</v>
      </c>
      <c r="DV749" s="2" t="n">
        <v>96.77</v>
      </c>
      <c r="DW749" s="2" t="n">
        <v>97.13</v>
      </c>
      <c r="DX749" s="2" t="n">
        <v>0</v>
      </c>
      <c r="DY749" s="2" t="n">
        <v>100</v>
      </c>
      <c r="DZ749" s="2" t="n">
        <v>100</v>
      </c>
      <c r="EA749" s="2" t="n">
        <v>0</v>
      </c>
      <c r="EB749" s="2" t="n">
        <v>100</v>
      </c>
      <c r="EC749" s="2" t="n">
        <v>100</v>
      </c>
      <c r="ED749" s="2" t="n">
        <v>0</v>
      </c>
      <c r="EE749" s="2" t="n">
        <v>100</v>
      </c>
      <c r="EF749" s="2" t="n">
        <v>100</v>
      </c>
      <c r="EG749" s="2" t="n">
        <v>0</v>
      </c>
      <c r="EH749" s="2" t="n">
        <v>100</v>
      </c>
      <c r="EI749" s="2" t="n">
        <v>100</v>
      </c>
      <c r="EJ749" s="2" t="n">
        <v>0</v>
      </c>
      <c r="EK749" s="2" t="n">
        <v>100</v>
      </c>
      <c r="EL749" s="2" t="n">
        <v>100</v>
      </c>
      <c r="EM749" s="2" t="n">
        <v>0</v>
      </c>
      <c r="EN749" s="2" t="n">
        <v>100</v>
      </c>
      <c r="EO749" s="2" t="n">
        <v>100</v>
      </c>
      <c r="EP749" s="2" t="n">
        <v>0</v>
      </c>
      <c r="EQ749" s="2" t="n">
        <v>100</v>
      </c>
      <c r="ER749" s="2" t="n">
        <v>100</v>
      </c>
      <c r="ES749" s="2" t="n">
        <v>0</v>
      </c>
    </row>
    <row r="750">
      <c r="A750" s="2" t="n">
        <v>4</v>
      </c>
      <c r="B750" s="2" t="inlineStr">
        <is>
          <t>30.06.06.07</t>
        </is>
      </c>
      <c r="C750" s="2" t="inlineStr">
        <is>
          <t>Mãos francesas para bancadas</t>
        </is>
      </c>
      <c r="D750" s="2" t="inlineStr">
        <is>
          <t>20/09/2027</t>
        </is>
      </c>
      <c r="E750" s="2" t="inlineStr">
        <is>
          <t>11/10/2028</t>
        </is>
      </c>
      <c r="F750" s="2" t="n">
        <v>275</v>
      </c>
      <c r="G750" s="2" t="n">
        <v>0</v>
      </c>
      <c r="H750" s="2" t="n">
        <v>275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0</v>
      </c>
      <c r="AM750" s="2" t="n">
        <v>0</v>
      </c>
      <c r="AN750" s="2" t="n">
        <v>0</v>
      </c>
      <c r="AO750" s="2" t="n">
        <v>0</v>
      </c>
      <c r="AP750" s="2" t="n">
        <v>0</v>
      </c>
      <c r="AQ750" s="2" t="n">
        <v>0</v>
      </c>
      <c r="AR750" s="2" t="n">
        <v>0</v>
      </c>
      <c r="AS750" s="2" t="n">
        <v>0</v>
      </c>
      <c r="AT750" s="2" t="n">
        <v>0</v>
      </c>
      <c r="AU750" s="2" t="n">
        <v>0</v>
      </c>
      <c r="AV750" s="2" t="n">
        <v>0</v>
      </c>
      <c r="AW750" s="2" t="n">
        <v>0</v>
      </c>
      <c r="AX750" s="2" t="n">
        <v>0</v>
      </c>
      <c r="AY750" s="2" t="n">
        <v>0</v>
      </c>
      <c r="AZ750" s="2" t="n">
        <v>0</v>
      </c>
      <c r="BA750" s="2" t="n">
        <v>0</v>
      </c>
      <c r="BB750" s="2" t="n">
        <v>0</v>
      </c>
      <c r="BC750" s="2" t="n">
        <v>0</v>
      </c>
      <c r="BD750" s="2" t="n">
        <v>0</v>
      </c>
      <c r="BE750" s="2" t="n">
        <v>0</v>
      </c>
      <c r="BF750" s="2" t="n">
        <v>0</v>
      </c>
      <c r="BG750" s="2" t="n">
        <v>0</v>
      </c>
      <c r="BH750" s="2" t="n">
        <v>0</v>
      </c>
      <c r="BI750" s="2" t="n">
        <v>0</v>
      </c>
      <c r="BJ750" s="2" t="n">
        <v>0</v>
      </c>
      <c r="BK750" s="2" t="n">
        <v>0</v>
      </c>
      <c r="BL750" s="2" t="n">
        <v>0</v>
      </c>
      <c r="BM750" s="2" t="n">
        <v>0</v>
      </c>
      <c r="BN750" s="2" t="n">
        <v>0</v>
      </c>
      <c r="BO750" s="2" t="n">
        <v>0</v>
      </c>
      <c r="BP750" s="2" t="n">
        <v>0</v>
      </c>
      <c r="BQ750" s="2" t="n">
        <v>0</v>
      </c>
      <c r="BR750" s="2" t="n">
        <v>0</v>
      </c>
      <c r="BS750" s="2" t="n">
        <v>0</v>
      </c>
      <c r="BT750" s="2" t="n">
        <v>0</v>
      </c>
      <c r="BU750" s="2" t="n">
        <v>0</v>
      </c>
      <c r="BV750" s="2" t="n">
        <v>0</v>
      </c>
      <c r="BW750" s="2" t="n">
        <v>0</v>
      </c>
      <c r="BX750" s="2" t="n">
        <v>0</v>
      </c>
      <c r="BY750" s="2" t="n">
        <v>0</v>
      </c>
      <c r="BZ750" s="2" t="n">
        <v>0</v>
      </c>
      <c r="CA750" s="2" t="n">
        <v>0</v>
      </c>
      <c r="CB750" s="2" t="n">
        <v>0</v>
      </c>
      <c r="CC750" s="2" t="n">
        <v>0</v>
      </c>
      <c r="CD750" s="2" t="n">
        <v>0</v>
      </c>
      <c r="CE750" s="2" t="n">
        <v>0</v>
      </c>
      <c r="CF750" s="2" t="n">
        <v>0</v>
      </c>
      <c r="CG750" s="2" t="n">
        <v>0</v>
      </c>
      <c r="CH750" s="2" t="n">
        <v>0</v>
      </c>
      <c r="CI750" s="2" t="n">
        <v>0</v>
      </c>
      <c r="CJ750" s="2" t="n">
        <v>0</v>
      </c>
      <c r="CK750" s="2" t="n">
        <v>0</v>
      </c>
      <c r="CL750" s="2" t="n">
        <v>1.43</v>
      </c>
      <c r="CM750" s="2" t="n">
        <v>3.23</v>
      </c>
      <c r="CN750" s="2" t="n">
        <v>0</v>
      </c>
      <c r="CO750" s="2" t="n">
        <v>8.77</v>
      </c>
      <c r="CP750" s="2" t="n">
        <v>10.6</v>
      </c>
      <c r="CQ750" s="2" t="n">
        <v>0</v>
      </c>
      <c r="CR750" s="2" t="n">
        <v>16.84</v>
      </c>
      <c r="CS750" s="2" t="n">
        <v>18.69</v>
      </c>
      <c r="CT750" s="2" t="n">
        <v>0</v>
      </c>
      <c r="CU750" s="2" t="n">
        <v>23.62</v>
      </c>
      <c r="CV750" s="2" t="n">
        <v>25.46</v>
      </c>
      <c r="CW750" s="2" t="n">
        <v>0</v>
      </c>
      <c r="CX750" s="2" t="n">
        <v>44.96</v>
      </c>
      <c r="CY750" s="2" t="n">
        <v>46.79</v>
      </c>
      <c r="CZ750" s="2" t="n">
        <v>0</v>
      </c>
      <c r="DA750" s="2" t="n">
        <v>52.76</v>
      </c>
      <c r="DB750" s="2" t="n">
        <v>54.56</v>
      </c>
      <c r="DC750" s="2" t="n">
        <v>0</v>
      </c>
      <c r="DD750" s="2" t="n">
        <v>61.22</v>
      </c>
      <c r="DE750" s="2" t="n">
        <v>63.01</v>
      </c>
      <c r="DF750" s="2" t="n">
        <v>0</v>
      </c>
      <c r="DG750" s="2" t="n">
        <v>68.88</v>
      </c>
      <c r="DH750" s="2" t="n">
        <v>70.79000000000001</v>
      </c>
      <c r="DI750" s="2" t="n">
        <v>0</v>
      </c>
      <c r="DJ750" s="2" t="n">
        <v>76.98999999999999</v>
      </c>
      <c r="DK750" s="2" t="n">
        <v>78.78</v>
      </c>
      <c r="DL750" s="2" t="n">
        <v>0</v>
      </c>
      <c r="DM750" s="2" t="n">
        <v>84.52</v>
      </c>
      <c r="DN750" s="2" t="n">
        <v>86.31</v>
      </c>
      <c r="DO750" s="2" t="n">
        <v>0</v>
      </c>
      <c r="DP750" s="2" t="n">
        <v>92.04000000000001</v>
      </c>
      <c r="DQ750" s="2" t="n">
        <v>93.83</v>
      </c>
      <c r="DR750" s="2" t="n">
        <v>0</v>
      </c>
      <c r="DS750" s="2" t="n">
        <v>95.73</v>
      </c>
      <c r="DT750" s="2" t="n">
        <v>96.77</v>
      </c>
      <c r="DU750" s="2" t="n">
        <v>0</v>
      </c>
      <c r="DV750" s="2" t="n">
        <v>96.77</v>
      </c>
      <c r="DW750" s="2" t="n">
        <v>97.13</v>
      </c>
      <c r="DX750" s="2" t="n">
        <v>0</v>
      </c>
      <c r="DY750" s="2" t="n">
        <v>100</v>
      </c>
      <c r="DZ750" s="2" t="n">
        <v>100</v>
      </c>
      <c r="EA750" s="2" t="n">
        <v>0</v>
      </c>
      <c r="EB750" s="2" t="n">
        <v>100</v>
      </c>
      <c r="EC750" s="2" t="n">
        <v>100</v>
      </c>
      <c r="ED750" s="2" t="n">
        <v>0</v>
      </c>
      <c r="EE750" s="2" t="n">
        <v>100</v>
      </c>
      <c r="EF750" s="2" t="n">
        <v>100</v>
      </c>
      <c r="EG750" s="2" t="n">
        <v>0</v>
      </c>
      <c r="EH750" s="2" t="n">
        <v>100</v>
      </c>
      <c r="EI750" s="2" t="n">
        <v>100</v>
      </c>
      <c r="EJ750" s="2" t="n">
        <v>0</v>
      </c>
      <c r="EK750" s="2" t="n">
        <v>100</v>
      </c>
      <c r="EL750" s="2" t="n">
        <v>100</v>
      </c>
      <c r="EM750" s="2" t="n">
        <v>0</v>
      </c>
      <c r="EN750" s="2" t="n">
        <v>100</v>
      </c>
      <c r="EO750" s="2" t="n">
        <v>100</v>
      </c>
      <c r="EP750" s="2" t="n">
        <v>0</v>
      </c>
      <c r="EQ750" s="2" t="n">
        <v>100</v>
      </c>
      <c r="ER750" s="2" t="n">
        <v>100</v>
      </c>
      <c r="ES750" s="2" t="n">
        <v>0</v>
      </c>
    </row>
    <row r="751">
      <c r="A751" s="2" t="n">
        <v>4</v>
      </c>
      <c r="B751" s="2" t="inlineStr">
        <is>
          <t>30.06.06.08</t>
        </is>
      </c>
      <c r="C751" s="2" t="inlineStr">
        <is>
          <t>Proteção de bancadas contra manuseio de obra</t>
        </is>
      </c>
      <c r="D751" s="2" t="inlineStr">
        <is>
          <t>20/09/2027</t>
        </is>
      </c>
      <c r="E751" s="2" t="inlineStr">
        <is>
          <t>11/10/2028</t>
        </is>
      </c>
      <c r="F751" s="2" t="n">
        <v>182.6018522714508</v>
      </c>
      <c r="G751" s="2" t="n">
        <v>0</v>
      </c>
      <c r="H751" s="2" t="n">
        <v>182.6018522714508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0</v>
      </c>
      <c r="AM751" s="2" t="n">
        <v>0</v>
      </c>
      <c r="AN751" s="2" t="n">
        <v>0</v>
      </c>
      <c r="AO751" s="2" t="n">
        <v>0</v>
      </c>
      <c r="AP751" s="2" t="n">
        <v>0</v>
      </c>
      <c r="AQ751" s="2" t="n">
        <v>0</v>
      </c>
      <c r="AR751" s="2" t="n">
        <v>0</v>
      </c>
      <c r="AS751" s="2" t="n">
        <v>0</v>
      </c>
      <c r="AT751" s="2" t="n">
        <v>0</v>
      </c>
      <c r="AU751" s="2" t="n">
        <v>0</v>
      </c>
      <c r="AV751" s="2" t="n">
        <v>0</v>
      </c>
      <c r="AW751" s="2" t="n">
        <v>0</v>
      </c>
      <c r="AX751" s="2" t="n">
        <v>0</v>
      </c>
      <c r="AY751" s="2" t="n">
        <v>0</v>
      </c>
      <c r="AZ751" s="2" t="n">
        <v>0</v>
      </c>
      <c r="BA751" s="2" t="n">
        <v>0</v>
      </c>
      <c r="BB751" s="2" t="n">
        <v>0</v>
      </c>
      <c r="BC751" s="2" t="n">
        <v>0</v>
      </c>
      <c r="BD751" s="2" t="n">
        <v>0</v>
      </c>
      <c r="BE751" s="2" t="n">
        <v>0</v>
      </c>
      <c r="BF751" s="2" t="n">
        <v>0</v>
      </c>
      <c r="BG751" s="2" t="n">
        <v>0</v>
      </c>
      <c r="BH751" s="2" t="n">
        <v>0</v>
      </c>
      <c r="BI751" s="2" t="n">
        <v>0</v>
      </c>
      <c r="BJ751" s="2" t="n">
        <v>0</v>
      </c>
      <c r="BK751" s="2" t="n">
        <v>0</v>
      </c>
      <c r="BL751" s="2" t="n">
        <v>0</v>
      </c>
      <c r="BM751" s="2" t="n">
        <v>0</v>
      </c>
      <c r="BN751" s="2" t="n">
        <v>0</v>
      </c>
      <c r="BO751" s="2" t="n">
        <v>0</v>
      </c>
      <c r="BP751" s="2" t="n">
        <v>0</v>
      </c>
      <c r="BQ751" s="2" t="n">
        <v>0</v>
      </c>
      <c r="BR751" s="2" t="n">
        <v>0</v>
      </c>
      <c r="BS751" s="2" t="n">
        <v>0</v>
      </c>
      <c r="BT751" s="2" t="n">
        <v>0</v>
      </c>
      <c r="BU751" s="2" t="n">
        <v>0</v>
      </c>
      <c r="BV751" s="2" t="n">
        <v>0</v>
      </c>
      <c r="BW751" s="2" t="n">
        <v>0</v>
      </c>
      <c r="BX751" s="2" t="n">
        <v>0</v>
      </c>
      <c r="BY751" s="2" t="n">
        <v>0</v>
      </c>
      <c r="BZ751" s="2" t="n">
        <v>0</v>
      </c>
      <c r="CA751" s="2" t="n">
        <v>0</v>
      </c>
      <c r="CB751" s="2" t="n">
        <v>0</v>
      </c>
      <c r="CC751" s="2" t="n">
        <v>0</v>
      </c>
      <c r="CD751" s="2" t="n">
        <v>0</v>
      </c>
      <c r="CE751" s="2" t="n">
        <v>0</v>
      </c>
      <c r="CF751" s="2" t="n">
        <v>0</v>
      </c>
      <c r="CG751" s="2" t="n">
        <v>0</v>
      </c>
      <c r="CH751" s="2" t="n">
        <v>0</v>
      </c>
      <c r="CI751" s="2" t="n">
        <v>0</v>
      </c>
      <c r="CJ751" s="2" t="n">
        <v>0</v>
      </c>
      <c r="CK751" s="2" t="n">
        <v>0</v>
      </c>
      <c r="CL751" s="2" t="n">
        <v>1.43</v>
      </c>
      <c r="CM751" s="2" t="n">
        <v>3.23</v>
      </c>
      <c r="CN751" s="2" t="n">
        <v>0</v>
      </c>
      <c r="CO751" s="2" t="n">
        <v>8.77</v>
      </c>
      <c r="CP751" s="2" t="n">
        <v>10.6</v>
      </c>
      <c r="CQ751" s="2" t="n">
        <v>0</v>
      </c>
      <c r="CR751" s="2" t="n">
        <v>16.84</v>
      </c>
      <c r="CS751" s="2" t="n">
        <v>18.69</v>
      </c>
      <c r="CT751" s="2" t="n">
        <v>0</v>
      </c>
      <c r="CU751" s="2" t="n">
        <v>23.62</v>
      </c>
      <c r="CV751" s="2" t="n">
        <v>25.46</v>
      </c>
      <c r="CW751" s="2" t="n">
        <v>0</v>
      </c>
      <c r="CX751" s="2" t="n">
        <v>44.96</v>
      </c>
      <c r="CY751" s="2" t="n">
        <v>46.79</v>
      </c>
      <c r="CZ751" s="2" t="n">
        <v>0</v>
      </c>
      <c r="DA751" s="2" t="n">
        <v>52.76</v>
      </c>
      <c r="DB751" s="2" t="n">
        <v>54.56</v>
      </c>
      <c r="DC751" s="2" t="n">
        <v>0</v>
      </c>
      <c r="DD751" s="2" t="n">
        <v>61.22</v>
      </c>
      <c r="DE751" s="2" t="n">
        <v>63.01</v>
      </c>
      <c r="DF751" s="2" t="n">
        <v>0</v>
      </c>
      <c r="DG751" s="2" t="n">
        <v>68.88</v>
      </c>
      <c r="DH751" s="2" t="n">
        <v>70.79000000000001</v>
      </c>
      <c r="DI751" s="2" t="n">
        <v>0</v>
      </c>
      <c r="DJ751" s="2" t="n">
        <v>76.98999999999999</v>
      </c>
      <c r="DK751" s="2" t="n">
        <v>78.78</v>
      </c>
      <c r="DL751" s="2" t="n">
        <v>0</v>
      </c>
      <c r="DM751" s="2" t="n">
        <v>84.52</v>
      </c>
      <c r="DN751" s="2" t="n">
        <v>86.31</v>
      </c>
      <c r="DO751" s="2" t="n">
        <v>0</v>
      </c>
      <c r="DP751" s="2" t="n">
        <v>92.04000000000001</v>
      </c>
      <c r="DQ751" s="2" t="n">
        <v>93.83</v>
      </c>
      <c r="DR751" s="2" t="n">
        <v>0</v>
      </c>
      <c r="DS751" s="2" t="n">
        <v>95.73</v>
      </c>
      <c r="DT751" s="2" t="n">
        <v>96.77</v>
      </c>
      <c r="DU751" s="2" t="n">
        <v>0</v>
      </c>
      <c r="DV751" s="2" t="n">
        <v>96.77</v>
      </c>
      <c r="DW751" s="2" t="n">
        <v>97.13</v>
      </c>
      <c r="DX751" s="2" t="n">
        <v>0</v>
      </c>
      <c r="DY751" s="2" t="n">
        <v>100</v>
      </c>
      <c r="DZ751" s="2" t="n">
        <v>100</v>
      </c>
      <c r="EA751" s="2" t="n">
        <v>0</v>
      </c>
      <c r="EB751" s="2" t="n">
        <v>100</v>
      </c>
      <c r="EC751" s="2" t="n">
        <v>100</v>
      </c>
      <c r="ED751" s="2" t="n">
        <v>0</v>
      </c>
      <c r="EE751" s="2" t="n">
        <v>100</v>
      </c>
      <c r="EF751" s="2" t="n">
        <v>100</v>
      </c>
      <c r="EG751" s="2" t="n">
        <v>0</v>
      </c>
      <c r="EH751" s="2" t="n">
        <v>100</v>
      </c>
      <c r="EI751" s="2" t="n">
        <v>100</v>
      </c>
      <c r="EJ751" s="2" t="n">
        <v>0</v>
      </c>
      <c r="EK751" s="2" t="n">
        <v>100</v>
      </c>
      <c r="EL751" s="2" t="n">
        <v>100</v>
      </c>
      <c r="EM751" s="2" t="n">
        <v>0</v>
      </c>
      <c r="EN751" s="2" t="n">
        <v>100</v>
      </c>
      <c r="EO751" s="2" t="n">
        <v>100</v>
      </c>
      <c r="EP751" s="2" t="n">
        <v>0</v>
      </c>
      <c r="EQ751" s="2" t="n">
        <v>100</v>
      </c>
      <c r="ER751" s="2" t="n">
        <v>100</v>
      </c>
      <c r="ES751" s="2" t="n">
        <v>0</v>
      </c>
    </row>
    <row r="752">
      <c r="A752" s="2" t="n">
        <v>3</v>
      </c>
      <c r="B752" s="2" t="inlineStr">
        <is>
          <t>30.06.07</t>
        </is>
      </c>
      <c r="C752" s="2" t="inlineStr">
        <is>
          <t>Peças  diversas</t>
        </is>
      </c>
      <c r="D752" s="2" t="inlineStr">
        <is>
          <t>20/09/2027</t>
        </is>
      </c>
      <c r="E752" s="2" t="inlineStr">
        <is>
          <t>11/10/2028</t>
        </is>
      </c>
      <c r="F752" s="2" t="n">
        <v>664517.2398091368</v>
      </c>
      <c r="G752" s="2" t="n">
        <v>0</v>
      </c>
      <c r="H752" s="2" t="n">
        <v>664517.2398091368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0</v>
      </c>
      <c r="AM752" s="2" t="n">
        <v>0</v>
      </c>
      <c r="AN752" s="2" t="n">
        <v>0</v>
      </c>
      <c r="AO752" s="2" t="n">
        <v>0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0</v>
      </c>
      <c r="AX752" s="2" t="n">
        <v>0</v>
      </c>
      <c r="AY752" s="2" t="n">
        <v>0</v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0</v>
      </c>
      <c r="BG752" s="2" t="n">
        <v>0</v>
      </c>
      <c r="BH752" s="2" t="n">
        <v>0</v>
      </c>
      <c r="BI752" s="2" t="n">
        <v>0</v>
      </c>
      <c r="BJ752" s="2" t="n">
        <v>0</v>
      </c>
      <c r="BK752" s="2" t="n">
        <v>0</v>
      </c>
      <c r="BL752" s="2" t="n">
        <v>0</v>
      </c>
      <c r="BM752" s="2" t="n">
        <v>0</v>
      </c>
      <c r="BN752" s="2" t="n">
        <v>0</v>
      </c>
      <c r="BO752" s="2" t="n">
        <v>0</v>
      </c>
      <c r="BP752" s="2" t="n">
        <v>0</v>
      </c>
      <c r="BQ752" s="2" t="n">
        <v>0</v>
      </c>
      <c r="BR752" s="2" t="n">
        <v>0</v>
      </c>
      <c r="BS752" s="2" t="n">
        <v>0</v>
      </c>
      <c r="BT752" s="2" t="n">
        <v>0</v>
      </c>
      <c r="BU752" s="2" t="n">
        <v>0</v>
      </c>
      <c r="BV752" s="2" t="n">
        <v>0</v>
      </c>
      <c r="BW752" s="2" t="n">
        <v>0</v>
      </c>
      <c r="BX752" s="2" t="n">
        <v>0</v>
      </c>
      <c r="BY752" s="2" t="n">
        <v>0</v>
      </c>
      <c r="BZ752" s="2" t="n">
        <v>0</v>
      </c>
      <c r="CA752" s="2" t="n">
        <v>0</v>
      </c>
      <c r="CB752" s="2" t="n">
        <v>0</v>
      </c>
      <c r="CC752" s="2" t="n">
        <v>0</v>
      </c>
      <c r="CD752" s="2" t="n">
        <v>0</v>
      </c>
      <c r="CE752" s="2" t="n">
        <v>0</v>
      </c>
      <c r="CF752" s="2" t="n">
        <v>0</v>
      </c>
      <c r="CG752" s="2" t="n">
        <v>0</v>
      </c>
      <c r="CH752" s="2" t="n">
        <v>0</v>
      </c>
      <c r="CI752" s="2" t="n">
        <v>0</v>
      </c>
      <c r="CJ752" s="2" t="n">
        <v>0</v>
      </c>
      <c r="CK752" s="2" t="n">
        <v>0</v>
      </c>
      <c r="CL752" s="2" t="n">
        <v>1.43</v>
      </c>
      <c r="CM752" s="2" t="n">
        <v>3.23</v>
      </c>
      <c r="CN752" s="2" t="n">
        <v>0</v>
      </c>
      <c r="CO752" s="2" t="n">
        <v>8.77</v>
      </c>
      <c r="CP752" s="2" t="n">
        <v>10.6</v>
      </c>
      <c r="CQ752" s="2" t="n">
        <v>0</v>
      </c>
      <c r="CR752" s="2" t="n">
        <v>16.84</v>
      </c>
      <c r="CS752" s="2" t="n">
        <v>18.69</v>
      </c>
      <c r="CT752" s="2" t="n">
        <v>0</v>
      </c>
      <c r="CU752" s="2" t="n">
        <v>23.62</v>
      </c>
      <c r="CV752" s="2" t="n">
        <v>25.46</v>
      </c>
      <c r="CW752" s="2" t="n">
        <v>0</v>
      </c>
      <c r="CX752" s="2" t="n">
        <v>44.96</v>
      </c>
      <c r="CY752" s="2" t="n">
        <v>46.79</v>
      </c>
      <c r="CZ752" s="2" t="n">
        <v>0</v>
      </c>
      <c r="DA752" s="2" t="n">
        <v>52.76</v>
      </c>
      <c r="DB752" s="2" t="n">
        <v>54.56</v>
      </c>
      <c r="DC752" s="2" t="n">
        <v>0</v>
      </c>
      <c r="DD752" s="2" t="n">
        <v>61.22</v>
      </c>
      <c r="DE752" s="2" t="n">
        <v>63.01</v>
      </c>
      <c r="DF752" s="2" t="n">
        <v>0</v>
      </c>
      <c r="DG752" s="2" t="n">
        <v>68.88</v>
      </c>
      <c r="DH752" s="2" t="n">
        <v>70.79000000000001</v>
      </c>
      <c r="DI752" s="2" t="n">
        <v>0</v>
      </c>
      <c r="DJ752" s="2" t="n">
        <v>76.98999999999999</v>
      </c>
      <c r="DK752" s="2" t="n">
        <v>78.78</v>
      </c>
      <c r="DL752" s="2" t="n">
        <v>0</v>
      </c>
      <c r="DM752" s="2" t="n">
        <v>84.52</v>
      </c>
      <c r="DN752" s="2" t="n">
        <v>86.31</v>
      </c>
      <c r="DO752" s="2" t="n">
        <v>0</v>
      </c>
      <c r="DP752" s="2" t="n">
        <v>92.04000000000001</v>
      </c>
      <c r="DQ752" s="2" t="n">
        <v>93.83</v>
      </c>
      <c r="DR752" s="2" t="n">
        <v>0</v>
      </c>
      <c r="DS752" s="2" t="n">
        <v>95.73</v>
      </c>
      <c r="DT752" s="2" t="n">
        <v>96.77</v>
      </c>
      <c r="DU752" s="2" t="n">
        <v>0</v>
      </c>
      <c r="DV752" s="2" t="n">
        <v>96.77</v>
      </c>
      <c r="DW752" s="2" t="n">
        <v>97.13</v>
      </c>
      <c r="DX752" s="2" t="n">
        <v>0</v>
      </c>
      <c r="DY752" s="2" t="n">
        <v>100</v>
      </c>
      <c r="DZ752" s="2" t="n">
        <v>100</v>
      </c>
      <c r="EA752" s="2" t="n">
        <v>0</v>
      </c>
      <c r="EB752" s="2" t="n">
        <v>100</v>
      </c>
      <c r="EC752" s="2" t="n">
        <v>100</v>
      </c>
      <c r="ED752" s="2" t="n">
        <v>0</v>
      </c>
      <c r="EE752" s="2" t="n">
        <v>100</v>
      </c>
      <c r="EF752" s="2" t="n">
        <v>100</v>
      </c>
      <c r="EG752" s="2" t="n">
        <v>0</v>
      </c>
      <c r="EH752" s="2" t="n">
        <v>100</v>
      </c>
      <c r="EI752" s="2" t="n">
        <v>100</v>
      </c>
      <c r="EJ752" s="2" t="n">
        <v>0</v>
      </c>
      <c r="EK752" s="2" t="n">
        <v>100</v>
      </c>
      <c r="EL752" s="2" t="n">
        <v>100</v>
      </c>
      <c r="EM752" s="2" t="n">
        <v>0</v>
      </c>
      <c r="EN752" s="2" t="n">
        <v>100</v>
      </c>
      <c r="EO752" s="2" t="n">
        <v>100</v>
      </c>
      <c r="EP752" s="2" t="n">
        <v>0</v>
      </c>
      <c r="EQ752" s="2" t="n">
        <v>100</v>
      </c>
      <c r="ER752" s="2" t="n">
        <v>100</v>
      </c>
      <c r="ES752" s="2" t="n">
        <v>0</v>
      </c>
    </row>
    <row r="753">
      <c r="A753" s="2" t="n">
        <v>4</v>
      </c>
      <c r="B753" s="2" t="inlineStr">
        <is>
          <t>30.06.07.01</t>
        </is>
      </c>
      <c r="C753" s="2" t="inlineStr">
        <is>
          <t>Divisórias à definir (Vestiário Fem.| masc. - Pilotis)</t>
        </is>
      </c>
      <c r="D753" s="2" t="inlineStr">
        <is>
          <t>20/09/2027</t>
        </is>
      </c>
      <c r="E753" s="2" t="inlineStr">
        <is>
          <t>11/10/2028</t>
        </is>
      </c>
      <c r="F753" s="2" t="n">
        <v>5150.1185505</v>
      </c>
      <c r="G753" s="2" t="n">
        <v>0</v>
      </c>
      <c r="H753" s="2" t="n">
        <v>5150.1185505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0</v>
      </c>
      <c r="AM753" s="2" t="n">
        <v>0</v>
      </c>
      <c r="AN753" s="2" t="n">
        <v>0</v>
      </c>
      <c r="AO753" s="2" t="n">
        <v>0</v>
      </c>
      <c r="AP753" s="2" t="n">
        <v>0</v>
      </c>
      <c r="AQ753" s="2" t="n">
        <v>0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0</v>
      </c>
      <c r="AW753" s="2" t="n">
        <v>0</v>
      </c>
      <c r="AX753" s="2" t="n">
        <v>0</v>
      </c>
      <c r="AY753" s="2" t="n">
        <v>0</v>
      </c>
      <c r="AZ753" s="2" t="n">
        <v>0</v>
      </c>
      <c r="BA753" s="2" t="n">
        <v>0</v>
      </c>
      <c r="BB753" s="2" t="n">
        <v>0</v>
      </c>
      <c r="BC753" s="2" t="n">
        <v>0</v>
      </c>
      <c r="BD753" s="2" t="n">
        <v>0</v>
      </c>
      <c r="BE753" s="2" t="n">
        <v>0</v>
      </c>
      <c r="BF753" s="2" t="n">
        <v>0</v>
      </c>
      <c r="BG753" s="2" t="n">
        <v>0</v>
      </c>
      <c r="BH753" s="2" t="n">
        <v>0</v>
      </c>
      <c r="BI753" s="2" t="n">
        <v>0</v>
      </c>
      <c r="BJ753" s="2" t="n">
        <v>0</v>
      </c>
      <c r="BK753" s="2" t="n">
        <v>0</v>
      </c>
      <c r="BL753" s="2" t="n">
        <v>0</v>
      </c>
      <c r="BM753" s="2" t="n">
        <v>0</v>
      </c>
      <c r="BN753" s="2" t="n">
        <v>0</v>
      </c>
      <c r="BO753" s="2" t="n">
        <v>0</v>
      </c>
      <c r="BP753" s="2" t="n">
        <v>0</v>
      </c>
      <c r="BQ753" s="2" t="n">
        <v>0</v>
      </c>
      <c r="BR753" s="2" t="n">
        <v>0</v>
      </c>
      <c r="BS753" s="2" t="n">
        <v>0</v>
      </c>
      <c r="BT753" s="2" t="n">
        <v>0</v>
      </c>
      <c r="BU753" s="2" t="n">
        <v>0</v>
      </c>
      <c r="BV753" s="2" t="n">
        <v>0</v>
      </c>
      <c r="BW753" s="2" t="n">
        <v>0</v>
      </c>
      <c r="BX753" s="2" t="n">
        <v>0</v>
      </c>
      <c r="BY753" s="2" t="n">
        <v>0</v>
      </c>
      <c r="BZ753" s="2" t="n">
        <v>0</v>
      </c>
      <c r="CA753" s="2" t="n">
        <v>0</v>
      </c>
      <c r="CB753" s="2" t="n">
        <v>0</v>
      </c>
      <c r="CC753" s="2" t="n">
        <v>0</v>
      </c>
      <c r="CD753" s="2" t="n">
        <v>0</v>
      </c>
      <c r="CE753" s="2" t="n">
        <v>0</v>
      </c>
      <c r="CF753" s="2" t="n">
        <v>0</v>
      </c>
      <c r="CG753" s="2" t="n">
        <v>0</v>
      </c>
      <c r="CH753" s="2" t="n">
        <v>0</v>
      </c>
      <c r="CI753" s="2" t="n">
        <v>0</v>
      </c>
      <c r="CJ753" s="2" t="n">
        <v>0</v>
      </c>
      <c r="CK753" s="2" t="n">
        <v>0</v>
      </c>
      <c r="CL753" s="2" t="n">
        <v>1.43</v>
      </c>
      <c r="CM753" s="2" t="n">
        <v>3.23</v>
      </c>
      <c r="CN753" s="2" t="n">
        <v>0</v>
      </c>
      <c r="CO753" s="2" t="n">
        <v>8.77</v>
      </c>
      <c r="CP753" s="2" t="n">
        <v>10.6</v>
      </c>
      <c r="CQ753" s="2" t="n">
        <v>0</v>
      </c>
      <c r="CR753" s="2" t="n">
        <v>16.84</v>
      </c>
      <c r="CS753" s="2" t="n">
        <v>18.69</v>
      </c>
      <c r="CT753" s="2" t="n">
        <v>0</v>
      </c>
      <c r="CU753" s="2" t="n">
        <v>23.62</v>
      </c>
      <c r="CV753" s="2" t="n">
        <v>25.46</v>
      </c>
      <c r="CW753" s="2" t="n">
        <v>0</v>
      </c>
      <c r="CX753" s="2" t="n">
        <v>44.96</v>
      </c>
      <c r="CY753" s="2" t="n">
        <v>46.79</v>
      </c>
      <c r="CZ753" s="2" t="n">
        <v>0</v>
      </c>
      <c r="DA753" s="2" t="n">
        <v>52.76</v>
      </c>
      <c r="DB753" s="2" t="n">
        <v>54.56</v>
      </c>
      <c r="DC753" s="2" t="n">
        <v>0</v>
      </c>
      <c r="DD753" s="2" t="n">
        <v>61.22</v>
      </c>
      <c r="DE753" s="2" t="n">
        <v>63.01</v>
      </c>
      <c r="DF753" s="2" t="n">
        <v>0</v>
      </c>
      <c r="DG753" s="2" t="n">
        <v>68.88</v>
      </c>
      <c r="DH753" s="2" t="n">
        <v>70.79000000000001</v>
      </c>
      <c r="DI753" s="2" t="n">
        <v>0</v>
      </c>
      <c r="DJ753" s="2" t="n">
        <v>76.98999999999999</v>
      </c>
      <c r="DK753" s="2" t="n">
        <v>78.78</v>
      </c>
      <c r="DL753" s="2" t="n">
        <v>0</v>
      </c>
      <c r="DM753" s="2" t="n">
        <v>84.52</v>
      </c>
      <c r="DN753" s="2" t="n">
        <v>86.31</v>
      </c>
      <c r="DO753" s="2" t="n">
        <v>0</v>
      </c>
      <c r="DP753" s="2" t="n">
        <v>92.04000000000001</v>
      </c>
      <c r="DQ753" s="2" t="n">
        <v>93.83</v>
      </c>
      <c r="DR753" s="2" t="n">
        <v>0</v>
      </c>
      <c r="DS753" s="2" t="n">
        <v>95.73</v>
      </c>
      <c r="DT753" s="2" t="n">
        <v>96.77</v>
      </c>
      <c r="DU753" s="2" t="n">
        <v>0</v>
      </c>
      <c r="DV753" s="2" t="n">
        <v>96.77</v>
      </c>
      <c r="DW753" s="2" t="n">
        <v>97.13</v>
      </c>
      <c r="DX753" s="2" t="n">
        <v>0</v>
      </c>
      <c r="DY753" s="2" t="n">
        <v>100</v>
      </c>
      <c r="DZ753" s="2" t="n">
        <v>100</v>
      </c>
      <c r="EA753" s="2" t="n">
        <v>0</v>
      </c>
      <c r="EB753" s="2" t="n">
        <v>100</v>
      </c>
      <c r="EC753" s="2" t="n">
        <v>100</v>
      </c>
      <c r="ED753" s="2" t="n">
        <v>0</v>
      </c>
      <c r="EE753" s="2" t="n">
        <v>100</v>
      </c>
      <c r="EF753" s="2" t="n">
        <v>100</v>
      </c>
      <c r="EG753" s="2" t="n">
        <v>0</v>
      </c>
      <c r="EH753" s="2" t="n">
        <v>100</v>
      </c>
      <c r="EI753" s="2" t="n">
        <v>100</v>
      </c>
      <c r="EJ753" s="2" t="n">
        <v>0</v>
      </c>
      <c r="EK753" s="2" t="n">
        <v>100</v>
      </c>
      <c r="EL753" s="2" t="n">
        <v>100</v>
      </c>
      <c r="EM753" s="2" t="n">
        <v>0</v>
      </c>
      <c r="EN753" s="2" t="n">
        <v>100</v>
      </c>
      <c r="EO753" s="2" t="n">
        <v>100</v>
      </c>
      <c r="EP753" s="2" t="n">
        <v>0</v>
      </c>
      <c r="EQ753" s="2" t="n">
        <v>100</v>
      </c>
      <c r="ER753" s="2" t="n">
        <v>100</v>
      </c>
      <c r="ES753" s="2" t="n">
        <v>0</v>
      </c>
    </row>
    <row r="754">
      <c r="A754" s="2" t="n">
        <v>4</v>
      </c>
      <c r="B754" s="2" t="inlineStr">
        <is>
          <t>30.06.07.02</t>
        </is>
      </c>
      <c r="C754" s="2" t="inlineStr">
        <is>
          <t>Peitoril em granito Branco Ornamental White, acabamento levigado</t>
        </is>
      </c>
      <c r="D754" s="2" t="inlineStr">
        <is>
          <t>20/09/2027</t>
        </is>
      </c>
      <c r="E754" s="2" t="inlineStr">
        <is>
          <t>11/10/2028</t>
        </is>
      </c>
      <c r="F754" s="2" t="n">
        <v>129151.7454101937</v>
      </c>
      <c r="G754" s="2" t="n">
        <v>0</v>
      </c>
      <c r="H754" s="2" t="n">
        <v>129151.7454101937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0</v>
      </c>
      <c r="AM754" s="2" t="n">
        <v>0</v>
      </c>
      <c r="AN754" s="2" t="n">
        <v>0</v>
      </c>
      <c r="AO754" s="2" t="n">
        <v>0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0</v>
      </c>
      <c r="AY754" s="2" t="n">
        <v>0</v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n">
        <v>0</v>
      </c>
      <c r="BE754" s="2" t="n">
        <v>0</v>
      </c>
      <c r="BF754" s="2" t="n">
        <v>0</v>
      </c>
      <c r="BG754" s="2" t="n">
        <v>0</v>
      </c>
      <c r="BH754" s="2" t="n">
        <v>0</v>
      </c>
      <c r="BI754" s="2" t="n">
        <v>0</v>
      </c>
      <c r="BJ754" s="2" t="n">
        <v>0</v>
      </c>
      <c r="BK754" s="2" t="n">
        <v>0</v>
      </c>
      <c r="BL754" s="2" t="n">
        <v>0</v>
      </c>
      <c r="BM754" s="2" t="n">
        <v>0</v>
      </c>
      <c r="BN754" s="2" t="n">
        <v>0</v>
      </c>
      <c r="BO754" s="2" t="n">
        <v>0</v>
      </c>
      <c r="BP754" s="2" t="n">
        <v>0</v>
      </c>
      <c r="BQ754" s="2" t="n">
        <v>0</v>
      </c>
      <c r="BR754" s="2" t="n">
        <v>0</v>
      </c>
      <c r="BS754" s="2" t="n">
        <v>0</v>
      </c>
      <c r="BT754" s="2" t="n">
        <v>0</v>
      </c>
      <c r="BU754" s="2" t="n">
        <v>0</v>
      </c>
      <c r="BV754" s="2" t="n">
        <v>0</v>
      </c>
      <c r="BW754" s="2" t="n">
        <v>0</v>
      </c>
      <c r="BX754" s="2" t="n">
        <v>0</v>
      </c>
      <c r="BY754" s="2" t="n">
        <v>0</v>
      </c>
      <c r="BZ754" s="2" t="n">
        <v>0</v>
      </c>
      <c r="CA754" s="2" t="n">
        <v>0</v>
      </c>
      <c r="CB754" s="2" t="n">
        <v>0</v>
      </c>
      <c r="CC754" s="2" t="n">
        <v>0</v>
      </c>
      <c r="CD754" s="2" t="n">
        <v>0</v>
      </c>
      <c r="CE754" s="2" t="n">
        <v>0</v>
      </c>
      <c r="CF754" s="2" t="n">
        <v>0</v>
      </c>
      <c r="CG754" s="2" t="n">
        <v>0</v>
      </c>
      <c r="CH754" s="2" t="n">
        <v>0</v>
      </c>
      <c r="CI754" s="2" t="n">
        <v>0</v>
      </c>
      <c r="CJ754" s="2" t="n">
        <v>0</v>
      </c>
      <c r="CK754" s="2" t="n">
        <v>0</v>
      </c>
      <c r="CL754" s="2" t="n">
        <v>1.43</v>
      </c>
      <c r="CM754" s="2" t="n">
        <v>3.23</v>
      </c>
      <c r="CN754" s="2" t="n">
        <v>0</v>
      </c>
      <c r="CO754" s="2" t="n">
        <v>8.77</v>
      </c>
      <c r="CP754" s="2" t="n">
        <v>10.6</v>
      </c>
      <c r="CQ754" s="2" t="n">
        <v>0</v>
      </c>
      <c r="CR754" s="2" t="n">
        <v>16.84</v>
      </c>
      <c r="CS754" s="2" t="n">
        <v>18.69</v>
      </c>
      <c r="CT754" s="2" t="n">
        <v>0</v>
      </c>
      <c r="CU754" s="2" t="n">
        <v>23.62</v>
      </c>
      <c r="CV754" s="2" t="n">
        <v>25.46</v>
      </c>
      <c r="CW754" s="2" t="n">
        <v>0</v>
      </c>
      <c r="CX754" s="2" t="n">
        <v>44.96</v>
      </c>
      <c r="CY754" s="2" t="n">
        <v>46.79</v>
      </c>
      <c r="CZ754" s="2" t="n">
        <v>0</v>
      </c>
      <c r="DA754" s="2" t="n">
        <v>52.76</v>
      </c>
      <c r="DB754" s="2" t="n">
        <v>54.56</v>
      </c>
      <c r="DC754" s="2" t="n">
        <v>0</v>
      </c>
      <c r="DD754" s="2" t="n">
        <v>61.22</v>
      </c>
      <c r="DE754" s="2" t="n">
        <v>63.01</v>
      </c>
      <c r="DF754" s="2" t="n">
        <v>0</v>
      </c>
      <c r="DG754" s="2" t="n">
        <v>68.88</v>
      </c>
      <c r="DH754" s="2" t="n">
        <v>70.79000000000001</v>
      </c>
      <c r="DI754" s="2" t="n">
        <v>0</v>
      </c>
      <c r="DJ754" s="2" t="n">
        <v>76.98999999999999</v>
      </c>
      <c r="DK754" s="2" t="n">
        <v>78.78</v>
      </c>
      <c r="DL754" s="2" t="n">
        <v>0</v>
      </c>
      <c r="DM754" s="2" t="n">
        <v>84.52</v>
      </c>
      <c r="DN754" s="2" t="n">
        <v>86.31</v>
      </c>
      <c r="DO754" s="2" t="n">
        <v>0</v>
      </c>
      <c r="DP754" s="2" t="n">
        <v>92.04000000000001</v>
      </c>
      <c r="DQ754" s="2" t="n">
        <v>93.83</v>
      </c>
      <c r="DR754" s="2" t="n">
        <v>0</v>
      </c>
      <c r="DS754" s="2" t="n">
        <v>95.73</v>
      </c>
      <c r="DT754" s="2" t="n">
        <v>96.77</v>
      </c>
      <c r="DU754" s="2" t="n">
        <v>0</v>
      </c>
      <c r="DV754" s="2" t="n">
        <v>96.77</v>
      </c>
      <c r="DW754" s="2" t="n">
        <v>97.13</v>
      </c>
      <c r="DX754" s="2" t="n">
        <v>0</v>
      </c>
      <c r="DY754" s="2" t="n">
        <v>100</v>
      </c>
      <c r="DZ754" s="2" t="n">
        <v>100</v>
      </c>
      <c r="EA754" s="2" t="n">
        <v>0</v>
      </c>
      <c r="EB754" s="2" t="n">
        <v>100</v>
      </c>
      <c r="EC754" s="2" t="n">
        <v>100</v>
      </c>
      <c r="ED754" s="2" t="n">
        <v>0</v>
      </c>
      <c r="EE754" s="2" t="n">
        <v>100</v>
      </c>
      <c r="EF754" s="2" t="n">
        <v>100</v>
      </c>
      <c r="EG754" s="2" t="n">
        <v>0</v>
      </c>
      <c r="EH754" s="2" t="n">
        <v>100</v>
      </c>
      <c r="EI754" s="2" t="n">
        <v>100</v>
      </c>
      <c r="EJ754" s="2" t="n">
        <v>0</v>
      </c>
      <c r="EK754" s="2" t="n">
        <v>100</v>
      </c>
      <c r="EL754" s="2" t="n">
        <v>100</v>
      </c>
      <c r="EM754" s="2" t="n">
        <v>0</v>
      </c>
      <c r="EN754" s="2" t="n">
        <v>100</v>
      </c>
      <c r="EO754" s="2" t="n">
        <v>100</v>
      </c>
      <c r="EP754" s="2" t="n">
        <v>0</v>
      </c>
      <c r="EQ754" s="2" t="n">
        <v>100</v>
      </c>
      <c r="ER754" s="2" t="n">
        <v>100</v>
      </c>
      <c r="ES754" s="2" t="n">
        <v>0</v>
      </c>
    </row>
    <row r="755">
      <c r="A755" s="2" t="n">
        <v>4</v>
      </c>
      <c r="B755" s="2" t="inlineStr">
        <is>
          <t>30.06.07.03</t>
        </is>
      </c>
      <c r="C755" s="2" t="inlineStr">
        <is>
          <t>Soleira| filete em porcelanato, com acabamento acetinado. Ref.: Eliane, Khali OffWhite AC.</t>
        </is>
      </c>
      <c r="D755" s="2" t="inlineStr">
        <is>
          <t>20/09/2027</t>
        </is>
      </c>
      <c r="E755" s="2" t="inlineStr">
        <is>
          <t>11/10/2028</t>
        </is>
      </c>
      <c r="F755" s="2" t="n">
        <v>233222.0935503296</v>
      </c>
      <c r="G755" s="2" t="n">
        <v>0</v>
      </c>
      <c r="H755" s="2" t="n">
        <v>233222.0935503296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  <c r="AN755" s="2" t="n">
        <v>0</v>
      </c>
      <c r="AO755" s="2" t="n">
        <v>0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0</v>
      </c>
      <c r="AW755" s="2" t="n">
        <v>0</v>
      </c>
      <c r="AX755" s="2" t="n">
        <v>0</v>
      </c>
      <c r="AY755" s="2" t="n">
        <v>0</v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n">
        <v>0</v>
      </c>
      <c r="BE755" s="2" t="n">
        <v>0</v>
      </c>
      <c r="BF755" s="2" t="n">
        <v>0</v>
      </c>
      <c r="BG755" s="2" t="n">
        <v>0</v>
      </c>
      <c r="BH755" s="2" t="n">
        <v>0</v>
      </c>
      <c r="BI755" s="2" t="n">
        <v>0</v>
      </c>
      <c r="BJ755" s="2" t="n">
        <v>0</v>
      </c>
      <c r="BK755" s="2" t="n">
        <v>0</v>
      </c>
      <c r="BL755" s="2" t="n">
        <v>0</v>
      </c>
      <c r="BM755" s="2" t="n">
        <v>0</v>
      </c>
      <c r="BN755" s="2" t="n">
        <v>0</v>
      </c>
      <c r="BO755" s="2" t="n">
        <v>0</v>
      </c>
      <c r="BP755" s="2" t="n">
        <v>0</v>
      </c>
      <c r="BQ755" s="2" t="n">
        <v>0</v>
      </c>
      <c r="BR755" s="2" t="n">
        <v>0</v>
      </c>
      <c r="BS755" s="2" t="n">
        <v>0</v>
      </c>
      <c r="BT755" s="2" t="n">
        <v>0</v>
      </c>
      <c r="BU755" s="2" t="n">
        <v>0</v>
      </c>
      <c r="BV755" s="2" t="n">
        <v>0</v>
      </c>
      <c r="BW755" s="2" t="n">
        <v>0</v>
      </c>
      <c r="BX755" s="2" t="n">
        <v>0</v>
      </c>
      <c r="BY755" s="2" t="n">
        <v>0</v>
      </c>
      <c r="BZ755" s="2" t="n">
        <v>0</v>
      </c>
      <c r="CA755" s="2" t="n">
        <v>0</v>
      </c>
      <c r="CB755" s="2" t="n">
        <v>0</v>
      </c>
      <c r="CC755" s="2" t="n">
        <v>0</v>
      </c>
      <c r="CD755" s="2" t="n">
        <v>0</v>
      </c>
      <c r="CE755" s="2" t="n">
        <v>0</v>
      </c>
      <c r="CF755" s="2" t="n">
        <v>0</v>
      </c>
      <c r="CG755" s="2" t="n">
        <v>0</v>
      </c>
      <c r="CH755" s="2" t="n">
        <v>0</v>
      </c>
      <c r="CI755" s="2" t="n">
        <v>0</v>
      </c>
      <c r="CJ755" s="2" t="n">
        <v>0</v>
      </c>
      <c r="CK755" s="2" t="n">
        <v>0</v>
      </c>
      <c r="CL755" s="2" t="n">
        <v>1.43</v>
      </c>
      <c r="CM755" s="2" t="n">
        <v>3.23</v>
      </c>
      <c r="CN755" s="2" t="n">
        <v>0</v>
      </c>
      <c r="CO755" s="2" t="n">
        <v>8.77</v>
      </c>
      <c r="CP755" s="2" t="n">
        <v>10.6</v>
      </c>
      <c r="CQ755" s="2" t="n">
        <v>0</v>
      </c>
      <c r="CR755" s="2" t="n">
        <v>16.84</v>
      </c>
      <c r="CS755" s="2" t="n">
        <v>18.69</v>
      </c>
      <c r="CT755" s="2" t="n">
        <v>0</v>
      </c>
      <c r="CU755" s="2" t="n">
        <v>23.62</v>
      </c>
      <c r="CV755" s="2" t="n">
        <v>25.46</v>
      </c>
      <c r="CW755" s="2" t="n">
        <v>0</v>
      </c>
      <c r="CX755" s="2" t="n">
        <v>44.96</v>
      </c>
      <c r="CY755" s="2" t="n">
        <v>46.79</v>
      </c>
      <c r="CZ755" s="2" t="n">
        <v>0</v>
      </c>
      <c r="DA755" s="2" t="n">
        <v>52.76</v>
      </c>
      <c r="DB755" s="2" t="n">
        <v>54.56</v>
      </c>
      <c r="DC755" s="2" t="n">
        <v>0</v>
      </c>
      <c r="DD755" s="2" t="n">
        <v>61.22</v>
      </c>
      <c r="DE755" s="2" t="n">
        <v>63.01</v>
      </c>
      <c r="DF755" s="2" t="n">
        <v>0</v>
      </c>
      <c r="DG755" s="2" t="n">
        <v>68.88</v>
      </c>
      <c r="DH755" s="2" t="n">
        <v>70.79000000000001</v>
      </c>
      <c r="DI755" s="2" t="n">
        <v>0</v>
      </c>
      <c r="DJ755" s="2" t="n">
        <v>76.98999999999999</v>
      </c>
      <c r="DK755" s="2" t="n">
        <v>78.78</v>
      </c>
      <c r="DL755" s="2" t="n">
        <v>0</v>
      </c>
      <c r="DM755" s="2" t="n">
        <v>84.52</v>
      </c>
      <c r="DN755" s="2" t="n">
        <v>86.31</v>
      </c>
      <c r="DO755" s="2" t="n">
        <v>0</v>
      </c>
      <c r="DP755" s="2" t="n">
        <v>92.04000000000001</v>
      </c>
      <c r="DQ755" s="2" t="n">
        <v>93.83</v>
      </c>
      <c r="DR755" s="2" t="n">
        <v>0</v>
      </c>
      <c r="DS755" s="2" t="n">
        <v>95.73</v>
      </c>
      <c r="DT755" s="2" t="n">
        <v>96.77</v>
      </c>
      <c r="DU755" s="2" t="n">
        <v>0</v>
      </c>
      <c r="DV755" s="2" t="n">
        <v>96.77</v>
      </c>
      <c r="DW755" s="2" t="n">
        <v>97.13</v>
      </c>
      <c r="DX755" s="2" t="n">
        <v>0</v>
      </c>
      <c r="DY755" s="2" t="n">
        <v>100</v>
      </c>
      <c r="DZ755" s="2" t="n">
        <v>100</v>
      </c>
      <c r="EA755" s="2" t="n">
        <v>0</v>
      </c>
      <c r="EB755" s="2" t="n">
        <v>100</v>
      </c>
      <c r="EC755" s="2" t="n">
        <v>100</v>
      </c>
      <c r="ED755" s="2" t="n">
        <v>0</v>
      </c>
      <c r="EE755" s="2" t="n">
        <v>100</v>
      </c>
      <c r="EF755" s="2" t="n">
        <v>100</v>
      </c>
      <c r="EG755" s="2" t="n">
        <v>0</v>
      </c>
      <c r="EH755" s="2" t="n">
        <v>100</v>
      </c>
      <c r="EI755" s="2" t="n">
        <v>100</v>
      </c>
      <c r="EJ755" s="2" t="n">
        <v>0</v>
      </c>
      <c r="EK755" s="2" t="n">
        <v>100</v>
      </c>
      <c r="EL755" s="2" t="n">
        <v>100</v>
      </c>
      <c r="EM755" s="2" t="n">
        <v>0</v>
      </c>
      <c r="EN755" s="2" t="n">
        <v>100</v>
      </c>
      <c r="EO755" s="2" t="n">
        <v>100</v>
      </c>
      <c r="EP755" s="2" t="n">
        <v>0</v>
      </c>
      <c r="EQ755" s="2" t="n">
        <v>100</v>
      </c>
      <c r="ER755" s="2" t="n">
        <v>100</v>
      </c>
      <c r="ES755" s="2" t="n">
        <v>0</v>
      </c>
    </row>
    <row r="756">
      <c r="A756" s="2" t="n">
        <v>4</v>
      </c>
      <c r="B756" s="2" t="inlineStr">
        <is>
          <t>30.06.07.04</t>
        </is>
      </c>
      <c r="C756" s="2" t="inlineStr">
        <is>
          <t>Soleira em porcelanato, com acabamento acetinado. Ref.: Eliane, Munari Branco AC.</t>
        </is>
      </c>
      <c r="D756" s="2" t="inlineStr">
        <is>
          <t>20/09/2027</t>
        </is>
      </c>
      <c r="E756" s="2" t="inlineStr">
        <is>
          <t>11/10/2028</t>
        </is>
      </c>
      <c r="F756" s="2" t="n">
        <v>1148.832863560148</v>
      </c>
      <c r="G756" s="2" t="n">
        <v>0</v>
      </c>
      <c r="H756" s="2" t="n">
        <v>1148.832863560148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0</v>
      </c>
      <c r="AM756" s="2" t="n">
        <v>0</v>
      </c>
      <c r="AN756" s="2" t="n">
        <v>0</v>
      </c>
      <c r="AO756" s="2" t="n">
        <v>0</v>
      </c>
      <c r="AP756" s="2" t="n">
        <v>0</v>
      </c>
      <c r="AQ756" s="2" t="n">
        <v>0</v>
      </c>
      <c r="AR756" s="2" t="n">
        <v>0</v>
      </c>
      <c r="AS756" s="2" t="n">
        <v>0</v>
      </c>
      <c r="AT756" s="2" t="n">
        <v>0</v>
      </c>
      <c r="AU756" s="2" t="n">
        <v>0</v>
      </c>
      <c r="AV756" s="2" t="n">
        <v>0</v>
      </c>
      <c r="AW756" s="2" t="n">
        <v>0</v>
      </c>
      <c r="AX756" s="2" t="n">
        <v>0</v>
      </c>
      <c r="AY756" s="2" t="n">
        <v>0</v>
      </c>
      <c r="AZ756" s="2" t="n">
        <v>0</v>
      </c>
      <c r="BA756" s="2" t="n">
        <v>0</v>
      </c>
      <c r="BB756" s="2" t="n">
        <v>0</v>
      </c>
      <c r="BC756" s="2" t="n">
        <v>0</v>
      </c>
      <c r="BD756" s="2" t="n">
        <v>0</v>
      </c>
      <c r="BE756" s="2" t="n">
        <v>0</v>
      </c>
      <c r="BF756" s="2" t="n">
        <v>0</v>
      </c>
      <c r="BG756" s="2" t="n">
        <v>0</v>
      </c>
      <c r="BH756" s="2" t="n">
        <v>0</v>
      </c>
      <c r="BI756" s="2" t="n">
        <v>0</v>
      </c>
      <c r="BJ756" s="2" t="n">
        <v>0</v>
      </c>
      <c r="BK756" s="2" t="n">
        <v>0</v>
      </c>
      <c r="BL756" s="2" t="n">
        <v>0</v>
      </c>
      <c r="BM756" s="2" t="n">
        <v>0</v>
      </c>
      <c r="BN756" s="2" t="n">
        <v>0</v>
      </c>
      <c r="BO756" s="2" t="n">
        <v>0</v>
      </c>
      <c r="BP756" s="2" t="n">
        <v>0</v>
      </c>
      <c r="BQ756" s="2" t="n">
        <v>0</v>
      </c>
      <c r="BR756" s="2" t="n">
        <v>0</v>
      </c>
      <c r="BS756" s="2" t="n">
        <v>0</v>
      </c>
      <c r="BT756" s="2" t="n">
        <v>0</v>
      </c>
      <c r="BU756" s="2" t="n">
        <v>0</v>
      </c>
      <c r="BV756" s="2" t="n">
        <v>0</v>
      </c>
      <c r="BW756" s="2" t="n">
        <v>0</v>
      </c>
      <c r="BX756" s="2" t="n">
        <v>0</v>
      </c>
      <c r="BY756" s="2" t="n">
        <v>0</v>
      </c>
      <c r="BZ756" s="2" t="n">
        <v>0</v>
      </c>
      <c r="CA756" s="2" t="n">
        <v>0</v>
      </c>
      <c r="CB756" s="2" t="n">
        <v>0</v>
      </c>
      <c r="CC756" s="2" t="n">
        <v>0</v>
      </c>
      <c r="CD756" s="2" t="n">
        <v>0</v>
      </c>
      <c r="CE756" s="2" t="n">
        <v>0</v>
      </c>
      <c r="CF756" s="2" t="n">
        <v>0</v>
      </c>
      <c r="CG756" s="2" t="n">
        <v>0</v>
      </c>
      <c r="CH756" s="2" t="n">
        <v>0</v>
      </c>
      <c r="CI756" s="2" t="n">
        <v>0</v>
      </c>
      <c r="CJ756" s="2" t="n">
        <v>0</v>
      </c>
      <c r="CK756" s="2" t="n">
        <v>0</v>
      </c>
      <c r="CL756" s="2" t="n">
        <v>1.43</v>
      </c>
      <c r="CM756" s="2" t="n">
        <v>3.23</v>
      </c>
      <c r="CN756" s="2" t="n">
        <v>0</v>
      </c>
      <c r="CO756" s="2" t="n">
        <v>8.77</v>
      </c>
      <c r="CP756" s="2" t="n">
        <v>10.6</v>
      </c>
      <c r="CQ756" s="2" t="n">
        <v>0</v>
      </c>
      <c r="CR756" s="2" t="n">
        <v>16.84</v>
      </c>
      <c r="CS756" s="2" t="n">
        <v>18.69</v>
      </c>
      <c r="CT756" s="2" t="n">
        <v>0</v>
      </c>
      <c r="CU756" s="2" t="n">
        <v>23.62</v>
      </c>
      <c r="CV756" s="2" t="n">
        <v>25.46</v>
      </c>
      <c r="CW756" s="2" t="n">
        <v>0</v>
      </c>
      <c r="CX756" s="2" t="n">
        <v>44.96</v>
      </c>
      <c r="CY756" s="2" t="n">
        <v>46.79</v>
      </c>
      <c r="CZ756" s="2" t="n">
        <v>0</v>
      </c>
      <c r="DA756" s="2" t="n">
        <v>52.76</v>
      </c>
      <c r="DB756" s="2" t="n">
        <v>54.56</v>
      </c>
      <c r="DC756" s="2" t="n">
        <v>0</v>
      </c>
      <c r="DD756" s="2" t="n">
        <v>61.22</v>
      </c>
      <c r="DE756" s="2" t="n">
        <v>63.01</v>
      </c>
      <c r="DF756" s="2" t="n">
        <v>0</v>
      </c>
      <c r="DG756" s="2" t="n">
        <v>68.88</v>
      </c>
      <c r="DH756" s="2" t="n">
        <v>70.79000000000001</v>
      </c>
      <c r="DI756" s="2" t="n">
        <v>0</v>
      </c>
      <c r="DJ756" s="2" t="n">
        <v>76.98999999999999</v>
      </c>
      <c r="DK756" s="2" t="n">
        <v>78.78</v>
      </c>
      <c r="DL756" s="2" t="n">
        <v>0</v>
      </c>
      <c r="DM756" s="2" t="n">
        <v>84.52</v>
      </c>
      <c r="DN756" s="2" t="n">
        <v>86.31</v>
      </c>
      <c r="DO756" s="2" t="n">
        <v>0</v>
      </c>
      <c r="DP756" s="2" t="n">
        <v>92.04000000000001</v>
      </c>
      <c r="DQ756" s="2" t="n">
        <v>93.83</v>
      </c>
      <c r="DR756" s="2" t="n">
        <v>0</v>
      </c>
      <c r="DS756" s="2" t="n">
        <v>95.73</v>
      </c>
      <c r="DT756" s="2" t="n">
        <v>96.77</v>
      </c>
      <c r="DU756" s="2" t="n">
        <v>0</v>
      </c>
      <c r="DV756" s="2" t="n">
        <v>96.77</v>
      </c>
      <c r="DW756" s="2" t="n">
        <v>97.13</v>
      </c>
      <c r="DX756" s="2" t="n">
        <v>0</v>
      </c>
      <c r="DY756" s="2" t="n">
        <v>100</v>
      </c>
      <c r="DZ756" s="2" t="n">
        <v>100</v>
      </c>
      <c r="EA756" s="2" t="n">
        <v>0</v>
      </c>
      <c r="EB756" s="2" t="n">
        <v>100</v>
      </c>
      <c r="EC756" s="2" t="n">
        <v>100</v>
      </c>
      <c r="ED756" s="2" t="n">
        <v>0</v>
      </c>
      <c r="EE756" s="2" t="n">
        <v>100</v>
      </c>
      <c r="EF756" s="2" t="n">
        <v>100</v>
      </c>
      <c r="EG756" s="2" t="n">
        <v>0</v>
      </c>
      <c r="EH756" s="2" t="n">
        <v>100</v>
      </c>
      <c r="EI756" s="2" t="n">
        <v>100</v>
      </c>
      <c r="EJ756" s="2" t="n">
        <v>0</v>
      </c>
      <c r="EK756" s="2" t="n">
        <v>100</v>
      </c>
      <c r="EL756" s="2" t="n">
        <v>100</v>
      </c>
      <c r="EM756" s="2" t="n">
        <v>0</v>
      </c>
      <c r="EN756" s="2" t="n">
        <v>100</v>
      </c>
      <c r="EO756" s="2" t="n">
        <v>100</v>
      </c>
      <c r="EP756" s="2" t="n">
        <v>0</v>
      </c>
      <c r="EQ756" s="2" t="n">
        <v>100</v>
      </c>
      <c r="ER756" s="2" t="n">
        <v>100</v>
      </c>
      <c r="ES756" s="2" t="n">
        <v>0</v>
      </c>
    </row>
    <row r="757">
      <c r="A757" s="2" t="n">
        <v>4</v>
      </c>
      <c r="B757" s="2" t="inlineStr">
        <is>
          <t>30.06.07.05</t>
        </is>
      </c>
      <c r="C757" s="2" t="inlineStr">
        <is>
          <t>Soleira| filete em granito Branco Ornamental White, acabamento levigado</t>
        </is>
      </c>
      <c r="D757" s="2" t="inlineStr">
        <is>
          <t>20/09/2027</t>
        </is>
      </c>
      <c r="E757" s="2" t="inlineStr">
        <is>
          <t>11/10/2028</t>
        </is>
      </c>
      <c r="F757" s="2" t="n">
        <v>16588.7631042847</v>
      </c>
      <c r="G757" s="2" t="n">
        <v>0</v>
      </c>
      <c r="H757" s="2" t="n">
        <v>16588.7631042847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0</v>
      </c>
      <c r="AM757" s="2" t="n">
        <v>0</v>
      </c>
      <c r="AN757" s="2" t="n">
        <v>0</v>
      </c>
      <c r="AO757" s="2" t="n">
        <v>0</v>
      </c>
      <c r="AP757" s="2" t="n">
        <v>0</v>
      </c>
      <c r="AQ757" s="2" t="n">
        <v>0</v>
      </c>
      <c r="AR757" s="2" t="n">
        <v>0</v>
      </c>
      <c r="AS757" s="2" t="n">
        <v>0</v>
      </c>
      <c r="AT757" s="2" t="n">
        <v>0</v>
      </c>
      <c r="AU757" s="2" t="n">
        <v>0</v>
      </c>
      <c r="AV757" s="2" t="n">
        <v>0</v>
      </c>
      <c r="AW757" s="2" t="n">
        <v>0</v>
      </c>
      <c r="AX757" s="2" t="n">
        <v>0</v>
      </c>
      <c r="AY757" s="2" t="n">
        <v>0</v>
      </c>
      <c r="AZ757" s="2" t="n">
        <v>0</v>
      </c>
      <c r="BA757" s="2" t="n">
        <v>0</v>
      </c>
      <c r="BB757" s="2" t="n">
        <v>0</v>
      </c>
      <c r="BC757" s="2" t="n">
        <v>0</v>
      </c>
      <c r="BD757" s="2" t="n">
        <v>0</v>
      </c>
      <c r="BE757" s="2" t="n">
        <v>0</v>
      </c>
      <c r="BF757" s="2" t="n">
        <v>0</v>
      </c>
      <c r="BG757" s="2" t="n">
        <v>0</v>
      </c>
      <c r="BH757" s="2" t="n">
        <v>0</v>
      </c>
      <c r="BI757" s="2" t="n">
        <v>0</v>
      </c>
      <c r="BJ757" s="2" t="n">
        <v>0</v>
      </c>
      <c r="BK757" s="2" t="n">
        <v>0</v>
      </c>
      <c r="BL757" s="2" t="n">
        <v>0</v>
      </c>
      <c r="BM757" s="2" t="n">
        <v>0</v>
      </c>
      <c r="BN757" s="2" t="n">
        <v>0</v>
      </c>
      <c r="BO757" s="2" t="n">
        <v>0</v>
      </c>
      <c r="BP757" s="2" t="n">
        <v>0</v>
      </c>
      <c r="BQ757" s="2" t="n">
        <v>0</v>
      </c>
      <c r="BR757" s="2" t="n">
        <v>0</v>
      </c>
      <c r="BS757" s="2" t="n">
        <v>0</v>
      </c>
      <c r="BT757" s="2" t="n">
        <v>0</v>
      </c>
      <c r="BU757" s="2" t="n">
        <v>0</v>
      </c>
      <c r="BV757" s="2" t="n">
        <v>0</v>
      </c>
      <c r="BW757" s="2" t="n">
        <v>0</v>
      </c>
      <c r="BX757" s="2" t="n">
        <v>0</v>
      </c>
      <c r="BY757" s="2" t="n">
        <v>0</v>
      </c>
      <c r="BZ757" s="2" t="n">
        <v>0</v>
      </c>
      <c r="CA757" s="2" t="n">
        <v>0</v>
      </c>
      <c r="CB757" s="2" t="n">
        <v>0</v>
      </c>
      <c r="CC757" s="2" t="n">
        <v>0</v>
      </c>
      <c r="CD757" s="2" t="n">
        <v>0</v>
      </c>
      <c r="CE757" s="2" t="n">
        <v>0</v>
      </c>
      <c r="CF757" s="2" t="n">
        <v>0</v>
      </c>
      <c r="CG757" s="2" t="n">
        <v>0</v>
      </c>
      <c r="CH757" s="2" t="n">
        <v>0</v>
      </c>
      <c r="CI757" s="2" t="n">
        <v>0</v>
      </c>
      <c r="CJ757" s="2" t="n">
        <v>0</v>
      </c>
      <c r="CK757" s="2" t="n">
        <v>0</v>
      </c>
      <c r="CL757" s="2" t="n">
        <v>1.43</v>
      </c>
      <c r="CM757" s="2" t="n">
        <v>3.23</v>
      </c>
      <c r="CN757" s="2" t="n">
        <v>0</v>
      </c>
      <c r="CO757" s="2" t="n">
        <v>8.77</v>
      </c>
      <c r="CP757" s="2" t="n">
        <v>10.6</v>
      </c>
      <c r="CQ757" s="2" t="n">
        <v>0</v>
      </c>
      <c r="CR757" s="2" t="n">
        <v>16.84</v>
      </c>
      <c r="CS757" s="2" t="n">
        <v>18.69</v>
      </c>
      <c r="CT757" s="2" t="n">
        <v>0</v>
      </c>
      <c r="CU757" s="2" t="n">
        <v>23.62</v>
      </c>
      <c r="CV757" s="2" t="n">
        <v>25.46</v>
      </c>
      <c r="CW757" s="2" t="n">
        <v>0</v>
      </c>
      <c r="CX757" s="2" t="n">
        <v>44.96</v>
      </c>
      <c r="CY757" s="2" t="n">
        <v>46.79</v>
      </c>
      <c r="CZ757" s="2" t="n">
        <v>0</v>
      </c>
      <c r="DA757" s="2" t="n">
        <v>52.76</v>
      </c>
      <c r="DB757" s="2" t="n">
        <v>54.56</v>
      </c>
      <c r="DC757" s="2" t="n">
        <v>0</v>
      </c>
      <c r="DD757" s="2" t="n">
        <v>61.22</v>
      </c>
      <c r="DE757" s="2" t="n">
        <v>63.01</v>
      </c>
      <c r="DF757" s="2" t="n">
        <v>0</v>
      </c>
      <c r="DG757" s="2" t="n">
        <v>68.88</v>
      </c>
      <c r="DH757" s="2" t="n">
        <v>70.79000000000001</v>
      </c>
      <c r="DI757" s="2" t="n">
        <v>0</v>
      </c>
      <c r="DJ757" s="2" t="n">
        <v>76.98999999999999</v>
      </c>
      <c r="DK757" s="2" t="n">
        <v>78.78</v>
      </c>
      <c r="DL757" s="2" t="n">
        <v>0</v>
      </c>
      <c r="DM757" s="2" t="n">
        <v>84.52</v>
      </c>
      <c r="DN757" s="2" t="n">
        <v>86.31</v>
      </c>
      <c r="DO757" s="2" t="n">
        <v>0</v>
      </c>
      <c r="DP757" s="2" t="n">
        <v>92.04000000000001</v>
      </c>
      <c r="DQ757" s="2" t="n">
        <v>93.83</v>
      </c>
      <c r="DR757" s="2" t="n">
        <v>0</v>
      </c>
      <c r="DS757" s="2" t="n">
        <v>95.73</v>
      </c>
      <c r="DT757" s="2" t="n">
        <v>96.77</v>
      </c>
      <c r="DU757" s="2" t="n">
        <v>0</v>
      </c>
      <c r="DV757" s="2" t="n">
        <v>96.77</v>
      </c>
      <c r="DW757" s="2" t="n">
        <v>97.13</v>
      </c>
      <c r="DX757" s="2" t="n">
        <v>0</v>
      </c>
      <c r="DY757" s="2" t="n">
        <v>100</v>
      </c>
      <c r="DZ757" s="2" t="n">
        <v>100</v>
      </c>
      <c r="EA757" s="2" t="n">
        <v>0</v>
      </c>
      <c r="EB757" s="2" t="n">
        <v>100</v>
      </c>
      <c r="EC757" s="2" t="n">
        <v>100</v>
      </c>
      <c r="ED757" s="2" t="n">
        <v>0</v>
      </c>
      <c r="EE757" s="2" t="n">
        <v>100</v>
      </c>
      <c r="EF757" s="2" t="n">
        <v>100</v>
      </c>
      <c r="EG757" s="2" t="n">
        <v>0</v>
      </c>
      <c r="EH757" s="2" t="n">
        <v>100</v>
      </c>
      <c r="EI757" s="2" t="n">
        <v>100</v>
      </c>
      <c r="EJ757" s="2" t="n">
        <v>0</v>
      </c>
      <c r="EK757" s="2" t="n">
        <v>100</v>
      </c>
      <c r="EL757" s="2" t="n">
        <v>100</v>
      </c>
      <c r="EM757" s="2" t="n">
        <v>0</v>
      </c>
      <c r="EN757" s="2" t="n">
        <v>100</v>
      </c>
      <c r="EO757" s="2" t="n">
        <v>100</v>
      </c>
      <c r="EP757" s="2" t="n">
        <v>0</v>
      </c>
      <c r="EQ757" s="2" t="n">
        <v>100</v>
      </c>
      <c r="ER757" s="2" t="n">
        <v>100</v>
      </c>
      <c r="ES757" s="2" t="n">
        <v>0</v>
      </c>
    </row>
    <row r="758">
      <c r="A758" s="2" t="n">
        <v>4</v>
      </c>
      <c r="B758" s="2" t="inlineStr">
        <is>
          <t>30.06.07.06</t>
        </is>
      </c>
      <c r="C758" s="2" t="inlineStr">
        <is>
          <t>Soleira| filete em mármore Branco Paraná Matarazzo escovado</t>
        </is>
      </c>
      <c r="D758" s="2" t="inlineStr">
        <is>
          <t>20/09/2027</t>
        </is>
      </c>
      <c r="E758" s="2" t="inlineStr">
        <is>
          <t>11/10/2028</t>
        </is>
      </c>
      <c r="F758" s="2" t="n">
        <v>1339.803771507973</v>
      </c>
      <c r="G758" s="2" t="n">
        <v>0</v>
      </c>
      <c r="H758" s="2" t="n">
        <v>1339.803771507973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n">
        <v>0</v>
      </c>
      <c r="AK758" s="2" t="n">
        <v>0</v>
      </c>
      <c r="AL758" s="2" t="n">
        <v>0</v>
      </c>
      <c r="AM758" s="2" t="n">
        <v>0</v>
      </c>
      <c r="AN758" s="2" t="n">
        <v>0</v>
      </c>
      <c r="AO758" s="2" t="n">
        <v>0</v>
      </c>
      <c r="AP758" s="2" t="n">
        <v>0</v>
      </c>
      <c r="AQ758" s="2" t="n">
        <v>0</v>
      </c>
      <c r="AR758" s="2" t="n">
        <v>0</v>
      </c>
      <c r="AS758" s="2" t="n">
        <v>0</v>
      </c>
      <c r="AT758" s="2" t="n">
        <v>0</v>
      </c>
      <c r="AU758" s="2" t="n">
        <v>0</v>
      </c>
      <c r="AV758" s="2" t="n">
        <v>0</v>
      </c>
      <c r="AW758" s="2" t="n">
        <v>0</v>
      </c>
      <c r="AX758" s="2" t="n">
        <v>0</v>
      </c>
      <c r="AY758" s="2" t="n">
        <v>0</v>
      </c>
      <c r="AZ758" s="2" t="n">
        <v>0</v>
      </c>
      <c r="BA758" s="2" t="n">
        <v>0</v>
      </c>
      <c r="BB758" s="2" t="n">
        <v>0</v>
      </c>
      <c r="BC758" s="2" t="n">
        <v>0</v>
      </c>
      <c r="BD758" s="2" t="n">
        <v>0</v>
      </c>
      <c r="BE758" s="2" t="n">
        <v>0</v>
      </c>
      <c r="BF758" s="2" t="n">
        <v>0</v>
      </c>
      <c r="BG758" s="2" t="n">
        <v>0</v>
      </c>
      <c r="BH758" s="2" t="n">
        <v>0</v>
      </c>
      <c r="BI758" s="2" t="n">
        <v>0</v>
      </c>
      <c r="BJ758" s="2" t="n">
        <v>0</v>
      </c>
      <c r="BK758" s="2" t="n">
        <v>0</v>
      </c>
      <c r="BL758" s="2" t="n">
        <v>0</v>
      </c>
      <c r="BM758" s="2" t="n">
        <v>0</v>
      </c>
      <c r="BN758" s="2" t="n">
        <v>0</v>
      </c>
      <c r="BO758" s="2" t="n">
        <v>0</v>
      </c>
      <c r="BP758" s="2" t="n">
        <v>0</v>
      </c>
      <c r="BQ758" s="2" t="n">
        <v>0</v>
      </c>
      <c r="BR758" s="2" t="n">
        <v>0</v>
      </c>
      <c r="BS758" s="2" t="n">
        <v>0</v>
      </c>
      <c r="BT758" s="2" t="n">
        <v>0</v>
      </c>
      <c r="BU758" s="2" t="n">
        <v>0</v>
      </c>
      <c r="BV758" s="2" t="n">
        <v>0</v>
      </c>
      <c r="BW758" s="2" t="n">
        <v>0</v>
      </c>
      <c r="BX758" s="2" t="n">
        <v>0</v>
      </c>
      <c r="BY758" s="2" t="n">
        <v>0</v>
      </c>
      <c r="BZ758" s="2" t="n">
        <v>0</v>
      </c>
      <c r="CA758" s="2" t="n">
        <v>0</v>
      </c>
      <c r="CB758" s="2" t="n">
        <v>0</v>
      </c>
      <c r="CC758" s="2" t="n">
        <v>0</v>
      </c>
      <c r="CD758" s="2" t="n">
        <v>0</v>
      </c>
      <c r="CE758" s="2" t="n">
        <v>0</v>
      </c>
      <c r="CF758" s="2" t="n">
        <v>0</v>
      </c>
      <c r="CG758" s="2" t="n">
        <v>0</v>
      </c>
      <c r="CH758" s="2" t="n">
        <v>0</v>
      </c>
      <c r="CI758" s="2" t="n">
        <v>0</v>
      </c>
      <c r="CJ758" s="2" t="n">
        <v>0</v>
      </c>
      <c r="CK758" s="2" t="n">
        <v>0</v>
      </c>
      <c r="CL758" s="2" t="n">
        <v>1.43</v>
      </c>
      <c r="CM758" s="2" t="n">
        <v>3.23</v>
      </c>
      <c r="CN758" s="2" t="n">
        <v>0</v>
      </c>
      <c r="CO758" s="2" t="n">
        <v>8.77</v>
      </c>
      <c r="CP758" s="2" t="n">
        <v>10.6</v>
      </c>
      <c r="CQ758" s="2" t="n">
        <v>0</v>
      </c>
      <c r="CR758" s="2" t="n">
        <v>16.84</v>
      </c>
      <c r="CS758" s="2" t="n">
        <v>18.69</v>
      </c>
      <c r="CT758" s="2" t="n">
        <v>0</v>
      </c>
      <c r="CU758" s="2" t="n">
        <v>23.62</v>
      </c>
      <c r="CV758" s="2" t="n">
        <v>25.46</v>
      </c>
      <c r="CW758" s="2" t="n">
        <v>0</v>
      </c>
      <c r="CX758" s="2" t="n">
        <v>44.96</v>
      </c>
      <c r="CY758" s="2" t="n">
        <v>46.79</v>
      </c>
      <c r="CZ758" s="2" t="n">
        <v>0</v>
      </c>
      <c r="DA758" s="2" t="n">
        <v>52.76</v>
      </c>
      <c r="DB758" s="2" t="n">
        <v>54.56</v>
      </c>
      <c r="DC758" s="2" t="n">
        <v>0</v>
      </c>
      <c r="DD758" s="2" t="n">
        <v>61.22</v>
      </c>
      <c r="DE758" s="2" t="n">
        <v>63.01</v>
      </c>
      <c r="DF758" s="2" t="n">
        <v>0</v>
      </c>
      <c r="DG758" s="2" t="n">
        <v>68.88</v>
      </c>
      <c r="DH758" s="2" t="n">
        <v>70.79000000000001</v>
      </c>
      <c r="DI758" s="2" t="n">
        <v>0</v>
      </c>
      <c r="DJ758" s="2" t="n">
        <v>76.98999999999999</v>
      </c>
      <c r="DK758" s="2" t="n">
        <v>78.78</v>
      </c>
      <c r="DL758" s="2" t="n">
        <v>0</v>
      </c>
      <c r="DM758" s="2" t="n">
        <v>84.52</v>
      </c>
      <c r="DN758" s="2" t="n">
        <v>86.31</v>
      </c>
      <c r="DO758" s="2" t="n">
        <v>0</v>
      </c>
      <c r="DP758" s="2" t="n">
        <v>92.04000000000001</v>
      </c>
      <c r="DQ758" s="2" t="n">
        <v>93.83</v>
      </c>
      <c r="DR758" s="2" t="n">
        <v>0</v>
      </c>
      <c r="DS758" s="2" t="n">
        <v>95.73</v>
      </c>
      <c r="DT758" s="2" t="n">
        <v>96.77</v>
      </c>
      <c r="DU758" s="2" t="n">
        <v>0</v>
      </c>
      <c r="DV758" s="2" t="n">
        <v>96.77</v>
      </c>
      <c r="DW758" s="2" t="n">
        <v>97.13</v>
      </c>
      <c r="DX758" s="2" t="n">
        <v>0</v>
      </c>
      <c r="DY758" s="2" t="n">
        <v>100</v>
      </c>
      <c r="DZ758" s="2" t="n">
        <v>100</v>
      </c>
      <c r="EA758" s="2" t="n">
        <v>0</v>
      </c>
      <c r="EB758" s="2" t="n">
        <v>100</v>
      </c>
      <c r="EC758" s="2" t="n">
        <v>100</v>
      </c>
      <c r="ED758" s="2" t="n">
        <v>0</v>
      </c>
      <c r="EE758" s="2" t="n">
        <v>100</v>
      </c>
      <c r="EF758" s="2" t="n">
        <v>100</v>
      </c>
      <c r="EG758" s="2" t="n">
        <v>0</v>
      </c>
      <c r="EH758" s="2" t="n">
        <v>100</v>
      </c>
      <c r="EI758" s="2" t="n">
        <v>100</v>
      </c>
      <c r="EJ758" s="2" t="n">
        <v>0</v>
      </c>
      <c r="EK758" s="2" t="n">
        <v>100</v>
      </c>
      <c r="EL758" s="2" t="n">
        <v>100</v>
      </c>
      <c r="EM758" s="2" t="n">
        <v>0</v>
      </c>
      <c r="EN758" s="2" t="n">
        <v>100</v>
      </c>
      <c r="EO758" s="2" t="n">
        <v>100</v>
      </c>
      <c r="EP758" s="2" t="n">
        <v>0</v>
      </c>
      <c r="EQ758" s="2" t="n">
        <v>100</v>
      </c>
      <c r="ER758" s="2" t="n">
        <v>100</v>
      </c>
      <c r="ES758" s="2" t="n">
        <v>0</v>
      </c>
    </row>
    <row r="759">
      <c r="A759" s="2" t="n">
        <v>4</v>
      </c>
      <c r="B759" s="2" t="inlineStr">
        <is>
          <t>30.06.07.07</t>
        </is>
      </c>
      <c r="C759" s="2" t="inlineStr">
        <is>
          <t>Soleira| filete em granito Branco Siena levigado.</t>
        </is>
      </c>
      <c r="D759" s="2" t="inlineStr">
        <is>
          <t>20/09/2027</t>
        </is>
      </c>
      <c r="E759" s="2" t="inlineStr">
        <is>
          <t>11/10/2028</t>
        </is>
      </c>
      <c r="F759" s="2" t="n">
        <v>714.2612698835997</v>
      </c>
      <c r="G759" s="2" t="n">
        <v>0</v>
      </c>
      <c r="H759" s="2" t="n">
        <v>714.2612698835997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n">
        <v>0</v>
      </c>
      <c r="AK759" s="2" t="n">
        <v>0</v>
      </c>
      <c r="AL759" s="2" t="n">
        <v>0</v>
      </c>
      <c r="AM759" s="2" t="n">
        <v>0</v>
      </c>
      <c r="AN759" s="2" t="n">
        <v>0</v>
      </c>
      <c r="AO759" s="2" t="n">
        <v>0</v>
      </c>
      <c r="AP759" s="2" t="n">
        <v>0</v>
      </c>
      <c r="AQ759" s="2" t="n">
        <v>0</v>
      </c>
      <c r="AR759" s="2" t="n">
        <v>0</v>
      </c>
      <c r="AS759" s="2" t="n">
        <v>0</v>
      </c>
      <c r="AT759" s="2" t="n">
        <v>0</v>
      </c>
      <c r="AU759" s="2" t="n">
        <v>0</v>
      </c>
      <c r="AV759" s="2" t="n">
        <v>0</v>
      </c>
      <c r="AW759" s="2" t="n">
        <v>0</v>
      </c>
      <c r="AX759" s="2" t="n">
        <v>0</v>
      </c>
      <c r="AY759" s="2" t="n">
        <v>0</v>
      </c>
      <c r="AZ759" s="2" t="n">
        <v>0</v>
      </c>
      <c r="BA759" s="2" t="n">
        <v>0</v>
      </c>
      <c r="BB759" s="2" t="n">
        <v>0</v>
      </c>
      <c r="BC759" s="2" t="n">
        <v>0</v>
      </c>
      <c r="BD759" s="2" t="n">
        <v>0</v>
      </c>
      <c r="BE759" s="2" t="n">
        <v>0</v>
      </c>
      <c r="BF759" s="2" t="n">
        <v>0</v>
      </c>
      <c r="BG759" s="2" t="n">
        <v>0</v>
      </c>
      <c r="BH759" s="2" t="n">
        <v>0</v>
      </c>
      <c r="BI759" s="2" t="n">
        <v>0</v>
      </c>
      <c r="BJ759" s="2" t="n">
        <v>0</v>
      </c>
      <c r="BK759" s="2" t="n">
        <v>0</v>
      </c>
      <c r="BL759" s="2" t="n">
        <v>0</v>
      </c>
      <c r="BM759" s="2" t="n">
        <v>0</v>
      </c>
      <c r="BN759" s="2" t="n">
        <v>0</v>
      </c>
      <c r="BO759" s="2" t="n">
        <v>0</v>
      </c>
      <c r="BP759" s="2" t="n">
        <v>0</v>
      </c>
      <c r="BQ759" s="2" t="n">
        <v>0</v>
      </c>
      <c r="BR759" s="2" t="n">
        <v>0</v>
      </c>
      <c r="BS759" s="2" t="n">
        <v>0</v>
      </c>
      <c r="BT759" s="2" t="n">
        <v>0</v>
      </c>
      <c r="BU759" s="2" t="n">
        <v>0</v>
      </c>
      <c r="BV759" s="2" t="n">
        <v>0</v>
      </c>
      <c r="BW759" s="2" t="n">
        <v>0</v>
      </c>
      <c r="BX759" s="2" t="n">
        <v>0</v>
      </c>
      <c r="BY759" s="2" t="n">
        <v>0</v>
      </c>
      <c r="BZ759" s="2" t="n">
        <v>0</v>
      </c>
      <c r="CA759" s="2" t="n">
        <v>0</v>
      </c>
      <c r="CB759" s="2" t="n">
        <v>0</v>
      </c>
      <c r="CC759" s="2" t="n">
        <v>0</v>
      </c>
      <c r="CD759" s="2" t="n">
        <v>0</v>
      </c>
      <c r="CE759" s="2" t="n">
        <v>0</v>
      </c>
      <c r="CF759" s="2" t="n">
        <v>0</v>
      </c>
      <c r="CG759" s="2" t="n">
        <v>0</v>
      </c>
      <c r="CH759" s="2" t="n">
        <v>0</v>
      </c>
      <c r="CI759" s="2" t="n">
        <v>0</v>
      </c>
      <c r="CJ759" s="2" t="n">
        <v>0</v>
      </c>
      <c r="CK759" s="2" t="n">
        <v>0</v>
      </c>
      <c r="CL759" s="2" t="n">
        <v>1.43</v>
      </c>
      <c r="CM759" s="2" t="n">
        <v>3.23</v>
      </c>
      <c r="CN759" s="2" t="n">
        <v>0</v>
      </c>
      <c r="CO759" s="2" t="n">
        <v>8.77</v>
      </c>
      <c r="CP759" s="2" t="n">
        <v>10.6</v>
      </c>
      <c r="CQ759" s="2" t="n">
        <v>0</v>
      </c>
      <c r="CR759" s="2" t="n">
        <v>16.84</v>
      </c>
      <c r="CS759" s="2" t="n">
        <v>18.69</v>
      </c>
      <c r="CT759" s="2" t="n">
        <v>0</v>
      </c>
      <c r="CU759" s="2" t="n">
        <v>23.62</v>
      </c>
      <c r="CV759" s="2" t="n">
        <v>25.46</v>
      </c>
      <c r="CW759" s="2" t="n">
        <v>0</v>
      </c>
      <c r="CX759" s="2" t="n">
        <v>44.96</v>
      </c>
      <c r="CY759" s="2" t="n">
        <v>46.79</v>
      </c>
      <c r="CZ759" s="2" t="n">
        <v>0</v>
      </c>
      <c r="DA759" s="2" t="n">
        <v>52.76</v>
      </c>
      <c r="DB759" s="2" t="n">
        <v>54.56</v>
      </c>
      <c r="DC759" s="2" t="n">
        <v>0</v>
      </c>
      <c r="DD759" s="2" t="n">
        <v>61.22</v>
      </c>
      <c r="DE759" s="2" t="n">
        <v>63.01</v>
      </c>
      <c r="DF759" s="2" t="n">
        <v>0</v>
      </c>
      <c r="DG759" s="2" t="n">
        <v>68.88</v>
      </c>
      <c r="DH759" s="2" t="n">
        <v>70.79000000000001</v>
      </c>
      <c r="DI759" s="2" t="n">
        <v>0</v>
      </c>
      <c r="DJ759" s="2" t="n">
        <v>76.98999999999999</v>
      </c>
      <c r="DK759" s="2" t="n">
        <v>78.78</v>
      </c>
      <c r="DL759" s="2" t="n">
        <v>0</v>
      </c>
      <c r="DM759" s="2" t="n">
        <v>84.52</v>
      </c>
      <c r="DN759" s="2" t="n">
        <v>86.31</v>
      </c>
      <c r="DO759" s="2" t="n">
        <v>0</v>
      </c>
      <c r="DP759" s="2" t="n">
        <v>92.04000000000001</v>
      </c>
      <c r="DQ759" s="2" t="n">
        <v>93.83</v>
      </c>
      <c r="DR759" s="2" t="n">
        <v>0</v>
      </c>
      <c r="DS759" s="2" t="n">
        <v>95.73</v>
      </c>
      <c r="DT759" s="2" t="n">
        <v>96.77</v>
      </c>
      <c r="DU759" s="2" t="n">
        <v>0</v>
      </c>
      <c r="DV759" s="2" t="n">
        <v>96.77</v>
      </c>
      <c r="DW759" s="2" t="n">
        <v>97.13</v>
      </c>
      <c r="DX759" s="2" t="n">
        <v>0</v>
      </c>
      <c r="DY759" s="2" t="n">
        <v>100</v>
      </c>
      <c r="DZ759" s="2" t="n">
        <v>100</v>
      </c>
      <c r="EA759" s="2" t="n">
        <v>0</v>
      </c>
      <c r="EB759" s="2" t="n">
        <v>100</v>
      </c>
      <c r="EC759" s="2" t="n">
        <v>100</v>
      </c>
      <c r="ED759" s="2" t="n">
        <v>0</v>
      </c>
      <c r="EE759" s="2" t="n">
        <v>100</v>
      </c>
      <c r="EF759" s="2" t="n">
        <v>100</v>
      </c>
      <c r="EG759" s="2" t="n">
        <v>0</v>
      </c>
      <c r="EH759" s="2" t="n">
        <v>100</v>
      </c>
      <c r="EI759" s="2" t="n">
        <v>100</v>
      </c>
      <c r="EJ759" s="2" t="n">
        <v>0</v>
      </c>
      <c r="EK759" s="2" t="n">
        <v>100</v>
      </c>
      <c r="EL759" s="2" t="n">
        <v>100</v>
      </c>
      <c r="EM759" s="2" t="n">
        <v>0</v>
      </c>
      <c r="EN759" s="2" t="n">
        <v>100</v>
      </c>
      <c r="EO759" s="2" t="n">
        <v>100</v>
      </c>
      <c r="EP759" s="2" t="n">
        <v>0</v>
      </c>
      <c r="EQ759" s="2" t="n">
        <v>100</v>
      </c>
      <c r="ER759" s="2" t="n">
        <v>100</v>
      </c>
      <c r="ES759" s="2" t="n">
        <v>0</v>
      </c>
    </row>
    <row r="760">
      <c r="A760" s="2" t="n">
        <v>4</v>
      </c>
      <c r="B760" s="2" t="inlineStr">
        <is>
          <t>30.06.07.08</t>
        </is>
      </c>
      <c r="C760" s="2" t="inlineStr">
        <is>
          <t>Pingadeiras para platibandas e guarda-corpos de alvenaria de mármore branco</t>
        </is>
      </c>
      <c r="D760" s="2" t="inlineStr">
        <is>
          <t>20/09/2027</t>
        </is>
      </c>
      <c r="E760" s="2" t="inlineStr">
        <is>
          <t>11/10/2028</t>
        </is>
      </c>
      <c r="F760" s="2" t="n">
        <v>141411.5288470472</v>
      </c>
      <c r="G760" s="2" t="n">
        <v>0</v>
      </c>
      <c r="H760" s="2" t="n">
        <v>141411.5288470472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n">
        <v>0</v>
      </c>
      <c r="AK760" s="2" t="n">
        <v>0</v>
      </c>
      <c r="AL760" s="2" t="n">
        <v>0</v>
      </c>
      <c r="AM760" s="2" t="n">
        <v>0</v>
      </c>
      <c r="AN760" s="2" t="n">
        <v>0</v>
      </c>
      <c r="AO760" s="2" t="n">
        <v>0</v>
      </c>
      <c r="AP760" s="2" t="n">
        <v>0</v>
      </c>
      <c r="AQ760" s="2" t="n">
        <v>0</v>
      </c>
      <c r="AR760" s="2" t="n">
        <v>0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 t="n">
        <v>0</v>
      </c>
      <c r="AX760" s="2" t="n">
        <v>0</v>
      </c>
      <c r="AY760" s="2" t="n">
        <v>0</v>
      </c>
      <c r="AZ760" s="2" t="n">
        <v>0</v>
      </c>
      <c r="BA760" s="2" t="n">
        <v>0</v>
      </c>
      <c r="BB760" s="2" t="n">
        <v>0</v>
      </c>
      <c r="BC760" s="2" t="n">
        <v>0</v>
      </c>
      <c r="BD760" s="2" t="n">
        <v>0</v>
      </c>
      <c r="BE760" s="2" t="n">
        <v>0</v>
      </c>
      <c r="BF760" s="2" t="n">
        <v>0</v>
      </c>
      <c r="BG760" s="2" t="n">
        <v>0</v>
      </c>
      <c r="BH760" s="2" t="n">
        <v>0</v>
      </c>
      <c r="BI760" s="2" t="n">
        <v>0</v>
      </c>
      <c r="BJ760" s="2" t="n">
        <v>0</v>
      </c>
      <c r="BK760" s="2" t="n">
        <v>0</v>
      </c>
      <c r="BL760" s="2" t="n">
        <v>0</v>
      </c>
      <c r="BM760" s="2" t="n">
        <v>0</v>
      </c>
      <c r="BN760" s="2" t="n">
        <v>0</v>
      </c>
      <c r="BO760" s="2" t="n">
        <v>0</v>
      </c>
      <c r="BP760" s="2" t="n">
        <v>0</v>
      </c>
      <c r="BQ760" s="2" t="n">
        <v>0</v>
      </c>
      <c r="BR760" s="2" t="n">
        <v>0</v>
      </c>
      <c r="BS760" s="2" t="n">
        <v>0</v>
      </c>
      <c r="BT760" s="2" t="n">
        <v>0</v>
      </c>
      <c r="BU760" s="2" t="n">
        <v>0</v>
      </c>
      <c r="BV760" s="2" t="n">
        <v>0</v>
      </c>
      <c r="BW760" s="2" t="n">
        <v>0</v>
      </c>
      <c r="BX760" s="2" t="n">
        <v>0</v>
      </c>
      <c r="BY760" s="2" t="n">
        <v>0</v>
      </c>
      <c r="BZ760" s="2" t="n">
        <v>0</v>
      </c>
      <c r="CA760" s="2" t="n">
        <v>0</v>
      </c>
      <c r="CB760" s="2" t="n">
        <v>0</v>
      </c>
      <c r="CC760" s="2" t="n">
        <v>0</v>
      </c>
      <c r="CD760" s="2" t="n">
        <v>0</v>
      </c>
      <c r="CE760" s="2" t="n">
        <v>0</v>
      </c>
      <c r="CF760" s="2" t="n">
        <v>0</v>
      </c>
      <c r="CG760" s="2" t="n">
        <v>0</v>
      </c>
      <c r="CH760" s="2" t="n">
        <v>0</v>
      </c>
      <c r="CI760" s="2" t="n">
        <v>0</v>
      </c>
      <c r="CJ760" s="2" t="n">
        <v>0</v>
      </c>
      <c r="CK760" s="2" t="n">
        <v>0</v>
      </c>
      <c r="CL760" s="2" t="n">
        <v>1.43</v>
      </c>
      <c r="CM760" s="2" t="n">
        <v>3.23</v>
      </c>
      <c r="CN760" s="2" t="n">
        <v>0</v>
      </c>
      <c r="CO760" s="2" t="n">
        <v>8.77</v>
      </c>
      <c r="CP760" s="2" t="n">
        <v>10.6</v>
      </c>
      <c r="CQ760" s="2" t="n">
        <v>0</v>
      </c>
      <c r="CR760" s="2" t="n">
        <v>16.84</v>
      </c>
      <c r="CS760" s="2" t="n">
        <v>18.69</v>
      </c>
      <c r="CT760" s="2" t="n">
        <v>0</v>
      </c>
      <c r="CU760" s="2" t="n">
        <v>23.62</v>
      </c>
      <c r="CV760" s="2" t="n">
        <v>25.46</v>
      </c>
      <c r="CW760" s="2" t="n">
        <v>0</v>
      </c>
      <c r="CX760" s="2" t="n">
        <v>44.96</v>
      </c>
      <c r="CY760" s="2" t="n">
        <v>46.79</v>
      </c>
      <c r="CZ760" s="2" t="n">
        <v>0</v>
      </c>
      <c r="DA760" s="2" t="n">
        <v>52.76</v>
      </c>
      <c r="DB760" s="2" t="n">
        <v>54.56</v>
      </c>
      <c r="DC760" s="2" t="n">
        <v>0</v>
      </c>
      <c r="DD760" s="2" t="n">
        <v>61.22</v>
      </c>
      <c r="DE760" s="2" t="n">
        <v>63.01</v>
      </c>
      <c r="DF760" s="2" t="n">
        <v>0</v>
      </c>
      <c r="DG760" s="2" t="n">
        <v>68.88</v>
      </c>
      <c r="DH760" s="2" t="n">
        <v>70.79000000000001</v>
      </c>
      <c r="DI760" s="2" t="n">
        <v>0</v>
      </c>
      <c r="DJ760" s="2" t="n">
        <v>76.98999999999999</v>
      </c>
      <c r="DK760" s="2" t="n">
        <v>78.78</v>
      </c>
      <c r="DL760" s="2" t="n">
        <v>0</v>
      </c>
      <c r="DM760" s="2" t="n">
        <v>84.52</v>
      </c>
      <c r="DN760" s="2" t="n">
        <v>86.31</v>
      </c>
      <c r="DO760" s="2" t="n">
        <v>0</v>
      </c>
      <c r="DP760" s="2" t="n">
        <v>92.04000000000001</v>
      </c>
      <c r="DQ760" s="2" t="n">
        <v>93.83</v>
      </c>
      <c r="DR760" s="2" t="n">
        <v>0</v>
      </c>
      <c r="DS760" s="2" t="n">
        <v>95.73</v>
      </c>
      <c r="DT760" s="2" t="n">
        <v>96.77</v>
      </c>
      <c r="DU760" s="2" t="n">
        <v>0</v>
      </c>
      <c r="DV760" s="2" t="n">
        <v>96.77</v>
      </c>
      <c r="DW760" s="2" t="n">
        <v>97.13</v>
      </c>
      <c r="DX760" s="2" t="n">
        <v>0</v>
      </c>
      <c r="DY760" s="2" t="n">
        <v>100</v>
      </c>
      <c r="DZ760" s="2" t="n">
        <v>100</v>
      </c>
      <c r="EA760" s="2" t="n">
        <v>0</v>
      </c>
      <c r="EB760" s="2" t="n">
        <v>100</v>
      </c>
      <c r="EC760" s="2" t="n">
        <v>100</v>
      </c>
      <c r="ED760" s="2" t="n">
        <v>0</v>
      </c>
      <c r="EE760" s="2" t="n">
        <v>100</v>
      </c>
      <c r="EF760" s="2" t="n">
        <v>100</v>
      </c>
      <c r="EG760" s="2" t="n">
        <v>0</v>
      </c>
      <c r="EH760" s="2" t="n">
        <v>100</v>
      </c>
      <c r="EI760" s="2" t="n">
        <v>100</v>
      </c>
      <c r="EJ760" s="2" t="n">
        <v>0</v>
      </c>
      <c r="EK760" s="2" t="n">
        <v>100</v>
      </c>
      <c r="EL760" s="2" t="n">
        <v>100</v>
      </c>
      <c r="EM760" s="2" t="n">
        <v>0</v>
      </c>
      <c r="EN760" s="2" t="n">
        <v>100</v>
      </c>
      <c r="EO760" s="2" t="n">
        <v>100</v>
      </c>
      <c r="EP760" s="2" t="n">
        <v>0</v>
      </c>
      <c r="EQ760" s="2" t="n">
        <v>100</v>
      </c>
      <c r="ER760" s="2" t="n">
        <v>100</v>
      </c>
      <c r="ES760" s="2" t="n">
        <v>0</v>
      </c>
    </row>
    <row r="761">
      <c r="A761" s="2" t="n">
        <v>4</v>
      </c>
      <c r="B761" s="2" t="inlineStr">
        <is>
          <t>30.06.07.09</t>
        </is>
      </c>
      <c r="C761" s="2" t="inlineStr">
        <is>
          <t>Aduelas de granito para porta de elevadores</t>
        </is>
      </c>
      <c r="D761" s="2" t="inlineStr">
        <is>
          <t>20/09/2027</t>
        </is>
      </c>
      <c r="E761" s="2" t="inlineStr">
        <is>
          <t>11/10/2028</t>
        </is>
      </c>
      <c r="F761" s="2" t="n">
        <v>114830.51372641</v>
      </c>
      <c r="G761" s="2" t="n">
        <v>0</v>
      </c>
      <c r="H761" s="2" t="n">
        <v>114830.51372641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0</v>
      </c>
      <c r="AK761" s="2" t="n">
        <v>0</v>
      </c>
      <c r="AL761" s="2" t="n">
        <v>0</v>
      </c>
      <c r="AM761" s="2" t="n">
        <v>0</v>
      </c>
      <c r="AN761" s="2" t="n">
        <v>0</v>
      </c>
      <c r="AO761" s="2" t="n">
        <v>0</v>
      </c>
      <c r="AP761" s="2" t="n">
        <v>0</v>
      </c>
      <c r="AQ761" s="2" t="n">
        <v>0</v>
      </c>
      <c r="AR761" s="2" t="n">
        <v>0</v>
      </c>
      <c r="AS761" s="2" t="n">
        <v>0</v>
      </c>
      <c r="AT761" s="2" t="n">
        <v>0</v>
      </c>
      <c r="AU761" s="2" t="n">
        <v>0</v>
      </c>
      <c r="AV761" s="2" t="n">
        <v>0</v>
      </c>
      <c r="AW761" s="2" t="n">
        <v>0</v>
      </c>
      <c r="AX761" s="2" t="n">
        <v>0</v>
      </c>
      <c r="AY761" s="2" t="n">
        <v>0</v>
      </c>
      <c r="AZ761" s="2" t="n">
        <v>0</v>
      </c>
      <c r="BA761" s="2" t="n">
        <v>0</v>
      </c>
      <c r="BB761" s="2" t="n">
        <v>0</v>
      </c>
      <c r="BC761" s="2" t="n">
        <v>0</v>
      </c>
      <c r="BD761" s="2" t="n">
        <v>0</v>
      </c>
      <c r="BE761" s="2" t="n">
        <v>0</v>
      </c>
      <c r="BF761" s="2" t="n">
        <v>0</v>
      </c>
      <c r="BG761" s="2" t="n">
        <v>0</v>
      </c>
      <c r="BH761" s="2" t="n">
        <v>0</v>
      </c>
      <c r="BI761" s="2" t="n">
        <v>0</v>
      </c>
      <c r="BJ761" s="2" t="n">
        <v>0</v>
      </c>
      <c r="BK761" s="2" t="n">
        <v>0</v>
      </c>
      <c r="BL761" s="2" t="n">
        <v>0</v>
      </c>
      <c r="BM761" s="2" t="n">
        <v>0</v>
      </c>
      <c r="BN761" s="2" t="n">
        <v>0</v>
      </c>
      <c r="BO761" s="2" t="n">
        <v>0</v>
      </c>
      <c r="BP761" s="2" t="n">
        <v>0</v>
      </c>
      <c r="BQ761" s="2" t="n">
        <v>0</v>
      </c>
      <c r="BR761" s="2" t="n">
        <v>0</v>
      </c>
      <c r="BS761" s="2" t="n">
        <v>0</v>
      </c>
      <c r="BT761" s="2" t="n">
        <v>0</v>
      </c>
      <c r="BU761" s="2" t="n">
        <v>0</v>
      </c>
      <c r="BV761" s="2" t="n">
        <v>0</v>
      </c>
      <c r="BW761" s="2" t="n">
        <v>0</v>
      </c>
      <c r="BX761" s="2" t="n">
        <v>0</v>
      </c>
      <c r="BY761" s="2" t="n">
        <v>0</v>
      </c>
      <c r="BZ761" s="2" t="n">
        <v>0</v>
      </c>
      <c r="CA761" s="2" t="n">
        <v>0</v>
      </c>
      <c r="CB761" s="2" t="n">
        <v>0</v>
      </c>
      <c r="CC761" s="2" t="n">
        <v>0</v>
      </c>
      <c r="CD761" s="2" t="n">
        <v>0</v>
      </c>
      <c r="CE761" s="2" t="n">
        <v>0</v>
      </c>
      <c r="CF761" s="2" t="n">
        <v>0</v>
      </c>
      <c r="CG761" s="2" t="n">
        <v>0</v>
      </c>
      <c r="CH761" s="2" t="n">
        <v>0</v>
      </c>
      <c r="CI761" s="2" t="n">
        <v>0</v>
      </c>
      <c r="CJ761" s="2" t="n">
        <v>0</v>
      </c>
      <c r="CK761" s="2" t="n">
        <v>0</v>
      </c>
      <c r="CL761" s="2" t="n">
        <v>1.43</v>
      </c>
      <c r="CM761" s="2" t="n">
        <v>3.23</v>
      </c>
      <c r="CN761" s="2" t="n">
        <v>0</v>
      </c>
      <c r="CO761" s="2" t="n">
        <v>8.77</v>
      </c>
      <c r="CP761" s="2" t="n">
        <v>10.6</v>
      </c>
      <c r="CQ761" s="2" t="n">
        <v>0</v>
      </c>
      <c r="CR761" s="2" t="n">
        <v>16.84</v>
      </c>
      <c r="CS761" s="2" t="n">
        <v>18.69</v>
      </c>
      <c r="CT761" s="2" t="n">
        <v>0</v>
      </c>
      <c r="CU761" s="2" t="n">
        <v>23.62</v>
      </c>
      <c r="CV761" s="2" t="n">
        <v>25.46</v>
      </c>
      <c r="CW761" s="2" t="n">
        <v>0</v>
      </c>
      <c r="CX761" s="2" t="n">
        <v>44.96</v>
      </c>
      <c r="CY761" s="2" t="n">
        <v>46.79</v>
      </c>
      <c r="CZ761" s="2" t="n">
        <v>0</v>
      </c>
      <c r="DA761" s="2" t="n">
        <v>52.76</v>
      </c>
      <c r="DB761" s="2" t="n">
        <v>54.56</v>
      </c>
      <c r="DC761" s="2" t="n">
        <v>0</v>
      </c>
      <c r="DD761" s="2" t="n">
        <v>61.22</v>
      </c>
      <c r="DE761" s="2" t="n">
        <v>63.01</v>
      </c>
      <c r="DF761" s="2" t="n">
        <v>0</v>
      </c>
      <c r="DG761" s="2" t="n">
        <v>68.88</v>
      </c>
      <c r="DH761" s="2" t="n">
        <v>70.79000000000001</v>
      </c>
      <c r="DI761" s="2" t="n">
        <v>0</v>
      </c>
      <c r="DJ761" s="2" t="n">
        <v>76.98999999999999</v>
      </c>
      <c r="DK761" s="2" t="n">
        <v>78.78</v>
      </c>
      <c r="DL761" s="2" t="n">
        <v>0</v>
      </c>
      <c r="DM761" s="2" t="n">
        <v>84.52</v>
      </c>
      <c r="DN761" s="2" t="n">
        <v>86.31</v>
      </c>
      <c r="DO761" s="2" t="n">
        <v>0</v>
      </c>
      <c r="DP761" s="2" t="n">
        <v>92.04000000000001</v>
      </c>
      <c r="DQ761" s="2" t="n">
        <v>93.83</v>
      </c>
      <c r="DR761" s="2" t="n">
        <v>0</v>
      </c>
      <c r="DS761" s="2" t="n">
        <v>95.73</v>
      </c>
      <c r="DT761" s="2" t="n">
        <v>96.77</v>
      </c>
      <c r="DU761" s="2" t="n">
        <v>0</v>
      </c>
      <c r="DV761" s="2" t="n">
        <v>96.77</v>
      </c>
      <c r="DW761" s="2" t="n">
        <v>97.13</v>
      </c>
      <c r="DX761" s="2" t="n">
        <v>0</v>
      </c>
      <c r="DY761" s="2" t="n">
        <v>100</v>
      </c>
      <c r="DZ761" s="2" t="n">
        <v>100</v>
      </c>
      <c r="EA761" s="2" t="n">
        <v>0</v>
      </c>
      <c r="EB761" s="2" t="n">
        <v>100</v>
      </c>
      <c r="EC761" s="2" t="n">
        <v>100</v>
      </c>
      <c r="ED761" s="2" t="n">
        <v>0</v>
      </c>
      <c r="EE761" s="2" t="n">
        <v>100</v>
      </c>
      <c r="EF761" s="2" t="n">
        <v>100</v>
      </c>
      <c r="EG761" s="2" t="n">
        <v>0</v>
      </c>
      <c r="EH761" s="2" t="n">
        <v>100</v>
      </c>
      <c r="EI761" s="2" t="n">
        <v>100</v>
      </c>
      <c r="EJ761" s="2" t="n">
        <v>0</v>
      </c>
      <c r="EK761" s="2" t="n">
        <v>100</v>
      </c>
      <c r="EL761" s="2" t="n">
        <v>100</v>
      </c>
      <c r="EM761" s="2" t="n">
        <v>0</v>
      </c>
      <c r="EN761" s="2" t="n">
        <v>100</v>
      </c>
      <c r="EO761" s="2" t="n">
        <v>100</v>
      </c>
      <c r="EP761" s="2" t="n">
        <v>0</v>
      </c>
      <c r="EQ761" s="2" t="n">
        <v>100</v>
      </c>
      <c r="ER761" s="2" t="n">
        <v>100</v>
      </c>
      <c r="ES761" s="2" t="n">
        <v>0</v>
      </c>
    </row>
    <row r="762">
      <c r="A762" s="2" t="n">
        <v>4</v>
      </c>
      <c r="B762" s="2" t="inlineStr">
        <is>
          <t>30.06.07.10</t>
        </is>
      </c>
      <c r="C762" s="2" t="inlineStr">
        <is>
          <t>Filete box</t>
        </is>
      </c>
      <c r="D762" s="2" t="inlineStr">
        <is>
          <t>20/09/2027</t>
        </is>
      </c>
      <c r="E762" s="2" t="inlineStr">
        <is>
          <t>11/10/2028</t>
        </is>
      </c>
      <c r="F762" s="2" t="n">
        <v>10166.98072581007</v>
      </c>
      <c r="G762" s="2" t="n">
        <v>0</v>
      </c>
      <c r="H762" s="2" t="n">
        <v>10166.98072581007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0</v>
      </c>
      <c r="AM762" s="2" t="n">
        <v>0</v>
      </c>
      <c r="AN762" s="2" t="n">
        <v>0</v>
      </c>
      <c r="AO762" s="2" t="n">
        <v>0</v>
      </c>
      <c r="AP762" s="2" t="n">
        <v>0</v>
      </c>
      <c r="AQ762" s="2" t="n">
        <v>0</v>
      </c>
      <c r="AR762" s="2" t="n">
        <v>0</v>
      </c>
      <c r="AS762" s="2" t="n">
        <v>0</v>
      </c>
      <c r="AT762" s="2" t="n">
        <v>0</v>
      </c>
      <c r="AU762" s="2" t="n">
        <v>0</v>
      </c>
      <c r="AV762" s="2" t="n">
        <v>0</v>
      </c>
      <c r="AW762" s="2" t="n">
        <v>0</v>
      </c>
      <c r="AX762" s="2" t="n">
        <v>0</v>
      </c>
      <c r="AY762" s="2" t="n">
        <v>0</v>
      </c>
      <c r="AZ762" s="2" t="n">
        <v>0</v>
      </c>
      <c r="BA762" s="2" t="n">
        <v>0</v>
      </c>
      <c r="BB762" s="2" t="n">
        <v>0</v>
      </c>
      <c r="BC762" s="2" t="n">
        <v>0</v>
      </c>
      <c r="BD762" s="2" t="n">
        <v>0</v>
      </c>
      <c r="BE762" s="2" t="n">
        <v>0</v>
      </c>
      <c r="BF762" s="2" t="n">
        <v>0</v>
      </c>
      <c r="BG762" s="2" t="n">
        <v>0</v>
      </c>
      <c r="BH762" s="2" t="n">
        <v>0</v>
      </c>
      <c r="BI762" s="2" t="n">
        <v>0</v>
      </c>
      <c r="BJ762" s="2" t="n">
        <v>0</v>
      </c>
      <c r="BK762" s="2" t="n">
        <v>0</v>
      </c>
      <c r="BL762" s="2" t="n">
        <v>0</v>
      </c>
      <c r="BM762" s="2" t="n">
        <v>0</v>
      </c>
      <c r="BN762" s="2" t="n">
        <v>0</v>
      </c>
      <c r="BO762" s="2" t="n">
        <v>0</v>
      </c>
      <c r="BP762" s="2" t="n">
        <v>0</v>
      </c>
      <c r="BQ762" s="2" t="n">
        <v>0</v>
      </c>
      <c r="BR762" s="2" t="n">
        <v>0</v>
      </c>
      <c r="BS762" s="2" t="n">
        <v>0</v>
      </c>
      <c r="BT762" s="2" t="n">
        <v>0</v>
      </c>
      <c r="BU762" s="2" t="n">
        <v>0</v>
      </c>
      <c r="BV762" s="2" t="n">
        <v>0</v>
      </c>
      <c r="BW762" s="2" t="n">
        <v>0</v>
      </c>
      <c r="BX762" s="2" t="n">
        <v>0</v>
      </c>
      <c r="BY762" s="2" t="n">
        <v>0</v>
      </c>
      <c r="BZ762" s="2" t="n">
        <v>0</v>
      </c>
      <c r="CA762" s="2" t="n">
        <v>0</v>
      </c>
      <c r="CB762" s="2" t="n">
        <v>0</v>
      </c>
      <c r="CC762" s="2" t="n">
        <v>0</v>
      </c>
      <c r="CD762" s="2" t="n">
        <v>0</v>
      </c>
      <c r="CE762" s="2" t="n">
        <v>0</v>
      </c>
      <c r="CF762" s="2" t="n">
        <v>0</v>
      </c>
      <c r="CG762" s="2" t="n">
        <v>0</v>
      </c>
      <c r="CH762" s="2" t="n">
        <v>0</v>
      </c>
      <c r="CI762" s="2" t="n">
        <v>0</v>
      </c>
      <c r="CJ762" s="2" t="n">
        <v>0</v>
      </c>
      <c r="CK762" s="2" t="n">
        <v>0</v>
      </c>
      <c r="CL762" s="2" t="n">
        <v>1.43</v>
      </c>
      <c r="CM762" s="2" t="n">
        <v>3.23</v>
      </c>
      <c r="CN762" s="2" t="n">
        <v>0</v>
      </c>
      <c r="CO762" s="2" t="n">
        <v>8.77</v>
      </c>
      <c r="CP762" s="2" t="n">
        <v>10.6</v>
      </c>
      <c r="CQ762" s="2" t="n">
        <v>0</v>
      </c>
      <c r="CR762" s="2" t="n">
        <v>16.84</v>
      </c>
      <c r="CS762" s="2" t="n">
        <v>18.69</v>
      </c>
      <c r="CT762" s="2" t="n">
        <v>0</v>
      </c>
      <c r="CU762" s="2" t="n">
        <v>23.62</v>
      </c>
      <c r="CV762" s="2" t="n">
        <v>25.46</v>
      </c>
      <c r="CW762" s="2" t="n">
        <v>0</v>
      </c>
      <c r="CX762" s="2" t="n">
        <v>44.96</v>
      </c>
      <c r="CY762" s="2" t="n">
        <v>46.79</v>
      </c>
      <c r="CZ762" s="2" t="n">
        <v>0</v>
      </c>
      <c r="DA762" s="2" t="n">
        <v>52.76</v>
      </c>
      <c r="DB762" s="2" t="n">
        <v>54.56</v>
      </c>
      <c r="DC762" s="2" t="n">
        <v>0</v>
      </c>
      <c r="DD762" s="2" t="n">
        <v>61.22</v>
      </c>
      <c r="DE762" s="2" t="n">
        <v>63.01</v>
      </c>
      <c r="DF762" s="2" t="n">
        <v>0</v>
      </c>
      <c r="DG762" s="2" t="n">
        <v>68.88</v>
      </c>
      <c r="DH762" s="2" t="n">
        <v>70.79000000000001</v>
      </c>
      <c r="DI762" s="2" t="n">
        <v>0</v>
      </c>
      <c r="DJ762" s="2" t="n">
        <v>76.98999999999999</v>
      </c>
      <c r="DK762" s="2" t="n">
        <v>78.78</v>
      </c>
      <c r="DL762" s="2" t="n">
        <v>0</v>
      </c>
      <c r="DM762" s="2" t="n">
        <v>84.52</v>
      </c>
      <c r="DN762" s="2" t="n">
        <v>86.31</v>
      </c>
      <c r="DO762" s="2" t="n">
        <v>0</v>
      </c>
      <c r="DP762" s="2" t="n">
        <v>92.04000000000001</v>
      </c>
      <c r="DQ762" s="2" t="n">
        <v>93.83</v>
      </c>
      <c r="DR762" s="2" t="n">
        <v>0</v>
      </c>
      <c r="DS762" s="2" t="n">
        <v>95.73</v>
      </c>
      <c r="DT762" s="2" t="n">
        <v>96.77</v>
      </c>
      <c r="DU762" s="2" t="n">
        <v>0</v>
      </c>
      <c r="DV762" s="2" t="n">
        <v>96.77</v>
      </c>
      <c r="DW762" s="2" t="n">
        <v>97.13</v>
      </c>
      <c r="DX762" s="2" t="n">
        <v>0</v>
      </c>
      <c r="DY762" s="2" t="n">
        <v>100</v>
      </c>
      <c r="DZ762" s="2" t="n">
        <v>100</v>
      </c>
      <c r="EA762" s="2" t="n">
        <v>0</v>
      </c>
      <c r="EB762" s="2" t="n">
        <v>100</v>
      </c>
      <c r="EC762" s="2" t="n">
        <v>100</v>
      </c>
      <c r="ED762" s="2" t="n">
        <v>0</v>
      </c>
      <c r="EE762" s="2" t="n">
        <v>100</v>
      </c>
      <c r="EF762" s="2" t="n">
        <v>100</v>
      </c>
      <c r="EG762" s="2" t="n">
        <v>0</v>
      </c>
      <c r="EH762" s="2" t="n">
        <v>100</v>
      </c>
      <c r="EI762" s="2" t="n">
        <v>100</v>
      </c>
      <c r="EJ762" s="2" t="n">
        <v>0</v>
      </c>
      <c r="EK762" s="2" t="n">
        <v>100</v>
      </c>
      <c r="EL762" s="2" t="n">
        <v>100</v>
      </c>
      <c r="EM762" s="2" t="n">
        <v>0</v>
      </c>
      <c r="EN762" s="2" t="n">
        <v>100</v>
      </c>
      <c r="EO762" s="2" t="n">
        <v>100</v>
      </c>
      <c r="EP762" s="2" t="n">
        <v>0</v>
      </c>
      <c r="EQ762" s="2" t="n">
        <v>100</v>
      </c>
      <c r="ER762" s="2" t="n">
        <v>100</v>
      </c>
      <c r="ES762" s="2" t="n">
        <v>0</v>
      </c>
    </row>
    <row r="763">
      <c r="A763" s="2" t="n">
        <v>4</v>
      </c>
      <c r="B763" s="2" t="inlineStr">
        <is>
          <t>30.06.07.11</t>
        </is>
      </c>
      <c r="C763" s="2" t="inlineStr">
        <is>
          <t>Borda piscina L=27cm</t>
        </is>
      </c>
      <c r="D763" s="2" t="inlineStr">
        <is>
          <t>20/09/2027</t>
        </is>
      </c>
      <c r="E763" s="2" t="inlineStr">
        <is>
          <t>11/10/2028</t>
        </is>
      </c>
      <c r="F763" s="2" t="n">
        <v>10792.59798960978</v>
      </c>
      <c r="G763" s="2" t="n">
        <v>0</v>
      </c>
      <c r="H763" s="2" t="n">
        <v>10792.59798960978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n">
        <v>0</v>
      </c>
      <c r="AK763" s="2" t="n">
        <v>0</v>
      </c>
      <c r="AL763" s="2" t="n">
        <v>0</v>
      </c>
      <c r="AM763" s="2" t="n">
        <v>0</v>
      </c>
      <c r="AN763" s="2" t="n">
        <v>0</v>
      </c>
      <c r="AO763" s="2" t="n">
        <v>0</v>
      </c>
      <c r="AP763" s="2" t="n">
        <v>0</v>
      </c>
      <c r="AQ763" s="2" t="n">
        <v>0</v>
      </c>
      <c r="AR763" s="2" t="n">
        <v>0</v>
      </c>
      <c r="AS763" s="2" t="n">
        <v>0</v>
      </c>
      <c r="AT763" s="2" t="n">
        <v>0</v>
      </c>
      <c r="AU763" s="2" t="n">
        <v>0</v>
      </c>
      <c r="AV763" s="2" t="n">
        <v>0</v>
      </c>
      <c r="AW763" s="2" t="n">
        <v>0</v>
      </c>
      <c r="AX763" s="2" t="n">
        <v>0</v>
      </c>
      <c r="AY763" s="2" t="n">
        <v>0</v>
      </c>
      <c r="AZ763" s="2" t="n">
        <v>0</v>
      </c>
      <c r="BA763" s="2" t="n">
        <v>0</v>
      </c>
      <c r="BB763" s="2" t="n">
        <v>0</v>
      </c>
      <c r="BC763" s="2" t="n">
        <v>0</v>
      </c>
      <c r="BD763" s="2" t="n">
        <v>0</v>
      </c>
      <c r="BE763" s="2" t="n">
        <v>0</v>
      </c>
      <c r="BF763" s="2" t="n">
        <v>0</v>
      </c>
      <c r="BG763" s="2" t="n">
        <v>0</v>
      </c>
      <c r="BH763" s="2" t="n">
        <v>0</v>
      </c>
      <c r="BI763" s="2" t="n">
        <v>0</v>
      </c>
      <c r="BJ763" s="2" t="n">
        <v>0</v>
      </c>
      <c r="BK763" s="2" t="n">
        <v>0</v>
      </c>
      <c r="BL763" s="2" t="n">
        <v>0</v>
      </c>
      <c r="BM763" s="2" t="n">
        <v>0</v>
      </c>
      <c r="BN763" s="2" t="n">
        <v>0</v>
      </c>
      <c r="BO763" s="2" t="n">
        <v>0</v>
      </c>
      <c r="BP763" s="2" t="n">
        <v>0</v>
      </c>
      <c r="BQ763" s="2" t="n">
        <v>0</v>
      </c>
      <c r="BR763" s="2" t="n">
        <v>0</v>
      </c>
      <c r="BS763" s="2" t="n">
        <v>0</v>
      </c>
      <c r="BT763" s="2" t="n">
        <v>0</v>
      </c>
      <c r="BU763" s="2" t="n">
        <v>0</v>
      </c>
      <c r="BV763" s="2" t="n">
        <v>0</v>
      </c>
      <c r="BW763" s="2" t="n">
        <v>0</v>
      </c>
      <c r="BX763" s="2" t="n">
        <v>0</v>
      </c>
      <c r="BY763" s="2" t="n">
        <v>0</v>
      </c>
      <c r="BZ763" s="2" t="n">
        <v>0</v>
      </c>
      <c r="CA763" s="2" t="n">
        <v>0</v>
      </c>
      <c r="CB763" s="2" t="n">
        <v>0</v>
      </c>
      <c r="CC763" s="2" t="n">
        <v>0</v>
      </c>
      <c r="CD763" s="2" t="n">
        <v>0</v>
      </c>
      <c r="CE763" s="2" t="n">
        <v>0</v>
      </c>
      <c r="CF763" s="2" t="n">
        <v>0</v>
      </c>
      <c r="CG763" s="2" t="n">
        <v>0</v>
      </c>
      <c r="CH763" s="2" t="n">
        <v>0</v>
      </c>
      <c r="CI763" s="2" t="n">
        <v>0</v>
      </c>
      <c r="CJ763" s="2" t="n">
        <v>0</v>
      </c>
      <c r="CK763" s="2" t="n">
        <v>0</v>
      </c>
      <c r="CL763" s="2" t="n">
        <v>1.43</v>
      </c>
      <c r="CM763" s="2" t="n">
        <v>3.23</v>
      </c>
      <c r="CN763" s="2" t="n">
        <v>0</v>
      </c>
      <c r="CO763" s="2" t="n">
        <v>8.77</v>
      </c>
      <c r="CP763" s="2" t="n">
        <v>10.6</v>
      </c>
      <c r="CQ763" s="2" t="n">
        <v>0</v>
      </c>
      <c r="CR763" s="2" t="n">
        <v>16.84</v>
      </c>
      <c r="CS763" s="2" t="n">
        <v>18.69</v>
      </c>
      <c r="CT763" s="2" t="n">
        <v>0</v>
      </c>
      <c r="CU763" s="2" t="n">
        <v>23.62</v>
      </c>
      <c r="CV763" s="2" t="n">
        <v>25.46</v>
      </c>
      <c r="CW763" s="2" t="n">
        <v>0</v>
      </c>
      <c r="CX763" s="2" t="n">
        <v>44.96</v>
      </c>
      <c r="CY763" s="2" t="n">
        <v>46.79</v>
      </c>
      <c r="CZ763" s="2" t="n">
        <v>0</v>
      </c>
      <c r="DA763" s="2" t="n">
        <v>52.76</v>
      </c>
      <c r="DB763" s="2" t="n">
        <v>54.56</v>
      </c>
      <c r="DC763" s="2" t="n">
        <v>0</v>
      </c>
      <c r="DD763" s="2" t="n">
        <v>61.22</v>
      </c>
      <c r="DE763" s="2" t="n">
        <v>63.01</v>
      </c>
      <c r="DF763" s="2" t="n">
        <v>0</v>
      </c>
      <c r="DG763" s="2" t="n">
        <v>68.88</v>
      </c>
      <c r="DH763" s="2" t="n">
        <v>70.79000000000001</v>
      </c>
      <c r="DI763" s="2" t="n">
        <v>0</v>
      </c>
      <c r="DJ763" s="2" t="n">
        <v>76.98999999999999</v>
      </c>
      <c r="DK763" s="2" t="n">
        <v>78.78</v>
      </c>
      <c r="DL763" s="2" t="n">
        <v>0</v>
      </c>
      <c r="DM763" s="2" t="n">
        <v>84.52</v>
      </c>
      <c r="DN763" s="2" t="n">
        <v>86.31</v>
      </c>
      <c r="DO763" s="2" t="n">
        <v>0</v>
      </c>
      <c r="DP763" s="2" t="n">
        <v>92.04000000000001</v>
      </c>
      <c r="DQ763" s="2" t="n">
        <v>93.83</v>
      </c>
      <c r="DR763" s="2" t="n">
        <v>0</v>
      </c>
      <c r="DS763" s="2" t="n">
        <v>95.73</v>
      </c>
      <c r="DT763" s="2" t="n">
        <v>96.77</v>
      </c>
      <c r="DU763" s="2" t="n">
        <v>0</v>
      </c>
      <c r="DV763" s="2" t="n">
        <v>96.77</v>
      </c>
      <c r="DW763" s="2" t="n">
        <v>97.13</v>
      </c>
      <c r="DX763" s="2" t="n">
        <v>0</v>
      </c>
      <c r="DY763" s="2" t="n">
        <v>100</v>
      </c>
      <c r="DZ763" s="2" t="n">
        <v>100</v>
      </c>
      <c r="EA763" s="2" t="n">
        <v>0</v>
      </c>
      <c r="EB763" s="2" t="n">
        <v>100</v>
      </c>
      <c r="EC763" s="2" t="n">
        <v>100</v>
      </c>
      <c r="ED763" s="2" t="n">
        <v>0</v>
      </c>
      <c r="EE763" s="2" t="n">
        <v>100</v>
      </c>
      <c r="EF763" s="2" t="n">
        <v>100</v>
      </c>
      <c r="EG763" s="2" t="n">
        <v>0</v>
      </c>
      <c r="EH763" s="2" t="n">
        <v>100</v>
      </c>
      <c r="EI763" s="2" t="n">
        <v>100</v>
      </c>
      <c r="EJ763" s="2" t="n">
        <v>0</v>
      </c>
      <c r="EK763" s="2" t="n">
        <v>100</v>
      </c>
      <c r="EL763" s="2" t="n">
        <v>100</v>
      </c>
      <c r="EM763" s="2" t="n">
        <v>0</v>
      </c>
      <c r="EN763" s="2" t="n">
        <v>100</v>
      </c>
      <c r="EO763" s="2" t="n">
        <v>100</v>
      </c>
      <c r="EP763" s="2" t="n">
        <v>0</v>
      </c>
      <c r="EQ763" s="2" t="n">
        <v>100</v>
      </c>
      <c r="ER763" s="2" t="n">
        <v>100</v>
      </c>
      <c r="ES763" s="2" t="n">
        <v>0</v>
      </c>
    </row>
    <row r="764">
      <c r="A764" s="2" t="n">
        <v>2</v>
      </c>
      <c r="B764" s="2" t="inlineStr">
        <is>
          <t>30.07</t>
        </is>
      </c>
      <c r="C764" s="2" t="inlineStr">
        <is>
          <t>Revestimento de piscinas</t>
        </is>
      </c>
      <c r="D764" s="2" t="inlineStr">
        <is>
          <t>31/05/2028</t>
        </is>
      </c>
      <c r="E764" s="2" t="inlineStr">
        <is>
          <t>01/08/2028</t>
        </is>
      </c>
      <c r="F764" s="2" t="n">
        <v>117842.0892785322</v>
      </c>
      <c r="G764" s="2" t="n">
        <v>0</v>
      </c>
      <c r="H764" s="2" t="n">
        <v>117842.0892785322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0</v>
      </c>
      <c r="AL764" s="2" t="n">
        <v>0</v>
      </c>
      <c r="AM764" s="2" t="n">
        <v>0</v>
      </c>
      <c r="AN764" s="2" t="n">
        <v>0</v>
      </c>
      <c r="AO764" s="2" t="n">
        <v>0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0</v>
      </c>
      <c r="AX764" s="2" t="n">
        <v>0</v>
      </c>
      <c r="AY764" s="2" t="n">
        <v>0</v>
      </c>
      <c r="AZ764" s="2" t="n">
        <v>0</v>
      </c>
      <c r="BA764" s="2" t="n">
        <v>0</v>
      </c>
      <c r="BB764" s="2" t="n">
        <v>0</v>
      </c>
      <c r="BC764" s="2" t="n">
        <v>0</v>
      </c>
      <c r="BD764" s="2" t="n">
        <v>0</v>
      </c>
      <c r="BE764" s="2" t="n">
        <v>0</v>
      </c>
      <c r="BF764" s="2" t="n">
        <v>0</v>
      </c>
      <c r="BG764" s="2" t="n">
        <v>0</v>
      </c>
      <c r="BH764" s="2" t="n">
        <v>0</v>
      </c>
      <c r="BI764" s="2" t="n">
        <v>0</v>
      </c>
      <c r="BJ764" s="2" t="n">
        <v>0</v>
      </c>
      <c r="BK764" s="2" t="n">
        <v>0</v>
      </c>
      <c r="BL764" s="2" t="n">
        <v>0</v>
      </c>
      <c r="BM764" s="2" t="n">
        <v>0</v>
      </c>
      <c r="BN764" s="2" t="n">
        <v>0</v>
      </c>
      <c r="BO764" s="2" t="n">
        <v>0</v>
      </c>
      <c r="BP764" s="2" t="n">
        <v>0</v>
      </c>
      <c r="BQ764" s="2" t="n">
        <v>0</v>
      </c>
      <c r="BR764" s="2" t="n">
        <v>0</v>
      </c>
      <c r="BS764" s="2" t="n">
        <v>0</v>
      </c>
      <c r="BT764" s="2" t="n">
        <v>0</v>
      </c>
      <c r="BU764" s="2" t="n">
        <v>0</v>
      </c>
      <c r="BV764" s="2" t="n">
        <v>0</v>
      </c>
      <c r="BW764" s="2" t="n">
        <v>0</v>
      </c>
      <c r="BX764" s="2" t="n">
        <v>0</v>
      </c>
      <c r="BY764" s="2" t="n">
        <v>0</v>
      </c>
      <c r="BZ764" s="2" t="n">
        <v>0</v>
      </c>
      <c r="CA764" s="2" t="n">
        <v>0</v>
      </c>
      <c r="CB764" s="2" t="n">
        <v>0</v>
      </c>
      <c r="CC764" s="2" t="n">
        <v>0</v>
      </c>
      <c r="CD764" s="2" t="n">
        <v>0</v>
      </c>
      <c r="CE764" s="2" t="n">
        <v>0</v>
      </c>
      <c r="CF764" s="2" t="n">
        <v>0</v>
      </c>
      <c r="CG764" s="2" t="n">
        <v>0</v>
      </c>
      <c r="CH764" s="2" t="n">
        <v>0</v>
      </c>
      <c r="CI764" s="2" t="n">
        <v>0</v>
      </c>
      <c r="CJ764" s="2" t="n">
        <v>0</v>
      </c>
      <c r="CK764" s="2" t="n">
        <v>0</v>
      </c>
      <c r="CL764" s="2" t="n">
        <v>0</v>
      </c>
      <c r="CM764" s="2" t="n">
        <v>0</v>
      </c>
      <c r="CN764" s="2" t="n">
        <v>0</v>
      </c>
      <c r="CO764" s="2" t="n">
        <v>0</v>
      </c>
      <c r="CP764" s="2" t="n">
        <v>0</v>
      </c>
      <c r="CQ764" s="2" t="n">
        <v>0</v>
      </c>
      <c r="CR764" s="2" t="n">
        <v>0</v>
      </c>
      <c r="CS764" s="2" t="n">
        <v>0</v>
      </c>
      <c r="CT764" s="2" t="n">
        <v>0</v>
      </c>
      <c r="CU764" s="2" t="n">
        <v>0</v>
      </c>
      <c r="CV764" s="2" t="n">
        <v>0</v>
      </c>
      <c r="CW764" s="2" t="n">
        <v>0</v>
      </c>
      <c r="CX764" s="2" t="n">
        <v>0</v>
      </c>
      <c r="CY764" s="2" t="n">
        <v>0</v>
      </c>
      <c r="CZ764" s="2" t="n">
        <v>0</v>
      </c>
      <c r="DA764" s="2" t="n">
        <v>0</v>
      </c>
      <c r="DB764" s="2" t="n">
        <v>0</v>
      </c>
      <c r="DC764" s="2" t="n">
        <v>0</v>
      </c>
      <c r="DD764" s="2" t="n">
        <v>0</v>
      </c>
      <c r="DE764" s="2" t="n">
        <v>0</v>
      </c>
      <c r="DF764" s="2" t="n">
        <v>0</v>
      </c>
      <c r="DG764" s="2" t="n">
        <v>0</v>
      </c>
      <c r="DH764" s="2" t="n">
        <v>0</v>
      </c>
      <c r="DI764" s="2" t="n">
        <v>0</v>
      </c>
      <c r="DJ764" s="2" t="n">
        <v>0</v>
      </c>
      <c r="DK764" s="2" t="n">
        <v>2.27</v>
      </c>
      <c r="DL764" s="2" t="n">
        <v>0</v>
      </c>
      <c r="DM764" s="2" t="n">
        <v>47.73</v>
      </c>
      <c r="DN764" s="2" t="n">
        <v>50</v>
      </c>
      <c r="DO764" s="2" t="n">
        <v>0</v>
      </c>
      <c r="DP764" s="2" t="n">
        <v>95.45</v>
      </c>
      <c r="DQ764" s="2" t="n">
        <v>97.73</v>
      </c>
      <c r="DR764" s="2" t="n">
        <v>0</v>
      </c>
      <c r="DS764" s="2" t="n">
        <v>100</v>
      </c>
      <c r="DT764" s="2" t="n">
        <v>100</v>
      </c>
      <c r="DU764" s="2" t="n">
        <v>0</v>
      </c>
      <c r="DV764" s="2" t="n">
        <v>100</v>
      </c>
      <c r="DW764" s="2" t="n">
        <v>100</v>
      </c>
      <c r="DX764" s="2" t="n">
        <v>0</v>
      </c>
      <c r="DY764" s="2" t="n">
        <v>100</v>
      </c>
      <c r="DZ764" s="2" t="n">
        <v>100</v>
      </c>
      <c r="EA764" s="2" t="n">
        <v>0</v>
      </c>
      <c r="EB764" s="2" t="n">
        <v>100</v>
      </c>
      <c r="EC764" s="2" t="n">
        <v>100</v>
      </c>
      <c r="ED764" s="2" t="n">
        <v>0</v>
      </c>
      <c r="EE764" s="2" t="n">
        <v>100</v>
      </c>
      <c r="EF764" s="2" t="n">
        <v>100</v>
      </c>
      <c r="EG764" s="2" t="n">
        <v>0</v>
      </c>
      <c r="EH764" s="2" t="n">
        <v>100</v>
      </c>
      <c r="EI764" s="2" t="n">
        <v>100</v>
      </c>
      <c r="EJ764" s="2" t="n">
        <v>0</v>
      </c>
      <c r="EK764" s="2" t="n">
        <v>100</v>
      </c>
      <c r="EL764" s="2" t="n">
        <v>100</v>
      </c>
      <c r="EM764" s="2" t="n">
        <v>0</v>
      </c>
      <c r="EN764" s="2" t="n">
        <v>100</v>
      </c>
      <c r="EO764" s="2" t="n">
        <v>100</v>
      </c>
      <c r="EP764" s="2" t="n">
        <v>0</v>
      </c>
      <c r="EQ764" s="2" t="n">
        <v>100</v>
      </c>
      <c r="ER764" s="2" t="n">
        <v>100</v>
      </c>
      <c r="ES764" s="2" t="n">
        <v>0</v>
      </c>
    </row>
    <row r="765">
      <c r="A765" s="2" t="n">
        <v>3</v>
      </c>
      <c r="B765" s="2" t="inlineStr">
        <is>
          <t>30.07.01</t>
        </is>
      </c>
      <c r="C765" s="2" t="inlineStr">
        <is>
          <t>Argamassas</t>
        </is>
      </c>
      <c r="D765" s="2" t="inlineStr">
        <is>
          <t>31/05/2028</t>
        </is>
      </c>
      <c r="E765" s="2" t="inlineStr">
        <is>
          <t>01/08/2028</t>
        </is>
      </c>
      <c r="F765" s="2" t="n">
        <v>17572.4682066052</v>
      </c>
      <c r="G765" s="2" t="n">
        <v>0</v>
      </c>
      <c r="H765" s="2" t="n">
        <v>17572.4682066052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  <c r="AA765" s="2" t="n">
        <v>0</v>
      </c>
      <c r="AB765" s="2" t="n">
        <v>0</v>
      </c>
      <c r="AC765" s="2" t="n">
        <v>0</v>
      </c>
      <c r="AD765" s="2" t="n">
        <v>0</v>
      </c>
      <c r="AE765" s="2" t="n">
        <v>0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n">
        <v>0</v>
      </c>
      <c r="AK765" s="2" t="n">
        <v>0</v>
      </c>
      <c r="AL765" s="2" t="n">
        <v>0</v>
      </c>
      <c r="AM765" s="2" t="n">
        <v>0</v>
      </c>
      <c r="AN765" s="2" t="n">
        <v>0</v>
      </c>
      <c r="AO765" s="2" t="n">
        <v>0</v>
      </c>
      <c r="AP765" s="2" t="n">
        <v>0</v>
      </c>
      <c r="AQ765" s="2" t="n">
        <v>0</v>
      </c>
      <c r="AR765" s="2" t="n">
        <v>0</v>
      </c>
      <c r="AS765" s="2" t="n">
        <v>0</v>
      </c>
      <c r="AT765" s="2" t="n">
        <v>0</v>
      </c>
      <c r="AU765" s="2" t="n">
        <v>0</v>
      </c>
      <c r="AV765" s="2" t="n">
        <v>0</v>
      </c>
      <c r="AW765" s="2" t="n">
        <v>0</v>
      </c>
      <c r="AX765" s="2" t="n">
        <v>0</v>
      </c>
      <c r="AY765" s="2" t="n">
        <v>0</v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n">
        <v>0</v>
      </c>
      <c r="BE765" s="2" t="n">
        <v>0</v>
      </c>
      <c r="BF765" s="2" t="n">
        <v>0</v>
      </c>
      <c r="BG765" s="2" t="n">
        <v>0</v>
      </c>
      <c r="BH765" s="2" t="n">
        <v>0</v>
      </c>
      <c r="BI765" s="2" t="n">
        <v>0</v>
      </c>
      <c r="BJ765" s="2" t="n">
        <v>0</v>
      </c>
      <c r="BK765" s="2" t="n">
        <v>0</v>
      </c>
      <c r="BL765" s="2" t="n">
        <v>0</v>
      </c>
      <c r="BM765" s="2" t="n">
        <v>0</v>
      </c>
      <c r="BN765" s="2" t="n">
        <v>0</v>
      </c>
      <c r="BO765" s="2" t="n">
        <v>0</v>
      </c>
      <c r="BP765" s="2" t="n">
        <v>0</v>
      </c>
      <c r="BQ765" s="2" t="n">
        <v>0</v>
      </c>
      <c r="BR765" s="2" t="n">
        <v>0</v>
      </c>
      <c r="BS765" s="2" t="n">
        <v>0</v>
      </c>
      <c r="BT765" s="2" t="n">
        <v>0</v>
      </c>
      <c r="BU765" s="2" t="n">
        <v>0</v>
      </c>
      <c r="BV765" s="2" t="n">
        <v>0</v>
      </c>
      <c r="BW765" s="2" t="n">
        <v>0</v>
      </c>
      <c r="BX765" s="2" t="n">
        <v>0</v>
      </c>
      <c r="BY765" s="2" t="n">
        <v>0</v>
      </c>
      <c r="BZ765" s="2" t="n">
        <v>0</v>
      </c>
      <c r="CA765" s="2" t="n">
        <v>0</v>
      </c>
      <c r="CB765" s="2" t="n">
        <v>0</v>
      </c>
      <c r="CC765" s="2" t="n">
        <v>0</v>
      </c>
      <c r="CD765" s="2" t="n">
        <v>0</v>
      </c>
      <c r="CE765" s="2" t="n">
        <v>0</v>
      </c>
      <c r="CF765" s="2" t="n">
        <v>0</v>
      </c>
      <c r="CG765" s="2" t="n">
        <v>0</v>
      </c>
      <c r="CH765" s="2" t="n">
        <v>0</v>
      </c>
      <c r="CI765" s="2" t="n">
        <v>0</v>
      </c>
      <c r="CJ765" s="2" t="n">
        <v>0</v>
      </c>
      <c r="CK765" s="2" t="n">
        <v>0</v>
      </c>
      <c r="CL765" s="2" t="n">
        <v>0</v>
      </c>
      <c r="CM765" s="2" t="n">
        <v>0</v>
      </c>
      <c r="CN765" s="2" t="n">
        <v>0</v>
      </c>
      <c r="CO765" s="2" t="n">
        <v>0</v>
      </c>
      <c r="CP765" s="2" t="n">
        <v>0</v>
      </c>
      <c r="CQ765" s="2" t="n">
        <v>0</v>
      </c>
      <c r="CR765" s="2" t="n">
        <v>0</v>
      </c>
      <c r="CS765" s="2" t="n">
        <v>0</v>
      </c>
      <c r="CT765" s="2" t="n">
        <v>0</v>
      </c>
      <c r="CU765" s="2" t="n">
        <v>0</v>
      </c>
      <c r="CV765" s="2" t="n">
        <v>0</v>
      </c>
      <c r="CW765" s="2" t="n">
        <v>0</v>
      </c>
      <c r="CX765" s="2" t="n">
        <v>0</v>
      </c>
      <c r="CY765" s="2" t="n">
        <v>0</v>
      </c>
      <c r="CZ765" s="2" t="n">
        <v>0</v>
      </c>
      <c r="DA765" s="2" t="n">
        <v>0</v>
      </c>
      <c r="DB765" s="2" t="n">
        <v>0</v>
      </c>
      <c r="DC765" s="2" t="n">
        <v>0</v>
      </c>
      <c r="DD765" s="2" t="n">
        <v>0</v>
      </c>
      <c r="DE765" s="2" t="n">
        <v>0</v>
      </c>
      <c r="DF765" s="2" t="n">
        <v>0</v>
      </c>
      <c r="DG765" s="2" t="n">
        <v>0</v>
      </c>
      <c r="DH765" s="2" t="n">
        <v>0</v>
      </c>
      <c r="DI765" s="2" t="n">
        <v>0</v>
      </c>
      <c r="DJ765" s="2" t="n">
        <v>0</v>
      </c>
      <c r="DK765" s="2" t="n">
        <v>2.27</v>
      </c>
      <c r="DL765" s="2" t="n">
        <v>0</v>
      </c>
      <c r="DM765" s="2" t="n">
        <v>47.73</v>
      </c>
      <c r="DN765" s="2" t="n">
        <v>50</v>
      </c>
      <c r="DO765" s="2" t="n">
        <v>0</v>
      </c>
      <c r="DP765" s="2" t="n">
        <v>95.45</v>
      </c>
      <c r="DQ765" s="2" t="n">
        <v>97.73</v>
      </c>
      <c r="DR765" s="2" t="n">
        <v>0</v>
      </c>
      <c r="DS765" s="2" t="n">
        <v>100</v>
      </c>
      <c r="DT765" s="2" t="n">
        <v>100</v>
      </c>
      <c r="DU765" s="2" t="n">
        <v>0</v>
      </c>
      <c r="DV765" s="2" t="n">
        <v>100</v>
      </c>
      <c r="DW765" s="2" t="n">
        <v>100</v>
      </c>
      <c r="DX765" s="2" t="n">
        <v>0</v>
      </c>
      <c r="DY765" s="2" t="n">
        <v>100</v>
      </c>
      <c r="DZ765" s="2" t="n">
        <v>100</v>
      </c>
      <c r="EA765" s="2" t="n">
        <v>0</v>
      </c>
      <c r="EB765" s="2" t="n">
        <v>100</v>
      </c>
      <c r="EC765" s="2" t="n">
        <v>100</v>
      </c>
      <c r="ED765" s="2" t="n">
        <v>0</v>
      </c>
      <c r="EE765" s="2" t="n">
        <v>100</v>
      </c>
      <c r="EF765" s="2" t="n">
        <v>100</v>
      </c>
      <c r="EG765" s="2" t="n">
        <v>0</v>
      </c>
      <c r="EH765" s="2" t="n">
        <v>100</v>
      </c>
      <c r="EI765" s="2" t="n">
        <v>100</v>
      </c>
      <c r="EJ765" s="2" t="n">
        <v>0</v>
      </c>
      <c r="EK765" s="2" t="n">
        <v>100</v>
      </c>
      <c r="EL765" s="2" t="n">
        <v>100</v>
      </c>
      <c r="EM765" s="2" t="n">
        <v>0</v>
      </c>
      <c r="EN765" s="2" t="n">
        <v>100</v>
      </c>
      <c r="EO765" s="2" t="n">
        <v>100</v>
      </c>
      <c r="EP765" s="2" t="n">
        <v>0</v>
      </c>
      <c r="EQ765" s="2" t="n">
        <v>100</v>
      </c>
      <c r="ER765" s="2" t="n">
        <v>100</v>
      </c>
      <c r="ES765" s="2" t="n">
        <v>0</v>
      </c>
    </row>
    <row r="766">
      <c r="A766" s="2" t="n">
        <v>4</v>
      </c>
      <c r="B766" s="2" t="inlineStr">
        <is>
          <t>30.07.01.01</t>
        </is>
      </c>
      <c r="C766" s="2" t="inlineStr">
        <is>
          <t>Taliscamento de Parede</t>
        </is>
      </c>
      <c r="D766" s="2" t="inlineStr">
        <is>
          <t>31/05/2028</t>
        </is>
      </c>
      <c r="E766" s="2" t="inlineStr">
        <is>
          <t>01/08/2028</t>
        </is>
      </c>
      <c r="F766" s="2" t="n">
        <v>1478.78230185</v>
      </c>
      <c r="G766" s="2" t="n">
        <v>0</v>
      </c>
      <c r="H766" s="2" t="n">
        <v>1478.78230185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0</v>
      </c>
      <c r="AM766" s="2" t="n">
        <v>0</v>
      </c>
      <c r="AN766" s="2" t="n">
        <v>0</v>
      </c>
      <c r="AO766" s="2" t="n">
        <v>0</v>
      </c>
      <c r="AP766" s="2" t="n">
        <v>0</v>
      </c>
      <c r="AQ766" s="2" t="n">
        <v>0</v>
      </c>
      <c r="AR766" s="2" t="n">
        <v>0</v>
      </c>
      <c r="AS766" s="2" t="n">
        <v>0</v>
      </c>
      <c r="AT766" s="2" t="n">
        <v>0</v>
      </c>
      <c r="AU766" s="2" t="n">
        <v>0</v>
      </c>
      <c r="AV766" s="2" t="n">
        <v>0</v>
      </c>
      <c r="AW766" s="2" t="n">
        <v>0</v>
      </c>
      <c r="AX766" s="2" t="n">
        <v>0</v>
      </c>
      <c r="AY766" s="2" t="n">
        <v>0</v>
      </c>
      <c r="AZ766" s="2" t="n">
        <v>0</v>
      </c>
      <c r="BA766" s="2" t="n">
        <v>0</v>
      </c>
      <c r="BB766" s="2" t="n">
        <v>0</v>
      </c>
      <c r="BC766" s="2" t="n">
        <v>0</v>
      </c>
      <c r="BD766" s="2" t="n">
        <v>0</v>
      </c>
      <c r="BE766" s="2" t="n">
        <v>0</v>
      </c>
      <c r="BF766" s="2" t="n">
        <v>0</v>
      </c>
      <c r="BG766" s="2" t="n">
        <v>0</v>
      </c>
      <c r="BH766" s="2" t="n">
        <v>0</v>
      </c>
      <c r="BI766" s="2" t="n">
        <v>0</v>
      </c>
      <c r="BJ766" s="2" t="n">
        <v>0</v>
      </c>
      <c r="BK766" s="2" t="n">
        <v>0</v>
      </c>
      <c r="BL766" s="2" t="n">
        <v>0</v>
      </c>
      <c r="BM766" s="2" t="n">
        <v>0</v>
      </c>
      <c r="BN766" s="2" t="n">
        <v>0</v>
      </c>
      <c r="BO766" s="2" t="n">
        <v>0</v>
      </c>
      <c r="BP766" s="2" t="n">
        <v>0</v>
      </c>
      <c r="BQ766" s="2" t="n">
        <v>0</v>
      </c>
      <c r="BR766" s="2" t="n">
        <v>0</v>
      </c>
      <c r="BS766" s="2" t="n">
        <v>0</v>
      </c>
      <c r="BT766" s="2" t="n">
        <v>0</v>
      </c>
      <c r="BU766" s="2" t="n">
        <v>0</v>
      </c>
      <c r="BV766" s="2" t="n">
        <v>0</v>
      </c>
      <c r="BW766" s="2" t="n">
        <v>0</v>
      </c>
      <c r="BX766" s="2" t="n">
        <v>0</v>
      </c>
      <c r="BY766" s="2" t="n">
        <v>0</v>
      </c>
      <c r="BZ766" s="2" t="n">
        <v>0</v>
      </c>
      <c r="CA766" s="2" t="n">
        <v>0</v>
      </c>
      <c r="CB766" s="2" t="n">
        <v>0</v>
      </c>
      <c r="CC766" s="2" t="n">
        <v>0</v>
      </c>
      <c r="CD766" s="2" t="n">
        <v>0</v>
      </c>
      <c r="CE766" s="2" t="n">
        <v>0</v>
      </c>
      <c r="CF766" s="2" t="n">
        <v>0</v>
      </c>
      <c r="CG766" s="2" t="n">
        <v>0</v>
      </c>
      <c r="CH766" s="2" t="n">
        <v>0</v>
      </c>
      <c r="CI766" s="2" t="n">
        <v>0</v>
      </c>
      <c r="CJ766" s="2" t="n">
        <v>0</v>
      </c>
      <c r="CK766" s="2" t="n">
        <v>0</v>
      </c>
      <c r="CL766" s="2" t="n">
        <v>0</v>
      </c>
      <c r="CM766" s="2" t="n">
        <v>0</v>
      </c>
      <c r="CN766" s="2" t="n">
        <v>0</v>
      </c>
      <c r="CO766" s="2" t="n">
        <v>0</v>
      </c>
      <c r="CP766" s="2" t="n">
        <v>0</v>
      </c>
      <c r="CQ766" s="2" t="n">
        <v>0</v>
      </c>
      <c r="CR766" s="2" t="n">
        <v>0</v>
      </c>
      <c r="CS766" s="2" t="n">
        <v>0</v>
      </c>
      <c r="CT766" s="2" t="n">
        <v>0</v>
      </c>
      <c r="CU766" s="2" t="n">
        <v>0</v>
      </c>
      <c r="CV766" s="2" t="n">
        <v>0</v>
      </c>
      <c r="CW766" s="2" t="n">
        <v>0</v>
      </c>
      <c r="CX766" s="2" t="n">
        <v>0</v>
      </c>
      <c r="CY766" s="2" t="n">
        <v>0</v>
      </c>
      <c r="CZ766" s="2" t="n">
        <v>0</v>
      </c>
      <c r="DA766" s="2" t="n">
        <v>0</v>
      </c>
      <c r="DB766" s="2" t="n">
        <v>0</v>
      </c>
      <c r="DC766" s="2" t="n">
        <v>0</v>
      </c>
      <c r="DD766" s="2" t="n">
        <v>0</v>
      </c>
      <c r="DE766" s="2" t="n">
        <v>0</v>
      </c>
      <c r="DF766" s="2" t="n">
        <v>0</v>
      </c>
      <c r="DG766" s="2" t="n">
        <v>0</v>
      </c>
      <c r="DH766" s="2" t="n">
        <v>0</v>
      </c>
      <c r="DI766" s="2" t="n">
        <v>0</v>
      </c>
      <c r="DJ766" s="2" t="n">
        <v>0</v>
      </c>
      <c r="DK766" s="2" t="n">
        <v>2.27</v>
      </c>
      <c r="DL766" s="2" t="n">
        <v>0</v>
      </c>
      <c r="DM766" s="2" t="n">
        <v>47.73</v>
      </c>
      <c r="DN766" s="2" t="n">
        <v>50</v>
      </c>
      <c r="DO766" s="2" t="n">
        <v>0</v>
      </c>
      <c r="DP766" s="2" t="n">
        <v>95.45</v>
      </c>
      <c r="DQ766" s="2" t="n">
        <v>97.73</v>
      </c>
      <c r="DR766" s="2" t="n">
        <v>0</v>
      </c>
      <c r="DS766" s="2" t="n">
        <v>100</v>
      </c>
      <c r="DT766" s="2" t="n">
        <v>100</v>
      </c>
      <c r="DU766" s="2" t="n">
        <v>0</v>
      </c>
      <c r="DV766" s="2" t="n">
        <v>100</v>
      </c>
      <c r="DW766" s="2" t="n">
        <v>100</v>
      </c>
      <c r="DX766" s="2" t="n">
        <v>0</v>
      </c>
      <c r="DY766" s="2" t="n">
        <v>100</v>
      </c>
      <c r="DZ766" s="2" t="n">
        <v>100</v>
      </c>
      <c r="EA766" s="2" t="n">
        <v>0</v>
      </c>
      <c r="EB766" s="2" t="n">
        <v>100</v>
      </c>
      <c r="EC766" s="2" t="n">
        <v>100</v>
      </c>
      <c r="ED766" s="2" t="n">
        <v>0</v>
      </c>
      <c r="EE766" s="2" t="n">
        <v>100</v>
      </c>
      <c r="EF766" s="2" t="n">
        <v>100</v>
      </c>
      <c r="EG766" s="2" t="n">
        <v>0</v>
      </c>
      <c r="EH766" s="2" t="n">
        <v>100</v>
      </c>
      <c r="EI766" s="2" t="n">
        <v>100</v>
      </c>
      <c r="EJ766" s="2" t="n">
        <v>0</v>
      </c>
      <c r="EK766" s="2" t="n">
        <v>100</v>
      </c>
      <c r="EL766" s="2" t="n">
        <v>100</v>
      </c>
      <c r="EM766" s="2" t="n">
        <v>0</v>
      </c>
      <c r="EN766" s="2" t="n">
        <v>100</v>
      </c>
      <c r="EO766" s="2" t="n">
        <v>100</v>
      </c>
      <c r="EP766" s="2" t="n">
        <v>0</v>
      </c>
      <c r="EQ766" s="2" t="n">
        <v>100</v>
      </c>
      <c r="ER766" s="2" t="n">
        <v>100</v>
      </c>
      <c r="ES766" s="2" t="n">
        <v>0</v>
      </c>
    </row>
    <row r="767">
      <c r="A767" s="2" t="n">
        <v>4</v>
      </c>
      <c r="B767" s="2" t="inlineStr">
        <is>
          <t>30.07.01.02</t>
        </is>
      </c>
      <c r="C767" s="2" t="inlineStr">
        <is>
          <t>Chapisco</t>
        </is>
      </c>
      <c r="D767" s="2" t="inlineStr">
        <is>
          <t>31/05/2028</t>
        </is>
      </c>
      <c r="E767" s="2" t="inlineStr">
        <is>
          <t>01/08/2028</t>
        </is>
      </c>
      <c r="F767" s="2" t="n">
        <v>2717.0687397952</v>
      </c>
      <c r="G767" s="2" t="n">
        <v>0</v>
      </c>
      <c r="H767" s="2" t="n">
        <v>2717.0687397952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n">
        <v>0</v>
      </c>
      <c r="AK767" s="2" t="n">
        <v>0</v>
      </c>
      <c r="AL767" s="2" t="n">
        <v>0</v>
      </c>
      <c r="AM767" s="2" t="n">
        <v>0</v>
      </c>
      <c r="AN767" s="2" t="n">
        <v>0</v>
      </c>
      <c r="AO767" s="2" t="n">
        <v>0</v>
      </c>
      <c r="AP767" s="2" t="n">
        <v>0</v>
      </c>
      <c r="AQ767" s="2" t="n">
        <v>0</v>
      </c>
      <c r="AR767" s="2" t="n">
        <v>0</v>
      </c>
      <c r="AS767" s="2" t="n">
        <v>0</v>
      </c>
      <c r="AT767" s="2" t="n">
        <v>0</v>
      </c>
      <c r="AU767" s="2" t="n">
        <v>0</v>
      </c>
      <c r="AV767" s="2" t="n">
        <v>0</v>
      </c>
      <c r="AW767" s="2" t="n">
        <v>0</v>
      </c>
      <c r="AX767" s="2" t="n">
        <v>0</v>
      </c>
      <c r="AY767" s="2" t="n">
        <v>0</v>
      </c>
      <c r="AZ767" s="2" t="n">
        <v>0</v>
      </c>
      <c r="BA767" s="2" t="n">
        <v>0</v>
      </c>
      <c r="BB767" s="2" t="n">
        <v>0</v>
      </c>
      <c r="BC767" s="2" t="n">
        <v>0</v>
      </c>
      <c r="BD767" s="2" t="n">
        <v>0</v>
      </c>
      <c r="BE767" s="2" t="n">
        <v>0</v>
      </c>
      <c r="BF767" s="2" t="n">
        <v>0</v>
      </c>
      <c r="BG767" s="2" t="n">
        <v>0</v>
      </c>
      <c r="BH767" s="2" t="n">
        <v>0</v>
      </c>
      <c r="BI767" s="2" t="n">
        <v>0</v>
      </c>
      <c r="BJ767" s="2" t="n">
        <v>0</v>
      </c>
      <c r="BK767" s="2" t="n">
        <v>0</v>
      </c>
      <c r="BL767" s="2" t="n">
        <v>0</v>
      </c>
      <c r="BM767" s="2" t="n">
        <v>0</v>
      </c>
      <c r="BN767" s="2" t="n">
        <v>0</v>
      </c>
      <c r="BO767" s="2" t="n">
        <v>0</v>
      </c>
      <c r="BP767" s="2" t="n">
        <v>0</v>
      </c>
      <c r="BQ767" s="2" t="n">
        <v>0</v>
      </c>
      <c r="BR767" s="2" t="n">
        <v>0</v>
      </c>
      <c r="BS767" s="2" t="n">
        <v>0</v>
      </c>
      <c r="BT767" s="2" t="n">
        <v>0</v>
      </c>
      <c r="BU767" s="2" t="n">
        <v>0</v>
      </c>
      <c r="BV767" s="2" t="n">
        <v>0</v>
      </c>
      <c r="BW767" s="2" t="n">
        <v>0</v>
      </c>
      <c r="BX767" s="2" t="n">
        <v>0</v>
      </c>
      <c r="BY767" s="2" t="n">
        <v>0</v>
      </c>
      <c r="BZ767" s="2" t="n">
        <v>0</v>
      </c>
      <c r="CA767" s="2" t="n">
        <v>0</v>
      </c>
      <c r="CB767" s="2" t="n">
        <v>0</v>
      </c>
      <c r="CC767" s="2" t="n">
        <v>0</v>
      </c>
      <c r="CD767" s="2" t="n">
        <v>0</v>
      </c>
      <c r="CE767" s="2" t="n">
        <v>0</v>
      </c>
      <c r="CF767" s="2" t="n">
        <v>0</v>
      </c>
      <c r="CG767" s="2" t="n">
        <v>0</v>
      </c>
      <c r="CH767" s="2" t="n">
        <v>0</v>
      </c>
      <c r="CI767" s="2" t="n">
        <v>0</v>
      </c>
      <c r="CJ767" s="2" t="n">
        <v>0</v>
      </c>
      <c r="CK767" s="2" t="n">
        <v>0</v>
      </c>
      <c r="CL767" s="2" t="n">
        <v>0</v>
      </c>
      <c r="CM767" s="2" t="n">
        <v>0</v>
      </c>
      <c r="CN767" s="2" t="n">
        <v>0</v>
      </c>
      <c r="CO767" s="2" t="n">
        <v>0</v>
      </c>
      <c r="CP767" s="2" t="n">
        <v>0</v>
      </c>
      <c r="CQ767" s="2" t="n">
        <v>0</v>
      </c>
      <c r="CR767" s="2" t="n">
        <v>0</v>
      </c>
      <c r="CS767" s="2" t="n">
        <v>0</v>
      </c>
      <c r="CT767" s="2" t="n">
        <v>0</v>
      </c>
      <c r="CU767" s="2" t="n">
        <v>0</v>
      </c>
      <c r="CV767" s="2" t="n">
        <v>0</v>
      </c>
      <c r="CW767" s="2" t="n">
        <v>0</v>
      </c>
      <c r="CX767" s="2" t="n">
        <v>0</v>
      </c>
      <c r="CY767" s="2" t="n">
        <v>0</v>
      </c>
      <c r="CZ767" s="2" t="n">
        <v>0</v>
      </c>
      <c r="DA767" s="2" t="n">
        <v>0</v>
      </c>
      <c r="DB767" s="2" t="n">
        <v>0</v>
      </c>
      <c r="DC767" s="2" t="n">
        <v>0</v>
      </c>
      <c r="DD767" s="2" t="n">
        <v>0</v>
      </c>
      <c r="DE767" s="2" t="n">
        <v>0</v>
      </c>
      <c r="DF767" s="2" t="n">
        <v>0</v>
      </c>
      <c r="DG767" s="2" t="n">
        <v>0</v>
      </c>
      <c r="DH767" s="2" t="n">
        <v>0</v>
      </c>
      <c r="DI767" s="2" t="n">
        <v>0</v>
      </c>
      <c r="DJ767" s="2" t="n">
        <v>0</v>
      </c>
      <c r="DK767" s="2" t="n">
        <v>2.27</v>
      </c>
      <c r="DL767" s="2" t="n">
        <v>0</v>
      </c>
      <c r="DM767" s="2" t="n">
        <v>47.73</v>
      </c>
      <c r="DN767" s="2" t="n">
        <v>50</v>
      </c>
      <c r="DO767" s="2" t="n">
        <v>0</v>
      </c>
      <c r="DP767" s="2" t="n">
        <v>95.45</v>
      </c>
      <c r="DQ767" s="2" t="n">
        <v>97.73</v>
      </c>
      <c r="DR767" s="2" t="n">
        <v>0</v>
      </c>
      <c r="DS767" s="2" t="n">
        <v>100</v>
      </c>
      <c r="DT767" s="2" t="n">
        <v>100</v>
      </c>
      <c r="DU767" s="2" t="n">
        <v>0</v>
      </c>
      <c r="DV767" s="2" t="n">
        <v>100</v>
      </c>
      <c r="DW767" s="2" t="n">
        <v>100</v>
      </c>
      <c r="DX767" s="2" t="n">
        <v>0</v>
      </c>
      <c r="DY767" s="2" t="n">
        <v>100</v>
      </c>
      <c r="DZ767" s="2" t="n">
        <v>100</v>
      </c>
      <c r="EA767" s="2" t="n">
        <v>0</v>
      </c>
      <c r="EB767" s="2" t="n">
        <v>100</v>
      </c>
      <c r="EC767" s="2" t="n">
        <v>100</v>
      </c>
      <c r="ED767" s="2" t="n">
        <v>0</v>
      </c>
      <c r="EE767" s="2" t="n">
        <v>100</v>
      </c>
      <c r="EF767" s="2" t="n">
        <v>100</v>
      </c>
      <c r="EG767" s="2" t="n">
        <v>0</v>
      </c>
      <c r="EH767" s="2" t="n">
        <v>100</v>
      </c>
      <c r="EI767" s="2" t="n">
        <v>100</v>
      </c>
      <c r="EJ767" s="2" t="n">
        <v>0</v>
      </c>
      <c r="EK767" s="2" t="n">
        <v>100</v>
      </c>
      <c r="EL767" s="2" t="n">
        <v>100</v>
      </c>
      <c r="EM767" s="2" t="n">
        <v>0</v>
      </c>
      <c r="EN767" s="2" t="n">
        <v>100</v>
      </c>
      <c r="EO767" s="2" t="n">
        <v>100</v>
      </c>
      <c r="EP767" s="2" t="n">
        <v>0</v>
      </c>
      <c r="EQ767" s="2" t="n">
        <v>100</v>
      </c>
      <c r="ER767" s="2" t="n">
        <v>100</v>
      </c>
      <c r="ES767" s="2" t="n">
        <v>0</v>
      </c>
    </row>
    <row r="768">
      <c r="A768" s="2" t="n">
        <v>4</v>
      </c>
      <c r="B768" s="2" t="inlineStr">
        <is>
          <t>30.07.01.03</t>
        </is>
      </c>
      <c r="C768" s="2" t="inlineStr">
        <is>
          <t>Emboço esp. 50mm</t>
        </is>
      </c>
      <c r="D768" s="2" t="inlineStr">
        <is>
          <t>31/05/2028</t>
        </is>
      </c>
      <c r="E768" s="2" t="inlineStr">
        <is>
          <t>01/08/2028</t>
        </is>
      </c>
      <c r="F768" s="2" t="n">
        <v>13376.61716496</v>
      </c>
      <c r="G768" s="2" t="n">
        <v>0</v>
      </c>
      <c r="H768" s="2" t="n">
        <v>13376.61716496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0</v>
      </c>
      <c r="AM768" s="2" t="n">
        <v>0</v>
      </c>
      <c r="AN768" s="2" t="n">
        <v>0</v>
      </c>
      <c r="AO768" s="2" t="n">
        <v>0</v>
      </c>
      <c r="AP768" s="2" t="n">
        <v>0</v>
      </c>
      <c r="AQ768" s="2" t="n">
        <v>0</v>
      </c>
      <c r="AR768" s="2" t="n">
        <v>0</v>
      </c>
      <c r="AS768" s="2" t="n">
        <v>0</v>
      </c>
      <c r="AT768" s="2" t="n">
        <v>0</v>
      </c>
      <c r="AU768" s="2" t="n">
        <v>0</v>
      </c>
      <c r="AV768" s="2" t="n">
        <v>0</v>
      </c>
      <c r="AW768" s="2" t="n">
        <v>0</v>
      </c>
      <c r="AX768" s="2" t="n">
        <v>0</v>
      </c>
      <c r="AY768" s="2" t="n">
        <v>0</v>
      </c>
      <c r="AZ768" s="2" t="n">
        <v>0</v>
      </c>
      <c r="BA768" s="2" t="n">
        <v>0</v>
      </c>
      <c r="BB768" s="2" t="n">
        <v>0</v>
      </c>
      <c r="BC768" s="2" t="n">
        <v>0</v>
      </c>
      <c r="BD768" s="2" t="n">
        <v>0</v>
      </c>
      <c r="BE768" s="2" t="n">
        <v>0</v>
      </c>
      <c r="BF768" s="2" t="n">
        <v>0</v>
      </c>
      <c r="BG768" s="2" t="n">
        <v>0</v>
      </c>
      <c r="BH768" s="2" t="n">
        <v>0</v>
      </c>
      <c r="BI768" s="2" t="n">
        <v>0</v>
      </c>
      <c r="BJ768" s="2" t="n">
        <v>0</v>
      </c>
      <c r="BK768" s="2" t="n">
        <v>0</v>
      </c>
      <c r="BL768" s="2" t="n">
        <v>0</v>
      </c>
      <c r="BM768" s="2" t="n">
        <v>0</v>
      </c>
      <c r="BN768" s="2" t="n">
        <v>0</v>
      </c>
      <c r="BO768" s="2" t="n">
        <v>0</v>
      </c>
      <c r="BP768" s="2" t="n">
        <v>0</v>
      </c>
      <c r="BQ768" s="2" t="n">
        <v>0</v>
      </c>
      <c r="BR768" s="2" t="n">
        <v>0</v>
      </c>
      <c r="BS768" s="2" t="n">
        <v>0</v>
      </c>
      <c r="BT768" s="2" t="n">
        <v>0</v>
      </c>
      <c r="BU768" s="2" t="n">
        <v>0</v>
      </c>
      <c r="BV768" s="2" t="n">
        <v>0</v>
      </c>
      <c r="BW768" s="2" t="n">
        <v>0</v>
      </c>
      <c r="BX768" s="2" t="n">
        <v>0</v>
      </c>
      <c r="BY768" s="2" t="n">
        <v>0</v>
      </c>
      <c r="BZ768" s="2" t="n">
        <v>0</v>
      </c>
      <c r="CA768" s="2" t="n">
        <v>0</v>
      </c>
      <c r="CB768" s="2" t="n">
        <v>0</v>
      </c>
      <c r="CC768" s="2" t="n">
        <v>0</v>
      </c>
      <c r="CD768" s="2" t="n">
        <v>0</v>
      </c>
      <c r="CE768" s="2" t="n">
        <v>0</v>
      </c>
      <c r="CF768" s="2" t="n">
        <v>0</v>
      </c>
      <c r="CG768" s="2" t="n">
        <v>0</v>
      </c>
      <c r="CH768" s="2" t="n">
        <v>0</v>
      </c>
      <c r="CI768" s="2" t="n">
        <v>0</v>
      </c>
      <c r="CJ768" s="2" t="n">
        <v>0</v>
      </c>
      <c r="CK768" s="2" t="n">
        <v>0</v>
      </c>
      <c r="CL768" s="2" t="n">
        <v>0</v>
      </c>
      <c r="CM768" s="2" t="n">
        <v>0</v>
      </c>
      <c r="CN768" s="2" t="n">
        <v>0</v>
      </c>
      <c r="CO768" s="2" t="n">
        <v>0</v>
      </c>
      <c r="CP768" s="2" t="n">
        <v>0</v>
      </c>
      <c r="CQ768" s="2" t="n">
        <v>0</v>
      </c>
      <c r="CR768" s="2" t="n">
        <v>0</v>
      </c>
      <c r="CS768" s="2" t="n">
        <v>0</v>
      </c>
      <c r="CT768" s="2" t="n">
        <v>0</v>
      </c>
      <c r="CU768" s="2" t="n">
        <v>0</v>
      </c>
      <c r="CV768" s="2" t="n">
        <v>0</v>
      </c>
      <c r="CW768" s="2" t="n">
        <v>0</v>
      </c>
      <c r="CX768" s="2" t="n">
        <v>0</v>
      </c>
      <c r="CY768" s="2" t="n">
        <v>0</v>
      </c>
      <c r="CZ768" s="2" t="n">
        <v>0</v>
      </c>
      <c r="DA768" s="2" t="n">
        <v>0</v>
      </c>
      <c r="DB768" s="2" t="n">
        <v>0</v>
      </c>
      <c r="DC768" s="2" t="n">
        <v>0</v>
      </c>
      <c r="DD768" s="2" t="n">
        <v>0</v>
      </c>
      <c r="DE768" s="2" t="n">
        <v>0</v>
      </c>
      <c r="DF768" s="2" t="n">
        <v>0</v>
      </c>
      <c r="DG768" s="2" t="n">
        <v>0</v>
      </c>
      <c r="DH768" s="2" t="n">
        <v>0</v>
      </c>
      <c r="DI768" s="2" t="n">
        <v>0</v>
      </c>
      <c r="DJ768" s="2" t="n">
        <v>0</v>
      </c>
      <c r="DK768" s="2" t="n">
        <v>2.27</v>
      </c>
      <c r="DL768" s="2" t="n">
        <v>0</v>
      </c>
      <c r="DM768" s="2" t="n">
        <v>47.73</v>
      </c>
      <c r="DN768" s="2" t="n">
        <v>50</v>
      </c>
      <c r="DO768" s="2" t="n">
        <v>0</v>
      </c>
      <c r="DP768" s="2" t="n">
        <v>95.45</v>
      </c>
      <c r="DQ768" s="2" t="n">
        <v>97.73</v>
      </c>
      <c r="DR768" s="2" t="n">
        <v>0</v>
      </c>
      <c r="DS768" s="2" t="n">
        <v>100</v>
      </c>
      <c r="DT768" s="2" t="n">
        <v>100</v>
      </c>
      <c r="DU768" s="2" t="n">
        <v>0</v>
      </c>
      <c r="DV768" s="2" t="n">
        <v>100</v>
      </c>
      <c r="DW768" s="2" t="n">
        <v>100</v>
      </c>
      <c r="DX768" s="2" t="n">
        <v>0</v>
      </c>
      <c r="DY768" s="2" t="n">
        <v>100</v>
      </c>
      <c r="DZ768" s="2" t="n">
        <v>100</v>
      </c>
      <c r="EA768" s="2" t="n">
        <v>0</v>
      </c>
      <c r="EB768" s="2" t="n">
        <v>100</v>
      </c>
      <c r="EC768" s="2" t="n">
        <v>100</v>
      </c>
      <c r="ED768" s="2" t="n">
        <v>0</v>
      </c>
      <c r="EE768" s="2" t="n">
        <v>100</v>
      </c>
      <c r="EF768" s="2" t="n">
        <v>100</v>
      </c>
      <c r="EG768" s="2" t="n">
        <v>0</v>
      </c>
      <c r="EH768" s="2" t="n">
        <v>100</v>
      </c>
      <c r="EI768" s="2" t="n">
        <v>100</v>
      </c>
      <c r="EJ768" s="2" t="n">
        <v>0</v>
      </c>
      <c r="EK768" s="2" t="n">
        <v>100</v>
      </c>
      <c r="EL768" s="2" t="n">
        <v>100</v>
      </c>
      <c r="EM768" s="2" t="n">
        <v>0</v>
      </c>
      <c r="EN768" s="2" t="n">
        <v>100</v>
      </c>
      <c r="EO768" s="2" t="n">
        <v>100</v>
      </c>
      <c r="EP768" s="2" t="n">
        <v>0</v>
      </c>
      <c r="EQ768" s="2" t="n">
        <v>100</v>
      </c>
      <c r="ER768" s="2" t="n">
        <v>100</v>
      </c>
      <c r="ES768" s="2" t="n">
        <v>0</v>
      </c>
    </row>
    <row r="769">
      <c r="A769" s="2" t="n">
        <v>3</v>
      </c>
      <c r="B769" s="2" t="inlineStr">
        <is>
          <t>30.07.02</t>
        </is>
      </c>
      <c r="C769" s="2" t="inlineStr">
        <is>
          <t>Revestimentos cerâmicos</t>
        </is>
      </c>
      <c r="D769" s="2" t="inlineStr">
        <is>
          <t>31/05/2028</t>
        </is>
      </c>
      <c r="E769" s="2" t="inlineStr">
        <is>
          <t>01/08/2028</t>
        </is>
      </c>
      <c r="F769" s="2" t="n">
        <v>52689.62107192698</v>
      </c>
      <c r="G769" s="2" t="n">
        <v>0</v>
      </c>
      <c r="H769" s="2" t="n">
        <v>52689.62107192698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n">
        <v>0</v>
      </c>
      <c r="AK769" s="2" t="n">
        <v>0</v>
      </c>
      <c r="AL769" s="2" t="n">
        <v>0</v>
      </c>
      <c r="AM769" s="2" t="n">
        <v>0</v>
      </c>
      <c r="AN769" s="2" t="n">
        <v>0</v>
      </c>
      <c r="AO769" s="2" t="n">
        <v>0</v>
      </c>
      <c r="AP769" s="2" t="n">
        <v>0</v>
      </c>
      <c r="AQ769" s="2" t="n">
        <v>0</v>
      </c>
      <c r="AR769" s="2" t="n">
        <v>0</v>
      </c>
      <c r="AS769" s="2" t="n">
        <v>0</v>
      </c>
      <c r="AT769" s="2" t="n">
        <v>0</v>
      </c>
      <c r="AU769" s="2" t="n">
        <v>0</v>
      </c>
      <c r="AV769" s="2" t="n">
        <v>0</v>
      </c>
      <c r="AW769" s="2" t="n">
        <v>0</v>
      </c>
      <c r="AX769" s="2" t="n">
        <v>0</v>
      </c>
      <c r="AY769" s="2" t="n">
        <v>0</v>
      </c>
      <c r="AZ769" s="2" t="n">
        <v>0</v>
      </c>
      <c r="BA769" s="2" t="n">
        <v>0</v>
      </c>
      <c r="BB769" s="2" t="n">
        <v>0</v>
      </c>
      <c r="BC769" s="2" t="n">
        <v>0</v>
      </c>
      <c r="BD769" s="2" t="n">
        <v>0</v>
      </c>
      <c r="BE769" s="2" t="n">
        <v>0</v>
      </c>
      <c r="BF769" s="2" t="n">
        <v>0</v>
      </c>
      <c r="BG769" s="2" t="n">
        <v>0</v>
      </c>
      <c r="BH769" s="2" t="n">
        <v>0</v>
      </c>
      <c r="BI769" s="2" t="n">
        <v>0</v>
      </c>
      <c r="BJ769" s="2" t="n">
        <v>0</v>
      </c>
      <c r="BK769" s="2" t="n">
        <v>0</v>
      </c>
      <c r="BL769" s="2" t="n">
        <v>0</v>
      </c>
      <c r="BM769" s="2" t="n">
        <v>0</v>
      </c>
      <c r="BN769" s="2" t="n">
        <v>0</v>
      </c>
      <c r="BO769" s="2" t="n">
        <v>0</v>
      </c>
      <c r="BP769" s="2" t="n">
        <v>0</v>
      </c>
      <c r="BQ769" s="2" t="n">
        <v>0</v>
      </c>
      <c r="BR769" s="2" t="n">
        <v>0</v>
      </c>
      <c r="BS769" s="2" t="n">
        <v>0</v>
      </c>
      <c r="BT769" s="2" t="n">
        <v>0</v>
      </c>
      <c r="BU769" s="2" t="n">
        <v>0</v>
      </c>
      <c r="BV769" s="2" t="n">
        <v>0</v>
      </c>
      <c r="BW769" s="2" t="n">
        <v>0</v>
      </c>
      <c r="BX769" s="2" t="n">
        <v>0</v>
      </c>
      <c r="BY769" s="2" t="n">
        <v>0</v>
      </c>
      <c r="BZ769" s="2" t="n">
        <v>0</v>
      </c>
      <c r="CA769" s="2" t="n">
        <v>0</v>
      </c>
      <c r="CB769" s="2" t="n">
        <v>0</v>
      </c>
      <c r="CC769" s="2" t="n">
        <v>0</v>
      </c>
      <c r="CD769" s="2" t="n">
        <v>0</v>
      </c>
      <c r="CE769" s="2" t="n">
        <v>0</v>
      </c>
      <c r="CF769" s="2" t="n">
        <v>0</v>
      </c>
      <c r="CG769" s="2" t="n">
        <v>0</v>
      </c>
      <c r="CH769" s="2" t="n">
        <v>0</v>
      </c>
      <c r="CI769" s="2" t="n">
        <v>0</v>
      </c>
      <c r="CJ769" s="2" t="n">
        <v>0</v>
      </c>
      <c r="CK769" s="2" t="n">
        <v>0</v>
      </c>
      <c r="CL769" s="2" t="n">
        <v>0</v>
      </c>
      <c r="CM769" s="2" t="n">
        <v>0</v>
      </c>
      <c r="CN769" s="2" t="n">
        <v>0</v>
      </c>
      <c r="CO769" s="2" t="n">
        <v>0</v>
      </c>
      <c r="CP769" s="2" t="n">
        <v>0</v>
      </c>
      <c r="CQ769" s="2" t="n">
        <v>0</v>
      </c>
      <c r="CR769" s="2" t="n">
        <v>0</v>
      </c>
      <c r="CS769" s="2" t="n">
        <v>0</v>
      </c>
      <c r="CT769" s="2" t="n">
        <v>0</v>
      </c>
      <c r="CU769" s="2" t="n">
        <v>0</v>
      </c>
      <c r="CV769" s="2" t="n">
        <v>0</v>
      </c>
      <c r="CW769" s="2" t="n">
        <v>0</v>
      </c>
      <c r="CX769" s="2" t="n">
        <v>0</v>
      </c>
      <c r="CY769" s="2" t="n">
        <v>0</v>
      </c>
      <c r="CZ769" s="2" t="n">
        <v>0</v>
      </c>
      <c r="DA769" s="2" t="n">
        <v>0</v>
      </c>
      <c r="DB769" s="2" t="n">
        <v>0</v>
      </c>
      <c r="DC769" s="2" t="n">
        <v>0</v>
      </c>
      <c r="DD769" s="2" t="n">
        <v>0</v>
      </c>
      <c r="DE769" s="2" t="n">
        <v>0</v>
      </c>
      <c r="DF769" s="2" t="n">
        <v>0</v>
      </c>
      <c r="DG769" s="2" t="n">
        <v>0</v>
      </c>
      <c r="DH769" s="2" t="n">
        <v>0</v>
      </c>
      <c r="DI769" s="2" t="n">
        <v>0</v>
      </c>
      <c r="DJ769" s="2" t="n">
        <v>0</v>
      </c>
      <c r="DK769" s="2" t="n">
        <v>2.27</v>
      </c>
      <c r="DL769" s="2" t="n">
        <v>0</v>
      </c>
      <c r="DM769" s="2" t="n">
        <v>47.73</v>
      </c>
      <c r="DN769" s="2" t="n">
        <v>50</v>
      </c>
      <c r="DO769" s="2" t="n">
        <v>0</v>
      </c>
      <c r="DP769" s="2" t="n">
        <v>95.45</v>
      </c>
      <c r="DQ769" s="2" t="n">
        <v>97.73</v>
      </c>
      <c r="DR769" s="2" t="n">
        <v>0</v>
      </c>
      <c r="DS769" s="2" t="n">
        <v>100</v>
      </c>
      <c r="DT769" s="2" t="n">
        <v>100</v>
      </c>
      <c r="DU769" s="2" t="n">
        <v>0</v>
      </c>
      <c r="DV769" s="2" t="n">
        <v>100</v>
      </c>
      <c r="DW769" s="2" t="n">
        <v>100</v>
      </c>
      <c r="DX769" s="2" t="n">
        <v>0</v>
      </c>
      <c r="DY769" s="2" t="n">
        <v>100</v>
      </c>
      <c r="DZ769" s="2" t="n">
        <v>100</v>
      </c>
      <c r="EA769" s="2" t="n">
        <v>0</v>
      </c>
      <c r="EB769" s="2" t="n">
        <v>100</v>
      </c>
      <c r="EC769" s="2" t="n">
        <v>100</v>
      </c>
      <c r="ED769" s="2" t="n">
        <v>0</v>
      </c>
      <c r="EE769" s="2" t="n">
        <v>100</v>
      </c>
      <c r="EF769" s="2" t="n">
        <v>100</v>
      </c>
      <c r="EG769" s="2" t="n">
        <v>0</v>
      </c>
      <c r="EH769" s="2" t="n">
        <v>100</v>
      </c>
      <c r="EI769" s="2" t="n">
        <v>100</v>
      </c>
      <c r="EJ769" s="2" t="n">
        <v>0</v>
      </c>
      <c r="EK769" s="2" t="n">
        <v>100</v>
      </c>
      <c r="EL769" s="2" t="n">
        <v>100</v>
      </c>
      <c r="EM769" s="2" t="n">
        <v>0</v>
      </c>
      <c r="EN769" s="2" t="n">
        <v>100</v>
      </c>
      <c r="EO769" s="2" t="n">
        <v>100</v>
      </c>
      <c r="EP769" s="2" t="n">
        <v>0</v>
      </c>
      <c r="EQ769" s="2" t="n">
        <v>100</v>
      </c>
      <c r="ER769" s="2" t="n">
        <v>100</v>
      </c>
      <c r="ES769" s="2" t="n">
        <v>0</v>
      </c>
    </row>
    <row r="770">
      <c r="A770" s="2" t="n">
        <v>4</v>
      </c>
      <c r="B770" s="2" t="inlineStr">
        <is>
          <t>30.07.02.01</t>
        </is>
      </c>
      <c r="C770" s="2" t="inlineStr">
        <is>
          <t>Revestimento 14,5x14,5cm, linha Barlavento Sea da Portobello,  assentado com argamassa colante em pó ACIII</t>
        </is>
      </c>
      <c r="D770" s="2" t="inlineStr">
        <is>
          <t>31/05/2028</t>
        </is>
      </c>
      <c r="E770" s="2" t="inlineStr">
        <is>
          <t>01/08/2028</t>
        </is>
      </c>
      <c r="F770" s="2" t="n">
        <v>52689.62107192698</v>
      </c>
      <c r="G770" s="2" t="n">
        <v>0</v>
      </c>
      <c r="H770" s="2" t="n">
        <v>52689.62107192698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0</v>
      </c>
      <c r="AM770" s="2" t="n">
        <v>0</v>
      </c>
      <c r="AN770" s="2" t="n">
        <v>0</v>
      </c>
      <c r="AO770" s="2" t="n">
        <v>0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0</v>
      </c>
      <c r="AX770" s="2" t="n">
        <v>0</v>
      </c>
      <c r="AY770" s="2" t="n">
        <v>0</v>
      </c>
      <c r="AZ770" s="2" t="n">
        <v>0</v>
      </c>
      <c r="BA770" s="2" t="n">
        <v>0</v>
      </c>
      <c r="BB770" s="2" t="n">
        <v>0</v>
      </c>
      <c r="BC770" s="2" t="n">
        <v>0</v>
      </c>
      <c r="BD770" s="2" t="n">
        <v>0</v>
      </c>
      <c r="BE770" s="2" t="n">
        <v>0</v>
      </c>
      <c r="BF770" s="2" t="n">
        <v>0</v>
      </c>
      <c r="BG770" s="2" t="n">
        <v>0</v>
      </c>
      <c r="BH770" s="2" t="n">
        <v>0</v>
      </c>
      <c r="BI770" s="2" t="n">
        <v>0</v>
      </c>
      <c r="BJ770" s="2" t="n">
        <v>0</v>
      </c>
      <c r="BK770" s="2" t="n">
        <v>0</v>
      </c>
      <c r="BL770" s="2" t="n">
        <v>0</v>
      </c>
      <c r="BM770" s="2" t="n">
        <v>0</v>
      </c>
      <c r="BN770" s="2" t="n">
        <v>0</v>
      </c>
      <c r="BO770" s="2" t="n">
        <v>0</v>
      </c>
      <c r="BP770" s="2" t="n">
        <v>0</v>
      </c>
      <c r="BQ770" s="2" t="n">
        <v>0</v>
      </c>
      <c r="BR770" s="2" t="n">
        <v>0</v>
      </c>
      <c r="BS770" s="2" t="n">
        <v>0</v>
      </c>
      <c r="BT770" s="2" t="n">
        <v>0</v>
      </c>
      <c r="BU770" s="2" t="n">
        <v>0</v>
      </c>
      <c r="BV770" s="2" t="n">
        <v>0</v>
      </c>
      <c r="BW770" s="2" t="n">
        <v>0</v>
      </c>
      <c r="BX770" s="2" t="n">
        <v>0</v>
      </c>
      <c r="BY770" s="2" t="n">
        <v>0</v>
      </c>
      <c r="BZ770" s="2" t="n">
        <v>0</v>
      </c>
      <c r="CA770" s="2" t="n">
        <v>0</v>
      </c>
      <c r="CB770" s="2" t="n">
        <v>0</v>
      </c>
      <c r="CC770" s="2" t="n">
        <v>0</v>
      </c>
      <c r="CD770" s="2" t="n">
        <v>0</v>
      </c>
      <c r="CE770" s="2" t="n">
        <v>0</v>
      </c>
      <c r="CF770" s="2" t="n">
        <v>0</v>
      </c>
      <c r="CG770" s="2" t="n">
        <v>0</v>
      </c>
      <c r="CH770" s="2" t="n">
        <v>0</v>
      </c>
      <c r="CI770" s="2" t="n">
        <v>0</v>
      </c>
      <c r="CJ770" s="2" t="n">
        <v>0</v>
      </c>
      <c r="CK770" s="2" t="n">
        <v>0</v>
      </c>
      <c r="CL770" s="2" t="n">
        <v>0</v>
      </c>
      <c r="CM770" s="2" t="n">
        <v>0</v>
      </c>
      <c r="CN770" s="2" t="n">
        <v>0</v>
      </c>
      <c r="CO770" s="2" t="n">
        <v>0</v>
      </c>
      <c r="CP770" s="2" t="n">
        <v>0</v>
      </c>
      <c r="CQ770" s="2" t="n">
        <v>0</v>
      </c>
      <c r="CR770" s="2" t="n">
        <v>0</v>
      </c>
      <c r="CS770" s="2" t="n">
        <v>0</v>
      </c>
      <c r="CT770" s="2" t="n">
        <v>0</v>
      </c>
      <c r="CU770" s="2" t="n">
        <v>0</v>
      </c>
      <c r="CV770" s="2" t="n">
        <v>0</v>
      </c>
      <c r="CW770" s="2" t="n">
        <v>0</v>
      </c>
      <c r="CX770" s="2" t="n">
        <v>0</v>
      </c>
      <c r="CY770" s="2" t="n">
        <v>0</v>
      </c>
      <c r="CZ770" s="2" t="n">
        <v>0</v>
      </c>
      <c r="DA770" s="2" t="n">
        <v>0</v>
      </c>
      <c r="DB770" s="2" t="n">
        <v>0</v>
      </c>
      <c r="DC770" s="2" t="n">
        <v>0</v>
      </c>
      <c r="DD770" s="2" t="n">
        <v>0</v>
      </c>
      <c r="DE770" s="2" t="n">
        <v>0</v>
      </c>
      <c r="DF770" s="2" t="n">
        <v>0</v>
      </c>
      <c r="DG770" s="2" t="n">
        <v>0</v>
      </c>
      <c r="DH770" s="2" t="n">
        <v>0</v>
      </c>
      <c r="DI770" s="2" t="n">
        <v>0</v>
      </c>
      <c r="DJ770" s="2" t="n">
        <v>0</v>
      </c>
      <c r="DK770" s="2" t="n">
        <v>2.27</v>
      </c>
      <c r="DL770" s="2" t="n">
        <v>0</v>
      </c>
      <c r="DM770" s="2" t="n">
        <v>47.73</v>
      </c>
      <c r="DN770" s="2" t="n">
        <v>50</v>
      </c>
      <c r="DO770" s="2" t="n">
        <v>0</v>
      </c>
      <c r="DP770" s="2" t="n">
        <v>95.45</v>
      </c>
      <c r="DQ770" s="2" t="n">
        <v>97.73</v>
      </c>
      <c r="DR770" s="2" t="n">
        <v>0</v>
      </c>
      <c r="DS770" s="2" t="n">
        <v>100</v>
      </c>
      <c r="DT770" s="2" t="n">
        <v>100</v>
      </c>
      <c r="DU770" s="2" t="n">
        <v>0</v>
      </c>
      <c r="DV770" s="2" t="n">
        <v>100</v>
      </c>
      <c r="DW770" s="2" t="n">
        <v>100</v>
      </c>
      <c r="DX770" s="2" t="n">
        <v>0</v>
      </c>
      <c r="DY770" s="2" t="n">
        <v>100</v>
      </c>
      <c r="DZ770" s="2" t="n">
        <v>100</v>
      </c>
      <c r="EA770" s="2" t="n">
        <v>0</v>
      </c>
      <c r="EB770" s="2" t="n">
        <v>100</v>
      </c>
      <c r="EC770" s="2" t="n">
        <v>100</v>
      </c>
      <c r="ED770" s="2" t="n">
        <v>0</v>
      </c>
      <c r="EE770" s="2" t="n">
        <v>100</v>
      </c>
      <c r="EF770" s="2" t="n">
        <v>100</v>
      </c>
      <c r="EG770" s="2" t="n">
        <v>0</v>
      </c>
      <c r="EH770" s="2" t="n">
        <v>100</v>
      </c>
      <c r="EI770" s="2" t="n">
        <v>100</v>
      </c>
      <c r="EJ770" s="2" t="n">
        <v>0</v>
      </c>
      <c r="EK770" s="2" t="n">
        <v>100</v>
      </c>
      <c r="EL770" s="2" t="n">
        <v>100</v>
      </c>
      <c r="EM770" s="2" t="n">
        <v>0</v>
      </c>
      <c r="EN770" s="2" t="n">
        <v>100</v>
      </c>
      <c r="EO770" s="2" t="n">
        <v>100</v>
      </c>
      <c r="EP770" s="2" t="n">
        <v>0</v>
      </c>
      <c r="EQ770" s="2" t="n">
        <v>100</v>
      </c>
      <c r="ER770" s="2" t="n">
        <v>100</v>
      </c>
      <c r="ES770" s="2" t="n">
        <v>0</v>
      </c>
    </row>
    <row r="771">
      <c r="A771" s="2" t="n">
        <v>3</v>
      </c>
      <c r="B771" s="2" t="inlineStr">
        <is>
          <t>30.07.03</t>
        </is>
      </c>
      <c r="C771" s="2" t="inlineStr">
        <is>
          <t>Caixilharia especial</t>
        </is>
      </c>
      <c r="D771" s="2" t="inlineStr">
        <is>
          <t>31/05/2028</t>
        </is>
      </c>
      <c r="E771" s="2" t="inlineStr">
        <is>
          <t>01/08/2028</t>
        </is>
      </c>
      <c r="F771" s="2" t="n">
        <v>47580</v>
      </c>
      <c r="G771" s="2" t="n">
        <v>0</v>
      </c>
      <c r="H771" s="2" t="n">
        <v>47580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n">
        <v>0</v>
      </c>
      <c r="AK771" s="2" t="n">
        <v>0</v>
      </c>
      <c r="AL771" s="2" t="n">
        <v>0</v>
      </c>
      <c r="AM771" s="2" t="n">
        <v>0</v>
      </c>
      <c r="AN771" s="2" t="n">
        <v>0</v>
      </c>
      <c r="AO771" s="2" t="n">
        <v>0</v>
      </c>
      <c r="AP771" s="2" t="n">
        <v>0</v>
      </c>
      <c r="AQ771" s="2" t="n">
        <v>0</v>
      </c>
      <c r="AR771" s="2" t="n">
        <v>0</v>
      </c>
      <c r="AS771" s="2" t="n">
        <v>0</v>
      </c>
      <c r="AT771" s="2" t="n">
        <v>0</v>
      </c>
      <c r="AU771" s="2" t="n">
        <v>0</v>
      </c>
      <c r="AV771" s="2" t="n">
        <v>0</v>
      </c>
      <c r="AW771" s="2" t="n">
        <v>0</v>
      </c>
      <c r="AX771" s="2" t="n">
        <v>0</v>
      </c>
      <c r="AY771" s="2" t="n">
        <v>0</v>
      </c>
      <c r="AZ771" s="2" t="n">
        <v>0</v>
      </c>
      <c r="BA771" s="2" t="n">
        <v>0</v>
      </c>
      <c r="BB771" s="2" t="n">
        <v>0</v>
      </c>
      <c r="BC771" s="2" t="n">
        <v>0</v>
      </c>
      <c r="BD771" s="2" t="n">
        <v>0</v>
      </c>
      <c r="BE771" s="2" t="n">
        <v>0</v>
      </c>
      <c r="BF771" s="2" t="n">
        <v>0</v>
      </c>
      <c r="BG771" s="2" t="n">
        <v>0</v>
      </c>
      <c r="BH771" s="2" t="n">
        <v>0</v>
      </c>
      <c r="BI771" s="2" t="n">
        <v>0</v>
      </c>
      <c r="BJ771" s="2" t="n">
        <v>0</v>
      </c>
      <c r="BK771" s="2" t="n">
        <v>0</v>
      </c>
      <c r="BL771" s="2" t="n">
        <v>0</v>
      </c>
      <c r="BM771" s="2" t="n">
        <v>0</v>
      </c>
      <c r="BN771" s="2" t="n">
        <v>0</v>
      </c>
      <c r="BO771" s="2" t="n">
        <v>0</v>
      </c>
      <c r="BP771" s="2" t="n">
        <v>0</v>
      </c>
      <c r="BQ771" s="2" t="n">
        <v>0</v>
      </c>
      <c r="BR771" s="2" t="n">
        <v>0</v>
      </c>
      <c r="BS771" s="2" t="n">
        <v>0</v>
      </c>
      <c r="BT771" s="2" t="n">
        <v>0</v>
      </c>
      <c r="BU771" s="2" t="n">
        <v>0</v>
      </c>
      <c r="BV771" s="2" t="n">
        <v>0</v>
      </c>
      <c r="BW771" s="2" t="n">
        <v>0</v>
      </c>
      <c r="BX771" s="2" t="n">
        <v>0</v>
      </c>
      <c r="BY771" s="2" t="n">
        <v>0</v>
      </c>
      <c r="BZ771" s="2" t="n">
        <v>0</v>
      </c>
      <c r="CA771" s="2" t="n">
        <v>0</v>
      </c>
      <c r="CB771" s="2" t="n">
        <v>0</v>
      </c>
      <c r="CC771" s="2" t="n">
        <v>0</v>
      </c>
      <c r="CD771" s="2" t="n">
        <v>0</v>
      </c>
      <c r="CE771" s="2" t="n">
        <v>0</v>
      </c>
      <c r="CF771" s="2" t="n">
        <v>0</v>
      </c>
      <c r="CG771" s="2" t="n">
        <v>0</v>
      </c>
      <c r="CH771" s="2" t="n">
        <v>0</v>
      </c>
      <c r="CI771" s="2" t="n">
        <v>0</v>
      </c>
      <c r="CJ771" s="2" t="n">
        <v>0</v>
      </c>
      <c r="CK771" s="2" t="n">
        <v>0</v>
      </c>
      <c r="CL771" s="2" t="n">
        <v>0</v>
      </c>
      <c r="CM771" s="2" t="n">
        <v>0</v>
      </c>
      <c r="CN771" s="2" t="n">
        <v>0</v>
      </c>
      <c r="CO771" s="2" t="n">
        <v>0</v>
      </c>
      <c r="CP771" s="2" t="n">
        <v>0</v>
      </c>
      <c r="CQ771" s="2" t="n">
        <v>0</v>
      </c>
      <c r="CR771" s="2" t="n">
        <v>0</v>
      </c>
      <c r="CS771" s="2" t="n">
        <v>0</v>
      </c>
      <c r="CT771" s="2" t="n">
        <v>0</v>
      </c>
      <c r="CU771" s="2" t="n">
        <v>0</v>
      </c>
      <c r="CV771" s="2" t="n">
        <v>0</v>
      </c>
      <c r="CW771" s="2" t="n">
        <v>0</v>
      </c>
      <c r="CX771" s="2" t="n">
        <v>0</v>
      </c>
      <c r="CY771" s="2" t="n">
        <v>0</v>
      </c>
      <c r="CZ771" s="2" t="n">
        <v>0</v>
      </c>
      <c r="DA771" s="2" t="n">
        <v>0</v>
      </c>
      <c r="DB771" s="2" t="n">
        <v>0</v>
      </c>
      <c r="DC771" s="2" t="n">
        <v>0</v>
      </c>
      <c r="DD771" s="2" t="n">
        <v>0</v>
      </c>
      <c r="DE771" s="2" t="n">
        <v>0</v>
      </c>
      <c r="DF771" s="2" t="n">
        <v>0</v>
      </c>
      <c r="DG771" s="2" t="n">
        <v>0</v>
      </c>
      <c r="DH771" s="2" t="n">
        <v>0</v>
      </c>
      <c r="DI771" s="2" t="n">
        <v>0</v>
      </c>
      <c r="DJ771" s="2" t="n">
        <v>0</v>
      </c>
      <c r="DK771" s="2" t="n">
        <v>2.27</v>
      </c>
      <c r="DL771" s="2" t="n">
        <v>0</v>
      </c>
      <c r="DM771" s="2" t="n">
        <v>47.73</v>
      </c>
      <c r="DN771" s="2" t="n">
        <v>50</v>
      </c>
      <c r="DO771" s="2" t="n">
        <v>0</v>
      </c>
      <c r="DP771" s="2" t="n">
        <v>95.45</v>
      </c>
      <c r="DQ771" s="2" t="n">
        <v>97.73</v>
      </c>
      <c r="DR771" s="2" t="n">
        <v>0</v>
      </c>
      <c r="DS771" s="2" t="n">
        <v>100</v>
      </c>
      <c r="DT771" s="2" t="n">
        <v>100</v>
      </c>
      <c r="DU771" s="2" t="n">
        <v>0</v>
      </c>
      <c r="DV771" s="2" t="n">
        <v>100</v>
      </c>
      <c r="DW771" s="2" t="n">
        <v>100</v>
      </c>
      <c r="DX771" s="2" t="n">
        <v>0</v>
      </c>
      <c r="DY771" s="2" t="n">
        <v>100</v>
      </c>
      <c r="DZ771" s="2" t="n">
        <v>100</v>
      </c>
      <c r="EA771" s="2" t="n">
        <v>0</v>
      </c>
      <c r="EB771" s="2" t="n">
        <v>100</v>
      </c>
      <c r="EC771" s="2" t="n">
        <v>100</v>
      </c>
      <c r="ED771" s="2" t="n">
        <v>0</v>
      </c>
      <c r="EE771" s="2" t="n">
        <v>100</v>
      </c>
      <c r="EF771" s="2" t="n">
        <v>100</v>
      </c>
      <c r="EG771" s="2" t="n">
        <v>0</v>
      </c>
      <c r="EH771" s="2" t="n">
        <v>100</v>
      </c>
      <c r="EI771" s="2" t="n">
        <v>100</v>
      </c>
      <c r="EJ771" s="2" t="n">
        <v>0</v>
      </c>
      <c r="EK771" s="2" t="n">
        <v>100</v>
      </c>
      <c r="EL771" s="2" t="n">
        <v>100</v>
      </c>
      <c r="EM771" s="2" t="n">
        <v>0</v>
      </c>
      <c r="EN771" s="2" t="n">
        <v>100</v>
      </c>
      <c r="EO771" s="2" t="n">
        <v>100</v>
      </c>
      <c r="EP771" s="2" t="n">
        <v>0</v>
      </c>
      <c r="EQ771" s="2" t="n">
        <v>100</v>
      </c>
      <c r="ER771" s="2" t="n">
        <v>100</v>
      </c>
      <c r="ES771" s="2" t="n">
        <v>0</v>
      </c>
    </row>
    <row r="772">
      <c r="A772" s="2" t="n">
        <v>4</v>
      </c>
      <c r="B772" s="2" t="inlineStr">
        <is>
          <t>30.07.03.01</t>
        </is>
      </c>
      <c r="C772" s="2" t="inlineStr">
        <is>
          <t>Pilares revestidos em ACM, tonalidade próxima dos perfis das esquadrias, ref.: alumínio anodizado cor Bronze 104</t>
        </is>
      </c>
      <c r="D772" s="2" t="inlineStr">
        <is>
          <t>31/05/2028</t>
        </is>
      </c>
      <c r="E772" s="2" t="inlineStr">
        <is>
          <t>01/08/2028</t>
        </is>
      </c>
      <c r="F772" s="2" t="n">
        <v>47580</v>
      </c>
      <c r="G772" s="2" t="n">
        <v>0</v>
      </c>
      <c r="H772" s="2" t="n">
        <v>47580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0</v>
      </c>
      <c r="AL772" s="2" t="n">
        <v>0</v>
      </c>
      <c r="AM772" s="2" t="n">
        <v>0</v>
      </c>
      <c r="AN772" s="2" t="n">
        <v>0</v>
      </c>
      <c r="AO772" s="2" t="n">
        <v>0</v>
      </c>
      <c r="AP772" s="2" t="n">
        <v>0</v>
      </c>
      <c r="AQ772" s="2" t="n">
        <v>0</v>
      </c>
      <c r="AR772" s="2" t="n">
        <v>0</v>
      </c>
      <c r="AS772" s="2" t="n">
        <v>0</v>
      </c>
      <c r="AT772" s="2" t="n">
        <v>0</v>
      </c>
      <c r="AU772" s="2" t="n">
        <v>0</v>
      </c>
      <c r="AV772" s="2" t="n">
        <v>0</v>
      </c>
      <c r="AW772" s="2" t="n">
        <v>0</v>
      </c>
      <c r="AX772" s="2" t="n">
        <v>0</v>
      </c>
      <c r="AY772" s="2" t="n">
        <v>0</v>
      </c>
      <c r="AZ772" s="2" t="n">
        <v>0</v>
      </c>
      <c r="BA772" s="2" t="n">
        <v>0</v>
      </c>
      <c r="BB772" s="2" t="n">
        <v>0</v>
      </c>
      <c r="BC772" s="2" t="n">
        <v>0</v>
      </c>
      <c r="BD772" s="2" t="n">
        <v>0</v>
      </c>
      <c r="BE772" s="2" t="n">
        <v>0</v>
      </c>
      <c r="BF772" s="2" t="n">
        <v>0</v>
      </c>
      <c r="BG772" s="2" t="n">
        <v>0</v>
      </c>
      <c r="BH772" s="2" t="n">
        <v>0</v>
      </c>
      <c r="BI772" s="2" t="n">
        <v>0</v>
      </c>
      <c r="BJ772" s="2" t="n">
        <v>0</v>
      </c>
      <c r="BK772" s="2" t="n">
        <v>0</v>
      </c>
      <c r="BL772" s="2" t="n">
        <v>0</v>
      </c>
      <c r="BM772" s="2" t="n">
        <v>0</v>
      </c>
      <c r="BN772" s="2" t="n">
        <v>0</v>
      </c>
      <c r="BO772" s="2" t="n">
        <v>0</v>
      </c>
      <c r="BP772" s="2" t="n">
        <v>0</v>
      </c>
      <c r="BQ772" s="2" t="n">
        <v>0</v>
      </c>
      <c r="BR772" s="2" t="n">
        <v>0</v>
      </c>
      <c r="BS772" s="2" t="n">
        <v>0</v>
      </c>
      <c r="BT772" s="2" t="n">
        <v>0</v>
      </c>
      <c r="BU772" s="2" t="n">
        <v>0</v>
      </c>
      <c r="BV772" s="2" t="n">
        <v>0</v>
      </c>
      <c r="BW772" s="2" t="n">
        <v>0</v>
      </c>
      <c r="BX772" s="2" t="n">
        <v>0</v>
      </c>
      <c r="BY772" s="2" t="n">
        <v>0</v>
      </c>
      <c r="BZ772" s="2" t="n">
        <v>0</v>
      </c>
      <c r="CA772" s="2" t="n">
        <v>0</v>
      </c>
      <c r="CB772" s="2" t="n">
        <v>0</v>
      </c>
      <c r="CC772" s="2" t="n">
        <v>0</v>
      </c>
      <c r="CD772" s="2" t="n">
        <v>0</v>
      </c>
      <c r="CE772" s="2" t="n">
        <v>0</v>
      </c>
      <c r="CF772" s="2" t="n">
        <v>0</v>
      </c>
      <c r="CG772" s="2" t="n">
        <v>0</v>
      </c>
      <c r="CH772" s="2" t="n">
        <v>0</v>
      </c>
      <c r="CI772" s="2" t="n">
        <v>0</v>
      </c>
      <c r="CJ772" s="2" t="n">
        <v>0</v>
      </c>
      <c r="CK772" s="2" t="n">
        <v>0</v>
      </c>
      <c r="CL772" s="2" t="n">
        <v>0</v>
      </c>
      <c r="CM772" s="2" t="n">
        <v>0</v>
      </c>
      <c r="CN772" s="2" t="n">
        <v>0</v>
      </c>
      <c r="CO772" s="2" t="n">
        <v>0</v>
      </c>
      <c r="CP772" s="2" t="n">
        <v>0</v>
      </c>
      <c r="CQ772" s="2" t="n">
        <v>0</v>
      </c>
      <c r="CR772" s="2" t="n">
        <v>0</v>
      </c>
      <c r="CS772" s="2" t="n">
        <v>0</v>
      </c>
      <c r="CT772" s="2" t="n">
        <v>0</v>
      </c>
      <c r="CU772" s="2" t="n">
        <v>0</v>
      </c>
      <c r="CV772" s="2" t="n">
        <v>0</v>
      </c>
      <c r="CW772" s="2" t="n">
        <v>0</v>
      </c>
      <c r="CX772" s="2" t="n">
        <v>0</v>
      </c>
      <c r="CY772" s="2" t="n">
        <v>0</v>
      </c>
      <c r="CZ772" s="2" t="n">
        <v>0</v>
      </c>
      <c r="DA772" s="2" t="n">
        <v>0</v>
      </c>
      <c r="DB772" s="2" t="n">
        <v>0</v>
      </c>
      <c r="DC772" s="2" t="n">
        <v>0</v>
      </c>
      <c r="DD772" s="2" t="n">
        <v>0</v>
      </c>
      <c r="DE772" s="2" t="n">
        <v>0</v>
      </c>
      <c r="DF772" s="2" t="n">
        <v>0</v>
      </c>
      <c r="DG772" s="2" t="n">
        <v>0</v>
      </c>
      <c r="DH772" s="2" t="n">
        <v>0</v>
      </c>
      <c r="DI772" s="2" t="n">
        <v>0</v>
      </c>
      <c r="DJ772" s="2" t="n">
        <v>0</v>
      </c>
      <c r="DK772" s="2" t="n">
        <v>2.27</v>
      </c>
      <c r="DL772" s="2" t="n">
        <v>0</v>
      </c>
      <c r="DM772" s="2" t="n">
        <v>47.73</v>
      </c>
      <c r="DN772" s="2" t="n">
        <v>50</v>
      </c>
      <c r="DO772" s="2" t="n">
        <v>0</v>
      </c>
      <c r="DP772" s="2" t="n">
        <v>95.45</v>
      </c>
      <c r="DQ772" s="2" t="n">
        <v>97.73</v>
      </c>
      <c r="DR772" s="2" t="n">
        <v>0</v>
      </c>
      <c r="DS772" s="2" t="n">
        <v>100</v>
      </c>
      <c r="DT772" s="2" t="n">
        <v>100</v>
      </c>
      <c r="DU772" s="2" t="n">
        <v>0</v>
      </c>
      <c r="DV772" s="2" t="n">
        <v>100</v>
      </c>
      <c r="DW772" s="2" t="n">
        <v>100</v>
      </c>
      <c r="DX772" s="2" t="n">
        <v>0</v>
      </c>
      <c r="DY772" s="2" t="n">
        <v>100</v>
      </c>
      <c r="DZ772" s="2" t="n">
        <v>100</v>
      </c>
      <c r="EA772" s="2" t="n">
        <v>0</v>
      </c>
      <c r="EB772" s="2" t="n">
        <v>100</v>
      </c>
      <c r="EC772" s="2" t="n">
        <v>100</v>
      </c>
      <c r="ED772" s="2" t="n">
        <v>0</v>
      </c>
      <c r="EE772" s="2" t="n">
        <v>100</v>
      </c>
      <c r="EF772" s="2" t="n">
        <v>100</v>
      </c>
      <c r="EG772" s="2" t="n">
        <v>0</v>
      </c>
      <c r="EH772" s="2" t="n">
        <v>100</v>
      </c>
      <c r="EI772" s="2" t="n">
        <v>100</v>
      </c>
      <c r="EJ772" s="2" t="n">
        <v>0</v>
      </c>
      <c r="EK772" s="2" t="n">
        <v>100</v>
      </c>
      <c r="EL772" s="2" t="n">
        <v>100</v>
      </c>
      <c r="EM772" s="2" t="n">
        <v>0</v>
      </c>
      <c r="EN772" s="2" t="n">
        <v>100</v>
      </c>
      <c r="EO772" s="2" t="n">
        <v>100</v>
      </c>
      <c r="EP772" s="2" t="n">
        <v>0</v>
      </c>
      <c r="EQ772" s="2" t="n">
        <v>100</v>
      </c>
      <c r="ER772" s="2" t="n">
        <v>100</v>
      </c>
      <c r="ES772" s="2" t="n">
        <v>0</v>
      </c>
    </row>
    <row r="773">
      <c r="A773" s="2" t="n">
        <v>1</v>
      </c>
      <c r="B773" s="2" t="inlineStr">
        <is>
          <t>31</t>
        </is>
      </c>
      <c r="C773" s="2" t="inlineStr">
        <is>
          <t>PAVIMENTÇÃO</t>
        </is>
      </c>
      <c r="D773" s="2" t="inlineStr">
        <is>
          <t>30/11/2027</t>
        </is>
      </c>
      <c r="E773" s="2" t="inlineStr">
        <is>
          <t>09/03/2028</t>
        </is>
      </c>
      <c r="F773" s="2" t="n">
        <v>106895.66988437</v>
      </c>
      <c r="G773" s="2" t="n">
        <v>0</v>
      </c>
      <c r="H773" s="2" t="n">
        <v>106895.66988437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>
        <v>0</v>
      </c>
      <c r="AE773" s="2" t="n">
        <v>0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n">
        <v>0</v>
      </c>
      <c r="AK773" s="2" t="n">
        <v>0</v>
      </c>
      <c r="AL773" s="2" t="n">
        <v>0</v>
      </c>
      <c r="AM773" s="2" t="n">
        <v>0</v>
      </c>
      <c r="AN773" s="2" t="n">
        <v>0</v>
      </c>
      <c r="AO773" s="2" t="n">
        <v>0</v>
      </c>
      <c r="AP773" s="2" t="n">
        <v>0</v>
      </c>
      <c r="AQ773" s="2" t="n">
        <v>0</v>
      </c>
      <c r="AR773" s="2" t="n">
        <v>0</v>
      </c>
      <c r="AS773" s="2" t="n">
        <v>0</v>
      </c>
      <c r="AT773" s="2" t="n">
        <v>0</v>
      </c>
      <c r="AU773" s="2" t="n">
        <v>0</v>
      </c>
      <c r="AV773" s="2" t="n">
        <v>0</v>
      </c>
      <c r="AW773" s="2" t="n">
        <v>0</v>
      </c>
      <c r="AX773" s="2" t="n">
        <v>0</v>
      </c>
      <c r="AY773" s="2" t="n">
        <v>0</v>
      </c>
      <c r="AZ773" s="2" t="n">
        <v>0</v>
      </c>
      <c r="BA773" s="2" t="n">
        <v>0</v>
      </c>
      <c r="BB773" s="2" t="n">
        <v>0</v>
      </c>
      <c r="BC773" s="2" t="n">
        <v>0</v>
      </c>
      <c r="BD773" s="2" t="n">
        <v>0</v>
      </c>
      <c r="BE773" s="2" t="n">
        <v>0</v>
      </c>
      <c r="BF773" s="2" t="n">
        <v>0</v>
      </c>
      <c r="BG773" s="2" t="n">
        <v>0</v>
      </c>
      <c r="BH773" s="2" t="n">
        <v>0</v>
      </c>
      <c r="BI773" s="2" t="n">
        <v>0</v>
      </c>
      <c r="BJ773" s="2" t="n">
        <v>0</v>
      </c>
      <c r="BK773" s="2" t="n">
        <v>0</v>
      </c>
      <c r="BL773" s="2" t="n">
        <v>0</v>
      </c>
      <c r="BM773" s="2" t="n">
        <v>0</v>
      </c>
      <c r="BN773" s="2" t="n">
        <v>0</v>
      </c>
      <c r="BO773" s="2" t="n">
        <v>0</v>
      </c>
      <c r="BP773" s="2" t="n">
        <v>0</v>
      </c>
      <c r="BQ773" s="2" t="n">
        <v>0</v>
      </c>
      <c r="BR773" s="2" t="n">
        <v>0</v>
      </c>
      <c r="BS773" s="2" t="n">
        <v>0</v>
      </c>
      <c r="BT773" s="2" t="n">
        <v>0</v>
      </c>
      <c r="BU773" s="2" t="n">
        <v>0</v>
      </c>
      <c r="BV773" s="2" t="n">
        <v>0</v>
      </c>
      <c r="BW773" s="2" t="n">
        <v>0</v>
      </c>
      <c r="BX773" s="2" t="n">
        <v>0</v>
      </c>
      <c r="BY773" s="2" t="n">
        <v>0</v>
      </c>
      <c r="BZ773" s="2" t="n">
        <v>0</v>
      </c>
      <c r="CA773" s="2" t="n">
        <v>0</v>
      </c>
      <c r="CB773" s="2" t="n">
        <v>0</v>
      </c>
      <c r="CC773" s="2" t="n">
        <v>0</v>
      </c>
      <c r="CD773" s="2" t="n">
        <v>0</v>
      </c>
      <c r="CE773" s="2" t="n">
        <v>0</v>
      </c>
      <c r="CF773" s="2" t="n">
        <v>0</v>
      </c>
      <c r="CG773" s="2" t="n">
        <v>0</v>
      </c>
      <c r="CH773" s="2" t="n">
        <v>0</v>
      </c>
      <c r="CI773" s="2" t="n">
        <v>0</v>
      </c>
      <c r="CJ773" s="2" t="n">
        <v>0</v>
      </c>
      <c r="CK773" s="2" t="n">
        <v>0</v>
      </c>
      <c r="CL773" s="2" t="n">
        <v>0</v>
      </c>
      <c r="CM773" s="2" t="n">
        <v>0</v>
      </c>
      <c r="CN773" s="2" t="n">
        <v>0</v>
      </c>
      <c r="CO773" s="2" t="n">
        <v>0</v>
      </c>
      <c r="CP773" s="2" t="n">
        <v>0</v>
      </c>
      <c r="CQ773" s="2" t="n">
        <v>0</v>
      </c>
      <c r="CR773" s="2" t="n">
        <v>0</v>
      </c>
      <c r="CS773" s="2" t="n">
        <v>1.52</v>
      </c>
      <c r="CT773" s="2" t="n">
        <v>0</v>
      </c>
      <c r="CU773" s="2" t="n">
        <v>24.24</v>
      </c>
      <c r="CV773" s="2" t="n">
        <v>25.76</v>
      </c>
      <c r="CW773" s="2" t="n">
        <v>0</v>
      </c>
      <c r="CX773" s="2" t="n">
        <v>56.06</v>
      </c>
      <c r="CY773" s="2" t="n">
        <v>57.58</v>
      </c>
      <c r="CZ773" s="2" t="n">
        <v>0</v>
      </c>
      <c r="DA773" s="2" t="n">
        <v>87.88</v>
      </c>
      <c r="DB773" s="2" t="n">
        <v>89.39</v>
      </c>
      <c r="DC773" s="2" t="n">
        <v>0</v>
      </c>
      <c r="DD773" s="2" t="n">
        <v>100</v>
      </c>
      <c r="DE773" s="2" t="n">
        <v>100</v>
      </c>
      <c r="DF773" s="2" t="n">
        <v>0</v>
      </c>
      <c r="DG773" s="2" t="n">
        <v>100</v>
      </c>
      <c r="DH773" s="2" t="n">
        <v>100</v>
      </c>
      <c r="DI773" s="2" t="n">
        <v>0</v>
      </c>
      <c r="DJ773" s="2" t="n">
        <v>100</v>
      </c>
      <c r="DK773" s="2" t="n">
        <v>100</v>
      </c>
      <c r="DL773" s="2" t="n">
        <v>0</v>
      </c>
      <c r="DM773" s="2" t="n">
        <v>100</v>
      </c>
      <c r="DN773" s="2" t="n">
        <v>100</v>
      </c>
      <c r="DO773" s="2" t="n">
        <v>0</v>
      </c>
      <c r="DP773" s="2" t="n">
        <v>100</v>
      </c>
      <c r="DQ773" s="2" t="n">
        <v>100</v>
      </c>
      <c r="DR773" s="2" t="n">
        <v>0</v>
      </c>
      <c r="DS773" s="2" t="n">
        <v>100</v>
      </c>
      <c r="DT773" s="2" t="n">
        <v>100</v>
      </c>
      <c r="DU773" s="2" t="n">
        <v>0</v>
      </c>
      <c r="DV773" s="2" t="n">
        <v>100</v>
      </c>
      <c r="DW773" s="2" t="n">
        <v>100</v>
      </c>
      <c r="DX773" s="2" t="n">
        <v>0</v>
      </c>
      <c r="DY773" s="2" t="n">
        <v>100</v>
      </c>
      <c r="DZ773" s="2" t="n">
        <v>100</v>
      </c>
      <c r="EA773" s="2" t="n">
        <v>0</v>
      </c>
      <c r="EB773" s="2" t="n">
        <v>100</v>
      </c>
      <c r="EC773" s="2" t="n">
        <v>100</v>
      </c>
      <c r="ED773" s="2" t="n">
        <v>0</v>
      </c>
      <c r="EE773" s="2" t="n">
        <v>100</v>
      </c>
      <c r="EF773" s="2" t="n">
        <v>100</v>
      </c>
      <c r="EG773" s="2" t="n">
        <v>0</v>
      </c>
      <c r="EH773" s="2" t="n">
        <v>100</v>
      </c>
      <c r="EI773" s="2" t="n">
        <v>100</v>
      </c>
      <c r="EJ773" s="2" t="n">
        <v>0</v>
      </c>
      <c r="EK773" s="2" t="n">
        <v>100</v>
      </c>
      <c r="EL773" s="2" t="n">
        <v>100</v>
      </c>
      <c r="EM773" s="2" t="n">
        <v>0</v>
      </c>
      <c r="EN773" s="2" t="n">
        <v>100</v>
      </c>
      <c r="EO773" s="2" t="n">
        <v>100</v>
      </c>
      <c r="EP773" s="2" t="n">
        <v>0</v>
      </c>
      <c r="EQ773" s="2" t="n">
        <v>100</v>
      </c>
      <c r="ER773" s="2" t="n">
        <v>100</v>
      </c>
      <c r="ES773" s="2" t="n">
        <v>0</v>
      </c>
    </row>
    <row r="774">
      <c r="A774" s="2" t="n">
        <v>2</v>
      </c>
      <c r="B774" s="2" t="inlineStr">
        <is>
          <t>31.01</t>
        </is>
      </c>
      <c r="C774" s="2" t="inlineStr">
        <is>
          <t>Passeios</t>
        </is>
      </c>
      <c r="D774" s="2" t="inlineStr">
        <is>
          <t>30/11/2027</t>
        </is>
      </c>
      <c r="E774" s="2" t="inlineStr">
        <is>
          <t>09/03/2028</t>
        </is>
      </c>
      <c r="F774" s="2" t="n">
        <v>106895.66988437</v>
      </c>
      <c r="G774" s="2" t="n">
        <v>0</v>
      </c>
      <c r="H774" s="2" t="n">
        <v>106895.66988437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0</v>
      </c>
      <c r="AM774" s="2" t="n">
        <v>0</v>
      </c>
      <c r="AN774" s="2" t="n">
        <v>0</v>
      </c>
      <c r="AO774" s="2" t="n">
        <v>0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0</v>
      </c>
      <c r="AY774" s="2" t="n">
        <v>0</v>
      </c>
      <c r="AZ774" s="2" t="n">
        <v>0</v>
      </c>
      <c r="BA774" s="2" t="n">
        <v>0</v>
      </c>
      <c r="BB774" s="2" t="n">
        <v>0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n">
        <v>0</v>
      </c>
      <c r="BI774" s="2" t="n">
        <v>0</v>
      </c>
      <c r="BJ774" s="2" t="n">
        <v>0</v>
      </c>
      <c r="BK774" s="2" t="n">
        <v>0</v>
      </c>
      <c r="BL774" s="2" t="n">
        <v>0</v>
      </c>
      <c r="BM774" s="2" t="n">
        <v>0</v>
      </c>
      <c r="BN774" s="2" t="n">
        <v>0</v>
      </c>
      <c r="BO774" s="2" t="n">
        <v>0</v>
      </c>
      <c r="BP774" s="2" t="n">
        <v>0</v>
      </c>
      <c r="BQ774" s="2" t="n">
        <v>0</v>
      </c>
      <c r="BR774" s="2" t="n">
        <v>0</v>
      </c>
      <c r="BS774" s="2" t="n">
        <v>0</v>
      </c>
      <c r="BT774" s="2" t="n">
        <v>0</v>
      </c>
      <c r="BU774" s="2" t="n">
        <v>0</v>
      </c>
      <c r="BV774" s="2" t="n">
        <v>0</v>
      </c>
      <c r="BW774" s="2" t="n">
        <v>0</v>
      </c>
      <c r="BX774" s="2" t="n">
        <v>0</v>
      </c>
      <c r="BY774" s="2" t="n">
        <v>0</v>
      </c>
      <c r="BZ774" s="2" t="n">
        <v>0</v>
      </c>
      <c r="CA774" s="2" t="n">
        <v>0</v>
      </c>
      <c r="CB774" s="2" t="n">
        <v>0</v>
      </c>
      <c r="CC774" s="2" t="n">
        <v>0</v>
      </c>
      <c r="CD774" s="2" t="n">
        <v>0</v>
      </c>
      <c r="CE774" s="2" t="n">
        <v>0</v>
      </c>
      <c r="CF774" s="2" t="n">
        <v>0</v>
      </c>
      <c r="CG774" s="2" t="n">
        <v>0</v>
      </c>
      <c r="CH774" s="2" t="n">
        <v>0</v>
      </c>
      <c r="CI774" s="2" t="n">
        <v>0</v>
      </c>
      <c r="CJ774" s="2" t="n">
        <v>0</v>
      </c>
      <c r="CK774" s="2" t="n">
        <v>0</v>
      </c>
      <c r="CL774" s="2" t="n">
        <v>0</v>
      </c>
      <c r="CM774" s="2" t="n">
        <v>0</v>
      </c>
      <c r="CN774" s="2" t="n">
        <v>0</v>
      </c>
      <c r="CO774" s="2" t="n">
        <v>0</v>
      </c>
      <c r="CP774" s="2" t="n">
        <v>0</v>
      </c>
      <c r="CQ774" s="2" t="n">
        <v>0</v>
      </c>
      <c r="CR774" s="2" t="n">
        <v>0</v>
      </c>
      <c r="CS774" s="2" t="n">
        <v>1.52</v>
      </c>
      <c r="CT774" s="2" t="n">
        <v>0</v>
      </c>
      <c r="CU774" s="2" t="n">
        <v>24.24</v>
      </c>
      <c r="CV774" s="2" t="n">
        <v>25.76</v>
      </c>
      <c r="CW774" s="2" t="n">
        <v>0</v>
      </c>
      <c r="CX774" s="2" t="n">
        <v>56.06</v>
      </c>
      <c r="CY774" s="2" t="n">
        <v>57.58</v>
      </c>
      <c r="CZ774" s="2" t="n">
        <v>0</v>
      </c>
      <c r="DA774" s="2" t="n">
        <v>87.88</v>
      </c>
      <c r="DB774" s="2" t="n">
        <v>89.39</v>
      </c>
      <c r="DC774" s="2" t="n">
        <v>0</v>
      </c>
      <c r="DD774" s="2" t="n">
        <v>100</v>
      </c>
      <c r="DE774" s="2" t="n">
        <v>100</v>
      </c>
      <c r="DF774" s="2" t="n">
        <v>0</v>
      </c>
      <c r="DG774" s="2" t="n">
        <v>100</v>
      </c>
      <c r="DH774" s="2" t="n">
        <v>100</v>
      </c>
      <c r="DI774" s="2" t="n">
        <v>0</v>
      </c>
      <c r="DJ774" s="2" t="n">
        <v>100</v>
      </c>
      <c r="DK774" s="2" t="n">
        <v>100</v>
      </c>
      <c r="DL774" s="2" t="n">
        <v>0</v>
      </c>
      <c r="DM774" s="2" t="n">
        <v>100</v>
      </c>
      <c r="DN774" s="2" t="n">
        <v>100</v>
      </c>
      <c r="DO774" s="2" t="n">
        <v>0</v>
      </c>
      <c r="DP774" s="2" t="n">
        <v>100</v>
      </c>
      <c r="DQ774" s="2" t="n">
        <v>100</v>
      </c>
      <c r="DR774" s="2" t="n">
        <v>0</v>
      </c>
      <c r="DS774" s="2" t="n">
        <v>100</v>
      </c>
      <c r="DT774" s="2" t="n">
        <v>100</v>
      </c>
      <c r="DU774" s="2" t="n">
        <v>0</v>
      </c>
      <c r="DV774" s="2" t="n">
        <v>100</v>
      </c>
      <c r="DW774" s="2" t="n">
        <v>100</v>
      </c>
      <c r="DX774" s="2" t="n">
        <v>0</v>
      </c>
      <c r="DY774" s="2" t="n">
        <v>100</v>
      </c>
      <c r="DZ774" s="2" t="n">
        <v>100</v>
      </c>
      <c r="EA774" s="2" t="n">
        <v>0</v>
      </c>
      <c r="EB774" s="2" t="n">
        <v>100</v>
      </c>
      <c r="EC774" s="2" t="n">
        <v>100</v>
      </c>
      <c r="ED774" s="2" t="n">
        <v>0</v>
      </c>
      <c r="EE774" s="2" t="n">
        <v>100</v>
      </c>
      <c r="EF774" s="2" t="n">
        <v>100</v>
      </c>
      <c r="EG774" s="2" t="n">
        <v>0</v>
      </c>
      <c r="EH774" s="2" t="n">
        <v>100</v>
      </c>
      <c r="EI774" s="2" t="n">
        <v>100</v>
      </c>
      <c r="EJ774" s="2" t="n">
        <v>0</v>
      </c>
      <c r="EK774" s="2" t="n">
        <v>100</v>
      </c>
      <c r="EL774" s="2" t="n">
        <v>100</v>
      </c>
      <c r="EM774" s="2" t="n">
        <v>0</v>
      </c>
      <c r="EN774" s="2" t="n">
        <v>100</v>
      </c>
      <c r="EO774" s="2" t="n">
        <v>100</v>
      </c>
      <c r="EP774" s="2" t="n">
        <v>0</v>
      </c>
      <c r="EQ774" s="2" t="n">
        <v>100</v>
      </c>
      <c r="ER774" s="2" t="n">
        <v>100</v>
      </c>
      <c r="ES774" s="2" t="n">
        <v>0</v>
      </c>
    </row>
    <row r="775">
      <c r="A775" s="2" t="n">
        <v>3</v>
      </c>
      <c r="B775" s="2" t="inlineStr">
        <is>
          <t>31.01.01</t>
        </is>
      </c>
      <c r="C775" s="2" t="inlineStr">
        <is>
          <t>Calçada de concreto magro esp. 10cm + cimentado esp. 3cm</t>
        </is>
      </c>
      <c r="D775" s="2" t="inlineStr">
        <is>
          <t>30/11/2027</t>
        </is>
      </c>
      <c r="E775" s="2" t="inlineStr">
        <is>
          <t>09/03/2028</t>
        </is>
      </c>
      <c r="F775" s="2" t="n">
        <v>43494.92804227607</v>
      </c>
      <c r="G775" s="2" t="n">
        <v>0</v>
      </c>
      <c r="H775" s="2" t="n">
        <v>43494.92804227607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0</v>
      </c>
      <c r="AM775" s="2" t="n">
        <v>0</v>
      </c>
      <c r="AN775" s="2" t="n">
        <v>0</v>
      </c>
      <c r="AO775" s="2" t="n">
        <v>0</v>
      </c>
      <c r="AP775" s="2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 t="n">
        <v>0</v>
      </c>
      <c r="AX775" s="2" t="n">
        <v>0</v>
      </c>
      <c r="AY775" s="2" t="n">
        <v>0</v>
      </c>
      <c r="AZ775" s="2" t="n">
        <v>0</v>
      </c>
      <c r="BA775" s="2" t="n">
        <v>0</v>
      </c>
      <c r="BB775" s="2" t="n">
        <v>0</v>
      </c>
      <c r="BC775" s="2" t="n">
        <v>0</v>
      </c>
      <c r="BD775" s="2" t="n">
        <v>0</v>
      </c>
      <c r="BE775" s="2" t="n">
        <v>0</v>
      </c>
      <c r="BF775" s="2" t="n">
        <v>0</v>
      </c>
      <c r="BG775" s="2" t="n">
        <v>0</v>
      </c>
      <c r="BH775" s="2" t="n">
        <v>0</v>
      </c>
      <c r="BI775" s="2" t="n">
        <v>0</v>
      </c>
      <c r="BJ775" s="2" t="n">
        <v>0</v>
      </c>
      <c r="BK775" s="2" t="n">
        <v>0</v>
      </c>
      <c r="BL775" s="2" t="n">
        <v>0</v>
      </c>
      <c r="BM775" s="2" t="n">
        <v>0</v>
      </c>
      <c r="BN775" s="2" t="n">
        <v>0</v>
      </c>
      <c r="BO775" s="2" t="n">
        <v>0</v>
      </c>
      <c r="BP775" s="2" t="n">
        <v>0</v>
      </c>
      <c r="BQ775" s="2" t="n">
        <v>0</v>
      </c>
      <c r="BR775" s="2" t="n">
        <v>0</v>
      </c>
      <c r="BS775" s="2" t="n">
        <v>0</v>
      </c>
      <c r="BT775" s="2" t="n">
        <v>0</v>
      </c>
      <c r="BU775" s="2" t="n">
        <v>0</v>
      </c>
      <c r="BV775" s="2" t="n">
        <v>0</v>
      </c>
      <c r="BW775" s="2" t="n">
        <v>0</v>
      </c>
      <c r="BX775" s="2" t="n">
        <v>0</v>
      </c>
      <c r="BY775" s="2" t="n">
        <v>0</v>
      </c>
      <c r="BZ775" s="2" t="n">
        <v>0</v>
      </c>
      <c r="CA775" s="2" t="n">
        <v>0</v>
      </c>
      <c r="CB775" s="2" t="n">
        <v>0</v>
      </c>
      <c r="CC775" s="2" t="n">
        <v>0</v>
      </c>
      <c r="CD775" s="2" t="n">
        <v>0</v>
      </c>
      <c r="CE775" s="2" t="n">
        <v>0</v>
      </c>
      <c r="CF775" s="2" t="n">
        <v>0</v>
      </c>
      <c r="CG775" s="2" t="n">
        <v>0</v>
      </c>
      <c r="CH775" s="2" t="n">
        <v>0</v>
      </c>
      <c r="CI775" s="2" t="n">
        <v>0</v>
      </c>
      <c r="CJ775" s="2" t="n">
        <v>0</v>
      </c>
      <c r="CK775" s="2" t="n">
        <v>0</v>
      </c>
      <c r="CL775" s="2" t="n">
        <v>0</v>
      </c>
      <c r="CM775" s="2" t="n">
        <v>0</v>
      </c>
      <c r="CN775" s="2" t="n">
        <v>0</v>
      </c>
      <c r="CO775" s="2" t="n">
        <v>0</v>
      </c>
      <c r="CP775" s="2" t="n">
        <v>0</v>
      </c>
      <c r="CQ775" s="2" t="n">
        <v>0</v>
      </c>
      <c r="CR775" s="2" t="n">
        <v>0</v>
      </c>
      <c r="CS775" s="2" t="n">
        <v>1.52</v>
      </c>
      <c r="CT775" s="2" t="n">
        <v>0</v>
      </c>
      <c r="CU775" s="2" t="n">
        <v>24.24</v>
      </c>
      <c r="CV775" s="2" t="n">
        <v>25.76</v>
      </c>
      <c r="CW775" s="2" t="n">
        <v>0</v>
      </c>
      <c r="CX775" s="2" t="n">
        <v>56.06</v>
      </c>
      <c r="CY775" s="2" t="n">
        <v>57.58</v>
      </c>
      <c r="CZ775" s="2" t="n">
        <v>0</v>
      </c>
      <c r="DA775" s="2" t="n">
        <v>87.88</v>
      </c>
      <c r="DB775" s="2" t="n">
        <v>89.39</v>
      </c>
      <c r="DC775" s="2" t="n">
        <v>0</v>
      </c>
      <c r="DD775" s="2" t="n">
        <v>100</v>
      </c>
      <c r="DE775" s="2" t="n">
        <v>100</v>
      </c>
      <c r="DF775" s="2" t="n">
        <v>0</v>
      </c>
      <c r="DG775" s="2" t="n">
        <v>100</v>
      </c>
      <c r="DH775" s="2" t="n">
        <v>100</v>
      </c>
      <c r="DI775" s="2" t="n">
        <v>0</v>
      </c>
      <c r="DJ775" s="2" t="n">
        <v>100</v>
      </c>
      <c r="DK775" s="2" t="n">
        <v>100</v>
      </c>
      <c r="DL775" s="2" t="n">
        <v>0</v>
      </c>
      <c r="DM775" s="2" t="n">
        <v>100</v>
      </c>
      <c r="DN775" s="2" t="n">
        <v>100</v>
      </c>
      <c r="DO775" s="2" t="n">
        <v>0</v>
      </c>
      <c r="DP775" s="2" t="n">
        <v>100</v>
      </c>
      <c r="DQ775" s="2" t="n">
        <v>100</v>
      </c>
      <c r="DR775" s="2" t="n">
        <v>0</v>
      </c>
      <c r="DS775" s="2" t="n">
        <v>100</v>
      </c>
      <c r="DT775" s="2" t="n">
        <v>100</v>
      </c>
      <c r="DU775" s="2" t="n">
        <v>0</v>
      </c>
      <c r="DV775" s="2" t="n">
        <v>100</v>
      </c>
      <c r="DW775" s="2" t="n">
        <v>100</v>
      </c>
      <c r="DX775" s="2" t="n">
        <v>0</v>
      </c>
      <c r="DY775" s="2" t="n">
        <v>100</v>
      </c>
      <c r="DZ775" s="2" t="n">
        <v>100</v>
      </c>
      <c r="EA775" s="2" t="n">
        <v>0</v>
      </c>
      <c r="EB775" s="2" t="n">
        <v>100</v>
      </c>
      <c r="EC775" s="2" t="n">
        <v>100</v>
      </c>
      <c r="ED775" s="2" t="n">
        <v>0</v>
      </c>
      <c r="EE775" s="2" t="n">
        <v>100</v>
      </c>
      <c r="EF775" s="2" t="n">
        <v>100</v>
      </c>
      <c r="EG775" s="2" t="n">
        <v>0</v>
      </c>
      <c r="EH775" s="2" t="n">
        <v>100</v>
      </c>
      <c r="EI775" s="2" t="n">
        <v>100</v>
      </c>
      <c r="EJ775" s="2" t="n">
        <v>0</v>
      </c>
      <c r="EK775" s="2" t="n">
        <v>100</v>
      </c>
      <c r="EL775" s="2" t="n">
        <v>100</v>
      </c>
      <c r="EM775" s="2" t="n">
        <v>0</v>
      </c>
      <c r="EN775" s="2" t="n">
        <v>100</v>
      </c>
      <c r="EO775" s="2" t="n">
        <v>100</v>
      </c>
      <c r="EP775" s="2" t="n">
        <v>0</v>
      </c>
      <c r="EQ775" s="2" t="n">
        <v>100</v>
      </c>
      <c r="ER775" s="2" t="n">
        <v>100</v>
      </c>
      <c r="ES775" s="2" t="n">
        <v>0</v>
      </c>
    </row>
    <row r="776">
      <c r="A776" s="2" t="n">
        <v>3</v>
      </c>
      <c r="B776" s="2" t="inlineStr">
        <is>
          <t>31.01.02</t>
        </is>
      </c>
      <c r="C776" s="2" t="inlineStr">
        <is>
          <t>Meio Fio</t>
        </is>
      </c>
      <c r="D776" s="2" t="inlineStr">
        <is>
          <t>30/11/2027</t>
        </is>
      </c>
      <c r="E776" s="2" t="inlineStr">
        <is>
          <t>09/03/2028</t>
        </is>
      </c>
      <c r="F776" s="2" t="n">
        <v>5683.39659691557</v>
      </c>
      <c r="G776" s="2" t="n">
        <v>0</v>
      </c>
      <c r="H776" s="2" t="n">
        <v>5683.39659691557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0</v>
      </c>
      <c r="AM776" s="2" t="n">
        <v>0</v>
      </c>
      <c r="AN776" s="2" t="n">
        <v>0</v>
      </c>
      <c r="AO776" s="2" t="n">
        <v>0</v>
      </c>
      <c r="AP776" s="2" t="n">
        <v>0</v>
      </c>
      <c r="AQ776" s="2" t="n">
        <v>0</v>
      </c>
      <c r="AR776" s="2" t="n">
        <v>0</v>
      </c>
      <c r="AS776" s="2" t="n">
        <v>0</v>
      </c>
      <c r="AT776" s="2" t="n">
        <v>0</v>
      </c>
      <c r="AU776" s="2" t="n">
        <v>0</v>
      </c>
      <c r="AV776" s="2" t="n">
        <v>0</v>
      </c>
      <c r="AW776" s="2" t="n">
        <v>0</v>
      </c>
      <c r="AX776" s="2" t="n">
        <v>0</v>
      </c>
      <c r="AY776" s="2" t="n">
        <v>0</v>
      </c>
      <c r="AZ776" s="2" t="n">
        <v>0</v>
      </c>
      <c r="BA776" s="2" t="n">
        <v>0</v>
      </c>
      <c r="BB776" s="2" t="n">
        <v>0</v>
      </c>
      <c r="BC776" s="2" t="n">
        <v>0</v>
      </c>
      <c r="BD776" s="2" t="n">
        <v>0</v>
      </c>
      <c r="BE776" s="2" t="n">
        <v>0</v>
      </c>
      <c r="BF776" s="2" t="n">
        <v>0</v>
      </c>
      <c r="BG776" s="2" t="n">
        <v>0</v>
      </c>
      <c r="BH776" s="2" t="n">
        <v>0</v>
      </c>
      <c r="BI776" s="2" t="n">
        <v>0</v>
      </c>
      <c r="BJ776" s="2" t="n">
        <v>0</v>
      </c>
      <c r="BK776" s="2" t="n">
        <v>0</v>
      </c>
      <c r="BL776" s="2" t="n">
        <v>0</v>
      </c>
      <c r="BM776" s="2" t="n">
        <v>0</v>
      </c>
      <c r="BN776" s="2" t="n">
        <v>0</v>
      </c>
      <c r="BO776" s="2" t="n">
        <v>0</v>
      </c>
      <c r="BP776" s="2" t="n">
        <v>0</v>
      </c>
      <c r="BQ776" s="2" t="n">
        <v>0</v>
      </c>
      <c r="BR776" s="2" t="n">
        <v>0</v>
      </c>
      <c r="BS776" s="2" t="n">
        <v>0</v>
      </c>
      <c r="BT776" s="2" t="n">
        <v>0</v>
      </c>
      <c r="BU776" s="2" t="n">
        <v>0</v>
      </c>
      <c r="BV776" s="2" t="n">
        <v>0</v>
      </c>
      <c r="BW776" s="2" t="n">
        <v>0</v>
      </c>
      <c r="BX776" s="2" t="n">
        <v>0</v>
      </c>
      <c r="BY776" s="2" t="n">
        <v>0</v>
      </c>
      <c r="BZ776" s="2" t="n">
        <v>0</v>
      </c>
      <c r="CA776" s="2" t="n">
        <v>0</v>
      </c>
      <c r="CB776" s="2" t="n">
        <v>0</v>
      </c>
      <c r="CC776" s="2" t="n">
        <v>0</v>
      </c>
      <c r="CD776" s="2" t="n">
        <v>0</v>
      </c>
      <c r="CE776" s="2" t="n">
        <v>0</v>
      </c>
      <c r="CF776" s="2" t="n">
        <v>0</v>
      </c>
      <c r="CG776" s="2" t="n">
        <v>0</v>
      </c>
      <c r="CH776" s="2" t="n">
        <v>0</v>
      </c>
      <c r="CI776" s="2" t="n">
        <v>0</v>
      </c>
      <c r="CJ776" s="2" t="n">
        <v>0</v>
      </c>
      <c r="CK776" s="2" t="n">
        <v>0</v>
      </c>
      <c r="CL776" s="2" t="n">
        <v>0</v>
      </c>
      <c r="CM776" s="2" t="n">
        <v>0</v>
      </c>
      <c r="CN776" s="2" t="n">
        <v>0</v>
      </c>
      <c r="CO776" s="2" t="n">
        <v>0</v>
      </c>
      <c r="CP776" s="2" t="n">
        <v>0</v>
      </c>
      <c r="CQ776" s="2" t="n">
        <v>0</v>
      </c>
      <c r="CR776" s="2" t="n">
        <v>0</v>
      </c>
      <c r="CS776" s="2" t="n">
        <v>1.52</v>
      </c>
      <c r="CT776" s="2" t="n">
        <v>0</v>
      </c>
      <c r="CU776" s="2" t="n">
        <v>24.24</v>
      </c>
      <c r="CV776" s="2" t="n">
        <v>25.76</v>
      </c>
      <c r="CW776" s="2" t="n">
        <v>0</v>
      </c>
      <c r="CX776" s="2" t="n">
        <v>56.06</v>
      </c>
      <c r="CY776" s="2" t="n">
        <v>57.58</v>
      </c>
      <c r="CZ776" s="2" t="n">
        <v>0</v>
      </c>
      <c r="DA776" s="2" t="n">
        <v>87.88</v>
      </c>
      <c r="DB776" s="2" t="n">
        <v>89.39</v>
      </c>
      <c r="DC776" s="2" t="n">
        <v>0</v>
      </c>
      <c r="DD776" s="2" t="n">
        <v>100</v>
      </c>
      <c r="DE776" s="2" t="n">
        <v>100</v>
      </c>
      <c r="DF776" s="2" t="n">
        <v>0</v>
      </c>
      <c r="DG776" s="2" t="n">
        <v>100</v>
      </c>
      <c r="DH776" s="2" t="n">
        <v>100</v>
      </c>
      <c r="DI776" s="2" t="n">
        <v>0</v>
      </c>
      <c r="DJ776" s="2" t="n">
        <v>100</v>
      </c>
      <c r="DK776" s="2" t="n">
        <v>100</v>
      </c>
      <c r="DL776" s="2" t="n">
        <v>0</v>
      </c>
      <c r="DM776" s="2" t="n">
        <v>100</v>
      </c>
      <c r="DN776" s="2" t="n">
        <v>100</v>
      </c>
      <c r="DO776" s="2" t="n">
        <v>0</v>
      </c>
      <c r="DP776" s="2" t="n">
        <v>100</v>
      </c>
      <c r="DQ776" s="2" t="n">
        <v>100</v>
      </c>
      <c r="DR776" s="2" t="n">
        <v>0</v>
      </c>
      <c r="DS776" s="2" t="n">
        <v>100</v>
      </c>
      <c r="DT776" s="2" t="n">
        <v>100</v>
      </c>
      <c r="DU776" s="2" t="n">
        <v>0</v>
      </c>
      <c r="DV776" s="2" t="n">
        <v>100</v>
      </c>
      <c r="DW776" s="2" t="n">
        <v>100</v>
      </c>
      <c r="DX776" s="2" t="n">
        <v>0</v>
      </c>
      <c r="DY776" s="2" t="n">
        <v>100</v>
      </c>
      <c r="DZ776" s="2" t="n">
        <v>100</v>
      </c>
      <c r="EA776" s="2" t="n">
        <v>0</v>
      </c>
      <c r="EB776" s="2" t="n">
        <v>100</v>
      </c>
      <c r="EC776" s="2" t="n">
        <v>100</v>
      </c>
      <c r="ED776" s="2" t="n">
        <v>0</v>
      </c>
      <c r="EE776" s="2" t="n">
        <v>100</v>
      </c>
      <c r="EF776" s="2" t="n">
        <v>100</v>
      </c>
      <c r="EG776" s="2" t="n">
        <v>0</v>
      </c>
      <c r="EH776" s="2" t="n">
        <v>100</v>
      </c>
      <c r="EI776" s="2" t="n">
        <v>100</v>
      </c>
      <c r="EJ776" s="2" t="n">
        <v>0</v>
      </c>
      <c r="EK776" s="2" t="n">
        <v>100</v>
      </c>
      <c r="EL776" s="2" t="n">
        <v>100</v>
      </c>
      <c r="EM776" s="2" t="n">
        <v>0</v>
      </c>
      <c r="EN776" s="2" t="n">
        <v>100</v>
      </c>
      <c r="EO776" s="2" t="n">
        <v>100</v>
      </c>
      <c r="EP776" s="2" t="n">
        <v>0</v>
      </c>
      <c r="EQ776" s="2" t="n">
        <v>100</v>
      </c>
      <c r="ER776" s="2" t="n">
        <v>100</v>
      </c>
      <c r="ES776" s="2" t="n">
        <v>0</v>
      </c>
    </row>
    <row r="777">
      <c r="A777" s="2" t="n">
        <v>3</v>
      </c>
      <c r="B777" s="2" t="inlineStr">
        <is>
          <t>31.01.03</t>
        </is>
      </c>
      <c r="C777" s="2" t="inlineStr">
        <is>
          <t>Rebaixo no meio-fio</t>
        </is>
      </c>
      <c r="D777" s="2" t="inlineStr">
        <is>
          <t>30/11/2027</t>
        </is>
      </c>
      <c r="E777" s="2" t="inlineStr">
        <is>
          <t>09/03/2028</t>
        </is>
      </c>
      <c r="F777" s="2" t="n">
        <v>1848.54901637219</v>
      </c>
      <c r="G777" s="2" t="n">
        <v>0</v>
      </c>
      <c r="H777" s="2" t="n">
        <v>1848.54901637219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0</v>
      </c>
      <c r="AL777" s="2" t="n">
        <v>0</v>
      </c>
      <c r="AM777" s="2" t="n">
        <v>0</v>
      </c>
      <c r="AN777" s="2" t="n">
        <v>0</v>
      </c>
      <c r="AO777" s="2" t="n">
        <v>0</v>
      </c>
      <c r="AP777" s="2" t="n">
        <v>0</v>
      </c>
      <c r="AQ777" s="2" t="n">
        <v>0</v>
      </c>
      <c r="AR777" s="2" t="n">
        <v>0</v>
      </c>
      <c r="AS777" s="2" t="n">
        <v>0</v>
      </c>
      <c r="AT777" s="2" t="n">
        <v>0</v>
      </c>
      <c r="AU777" s="2" t="n">
        <v>0</v>
      </c>
      <c r="AV777" s="2" t="n">
        <v>0</v>
      </c>
      <c r="AW777" s="2" t="n">
        <v>0</v>
      </c>
      <c r="AX777" s="2" t="n">
        <v>0</v>
      </c>
      <c r="AY777" s="2" t="n">
        <v>0</v>
      </c>
      <c r="AZ777" s="2" t="n">
        <v>0</v>
      </c>
      <c r="BA777" s="2" t="n">
        <v>0</v>
      </c>
      <c r="BB777" s="2" t="n">
        <v>0</v>
      </c>
      <c r="BC777" s="2" t="n">
        <v>0</v>
      </c>
      <c r="BD777" s="2" t="n">
        <v>0</v>
      </c>
      <c r="BE777" s="2" t="n">
        <v>0</v>
      </c>
      <c r="BF777" s="2" t="n">
        <v>0</v>
      </c>
      <c r="BG777" s="2" t="n">
        <v>0</v>
      </c>
      <c r="BH777" s="2" t="n">
        <v>0</v>
      </c>
      <c r="BI777" s="2" t="n">
        <v>0</v>
      </c>
      <c r="BJ777" s="2" t="n">
        <v>0</v>
      </c>
      <c r="BK777" s="2" t="n">
        <v>0</v>
      </c>
      <c r="BL777" s="2" t="n">
        <v>0</v>
      </c>
      <c r="BM777" s="2" t="n">
        <v>0</v>
      </c>
      <c r="BN777" s="2" t="n">
        <v>0</v>
      </c>
      <c r="BO777" s="2" t="n">
        <v>0</v>
      </c>
      <c r="BP777" s="2" t="n">
        <v>0</v>
      </c>
      <c r="BQ777" s="2" t="n">
        <v>0</v>
      </c>
      <c r="BR777" s="2" t="n">
        <v>0</v>
      </c>
      <c r="BS777" s="2" t="n">
        <v>0</v>
      </c>
      <c r="BT777" s="2" t="n">
        <v>0</v>
      </c>
      <c r="BU777" s="2" t="n">
        <v>0</v>
      </c>
      <c r="BV777" s="2" t="n">
        <v>0</v>
      </c>
      <c r="BW777" s="2" t="n">
        <v>0</v>
      </c>
      <c r="BX777" s="2" t="n">
        <v>0</v>
      </c>
      <c r="BY777" s="2" t="n">
        <v>0</v>
      </c>
      <c r="BZ777" s="2" t="n">
        <v>0</v>
      </c>
      <c r="CA777" s="2" t="n">
        <v>0</v>
      </c>
      <c r="CB777" s="2" t="n">
        <v>0</v>
      </c>
      <c r="CC777" s="2" t="n">
        <v>0</v>
      </c>
      <c r="CD777" s="2" t="n">
        <v>0</v>
      </c>
      <c r="CE777" s="2" t="n">
        <v>0</v>
      </c>
      <c r="CF777" s="2" t="n">
        <v>0</v>
      </c>
      <c r="CG777" s="2" t="n">
        <v>0</v>
      </c>
      <c r="CH777" s="2" t="n">
        <v>0</v>
      </c>
      <c r="CI777" s="2" t="n">
        <v>0</v>
      </c>
      <c r="CJ777" s="2" t="n">
        <v>0</v>
      </c>
      <c r="CK777" s="2" t="n">
        <v>0</v>
      </c>
      <c r="CL777" s="2" t="n">
        <v>0</v>
      </c>
      <c r="CM777" s="2" t="n">
        <v>0</v>
      </c>
      <c r="CN777" s="2" t="n">
        <v>0</v>
      </c>
      <c r="CO777" s="2" t="n">
        <v>0</v>
      </c>
      <c r="CP777" s="2" t="n">
        <v>0</v>
      </c>
      <c r="CQ777" s="2" t="n">
        <v>0</v>
      </c>
      <c r="CR777" s="2" t="n">
        <v>0</v>
      </c>
      <c r="CS777" s="2" t="n">
        <v>1.52</v>
      </c>
      <c r="CT777" s="2" t="n">
        <v>0</v>
      </c>
      <c r="CU777" s="2" t="n">
        <v>24.24</v>
      </c>
      <c r="CV777" s="2" t="n">
        <v>25.76</v>
      </c>
      <c r="CW777" s="2" t="n">
        <v>0</v>
      </c>
      <c r="CX777" s="2" t="n">
        <v>56.06</v>
      </c>
      <c r="CY777" s="2" t="n">
        <v>57.58</v>
      </c>
      <c r="CZ777" s="2" t="n">
        <v>0</v>
      </c>
      <c r="DA777" s="2" t="n">
        <v>87.88</v>
      </c>
      <c r="DB777" s="2" t="n">
        <v>89.39</v>
      </c>
      <c r="DC777" s="2" t="n">
        <v>0</v>
      </c>
      <c r="DD777" s="2" t="n">
        <v>100</v>
      </c>
      <c r="DE777" s="2" t="n">
        <v>100</v>
      </c>
      <c r="DF777" s="2" t="n">
        <v>0</v>
      </c>
      <c r="DG777" s="2" t="n">
        <v>100</v>
      </c>
      <c r="DH777" s="2" t="n">
        <v>100</v>
      </c>
      <c r="DI777" s="2" t="n">
        <v>0</v>
      </c>
      <c r="DJ777" s="2" t="n">
        <v>100</v>
      </c>
      <c r="DK777" s="2" t="n">
        <v>100</v>
      </c>
      <c r="DL777" s="2" t="n">
        <v>0</v>
      </c>
      <c r="DM777" s="2" t="n">
        <v>100</v>
      </c>
      <c r="DN777" s="2" t="n">
        <v>100</v>
      </c>
      <c r="DO777" s="2" t="n">
        <v>0</v>
      </c>
      <c r="DP777" s="2" t="n">
        <v>100</v>
      </c>
      <c r="DQ777" s="2" t="n">
        <v>100</v>
      </c>
      <c r="DR777" s="2" t="n">
        <v>0</v>
      </c>
      <c r="DS777" s="2" t="n">
        <v>100</v>
      </c>
      <c r="DT777" s="2" t="n">
        <v>100</v>
      </c>
      <c r="DU777" s="2" t="n">
        <v>0</v>
      </c>
      <c r="DV777" s="2" t="n">
        <v>100</v>
      </c>
      <c r="DW777" s="2" t="n">
        <v>100</v>
      </c>
      <c r="DX777" s="2" t="n">
        <v>0</v>
      </c>
      <c r="DY777" s="2" t="n">
        <v>100</v>
      </c>
      <c r="DZ777" s="2" t="n">
        <v>100</v>
      </c>
      <c r="EA777" s="2" t="n">
        <v>0</v>
      </c>
      <c r="EB777" s="2" t="n">
        <v>100</v>
      </c>
      <c r="EC777" s="2" t="n">
        <v>100</v>
      </c>
      <c r="ED777" s="2" t="n">
        <v>0</v>
      </c>
      <c r="EE777" s="2" t="n">
        <v>100</v>
      </c>
      <c r="EF777" s="2" t="n">
        <v>100</v>
      </c>
      <c r="EG777" s="2" t="n">
        <v>0</v>
      </c>
      <c r="EH777" s="2" t="n">
        <v>100</v>
      </c>
      <c r="EI777" s="2" t="n">
        <v>100</v>
      </c>
      <c r="EJ777" s="2" t="n">
        <v>0</v>
      </c>
      <c r="EK777" s="2" t="n">
        <v>100</v>
      </c>
      <c r="EL777" s="2" t="n">
        <v>100</v>
      </c>
      <c r="EM777" s="2" t="n">
        <v>0</v>
      </c>
      <c r="EN777" s="2" t="n">
        <v>100</v>
      </c>
      <c r="EO777" s="2" t="n">
        <v>100</v>
      </c>
      <c r="EP777" s="2" t="n">
        <v>0</v>
      </c>
      <c r="EQ777" s="2" t="n">
        <v>100</v>
      </c>
      <c r="ER777" s="2" t="n">
        <v>100</v>
      </c>
      <c r="ES777" s="2" t="n">
        <v>0</v>
      </c>
    </row>
    <row r="778">
      <c r="A778" s="2" t="n">
        <v>3</v>
      </c>
      <c r="B778" s="2" t="inlineStr">
        <is>
          <t>31.01.04</t>
        </is>
      </c>
      <c r="C778" s="2" t="inlineStr">
        <is>
          <t>Sarjeta</t>
        </is>
      </c>
      <c r="D778" s="2" t="inlineStr">
        <is>
          <t>30/11/2027</t>
        </is>
      </c>
      <c r="E778" s="2" t="inlineStr">
        <is>
          <t>09/03/2028</t>
        </is>
      </c>
      <c r="F778" s="2" t="n">
        <v>3498.528385883591</v>
      </c>
      <c r="G778" s="2" t="n">
        <v>0</v>
      </c>
      <c r="H778" s="2" t="n">
        <v>3498.528385883591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0</v>
      </c>
      <c r="AM778" s="2" t="n">
        <v>0</v>
      </c>
      <c r="AN778" s="2" t="n">
        <v>0</v>
      </c>
      <c r="AO778" s="2" t="n">
        <v>0</v>
      </c>
      <c r="AP778" s="2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0</v>
      </c>
      <c r="AV778" s="2" t="n">
        <v>0</v>
      </c>
      <c r="AW778" s="2" t="n">
        <v>0</v>
      </c>
      <c r="AX778" s="2" t="n">
        <v>0</v>
      </c>
      <c r="AY778" s="2" t="n">
        <v>0</v>
      </c>
      <c r="AZ778" s="2" t="n">
        <v>0</v>
      </c>
      <c r="BA778" s="2" t="n">
        <v>0</v>
      </c>
      <c r="BB778" s="2" t="n">
        <v>0</v>
      </c>
      <c r="BC778" s="2" t="n">
        <v>0</v>
      </c>
      <c r="BD778" s="2" t="n">
        <v>0</v>
      </c>
      <c r="BE778" s="2" t="n">
        <v>0</v>
      </c>
      <c r="BF778" s="2" t="n">
        <v>0</v>
      </c>
      <c r="BG778" s="2" t="n">
        <v>0</v>
      </c>
      <c r="BH778" s="2" t="n">
        <v>0</v>
      </c>
      <c r="BI778" s="2" t="n">
        <v>0</v>
      </c>
      <c r="BJ778" s="2" t="n">
        <v>0</v>
      </c>
      <c r="BK778" s="2" t="n">
        <v>0</v>
      </c>
      <c r="BL778" s="2" t="n">
        <v>0</v>
      </c>
      <c r="BM778" s="2" t="n">
        <v>0</v>
      </c>
      <c r="BN778" s="2" t="n">
        <v>0</v>
      </c>
      <c r="BO778" s="2" t="n">
        <v>0</v>
      </c>
      <c r="BP778" s="2" t="n">
        <v>0</v>
      </c>
      <c r="BQ778" s="2" t="n">
        <v>0</v>
      </c>
      <c r="BR778" s="2" t="n">
        <v>0</v>
      </c>
      <c r="BS778" s="2" t="n">
        <v>0</v>
      </c>
      <c r="BT778" s="2" t="n">
        <v>0</v>
      </c>
      <c r="BU778" s="2" t="n">
        <v>0</v>
      </c>
      <c r="BV778" s="2" t="n">
        <v>0</v>
      </c>
      <c r="BW778" s="2" t="n">
        <v>0</v>
      </c>
      <c r="BX778" s="2" t="n">
        <v>0</v>
      </c>
      <c r="BY778" s="2" t="n">
        <v>0</v>
      </c>
      <c r="BZ778" s="2" t="n">
        <v>0</v>
      </c>
      <c r="CA778" s="2" t="n">
        <v>0</v>
      </c>
      <c r="CB778" s="2" t="n">
        <v>0</v>
      </c>
      <c r="CC778" s="2" t="n">
        <v>0</v>
      </c>
      <c r="CD778" s="2" t="n">
        <v>0</v>
      </c>
      <c r="CE778" s="2" t="n">
        <v>0</v>
      </c>
      <c r="CF778" s="2" t="n">
        <v>0</v>
      </c>
      <c r="CG778" s="2" t="n">
        <v>0</v>
      </c>
      <c r="CH778" s="2" t="n">
        <v>0</v>
      </c>
      <c r="CI778" s="2" t="n">
        <v>0</v>
      </c>
      <c r="CJ778" s="2" t="n">
        <v>0</v>
      </c>
      <c r="CK778" s="2" t="n">
        <v>0</v>
      </c>
      <c r="CL778" s="2" t="n">
        <v>0</v>
      </c>
      <c r="CM778" s="2" t="n">
        <v>0</v>
      </c>
      <c r="CN778" s="2" t="n">
        <v>0</v>
      </c>
      <c r="CO778" s="2" t="n">
        <v>0</v>
      </c>
      <c r="CP778" s="2" t="n">
        <v>0</v>
      </c>
      <c r="CQ778" s="2" t="n">
        <v>0</v>
      </c>
      <c r="CR778" s="2" t="n">
        <v>0</v>
      </c>
      <c r="CS778" s="2" t="n">
        <v>1.52</v>
      </c>
      <c r="CT778" s="2" t="n">
        <v>0</v>
      </c>
      <c r="CU778" s="2" t="n">
        <v>24.24</v>
      </c>
      <c r="CV778" s="2" t="n">
        <v>25.76</v>
      </c>
      <c r="CW778" s="2" t="n">
        <v>0</v>
      </c>
      <c r="CX778" s="2" t="n">
        <v>56.06</v>
      </c>
      <c r="CY778" s="2" t="n">
        <v>57.58</v>
      </c>
      <c r="CZ778" s="2" t="n">
        <v>0</v>
      </c>
      <c r="DA778" s="2" t="n">
        <v>87.88</v>
      </c>
      <c r="DB778" s="2" t="n">
        <v>89.39</v>
      </c>
      <c r="DC778" s="2" t="n">
        <v>0</v>
      </c>
      <c r="DD778" s="2" t="n">
        <v>100</v>
      </c>
      <c r="DE778" s="2" t="n">
        <v>100</v>
      </c>
      <c r="DF778" s="2" t="n">
        <v>0</v>
      </c>
      <c r="DG778" s="2" t="n">
        <v>100</v>
      </c>
      <c r="DH778" s="2" t="n">
        <v>100</v>
      </c>
      <c r="DI778" s="2" t="n">
        <v>0</v>
      </c>
      <c r="DJ778" s="2" t="n">
        <v>100</v>
      </c>
      <c r="DK778" s="2" t="n">
        <v>100</v>
      </c>
      <c r="DL778" s="2" t="n">
        <v>0</v>
      </c>
      <c r="DM778" s="2" t="n">
        <v>100</v>
      </c>
      <c r="DN778" s="2" t="n">
        <v>100</v>
      </c>
      <c r="DO778" s="2" t="n">
        <v>0</v>
      </c>
      <c r="DP778" s="2" t="n">
        <v>100</v>
      </c>
      <c r="DQ778" s="2" t="n">
        <v>100</v>
      </c>
      <c r="DR778" s="2" t="n">
        <v>0</v>
      </c>
      <c r="DS778" s="2" t="n">
        <v>100</v>
      </c>
      <c r="DT778" s="2" t="n">
        <v>100</v>
      </c>
      <c r="DU778" s="2" t="n">
        <v>0</v>
      </c>
      <c r="DV778" s="2" t="n">
        <v>100</v>
      </c>
      <c r="DW778" s="2" t="n">
        <v>100</v>
      </c>
      <c r="DX778" s="2" t="n">
        <v>0</v>
      </c>
      <c r="DY778" s="2" t="n">
        <v>100</v>
      </c>
      <c r="DZ778" s="2" t="n">
        <v>100</v>
      </c>
      <c r="EA778" s="2" t="n">
        <v>0</v>
      </c>
      <c r="EB778" s="2" t="n">
        <v>100</v>
      </c>
      <c r="EC778" s="2" t="n">
        <v>100</v>
      </c>
      <c r="ED778" s="2" t="n">
        <v>0</v>
      </c>
      <c r="EE778" s="2" t="n">
        <v>100</v>
      </c>
      <c r="EF778" s="2" t="n">
        <v>100</v>
      </c>
      <c r="EG778" s="2" t="n">
        <v>0</v>
      </c>
      <c r="EH778" s="2" t="n">
        <v>100</v>
      </c>
      <c r="EI778" s="2" t="n">
        <v>100</v>
      </c>
      <c r="EJ778" s="2" t="n">
        <v>0</v>
      </c>
      <c r="EK778" s="2" t="n">
        <v>100</v>
      </c>
      <c r="EL778" s="2" t="n">
        <v>100</v>
      </c>
      <c r="EM778" s="2" t="n">
        <v>0</v>
      </c>
      <c r="EN778" s="2" t="n">
        <v>100</v>
      </c>
      <c r="EO778" s="2" t="n">
        <v>100</v>
      </c>
      <c r="EP778" s="2" t="n">
        <v>0</v>
      </c>
      <c r="EQ778" s="2" t="n">
        <v>100</v>
      </c>
      <c r="ER778" s="2" t="n">
        <v>100</v>
      </c>
      <c r="ES778" s="2" t="n">
        <v>0</v>
      </c>
    </row>
    <row r="779">
      <c r="A779" s="2" t="n">
        <v>3</v>
      </c>
      <c r="B779" s="2" t="inlineStr">
        <is>
          <t>31.01.05</t>
        </is>
      </c>
      <c r="C779" s="2" t="inlineStr">
        <is>
          <t>Ladrilho hidráulico 20x20cm, modelo rampa, cor cinza.</t>
        </is>
      </c>
      <c r="D779" s="2" t="inlineStr">
        <is>
          <t>30/11/2027</t>
        </is>
      </c>
      <c r="E779" s="2" t="inlineStr">
        <is>
          <t>09/03/2028</t>
        </is>
      </c>
      <c r="F779" s="2" t="n">
        <v>32045.56844443289</v>
      </c>
      <c r="G779" s="2" t="n">
        <v>0</v>
      </c>
      <c r="H779" s="2" t="n">
        <v>32045.56844443289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0</v>
      </c>
      <c r="AM779" s="2" t="n">
        <v>0</v>
      </c>
      <c r="AN779" s="2" t="n">
        <v>0</v>
      </c>
      <c r="AO779" s="2" t="n">
        <v>0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n">
        <v>0</v>
      </c>
      <c r="AZ779" s="2" t="n">
        <v>0</v>
      </c>
      <c r="BA779" s="2" t="n">
        <v>0</v>
      </c>
      <c r="BB779" s="2" t="n">
        <v>0</v>
      </c>
      <c r="BC779" s="2" t="n">
        <v>0</v>
      </c>
      <c r="BD779" s="2" t="n">
        <v>0</v>
      </c>
      <c r="BE779" s="2" t="n">
        <v>0</v>
      </c>
      <c r="BF779" s="2" t="n">
        <v>0</v>
      </c>
      <c r="BG779" s="2" t="n">
        <v>0</v>
      </c>
      <c r="BH779" s="2" t="n">
        <v>0</v>
      </c>
      <c r="BI779" s="2" t="n">
        <v>0</v>
      </c>
      <c r="BJ779" s="2" t="n">
        <v>0</v>
      </c>
      <c r="BK779" s="2" t="n">
        <v>0</v>
      </c>
      <c r="BL779" s="2" t="n">
        <v>0</v>
      </c>
      <c r="BM779" s="2" t="n">
        <v>0</v>
      </c>
      <c r="BN779" s="2" t="n">
        <v>0</v>
      </c>
      <c r="BO779" s="2" t="n">
        <v>0</v>
      </c>
      <c r="BP779" s="2" t="n">
        <v>0</v>
      </c>
      <c r="BQ779" s="2" t="n">
        <v>0</v>
      </c>
      <c r="BR779" s="2" t="n">
        <v>0</v>
      </c>
      <c r="BS779" s="2" t="n">
        <v>0</v>
      </c>
      <c r="BT779" s="2" t="n">
        <v>0</v>
      </c>
      <c r="BU779" s="2" t="n">
        <v>0</v>
      </c>
      <c r="BV779" s="2" t="n">
        <v>0</v>
      </c>
      <c r="BW779" s="2" t="n">
        <v>0</v>
      </c>
      <c r="BX779" s="2" t="n">
        <v>0</v>
      </c>
      <c r="BY779" s="2" t="n">
        <v>0</v>
      </c>
      <c r="BZ779" s="2" t="n">
        <v>0</v>
      </c>
      <c r="CA779" s="2" t="n">
        <v>0</v>
      </c>
      <c r="CB779" s="2" t="n">
        <v>0</v>
      </c>
      <c r="CC779" s="2" t="n">
        <v>0</v>
      </c>
      <c r="CD779" s="2" t="n">
        <v>0</v>
      </c>
      <c r="CE779" s="2" t="n">
        <v>0</v>
      </c>
      <c r="CF779" s="2" t="n">
        <v>0</v>
      </c>
      <c r="CG779" s="2" t="n">
        <v>0</v>
      </c>
      <c r="CH779" s="2" t="n">
        <v>0</v>
      </c>
      <c r="CI779" s="2" t="n">
        <v>0</v>
      </c>
      <c r="CJ779" s="2" t="n">
        <v>0</v>
      </c>
      <c r="CK779" s="2" t="n">
        <v>0</v>
      </c>
      <c r="CL779" s="2" t="n">
        <v>0</v>
      </c>
      <c r="CM779" s="2" t="n">
        <v>0</v>
      </c>
      <c r="CN779" s="2" t="n">
        <v>0</v>
      </c>
      <c r="CO779" s="2" t="n">
        <v>0</v>
      </c>
      <c r="CP779" s="2" t="n">
        <v>0</v>
      </c>
      <c r="CQ779" s="2" t="n">
        <v>0</v>
      </c>
      <c r="CR779" s="2" t="n">
        <v>0</v>
      </c>
      <c r="CS779" s="2" t="n">
        <v>1.52</v>
      </c>
      <c r="CT779" s="2" t="n">
        <v>0</v>
      </c>
      <c r="CU779" s="2" t="n">
        <v>24.24</v>
      </c>
      <c r="CV779" s="2" t="n">
        <v>25.76</v>
      </c>
      <c r="CW779" s="2" t="n">
        <v>0</v>
      </c>
      <c r="CX779" s="2" t="n">
        <v>56.06</v>
      </c>
      <c r="CY779" s="2" t="n">
        <v>57.58</v>
      </c>
      <c r="CZ779" s="2" t="n">
        <v>0</v>
      </c>
      <c r="DA779" s="2" t="n">
        <v>87.88</v>
      </c>
      <c r="DB779" s="2" t="n">
        <v>89.39</v>
      </c>
      <c r="DC779" s="2" t="n">
        <v>0</v>
      </c>
      <c r="DD779" s="2" t="n">
        <v>100</v>
      </c>
      <c r="DE779" s="2" t="n">
        <v>100</v>
      </c>
      <c r="DF779" s="2" t="n">
        <v>0</v>
      </c>
      <c r="DG779" s="2" t="n">
        <v>100</v>
      </c>
      <c r="DH779" s="2" t="n">
        <v>100</v>
      </c>
      <c r="DI779" s="2" t="n">
        <v>0</v>
      </c>
      <c r="DJ779" s="2" t="n">
        <v>100</v>
      </c>
      <c r="DK779" s="2" t="n">
        <v>100</v>
      </c>
      <c r="DL779" s="2" t="n">
        <v>0</v>
      </c>
      <c r="DM779" s="2" t="n">
        <v>100</v>
      </c>
      <c r="DN779" s="2" t="n">
        <v>100</v>
      </c>
      <c r="DO779" s="2" t="n">
        <v>0</v>
      </c>
      <c r="DP779" s="2" t="n">
        <v>100</v>
      </c>
      <c r="DQ779" s="2" t="n">
        <v>100</v>
      </c>
      <c r="DR779" s="2" t="n">
        <v>0</v>
      </c>
      <c r="DS779" s="2" t="n">
        <v>100</v>
      </c>
      <c r="DT779" s="2" t="n">
        <v>100</v>
      </c>
      <c r="DU779" s="2" t="n">
        <v>0</v>
      </c>
      <c r="DV779" s="2" t="n">
        <v>100</v>
      </c>
      <c r="DW779" s="2" t="n">
        <v>100</v>
      </c>
      <c r="DX779" s="2" t="n">
        <v>0</v>
      </c>
      <c r="DY779" s="2" t="n">
        <v>100</v>
      </c>
      <c r="DZ779" s="2" t="n">
        <v>100</v>
      </c>
      <c r="EA779" s="2" t="n">
        <v>0</v>
      </c>
      <c r="EB779" s="2" t="n">
        <v>100</v>
      </c>
      <c r="EC779" s="2" t="n">
        <v>100</v>
      </c>
      <c r="ED779" s="2" t="n">
        <v>0</v>
      </c>
      <c r="EE779" s="2" t="n">
        <v>100</v>
      </c>
      <c r="EF779" s="2" t="n">
        <v>100</v>
      </c>
      <c r="EG779" s="2" t="n">
        <v>0</v>
      </c>
      <c r="EH779" s="2" t="n">
        <v>100</v>
      </c>
      <c r="EI779" s="2" t="n">
        <v>100</v>
      </c>
      <c r="EJ779" s="2" t="n">
        <v>0</v>
      </c>
      <c r="EK779" s="2" t="n">
        <v>100</v>
      </c>
      <c r="EL779" s="2" t="n">
        <v>100</v>
      </c>
      <c r="EM779" s="2" t="n">
        <v>0</v>
      </c>
      <c r="EN779" s="2" t="n">
        <v>100</v>
      </c>
      <c r="EO779" s="2" t="n">
        <v>100</v>
      </c>
      <c r="EP779" s="2" t="n">
        <v>0</v>
      </c>
      <c r="EQ779" s="2" t="n">
        <v>100</v>
      </c>
      <c r="ER779" s="2" t="n">
        <v>100</v>
      </c>
      <c r="ES779" s="2" t="n">
        <v>0</v>
      </c>
    </row>
    <row r="780">
      <c r="A780" s="2" t="n">
        <v>3</v>
      </c>
      <c r="B780" s="2" t="inlineStr">
        <is>
          <t>31.01.06</t>
        </is>
      </c>
      <c r="C780" s="2" t="inlineStr">
        <is>
          <t>Ladrilho hidráulico anti-derrapante para passeios</t>
        </is>
      </c>
      <c r="D780" s="2" t="inlineStr">
        <is>
          <t>30/11/2027</t>
        </is>
      </c>
      <c r="E780" s="2" t="inlineStr">
        <is>
          <t>09/03/2028</t>
        </is>
      </c>
      <c r="F780" s="2" t="n">
        <v>15246.63889605037</v>
      </c>
      <c r="G780" s="2" t="n">
        <v>0</v>
      </c>
      <c r="H780" s="2" t="n">
        <v>15246.63889605037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0</v>
      </c>
      <c r="AM780" s="2" t="n">
        <v>0</v>
      </c>
      <c r="AN780" s="2" t="n">
        <v>0</v>
      </c>
      <c r="AO780" s="2" t="n">
        <v>0</v>
      </c>
      <c r="AP780" s="2" t="n">
        <v>0</v>
      </c>
      <c r="AQ780" s="2" t="n">
        <v>0</v>
      </c>
      <c r="AR780" s="2" t="n">
        <v>0</v>
      </c>
      <c r="AS780" s="2" t="n">
        <v>0</v>
      </c>
      <c r="AT780" s="2" t="n">
        <v>0</v>
      </c>
      <c r="AU780" s="2" t="n">
        <v>0</v>
      </c>
      <c r="AV780" s="2" t="n">
        <v>0</v>
      </c>
      <c r="AW780" s="2" t="n">
        <v>0</v>
      </c>
      <c r="AX780" s="2" t="n">
        <v>0</v>
      </c>
      <c r="AY780" s="2" t="n">
        <v>0</v>
      </c>
      <c r="AZ780" s="2" t="n">
        <v>0</v>
      </c>
      <c r="BA780" s="2" t="n">
        <v>0</v>
      </c>
      <c r="BB780" s="2" t="n">
        <v>0</v>
      </c>
      <c r="BC780" s="2" t="n">
        <v>0</v>
      </c>
      <c r="BD780" s="2" t="n">
        <v>0</v>
      </c>
      <c r="BE780" s="2" t="n">
        <v>0</v>
      </c>
      <c r="BF780" s="2" t="n">
        <v>0</v>
      </c>
      <c r="BG780" s="2" t="n">
        <v>0</v>
      </c>
      <c r="BH780" s="2" t="n">
        <v>0</v>
      </c>
      <c r="BI780" s="2" t="n">
        <v>0</v>
      </c>
      <c r="BJ780" s="2" t="n">
        <v>0</v>
      </c>
      <c r="BK780" s="2" t="n">
        <v>0</v>
      </c>
      <c r="BL780" s="2" t="n">
        <v>0</v>
      </c>
      <c r="BM780" s="2" t="n">
        <v>0</v>
      </c>
      <c r="BN780" s="2" t="n">
        <v>0</v>
      </c>
      <c r="BO780" s="2" t="n">
        <v>0</v>
      </c>
      <c r="BP780" s="2" t="n">
        <v>0</v>
      </c>
      <c r="BQ780" s="2" t="n">
        <v>0</v>
      </c>
      <c r="BR780" s="2" t="n">
        <v>0</v>
      </c>
      <c r="BS780" s="2" t="n">
        <v>0</v>
      </c>
      <c r="BT780" s="2" t="n">
        <v>0</v>
      </c>
      <c r="BU780" s="2" t="n">
        <v>0</v>
      </c>
      <c r="BV780" s="2" t="n">
        <v>0</v>
      </c>
      <c r="BW780" s="2" t="n">
        <v>0</v>
      </c>
      <c r="BX780" s="2" t="n">
        <v>0</v>
      </c>
      <c r="BY780" s="2" t="n">
        <v>0</v>
      </c>
      <c r="BZ780" s="2" t="n">
        <v>0</v>
      </c>
      <c r="CA780" s="2" t="n">
        <v>0</v>
      </c>
      <c r="CB780" s="2" t="n">
        <v>0</v>
      </c>
      <c r="CC780" s="2" t="n">
        <v>0</v>
      </c>
      <c r="CD780" s="2" t="n">
        <v>0</v>
      </c>
      <c r="CE780" s="2" t="n">
        <v>0</v>
      </c>
      <c r="CF780" s="2" t="n">
        <v>0</v>
      </c>
      <c r="CG780" s="2" t="n">
        <v>0</v>
      </c>
      <c r="CH780" s="2" t="n">
        <v>0</v>
      </c>
      <c r="CI780" s="2" t="n">
        <v>0</v>
      </c>
      <c r="CJ780" s="2" t="n">
        <v>0</v>
      </c>
      <c r="CK780" s="2" t="n">
        <v>0</v>
      </c>
      <c r="CL780" s="2" t="n">
        <v>0</v>
      </c>
      <c r="CM780" s="2" t="n">
        <v>0</v>
      </c>
      <c r="CN780" s="2" t="n">
        <v>0</v>
      </c>
      <c r="CO780" s="2" t="n">
        <v>0</v>
      </c>
      <c r="CP780" s="2" t="n">
        <v>0</v>
      </c>
      <c r="CQ780" s="2" t="n">
        <v>0</v>
      </c>
      <c r="CR780" s="2" t="n">
        <v>0</v>
      </c>
      <c r="CS780" s="2" t="n">
        <v>1.52</v>
      </c>
      <c r="CT780" s="2" t="n">
        <v>0</v>
      </c>
      <c r="CU780" s="2" t="n">
        <v>24.24</v>
      </c>
      <c r="CV780" s="2" t="n">
        <v>25.76</v>
      </c>
      <c r="CW780" s="2" t="n">
        <v>0</v>
      </c>
      <c r="CX780" s="2" t="n">
        <v>56.06</v>
      </c>
      <c r="CY780" s="2" t="n">
        <v>57.58</v>
      </c>
      <c r="CZ780" s="2" t="n">
        <v>0</v>
      </c>
      <c r="DA780" s="2" t="n">
        <v>87.88</v>
      </c>
      <c r="DB780" s="2" t="n">
        <v>89.39</v>
      </c>
      <c r="DC780" s="2" t="n">
        <v>0</v>
      </c>
      <c r="DD780" s="2" t="n">
        <v>100</v>
      </c>
      <c r="DE780" s="2" t="n">
        <v>100</v>
      </c>
      <c r="DF780" s="2" t="n">
        <v>0</v>
      </c>
      <c r="DG780" s="2" t="n">
        <v>100</v>
      </c>
      <c r="DH780" s="2" t="n">
        <v>100</v>
      </c>
      <c r="DI780" s="2" t="n">
        <v>0</v>
      </c>
      <c r="DJ780" s="2" t="n">
        <v>100</v>
      </c>
      <c r="DK780" s="2" t="n">
        <v>100</v>
      </c>
      <c r="DL780" s="2" t="n">
        <v>0</v>
      </c>
      <c r="DM780" s="2" t="n">
        <v>100</v>
      </c>
      <c r="DN780" s="2" t="n">
        <v>100</v>
      </c>
      <c r="DO780" s="2" t="n">
        <v>0</v>
      </c>
      <c r="DP780" s="2" t="n">
        <v>100</v>
      </c>
      <c r="DQ780" s="2" t="n">
        <v>100</v>
      </c>
      <c r="DR780" s="2" t="n">
        <v>0</v>
      </c>
      <c r="DS780" s="2" t="n">
        <v>100</v>
      </c>
      <c r="DT780" s="2" t="n">
        <v>100</v>
      </c>
      <c r="DU780" s="2" t="n">
        <v>0</v>
      </c>
      <c r="DV780" s="2" t="n">
        <v>100</v>
      </c>
      <c r="DW780" s="2" t="n">
        <v>100</v>
      </c>
      <c r="DX780" s="2" t="n">
        <v>0</v>
      </c>
      <c r="DY780" s="2" t="n">
        <v>100</v>
      </c>
      <c r="DZ780" s="2" t="n">
        <v>100</v>
      </c>
      <c r="EA780" s="2" t="n">
        <v>0</v>
      </c>
      <c r="EB780" s="2" t="n">
        <v>100</v>
      </c>
      <c r="EC780" s="2" t="n">
        <v>100</v>
      </c>
      <c r="ED780" s="2" t="n">
        <v>0</v>
      </c>
      <c r="EE780" s="2" t="n">
        <v>100</v>
      </c>
      <c r="EF780" s="2" t="n">
        <v>100</v>
      </c>
      <c r="EG780" s="2" t="n">
        <v>0</v>
      </c>
      <c r="EH780" s="2" t="n">
        <v>100</v>
      </c>
      <c r="EI780" s="2" t="n">
        <v>100</v>
      </c>
      <c r="EJ780" s="2" t="n">
        <v>0</v>
      </c>
      <c r="EK780" s="2" t="n">
        <v>100</v>
      </c>
      <c r="EL780" s="2" t="n">
        <v>100</v>
      </c>
      <c r="EM780" s="2" t="n">
        <v>0</v>
      </c>
      <c r="EN780" s="2" t="n">
        <v>100</v>
      </c>
      <c r="EO780" s="2" t="n">
        <v>100</v>
      </c>
      <c r="EP780" s="2" t="n">
        <v>0</v>
      </c>
      <c r="EQ780" s="2" t="n">
        <v>100</v>
      </c>
      <c r="ER780" s="2" t="n">
        <v>100</v>
      </c>
      <c r="ES780" s="2" t="n">
        <v>0</v>
      </c>
    </row>
    <row r="781">
      <c r="A781" s="2" t="n">
        <v>3</v>
      </c>
      <c r="B781" s="2" t="inlineStr">
        <is>
          <t>31.01.07</t>
        </is>
      </c>
      <c r="C781" s="2" t="inlineStr">
        <is>
          <t>Piso tatil para Portadores de necessidades especiais</t>
        </is>
      </c>
      <c r="D781" s="2" t="inlineStr">
        <is>
          <t>30/11/2027</t>
        </is>
      </c>
      <c r="E781" s="2" t="inlineStr">
        <is>
          <t>09/03/2028</t>
        </is>
      </c>
      <c r="F781" s="2" t="n">
        <v>5078.060502439273</v>
      </c>
      <c r="G781" s="2" t="n">
        <v>0</v>
      </c>
      <c r="H781" s="2" t="n">
        <v>5078.060502439273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0</v>
      </c>
      <c r="AP781" s="2" t="n">
        <v>0</v>
      </c>
      <c r="AQ781" s="2" t="n">
        <v>0</v>
      </c>
      <c r="AR781" s="2" t="n">
        <v>0</v>
      </c>
      <c r="AS781" s="2" t="n">
        <v>0</v>
      </c>
      <c r="AT781" s="2" t="n">
        <v>0</v>
      </c>
      <c r="AU781" s="2" t="n">
        <v>0</v>
      </c>
      <c r="AV781" s="2" t="n">
        <v>0</v>
      </c>
      <c r="AW781" s="2" t="n">
        <v>0</v>
      </c>
      <c r="AX781" s="2" t="n">
        <v>0</v>
      </c>
      <c r="AY781" s="2" t="n">
        <v>0</v>
      </c>
      <c r="AZ781" s="2" t="n">
        <v>0</v>
      </c>
      <c r="BA781" s="2" t="n">
        <v>0</v>
      </c>
      <c r="BB781" s="2" t="n">
        <v>0</v>
      </c>
      <c r="BC781" s="2" t="n">
        <v>0</v>
      </c>
      <c r="BD781" s="2" t="n">
        <v>0</v>
      </c>
      <c r="BE781" s="2" t="n">
        <v>0</v>
      </c>
      <c r="BF781" s="2" t="n">
        <v>0</v>
      </c>
      <c r="BG781" s="2" t="n">
        <v>0</v>
      </c>
      <c r="BH781" s="2" t="n">
        <v>0</v>
      </c>
      <c r="BI781" s="2" t="n">
        <v>0</v>
      </c>
      <c r="BJ781" s="2" t="n">
        <v>0</v>
      </c>
      <c r="BK781" s="2" t="n">
        <v>0</v>
      </c>
      <c r="BL781" s="2" t="n">
        <v>0</v>
      </c>
      <c r="BM781" s="2" t="n">
        <v>0</v>
      </c>
      <c r="BN781" s="2" t="n">
        <v>0</v>
      </c>
      <c r="BO781" s="2" t="n">
        <v>0</v>
      </c>
      <c r="BP781" s="2" t="n">
        <v>0</v>
      </c>
      <c r="BQ781" s="2" t="n">
        <v>0</v>
      </c>
      <c r="BR781" s="2" t="n">
        <v>0</v>
      </c>
      <c r="BS781" s="2" t="n">
        <v>0</v>
      </c>
      <c r="BT781" s="2" t="n">
        <v>0</v>
      </c>
      <c r="BU781" s="2" t="n">
        <v>0</v>
      </c>
      <c r="BV781" s="2" t="n">
        <v>0</v>
      </c>
      <c r="BW781" s="2" t="n">
        <v>0</v>
      </c>
      <c r="BX781" s="2" t="n">
        <v>0</v>
      </c>
      <c r="BY781" s="2" t="n">
        <v>0</v>
      </c>
      <c r="BZ781" s="2" t="n">
        <v>0</v>
      </c>
      <c r="CA781" s="2" t="n">
        <v>0</v>
      </c>
      <c r="CB781" s="2" t="n">
        <v>0</v>
      </c>
      <c r="CC781" s="2" t="n">
        <v>0</v>
      </c>
      <c r="CD781" s="2" t="n">
        <v>0</v>
      </c>
      <c r="CE781" s="2" t="n">
        <v>0</v>
      </c>
      <c r="CF781" s="2" t="n">
        <v>0</v>
      </c>
      <c r="CG781" s="2" t="n">
        <v>0</v>
      </c>
      <c r="CH781" s="2" t="n">
        <v>0</v>
      </c>
      <c r="CI781" s="2" t="n">
        <v>0</v>
      </c>
      <c r="CJ781" s="2" t="n">
        <v>0</v>
      </c>
      <c r="CK781" s="2" t="n">
        <v>0</v>
      </c>
      <c r="CL781" s="2" t="n">
        <v>0</v>
      </c>
      <c r="CM781" s="2" t="n">
        <v>0</v>
      </c>
      <c r="CN781" s="2" t="n">
        <v>0</v>
      </c>
      <c r="CO781" s="2" t="n">
        <v>0</v>
      </c>
      <c r="CP781" s="2" t="n">
        <v>0</v>
      </c>
      <c r="CQ781" s="2" t="n">
        <v>0</v>
      </c>
      <c r="CR781" s="2" t="n">
        <v>0</v>
      </c>
      <c r="CS781" s="2" t="n">
        <v>1.52</v>
      </c>
      <c r="CT781" s="2" t="n">
        <v>0</v>
      </c>
      <c r="CU781" s="2" t="n">
        <v>24.24</v>
      </c>
      <c r="CV781" s="2" t="n">
        <v>25.76</v>
      </c>
      <c r="CW781" s="2" t="n">
        <v>0</v>
      </c>
      <c r="CX781" s="2" t="n">
        <v>56.06</v>
      </c>
      <c r="CY781" s="2" t="n">
        <v>57.58</v>
      </c>
      <c r="CZ781" s="2" t="n">
        <v>0</v>
      </c>
      <c r="DA781" s="2" t="n">
        <v>87.88</v>
      </c>
      <c r="DB781" s="2" t="n">
        <v>89.39</v>
      </c>
      <c r="DC781" s="2" t="n">
        <v>0</v>
      </c>
      <c r="DD781" s="2" t="n">
        <v>100</v>
      </c>
      <c r="DE781" s="2" t="n">
        <v>100</v>
      </c>
      <c r="DF781" s="2" t="n">
        <v>0</v>
      </c>
      <c r="DG781" s="2" t="n">
        <v>100</v>
      </c>
      <c r="DH781" s="2" t="n">
        <v>100</v>
      </c>
      <c r="DI781" s="2" t="n">
        <v>0</v>
      </c>
      <c r="DJ781" s="2" t="n">
        <v>100</v>
      </c>
      <c r="DK781" s="2" t="n">
        <v>100</v>
      </c>
      <c r="DL781" s="2" t="n">
        <v>0</v>
      </c>
      <c r="DM781" s="2" t="n">
        <v>100</v>
      </c>
      <c r="DN781" s="2" t="n">
        <v>100</v>
      </c>
      <c r="DO781" s="2" t="n">
        <v>0</v>
      </c>
      <c r="DP781" s="2" t="n">
        <v>100</v>
      </c>
      <c r="DQ781" s="2" t="n">
        <v>100</v>
      </c>
      <c r="DR781" s="2" t="n">
        <v>0</v>
      </c>
      <c r="DS781" s="2" t="n">
        <v>100</v>
      </c>
      <c r="DT781" s="2" t="n">
        <v>100</v>
      </c>
      <c r="DU781" s="2" t="n">
        <v>0</v>
      </c>
      <c r="DV781" s="2" t="n">
        <v>100</v>
      </c>
      <c r="DW781" s="2" t="n">
        <v>100</v>
      </c>
      <c r="DX781" s="2" t="n">
        <v>0</v>
      </c>
      <c r="DY781" s="2" t="n">
        <v>100</v>
      </c>
      <c r="DZ781" s="2" t="n">
        <v>100</v>
      </c>
      <c r="EA781" s="2" t="n">
        <v>0</v>
      </c>
      <c r="EB781" s="2" t="n">
        <v>100</v>
      </c>
      <c r="EC781" s="2" t="n">
        <v>100</v>
      </c>
      <c r="ED781" s="2" t="n">
        <v>0</v>
      </c>
      <c r="EE781" s="2" t="n">
        <v>100</v>
      </c>
      <c r="EF781" s="2" t="n">
        <v>100</v>
      </c>
      <c r="EG781" s="2" t="n">
        <v>0</v>
      </c>
      <c r="EH781" s="2" t="n">
        <v>100</v>
      </c>
      <c r="EI781" s="2" t="n">
        <v>100</v>
      </c>
      <c r="EJ781" s="2" t="n">
        <v>0</v>
      </c>
      <c r="EK781" s="2" t="n">
        <v>100</v>
      </c>
      <c r="EL781" s="2" t="n">
        <v>100</v>
      </c>
      <c r="EM781" s="2" t="n">
        <v>0</v>
      </c>
      <c r="EN781" s="2" t="n">
        <v>100</v>
      </c>
      <c r="EO781" s="2" t="n">
        <v>100</v>
      </c>
      <c r="EP781" s="2" t="n">
        <v>0</v>
      </c>
      <c r="EQ781" s="2" t="n">
        <v>100</v>
      </c>
      <c r="ER781" s="2" t="n">
        <v>100</v>
      </c>
      <c r="ES781" s="2" t="n">
        <v>0</v>
      </c>
    </row>
    <row r="782">
      <c r="A782" s="2" t="n">
        <v>1</v>
      </c>
      <c r="B782" s="2" t="inlineStr">
        <is>
          <t>32</t>
        </is>
      </c>
      <c r="C782" s="2" t="inlineStr">
        <is>
          <t>REVESTIMENTO DIVERSOS - FACHADA</t>
        </is>
      </c>
      <c r="D782" s="2" t="inlineStr">
        <is>
          <t>18/08/2027</t>
        </is>
      </c>
      <c r="E782" s="2" t="inlineStr">
        <is>
          <t>27/02/2029</t>
        </is>
      </c>
      <c r="F782" s="2" t="n">
        <v>5055622.295905123</v>
      </c>
      <c r="G782" s="2" t="n">
        <v>0</v>
      </c>
      <c r="H782" s="2" t="n">
        <v>5055622.295905123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0</v>
      </c>
      <c r="AM782" s="2" t="n">
        <v>0</v>
      </c>
      <c r="AN782" s="2" t="n">
        <v>0</v>
      </c>
      <c r="AO782" s="2" t="n">
        <v>0</v>
      </c>
      <c r="AP782" s="2" t="n">
        <v>0</v>
      </c>
      <c r="AQ782" s="2" t="n">
        <v>0</v>
      </c>
      <c r="AR782" s="2" t="n">
        <v>0</v>
      </c>
      <c r="AS782" s="2" t="n">
        <v>0</v>
      </c>
      <c r="AT782" s="2" t="n">
        <v>0</v>
      </c>
      <c r="AU782" s="2" t="n">
        <v>0</v>
      </c>
      <c r="AV782" s="2" t="n">
        <v>0</v>
      </c>
      <c r="AW782" s="2" t="n">
        <v>0</v>
      </c>
      <c r="AX782" s="2" t="n">
        <v>0</v>
      </c>
      <c r="AY782" s="2" t="n">
        <v>0</v>
      </c>
      <c r="AZ782" s="2" t="n">
        <v>0</v>
      </c>
      <c r="BA782" s="2" t="n">
        <v>0</v>
      </c>
      <c r="BB782" s="2" t="n">
        <v>0</v>
      </c>
      <c r="BC782" s="2" t="n">
        <v>0</v>
      </c>
      <c r="BD782" s="2" t="n">
        <v>0</v>
      </c>
      <c r="BE782" s="2" t="n">
        <v>0</v>
      </c>
      <c r="BF782" s="2" t="n">
        <v>0</v>
      </c>
      <c r="BG782" s="2" t="n">
        <v>0</v>
      </c>
      <c r="BH782" s="2" t="n">
        <v>0</v>
      </c>
      <c r="BI782" s="2" t="n">
        <v>0</v>
      </c>
      <c r="BJ782" s="2" t="n">
        <v>0</v>
      </c>
      <c r="BK782" s="2" t="n">
        <v>0</v>
      </c>
      <c r="BL782" s="2" t="n">
        <v>0</v>
      </c>
      <c r="BM782" s="2" t="n">
        <v>0</v>
      </c>
      <c r="BN782" s="2" t="n">
        <v>0</v>
      </c>
      <c r="BO782" s="2" t="n">
        <v>0</v>
      </c>
      <c r="BP782" s="2" t="n">
        <v>0</v>
      </c>
      <c r="BQ782" s="2" t="n">
        <v>0</v>
      </c>
      <c r="BR782" s="2" t="n">
        <v>0</v>
      </c>
      <c r="BS782" s="2" t="n">
        <v>0</v>
      </c>
      <c r="BT782" s="2" t="n">
        <v>0</v>
      </c>
      <c r="BU782" s="2" t="n">
        <v>0</v>
      </c>
      <c r="BV782" s="2" t="n">
        <v>0</v>
      </c>
      <c r="BW782" s="2" t="n">
        <v>0</v>
      </c>
      <c r="BX782" s="2" t="n">
        <v>0</v>
      </c>
      <c r="BY782" s="2" t="n">
        <v>0</v>
      </c>
      <c r="BZ782" s="2" t="n">
        <v>0</v>
      </c>
      <c r="CA782" s="2" t="n">
        <v>0</v>
      </c>
      <c r="CB782" s="2" t="n">
        <v>0</v>
      </c>
      <c r="CC782" s="2" t="n">
        <v>0</v>
      </c>
      <c r="CD782" s="2" t="n">
        <v>0</v>
      </c>
      <c r="CE782" s="2" t="n">
        <v>0</v>
      </c>
      <c r="CF782" s="2" t="n">
        <v>0</v>
      </c>
      <c r="CG782" s="2" t="n">
        <v>0</v>
      </c>
      <c r="CH782" s="2" t="n">
        <v>0</v>
      </c>
      <c r="CI782" s="2" t="n">
        <v>1.17</v>
      </c>
      <c r="CJ782" s="2" t="n">
        <v>2.34</v>
      </c>
      <c r="CK782" s="2" t="n">
        <v>0</v>
      </c>
      <c r="CL782" s="2" t="n">
        <v>8.5</v>
      </c>
      <c r="CM782" s="2" t="n">
        <v>10.77</v>
      </c>
      <c r="CN782" s="2" t="n">
        <v>0</v>
      </c>
      <c r="CO782" s="2" t="n">
        <v>19.23</v>
      </c>
      <c r="CP782" s="2" t="n">
        <v>22.67</v>
      </c>
      <c r="CQ782" s="2" t="n">
        <v>0</v>
      </c>
      <c r="CR782" s="2" t="n">
        <v>30.18</v>
      </c>
      <c r="CS782" s="2" t="n">
        <v>32.55</v>
      </c>
      <c r="CT782" s="2" t="n">
        <v>0</v>
      </c>
      <c r="CU782" s="2" t="n">
        <v>38.99</v>
      </c>
      <c r="CV782" s="2" t="n">
        <v>41.36</v>
      </c>
      <c r="CW782" s="2" t="n">
        <v>0</v>
      </c>
      <c r="CX782" s="2" t="n">
        <v>48.36</v>
      </c>
      <c r="CY782" s="2" t="n">
        <v>49.37</v>
      </c>
      <c r="CZ782" s="2" t="n">
        <v>0</v>
      </c>
      <c r="DA782" s="2" t="n">
        <v>55.42</v>
      </c>
      <c r="DB782" s="2" t="n">
        <v>57.3</v>
      </c>
      <c r="DC782" s="2" t="n">
        <v>0</v>
      </c>
      <c r="DD782" s="2" t="n">
        <v>62.46</v>
      </c>
      <c r="DE782" s="2" t="n">
        <v>63.38</v>
      </c>
      <c r="DF782" s="2" t="n">
        <v>0</v>
      </c>
      <c r="DG782" s="2" t="n">
        <v>65.78</v>
      </c>
      <c r="DH782" s="2" t="n">
        <v>66</v>
      </c>
      <c r="DI782" s="2" t="n">
        <v>0</v>
      </c>
      <c r="DJ782" s="2" t="n">
        <v>68.08</v>
      </c>
      <c r="DK782" s="2" t="n">
        <v>69</v>
      </c>
      <c r="DL782" s="2" t="n">
        <v>0</v>
      </c>
      <c r="DM782" s="2" t="n">
        <v>71</v>
      </c>
      <c r="DN782" s="2" t="n">
        <v>73.91</v>
      </c>
      <c r="DO782" s="2" t="n">
        <v>0</v>
      </c>
      <c r="DP782" s="2" t="n">
        <v>81.51000000000001</v>
      </c>
      <c r="DQ782" s="2" t="n">
        <v>81.55</v>
      </c>
      <c r="DR782" s="2" t="n">
        <v>0</v>
      </c>
      <c r="DS782" s="2" t="n">
        <v>90.3</v>
      </c>
      <c r="DT782" s="2" t="n">
        <v>93.22</v>
      </c>
      <c r="DU782" s="2" t="n">
        <v>0</v>
      </c>
      <c r="DV782" s="2" t="n">
        <v>93.34999999999999</v>
      </c>
      <c r="DW782" s="2" t="n">
        <v>93.40000000000001</v>
      </c>
      <c r="DX782" s="2" t="n">
        <v>0</v>
      </c>
      <c r="DY782" s="2" t="n">
        <v>96.69</v>
      </c>
      <c r="DZ782" s="2" t="n">
        <v>98.17</v>
      </c>
      <c r="EA782" s="2" t="n">
        <v>0</v>
      </c>
      <c r="EB782" s="2" t="n">
        <v>99.45</v>
      </c>
      <c r="EC782" s="2" t="n">
        <v>99.48999999999999</v>
      </c>
      <c r="ED782" s="2" t="n">
        <v>0</v>
      </c>
      <c r="EE782" s="2" t="n">
        <v>99.58</v>
      </c>
      <c r="EF782" s="2" t="n">
        <v>99.63</v>
      </c>
      <c r="EG782" s="2" t="n">
        <v>0</v>
      </c>
      <c r="EH782" s="2" t="n">
        <v>99.78</v>
      </c>
      <c r="EI782" s="2" t="n">
        <v>99.83</v>
      </c>
      <c r="EJ782" s="2" t="n">
        <v>0</v>
      </c>
      <c r="EK782" s="2" t="n">
        <v>99.97</v>
      </c>
      <c r="EL782" s="2" t="n">
        <v>100</v>
      </c>
      <c r="EM782" s="2" t="n">
        <v>0</v>
      </c>
      <c r="EN782" s="2" t="n">
        <v>100</v>
      </c>
      <c r="EO782" s="2" t="n">
        <v>100</v>
      </c>
      <c r="EP782" s="2" t="n">
        <v>0</v>
      </c>
      <c r="EQ782" s="2" t="n">
        <v>100</v>
      </c>
      <c r="ER782" s="2" t="n">
        <v>100</v>
      </c>
      <c r="ES782" s="2" t="n">
        <v>0</v>
      </c>
    </row>
    <row r="783">
      <c r="A783" s="2" t="n">
        <v>2</v>
      </c>
      <c r="B783" s="2" t="inlineStr">
        <is>
          <t>32.01</t>
        </is>
      </c>
      <c r="C783" s="2" t="inlineStr">
        <is>
          <t>Argamassas</t>
        </is>
      </c>
      <c r="D783" s="2" t="inlineStr">
        <is>
          <t>18/08/2027</t>
        </is>
      </c>
      <c r="E783" s="2" t="inlineStr">
        <is>
          <t>06/06/2028</t>
        </is>
      </c>
      <c r="F783" s="2" t="n">
        <v>708626.1302552667</v>
      </c>
      <c r="G783" s="2" t="n">
        <v>0</v>
      </c>
      <c r="H783" s="2" t="n">
        <v>708626.1302552667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n">
        <v>0</v>
      </c>
      <c r="AK783" s="2" t="n">
        <v>0</v>
      </c>
      <c r="AL783" s="2" t="n">
        <v>0</v>
      </c>
      <c r="AM783" s="2" t="n">
        <v>0</v>
      </c>
      <c r="AN783" s="2" t="n">
        <v>0</v>
      </c>
      <c r="AO783" s="2" t="n">
        <v>0</v>
      </c>
      <c r="AP783" s="2" t="n">
        <v>0</v>
      </c>
      <c r="AQ783" s="2" t="n">
        <v>0</v>
      </c>
      <c r="AR783" s="2" t="n">
        <v>0</v>
      </c>
      <c r="AS783" s="2" t="n">
        <v>0</v>
      </c>
      <c r="AT783" s="2" t="n">
        <v>0</v>
      </c>
      <c r="AU783" s="2" t="n">
        <v>0</v>
      </c>
      <c r="AV783" s="2" t="n">
        <v>0</v>
      </c>
      <c r="AW783" s="2" t="n">
        <v>0</v>
      </c>
      <c r="AX783" s="2" t="n">
        <v>0</v>
      </c>
      <c r="AY783" s="2" t="n">
        <v>0</v>
      </c>
      <c r="AZ783" s="2" t="n">
        <v>0</v>
      </c>
      <c r="BA783" s="2" t="n">
        <v>0</v>
      </c>
      <c r="BB783" s="2" t="n">
        <v>0</v>
      </c>
      <c r="BC783" s="2" t="n">
        <v>0</v>
      </c>
      <c r="BD783" s="2" t="n">
        <v>0</v>
      </c>
      <c r="BE783" s="2" t="n">
        <v>0</v>
      </c>
      <c r="BF783" s="2" t="n">
        <v>0</v>
      </c>
      <c r="BG783" s="2" t="n">
        <v>0</v>
      </c>
      <c r="BH783" s="2" t="n">
        <v>0</v>
      </c>
      <c r="BI783" s="2" t="n">
        <v>0</v>
      </c>
      <c r="BJ783" s="2" t="n">
        <v>0</v>
      </c>
      <c r="BK783" s="2" t="n">
        <v>0</v>
      </c>
      <c r="BL783" s="2" t="n">
        <v>0</v>
      </c>
      <c r="BM783" s="2" t="n">
        <v>0</v>
      </c>
      <c r="BN783" s="2" t="n">
        <v>0</v>
      </c>
      <c r="BO783" s="2" t="n">
        <v>0</v>
      </c>
      <c r="BP783" s="2" t="n">
        <v>0</v>
      </c>
      <c r="BQ783" s="2" t="n">
        <v>0</v>
      </c>
      <c r="BR783" s="2" t="n">
        <v>0</v>
      </c>
      <c r="BS783" s="2" t="n">
        <v>0</v>
      </c>
      <c r="BT783" s="2" t="n">
        <v>0</v>
      </c>
      <c r="BU783" s="2" t="n">
        <v>0</v>
      </c>
      <c r="BV783" s="2" t="n">
        <v>0</v>
      </c>
      <c r="BW783" s="2" t="n">
        <v>0</v>
      </c>
      <c r="BX783" s="2" t="n">
        <v>0</v>
      </c>
      <c r="BY783" s="2" t="n">
        <v>0</v>
      </c>
      <c r="BZ783" s="2" t="n">
        <v>0</v>
      </c>
      <c r="CA783" s="2" t="n">
        <v>0</v>
      </c>
      <c r="CB783" s="2" t="n">
        <v>0</v>
      </c>
      <c r="CC783" s="2" t="n">
        <v>0</v>
      </c>
      <c r="CD783" s="2" t="n">
        <v>0</v>
      </c>
      <c r="CE783" s="2" t="n">
        <v>0</v>
      </c>
      <c r="CF783" s="2" t="n">
        <v>0</v>
      </c>
      <c r="CG783" s="2" t="n">
        <v>0</v>
      </c>
      <c r="CH783" s="2" t="n">
        <v>0</v>
      </c>
      <c r="CI783" s="2" t="n">
        <v>6.67</v>
      </c>
      <c r="CJ783" s="2" t="n">
        <v>13.33</v>
      </c>
      <c r="CK783" s="2" t="n">
        <v>0</v>
      </c>
      <c r="CL783" s="2" t="n">
        <v>20</v>
      </c>
      <c r="CM783" s="2" t="n">
        <v>20</v>
      </c>
      <c r="CN783" s="2" t="n">
        <v>0</v>
      </c>
      <c r="CO783" s="2" t="n">
        <v>29.33</v>
      </c>
      <c r="CP783" s="2" t="n">
        <v>36</v>
      </c>
      <c r="CQ783" s="2" t="n">
        <v>0</v>
      </c>
      <c r="CR783" s="2" t="n">
        <v>40</v>
      </c>
      <c r="CS783" s="2" t="n">
        <v>40</v>
      </c>
      <c r="CT783" s="2" t="n">
        <v>0</v>
      </c>
      <c r="CU783" s="2" t="n">
        <v>40</v>
      </c>
      <c r="CV783" s="2" t="n">
        <v>40</v>
      </c>
      <c r="CW783" s="2" t="n">
        <v>0</v>
      </c>
      <c r="CX783" s="2" t="n">
        <v>40</v>
      </c>
      <c r="CY783" s="2" t="n">
        <v>40</v>
      </c>
      <c r="CZ783" s="2" t="n">
        <v>0</v>
      </c>
      <c r="DA783" s="2" t="n">
        <v>47</v>
      </c>
      <c r="DB783" s="2" t="n">
        <v>52</v>
      </c>
      <c r="DC783" s="2" t="n">
        <v>0</v>
      </c>
      <c r="DD783" s="2" t="n">
        <v>61</v>
      </c>
      <c r="DE783" s="2" t="n">
        <v>66</v>
      </c>
      <c r="DF783" s="2" t="n">
        <v>0</v>
      </c>
      <c r="DG783" s="2" t="n">
        <v>79</v>
      </c>
      <c r="DH783" s="2" t="n">
        <v>80</v>
      </c>
      <c r="DI783" s="2" t="n">
        <v>0</v>
      </c>
      <c r="DJ783" s="2" t="n">
        <v>91</v>
      </c>
      <c r="DK783" s="2" t="n">
        <v>96</v>
      </c>
      <c r="DL783" s="2" t="n">
        <v>0</v>
      </c>
      <c r="DM783" s="2" t="n">
        <v>100</v>
      </c>
      <c r="DN783" s="2" t="n">
        <v>100</v>
      </c>
      <c r="DO783" s="2" t="n">
        <v>0</v>
      </c>
      <c r="DP783" s="2" t="n">
        <v>100</v>
      </c>
      <c r="DQ783" s="2" t="n">
        <v>100</v>
      </c>
      <c r="DR783" s="2" t="n">
        <v>0</v>
      </c>
      <c r="DS783" s="2" t="n">
        <v>100</v>
      </c>
      <c r="DT783" s="2" t="n">
        <v>100</v>
      </c>
      <c r="DU783" s="2" t="n">
        <v>0</v>
      </c>
      <c r="DV783" s="2" t="n">
        <v>100</v>
      </c>
      <c r="DW783" s="2" t="n">
        <v>100</v>
      </c>
      <c r="DX783" s="2" t="n">
        <v>0</v>
      </c>
      <c r="DY783" s="2" t="n">
        <v>100</v>
      </c>
      <c r="DZ783" s="2" t="n">
        <v>100</v>
      </c>
      <c r="EA783" s="2" t="n">
        <v>0</v>
      </c>
      <c r="EB783" s="2" t="n">
        <v>100</v>
      </c>
      <c r="EC783" s="2" t="n">
        <v>100</v>
      </c>
      <c r="ED783" s="2" t="n">
        <v>0</v>
      </c>
      <c r="EE783" s="2" t="n">
        <v>100</v>
      </c>
      <c r="EF783" s="2" t="n">
        <v>100</v>
      </c>
      <c r="EG783" s="2" t="n">
        <v>0</v>
      </c>
      <c r="EH783" s="2" t="n">
        <v>100</v>
      </c>
      <c r="EI783" s="2" t="n">
        <v>100</v>
      </c>
      <c r="EJ783" s="2" t="n">
        <v>0</v>
      </c>
      <c r="EK783" s="2" t="n">
        <v>100</v>
      </c>
      <c r="EL783" s="2" t="n">
        <v>100</v>
      </c>
      <c r="EM783" s="2" t="n">
        <v>0</v>
      </c>
      <c r="EN783" s="2" t="n">
        <v>100</v>
      </c>
      <c r="EO783" s="2" t="n">
        <v>100</v>
      </c>
      <c r="EP783" s="2" t="n">
        <v>0</v>
      </c>
      <c r="EQ783" s="2" t="n">
        <v>100</v>
      </c>
      <c r="ER783" s="2" t="n">
        <v>100</v>
      </c>
      <c r="ES783" s="2" t="n">
        <v>0</v>
      </c>
    </row>
    <row r="784">
      <c r="A784" s="2" t="n">
        <v>3</v>
      </c>
      <c r="B784" s="2" t="inlineStr">
        <is>
          <t>32.01.01</t>
        </is>
      </c>
      <c r="C784" s="2" t="inlineStr">
        <is>
          <t>Limpeza de fachadas</t>
        </is>
      </c>
      <c r="D784" s="2" t="inlineStr">
        <is>
          <t>18/08/2027</t>
        </is>
      </c>
      <c r="E784" s="2" t="inlineStr">
        <is>
          <t>06/06/2028</t>
        </is>
      </c>
      <c r="F784" s="2" t="n">
        <v>32138.52138437161</v>
      </c>
      <c r="G784" s="2" t="n">
        <v>0</v>
      </c>
      <c r="H784" s="2" t="n">
        <v>32138.52138437161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0</v>
      </c>
      <c r="AM784" s="2" t="n">
        <v>0</v>
      </c>
      <c r="AN784" s="2" t="n">
        <v>0</v>
      </c>
      <c r="AO784" s="2" t="n">
        <v>0</v>
      </c>
      <c r="AP784" s="2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0</v>
      </c>
      <c r="AX784" s="2" t="n">
        <v>0</v>
      </c>
      <c r="AY784" s="2" t="n">
        <v>0</v>
      </c>
      <c r="AZ784" s="2" t="n">
        <v>0</v>
      </c>
      <c r="BA784" s="2" t="n">
        <v>0</v>
      </c>
      <c r="BB784" s="2" t="n">
        <v>0</v>
      </c>
      <c r="BC784" s="2" t="n">
        <v>0</v>
      </c>
      <c r="BD784" s="2" t="n">
        <v>0</v>
      </c>
      <c r="BE784" s="2" t="n">
        <v>0</v>
      </c>
      <c r="BF784" s="2" t="n">
        <v>0</v>
      </c>
      <c r="BG784" s="2" t="n">
        <v>0</v>
      </c>
      <c r="BH784" s="2" t="n">
        <v>0</v>
      </c>
      <c r="BI784" s="2" t="n">
        <v>0</v>
      </c>
      <c r="BJ784" s="2" t="n">
        <v>0</v>
      </c>
      <c r="BK784" s="2" t="n">
        <v>0</v>
      </c>
      <c r="BL784" s="2" t="n">
        <v>0</v>
      </c>
      <c r="BM784" s="2" t="n">
        <v>0</v>
      </c>
      <c r="BN784" s="2" t="n">
        <v>0</v>
      </c>
      <c r="BO784" s="2" t="n">
        <v>0</v>
      </c>
      <c r="BP784" s="2" t="n">
        <v>0</v>
      </c>
      <c r="BQ784" s="2" t="n">
        <v>0</v>
      </c>
      <c r="BR784" s="2" t="n">
        <v>0</v>
      </c>
      <c r="BS784" s="2" t="n">
        <v>0</v>
      </c>
      <c r="BT784" s="2" t="n">
        <v>0</v>
      </c>
      <c r="BU784" s="2" t="n">
        <v>0</v>
      </c>
      <c r="BV784" s="2" t="n">
        <v>0</v>
      </c>
      <c r="BW784" s="2" t="n">
        <v>0</v>
      </c>
      <c r="BX784" s="2" t="n">
        <v>0</v>
      </c>
      <c r="BY784" s="2" t="n">
        <v>0</v>
      </c>
      <c r="BZ784" s="2" t="n">
        <v>0</v>
      </c>
      <c r="CA784" s="2" t="n">
        <v>0</v>
      </c>
      <c r="CB784" s="2" t="n">
        <v>0</v>
      </c>
      <c r="CC784" s="2" t="n">
        <v>0</v>
      </c>
      <c r="CD784" s="2" t="n">
        <v>0</v>
      </c>
      <c r="CE784" s="2" t="n">
        <v>0</v>
      </c>
      <c r="CF784" s="2" t="n">
        <v>0</v>
      </c>
      <c r="CG784" s="2" t="n">
        <v>0</v>
      </c>
      <c r="CH784" s="2" t="n">
        <v>0</v>
      </c>
      <c r="CI784" s="2" t="n">
        <v>6.67</v>
      </c>
      <c r="CJ784" s="2" t="n">
        <v>13.33</v>
      </c>
      <c r="CK784" s="2" t="n">
        <v>0</v>
      </c>
      <c r="CL784" s="2" t="n">
        <v>20</v>
      </c>
      <c r="CM784" s="2" t="n">
        <v>20</v>
      </c>
      <c r="CN784" s="2" t="n">
        <v>0</v>
      </c>
      <c r="CO784" s="2" t="n">
        <v>29.33</v>
      </c>
      <c r="CP784" s="2" t="n">
        <v>36</v>
      </c>
      <c r="CQ784" s="2" t="n">
        <v>0</v>
      </c>
      <c r="CR784" s="2" t="n">
        <v>40</v>
      </c>
      <c r="CS784" s="2" t="n">
        <v>40</v>
      </c>
      <c r="CT784" s="2" t="n">
        <v>0</v>
      </c>
      <c r="CU784" s="2" t="n">
        <v>40</v>
      </c>
      <c r="CV784" s="2" t="n">
        <v>40</v>
      </c>
      <c r="CW784" s="2" t="n">
        <v>0</v>
      </c>
      <c r="CX784" s="2" t="n">
        <v>40</v>
      </c>
      <c r="CY784" s="2" t="n">
        <v>40</v>
      </c>
      <c r="CZ784" s="2" t="n">
        <v>0</v>
      </c>
      <c r="DA784" s="2" t="n">
        <v>47</v>
      </c>
      <c r="DB784" s="2" t="n">
        <v>52</v>
      </c>
      <c r="DC784" s="2" t="n">
        <v>0</v>
      </c>
      <c r="DD784" s="2" t="n">
        <v>61</v>
      </c>
      <c r="DE784" s="2" t="n">
        <v>66</v>
      </c>
      <c r="DF784" s="2" t="n">
        <v>0</v>
      </c>
      <c r="DG784" s="2" t="n">
        <v>79</v>
      </c>
      <c r="DH784" s="2" t="n">
        <v>80</v>
      </c>
      <c r="DI784" s="2" t="n">
        <v>0</v>
      </c>
      <c r="DJ784" s="2" t="n">
        <v>91</v>
      </c>
      <c r="DK784" s="2" t="n">
        <v>96</v>
      </c>
      <c r="DL784" s="2" t="n">
        <v>0</v>
      </c>
      <c r="DM784" s="2" t="n">
        <v>100</v>
      </c>
      <c r="DN784" s="2" t="n">
        <v>100</v>
      </c>
      <c r="DO784" s="2" t="n">
        <v>0</v>
      </c>
      <c r="DP784" s="2" t="n">
        <v>100</v>
      </c>
      <c r="DQ784" s="2" t="n">
        <v>100</v>
      </c>
      <c r="DR784" s="2" t="n">
        <v>0</v>
      </c>
      <c r="DS784" s="2" t="n">
        <v>100</v>
      </c>
      <c r="DT784" s="2" t="n">
        <v>100</v>
      </c>
      <c r="DU784" s="2" t="n">
        <v>0</v>
      </c>
      <c r="DV784" s="2" t="n">
        <v>100</v>
      </c>
      <c r="DW784" s="2" t="n">
        <v>100</v>
      </c>
      <c r="DX784" s="2" t="n">
        <v>0</v>
      </c>
      <c r="DY784" s="2" t="n">
        <v>100</v>
      </c>
      <c r="DZ784" s="2" t="n">
        <v>100</v>
      </c>
      <c r="EA784" s="2" t="n">
        <v>0</v>
      </c>
      <c r="EB784" s="2" t="n">
        <v>100</v>
      </c>
      <c r="EC784" s="2" t="n">
        <v>100</v>
      </c>
      <c r="ED784" s="2" t="n">
        <v>0</v>
      </c>
      <c r="EE784" s="2" t="n">
        <v>100</v>
      </c>
      <c r="EF784" s="2" t="n">
        <v>100</v>
      </c>
      <c r="EG784" s="2" t="n">
        <v>0</v>
      </c>
      <c r="EH784" s="2" t="n">
        <v>100</v>
      </c>
      <c r="EI784" s="2" t="n">
        <v>100</v>
      </c>
      <c r="EJ784" s="2" t="n">
        <v>0</v>
      </c>
      <c r="EK784" s="2" t="n">
        <v>100</v>
      </c>
      <c r="EL784" s="2" t="n">
        <v>100</v>
      </c>
      <c r="EM784" s="2" t="n">
        <v>0</v>
      </c>
      <c r="EN784" s="2" t="n">
        <v>100</v>
      </c>
      <c r="EO784" s="2" t="n">
        <v>100</v>
      </c>
      <c r="EP784" s="2" t="n">
        <v>0</v>
      </c>
      <c r="EQ784" s="2" t="n">
        <v>100</v>
      </c>
      <c r="ER784" s="2" t="n">
        <v>100</v>
      </c>
      <c r="ES784" s="2" t="n">
        <v>0</v>
      </c>
    </row>
    <row r="785">
      <c r="A785" s="2" t="n">
        <v>3</v>
      </c>
      <c r="B785" s="2" t="inlineStr">
        <is>
          <t>32.01.02</t>
        </is>
      </c>
      <c r="C785" s="2" t="inlineStr">
        <is>
          <t>Taliscamento de Parede</t>
        </is>
      </c>
      <c r="D785" s="2" t="inlineStr">
        <is>
          <t>18/08/2027</t>
        </is>
      </c>
      <c r="E785" s="2" t="inlineStr">
        <is>
          <t>06/06/2028</t>
        </is>
      </c>
      <c r="F785" s="2" t="n">
        <v>39937.45244895</v>
      </c>
      <c r="G785" s="2" t="n">
        <v>0</v>
      </c>
      <c r="H785" s="2" t="n">
        <v>39937.45244895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0</v>
      </c>
      <c r="AL785" s="2" t="n">
        <v>0</v>
      </c>
      <c r="AM785" s="2" t="n">
        <v>0</v>
      </c>
      <c r="AN785" s="2" t="n">
        <v>0</v>
      </c>
      <c r="AO785" s="2" t="n">
        <v>0</v>
      </c>
      <c r="AP785" s="2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s="2" t="n">
        <v>0</v>
      </c>
      <c r="AW785" s="2" t="n">
        <v>0</v>
      </c>
      <c r="AX785" s="2" t="n">
        <v>0</v>
      </c>
      <c r="AY785" s="2" t="n">
        <v>0</v>
      </c>
      <c r="AZ785" s="2" t="n">
        <v>0</v>
      </c>
      <c r="BA785" s="2" t="n">
        <v>0</v>
      </c>
      <c r="BB785" s="2" t="n">
        <v>0</v>
      </c>
      <c r="BC785" s="2" t="n">
        <v>0</v>
      </c>
      <c r="BD785" s="2" t="n">
        <v>0</v>
      </c>
      <c r="BE785" s="2" t="n">
        <v>0</v>
      </c>
      <c r="BF785" s="2" t="n">
        <v>0</v>
      </c>
      <c r="BG785" s="2" t="n">
        <v>0</v>
      </c>
      <c r="BH785" s="2" t="n">
        <v>0</v>
      </c>
      <c r="BI785" s="2" t="n">
        <v>0</v>
      </c>
      <c r="BJ785" s="2" t="n">
        <v>0</v>
      </c>
      <c r="BK785" s="2" t="n">
        <v>0</v>
      </c>
      <c r="BL785" s="2" t="n">
        <v>0</v>
      </c>
      <c r="BM785" s="2" t="n">
        <v>0</v>
      </c>
      <c r="BN785" s="2" t="n">
        <v>0</v>
      </c>
      <c r="BO785" s="2" t="n">
        <v>0</v>
      </c>
      <c r="BP785" s="2" t="n">
        <v>0</v>
      </c>
      <c r="BQ785" s="2" t="n">
        <v>0</v>
      </c>
      <c r="BR785" s="2" t="n">
        <v>0</v>
      </c>
      <c r="BS785" s="2" t="n">
        <v>0</v>
      </c>
      <c r="BT785" s="2" t="n">
        <v>0</v>
      </c>
      <c r="BU785" s="2" t="n">
        <v>0</v>
      </c>
      <c r="BV785" s="2" t="n">
        <v>0</v>
      </c>
      <c r="BW785" s="2" t="n">
        <v>0</v>
      </c>
      <c r="BX785" s="2" t="n">
        <v>0</v>
      </c>
      <c r="BY785" s="2" t="n">
        <v>0</v>
      </c>
      <c r="BZ785" s="2" t="n">
        <v>0</v>
      </c>
      <c r="CA785" s="2" t="n">
        <v>0</v>
      </c>
      <c r="CB785" s="2" t="n">
        <v>0</v>
      </c>
      <c r="CC785" s="2" t="n">
        <v>0</v>
      </c>
      <c r="CD785" s="2" t="n">
        <v>0</v>
      </c>
      <c r="CE785" s="2" t="n">
        <v>0</v>
      </c>
      <c r="CF785" s="2" t="n">
        <v>0</v>
      </c>
      <c r="CG785" s="2" t="n">
        <v>0</v>
      </c>
      <c r="CH785" s="2" t="n">
        <v>0</v>
      </c>
      <c r="CI785" s="2" t="n">
        <v>6.67</v>
      </c>
      <c r="CJ785" s="2" t="n">
        <v>13.33</v>
      </c>
      <c r="CK785" s="2" t="n">
        <v>0</v>
      </c>
      <c r="CL785" s="2" t="n">
        <v>20</v>
      </c>
      <c r="CM785" s="2" t="n">
        <v>20</v>
      </c>
      <c r="CN785" s="2" t="n">
        <v>0</v>
      </c>
      <c r="CO785" s="2" t="n">
        <v>29.33</v>
      </c>
      <c r="CP785" s="2" t="n">
        <v>36</v>
      </c>
      <c r="CQ785" s="2" t="n">
        <v>0</v>
      </c>
      <c r="CR785" s="2" t="n">
        <v>40</v>
      </c>
      <c r="CS785" s="2" t="n">
        <v>40</v>
      </c>
      <c r="CT785" s="2" t="n">
        <v>0</v>
      </c>
      <c r="CU785" s="2" t="n">
        <v>40</v>
      </c>
      <c r="CV785" s="2" t="n">
        <v>40</v>
      </c>
      <c r="CW785" s="2" t="n">
        <v>0</v>
      </c>
      <c r="CX785" s="2" t="n">
        <v>40</v>
      </c>
      <c r="CY785" s="2" t="n">
        <v>40</v>
      </c>
      <c r="CZ785" s="2" t="n">
        <v>0</v>
      </c>
      <c r="DA785" s="2" t="n">
        <v>47</v>
      </c>
      <c r="DB785" s="2" t="n">
        <v>52</v>
      </c>
      <c r="DC785" s="2" t="n">
        <v>0</v>
      </c>
      <c r="DD785" s="2" t="n">
        <v>61</v>
      </c>
      <c r="DE785" s="2" t="n">
        <v>66</v>
      </c>
      <c r="DF785" s="2" t="n">
        <v>0</v>
      </c>
      <c r="DG785" s="2" t="n">
        <v>79</v>
      </c>
      <c r="DH785" s="2" t="n">
        <v>80</v>
      </c>
      <c r="DI785" s="2" t="n">
        <v>0</v>
      </c>
      <c r="DJ785" s="2" t="n">
        <v>91</v>
      </c>
      <c r="DK785" s="2" t="n">
        <v>96</v>
      </c>
      <c r="DL785" s="2" t="n">
        <v>0</v>
      </c>
      <c r="DM785" s="2" t="n">
        <v>100</v>
      </c>
      <c r="DN785" s="2" t="n">
        <v>100</v>
      </c>
      <c r="DO785" s="2" t="n">
        <v>0</v>
      </c>
      <c r="DP785" s="2" t="n">
        <v>100</v>
      </c>
      <c r="DQ785" s="2" t="n">
        <v>100</v>
      </c>
      <c r="DR785" s="2" t="n">
        <v>0</v>
      </c>
      <c r="DS785" s="2" t="n">
        <v>100</v>
      </c>
      <c r="DT785" s="2" t="n">
        <v>100</v>
      </c>
      <c r="DU785" s="2" t="n">
        <v>0</v>
      </c>
      <c r="DV785" s="2" t="n">
        <v>100</v>
      </c>
      <c r="DW785" s="2" t="n">
        <v>100</v>
      </c>
      <c r="DX785" s="2" t="n">
        <v>0</v>
      </c>
      <c r="DY785" s="2" t="n">
        <v>100</v>
      </c>
      <c r="DZ785" s="2" t="n">
        <v>100</v>
      </c>
      <c r="EA785" s="2" t="n">
        <v>0</v>
      </c>
      <c r="EB785" s="2" t="n">
        <v>100</v>
      </c>
      <c r="EC785" s="2" t="n">
        <v>100</v>
      </c>
      <c r="ED785" s="2" t="n">
        <v>0</v>
      </c>
      <c r="EE785" s="2" t="n">
        <v>100</v>
      </c>
      <c r="EF785" s="2" t="n">
        <v>100</v>
      </c>
      <c r="EG785" s="2" t="n">
        <v>0</v>
      </c>
      <c r="EH785" s="2" t="n">
        <v>100</v>
      </c>
      <c r="EI785" s="2" t="n">
        <v>100</v>
      </c>
      <c r="EJ785" s="2" t="n">
        <v>0</v>
      </c>
      <c r="EK785" s="2" t="n">
        <v>100</v>
      </c>
      <c r="EL785" s="2" t="n">
        <v>100</v>
      </c>
      <c r="EM785" s="2" t="n">
        <v>0</v>
      </c>
      <c r="EN785" s="2" t="n">
        <v>100</v>
      </c>
      <c r="EO785" s="2" t="n">
        <v>100</v>
      </c>
      <c r="EP785" s="2" t="n">
        <v>0</v>
      </c>
      <c r="EQ785" s="2" t="n">
        <v>100</v>
      </c>
      <c r="ER785" s="2" t="n">
        <v>100</v>
      </c>
      <c r="ES785" s="2" t="n">
        <v>0</v>
      </c>
    </row>
    <row r="786">
      <c r="A786" s="2" t="n">
        <v>3</v>
      </c>
      <c r="B786" s="2" t="inlineStr">
        <is>
          <t>32.01.03</t>
        </is>
      </c>
      <c r="C786" s="2" t="inlineStr">
        <is>
          <t>Chapisco</t>
        </is>
      </c>
      <c r="D786" s="2" t="inlineStr">
        <is>
          <t>18/08/2027</t>
        </is>
      </c>
      <c r="E786" s="2" t="inlineStr">
        <is>
          <t>06/06/2028</t>
        </is>
      </c>
      <c r="F786" s="2" t="n">
        <v>73379.83654547841</v>
      </c>
      <c r="G786" s="2" t="n">
        <v>0</v>
      </c>
      <c r="H786" s="2" t="n">
        <v>73379.83654547841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n">
        <v>0</v>
      </c>
      <c r="AK786" s="2" t="n">
        <v>0</v>
      </c>
      <c r="AL786" s="2" t="n">
        <v>0</v>
      </c>
      <c r="AM786" s="2" t="n">
        <v>0</v>
      </c>
      <c r="AN786" s="2" t="n">
        <v>0</v>
      </c>
      <c r="AO786" s="2" t="n">
        <v>0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 t="n">
        <v>0</v>
      </c>
      <c r="AX786" s="2" t="n">
        <v>0</v>
      </c>
      <c r="AY786" s="2" t="n">
        <v>0</v>
      </c>
      <c r="AZ786" s="2" t="n">
        <v>0</v>
      </c>
      <c r="BA786" s="2" t="n">
        <v>0</v>
      </c>
      <c r="BB786" s="2" t="n">
        <v>0</v>
      </c>
      <c r="BC786" s="2" t="n">
        <v>0</v>
      </c>
      <c r="BD786" s="2" t="n">
        <v>0</v>
      </c>
      <c r="BE786" s="2" t="n">
        <v>0</v>
      </c>
      <c r="BF786" s="2" t="n">
        <v>0</v>
      </c>
      <c r="BG786" s="2" t="n">
        <v>0</v>
      </c>
      <c r="BH786" s="2" t="n">
        <v>0</v>
      </c>
      <c r="BI786" s="2" t="n">
        <v>0</v>
      </c>
      <c r="BJ786" s="2" t="n">
        <v>0</v>
      </c>
      <c r="BK786" s="2" t="n">
        <v>0</v>
      </c>
      <c r="BL786" s="2" t="n">
        <v>0</v>
      </c>
      <c r="BM786" s="2" t="n">
        <v>0</v>
      </c>
      <c r="BN786" s="2" t="n">
        <v>0</v>
      </c>
      <c r="BO786" s="2" t="n">
        <v>0</v>
      </c>
      <c r="BP786" s="2" t="n">
        <v>0</v>
      </c>
      <c r="BQ786" s="2" t="n">
        <v>0</v>
      </c>
      <c r="BR786" s="2" t="n">
        <v>0</v>
      </c>
      <c r="BS786" s="2" t="n">
        <v>0</v>
      </c>
      <c r="BT786" s="2" t="n">
        <v>0</v>
      </c>
      <c r="BU786" s="2" t="n">
        <v>0</v>
      </c>
      <c r="BV786" s="2" t="n">
        <v>0</v>
      </c>
      <c r="BW786" s="2" t="n">
        <v>0</v>
      </c>
      <c r="BX786" s="2" t="n">
        <v>0</v>
      </c>
      <c r="BY786" s="2" t="n">
        <v>0</v>
      </c>
      <c r="BZ786" s="2" t="n">
        <v>0</v>
      </c>
      <c r="CA786" s="2" t="n">
        <v>0</v>
      </c>
      <c r="CB786" s="2" t="n">
        <v>0</v>
      </c>
      <c r="CC786" s="2" t="n">
        <v>0</v>
      </c>
      <c r="CD786" s="2" t="n">
        <v>0</v>
      </c>
      <c r="CE786" s="2" t="n">
        <v>0</v>
      </c>
      <c r="CF786" s="2" t="n">
        <v>0</v>
      </c>
      <c r="CG786" s="2" t="n">
        <v>0</v>
      </c>
      <c r="CH786" s="2" t="n">
        <v>0</v>
      </c>
      <c r="CI786" s="2" t="n">
        <v>6.67</v>
      </c>
      <c r="CJ786" s="2" t="n">
        <v>13.33</v>
      </c>
      <c r="CK786" s="2" t="n">
        <v>0</v>
      </c>
      <c r="CL786" s="2" t="n">
        <v>20</v>
      </c>
      <c r="CM786" s="2" t="n">
        <v>20</v>
      </c>
      <c r="CN786" s="2" t="n">
        <v>0</v>
      </c>
      <c r="CO786" s="2" t="n">
        <v>29.33</v>
      </c>
      <c r="CP786" s="2" t="n">
        <v>36</v>
      </c>
      <c r="CQ786" s="2" t="n">
        <v>0</v>
      </c>
      <c r="CR786" s="2" t="n">
        <v>40</v>
      </c>
      <c r="CS786" s="2" t="n">
        <v>40</v>
      </c>
      <c r="CT786" s="2" t="n">
        <v>0</v>
      </c>
      <c r="CU786" s="2" t="n">
        <v>40</v>
      </c>
      <c r="CV786" s="2" t="n">
        <v>40</v>
      </c>
      <c r="CW786" s="2" t="n">
        <v>0</v>
      </c>
      <c r="CX786" s="2" t="n">
        <v>40</v>
      </c>
      <c r="CY786" s="2" t="n">
        <v>40</v>
      </c>
      <c r="CZ786" s="2" t="n">
        <v>0</v>
      </c>
      <c r="DA786" s="2" t="n">
        <v>47</v>
      </c>
      <c r="DB786" s="2" t="n">
        <v>52</v>
      </c>
      <c r="DC786" s="2" t="n">
        <v>0</v>
      </c>
      <c r="DD786" s="2" t="n">
        <v>61</v>
      </c>
      <c r="DE786" s="2" t="n">
        <v>66</v>
      </c>
      <c r="DF786" s="2" t="n">
        <v>0</v>
      </c>
      <c r="DG786" s="2" t="n">
        <v>79</v>
      </c>
      <c r="DH786" s="2" t="n">
        <v>80</v>
      </c>
      <c r="DI786" s="2" t="n">
        <v>0</v>
      </c>
      <c r="DJ786" s="2" t="n">
        <v>91</v>
      </c>
      <c r="DK786" s="2" t="n">
        <v>96</v>
      </c>
      <c r="DL786" s="2" t="n">
        <v>0</v>
      </c>
      <c r="DM786" s="2" t="n">
        <v>100</v>
      </c>
      <c r="DN786" s="2" t="n">
        <v>100</v>
      </c>
      <c r="DO786" s="2" t="n">
        <v>0</v>
      </c>
      <c r="DP786" s="2" t="n">
        <v>100</v>
      </c>
      <c r="DQ786" s="2" t="n">
        <v>100</v>
      </c>
      <c r="DR786" s="2" t="n">
        <v>0</v>
      </c>
      <c r="DS786" s="2" t="n">
        <v>100</v>
      </c>
      <c r="DT786" s="2" t="n">
        <v>100</v>
      </c>
      <c r="DU786" s="2" t="n">
        <v>0</v>
      </c>
      <c r="DV786" s="2" t="n">
        <v>100</v>
      </c>
      <c r="DW786" s="2" t="n">
        <v>100</v>
      </c>
      <c r="DX786" s="2" t="n">
        <v>0</v>
      </c>
      <c r="DY786" s="2" t="n">
        <v>100</v>
      </c>
      <c r="DZ786" s="2" t="n">
        <v>100</v>
      </c>
      <c r="EA786" s="2" t="n">
        <v>0</v>
      </c>
      <c r="EB786" s="2" t="n">
        <v>100</v>
      </c>
      <c r="EC786" s="2" t="n">
        <v>100</v>
      </c>
      <c r="ED786" s="2" t="n">
        <v>0</v>
      </c>
      <c r="EE786" s="2" t="n">
        <v>100</v>
      </c>
      <c r="EF786" s="2" t="n">
        <v>100</v>
      </c>
      <c r="EG786" s="2" t="n">
        <v>0</v>
      </c>
      <c r="EH786" s="2" t="n">
        <v>100</v>
      </c>
      <c r="EI786" s="2" t="n">
        <v>100</v>
      </c>
      <c r="EJ786" s="2" t="n">
        <v>0</v>
      </c>
      <c r="EK786" s="2" t="n">
        <v>100</v>
      </c>
      <c r="EL786" s="2" t="n">
        <v>100</v>
      </c>
      <c r="EM786" s="2" t="n">
        <v>0</v>
      </c>
      <c r="EN786" s="2" t="n">
        <v>100</v>
      </c>
      <c r="EO786" s="2" t="n">
        <v>100</v>
      </c>
      <c r="EP786" s="2" t="n">
        <v>0</v>
      </c>
      <c r="EQ786" s="2" t="n">
        <v>100</v>
      </c>
      <c r="ER786" s="2" t="n">
        <v>100</v>
      </c>
      <c r="ES786" s="2" t="n">
        <v>0</v>
      </c>
    </row>
    <row r="787">
      <c r="A787" s="2" t="n">
        <v>3</v>
      </c>
      <c r="B787" s="2" t="inlineStr">
        <is>
          <t>32.01.04</t>
        </is>
      </c>
      <c r="C787" s="2" t="inlineStr">
        <is>
          <t>Reboco esp.50mm</t>
        </is>
      </c>
      <c r="D787" s="2" t="inlineStr">
        <is>
          <t>18/08/2027</t>
        </is>
      </c>
      <c r="E787" s="2" t="inlineStr">
        <is>
          <t>06/06/2028</t>
        </is>
      </c>
      <c r="F787" s="2" t="n">
        <v>361262.10821232</v>
      </c>
      <c r="G787" s="2" t="n">
        <v>0</v>
      </c>
      <c r="H787" s="2" t="n">
        <v>361262.10821232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  <c r="AA787" s="2" t="n">
        <v>0</v>
      </c>
      <c r="AB787" s="2" t="n">
        <v>0</v>
      </c>
      <c r="AC787" s="2" t="n">
        <v>0</v>
      </c>
      <c r="AD787" s="2" t="n">
        <v>0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n">
        <v>0</v>
      </c>
      <c r="AK787" s="2" t="n">
        <v>0</v>
      </c>
      <c r="AL787" s="2" t="n">
        <v>0</v>
      </c>
      <c r="AM787" s="2" t="n">
        <v>0</v>
      </c>
      <c r="AN787" s="2" t="n">
        <v>0</v>
      </c>
      <c r="AO787" s="2" t="n">
        <v>0</v>
      </c>
      <c r="AP787" s="2" t="n">
        <v>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s="2" t="n">
        <v>0</v>
      </c>
      <c r="AW787" s="2" t="n">
        <v>0</v>
      </c>
      <c r="AX787" s="2" t="n">
        <v>0</v>
      </c>
      <c r="AY787" s="2" t="n">
        <v>0</v>
      </c>
      <c r="AZ787" s="2" t="n">
        <v>0</v>
      </c>
      <c r="BA787" s="2" t="n">
        <v>0</v>
      </c>
      <c r="BB787" s="2" t="n">
        <v>0</v>
      </c>
      <c r="BC787" s="2" t="n">
        <v>0</v>
      </c>
      <c r="BD787" s="2" t="n">
        <v>0</v>
      </c>
      <c r="BE787" s="2" t="n">
        <v>0</v>
      </c>
      <c r="BF787" s="2" t="n">
        <v>0</v>
      </c>
      <c r="BG787" s="2" t="n">
        <v>0</v>
      </c>
      <c r="BH787" s="2" t="n">
        <v>0</v>
      </c>
      <c r="BI787" s="2" t="n">
        <v>0</v>
      </c>
      <c r="BJ787" s="2" t="n">
        <v>0</v>
      </c>
      <c r="BK787" s="2" t="n">
        <v>0</v>
      </c>
      <c r="BL787" s="2" t="n">
        <v>0</v>
      </c>
      <c r="BM787" s="2" t="n">
        <v>0</v>
      </c>
      <c r="BN787" s="2" t="n">
        <v>0</v>
      </c>
      <c r="BO787" s="2" t="n">
        <v>0</v>
      </c>
      <c r="BP787" s="2" t="n">
        <v>0</v>
      </c>
      <c r="BQ787" s="2" t="n">
        <v>0</v>
      </c>
      <c r="BR787" s="2" t="n">
        <v>0</v>
      </c>
      <c r="BS787" s="2" t="n">
        <v>0</v>
      </c>
      <c r="BT787" s="2" t="n">
        <v>0</v>
      </c>
      <c r="BU787" s="2" t="n">
        <v>0</v>
      </c>
      <c r="BV787" s="2" t="n">
        <v>0</v>
      </c>
      <c r="BW787" s="2" t="n">
        <v>0</v>
      </c>
      <c r="BX787" s="2" t="n">
        <v>0</v>
      </c>
      <c r="BY787" s="2" t="n">
        <v>0</v>
      </c>
      <c r="BZ787" s="2" t="n">
        <v>0</v>
      </c>
      <c r="CA787" s="2" t="n">
        <v>0</v>
      </c>
      <c r="CB787" s="2" t="n">
        <v>0</v>
      </c>
      <c r="CC787" s="2" t="n">
        <v>0</v>
      </c>
      <c r="CD787" s="2" t="n">
        <v>0</v>
      </c>
      <c r="CE787" s="2" t="n">
        <v>0</v>
      </c>
      <c r="CF787" s="2" t="n">
        <v>0</v>
      </c>
      <c r="CG787" s="2" t="n">
        <v>0</v>
      </c>
      <c r="CH787" s="2" t="n">
        <v>0</v>
      </c>
      <c r="CI787" s="2" t="n">
        <v>6.67</v>
      </c>
      <c r="CJ787" s="2" t="n">
        <v>13.33</v>
      </c>
      <c r="CK787" s="2" t="n">
        <v>0</v>
      </c>
      <c r="CL787" s="2" t="n">
        <v>20</v>
      </c>
      <c r="CM787" s="2" t="n">
        <v>20</v>
      </c>
      <c r="CN787" s="2" t="n">
        <v>0</v>
      </c>
      <c r="CO787" s="2" t="n">
        <v>29.33</v>
      </c>
      <c r="CP787" s="2" t="n">
        <v>36</v>
      </c>
      <c r="CQ787" s="2" t="n">
        <v>0</v>
      </c>
      <c r="CR787" s="2" t="n">
        <v>40</v>
      </c>
      <c r="CS787" s="2" t="n">
        <v>40</v>
      </c>
      <c r="CT787" s="2" t="n">
        <v>0</v>
      </c>
      <c r="CU787" s="2" t="n">
        <v>40</v>
      </c>
      <c r="CV787" s="2" t="n">
        <v>40</v>
      </c>
      <c r="CW787" s="2" t="n">
        <v>0</v>
      </c>
      <c r="CX787" s="2" t="n">
        <v>40</v>
      </c>
      <c r="CY787" s="2" t="n">
        <v>40</v>
      </c>
      <c r="CZ787" s="2" t="n">
        <v>0</v>
      </c>
      <c r="DA787" s="2" t="n">
        <v>47</v>
      </c>
      <c r="DB787" s="2" t="n">
        <v>52</v>
      </c>
      <c r="DC787" s="2" t="n">
        <v>0</v>
      </c>
      <c r="DD787" s="2" t="n">
        <v>61</v>
      </c>
      <c r="DE787" s="2" t="n">
        <v>66</v>
      </c>
      <c r="DF787" s="2" t="n">
        <v>0</v>
      </c>
      <c r="DG787" s="2" t="n">
        <v>79</v>
      </c>
      <c r="DH787" s="2" t="n">
        <v>80</v>
      </c>
      <c r="DI787" s="2" t="n">
        <v>0</v>
      </c>
      <c r="DJ787" s="2" t="n">
        <v>91</v>
      </c>
      <c r="DK787" s="2" t="n">
        <v>96</v>
      </c>
      <c r="DL787" s="2" t="n">
        <v>0</v>
      </c>
      <c r="DM787" s="2" t="n">
        <v>100</v>
      </c>
      <c r="DN787" s="2" t="n">
        <v>100</v>
      </c>
      <c r="DO787" s="2" t="n">
        <v>0</v>
      </c>
      <c r="DP787" s="2" t="n">
        <v>100</v>
      </c>
      <c r="DQ787" s="2" t="n">
        <v>100</v>
      </c>
      <c r="DR787" s="2" t="n">
        <v>0</v>
      </c>
      <c r="DS787" s="2" t="n">
        <v>100</v>
      </c>
      <c r="DT787" s="2" t="n">
        <v>100</v>
      </c>
      <c r="DU787" s="2" t="n">
        <v>0</v>
      </c>
      <c r="DV787" s="2" t="n">
        <v>100</v>
      </c>
      <c r="DW787" s="2" t="n">
        <v>100</v>
      </c>
      <c r="DX787" s="2" t="n">
        <v>0</v>
      </c>
      <c r="DY787" s="2" t="n">
        <v>100</v>
      </c>
      <c r="DZ787" s="2" t="n">
        <v>100</v>
      </c>
      <c r="EA787" s="2" t="n">
        <v>0</v>
      </c>
      <c r="EB787" s="2" t="n">
        <v>100</v>
      </c>
      <c r="EC787" s="2" t="n">
        <v>100</v>
      </c>
      <c r="ED787" s="2" t="n">
        <v>0</v>
      </c>
      <c r="EE787" s="2" t="n">
        <v>100</v>
      </c>
      <c r="EF787" s="2" t="n">
        <v>100</v>
      </c>
      <c r="EG787" s="2" t="n">
        <v>0</v>
      </c>
      <c r="EH787" s="2" t="n">
        <v>100</v>
      </c>
      <c r="EI787" s="2" t="n">
        <v>100</v>
      </c>
      <c r="EJ787" s="2" t="n">
        <v>0</v>
      </c>
      <c r="EK787" s="2" t="n">
        <v>100</v>
      </c>
      <c r="EL787" s="2" t="n">
        <v>100</v>
      </c>
      <c r="EM787" s="2" t="n">
        <v>0</v>
      </c>
      <c r="EN787" s="2" t="n">
        <v>100</v>
      </c>
      <c r="EO787" s="2" t="n">
        <v>100</v>
      </c>
      <c r="EP787" s="2" t="n">
        <v>0</v>
      </c>
      <c r="EQ787" s="2" t="n">
        <v>100</v>
      </c>
      <c r="ER787" s="2" t="n">
        <v>100</v>
      </c>
      <c r="ES787" s="2" t="n">
        <v>0</v>
      </c>
    </row>
    <row r="788">
      <c r="A788" s="2" t="n">
        <v>3</v>
      </c>
      <c r="B788" s="2" t="inlineStr">
        <is>
          <t>32.01.05</t>
        </is>
      </c>
      <c r="C788" s="2" t="inlineStr">
        <is>
          <t>Espalas para esquadrias (até 40cm)</t>
        </is>
      </c>
      <c r="D788" s="2" t="inlineStr">
        <is>
          <t>18/08/2027</t>
        </is>
      </c>
      <c r="E788" s="2" t="inlineStr">
        <is>
          <t>06/06/2028</t>
        </is>
      </c>
      <c r="F788" s="2" t="n">
        <v>184465.471984544</v>
      </c>
      <c r="G788" s="2" t="n">
        <v>0</v>
      </c>
      <c r="H788" s="2" t="n">
        <v>184465.471984544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0</v>
      </c>
      <c r="AM788" s="2" t="n">
        <v>0</v>
      </c>
      <c r="AN788" s="2" t="n">
        <v>0</v>
      </c>
      <c r="AO788" s="2" t="n">
        <v>0</v>
      </c>
      <c r="AP788" s="2" t="n">
        <v>0</v>
      </c>
      <c r="AQ788" s="2" t="n">
        <v>0</v>
      </c>
      <c r="AR788" s="2" t="n">
        <v>0</v>
      </c>
      <c r="AS788" s="2" t="n">
        <v>0</v>
      </c>
      <c r="AT788" s="2" t="n">
        <v>0</v>
      </c>
      <c r="AU788" s="2" t="n">
        <v>0</v>
      </c>
      <c r="AV788" s="2" t="n">
        <v>0</v>
      </c>
      <c r="AW788" s="2" t="n">
        <v>0</v>
      </c>
      <c r="AX788" s="2" t="n">
        <v>0</v>
      </c>
      <c r="AY788" s="2" t="n">
        <v>0</v>
      </c>
      <c r="AZ788" s="2" t="n">
        <v>0</v>
      </c>
      <c r="BA788" s="2" t="n">
        <v>0</v>
      </c>
      <c r="BB788" s="2" t="n">
        <v>0</v>
      </c>
      <c r="BC788" s="2" t="n">
        <v>0</v>
      </c>
      <c r="BD788" s="2" t="n">
        <v>0</v>
      </c>
      <c r="BE788" s="2" t="n">
        <v>0</v>
      </c>
      <c r="BF788" s="2" t="n">
        <v>0</v>
      </c>
      <c r="BG788" s="2" t="n">
        <v>0</v>
      </c>
      <c r="BH788" s="2" t="n">
        <v>0</v>
      </c>
      <c r="BI788" s="2" t="n">
        <v>0</v>
      </c>
      <c r="BJ788" s="2" t="n">
        <v>0</v>
      </c>
      <c r="BK788" s="2" t="n">
        <v>0</v>
      </c>
      <c r="BL788" s="2" t="n">
        <v>0</v>
      </c>
      <c r="BM788" s="2" t="n">
        <v>0</v>
      </c>
      <c r="BN788" s="2" t="n">
        <v>0</v>
      </c>
      <c r="BO788" s="2" t="n">
        <v>0</v>
      </c>
      <c r="BP788" s="2" t="n">
        <v>0</v>
      </c>
      <c r="BQ788" s="2" t="n">
        <v>0</v>
      </c>
      <c r="BR788" s="2" t="n">
        <v>0</v>
      </c>
      <c r="BS788" s="2" t="n">
        <v>0</v>
      </c>
      <c r="BT788" s="2" t="n">
        <v>0</v>
      </c>
      <c r="BU788" s="2" t="n">
        <v>0</v>
      </c>
      <c r="BV788" s="2" t="n">
        <v>0</v>
      </c>
      <c r="BW788" s="2" t="n">
        <v>0</v>
      </c>
      <c r="BX788" s="2" t="n">
        <v>0</v>
      </c>
      <c r="BY788" s="2" t="n">
        <v>0</v>
      </c>
      <c r="BZ788" s="2" t="n">
        <v>0</v>
      </c>
      <c r="CA788" s="2" t="n">
        <v>0</v>
      </c>
      <c r="CB788" s="2" t="n">
        <v>0</v>
      </c>
      <c r="CC788" s="2" t="n">
        <v>0</v>
      </c>
      <c r="CD788" s="2" t="n">
        <v>0</v>
      </c>
      <c r="CE788" s="2" t="n">
        <v>0</v>
      </c>
      <c r="CF788" s="2" t="n">
        <v>0</v>
      </c>
      <c r="CG788" s="2" t="n">
        <v>0</v>
      </c>
      <c r="CH788" s="2" t="n">
        <v>0</v>
      </c>
      <c r="CI788" s="2" t="n">
        <v>6.67</v>
      </c>
      <c r="CJ788" s="2" t="n">
        <v>13.33</v>
      </c>
      <c r="CK788" s="2" t="n">
        <v>0</v>
      </c>
      <c r="CL788" s="2" t="n">
        <v>20</v>
      </c>
      <c r="CM788" s="2" t="n">
        <v>20</v>
      </c>
      <c r="CN788" s="2" t="n">
        <v>0</v>
      </c>
      <c r="CO788" s="2" t="n">
        <v>29.33</v>
      </c>
      <c r="CP788" s="2" t="n">
        <v>36</v>
      </c>
      <c r="CQ788" s="2" t="n">
        <v>0</v>
      </c>
      <c r="CR788" s="2" t="n">
        <v>40</v>
      </c>
      <c r="CS788" s="2" t="n">
        <v>40</v>
      </c>
      <c r="CT788" s="2" t="n">
        <v>0</v>
      </c>
      <c r="CU788" s="2" t="n">
        <v>40</v>
      </c>
      <c r="CV788" s="2" t="n">
        <v>40</v>
      </c>
      <c r="CW788" s="2" t="n">
        <v>0</v>
      </c>
      <c r="CX788" s="2" t="n">
        <v>40</v>
      </c>
      <c r="CY788" s="2" t="n">
        <v>40</v>
      </c>
      <c r="CZ788" s="2" t="n">
        <v>0</v>
      </c>
      <c r="DA788" s="2" t="n">
        <v>47</v>
      </c>
      <c r="DB788" s="2" t="n">
        <v>52</v>
      </c>
      <c r="DC788" s="2" t="n">
        <v>0</v>
      </c>
      <c r="DD788" s="2" t="n">
        <v>61</v>
      </c>
      <c r="DE788" s="2" t="n">
        <v>66</v>
      </c>
      <c r="DF788" s="2" t="n">
        <v>0</v>
      </c>
      <c r="DG788" s="2" t="n">
        <v>79</v>
      </c>
      <c r="DH788" s="2" t="n">
        <v>80</v>
      </c>
      <c r="DI788" s="2" t="n">
        <v>0</v>
      </c>
      <c r="DJ788" s="2" t="n">
        <v>91</v>
      </c>
      <c r="DK788" s="2" t="n">
        <v>96</v>
      </c>
      <c r="DL788" s="2" t="n">
        <v>0</v>
      </c>
      <c r="DM788" s="2" t="n">
        <v>100</v>
      </c>
      <c r="DN788" s="2" t="n">
        <v>100</v>
      </c>
      <c r="DO788" s="2" t="n">
        <v>0</v>
      </c>
      <c r="DP788" s="2" t="n">
        <v>100</v>
      </c>
      <c r="DQ788" s="2" t="n">
        <v>100</v>
      </c>
      <c r="DR788" s="2" t="n">
        <v>0</v>
      </c>
      <c r="DS788" s="2" t="n">
        <v>100</v>
      </c>
      <c r="DT788" s="2" t="n">
        <v>100</v>
      </c>
      <c r="DU788" s="2" t="n">
        <v>0</v>
      </c>
      <c r="DV788" s="2" t="n">
        <v>100</v>
      </c>
      <c r="DW788" s="2" t="n">
        <v>100</v>
      </c>
      <c r="DX788" s="2" t="n">
        <v>0</v>
      </c>
      <c r="DY788" s="2" t="n">
        <v>100</v>
      </c>
      <c r="DZ788" s="2" t="n">
        <v>100</v>
      </c>
      <c r="EA788" s="2" t="n">
        <v>0</v>
      </c>
      <c r="EB788" s="2" t="n">
        <v>100</v>
      </c>
      <c r="EC788" s="2" t="n">
        <v>100</v>
      </c>
      <c r="ED788" s="2" t="n">
        <v>0</v>
      </c>
      <c r="EE788" s="2" t="n">
        <v>100</v>
      </c>
      <c r="EF788" s="2" t="n">
        <v>100</v>
      </c>
      <c r="EG788" s="2" t="n">
        <v>0</v>
      </c>
      <c r="EH788" s="2" t="n">
        <v>100</v>
      </c>
      <c r="EI788" s="2" t="n">
        <v>100</v>
      </c>
      <c r="EJ788" s="2" t="n">
        <v>0</v>
      </c>
      <c r="EK788" s="2" t="n">
        <v>100</v>
      </c>
      <c r="EL788" s="2" t="n">
        <v>100</v>
      </c>
      <c r="EM788" s="2" t="n">
        <v>0</v>
      </c>
      <c r="EN788" s="2" t="n">
        <v>100</v>
      </c>
      <c r="EO788" s="2" t="n">
        <v>100</v>
      </c>
      <c r="EP788" s="2" t="n">
        <v>0</v>
      </c>
      <c r="EQ788" s="2" t="n">
        <v>100</v>
      </c>
      <c r="ER788" s="2" t="n">
        <v>100</v>
      </c>
      <c r="ES788" s="2" t="n">
        <v>0</v>
      </c>
    </row>
    <row r="789">
      <c r="A789" s="2" t="n">
        <v>3</v>
      </c>
      <c r="B789" s="2" t="inlineStr">
        <is>
          <t>32.01.06</t>
        </is>
      </c>
      <c r="C789" s="2" t="inlineStr">
        <is>
          <t>Tela metálica no encontro entre alvenaria e estrutura</t>
        </is>
      </c>
      <c r="D789" s="2" t="inlineStr">
        <is>
          <t>18/08/2027</t>
        </is>
      </c>
      <c r="E789" s="2" t="inlineStr">
        <is>
          <t>06/06/2028</t>
        </is>
      </c>
      <c r="F789" s="2" t="n">
        <v>17442.73967960262</v>
      </c>
      <c r="G789" s="2" t="n">
        <v>0</v>
      </c>
      <c r="H789" s="2" t="n">
        <v>17442.73967960262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0</v>
      </c>
      <c r="AL789" s="2" t="n">
        <v>0</v>
      </c>
      <c r="AM789" s="2" t="n">
        <v>0</v>
      </c>
      <c r="AN789" s="2" t="n">
        <v>0</v>
      </c>
      <c r="AO789" s="2" t="n">
        <v>0</v>
      </c>
      <c r="AP789" s="2" t="n">
        <v>0</v>
      </c>
      <c r="AQ789" s="2" t="n">
        <v>0</v>
      </c>
      <c r="AR789" s="2" t="n">
        <v>0</v>
      </c>
      <c r="AS789" s="2" t="n">
        <v>0</v>
      </c>
      <c r="AT789" s="2" t="n">
        <v>0</v>
      </c>
      <c r="AU789" s="2" t="n">
        <v>0</v>
      </c>
      <c r="AV789" s="2" t="n">
        <v>0</v>
      </c>
      <c r="AW789" s="2" t="n">
        <v>0</v>
      </c>
      <c r="AX789" s="2" t="n">
        <v>0</v>
      </c>
      <c r="AY789" s="2" t="n">
        <v>0</v>
      </c>
      <c r="AZ789" s="2" t="n">
        <v>0</v>
      </c>
      <c r="BA789" s="2" t="n">
        <v>0</v>
      </c>
      <c r="BB789" s="2" t="n">
        <v>0</v>
      </c>
      <c r="BC789" s="2" t="n">
        <v>0</v>
      </c>
      <c r="BD789" s="2" t="n">
        <v>0</v>
      </c>
      <c r="BE789" s="2" t="n">
        <v>0</v>
      </c>
      <c r="BF789" s="2" t="n">
        <v>0</v>
      </c>
      <c r="BG789" s="2" t="n">
        <v>0</v>
      </c>
      <c r="BH789" s="2" t="n">
        <v>0</v>
      </c>
      <c r="BI789" s="2" t="n">
        <v>0</v>
      </c>
      <c r="BJ789" s="2" t="n">
        <v>0</v>
      </c>
      <c r="BK789" s="2" t="n">
        <v>0</v>
      </c>
      <c r="BL789" s="2" t="n">
        <v>0</v>
      </c>
      <c r="BM789" s="2" t="n">
        <v>0</v>
      </c>
      <c r="BN789" s="2" t="n">
        <v>0</v>
      </c>
      <c r="BO789" s="2" t="n">
        <v>0</v>
      </c>
      <c r="BP789" s="2" t="n">
        <v>0</v>
      </c>
      <c r="BQ789" s="2" t="n">
        <v>0</v>
      </c>
      <c r="BR789" s="2" t="n">
        <v>0</v>
      </c>
      <c r="BS789" s="2" t="n">
        <v>0</v>
      </c>
      <c r="BT789" s="2" t="n">
        <v>0</v>
      </c>
      <c r="BU789" s="2" t="n">
        <v>0</v>
      </c>
      <c r="BV789" s="2" t="n">
        <v>0</v>
      </c>
      <c r="BW789" s="2" t="n">
        <v>0</v>
      </c>
      <c r="BX789" s="2" t="n">
        <v>0</v>
      </c>
      <c r="BY789" s="2" t="n">
        <v>0</v>
      </c>
      <c r="BZ789" s="2" t="n">
        <v>0</v>
      </c>
      <c r="CA789" s="2" t="n">
        <v>0</v>
      </c>
      <c r="CB789" s="2" t="n">
        <v>0</v>
      </c>
      <c r="CC789" s="2" t="n">
        <v>0</v>
      </c>
      <c r="CD789" s="2" t="n">
        <v>0</v>
      </c>
      <c r="CE789" s="2" t="n">
        <v>0</v>
      </c>
      <c r="CF789" s="2" t="n">
        <v>0</v>
      </c>
      <c r="CG789" s="2" t="n">
        <v>0</v>
      </c>
      <c r="CH789" s="2" t="n">
        <v>0</v>
      </c>
      <c r="CI789" s="2" t="n">
        <v>6.67</v>
      </c>
      <c r="CJ789" s="2" t="n">
        <v>13.33</v>
      </c>
      <c r="CK789" s="2" t="n">
        <v>0</v>
      </c>
      <c r="CL789" s="2" t="n">
        <v>20</v>
      </c>
      <c r="CM789" s="2" t="n">
        <v>20</v>
      </c>
      <c r="CN789" s="2" t="n">
        <v>0</v>
      </c>
      <c r="CO789" s="2" t="n">
        <v>29.33</v>
      </c>
      <c r="CP789" s="2" t="n">
        <v>36</v>
      </c>
      <c r="CQ789" s="2" t="n">
        <v>0</v>
      </c>
      <c r="CR789" s="2" t="n">
        <v>40</v>
      </c>
      <c r="CS789" s="2" t="n">
        <v>40</v>
      </c>
      <c r="CT789" s="2" t="n">
        <v>0</v>
      </c>
      <c r="CU789" s="2" t="n">
        <v>40</v>
      </c>
      <c r="CV789" s="2" t="n">
        <v>40</v>
      </c>
      <c r="CW789" s="2" t="n">
        <v>0</v>
      </c>
      <c r="CX789" s="2" t="n">
        <v>40</v>
      </c>
      <c r="CY789" s="2" t="n">
        <v>40</v>
      </c>
      <c r="CZ789" s="2" t="n">
        <v>0</v>
      </c>
      <c r="DA789" s="2" t="n">
        <v>47</v>
      </c>
      <c r="DB789" s="2" t="n">
        <v>52</v>
      </c>
      <c r="DC789" s="2" t="n">
        <v>0</v>
      </c>
      <c r="DD789" s="2" t="n">
        <v>61</v>
      </c>
      <c r="DE789" s="2" t="n">
        <v>66</v>
      </c>
      <c r="DF789" s="2" t="n">
        <v>0</v>
      </c>
      <c r="DG789" s="2" t="n">
        <v>79</v>
      </c>
      <c r="DH789" s="2" t="n">
        <v>80</v>
      </c>
      <c r="DI789" s="2" t="n">
        <v>0</v>
      </c>
      <c r="DJ789" s="2" t="n">
        <v>91</v>
      </c>
      <c r="DK789" s="2" t="n">
        <v>96</v>
      </c>
      <c r="DL789" s="2" t="n">
        <v>0</v>
      </c>
      <c r="DM789" s="2" t="n">
        <v>100</v>
      </c>
      <c r="DN789" s="2" t="n">
        <v>100</v>
      </c>
      <c r="DO789" s="2" t="n">
        <v>0</v>
      </c>
      <c r="DP789" s="2" t="n">
        <v>100</v>
      </c>
      <c r="DQ789" s="2" t="n">
        <v>100</v>
      </c>
      <c r="DR789" s="2" t="n">
        <v>0</v>
      </c>
      <c r="DS789" s="2" t="n">
        <v>100</v>
      </c>
      <c r="DT789" s="2" t="n">
        <v>100</v>
      </c>
      <c r="DU789" s="2" t="n">
        <v>0</v>
      </c>
      <c r="DV789" s="2" t="n">
        <v>100</v>
      </c>
      <c r="DW789" s="2" t="n">
        <v>100</v>
      </c>
      <c r="DX789" s="2" t="n">
        <v>0</v>
      </c>
      <c r="DY789" s="2" t="n">
        <v>100</v>
      </c>
      <c r="DZ789" s="2" t="n">
        <v>100</v>
      </c>
      <c r="EA789" s="2" t="n">
        <v>0</v>
      </c>
      <c r="EB789" s="2" t="n">
        <v>100</v>
      </c>
      <c r="EC789" s="2" t="n">
        <v>100</v>
      </c>
      <c r="ED789" s="2" t="n">
        <v>0</v>
      </c>
      <c r="EE789" s="2" t="n">
        <v>100</v>
      </c>
      <c r="EF789" s="2" t="n">
        <v>100</v>
      </c>
      <c r="EG789" s="2" t="n">
        <v>0</v>
      </c>
      <c r="EH789" s="2" t="n">
        <v>100</v>
      </c>
      <c r="EI789" s="2" t="n">
        <v>100</v>
      </c>
      <c r="EJ789" s="2" t="n">
        <v>0</v>
      </c>
      <c r="EK789" s="2" t="n">
        <v>100</v>
      </c>
      <c r="EL789" s="2" t="n">
        <v>100</v>
      </c>
      <c r="EM789" s="2" t="n">
        <v>0</v>
      </c>
      <c r="EN789" s="2" t="n">
        <v>100</v>
      </c>
      <c r="EO789" s="2" t="n">
        <v>100</v>
      </c>
      <c r="EP789" s="2" t="n">
        <v>0</v>
      </c>
      <c r="EQ789" s="2" t="n">
        <v>100</v>
      </c>
      <c r="ER789" s="2" t="n">
        <v>100</v>
      </c>
      <c r="ES789" s="2" t="n">
        <v>0</v>
      </c>
    </row>
    <row r="790">
      <c r="A790" s="2" t="n">
        <v>2</v>
      </c>
      <c r="B790" s="2" t="inlineStr">
        <is>
          <t>32.02</t>
        </is>
      </c>
      <c r="C790" s="2" t="inlineStr">
        <is>
          <t>Porcelanato</t>
        </is>
      </c>
      <c r="D790" s="2" t="inlineStr">
        <is>
          <t>09/09/2027</t>
        </is>
      </c>
      <c r="E790" s="2" t="inlineStr">
        <is>
          <t>22/03/2028</t>
        </is>
      </c>
      <c r="F790" s="2" t="n">
        <v>2297085.767107028</v>
      </c>
      <c r="G790" s="2" t="n">
        <v>0</v>
      </c>
      <c r="H790" s="2" t="n">
        <v>2297085.767107028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0</v>
      </c>
      <c r="AM790" s="2" t="n">
        <v>0</v>
      </c>
      <c r="AN790" s="2" t="n">
        <v>0</v>
      </c>
      <c r="AO790" s="2" t="n">
        <v>0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n">
        <v>0</v>
      </c>
      <c r="AZ790" s="2" t="n">
        <v>0</v>
      </c>
      <c r="BA790" s="2" t="n">
        <v>0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n">
        <v>0</v>
      </c>
      <c r="BI790" s="2" t="n">
        <v>0</v>
      </c>
      <c r="BJ790" s="2" t="n">
        <v>0</v>
      </c>
      <c r="BK790" s="2" t="n">
        <v>0</v>
      </c>
      <c r="BL790" s="2" t="n">
        <v>0</v>
      </c>
      <c r="BM790" s="2" t="n">
        <v>0</v>
      </c>
      <c r="BN790" s="2" t="n">
        <v>0</v>
      </c>
      <c r="BO790" s="2" t="n">
        <v>0</v>
      </c>
      <c r="BP790" s="2" t="n">
        <v>0</v>
      </c>
      <c r="BQ790" s="2" t="n">
        <v>0</v>
      </c>
      <c r="BR790" s="2" t="n">
        <v>0</v>
      </c>
      <c r="BS790" s="2" t="n">
        <v>0</v>
      </c>
      <c r="BT790" s="2" t="n">
        <v>0</v>
      </c>
      <c r="BU790" s="2" t="n">
        <v>0</v>
      </c>
      <c r="BV790" s="2" t="n">
        <v>0</v>
      </c>
      <c r="BW790" s="2" t="n">
        <v>0</v>
      </c>
      <c r="BX790" s="2" t="n">
        <v>0</v>
      </c>
      <c r="BY790" s="2" t="n">
        <v>0</v>
      </c>
      <c r="BZ790" s="2" t="n">
        <v>0</v>
      </c>
      <c r="CA790" s="2" t="n">
        <v>0</v>
      </c>
      <c r="CB790" s="2" t="n">
        <v>0</v>
      </c>
      <c r="CC790" s="2" t="n">
        <v>0</v>
      </c>
      <c r="CD790" s="2" t="n">
        <v>0</v>
      </c>
      <c r="CE790" s="2" t="n">
        <v>0</v>
      </c>
      <c r="CF790" s="2" t="n">
        <v>0</v>
      </c>
      <c r="CG790" s="2" t="n">
        <v>0</v>
      </c>
      <c r="CH790" s="2" t="n">
        <v>0</v>
      </c>
      <c r="CI790" s="2" t="n">
        <v>0</v>
      </c>
      <c r="CJ790" s="2" t="n">
        <v>0</v>
      </c>
      <c r="CK790" s="2" t="n">
        <v>0</v>
      </c>
      <c r="CL790" s="2" t="n">
        <v>11</v>
      </c>
      <c r="CM790" s="2" t="n">
        <v>16</v>
      </c>
      <c r="CN790" s="2" t="n">
        <v>0</v>
      </c>
      <c r="CO790" s="2" t="n">
        <v>31</v>
      </c>
      <c r="CP790" s="2" t="n">
        <v>36</v>
      </c>
      <c r="CQ790" s="2" t="n">
        <v>0</v>
      </c>
      <c r="CR790" s="2" t="n">
        <v>51</v>
      </c>
      <c r="CS790" s="2" t="n">
        <v>56</v>
      </c>
      <c r="CT790" s="2" t="n">
        <v>0</v>
      </c>
      <c r="CU790" s="2" t="n">
        <v>67</v>
      </c>
      <c r="CV790" s="2" t="n">
        <v>72</v>
      </c>
      <c r="CW790" s="2" t="n">
        <v>0</v>
      </c>
      <c r="CX790" s="2" t="n">
        <v>83.2</v>
      </c>
      <c r="CY790" s="2" t="n">
        <v>85.2</v>
      </c>
      <c r="CZ790" s="2" t="n">
        <v>0</v>
      </c>
      <c r="DA790" s="2" t="n">
        <v>91.59999999999999</v>
      </c>
      <c r="DB790" s="2" t="n">
        <v>93.59999999999999</v>
      </c>
      <c r="DC790" s="2" t="n">
        <v>0</v>
      </c>
      <c r="DD790" s="2" t="n">
        <v>100</v>
      </c>
      <c r="DE790" s="2" t="n">
        <v>100</v>
      </c>
      <c r="DF790" s="2" t="n">
        <v>0</v>
      </c>
      <c r="DG790" s="2" t="n">
        <v>100</v>
      </c>
      <c r="DH790" s="2" t="n">
        <v>100</v>
      </c>
      <c r="DI790" s="2" t="n">
        <v>0</v>
      </c>
      <c r="DJ790" s="2" t="n">
        <v>100</v>
      </c>
      <c r="DK790" s="2" t="n">
        <v>100</v>
      </c>
      <c r="DL790" s="2" t="n">
        <v>0</v>
      </c>
      <c r="DM790" s="2" t="n">
        <v>100</v>
      </c>
      <c r="DN790" s="2" t="n">
        <v>100</v>
      </c>
      <c r="DO790" s="2" t="n">
        <v>0</v>
      </c>
      <c r="DP790" s="2" t="n">
        <v>100</v>
      </c>
      <c r="DQ790" s="2" t="n">
        <v>100</v>
      </c>
      <c r="DR790" s="2" t="n">
        <v>0</v>
      </c>
      <c r="DS790" s="2" t="n">
        <v>100</v>
      </c>
      <c r="DT790" s="2" t="n">
        <v>100</v>
      </c>
      <c r="DU790" s="2" t="n">
        <v>0</v>
      </c>
      <c r="DV790" s="2" t="n">
        <v>100</v>
      </c>
      <c r="DW790" s="2" t="n">
        <v>100</v>
      </c>
      <c r="DX790" s="2" t="n">
        <v>0</v>
      </c>
      <c r="DY790" s="2" t="n">
        <v>100</v>
      </c>
      <c r="DZ790" s="2" t="n">
        <v>100</v>
      </c>
      <c r="EA790" s="2" t="n">
        <v>0</v>
      </c>
      <c r="EB790" s="2" t="n">
        <v>100</v>
      </c>
      <c r="EC790" s="2" t="n">
        <v>100</v>
      </c>
      <c r="ED790" s="2" t="n">
        <v>0</v>
      </c>
      <c r="EE790" s="2" t="n">
        <v>100</v>
      </c>
      <c r="EF790" s="2" t="n">
        <v>100</v>
      </c>
      <c r="EG790" s="2" t="n">
        <v>0</v>
      </c>
      <c r="EH790" s="2" t="n">
        <v>100</v>
      </c>
      <c r="EI790" s="2" t="n">
        <v>100</v>
      </c>
      <c r="EJ790" s="2" t="n">
        <v>0</v>
      </c>
      <c r="EK790" s="2" t="n">
        <v>100</v>
      </c>
      <c r="EL790" s="2" t="n">
        <v>100</v>
      </c>
      <c r="EM790" s="2" t="n">
        <v>0</v>
      </c>
      <c r="EN790" s="2" t="n">
        <v>100</v>
      </c>
      <c r="EO790" s="2" t="n">
        <v>100</v>
      </c>
      <c r="EP790" s="2" t="n">
        <v>0</v>
      </c>
      <c r="EQ790" s="2" t="n">
        <v>100</v>
      </c>
      <c r="ER790" s="2" t="n">
        <v>100</v>
      </c>
      <c r="ES790" s="2" t="n">
        <v>0</v>
      </c>
    </row>
    <row r="791">
      <c r="A791" s="2" t="n">
        <v>3</v>
      </c>
      <c r="B791" s="2" t="inlineStr">
        <is>
          <t>32.02.01</t>
        </is>
      </c>
      <c r="C791" s="2" t="inlineStr">
        <is>
          <t>Porcelanato verde, 30x120cm, ref.: Portobello Matéria Prima Verde, conforme paginação da fachada, instalados com sistema de fachada aerada através de dispositivos metálicos de aço galvanizado.</t>
        </is>
      </c>
      <c r="D791" s="2" t="inlineStr">
        <is>
          <t>09/09/2027</t>
        </is>
      </c>
      <c r="E791" s="2" t="inlineStr">
        <is>
          <t>22/03/2028</t>
        </is>
      </c>
      <c r="F791" s="2" t="n">
        <v>2016285.131306028</v>
      </c>
      <c r="G791" s="2" t="n">
        <v>0</v>
      </c>
      <c r="H791" s="2" t="n">
        <v>2016285.131306028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n">
        <v>0</v>
      </c>
      <c r="AC791" s="2" t="n">
        <v>0</v>
      </c>
      <c r="AD791" s="2" t="n">
        <v>0</v>
      </c>
      <c r="AE791" s="2" t="n">
        <v>0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0</v>
      </c>
      <c r="AL791" s="2" t="n">
        <v>0</v>
      </c>
      <c r="AM791" s="2" t="n">
        <v>0</v>
      </c>
      <c r="AN791" s="2" t="n">
        <v>0</v>
      </c>
      <c r="AO791" s="2" t="n">
        <v>0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n">
        <v>0</v>
      </c>
      <c r="AZ791" s="2" t="n">
        <v>0</v>
      </c>
      <c r="BA791" s="2" t="n">
        <v>0</v>
      </c>
      <c r="BB791" s="2" t="n">
        <v>0</v>
      </c>
      <c r="BC791" s="2" t="n">
        <v>0</v>
      </c>
      <c r="BD791" s="2" t="n">
        <v>0</v>
      </c>
      <c r="BE791" s="2" t="n">
        <v>0</v>
      </c>
      <c r="BF791" s="2" t="n">
        <v>0</v>
      </c>
      <c r="BG791" s="2" t="n">
        <v>0</v>
      </c>
      <c r="BH791" s="2" t="n">
        <v>0</v>
      </c>
      <c r="BI791" s="2" t="n">
        <v>0</v>
      </c>
      <c r="BJ791" s="2" t="n">
        <v>0</v>
      </c>
      <c r="BK791" s="2" t="n">
        <v>0</v>
      </c>
      <c r="BL791" s="2" t="n">
        <v>0</v>
      </c>
      <c r="BM791" s="2" t="n">
        <v>0</v>
      </c>
      <c r="BN791" s="2" t="n">
        <v>0</v>
      </c>
      <c r="BO791" s="2" t="n">
        <v>0</v>
      </c>
      <c r="BP791" s="2" t="n">
        <v>0</v>
      </c>
      <c r="BQ791" s="2" t="n">
        <v>0</v>
      </c>
      <c r="BR791" s="2" t="n">
        <v>0</v>
      </c>
      <c r="BS791" s="2" t="n">
        <v>0</v>
      </c>
      <c r="BT791" s="2" t="n">
        <v>0</v>
      </c>
      <c r="BU791" s="2" t="n">
        <v>0</v>
      </c>
      <c r="BV791" s="2" t="n">
        <v>0</v>
      </c>
      <c r="BW791" s="2" t="n">
        <v>0</v>
      </c>
      <c r="BX791" s="2" t="n">
        <v>0</v>
      </c>
      <c r="BY791" s="2" t="n">
        <v>0</v>
      </c>
      <c r="BZ791" s="2" t="n">
        <v>0</v>
      </c>
      <c r="CA791" s="2" t="n">
        <v>0</v>
      </c>
      <c r="CB791" s="2" t="n">
        <v>0</v>
      </c>
      <c r="CC791" s="2" t="n">
        <v>0</v>
      </c>
      <c r="CD791" s="2" t="n">
        <v>0</v>
      </c>
      <c r="CE791" s="2" t="n">
        <v>0</v>
      </c>
      <c r="CF791" s="2" t="n">
        <v>0</v>
      </c>
      <c r="CG791" s="2" t="n">
        <v>0</v>
      </c>
      <c r="CH791" s="2" t="n">
        <v>0</v>
      </c>
      <c r="CI791" s="2" t="n">
        <v>0</v>
      </c>
      <c r="CJ791" s="2" t="n">
        <v>0</v>
      </c>
      <c r="CK791" s="2" t="n">
        <v>0</v>
      </c>
      <c r="CL791" s="2" t="n">
        <v>11</v>
      </c>
      <c r="CM791" s="2" t="n">
        <v>16</v>
      </c>
      <c r="CN791" s="2" t="n">
        <v>0</v>
      </c>
      <c r="CO791" s="2" t="n">
        <v>31</v>
      </c>
      <c r="CP791" s="2" t="n">
        <v>36</v>
      </c>
      <c r="CQ791" s="2" t="n">
        <v>0</v>
      </c>
      <c r="CR791" s="2" t="n">
        <v>51</v>
      </c>
      <c r="CS791" s="2" t="n">
        <v>56</v>
      </c>
      <c r="CT791" s="2" t="n">
        <v>0</v>
      </c>
      <c r="CU791" s="2" t="n">
        <v>67</v>
      </c>
      <c r="CV791" s="2" t="n">
        <v>72</v>
      </c>
      <c r="CW791" s="2" t="n">
        <v>0</v>
      </c>
      <c r="CX791" s="2" t="n">
        <v>83.2</v>
      </c>
      <c r="CY791" s="2" t="n">
        <v>85.2</v>
      </c>
      <c r="CZ791" s="2" t="n">
        <v>0</v>
      </c>
      <c r="DA791" s="2" t="n">
        <v>91.59999999999999</v>
      </c>
      <c r="DB791" s="2" t="n">
        <v>93.59999999999999</v>
      </c>
      <c r="DC791" s="2" t="n">
        <v>0</v>
      </c>
      <c r="DD791" s="2" t="n">
        <v>100</v>
      </c>
      <c r="DE791" s="2" t="n">
        <v>100</v>
      </c>
      <c r="DF791" s="2" t="n">
        <v>0</v>
      </c>
      <c r="DG791" s="2" t="n">
        <v>100</v>
      </c>
      <c r="DH791" s="2" t="n">
        <v>100</v>
      </c>
      <c r="DI791" s="2" t="n">
        <v>0</v>
      </c>
      <c r="DJ791" s="2" t="n">
        <v>100</v>
      </c>
      <c r="DK791" s="2" t="n">
        <v>100</v>
      </c>
      <c r="DL791" s="2" t="n">
        <v>0</v>
      </c>
      <c r="DM791" s="2" t="n">
        <v>100</v>
      </c>
      <c r="DN791" s="2" t="n">
        <v>100</v>
      </c>
      <c r="DO791" s="2" t="n">
        <v>0</v>
      </c>
      <c r="DP791" s="2" t="n">
        <v>100</v>
      </c>
      <c r="DQ791" s="2" t="n">
        <v>100</v>
      </c>
      <c r="DR791" s="2" t="n">
        <v>0</v>
      </c>
      <c r="DS791" s="2" t="n">
        <v>100</v>
      </c>
      <c r="DT791" s="2" t="n">
        <v>100</v>
      </c>
      <c r="DU791" s="2" t="n">
        <v>0</v>
      </c>
      <c r="DV791" s="2" t="n">
        <v>100</v>
      </c>
      <c r="DW791" s="2" t="n">
        <v>100</v>
      </c>
      <c r="DX791" s="2" t="n">
        <v>0</v>
      </c>
      <c r="DY791" s="2" t="n">
        <v>100</v>
      </c>
      <c r="DZ791" s="2" t="n">
        <v>100</v>
      </c>
      <c r="EA791" s="2" t="n">
        <v>0</v>
      </c>
      <c r="EB791" s="2" t="n">
        <v>100</v>
      </c>
      <c r="EC791" s="2" t="n">
        <v>100</v>
      </c>
      <c r="ED791" s="2" t="n">
        <v>0</v>
      </c>
      <c r="EE791" s="2" t="n">
        <v>100</v>
      </c>
      <c r="EF791" s="2" t="n">
        <v>100</v>
      </c>
      <c r="EG791" s="2" t="n">
        <v>0</v>
      </c>
      <c r="EH791" s="2" t="n">
        <v>100</v>
      </c>
      <c r="EI791" s="2" t="n">
        <v>100</v>
      </c>
      <c r="EJ791" s="2" t="n">
        <v>0</v>
      </c>
      <c r="EK791" s="2" t="n">
        <v>100</v>
      </c>
      <c r="EL791" s="2" t="n">
        <v>100</v>
      </c>
      <c r="EM791" s="2" t="n">
        <v>0</v>
      </c>
      <c r="EN791" s="2" t="n">
        <v>100</v>
      </c>
      <c r="EO791" s="2" t="n">
        <v>100</v>
      </c>
      <c r="EP791" s="2" t="n">
        <v>0</v>
      </c>
      <c r="EQ791" s="2" t="n">
        <v>100</v>
      </c>
      <c r="ER791" s="2" t="n">
        <v>100</v>
      </c>
      <c r="ES791" s="2" t="n">
        <v>0</v>
      </c>
    </row>
    <row r="792">
      <c r="A792" s="2" t="n">
        <v>3</v>
      </c>
      <c r="B792" s="2" t="inlineStr">
        <is>
          <t>32.02.02</t>
        </is>
      </c>
      <c r="C792" s="2" t="inlineStr">
        <is>
          <t>Espalas para porcelanato verde, 30x120cm, ref.: Portobello Matéria Prima Verde, conforme paginação da fachada, instalados com sistema de fachada aerada através de dispositivos metálicos de aço galvanizado.</t>
        </is>
      </c>
      <c r="D792" s="2" t="inlineStr">
        <is>
          <t>09/09/2027</t>
        </is>
      </c>
      <c r="E792" s="2" t="inlineStr">
        <is>
          <t>22/03/2028</t>
        </is>
      </c>
      <c r="F792" s="2" t="n">
        <v>280800.6358009999</v>
      </c>
      <c r="G792" s="2" t="n">
        <v>0</v>
      </c>
      <c r="H792" s="2" t="n">
        <v>280800.6358009999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0</v>
      </c>
      <c r="AM792" s="2" t="n">
        <v>0</v>
      </c>
      <c r="AN792" s="2" t="n">
        <v>0</v>
      </c>
      <c r="AO792" s="2" t="n">
        <v>0</v>
      </c>
      <c r="AP792" s="2" t="n">
        <v>0</v>
      </c>
      <c r="AQ792" s="2" t="n">
        <v>0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0</v>
      </c>
      <c r="AW792" s="2" t="n">
        <v>0</v>
      </c>
      <c r="AX792" s="2" t="n">
        <v>0</v>
      </c>
      <c r="AY792" s="2" t="n">
        <v>0</v>
      </c>
      <c r="AZ792" s="2" t="n">
        <v>0</v>
      </c>
      <c r="BA792" s="2" t="n">
        <v>0</v>
      </c>
      <c r="BB792" s="2" t="n">
        <v>0</v>
      </c>
      <c r="BC792" s="2" t="n">
        <v>0</v>
      </c>
      <c r="BD792" s="2" t="n">
        <v>0</v>
      </c>
      <c r="BE792" s="2" t="n">
        <v>0</v>
      </c>
      <c r="BF792" s="2" t="n">
        <v>0</v>
      </c>
      <c r="BG792" s="2" t="n">
        <v>0</v>
      </c>
      <c r="BH792" s="2" t="n">
        <v>0</v>
      </c>
      <c r="BI792" s="2" t="n">
        <v>0</v>
      </c>
      <c r="BJ792" s="2" t="n">
        <v>0</v>
      </c>
      <c r="BK792" s="2" t="n">
        <v>0</v>
      </c>
      <c r="BL792" s="2" t="n">
        <v>0</v>
      </c>
      <c r="BM792" s="2" t="n">
        <v>0</v>
      </c>
      <c r="BN792" s="2" t="n">
        <v>0</v>
      </c>
      <c r="BO792" s="2" t="n">
        <v>0</v>
      </c>
      <c r="BP792" s="2" t="n">
        <v>0</v>
      </c>
      <c r="BQ792" s="2" t="n">
        <v>0</v>
      </c>
      <c r="BR792" s="2" t="n">
        <v>0</v>
      </c>
      <c r="BS792" s="2" t="n">
        <v>0</v>
      </c>
      <c r="BT792" s="2" t="n">
        <v>0</v>
      </c>
      <c r="BU792" s="2" t="n">
        <v>0</v>
      </c>
      <c r="BV792" s="2" t="n">
        <v>0</v>
      </c>
      <c r="BW792" s="2" t="n">
        <v>0</v>
      </c>
      <c r="BX792" s="2" t="n">
        <v>0</v>
      </c>
      <c r="BY792" s="2" t="n">
        <v>0</v>
      </c>
      <c r="BZ792" s="2" t="n">
        <v>0</v>
      </c>
      <c r="CA792" s="2" t="n">
        <v>0</v>
      </c>
      <c r="CB792" s="2" t="n">
        <v>0</v>
      </c>
      <c r="CC792" s="2" t="n">
        <v>0</v>
      </c>
      <c r="CD792" s="2" t="n">
        <v>0</v>
      </c>
      <c r="CE792" s="2" t="n">
        <v>0</v>
      </c>
      <c r="CF792" s="2" t="n">
        <v>0</v>
      </c>
      <c r="CG792" s="2" t="n">
        <v>0</v>
      </c>
      <c r="CH792" s="2" t="n">
        <v>0</v>
      </c>
      <c r="CI792" s="2" t="n">
        <v>0</v>
      </c>
      <c r="CJ792" s="2" t="n">
        <v>0</v>
      </c>
      <c r="CK792" s="2" t="n">
        <v>0</v>
      </c>
      <c r="CL792" s="2" t="n">
        <v>11</v>
      </c>
      <c r="CM792" s="2" t="n">
        <v>16</v>
      </c>
      <c r="CN792" s="2" t="n">
        <v>0</v>
      </c>
      <c r="CO792" s="2" t="n">
        <v>31</v>
      </c>
      <c r="CP792" s="2" t="n">
        <v>36</v>
      </c>
      <c r="CQ792" s="2" t="n">
        <v>0</v>
      </c>
      <c r="CR792" s="2" t="n">
        <v>51</v>
      </c>
      <c r="CS792" s="2" t="n">
        <v>56</v>
      </c>
      <c r="CT792" s="2" t="n">
        <v>0</v>
      </c>
      <c r="CU792" s="2" t="n">
        <v>67</v>
      </c>
      <c r="CV792" s="2" t="n">
        <v>72</v>
      </c>
      <c r="CW792" s="2" t="n">
        <v>0</v>
      </c>
      <c r="CX792" s="2" t="n">
        <v>83.2</v>
      </c>
      <c r="CY792" s="2" t="n">
        <v>85.2</v>
      </c>
      <c r="CZ792" s="2" t="n">
        <v>0</v>
      </c>
      <c r="DA792" s="2" t="n">
        <v>91.59999999999999</v>
      </c>
      <c r="DB792" s="2" t="n">
        <v>93.59999999999999</v>
      </c>
      <c r="DC792" s="2" t="n">
        <v>0</v>
      </c>
      <c r="DD792" s="2" t="n">
        <v>100</v>
      </c>
      <c r="DE792" s="2" t="n">
        <v>100</v>
      </c>
      <c r="DF792" s="2" t="n">
        <v>0</v>
      </c>
      <c r="DG792" s="2" t="n">
        <v>100</v>
      </c>
      <c r="DH792" s="2" t="n">
        <v>100</v>
      </c>
      <c r="DI792" s="2" t="n">
        <v>0</v>
      </c>
      <c r="DJ792" s="2" t="n">
        <v>100</v>
      </c>
      <c r="DK792" s="2" t="n">
        <v>100</v>
      </c>
      <c r="DL792" s="2" t="n">
        <v>0</v>
      </c>
      <c r="DM792" s="2" t="n">
        <v>100</v>
      </c>
      <c r="DN792" s="2" t="n">
        <v>100</v>
      </c>
      <c r="DO792" s="2" t="n">
        <v>0</v>
      </c>
      <c r="DP792" s="2" t="n">
        <v>100</v>
      </c>
      <c r="DQ792" s="2" t="n">
        <v>100</v>
      </c>
      <c r="DR792" s="2" t="n">
        <v>0</v>
      </c>
      <c r="DS792" s="2" t="n">
        <v>100</v>
      </c>
      <c r="DT792" s="2" t="n">
        <v>100</v>
      </c>
      <c r="DU792" s="2" t="n">
        <v>0</v>
      </c>
      <c r="DV792" s="2" t="n">
        <v>100</v>
      </c>
      <c r="DW792" s="2" t="n">
        <v>100</v>
      </c>
      <c r="DX792" s="2" t="n">
        <v>0</v>
      </c>
      <c r="DY792" s="2" t="n">
        <v>100</v>
      </c>
      <c r="DZ792" s="2" t="n">
        <v>100</v>
      </c>
      <c r="EA792" s="2" t="n">
        <v>0</v>
      </c>
      <c r="EB792" s="2" t="n">
        <v>100</v>
      </c>
      <c r="EC792" s="2" t="n">
        <v>100</v>
      </c>
      <c r="ED792" s="2" t="n">
        <v>0</v>
      </c>
      <c r="EE792" s="2" t="n">
        <v>100</v>
      </c>
      <c r="EF792" s="2" t="n">
        <v>100</v>
      </c>
      <c r="EG792" s="2" t="n">
        <v>0</v>
      </c>
      <c r="EH792" s="2" t="n">
        <v>100</v>
      </c>
      <c r="EI792" s="2" t="n">
        <v>100</v>
      </c>
      <c r="EJ792" s="2" t="n">
        <v>0</v>
      </c>
      <c r="EK792" s="2" t="n">
        <v>100</v>
      </c>
      <c r="EL792" s="2" t="n">
        <v>100</v>
      </c>
      <c r="EM792" s="2" t="n">
        <v>0</v>
      </c>
      <c r="EN792" s="2" t="n">
        <v>100</v>
      </c>
      <c r="EO792" s="2" t="n">
        <v>100</v>
      </c>
      <c r="EP792" s="2" t="n">
        <v>0</v>
      </c>
      <c r="EQ792" s="2" t="n">
        <v>100</v>
      </c>
      <c r="ER792" s="2" t="n">
        <v>100</v>
      </c>
      <c r="ES792" s="2" t="n">
        <v>0</v>
      </c>
    </row>
    <row r="793">
      <c r="A793" s="2" t="n">
        <v>2</v>
      </c>
      <c r="B793" s="2" t="inlineStr">
        <is>
          <t>32.03</t>
        </is>
      </c>
      <c r="C793" s="2" t="inlineStr">
        <is>
          <t>Tratamento de concreto aparente na fachada</t>
        </is>
      </c>
      <c r="D793" s="2" t="inlineStr">
        <is>
          <t>22/06/2028</t>
        </is>
      </c>
      <c r="E793" s="2" t="inlineStr">
        <is>
          <t>07/11/2028</t>
        </is>
      </c>
      <c r="F793" s="2" t="n">
        <v>1449033.5</v>
      </c>
      <c r="G793" s="2" t="n">
        <v>0</v>
      </c>
      <c r="H793" s="2" t="n">
        <v>1449033.5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0</v>
      </c>
      <c r="AM793" s="2" t="n">
        <v>0</v>
      </c>
      <c r="AN793" s="2" t="n">
        <v>0</v>
      </c>
      <c r="AO793" s="2" t="n">
        <v>0</v>
      </c>
      <c r="AP793" s="2" t="n">
        <v>0</v>
      </c>
      <c r="AQ793" s="2" t="n">
        <v>0</v>
      </c>
      <c r="AR793" s="2" t="n">
        <v>0</v>
      </c>
      <c r="AS793" s="2" t="n">
        <v>0</v>
      </c>
      <c r="AT793" s="2" t="n">
        <v>0</v>
      </c>
      <c r="AU793" s="2" t="n">
        <v>0</v>
      </c>
      <c r="AV793" s="2" t="n">
        <v>0</v>
      </c>
      <c r="AW793" s="2" t="n">
        <v>0</v>
      </c>
      <c r="AX793" s="2" t="n">
        <v>0</v>
      </c>
      <c r="AY793" s="2" t="n">
        <v>0</v>
      </c>
      <c r="AZ793" s="2" t="n">
        <v>0</v>
      </c>
      <c r="BA793" s="2" t="n">
        <v>0</v>
      </c>
      <c r="BB793" s="2" t="n">
        <v>0</v>
      </c>
      <c r="BC793" s="2" t="n">
        <v>0</v>
      </c>
      <c r="BD793" s="2" t="n">
        <v>0</v>
      </c>
      <c r="BE793" s="2" t="n">
        <v>0</v>
      </c>
      <c r="BF793" s="2" t="n">
        <v>0</v>
      </c>
      <c r="BG793" s="2" t="n">
        <v>0</v>
      </c>
      <c r="BH793" s="2" t="n">
        <v>0</v>
      </c>
      <c r="BI793" s="2" t="n">
        <v>0</v>
      </c>
      <c r="BJ793" s="2" t="n">
        <v>0</v>
      </c>
      <c r="BK793" s="2" t="n">
        <v>0</v>
      </c>
      <c r="BL793" s="2" t="n">
        <v>0</v>
      </c>
      <c r="BM793" s="2" t="n">
        <v>0</v>
      </c>
      <c r="BN793" s="2" t="n">
        <v>0</v>
      </c>
      <c r="BO793" s="2" t="n">
        <v>0</v>
      </c>
      <c r="BP793" s="2" t="n">
        <v>0</v>
      </c>
      <c r="BQ793" s="2" t="n">
        <v>0</v>
      </c>
      <c r="BR793" s="2" t="n">
        <v>0</v>
      </c>
      <c r="BS793" s="2" t="n">
        <v>0</v>
      </c>
      <c r="BT793" s="2" t="n">
        <v>0</v>
      </c>
      <c r="BU793" s="2" t="n">
        <v>0</v>
      </c>
      <c r="BV793" s="2" t="n">
        <v>0</v>
      </c>
      <c r="BW793" s="2" t="n">
        <v>0</v>
      </c>
      <c r="BX793" s="2" t="n">
        <v>0</v>
      </c>
      <c r="BY793" s="2" t="n">
        <v>0</v>
      </c>
      <c r="BZ793" s="2" t="n">
        <v>0</v>
      </c>
      <c r="CA793" s="2" t="n">
        <v>0</v>
      </c>
      <c r="CB793" s="2" t="n">
        <v>0</v>
      </c>
      <c r="CC793" s="2" t="n">
        <v>0</v>
      </c>
      <c r="CD793" s="2" t="n">
        <v>0</v>
      </c>
      <c r="CE793" s="2" t="n">
        <v>0</v>
      </c>
      <c r="CF793" s="2" t="n">
        <v>0</v>
      </c>
      <c r="CG793" s="2" t="n">
        <v>0</v>
      </c>
      <c r="CH793" s="2" t="n">
        <v>0</v>
      </c>
      <c r="CI793" s="2" t="n">
        <v>0</v>
      </c>
      <c r="CJ793" s="2" t="n">
        <v>0</v>
      </c>
      <c r="CK793" s="2" t="n">
        <v>0</v>
      </c>
      <c r="CL793" s="2" t="n">
        <v>0</v>
      </c>
      <c r="CM793" s="2" t="n">
        <v>0</v>
      </c>
      <c r="CN793" s="2" t="n">
        <v>0</v>
      </c>
      <c r="CO793" s="2" t="n">
        <v>0</v>
      </c>
      <c r="CP793" s="2" t="n">
        <v>0</v>
      </c>
      <c r="CQ793" s="2" t="n">
        <v>0</v>
      </c>
      <c r="CR793" s="2" t="n">
        <v>0</v>
      </c>
      <c r="CS793" s="2" t="n">
        <v>0</v>
      </c>
      <c r="CT793" s="2" t="n">
        <v>0</v>
      </c>
      <c r="CU793" s="2" t="n">
        <v>0</v>
      </c>
      <c r="CV793" s="2" t="n">
        <v>0</v>
      </c>
      <c r="CW793" s="2" t="n">
        <v>0</v>
      </c>
      <c r="CX793" s="2" t="n">
        <v>0</v>
      </c>
      <c r="CY793" s="2" t="n">
        <v>0</v>
      </c>
      <c r="CZ793" s="2" t="n">
        <v>0</v>
      </c>
      <c r="DA793" s="2" t="n">
        <v>0</v>
      </c>
      <c r="DB793" s="2" t="n">
        <v>0</v>
      </c>
      <c r="DC793" s="2" t="n">
        <v>0</v>
      </c>
      <c r="DD793" s="2" t="n">
        <v>0</v>
      </c>
      <c r="DE793" s="2" t="n">
        <v>0</v>
      </c>
      <c r="DF793" s="2" t="n">
        <v>0</v>
      </c>
      <c r="DG793" s="2" t="n">
        <v>0</v>
      </c>
      <c r="DH793" s="2" t="n">
        <v>0</v>
      </c>
      <c r="DI793" s="2" t="n">
        <v>0</v>
      </c>
      <c r="DJ793" s="2" t="n">
        <v>0</v>
      </c>
      <c r="DK793" s="2" t="n">
        <v>0</v>
      </c>
      <c r="DL793" s="2" t="n">
        <v>0</v>
      </c>
      <c r="DM793" s="2" t="n">
        <v>4</v>
      </c>
      <c r="DN793" s="2" t="n">
        <v>14</v>
      </c>
      <c r="DO793" s="2" t="n">
        <v>0</v>
      </c>
      <c r="DP793" s="2" t="n">
        <v>40</v>
      </c>
      <c r="DQ793" s="2" t="n">
        <v>40</v>
      </c>
      <c r="DR793" s="2" t="n">
        <v>0</v>
      </c>
      <c r="DS793" s="2" t="n">
        <v>70</v>
      </c>
      <c r="DT793" s="2" t="n">
        <v>80</v>
      </c>
      <c r="DU793" s="2" t="n">
        <v>0</v>
      </c>
      <c r="DV793" s="2" t="n">
        <v>80</v>
      </c>
      <c r="DW793" s="2" t="n">
        <v>80</v>
      </c>
      <c r="DX793" s="2" t="n">
        <v>0</v>
      </c>
      <c r="DY793" s="2" t="n">
        <v>91</v>
      </c>
      <c r="DZ793" s="2" t="n">
        <v>96</v>
      </c>
      <c r="EA793" s="2" t="n">
        <v>0</v>
      </c>
      <c r="EB793" s="2" t="n">
        <v>100</v>
      </c>
      <c r="EC793" s="2" t="n">
        <v>100</v>
      </c>
      <c r="ED793" s="2" t="n">
        <v>0</v>
      </c>
      <c r="EE793" s="2" t="n">
        <v>100</v>
      </c>
      <c r="EF793" s="2" t="n">
        <v>100</v>
      </c>
      <c r="EG793" s="2" t="n">
        <v>0</v>
      </c>
      <c r="EH793" s="2" t="n">
        <v>100</v>
      </c>
      <c r="EI793" s="2" t="n">
        <v>100</v>
      </c>
      <c r="EJ793" s="2" t="n">
        <v>0</v>
      </c>
      <c r="EK793" s="2" t="n">
        <v>100</v>
      </c>
      <c r="EL793" s="2" t="n">
        <v>100</v>
      </c>
      <c r="EM793" s="2" t="n">
        <v>0</v>
      </c>
      <c r="EN793" s="2" t="n">
        <v>100</v>
      </c>
      <c r="EO793" s="2" t="n">
        <v>100</v>
      </c>
      <c r="EP793" s="2" t="n">
        <v>0</v>
      </c>
      <c r="EQ793" s="2" t="n">
        <v>100</v>
      </c>
      <c r="ER793" s="2" t="n">
        <v>100</v>
      </c>
      <c r="ES793" s="2" t="n">
        <v>0</v>
      </c>
    </row>
    <row r="794">
      <c r="A794" s="2" t="n">
        <v>3</v>
      </c>
      <c r="B794" s="2" t="inlineStr">
        <is>
          <t>32.03.01</t>
        </is>
      </c>
      <c r="C794" s="2" t="inlineStr">
        <is>
          <t>Tratamento de concreto aparente</t>
        </is>
      </c>
      <c r="D794" s="2" t="inlineStr">
        <is>
          <t>22/06/2028</t>
        </is>
      </c>
      <c r="E794" s="2" t="inlineStr">
        <is>
          <t>07/11/2028</t>
        </is>
      </c>
      <c r="F794" s="2" t="n">
        <v>1233220</v>
      </c>
      <c r="G794" s="2" t="n">
        <v>0</v>
      </c>
      <c r="H794" s="2" t="n">
        <v>1233220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0</v>
      </c>
      <c r="AL794" s="2" t="n">
        <v>0</v>
      </c>
      <c r="AM794" s="2" t="n">
        <v>0</v>
      </c>
      <c r="AN794" s="2" t="n">
        <v>0</v>
      </c>
      <c r="AO794" s="2" t="n">
        <v>0</v>
      </c>
      <c r="AP794" s="2" t="n">
        <v>0</v>
      </c>
      <c r="AQ794" s="2" t="n">
        <v>0</v>
      </c>
      <c r="AR794" s="2" t="n">
        <v>0</v>
      </c>
      <c r="AS794" s="2" t="n">
        <v>0</v>
      </c>
      <c r="AT794" s="2" t="n">
        <v>0</v>
      </c>
      <c r="AU794" s="2" t="n">
        <v>0</v>
      </c>
      <c r="AV794" s="2" t="n">
        <v>0</v>
      </c>
      <c r="AW794" s="2" t="n">
        <v>0</v>
      </c>
      <c r="AX794" s="2" t="n">
        <v>0</v>
      </c>
      <c r="AY794" s="2" t="n">
        <v>0</v>
      </c>
      <c r="AZ794" s="2" t="n">
        <v>0</v>
      </c>
      <c r="BA794" s="2" t="n">
        <v>0</v>
      </c>
      <c r="BB794" s="2" t="n">
        <v>0</v>
      </c>
      <c r="BC794" s="2" t="n">
        <v>0</v>
      </c>
      <c r="BD794" s="2" t="n">
        <v>0</v>
      </c>
      <c r="BE794" s="2" t="n">
        <v>0</v>
      </c>
      <c r="BF794" s="2" t="n">
        <v>0</v>
      </c>
      <c r="BG794" s="2" t="n">
        <v>0</v>
      </c>
      <c r="BH794" s="2" t="n">
        <v>0</v>
      </c>
      <c r="BI794" s="2" t="n">
        <v>0</v>
      </c>
      <c r="BJ794" s="2" t="n">
        <v>0</v>
      </c>
      <c r="BK794" s="2" t="n">
        <v>0</v>
      </c>
      <c r="BL794" s="2" t="n">
        <v>0</v>
      </c>
      <c r="BM794" s="2" t="n">
        <v>0</v>
      </c>
      <c r="BN794" s="2" t="n">
        <v>0</v>
      </c>
      <c r="BO794" s="2" t="n">
        <v>0</v>
      </c>
      <c r="BP794" s="2" t="n">
        <v>0</v>
      </c>
      <c r="BQ794" s="2" t="n">
        <v>0</v>
      </c>
      <c r="BR794" s="2" t="n">
        <v>0</v>
      </c>
      <c r="BS794" s="2" t="n">
        <v>0</v>
      </c>
      <c r="BT794" s="2" t="n">
        <v>0</v>
      </c>
      <c r="BU794" s="2" t="n">
        <v>0</v>
      </c>
      <c r="BV794" s="2" t="n">
        <v>0</v>
      </c>
      <c r="BW794" s="2" t="n">
        <v>0</v>
      </c>
      <c r="BX794" s="2" t="n">
        <v>0</v>
      </c>
      <c r="BY794" s="2" t="n">
        <v>0</v>
      </c>
      <c r="BZ794" s="2" t="n">
        <v>0</v>
      </c>
      <c r="CA794" s="2" t="n">
        <v>0</v>
      </c>
      <c r="CB794" s="2" t="n">
        <v>0</v>
      </c>
      <c r="CC794" s="2" t="n">
        <v>0</v>
      </c>
      <c r="CD794" s="2" t="n">
        <v>0</v>
      </c>
      <c r="CE794" s="2" t="n">
        <v>0</v>
      </c>
      <c r="CF794" s="2" t="n">
        <v>0</v>
      </c>
      <c r="CG794" s="2" t="n">
        <v>0</v>
      </c>
      <c r="CH794" s="2" t="n">
        <v>0</v>
      </c>
      <c r="CI794" s="2" t="n">
        <v>0</v>
      </c>
      <c r="CJ794" s="2" t="n">
        <v>0</v>
      </c>
      <c r="CK794" s="2" t="n">
        <v>0</v>
      </c>
      <c r="CL794" s="2" t="n">
        <v>0</v>
      </c>
      <c r="CM794" s="2" t="n">
        <v>0</v>
      </c>
      <c r="CN794" s="2" t="n">
        <v>0</v>
      </c>
      <c r="CO794" s="2" t="n">
        <v>0</v>
      </c>
      <c r="CP794" s="2" t="n">
        <v>0</v>
      </c>
      <c r="CQ794" s="2" t="n">
        <v>0</v>
      </c>
      <c r="CR794" s="2" t="n">
        <v>0</v>
      </c>
      <c r="CS794" s="2" t="n">
        <v>0</v>
      </c>
      <c r="CT794" s="2" t="n">
        <v>0</v>
      </c>
      <c r="CU794" s="2" t="n">
        <v>0</v>
      </c>
      <c r="CV794" s="2" t="n">
        <v>0</v>
      </c>
      <c r="CW794" s="2" t="n">
        <v>0</v>
      </c>
      <c r="CX794" s="2" t="n">
        <v>0</v>
      </c>
      <c r="CY794" s="2" t="n">
        <v>0</v>
      </c>
      <c r="CZ794" s="2" t="n">
        <v>0</v>
      </c>
      <c r="DA794" s="2" t="n">
        <v>0</v>
      </c>
      <c r="DB794" s="2" t="n">
        <v>0</v>
      </c>
      <c r="DC794" s="2" t="n">
        <v>0</v>
      </c>
      <c r="DD794" s="2" t="n">
        <v>0</v>
      </c>
      <c r="DE794" s="2" t="n">
        <v>0</v>
      </c>
      <c r="DF794" s="2" t="n">
        <v>0</v>
      </c>
      <c r="DG794" s="2" t="n">
        <v>0</v>
      </c>
      <c r="DH794" s="2" t="n">
        <v>0</v>
      </c>
      <c r="DI794" s="2" t="n">
        <v>0</v>
      </c>
      <c r="DJ794" s="2" t="n">
        <v>0</v>
      </c>
      <c r="DK794" s="2" t="n">
        <v>0</v>
      </c>
      <c r="DL794" s="2" t="n">
        <v>0</v>
      </c>
      <c r="DM794" s="2" t="n">
        <v>4</v>
      </c>
      <c r="DN794" s="2" t="n">
        <v>14</v>
      </c>
      <c r="DO794" s="2" t="n">
        <v>0</v>
      </c>
      <c r="DP794" s="2" t="n">
        <v>40</v>
      </c>
      <c r="DQ794" s="2" t="n">
        <v>40</v>
      </c>
      <c r="DR794" s="2" t="n">
        <v>0</v>
      </c>
      <c r="DS794" s="2" t="n">
        <v>70</v>
      </c>
      <c r="DT794" s="2" t="n">
        <v>80</v>
      </c>
      <c r="DU794" s="2" t="n">
        <v>0</v>
      </c>
      <c r="DV794" s="2" t="n">
        <v>80</v>
      </c>
      <c r="DW794" s="2" t="n">
        <v>80</v>
      </c>
      <c r="DX794" s="2" t="n">
        <v>0</v>
      </c>
      <c r="DY794" s="2" t="n">
        <v>91</v>
      </c>
      <c r="DZ794" s="2" t="n">
        <v>96</v>
      </c>
      <c r="EA794" s="2" t="n">
        <v>0</v>
      </c>
      <c r="EB794" s="2" t="n">
        <v>100</v>
      </c>
      <c r="EC794" s="2" t="n">
        <v>100</v>
      </c>
      <c r="ED794" s="2" t="n">
        <v>0</v>
      </c>
      <c r="EE794" s="2" t="n">
        <v>100</v>
      </c>
      <c r="EF794" s="2" t="n">
        <v>100</v>
      </c>
      <c r="EG794" s="2" t="n">
        <v>0</v>
      </c>
      <c r="EH794" s="2" t="n">
        <v>100</v>
      </c>
      <c r="EI794" s="2" t="n">
        <v>100</v>
      </c>
      <c r="EJ794" s="2" t="n">
        <v>0</v>
      </c>
      <c r="EK794" s="2" t="n">
        <v>100</v>
      </c>
      <c r="EL794" s="2" t="n">
        <v>100</v>
      </c>
      <c r="EM794" s="2" t="n">
        <v>0</v>
      </c>
      <c r="EN794" s="2" t="n">
        <v>100</v>
      </c>
      <c r="EO794" s="2" t="n">
        <v>100</v>
      </c>
      <c r="EP794" s="2" t="n">
        <v>0</v>
      </c>
      <c r="EQ794" s="2" t="n">
        <v>100</v>
      </c>
      <c r="ER794" s="2" t="n">
        <v>100</v>
      </c>
      <c r="ES794" s="2" t="n">
        <v>0</v>
      </c>
    </row>
    <row r="795">
      <c r="A795" s="2" t="n">
        <v>3</v>
      </c>
      <c r="B795" s="2" t="inlineStr">
        <is>
          <t>32.03.02</t>
        </is>
      </c>
      <c r="C795" s="2" t="inlineStr">
        <is>
          <t>Tratamento de concreto aparante</t>
        </is>
      </c>
      <c r="D795" s="2" t="inlineStr">
        <is>
          <t>22/06/2028</t>
        </is>
      </c>
      <c r="E795" s="2" t="inlineStr">
        <is>
          <t>07/11/2028</t>
        </is>
      </c>
      <c r="F795" s="2" t="n">
        <v>215813.5</v>
      </c>
      <c r="G795" s="2" t="n">
        <v>0</v>
      </c>
      <c r="H795" s="2" t="n">
        <v>215813.5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0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0</v>
      </c>
      <c r="AL795" s="2" t="n">
        <v>0</v>
      </c>
      <c r="AM795" s="2" t="n">
        <v>0</v>
      </c>
      <c r="AN795" s="2" t="n">
        <v>0</v>
      </c>
      <c r="AO795" s="2" t="n">
        <v>0</v>
      </c>
      <c r="AP795" s="2" t="n">
        <v>0</v>
      </c>
      <c r="AQ795" s="2" t="n">
        <v>0</v>
      </c>
      <c r="AR795" s="2" t="n">
        <v>0</v>
      </c>
      <c r="AS795" s="2" t="n">
        <v>0</v>
      </c>
      <c r="AT795" s="2" t="n">
        <v>0</v>
      </c>
      <c r="AU795" s="2" t="n">
        <v>0</v>
      </c>
      <c r="AV795" s="2" t="n">
        <v>0</v>
      </c>
      <c r="AW795" s="2" t="n">
        <v>0</v>
      </c>
      <c r="AX795" s="2" t="n">
        <v>0</v>
      </c>
      <c r="AY795" s="2" t="n">
        <v>0</v>
      </c>
      <c r="AZ795" s="2" t="n">
        <v>0</v>
      </c>
      <c r="BA795" s="2" t="n">
        <v>0</v>
      </c>
      <c r="BB795" s="2" t="n">
        <v>0</v>
      </c>
      <c r="BC795" s="2" t="n">
        <v>0</v>
      </c>
      <c r="BD795" s="2" t="n">
        <v>0</v>
      </c>
      <c r="BE795" s="2" t="n">
        <v>0</v>
      </c>
      <c r="BF795" s="2" t="n">
        <v>0</v>
      </c>
      <c r="BG795" s="2" t="n">
        <v>0</v>
      </c>
      <c r="BH795" s="2" t="n">
        <v>0</v>
      </c>
      <c r="BI795" s="2" t="n">
        <v>0</v>
      </c>
      <c r="BJ795" s="2" t="n">
        <v>0</v>
      </c>
      <c r="BK795" s="2" t="n">
        <v>0</v>
      </c>
      <c r="BL795" s="2" t="n">
        <v>0</v>
      </c>
      <c r="BM795" s="2" t="n">
        <v>0</v>
      </c>
      <c r="BN795" s="2" t="n">
        <v>0</v>
      </c>
      <c r="BO795" s="2" t="n">
        <v>0</v>
      </c>
      <c r="BP795" s="2" t="n">
        <v>0</v>
      </c>
      <c r="BQ795" s="2" t="n">
        <v>0</v>
      </c>
      <c r="BR795" s="2" t="n">
        <v>0</v>
      </c>
      <c r="BS795" s="2" t="n">
        <v>0</v>
      </c>
      <c r="BT795" s="2" t="n">
        <v>0</v>
      </c>
      <c r="BU795" s="2" t="n">
        <v>0</v>
      </c>
      <c r="BV795" s="2" t="n">
        <v>0</v>
      </c>
      <c r="BW795" s="2" t="n">
        <v>0</v>
      </c>
      <c r="BX795" s="2" t="n">
        <v>0</v>
      </c>
      <c r="BY795" s="2" t="n">
        <v>0</v>
      </c>
      <c r="BZ795" s="2" t="n">
        <v>0</v>
      </c>
      <c r="CA795" s="2" t="n">
        <v>0</v>
      </c>
      <c r="CB795" s="2" t="n">
        <v>0</v>
      </c>
      <c r="CC795" s="2" t="n">
        <v>0</v>
      </c>
      <c r="CD795" s="2" t="n">
        <v>0</v>
      </c>
      <c r="CE795" s="2" t="n">
        <v>0</v>
      </c>
      <c r="CF795" s="2" t="n">
        <v>0</v>
      </c>
      <c r="CG795" s="2" t="n">
        <v>0</v>
      </c>
      <c r="CH795" s="2" t="n">
        <v>0</v>
      </c>
      <c r="CI795" s="2" t="n">
        <v>0</v>
      </c>
      <c r="CJ795" s="2" t="n">
        <v>0</v>
      </c>
      <c r="CK795" s="2" t="n">
        <v>0</v>
      </c>
      <c r="CL795" s="2" t="n">
        <v>0</v>
      </c>
      <c r="CM795" s="2" t="n">
        <v>0</v>
      </c>
      <c r="CN795" s="2" t="n">
        <v>0</v>
      </c>
      <c r="CO795" s="2" t="n">
        <v>0</v>
      </c>
      <c r="CP795" s="2" t="n">
        <v>0</v>
      </c>
      <c r="CQ795" s="2" t="n">
        <v>0</v>
      </c>
      <c r="CR795" s="2" t="n">
        <v>0</v>
      </c>
      <c r="CS795" s="2" t="n">
        <v>0</v>
      </c>
      <c r="CT795" s="2" t="n">
        <v>0</v>
      </c>
      <c r="CU795" s="2" t="n">
        <v>0</v>
      </c>
      <c r="CV795" s="2" t="n">
        <v>0</v>
      </c>
      <c r="CW795" s="2" t="n">
        <v>0</v>
      </c>
      <c r="CX795" s="2" t="n">
        <v>0</v>
      </c>
      <c r="CY795" s="2" t="n">
        <v>0</v>
      </c>
      <c r="CZ795" s="2" t="n">
        <v>0</v>
      </c>
      <c r="DA795" s="2" t="n">
        <v>0</v>
      </c>
      <c r="DB795" s="2" t="n">
        <v>0</v>
      </c>
      <c r="DC795" s="2" t="n">
        <v>0</v>
      </c>
      <c r="DD795" s="2" t="n">
        <v>0</v>
      </c>
      <c r="DE795" s="2" t="n">
        <v>0</v>
      </c>
      <c r="DF795" s="2" t="n">
        <v>0</v>
      </c>
      <c r="DG795" s="2" t="n">
        <v>0</v>
      </c>
      <c r="DH795" s="2" t="n">
        <v>0</v>
      </c>
      <c r="DI795" s="2" t="n">
        <v>0</v>
      </c>
      <c r="DJ795" s="2" t="n">
        <v>0</v>
      </c>
      <c r="DK795" s="2" t="n">
        <v>0</v>
      </c>
      <c r="DL795" s="2" t="n">
        <v>0</v>
      </c>
      <c r="DM795" s="2" t="n">
        <v>4</v>
      </c>
      <c r="DN795" s="2" t="n">
        <v>14</v>
      </c>
      <c r="DO795" s="2" t="n">
        <v>0</v>
      </c>
      <c r="DP795" s="2" t="n">
        <v>40</v>
      </c>
      <c r="DQ795" s="2" t="n">
        <v>40</v>
      </c>
      <c r="DR795" s="2" t="n">
        <v>0</v>
      </c>
      <c r="DS795" s="2" t="n">
        <v>70</v>
      </c>
      <c r="DT795" s="2" t="n">
        <v>80</v>
      </c>
      <c r="DU795" s="2" t="n">
        <v>0</v>
      </c>
      <c r="DV795" s="2" t="n">
        <v>80</v>
      </c>
      <c r="DW795" s="2" t="n">
        <v>80</v>
      </c>
      <c r="DX795" s="2" t="n">
        <v>0</v>
      </c>
      <c r="DY795" s="2" t="n">
        <v>91</v>
      </c>
      <c r="DZ795" s="2" t="n">
        <v>96</v>
      </c>
      <c r="EA795" s="2" t="n">
        <v>0</v>
      </c>
      <c r="EB795" s="2" t="n">
        <v>100</v>
      </c>
      <c r="EC795" s="2" t="n">
        <v>100</v>
      </c>
      <c r="ED795" s="2" t="n">
        <v>0</v>
      </c>
      <c r="EE795" s="2" t="n">
        <v>100</v>
      </c>
      <c r="EF795" s="2" t="n">
        <v>100</v>
      </c>
      <c r="EG795" s="2" t="n">
        <v>0</v>
      </c>
      <c r="EH795" s="2" t="n">
        <v>100</v>
      </c>
      <c r="EI795" s="2" t="n">
        <v>100</v>
      </c>
      <c r="EJ795" s="2" t="n">
        <v>0</v>
      </c>
      <c r="EK795" s="2" t="n">
        <v>100</v>
      </c>
      <c r="EL795" s="2" t="n">
        <v>100</v>
      </c>
      <c r="EM795" s="2" t="n">
        <v>0</v>
      </c>
      <c r="EN795" s="2" t="n">
        <v>100</v>
      </c>
      <c r="EO795" s="2" t="n">
        <v>100</v>
      </c>
      <c r="EP795" s="2" t="n">
        <v>0</v>
      </c>
      <c r="EQ795" s="2" t="n">
        <v>100</v>
      </c>
      <c r="ER795" s="2" t="n">
        <v>100</v>
      </c>
      <c r="ES795" s="2" t="n">
        <v>0</v>
      </c>
    </row>
    <row r="796">
      <c r="A796" s="2" t="n">
        <v>2</v>
      </c>
      <c r="B796" s="2" t="inlineStr">
        <is>
          <t>32.04</t>
        </is>
      </c>
      <c r="C796" s="2" t="inlineStr">
        <is>
          <t>Pintura para Fachadas</t>
        </is>
      </c>
      <c r="D796" s="2" t="inlineStr">
        <is>
          <t>27/03/2028</t>
        </is>
      </c>
      <c r="E796" s="2" t="inlineStr">
        <is>
          <t>27/02/2029</t>
        </is>
      </c>
      <c r="F796" s="2" t="n">
        <v>103212.8064768393</v>
      </c>
      <c r="G796" s="2" t="n">
        <v>0</v>
      </c>
      <c r="H796" s="2" t="n">
        <v>103212.8064768393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0</v>
      </c>
      <c r="AL796" s="2" t="n">
        <v>0</v>
      </c>
      <c r="AM796" s="2" t="n">
        <v>0</v>
      </c>
      <c r="AN796" s="2" t="n">
        <v>0</v>
      </c>
      <c r="AO796" s="2" t="n">
        <v>0</v>
      </c>
      <c r="AP796" s="2" t="n">
        <v>0</v>
      </c>
      <c r="AQ796" s="2" t="n">
        <v>0</v>
      </c>
      <c r="AR796" s="2" t="n">
        <v>0</v>
      </c>
      <c r="AS796" s="2" t="n">
        <v>0</v>
      </c>
      <c r="AT796" s="2" t="n">
        <v>0</v>
      </c>
      <c r="AU796" s="2" t="n">
        <v>0</v>
      </c>
      <c r="AV796" s="2" t="n">
        <v>0</v>
      </c>
      <c r="AW796" s="2" t="n">
        <v>0</v>
      </c>
      <c r="AX796" s="2" t="n">
        <v>0</v>
      </c>
      <c r="AY796" s="2" t="n">
        <v>0</v>
      </c>
      <c r="AZ796" s="2" t="n">
        <v>0</v>
      </c>
      <c r="BA796" s="2" t="n">
        <v>0</v>
      </c>
      <c r="BB796" s="2" t="n">
        <v>0</v>
      </c>
      <c r="BC796" s="2" t="n">
        <v>0</v>
      </c>
      <c r="BD796" s="2" t="n">
        <v>0</v>
      </c>
      <c r="BE796" s="2" t="n">
        <v>0</v>
      </c>
      <c r="BF796" s="2" t="n">
        <v>0</v>
      </c>
      <c r="BG796" s="2" t="n">
        <v>0</v>
      </c>
      <c r="BH796" s="2" t="n">
        <v>0</v>
      </c>
      <c r="BI796" s="2" t="n">
        <v>0</v>
      </c>
      <c r="BJ796" s="2" t="n">
        <v>0</v>
      </c>
      <c r="BK796" s="2" t="n">
        <v>0</v>
      </c>
      <c r="BL796" s="2" t="n">
        <v>0</v>
      </c>
      <c r="BM796" s="2" t="n">
        <v>0</v>
      </c>
      <c r="BN796" s="2" t="n">
        <v>0</v>
      </c>
      <c r="BO796" s="2" t="n">
        <v>0</v>
      </c>
      <c r="BP796" s="2" t="n">
        <v>0</v>
      </c>
      <c r="BQ796" s="2" t="n">
        <v>0</v>
      </c>
      <c r="BR796" s="2" t="n">
        <v>0</v>
      </c>
      <c r="BS796" s="2" t="n">
        <v>0</v>
      </c>
      <c r="BT796" s="2" t="n">
        <v>0</v>
      </c>
      <c r="BU796" s="2" t="n">
        <v>0</v>
      </c>
      <c r="BV796" s="2" t="n">
        <v>0</v>
      </c>
      <c r="BW796" s="2" t="n">
        <v>0</v>
      </c>
      <c r="BX796" s="2" t="n">
        <v>0</v>
      </c>
      <c r="BY796" s="2" t="n">
        <v>0</v>
      </c>
      <c r="BZ796" s="2" t="n">
        <v>0</v>
      </c>
      <c r="CA796" s="2" t="n">
        <v>0</v>
      </c>
      <c r="CB796" s="2" t="n">
        <v>0</v>
      </c>
      <c r="CC796" s="2" t="n">
        <v>0</v>
      </c>
      <c r="CD796" s="2" t="n">
        <v>0</v>
      </c>
      <c r="CE796" s="2" t="n">
        <v>0</v>
      </c>
      <c r="CF796" s="2" t="n">
        <v>0</v>
      </c>
      <c r="CG796" s="2" t="n">
        <v>0</v>
      </c>
      <c r="CH796" s="2" t="n">
        <v>0</v>
      </c>
      <c r="CI796" s="2" t="n">
        <v>0</v>
      </c>
      <c r="CJ796" s="2" t="n">
        <v>0</v>
      </c>
      <c r="CK796" s="2" t="n">
        <v>0</v>
      </c>
      <c r="CL796" s="2" t="n">
        <v>0</v>
      </c>
      <c r="CM796" s="2" t="n">
        <v>0</v>
      </c>
      <c r="CN796" s="2" t="n">
        <v>0</v>
      </c>
      <c r="CO796" s="2" t="n">
        <v>0</v>
      </c>
      <c r="CP796" s="2" t="n">
        <v>0</v>
      </c>
      <c r="CQ796" s="2" t="n">
        <v>0</v>
      </c>
      <c r="CR796" s="2" t="n">
        <v>0</v>
      </c>
      <c r="CS796" s="2" t="n">
        <v>0</v>
      </c>
      <c r="CT796" s="2" t="n">
        <v>0</v>
      </c>
      <c r="CU796" s="2" t="n">
        <v>0</v>
      </c>
      <c r="CV796" s="2" t="n">
        <v>0</v>
      </c>
      <c r="CW796" s="2" t="n">
        <v>0</v>
      </c>
      <c r="CX796" s="2" t="n">
        <v>0</v>
      </c>
      <c r="CY796" s="2" t="n">
        <v>0</v>
      </c>
      <c r="CZ796" s="2" t="n">
        <v>0</v>
      </c>
      <c r="DA796" s="2" t="n">
        <v>0</v>
      </c>
      <c r="DB796" s="2" t="n">
        <v>0</v>
      </c>
      <c r="DC796" s="2" t="n">
        <v>0</v>
      </c>
      <c r="DD796" s="2" t="n">
        <v>0</v>
      </c>
      <c r="DE796" s="2" t="n">
        <v>2.22</v>
      </c>
      <c r="DF796" s="2" t="n">
        <v>0</v>
      </c>
      <c r="DG796" s="2" t="n">
        <v>8</v>
      </c>
      <c r="DH796" s="2" t="n">
        <v>10.22</v>
      </c>
      <c r="DI796" s="2" t="n">
        <v>0</v>
      </c>
      <c r="DJ796" s="2" t="n">
        <v>17.78</v>
      </c>
      <c r="DK796" s="2" t="n">
        <v>20</v>
      </c>
      <c r="DL796" s="2" t="n">
        <v>0</v>
      </c>
      <c r="DM796" s="2" t="n">
        <v>27.11</v>
      </c>
      <c r="DN796" s="2" t="n">
        <v>29.33</v>
      </c>
      <c r="DO796" s="2" t="n">
        <v>0</v>
      </c>
      <c r="DP796" s="2" t="n">
        <v>36.44</v>
      </c>
      <c r="DQ796" s="2" t="n">
        <v>38.67</v>
      </c>
      <c r="DR796" s="2" t="n">
        <v>0</v>
      </c>
      <c r="DS796" s="2" t="n">
        <v>46.22</v>
      </c>
      <c r="DT796" s="2" t="n">
        <v>48.44</v>
      </c>
      <c r="DU796" s="2" t="n">
        <v>0</v>
      </c>
      <c r="DV796" s="2" t="n">
        <v>55.11</v>
      </c>
      <c r="DW796" s="2" t="n">
        <v>57.33</v>
      </c>
      <c r="DX796" s="2" t="n">
        <v>0</v>
      </c>
      <c r="DY796" s="2" t="n">
        <v>64.44</v>
      </c>
      <c r="DZ796" s="2" t="n">
        <v>66.67</v>
      </c>
      <c r="EA796" s="2" t="n">
        <v>0</v>
      </c>
      <c r="EB796" s="2" t="n">
        <v>72.89</v>
      </c>
      <c r="EC796" s="2" t="n">
        <v>75.11</v>
      </c>
      <c r="ED796" s="2" t="n">
        <v>0</v>
      </c>
      <c r="EE796" s="2" t="n">
        <v>79.56</v>
      </c>
      <c r="EF796" s="2" t="n">
        <v>81.78</v>
      </c>
      <c r="EG796" s="2" t="n">
        <v>0</v>
      </c>
      <c r="EH796" s="2" t="n">
        <v>89.33</v>
      </c>
      <c r="EI796" s="2" t="n">
        <v>91.56</v>
      </c>
      <c r="EJ796" s="2" t="n">
        <v>0</v>
      </c>
      <c r="EK796" s="2" t="n">
        <v>98.73</v>
      </c>
      <c r="EL796" s="2" t="n">
        <v>100</v>
      </c>
      <c r="EM796" s="2" t="n">
        <v>0</v>
      </c>
      <c r="EN796" s="2" t="n">
        <v>100</v>
      </c>
      <c r="EO796" s="2" t="n">
        <v>100</v>
      </c>
      <c r="EP796" s="2" t="n">
        <v>0</v>
      </c>
      <c r="EQ796" s="2" t="n">
        <v>100</v>
      </c>
      <c r="ER796" s="2" t="n">
        <v>100</v>
      </c>
      <c r="ES796" s="2" t="n">
        <v>0</v>
      </c>
    </row>
    <row r="797">
      <c r="A797" s="2" t="n">
        <v>3</v>
      </c>
      <c r="B797" s="2" t="inlineStr">
        <is>
          <t>32.04.01</t>
        </is>
      </c>
      <c r="C797" s="2" t="inlineStr">
        <is>
          <t>Pintura acrílica fosca, cor Mármore. Ref. Suvinil (Varandas)</t>
        </is>
      </c>
      <c r="D797" s="2" t="inlineStr">
        <is>
          <t>27/03/2028</t>
        </is>
      </c>
      <c r="E797" s="2" t="inlineStr">
        <is>
          <t>27/02/2029</t>
        </is>
      </c>
      <c r="F797" s="2" t="n">
        <v>72838.02099815555</v>
      </c>
      <c r="G797" s="2" t="n">
        <v>0</v>
      </c>
      <c r="H797" s="2" t="n">
        <v>72838.02099815555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0</v>
      </c>
      <c r="AL797" s="2" t="n">
        <v>0</v>
      </c>
      <c r="AM797" s="2" t="n">
        <v>0</v>
      </c>
      <c r="AN797" s="2" t="n">
        <v>0</v>
      </c>
      <c r="AO797" s="2" t="n">
        <v>0</v>
      </c>
      <c r="AP797" s="2" t="n">
        <v>0</v>
      </c>
      <c r="AQ797" s="2" t="n">
        <v>0</v>
      </c>
      <c r="AR797" s="2" t="n">
        <v>0</v>
      </c>
      <c r="AS797" s="2" t="n">
        <v>0</v>
      </c>
      <c r="AT797" s="2" t="n">
        <v>0</v>
      </c>
      <c r="AU797" s="2" t="n">
        <v>0</v>
      </c>
      <c r="AV797" s="2" t="n">
        <v>0</v>
      </c>
      <c r="AW797" s="2" t="n">
        <v>0</v>
      </c>
      <c r="AX797" s="2" t="n">
        <v>0</v>
      </c>
      <c r="AY797" s="2" t="n">
        <v>0</v>
      </c>
      <c r="AZ797" s="2" t="n">
        <v>0</v>
      </c>
      <c r="BA797" s="2" t="n">
        <v>0</v>
      </c>
      <c r="BB797" s="2" t="n">
        <v>0</v>
      </c>
      <c r="BC797" s="2" t="n">
        <v>0</v>
      </c>
      <c r="BD797" s="2" t="n">
        <v>0</v>
      </c>
      <c r="BE797" s="2" t="n">
        <v>0</v>
      </c>
      <c r="BF797" s="2" t="n">
        <v>0</v>
      </c>
      <c r="BG797" s="2" t="n">
        <v>0</v>
      </c>
      <c r="BH797" s="2" t="n">
        <v>0</v>
      </c>
      <c r="BI797" s="2" t="n">
        <v>0</v>
      </c>
      <c r="BJ797" s="2" t="n">
        <v>0</v>
      </c>
      <c r="BK797" s="2" t="n">
        <v>0</v>
      </c>
      <c r="BL797" s="2" t="n">
        <v>0</v>
      </c>
      <c r="BM797" s="2" t="n">
        <v>0</v>
      </c>
      <c r="BN797" s="2" t="n">
        <v>0</v>
      </c>
      <c r="BO797" s="2" t="n">
        <v>0</v>
      </c>
      <c r="BP797" s="2" t="n">
        <v>0</v>
      </c>
      <c r="BQ797" s="2" t="n">
        <v>0</v>
      </c>
      <c r="BR797" s="2" t="n">
        <v>0</v>
      </c>
      <c r="BS797" s="2" t="n">
        <v>0</v>
      </c>
      <c r="BT797" s="2" t="n">
        <v>0</v>
      </c>
      <c r="BU797" s="2" t="n">
        <v>0</v>
      </c>
      <c r="BV797" s="2" t="n">
        <v>0</v>
      </c>
      <c r="BW797" s="2" t="n">
        <v>0</v>
      </c>
      <c r="BX797" s="2" t="n">
        <v>0</v>
      </c>
      <c r="BY797" s="2" t="n">
        <v>0</v>
      </c>
      <c r="BZ797" s="2" t="n">
        <v>0</v>
      </c>
      <c r="CA797" s="2" t="n">
        <v>0</v>
      </c>
      <c r="CB797" s="2" t="n">
        <v>0</v>
      </c>
      <c r="CC797" s="2" t="n">
        <v>0</v>
      </c>
      <c r="CD797" s="2" t="n">
        <v>0</v>
      </c>
      <c r="CE797" s="2" t="n">
        <v>0</v>
      </c>
      <c r="CF797" s="2" t="n">
        <v>0</v>
      </c>
      <c r="CG797" s="2" t="n">
        <v>0</v>
      </c>
      <c r="CH797" s="2" t="n">
        <v>0</v>
      </c>
      <c r="CI797" s="2" t="n">
        <v>0</v>
      </c>
      <c r="CJ797" s="2" t="n">
        <v>0</v>
      </c>
      <c r="CK797" s="2" t="n">
        <v>0</v>
      </c>
      <c r="CL797" s="2" t="n">
        <v>0</v>
      </c>
      <c r="CM797" s="2" t="n">
        <v>0</v>
      </c>
      <c r="CN797" s="2" t="n">
        <v>0</v>
      </c>
      <c r="CO797" s="2" t="n">
        <v>0</v>
      </c>
      <c r="CP797" s="2" t="n">
        <v>0</v>
      </c>
      <c r="CQ797" s="2" t="n">
        <v>0</v>
      </c>
      <c r="CR797" s="2" t="n">
        <v>0</v>
      </c>
      <c r="CS797" s="2" t="n">
        <v>0</v>
      </c>
      <c r="CT797" s="2" t="n">
        <v>0</v>
      </c>
      <c r="CU797" s="2" t="n">
        <v>0</v>
      </c>
      <c r="CV797" s="2" t="n">
        <v>0</v>
      </c>
      <c r="CW797" s="2" t="n">
        <v>0</v>
      </c>
      <c r="CX797" s="2" t="n">
        <v>0</v>
      </c>
      <c r="CY797" s="2" t="n">
        <v>0</v>
      </c>
      <c r="CZ797" s="2" t="n">
        <v>0</v>
      </c>
      <c r="DA797" s="2" t="n">
        <v>0</v>
      </c>
      <c r="DB797" s="2" t="n">
        <v>0</v>
      </c>
      <c r="DC797" s="2" t="n">
        <v>0</v>
      </c>
      <c r="DD797" s="2" t="n">
        <v>0</v>
      </c>
      <c r="DE797" s="2" t="n">
        <v>2.22</v>
      </c>
      <c r="DF797" s="2" t="n">
        <v>0</v>
      </c>
      <c r="DG797" s="2" t="n">
        <v>8</v>
      </c>
      <c r="DH797" s="2" t="n">
        <v>10.22</v>
      </c>
      <c r="DI797" s="2" t="n">
        <v>0</v>
      </c>
      <c r="DJ797" s="2" t="n">
        <v>17.78</v>
      </c>
      <c r="DK797" s="2" t="n">
        <v>20</v>
      </c>
      <c r="DL797" s="2" t="n">
        <v>0</v>
      </c>
      <c r="DM797" s="2" t="n">
        <v>27.11</v>
      </c>
      <c r="DN797" s="2" t="n">
        <v>29.33</v>
      </c>
      <c r="DO797" s="2" t="n">
        <v>0</v>
      </c>
      <c r="DP797" s="2" t="n">
        <v>36.44</v>
      </c>
      <c r="DQ797" s="2" t="n">
        <v>38.67</v>
      </c>
      <c r="DR797" s="2" t="n">
        <v>0</v>
      </c>
      <c r="DS797" s="2" t="n">
        <v>46.22</v>
      </c>
      <c r="DT797" s="2" t="n">
        <v>48.44</v>
      </c>
      <c r="DU797" s="2" t="n">
        <v>0</v>
      </c>
      <c r="DV797" s="2" t="n">
        <v>55.11</v>
      </c>
      <c r="DW797" s="2" t="n">
        <v>57.33</v>
      </c>
      <c r="DX797" s="2" t="n">
        <v>0</v>
      </c>
      <c r="DY797" s="2" t="n">
        <v>64.44</v>
      </c>
      <c r="DZ797" s="2" t="n">
        <v>66.67</v>
      </c>
      <c r="EA797" s="2" t="n">
        <v>0</v>
      </c>
      <c r="EB797" s="2" t="n">
        <v>72.89</v>
      </c>
      <c r="EC797" s="2" t="n">
        <v>75.11</v>
      </c>
      <c r="ED797" s="2" t="n">
        <v>0</v>
      </c>
      <c r="EE797" s="2" t="n">
        <v>79.56</v>
      </c>
      <c r="EF797" s="2" t="n">
        <v>81.78</v>
      </c>
      <c r="EG797" s="2" t="n">
        <v>0</v>
      </c>
      <c r="EH797" s="2" t="n">
        <v>89.33</v>
      </c>
      <c r="EI797" s="2" t="n">
        <v>91.56</v>
      </c>
      <c r="EJ797" s="2" t="n">
        <v>0</v>
      </c>
      <c r="EK797" s="2" t="n">
        <v>98.73</v>
      </c>
      <c r="EL797" s="2" t="n">
        <v>100</v>
      </c>
      <c r="EM797" s="2" t="n">
        <v>0</v>
      </c>
      <c r="EN797" s="2" t="n">
        <v>100</v>
      </c>
      <c r="EO797" s="2" t="n">
        <v>100</v>
      </c>
      <c r="EP797" s="2" t="n">
        <v>0</v>
      </c>
      <c r="EQ797" s="2" t="n">
        <v>100</v>
      </c>
      <c r="ER797" s="2" t="n">
        <v>100</v>
      </c>
      <c r="ES797" s="2" t="n">
        <v>0</v>
      </c>
    </row>
    <row r="798">
      <c r="A798" s="2" t="n">
        <v>3</v>
      </c>
      <c r="B798" s="2" t="inlineStr">
        <is>
          <t>32.04.02</t>
        </is>
      </c>
      <c r="C798" s="2" t="inlineStr">
        <is>
          <t>Pintura a definir - Barrilete| Cx d'agua| Muros e muretas</t>
        </is>
      </c>
      <c r="D798" s="2" t="inlineStr">
        <is>
          <t>27/03/2028</t>
        </is>
      </c>
      <c r="E798" s="2" t="inlineStr">
        <is>
          <t>27/02/2029</t>
        </is>
      </c>
      <c r="F798" s="2" t="n">
        <v>9629.884013367817</v>
      </c>
      <c r="G798" s="2" t="n">
        <v>0</v>
      </c>
      <c r="H798" s="2" t="n">
        <v>9629.884013367817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0</v>
      </c>
      <c r="AL798" s="2" t="n">
        <v>0</v>
      </c>
      <c r="AM798" s="2" t="n">
        <v>0</v>
      </c>
      <c r="AN798" s="2" t="n">
        <v>0</v>
      </c>
      <c r="AO798" s="2" t="n">
        <v>0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n">
        <v>0</v>
      </c>
      <c r="AZ798" s="2" t="n">
        <v>0</v>
      </c>
      <c r="BA798" s="2" t="n">
        <v>0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n">
        <v>0</v>
      </c>
      <c r="BI798" s="2" t="n">
        <v>0</v>
      </c>
      <c r="BJ798" s="2" t="n">
        <v>0</v>
      </c>
      <c r="BK798" s="2" t="n">
        <v>0</v>
      </c>
      <c r="BL798" s="2" t="n">
        <v>0</v>
      </c>
      <c r="BM798" s="2" t="n">
        <v>0</v>
      </c>
      <c r="BN798" s="2" t="n">
        <v>0</v>
      </c>
      <c r="BO798" s="2" t="n">
        <v>0</v>
      </c>
      <c r="BP798" s="2" t="n">
        <v>0</v>
      </c>
      <c r="BQ798" s="2" t="n">
        <v>0</v>
      </c>
      <c r="BR798" s="2" t="n">
        <v>0</v>
      </c>
      <c r="BS798" s="2" t="n">
        <v>0</v>
      </c>
      <c r="BT798" s="2" t="n">
        <v>0</v>
      </c>
      <c r="BU798" s="2" t="n">
        <v>0</v>
      </c>
      <c r="BV798" s="2" t="n">
        <v>0</v>
      </c>
      <c r="BW798" s="2" t="n">
        <v>0</v>
      </c>
      <c r="BX798" s="2" t="n">
        <v>0</v>
      </c>
      <c r="BY798" s="2" t="n">
        <v>0</v>
      </c>
      <c r="BZ798" s="2" t="n">
        <v>0</v>
      </c>
      <c r="CA798" s="2" t="n">
        <v>0</v>
      </c>
      <c r="CB798" s="2" t="n">
        <v>0</v>
      </c>
      <c r="CC798" s="2" t="n">
        <v>0</v>
      </c>
      <c r="CD798" s="2" t="n">
        <v>0</v>
      </c>
      <c r="CE798" s="2" t="n">
        <v>0</v>
      </c>
      <c r="CF798" s="2" t="n">
        <v>0</v>
      </c>
      <c r="CG798" s="2" t="n">
        <v>0</v>
      </c>
      <c r="CH798" s="2" t="n">
        <v>0</v>
      </c>
      <c r="CI798" s="2" t="n">
        <v>0</v>
      </c>
      <c r="CJ798" s="2" t="n">
        <v>0</v>
      </c>
      <c r="CK798" s="2" t="n">
        <v>0</v>
      </c>
      <c r="CL798" s="2" t="n">
        <v>0</v>
      </c>
      <c r="CM798" s="2" t="n">
        <v>0</v>
      </c>
      <c r="CN798" s="2" t="n">
        <v>0</v>
      </c>
      <c r="CO798" s="2" t="n">
        <v>0</v>
      </c>
      <c r="CP798" s="2" t="n">
        <v>0</v>
      </c>
      <c r="CQ798" s="2" t="n">
        <v>0</v>
      </c>
      <c r="CR798" s="2" t="n">
        <v>0</v>
      </c>
      <c r="CS798" s="2" t="n">
        <v>0</v>
      </c>
      <c r="CT798" s="2" t="n">
        <v>0</v>
      </c>
      <c r="CU798" s="2" t="n">
        <v>0</v>
      </c>
      <c r="CV798" s="2" t="n">
        <v>0</v>
      </c>
      <c r="CW798" s="2" t="n">
        <v>0</v>
      </c>
      <c r="CX798" s="2" t="n">
        <v>0</v>
      </c>
      <c r="CY798" s="2" t="n">
        <v>0</v>
      </c>
      <c r="CZ798" s="2" t="n">
        <v>0</v>
      </c>
      <c r="DA798" s="2" t="n">
        <v>0</v>
      </c>
      <c r="DB798" s="2" t="n">
        <v>0</v>
      </c>
      <c r="DC798" s="2" t="n">
        <v>0</v>
      </c>
      <c r="DD798" s="2" t="n">
        <v>0</v>
      </c>
      <c r="DE798" s="2" t="n">
        <v>2.22</v>
      </c>
      <c r="DF798" s="2" t="n">
        <v>0</v>
      </c>
      <c r="DG798" s="2" t="n">
        <v>8</v>
      </c>
      <c r="DH798" s="2" t="n">
        <v>10.22</v>
      </c>
      <c r="DI798" s="2" t="n">
        <v>0</v>
      </c>
      <c r="DJ798" s="2" t="n">
        <v>17.78</v>
      </c>
      <c r="DK798" s="2" t="n">
        <v>20</v>
      </c>
      <c r="DL798" s="2" t="n">
        <v>0</v>
      </c>
      <c r="DM798" s="2" t="n">
        <v>27.11</v>
      </c>
      <c r="DN798" s="2" t="n">
        <v>29.33</v>
      </c>
      <c r="DO798" s="2" t="n">
        <v>0</v>
      </c>
      <c r="DP798" s="2" t="n">
        <v>36.44</v>
      </c>
      <c r="DQ798" s="2" t="n">
        <v>38.67</v>
      </c>
      <c r="DR798" s="2" t="n">
        <v>0</v>
      </c>
      <c r="DS798" s="2" t="n">
        <v>46.22</v>
      </c>
      <c r="DT798" s="2" t="n">
        <v>48.44</v>
      </c>
      <c r="DU798" s="2" t="n">
        <v>0</v>
      </c>
      <c r="DV798" s="2" t="n">
        <v>55.11</v>
      </c>
      <c r="DW798" s="2" t="n">
        <v>57.33</v>
      </c>
      <c r="DX798" s="2" t="n">
        <v>0</v>
      </c>
      <c r="DY798" s="2" t="n">
        <v>64.44</v>
      </c>
      <c r="DZ798" s="2" t="n">
        <v>66.67</v>
      </c>
      <c r="EA798" s="2" t="n">
        <v>0</v>
      </c>
      <c r="EB798" s="2" t="n">
        <v>72.89</v>
      </c>
      <c r="EC798" s="2" t="n">
        <v>75.11</v>
      </c>
      <c r="ED798" s="2" t="n">
        <v>0</v>
      </c>
      <c r="EE798" s="2" t="n">
        <v>79.56</v>
      </c>
      <c r="EF798" s="2" t="n">
        <v>81.78</v>
      </c>
      <c r="EG798" s="2" t="n">
        <v>0</v>
      </c>
      <c r="EH798" s="2" t="n">
        <v>89.33</v>
      </c>
      <c r="EI798" s="2" t="n">
        <v>91.56</v>
      </c>
      <c r="EJ798" s="2" t="n">
        <v>0</v>
      </c>
      <c r="EK798" s="2" t="n">
        <v>98.73</v>
      </c>
      <c r="EL798" s="2" t="n">
        <v>100</v>
      </c>
      <c r="EM798" s="2" t="n">
        <v>0</v>
      </c>
      <c r="EN798" s="2" t="n">
        <v>100</v>
      </c>
      <c r="EO798" s="2" t="n">
        <v>100</v>
      </c>
      <c r="EP798" s="2" t="n">
        <v>0</v>
      </c>
      <c r="EQ798" s="2" t="n">
        <v>100</v>
      </c>
      <c r="ER798" s="2" t="n">
        <v>100</v>
      </c>
      <c r="ES798" s="2" t="n">
        <v>0</v>
      </c>
    </row>
    <row r="799">
      <c r="A799" s="2" t="n">
        <v>3</v>
      </c>
      <c r="B799" s="2" t="inlineStr">
        <is>
          <t>32.04.03</t>
        </is>
      </c>
      <c r="C799" s="2" t="inlineStr">
        <is>
          <t>Pintura preta sob brises e pele de vidro</t>
        </is>
      </c>
      <c r="D799" s="2" t="inlineStr">
        <is>
          <t>27/03/2028</t>
        </is>
      </c>
      <c r="E799" s="2" t="inlineStr">
        <is>
          <t>27/02/2029</t>
        </is>
      </c>
      <c r="F799" s="2" t="n">
        <v>20744.90146531595</v>
      </c>
      <c r="G799" s="2" t="n">
        <v>0</v>
      </c>
      <c r="H799" s="2" t="n">
        <v>20744.90146531595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0</v>
      </c>
      <c r="AL799" s="2" t="n">
        <v>0</v>
      </c>
      <c r="AM799" s="2" t="n">
        <v>0</v>
      </c>
      <c r="AN799" s="2" t="n">
        <v>0</v>
      </c>
      <c r="AO799" s="2" t="n">
        <v>0</v>
      </c>
      <c r="AP799" s="2" t="n">
        <v>0</v>
      </c>
      <c r="AQ799" s="2" t="n">
        <v>0</v>
      </c>
      <c r="AR799" s="2" t="n">
        <v>0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 t="n">
        <v>0</v>
      </c>
      <c r="AX799" s="2" t="n">
        <v>0</v>
      </c>
      <c r="AY799" s="2" t="n">
        <v>0</v>
      </c>
      <c r="AZ799" s="2" t="n">
        <v>0</v>
      </c>
      <c r="BA799" s="2" t="n">
        <v>0</v>
      </c>
      <c r="BB799" s="2" t="n">
        <v>0</v>
      </c>
      <c r="BC799" s="2" t="n">
        <v>0</v>
      </c>
      <c r="BD799" s="2" t="n">
        <v>0</v>
      </c>
      <c r="BE799" s="2" t="n">
        <v>0</v>
      </c>
      <c r="BF799" s="2" t="n">
        <v>0</v>
      </c>
      <c r="BG799" s="2" t="n">
        <v>0</v>
      </c>
      <c r="BH799" s="2" t="n">
        <v>0</v>
      </c>
      <c r="BI799" s="2" t="n">
        <v>0</v>
      </c>
      <c r="BJ799" s="2" t="n">
        <v>0</v>
      </c>
      <c r="BK799" s="2" t="n">
        <v>0</v>
      </c>
      <c r="BL799" s="2" t="n">
        <v>0</v>
      </c>
      <c r="BM799" s="2" t="n">
        <v>0</v>
      </c>
      <c r="BN799" s="2" t="n">
        <v>0</v>
      </c>
      <c r="BO799" s="2" t="n">
        <v>0</v>
      </c>
      <c r="BP799" s="2" t="n">
        <v>0</v>
      </c>
      <c r="BQ799" s="2" t="n">
        <v>0</v>
      </c>
      <c r="BR799" s="2" t="n">
        <v>0</v>
      </c>
      <c r="BS799" s="2" t="n">
        <v>0</v>
      </c>
      <c r="BT799" s="2" t="n">
        <v>0</v>
      </c>
      <c r="BU799" s="2" t="n">
        <v>0</v>
      </c>
      <c r="BV799" s="2" t="n">
        <v>0</v>
      </c>
      <c r="BW799" s="2" t="n">
        <v>0</v>
      </c>
      <c r="BX799" s="2" t="n">
        <v>0</v>
      </c>
      <c r="BY799" s="2" t="n">
        <v>0</v>
      </c>
      <c r="BZ799" s="2" t="n">
        <v>0</v>
      </c>
      <c r="CA799" s="2" t="n">
        <v>0</v>
      </c>
      <c r="CB799" s="2" t="n">
        <v>0</v>
      </c>
      <c r="CC799" s="2" t="n">
        <v>0</v>
      </c>
      <c r="CD799" s="2" t="n">
        <v>0</v>
      </c>
      <c r="CE799" s="2" t="n">
        <v>0</v>
      </c>
      <c r="CF799" s="2" t="n">
        <v>0</v>
      </c>
      <c r="CG799" s="2" t="n">
        <v>0</v>
      </c>
      <c r="CH799" s="2" t="n">
        <v>0</v>
      </c>
      <c r="CI799" s="2" t="n">
        <v>0</v>
      </c>
      <c r="CJ799" s="2" t="n">
        <v>0</v>
      </c>
      <c r="CK799" s="2" t="n">
        <v>0</v>
      </c>
      <c r="CL799" s="2" t="n">
        <v>0</v>
      </c>
      <c r="CM799" s="2" t="n">
        <v>0</v>
      </c>
      <c r="CN799" s="2" t="n">
        <v>0</v>
      </c>
      <c r="CO799" s="2" t="n">
        <v>0</v>
      </c>
      <c r="CP799" s="2" t="n">
        <v>0</v>
      </c>
      <c r="CQ799" s="2" t="n">
        <v>0</v>
      </c>
      <c r="CR799" s="2" t="n">
        <v>0</v>
      </c>
      <c r="CS799" s="2" t="n">
        <v>0</v>
      </c>
      <c r="CT799" s="2" t="n">
        <v>0</v>
      </c>
      <c r="CU799" s="2" t="n">
        <v>0</v>
      </c>
      <c r="CV799" s="2" t="n">
        <v>0</v>
      </c>
      <c r="CW799" s="2" t="n">
        <v>0</v>
      </c>
      <c r="CX799" s="2" t="n">
        <v>0</v>
      </c>
      <c r="CY799" s="2" t="n">
        <v>0</v>
      </c>
      <c r="CZ799" s="2" t="n">
        <v>0</v>
      </c>
      <c r="DA799" s="2" t="n">
        <v>0</v>
      </c>
      <c r="DB799" s="2" t="n">
        <v>0</v>
      </c>
      <c r="DC799" s="2" t="n">
        <v>0</v>
      </c>
      <c r="DD799" s="2" t="n">
        <v>0</v>
      </c>
      <c r="DE799" s="2" t="n">
        <v>2.22</v>
      </c>
      <c r="DF799" s="2" t="n">
        <v>0</v>
      </c>
      <c r="DG799" s="2" t="n">
        <v>8</v>
      </c>
      <c r="DH799" s="2" t="n">
        <v>10.22</v>
      </c>
      <c r="DI799" s="2" t="n">
        <v>0</v>
      </c>
      <c r="DJ799" s="2" t="n">
        <v>17.78</v>
      </c>
      <c r="DK799" s="2" t="n">
        <v>20</v>
      </c>
      <c r="DL799" s="2" t="n">
        <v>0</v>
      </c>
      <c r="DM799" s="2" t="n">
        <v>27.11</v>
      </c>
      <c r="DN799" s="2" t="n">
        <v>29.33</v>
      </c>
      <c r="DO799" s="2" t="n">
        <v>0</v>
      </c>
      <c r="DP799" s="2" t="n">
        <v>36.44</v>
      </c>
      <c r="DQ799" s="2" t="n">
        <v>38.67</v>
      </c>
      <c r="DR799" s="2" t="n">
        <v>0</v>
      </c>
      <c r="DS799" s="2" t="n">
        <v>46.22</v>
      </c>
      <c r="DT799" s="2" t="n">
        <v>48.44</v>
      </c>
      <c r="DU799" s="2" t="n">
        <v>0</v>
      </c>
      <c r="DV799" s="2" t="n">
        <v>55.11</v>
      </c>
      <c r="DW799" s="2" t="n">
        <v>57.33</v>
      </c>
      <c r="DX799" s="2" t="n">
        <v>0</v>
      </c>
      <c r="DY799" s="2" t="n">
        <v>64.44</v>
      </c>
      <c r="DZ799" s="2" t="n">
        <v>66.67</v>
      </c>
      <c r="EA799" s="2" t="n">
        <v>0</v>
      </c>
      <c r="EB799" s="2" t="n">
        <v>72.89</v>
      </c>
      <c r="EC799" s="2" t="n">
        <v>75.11</v>
      </c>
      <c r="ED799" s="2" t="n">
        <v>0</v>
      </c>
      <c r="EE799" s="2" t="n">
        <v>79.56</v>
      </c>
      <c r="EF799" s="2" t="n">
        <v>81.78</v>
      </c>
      <c r="EG799" s="2" t="n">
        <v>0</v>
      </c>
      <c r="EH799" s="2" t="n">
        <v>89.33</v>
      </c>
      <c r="EI799" s="2" t="n">
        <v>91.56</v>
      </c>
      <c r="EJ799" s="2" t="n">
        <v>0</v>
      </c>
      <c r="EK799" s="2" t="n">
        <v>98.73</v>
      </c>
      <c r="EL799" s="2" t="n">
        <v>100</v>
      </c>
      <c r="EM799" s="2" t="n">
        <v>0</v>
      </c>
      <c r="EN799" s="2" t="n">
        <v>100</v>
      </c>
      <c r="EO799" s="2" t="n">
        <v>100</v>
      </c>
      <c r="EP799" s="2" t="n">
        <v>0</v>
      </c>
      <c r="EQ799" s="2" t="n">
        <v>100</v>
      </c>
      <c r="ER799" s="2" t="n">
        <v>100</v>
      </c>
      <c r="ES799" s="2" t="n">
        <v>0</v>
      </c>
    </row>
    <row r="800">
      <c r="A800" s="2" t="n">
        <v>2</v>
      </c>
      <c r="B800" s="2" t="inlineStr">
        <is>
          <t>32.05</t>
        </is>
      </c>
      <c r="C800" s="2" t="inlineStr">
        <is>
          <t>Diversos</t>
        </is>
      </c>
      <c r="D800" s="2" t="inlineStr">
        <is>
          <t>18/08/2027</t>
        </is>
      </c>
      <c r="E800" s="2" t="inlineStr">
        <is>
          <t>06/06/2028</t>
        </is>
      </c>
      <c r="F800" s="2" t="n">
        <v>177406.4618619411</v>
      </c>
      <c r="G800" s="2" t="n">
        <v>0</v>
      </c>
      <c r="H800" s="2" t="n">
        <v>177406.4618619411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0</v>
      </c>
      <c r="AM800" s="2" t="n">
        <v>0</v>
      </c>
      <c r="AN800" s="2" t="n">
        <v>0</v>
      </c>
      <c r="AO800" s="2" t="n">
        <v>0</v>
      </c>
      <c r="AP800" s="2" t="n">
        <v>0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n">
        <v>0</v>
      </c>
      <c r="AZ800" s="2" t="n">
        <v>0</v>
      </c>
      <c r="BA800" s="2" t="n">
        <v>0</v>
      </c>
      <c r="BB800" s="2" t="n">
        <v>0</v>
      </c>
      <c r="BC800" s="2" t="n">
        <v>0</v>
      </c>
      <c r="BD800" s="2" t="n">
        <v>0</v>
      </c>
      <c r="BE800" s="2" t="n">
        <v>0</v>
      </c>
      <c r="BF800" s="2" t="n">
        <v>0</v>
      </c>
      <c r="BG800" s="2" t="n">
        <v>0</v>
      </c>
      <c r="BH800" s="2" t="n">
        <v>0</v>
      </c>
      <c r="BI800" s="2" t="n">
        <v>0</v>
      </c>
      <c r="BJ800" s="2" t="n">
        <v>0</v>
      </c>
      <c r="BK800" s="2" t="n">
        <v>0</v>
      </c>
      <c r="BL800" s="2" t="n">
        <v>0</v>
      </c>
      <c r="BM800" s="2" t="n">
        <v>0</v>
      </c>
      <c r="BN800" s="2" t="n">
        <v>0</v>
      </c>
      <c r="BO800" s="2" t="n">
        <v>0</v>
      </c>
      <c r="BP800" s="2" t="n">
        <v>0</v>
      </c>
      <c r="BQ800" s="2" t="n">
        <v>0</v>
      </c>
      <c r="BR800" s="2" t="n">
        <v>0</v>
      </c>
      <c r="BS800" s="2" t="n">
        <v>0</v>
      </c>
      <c r="BT800" s="2" t="n">
        <v>0</v>
      </c>
      <c r="BU800" s="2" t="n">
        <v>0</v>
      </c>
      <c r="BV800" s="2" t="n">
        <v>0</v>
      </c>
      <c r="BW800" s="2" t="n">
        <v>0</v>
      </c>
      <c r="BX800" s="2" t="n">
        <v>0</v>
      </c>
      <c r="BY800" s="2" t="n">
        <v>0</v>
      </c>
      <c r="BZ800" s="2" t="n">
        <v>0</v>
      </c>
      <c r="CA800" s="2" t="n">
        <v>0</v>
      </c>
      <c r="CB800" s="2" t="n">
        <v>0</v>
      </c>
      <c r="CC800" s="2" t="n">
        <v>0</v>
      </c>
      <c r="CD800" s="2" t="n">
        <v>0</v>
      </c>
      <c r="CE800" s="2" t="n">
        <v>0</v>
      </c>
      <c r="CF800" s="2" t="n">
        <v>0</v>
      </c>
      <c r="CG800" s="2" t="n">
        <v>0</v>
      </c>
      <c r="CH800" s="2" t="n">
        <v>0</v>
      </c>
      <c r="CI800" s="2" t="n">
        <v>6.67</v>
      </c>
      <c r="CJ800" s="2" t="n">
        <v>13.33</v>
      </c>
      <c r="CK800" s="2" t="n">
        <v>0</v>
      </c>
      <c r="CL800" s="2" t="n">
        <v>20</v>
      </c>
      <c r="CM800" s="2" t="n">
        <v>20</v>
      </c>
      <c r="CN800" s="2" t="n">
        <v>0</v>
      </c>
      <c r="CO800" s="2" t="n">
        <v>29.33</v>
      </c>
      <c r="CP800" s="2" t="n">
        <v>36</v>
      </c>
      <c r="CQ800" s="2" t="n">
        <v>0</v>
      </c>
      <c r="CR800" s="2" t="n">
        <v>40</v>
      </c>
      <c r="CS800" s="2" t="n">
        <v>40</v>
      </c>
      <c r="CT800" s="2" t="n">
        <v>0</v>
      </c>
      <c r="CU800" s="2" t="n">
        <v>40</v>
      </c>
      <c r="CV800" s="2" t="n">
        <v>40</v>
      </c>
      <c r="CW800" s="2" t="n">
        <v>0</v>
      </c>
      <c r="CX800" s="2" t="n">
        <v>40</v>
      </c>
      <c r="CY800" s="2" t="n">
        <v>40</v>
      </c>
      <c r="CZ800" s="2" t="n">
        <v>0</v>
      </c>
      <c r="DA800" s="2" t="n">
        <v>47</v>
      </c>
      <c r="DB800" s="2" t="n">
        <v>52</v>
      </c>
      <c r="DC800" s="2" t="n">
        <v>0</v>
      </c>
      <c r="DD800" s="2" t="n">
        <v>61</v>
      </c>
      <c r="DE800" s="2" t="n">
        <v>66</v>
      </c>
      <c r="DF800" s="2" t="n">
        <v>0</v>
      </c>
      <c r="DG800" s="2" t="n">
        <v>79</v>
      </c>
      <c r="DH800" s="2" t="n">
        <v>80</v>
      </c>
      <c r="DI800" s="2" t="n">
        <v>0</v>
      </c>
      <c r="DJ800" s="2" t="n">
        <v>91</v>
      </c>
      <c r="DK800" s="2" t="n">
        <v>96</v>
      </c>
      <c r="DL800" s="2" t="n">
        <v>0</v>
      </c>
      <c r="DM800" s="2" t="n">
        <v>100</v>
      </c>
      <c r="DN800" s="2" t="n">
        <v>100</v>
      </c>
      <c r="DO800" s="2" t="n">
        <v>0</v>
      </c>
      <c r="DP800" s="2" t="n">
        <v>100</v>
      </c>
      <c r="DQ800" s="2" t="n">
        <v>100</v>
      </c>
      <c r="DR800" s="2" t="n">
        <v>0</v>
      </c>
      <c r="DS800" s="2" t="n">
        <v>100</v>
      </c>
      <c r="DT800" s="2" t="n">
        <v>100</v>
      </c>
      <c r="DU800" s="2" t="n">
        <v>0</v>
      </c>
      <c r="DV800" s="2" t="n">
        <v>100</v>
      </c>
      <c r="DW800" s="2" t="n">
        <v>100</v>
      </c>
      <c r="DX800" s="2" t="n">
        <v>0</v>
      </c>
      <c r="DY800" s="2" t="n">
        <v>100</v>
      </c>
      <c r="DZ800" s="2" t="n">
        <v>100</v>
      </c>
      <c r="EA800" s="2" t="n">
        <v>0</v>
      </c>
      <c r="EB800" s="2" t="n">
        <v>100</v>
      </c>
      <c r="EC800" s="2" t="n">
        <v>100</v>
      </c>
      <c r="ED800" s="2" t="n">
        <v>0</v>
      </c>
      <c r="EE800" s="2" t="n">
        <v>100</v>
      </c>
      <c r="EF800" s="2" t="n">
        <v>100</v>
      </c>
      <c r="EG800" s="2" t="n">
        <v>0</v>
      </c>
      <c r="EH800" s="2" t="n">
        <v>100</v>
      </c>
      <c r="EI800" s="2" t="n">
        <v>100</v>
      </c>
      <c r="EJ800" s="2" t="n">
        <v>0</v>
      </c>
      <c r="EK800" s="2" t="n">
        <v>100</v>
      </c>
      <c r="EL800" s="2" t="n">
        <v>100</v>
      </c>
      <c r="EM800" s="2" t="n">
        <v>0</v>
      </c>
      <c r="EN800" s="2" t="n">
        <v>100</v>
      </c>
      <c r="EO800" s="2" t="n">
        <v>100</v>
      </c>
      <c r="EP800" s="2" t="n">
        <v>0</v>
      </c>
      <c r="EQ800" s="2" t="n">
        <v>100</v>
      </c>
      <c r="ER800" s="2" t="n">
        <v>100</v>
      </c>
      <c r="ES800" s="2" t="n">
        <v>0</v>
      </c>
    </row>
    <row r="801">
      <c r="A801" s="2" t="n">
        <v>3</v>
      </c>
      <c r="B801" s="2" t="inlineStr">
        <is>
          <t>32.05.01</t>
        </is>
      </c>
      <c r="C801" s="2" t="inlineStr">
        <is>
          <t>Junta de dilatação horizontal para fachadas</t>
        </is>
      </c>
      <c r="D801" s="2" t="inlineStr">
        <is>
          <t>18/08/2027</t>
        </is>
      </c>
      <c r="E801" s="2" t="inlineStr">
        <is>
          <t>06/06/2028</t>
        </is>
      </c>
      <c r="F801" s="2" t="n">
        <v>135433.2389602211</v>
      </c>
      <c r="G801" s="2" t="n">
        <v>0</v>
      </c>
      <c r="H801" s="2" t="n">
        <v>135433.2389602211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0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0</v>
      </c>
      <c r="AL801" s="2" t="n">
        <v>0</v>
      </c>
      <c r="AM801" s="2" t="n">
        <v>0</v>
      </c>
      <c r="AN801" s="2" t="n">
        <v>0</v>
      </c>
      <c r="AO801" s="2" t="n">
        <v>0</v>
      </c>
      <c r="AP801" s="2" t="n">
        <v>0</v>
      </c>
      <c r="AQ801" s="2" t="n">
        <v>0</v>
      </c>
      <c r="AR801" s="2" t="n">
        <v>0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 t="n">
        <v>0</v>
      </c>
      <c r="AX801" s="2" t="n">
        <v>0</v>
      </c>
      <c r="AY801" s="2" t="n">
        <v>0</v>
      </c>
      <c r="AZ801" s="2" t="n">
        <v>0</v>
      </c>
      <c r="BA801" s="2" t="n">
        <v>0</v>
      </c>
      <c r="BB801" s="2" t="n">
        <v>0</v>
      </c>
      <c r="BC801" s="2" t="n">
        <v>0</v>
      </c>
      <c r="BD801" s="2" t="n">
        <v>0</v>
      </c>
      <c r="BE801" s="2" t="n">
        <v>0</v>
      </c>
      <c r="BF801" s="2" t="n">
        <v>0</v>
      </c>
      <c r="BG801" s="2" t="n">
        <v>0</v>
      </c>
      <c r="BH801" s="2" t="n">
        <v>0</v>
      </c>
      <c r="BI801" s="2" t="n">
        <v>0</v>
      </c>
      <c r="BJ801" s="2" t="n">
        <v>0</v>
      </c>
      <c r="BK801" s="2" t="n">
        <v>0</v>
      </c>
      <c r="BL801" s="2" t="n">
        <v>0</v>
      </c>
      <c r="BM801" s="2" t="n">
        <v>0</v>
      </c>
      <c r="BN801" s="2" t="n">
        <v>0</v>
      </c>
      <c r="BO801" s="2" t="n">
        <v>0</v>
      </c>
      <c r="BP801" s="2" t="n">
        <v>0</v>
      </c>
      <c r="BQ801" s="2" t="n">
        <v>0</v>
      </c>
      <c r="BR801" s="2" t="n">
        <v>0</v>
      </c>
      <c r="BS801" s="2" t="n">
        <v>0</v>
      </c>
      <c r="BT801" s="2" t="n">
        <v>0</v>
      </c>
      <c r="BU801" s="2" t="n">
        <v>0</v>
      </c>
      <c r="BV801" s="2" t="n">
        <v>0</v>
      </c>
      <c r="BW801" s="2" t="n">
        <v>0</v>
      </c>
      <c r="BX801" s="2" t="n">
        <v>0</v>
      </c>
      <c r="BY801" s="2" t="n">
        <v>0</v>
      </c>
      <c r="BZ801" s="2" t="n">
        <v>0</v>
      </c>
      <c r="CA801" s="2" t="n">
        <v>0</v>
      </c>
      <c r="CB801" s="2" t="n">
        <v>0</v>
      </c>
      <c r="CC801" s="2" t="n">
        <v>0</v>
      </c>
      <c r="CD801" s="2" t="n">
        <v>0</v>
      </c>
      <c r="CE801" s="2" t="n">
        <v>0</v>
      </c>
      <c r="CF801" s="2" t="n">
        <v>0</v>
      </c>
      <c r="CG801" s="2" t="n">
        <v>0</v>
      </c>
      <c r="CH801" s="2" t="n">
        <v>0</v>
      </c>
      <c r="CI801" s="2" t="n">
        <v>6.67</v>
      </c>
      <c r="CJ801" s="2" t="n">
        <v>13.33</v>
      </c>
      <c r="CK801" s="2" t="n">
        <v>0</v>
      </c>
      <c r="CL801" s="2" t="n">
        <v>20</v>
      </c>
      <c r="CM801" s="2" t="n">
        <v>20</v>
      </c>
      <c r="CN801" s="2" t="n">
        <v>0</v>
      </c>
      <c r="CO801" s="2" t="n">
        <v>29.33</v>
      </c>
      <c r="CP801" s="2" t="n">
        <v>36</v>
      </c>
      <c r="CQ801" s="2" t="n">
        <v>0</v>
      </c>
      <c r="CR801" s="2" t="n">
        <v>40</v>
      </c>
      <c r="CS801" s="2" t="n">
        <v>40</v>
      </c>
      <c r="CT801" s="2" t="n">
        <v>0</v>
      </c>
      <c r="CU801" s="2" t="n">
        <v>40</v>
      </c>
      <c r="CV801" s="2" t="n">
        <v>40</v>
      </c>
      <c r="CW801" s="2" t="n">
        <v>0</v>
      </c>
      <c r="CX801" s="2" t="n">
        <v>40</v>
      </c>
      <c r="CY801" s="2" t="n">
        <v>40</v>
      </c>
      <c r="CZ801" s="2" t="n">
        <v>0</v>
      </c>
      <c r="DA801" s="2" t="n">
        <v>47</v>
      </c>
      <c r="DB801" s="2" t="n">
        <v>52</v>
      </c>
      <c r="DC801" s="2" t="n">
        <v>0</v>
      </c>
      <c r="DD801" s="2" t="n">
        <v>61</v>
      </c>
      <c r="DE801" s="2" t="n">
        <v>66</v>
      </c>
      <c r="DF801" s="2" t="n">
        <v>0</v>
      </c>
      <c r="DG801" s="2" t="n">
        <v>79</v>
      </c>
      <c r="DH801" s="2" t="n">
        <v>80</v>
      </c>
      <c r="DI801" s="2" t="n">
        <v>0</v>
      </c>
      <c r="DJ801" s="2" t="n">
        <v>91</v>
      </c>
      <c r="DK801" s="2" t="n">
        <v>96</v>
      </c>
      <c r="DL801" s="2" t="n">
        <v>0</v>
      </c>
      <c r="DM801" s="2" t="n">
        <v>100</v>
      </c>
      <c r="DN801" s="2" t="n">
        <v>100</v>
      </c>
      <c r="DO801" s="2" t="n">
        <v>0</v>
      </c>
      <c r="DP801" s="2" t="n">
        <v>100</v>
      </c>
      <c r="DQ801" s="2" t="n">
        <v>100</v>
      </c>
      <c r="DR801" s="2" t="n">
        <v>0</v>
      </c>
      <c r="DS801" s="2" t="n">
        <v>100</v>
      </c>
      <c r="DT801" s="2" t="n">
        <v>100</v>
      </c>
      <c r="DU801" s="2" t="n">
        <v>0</v>
      </c>
      <c r="DV801" s="2" t="n">
        <v>100</v>
      </c>
      <c r="DW801" s="2" t="n">
        <v>100</v>
      </c>
      <c r="DX801" s="2" t="n">
        <v>0</v>
      </c>
      <c r="DY801" s="2" t="n">
        <v>100</v>
      </c>
      <c r="DZ801" s="2" t="n">
        <v>100</v>
      </c>
      <c r="EA801" s="2" t="n">
        <v>0</v>
      </c>
      <c r="EB801" s="2" t="n">
        <v>100</v>
      </c>
      <c r="EC801" s="2" t="n">
        <v>100</v>
      </c>
      <c r="ED801" s="2" t="n">
        <v>0</v>
      </c>
      <c r="EE801" s="2" t="n">
        <v>100</v>
      </c>
      <c r="EF801" s="2" t="n">
        <v>100</v>
      </c>
      <c r="EG801" s="2" t="n">
        <v>0</v>
      </c>
      <c r="EH801" s="2" t="n">
        <v>100</v>
      </c>
      <c r="EI801" s="2" t="n">
        <v>100</v>
      </c>
      <c r="EJ801" s="2" t="n">
        <v>0</v>
      </c>
      <c r="EK801" s="2" t="n">
        <v>100</v>
      </c>
      <c r="EL801" s="2" t="n">
        <v>100</v>
      </c>
      <c r="EM801" s="2" t="n">
        <v>0</v>
      </c>
      <c r="EN801" s="2" t="n">
        <v>100</v>
      </c>
      <c r="EO801" s="2" t="n">
        <v>100</v>
      </c>
      <c r="EP801" s="2" t="n">
        <v>0</v>
      </c>
      <c r="EQ801" s="2" t="n">
        <v>100</v>
      </c>
      <c r="ER801" s="2" t="n">
        <v>100</v>
      </c>
      <c r="ES801" s="2" t="n">
        <v>0</v>
      </c>
    </row>
    <row r="802">
      <c r="A802" s="2" t="n">
        <v>3</v>
      </c>
      <c r="B802" s="2" t="inlineStr">
        <is>
          <t>32.05.02</t>
        </is>
      </c>
      <c r="C802" s="2" t="inlineStr">
        <is>
          <t>Junta de dilatação vertical pra fachadas</t>
        </is>
      </c>
      <c r="D802" s="2" t="inlineStr">
        <is>
          <t>18/08/2027</t>
        </is>
      </c>
      <c r="E802" s="2" t="inlineStr">
        <is>
          <t>06/06/2028</t>
        </is>
      </c>
      <c r="F802" s="2" t="n">
        <v>12979.78429758804</v>
      </c>
      <c r="G802" s="2" t="n">
        <v>0</v>
      </c>
      <c r="H802" s="2" t="n">
        <v>12979.78429758804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0</v>
      </c>
      <c r="AL802" s="2" t="n">
        <v>0</v>
      </c>
      <c r="AM802" s="2" t="n">
        <v>0</v>
      </c>
      <c r="AN802" s="2" t="n">
        <v>0</v>
      </c>
      <c r="AO802" s="2" t="n">
        <v>0</v>
      </c>
      <c r="AP802" s="2" t="n">
        <v>0</v>
      </c>
      <c r="AQ802" s="2" t="n">
        <v>0</v>
      </c>
      <c r="AR802" s="2" t="n">
        <v>0</v>
      </c>
      <c r="AS802" s="2" t="n">
        <v>0</v>
      </c>
      <c r="AT802" s="2" t="n">
        <v>0</v>
      </c>
      <c r="AU802" s="2" t="n">
        <v>0</v>
      </c>
      <c r="AV802" s="2" t="n">
        <v>0</v>
      </c>
      <c r="AW802" s="2" t="n">
        <v>0</v>
      </c>
      <c r="AX802" s="2" t="n">
        <v>0</v>
      </c>
      <c r="AY802" s="2" t="n">
        <v>0</v>
      </c>
      <c r="AZ802" s="2" t="n">
        <v>0</v>
      </c>
      <c r="BA802" s="2" t="n">
        <v>0</v>
      </c>
      <c r="BB802" s="2" t="n">
        <v>0</v>
      </c>
      <c r="BC802" s="2" t="n">
        <v>0</v>
      </c>
      <c r="BD802" s="2" t="n">
        <v>0</v>
      </c>
      <c r="BE802" s="2" t="n">
        <v>0</v>
      </c>
      <c r="BF802" s="2" t="n">
        <v>0</v>
      </c>
      <c r="BG802" s="2" t="n">
        <v>0</v>
      </c>
      <c r="BH802" s="2" t="n">
        <v>0</v>
      </c>
      <c r="BI802" s="2" t="n">
        <v>0</v>
      </c>
      <c r="BJ802" s="2" t="n">
        <v>0</v>
      </c>
      <c r="BK802" s="2" t="n">
        <v>0</v>
      </c>
      <c r="BL802" s="2" t="n">
        <v>0</v>
      </c>
      <c r="BM802" s="2" t="n">
        <v>0</v>
      </c>
      <c r="BN802" s="2" t="n">
        <v>0</v>
      </c>
      <c r="BO802" s="2" t="n">
        <v>0</v>
      </c>
      <c r="BP802" s="2" t="n">
        <v>0</v>
      </c>
      <c r="BQ802" s="2" t="n">
        <v>0</v>
      </c>
      <c r="BR802" s="2" t="n">
        <v>0</v>
      </c>
      <c r="BS802" s="2" t="n">
        <v>0</v>
      </c>
      <c r="BT802" s="2" t="n">
        <v>0</v>
      </c>
      <c r="BU802" s="2" t="n">
        <v>0</v>
      </c>
      <c r="BV802" s="2" t="n">
        <v>0</v>
      </c>
      <c r="BW802" s="2" t="n">
        <v>0</v>
      </c>
      <c r="BX802" s="2" t="n">
        <v>0</v>
      </c>
      <c r="BY802" s="2" t="n">
        <v>0</v>
      </c>
      <c r="BZ802" s="2" t="n">
        <v>0</v>
      </c>
      <c r="CA802" s="2" t="n">
        <v>0</v>
      </c>
      <c r="CB802" s="2" t="n">
        <v>0</v>
      </c>
      <c r="CC802" s="2" t="n">
        <v>0</v>
      </c>
      <c r="CD802" s="2" t="n">
        <v>0</v>
      </c>
      <c r="CE802" s="2" t="n">
        <v>0</v>
      </c>
      <c r="CF802" s="2" t="n">
        <v>0</v>
      </c>
      <c r="CG802" s="2" t="n">
        <v>0</v>
      </c>
      <c r="CH802" s="2" t="n">
        <v>0</v>
      </c>
      <c r="CI802" s="2" t="n">
        <v>6.67</v>
      </c>
      <c r="CJ802" s="2" t="n">
        <v>13.33</v>
      </c>
      <c r="CK802" s="2" t="n">
        <v>0</v>
      </c>
      <c r="CL802" s="2" t="n">
        <v>20</v>
      </c>
      <c r="CM802" s="2" t="n">
        <v>20</v>
      </c>
      <c r="CN802" s="2" t="n">
        <v>0</v>
      </c>
      <c r="CO802" s="2" t="n">
        <v>29.33</v>
      </c>
      <c r="CP802" s="2" t="n">
        <v>36</v>
      </c>
      <c r="CQ802" s="2" t="n">
        <v>0</v>
      </c>
      <c r="CR802" s="2" t="n">
        <v>40</v>
      </c>
      <c r="CS802" s="2" t="n">
        <v>40</v>
      </c>
      <c r="CT802" s="2" t="n">
        <v>0</v>
      </c>
      <c r="CU802" s="2" t="n">
        <v>40</v>
      </c>
      <c r="CV802" s="2" t="n">
        <v>40</v>
      </c>
      <c r="CW802" s="2" t="n">
        <v>0</v>
      </c>
      <c r="CX802" s="2" t="n">
        <v>40</v>
      </c>
      <c r="CY802" s="2" t="n">
        <v>40</v>
      </c>
      <c r="CZ802" s="2" t="n">
        <v>0</v>
      </c>
      <c r="DA802" s="2" t="n">
        <v>47</v>
      </c>
      <c r="DB802" s="2" t="n">
        <v>52</v>
      </c>
      <c r="DC802" s="2" t="n">
        <v>0</v>
      </c>
      <c r="DD802" s="2" t="n">
        <v>61</v>
      </c>
      <c r="DE802" s="2" t="n">
        <v>66</v>
      </c>
      <c r="DF802" s="2" t="n">
        <v>0</v>
      </c>
      <c r="DG802" s="2" t="n">
        <v>79</v>
      </c>
      <c r="DH802" s="2" t="n">
        <v>80</v>
      </c>
      <c r="DI802" s="2" t="n">
        <v>0</v>
      </c>
      <c r="DJ802" s="2" t="n">
        <v>91</v>
      </c>
      <c r="DK802" s="2" t="n">
        <v>96</v>
      </c>
      <c r="DL802" s="2" t="n">
        <v>0</v>
      </c>
      <c r="DM802" s="2" t="n">
        <v>100</v>
      </c>
      <c r="DN802" s="2" t="n">
        <v>100</v>
      </c>
      <c r="DO802" s="2" t="n">
        <v>0</v>
      </c>
      <c r="DP802" s="2" t="n">
        <v>100</v>
      </c>
      <c r="DQ802" s="2" t="n">
        <v>100</v>
      </c>
      <c r="DR802" s="2" t="n">
        <v>0</v>
      </c>
      <c r="DS802" s="2" t="n">
        <v>100</v>
      </c>
      <c r="DT802" s="2" t="n">
        <v>100</v>
      </c>
      <c r="DU802" s="2" t="n">
        <v>0</v>
      </c>
      <c r="DV802" s="2" t="n">
        <v>100</v>
      </c>
      <c r="DW802" s="2" t="n">
        <v>100</v>
      </c>
      <c r="DX802" s="2" t="n">
        <v>0</v>
      </c>
      <c r="DY802" s="2" t="n">
        <v>100</v>
      </c>
      <c r="DZ802" s="2" t="n">
        <v>100</v>
      </c>
      <c r="EA802" s="2" t="n">
        <v>0</v>
      </c>
      <c r="EB802" s="2" t="n">
        <v>100</v>
      </c>
      <c r="EC802" s="2" t="n">
        <v>100</v>
      </c>
      <c r="ED802" s="2" t="n">
        <v>0</v>
      </c>
      <c r="EE802" s="2" t="n">
        <v>100</v>
      </c>
      <c r="EF802" s="2" t="n">
        <v>100</v>
      </c>
      <c r="EG802" s="2" t="n">
        <v>0</v>
      </c>
      <c r="EH802" s="2" t="n">
        <v>100</v>
      </c>
      <c r="EI802" s="2" t="n">
        <v>100</v>
      </c>
      <c r="EJ802" s="2" t="n">
        <v>0</v>
      </c>
      <c r="EK802" s="2" t="n">
        <v>100</v>
      </c>
      <c r="EL802" s="2" t="n">
        <v>100</v>
      </c>
      <c r="EM802" s="2" t="n">
        <v>0</v>
      </c>
      <c r="EN802" s="2" t="n">
        <v>100</v>
      </c>
      <c r="EO802" s="2" t="n">
        <v>100</v>
      </c>
      <c r="EP802" s="2" t="n">
        <v>0</v>
      </c>
      <c r="EQ802" s="2" t="n">
        <v>100</v>
      </c>
      <c r="ER802" s="2" t="n">
        <v>100</v>
      </c>
      <c r="ES802" s="2" t="n">
        <v>0</v>
      </c>
    </row>
    <row r="803">
      <c r="A803" s="2" t="n">
        <v>3</v>
      </c>
      <c r="B803" s="2" t="inlineStr">
        <is>
          <t>32.05.03</t>
        </is>
      </c>
      <c r="C803" s="2" t="inlineStr">
        <is>
          <t>Desbaste de rebarbas, estuque e aplicação de silicone hidrofugante sobre superfícies de concreto aparente (2 demãos silicone incolor hidrofugante)</t>
        </is>
      </c>
      <c r="D803" s="2" t="inlineStr">
        <is>
          <t>18/08/2027</t>
        </is>
      </c>
      <c r="E803" s="2" t="inlineStr">
        <is>
          <t>06/06/2028</t>
        </is>
      </c>
      <c r="F803" s="2" t="n">
        <v>28993.43860413191</v>
      </c>
      <c r="G803" s="2" t="n">
        <v>0</v>
      </c>
      <c r="H803" s="2" t="n">
        <v>28993.43860413191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0</v>
      </c>
      <c r="AM803" s="2" t="n">
        <v>0</v>
      </c>
      <c r="AN803" s="2" t="n">
        <v>0</v>
      </c>
      <c r="AO803" s="2" t="n">
        <v>0</v>
      </c>
      <c r="AP803" s="2" t="n">
        <v>0</v>
      </c>
      <c r="AQ803" s="2" t="n">
        <v>0</v>
      </c>
      <c r="AR803" s="2" t="n">
        <v>0</v>
      </c>
      <c r="AS803" s="2" t="n">
        <v>0</v>
      </c>
      <c r="AT803" s="2" t="n">
        <v>0</v>
      </c>
      <c r="AU803" s="2" t="n">
        <v>0</v>
      </c>
      <c r="AV803" s="2" t="n">
        <v>0</v>
      </c>
      <c r="AW803" s="2" t="n">
        <v>0</v>
      </c>
      <c r="AX803" s="2" t="n">
        <v>0</v>
      </c>
      <c r="AY803" s="2" t="n">
        <v>0</v>
      </c>
      <c r="AZ803" s="2" t="n">
        <v>0</v>
      </c>
      <c r="BA803" s="2" t="n">
        <v>0</v>
      </c>
      <c r="BB803" s="2" t="n">
        <v>0</v>
      </c>
      <c r="BC803" s="2" t="n">
        <v>0</v>
      </c>
      <c r="BD803" s="2" t="n">
        <v>0</v>
      </c>
      <c r="BE803" s="2" t="n">
        <v>0</v>
      </c>
      <c r="BF803" s="2" t="n">
        <v>0</v>
      </c>
      <c r="BG803" s="2" t="n">
        <v>0</v>
      </c>
      <c r="BH803" s="2" t="n">
        <v>0</v>
      </c>
      <c r="BI803" s="2" t="n">
        <v>0</v>
      </c>
      <c r="BJ803" s="2" t="n">
        <v>0</v>
      </c>
      <c r="BK803" s="2" t="n">
        <v>0</v>
      </c>
      <c r="BL803" s="2" t="n">
        <v>0</v>
      </c>
      <c r="BM803" s="2" t="n">
        <v>0</v>
      </c>
      <c r="BN803" s="2" t="n">
        <v>0</v>
      </c>
      <c r="BO803" s="2" t="n">
        <v>0</v>
      </c>
      <c r="BP803" s="2" t="n">
        <v>0</v>
      </c>
      <c r="BQ803" s="2" t="n">
        <v>0</v>
      </c>
      <c r="BR803" s="2" t="n">
        <v>0</v>
      </c>
      <c r="BS803" s="2" t="n">
        <v>0</v>
      </c>
      <c r="BT803" s="2" t="n">
        <v>0</v>
      </c>
      <c r="BU803" s="2" t="n">
        <v>0</v>
      </c>
      <c r="BV803" s="2" t="n">
        <v>0</v>
      </c>
      <c r="BW803" s="2" t="n">
        <v>0</v>
      </c>
      <c r="BX803" s="2" t="n">
        <v>0</v>
      </c>
      <c r="BY803" s="2" t="n">
        <v>0</v>
      </c>
      <c r="BZ803" s="2" t="n">
        <v>0</v>
      </c>
      <c r="CA803" s="2" t="n">
        <v>0</v>
      </c>
      <c r="CB803" s="2" t="n">
        <v>0</v>
      </c>
      <c r="CC803" s="2" t="n">
        <v>0</v>
      </c>
      <c r="CD803" s="2" t="n">
        <v>0</v>
      </c>
      <c r="CE803" s="2" t="n">
        <v>0</v>
      </c>
      <c r="CF803" s="2" t="n">
        <v>0</v>
      </c>
      <c r="CG803" s="2" t="n">
        <v>0</v>
      </c>
      <c r="CH803" s="2" t="n">
        <v>0</v>
      </c>
      <c r="CI803" s="2" t="n">
        <v>6.67</v>
      </c>
      <c r="CJ803" s="2" t="n">
        <v>13.33</v>
      </c>
      <c r="CK803" s="2" t="n">
        <v>0</v>
      </c>
      <c r="CL803" s="2" t="n">
        <v>20</v>
      </c>
      <c r="CM803" s="2" t="n">
        <v>20</v>
      </c>
      <c r="CN803" s="2" t="n">
        <v>0</v>
      </c>
      <c r="CO803" s="2" t="n">
        <v>29.33</v>
      </c>
      <c r="CP803" s="2" t="n">
        <v>36</v>
      </c>
      <c r="CQ803" s="2" t="n">
        <v>0</v>
      </c>
      <c r="CR803" s="2" t="n">
        <v>40</v>
      </c>
      <c r="CS803" s="2" t="n">
        <v>40</v>
      </c>
      <c r="CT803" s="2" t="n">
        <v>0</v>
      </c>
      <c r="CU803" s="2" t="n">
        <v>40</v>
      </c>
      <c r="CV803" s="2" t="n">
        <v>40</v>
      </c>
      <c r="CW803" s="2" t="n">
        <v>0</v>
      </c>
      <c r="CX803" s="2" t="n">
        <v>40</v>
      </c>
      <c r="CY803" s="2" t="n">
        <v>40</v>
      </c>
      <c r="CZ803" s="2" t="n">
        <v>0</v>
      </c>
      <c r="DA803" s="2" t="n">
        <v>47</v>
      </c>
      <c r="DB803" s="2" t="n">
        <v>52</v>
      </c>
      <c r="DC803" s="2" t="n">
        <v>0</v>
      </c>
      <c r="DD803" s="2" t="n">
        <v>61</v>
      </c>
      <c r="DE803" s="2" t="n">
        <v>66</v>
      </c>
      <c r="DF803" s="2" t="n">
        <v>0</v>
      </c>
      <c r="DG803" s="2" t="n">
        <v>79</v>
      </c>
      <c r="DH803" s="2" t="n">
        <v>80</v>
      </c>
      <c r="DI803" s="2" t="n">
        <v>0</v>
      </c>
      <c r="DJ803" s="2" t="n">
        <v>91</v>
      </c>
      <c r="DK803" s="2" t="n">
        <v>96</v>
      </c>
      <c r="DL803" s="2" t="n">
        <v>0</v>
      </c>
      <c r="DM803" s="2" t="n">
        <v>100</v>
      </c>
      <c r="DN803" s="2" t="n">
        <v>100</v>
      </c>
      <c r="DO803" s="2" t="n">
        <v>0</v>
      </c>
      <c r="DP803" s="2" t="n">
        <v>100</v>
      </c>
      <c r="DQ803" s="2" t="n">
        <v>100</v>
      </c>
      <c r="DR803" s="2" t="n">
        <v>0</v>
      </c>
      <c r="DS803" s="2" t="n">
        <v>100</v>
      </c>
      <c r="DT803" s="2" t="n">
        <v>100</v>
      </c>
      <c r="DU803" s="2" t="n">
        <v>0</v>
      </c>
      <c r="DV803" s="2" t="n">
        <v>100</v>
      </c>
      <c r="DW803" s="2" t="n">
        <v>100</v>
      </c>
      <c r="DX803" s="2" t="n">
        <v>0</v>
      </c>
      <c r="DY803" s="2" t="n">
        <v>100</v>
      </c>
      <c r="DZ803" s="2" t="n">
        <v>100</v>
      </c>
      <c r="EA803" s="2" t="n">
        <v>0</v>
      </c>
      <c r="EB803" s="2" t="n">
        <v>100</v>
      </c>
      <c r="EC803" s="2" t="n">
        <v>100</v>
      </c>
      <c r="ED803" s="2" t="n">
        <v>0</v>
      </c>
      <c r="EE803" s="2" t="n">
        <v>100</v>
      </c>
      <c r="EF803" s="2" t="n">
        <v>100</v>
      </c>
      <c r="EG803" s="2" t="n">
        <v>0</v>
      </c>
      <c r="EH803" s="2" t="n">
        <v>100</v>
      </c>
      <c r="EI803" s="2" t="n">
        <v>100</v>
      </c>
      <c r="EJ803" s="2" t="n">
        <v>0</v>
      </c>
      <c r="EK803" s="2" t="n">
        <v>100</v>
      </c>
      <c r="EL803" s="2" t="n">
        <v>100</v>
      </c>
      <c r="EM803" s="2" t="n">
        <v>0</v>
      </c>
      <c r="EN803" s="2" t="n">
        <v>100</v>
      </c>
      <c r="EO803" s="2" t="n">
        <v>100</v>
      </c>
      <c r="EP803" s="2" t="n">
        <v>0</v>
      </c>
      <c r="EQ803" s="2" t="n">
        <v>100</v>
      </c>
      <c r="ER803" s="2" t="n">
        <v>100</v>
      </c>
      <c r="ES803" s="2" t="n">
        <v>0</v>
      </c>
    </row>
    <row r="804">
      <c r="A804" s="2" t="n">
        <v>2</v>
      </c>
      <c r="B804" s="2" t="inlineStr">
        <is>
          <t>32.06</t>
        </is>
      </c>
      <c r="C804" s="2" t="inlineStr">
        <is>
          <t>Muros</t>
        </is>
      </c>
      <c r="D804" s="2" t="inlineStr">
        <is>
          <t>30/11/2027</t>
        </is>
      </c>
      <c r="E804" s="2" t="inlineStr">
        <is>
          <t>09/03/2028</t>
        </is>
      </c>
      <c r="F804" s="2" t="n">
        <v>320257.6302040482</v>
      </c>
      <c r="G804" s="2" t="n">
        <v>0</v>
      </c>
      <c r="H804" s="2" t="n">
        <v>320257.6302040482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0</v>
      </c>
      <c r="AM804" s="2" t="n">
        <v>0</v>
      </c>
      <c r="AN804" s="2" t="n">
        <v>0</v>
      </c>
      <c r="AO804" s="2" t="n">
        <v>0</v>
      </c>
      <c r="AP804" s="2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n">
        <v>0</v>
      </c>
      <c r="AZ804" s="2" t="n">
        <v>0</v>
      </c>
      <c r="BA804" s="2" t="n">
        <v>0</v>
      </c>
      <c r="BB804" s="2" t="n">
        <v>0</v>
      </c>
      <c r="BC804" s="2" t="n">
        <v>0</v>
      </c>
      <c r="BD804" s="2" t="n">
        <v>0</v>
      </c>
      <c r="BE804" s="2" t="n">
        <v>0</v>
      </c>
      <c r="BF804" s="2" t="n">
        <v>0</v>
      </c>
      <c r="BG804" s="2" t="n">
        <v>0</v>
      </c>
      <c r="BH804" s="2" t="n">
        <v>0</v>
      </c>
      <c r="BI804" s="2" t="n">
        <v>0</v>
      </c>
      <c r="BJ804" s="2" t="n">
        <v>0</v>
      </c>
      <c r="BK804" s="2" t="n">
        <v>0</v>
      </c>
      <c r="BL804" s="2" t="n">
        <v>0</v>
      </c>
      <c r="BM804" s="2" t="n">
        <v>0</v>
      </c>
      <c r="BN804" s="2" t="n">
        <v>0</v>
      </c>
      <c r="BO804" s="2" t="n">
        <v>0</v>
      </c>
      <c r="BP804" s="2" t="n">
        <v>0</v>
      </c>
      <c r="BQ804" s="2" t="n">
        <v>0</v>
      </c>
      <c r="BR804" s="2" t="n">
        <v>0</v>
      </c>
      <c r="BS804" s="2" t="n">
        <v>0</v>
      </c>
      <c r="BT804" s="2" t="n">
        <v>0</v>
      </c>
      <c r="BU804" s="2" t="n">
        <v>0</v>
      </c>
      <c r="BV804" s="2" t="n">
        <v>0</v>
      </c>
      <c r="BW804" s="2" t="n">
        <v>0</v>
      </c>
      <c r="BX804" s="2" t="n">
        <v>0</v>
      </c>
      <c r="BY804" s="2" t="n">
        <v>0</v>
      </c>
      <c r="BZ804" s="2" t="n">
        <v>0</v>
      </c>
      <c r="CA804" s="2" t="n">
        <v>0</v>
      </c>
      <c r="CB804" s="2" t="n">
        <v>0</v>
      </c>
      <c r="CC804" s="2" t="n">
        <v>0</v>
      </c>
      <c r="CD804" s="2" t="n">
        <v>0</v>
      </c>
      <c r="CE804" s="2" t="n">
        <v>0</v>
      </c>
      <c r="CF804" s="2" t="n">
        <v>0</v>
      </c>
      <c r="CG804" s="2" t="n">
        <v>0</v>
      </c>
      <c r="CH804" s="2" t="n">
        <v>0</v>
      </c>
      <c r="CI804" s="2" t="n">
        <v>0</v>
      </c>
      <c r="CJ804" s="2" t="n">
        <v>0</v>
      </c>
      <c r="CK804" s="2" t="n">
        <v>0</v>
      </c>
      <c r="CL804" s="2" t="n">
        <v>0</v>
      </c>
      <c r="CM804" s="2" t="n">
        <v>0</v>
      </c>
      <c r="CN804" s="2" t="n">
        <v>0</v>
      </c>
      <c r="CO804" s="2" t="n">
        <v>0</v>
      </c>
      <c r="CP804" s="2" t="n">
        <v>0</v>
      </c>
      <c r="CQ804" s="2" t="n">
        <v>0</v>
      </c>
      <c r="CR804" s="2" t="n">
        <v>0</v>
      </c>
      <c r="CS804" s="2" t="n">
        <v>1.52</v>
      </c>
      <c r="CT804" s="2" t="n">
        <v>0</v>
      </c>
      <c r="CU804" s="2" t="n">
        <v>24.24</v>
      </c>
      <c r="CV804" s="2" t="n">
        <v>25.76</v>
      </c>
      <c r="CW804" s="2" t="n">
        <v>0</v>
      </c>
      <c r="CX804" s="2" t="n">
        <v>56.06</v>
      </c>
      <c r="CY804" s="2" t="n">
        <v>57.58</v>
      </c>
      <c r="CZ804" s="2" t="n">
        <v>0</v>
      </c>
      <c r="DA804" s="2" t="n">
        <v>87.88</v>
      </c>
      <c r="DB804" s="2" t="n">
        <v>89.39</v>
      </c>
      <c r="DC804" s="2" t="n">
        <v>0</v>
      </c>
      <c r="DD804" s="2" t="n">
        <v>100</v>
      </c>
      <c r="DE804" s="2" t="n">
        <v>100</v>
      </c>
      <c r="DF804" s="2" t="n">
        <v>0</v>
      </c>
      <c r="DG804" s="2" t="n">
        <v>100</v>
      </c>
      <c r="DH804" s="2" t="n">
        <v>100</v>
      </c>
      <c r="DI804" s="2" t="n">
        <v>0</v>
      </c>
      <c r="DJ804" s="2" t="n">
        <v>100</v>
      </c>
      <c r="DK804" s="2" t="n">
        <v>100</v>
      </c>
      <c r="DL804" s="2" t="n">
        <v>0</v>
      </c>
      <c r="DM804" s="2" t="n">
        <v>100</v>
      </c>
      <c r="DN804" s="2" t="n">
        <v>100</v>
      </c>
      <c r="DO804" s="2" t="n">
        <v>0</v>
      </c>
      <c r="DP804" s="2" t="n">
        <v>100</v>
      </c>
      <c r="DQ804" s="2" t="n">
        <v>100</v>
      </c>
      <c r="DR804" s="2" t="n">
        <v>0</v>
      </c>
      <c r="DS804" s="2" t="n">
        <v>100</v>
      </c>
      <c r="DT804" s="2" t="n">
        <v>100</v>
      </c>
      <c r="DU804" s="2" t="n">
        <v>0</v>
      </c>
      <c r="DV804" s="2" t="n">
        <v>100</v>
      </c>
      <c r="DW804" s="2" t="n">
        <v>100</v>
      </c>
      <c r="DX804" s="2" t="n">
        <v>0</v>
      </c>
      <c r="DY804" s="2" t="n">
        <v>100</v>
      </c>
      <c r="DZ804" s="2" t="n">
        <v>100</v>
      </c>
      <c r="EA804" s="2" t="n">
        <v>0</v>
      </c>
      <c r="EB804" s="2" t="n">
        <v>100</v>
      </c>
      <c r="EC804" s="2" t="n">
        <v>100</v>
      </c>
      <c r="ED804" s="2" t="n">
        <v>0</v>
      </c>
      <c r="EE804" s="2" t="n">
        <v>100</v>
      </c>
      <c r="EF804" s="2" t="n">
        <v>100</v>
      </c>
      <c r="EG804" s="2" t="n">
        <v>0</v>
      </c>
      <c r="EH804" s="2" t="n">
        <v>100</v>
      </c>
      <c r="EI804" s="2" t="n">
        <v>100</v>
      </c>
      <c r="EJ804" s="2" t="n">
        <v>0</v>
      </c>
      <c r="EK804" s="2" t="n">
        <v>100</v>
      </c>
      <c r="EL804" s="2" t="n">
        <v>100</v>
      </c>
      <c r="EM804" s="2" t="n">
        <v>0</v>
      </c>
      <c r="EN804" s="2" t="n">
        <v>100</v>
      </c>
      <c r="EO804" s="2" t="n">
        <v>100</v>
      </c>
      <c r="EP804" s="2" t="n">
        <v>0</v>
      </c>
      <c r="EQ804" s="2" t="n">
        <v>100</v>
      </c>
      <c r="ER804" s="2" t="n">
        <v>100</v>
      </c>
      <c r="ES804" s="2" t="n">
        <v>0</v>
      </c>
    </row>
    <row r="805">
      <c r="A805" s="2" t="n">
        <v>3</v>
      </c>
      <c r="B805" s="2" t="inlineStr">
        <is>
          <t>32.06.01</t>
        </is>
      </c>
      <c r="C805" s="2" t="inlineStr">
        <is>
          <t>Pilaretes e cintas de concreto seção de 15x15cm</t>
        </is>
      </c>
      <c r="D805" s="2" t="inlineStr">
        <is>
          <t>30/11/2027</t>
        </is>
      </c>
      <c r="E805" s="2" t="inlineStr">
        <is>
          <t>09/03/2028</t>
        </is>
      </c>
      <c r="F805" s="2" t="n">
        <v>67765.57690952934</v>
      </c>
      <c r="G805" s="2" t="n">
        <v>0</v>
      </c>
      <c r="H805" s="2" t="n">
        <v>67765.57690952934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0</v>
      </c>
      <c r="AM805" s="2" t="n">
        <v>0</v>
      </c>
      <c r="AN805" s="2" t="n">
        <v>0</v>
      </c>
      <c r="AO805" s="2" t="n">
        <v>0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n">
        <v>0</v>
      </c>
      <c r="AZ805" s="2" t="n">
        <v>0</v>
      </c>
      <c r="BA805" s="2" t="n">
        <v>0</v>
      </c>
      <c r="BB805" s="2" t="n">
        <v>0</v>
      </c>
      <c r="BC805" s="2" t="n">
        <v>0</v>
      </c>
      <c r="BD805" s="2" t="n">
        <v>0</v>
      </c>
      <c r="BE805" s="2" t="n">
        <v>0</v>
      </c>
      <c r="BF805" s="2" t="n">
        <v>0</v>
      </c>
      <c r="BG805" s="2" t="n">
        <v>0</v>
      </c>
      <c r="BH805" s="2" t="n">
        <v>0</v>
      </c>
      <c r="BI805" s="2" t="n">
        <v>0</v>
      </c>
      <c r="BJ805" s="2" t="n">
        <v>0</v>
      </c>
      <c r="BK805" s="2" t="n">
        <v>0</v>
      </c>
      <c r="BL805" s="2" t="n">
        <v>0</v>
      </c>
      <c r="BM805" s="2" t="n">
        <v>0</v>
      </c>
      <c r="BN805" s="2" t="n">
        <v>0</v>
      </c>
      <c r="BO805" s="2" t="n">
        <v>0</v>
      </c>
      <c r="BP805" s="2" t="n">
        <v>0</v>
      </c>
      <c r="BQ805" s="2" t="n">
        <v>0</v>
      </c>
      <c r="BR805" s="2" t="n">
        <v>0</v>
      </c>
      <c r="BS805" s="2" t="n">
        <v>0</v>
      </c>
      <c r="BT805" s="2" t="n">
        <v>0</v>
      </c>
      <c r="BU805" s="2" t="n">
        <v>0</v>
      </c>
      <c r="BV805" s="2" t="n">
        <v>0</v>
      </c>
      <c r="BW805" s="2" t="n">
        <v>0</v>
      </c>
      <c r="BX805" s="2" t="n">
        <v>0</v>
      </c>
      <c r="BY805" s="2" t="n">
        <v>0</v>
      </c>
      <c r="BZ805" s="2" t="n">
        <v>0</v>
      </c>
      <c r="CA805" s="2" t="n">
        <v>0</v>
      </c>
      <c r="CB805" s="2" t="n">
        <v>0</v>
      </c>
      <c r="CC805" s="2" t="n">
        <v>0</v>
      </c>
      <c r="CD805" s="2" t="n">
        <v>0</v>
      </c>
      <c r="CE805" s="2" t="n">
        <v>0</v>
      </c>
      <c r="CF805" s="2" t="n">
        <v>0</v>
      </c>
      <c r="CG805" s="2" t="n">
        <v>0</v>
      </c>
      <c r="CH805" s="2" t="n">
        <v>0</v>
      </c>
      <c r="CI805" s="2" t="n">
        <v>0</v>
      </c>
      <c r="CJ805" s="2" t="n">
        <v>0</v>
      </c>
      <c r="CK805" s="2" t="n">
        <v>0</v>
      </c>
      <c r="CL805" s="2" t="n">
        <v>0</v>
      </c>
      <c r="CM805" s="2" t="n">
        <v>0</v>
      </c>
      <c r="CN805" s="2" t="n">
        <v>0</v>
      </c>
      <c r="CO805" s="2" t="n">
        <v>0</v>
      </c>
      <c r="CP805" s="2" t="n">
        <v>0</v>
      </c>
      <c r="CQ805" s="2" t="n">
        <v>0</v>
      </c>
      <c r="CR805" s="2" t="n">
        <v>0</v>
      </c>
      <c r="CS805" s="2" t="n">
        <v>1.52</v>
      </c>
      <c r="CT805" s="2" t="n">
        <v>0</v>
      </c>
      <c r="CU805" s="2" t="n">
        <v>24.24</v>
      </c>
      <c r="CV805" s="2" t="n">
        <v>25.76</v>
      </c>
      <c r="CW805" s="2" t="n">
        <v>0</v>
      </c>
      <c r="CX805" s="2" t="n">
        <v>56.06</v>
      </c>
      <c r="CY805" s="2" t="n">
        <v>57.58</v>
      </c>
      <c r="CZ805" s="2" t="n">
        <v>0</v>
      </c>
      <c r="DA805" s="2" t="n">
        <v>87.88</v>
      </c>
      <c r="DB805" s="2" t="n">
        <v>89.39</v>
      </c>
      <c r="DC805" s="2" t="n">
        <v>0</v>
      </c>
      <c r="DD805" s="2" t="n">
        <v>100</v>
      </c>
      <c r="DE805" s="2" t="n">
        <v>100</v>
      </c>
      <c r="DF805" s="2" t="n">
        <v>0</v>
      </c>
      <c r="DG805" s="2" t="n">
        <v>100</v>
      </c>
      <c r="DH805" s="2" t="n">
        <v>100</v>
      </c>
      <c r="DI805" s="2" t="n">
        <v>0</v>
      </c>
      <c r="DJ805" s="2" t="n">
        <v>100</v>
      </c>
      <c r="DK805" s="2" t="n">
        <v>100</v>
      </c>
      <c r="DL805" s="2" t="n">
        <v>0</v>
      </c>
      <c r="DM805" s="2" t="n">
        <v>100</v>
      </c>
      <c r="DN805" s="2" t="n">
        <v>100</v>
      </c>
      <c r="DO805" s="2" t="n">
        <v>0</v>
      </c>
      <c r="DP805" s="2" t="n">
        <v>100</v>
      </c>
      <c r="DQ805" s="2" t="n">
        <v>100</v>
      </c>
      <c r="DR805" s="2" t="n">
        <v>0</v>
      </c>
      <c r="DS805" s="2" t="n">
        <v>100</v>
      </c>
      <c r="DT805" s="2" t="n">
        <v>100</v>
      </c>
      <c r="DU805" s="2" t="n">
        <v>0</v>
      </c>
      <c r="DV805" s="2" t="n">
        <v>100</v>
      </c>
      <c r="DW805" s="2" t="n">
        <v>100</v>
      </c>
      <c r="DX805" s="2" t="n">
        <v>0</v>
      </c>
      <c r="DY805" s="2" t="n">
        <v>100</v>
      </c>
      <c r="DZ805" s="2" t="n">
        <v>100</v>
      </c>
      <c r="EA805" s="2" t="n">
        <v>0</v>
      </c>
      <c r="EB805" s="2" t="n">
        <v>100</v>
      </c>
      <c r="EC805" s="2" t="n">
        <v>100</v>
      </c>
      <c r="ED805" s="2" t="n">
        <v>0</v>
      </c>
      <c r="EE805" s="2" t="n">
        <v>100</v>
      </c>
      <c r="EF805" s="2" t="n">
        <v>100</v>
      </c>
      <c r="EG805" s="2" t="n">
        <v>0</v>
      </c>
      <c r="EH805" s="2" t="n">
        <v>100</v>
      </c>
      <c r="EI805" s="2" t="n">
        <v>100</v>
      </c>
      <c r="EJ805" s="2" t="n">
        <v>0</v>
      </c>
      <c r="EK805" s="2" t="n">
        <v>100</v>
      </c>
      <c r="EL805" s="2" t="n">
        <v>100</v>
      </c>
      <c r="EM805" s="2" t="n">
        <v>0</v>
      </c>
      <c r="EN805" s="2" t="n">
        <v>100</v>
      </c>
      <c r="EO805" s="2" t="n">
        <v>100</v>
      </c>
      <c r="EP805" s="2" t="n">
        <v>0</v>
      </c>
      <c r="EQ805" s="2" t="n">
        <v>100</v>
      </c>
      <c r="ER805" s="2" t="n">
        <v>100</v>
      </c>
      <c r="ES805" s="2" t="n">
        <v>0</v>
      </c>
    </row>
    <row r="806">
      <c r="A806" s="2" t="n">
        <v>4</v>
      </c>
      <c r="B806" s="2" t="inlineStr">
        <is>
          <t>32.06.01.01</t>
        </is>
      </c>
      <c r="C806" s="2" t="inlineStr">
        <is>
          <t>Armadura Ca-50</t>
        </is>
      </c>
      <c r="D806" s="2" t="inlineStr">
        <is>
          <t>30/11/2027</t>
        </is>
      </c>
      <c r="E806" s="2" t="inlineStr">
        <is>
          <t>09/03/2028</t>
        </is>
      </c>
      <c r="F806" s="2" t="n">
        <v>33358.22481591628</v>
      </c>
      <c r="G806" s="2" t="n">
        <v>0</v>
      </c>
      <c r="H806" s="2" t="n">
        <v>33358.22481591628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0</v>
      </c>
      <c r="AL806" s="2" t="n">
        <v>0</v>
      </c>
      <c r="AM806" s="2" t="n">
        <v>0</v>
      </c>
      <c r="AN806" s="2" t="n">
        <v>0</v>
      </c>
      <c r="AO806" s="2" t="n">
        <v>0</v>
      </c>
      <c r="AP806" s="2" t="n">
        <v>0</v>
      </c>
      <c r="AQ806" s="2" t="n">
        <v>0</v>
      </c>
      <c r="AR806" s="2" t="n">
        <v>0</v>
      </c>
      <c r="AS806" s="2" t="n">
        <v>0</v>
      </c>
      <c r="AT806" s="2" t="n">
        <v>0</v>
      </c>
      <c r="AU806" s="2" t="n">
        <v>0</v>
      </c>
      <c r="AV806" s="2" t="n">
        <v>0</v>
      </c>
      <c r="AW806" s="2" t="n">
        <v>0</v>
      </c>
      <c r="AX806" s="2" t="n">
        <v>0</v>
      </c>
      <c r="AY806" s="2" t="n">
        <v>0</v>
      </c>
      <c r="AZ806" s="2" t="n">
        <v>0</v>
      </c>
      <c r="BA806" s="2" t="n">
        <v>0</v>
      </c>
      <c r="BB806" s="2" t="n">
        <v>0</v>
      </c>
      <c r="BC806" s="2" t="n">
        <v>0</v>
      </c>
      <c r="BD806" s="2" t="n">
        <v>0</v>
      </c>
      <c r="BE806" s="2" t="n">
        <v>0</v>
      </c>
      <c r="BF806" s="2" t="n">
        <v>0</v>
      </c>
      <c r="BG806" s="2" t="n">
        <v>0</v>
      </c>
      <c r="BH806" s="2" t="n">
        <v>0</v>
      </c>
      <c r="BI806" s="2" t="n">
        <v>0</v>
      </c>
      <c r="BJ806" s="2" t="n">
        <v>0</v>
      </c>
      <c r="BK806" s="2" t="n">
        <v>0</v>
      </c>
      <c r="BL806" s="2" t="n">
        <v>0</v>
      </c>
      <c r="BM806" s="2" t="n">
        <v>0</v>
      </c>
      <c r="BN806" s="2" t="n">
        <v>0</v>
      </c>
      <c r="BO806" s="2" t="n">
        <v>0</v>
      </c>
      <c r="BP806" s="2" t="n">
        <v>0</v>
      </c>
      <c r="BQ806" s="2" t="n">
        <v>0</v>
      </c>
      <c r="BR806" s="2" t="n">
        <v>0</v>
      </c>
      <c r="BS806" s="2" t="n">
        <v>0</v>
      </c>
      <c r="BT806" s="2" t="n">
        <v>0</v>
      </c>
      <c r="BU806" s="2" t="n">
        <v>0</v>
      </c>
      <c r="BV806" s="2" t="n">
        <v>0</v>
      </c>
      <c r="BW806" s="2" t="n">
        <v>0</v>
      </c>
      <c r="BX806" s="2" t="n">
        <v>0</v>
      </c>
      <c r="BY806" s="2" t="n">
        <v>0</v>
      </c>
      <c r="BZ806" s="2" t="n">
        <v>0</v>
      </c>
      <c r="CA806" s="2" t="n">
        <v>0</v>
      </c>
      <c r="CB806" s="2" t="n">
        <v>0</v>
      </c>
      <c r="CC806" s="2" t="n">
        <v>0</v>
      </c>
      <c r="CD806" s="2" t="n">
        <v>0</v>
      </c>
      <c r="CE806" s="2" t="n">
        <v>0</v>
      </c>
      <c r="CF806" s="2" t="n">
        <v>0</v>
      </c>
      <c r="CG806" s="2" t="n">
        <v>0</v>
      </c>
      <c r="CH806" s="2" t="n">
        <v>0</v>
      </c>
      <c r="CI806" s="2" t="n">
        <v>0</v>
      </c>
      <c r="CJ806" s="2" t="n">
        <v>0</v>
      </c>
      <c r="CK806" s="2" t="n">
        <v>0</v>
      </c>
      <c r="CL806" s="2" t="n">
        <v>0</v>
      </c>
      <c r="CM806" s="2" t="n">
        <v>0</v>
      </c>
      <c r="CN806" s="2" t="n">
        <v>0</v>
      </c>
      <c r="CO806" s="2" t="n">
        <v>0</v>
      </c>
      <c r="CP806" s="2" t="n">
        <v>0</v>
      </c>
      <c r="CQ806" s="2" t="n">
        <v>0</v>
      </c>
      <c r="CR806" s="2" t="n">
        <v>0</v>
      </c>
      <c r="CS806" s="2" t="n">
        <v>1.52</v>
      </c>
      <c r="CT806" s="2" t="n">
        <v>0</v>
      </c>
      <c r="CU806" s="2" t="n">
        <v>24.24</v>
      </c>
      <c r="CV806" s="2" t="n">
        <v>25.76</v>
      </c>
      <c r="CW806" s="2" t="n">
        <v>0</v>
      </c>
      <c r="CX806" s="2" t="n">
        <v>56.06</v>
      </c>
      <c r="CY806" s="2" t="n">
        <v>57.58</v>
      </c>
      <c r="CZ806" s="2" t="n">
        <v>0</v>
      </c>
      <c r="DA806" s="2" t="n">
        <v>87.88</v>
      </c>
      <c r="DB806" s="2" t="n">
        <v>89.39</v>
      </c>
      <c r="DC806" s="2" t="n">
        <v>0</v>
      </c>
      <c r="DD806" s="2" t="n">
        <v>100</v>
      </c>
      <c r="DE806" s="2" t="n">
        <v>100</v>
      </c>
      <c r="DF806" s="2" t="n">
        <v>0</v>
      </c>
      <c r="DG806" s="2" t="n">
        <v>100</v>
      </c>
      <c r="DH806" s="2" t="n">
        <v>100</v>
      </c>
      <c r="DI806" s="2" t="n">
        <v>0</v>
      </c>
      <c r="DJ806" s="2" t="n">
        <v>100</v>
      </c>
      <c r="DK806" s="2" t="n">
        <v>100</v>
      </c>
      <c r="DL806" s="2" t="n">
        <v>0</v>
      </c>
      <c r="DM806" s="2" t="n">
        <v>100</v>
      </c>
      <c r="DN806" s="2" t="n">
        <v>100</v>
      </c>
      <c r="DO806" s="2" t="n">
        <v>0</v>
      </c>
      <c r="DP806" s="2" t="n">
        <v>100</v>
      </c>
      <c r="DQ806" s="2" t="n">
        <v>100</v>
      </c>
      <c r="DR806" s="2" t="n">
        <v>0</v>
      </c>
      <c r="DS806" s="2" t="n">
        <v>100</v>
      </c>
      <c r="DT806" s="2" t="n">
        <v>100</v>
      </c>
      <c r="DU806" s="2" t="n">
        <v>0</v>
      </c>
      <c r="DV806" s="2" t="n">
        <v>100</v>
      </c>
      <c r="DW806" s="2" t="n">
        <v>100</v>
      </c>
      <c r="DX806" s="2" t="n">
        <v>0</v>
      </c>
      <c r="DY806" s="2" t="n">
        <v>100</v>
      </c>
      <c r="DZ806" s="2" t="n">
        <v>100</v>
      </c>
      <c r="EA806" s="2" t="n">
        <v>0</v>
      </c>
      <c r="EB806" s="2" t="n">
        <v>100</v>
      </c>
      <c r="EC806" s="2" t="n">
        <v>100</v>
      </c>
      <c r="ED806" s="2" t="n">
        <v>0</v>
      </c>
      <c r="EE806" s="2" t="n">
        <v>100</v>
      </c>
      <c r="EF806" s="2" t="n">
        <v>100</v>
      </c>
      <c r="EG806" s="2" t="n">
        <v>0</v>
      </c>
      <c r="EH806" s="2" t="n">
        <v>100</v>
      </c>
      <c r="EI806" s="2" t="n">
        <v>100</v>
      </c>
      <c r="EJ806" s="2" t="n">
        <v>0</v>
      </c>
      <c r="EK806" s="2" t="n">
        <v>100</v>
      </c>
      <c r="EL806" s="2" t="n">
        <v>100</v>
      </c>
      <c r="EM806" s="2" t="n">
        <v>0</v>
      </c>
      <c r="EN806" s="2" t="n">
        <v>100</v>
      </c>
      <c r="EO806" s="2" t="n">
        <v>100</v>
      </c>
      <c r="EP806" s="2" t="n">
        <v>0</v>
      </c>
      <c r="EQ806" s="2" t="n">
        <v>100</v>
      </c>
      <c r="ER806" s="2" t="n">
        <v>100</v>
      </c>
      <c r="ES806" s="2" t="n">
        <v>0</v>
      </c>
    </row>
    <row r="807">
      <c r="A807" s="2" t="n">
        <v>4</v>
      </c>
      <c r="B807" s="2" t="inlineStr">
        <is>
          <t>32.06.01.02</t>
        </is>
      </c>
      <c r="C807" s="2" t="inlineStr">
        <is>
          <t>Armadura Ca-60</t>
        </is>
      </c>
      <c r="D807" s="2" t="inlineStr">
        <is>
          <t>30/11/2027</t>
        </is>
      </c>
      <c r="E807" s="2" t="inlineStr">
        <is>
          <t>09/03/2028</t>
        </is>
      </c>
      <c r="F807" s="2" t="n">
        <v>3819.808378696357</v>
      </c>
      <c r="G807" s="2" t="n">
        <v>0</v>
      </c>
      <c r="H807" s="2" t="n">
        <v>3819.808378696357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0</v>
      </c>
      <c r="AL807" s="2" t="n">
        <v>0</v>
      </c>
      <c r="AM807" s="2" t="n">
        <v>0</v>
      </c>
      <c r="AN807" s="2" t="n">
        <v>0</v>
      </c>
      <c r="AO807" s="2" t="n">
        <v>0</v>
      </c>
      <c r="AP807" s="2" t="n">
        <v>0</v>
      </c>
      <c r="AQ807" s="2" t="n">
        <v>0</v>
      </c>
      <c r="AR807" s="2" t="n">
        <v>0</v>
      </c>
      <c r="AS807" s="2" t="n">
        <v>0</v>
      </c>
      <c r="AT807" s="2" t="n">
        <v>0</v>
      </c>
      <c r="AU807" s="2" t="n">
        <v>0</v>
      </c>
      <c r="AV807" s="2" t="n">
        <v>0</v>
      </c>
      <c r="AW807" s="2" t="n">
        <v>0</v>
      </c>
      <c r="AX807" s="2" t="n">
        <v>0</v>
      </c>
      <c r="AY807" s="2" t="n">
        <v>0</v>
      </c>
      <c r="AZ807" s="2" t="n">
        <v>0</v>
      </c>
      <c r="BA807" s="2" t="n">
        <v>0</v>
      </c>
      <c r="BB807" s="2" t="n">
        <v>0</v>
      </c>
      <c r="BC807" s="2" t="n">
        <v>0</v>
      </c>
      <c r="BD807" s="2" t="n">
        <v>0</v>
      </c>
      <c r="BE807" s="2" t="n">
        <v>0</v>
      </c>
      <c r="BF807" s="2" t="n">
        <v>0</v>
      </c>
      <c r="BG807" s="2" t="n">
        <v>0</v>
      </c>
      <c r="BH807" s="2" t="n">
        <v>0</v>
      </c>
      <c r="BI807" s="2" t="n">
        <v>0</v>
      </c>
      <c r="BJ807" s="2" t="n">
        <v>0</v>
      </c>
      <c r="BK807" s="2" t="n">
        <v>0</v>
      </c>
      <c r="BL807" s="2" t="n">
        <v>0</v>
      </c>
      <c r="BM807" s="2" t="n">
        <v>0</v>
      </c>
      <c r="BN807" s="2" t="n">
        <v>0</v>
      </c>
      <c r="BO807" s="2" t="n">
        <v>0</v>
      </c>
      <c r="BP807" s="2" t="n">
        <v>0</v>
      </c>
      <c r="BQ807" s="2" t="n">
        <v>0</v>
      </c>
      <c r="BR807" s="2" t="n">
        <v>0</v>
      </c>
      <c r="BS807" s="2" t="n">
        <v>0</v>
      </c>
      <c r="BT807" s="2" t="n">
        <v>0</v>
      </c>
      <c r="BU807" s="2" t="n">
        <v>0</v>
      </c>
      <c r="BV807" s="2" t="n">
        <v>0</v>
      </c>
      <c r="BW807" s="2" t="n">
        <v>0</v>
      </c>
      <c r="BX807" s="2" t="n">
        <v>0</v>
      </c>
      <c r="BY807" s="2" t="n">
        <v>0</v>
      </c>
      <c r="BZ807" s="2" t="n">
        <v>0</v>
      </c>
      <c r="CA807" s="2" t="n">
        <v>0</v>
      </c>
      <c r="CB807" s="2" t="n">
        <v>0</v>
      </c>
      <c r="CC807" s="2" t="n">
        <v>0</v>
      </c>
      <c r="CD807" s="2" t="n">
        <v>0</v>
      </c>
      <c r="CE807" s="2" t="n">
        <v>0</v>
      </c>
      <c r="CF807" s="2" t="n">
        <v>0</v>
      </c>
      <c r="CG807" s="2" t="n">
        <v>0</v>
      </c>
      <c r="CH807" s="2" t="n">
        <v>0</v>
      </c>
      <c r="CI807" s="2" t="n">
        <v>0</v>
      </c>
      <c r="CJ807" s="2" t="n">
        <v>0</v>
      </c>
      <c r="CK807" s="2" t="n">
        <v>0</v>
      </c>
      <c r="CL807" s="2" t="n">
        <v>0</v>
      </c>
      <c r="CM807" s="2" t="n">
        <v>0</v>
      </c>
      <c r="CN807" s="2" t="n">
        <v>0</v>
      </c>
      <c r="CO807" s="2" t="n">
        <v>0</v>
      </c>
      <c r="CP807" s="2" t="n">
        <v>0</v>
      </c>
      <c r="CQ807" s="2" t="n">
        <v>0</v>
      </c>
      <c r="CR807" s="2" t="n">
        <v>0</v>
      </c>
      <c r="CS807" s="2" t="n">
        <v>1.52</v>
      </c>
      <c r="CT807" s="2" t="n">
        <v>0</v>
      </c>
      <c r="CU807" s="2" t="n">
        <v>24.24</v>
      </c>
      <c r="CV807" s="2" t="n">
        <v>25.76</v>
      </c>
      <c r="CW807" s="2" t="n">
        <v>0</v>
      </c>
      <c r="CX807" s="2" t="n">
        <v>56.06</v>
      </c>
      <c r="CY807" s="2" t="n">
        <v>57.58</v>
      </c>
      <c r="CZ807" s="2" t="n">
        <v>0</v>
      </c>
      <c r="DA807" s="2" t="n">
        <v>87.88</v>
      </c>
      <c r="DB807" s="2" t="n">
        <v>89.39</v>
      </c>
      <c r="DC807" s="2" t="n">
        <v>0</v>
      </c>
      <c r="DD807" s="2" t="n">
        <v>100</v>
      </c>
      <c r="DE807" s="2" t="n">
        <v>100</v>
      </c>
      <c r="DF807" s="2" t="n">
        <v>0</v>
      </c>
      <c r="DG807" s="2" t="n">
        <v>100</v>
      </c>
      <c r="DH807" s="2" t="n">
        <v>100</v>
      </c>
      <c r="DI807" s="2" t="n">
        <v>0</v>
      </c>
      <c r="DJ807" s="2" t="n">
        <v>100</v>
      </c>
      <c r="DK807" s="2" t="n">
        <v>100</v>
      </c>
      <c r="DL807" s="2" t="n">
        <v>0</v>
      </c>
      <c r="DM807" s="2" t="n">
        <v>100</v>
      </c>
      <c r="DN807" s="2" t="n">
        <v>100</v>
      </c>
      <c r="DO807" s="2" t="n">
        <v>0</v>
      </c>
      <c r="DP807" s="2" t="n">
        <v>100</v>
      </c>
      <c r="DQ807" s="2" t="n">
        <v>100</v>
      </c>
      <c r="DR807" s="2" t="n">
        <v>0</v>
      </c>
      <c r="DS807" s="2" t="n">
        <v>100</v>
      </c>
      <c r="DT807" s="2" t="n">
        <v>100</v>
      </c>
      <c r="DU807" s="2" t="n">
        <v>0</v>
      </c>
      <c r="DV807" s="2" t="n">
        <v>100</v>
      </c>
      <c r="DW807" s="2" t="n">
        <v>100</v>
      </c>
      <c r="DX807" s="2" t="n">
        <v>0</v>
      </c>
      <c r="DY807" s="2" t="n">
        <v>100</v>
      </c>
      <c r="DZ807" s="2" t="n">
        <v>100</v>
      </c>
      <c r="EA807" s="2" t="n">
        <v>0</v>
      </c>
      <c r="EB807" s="2" t="n">
        <v>100</v>
      </c>
      <c r="EC807" s="2" t="n">
        <v>100</v>
      </c>
      <c r="ED807" s="2" t="n">
        <v>0</v>
      </c>
      <c r="EE807" s="2" t="n">
        <v>100</v>
      </c>
      <c r="EF807" s="2" t="n">
        <v>100</v>
      </c>
      <c r="EG807" s="2" t="n">
        <v>0</v>
      </c>
      <c r="EH807" s="2" t="n">
        <v>100</v>
      </c>
      <c r="EI807" s="2" t="n">
        <v>100</v>
      </c>
      <c r="EJ807" s="2" t="n">
        <v>0</v>
      </c>
      <c r="EK807" s="2" t="n">
        <v>100</v>
      </c>
      <c r="EL807" s="2" t="n">
        <v>100</v>
      </c>
      <c r="EM807" s="2" t="n">
        <v>0</v>
      </c>
      <c r="EN807" s="2" t="n">
        <v>100</v>
      </c>
      <c r="EO807" s="2" t="n">
        <v>100</v>
      </c>
      <c r="EP807" s="2" t="n">
        <v>0</v>
      </c>
      <c r="EQ807" s="2" t="n">
        <v>100</v>
      </c>
      <c r="ER807" s="2" t="n">
        <v>100</v>
      </c>
      <c r="ES807" s="2" t="n">
        <v>0</v>
      </c>
    </row>
    <row r="808">
      <c r="A808" s="2" t="n">
        <v>4</v>
      </c>
      <c r="B808" s="2" t="inlineStr">
        <is>
          <t>32.06.01.03</t>
        </is>
      </c>
      <c r="C808" s="2" t="inlineStr">
        <is>
          <t>Concreto preparado na obra, controle "A", brita 1 e 2, fck 20 Mpa</t>
        </is>
      </c>
      <c r="D808" s="2" t="inlineStr">
        <is>
          <t>30/11/2027</t>
        </is>
      </c>
      <c r="E808" s="2" t="inlineStr">
        <is>
          <t>09/03/2028</t>
        </is>
      </c>
      <c r="F808" s="2" t="n">
        <v>30587.54371491671</v>
      </c>
      <c r="G808" s="2" t="n">
        <v>0</v>
      </c>
      <c r="H808" s="2" t="n">
        <v>30587.54371491671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0</v>
      </c>
      <c r="AM808" s="2" t="n">
        <v>0</v>
      </c>
      <c r="AN808" s="2" t="n">
        <v>0</v>
      </c>
      <c r="AO808" s="2" t="n">
        <v>0</v>
      </c>
      <c r="AP808" s="2" t="n">
        <v>0</v>
      </c>
      <c r="AQ808" s="2" t="n">
        <v>0</v>
      </c>
      <c r="AR808" s="2" t="n">
        <v>0</v>
      </c>
      <c r="AS808" s="2" t="n">
        <v>0</v>
      </c>
      <c r="AT808" s="2" t="n">
        <v>0</v>
      </c>
      <c r="AU808" s="2" t="n">
        <v>0</v>
      </c>
      <c r="AV808" s="2" t="n">
        <v>0</v>
      </c>
      <c r="AW808" s="2" t="n">
        <v>0</v>
      </c>
      <c r="AX808" s="2" t="n">
        <v>0</v>
      </c>
      <c r="AY808" s="2" t="n">
        <v>0</v>
      </c>
      <c r="AZ808" s="2" t="n">
        <v>0</v>
      </c>
      <c r="BA808" s="2" t="n">
        <v>0</v>
      </c>
      <c r="BB808" s="2" t="n">
        <v>0</v>
      </c>
      <c r="BC808" s="2" t="n">
        <v>0</v>
      </c>
      <c r="BD808" s="2" t="n">
        <v>0</v>
      </c>
      <c r="BE808" s="2" t="n">
        <v>0</v>
      </c>
      <c r="BF808" s="2" t="n">
        <v>0</v>
      </c>
      <c r="BG808" s="2" t="n">
        <v>0</v>
      </c>
      <c r="BH808" s="2" t="n">
        <v>0</v>
      </c>
      <c r="BI808" s="2" t="n">
        <v>0</v>
      </c>
      <c r="BJ808" s="2" t="n">
        <v>0</v>
      </c>
      <c r="BK808" s="2" t="n">
        <v>0</v>
      </c>
      <c r="BL808" s="2" t="n">
        <v>0</v>
      </c>
      <c r="BM808" s="2" t="n">
        <v>0</v>
      </c>
      <c r="BN808" s="2" t="n">
        <v>0</v>
      </c>
      <c r="BO808" s="2" t="n">
        <v>0</v>
      </c>
      <c r="BP808" s="2" t="n">
        <v>0</v>
      </c>
      <c r="BQ808" s="2" t="n">
        <v>0</v>
      </c>
      <c r="BR808" s="2" t="n">
        <v>0</v>
      </c>
      <c r="BS808" s="2" t="n">
        <v>0</v>
      </c>
      <c r="BT808" s="2" t="n">
        <v>0</v>
      </c>
      <c r="BU808" s="2" t="n">
        <v>0</v>
      </c>
      <c r="BV808" s="2" t="n">
        <v>0</v>
      </c>
      <c r="BW808" s="2" t="n">
        <v>0</v>
      </c>
      <c r="BX808" s="2" t="n">
        <v>0</v>
      </c>
      <c r="BY808" s="2" t="n">
        <v>0</v>
      </c>
      <c r="BZ808" s="2" t="n">
        <v>0</v>
      </c>
      <c r="CA808" s="2" t="n">
        <v>0</v>
      </c>
      <c r="CB808" s="2" t="n">
        <v>0</v>
      </c>
      <c r="CC808" s="2" t="n">
        <v>0</v>
      </c>
      <c r="CD808" s="2" t="n">
        <v>0</v>
      </c>
      <c r="CE808" s="2" t="n">
        <v>0</v>
      </c>
      <c r="CF808" s="2" t="n">
        <v>0</v>
      </c>
      <c r="CG808" s="2" t="n">
        <v>0</v>
      </c>
      <c r="CH808" s="2" t="n">
        <v>0</v>
      </c>
      <c r="CI808" s="2" t="n">
        <v>0</v>
      </c>
      <c r="CJ808" s="2" t="n">
        <v>0</v>
      </c>
      <c r="CK808" s="2" t="n">
        <v>0</v>
      </c>
      <c r="CL808" s="2" t="n">
        <v>0</v>
      </c>
      <c r="CM808" s="2" t="n">
        <v>0</v>
      </c>
      <c r="CN808" s="2" t="n">
        <v>0</v>
      </c>
      <c r="CO808" s="2" t="n">
        <v>0</v>
      </c>
      <c r="CP808" s="2" t="n">
        <v>0</v>
      </c>
      <c r="CQ808" s="2" t="n">
        <v>0</v>
      </c>
      <c r="CR808" s="2" t="n">
        <v>0</v>
      </c>
      <c r="CS808" s="2" t="n">
        <v>1.52</v>
      </c>
      <c r="CT808" s="2" t="n">
        <v>0</v>
      </c>
      <c r="CU808" s="2" t="n">
        <v>24.24</v>
      </c>
      <c r="CV808" s="2" t="n">
        <v>25.76</v>
      </c>
      <c r="CW808" s="2" t="n">
        <v>0</v>
      </c>
      <c r="CX808" s="2" t="n">
        <v>56.06</v>
      </c>
      <c r="CY808" s="2" t="n">
        <v>57.58</v>
      </c>
      <c r="CZ808" s="2" t="n">
        <v>0</v>
      </c>
      <c r="DA808" s="2" t="n">
        <v>87.88</v>
      </c>
      <c r="DB808" s="2" t="n">
        <v>89.39</v>
      </c>
      <c r="DC808" s="2" t="n">
        <v>0</v>
      </c>
      <c r="DD808" s="2" t="n">
        <v>100</v>
      </c>
      <c r="DE808" s="2" t="n">
        <v>100</v>
      </c>
      <c r="DF808" s="2" t="n">
        <v>0</v>
      </c>
      <c r="DG808" s="2" t="n">
        <v>100</v>
      </c>
      <c r="DH808" s="2" t="n">
        <v>100</v>
      </c>
      <c r="DI808" s="2" t="n">
        <v>0</v>
      </c>
      <c r="DJ808" s="2" t="n">
        <v>100</v>
      </c>
      <c r="DK808" s="2" t="n">
        <v>100</v>
      </c>
      <c r="DL808" s="2" t="n">
        <v>0</v>
      </c>
      <c r="DM808" s="2" t="n">
        <v>100</v>
      </c>
      <c r="DN808" s="2" t="n">
        <v>100</v>
      </c>
      <c r="DO808" s="2" t="n">
        <v>0</v>
      </c>
      <c r="DP808" s="2" t="n">
        <v>100</v>
      </c>
      <c r="DQ808" s="2" t="n">
        <v>100</v>
      </c>
      <c r="DR808" s="2" t="n">
        <v>0</v>
      </c>
      <c r="DS808" s="2" t="n">
        <v>100</v>
      </c>
      <c r="DT808" s="2" t="n">
        <v>100</v>
      </c>
      <c r="DU808" s="2" t="n">
        <v>0</v>
      </c>
      <c r="DV808" s="2" t="n">
        <v>100</v>
      </c>
      <c r="DW808" s="2" t="n">
        <v>100</v>
      </c>
      <c r="DX808" s="2" t="n">
        <v>0</v>
      </c>
      <c r="DY808" s="2" t="n">
        <v>100</v>
      </c>
      <c r="DZ808" s="2" t="n">
        <v>100</v>
      </c>
      <c r="EA808" s="2" t="n">
        <v>0</v>
      </c>
      <c r="EB808" s="2" t="n">
        <v>100</v>
      </c>
      <c r="EC808" s="2" t="n">
        <v>100</v>
      </c>
      <c r="ED808" s="2" t="n">
        <v>0</v>
      </c>
      <c r="EE808" s="2" t="n">
        <v>100</v>
      </c>
      <c r="EF808" s="2" t="n">
        <v>100</v>
      </c>
      <c r="EG808" s="2" t="n">
        <v>0</v>
      </c>
      <c r="EH808" s="2" t="n">
        <v>100</v>
      </c>
      <c r="EI808" s="2" t="n">
        <v>100</v>
      </c>
      <c r="EJ808" s="2" t="n">
        <v>0</v>
      </c>
      <c r="EK808" s="2" t="n">
        <v>100</v>
      </c>
      <c r="EL808" s="2" t="n">
        <v>100</v>
      </c>
      <c r="EM808" s="2" t="n">
        <v>0</v>
      </c>
      <c r="EN808" s="2" t="n">
        <v>100</v>
      </c>
      <c r="EO808" s="2" t="n">
        <v>100</v>
      </c>
      <c r="EP808" s="2" t="n">
        <v>0</v>
      </c>
      <c r="EQ808" s="2" t="n">
        <v>100</v>
      </c>
      <c r="ER808" s="2" t="n">
        <v>100</v>
      </c>
      <c r="ES808" s="2" t="n">
        <v>0</v>
      </c>
    </row>
    <row r="809">
      <c r="A809" s="2" t="n">
        <v>3</v>
      </c>
      <c r="B809" s="2" t="inlineStr">
        <is>
          <t>32.06.02</t>
        </is>
      </c>
      <c r="C809" s="2" t="inlineStr">
        <is>
          <t>Alvenaria de vedação com blocos de concreto esp. 14cm</t>
        </is>
      </c>
      <c r="D809" s="2" t="inlineStr">
        <is>
          <t>30/11/2027</t>
        </is>
      </c>
      <c r="E809" s="2" t="inlineStr">
        <is>
          <t>09/03/2028</t>
        </is>
      </c>
      <c r="F809" s="2" t="n">
        <v>113433.5770520989</v>
      </c>
      <c r="G809" s="2" t="n">
        <v>0</v>
      </c>
      <c r="H809" s="2" t="n">
        <v>113433.5770520989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0</v>
      </c>
      <c r="AM809" s="2" t="n">
        <v>0</v>
      </c>
      <c r="AN809" s="2" t="n">
        <v>0</v>
      </c>
      <c r="AO809" s="2" t="n">
        <v>0</v>
      </c>
      <c r="AP809" s="2" t="n">
        <v>0</v>
      </c>
      <c r="AQ809" s="2" t="n">
        <v>0</v>
      </c>
      <c r="AR809" s="2" t="n">
        <v>0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 t="n">
        <v>0</v>
      </c>
      <c r="AX809" s="2" t="n">
        <v>0</v>
      </c>
      <c r="AY809" s="2" t="n">
        <v>0</v>
      </c>
      <c r="AZ809" s="2" t="n">
        <v>0</v>
      </c>
      <c r="BA809" s="2" t="n">
        <v>0</v>
      </c>
      <c r="BB809" s="2" t="n">
        <v>0</v>
      </c>
      <c r="BC809" s="2" t="n">
        <v>0</v>
      </c>
      <c r="BD809" s="2" t="n">
        <v>0</v>
      </c>
      <c r="BE809" s="2" t="n">
        <v>0</v>
      </c>
      <c r="BF809" s="2" t="n">
        <v>0</v>
      </c>
      <c r="BG809" s="2" t="n">
        <v>0</v>
      </c>
      <c r="BH809" s="2" t="n">
        <v>0</v>
      </c>
      <c r="BI809" s="2" t="n">
        <v>0</v>
      </c>
      <c r="BJ809" s="2" t="n">
        <v>0</v>
      </c>
      <c r="BK809" s="2" t="n">
        <v>0</v>
      </c>
      <c r="BL809" s="2" t="n">
        <v>0</v>
      </c>
      <c r="BM809" s="2" t="n">
        <v>0</v>
      </c>
      <c r="BN809" s="2" t="n">
        <v>0</v>
      </c>
      <c r="BO809" s="2" t="n">
        <v>0</v>
      </c>
      <c r="BP809" s="2" t="n">
        <v>0</v>
      </c>
      <c r="BQ809" s="2" t="n">
        <v>0</v>
      </c>
      <c r="BR809" s="2" t="n">
        <v>0</v>
      </c>
      <c r="BS809" s="2" t="n">
        <v>0</v>
      </c>
      <c r="BT809" s="2" t="n">
        <v>0</v>
      </c>
      <c r="BU809" s="2" t="n">
        <v>0</v>
      </c>
      <c r="BV809" s="2" t="n">
        <v>0</v>
      </c>
      <c r="BW809" s="2" t="n">
        <v>0</v>
      </c>
      <c r="BX809" s="2" t="n">
        <v>0</v>
      </c>
      <c r="BY809" s="2" t="n">
        <v>0</v>
      </c>
      <c r="BZ809" s="2" t="n">
        <v>0</v>
      </c>
      <c r="CA809" s="2" t="n">
        <v>0</v>
      </c>
      <c r="CB809" s="2" t="n">
        <v>0</v>
      </c>
      <c r="CC809" s="2" t="n">
        <v>0</v>
      </c>
      <c r="CD809" s="2" t="n">
        <v>0</v>
      </c>
      <c r="CE809" s="2" t="n">
        <v>0</v>
      </c>
      <c r="CF809" s="2" t="n">
        <v>0</v>
      </c>
      <c r="CG809" s="2" t="n">
        <v>0</v>
      </c>
      <c r="CH809" s="2" t="n">
        <v>0</v>
      </c>
      <c r="CI809" s="2" t="n">
        <v>0</v>
      </c>
      <c r="CJ809" s="2" t="n">
        <v>0</v>
      </c>
      <c r="CK809" s="2" t="n">
        <v>0</v>
      </c>
      <c r="CL809" s="2" t="n">
        <v>0</v>
      </c>
      <c r="CM809" s="2" t="n">
        <v>0</v>
      </c>
      <c r="CN809" s="2" t="n">
        <v>0</v>
      </c>
      <c r="CO809" s="2" t="n">
        <v>0</v>
      </c>
      <c r="CP809" s="2" t="n">
        <v>0</v>
      </c>
      <c r="CQ809" s="2" t="n">
        <v>0</v>
      </c>
      <c r="CR809" s="2" t="n">
        <v>0</v>
      </c>
      <c r="CS809" s="2" t="n">
        <v>1.52</v>
      </c>
      <c r="CT809" s="2" t="n">
        <v>0</v>
      </c>
      <c r="CU809" s="2" t="n">
        <v>24.24</v>
      </c>
      <c r="CV809" s="2" t="n">
        <v>25.76</v>
      </c>
      <c r="CW809" s="2" t="n">
        <v>0</v>
      </c>
      <c r="CX809" s="2" t="n">
        <v>56.06</v>
      </c>
      <c r="CY809" s="2" t="n">
        <v>57.58</v>
      </c>
      <c r="CZ809" s="2" t="n">
        <v>0</v>
      </c>
      <c r="DA809" s="2" t="n">
        <v>87.88</v>
      </c>
      <c r="DB809" s="2" t="n">
        <v>89.39</v>
      </c>
      <c r="DC809" s="2" t="n">
        <v>0</v>
      </c>
      <c r="DD809" s="2" t="n">
        <v>100</v>
      </c>
      <c r="DE809" s="2" t="n">
        <v>100</v>
      </c>
      <c r="DF809" s="2" t="n">
        <v>0</v>
      </c>
      <c r="DG809" s="2" t="n">
        <v>100</v>
      </c>
      <c r="DH809" s="2" t="n">
        <v>100</v>
      </c>
      <c r="DI809" s="2" t="n">
        <v>0</v>
      </c>
      <c r="DJ809" s="2" t="n">
        <v>100</v>
      </c>
      <c r="DK809" s="2" t="n">
        <v>100</v>
      </c>
      <c r="DL809" s="2" t="n">
        <v>0</v>
      </c>
      <c r="DM809" s="2" t="n">
        <v>100</v>
      </c>
      <c r="DN809" s="2" t="n">
        <v>100</v>
      </c>
      <c r="DO809" s="2" t="n">
        <v>0</v>
      </c>
      <c r="DP809" s="2" t="n">
        <v>100</v>
      </c>
      <c r="DQ809" s="2" t="n">
        <v>100</v>
      </c>
      <c r="DR809" s="2" t="n">
        <v>0</v>
      </c>
      <c r="DS809" s="2" t="n">
        <v>100</v>
      </c>
      <c r="DT809" s="2" t="n">
        <v>100</v>
      </c>
      <c r="DU809" s="2" t="n">
        <v>0</v>
      </c>
      <c r="DV809" s="2" t="n">
        <v>100</v>
      </c>
      <c r="DW809" s="2" t="n">
        <v>100</v>
      </c>
      <c r="DX809" s="2" t="n">
        <v>0</v>
      </c>
      <c r="DY809" s="2" t="n">
        <v>100</v>
      </c>
      <c r="DZ809" s="2" t="n">
        <v>100</v>
      </c>
      <c r="EA809" s="2" t="n">
        <v>0</v>
      </c>
      <c r="EB809" s="2" t="n">
        <v>100</v>
      </c>
      <c r="EC809" s="2" t="n">
        <v>100</v>
      </c>
      <c r="ED809" s="2" t="n">
        <v>0</v>
      </c>
      <c r="EE809" s="2" t="n">
        <v>100</v>
      </c>
      <c r="EF809" s="2" t="n">
        <v>100</v>
      </c>
      <c r="EG809" s="2" t="n">
        <v>0</v>
      </c>
      <c r="EH809" s="2" t="n">
        <v>100</v>
      </c>
      <c r="EI809" s="2" t="n">
        <v>100</v>
      </c>
      <c r="EJ809" s="2" t="n">
        <v>0</v>
      </c>
      <c r="EK809" s="2" t="n">
        <v>100</v>
      </c>
      <c r="EL809" s="2" t="n">
        <v>100</v>
      </c>
      <c r="EM809" s="2" t="n">
        <v>0</v>
      </c>
      <c r="EN809" s="2" t="n">
        <v>100</v>
      </c>
      <c r="EO809" s="2" t="n">
        <v>100</v>
      </c>
      <c r="EP809" s="2" t="n">
        <v>0</v>
      </c>
      <c r="EQ809" s="2" t="n">
        <v>100</v>
      </c>
      <c r="ER809" s="2" t="n">
        <v>100</v>
      </c>
      <c r="ES809" s="2" t="n">
        <v>0</v>
      </c>
    </row>
    <row r="810">
      <c r="A810" s="2" t="n">
        <v>4</v>
      </c>
      <c r="B810" s="2" t="inlineStr">
        <is>
          <t>32.06.02.01</t>
        </is>
      </c>
      <c r="C810" s="2" t="inlineStr">
        <is>
          <t>Alvenaria de vedação com blocos de concreto esp. 14m</t>
        </is>
      </c>
      <c r="D810" s="2" t="inlineStr">
        <is>
          <t>30/11/2027</t>
        </is>
      </c>
      <c r="E810" s="2" t="inlineStr">
        <is>
          <t>09/03/2028</t>
        </is>
      </c>
      <c r="F810" s="2" t="n">
        <v>113433.5770520989</v>
      </c>
      <c r="G810" s="2" t="n">
        <v>0</v>
      </c>
      <c r="H810" s="2" t="n">
        <v>113433.5770520989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0</v>
      </c>
      <c r="AM810" s="2" t="n">
        <v>0</v>
      </c>
      <c r="AN810" s="2" t="n">
        <v>0</v>
      </c>
      <c r="AO810" s="2" t="n">
        <v>0</v>
      </c>
      <c r="AP810" s="2" t="n">
        <v>0</v>
      </c>
      <c r="AQ810" s="2" t="n">
        <v>0</v>
      </c>
      <c r="AR810" s="2" t="n">
        <v>0</v>
      </c>
      <c r="AS810" s="2" t="n">
        <v>0</v>
      </c>
      <c r="AT810" s="2" t="n">
        <v>0</v>
      </c>
      <c r="AU810" s="2" t="n">
        <v>0</v>
      </c>
      <c r="AV810" s="2" t="n">
        <v>0</v>
      </c>
      <c r="AW810" s="2" t="n">
        <v>0</v>
      </c>
      <c r="AX810" s="2" t="n">
        <v>0</v>
      </c>
      <c r="AY810" s="2" t="n">
        <v>0</v>
      </c>
      <c r="AZ810" s="2" t="n">
        <v>0</v>
      </c>
      <c r="BA810" s="2" t="n">
        <v>0</v>
      </c>
      <c r="BB810" s="2" t="n">
        <v>0</v>
      </c>
      <c r="BC810" s="2" t="n">
        <v>0</v>
      </c>
      <c r="BD810" s="2" t="n">
        <v>0</v>
      </c>
      <c r="BE810" s="2" t="n">
        <v>0</v>
      </c>
      <c r="BF810" s="2" t="n">
        <v>0</v>
      </c>
      <c r="BG810" s="2" t="n">
        <v>0</v>
      </c>
      <c r="BH810" s="2" t="n">
        <v>0</v>
      </c>
      <c r="BI810" s="2" t="n">
        <v>0</v>
      </c>
      <c r="BJ810" s="2" t="n">
        <v>0</v>
      </c>
      <c r="BK810" s="2" t="n">
        <v>0</v>
      </c>
      <c r="BL810" s="2" t="n">
        <v>0</v>
      </c>
      <c r="BM810" s="2" t="n">
        <v>0</v>
      </c>
      <c r="BN810" s="2" t="n">
        <v>0</v>
      </c>
      <c r="BO810" s="2" t="n">
        <v>0</v>
      </c>
      <c r="BP810" s="2" t="n">
        <v>0</v>
      </c>
      <c r="BQ810" s="2" t="n">
        <v>0</v>
      </c>
      <c r="BR810" s="2" t="n">
        <v>0</v>
      </c>
      <c r="BS810" s="2" t="n">
        <v>0</v>
      </c>
      <c r="BT810" s="2" t="n">
        <v>0</v>
      </c>
      <c r="BU810" s="2" t="n">
        <v>0</v>
      </c>
      <c r="BV810" s="2" t="n">
        <v>0</v>
      </c>
      <c r="BW810" s="2" t="n">
        <v>0</v>
      </c>
      <c r="BX810" s="2" t="n">
        <v>0</v>
      </c>
      <c r="BY810" s="2" t="n">
        <v>0</v>
      </c>
      <c r="BZ810" s="2" t="n">
        <v>0</v>
      </c>
      <c r="CA810" s="2" t="n">
        <v>0</v>
      </c>
      <c r="CB810" s="2" t="n">
        <v>0</v>
      </c>
      <c r="CC810" s="2" t="n">
        <v>0</v>
      </c>
      <c r="CD810" s="2" t="n">
        <v>0</v>
      </c>
      <c r="CE810" s="2" t="n">
        <v>0</v>
      </c>
      <c r="CF810" s="2" t="n">
        <v>0</v>
      </c>
      <c r="CG810" s="2" t="n">
        <v>0</v>
      </c>
      <c r="CH810" s="2" t="n">
        <v>0</v>
      </c>
      <c r="CI810" s="2" t="n">
        <v>0</v>
      </c>
      <c r="CJ810" s="2" t="n">
        <v>0</v>
      </c>
      <c r="CK810" s="2" t="n">
        <v>0</v>
      </c>
      <c r="CL810" s="2" t="n">
        <v>0</v>
      </c>
      <c r="CM810" s="2" t="n">
        <v>0</v>
      </c>
      <c r="CN810" s="2" t="n">
        <v>0</v>
      </c>
      <c r="CO810" s="2" t="n">
        <v>0</v>
      </c>
      <c r="CP810" s="2" t="n">
        <v>0</v>
      </c>
      <c r="CQ810" s="2" t="n">
        <v>0</v>
      </c>
      <c r="CR810" s="2" t="n">
        <v>0</v>
      </c>
      <c r="CS810" s="2" t="n">
        <v>1.52</v>
      </c>
      <c r="CT810" s="2" t="n">
        <v>0</v>
      </c>
      <c r="CU810" s="2" t="n">
        <v>24.24</v>
      </c>
      <c r="CV810" s="2" t="n">
        <v>25.76</v>
      </c>
      <c r="CW810" s="2" t="n">
        <v>0</v>
      </c>
      <c r="CX810" s="2" t="n">
        <v>56.06</v>
      </c>
      <c r="CY810" s="2" t="n">
        <v>57.58</v>
      </c>
      <c r="CZ810" s="2" t="n">
        <v>0</v>
      </c>
      <c r="DA810" s="2" t="n">
        <v>87.88</v>
      </c>
      <c r="DB810" s="2" t="n">
        <v>89.39</v>
      </c>
      <c r="DC810" s="2" t="n">
        <v>0</v>
      </c>
      <c r="DD810" s="2" t="n">
        <v>100</v>
      </c>
      <c r="DE810" s="2" t="n">
        <v>100</v>
      </c>
      <c r="DF810" s="2" t="n">
        <v>0</v>
      </c>
      <c r="DG810" s="2" t="n">
        <v>100</v>
      </c>
      <c r="DH810" s="2" t="n">
        <v>100</v>
      </c>
      <c r="DI810" s="2" t="n">
        <v>0</v>
      </c>
      <c r="DJ810" s="2" t="n">
        <v>100</v>
      </c>
      <c r="DK810" s="2" t="n">
        <v>100</v>
      </c>
      <c r="DL810" s="2" t="n">
        <v>0</v>
      </c>
      <c r="DM810" s="2" t="n">
        <v>100</v>
      </c>
      <c r="DN810" s="2" t="n">
        <v>100</v>
      </c>
      <c r="DO810" s="2" t="n">
        <v>0</v>
      </c>
      <c r="DP810" s="2" t="n">
        <v>100</v>
      </c>
      <c r="DQ810" s="2" t="n">
        <v>100</v>
      </c>
      <c r="DR810" s="2" t="n">
        <v>0</v>
      </c>
      <c r="DS810" s="2" t="n">
        <v>100</v>
      </c>
      <c r="DT810" s="2" t="n">
        <v>100</v>
      </c>
      <c r="DU810" s="2" t="n">
        <v>0</v>
      </c>
      <c r="DV810" s="2" t="n">
        <v>100</v>
      </c>
      <c r="DW810" s="2" t="n">
        <v>100</v>
      </c>
      <c r="DX810" s="2" t="n">
        <v>0</v>
      </c>
      <c r="DY810" s="2" t="n">
        <v>100</v>
      </c>
      <c r="DZ810" s="2" t="n">
        <v>100</v>
      </c>
      <c r="EA810" s="2" t="n">
        <v>0</v>
      </c>
      <c r="EB810" s="2" t="n">
        <v>100</v>
      </c>
      <c r="EC810" s="2" t="n">
        <v>100</v>
      </c>
      <c r="ED810" s="2" t="n">
        <v>0</v>
      </c>
      <c r="EE810" s="2" t="n">
        <v>100</v>
      </c>
      <c r="EF810" s="2" t="n">
        <v>100</v>
      </c>
      <c r="EG810" s="2" t="n">
        <v>0</v>
      </c>
      <c r="EH810" s="2" t="n">
        <v>100</v>
      </c>
      <c r="EI810" s="2" t="n">
        <v>100</v>
      </c>
      <c r="EJ810" s="2" t="n">
        <v>0</v>
      </c>
      <c r="EK810" s="2" t="n">
        <v>100</v>
      </c>
      <c r="EL810" s="2" t="n">
        <v>100</v>
      </c>
      <c r="EM810" s="2" t="n">
        <v>0</v>
      </c>
      <c r="EN810" s="2" t="n">
        <v>100</v>
      </c>
      <c r="EO810" s="2" t="n">
        <v>100</v>
      </c>
      <c r="EP810" s="2" t="n">
        <v>0</v>
      </c>
      <c r="EQ810" s="2" t="n">
        <v>100</v>
      </c>
      <c r="ER810" s="2" t="n">
        <v>100</v>
      </c>
      <c r="ES810" s="2" t="n">
        <v>0</v>
      </c>
    </row>
    <row r="811">
      <c r="A811" s="2" t="n">
        <v>3</v>
      </c>
      <c r="B811" s="2" t="inlineStr">
        <is>
          <t>32.06.03</t>
        </is>
      </c>
      <c r="C811" s="2" t="inlineStr">
        <is>
          <t>Revestimento do muro com argamassa de cimento e areia</t>
        </is>
      </c>
      <c r="D811" s="2" t="inlineStr">
        <is>
          <t>30/11/2027</t>
        </is>
      </c>
      <c r="E811" s="2" t="inlineStr">
        <is>
          <t>09/03/2028</t>
        </is>
      </c>
      <c r="F811" s="2" t="n">
        <v>139058.47624242</v>
      </c>
      <c r="G811" s="2" t="n">
        <v>0</v>
      </c>
      <c r="H811" s="2" t="n">
        <v>139058.47624242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  <c r="AM811" s="2" t="n">
        <v>0</v>
      </c>
      <c r="AN811" s="2" t="n">
        <v>0</v>
      </c>
      <c r="AO811" s="2" t="n">
        <v>0</v>
      </c>
      <c r="AP811" s="2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0</v>
      </c>
      <c r="AY811" s="2" t="n">
        <v>0</v>
      </c>
      <c r="AZ811" s="2" t="n">
        <v>0</v>
      </c>
      <c r="BA811" s="2" t="n">
        <v>0</v>
      </c>
      <c r="BB811" s="2" t="n">
        <v>0</v>
      </c>
      <c r="BC811" s="2" t="n">
        <v>0</v>
      </c>
      <c r="BD811" s="2" t="n">
        <v>0</v>
      </c>
      <c r="BE811" s="2" t="n">
        <v>0</v>
      </c>
      <c r="BF811" s="2" t="n">
        <v>0</v>
      </c>
      <c r="BG811" s="2" t="n">
        <v>0</v>
      </c>
      <c r="BH811" s="2" t="n">
        <v>0</v>
      </c>
      <c r="BI811" s="2" t="n">
        <v>0</v>
      </c>
      <c r="BJ811" s="2" t="n">
        <v>0</v>
      </c>
      <c r="BK811" s="2" t="n">
        <v>0</v>
      </c>
      <c r="BL811" s="2" t="n">
        <v>0</v>
      </c>
      <c r="BM811" s="2" t="n">
        <v>0</v>
      </c>
      <c r="BN811" s="2" t="n">
        <v>0</v>
      </c>
      <c r="BO811" s="2" t="n">
        <v>0</v>
      </c>
      <c r="BP811" s="2" t="n">
        <v>0</v>
      </c>
      <c r="BQ811" s="2" t="n">
        <v>0</v>
      </c>
      <c r="BR811" s="2" t="n">
        <v>0</v>
      </c>
      <c r="BS811" s="2" t="n">
        <v>0</v>
      </c>
      <c r="BT811" s="2" t="n">
        <v>0</v>
      </c>
      <c r="BU811" s="2" t="n">
        <v>0</v>
      </c>
      <c r="BV811" s="2" t="n">
        <v>0</v>
      </c>
      <c r="BW811" s="2" t="n">
        <v>0</v>
      </c>
      <c r="BX811" s="2" t="n">
        <v>0</v>
      </c>
      <c r="BY811" s="2" t="n">
        <v>0</v>
      </c>
      <c r="BZ811" s="2" t="n">
        <v>0</v>
      </c>
      <c r="CA811" s="2" t="n">
        <v>0</v>
      </c>
      <c r="CB811" s="2" t="n">
        <v>0</v>
      </c>
      <c r="CC811" s="2" t="n">
        <v>0</v>
      </c>
      <c r="CD811" s="2" t="n">
        <v>0</v>
      </c>
      <c r="CE811" s="2" t="n">
        <v>0</v>
      </c>
      <c r="CF811" s="2" t="n">
        <v>0</v>
      </c>
      <c r="CG811" s="2" t="n">
        <v>0</v>
      </c>
      <c r="CH811" s="2" t="n">
        <v>0</v>
      </c>
      <c r="CI811" s="2" t="n">
        <v>0</v>
      </c>
      <c r="CJ811" s="2" t="n">
        <v>0</v>
      </c>
      <c r="CK811" s="2" t="n">
        <v>0</v>
      </c>
      <c r="CL811" s="2" t="n">
        <v>0</v>
      </c>
      <c r="CM811" s="2" t="n">
        <v>0</v>
      </c>
      <c r="CN811" s="2" t="n">
        <v>0</v>
      </c>
      <c r="CO811" s="2" t="n">
        <v>0</v>
      </c>
      <c r="CP811" s="2" t="n">
        <v>0</v>
      </c>
      <c r="CQ811" s="2" t="n">
        <v>0</v>
      </c>
      <c r="CR811" s="2" t="n">
        <v>0</v>
      </c>
      <c r="CS811" s="2" t="n">
        <v>1.52</v>
      </c>
      <c r="CT811" s="2" t="n">
        <v>0</v>
      </c>
      <c r="CU811" s="2" t="n">
        <v>24.24</v>
      </c>
      <c r="CV811" s="2" t="n">
        <v>25.76</v>
      </c>
      <c r="CW811" s="2" t="n">
        <v>0</v>
      </c>
      <c r="CX811" s="2" t="n">
        <v>56.06</v>
      </c>
      <c r="CY811" s="2" t="n">
        <v>57.58</v>
      </c>
      <c r="CZ811" s="2" t="n">
        <v>0</v>
      </c>
      <c r="DA811" s="2" t="n">
        <v>87.88</v>
      </c>
      <c r="DB811" s="2" t="n">
        <v>89.39</v>
      </c>
      <c r="DC811" s="2" t="n">
        <v>0</v>
      </c>
      <c r="DD811" s="2" t="n">
        <v>100</v>
      </c>
      <c r="DE811" s="2" t="n">
        <v>100</v>
      </c>
      <c r="DF811" s="2" t="n">
        <v>0</v>
      </c>
      <c r="DG811" s="2" t="n">
        <v>100</v>
      </c>
      <c r="DH811" s="2" t="n">
        <v>100</v>
      </c>
      <c r="DI811" s="2" t="n">
        <v>0</v>
      </c>
      <c r="DJ811" s="2" t="n">
        <v>100</v>
      </c>
      <c r="DK811" s="2" t="n">
        <v>100</v>
      </c>
      <c r="DL811" s="2" t="n">
        <v>0</v>
      </c>
      <c r="DM811" s="2" t="n">
        <v>100</v>
      </c>
      <c r="DN811" s="2" t="n">
        <v>100</v>
      </c>
      <c r="DO811" s="2" t="n">
        <v>0</v>
      </c>
      <c r="DP811" s="2" t="n">
        <v>100</v>
      </c>
      <c r="DQ811" s="2" t="n">
        <v>100</v>
      </c>
      <c r="DR811" s="2" t="n">
        <v>0</v>
      </c>
      <c r="DS811" s="2" t="n">
        <v>100</v>
      </c>
      <c r="DT811" s="2" t="n">
        <v>100</v>
      </c>
      <c r="DU811" s="2" t="n">
        <v>0</v>
      </c>
      <c r="DV811" s="2" t="n">
        <v>100</v>
      </c>
      <c r="DW811" s="2" t="n">
        <v>100</v>
      </c>
      <c r="DX811" s="2" t="n">
        <v>0</v>
      </c>
      <c r="DY811" s="2" t="n">
        <v>100</v>
      </c>
      <c r="DZ811" s="2" t="n">
        <v>100</v>
      </c>
      <c r="EA811" s="2" t="n">
        <v>0</v>
      </c>
      <c r="EB811" s="2" t="n">
        <v>100</v>
      </c>
      <c r="EC811" s="2" t="n">
        <v>100</v>
      </c>
      <c r="ED811" s="2" t="n">
        <v>0</v>
      </c>
      <c r="EE811" s="2" t="n">
        <v>100</v>
      </c>
      <c r="EF811" s="2" t="n">
        <v>100</v>
      </c>
      <c r="EG811" s="2" t="n">
        <v>0</v>
      </c>
      <c r="EH811" s="2" t="n">
        <v>100</v>
      </c>
      <c r="EI811" s="2" t="n">
        <v>100</v>
      </c>
      <c r="EJ811" s="2" t="n">
        <v>0</v>
      </c>
      <c r="EK811" s="2" t="n">
        <v>100</v>
      </c>
      <c r="EL811" s="2" t="n">
        <v>100</v>
      </c>
      <c r="EM811" s="2" t="n">
        <v>0</v>
      </c>
      <c r="EN811" s="2" t="n">
        <v>100</v>
      </c>
      <c r="EO811" s="2" t="n">
        <v>100</v>
      </c>
      <c r="EP811" s="2" t="n">
        <v>0</v>
      </c>
      <c r="EQ811" s="2" t="n">
        <v>100</v>
      </c>
      <c r="ER811" s="2" t="n">
        <v>100</v>
      </c>
      <c r="ES811" s="2" t="n">
        <v>0</v>
      </c>
    </row>
    <row r="812">
      <c r="A812" s="2" t="n">
        <v>4</v>
      </c>
      <c r="B812" s="2" t="inlineStr">
        <is>
          <t>32.06.03.01</t>
        </is>
      </c>
      <c r="C812" s="2" t="inlineStr">
        <is>
          <t>Taliscamento de Parede</t>
        </is>
      </c>
      <c r="D812" s="2" t="inlineStr">
        <is>
          <t>30/11/2027</t>
        </is>
      </c>
      <c r="E812" s="2" t="inlineStr">
        <is>
          <t>09/03/2028</t>
        </is>
      </c>
      <c r="F812" s="2" t="n">
        <v>14209.3262745</v>
      </c>
      <c r="G812" s="2" t="n">
        <v>0</v>
      </c>
      <c r="H812" s="2" t="n">
        <v>14209.3262745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0</v>
      </c>
      <c r="AM812" s="2" t="n">
        <v>0</v>
      </c>
      <c r="AN812" s="2" t="n">
        <v>0</v>
      </c>
      <c r="AO812" s="2" t="n">
        <v>0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n">
        <v>0</v>
      </c>
      <c r="AZ812" s="2" t="n">
        <v>0</v>
      </c>
      <c r="BA812" s="2" t="n">
        <v>0</v>
      </c>
      <c r="BB812" s="2" t="n">
        <v>0</v>
      </c>
      <c r="BC812" s="2" t="n">
        <v>0</v>
      </c>
      <c r="BD812" s="2" t="n">
        <v>0</v>
      </c>
      <c r="BE812" s="2" t="n">
        <v>0</v>
      </c>
      <c r="BF812" s="2" t="n">
        <v>0</v>
      </c>
      <c r="BG812" s="2" t="n">
        <v>0</v>
      </c>
      <c r="BH812" s="2" t="n">
        <v>0</v>
      </c>
      <c r="BI812" s="2" t="n">
        <v>0</v>
      </c>
      <c r="BJ812" s="2" t="n">
        <v>0</v>
      </c>
      <c r="BK812" s="2" t="n">
        <v>0</v>
      </c>
      <c r="BL812" s="2" t="n">
        <v>0</v>
      </c>
      <c r="BM812" s="2" t="n">
        <v>0</v>
      </c>
      <c r="BN812" s="2" t="n">
        <v>0</v>
      </c>
      <c r="BO812" s="2" t="n">
        <v>0</v>
      </c>
      <c r="BP812" s="2" t="n">
        <v>0</v>
      </c>
      <c r="BQ812" s="2" t="n">
        <v>0</v>
      </c>
      <c r="BR812" s="2" t="n">
        <v>0</v>
      </c>
      <c r="BS812" s="2" t="n">
        <v>0</v>
      </c>
      <c r="BT812" s="2" t="n">
        <v>0</v>
      </c>
      <c r="BU812" s="2" t="n">
        <v>0</v>
      </c>
      <c r="BV812" s="2" t="n">
        <v>0</v>
      </c>
      <c r="BW812" s="2" t="n">
        <v>0</v>
      </c>
      <c r="BX812" s="2" t="n">
        <v>0</v>
      </c>
      <c r="BY812" s="2" t="n">
        <v>0</v>
      </c>
      <c r="BZ812" s="2" t="n">
        <v>0</v>
      </c>
      <c r="CA812" s="2" t="n">
        <v>0</v>
      </c>
      <c r="CB812" s="2" t="n">
        <v>0</v>
      </c>
      <c r="CC812" s="2" t="n">
        <v>0</v>
      </c>
      <c r="CD812" s="2" t="n">
        <v>0</v>
      </c>
      <c r="CE812" s="2" t="n">
        <v>0</v>
      </c>
      <c r="CF812" s="2" t="n">
        <v>0</v>
      </c>
      <c r="CG812" s="2" t="n">
        <v>0</v>
      </c>
      <c r="CH812" s="2" t="n">
        <v>0</v>
      </c>
      <c r="CI812" s="2" t="n">
        <v>0</v>
      </c>
      <c r="CJ812" s="2" t="n">
        <v>0</v>
      </c>
      <c r="CK812" s="2" t="n">
        <v>0</v>
      </c>
      <c r="CL812" s="2" t="n">
        <v>0</v>
      </c>
      <c r="CM812" s="2" t="n">
        <v>0</v>
      </c>
      <c r="CN812" s="2" t="n">
        <v>0</v>
      </c>
      <c r="CO812" s="2" t="n">
        <v>0</v>
      </c>
      <c r="CP812" s="2" t="n">
        <v>0</v>
      </c>
      <c r="CQ812" s="2" t="n">
        <v>0</v>
      </c>
      <c r="CR812" s="2" t="n">
        <v>0</v>
      </c>
      <c r="CS812" s="2" t="n">
        <v>1.52</v>
      </c>
      <c r="CT812" s="2" t="n">
        <v>0</v>
      </c>
      <c r="CU812" s="2" t="n">
        <v>24.24</v>
      </c>
      <c r="CV812" s="2" t="n">
        <v>25.76</v>
      </c>
      <c r="CW812" s="2" t="n">
        <v>0</v>
      </c>
      <c r="CX812" s="2" t="n">
        <v>56.06</v>
      </c>
      <c r="CY812" s="2" t="n">
        <v>57.58</v>
      </c>
      <c r="CZ812" s="2" t="n">
        <v>0</v>
      </c>
      <c r="DA812" s="2" t="n">
        <v>87.88</v>
      </c>
      <c r="DB812" s="2" t="n">
        <v>89.39</v>
      </c>
      <c r="DC812" s="2" t="n">
        <v>0</v>
      </c>
      <c r="DD812" s="2" t="n">
        <v>100</v>
      </c>
      <c r="DE812" s="2" t="n">
        <v>100</v>
      </c>
      <c r="DF812" s="2" t="n">
        <v>0</v>
      </c>
      <c r="DG812" s="2" t="n">
        <v>100</v>
      </c>
      <c r="DH812" s="2" t="n">
        <v>100</v>
      </c>
      <c r="DI812" s="2" t="n">
        <v>0</v>
      </c>
      <c r="DJ812" s="2" t="n">
        <v>100</v>
      </c>
      <c r="DK812" s="2" t="n">
        <v>100</v>
      </c>
      <c r="DL812" s="2" t="n">
        <v>0</v>
      </c>
      <c r="DM812" s="2" t="n">
        <v>100</v>
      </c>
      <c r="DN812" s="2" t="n">
        <v>100</v>
      </c>
      <c r="DO812" s="2" t="n">
        <v>0</v>
      </c>
      <c r="DP812" s="2" t="n">
        <v>100</v>
      </c>
      <c r="DQ812" s="2" t="n">
        <v>100</v>
      </c>
      <c r="DR812" s="2" t="n">
        <v>0</v>
      </c>
      <c r="DS812" s="2" t="n">
        <v>100</v>
      </c>
      <c r="DT812" s="2" t="n">
        <v>100</v>
      </c>
      <c r="DU812" s="2" t="n">
        <v>0</v>
      </c>
      <c r="DV812" s="2" t="n">
        <v>100</v>
      </c>
      <c r="DW812" s="2" t="n">
        <v>100</v>
      </c>
      <c r="DX812" s="2" t="n">
        <v>0</v>
      </c>
      <c r="DY812" s="2" t="n">
        <v>100</v>
      </c>
      <c r="DZ812" s="2" t="n">
        <v>100</v>
      </c>
      <c r="EA812" s="2" t="n">
        <v>0</v>
      </c>
      <c r="EB812" s="2" t="n">
        <v>100</v>
      </c>
      <c r="EC812" s="2" t="n">
        <v>100</v>
      </c>
      <c r="ED812" s="2" t="n">
        <v>0</v>
      </c>
      <c r="EE812" s="2" t="n">
        <v>100</v>
      </c>
      <c r="EF812" s="2" t="n">
        <v>100</v>
      </c>
      <c r="EG812" s="2" t="n">
        <v>0</v>
      </c>
      <c r="EH812" s="2" t="n">
        <v>100</v>
      </c>
      <c r="EI812" s="2" t="n">
        <v>100</v>
      </c>
      <c r="EJ812" s="2" t="n">
        <v>0</v>
      </c>
      <c r="EK812" s="2" t="n">
        <v>100</v>
      </c>
      <c r="EL812" s="2" t="n">
        <v>100</v>
      </c>
      <c r="EM812" s="2" t="n">
        <v>0</v>
      </c>
      <c r="EN812" s="2" t="n">
        <v>100</v>
      </c>
      <c r="EO812" s="2" t="n">
        <v>100</v>
      </c>
      <c r="EP812" s="2" t="n">
        <v>0</v>
      </c>
      <c r="EQ812" s="2" t="n">
        <v>100</v>
      </c>
      <c r="ER812" s="2" t="n">
        <v>100</v>
      </c>
      <c r="ES812" s="2" t="n">
        <v>0</v>
      </c>
    </row>
    <row r="813">
      <c r="A813" s="2" t="n">
        <v>4</v>
      </c>
      <c r="B813" s="2" t="inlineStr">
        <is>
          <t>32.06.03.02</t>
        </is>
      </c>
      <c r="C813" s="2" t="inlineStr">
        <is>
          <t>Chapisco</t>
        </is>
      </c>
      <c r="D813" s="2" t="inlineStr">
        <is>
          <t>30/11/2027</t>
        </is>
      </c>
      <c r="E813" s="2" t="inlineStr">
        <is>
          <t>09/03/2028</t>
        </is>
      </c>
      <c r="F813" s="2" t="n">
        <v>20556.12651792</v>
      </c>
      <c r="G813" s="2" t="n">
        <v>0</v>
      </c>
      <c r="H813" s="2" t="n">
        <v>20556.12651792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0</v>
      </c>
      <c r="AL813" s="2" t="n">
        <v>0</v>
      </c>
      <c r="AM813" s="2" t="n">
        <v>0</v>
      </c>
      <c r="AN813" s="2" t="n">
        <v>0</v>
      </c>
      <c r="AO813" s="2" t="n">
        <v>0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n">
        <v>0</v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n">
        <v>0</v>
      </c>
      <c r="BE813" s="2" t="n">
        <v>0</v>
      </c>
      <c r="BF813" s="2" t="n">
        <v>0</v>
      </c>
      <c r="BG813" s="2" t="n">
        <v>0</v>
      </c>
      <c r="BH813" s="2" t="n">
        <v>0</v>
      </c>
      <c r="BI813" s="2" t="n">
        <v>0</v>
      </c>
      <c r="BJ813" s="2" t="n">
        <v>0</v>
      </c>
      <c r="BK813" s="2" t="n">
        <v>0</v>
      </c>
      <c r="BL813" s="2" t="n">
        <v>0</v>
      </c>
      <c r="BM813" s="2" t="n">
        <v>0</v>
      </c>
      <c r="BN813" s="2" t="n">
        <v>0</v>
      </c>
      <c r="BO813" s="2" t="n">
        <v>0</v>
      </c>
      <c r="BP813" s="2" t="n">
        <v>0</v>
      </c>
      <c r="BQ813" s="2" t="n">
        <v>0</v>
      </c>
      <c r="BR813" s="2" t="n">
        <v>0</v>
      </c>
      <c r="BS813" s="2" t="n">
        <v>0</v>
      </c>
      <c r="BT813" s="2" t="n">
        <v>0</v>
      </c>
      <c r="BU813" s="2" t="n">
        <v>0</v>
      </c>
      <c r="BV813" s="2" t="n">
        <v>0</v>
      </c>
      <c r="BW813" s="2" t="n">
        <v>0</v>
      </c>
      <c r="BX813" s="2" t="n">
        <v>0</v>
      </c>
      <c r="BY813" s="2" t="n">
        <v>0</v>
      </c>
      <c r="BZ813" s="2" t="n">
        <v>0</v>
      </c>
      <c r="CA813" s="2" t="n">
        <v>0</v>
      </c>
      <c r="CB813" s="2" t="n">
        <v>0</v>
      </c>
      <c r="CC813" s="2" t="n">
        <v>0</v>
      </c>
      <c r="CD813" s="2" t="n">
        <v>0</v>
      </c>
      <c r="CE813" s="2" t="n">
        <v>0</v>
      </c>
      <c r="CF813" s="2" t="n">
        <v>0</v>
      </c>
      <c r="CG813" s="2" t="n">
        <v>0</v>
      </c>
      <c r="CH813" s="2" t="n">
        <v>0</v>
      </c>
      <c r="CI813" s="2" t="n">
        <v>0</v>
      </c>
      <c r="CJ813" s="2" t="n">
        <v>0</v>
      </c>
      <c r="CK813" s="2" t="n">
        <v>0</v>
      </c>
      <c r="CL813" s="2" t="n">
        <v>0</v>
      </c>
      <c r="CM813" s="2" t="n">
        <v>0</v>
      </c>
      <c r="CN813" s="2" t="n">
        <v>0</v>
      </c>
      <c r="CO813" s="2" t="n">
        <v>0</v>
      </c>
      <c r="CP813" s="2" t="n">
        <v>0</v>
      </c>
      <c r="CQ813" s="2" t="n">
        <v>0</v>
      </c>
      <c r="CR813" s="2" t="n">
        <v>0</v>
      </c>
      <c r="CS813" s="2" t="n">
        <v>1.52</v>
      </c>
      <c r="CT813" s="2" t="n">
        <v>0</v>
      </c>
      <c r="CU813" s="2" t="n">
        <v>24.24</v>
      </c>
      <c r="CV813" s="2" t="n">
        <v>25.76</v>
      </c>
      <c r="CW813" s="2" t="n">
        <v>0</v>
      </c>
      <c r="CX813" s="2" t="n">
        <v>56.06</v>
      </c>
      <c r="CY813" s="2" t="n">
        <v>57.58</v>
      </c>
      <c r="CZ813" s="2" t="n">
        <v>0</v>
      </c>
      <c r="DA813" s="2" t="n">
        <v>87.88</v>
      </c>
      <c r="DB813" s="2" t="n">
        <v>89.39</v>
      </c>
      <c r="DC813" s="2" t="n">
        <v>0</v>
      </c>
      <c r="DD813" s="2" t="n">
        <v>100</v>
      </c>
      <c r="DE813" s="2" t="n">
        <v>100</v>
      </c>
      <c r="DF813" s="2" t="n">
        <v>0</v>
      </c>
      <c r="DG813" s="2" t="n">
        <v>100</v>
      </c>
      <c r="DH813" s="2" t="n">
        <v>100</v>
      </c>
      <c r="DI813" s="2" t="n">
        <v>0</v>
      </c>
      <c r="DJ813" s="2" t="n">
        <v>100</v>
      </c>
      <c r="DK813" s="2" t="n">
        <v>100</v>
      </c>
      <c r="DL813" s="2" t="n">
        <v>0</v>
      </c>
      <c r="DM813" s="2" t="n">
        <v>100</v>
      </c>
      <c r="DN813" s="2" t="n">
        <v>100</v>
      </c>
      <c r="DO813" s="2" t="n">
        <v>0</v>
      </c>
      <c r="DP813" s="2" t="n">
        <v>100</v>
      </c>
      <c r="DQ813" s="2" t="n">
        <v>100</v>
      </c>
      <c r="DR813" s="2" t="n">
        <v>0</v>
      </c>
      <c r="DS813" s="2" t="n">
        <v>100</v>
      </c>
      <c r="DT813" s="2" t="n">
        <v>100</v>
      </c>
      <c r="DU813" s="2" t="n">
        <v>0</v>
      </c>
      <c r="DV813" s="2" t="n">
        <v>100</v>
      </c>
      <c r="DW813" s="2" t="n">
        <v>100</v>
      </c>
      <c r="DX813" s="2" t="n">
        <v>0</v>
      </c>
      <c r="DY813" s="2" t="n">
        <v>100</v>
      </c>
      <c r="DZ813" s="2" t="n">
        <v>100</v>
      </c>
      <c r="EA813" s="2" t="n">
        <v>0</v>
      </c>
      <c r="EB813" s="2" t="n">
        <v>100</v>
      </c>
      <c r="EC813" s="2" t="n">
        <v>100</v>
      </c>
      <c r="ED813" s="2" t="n">
        <v>0</v>
      </c>
      <c r="EE813" s="2" t="n">
        <v>100</v>
      </c>
      <c r="EF813" s="2" t="n">
        <v>100</v>
      </c>
      <c r="EG813" s="2" t="n">
        <v>0</v>
      </c>
      <c r="EH813" s="2" t="n">
        <v>100</v>
      </c>
      <c r="EI813" s="2" t="n">
        <v>100</v>
      </c>
      <c r="EJ813" s="2" t="n">
        <v>0</v>
      </c>
      <c r="EK813" s="2" t="n">
        <v>100</v>
      </c>
      <c r="EL813" s="2" t="n">
        <v>100</v>
      </c>
      <c r="EM813" s="2" t="n">
        <v>0</v>
      </c>
      <c r="EN813" s="2" t="n">
        <v>100</v>
      </c>
      <c r="EO813" s="2" t="n">
        <v>100</v>
      </c>
      <c r="EP813" s="2" t="n">
        <v>0</v>
      </c>
      <c r="EQ813" s="2" t="n">
        <v>100</v>
      </c>
      <c r="ER813" s="2" t="n">
        <v>100</v>
      </c>
      <c r="ES813" s="2" t="n">
        <v>0</v>
      </c>
    </row>
    <row r="814">
      <c r="A814" s="2" t="n">
        <v>4</v>
      </c>
      <c r="B814" s="2" t="inlineStr">
        <is>
          <t>32.06.03.03</t>
        </is>
      </c>
      <c r="C814" s="2" t="inlineStr">
        <is>
          <t>Reboco</t>
        </is>
      </c>
      <c r="D814" s="2" t="inlineStr">
        <is>
          <t>30/11/2027</t>
        </is>
      </c>
      <c r="E814" s="2" t="inlineStr">
        <is>
          <t>09/03/2028</t>
        </is>
      </c>
      <c r="F814" s="2" t="n">
        <v>104293.02345</v>
      </c>
      <c r="G814" s="2" t="n">
        <v>0</v>
      </c>
      <c r="H814" s="2" t="n">
        <v>104293.02345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0</v>
      </c>
      <c r="AL814" s="2" t="n">
        <v>0</v>
      </c>
      <c r="AM814" s="2" t="n">
        <v>0</v>
      </c>
      <c r="AN814" s="2" t="n">
        <v>0</v>
      </c>
      <c r="AO814" s="2" t="n">
        <v>0</v>
      </c>
      <c r="AP814" s="2" t="n">
        <v>0</v>
      </c>
      <c r="AQ814" s="2" t="n">
        <v>0</v>
      </c>
      <c r="AR814" s="2" t="n">
        <v>0</v>
      </c>
      <c r="AS814" s="2" t="n">
        <v>0</v>
      </c>
      <c r="AT814" s="2" t="n">
        <v>0</v>
      </c>
      <c r="AU814" s="2" t="n">
        <v>0</v>
      </c>
      <c r="AV814" s="2" t="n">
        <v>0</v>
      </c>
      <c r="AW814" s="2" t="n">
        <v>0</v>
      </c>
      <c r="AX814" s="2" t="n">
        <v>0</v>
      </c>
      <c r="AY814" s="2" t="n">
        <v>0</v>
      </c>
      <c r="AZ814" s="2" t="n">
        <v>0</v>
      </c>
      <c r="BA814" s="2" t="n">
        <v>0</v>
      </c>
      <c r="BB814" s="2" t="n">
        <v>0</v>
      </c>
      <c r="BC814" s="2" t="n">
        <v>0</v>
      </c>
      <c r="BD814" s="2" t="n">
        <v>0</v>
      </c>
      <c r="BE814" s="2" t="n">
        <v>0</v>
      </c>
      <c r="BF814" s="2" t="n">
        <v>0</v>
      </c>
      <c r="BG814" s="2" t="n">
        <v>0</v>
      </c>
      <c r="BH814" s="2" t="n">
        <v>0</v>
      </c>
      <c r="BI814" s="2" t="n">
        <v>0</v>
      </c>
      <c r="BJ814" s="2" t="n">
        <v>0</v>
      </c>
      <c r="BK814" s="2" t="n">
        <v>0</v>
      </c>
      <c r="BL814" s="2" t="n">
        <v>0</v>
      </c>
      <c r="BM814" s="2" t="n">
        <v>0</v>
      </c>
      <c r="BN814" s="2" t="n">
        <v>0</v>
      </c>
      <c r="BO814" s="2" t="n">
        <v>0</v>
      </c>
      <c r="BP814" s="2" t="n">
        <v>0</v>
      </c>
      <c r="BQ814" s="2" t="n">
        <v>0</v>
      </c>
      <c r="BR814" s="2" t="n">
        <v>0</v>
      </c>
      <c r="BS814" s="2" t="n">
        <v>0</v>
      </c>
      <c r="BT814" s="2" t="n">
        <v>0</v>
      </c>
      <c r="BU814" s="2" t="n">
        <v>0</v>
      </c>
      <c r="BV814" s="2" t="n">
        <v>0</v>
      </c>
      <c r="BW814" s="2" t="n">
        <v>0</v>
      </c>
      <c r="BX814" s="2" t="n">
        <v>0</v>
      </c>
      <c r="BY814" s="2" t="n">
        <v>0</v>
      </c>
      <c r="BZ814" s="2" t="n">
        <v>0</v>
      </c>
      <c r="CA814" s="2" t="n">
        <v>0</v>
      </c>
      <c r="CB814" s="2" t="n">
        <v>0</v>
      </c>
      <c r="CC814" s="2" t="n">
        <v>0</v>
      </c>
      <c r="CD814" s="2" t="n">
        <v>0</v>
      </c>
      <c r="CE814" s="2" t="n">
        <v>0</v>
      </c>
      <c r="CF814" s="2" t="n">
        <v>0</v>
      </c>
      <c r="CG814" s="2" t="n">
        <v>0</v>
      </c>
      <c r="CH814" s="2" t="n">
        <v>0</v>
      </c>
      <c r="CI814" s="2" t="n">
        <v>0</v>
      </c>
      <c r="CJ814" s="2" t="n">
        <v>0</v>
      </c>
      <c r="CK814" s="2" t="n">
        <v>0</v>
      </c>
      <c r="CL814" s="2" t="n">
        <v>0</v>
      </c>
      <c r="CM814" s="2" t="n">
        <v>0</v>
      </c>
      <c r="CN814" s="2" t="n">
        <v>0</v>
      </c>
      <c r="CO814" s="2" t="n">
        <v>0</v>
      </c>
      <c r="CP814" s="2" t="n">
        <v>0</v>
      </c>
      <c r="CQ814" s="2" t="n">
        <v>0</v>
      </c>
      <c r="CR814" s="2" t="n">
        <v>0</v>
      </c>
      <c r="CS814" s="2" t="n">
        <v>1.52</v>
      </c>
      <c r="CT814" s="2" t="n">
        <v>0</v>
      </c>
      <c r="CU814" s="2" t="n">
        <v>24.24</v>
      </c>
      <c r="CV814" s="2" t="n">
        <v>25.76</v>
      </c>
      <c r="CW814" s="2" t="n">
        <v>0</v>
      </c>
      <c r="CX814" s="2" t="n">
        <v>56.06</v>
      </c>
      <c r="CY814" s="2" t="n">
        <v>57.58</v>
      </c>
      <c r="CZ814" s="2" t="n">
        <v>0</v>
      </c>
      <c r="DA814" s="2" t="n">
        <v>87.88</v>
      </c>
      <c r="DB814" s="2" t="n">
        <v>89.39</v>
      </c>
      <c r="DC814" s="2" t="n">
        <v>0</v>
      </c>
      <c r="DD814" s="2" t="n">
        <v>100</v>
      </c>
      <c r="DE814" s="2" t="n">
        <v>100</v>
      </c>
      <c r="DF814" s="2" t="n">
        <v>0</v>
      </c>
      <c r="DG814" s="2" t="n">
        <v>100</v>
      </c>
      <c r="DH814" s="2" t="n">
        <v>100</v>
      </c>
      <c r="DI814" s="2" t="n">
        <v>0</v>
      </c>
      <c r="DJ814" s="2" t="n">
        <v>100</v>
      </c>
      <c r="DK814" s="2" t="n">
        <v>100</v>
      </c>
      <c r="DL814" s="2" t="n">
        <v>0</v>
      </c>
      <c r="DM814" s="2" t="n">
        <v>100</v>
      </c>
      <c r="DN814" s="2" t="n">
        <v>100</v>
      </c>
      <c r="DO814" s="2" t="n">
        <v>0</v>
      </c>
      <c r="DP814" s="2" t="n">
        <v>100</v>
      </c>
      <c r="DQ814" s="2" t="n">
        <v>100</v>
      </c>
      <c r="DR814" s="2" t="n">
        <v>0</v>
      </c>
      <c r="DS814" s="2" t="n">
        <v>100</v>
      </c>
      <c r="DT814" s="2" t="n">
        <v>100</v>
      </c>
      <c r="DU814" s="2" t="n">
        <v>0</v>
      </c>
      <c r="DV814" s="2" t="n">
        <v>100</v>
      </c>
      <c r="DW814" s="2" t="n">
        <v>100</v>
      </c>
      <c r="DX814" s="2" t="n">
        <v>0</v>
      </c>
      <c r="DY814" s="2" t="n">
        <v>100</v>
      </c>
      <c r="DZ814" s="2" t="n">
        <v>100</v>
      </c>
      <c r="EA814" s="2" t="n">
        <v>0</v>
      </c>
      <c r="EB814" s="2" t="n">
        <v>100</v>
      </c>
      <c r="EC814" s="2" t="n">
        <v>100</v>
      </c>
      <c r="ED814" s="2" t="n">
        <v>0</v>
      </c>
      <c r="EE814" s="2" t="n">
        <v>100</v>
      </c>
      <c r="EF814" s="2" t="n">
        <v>100</v>
      </c>
      <c r="EG814" s="2" t="n">
        <v>0</v>
      </c>
      <c r="EH814" s="2" t="n">
        <v>100</v>
      </c>
      <c r="EI814" s="2" t="n">
        <v>100</v>
      </c>
      <c r="EJ814" s="2" t="n">
        <v>0</v>
      </c>
      <c r="EK814" s="2" t="n">
        <v>100</v>
      </c>
      <c r="EL814" s="2" t="n">
        <v>100</v>
      </c>
      <c r="EM814" s="2" t="n">
        <v>0</v>
      </c>
      <c r="EN814" s="2" t="n">
        <v>100</v>
      </c>
      <c r="EO814" s="2" t="n">
        <v>100</v>
      </c>
      <c r="EP814" s="2" t="n">
        <v>0</v>
      </c>
      <c r="EQ814" s="2" t="n">
        <v>100</v>
      </c>
      <c r="ER814" s="2" t="n">
        <v>100</v>
      </c>
      <c r="ES814" s="2" t="n">
        <v>0</v>
      </c>
    </row>
    <row r="815">
      <c r="A815" s="2" t="n">
        <v>1</v>
      </c>
      <c r="B815" s="2" t="inlineStr">
        <is>
          <t>33</t>
        </is>
      </c>
      <c r="C815" s="2" t="inlineStr">
        <is>
          <t>FORROS DIVERSOS</t>
        </is>
      </c>
      <c r="D815" s="2" t="inlineStr">
        <is>
          <t>15/10/2027</t>
        </is>
      </c>
      <c r="E815" s="2" t="inlineStr">
        <is>
          <t>03/11/2028</t>
        </is>
      </c>
      <c r="F815" s="2" t="n">
        <v>1690544.877226372</v>
      </c>
      <c r="G815" s="2" t="n">
        <v>0</v>
      </c>
      <c r="H815" s="2" t="n">
        <v>1690544.877226372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0</v>
      </c>
      <c r="AL815" s="2" t="n">
        <v>0</v>
      </c>
      <c r="AM815" s="2" t="n">
        <v>0</v>
      </c>
      <c r="AN815" s="2" t="n">
        <v>0</v>
      </c>
      <c r="AO815" s="2" t="n">
        <v>0</v>
      </c>
      <c r="AP815" s="2" t="n">
        <v>0</v>
      </c>
      <c r="AQ815" s="2" t="n">
        <v>0</v>
      </c>
      <c r="AR815" s="2" t="n">
        <v>0</v>
      </c>
      <c r="AS815" s="2" t="n">
        <v>0</v>
      </c>
      <c r="AT815" s="2" t="n">
        <v>0</v>
      </c>
      <c r="AU815" s="2" t="n">
        <v>0</v>
      </c>
      <c r="AV815" s="2" t="n">
        <v>0</v>
      </c>
      <c r="AW815" s="2" t="n">
        <v>0</v>
      </c>
      <c r="AX815" s="2" t="n">
        <v>0</v>
      </c>
      <c r="AY815" s="2" t="n">
        <v>0</v>
      </c>
      <c r="AZ815" s="2" t="n">
        <v>0</v>
      </c>
      <c r="BA815" s="2" t="n">
        <v>0</v>
      </c>
      <c r="BB815" s="2" t="n">
        <v>0</v>
      </c>
      <c r="BC815" s="2" t="n">
        <v>0</v>
      </c>
      <c r="BD815" s="2" t="n">
        <v>0</v>
      </c>
      <c r="BE815" s="2" t="n">
        <v>0</v>
      </c>
      <c r="BF815" s="2" t="n">
        <v>0</v>
      </c>
      <c r="BG815" s="2" t="n">
        <v>0</v>
      </c>
      <c r="BH815" s="2" t="n">
        <v>0</v>
      </c>
      <c r="BI815" s="2" t="n">
        <v>0</v>
      </c>
      <c r="BJ815" s="2" t="n">
        <v>0</v>
      </c>
      <c r="BK815" s="2" t="n">
        <v>0</v>
      </c>
      <c r="BL815" s="2" t="n">
        <v>0</v>
      </c>
      <c r="BM815" s="2" t="n">
        <v>0</v>
      </c>
      <c r="BN815" s="2" t="n">
        <v>0</v>
      </c>
      <c r="BO815" s="2" t="n">
        <v>0</v>
      </c>
      <c r="BP815" s="2" t="n">
        <v>0</v>
      </c>
      <c r="BQ815" s="2" t="n">
        <v>0</v>
      </c>
      <c r="BR815" s="2" t="n">
        <v>0</v>
      </c>
      <c r="BS815" s="2" t="n">
        <v>0</v>
      </c>
      <c r="BT815" s="2" t="n">
        <v>0</v>
      </c>
      <c r="BU815" s="2" t="n">
        <v>0</v>
      </c>
      <c r="BV815" s="2" t="n">
        <v>0</v>
      </c>
      <c r="BW815" s="2" t="n">
        <v>0</v>
      </c>
      <c r="BX815" s="2" t="n">
        <v>0</v>
      </c>
      <c r="BY815" s="2" t="n">
        <v>0</v>
      </c>
      <c r="BZ815" s="2" t="n">
        <v>0</v>
      </c>
      <c r="CA815" s="2" t="n">
        <v>0</v>
      </c>
      <c r="CB815" s="2" t="n">
        <v>0</v>
      </c>
      <c r="CC815" s="2" t="n">
        <v>0</v>
      </c>
      <c r="CD815" s="2" t="n">
        <v>0</v>
      </c>
      <c r="CE815" s="2" t="n">
        <v>0</v>
      </c>
      <c r="CF815" s="2" t="n">
        <v>0</v>
      </c>
      <c r="CG815" s="2" t="n">
        <v>0</v>
      </c>
      <c r="CH815" s="2" t="n">
        <v>0</v>
      </c>
      <c r="CI815" s="2" t="n">
        <v>0</v>
      </c>
      <c r="CJ815" s="2" t="n">
        <v>0</v>
      </c>
      <c r="CK815" s="2" t="n">
        <v>0</v>
      </c>
      <c r="CL815" s="2" t="n">
        <v>0</v>
      </c>
      <c r="CM815" s="2" t="n">
        <v>0</v>
      </c>
      <c r="CN815" s="2" t="n">
        <v>0</v>
      </c>
      <c r="CO815" s="2" t="n">
        <v>2.12</v>
      </c>
      <c r="CP815" s="2" t="n">
        <v>3.89</v>
      </c>
      <c r="CQ815" s="2" t="n">
        <v>0</v>
      </c>
      <c r="CR815" s="2" t="n">
        <v>9.779999999999999</v>
      </c>
      <c r="CS815" s="2" t="n">
        <v>11.59</v>
      </c>
      <c r="CT815" s="2" t="n">
        <v>0</v>
      </c>
      <c r="CU815" s="2" t="n">
        <v>16.33</v>
      </c>
      <c r="CV815" s="2" t="n">
        <v>18.17</v>
      </c>
      <c r="CW815" s="2" t="n">
        <v>0</v>
      </c>
      <c r="CX815" s="2" t="n">
        <v>24.98</v>
      </c>
      <c r="CY815" s="2" t="n">
        <v>26.79</v>
      </c>
      <c r="CZ815" s="2" t="n">
        <v>0</v>
      </c>
      <c r="DA815" s="2" t="n">
        <v>34.65</v>
      </c>
      <c r="DB815" s="2" t="n">
        <v>36.81</v>
      </c>
      <c r="DC815" s="2" t="n">
        <v>0</v>
      </c>
      <c r="DD815" s="2" t="n">
        <v>51.63</v>
      </c>
      <c r="DE815" s="2" t="n">
        <v>53.78</v>
      </c>
      <c r="DF815" s="2" t="n">
        <v>0</v>
      </c>
      <c r="DG815" s="2" t="n">
        <v>60.52</v>
      </c>
      <c r="DH815" s="2" t="n">
        <v>62.3</v>
      </c>
      <c r="DI815" s="2" t="n">
        <v>0</v>
      </c>
      <c r="DJ815" s="2" t="n">
        <v>69.73999999999999</v>
      </c>
      <c r="DK815" s="2" t="n">
        <v>71.51000000000001</v>
      </c>
      <c r="DL815" s="2" t="n">
        <v>0</v>
      </c>
      <c r="DM815" s="2" t="n">
        <v>77.18000000000001</v>
      </c>
      <c r="DN815" s="2" t="n">
        <v>79.36</v>
      </c>
      <c r="DO815" s="2" t="n">
        <v>0</v>
      </c>
      <c r="DP815" s="2" t="n">
        <v>85.03</v>
      </c>
      <c r="DQ815" s="2" t="n">
        <v>86.84999999999999</v>
      </c>
      <c r="DR815" s="2" t="n">
        <v>0</v>
      </c>
      <c r="DS815" s="2" t="n">
        <v>92.65000000000001</v>
      </c>
      <c r="DT815" s="2" t="n">
        <v>95.09999999999999</v>
      </c>
      <c r="DU815" s="2" t="n">
        <v>0</v>
      </c>
      <c r="DV815" s="2" t="n">
        <v>95.78</v>
      </c>
      <c r="DW815" s="2" t="n">
        <v>96.81</v>
      </c>
      <c r="DX815" s="2" t="n">
        <v>0</v>
      </c>
      <c r="DY815" s="2" t="n">
        <v>96.81</v>
      </c>
      <c r="DZ815" s="2" t="n">
        <v>99.09</v>
      </c>
      <c r="EA815" s="2" t="n">
        <v>0</v>
      </c>
      <c r="EB815" s="2" t="n">
        <v>100</v>
      </c>
      <c r="EC815" s="2" t="n">
        <v>100</v>
      </c>
      <c r="ED815" s="2" t="n">
        <v>0</v>
      </c>
      <c r="EE815" s="2" t="n">
        <v>100</v>
      </c>
      <c r="EF815" s="2" t="n">
        <v>100</v>
      </c>
      <c r="EG815" s="2" t="n">
        <v>0</v>
      </c>
      <c r="EH815" s="2" t="n">
        <v>100</v>
      </c>
      <c r="EI815" s="2" t="n">
        <v>100</v>
      </c>
      <c r="EJ815" s="2" t="n">
        <v>0</v>
      </c>
      <c r="EK815" s="2" t="n">
        <v>100</v>
      </c>
      <c r="EL815" s="2" t="n">
        <v>100</v>
      </c>
      <c r="EM815" s="2" t="n">
        <v>0</v>
      </c>
      <c r="EN815" s="2" t="n">
        <v>100</v>
      </c>
      <c r="EO815" s="2" t="n">
        <v>100</v>
      </c>
      <c r="EP815" s="2" t="n">
        <v>0</v>
      </c>
      <c r="EQ815" s="2" t="n">
        <v>100</v>
      </c>
      <c r="ER815" s="2" t="n">
        <v>100</v>
      </c>
      <c r="ES815" s="2" t="n">
        <v>0</v>
      </c>
    </row>
    <row r="816">
      <c r="A816" s="2" t="n">
        <v>2</v>
      </c>
      <c r="B816" s="2" t="inlineStr">
        <is>
          <t>33.01</t>
        </is>
      </c>
      <c r="C816" s="2" t="inlineStr">
        <is>
          <t>Forro de Gesso</t>
        </is>
      </c>
      <c r="D816" s="2" t="inlineStr">
        <is>
          <t>15/10/2027</t>
        </is>
      </c>
      <c r="E816" s="2" t="inlineStr">
        <is>
          <t>03/11/2028</t>
        </is>
      </c>
      <c r="F816" s="2" t="n">
        <v>1690544.877226372</v>
      </c>
      <c r="G816" s="2" t="n">
        <v>0</v>
      </c>
      <c r="H816" s="2" t="n">
        <v>1690544.877226372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0</v>
      </c>
      <c r="AC816" s="2" t="n">
        <v>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0</v>
      </c>
      <c r="AL816" s="2" t="n">
        <v>0</v>
      </c>
      <c r="AM816" s="2" t="n">
        <v>0</v>
      </c>
      <c r="AN816" s="2" t="n">
        <v>0</v>
      </c>
      <c r="AO816" s="2" t="n">
        <v>0</v>
      </c>
      <c r="AP816" s="2" t="n">
        <v>0</v>
      </c>
      <c r="AQ816" s="2" t="n">
        <v>0</v>
      </c>
      <c r="AR816" s="2" t="n">
        <v>0</v>
      </c>
      <c r="AS816" s="2" t="n">
        <v>0</v>
      </c>
      <c r="AT816" s="2" t="n">
        <v>0</v>
      </c>
      <c r="AU816" s="2" t="n">
        <v>0</v>
      </c>
      <c r="AV816" s="2" t="n">
        <v>0</v>
      </c>
      <c r="AW816" s="2" t="n">
        <v>0</v>
      </c>
      <c r="AX816" s="2" t="n">
        <v>0</v>
      </c>
      <c r="AY816" s="2" t="n">
        <v>0</v>
      </c>
      <c r="AZ816" s="2" t="n">
        <v>0</v>
      </c>
      <c r="BA816" s="2" t="n">
        <v>0</v>
      </c>
      <c r="BB816" s="2" t="n">
        <v>0</v>
      </c>
      <c r="BC816" s="2" t="n">
        <v>0</v>
      </c>
      <c r="BD816" s="2" t="n">
        <v>0</v>
      </c>
      <c r="BE816" s="2" t="n">
        <v>0</v>
      </c>
      <c r="BF816" s="2" t="n">
        <v>0</v>
      </c>
      <c r="BG816" s="2" t="n">
        <v>0</v>
      </c>
      <c r="BH816" s="2" t="n">
        <v>0</v>
      </c>
      <c r="BI816" s="2" t="n">
        <v>0</v>
      </c>
      <c r="BJ816" s="2" t="n">
        <v>0</v>
      </c>
      <c r="BK816" s="2" t="n">
        <v>0</v>
      </c>
      <c r="BL816" s="2" t="n">
        <v>0</v>
      </c>
      <c r="BM816" s="2" t="n">
        <v>0</v>
      </c>
      <c r="BN816" s="2" t="n">
        <v>0</v>
      </c>
      <c r="BO816" s="2" t="n">
        <v>0</v>
      </c>
      <c r="BP816" s="2" t="n">
        <v>0</v>
      </c>
      <c r="BQ816" s="2" t="n">
        <v>0</v>
      </c>
      <c r="BR816" s="2" t="n">
        <v>0</v>
      </c>
      <c r="BS816" s="2" t="n">
        <v>0</v>
      </c>
      <c r="BT816" s="2" t="n">
        <v>0</v>
      </c>
      <c r="BU816" s="2" t="n">
        <v>0</v>
      </c>
      <c r="BV816" s="2" t="n">
        <v>0</v>
      </c>
      <c r="BW816" s="2" t="n">
        <v>0</v>
      </c>
      <c r="BX816" s="2" t="n">
        <v>0</v>
      </c>
      <c r="BY816" s="2" t="n">
        <v>0</v>
      </c>
      <c r="BZ816" s="2" t="n">
        <v>0</v>
      </c>
      <c r="CA816" s="2" t="n">
        <v>0</v>
      </c>
      <c r="CB816" s="2" t="n">
        <v>0</v>
      </c>
      <c r="CC816" s="2" t="n">
        <v>0</v>
      </c>
      <c r="CD816" s="2" t="n">
        <v>0</v>
      </c>
      <c r="CE816" s="2" t="n">
        <v>0</v>
      </c>
      <c r="CF816" s="2" t="n">
        <v>0</v>
      </c>
      <c r="CG816" s="2" t="n">
        <v>0</v>
      </c>
      <c r="CH816" s="2" t="n">
        <v>0</v>
      </c>
      <c r="CI816" s="2" t="n">
        <v>0</v>
      </c>
      <c r="CJ816" s="2" t="n">
        <v>0</v>
      </c>
      <c r="CK816" s="2" t="n">
        <v>0</v>
      </c>
      <c r="CL816" s="2" t="n">
        <v>0</v>
      </c>
      <c r="CM816" s="2" t="n">
        <v>0</v>
      </c>
      <c r="CN816" s="2" t="n">
        <v>0</v>
      </c>
      <c r="CO816" s="2" t="n">
        <v>2.12</v>
      </c>
      <c r="CP816" s="2" t="n">
        <v>3.89</v>
      </c>
      <c r="CQ816" s="2" t="n">
        <v>0</v>
      </c>
      <c r="CR816" s="2" t="n">
        <v>9.779999999999999</v>
      </c>
      <c r="CS816" s="2" t="n">
        <v>11.59</v>
      </c>
      <c r="CT816" s="2" t="n">
        <v>0</v>
      </c>
      <c r="CU816" s="2" t="n">
        <v>16.33</v>
      </c>
      <c r="CV816" s="2" t="n">
        <v>18.17</v>
      </c>
      <c r="CW816" s="2" t="n">
        <v>0</v>
      </c>
      <c r="CX816" s="2" t="n">
        <v>24.98</v>
      </c>
      <c r="CY816" s="2" t="n">
        <v>26.79</v>
      </c>
      <c r="CZ816" s="2" t="n">
        <v>0</v>
      </c>
      <c r="DA816" s="2" t="n">
        <v>34.65</v>
      </c>
      <c r="DB816" s="2" t="n">
        <v>36.81</v>
      </c>
      <c r="DC816" s="2" t="n">
        <v>0</v>
      </c>
      <c r="DD816" s="2" t="n">
        <v>51.63</v>
      </c>
      <c r="DE816" s="2" t="n">
        <v>53.78</v>
      </c>
      <c r="DF816" s="2" t="n">
        <v>0</v>
      </c>
      <c r="DG816" s="2" t="n">
        <v>60.52</v>
      </c>
      <c r="DH816" s="2" t="n">
        <v>62.3</v>
      </c>
      <c r="DI816" s="2" t="n">
        <v>0</v>
      </c>
      <c r="DJ816" s="2" t="n">
        <v>69.73999999999999</v>
      </c>
      <c r="DK816" s="2" t="n">
        <v>71.51000000000001</v>
      </c>
      <c r="DL816" s="2" t="n">
        <v>0</v>
      </c>
      <c r="DM816" s="2" t="n">
        <v>77.18000000000001</v>
      </c>
      <c r="DN816" s="2" t="n">
        <v>79.36</v>
      </c>
      <c r="DO816" s="2" t="n">
        <v>0</v>
      </c>
      <c r="DP816" s="2" t="n">
        <v>85.03</v>
      </c>
      <c r="DQ816" s="2" t="n">
        <v>86.84999999999999</v>
      </c>
      <c r="DR816" s="2" t="n">
        <v>0</v>
      </c>
      <c r="DS816" s="2" t="n">
        <v>92.65000000000001</v>
      </c>
      <c r="DT816" s="2" t="n">
        <v>95.09999999999999</v>
      </c>
      <c r="DU816" s="2" t="n">
        <v>0</v>
      </c>
      <c r="DV816" s="2" t="n">
        <v>95.78</v>
      </c>
      <c r="DW816" s="2" t="n">
        <v>96.81</v>
      </c>
      <c r="DX816" s="2" t="n">
        <v>0</v>
      </c>
      <c r="DY816" s="2" t="n">
        <v>96.81</v>
      </c>
      <c r="DZ816" s="2" t="n">
        <v>99.09</v>
      </c>
      <c r="EA816" s="2" t="n">
        <v>0</v>
      </c>
      <c r="EB816" s="2" t="n">
        <v>100</v>
      </c>
      <c r="EC816" s="2" t="n">
        <v>100</v>
      </c>
      <c r="ED816" s="2" t="n">
        <v>0</v>
      </c>
      <c r="EE816" s="2" t="n">
        <v>100</v>
      </c>
      <c r="EF816" s="2" t="n">
        <v>100</v>
      </c>
      <c r="EG816" s="2" t="n">
        <v>0</v>
      </c>
      <c r="EH816" s="2" t="n">
        <v>100</v>
      </c>
      <c r="EI816" s="2" t="n">
        <v>100</v>
      </c>
      <c r="EJ816" s="2" t="n">
        <v>0</v>
      </c>
      <c r="EK816" s="2" t="n">
        <v>100</v>
      </c>
      <c r="EL816" s="2" t="n">
        <v>100</v>
      </c>
      <c r="EM816" s="2" t="n">
        <v>0</v>
      </c>
      <c r="EN816" s="2" t="n">
        <v>100</v>
      </c>
      <c r="EO816" s="2" t="n">
        <v>100</v>
      </c>
      <c r="EP816" s="2" t="n">
        <v>0</v>
      </c>
      <c r="EQ816" s="2" t="n">
        <v>100</v>
      </c>
      <c r="ER816" s="2" t="n">
        <v>100</v>
      </c>
      <c r="ES816" s="2" t="n">
        <v>0</v>
      </c>
    </row>
    <row r="817">
      <c r="A817" s="2" t="n">
        <v>3</v>
      </c>
      <c r="B817" s="2" t="inlineStr">
        <is>
          <t>33.01.01</t>
        </is>
      </c>
      <c r="C817" s="2" t="inlineStr">
        <is>
          <t>Chapisco rolado</t>
        </is>
      </c>
      <c r="D817" s="2" t="inlineStr">
        <is>
          <t>15/10/2027</t>
        </is>
      </c>
      <c r="E817" s="2" t="inlineStr">
        <is>
          <t>03/11/2028</t>
        </is>
      </c>
      <c r="F817" s="2" t="n">
        <v>166.08329732272</v>
      </c>
      <c r="G817" s="2" t="n">
        <v>0</v>
      </c>
      <c r="H817" s="2" t="n">
        <v>166.08329732272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0</v>
      </c>
      <c r="AL817" s="2" t="n">
        <v>0</v>
      </c>
      <c r="AM817" s="2" t="n">
        <v>0</v>
      </c>
      <c r="AN817" s="2" t="n">
        <v>0</v>
      </c>
      <c r="AO817" s="2" t="n">
        <v>0</v>
      </c>
      <c r="AP817" s="2" t="n">
        <v>0</v>
      </c>
      <c r="AQ817" s="2" t="n">
        <v>0</v>
      </c>
      <c r="AR817" s="2" t="n">
        <v>0</v>
      </c>
      <c r="AS817" s="2" t="n">
        <v>0</v>
      </c>
      <c r="AT817" s="2" t="n">
        <v>0</v>
      </c>
      <c r="AU817" s="2" t="n">
        <v>0</v>
      </c>
      <c r="AV817" s="2" t="n">
        <v>0</v>
      </c>
      <c r="AW817" s="2" t="n">
        <v>0</v>
      </c>
      <c r="AX817" s="2" t="n">
        <v>0</v>
      </c>
      <c r="AY817" s="2" t="n">
        <v>0</v>
      </c>
      <c r="AZ817" s="2" t="n">
        <v>0</v>
      </c>
      <c r="BA817" s="2" t="n">
        <v>0</v>
      </c>
      <c r="BB817" s="2" t="n">
        <v>0</v>
      </c>
      <c r="BC817" s="2" t="n">
        <v>0</v>
      </c>
      <c r="BD817" s="2" t="n">
        <v>0</v>
      </c>
      <c r="BE817" s="2" t="n">
        <v>0</v>
      </c>
      <c r="BF817" s="2" t="n">
        <v>0</v>
      </c>
      <c r="BG817" s="2" t="n">
        <v>0</v>
      </c>
      <c r="BH817" s="2" t="n">
        <v>0</v>
      </c>
      <c r="BI817" s="2" t="n">
        <v>0</v>
      </c>
      <c r="BJ817" s="2" t="n">
        <v>0</v>
      </c>
      <c r="BK817" s="2" t="n">
        <v>0</v>
      </c>
      <c r="BL817" s="2" t="n">
        <v>0</v>
      </c>
      <c r="BM817" s="2" t="n">
        <v>0</v>
      </c>
      <c r="BN817" s="2" t="n">
        <v>0</v>
      </c>
      <c r="BO817" s="2" t="n">
        <v>0</v>
      </c>
      <c r="BP817" s="2" t="n">
        <v>0</v>
      </c>
      <c r="BQ817" s="2" t="n">
        <v>0</v>
      </c>
      <c r="BR817" s="2" t="n">
        <v>0</v>
      </c>
      <c r="BS817" s="2" t="n">
        <v>0</v>
      </c>
      <c r="BT817" s="2" t="n">
        <v>0</v>
      </c>
      <c r="BU817" s="2" t="n">
        <v>0</v>
      </c>
      <c r="BV817" s="2" t="n">
        <v>0</v>
      </c>
      <c r="BW817" s="2" t="n">
        <v>0</v>
      </c>
      <c r="BX817" s="2" t="n">
        <v>0</v>
      </c>
      <c r="BY817" s="2" t="n">
        <v>0</v>
      </c>
      <c r="BZ817" s="2" t="n">
        <v>0</v>
      </c>
      <c r="CA817" s="2" t="n">
        <v>0</v>
      </c>
      <c r="CB817" s="2" t="n">
        <v>0</v>
      </c>
      <c r="CC817" s="2" t="n">
        <v>0</v>
      </c>
      <c r="CD817" s="2" t="n">
        <v>0</v>
      </c>
      <c r="CE817" s="2" t="n">
        <v>0</v>
      </c>
      <c r="CF817" s="2" t="n">
        <v>0</v>
      </c>
      <c r="CG817" s="2" t="n">
        <v>0</v>
      </c>
      <c r="CH817" s="2" t="n">
        <v>0</v>
      </c>
      <c r="CI817" s="2" t="n">
        <v>0</v>
      </c>
      <c r="CJ817" s="2" t="n">
        <v>0</v>
      </c>
      <c r="CK817" s="2" t="n">
        <v>0</v>
      </c>
      <c r="CL817" s="2" t="n">
        <v>0</v>
      </c>
      <c r="CM817" s="2" t="n">
        <v>0</v>
      </c>
      <c r="CN817" s="2" t="n">
        <v>0</v>
      </c>
      <c r="CO817" s="2" t="n">
        <v>2.12</v>
      </c>
      <c r="CP817" s="2" t="n">
        <v>3.89</v>
      </c>
      <c r="CQ817" s="2" t="n">
        <v>0</v>
      </c>
      <c r="CR817" s="2" t="n">
        <v>9.779999999999999</v>
      </c>
      <c r="CS817" s="2" t="n">
        <v>11.59</v>
      </c>
      <c r="CT817" s="2" t="n">
        <v>0</v>
      </c>
      <c r="CU817" s="2" t="n">
        <v>16.33</v>
      </c>
      <c r="CV817" s="2" t="n">
        <v>18.17</v>
      </c>
      <c r="CW817" s="2" t="n">
        <v>0</v>
      </c>
      <c r="CX817" s="2" t="n">
        <v>24.98</v>
      </c>
      <c r="CY817" s="2" t="n">
        <v>26.79</v>
      </c>
      <c r="CZ817" s="2" t="n">
        <v>0</v>
      </c>
      <c r="DA817" s="2" t="n">
        <v>34.65</v>
      </c>
      <c r="DB817" s="2" t="n">
        <v>36.81</v>
      </c>
      <c r="DC817" s="2" t="n">
        <v>0</v>
      </c>
      <c r="DD817" s="2" t="n">
        <v>51.63</v>
      </c>
      <c r="DE817" s="2" t="n">
        <v>53.78</v>
      </c>
      <c r="DF817" s="2" t="n">
        <v>0</v>
      </c>
      <c r="DG817" s="2" t="n">
        <v>60.52</v>
      </c>
      <c r="DH817" s="2" t="n">
        <v>62.3</v>
      </c>
      <c r="DI817" s="2" t="n">
        <v>0</v>
      </c>
      <c r="DJ817" s="2" t="n">
        <v>69.73999999999999</v>
      </c>
      <c r="DK817" s="2" t="n">
        <v>71.51000000000001</v>
      </c>
      <c r="DL817" s="2" t="n">
        <v>0</v>
      </c>
      <c r="DM817" s="2" t="n">
        <v>77.18000000000001</v>
      </c>
      <c r="DN817" s="2" t="n">
        <v>79.36</v>
      </c>
      <c r="DO817" s="2" t="n">
        <v>0</v>
      </c>
      <c r="DP817" s="2" t="n">
        <v>85.03</v>
      </c>
      <c r="DQ817" s="2" t="n">
        <v>86.84999999999999</v>
      </c>
      <c r="DR817" s="2" t="n">
        <v>0</v>
      </c>
      <c r="DS817" s="2" t="n">
        <v>92.65000000000001</v>
      </c>
      <c r="DT817" s="2" t="n">
        <v>95.09999999999999</v>
      </c>
      <c r="DU817" s="2" t="n">
        <v>0</v>
      </c>
      <c r="DV817" s="2" t="n">
        <v>95.78</v>
      </c>
      <c r="DW817" s="2" t="n">
        <v>96.81</v>
      </c>
      <c r="DX817" s="2" t="n">
        <v>0</v>
      </c>
      <c r="DY817" s="2" t="n">
        <v>96.81</v>
      </c>
      <c r="DZ817" s="2" t="n">
        <v>99.09</v>
      </c>
      <c r="EA817" s="2" t="n">
        <v>0</v>
      </c>
      <c r="EB817" s="2" t="n">
        <v>100</v>
      </c>
      <c r="EC817" s="2" t="n">
        <v>100</v>
      </c>
      <c r="ED817" s="2" t="n">
        <v>0</v>
      </c>
      <c r="EE817" s="2" t="n">
        <v>100</v>
      </c>
      <c r="EF817" s="2" t="n">
        <v>100</v>
      </c>
      <c r="EG817" s="2" t="n">
        <v>0</v>
      </c>
      <c r="EH817" s="2" t="n">
        <v>100</v>
      </c>
      <c r="EI817" s="2" t="n">
        <v>100</v>
      </c>
      <c r="EJ817" s="2" t="n">
        <v>0</v>
      </c>
      <c r="EK817" s="2" t="n">
        <v>100</v>
      </c>
      <c r="EL817" s="2" t="n">
        <v>100</v>
      </c>
      <c r="EM817" s="2" t="n">
        <v>0</v>
      </c>
      <c r="EN817" s="2" t="n">
        <v>100</v>
      </c>
      <c r="EO817" s="2" t="n">
        <v>100</v>
      </c>
      <c r="EP817" s="2" t="n">
        <v>0</v>
      </c>
      <c r="EQ817" s="2" t="n">
        <v>100</v>
      </c>
      <c r="ER817" s="2" t="n">
        <v>100</v>
      </c>
      <c r="ES817" s="2" t="n">
        <v>0</v>
      </c>
    </row>
    <row r="818">
      <c r="A818" s="2" t="n">
        <v>3</v>
      </c>
      <c r="B818" s="2" t="inlineStr">
        <is>
          <t>33.01.02</t>
        </is>
      </c>
      <c r="C818" s="2" t="inlineStr">
        <is>
          <t>Gesso Corrido em Tetos</t>
        </is>
      </c>
      <c r="D818" s="2" t="inlineStr">
        <is>
          <t>15/10/2027</t>
        </is>
      </c>
      <c r="E818" s="2" t="inlineStr">
        <is>
          <t>03/11/2028</t>
        </is>
      </c>
      <c r="F818" s="2" t="n">
        <v>453.1109290490664</v>
      </c>
      <c r="G818" s="2" t="n">
        <v>0</v>
      </c>
      <c r="H818" s="2" t="n">
        <v>453.1109290490664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0</v>
      </c>
      <c r="AM818" s="2" t="n">
        <v>0</v>
      </c>
      <c r="AN818" s="2" t="n">
        <v>0</v>
      </c>
      <c r="AO818" s="2" t="n">
        <v>0</v>
      </c>
      <c r="AP818" s="2" t="n">
        <v>0</v>
      </c>
      <c r="AQ818" s="2" t="n">
        <v>0</v>
      </c>
      <c r="AR818" s="2" t="n">
        <v>0</v>
      </c>
      <c r="AS818" s="2" t="n">
        <v>0</v>
      </c>
      <c r="AT818" s="2" t="n">
        <v>0</v>
      </c>
      <c r="AU818" s="2" t="n">
        <v>0</v>
      </c>
      <c r="AV818" s="2" t="n">
        <v>0</v>
      </c>
      <c r="AW818" s="2" t="n">
        <v>0</v>
      </c>
      <c r="AX818" s="2" t="n">
        <v>0</v>
      </c>
      <c r="AY818" s="2" t="n">
        <v>0</v>
      </c>
      <c r="AZ818" s="2" t="n">
        <v>0</v>
      </c>
      <c r="BA818" s="2" t="n">
        <v>0</v>
      </c>
      <c r="BB818" s="2" t="n">
        <v>0</v>
      </c>
      <c r="BC818" s="2" t="n">
        <v>0</v>
      </c>
      <c r="BD818" s="2" t="n">
        <v>0</v>
      </c>
      <c r="BE818" s="2" t="n">
        <v>0</v>
      </c>
      <c r="BF818" s="2" t="n">
        <v>0</v>
      </c>
      <c r="BG818" s="2" t="n">
        <v>0</v>
      </c>
      <c r="BH818" s="2" t="n">
        <v>0</v>
      </c>
      <c r="BI818" s="2" t="n">
        <v>0</v>
      </c>
      <c r="BJ818" s="2" t="n">
        <v>0</v>
      </c>
      <c r="BK818" s="2" t="n">
        <v>0</v>
      </c>
      <c r="BL818" s="2" t="n">
        <v>0</v>
      </c>
      <c r="BM818" s="2" t="n">
        <v>0</v>
      </c>
      <c r="BN818" s="2" t="n">
        <v>0</v>
      </c>
      <c r="BO818" s="2" t="n">
        <v>0</v>
      </c>
      <c r="BP818" s="2" t="n">
        <v>0</v>
      </c>
      <c r="BQ818" s="2" t="n">
        <v>0</v>
      </c>
      <c r="BR818" s="2" t="n">
        <v>0</v>
      </c>
      <c r="BS818" s="2" t="n">
        <v>0</v>
      </c>
      <c r="BT818" s="2" t="n">
        <v>0</v>
      </c>
      <c r="BU818" s="2" t="n">
        <v>0</v>
      </c>
      <c r="BV818" s="2" t="n">
        <v>0</v>
      </c>
      <c r="BW818" s="2" t="n">
        <v>0</v>
      </c>
      <c r="BX818" s="2" t="n">
        <v>0</v>
      </c>
      <c r="BY818" s="2" t="n">
        <v>0</v>
      </c>
      <c r="BZ818" s="2" t="n">
        <v>0</v>
      </c>
      <c r="CA818" s="2" t="n">
        <v>0</v>
      </c>
      <c r="CB818" s="2" t="n">
        <v>0</v>
      </c>
      <c r="CC818" s="2" t="n">
        <v>0</v>
      </c>
      <c r="CD818" s="2" t="n">
        <v>0</v>
      </c>
      <c r="CE818" s="2" t="n">
        <v>0</v>
      </c>
      <c r="CF818" s="2" t="n">
        <v>0</v>
      </c>
      <c r="CG818" s="2" t="n">
        <v>0</v>
      </c>
      <c r="CH818" s="2" t="n">
        <v>0</v>
      </c>
      <c r="CI818" s="2" t="n">
        <v>0</v>
      </c>
      <c r="CJ818" s="2" t="n">
        <v>0</v>
      </c>
      <c r="CK818" s="2" t="n">
        <v>0</v>
      </c>
      <c r="CL818" s="2" t="n">
        <v>0</v>
      </c>
      <c r="CM818" s="2" t="n">
        <v>0</v>
      </c>
      <c r="CN818" s="2" t="n">
        <v>0</v>
      </c>
      <c r="CO818" s="2" t="n">
        <v>2.12</v>
      </c>
      <c r="CP818" s="2" t="n">
        <v>3.89</v>
      </c>
      <c r="CQ818" s="2" t="n">
        <v>0</v>
      </c>
      <c r="CR818" s="2" t="n">
        <v>9.779999999999999</v>
      </c>
      <c r="CS818" s="2" t="n">
        <v>11.59</v>
      </c>
      <c r="CT818" s="2" t="n">
        <v>0</v>
      </c>
      <c r="CU818" s="2" t="n">
        <v>16.33</v>
      </c>
      <c r="CV818" s="2" t="n">
        <v>18.17</v>
      </c>
      <c r="CW818" s="2" t="n">
        <v>0</v>
      </c>
      <c r="CX818" s="2" t="n">
        <v>24.98</v>
      </c>
      <c r="CY818" s="2" t="n">
        <v>26.79</v>
      </c>
      <c r="CZ818" s="2" t="n">
        <v>0</v>
      </c>
      <c r="DA818" s="2" t="n">
        <v>34.65</v>
      </c>
      <c r="DB818" s="2" t="n">
        <v>36.81</v>
      </c>
      <c r="DC818" s="2" t="n">
        <v>0</v>
      </c>
      <c r="DD818" s="2" t="n">
        <v>51.63</v>
      </c>
      <c r="DE818" s="2" t="n">
        <v>53.78</v>
      </c>
      <c r="DF818" s="2" t="n">
        <v>0</v>
      </c>
      <c r="DG818" s="2" t="n">
        <v>60.52</v>
      </c>
      <c r="DH818" s="2" t="n">
        <v>62.3</v>
      </c>
      <c r="DI818" s="2" t="n">
        <v>0</v>
      </c>
      <c r="DJ818" s="2" t="n">
        <v>69.73999999999999</v>
      </c>
      <c r="DK818" s="2" t="n">
        <v>71.51000000000001</v>
      </c>
      <c r="DL818" s="2" t="n">
        <v>0</v>
      </c>
      <c r="DM818" s="2" t="n">
        <v>77.18000000000001</v>
      </c>
      <c r="DN818" s="2" t="n">
        <v>79.36</v>
      </c>
      <c r="DO818" s="2" t="n">
        <v>0</v>
      </c>
      <c r="DP818" s="2" t="n">
        <v>85.03</v>
      </c>
      <c r="DQ818" s="2" t="n">
        <v>86.84999999999999</v>
      </c>
      <c r="DR818" s="2" t="n">
        <v>0</v>
      </c>
      <c r="DS818" s="2" t="n">
        <v>92.65000000000001</v>
      </c>
      <c r="DT818" s="2" t="n">
        <v>95.09999999999999</v>
      </c>
      <c r="DU818" s="2" t="n">
        <v>0</v>
      </c>
      <c r="DV818" s="2" t="n">
        <v>95.78</v>
      </c>
      <c r="DW818" s="2" t="n">
        <v>96.81</v>
      </c>
      <c r="DX818" s="2" t="n">
        <v>0</v>
      </c>
      <c r="DY818" s="2" t="n">
        <v>96.81</v>
      </c>
      <c r="DZ818" s="2" t="n">
        <v>99.09</v>
      </c>
      <c r="EA818" s="2" t="n">
        <v>0</v>
      </c>
      <c r="EB818" s="2" t="n">
        <v>100</v>
      </c>
      <c r="EC818" s="2" t="n">
        <v>100</v>
      </c>
      <c r="ED818" s="2" t="n">
        <v>0</v>
      </c>
      <c r="EE818" s="2" t="n">
        <v>100</v>
      </c>
      <c r="EF818" s="2" t="n">
        <v>100</v>
      </c>
      <c r="EG818" s="2" t="n">
        <v>0</v>
      </c>
      <c r="EH818" s="2" t="n">
        <v>100</v>
      </c>
      <c r="EI818" s="2" t="n">
        <v>100</v>
      </c>
      <c r="EJ818" s="2" t="n">
        <v>0</v>
      </c>
      <c r="EK818" s="2" t="n">
        <v>100</v>
      </c>
      <c r="EL818" s="2" t="n">
        <v>100</v>
      </c>
      <c r="EM818" s="2" t="n">
        <v>0</v>
      </c>
      <c r="EN818" s="2" t="n">
        <v>100</v>
      </c>
      <c r="EO818" s="2" t="n">
        <v>100</v>
      </c>
      <c r="EP818" s="2" t="n">
        <v>0</v>
      </c>
      <c r="EQ818" s="2" t="n">
        <v>100</v>
      </c>
      <c r="ER818" s="2" t="n">
        <v>100</v>
      </c>
      <c r="ES818" s="2" t="n">
        <v>0</v>
      </c>
    </row>
    <row r="819">
      <c r="A819" s="2" t="n">
        <v>3</v>
      </c>
      <c r="B819" s="2" t="inlineStr">
        <is>
          <t>33.01.03</t>
        </is>
      </c>
      <c r="C819" s="2" t="inlineStr">
        <is>
          <t>Forro de gesso acartonado</t>
        </is>
      </c>
      <c r="D819" s="2" t="inlineStr">
        <is>
          <t>15/10/2027</t>
        </is>
      </c>
      <c r="E819" s="2" t="inlineStr">
        <is>
          <t>03/11/2028</t>
        </is>
      </c>
      <c r="F819" s="2" t="n">
        <v>1071671.256</v>
      </c>
      <c r="G819" s="2" t="n">
        <v>0</v>
      </c>
      <c r="H819" s="2" t="n">
        <v>1071671.256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0</v>
      </c>
      <c r="AM819" s="2" t="n">
        <v>0</v>
      </c>
      <c r="AN819" s="2" t="n">
        <v>0</v>
      </c>
      <c r="AO819" s="2" t="n">
        <v>0</v>
      </c>
      <c r="AP819" s="2" t="n">
        <v>0</v>
      </c>
      <c r="AQ819" s="2" t="n">
        <v>0</v>
      </c>
      <c r="AR819" s="2" t="n">
        <v>0</v>
      </c>
      <c r="AS819" s="2" t="n">
        <v>0</v>
      </c>
      <c r="AT819" s="2" t="n">
        <v>0</v>
      </c>
      <c r="AU819" s="2" t="n">
        <v>0</v>
      </c>
      <c r="AV819" s="2" t="n">
        <v>0</v>
      </c>
      <c r="AW819" s="2" t="n">
        <v>0</v>
      </c>
      <c r="AX819" s="2" t="n">
        <v>0</v>
      </c>
      <c r="AY819" s="2" t="n">
        <v>0</v>
      </c>
      <c r="AZ819" s="2" t="n">
        <v>0</v>
      </c>
      <c r="BA819" s="2" t="n">
        <v>0</v>
      </c>
      <c r="BB819" s="2" t="n">
        <v>0</v>
      </c>
      <c r="BC819" s="2" t="n">
        <v>0</v>
      </c>
      <c r="BD819" s="2" t="n">
        <v>0</v>
      </c>
      <c r="BE819" s="2" t="n">
        <v>0</v>
      </c>
      <c r="BF819" s="2" t="n">
        <v>0</v>
      </c>
      <c r="BG819" s="2" t="n">
        <v>0</v>
      </c>
      <c r="BH819" s="2" t="n">
        <v>0</v>
      </c>
      <c r="BI819" s="2" t="n">
        <v>0</v>
      </c>
      <c r="BJ819" s="2" t="n">
        <v>0</v>
      </c>
      <c r="BK819" s="2" t="n">
        <v>0</v>
      </c>
      <c r="BL819" s="2" t="n">
        <v>0</v>
      </c>
      <c r="BM819" s="2" t="n">
        <v>0</v>
      </c>
      <c r="BN819" s="2" t="n">
        <v>0</v>
      </c>
      <c r="BO819" s="2" t="n">
        <v>0</v>
      </c>
      <c r="BP819" s="2" t="n">
        <v>0</v>
      </c>
      <c r="BQ819" s="2" t="n">
        <v>0</v>
      </c>
      <c r="BR819" s="2" t="n">
        <v>0</v>
      </c>
      <c r="BS819" s="2" t="n">
        <v>0</v>
      </c>
      <c r="BT819" s="2" t="n">
        <v>0</v>
      </c>
      <c r="BU819" s="2" t="n">
        <v>0</v>
      </c>
      <c r="BV819" s="2" t="n">
        <v>0</v>
      </c>
      <c r="BW819" s="2" t="n">
        <v>0</v>
      </c>
      <c r="BX819" s="2" t="n">
        <v>0</v>
      </c>
      <c r="BY819" s="2" t="n">
        <v>0</v>
      </c>
      <c r="BZ819" s="2" t="n">
        <v>0</v>
      </c>
      <c r="CA819" s="2" t="n">
        <v>0</v>
      </c>
      <c r="CB819" s="2" t="n">
        <v>0</v>
      </c>
      <c r="CC819" s="2" t="n">
        <v>0</v>
      </c>
      <c r="CD819" s="2" t="n">
        <v>0</v>
      </c>
      <c r="CE819" s="2" t="n">
        <v>0</v>
      </c>
      <c r="CF819" s="2" t="n">
        <v>0</v>
      </c>
      <c r="CG819" s="2" t="n">
        <v>0</v>
      </c>
      <c r="CH819" s="2" t="n">
        <v>0</v>
      </c>
      <c r="CI819" s="2" t="n">
        <v>0</v>
      </c>
      <c r="CJ819" s="2" t="n">
        <v>0</v>
      </c>
      <c r="CK819" s="2" t="n">
        <v>0</v>
      </c>
      <c r="CL819" s="2" t="n">
        <v>0</v>
      </c>
      <c r="CM819" s="2" t="n">
        <v>0</v>
      </c>
      <c r="CN819" s="2" t="n">
        <v>0</v>
      </c>
      <c r="CO819" s="2" t="n">
        <v>2.12</v>
      </c>
      <c r="CP819" s="2" t="n">
        <v>3.89</v>
      </c>
      <c r="CQ819" s="2" t="n">
        <v>0</v>
      </c>
      <c r="CR819" s="2" t="n">
        <v>9.779999999999999</v>
      </c>
      <c r="CS819" s="2" t="n">
        <v>11.59</v>
      </c>
      <c r="CT819" s="2" t="n">
        <v>0</v>
      </c>
      <c r="CU819" s="2" t="n">
        <v>16.33</v>
      </c>
      <c r="CV819" s="2" t="n">
        <v>18.17</v>
      </c>
      <c r="CW819" s="2" t="n">
        <v>0</v>
      </c>
      <c r="CX819" s="2" t="n">
        <v>24.98</v>
      </c>
      <c r="CY819" s="2" t="n">
        <v>26.79</v>
      </c>
      <c r="CZ819" s="2" t="n">
        <v>0</v>
      </c>
      <c r="DA819" s="2" t="n">
        <v>34.65</v>
      </c>
      <c r="DB819" s="2" t="n">
        <v>36.81</v>
      </c>
      <c r="DC819" s="2" t="n">
        <v>0</v>
      </c>
      <c r="DD819" s="2" t="n">
        <v>51.63</v>
      </c>
      <c r="DE819" s="2" t="n">
        <v>53.78</v>
      </c>
      <c r="DF819" s="2" t="n">
        <v>0</v>
      </c>
      <c r="DG819" s="2" t="n">
        <v>60.52</v>
      </c>
      <c r="DH819" s="2" t="n">
        <v>62.3</v>
      </c>
      <c r="DI819" s="2" t="n">
        <v>0</v>
      </c>
      <c r="DJ819" s="2" t="n">
        <v>69.73999999999999</v>
      </c>
      <c r="DK819" s="2" t="n">
        <v>71.51000000000001</v>
      </c>
      <c r="DL819" s="2" t="n">
        <v>0</v>
      </c>
      <c r="DM819" s="2" t="n">
        <v>77.18000000000001</v>
      </c>
      <c r="DN819" s="2" t="n">
        <v>79.36</v>
      </c>
      <c r="DO819" s="2" t="n">
        <v>0</v>
      </c>
      <c r="DP819" s="2" t="n">
        <v>85.03</v>
      </c>
      <c r="DQ819" s="2" t="n">
        <v>86.84999999999999</v>
      </c>
      <c r="DR819" s="2" t="n">
        <v>0</v>
      </c>
      <c r="DS819" s="2" t="n">
        <v>92.65000000000001</v>
      </c>
      <c r="DT819" s="2" t="n">
        <v>95.09999999999999</v>
      </c>
      <c r="DU819" s="2" t="n">
        <v>0</v>
      </c>
      <c r="DV819" s="2" t="n">
        <v>95.78</v>
      </c>
      <c r="DW819" s="2" t="n">
        <v>96.81</v>
      </c>
      <c r="DX819" s="2" t="n">
        <v>0</v>
      </c>
      <c r="DY819" s="2" t="n">
        <v>96.81</v>
      </c>
      <c r="DZ819" s="2" t="n">
        <v>99.09</v>
      </c>
      <c r="EA819" s="2" t="n">
        <v>0</v>
      </c>
      <c r="EB819" s="2" t="n">
        <v>100</v>
      </c>
      <c r="EC819" s="2" t="n">
        <v>100</v>
      </c>
      <c r="ED819" s="2" t="n">
        <v>0</v>
      </c>
      <c r="EE819" s="2" t="n">
        <v>100</v>
      </c>
      <c r="EF819" s="2" t="n">
        <v>100</v>
      </c>
      <c r="EG819" s="2" t="n">
        <v>0</v>
      </c>
      <c r="EH819" s="2" t="n">
        <v>100</v>
      </c>
      <c r="EI819" s="2" t="n">
        <v>100</v>
      </c>
      <c r="EJ819" s="2" t="n">
        <v>0</v>
      </c>
      <c r="EK819" s="2" t="n">
        <v>100</v>
      </c>
      <c r="EL819" s="2" t="n">
        <v>100</v>
      </c>
      <c r="EM819" s="2" t="n">
        <v>0</v>
      </c>
      <c r="EN819" s="2" t="n">
        <v>100</v>
      </c>
      <c r="EO819" s="2" t="n">
        <v>100</v>
      </c>
      <c r="EP819" s="2" t="n">
        <v>0</v>
      </c>
      <c r="EQ819" s="2" t="n">
        <v>100</v>
      </c>
      <c r="ER819" s="2" t="n">
        <v>100</v>
      </c>
      <c r="ES819" s="2" t="n">
        <v>0</v>
      </c>
    </row>
    <row r="820">
      <c r="A820" s="2" t="n">
        <v>3</v>
      </c>
      <c r="B820" s="2" t="inlineStr">
        <is>
          <t>33.01.04</t>
        </is>
      </c>
      <c r="C820" s="2" t="inlineStr">
        <is>
          <t>Sanca renovação de ar</t>
        </is>
      </c>
      <c r="D820" s="2" t="inlineStr">
        <is>
          <t>15/10/2027</t>
        </is>
      </c>
      <c r="E820" s="2" t="inlineStr">
        <is>
          <t>03/11/2028</t>
        </is>
      </c>
      <c r="F820" s="2" t="n">
        <v>1880.28</v>
      </c>
      <c r="G820" s="2" t="n">
        <v>0</v>
      </c>
      <c r="H820" s="2" t="n">
        <v>1880.28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0</v>
      </c>
      <c r="AM820" s="2" t="n">
        <v>0</v>
      </c>
      <c r="AN820" s="2" t="n">
        <v>0</v>
      </c>
      <c r="AO820" s="2" t="n">
        <v>0</v>
      </c>
      <c r="AP820" s="2" t="n">
        <v>0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0</v>
      </c>
      <c r="AV820" s="2" t="n">
        <v>0</v>
      </c>
      <c r="AW820" s="2" t="n">
        <v>0</v>
      </c>
      <c r="AX820" s="2" t="n">
        <v>0</v>
      </c>
      <c r="AY820" s="2" t="n">
        <v>0</v>
      </c>
      <c r="AZ820" s="2" t="n">
        <v>0</v>
      </c>
      <c r="BA820" s="2" t="n">
        <v>0</v>
      </c>
      <c r="BB820" s="2" t="n">
        <v>0</v>
      </c>
      <c r="BC820" s="2" t="n">
        <v>0</v>
      </c>
      <c r="BD820" s="2" t="n">
        <v>0</v>
      </c>
      <c r="BE820" s="2" t="n">
        <v>0</v>
      </c>
      <c r="BF820" s="2" t="n">
        <v>0</v>
      </c>
      <c r="BG820" s="2" t="n">
        <v>0</v>
      </c>
      <c r="BH820" s="2" t="n">
        <v>0</v>
      </c>
      <c r="BI820" s="2" t="n">
        <v>0</v>
      </c>
      <c r="BJ820" s="2" t="n">
        <v>0</v>
      </c>
      <c r="BK820" s="2" t="n">
        <v>0</v>
      </c>
      <c r="BL820" s="2" t="n">
        <v>0</v>
      </c>
      <c r="BM820" s="2" t="n">
        <v>0</v>
      </c>
      <c r="BN820" s="2" t="n">
        <v>0</v>
      </c>
      <c r="BO820" s="2" t="n">
        <v>0</v>
      </c>
      <c r="BP820" s="2" t="n">
        <v>0</v>
      </c>
      <c r="BQ820" s="2" t="n">
        <v>0</v>
      </c>
      <c r="BR820" s="2" t="n">
        <v>0</v>
      </c>
      <c r="BS820" s="2" t="n">
        <v>0</v>
      </c>
      <c r="BT820" s="2" t="n">
        <v>0</v>
      </c>
      <c r="BU820" s="2" t="n">
        <v>0</v>
      </c>
      <c r="BV820" s="2" t="n">
        <v>0</v>
      </c>
      <c r="BW820" s="2" t="n">
        <v>0</v>
      </c>
      <c r="BX820" s="2" t="n">
        <v>0</v>
      </c>
      <c r="BY820" s="2" t="n">
        <v>0</v>
      </c>
      <c r="BZ820" s="2" t="n">
        <v>0</v>
      </c>
      <c r="CA820" s="2" t="n">
        <v>0</v>
      </c>
      <c r="CB820" s="2" t="n">
        <v>0</v>
      </c>
      <c r="CC820" s="2" t="n">
        <v>0</v>
      </c>
      <c r="CD820" s="2" t="n">
        <v>0</v>
      </c>
      <c r="CE820" s="2" t="n">
        <v>0</v>
      </c>
      <c r="CF820" s="2" t="n">
        <v>0</v>
      </c>
      <c r="CG820" s="2" t="n">
        <v>0</v>
      </c>
      <c r="CH820" s="2" t="n">
        <v>0</v>
      </c>
      <c r="CI820" s="2" t="n">
        <v>0</v>
      </c>
      <c r="CJ820" s="2" t="n">
        <v>0</v>
      </c>
      <c r="CK820" s="2" t="n">
        <v>0</v>
      </c>
      <c r="CL820" s="2" t="n">
        <v>0</v>
      </c>
      <c r="CM820" s="2" t="n">
        <v>0</v>
      </c>
      <c r="CN820" s="2" t="n">
        <v>0</v>
      </c>
      <c r="CO820" s="2" t="n">
        <v>2.12</v>
      </c>
      <c r="CP820" s="2" t="n">
        <v>3.89</v>
      </c>
      <c r="CQ820" s="2" t="n">
        <v>0</v>
      </c>
      <c r="CR820" s="2" t="n">
        <v>9.779999999999999</v>
      </c>
      <c r="CS820" s="2" t="n">
        <v>11.59</v>
      </c>
      <c r="CT820" s="2" t="n">
        <v>0</v>
      </c>
      <c r="CU820" s="2" t="n">
        <v>16.33</v>
      </c>
      <c r="CV820" s="2" t="n">
        <v>18.17</v>
      </c>
      <c r="CW820" s="2" t="n">
        <v>0</v>
      </c>
      <c r="CX820" s="2" t="n">
        <v>24.98</v>
      </c>
      <c r="CY820" s="2" t="n">
        <v>26.79</v>
      </c>
      <c r="CZ820" s="2" t="n">
        <v>0</v>
      </c>
      <c r="DA820" s="2" t="n">
        <v>34.65</v>
      </c>
      <c r="DB820" s="2" t="n">
        <v>36.81</v>
      </c>
      <c r="DC820" s="2" t="n">
        <v>0</v>
      </c>
      <c r="DD820" s="2" t="n">
        <v>51.63</v>
      </c>
      <c r="DE820" s="2" t="n">
        <v>53.78</v>
      </c>
      <c r="DF820" s="2" t="n">
        <v>0</v>
      </c>
      <c r="DG820" s="2" t="n">
        <v>60.52</v>
      </c>
      <c r="DH820" s="2" t="n">
        <v>62.3</v>
      </c>
      <c r="DI820" s="2" t="n">
        <v>0</v>
      </c>
      <c r="DJ820" s="2" t="n">
        <v>69.73999999999999</v>
      </c>
      <c r="DK820" s="2" t="n">
        <v>71.51000000000001</v>
      </c>
      <c r="DL820" s="2" t="n">
        <v>0</v>
      </c>
      <c r="DM820" s="2" t="n">
        <v>77.18000000000001</v>
      </c>
      <c r="DN820" s="2" t="n">
        <v>79.36</v>
      </c>
      <c r="DO820" s="2" t="n">
        <v>0</v>
      </c>
      <c r="DP820" s="2" t="n">
        <v>85.03</v>
      </c>
      <c r="DQ820" s="2" t="n">
        <v>86.84999999999999</v>
      </c>
      <c r="DR820" s="2" t="n">
        <v>0</v>
      </c>
      <c r="DS820" s="2" t="n">
        <v>92.65000000000001</v>
      </c>
      <c r="DT820" s="2" t="n">
        <v>95.09999999999999</v>
      </c>
      <c r="DU820" s="2" t="n">
        <v>0</v>
      </c>
      <c r="DV820" s="2" t="n">
        <v>95.78</v>
      </c>
      <c r="DW820" s="2" t="n">
        <v>96.81</v>
      </c>
      <c r="DX820" s="2" t="n">
        <v>0</v>
      </c>
      <c r="DY820" s="2" t="n">
        <v>96.81</v>
      </c>
      <c r="DZ820" s="2" t="n">
        <v>99.09</v>
      </c>
      <c r="EA820" s="2" t="n">
        <v>0</v>
      </c>
      <c r="EB820" s="2" t="n">
        <v>100</v>
      </c>
      <c r="EC820" s="2" t="n">
        <v>100</v>
      </c>
      <c r="ED820" s="2" t="n">
        <v>0</v>
      </c>
      <c r="EE820" s="2" t="n">
        <v>100</v>
      </c>
      <c r="EF820" s="2" t="n">
        <v>100</v>
      </c>
      <c r="EG820" s="2" t="n">
        <v>0</v>
      </c>
      <c r="EH820" s="2" t="n">
        <v>100</v>
      </c>
      <c r="EI820" s="2" t="n">
        <v>100</v>
      </c>
      <c r="EJ820" s="2" t="n">
        <v>0</v>
      </c>
      <c r="EK820" s="2" t="n">
        <v>100</v>
      </c>
      <c r="EL820" s="2" t="n">
        <v>100</v>
      </c>
      <c r="EM820" s="2" t="n">
        <v>0</v>
      </c>
      <c r="EN820" s="2" t="n">
        <v>100</v>
      </c>
      <c r="EO820" s="2" t="n">
        <v>100</v>
      </c>
      <c r="EP820" s="2" t="n">
        <v>0</v>
      </c>
      <c r="EQ820" s="2" t="n">
        <v>100</v>
      </c>
      <c r="ER820" s="2" t="n">
        <v>100</v>
      </c>
      <c r="ES820" s="2" t="n">
        <v>0</v>
      </c>
    </row>
    <row r="821">
      <c r="A821" s="2" t="n">
        <v>3</v>
      </c>
      <c r="B821" s="2" t="inlineStr">
        <is>
          <t>33.01.05</t>
        </is>
      </c>
      <c r="C821" s="2" t="inlineStr">
        <is>
          <t>Moldura de 50cm</t>
        </is>
      </c>
      <c r="D821" s="2" t="inlineStr">
        <is>
          <t>15/10/2027</t>
        </is>
      </c>
      <c r="E821" s="2" t="inlineStr">
        <is>
          <t>03/11/2028</t>
        </is>
      </c>
      <c r="F821" s="2" t="n">
        <v>4171.416</v>
      </c>
      <c r="G821" s="2" t="n">
        <v>0</v>
      </c>
      <c r="H821" s="2" t="n">
        <v>4171.416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0</v>
      </c>
      <c r="AL821" s="2" t="n">
        <v>0</v>
      </c>
      <c r="AM821" s="2" t="n">
        <v>0</v>
      </c>
      <c r="AN821" s="2" t="n">
        <v>0</v>
      </c>
      <c r="AO821" s="2" t="n">
        <v>0</v>
      </c>
      <c r="AP821" s="2" t="n">
        <v>0</v>
      </c>
      <c r="AQ821" s="2" t="n">
        <v>0</v>
      </c>
      <c r="AR821" s="2" t="n">
        <v>0</v>
      </c>
      <c r="AS821" s="2" t="n">
        <v>0</v>
      </c>
      <c r="AT821" s="2" t="n">
        <v>0</v>
      </c>
      <c r="AU821" s="2" t="n">
        <v>0</v>
      </c>
      <c r="AV821" s="2" t="n">
        <v>0</v>
      </c>
      <c r="AW821" s="2" t="n">
        <v>0</v>
      </c>
      <c r="AX821" s="2" t="n">
        <v>0</v>
      </c>
      <c r="AY821" s="2" t="n">
        <v>0</v>
      </c>
      <c r="AZ821" s="2" t="n">
        <v>0</v>
      </c>
      <c r="BA821" s="2" t="n">
        <v>0</v>
      </c>
      <c r="BB821" s="2" t="n">
        <v>0</v>
      </c>
      <c r="BC821" s="2" t="n">
        <v>0</v>
      </c>
      <c r="BD821" s="2" t="n">
        <v>0</v>
      </c>
      <c r="BE821" s="2" t="n">
        <v>0</v>
      </c>
      <c r="BF821" s="2" t="n">
        <v>0</v>
      </c>
      <c r="BG821" s="2" t="n">
        <v>0</v>
      </c>
      <c r="BH821" s="2" t="n">
        <v>0</v>
      </c>
      <c r="BI821" s="2" t="n">
        <v>0</v>
      </c>
      <c r="BJ821" s="2" t="n">
        <v>0</v>
      </c>
      <c r="BK821" s="2" t="n">
        <v>0</v>
      </c>
      <c r="BL821" s="2" t="n">
        <v>0</v>
      </c>
      <c r="BM821" s="2" t="n">
        <v>0</v>
      </c>
      <c r="BN821" s="2" t="n">
        <v>0</v>
      </c>
      <c r="BO821" s="2" t="n">
        <v>0</v>
      </c>
      <c r="BP821" s="2" t="n">
        <v>0</v>
      </c>
      <c r="BQ821" s="2" t="n">
        <v>0</v>
      </c>
      <c r="BR821" s="2" t="n">
        <v>0</v>
      </c>
      <c r="BS821" s="2" t="n">
        <v>0</v>
      </c>
      <c r="BT821" s="2" t="n">
        <v>0</v>
      </c>
      <c r="BU821" s="2" t="n">
        <v>0</v>
      </c>
      <c r="BV821" s="2" t="n">
        <v>0</v>
      </c>
      <c r="BW821" s="2" t="n">
        <v>0</v>
      </c>
      <c r="BX821" s="2" t="n">
        <v>0</v>
      </c>
      <c r="BY821" s="2" t="n">
        <v>0</v>
      </c>
      <c r="BZ821" s="2" t="n">
        <v>0</v>
      </c>
      <c r="CA821" s="2" t="n">
        <v>0</v>
      </c>
      <c r="CB821" s="2" t="n">
        <v>0</v>
      </c>
      <c r="CC821" s="2" t="n">
        <v>0</v>
      </c>
      <c r="CD821" s="2" t="n">
        <v>0</v>
      </c>
      <c r="CE821" s="2" t="n">
        <v>0</v>
      </c>
      <c r="CF821" s="2" t="n">
        <v>0</v>
      </c>
      <c r="CG821" s="2" t="n">
        <v>0</v>
      </c>
      <c r="CH821" s="2" t="n">
        <v>0</v>
      </c>
      <c r="CI821" s="2" t="n">
        <v>0</v>
      </c>
      <c r="CJ821" s="2" t="n">
        <v>0</v>
      </c>
      <c r="CK821" s="2" t="n">
        <v>0</v>
      </c>
      <c r="CL821" s="2" t="n">
        <v>0</v>
      </c>
      <c r="CM821" s="2" t="n">
        <v>0</v>
      </c>
      <c r="CN821" s="2" t="n">
        <v>0</v>
      </c>
      <c r="CO821" s="2" t="n">
        <v>2.12</v>
      </c>
      <c r="CP821" s="2" t="n">
        <v>3.89</v>
      </c>
      <c r="CQ821" s="2" t="n">
        <v>0</v>
      </c>
      <c r="CR821" s="2" t="n">
        <v>9.779999999999999</v>
      </c>
      <c r="CS821" s="2" t="n">
        <v>11.59</v>
      </c>
      <c r="CT821" s="2" t="n">
        <v>0</v>
      </c>
      <c r="CU821" s="2" t="n">
        <v>16.33</v>
      </c>
      <c r="CV821" s="2" t="n">
        <v>18.17</v>
      </c>
      <c r="CW821" s="2" t="n">
        <v>0</v>
      </c>
      <c r="CX821" s="2" t="n">
        <v>24.98</v>
      </c>
      <c r="CY821" s="2" t="n">
        <v>26.79</v>
      </c>
      <c r="CZ821" s="2" t="n">
        <v>0</v>
      </c>
      <c r="DA821" s="2" t="n">
        <v>34.65</v>
      </c>
      <c r="DB821" s="2" t="n">
        <v>36.81</v>
      </c>
      <c r="DC821" s="2" t="n">
        <v>0</v>
      </c>
      <c r="DD821" s="2" t="n">
        <v>51.63</v>
      </c>
      <c r="DE821" s="2" t="n">
        <v>53.78</v>
      </c>
      <c r="DF821" s="2" t="n">
        <v>0</v>
      </c>
      <c r="DG821" s="2" t="n">
        <v>60.52</v>
      </c>
      <c r="DH821" s="2" t="n">
        <v>62.3</v>
      </c>
      <c r="DI821" s="2" t="n">
        <v>0</v>
      </c>
      <c r="DJ821" s="2" t="n">
        <v>69.73999999999999</v>
      </c>
      <c r="DK821" s="2" t="n">
        <v>71.51000000000001</v>
      </c>
      <c r="DL821" s="2" t="n">
        <v>0</v>
      </c>
      <c r="DM821" s="2" t="n">
        <v>77.18000000000001</v>
      </c>
      <c r="DN821" s="2" t="n">
        <v>79.36</v>
      </c>
      <c r="DO821" s="2" t="n">
        <v>0</v>
      </c>
      <c r="DP821" s="2" t="n">
        <v>85.03</v>
      </c>
      <c r="DQ821" s="2" t="n">
        <v>86.84999999999999</v>
      </c>
      <c r="DR821" s="2" t="n">
        <v>0</v>
      </c>
      <c r="DS821" s="2" t="n">
        <v>92.65000000000001</v>
      </c>
      <c r="DT821" s="2" t="n">
        <v>95.09999999999999</v>
      </c>
      <c r="DU821" s="2" t="n">
        <v>0</v>
      </c>
      <c r="DV821" s="2" t="n">
        <v>95.78</v>
      </c>
      <c r="DW821" s="2" t="n">
        <v>96.81</v>
      </c>
      <c r="DX821" s="2" t="n">
        <v>0</v>
      </c>
      <c r="DY821" s="2" t="n">
        <v>96.81</v>
      </c>
      <c r="DZ821" s="2" t="n">
        <v>99.09</v>
      </c>
      <c r="EA821" s="2" t="n">
        <v>0</v>
      </c>
      <c r="EB821" s="2" t="n">
        <v>100</v>
      </c>
      <c r="EC821" s="2" t="n">
        <v>100</v>
      </c>
      <c r="ED821" s="2" t="n">
        <v>0</v>
      </c>
      <c r="EE821" s="2" t="n">
        <v>100</v>
      </c>
      <c r="EF821" s="2" t="n">
        <v>100</v>
      </c>
      <c r="EG821" s="2" t="n">
        <v>0</v>
      </c>
      <c r="EH821" s="2" t="n">
        <v>100</v>
      </c>
      <c r="EI821" s="2" t="n">
        <v>100</v>
      </c>
      <c r="EJ821" s="2" t="n">
        <v>0</v>
      </c>
      <c r="EK821" s="2" t="n">
        <v>100</v>
      </c>
      <c r="EL821" s="2" t="n">
        <v>100</v>
      </c>
      <c r="EM821" s="2" t="n">
        <v>0</v>
      </c>
      <c r="EN821" s="2" t="n">
        <v>100</v>
      </c>
      <c r="EO821" s="2" t="n">
        <v>100</v>
      </c>
      <c r="EP821" s="2" t="n">
        <v>0</v>
      </c>
      <c r="EQ821" s="2" t="n">
        <v>100</v>
      </c>
      <c r="ER821" s="2" t="n">
        <v>100</v>
      </c>
      <c r="ES821" s="2" t="n">
        <v>0</v>
      </c>
    </row>
    <row r="822">
      <c r="A822" s="2" t="n">
        <v>3</v>
      </c>
      <c r="B822" s="2" t="inlineStr">
        <is>
          <t>33.01.06</t>
        </is>
      </c>
      <c r="C822" s="2" t="inlineStr">
        <is>
          <t>Tabica Metálica</t>
        </is>
      </c>
      <c r="D822" s="2" t="inlineStr">
        <is>
          <t>15/10/2027</t>
        </is>
      </c>
      <c r="E822" s="2" t="inlineStr">
        <is>
          <t>03/11/2028</t>
        </is>
      </c>
      <c r="F822" s="2" t="n">
        <v>612202.731</v>
      </c>
      <c r="G822" s="2" t="n">
        <v>0</v>
      </c>
      <c r="H822" s="2" t="n">
        <v>612202.731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0</v>
      </c>
      <c r="AL822" s="2" t="n">
        <v>0</v>
      </c>
      <c r="AM822" s="2" t="n">
        <v>0</v>
      </c>
      <c r="AN822" s="2" t="n">
        <v>0</v>
      </c>
      <c r="AO822" s="2" t="n">
        <v>0</v>
      </c>
      <c r="AP822" s="2" t="n">
        <v>0</v>
      </c>
      <c r="AQ822" s="2" t="n">
        <v>0</v>
      </c>
      <c r="AR822" s="2" t="n">
        <v>0</v>
      </c>
      <c r="AS822" s="2" t="n">
        <v>0</v>
      </c>
      <c r="AT822" s="2" t="n">
        <v>0</v>
      </c>
      <c r="AU822" s="2" t="n">
        <v>0</v>
      </c>
      <c r="AV822" s="2" t="n">
        <v>0</v>
      </c>
      <c r="AW822" s="2" t="n">
        <v>0</v>
      </c>
      <c r="AX822" s="2" t="n">
        <v>0</v>
      </c>
      <c r="AY822" s="2" t="n">
        <v>0</v>
      </c>
      <c r="AZ822" s="2" t="n">
        <v>0</v>
      </c>
      <c r="BA822" s="2" t="n">
        <v>0</v>
      </c>
      <c r="BB822" s="2" t="n">
        <v>0</v>
      </c>
      <c r="BC822" s="2" t="n">
        <v>0</v>
      </c>
      <c r="BD822" s="2" t="n">
        <v>0</v>
      </c>
      <c r="BE822" s="2" t="n">
        <v>0</v>
      </c>
      <c r="BF822" s="2" t="n">
        <v>0</v>
      </c>
      <c r="BG822" s="2" t="n">
        <v>0</v>
      </c>
      <c r="BH822" s="2" t="n">
        <v>0</v>
      </c>
      <c r="BI822" s="2" t="n">
        <v>0</v>
      </c>
      <c r="BJ822" s="2" t="n">
        <v>0</v>
      </c>
      <c r="BK822" s="2" t="n">
        <v>0</v>
      </c>
      <c r="BL822" s="2" t="n">
        <v>0</v>
      </c>
      <c r="BM822" s="2" t="n">
        <v>0</v>
      </c>
      <c r="BN822" s="2" t="n">
        <v>0</v>
      </c>
      <c r="BO822" s="2" t="n">
        <v>0</v>
      </c>
      <c r="BP822" s="2" t="n">
        <v>0</v>
      </c>
      <c r="BQ822" s="2" t="n">
        <v>0</v>
      </c>
      <c r="BR822" s="2" t="n">
        <v>0</v>
      </c>
      <c r="BS822" s="2" t="n">
        <v>0</v>
      </c>
      <c r="BT822" s="2" t="n">
        <v>0</v>
      </c>
      <c r="BU822" s="2" t="n">
        <v>0</v>
      </c>
      <c r="BV822" s="2" t="n">
        <v>0</v>
      </c>
      <c r="BW822" s="2" t="n">
        <v>0</v>
      </c>
      <c r="BX822" s="2" t="n">
        <v>0</v>
      </c>
      <c r="BY822" s="2" t="n">
        <v>0</v>
      </c>
      <c r="BZ822" s="2" t="n">
        <v>0</v>
      </c>
      <c r="CA822" s="2" t="n">
        <v>0</v>
      </c>
      <c r="CB822" s="2" t="n">
        <v>0</v>
      </c>
      <c r="CC822" s="2" t="n">
        <v>0</v>
      </c>
      <c r="CD822" s="2" t="n">
        <v>0</v>
      </c>
      <c r="CE822" s="2" t="n">
        <v>0</v>
      </c>
      <c r="CF822" s="2" t="n">
        <v>0</v>
      </c>
      <c r="CG822" s="2" t="n">
        <v>0</v>
      </c>
      <c r="CH822" s="2" t="n">
        <v>0</v>
      </c>
      <c r="CI822" s="2" t="n">
        <v>0</v>
      </c>
      <c r="CJ822" s="2" t="n">
        <v>0</v>
      </c>
      <c r="CK822" s="2" t="n">
        <v>0</v>
      </c>
      <c r="CL822" s="2" t="n">
        <v>0</v>
      </c>
      <c r="CM822" s="2" t="n">
        <v>0</v>
      </c>
      <c r="CN822" s="2" t="n">
        <v>0</v>
      </c>
      <c r="CO822" s="2" t="n">
        <v>2.12</v>
      </c>
      <c r="CP822" s="2" t="n">
        <v>3.89</v>
      </c>
      <c r="CQ822" s="2" t="n">
        <v>0</v>
      </c>
      <c r="CR822" s="2" t="n">
        <v>9.779999999999999</v>
      </c>
      <c r="CS822" s="2" t="n">
        <v>11.59</v>
      </c>
      <c r="CT822" s="2" t="n">
        <v>0</v>
      </c>
      <c r="CU822" s="2" t="n">
        <v>16.33</v>
      </c>
      <c r="CV822" s="2" t="n">
        <v>18.17</v>
      </c>
      <c r="CW822" s="2" t="n">
        <v>0</v>
      </c>
      <c r="CX822" s="2" t="n">
        <v>24.98</v>
      </c>
      <c r="CY822" s="2" t="n">
        <v>26.79</v>
      </c>
      <c r="CZ822" s="2" t="n">
        <v>0</v>
      </c>
      <c r="DA822" s="2" t="n">
        <v>34.65</v>
      </c>
      <c r="DB822" s="2" t="n">
        <v>36.81</v>
      </c>
      <c r="DC822" s="2" t="n">
        <v>0</v>
      </c>
      <c r="DD822" s="2" t="n">
        <v>51.63</v>
      </c>
      <c r="DE822" s="2" t="n">
        <v>53.78</v>
      </c>
      <c r="DF822" s="2" t="n">
        <v>0</v>
      </c>
      <c r="DG822" s="2" t="n">
        <v>60.52</v>
      </c>
      <c r="DH822" s="2" t="n">
        <v>62.3</v>
      </c>
      <c r="DI822" s="2" t="n">
        <v>0</v>
      </c>
      <c r="DJ822" s="2" t="n">
        <v>69.73999999999999</v>
      </c>
      <c r="DK822" s="2" t="n">
        <v>71.51000000000001</v>
      </c>
      <c r="DL822" s="2" t="n">
        <v>0</v>
      </c>
      <c r="DM822" s="2" t="n">
        <v>77.18000000000001</v>
      </c>
      <c r="DN822" s="2" t="n">
        <v>79.36</v>
      </c>
      <c r="DO822" s="2" t="n">
        <v>0</v>
      </c>
      <c r="DP822" s="2" t="n">
        <v>85.03</v>
      </c>
      <c r="DQ822" s="2" t="n">
        <v>86.84999999999999</v>
      </c>
      <c r="DR822" s="2" t="n">
        <v>0</v>
      </c>
      <c r="DS822" s="2" t="n">
        <v>92.65000000000001</v>
      </c>
      <c r="DT822" s="2" t="n">
        <v>95.09999999999999</v>
      </c>
      <c r="DU822" s="2" t="n">
        <v>0</v>
      </c>
      <c r="DV822" s="2" t="n">
        <v>95.78</v>
      </c>
      <c r="DW822" s="2" t="n">
        <v>96.81</v>
      </c>
      <c r="DX822" s="2" t="n">
        <v>0</v>
      </c>
      <c r="DY822" s="2" t="n">
        <v>96.81</v>
      </c>
      <c r="DZ822" s="2" t="n">
        <v>99.09</v>
      </c>
      <c r="EA822" s="2" t="n">
        <v>0</v>
      </c>
      <c r="EB822" s="2" t="n">
        <v>100</v>
      </c>
      <c r="EC822" s="2" t="n">
        <v>100</v>
      </c>
      <c r="ED822" s="2" t="n">
        <v>0</v>
      </c>
      <c r="EE822" s="2" t="n">
        <v>100</v>
      </c>
      <c r="EF822" s="2" t="n">
        <v>100</v>
      </c>
      <c r="EG822" s="2" t="n">
        <v>0</v>
      </c>
      <c r="EH822" s="2" t="n">
        <v>100</v>
      </c>
      <c r="EI822" s="2" t="n">
        <v>100</v>
      </c>
      <c r="EJ822" s="2" t="n">
        <v>0</v>
      </c>
      <c r="EK822" s="2" t="n">
        <v>100</v>
      </c>
      <c r="EL822" s="2" t="n">
        <v>100</v>
      </c>
      <c r="EM822" s="2" t="n">
        <v>0</v>
      </c>
      <c r="EN822" s="2" t="n">
        <v>100</v>
      </c>
      <c r="EO822" s="2" t="n">
        <v>100</v>
      </c>
      <c r="EP822" s="2" t="n">
        <v>0</v>
      </c>
      <c r="EQ822" s="2" t="n">
        <v>100</v>
      </c>
      <c r="ER822" s="2" t="n">
        <v>100</v>
      </c>
      <c r="ES822" s="2" t="n">
        <v>0</v>
      </c>
    </row>
    <row r="823">
      <c r="A823" s="2" t="n">
        <v>1</v>
      </c>
      <c r="B823" s="2" t="inlineStr">
        <is>
          <t>34</t>
        </is>
      </c>
      <c r="C823" s="2" t="inlineStr">
        <is>
          <t>LOUÇAS E METAIS</t>
        </is>
      </c>
      <c r="D823" s="2" t="inlineStr">
        <is>
          <t>01/03/2028</t>
        </is>
      </c>
      <c r="E823" s="2" t="inlineStr">
        <is>
          <t>05/02/2029</t>
        </is>
      </c>
      <c r="F823" s="2" t="n">
        <v>2050613.496965477</v>
      </c>
      <c r="G823" s="2" t="n">
        <v>0</v>
      </c>
      <c r="H823" s="2" t="n">
        <v>2050613.496965477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0</v>
      </c>
      <c r="AM823" s="2" t="n">
        <v>0</v>
      </c>
      <c r="AN823" s="2" t="n">
        <v>0</v>
      </c>
      <c r="AO823" s="2" t="n">
        <v>0</v>
      </c>
      <c r="AP823" s="2" t="n">
        <v>0</v>
      </c>
      <c r="AQ823" s="2" t="n">
        <v>0</v>
      </c>
      <c r="AR823" s="2" t="n">
        <v>0</v>
      </c>
      <c r="AS823" s="2" t="n">
        <v>0</v>
      </c>
      <c r="AT823" s="2" t="n">
        <v>0</v>
      </c>
      <c r="AU823" s="2" t="n">
        <v>0</v>
      </c>
      <c r="AV823" s="2" t="n">
        <v>0</v>
      </c>
      <c r="AW823" s="2" t="n">
        <v>0</v>
      </c>
      <c r="AX823" s="2" t="n">
        <v>0</v>
      </c>
      <c r="AY823" s="2" t="n">
        <v>0</v>
      </c>
      <c r="AZ823" s="2" t="n">
        <v>0</v>
      </c>
      <c r="BA823" s="2" t="n">
        <v>0</v>
      </c>
      <c r="BB823" s="2" t="n">
        <v>0</v>
      </c>
      <c r="BC823" s="2" t="n">
        <v>0</v>
      </c>
      <c r="BD823" s="2" t="n">
        <v>0</v>
      </c>
      <c r="BE823" s="2" t="n">
        <v>0</v>
      </c>
      <c r="BF823" s="2" t="n">
        <v>0</v>
      </c>
      <c r="BG823" s="2" t="n">
        <v>0</v>
      </c>
      <c r="BH823" s="2" t="n">
        <v>0</v>
      </c>
      <c r="BI823" s="2" t="n">
        <v>0</v>
      </c>
      <c r="BJ823" s="2" t="n">
        <v>0</v>
      </c>
      <c r="BK823" s="2" t="n">
        <v>0</v>
      </c>
      <c r="BL823" s="2" t="n">
        <v>0</v>
      </c>
      <c r="BM823" s="2" t="n">
        <v>0</v>
      </c>
      <c r="BN823" s="2" t="n">
        <v>0</v>
      </c>
      <c r="BO823" s="2" t="n">
        <v>0</v>
      </c>
      <c r="BP823" s="2" t="n">
        <v>0</v>
      </c>
      <c r="BQ823" s="2" t="n">
        <v>0</v>
      </c>
      <c r="BR823" s="2" t="n">
        <v>0</v>
      </c>
      <c r="BS823" s="2" t="n">
        <v>0</v>
      </c>
      <c r="BT823" s="2" t="n">
        <v>0</v>
      </c>
      <c r="BU823" s="2" t="n">
        <v>0</v>
      </c>
      <c r="BV823" s="2" t="n">
        <v>0</v>
      </c>
      <c r="BW823" s="2" t="n">
        <v>0</v>
      </c>
      <c r="BX823" s="2" t="n">
        <v>0</v>
      </c>
      <c r="BY823" s="2" t="n">
        <v>0</v>
      </c>
      <c r="BZ823" s="2" t="n">
        <v>0</v>
      </c>
      <c r="CA823" s="2" t="n">
        <v>0</v>
      </c>
      <c r="CB823" s="2" t="n">
        <v>0</v>
      </c>
      <c r="CC823" s="2" t="n">
        <v>0</v>
      </c>
      <c r="CD823" s="2" t="n">
        <v>0</v>
      </c>
      <c r="CE823" s="2" t="n">
        <v>0</v>
      </c>
      <c r="CF823" s="2" t="n">
        <v>0</v>
      </c>
      <c r="CG823" s="2" t="n">
        <v>0</v>
      </c>
      <c r="CH823" s="2" t="n">
        <v>0</v>
      </c>
      <c r="CI823" s="2" t="n">
        <v>0</v>
      </c>
      <c r="CJ823" s="2" t="n">
        <v>0</v>
      </c>
      <c r="CK823" s="2" t="n">
        <v>0</v>
      </c>
      <c r="CL823" s="2" t="n">
        <v>0</v>
      </c>
      <c r="CM823" s="2" t="n">
        <v>0</v>
      </c>
      <c r="CN823" s="2" t="n">
        <v>0</v>
      </c>
      <c r="CO823" s="2" t="n">
        <v>0</v>
      </c>
      <c r="CP823" s="2" t="n">
        <v>0</v>
      </c>
      <c r="CQ823" s="2" t="n">
        <v>0</v>
      </c>
      <c r="CR823" s="2" t="n">
        <v>0</v>
      </c>
      <c r="CS823" s="2" t="n">
        <v>0</v>
      </c>
      <c r="CT823" s="2" t="n">
        <v>0</v>
      </c>
      <c r="CU823" s="2" t="n">
        <v>0</v>
      </c>
      <c r="CV823" s="2" t="n">
        <v>0</v>
      </c>
      <c r="CW823" s="2" t="n">
        <v>0</v>
      </c>
      <c r="CX823" s="2" t="n">
        <v>0</v>
      </c>
      <c r="CY823" s="2" t="n">
        <v>0</v>
      </c>
      <c r="CZ823" s="2" t="n">
        <v>0</v>
      </c>
      <c r="DA823" s="2" t="n">
        <v>0</v>
      </c>
      <c r="DB823" s="2" t="n">
        <v>0</v>
      </c>
      <c r="DC823" s="2" t="n">
        <v>0</v>
      </c>
      <c r="DD823" s="2" t="n">
        <v>7.49</v>
      </c>
      <c r="DE823" s="2" t="n">
        <v>9.6</v>
      </c>
      <c r="DF823" s="2" t="n">
        <v>0</v>
      </c>
      <c r="DG823" s="2" t="n">
        <v>15.71</v>
      </c>
      <c r="DH823" s="2" t="n">
        <v>17.85</v>
      </c>
      <c r="DI823" s="2" t="n">
        <v>0</v>
      </c>
      <c r="DJ823" s="2" t="n">
        <v>26.39</v>
      </c>
      <c r="DK823" s="2" t="n">
        <v>28.5</v>
      </c>
      <c r="DL823" s="2" t="n">
        <v>0</v>
      </c>
      <c r="DM823" s="2" t="n">
        <v>36.13</v>
      </c>
      <c r="DN823" s="2" t="n">
        <v>38.25</v>
      </c>
      <c r="DO823" s="2" t="n">
        <v>0</v>
      </c>
      <c r="DP823" s="2" t="n">
        <v>45.85</v>
      </c>
      <c r="DQ823" s="2" t="n">
        <v>48.04</v>
      </c>
      <c r="DR823" s="2" t="n">
        <v>0</v>
      </c>
      <c r="DS823" s="2" t="n">
        <v>55.92</v>
      </c>
      <c r="DT823" s="2" t="n">
        <v>57.97</v>
      </c>
      <c r="DU823" s="2" t="n">
        <v>0</v>
      </c>
      <c r="DV823" s="2" t="n">
        <v>64.14</v>
      </c>
      <c r="DW823" s="2" t="n">
        <v>66.20999999999999</v>
      </c>
      <c r="DX823" s="2" t="n">
        <v>0</v>
      </c>
      <c r="DY823" s="2" t="n">
        <v>72.79000000000001</v>
      </c>
      <c r="DZ823" s="2" t="n">
        <v>75.18000000000001</v>
      </c>
      <c r="EA823" s="2" t="n">
        <v>0</v>
      </c>
      <c r="EB823" s="2" t="n">
        <v>80.93000000000001</v>
      </c>
      <c r="EC823" s="2" t="n">
        <v>84.2</v>
      </c>
      <c r="ED823" s="2" t="n">
        <v>0</v>
      </c>
      <c r="EE823" s="2" t="n">
        <v>87.59</v>
      </c>
      <c r="EF823" s="2" t="n">
        <v>90.55</v>
      </c>
      <c r="EG823" s="2" t="n">
        <v>0</v>
      </c>
      <c r="EH823" s="2" t="n">
        <v>96.19</v>
      </c>
      <c r="EI823" s="2" t="n">
        <v>98.68000000000001</v>
      </c>
      <c r="EJ823" s="2" t="n">
        <v>0</v>
      </c>
      <c r="EK823" s="2" t="n">
        <v>100</v>
      </c>
      <c r="EL823" s="2" t="n">
        <v>100</v>
      </c>
      <c r="EM823" s="2" t="n">
        <v>0</v>
      </c>
      <c r="EN823" s="2" t="n">
        <v>100</v>
      </c>
      <c r="EO823" s="2" t="n">
        <v>100</v>
      </c>
      <c r="EP823" s="2" t="n">
        <v>0</v>
      </c>
      <c r="EQ823" s="2" t="n">
        <v>100</v>
      </c>
      <c r="ER823" s="2" t="n">
        <v>100</v>
      </c>
      <c r="ES823" s="2" t="n">
        <v>0</v>
      </c>
    </row>
    <row r="824">
      <c r="A824" s="2" t="n">
        <v>2</v>
      </c>
      <c r="B824" s="2" t="inlineStr">
        <is>
          <t>34.01</t>
        </is>
      </c>
      <c r="C824" s="2" t="inlineStr">
        <is>
          <t>Vaso sanitario</t>
        </is>
      </c>
      <c r="D824" s="2" t="inlineStr">
        <is>
          <t>01/03/2028</t>
        </is>
      </c>
      <c r="E824" s="2" t="inlineStr">
        <is>
          <t>05/02/2029</t>
        </is>
      </c>
      <c r="F824" s="2" t="n">
        <v>759214.8249782419</v>
      </c>
      <c r="G824" s="2" t="n">
        <v>0</v>
      </c>
      <c r="H824" s="2" t="n">
        <v>759214.8249782419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0</v>
      </c>
      <c r="AM824" s="2" t="n">
        <v>0</v>
      </c>
      <c r="AN824" s="2" t="n">
        <v>0</v>
      </c>
      <c r="AO824" s="2" t="n">
        <v>0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2" t="n">
        <v>0</v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0</v>
      </c>
      <c r="BG824" s="2" t="n">
        <v>0</v>
      </c>
      <c r="BH824" s="2" t="n">
        <v>0</v>
      </c>
      <c r="BI824" s="2" t="n">
        <v>0</v>
      </c>
      <c r="BJ824" s="2" t="n">
        <v>0</v>
      </c>
      <c r="BK824" s="2" t="n">
        <v>0</v>
      </c>
      <c r="BL824" s="2" t="n">
        <v>0</v>
      </c>
      <c r="BM824" s="2" t="n">
        <v>0</v>
      </c>
      <c r="BN824" s="2" t="n">
        <v>0</v>
      </c>
      <c r="BO824" s="2" t="n">
        <v>0</v>
      </c>
      <c r="BP824" s="2" t="n">
        <v>0</v>
      </c>
      <c r="BQ824" s="2" t="n">
        <v>0</v>
      </c>
      <c r="BR824" s="2" t="n">
        <v>0</v>
      </c>
      <c r="BS824" s="2" t="n">
        <v>0</v>
      </c>
      <c r="BT824" s="2" t="n">
        <v>0</v>
      </c>
      <c r="BU824" s="2" t="n">
        <v>0</v>
      </c>
      <c r="BV824" s="2" t="n">
        <v>0</v>
      </c>
      <c r="BW824" s="2" t="n">
        <v>0</v>
      </c>
      <c r="BX824" s="2" t="n">
        <v>0</v>
      </c>
      <c r="BY824" s="2" t="n">
        <v>0</v>
      </c>
      <c r="BZ824" s="2" t="n">
        <v>0</v>
      </c>
      <c r="CA824" s="2" t="n">
        <v>0</v>
      </c>
      <c r="CB824" s="2" t="n">
        <v>0</v>
      </c>
      <c r="CC824" s="2" t="n">
        <v>0</v>
      </c>
      <c r="CD824" s="2" t="n">
        <v>0</v>
      </c>
      <c r="CE824" s="2" t="n">
        <v>0</v>
      </c>
      <c r="CF824" s="2" t="n">
        <v>0</v>
      </c>
      <c r="CG824" s="2" t="n">
        <v>0</v>
      </c>
      <c r="CH824" s="2" t="n">
        <v>0</v>
      </c>
      <c r="CI824" s="2" t="n">
        <v>0</v>
      </c>
      <c r="CJ824" s="2" t="n">
        <v>0</v>
      </c>
      <c r="CK824" s="2" t="n">
        <v>0</v>
      </c>
      <c r="CL824" s="2" t="n">
        <v>0</v>
      </c>
      <c r="CM824" s="2" t="n">
        <v>0</v>
      </c>
      <c r="CN824" s="2" t="n">
        <v>0</v>
      </c>
      <c r="CO824" s="2" t="n">
        <v>0</v>
      </c>
      <c r="CP824" s="2" t="n">
        <v>0</v>
      </c>
      <c r="CQ824" s="2" t="n">
        <v>0</v>
      </c>
      <c r="CR824" s="2" t="n">
        <v>0</v>
      </c>
      <c r="CS824" s="2" t="n">
        <v>0</v>
      </c>
      <c r="CT824" s="2" t="n">
        <v>0</v>
      </c>
      <c r="CU824" s="2" t="n">
        <v>0</v>
      </c>
      <c r="CV824" s="2" t="n">
        <v>0</v>
      </c>
      <c r="CW824" s="2" t="n">
        <v>0</v>
      </c>
      <c r="CX824" s="2" t="n">
        <v>0</v>
      </c>
      <c r="CY824" s="2" t="n">
        <v>0</v>
      </c>
      <c r="CZ824" s="2" t="n">
        <v>0</v>
      </c>
      <c r="DA824" s="2" t="n">
        <v>0</v>
      </c>
      <c r="DB824" s="2" t="n">
        <v>0</v>
      </c>
      <c r="DC824" s="2" t="n">
        <v>0</v>
      </c>
      <c r="DD824" s="2" t="n">
        <v>7.49</v>
      </c>
      <c r="DE824" s="2" t="n">
        <v>9.6</v>
      </c>
      <c r="DF824" s="2" t="n">
        <v>0</v>
      </c>
      <c r="DG824" s="2" t="n">
        <v>15.71</v>
      </c>
      <c r="DH824" s="2" t="n">
        <v>17.85</v>
      </c>
      <c r="DI824" s="2" t="n">
        <v>0</v>
      </c>
      <c r="DJ824" s="2" t="n">
        <v>26.39</v>
      </c>
      <c r="DK824" s="2" t="n">
        <v>28.5</v>
      </c>
      <c r="DL824" s="2" t="n">
        <v>0</v>
      </c>
      <c r="DM824" s="2" t="n">
        <v>36.13</v>
      </c>
      <c r="DN824" s="2" t="n">
        <v>38.25</v>
      </c>
      <c r="DO824" s="2" t="n">
        <v>0</v>
      </c>
      <c r="DP824" s="2" t="n">
        <v>45.85</v>
      </c>
      <c r="DQ824" s="2" t="n">
        <v>48.04</v>
      </c>
      <c r="DR824" s="2" t="n">
        <v>0</v>
      </c>
      <c r="DS824" s="2" t="n">
        <v>55.92</v>
      </c>
      <c r="DT824" s="2" t="n">
        <v>57.97</v>
      </c>
      <c r="DU824" s="2" t="n">
        <v>0</v>
      </c>
      <c r="DV824" s="2" t="n">
        <v>64.14</v>
      </c>
      <c r="DW824" s="2" t="n">
        <v>66.20999999999999</v>
      </c>
      <c r="DX824" s="2" t="n">
        <v>0</v>
      </c>
      <c r="DY824" s="2" t="n">
        <v>72.79000000000001</v>
      </c>
      <c r="DZ824" s="2" t="n">
        <v>75.18000000000001</v>
      </c>
      <c r="EA824" s="2" t="n">
        <v>0</v>
      </c>
      <c r="EB824" s="2" t="n">
        <v>80.93000000000001</v>
      </c>
      <c r="EC824" s="2" t="n">
        <v>84.2</v>
      </c>
      <c r="ED824" s="2" t="n">
        <v>0</v>
      </c>
      <c r="EE824" s="2" t="n">
        <v>87.59</v>
      </c>
      <c r="EF824" s="2" t="n">
        <v>90.55</v>
      </c>
      <c r="EG824" s="2" t="n">
        <v>0</v>
      </c>
      <c r="EH824" s="2" t="n">
        <v>96.19</v>
      </c>
      <c r="EI824" s="2" t="n">
        <v>98.68000000000001</v>
      </c>
      <c r="EJ824" s="2" t="n">
        <v>0</v>
      </c>
      <c r="EK824" s="2" t="n">
        <v>100</v>
      </c>
      <c r="EL824" s="2" t="n">
        <v>100</v>
      </c>
      <c r="EM824" s="2" t="n">
        <v>0</v>
      </c>
      <c r="EN824" s="2" t="n">
        <v>100</v>
      </c>
      <c r="EO824" s="2" t="n">
        <v>100</v>
      </c>
      <c r="EP824" s="2" t="n">
        <v>0</v>
      </c>
      <c r="EQ824" s="2" t="n">
        <v>100</v>
      </c>
      <c r="ER824" s="2" t="n">
        <v>100</v>
      </c>
      <c r="ES824" s="2" t="n">
        <v>0</v>
      </c>
    </row>
    <row r="825">
      <c r="A825" s="2" t="n">
        <v>3</v>
      </c>
      <c r="B825" s="2" t="inlineStr">
        <is>
          <t>34.01.01</t>
        </is>
      </c>
      <c r="C825" s="2" t="inlineStr">
        <is>
          <t>Bacia com caixa acoplada Deca linha Level cor branco</t>
        </is>
      </c>
      <c r="D825" s="2" t="inlineStr">
        <is>
          <t>01/03/2028</t>
        </is>
      </c>
      <c r="E825" s="2" t="inlineStr">
        <is>
          <t>05/02/2029</t>
        </is>
      </c>
      <c r="F825" s="2" t="n">
        <v>414156.8439858553</v>
      </c>
      <c r="G825" s="2" t="n">
        <v>0</v>
      </c>
      <c r="H825" s="2" t="n">
        <v>414156.8439858553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  <c r="AM825" s="2" t="n">
        <v>0</v>
      </c>
      <c r="AN825" s="2" t="n">
        <v>0</v>
      </c>
      <c r="AO825" s="2" t="n">
        <v>0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2" t="n">
        <v>0</v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n">
        <v>0</v>
      </c>
      <c r="BE825" s="2" t="n">
        <v>0</v>
      </c>
      <c r="BF825" s="2" t="n">
        <v>0</v>
      </c>
      <c r="BG825" s="2" t="n">
        <v>0</v>
      </c>
      <c r="BH825" s="2" t="n">
        <v>0</v>
      </c>
      <c r="BI825" s="2" t="n">
        <v>0</v>
      </c>
      <c r="BJ825" s="2" t="n">
        <v>0</v>
      </c>
      <c r="BK825" s="2" t="n">
        <v>0</v>
      </c>
      <c r="BL825" s="2" t="n">
        <v>0</v>
      </c>
      <c r="BM825" s="2" t="n">
        <v>0</v>
      </c>
      <c r="BN825" s="2" t="n">
        <v>0</v>
      </c>
      <c r="BO825" s="2" t="n">
        <v>0</v>
      </c>
      <c r="BP825" s="2" t="n">
        <v>0</v>
      </c>
      <c r="BQ825" s="2" t="n">
        <v>0</v>
      </c>
      <c r="BR825" s="2" t="n">
        <v>0</v>
      </c>
      <c r="BS825" s="2" t="n">
        <v>0</v>
      </c>
      <c r="BT825" s="2" t="n">
        <v>0</v>
      </c>
      <c r="BU825" s="2" t="n">
        <v>0</v>
      </c>
      <c r="BV825" s="2" t="n">
        <v>0</v>
      </c>
      <c r="BW825" s="2" t="n">
        <v>0</v>
      </c>
      <c r="BX825" s="2" t="n">
        <v>0</v>
      </c>
      <c r="BY825" s="2" t="n">
        <v>0</v>
      </c>
      <c r="BZ825" s="2" t="n">
        <v>0</v>
      </c>
      <c r="CA825" s="2" t="n">
        <v>0</v>
      </c>
      <c r="CB825" s="2" t="n">
        <v>0</v>
      </c>
      <c r="CC825" s="2" t="n">
        <v>0</v>
      </c>
      <c r="CD825" s="2" t="n">
        <v>0</v>
      </c>
      <c r="CE825" s="2" t="n">
        <v>0</v>
      </c>
      <c r="CF825" s="2" t="n">
        <v>0</v>
      </c>
      <c r="CG825" s="2" t="n">
        <v>0</v>
      </c>
      <c r="CH825" s="2" t="n">
        <v>0</v>
      </c>
      <c r="CI825" s="2" t="n">
        <v>0</v>
      </c>
      <c r="CJ825" s="2" t="n">
        <v>0</v>
      </c>
      <c r="CK825" s="2" t="n">
        <v>0</v>
      </c>
      <c r="CL825" s="2" t="n">
        <v>0</v>
      </c>
      <c r="CM825" s="2" t="n">
        <v>0</v>
      </c>
      <c r="CN825" s="2" t="n">
        <v>0</v>
      </c>
      <c r="CO825" s="2" t="n">
        <v>0</v>
      </c>
      <c r="CP825" s="2" t="n">
        <v>0</v>
      </c>
      <c r="CQ825" s="2" t="n">
        <v>0</v>
      </c>
      <c r="CR825" s="2" t="n">
        <v>0</v>
      </c>
      <c r="CS825" s="2" t="n">
        <v>0</v>
      </c>
      <c r="CT825" s="2" t="n">
        <v>0</v>
      </c>
      <c r="CU825" s="2" t="n">
        <v>0</v>
      </c>
      <c r="CV825" s="2" t="n">
        <v>0</v>
      </c>
      <c r="CW825" s="2" t="n">
        <v>0</v>
      </c>
      <c r="CX825" s="2" t="n">
        <v>0</v>
      </c>
      <c r="CY825" s="2" t="n">
        <v>0</v>
      </c>
      <c r="CZ825" s="2" t="n">
        <v>0</v>
      </c>
      <c r="DA825" s="2" t="n">
        <v>0</v>
      </c>
      <c r="DB825" s="2" t="n">
        <v>0</v>
      </c>
      <c r="DC825" s="2" t="n">
        <v>0</v>
      </c>
      <c r="DD825" s="2" t="n">
        <v>7.49</v>
      </c>
      <c r="DE825" s="2" t="n">
        <v>9.6</v>
      </c>
      <c r="DF825" s="2" t="n">
        <v>0</v>
      </c>
      <c r="DG825" s="2" t="n">
        <v>15.71</v>
      </c>
      <c r="DH825" s="2" t="n">
        <v>17.85</v>
      </c>
      <c r="DI825" s="2" t="n">
        <v>0</v>
      </c>
      <c r="DJ825" s="2" t="n">
        <v>26.39</v>
      </c>
      <c r="DK825" s="2" t="n">
        <v>28.5</v>
      </c>
      <c r="DL825" s="2" t="n">
        <v>0</v>
      </c>
      <c r="DM825" s="2" t="n">
        <v>36.13</v>
      </c>
      <c r="DN825" s="2" t="n">
        <v>38.25</v>
      </c>
      <c r="DO825" s="2" t="n">
        <v>0</v>
      </c>
      <c r="DP825" s="2" t="n">
        <v>45.85</v>
      </c>
      <c r="DQ825" s="2" t="n">
        <v>48.04</v>
      </c>
      <c r="DR825" s="2" t="n">
        <v>0</v>
      </c>
      <c r="DS825" s="2" t="n">
        <v>55.92</v>
      </c>
      <c r="DT825" s="2" t="n">
        <v>57.97</v>
      </c>
      <c r="DU825" s="2" t="n">
        <v>0</v>
      </c>
      <c r="DV825" s="2" t="n">
        <v>64.14</v>
      </c>
      <c r="DW825" s="2" t="n">
        <v>66.20999999999999</v>
      </c>
      <c r="DX825" s="2" t="n">
        <v>0</v>
      </c>
      <c r="DY825" s="2" t="n">
        <v>72.79000000000001</v>
      </c>
      <c r="DZ825" s="2" t="n">
        <v>75.18000000000001</v>
      </c>
      <c r="EA825" s="2" t="n">
        <v>0</v>
      </c>
      <c r="EB825" s="2" t="n">
        <v>80.93000000000001</v>
      </c>
      <c r="EC825" s="2" t="n">
        <v>84.2</v>
      </c>
      <c r="ED825" s="2" t="n">
        <v>0</v>
      </c>
      <c r="EE825" s="2" t="n">
        <v>87.59</v>
      </c>
      <c r="EF825" s="2" t="n">
        <v>90.55</v>
      </c>
      <c r="EG825" s="2" t="n">
        <v>0</v>
      </c>
      <c r="EH825" s="2" t="n">
        <v>96.19</v>
      </c>
      <c r="EI825" s="2" t="n">
        <v>98.68000000000001</v>
      </c>
      <c r="EJ825" s="2" t="n">
        <v>0</v>
      </c>
      <c r="EK825" s="2" t="n">
        <v>100</v>
      </c>
      <c r="EL825" s="2" t="n">
        <v>100</v>
      </c>
      <c r="EM825" s="2" t="n">
        <v>0</v>
      </c>
      <c r="EN825" s="2" t="n">
        <v>100</v>
      </c>
      <c r="EO825" s="2" t="n">
        <v>100</v>
      </c>
      <c r="EP825" s="2" t="n">
        <v>0</v>
      </c>
      <c r="EQ825" s="2" t="n">
        <v>100</v>
      </c>
      <c r="ER825" s="2" t="n">
        <v>100</v>
      </c>
      <c r="ES825" s="2" t="n">
        <v>0</v>
      </c>
    </row>
    <row r="826">
      <c r="A826" s="2" t="n">
        <v>3</v>
      </c>
      <c r="B826" s="2" t="inlineStr">
        <is>
          <t>34.01.02</t>
        </is>
      </c>
      <c r="C826" s="2" t="inlineStr">
        <is>
          <t>Bacia com caixa acoplada Deca linha Izy cor branco</t>
        </is>
      </c>
      <c r="D826" s="2" t="inlineStr">
        <is>
          <t>01/03/2028</t>
        </is>
      </c>
      <c r="E826" s="2" t="inlineStr">
        <is>
          <t>05/02/2029</t>
        </is>
      </c>
      <c r="F826" s="2" t="n">
        <v>84463.84865253586</v>
      </c>
      <c r="G826" s="2" t="n">
        <v>0</v>
      </c>
      <c r="H826" s="2" t="n">
        <v>84463.84865253586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  <c r="AA826" s="2" t="n">
        <v>0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0</v>
      </c>
      <c r="AM826" s="2" t="n">
        <v>0</v>
      </c>
      <c r="AN826" s="2" t="n">
        <v>0</v>
      </c>
      <c r="AO826" s="2" t="n">
        <v>0</v>
      </c>
      <c r="AP826" s="2" t="n">
        <v>0</v>
      </c>
      <c r="AQ826" s="2" t="n">
        <v>0</v>
      </c>
      <c r="AR826" s="2" t="n">
        <v>0</v>
      </c>
      <c r="AS826" s="2" t="n">
        <v>0</v>
      </c>
      <c r="AT826" s="2" t="n">
        <v>0</v>
      </c>
      <c r="AU826" s="2" t="n">
        <v>0</v>
      </c>
      <c r="AV826" s="2" t="n">
        <v>0</v>
      </c>
      <c r="AW826" s="2" t="n">
        <v>0</v>
      </c>
      <c r="AX826" s="2" t="n">
        <v>0</v>
      </c>
      <c r="AY826" s="2" t="n">
        <v>0</v>
      </c>
      <c r="AZ826" s="2" t="n">
        <v>0</v>
      </c>
      <c r="BA826" s="2" t="n">
        <v>0</v>
      </c>
      <c r="BB826" s="2" t="n">
        <v>0</v>
      </c>
      <c r="BC826" s="2" t="n">
        <v>0</v>
      </c>
      <c r="BD826" s="2" t="n">
        <v>0</v>
      </c>
      <c r="BE826" s="2" t="n">
        <v>0</v>
      </c>
      <c r="BF826" s="2" t="n">
        <v>0</v>
      </c>
      <c r="BG826" s="2" t="n">
        <v>0</v>
      </c>
      <c r="BH826" s="2" t="n">
        <v>0</v>
      </c>
      <c r="BI826" s="2" t="n">
        <v>0</v>
      </c>
      <c r="BJ826" s="2" t="n">
        <v>0</v>
      </c>
      <c r="BK826" s="2" t="n">
        <v>0</v>
      </c>
      <c r="BL826" s="2" t="n">
        <v>0</v>
      </c>
      <c r="BM826" s="2" t="n">
        <v>0</v>
      </c>
      <c r="BN826" s="2" t="n">
        <v>0</v>
      </c>
      <c r="BO826" s="2" t="n">
        <v>0</v>
      </c>
      <c r="BP826" s="2" t="n">
        <v>0</v>
      </c>
      <c r="BQ826" s="2" t="n">
        <v>0</v>
      </c>
      <c r="BR826" s="2" t="n">
        <v>0</v>
      </c>
      <c r="BS826" s="2" t="n">
        <v>0</v>
      </c>
      <c r="BT826" s="2" t="n">
        <v>0</v>
      </c>
      <c r="BU826" s="2" t="n">
        <v>0</v>
      </c>
      <c r="BV826" s="2" t="n">
        <v>0</v>
      </c>
      <c r="BW826" s="2" t="n">
        <v>0</v>
      </c>
      <c r="BX826" s="2" t="n">
        <v>0</v>
      </c>
      <c r="BY826" s="2" t="n">
        <v>0</v>
      </c>
      <c r="BZ826" s="2" t="n">
        <v>0</v>
      </c>
      <c r="CA826" s="2" t="n">
        <v>0</v>
      </c>
      <c r="CB826" s="2" t="n">
        <v>0</v>
      </c>
      <c r="CC826" s="2" t="n">
        <v>0</v>
      </c>
      <c r="CD826" s="2" t="n">
        <v>0</v>
      </c>
      <c r="CE826" s="2" t="n">
        <v>0</v>
      </c>
      <c r="CF826" s="2" t="n">
        <v>0</v>
      </c>
      <c r="CG826" s="2" t="n">
        <v>0</v>
      </c>
      <c r="CH826" s="2" t="n">
        <v>0</v>
      </c>
      <c r="CI826" s="2" t="n">
        <v>0</v>
      </c>
      <c r="CJ826" s="2" t="n">
        <v>0</v>
      </c>
      <c r="CK826" s="2" t="n">
        <v>0</v>
      </c>
      <c r="CL826" s="2" t="n">
        <v>0</v>
      </c>
      <c r="CM826" s="2" t="n">
        <v>0</v>
      </c>
      <c r="CN826" s="2" t="n">
        <v>0</v>
      </c>
      <c r="CO826" s="2" t="n">
        <v>0</v>
      </c>
      <c r="CP826" s="2" t="n">
        <v>0</v>
      </c>
      <c r="CQ826" s="2" t="n">
        <v>0</v>
      </c>
      <c r="CR826" s="2" t="n">
        <v>0</v>
      </c>
      <c r="CS826" s="2" t="n">
        <v>0</v>
      </c>
      <c r="CT826" s="2" t="n">
        <v>0</v>
      </c>
      <c r="CU826" s="2" t="n">
        <v>0</v>
      </c>
      <c r="CV826" s="2" t="n">
        <v>0</v>
      </c>
      <c r="CW826" s="2" t="n">
        <v>0</v>
      </c>
      <c r="CX826" s="2" t="n">
        <v>0</v>
      </c>
      <c r="CY826" s="2" t="n">
        <v>0</v>
      </c>
      <c r="CZ826" s="2" t="n">
        <v>0</v>
      </c>
      <c r="DA826" s="2" t="n">
        <v>0</v>
      </c>
      <c r="DB826" s="2" t="n">
        <v>0</v>
      </c>
      <c r="DC826" s="2" t="n">
        <v>0</v>
      </c>
      <c r="DD826" s="2" t="n">
        <v>7.49</v>
      </c>
      <c r="DE826" s="2" t="n">
        <v>9.6</v>
      </c>
      <c r="DF826" s="2" t="n">
        <v>0</v>
      </c>
      <c r="DG826" s="2" t="n">
        <v>15.71</v>
      </c>
      <c r="DH826" s="2" t="n">
        <v>17.85</v>
      </c>
      <c r="DI826" s="2" t="n">
        <v>0</v>
      </c>
      <c r="DJ826" s="2" t="n">
        <v>26.39</v>
      </c>
      <c r="DK826" s="2" t="n">
        <v>28.5</v>
      </c>
      <c r="DL826" s="2" t="n">
        <v>0</v>
      </c>
      <c r="DM826" s="2" t="n">
        <v>36.13</v>
      </c>
      <c r="DN826" s="2" t="n">
        <v>38.25</v>
      </c>
      <c r="DO826" s="2" t="n">
        <v>0</v>
      </c>
      <c r="DP826" s="2" t="n">
        <v>45.85</v>
      </c>
      <c r="DQ826" s="2" t="n">
        <v>48.04</v>
      </c>
      <c r="DR826" s="2" t="n">
        <v>0</v>
      </c>
      <c r="DS826" s="2" t="n">
        <v>55.92</v>
      </c>
      <c r="DT826" s="2" t="n">
        <v>57.97</v>
      </c>
      <c r="DU826" s="2" t="n">
        <v>0</v>
      </c>
      <c r="DV826" s="2" t="n">
        <v>64.14</v>
      </c>
      <c r="DW826" s="2" t="n">
        <v>66.20999999999999</v>
      </c>
      <c r="DX826" s="2" t="n">
        <v>0</v>
      </c>
      <c r="DY826" s="2" t="n">
        <v>72.79000000000001</v>
      </c>
      <c r="DZ826" s="2" t="n">
        <v>75.18000000000001</v>
      </c>
      <c r="EA826" s="2" t="n">
        <v>0</v>
      </c>
      <c r="EB826" s="2" t="n">
        <v>80.93000000000001</v>
      </c>
      <c r="EC826" s="2" t="n">
        <v>84.2</v>
      </c>
      <c r="ED826" s="2" t="n">
        <v>0</v>
      </c>
      <c r="EE826" s="2" t="n">
        <v>87.59</v>
      </c>
      <c r="EF826" s="2" t="n">
        <v>90.55</v>
      </c>
      <c r="EG826" s="2" t="n">
        <v>0</v>
      </c>
      <c r="EH826" s="2" t="n">
        <v>96.19</v>
      </c>
      <c r="EI826" s="2" t="n">
        <v>98.68000000000001</v>
      </c>
      <c r="EJ826" s="2" t="n">
        <v>0</v>
      </c>
      <c r="EK826" s="2" t="n">
        <v>100</v>
      </c>
      <c r="EL826" s="2" t="n">
        <v>100</v>
      </c>
      <c r="EM826" s="2" t="n">
        <v>0</v>
      </c>
      <c r="EN826" s="2" t="n">
        <v>100</v>
      </c>
      <c r="EO826" s="2" t="n">
        <v>100</v>
      </c>
      <c r="EP826" s="2" t="n">
        <v>0</v>
      </c>
      <c r="EQ826" s="2" t="n">
        <v>100</v>
      </c>
      <c r="ER826" s="2" t="n">
        <v>100</v>
      </c>
      <c r="ES826" s="2" t="n">
        <v>0</v>
      </c>
    </row>
    <row r="827">
      <c r="A827" s="2" t="n">
        <v>3</v>
      </c>
      <c r="B827" s="2" t="inlineStr">
        <is>
          <t>34.01.03</t>
        </is>
      </c>
      <c r="C827" s="2" t="inlineStr">
        <is>
          <t>Vaso sanitário de louça branca com caixa acoplada (Guarita, IS zeladoria)</t>
        </is>
      </c>
      <c r="D827" s="2" t="inlineStr">
        <is>
          <t>01/03/2028</t>
        </is>
      </c>
      <c r="E827" s="2" t="inlineStr">
        <is>
          <t>05/02/2029</t>
        </is>
      </c>
      <c r="F827" s="2" t="n">
        <v>421.535573446269</v>
      </c>
      <c r="G827" s="2" t="n">
        <v>0</v>
      </c>
      <c r="H827" s="2" t="n">
        <v>421.535573446269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0</v>
      </c>
      <c r="AM827" s="2" t="n">
        <v>0</v>
      </c>
      <c r="AN827" s="2" t="n">
        <v>0</v>
      </c>
      <c r="AO827" s="2" t="n">
        <v>0</v>
      </c>
      <c r="AP827" s="2" t="n">
        <v>0</v>
      </c>
      <c r="AQ827" s="2" t="n">
        <v>0</v>
      </c>
      <c r="AR827" s="2" t="n">
        <v>0</v>
      </c>
      <c r="AS827" s="2" t="n">
        <v>0</v>
      </c>
      <c r="AT827" s="2" t="n">
        <v>0</v>
      </c>
      <c r="AU827" s="2" t="n">
        <v>0</v>
      </c>
      <c r="AV827" s="2" t="n">
        <v>0</v>
      </c>
      <c r="AW827" s="2" t="n">
        <v>0</v>
      </c>
      <c r="AX827" s="2" t="n">
        <v>0</v>
      </c>
      <c r="AY827" s="2" t="n">
        <v>0</v>
      </c>
      <c r="AZ827" s="2" t="n">
        <v>0</v>
      </c>
      <c r="BA827" s="2" t="n">
        <v>0</v>
      </c>
      <c r="BB827" s="2" t="n">
        <v>0</v>
      </c>
      <c r="BC827" s="2" t="n">
        <v>0</v>
      </c>
      <c r="BD827" s="2" t="n">
        <v>0</v>
      </c>
      <c r="BE827" s="2" t="n">
        <v>0</v>
      </c>
      <c r="BF827" s="2" t="n">
        <v>0</v>
      </c>
      <c r="BG827" s="2" t="n">
        <v>0</v>
      </c>
      <c r="BH827" s="2" t="n">
        <v>0</v>
      </c>
      <c r="BI827" s="2" t="n">
        <v>0</v>
      </c>
      <c r="BJ827" s="2" t="n">
        <v>0</v>
      </c>
      <c r="BK827" s="2" t="n">
        <v>0</v>
      </c>
      <c r="BL827" s="2" t="n">
        <v>0</v>
      </c>
      <c r="BM827" s="2" t="n">
        <v>0</v>
      </c>
      <c r="BN827" s="2" t="n">
        <v>0</v>
      </c>
      <c r="BO827" s="2" t="n">
        <v>0</v>
      </c>
      <c r="BP827" s="2" t="n">
        <v>0</v>
      </c>
      <c r="BQ827" s="2" t="n">
        <v>0</v>
      </c>
      <c r="BR827" s="2" t="n">
        <v>0</v>
      </c>
      <c r="BS827" s="2" t="n">
        <v>0</v>
      </c>
      <c r="BT827" s="2" t="n">
        <v>0</v>
      </c>
      <c r="BU827" s="2" t="n">
        <v>0</v>
      </c>
      <c r="BV827" s="2" t="n">
        <v>0</v>
      </c>
      <c r="BW827" s="2" t="n">
        <v>0</v>
      </c>
      <c r="BX827" s="2" t="n">
        <v>0</v>
      </c>
      <c r="BY827" s="2" t="n">
        <v>0</v>
      </c>
      <c r="BZ827" s="2" t="n">
        <v>0</v>
      </c>
      <c r="CA827" s="2" t="n">
        <v>0</v>
      </c>
      <c r="CB827" s="2" t="n">
        <v>0</v>
      </c>
      <c r="CC827" s="2" t="n">
        <v>0</v>
      </c>
      <c r="CD827" s="2" t="n">
        <v>0</v>
      </c>
      <c r="CE827" s="2" t="n">
        <v>0</v>
      </c>
      <c r="CF827" s="2" t="n">
        <v>0</v>
      </c>
      <c r="CG827" s="2" t="n">
        <v>0</v>
      </c>
      <c r="CH827" s="2" t="n">
        <v>0</v>
      </c>
      <c r="CI827" s="2" t="n">
        <v>0</v>
      </c>
      <c r="CJ827" s="2" t="n">
        <v>0</v>
      </c>
      <c r="CK827" s="2" t="n">
        <v>0</v>
      </c>
      <c r="CL827" s="2" t="n">
        <v>0</v>
      </c>
      <c r="CM827" s="2" t="n">
        <v>0</v>
      </c>
      <c r="CN827" s="2" t="n">
        <v>0</v>
      </c>
      <c r="CO827" s="2" t="n">
        <v>0</v>
      </c>
      <c r="CP827" s="2" t="n">
        <v>0</v>
      </c>
      <c r="CQ827" s="2" t="n">
        <v>0</v>
      </c>
      <c r="CR827" s="2" t="n">
        <v>0</v>
      </c>
      <c r="CS827" s="2" t="n">
        <v>0</v>
      </c>
      <c r="CT827" s="2" t="n">
        <v>0</v>
      </c>
      <c r="CU827" s="2" t="n">
        <v>0</v>
      </c>
      <c r="CV827" s="2" t="n">
        <v>0</v>
      </c>
      <c r="CW827" s="2" t="n">
        <v>0</v>
      </c>
      <c r="CX827" s="2" t="n">
        <v>0</v>
      </c>
      <c r="CY827" s="2" t="n">
        <v>0</v>
      </c>
      <c r="CZ827" s="2" t="n">
        <v>0</v>
      </c>
      <c r="DA827" s="2" t="n">
        <v>0</v>
      </c>
      <c r="DB827" s="2" t="n">
        <v>0</v>
      </c>
      <c r="DC827" s="2" t="n">
        <v>0</v>
      </c>
      <c r="DD827" s="2" t="n">
        <v>7.49</v>
      </c>
      <c r="DE827" s="2" t="n">
        <v>9.6</v>
      </c>
      <c r="DF827" s="2" t="n">
        <v>0</v>
      </c>
      <c r="DG827" s="2" t="n">
        <v>15.71</v>
      </c>
      <c r="DH827" s="2" t="n">
        <v>17.85</v>
      </c>
      <c r="DI827" s="2" t="n">
        <v>0</v>
      </c>
      <c r="DJ827" s="2" t="n">
        <v>26.39</v>
      </c>
      <c r="DK827" s="2" t="n">
        <v>28.5</v>
      </c>
      <c r="DL827" s="2" t="n">
        <v>0</v>
      </c>
      <c r="DM827" s="2" t="n">
        <v>36.13</v>
      </c>
      <c r="DN827" s="2" t="n">
        <v>38.25</v>
      </c>
      <c r="DO827" s="2" t="n">
        <v>0</v>
      </c>
      <c r="DP827" s="2" t="n">
        <v>45.85</v>
      </c>
      <c r="DQ827" s="2" t="n">
        <v>48.04</v>
      </c>
      <c r="DR827" s="2" t="n">
        <v>0</v>
      </c>
      <c r="DS827" s="2" t="n">
        <v>55.92</v>
      </c>
      <c r="DT827" s="2" t="n">
        <v>57.97</v>
      </c>
      <c r="DU827" s="2" t="n">
        <v>0</v>
      </c>
      <c r="DV827" s="2" t="n">
        <v>64.14</v>
      </c>
      <c r="DW827" s="2" t="n">
        <v>66.20999999999999</v>
      </c>
      <c r="DX827" s="2" t="n">
        <v>0</v>
      </c>
      <c r="DY827" s="2" t="n">
        <v>72.79000000000001</v>
      </c>
      <c r="DZ827" s="2" t="n">
        <v>75.18000000000001</v>
      </c>
      <c r="EA827" s="2" t="n">
        <v>0</v>
      </c>
      <c r="EB827" s="2" t="n">
        <v>80.93000000000001</v>
      </c>
      <c r="EC827" s="2" t="n">
        <v>84.2</v>
      </c>
      <c r="ED827" s="2" t="n">
        <v>0</v>
      </c>
      <c r="EE827" s="2" t="n">
        <v>87.59</v>
      </c>
      <c r="EF827" s="2" t="n">
        <v>90.55</v>
      </c>
      <c r="EG827" s="2" t="n">
        <v>0</v>
      </c>
      <c r="EH827" s="2" t="n">
        <v>96.19</v>
      </c>
      <c r="EI827" s="2" t="n">
        <v>98.68000000000001</v>
      </c>
      <c r="EJ827" s="2" t="n">
        <v>0</v>
      </c>
      <c r="EK827" s="2" t="n">
        <v>100</v>
      </c>
      <c r="EL827" s="2" t="n">
        <v>100</v>
      </c>
      <c r="EM827" s="2" t="n">
        <v>0</v>
      </c>
      <c r="EN827" s="2" t="n">
        <v>100</v>
      </c>
      <c r="EO827" s="2" t="n">
        <v>100</v>
      </c>
      <c r="EP827" s="2" t="n">
        <v>0</v>
      </c>
      <c r="EQ827" s="2" t="n">
        <v>100</v>
      </c>
      <c r="ER827" s="2" t="n">
        <v>100</v>
      </c>
      <c r="ES827" s="2" t="n">
        <v>0</v>
      </c>
    </row>
    <row r="828">
      <c r="A828" s="2" t="n">
        <v>3</v>
      </c>
      <c r="B828" s="2" t="inlineStr">
        <is>
          <t>34.01.04</t>
        </is>
      </c>
      <c r="C828" s="2" t="inlineStr">
        <is>
          <t>Bacia c/ Caixa Acoplada _Deca Vogue Plus Conforto_ Branca Cód.:  P.515.17</t>
        </is>
      </c>
      <c r="D828" s="2" t="inlineStr">
        <is>
          <t>01/03/2028</t>
        </is>
      </c>
      <c r="E828" s="2" t="inlineStr">
        <is>
          <t>05/02/2029</t>
        </is>
      </c>
      <c r="F828" s="2" t="n">
        <v>5670</v>
      </c>
      <c r="G828" s="2" t="n">
        <v>0</v>
      </c>
      <c r="H828" s="2" t="n">
        <v>5670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0</v>
      </c>
      <c r="AL828" s="2" t="n">
        <v>0</v>
      </c>
      <c r="AM828" s="2" t="n">
        <v>0</v>
      </c>
      <c r="AN828" s="2" t="n">
        <v>0</v>
      </c>
      <c r="AO828" s="2" t="n">
        <v>0</v>
      </c>
      <c r="AP828" s="2" t="n">
        <v>0</v>
      </c>
      <c r="AQ828" s="2" t="n">
        <v>0</v>
      </c>
      <c r="AR828" s="2" t="n">
        <v>0</v>
      </c>
      <c r="AS828" s="2" t="n">
        <v>0</v>
      </c>
      <c r="AT828" s="2" t="n">
        <v>0</v>
      </c>
      <c r="AU828" s="2" t="n">
        <v>0</v>
      </c>
      <c r="AV828" s="2" t="n">
        <v>0</v>
      </c>
      <c r="AW828" s="2" t="n">
        <v>0</v>
      </c>
      <c r="AX828" s="2" t="n">
        <v>0</v>
      </c>
      <c r="AY828" s="2" t="n">
        <v>0</v>
      </c>
      <c r="AZ828" s="2" t="n">
        <v>0</v>
      </c>
      <c r="BA828" s="2" t="n">
        <v>0</v>
      </c>
      <c r="BB828" s="2" t="n">
        <v>0</v>
      </c>
      <c r="BC828" s="2" t="n">
        <v>0</v>
      </c>
      <c r="BD828" s="2" t="n">
        <v>0</v>
      </c>
      <c r="BE828" s="2" t="n">
        <v>0</v>
      </c>
      <c r="BF828" s="2" t="n">
        <v>0</v>
      </c>
      <c r="BG828" s="2" t="n">
        <v>0</v>
      </c>
      <c r="BH828" s="2" t="n">
        <v>0</v>
      </c>
      <c r="BI828" s="2" t="n">
        <v>0</v>
      </c>
      <c r="BJ828" s="2" t="n">
        <v>0</v>
      </c>
      <c r="BK828" s="2" t="n">
        <v>0</v>
      </c>
      <c r="BL828" s="2" t="n">
        <v>0</v>
      </c>
      <c r="BM828" s="2" t="n">
        <v>0</v>
      </c>
      <c r="BN828" s="2" t="n">
        <v>0</v>
      </c>
      <c r="BO828" s="2" t="n">
        <v>0</v>
      </c>
      <c r="BP828" s="2" t="n">
        <v>0</v>
      </c>
      <c r="BQ828" s="2" t="n">
        <v>0</v>
      </c>
      <c r="BR828" s="2" t="n">
        <v>0</v>
      </c>
      <c r="BS828" s="2" t="n">
        <v>0</v>
      </c>
      <c r="BT828" s="2" t="n">
        <v>0</v>
      </c>
      <c r="BU828" s="2" t="n">
        <v>0</v>
      </c>
      <c r="BV828" s="2" t="n">
        <v>0</v>
      </c>
      <c r="BW828" s="2" t="n">
        <v>0</v>
      </c>
      <c r="BX828" s="2" t="n">
        <v>0</v>
      </c>
      <c r="BY828" s="2" t="n">
        <v>0</v>
      </c>
      <c r="BZ828" s="2" t="n">
        <v>0</v>
      </c>
      <c r="CA828" s="2" t="n">
        <v>0</v>
      </c>
      <c r="CB828" s="2" t="n">
        <v>0</v>
      </c>
      <c r="CC828" s="2" t="n">
        <v>0</v>
      </c>
      <c r="CD828" s="2" t="n">
        <v>0</v>
      </c>
      <c r="CE828" s="2" t="n">
        <v>0</v>
      </c>
      <c r="CF828" s="2" t="n">
        <v>0</v>
      </c>
      <c r="CG828" s="2" t="n">
        <v>0</v>
      </c>
      <c r="CH828" s="2" t="n">
        <v>0</v>
      </c>
      <c r="CI828" s="2" t="n">
        <v>0</v>
      </c>
      <c r="CJ828" s="2" t="n">
        <v>0</v>
      </c>
      <c r="CK828" s="2" t="n">
        <v>0</v>
      </c>
      <c r="CL828" s="2" t="n">
        <v>0</v>
      </c>
      <c r="CM828" s="2" t="n">
        <v>0</v>
      </c>
      <c r="CN828" s="2" t="n">
        <v>0</v>
      </c>
      <c r="CO828" s="2" t="n">
        <v>0</v>
      </c>
      <c r="CP828" s="2" t="n">
        <v>0</v>
      </c>
      <c r="CQ828" s="2" t="n">
        <v>0</v>
      </c>
      <c r="CR828" s="2" t="n">
        <v>0</v>
      </c>
      <c r="CS828" s="2" t="n">
        <v>0</v>
      </c>
      <c r="CT828" s="2" t="n">
        <v>0</v>
      </c>
      <c r="CU828" s="2" t="n">
        <v>0</v>
      </c>
      <c r="CV828" s="2" t="n">
        <v>0</v>
      </c>
      <c r="CW828" s="2" t="n">
        <v>0</v>
      </c>
      <c r="CX828" s="2" t="n">
        <v>0</v>
      </c>
      <c r="CY828" s="2" t="n">
        <v>0</v>
      </c>
      <c r="CZ828" s="2" t="n">
        <v>0</v>
      </c>
      <c r="DA828" s="2" t="n">
        <v>0</v>
      </c>
      <c r="DB828" s="2" t="n">
        <v>0</v>
      </c>
      <c r="DC828" s="2" t="n">
        <v>0</v>
      </c>
      <c r="DD828" s="2" t="n">
        <v>7.49</v>
      </c>
      <c r="DE828" s="2" t="n">
        <v>9.6</v>
      </c>
      <c r="DF828" s="2" t="n">
        <v>0</v>
      </c>
      <c r="DG828" s="2" t="n">
        <v>15.71</v>
      </c>
      <c r="DH828" s="2" t="n">
        <v>17.85</v>
      </c>
      <c r="DI828" s="2" t="n">
        <v>0</v>
      </c>
      <c r="DJ828" s="2" t="n">
        <v>26.39</v>
      </c>
      <c r="DK828" s="2" t="n">
        <v>28.5</v>
      </c>
      <c r="DL828" s="2" t="n">
        <v>0</v>
      </c>
      <c r="DM828" s="2" t="n">
        <v>36.13</v>
      </c>
      <c r="DN828" s="2" t="n">
        <v>38.25</v>
      </c>
      <c r="DO828" s="2" t="n">
        <v>0</v>
      </c>
      <c r="DP828" s="2" t="n">
        <v>45.85</v>
      </c>
      <c r="DQ828" s="2" t="n">
        <v>48.04</v>
      </c>
      <c r="DR828" s="2" t="n">
        <v>0</v>
      </c>
      <c r="DS828" s="2" t="n">
        <v>55.92</v>
      </c>
      <c r="DT828" s="2" t="n">
        <v>57.97</v>
      </c>
      <c r="DU828" s="2" t="n">
        <v>0</v>
      </c>
      <c r="DV828" s="2" t="n">
        <v>64.14</v>
      </c>
      <c r="DW828" s="2" t="n">
        <v>66.20999999999999</v>
      </c>
      <c r="DX828" s="2" t="n">
        <v>0</v>
      </c>
      <c r="DY828" s="2" t="n">
        <v>72.79000000000001</v>
      </c>
      <c r="DZ828" s="2" t="n">
        <v>75.18000000000001</v>
      </c>
      <c r="EA828" s="2" t="n">
        <v>0</v>
      </c>
      <c r="EB828" s="2" t="n">
        <v>80.93000000000001</v>
      </c>
      <c r="EC828" s="2" t="n">
        <v>84.2</v>
      </c>
      <c r="ED828" s="2" t="n">
        <v>0</v>
      </c>
      <c r="EE828" s="2" t="n">
        <v>87.59</v>
      </c>
      <c r="EF828" s="2" t="n">
        <v>90.55</v>
      </c>
      <c r="EG828" s="2" t="n">
        <v>0</v>
      </c>
      <c r="EH828" s="2" t="n">
        <v>96.19</v>
      </c>
      <c r="EI828" s="2" t="n">
        <v>98.68000000000001</v>
      </c>
      <c r="EJ828" s="2" t="n">
        <v>0</v>
      </c>
      <c r="EK828" s="2" t="n">
        <v>100</v>
      </c>
      <c r="EL828" s="2" t="n">
        <v>100</v>
      </c>
      <c r="EM828" s="2" t="n">
        <v>0</v>
      </c>
      <c r="EN828" s="2" t="n">
        <v>100</v>
      </c>
      <c r="EO828" s="2" t="n">
        <v>100</v>
      </c>
      <c r="EP828" s="2" t="n">
        <v>0</v>
      </c>
      <c r="EQ828" s="2" t="n">
        <v>100</v>
      </c>
      <c r="ER828" s="2" t="n">
        <v>100</v>
      </c>
      <c r="ES828" s="2" t="n">
        <v>0</v>
      </c>
    </row>
    <row r="829">
      <c r="A829" s="2" t="n">
        <v>3</v>
      </c>
      <c r="B829" s="2" t="inlineStr">
        <is>
          <t>34.01.05</t>
        </is>
      </c>
      <c r="C829" s="2" t="inlineStr">
        <is>
          <t>Ligação flexível cromada 40cm</t>
        </is>
      </c>
      <c r="D829" s="2" t="inlineStr">
        <is>
          <t>01/03/2028</t>
        </is>
      </c>
      <c r="E829" s="2" t="inlineStr">
        <is>
          <t>05/02/2029</t>
        </is>
      </c>
      <c r="F829" s="2" t="n">
        <v>16065.83332891097</v>
      </c>
      <c r="G829" s="2" t="n">
        <v>0</v>
      </c>
      <c r="H829" s="2" t="n">
        <v>16065.83332891097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0</v>
      </c>
      <c r="AM829" s="2" t="n">
        <v>0</v>
      </c>
      <c r="AN829" s="2" t="n">
        <v>0</v>
      </c>
      <c r="AO829" s="2" t="n">
        <v>0</v>
      </c>
      <c r="AP829" s="2" t="n">
        <v>0</v>
      </c>
      <c r="AQ829" s="2" t="n">
        <v>0</v>
      </c>
      <c r="AR829" s="2" t="n">
        <v>0</v>
      </c>
      <c r="AS829" s="2" t="n">
        <v>0</v>
      </c>
      <c r="AT829" s="2" t="n">
        <v>0</v>
      </c>
      <c r="AU829" s="2" t="n">
        <v>0</v>
      </c>
      <c r="AV829" s="2" t="n">
        <v>0</v>
      </c>
      <c r="AW829" s="2" t="n">
        <v>0</v>
      </c>
      <c r="AX829" s="2" t="n">
        <v>0</v>
      </c>
      <c r="AY829" s="2" t="n">
        <v>0</v>
      </c>
      <c r="AZ829" s="2" t="n">
        <v>0</v>
      </c>
      <c r="BA829" s="2" t="n">
        <v>0</v>
      </c>
      <c r="BB829" s="2" t="n">
        <v>0</v>
      </c>
      <c r="BC829" s="2" t="n">
        <v>0</v>
      </c>
      <c r="BD829" s="2" t="n">
        <v>0</v>
      </c>
      <c r="BE829" s="2" t="n">
        <v>0</v>
      </c>
      <c r="BF829" s="2" t="n">
        <v>0</v>
      </c>
      <c r="BG829" s="2" t="n">
        <v>0</v>
      </c>
      <c r="BH829" s="2" t="n">
        <v>0</v>
      </c>
      <c r="BI829" s="2" t="n">
        <v>0</v>
      </c>
      <c r="BJ829" s="2" t="n">
        <v>0</v>
      </c>
      <c r="BK829" s="2" t="n">
        <v>0</v>
      </c>
      <c r="BL829" s="2" t="n">
        <v>0</v>
      </c>
      <c r="BM829" s="2" t="n">
        <v>0</v>
      </c>
      <c r="BN829" s="2" t="n">
        <v>0</v>
      </c>
      <c r="BO829" s="2" t="n">
        <v>0</v>
      </c>
      <c r="BP829" s="2" t="n">
        <v>0</v>
      </c>
      <c r="BQ829" s="2" t="n">
        <v>0</v>
      </c>
      <c r="BR829" s="2" t="n">
        <v>0</v>
      </c>
      <c r="BS829" s="2" t="n">
        <v>0</v>
      </c>
      <c r="BT829" s="2" t="n">
        <v>0</v>
      </c>
      <c r="BU829" s="2" t="n">
        <v>0</v>
      </c>
      <c r="BV829" s="2" t="n">
        <v>0</v>
      </c>
      <c r="BW829" s="2" t="n">
        <v>0</v>
      </c>
      <c r="BX829" s="2" t="n">
        <v>0</v>
      </c>
      <c r="BY829" s="2" t="n">
        <v>0</v>
      </c>
      <c r="BZ829" s="2" t="n">
        <v>0</v>
      </c>
      <c r="CA829" s="2" t="n">
        <v>0</v>
      </c>
      <c r="CB829" s="2" t="n">
        <v>0</v>
      </c>
      <c r="CC829" s="2" t="n">
        <v>0</v>
      </c>
      <c r="CD829" s="2" t="n">
        <v>0</v>
      </c>
      <c r="CE829" s="2" t="n">
        <v>0</v>
      </c>
      <c r="CF829" s="2" t="n">
        <v>0</v>
      </c>
      <c r="CG829" s="2" t="n">
        <v>0</v>
      </c>
      <c r="CH829" s="2" t="n">
        <v>0</v>
      </c>
      <c r="CI829" s="2" t="n">
        <v>0</v>
      </c>
      <c r="CJ829" s="2" t="n">
        <v>0</v>
      </c>
      <c r="CK829" s="2" t="n">
        <v>0</v>
      </c>
      <c r="CL829" s="2" t="n">
        <v>0</v>
      </c>
      <c r="CM829" s="2" t="n">
        <v>0</v>
      </c>
      <c r="CN829" s="2" t="n">
        <v>0</v>
      </c>
      <c r="CO829" s="2" t="n">
        <v>0</v>
      </c>
      <c r="CP829" s="2" t="n">
        <v>0</v>
      </c>
      <c r="CQ829" s="2" t="n">
        <v>0</v>
      </c>
      <c r="CR829" s="2" t="n">
        <v>0</v>
      </c>
      <c r="CS829" s="2" t="n">
        <v>0</v>
      </c>
      <c r="CT829" s="2" t="n">
        <v>0</v>
      </c>
      <c r="CU829" s="2" t="n">
        <v>0</v>
      </c>
      <c r="CV829" s="2" t="n">
        <v>0</v>
      </c>
      <c r="CW829" s="2" t="n">
        <v>0</v>
      </c>
      <c r="CX829" s="2" t="n">
        <v>0</v>
      </c>
      <c r="CY829" s="2" t="n">
        <v>0</v>
      </c>
      <c r="CZ829" s="2" t="n">
        <v>0</v>
      </c>
      <c r="DA829" s="2" t="n">
        <v>0</v>
      </c>
      <c r="DB829" s="2" t="n">
        <v>0</v>
      </c>
      <c r="DC829" s="2" t="n">
        <v>0</v>
      </c>
      <c r="DD829" s="2" t="n">
        <v>7.49</v>
      </c>
      <c r="DE829" s="2" t="n">
        <v>9.6</v>
      </c>
      <c r="DF829" s="2" t="n">
        <v>0</v>
      </c>
      <c r="DG829" s="2" t="n">
        <v>15.71</v>
      </c>
      <c r="DH829" s="2" t="n">
        <v>17.85</v>
      </c>
      <c r="DI829" s="2" t="n">
        <v>0</v>
      </c>
      <c r="DJ829" s="2" t="n">
        <v>26.39</v>
      </c>
      <c r="DK829" s="2" t="n">
        <v>28.5</v>
      </c>
      <c r="DL829" s="2" t="n">
        <v>0</v>
      </c>
      <c r="DM829" s="2" t="n">
        <v>36.13</v>
      </c>
      <c r="DN829" s="2" t="n">
        <v>38.25</v>
      </c>
      <c r="DO829" s="2" t="n">
        <v>0</v>
      </c>
      <c r="DP829" s="2" t="n">
        <v>45.85</v>
      </c>
      <c r="DQ829" s="2" t="n">
        <v>48.04</v>
      </c>
      <c r="DR829" s="2" t="n">
        <v>0</v>
      </c>
      <c r="DS829" s="2" t="n">
        <v>55.92</v>
      </c>
      <c r="DT829" s="2" t="n">
        <v>57.97</v>
      </c>
      <c r="DU829" s="2" t="n">
        <v>0</v>
      </c>
      <c r="DV829" s="2" t="n">
        <v>64.14</v>
      </c>
      <c r="DW829" s="2" t="n">
        <v>66.20999999999999</v>
      </c>
      <c r="DX829" s="2" t="n">
        <v>0</v>
      </c>
      <c r="DY829" s="2" t="n">
        <v>72.79000000000001</v>
      </c>
      <c r="DZ829" s="2" t="n">
        <v>75.18000000000001</v>
      </c>
      <c r="EA829" s="2" t="n">
        <v>0</v>
      </c>
      <c r="EB829" s="2" t="n">
        <v>80.93000000000001</v>
      </c>
      <c r="EC829" s="2" t="n">
        <v>84.2</v>
      </c>
      <c r="ED829" s="2" t="n">
        <v>0</v>
      </c>
      <c r="EE829" s="2" t="n">
        <v>87.59</v>
      </c>
      <c r="EF829" s="2" t="n">
        <v>90.55</v>
      </c>
      <c r="EG829" s="2" t="n">
        <v>0</v>
      </c>
      <c r="EH829" s="2" t="n">
        <v>96.19</v>
      </c>
      <c r="EI829" s="2" t="n">
        <v>98.68000000000001</v>
      </c>
      <c r="EJ829" s="2" t="n">
        <v>0</v>
      </c>
      <c r="EK829" s="2" t="n">
        <v>100</v>
      </c>
      <c r="EL829" s="2" t="n">
        <v>100</v>
      </c>
      <c r="EM829" s="2" t="n">
        <v>0</v>
      </c>
      <c r="EN829" s="2" t="n">
        <v>100</v>
      </c>
      <c r="EO829" s="2" t="n">
        <v>100</v>
      </c>
      <c r="EP829" s="2" t="n">
        <v>0</v>
      </c>
      <c r="EQ829" s="2" t="n">
        <v>100</v>
      </c>
      <c r="ER829" s="2" t="n">
        <v>100</v>
      </c>
      <c r="ES829" s="2" t="n">
        <v>0</v>
      </c>
    </row>
    <row r="830">
      <c r="A830" s="2" t="n">
        <v>3</v>
      </c>
      <c r="B830" s="2" t="inlineStr">
        <is>
          <t>34.01.06</t>
        </is>
      </c>
      <c r="C830" s="2" t="inlineStr">
        <is>
          <t>Ducha higiênica despressurizada, acabamento cromado; ref.: Deca 1948.C.ACT.CR</t>
        </is>
      </c>
      <c r="D830" s="2" t="inlineStr">
        <is>
          <t>01/03/2028</t>
        </is>
      </c>
      <c r="E830" s="2" t="inlineStr">
        <is>
          <t>05/02/2029</t>
        </is>
      </c>
      <c r="F830" s="2" t="n">
        <v>167713.9946212878</v>
      </c>
      <c r="G830" s="2" t="n">
        <v>0</v>
      </c>
      <c r="H830" s="2" t="n">
        <v>167713.9946212878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0</v>
      </c>
      <c r="AL830" s="2" t="n">
        <v>0</v>
      </c>
      <c r="AM830" s="2" t="n">
        <v>0</v>
      </c>
      <c r="AN830" s="2" t="n">
        <v>0</v>
      </c>
      <c r="AO830" s="2" t="n">
        <v>0</v>
      </c>
      <c r="AP830" s="2" t="n">
        <v>0</v>
      </c>
      <c r="AQ830" s="2" t="n">
        <v>0</v>
      </c>
      <c r="AR830" s="2" t="n">
        <v>0</v>
      </c>
      <c r="AS830" s="2" t="n">
        <v>0</v>
      </c>
      <c r="AT830" s="2" t="n">
        <v>0</v>
      </c>
      <c r="AU830" s="2" t="n">
        <v>0</v>
      </c>
      <c r="AV830" s="2" t="n">
        <v>0</v>
      </c>
      <c r="AW830" s="2" t="n">
        <v>0</v>
      </c>
      <c r="AX830" s="2" t="n">
        <v>0</v>
      </c>
      <c r="AY830" s="2" t="n">
        <v>0</v>
      </c>
      <c r="AZ830" s="2" t="n">
        <v>0</v>
      </c>
      <c r="BA830" s="2" t="n">
        <v>0</v>
      </c>
      <c r="BB830" s="2" t="n">
        <v>0</v>
      </c>
      <c r="BC830" s="2" t="n">
        <v>0</v>
      </c>
      <c r="BD830" s="2" t="n">
        <v>0</v>
      </c>
      <c r="BE830" s="2" t="n">
        <v>0</v>
      </c>
      <c r="BF830" s="2" t="n">
        <v>0</v>
      </c>
      <c r="BG830" s="2" t="n">
        <v>0</v>
      </c>
      <c r="BH830" s="2" t="n">
        <v>0</v>
      </c>
      <c r="BI830" s="2" t="n">
        <v>0</v>
      </c>
      <c r="BJ830" s="2" t="n">
        <v>0</v>
      </c>
      <c r="BK830" s="2" t="n">
        <v>0</v>
      </c>
      <c r="BL830" s="2" t="n">
        <v>0</v>
      </c>
      <c r="BM830" s="2" t="n">
        <v>0</v>
      </c>
      <c r="BN830" s="2" t="n">
        <v>0</v>
      </c>
      <c r="BO830" s="2" t="n">
        <v>0</v>
      </c>
      <c r="BP830" s="2" t="n">
        <v>0</v>
      </c>
      <c r="BQ830" s="2" t="n">
        <v>0</v>
      </c>
      <c r="BR830" s="2" t="n">
        <v>0</v>
      </c>
      <c r="BS830" s="2" t="n">
        <v>0</v>
      </c>
      <c r="BT830" s="2" t="n">
        <v>0</v>
      </c>
      <c r="BU830" s="2" t="n">
        <v>0</v>
      </c>
      <c r="BV830" s="2" t="n">
        <v>0</v>
      </c>
      <c r="BW830" s="2" t="n">
        <v>0</v>
      </c>
      <c r="BX830" s="2" t="n">
        <v>0</v>
      </c>
      <c r="BY830" s="2" t="n">
        <v>0</v>
      </c>
      <c r="BZ830" s="2" t="n">
        <v>0</v>
      </c>
      <c r="CA830" s="2" t="n">
        <v>0</v>
      </c>
      <c r="CB830" s="2" t="n">
        <v>0</v>
      </c>
      <c r="CC830" s="2" t="n">
        <v>0</v>
      </c>
      <c r="CD830" s="2" t="n">
        <v>0</v>
      </c>
      <c r="CE830" s="2" t="n">
        <v>0</v>
      </c>
      <c r="CF830" s="2" t="n">
        <v>0</v>
      </c>
      <c r="CG830" s="2" t="n">
        <v>0</v>
      </c>
      <c r="CH830" s="2" t="n">
        <v>0</v>
      </c>
      <c r="CI830" s="2" t="n">
        <v>0</v>
      </c>
      <c r="CJ830" s="2" t="n">
        <v>0</v>
      </c>
      <c r="CK830" s="2" t="n">
        <v>0</v>
      </c>
      <c r="CL830" s="2" t="n">
        <v>0</v>
      </c>
      <c r="CM830" s="2" t="n">
        <v>0</v>
      </c>
      <c r="CN830" s="2" t="n">
        <v>0</v>
      </c>
      <c r="CO830" s="2" t="n">
        <v>0</v>
      </c>
      <c r="CP830" s="2" t="n">
        <v>0</v>
      </c>
      <c r="CQ830" s="2" t="n">
        <v>0</v>
      </c>
      <c r="CR830" s="2" t="n">
        <v>0</v>
      </c>
      <c r="CS830" s="2" t="n">
        <v>0</v>
      </c>
      <c r="CT830" s="2" t="n">
        <v>0</v>
      </c>
      <c r="CU830" s="2" t="n">
        <v>0</v>
      </c>
      <c r="CV830" s="2" t="n">
        <v>0</v>
      </c>
      <c r="CW830" s="2" t="n">
        <v>0</v>
      </c>
      <c r="CX830" s="2" t="n">
        <v>0</v>
      </c>
      <c r="CY830" s="2" t="n">
        <v>0</v>
      </c>
      <c r="CZ830" s="2" t="n">
        <v>0</v>
      </c>
      <c r="DA830" s="2" t="n">
        <v>0</v>
      </c>
      <c r="DB830" s="2" t="n">
        <v>0</v>
      </c>
      <c r="DC830" s="2" t="n">
        <v>0</v>
      </c>
      <c r="DD830" s="2" t="n">
        <v>7.49</v>
      </c>
      <c r="DE830" s="2" t="n">
        <v>9.6</v>
      </c>
      <c r="DF830" s="2" t="n">
        <v>0</v>
      </c>
      <c r="DG830" s="2" t="n">
        <v>15.71</v>
      </c>
      <c r="DH830" s="2" t="n">
        <v>17.85</v>
      </c>
      <c r="DI830" s="2" t="n">
        <v>0</v>
      </c>
      <c r="DJ830" s="2" t="n">
        <v>26.39</v>
      </c>
      <c r="DK830" s="2" t="n">
        <v>28.5</v>
      </c>
      <c r="DL830" s="2" t="n">
        <v>0</v>
      </c>
      <c r="DM830" s="2" t="n">
        <v>36.13</v>
      </c>
      <c r="DN830" s="2" t="n">
        <v>38.25</v>
      </c>
      <c r="DO830" s="2" t="n">
        <v>0</v>
      </c>
      <c r="DP830" s="2" t="n">
        <v>45.85</v>
      </c>
      <c r="DQ830" s="2" t="n">
        <v>48.04</v>
      </c>
      <c r="DR830" s="2" t="n">
        <v>0</v>
      </c>
      <c r="DS830" s="2" t="n">
        <v>55.92</v>
      </c>
      <c r="DT830" s="2" t="n">
        <v>57.97</v>
      </c>
      <c r="DU830" s="2" t="n">
        <v>0</v>
      </c>
      <c r="DV830" s="2" t="n">
        <v>64.14</v>
      </c>
      <c r="DW830" s="2" t="n">
        <v>66.20999999999999</v>
      </c>
      <c r="DX830" s="2" t="n">
        <v>0</v>
      </c>
      <c r="DY830" s="2" t="n">
        <v>72.79000000000001</v>
      </c>
      <c r="DZ830" s="2" t="n">
        <v>75.18000000000001</v>
      </c>
      <c r="EA830" s="2" t="n">
        <v>0</v>
      </c>
      <c r="EB830" s="2" t="n">
        <v>80.93000000000001</v>
      </c>
      <c r="EC830" s="2" t="n">
        <v>84.2</v>
      </c>
      <c r="ED830" s="2" t="n">
        <v>0</v>
      </c>
      <c r="EE830" s="2" t="n">
        <v>87.59</v>
      </c>
      <c r="EF830" s="2" t="n">
        <v>90.55</v>
      </c>
      <c r="EG830" s="2" t="n">
        <v>0</v>
      </c>
      <c r="EH830" s="2" t="n">
        <v>96.19</v>
      </c>
      <c r="EI830" s="2" t="n">
        <v>98.68000000000001</v>
      </c>
      <c r="EJ830" s="2" t="n">
        <v>0</v>
      </c>
      <c r="EK830" s="2" t="n">
        <v>100</v>
      </c>
      <c r="EL830" s="2" t="n">
        <v>100</v>
      </c>
      <c r="EM830" s="2" t="n">
        <v>0</v>
      </c>
      <c r="EN830" s="2" t="n">
        <v>100</v>
      </c>
      <c r="EO830" s="2" t="n">
        <v>100</v>
      </c>
      <c r="EP830" s="2" t="n">
        <v>0</v>
      </c>
      <c r="EQ830" s="2" t="n">
        <v>100</v>
      </c>
      <c r="ER830" s="2" t="n">
        <v>100</v>
      </c>
      <c r="ES830" s="2" t="n">
        <v>0</v>
      </c>
    </row>
    <row r="831">
      <c r="A831" s="2" t="n">
        <v>3</v>
      </c>
      <c r="B831" s="2" t="inlineStr">
        <is>
          <t>34.01.07</t>
        </is>
      </c>
      <c r="C831" s="2" t="inlineStr">
        <is>
          <t>(Ducha sauna) Ducha Higiênica Despressurizada Deca Universal – Cromado, Cód.: 1948.C.ACT.CR;</t>
        </is>
      </c>
      <c r="D831" s="2" t="inlineStr">
        <is>
          <t>01/03/2028</t>
        </is>
      </c>
      <c r="E831" s="2" t="inlineStr">
        <is>
          <t>05/02/2029</t>
        </is>
      </c>
      <c r="F831" s="2" t="n">
        <v>673.5501792019591</v>
      </c>
      <c r="G831" s="2" t="n">
        <v>0</v>
      </c>
      <c r="H831" s="2" t="n">
        <v>673.5501792019591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0</v>
      </c>
      <c r="AL831" s="2" t="n">
        <v>0</v>
      </c>
      <c r="AM831" s="2" t="n">
        <v>0</v>
      </c>
      <c r="AN831" s="2" t="n">
        <v>0</v>
      </c>
      <c r="AO831" s="2" t="n">
        <v>0</v>
      </c>
      <c r="AP831" s="2" t="n">
        <v>0</v>
      </c>
      <c r="AQ831" s="2" t="n">
        <v>0</v>
      </c>
      <c r="AR831" s="2" t="n">
        <v>0</v>
      </c>
      <c r="AS831" s="2" t="n">
        <v>0</v>
      </c>
      <c r="AT831" s="2" t="n">
        <v>0</v>
      </c>
      <c r="AU831" s="2" t="n">
        <v>0</v>
      </c>
      <c r="AV831" s="2" t="n">
        <v>0</v>
      </c>
      <c r="AW831" s="2" t="n">
        <v>0</v>
      </c>
      <c r="AX831" s="2" t="n">
        <v>0</v>
      </c>
      <c r="AY831" s="2" t="n">
        <v>0</v>
      </c>
      <c r="AZ831" s="2" t="n">
        <v>0</v>
      </c>
      <c r="BA831" s="2" t="n">
        <v>0</v>
      </c>
      <c r="BB831" s="2" t="n">
        <v>0</v>
      </c>
      <c r="BC831" s="2" t="n">
        <v>0</v>
      </c>
      <c r="BD831" s="2" t="n">
        <v>0</v>
      </c>
      <c r="BE831" s="2" t="n">
        <v>0</v>
      </c>
      <c r="BF831" s="2" t="n">
        <v>0</v>
      </c>
      <c r="BG831" s="2" t="n">
        <v>0</v>
      </c>
      <c r="BH831" s="2" t="n">
        <v>0</v>
      </c>
      <c r="BI831" s="2" t="n">
        <v>0</v>
      </c>
      <c r="BJ831" s="2" t="n">
        <v>0</v>
      </c>
      <c r="BK831" s="2" t="n">
        <v>0</v>
      </c>
      <c r="BL831" s="2" t="n">
        <v>0</v>
      </c>
      <c r="BM831" s="2" t="n">
        <v>0</v>
      </c>
      <c r="BN831" s="2" t="n">
        <v>0</v>
      </c>
      <c r="BO831" s="2" t="n">
        <v>0</v>
      </c>
      <c r="BP831" s="2" t="n">
        <v>0</v>
      </c>
      <c r="BQ831" s="2" t="n">
        <v>0</v>
      </c>
      <c r="BR831" s="2" t="n">
        <v>0</v>
      </c>
      <c r="BS831" s="2" t="n">
        <v>0</v>
      </c>
      <c r="BT831" s="2" t="n">
        <v>0</v>
      </c>
      <c r="BU831" s="2" t="n">
        <v>0</v>
      </c>
      <c r="BV831" s="2" t="n">
        <v>0</v>
      </c>
      <c r="BW831" s="2" t="n">
        <v>0</v>
      </c>
      <c r="BX831" s="2" t="n">
        <v>0</v>
      </c>
      <c r="BY831" s="2" t="n">
        <v>0</v>
      </c>
      <c r="BZ831" s="2" t="n">
        <v>0</v>
      </c>
      <c r="CA831" s="2" t="n">
        <v>0</v>
      </c>
      <c r="CB831" s="2" t="n">
        <v>0</v>
      </c>
      <c r="CC831" s="2" t="n">
        <v>0</v>
      </c>
      <c r="CD831" s="2" t="n">
        <v>0</v>
      </c>
      <c r="CE831" s="2" t="n">
        <v>0</v>
      </c>
      <c r="CF831" s="2" t="n">
        <v>0</v>
      </c>
      <c r="CG831" s="2" t="n">
        <v>0</v>
      </c>
      <c r="CH831" s="2" t="n">
        <v>0</v>
      </c>
      <c r="CI831" s="2" t="n">
        <v>0</v>
      </c>
      <c r="CJ831" s="2" t="n">
        <v>0</v>
      </c>
      <c r="CK831" s="2" t="n">
        <v>0</v>
      </c>
      <c r="CL831" s="2" t="n">
        <v>0</v>
      </c>
      <c r="CM831" s="2" t="n">
        <v>0</v>
      </c>
      <c r="CN831" s="2" t="n">
        <v>0</v>
      </c>
      <c r="CO831" s="2" t="n">
        <v>0</v>
      </c>
      <c r="CP831" s="2" t="n">
        <v>0</v>
      </c>
      <c r="CQ831" s="2" t="n">
        <v>0</v>
      </c>
      <c r="CR831" s="2" t="n">
        <v>0</v>
      </c>
      <c r="CS831" s="2" t="n">
        <v>0</v>
      </c>
      <c r="CT831" s="2" t="n">
        <v>0</v>
      </c>
      <c r="CU831" s="2" t="n">
        <v>0</v>
      </c>
      <c r="CV831" s="2" t="n">
        <v>0</v>
      </c>
      <c r="CW831" s="2" t="n">
        <v>0</v>
      </c>
      <c r="CX831" s="2" t="n">
        <v>0</v>
      </c>
      <c r="CY831" s="2" t="n">
        <v>0</v>
      </c>
      <c r="CZ831" s="2" t="n">
        <v>0</v>
      </c>
      <c r="DA831" s="2" t="n">
        <v>0</v>
      </c>
      <c r="DB831" s="2" t="n">
        <v>0</v>
      </c>
      <c r="DC831" s="2" t="n">
        <v>0</v>
      </c>
      <c r="DD831" s="2" t="n">
        <v>7.49</v>
      </c>
      <c r="DE831" s="2" t="n">
        <v>9.6</v>
      </c>
      <c r="DF831" s="2" t="n">
        <v>0</v>
      </c>
      <c r="DG831" s="2" t="n">
        <v>15.71</v>
      </c>
      <c r="DH831" s="2" t="n">
        <v>17.85</v>
      </c>
      <c r="DI831" s="2" t="n">
        <v>0</v>
      </c>
      <c r="DJ831" s="2" t="n">
        <v>26.39</v>
      </c>
      <c r="DK831" s="2" t="n">
        <v>28.5</v>
      </c>
      <c r="DL831" s="2" t="n">
        <v>0</v>
      </c>
      <c r="DM831" s="2" t="n">
        <v>36.13</v>
      </c>
      <c r="DN831" s="2" t="n">
        <v>38.25</v>
      </c>
      <c r="DO831" s="2" t="n">
        <v>0</v>
      </c>
      <c r="DP831" s="2" t="n">
        <v>45.85</v>
      </c>
      <c r="DQ831" s="2" t="n">
        <v>48.04</v>
      </c>
      <c r="DR831" s="2" t="n">
        <v>0</v>
      </c>
      <c r="DS831" s="2" t="n">
        <v>55.92</v>
      </c>
      <c r="DT831" s="2" t="n">
        <v>57.97</v>
      </c>
      <c r="DU831" s="2" t="n">
        <v>0</v>
      </c>
      <c r="DV831" s="2" t="n">
        <v>64.14</v>
      </c>
      <c r="DW831" s="2" t="n">
        <v>66.20999999999999</v>
      </c>
      <c r="DX831" s="2" t="n">
        <v>0</v>
      </c>
      <c r="DY831" s="2" t="n">
        <v>72.79000000000001</v>
      </c>
      <c r="DZ831" s="2" t="n">
        <v>75.18000000000001</v>
      </c>
      <c r="EA831" s="2" t="n">
        <v>0</v>
      </c>
      <c r="EB831" s="2" t="n">
        <v>80.93000000000001</v>
      </c>
      <c r="EC831" s="2" t="n">
        <v>84.2</v>
      </c>
      <c r="ED831" s="2" t="n">
        <v>0</v>
      </c>
      <c r="EE831" s="2" t="n">
        <v>87.59</v>
      </c>
      <c r="EF831" s="2" t="n">
        <v>90.55</v>
      </c>
      <c r="EG831" s="2" t="n">
        <v>0</v>
      </c>
      <c r="EH831" s="2" t="n">
        <v>96.19</v>
      </c>
      <c r="EI831" s="2" t="n">
        <v>98.68000000000001</v>
      </c>
      <c r="EJ831" s="2" t="n">
        <v>0</v>
      </c>
      <c r="EK831" s="2" t="n">
        <v>100</v>
      </c>
      <c r="EL831" s="2" t="n">
        <v>100</v>
      </c>
      <c r="EM831" s="2" t="n">
        <v>0</v>
      </c>
      <c r="EN831" s="2" t="n">
        <v>100</v>
      </c>
      <c r="EO831" s="2" t="n">
        <v>100</v>
      </c>
      <c r="EP831" s="2" t="n">
        <v>0</v>
      </c>
      <c r="EQ831" s="2" t="n">
        <v>100</v>
      </c>
      <c r="ER831" s="2" t="n">
        <v>100</v>
      </c>
      <c r="ES831" s="2" t="n">
        <v>0</v>
      </c>
    </row>
    <row r="832">
      <c r="A832" s="2" t="n">
        <v>3</v>
      </c>
      <c r="B832" s="2" t="inlineStr">
        <is>
          <t>34.01.08</t>
        </is>
      </c>
      <c r="C832" s="2" t="inlineStr">
        <is>
          <t>Ducha higiênica despressurizada, acabamento cromado; ref.: Deca 1948.C.ACT.CR</t>
        </is>
      </c>
      <c r="D832" s="2" t="inlineStr">
        <is>
          <t>01/03/2028</t>
        </is>
      </c>
      <c r="E832" s="2" t="inlineStr">
        <is>
          <t>05/02/2029</t>
        </is>
      </c>
      <c r="F832" s="2" t="n">
        <v>70049.21863700374</v>
      </c>
      <c r="G832" s="2" t="n">
        <v>0</v>
      </c>
      <c r="H832" s="2" t="n">
        <v>70049.21863700374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0</v>
      </c>
      <c r="AM832" s="2" t="n">
        <v>0</v>
      </c>
      <c r="AN832" s="2" t="n">
        <v>0</v>
      </c>
      <c r="AO832" s="2" t="n">
        <v>0</v>
      </c>
      <c r="AP832" s="2" t="n">
        <v>0</v>
      </c>
      <c r="AQ832" s="2" t="n">
        <v>0</v>
      </c>
      <c r="AR832" s="2" t="n">
        <v>0</v>
      </c>
      <c r="AS832" s="2" t="n">
        <v>0</v>
      </c>
      <c r="AT832" s="2" t="n">
        <v>0</v>
      </c>
      <c r="AU832" s="2" t="n">
        <v>0</v>
      </c>
      <c r="AV832" s="2" t="n">
        <v>0</v>
      </c>
      <c r="AW832" s="2" t="n">
        <v>0</v>
      </c>
      <c r="AX832" s="2" t="n">
        <v>0</v>
      </c>
      <c r="AY832" s="2" t="n">
        <v>0</v>
      </c>
      <c r="AZ832" s="2" t="n">
        <v>0</v>
      </c>
      <c r="BA832" s="2" t="n">
        <v>0</v>
      </c>
      <c r="BB832" s="2" t="n">
        <v>0</v>
      </c>
      <c r="BC832" s="2" t="n">
        <v>0</v>
      </c>
      <c r="BD832" s="2" t="n">
        <v>0</v>
      </c>
      <c r="BE832" s="2" t="n">
        <v>0</v>
      </c>
      <c r="BF832" s="2" t="n">
        <v>0</v>
      </c>
      <c r="BG832" s="2" t="n">
        <v>0</v>
      </c>
      <c r="BH832" s="2" t="n">
        <v>0</v>
      </c>
      <c r="BI832" s="2" t="n">
        <v>0</v>
      </c>
      <c r="BJ832" s="2" t="n">
        <v>0</v>
      </c>
      <c r="BK832" s="2" t="n">
        <v>0</v>
      </c>
      <c r="BL832" s="2" t="n">
        <v>0</v>
      </c>
      <c r="BM832" s="2" t="n">
        <v>0</v>
      </c>
      <c r="BN832" s="2" t="n">
        <v>0</v>
      </c>
      <c r="BO832" s="2" t="n">
        <v>0</v>
      </c>
      <c r="BP832" s="2" t="n">
        <v>0</v>
      </c>
      <c r="BQ832" s="2" t="n">
        <v>0</v>
      </c>
      <c r="BR832" s="2" t="n">
        <v>0</v>
      </c>
      <c r="BS832" s="2" t="n">
        <v>0</v>
      </c>
      <c r="BT832" s="2" t="n">
        <v>0</v>
      </c>
      <c r="BU832" s="2" t="n">
        <v>0</v>
      </c>
      <c r="BV832" s="2" t="n">
        <v>0</v>
      </c>
      <c r="BW832" s="2" t="n">
        <v>0</v>
      </c>
      <c r="BX832" s="2" t="n">
        <v>0</v>
      </c>
      <c r="BY832" s="2" t="n">
        <v>0</v>
      </c>
      <c r="BZ832" s="2" t="n">
        <v>0</v>
      </c>
      <c r="CA832" s="2" t="n">
        <v>0</v>
      </c>
      <c r="CB832" s="2" t="n">
        <v>0</v>
      </c>
      <c r="CC832" s="2" t="n">
        <v>0</v>
      </c>
      <c r="CD832" s="2" t="n">
        <v>0</v>
      </c>
      <c r="CE832" s="2" t="n">
        <v>0</v>
      </c>
      <c r="CF832" s="2" t="n">
        <v>0</v>
      </c>
      <c r="CG832" s="2" t="n">
        <v>0</v>
      </c>
      <c r="CH832" s="2" t="n">
        <v>0</v>
      </c>
      <c r="CI832" s="2" t="n">
        <v>0</v>
      </c>
      <c r="CJ832" s="2" t="n">
        <v>0</v>
      </c>
      <c r="CK832" s="2" t="n">
        <v>0</v>
      </c>
      <c r="CL832" s="2" t="n">
        <v>0</v>
      </c>
      <c r="CM832" s="2" t="n">
        <v>0</v>
      </c>
      <c r="CN832" s="2" t="n">
        <v>0</v>
      </c>
      <c r="CO832" s="2" t="n">
        <v>0</v>
      </c>
      <c r="CP832" s="2" t="n">
        <v>0</v>
      </c>
      <c r="CQ832" s="2" t="n">
        <v>0</v>
      </c>
      <c r="CR832" s="2" t="n">
        <v>0</v>
      </c>
      <c r="CS832" s="2" t="n">
        <v>0</v>
      </c>
      <c r="CT832" s="2" t="n">
        <v>0</v>
      </c>
      <c r="CU832" s="2" t="n">
        <v>0</v>
      </c>
      <c r="CV832" s="2" t="n">
        <v>0</v>
      </c>
      <c r="CW832" s="2" t="n">
        <v>0</v>
      </c>
      <c r="CX832" s="2" t="n">
        <v>0</v>
      </c>
      <c r="CY832" s="2" t="n">
        <v>0</v>
      </c>
      <c r="CZ832" s="2" t="n">
        <v>0</v>
      </c>
      <c r="DA832" s="2" t="n">
        <v>0</v>
      </c>
      <c r="DB832" s="2" t="n">
        <v>0</v>
      </c>
      <c r="DC832" s="2" t="n">
        <v>0</v>
      </c>
      <c r="DD832" s="2" t="n">
        <v>7.49</v>
      </c>
      <c r="DE832" s="2" t="n">
        <v>9.6</v>
      </c>
      <c r="DF832" s="2" t="n">
        <v>0</v>
      </c>
      <c r="DG832" s="2" t="n">
        <v>15.71</v>
      </c>
      <c r="DH832" s="2" t="n">
        <v>17.85</v>
      </c>
      <c r="DI832" s="2" t="n">
        <v>0</v>
      </c>
      <c r="DJ832" s="2" t="n">
        <v>26.39</v>
      </c>
      <c r="DK832" s="2" t="n">
        <v>28.5</v>
      </c>
      <c r="DL832" s="2" t="n">
        <v>0</v>
      </c>
      <c r="DM832" s="2" t="n">
        <v>36.13</v>
      </c>
      <c r="DN832" s="2" t="n">
        <v>38.25</v>
      </c>
      <c r="DO832" s="2" t="n">
        <v>0</v>
      </c>
      <c r="DP832" s="2" t="n">
        <v>45.85</v>
      </c>
      <c r="DQ832" s="2" t="n">
        <v>48.04</v>
      </c>
      <c r="DR832" s="2" t="n">
        <v>0</v>
      </c>
      <c r="DS832" s="2" t="n">
        <v>55.92</v>
      </c>
      <c r="DT832" s="2" t="n">
        <v>57.97</v>
      </c>
      <c r="DU832" s="2" t="n">
        <v>0</v>
      </c>
      <c r="DV832" s="2" t="n">
        <v>64.14</v>
      </c>
      <c r="DW832" s="2" t="n">
        <v>66.20999999999999</v>
      </c>
      <c r="DX832" s="2" t="n">
        <v>0</v>
      </c>
      <c r="DY832" s="2" t="n">
        <v>72.79000000000001</v>
      </c>
      <c r="DZ832" s="2" t="n">
        <v>75.18000000000001</v>
      </c>
      <c r="EA832" s="2" t="n">
        <v>0</v>
      </c>
      <c r="EB832" s="2" t="n">
        <v>80.93000000000001</v>
      </c>
      <c r="EC832" s="2" t="n">
        <v>84.2</v>
      </c>
      <c r="ED832" s="2" t="n">
        <v>0</v>
      </c>
      <c r="EE832" s="2" t="n">
        <v>87.59</v>
      </c>
      <c r="EF832" s="2" t="n">
        <v>90.55</v>
      </c>
      <c r="EG832" s="2" t="n">
        <v>0</v>
      </c>
      <c r="EH832" s="2" t="n">
        <v>96.19</v>
      </c>
      <c r="EI832" s="2" t="n">
        <v>98.68000000000001</v>
      </c>
      <c r="EJ832" s="2" t="n">
        <v>0</v>
      </c>
      <c r="EK832" s="2" t="n">
        <v>100</v>
      </c>
      <c r="EL832" s="2" t="n">
        <v>100</v>
      </c>
      <c r="EM832" s="2" t="n">
        <v>0</v>
      </c>
      <c r="EN832" s="2" t="n">
        <v>100</v>
      </c>
      <c r="EO832" s="2" t="n">
        <v>100</v>
      </c>
      <c r="EP832" s="2" t="n">
        <v>0</v>
      </c>
      <c r="EQ832" s="2" t="n">
        <v>100</v>
      </c>
      <c r="ER832" s="2" t="n">
        <v>100</v>
      </c>
      <c r="ES832" s="2" t="n">
        <v>0</v>
      </c>
    </row>
    <row r="833">
      <c r="A833" s="2" t="n">
        <v>2</v>
      </c>
      <c r="B833" s="2" t="inlineStr">
        <is>
          <t>34.02</t>
        </is>
      </c>
      <c r="C833" s="2" t="inlineStr">
        <is>
          <t>Lavatorio</t>
        </is>
      </c>
      <c r="D833" s="2" t="inlineStr">
        <is>
          <t>01/03/2028</t>
        </is>
      </c>
      <c r="E833" s="2" t="inlineStr">
        <is>
          <t>05/02/2029</t>
        </is>
      </c>
      <c r="F833" s="2" t="n">
        <v>575925.0247102351</v>
      </c>
      <c r="G833" s="2" t="n">
        <v>0</v>
      </c>
      <c r="H833" s="2" t="n">
        <v>575925.0247102351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0</v>
      </c>
      <c r="AL833" s="2" t="n">
        <v>0</v>
      </c>
      <c r="AM833" s="2" t="n">
        <v>0</v>
      </c>
      <c r="AN833" s="2" t="n">
        <v>0</v>
      </c>
      <c r="AO833" s="2" t="n">
        <v>0</v>
      </c>
      <c r="AP833" s="2" t="n">
        <v>0</v>
      </c>
      <c r="AQ833" s="2" t="n">
        <v>0</v>
      </c>
      <c r="AR833" s="2" t="n">
        <v>0</v>
      </c>
      <c r="AS833" s="2" t="n">
        <v>0</v>
      </c>
      <c r="AT833" s="2" t="n">
        <v>0</v>
      </c>
      <c r="AU833" s="2" t="n">
        <v>0</v>
      </c>
      <c r="AV833" s="2" t="n">
        <v>0</v>
      </c>
      <c r="AW833" s="2" t="n">
        <v>0</v>
      </c>
      <c r="AX833" s="2" t="n">
        <v>0</v>
      </c>
      <c r="AY833" s="2" t="n">
        <v>0</v>
      </c>
      <c r="AZ833" s="2" t="n">
        <v>0</v>
      </c>
      <c r="BA833" s="2" t="n">
        <v>0</v>
      </c>
      <c r="BB833" s="2" t="n">
        <v>0</v>
      </c>
      <c r="BC833" s="2" t="n">
        <v>0</v>
      </c>
      <c r="BD833" s="2" t="n">
        <v>0</v>
      </c>
      <c r="BE833" s="2" t="n">
        <v>0</v>
      </c>
      <c r="BF833" s="2" t="n">
        <v>0</v>
      </c>
      <c r="BG833" s="2" t="n">
        <v>0</v>
      </c>
      <c r="BH833" s="2" t="n">
        <v>0</v>
      </c>
      <c r="BI833" s="2" t="n">
        <v>0</v>
      </c>
      <c r="BJ833" s="2" t="n">
        <v>0</v>
      </c>
      <c r="BK833" s="2" t="n">
        <v>0</v>
      </c>
      <c r="BL833" s="2" t="n">
        <v>0</v>
      </c>
      <c r="BM833" s="2" t="n">
        <v>0</v>
      </c>
      <c r="BN833" s="2" t="n">
        <v>0</v>
      </c>
      <c r="BO833" s="2" t="n">
        <v>0</v>
      </c>
      <c r="BP833" s="2" t="n">
        <v>0</v>
      </c>
      <c r="BQ833" s="2" t="n">
        <v>0</v>
      </c>
      <c r="BR833" s="2" t="n">
        <v>0</v>
      </c>
      <c r="BS833" s="2" t="n">
        <v>0</v>
      </c>
      <c r="BT833" s="2" t="n">
        <v>0</v>
      </c>
      <c r="BU833" s="2" t="n">
        <v>0</v>
      </c>
      <c r="BV833" s="2" t="n">
        <v>0</v>
      </c>
      <c r="BW833" s="2" t="n">
        <v>0</v>
      </c>
      <c r="BX833" s="2" t="n">
        <v>0</v>
      </c>
      <c r="BY833" s="2" t="n">
        <v>0</v>
      </c>
      <c r="BZ833" s="2" t="n">
        <v>0</v>
      </c>
      <c r="CA833" s="2" t="n">
        <v>0</v>
      </c>
      <c r="CB833" s="2" t="n">
        <v>0</v>
      </c>
      <c r="CC833" s="2" t="n">
        <v>0</v>
      </c>
      <c r="CD833" s="2" t="n">
        <v>0</v>
      </c>
      <c r="CE833" s="2" t="n">
        <v>0</v>
      </c>
      <c r="CF833" s="2" t="n">
        <v>0</v>
      </c>
      <c r="CG833" s="2" t="n">
        <v>0</v>
      </c>
      <c r="CH833" s="2" t="n">
        <v>0</v>
      </c>
      <c r="CI833" s="2" t="n">
        <v>0</v>
      </c>
      <c r="CJ833" s="2" t="n">
        <v>0</v>
      </c>
      <c r="CK833" s="2" t="n">
        <v>0</v>
      </c>
      <c r="CL833" s="2" t="n">
        <v>0</v>
      </c>
      <c r="CM833" s="2" t="n">
        <v>0</v>
      </c>
      <c r="CN833" s="2" t="n">
        <v>0</v>
      </c>
      <c r="CO833" s="2" t="n">
        <v>0</v>
      </c>
      <c r="CP833" s="2" t="n">
        <v>0</v>
      </c>
      <c r="CQ833" s="2" t="n">
        <v>0</v>
      </c>
      <c r="CR833" s="2" t="n">
        <v>0</v>
      </c>
      <c r="CS833" s="2" t="n">
        <v>0</v>
      </c>
      <c r="CT833" s="2" t="n">
        <v>0</v>
      </c>
      <c r="CU833" s="2" t="n">
        <v>0</v>
      </c>
      <c r="CV833" s="2" t="n">
        <v>0</v>
      </c>
      <c r="CW833" s="2" t="n">
        <v>0</v>
      </c>
      <c r="CX833" s="2" t="n">
        <v>0</v>
      </c>
      <c r="CY833" s="2" t="n">
        <v>0</v>
      </c>
      <c r="CZ833" s="2" t="n">
        <v>0</v>
      </c>
      <c r="DA833" s="2" t="n">
        <v>0</v>
      </c>
      <c r="DB833" s="2" t="n">
        <v>0</v>
      </c>
      <c r="DC833" s="2" t="n">
        <v>0</v>
      </c>
      <c r="DD833" s="2" t="n">
        <v>7.49</v>
      </c>
      <c r="DE833" s="2" t="n">
        <v>9.6</v>
      </c>
      <c r="DF833" s="2" t="n">
        <v>0</v>
      </c>
      <c r="DG833" s="2" t="n">
        <v>15.71</v>
      </c>
      <c r="DH833" s="2" t="n">
        <v>17.85</v>
      </c>
      <c r="DI833" s="2" t="n">
        <v>0</v>
      </c>
      <c r="DJ833" s="2" t="n">
        <v>26.39</v>
      </c>
      <c r="DK833" s="2" t="n">
        <v>28.5</v>
      </c>
      <c r="DL833" s="2" t="n">
        <v>0</v>
      </c>
      <c r="DM833" s="2" t="n">
        <v>36.13</v>
      </c>
      <c r="DN833" s="2" t="n">
        <v>38.25</v>
      </c>
      <c r="DO833" s="2" t="n">
        <v>0</v>
      </c>
      <c r="DP833" s="2" t="n">
        <v>45.85</v>
      </c>
      <c r="DQ833" s="2" t="n">
        <v>48.04</v>
      </c>
      <c r="DR833" s="2" t="n">
        <v>0</v>
      </c>
      <c r="DS833" s="2" t="n">
        <v>55.92</v>
      </c>
      <c r="DT833" s="2" t="n">
        <v>57.97</v>
      </c>
      <c r="DU833" s="2" t="n">
        <v>0</v>
      </c>
      <c r="DV833" s="2" t="n">
        <v>64.14</v>
      </c>
      <c r="DW833" s="2" t="n">
        <v>66.20999999999999</v>
      </c>
      <c r="DX833" s="2" t="n">
        <v>0</v>
      </c>
      <c r="DY833" s="2" t="n">
        <v>72.79000000000001</v>
      </c>
      <c r="DZ833" s="2" t="n">
        <v>75.18000000000001</v>
      </c>
      <c r="EA833" s="2" t="n">
        <v>0</v>
      </c>
      <c r="EB833" s="2" t="n">
        <v>80.93000000000001</v>
      </c>
      <c r="EC833" s="2" t="n">
        <v>84.2</v>
      </c>
      <c r="ED833" s="2" t="n">
        <v>0</v>
      </c>
      <c r="EE833" s="2" t="n">
        <v>87.59</v>
      </c>
      <c r="EF833" s="2" t="n">
        <v>90.55</v>
      </c>
      <c r="EG833" s="2" t="n">
        <v>0</v>
      </c>
      <c r="EH833" s="2" t="n">
        <v>96.19</v>
      </c>
      <c r="EI833" s="2" t="n">
        <v>98.68000000000001</v>
      </c>
      <c r="EJ833" s="2" t="n">
        <v>0</v>
      </c>
      <c r="EK833" s="2" t="n">
        <v>100</v>
      </c>
      <c r="EL833" s="2" t="n">
        <v>100</v>
      </c>
      <c r="EM833" s="2" t="n">
        <v>0</v>
      </c>
      <c r="EN833" s="2" t="n">
        <v>100</v>
      </c>
      <c r="EO833" s="2" t="n">
        <v>100</v>
      </c>
      <c r="EP833" s="2" t="n">
        <v>0</v>
      </c>
      <c r="EQ833" s="2" t="n">
        <v>100</v>
      </c>
      <c r="ER833" s="2" t="n">
        <v>100</v>
      </c>
      <c r="ES833" s="2" t="n">
        <v>0</v>
      </c>
    </row>
    <row r="834">
      <c r="A834" s="2" t="n">
        <v>3</v>
      </c>
      <c r="B834" s="2" t="inlineStr">
        <is>
          <t>34.02.01</t>
        </is>
      </c>
      <c r="C834" s="2" t="inlineStr">
        <is>
          <t>Lavatório com Coluna Suspensa para banheiro de Deficiente Físico</t>
        </is>
      </c>
      <c r="D834" s="2" t="inlineStr">
        <is>
          <t>01/03/2028</t>
        </is>
      </c>
      <c r="E834" s="2" t="inlineStr">
        <is>
          <t>05/02/2029</t>
        </is>
      </c>
      <c r="F834" s="2" t="n">
        <v>694.3211468925381</v>
      </c>
      <c r="G834" s="2" t="n">
        <v>0</v>
      </c>
      <c r="H834" s="2" t="n">
        <v>694.3211468925381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0</v>
      </c>
      <c r="AL834" s="2" t="n">
        <v>0</v>
      </c>
      <c r="AM834" s="2" t="n">
        <v>0</v>
      </c>
      <c r="AN834" s="2" t="n">
        <v>0</v>
      </c>
      <c r="AO834" s="2" t="n">
        <v>0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2" t="n">
        <v>0</v>
      </c>
      <c r="AZ834" s="2" t="n">
        <v>0</v>
      </c>
      <c r="BA834" s="2" t="n">
        <v>0</v>
      </c>
      <c r="BB834" s="2" t="n">
        <v>0</v>
      </c>
      <c r="BC834" s="2" t="n">
        <v>0</v>
      </c>
      <c r="BD834" s="2" t="n">
        <v>0</v>
      </c>
      <c r="BE834" s="2" t="n">
        <v>0</v>
      </c>
      <c r="BF834" s="2" t="n">
        <v>0</v>
      </c>
      <c r="BG834" s="2" t="n">
        <v>0</v>
      </c>
      <c r="BH834" s="2" t="n">
        <v>0</v>
      </c>
      <c r="BI834" s="2" t="n">
        <v>0</v>
      </c>
      <c r="BJ834" s="2" t="n">
        <v>0</v>
      </c>
      <c r="BK834" s="2" t="n">
        <v>0</v>
      </c>
      <c r="BL834" s="2" t="n">
        <v>0</v>
      </c>
      <c r="BM834" s="2" t="n">
        <v>0</v>
      </c>
      <c r="BN834" s="2" t="n">
        <v>0</v>
      </c>
      <c r="BO834" s="2" t="n">
        <v>0</v>
      </c>
      <c r="BP834" s="2" t="n">
        <v>0</v>
      </c>
      <c r="BQ834" s="2" t="n">
        <v>0</v>
      </c>
      <c r="BR834" s="2" t="n">
        <v>0</v>
      </c>
      <c r="BS834" s="2" t="n">
        <v>0</v>
      </c>
      <c r="BT834" s="2" t="n">
        <v>0</v>
      </c>
      <c r="BU834" s="2" t="n">
        <v>0</v>
      </c>
      <c r="BV834" s="2" t="n">
        <v>0</v>
      </c>
      <c r="BW834" s="2" t="n">
        <v>0</v>
      </c>
      <c r="BX834" s="2" t="n">
        <v>0</v>
      </c>
      <c r="BY834" s="2" t="n">
        <v>0</v>
      </c>
      <c r="BZ834" s="2" t="n">
        <v>0</v>
      </c>
      <c r="CA834" s="2" t="n">
        <v>0</v>
      </c>
      <c r="CB834" s="2" t="n">
        <v>0</v>
      </c>
      <c r="CC834" s="2" t="n">
        <v>0</v>
      </c>
      <c r="CD834" s="2" t="n">
        <v>0</v>
      </c>
      <c r="CE834" s="2" t="n">
        <v>0</v>
      </c>
      <c r="CF834" s="2" t="n">
        <v>0</v>
      </c>
      <c r="CG834" s="2" t="n">
        <v>0</v>
      </c>
      <c r="CH834" s="2" t="n">
        <v>0</v>
      </c>
      <c r="CI834" s="2" t="n">
        <v>0</v>
      </c>
      <c r="CJ834" s="2" t="n">
        <v>0</v>
      </c>
      <c r="CK834" s="2" t="n">
        <v>0</v>
      </c>
      <c r="CL834" s="2" t="n">
        <v>0</v>
      </c>
      <c r="CM834" s="2" t="n">
        <v>0</v>
      </c>
      <c r="CN834" s="2" t="n">
        <v>0</v>
      </c>
      <c r="CO834" s="2" t="n">
        <v>0</v>
      </c>
      <c r="CP834" s="2" t="n">
        <v>0</v>
      </c>
      <c r="CQ834" s="2" t="n">
        <v>0</v>
      </c>
      <c r="CR834" s="2" t="n">
        <v>0</v>
      </c>
      <c r="CS834" s="2" t="n">
        <v>0</v>
      </c>
      <c r="CT834" s="2" t="n">
        <v>0</v>
      </c>
      <c r="CU834" s="2" t="n">
        <v>0</v>
      </c>
      <c r="CV834" s="2" t="n">
        <v>0</v>
      </c>
      <c r="CW834" s="2" t="n">
        <v>0</v>
      </c>
      <c r="CX834" s="2" t="n">
        <v>0</v>
      </c>
      <c r="CY834" s="2" t="n">
        <v>0</v>
      </c>
      <c r="CZ834" s="2" t="n">
        <v>0</v>
      </c>
      <c r="DA834" s="2" t="n">
        <v>0</v>
      </c>
      <c r="DB834" s="2" t="n">
        <v>0</v>
      </c>
      <c r="DC834" s="2" t="n">
        <v>0</v>
      </c>
      <c r="DD834" s="2" t="n">
        <v>7.49</v>
      </c>
      <c r="DE834" s="2" t="n">
        <v>9.6</v>
      </c>
      <c r="DF834" s="2" t="n">
        <v>0</v>
      </c>
      <c r="DG834" s="2" t="n">
        <v>15.71</v>
      </c>
      <c r="DH834" s="2" t="n">
        <v>17.85</v>
      </c>
      <c r="DI834" s="2" t="n">
        <v>0</v>
      </c>
      <c r="DJ834" s="2" t="n">
        <v>26.39</v>
      </c>
      <c r="DK834" s="2" t="n">
        <v>28.5</v>
      </c>
      <c r="DL834" s="2" t="n">
        <v>0</v>
      </c>
      <c r="DM834" s="2" t="n">
        <v>36.13</v>
      </c>
      <c r="DN834" s="2" t="n">
        <v>38.25</v>
      </c>
      <c r="DO834" s="2" t="n">
        <v>0</v>
      </c>
      <c r="DP834" s="2" t="n">
        <v>45.85</v>
      </c>
      <c r="DQ834" s="2" t="n">
        <v>48.04</v>
      </c>
      <c r="DR834" s="2" t="n">
        <v>0</v>
      </c>
      <c r="DS834" s="2" t="n">
        <v>55.92</v>
      </c>
      <c r="DT834" s="2" t="n">
        <v>57.97</v>
      </c>
      <c r="DU834" s="2" t="n">
        <v>0</v>
      </c>
      <c r="DV834" s="2" t="n">
        <v>64.14</v>
      </c>
      <c r="DW834" s="2" t="n">
        <v>66.20999999999999</v>
      </c>
      <c r="DX834" s="2" t="n">
        <v>0</v>
      </c>
      <c r="DY834" s="2" t="n">
        <v>72.79000000000001</v>
      </c>
      <c r="DZ834" s="2" t="n">
        <v>75.18000000000001</v>
      </c>
      <c r="EA834" s="2" t="n">
        <v>0</v>
      </c>
      <c r="EB834" s="2" t="n">
        <v>80.93000000000001</v>
      </c>
      <c r="EC834" s="2" t="n">
        <v>84.2</v>
      </c>
      <c r="ED834" s="2" t="n">
        <v>0</v>
      </c>
      <c r="EE834" s="2" t="n">
        <v>87.59</v>
      </c>
      <c r="EF834" s="2" t="n">
        <v>90.55</v>
      </c>
      <c r="EG834" s="2" t="n">
        <v>0</v>
      </c>
      <c r="EH834" s="2" t="n">
        <v>96.19</v>
      </c>
      <c r="EI834" s="2" t="n">
        <v>98.68000000000001</v>
      </c>
      <c r="EJ834" s="2" t="n">
        <v>0</v>
      </c>
      <c r="EK834" s="2" t="n">
        <v>100</v>
      </c>
      <c r="EL834" s="2" t="n">
        <v>100</v>
      </c>
      <c r="EM834" s="2" t="n">
        <v>0</v>
      </c>
      <c r="EN834" s="2" t="n">
        <v>100</v>
      </c>
      <c r="EO834" s="2" t="n">
        <v>100</v>
      </c>
      <c r="EP834" s="2" t="n">
        <v>0</v>
      </c>
      <c r="EQ834" s="2" t="n">
        <v>100</v>
      </c>
      <c r="ER834" s="2" t="n">
        <v>100</v>
      </c>
      <c r="ES834" s="2" t="n">
        <v>0</v>
      </c>
    </row>
    <row r="835">
      <c r="A835" s="2" t="n">
        <v>3</v>
      </c>
      <c r="B835" s="2" t="inlineStr">
        <is>
          <t>34.02.02</t>
        </is>
      </c>
      <c r="C835" s="2" t="inlineStr">
        <is>
          <t>Lavatório suspenso de canto, Deca Izy branco, L.101.17</t>
        </is>
      </c>
      <c r="D835" s="2" t="inlineStr">
        <is>
          <t>01/03/2028</t>
        </is>
      </c>
      <c r="E835" s="2" t="inlineStr">
        <is>
          <t>05/02/2029</t>
        </is>
      </c>
      <c r="F835" s="2" t="n">
        <v>18831.73619773436</v>
      </c>
      <c r="G835" s="2" t="n">
        <v>0</v>
      </c>
      <c r="H835" s="2" t="n">
        <v>18831.73619773436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0</v>
      </c>
      <c r="AL835" s="2" t="n">
        <v>0</v>
      </c>
      <c r="AM835" s="2" t="n">
        <v>0</v>
      </c>
      <c r="AN835" s="2" t="n">
        <v>0</v>
      </c>
      <c r="AO835" s="2" t="n">
        <v>0</v>
      </c>
      <c r="AP835" s="2" t="n">
        <v>0</v>
      </c>
      <c r="AQ835" s="2" t="n">
        <v>0</v>
      </c>
      <c r="AR835" s="2" t="n">
        <v>0</v>
      </c>
      <c r="AS835" s="2" t="n">
        <v>0</v>
      </c>
      <c r="AT835" s="2" t="n">
        <v>0</v>
      </c>
      <c r="AU835" s="2" t="n">
        <v>0</v>
      </c>
      <c r="AV835" s="2" t="n">
        <v>0</v>
      </c>
      <c r="AW835" s="2" t="n">
        <v>0</v>
      </c>
      <c r="AX835" s="2" t="n">
        <v>0</v>
      </c>
      <c r="AY835" s="2" t="n">
        <v>0</v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n">
        <v>0</v>
      </c>
      <c r="BE835" s="2" t="n">
        <v>0</v>
      </c>
      <c r="BF835" s="2" t="n">
        <v>0</v>
      </c>
      <c r="BG835" s="2" t="n">
        <v>0</v>
      </c>
      <c r="BH835" s="2" t="n">
        <v>0</v>
      </c>
      <c r="BI835" s="2" t="n">
        <v>0</v>
      </c>
      <c r="BJ835" s="2" t="n">
        <v>0</v>
      </c>
      <c r="BK835" s="2" t="n">
        <v>0</v>
      </c>
      <c r="BL835" s="2" t="n">
        <v>0</v>
      </c>
      <c r="BM835" s="2" t="n">
        <v>0</v>
      </c>
      <c r="BN835" s="2" t="n">
        <v>0</v>
      </c>
      <c r="BO835" s="2" t="n">
        <v>0</v>
      </c>
      <c r="BP835" s="2" t="n">
        <v>0</v>
      </c>
      <c r="BQ835" s="2" t="n">
        <v>0</v>
      </c>
      <c r="BR835" s="2" t="n">
        <v>0</v>
      </c>
      <c r="BS835" s="2" t="n">
        <v>0</v>
      </c>
      <c r="BT835" s="2" t="n">
        <v>0</v>
      </c>
      <c r="BU835" s="2" t="n">
        <v>0</v>
      </c>
      <c r="BV835" s="2" t="n">
        <v>0</v>
      </c>
      <c r="BW835" s="2" t="n">
        <v>0</v>
      </c>
      <c r="BX835" s="2" t="n">
        <v>0</v>
      </c>
      <c r="BY835" s="2" t="n">
        <v>0</v>
      </c>
      <c r="BZ835" s="2" t="n">
        <v>0</v>
      </c>
      <c r="CA835" s="2" t="n">
        <v>0</v>
      </c>
      <c r="CB835" s="2" t="n">
        <v>0</v>
      </c>
      <c r="CC835" s="2" t="n">
        <v>0</v>
      </c>
      <c r="CD835" s="2" t="n">
        <v>0</v>
      </c>
      <c r="CE835" s="2" t="n">
        <v>0</v>
      </c>
      <c r="CF835" s="2" t="n">
        <v>0</v>
      </c>
      <c r="CG835" s="2" t="n">
        <v>0</v>
      </c>
      <c r="CH835" s="2" t="n">
        <v>0</v>
      </c>
      <c r="CI835" s="2" t="n">
        <v>0</v>
      </c>
      <c r="CJ835" s="2" t="n">
        <v>0</v>
      </c>
      <c r="CK835" s="2" t="n">
        <v>0</v>
      </c>
      <c r="CL835" s="2" t="n">
        <v>0</v>
      </c>
      <c r="CM835" s="2" t="n">
        <v>0</v>
      </c>
      <c r="CN835" s="2" t="n">
        <v>0</v>
      </c>
      <c r="CO835" s="2" t="n">
        <v>0</v>
      </c>
      <c r="CP835" s="2" t="n">
        <v>0</v>
      </c>
      <c r="CQ835" s="2" t="n">
        <v>0</v>
      </c>
      <c r="CR835" s="2" t="n">
        <v>0</v>
      </c>
      <c r="CS835" s="2" t="n">
        <v>0</v>
      </c>
      <c r="CT835" s="2" t="n">
        <v>0</v>
      </c>
      <c r="CU835" s="2" t="n">
        <v>0</v>
      </c>
      <c r="CV835" s="2" t="n">
        <v>0</v>
      </c>
      <c r="CW835" s="2" t="n">
        <v>0</v>
      </c>
      <c r="CX835" s="2" t="n">
        <v>0</v>
      </c>
      <c r="CY835" s="2" t="n">
        <v>0</v>
      </c>
      <c r="CZ835" s="2" t="n">
        <v>0</v>
      </c>
      <c r="DA835" s="2" t="n">
        <v>0</v>
      </c>
      <c r="DB835" s="2" t="n">
        <v>0</v>
      </c>
      <c r="DC835" s="2" t="n">
        <v>0</v>
      </c>
      <c r="DD835" s="2" t="n">
        <v>7.49</v>
      </c>
      <c r="DE835" s="2" t="n">
        <v>9.6</v>
      </c>
      <c r="DF835" s="2" t="n">
        <v>0</v>
      </c>
      <c r="DG835" s="2" t="n">
        <v>15.71</v>
      </c>
      <c r="DH835" s="2" t="n">
        <v>17.85</v>
      </c>
      <c r="DI835" s="2" t="n">
        <v>0</v>
      </c>
      <c r="DJ835" s="2" t="n">
        <v>26.39</v>
      </c>
      <c r="DK835" s="2" t="n">
        <v>28.5</v>
      </c>
      <c r="DL835" s="2" t="n">
        <v>0</v>
      </c>
      <c r="DM835" s="2" t="n">
        <v>36.13</v>
      </c>
      <c r="DN835" s="2" t="n">
        <v>38.25</v>
      </c>
      <c r="DO835" s="2" t="n">
        <v>0</v>
      </c>
      <c r="DP835" s="2" t="n">
        <v>45.85</v>
      </c>
      <c r="DQ835" s="2" t="n">
        <v>48.04</v>
      </c>
      <c r="DR835" s="2" t="n">
        <v>0</v>
      </c>
      <c r="DS835" s="2" t="n">
        <v>55.92</v>
      </c>
      <c r="DT835" s="2" t="n">
        <v>57.97</v>
      </c>
      <c r="DU835" s="2" t="n">
        <v>0</v>
      </c>
      <c r="DV835" s="2" t="n">
        <v>64.14</v>
      </c>
      <c r="DW835" s="2" t="n">
        <v>66.20999999999999</v>
      </c>
      <c r="DX835" s="2" t="n">
        <v>0</v>
      </c>
      <c r="DY835" s="2" t="n">
        <v>72.79000000000001</v>
      </c>
      <c r="DZ835" s="2" t="n">
        <v>75.18000000000001</v>
      </c>
      <c r="EA835" s="2" t="n">
        <v>0</v>
      </c>
      <c r="EB835" s="2" t="n">
        <v>80.93000000000001</v>
      </c>
      <c r="EC835" s="2" t="n">
        <v>84.2</v>
      </c>
      <c r="ED835" s="2" t="n">
        <v>0</v>
      </c>
      <c r="EE835" s="2" t="n">
        <v>87.59</v>
      </c>
      <c r="EF835" s="2" t="n">
        <v>90.55</v>
      </c>
      <c r="EG835" s="2" t="n">
        <v>0</v>
      </c>
      <c r="EH835" s="2" t="n">
        <v>96.19</v>
      </c>
      <c r="EI835" s="2" t="n">
        <v>98.68000000000001</v>
      </c>
      <c r="EJ835" s="2" t="n">
        <v>0</v>
      </c>
      <c r="EK835" s="2" t="n">
        <v>100</v>
      </c>
      <c r="EL835" s="2" t="n">
        <v>100</v>
      </c>
      <c r="EM835" s="2" t="n">
        <v>0</v>
      </c>
      <c r="EN835" s="2" t="n">
        <v>100</v>
      </c>
      <c r="EO835" s="2" t="n">
        <v>100</v>
      </c>
      <c r="EP835" s="2" t="n">
        <v>0</v>
      </c>
      <c r="EQ835" s="2" t="n">
        <v>100</v>
      </c>
      <c r="ER835" s="2" t="n">
        <v>100</v>
      </c>
      <c r="ES835" s="2" t="n">
        <v>0</v>
      </c>
    </row>
    <row r="836">
      <c r="A836" s="2" t="n">
        <v>3</v>
      </c>
      <c r="B836" s="2" t="inlineStr">
        <is>
          <t>34.02.03</t>
        </is>
      </c>
      <c r="C836" s="2" t="inlineStr">
        <is>
          <t>Lavatório de louça suspensa (Lavabo guarita)</t>
        </is>
      </c>
      <c r="D836" s="2" t="inlineStr">
        <is>
          <t>01/03/2028</t>
        </is>
      </c>
      <c r="E836" s="2" t="inlineStr">
        <is>
          <t>05/02/2029</t>
        </is>
      </c>
      <c r="F836" s="2" t="n">
        <v>192.160573446269</v>
      </c>
      <c r="G836" s="2" t="n">
        <v>0</v>
      </c>
      <c r="H836" s="2" t="n">
        <v>192.160573446269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0</v>
      </c>
      <c r="AL836" s="2" t="n">
        <v>0</v>
      </c>
      <c r="AM836" s="2" t="n">
        <v>0</v>
      </c>
      <c r="AN836" s="2" t="n">
        <v>0</v>
      </c>
      <c r="AO836" s="2" t="n">
        <v>0</v>
      </c>
      <c r="AP836" s="2" t="n">
        <v>0</v>
      </c>
      <c r="AQ836" s="2" t="n">
        <v>0</v>
      </c>
      <c r="AR836" s="2" t="n">
        <v>0</v>
      </c>
      <c r="AS836" s="2" t="n">
        <v>0</v>
      </c>
      <c r="AT836" s="2" t="n">
        <v>0</v>
      </c>
      <c r="AU836" s="2" t="n">
        <v>0</v>
      </c>
      <c r="AV836" s="2" t="n">
        <v>0</v>
      </c>
      <c r="AW836" s="2" t="n">
        <v>0</v>
      </c>
      <c r="AX836" s="2" t="n">
        <v>0</v>
      </c>
      <c r="AY836" s="2" t="n">
        <v>0</v>
      </c>
      <c r="AZ836" s="2" t="n">
        <v>0</v>
      </c>
      <c r="BA836" s="2" t="n">
        <v>0</v>
      </c>
      <c r="BB836" s="2" t="n">
        <v>0</v>
      </c>
      <c r="BC836" s="2" t="n">
        <v>0</v>
      </c>
      <c r="BD836" s="2" t="n">
        <v>0</v>
      </c>
      <c r="BE836" s="2" t="n">
        <v>0</v>
      </c>
      <c r="BF836" s="2" t="n">
        <v>0</v>
      </c>
      <c r="BG836" s="2" t="n">
        <v>0</v>
      </c>
      <c r="BH836" s="2" t="n">
        <v>0</v>
      </c>
      <c r="BI836" s="2" t="n">
        <v>0</v>
      </c>
      <c r="BJ836" s="2" t="n">
        <v>0</v>
      </c>
      <c r="BK836" s="2" t="n">
        <v>0</v>
      </c>
      <c r="BL836" s="2" t="n">
        <v>0</v>
      </c>
      <c r="BM836" s="2" t="n">
        <v>0</v>
      </c>
      <c r="BN836" s="2" t="n">
        <v>0</v>
      </c>
      <c r="BO836" s="2" t="n">
        <v>0</v>
      </c>
      <c r="BP836" s="2" t="n">
        <v>0</v>
      </c>
      <c r="BQ836" s="2" t="n">
        <v>0</v>
      </c>
      <c r="BR836" s="2" t="n">
        <v>0</v>
      </c>
      <c r="BS836" s="2" t="n">
        <v>0</v>
      </c>
      <c r="BT836" s="2" t="n">
        <v>0</v>
      </c>
      <c r="BU836" s="2" t="n">
        <v>0</v>
      </c>
      <c r="BV836" s="2" t="n">
        <v>0</v>
      </c>
      <c r="BW836" s="2" t="n">
        <v>0</v>
      </c>
      <c r="BX836" s="2" t="n">
        <v>0</v>
      </c>
      <c r="BY836" s="2" t="n">
        <v>0</v>
      </c>
      <c r="BZ836" s="2" t="n">
        <v>0</v>
      </c>
      <c r="CA836" s="2" t="n">
        <v>0</v>
      </c>
      <c r="CB836" s="2" t="n">
        <v>0</v>
      </c>
      <c r="CC836" s="2" t="n">
        <v>0</v>
      </c>
      <c r="CD836" s="2" t="n">
        <v>0</v>
      </c>
      <c r="CE836" s="2" t="n">
        <v>0</v>
      </c>
      <c r="CF836" s="2" t="n">
        <v>0</v>
      </c>
      <c r="CG836" s="2" t="n">
        <v>0</v>
      </c>
      <c r="CH836" s="2" t="n">
        <v>0</v>
      </c>
      <c r="CI836" s="2" t="n">
        <v>0</v>
      </c>
      <c r="CJ836" s="2" t="n">
        <v>0</v>
      </c>
      <c r="CK836" s="2" t="n">
        <v>0</v>
      </c>
      <c r="CL836" s="2" t="n">
        <v>0</v>
      </c>
      <c r="CM836" s="2" t="n">
        <v>0</v>
      </c>
      <c r="CN836" s="2" t="n">
        <v>0</v>
      </c>
      <c r="CO836" s="2" t="n">
        <v>0</v>
      </c>
      <c r="CP836" s="2" t="n">
        <v>0</v>
      </c>
      <c r="CQ836" s="2" t="n">
        <v>0</v>
      </c>
      <c r="CR836" s="2" t="n">
        <v>0</v>
      </c>
      <c r="CS836" s="2" t="n">
        <v>0</v>
      </c>
      <c r="CT836" s="2" t="n">
        <v>0</v>
      </c>
      <c r="CU836" s="2" t="n">
        <v>0</v>
      </c>
      <c r="CV836" s="2" t="n">
        <v>0</v>
      </c>
      <c r="CW836" s="2" t="n">
        <v>0</v>
      </c>
      <c r="CX836" s="2" t="n">
        <v>0</v>
      </c>
      <c r="CY836" s="2" t="n">
        <v>0</v>
      </c>
      <c r="CZ836" s="2" t="n">
        <v>0</v>
      </c>
      <c r="DA836" s="2" t="n">
        <v>0</v>
      </c>
      <c r="DB836" s="2" t="n">
        <v>0</v>
      </c>
      <c r="DC836" s="2" t="n">
        <v>0</v>
      </c>
      <c r="DD836" s="2" t="n">
        <v>7.49</v>
      </c>
      <c r="DE836" s="2" t="n">
        <v>9.6</v>
      </c>
      <c r="DF836" s="2" t="n">
        <v>0</v>
      </c>
      <c r="DG836" s="2" t="n">
        <v>15.71</v>
      </c>
      <c r="DH836" s="2" t="n">
        <v>17.85</v>
      </c>
      <c r="DI836" s="2" t="n">
        <v>0</v>
      </c>
      <c r="DJ836" s="2" t="n">
        <v>26.39</v>
      </c>
      <c r="DK836" s="2" t="n">
        <v>28.5</v>
      </c>
      <c r="DL836" s="2" t="n">
        <v>0</v>
      </c>
      <c r="DM836" s="2" t="n">
        <v>36.13</v>
      </c>
      <c r="DN836" s="2" t="n">
        <v>38.25</v>
      </c>
      <c r="DO836" s="2" t="n">
        <v>0</v>
      </c>
      <c r="DP836" s="2" t="n">
        <v>45.85</v>
      </c>
      <c r="DQ836" s="2" t="n">
        <v>48.04</v>
      </c>
      <c r="DR836" s="2" t="n">
        <v>0</v>
      </c>
      <c r="DS836" s="2" t="n">
        <v>55.92</v>
      </c>
      <c r="DT836" s="2" t="n">
        <v>57.97</v>
      </c>
      <c r="DU836" s="2" t="n">
        <v>0</v>
      </c>
      <c r="DV836" s="2" t="n">
        <v>64.14</v>
      </c>
      <c r="DW836" s="2" t="n">
        <v>66.20999999999999</v>
      </c>
      <c r="DX836" s="2" t="n">
        <v>0</v>
      </c>
      <c r="DY836" s="2" t="n">
        <v>72.79000000000001</v>
      </c>
      <c r="DZ836" s="2" t="n">
        <v>75.18000000000001</v>
      </c>
      <c r="EA836" s="2" t="n">
        <v>0</v>
      </c>
      <c r="EB836" s="2" t="n">
        <v>80.93000000000001</v>
      </c>
      <c r="EC836" s="2" t="n">
        <v>84.2</v>
      </c>
      <c r="ED836" s="2" t="n">
        <v>0</v>
      </c>
      <c r="EE836" s="2" t="n">
        <v>87.59</v>
      </c>
      <c r="EF836" s="2" t="n">
        <v>90.55</v>
      </c>
      <c r="EG836" s="2" t="n">
        <v>0</v>
      </c>
      <c r="EH836" s="2" t="n">
        <v>96.19</v>
      </c>
      <c r="EI836" s="2" t="n">
        <v>98.68000000000001</v>
      </c>
      <c r="EJ836" s="2" t="n">
        <v>0</v>
      </c>
      <c r="EK836" s="2" t="n">
        <v>100</v>
      </c>
      <c r="EL836" s="2" t="n">
        <v>100</v>
      </c>
      <c r="EM836" s="2" t="n">
        <v>0</v>
      </c>
      <c r="EN836" s="2" t="n">
        <v>100</v>
      </c>
      <c r="EO836" s="2" t="n">
        <v>100</v>
      </c>
      <c r="EP836" s="2" t="n">
        <v>0</v>
      </c>
      <c r="EQ836" s="2" t="n">
        <v>100</v>
      </c>
      <c r="ER836" s="2" t="n">
        <v>100</v>
      </c>
      <c r="ES836" s="2" t="n">
        <v>0</v>
      </c>
    </row>
    <row r="837">
      <c r="A837" s="2" t="n">
        <v>3</v>
      </c>
      <c r="B837" s="2" t="inlineStr">
        <is>
          <t>34.02.04</t>
        </is>
      </c>
      <c r="C837" s="2" t="inlineStr">
        <is>
          <t>Lavatório suspenso, Deca Izy branco, L.100.17</t>
        </is>
      </c>
      <c r="D837" s="2" t="inlineStr">
        <is>
          <t>01/03/2028</t>
        </is>
      </c>
      <c r="E837" s="2" t="inlineStr">
        <is>
          <t>05/02/2029</t>
        </is>
      </c>
      <c r="F837" s="2" t="n">
        <v>2305.926881355228</v>
      </c>
      <c r="G837" s="2" t="n">
        <v>0</v>
      </c>
      <c r="H837" s="2" t="n">
        <v>2305.926881355228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0</v>
      </c>
      <c r="R837" s="2" t="n">
        <v>0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0</v>
      </c>
      <c r="AL837" s="2" t="n">
        <v>0</v>
      </c>
      <c r="AM837" s="2" t="n">
        <v>0</v>
      </c>
      <c r="AN837" s="2" t="n">
        <v>0</v>
      </c>
      <c r="AO837" s="2" t="n">
        <v>0</v>
      </c>
      <c r="AP837" s="2" t="n">
        <v>0</v>
      </c>
      <c r="AQ837" s="2" t="n">
        <v>0</v>
      </c>
      <c r="AR837" s="2" t="n">
        <v>0</v>
      </c>
      <c r="AS837" s="2" t="n">
        <v>0</v>
      </c>
      <c r="AT837" s="2" t="n">
        <v>0</v>
      </c>
      <c r="AU837" s="2" t="n">
        <v>0</v>
      </c>
      <c r="AV837" s="2" t="n">
        <v>0</v>
      </c>
      <c r="AW837" s="2" t="n">
        <v>0</v>
      </c>
      <c r="AX837" s="2" t="n">
        <v>0</v>
      </c>
      <c r="AY837" s="2" t="n">
        <v>0</v>
      </c>
      <c r="AZ837" s="2" t="n">
        <v>0</v>
      </c>
      <c r="BA837" s="2" t="n">
        <v>0</v>
      </c>
      <c r="BB837" s="2" t="n">
        <v>0</v>
      </c>
      <c r="BC837" s="2" t="n">
        <v>0</v>
      </c>
      <c r="BD837" s="2" t="n">
        <v>0</v>
      </c>
      <c r="BE837" s="2" t="n">
        <v>0</v>
      </c>
      <c r="BF837" s="2" t="n">
        <v>0</v>
      </c>
      <c r="BG837" s="2" t="n">
        <v>0</v>
      </c>
      <c r="BH837" s="2" t="n">
        <v>0</v>
      </c>
      <c r="BI837" s="2" t="n">
        <v>0</v>
      </c>
      <c r="BJ837" s="2" t="n">
        <v>0</v>
      </c>
      <c r="BK837" s="2" t="n">
        <v>0</v>
      </c>
      <c r="BL837" s="2" t="n">
        <v>0</v>
      </c>
      <c r="BM837" s="2" t="n">
        <v>0</v>
      </c>
      <c r="BN837" s="2" t="n">
        <v>0</v>
      </c>
      <c r="BO837" s="2" t="n">
        <v>0</v>
      </c>
      <c r="BP837" s="2" t="n">
        <v>0</v>
      </c>
      <c r="BQ837" s="2" t="n">
        <v>0</v>
      </c>
      <c r="BR837" s="2" t="n">
        <v>0</v>
      </c>
      <c r="BS837" s="2" t="n">
        <v>0</v>
      </c>
      <c r="BT837" s="2" t="n">
        <v>0</v>
      </c>
      <c r="BU837" s="2" t="n">
        <v>0</v>
      </c>
      <c r="BV837" s="2" t="n">
        <v>0</v>
      </c>
      <c r="BW837" s="2" t="n">
        <v>0</v>
      </c>
      <c r="BX837" s="2" t="n">
        <v>0</v>
      </c>
      <c r="BY837" s="2" t="n">
        <v>0</v>
      </c>
      <c r="BZ837" s="2" t="n">
        <v>0</v>
      </c>
      <c r="CA837" s="2" t="n">
        <v>0</v>
      </c>
      <c r="CB837" s="2" t="n">
        <v>0</v>
      </c>
      <c r="CC837" s="2" t="n">
        <v>0</v>
      </c>
      <c r="CD837" s="2" t="n">
        <v>0</v>
      </c>
      <c r="CE837" s="2" t="n">
        <v>0</v>
      </c>
      <c r="CF837" s="2" t="n">
        <v>0</v>
      </c>
      <c r="CG837" s="2" t="n">
        <v>0</v>
      </c>
      <c r="CH837" s="2" t="n">
        <v>0</v>
      </c>
      <c r="CI837" s="2" t="n">
        <v>0</v>
      </c>
      <c r="CJ837" s="2" t="n">
        <v>0</v>
      </c>
      <c r="CK837" s="2" t="n">
        <v>0</v>
      </c>
      <c r="CL837" s="2" t="n">
        <v>0</v>
      </c>
      <c r="CM837" s="2" t="n">
        <v>0</v>
      </c>
      <c r="CN837" s="2" t="n">
        <v>0</v>
      </c>
      <c r="CO837" s="2" t="n">
        <v>0</v>
      </c>
      <c r="CP837" s="2" t="n">
        <v>0</v>
      </c>
      <c r="CQ837" s="2" t="n">
        <v>0</v>
      </c>
      <c r="CR837" s="2" t="n">
        <v>0</v>
      </c>
      <c r="CS837" s="2" t="n">
        <v>0</v>
      </c>
      <c r="CT837" s="2" t="n">
        <v>0</v>
      </c>
      <c r="CU837" s="2" t="n">
        <v>0</v>
      </c>
      <c r="CV837" s="2" t="n">
        <v>0</v>
      </c>
      <c r="CW837" s="2" t="n">
        <v>0</v>
      </c>
      <c r="CX837" s="2" t="n">
        <v>0</v>
      </c>
      <c r="CY837" s="2" t="n">
        <v>0</v>
      </c>
      <c r="CZ837" s="2" t="n">
        <v>0</v>
      </c>
      <c r="DA837" s="2" t="n">
        <v>0</v>
      </c>
      <c r="DB837" s="2" t="n">
        <v>0</v>
      </c>
      <c r="DC837" s="2" t="n">
        <v>0</v>
      </c>
      <c r="DD837" s="2" t="n">
        <v>7.49</v>
      </c>
      <c r="DE837" s="2" t="n">
        <v>9.6</v>
      </c>
      <c r="DF837" s="2" t="n">
        <v>0</v>
      </c>
      <c r="DG837" s="2" t="n">
        <v>15.71</v>
      </c>
      <c r="DH837" s="2" t="n">
        <v>17.85</v>
      </c>
      <c r="DI837" s="2" t="n">
        <v>0</v>
      </c>
      <c r="DJ837" s="2" t="n">
        <v>26.39</v>
      </c>
      <c r="DK837" s="2" t="n">
        <v>28.5</v>
      </c>
      <c r="DL837" s="2" t="n">
        <v>0</v>
      </c>
      <c r="DM837" s="2" t="n">
        <v>36.13</v>
      </c>
      <c r="DN837" s="2" t="n">
        <v>38.25</v>
      </c>
      <c r="DO837" s="2" t="n">
        <v>0</v>
      </c>
      <c r="DP837" s="2" t="n">
        <v>45.85</v>
      </c>
      <c r="DQ837" s="2" t="n">
        <v>48.04</v>
      </c>
      <c r="DR837" s="2" t="n">
        <v>0</v>
      </c>
      <c r="DS837" s="2" t="n">
        <v>55.92</v>
      </c>
      <c r="DT837" s="2" t="n">
        <v>57.97</v>
      </c>
      <c r="DU837" s="2" t="n">
        <v>0</v>
      </c>
      <c r="DV837" s="2" t="n">
        <v>64.14</v>
      </c>
      <c r="DW837" s="2" t="n">
        <v>66.20999999999999</v>
      </c>
      <c r="DX837" s="2" t="n">
        <v>0</v>
      </c>
      <c r="DY837" s="2" t="n">
        <v>72.79000000000001</v>
      </c>
      <c r="DZ837" s="2" t="n">
        <v>75.18000000000001</v>
      </c>
      <c r="EA837" s="2" t="n">
        <v>0</v>
      </c>
      <c r="EB837" s="2" t="n">
        <v>80.93000000000001</v>
      </c>
      <c r="EC837" s="2" t="n">
        <v>84.2</v>
      </c>
      <c r="ED837" s="2" t="n">
        <v>0</v>
      </c>
      <c r="EE837" s="2" t="n">
        <v>87.59</v>
      </c>
      <c r="EF837" s="2" t="n">
        <v>90.55</v>
      </c>
      <c r="EG837" s="2" t="n">
        <v>0</v>
      </c>
      <c r="EH837" s="2" t="n">
        <v>96.19</v>
      </c>
      <c r="EI837" s="2" t="n">
        <v>98.68000000000001</v>
      </c>
      <c r="EJ837" s="2" t="n">
        <v>0</v>
      </c>
      <c r="EK837" s="2" t="n">
        <v>100</v>
      </c>
      <c r="EL837" s="2" t="n">
        <v>100</v>
      </c>
      <c r="EM837" s="2" t="n">
        <v>0</v>
      </c>
      <c r="EN837" s="2" t="n">
        <v>100</v>
      </c>
      <c r="EO837" s="2" t="n">
        <v>100</v>
      </c>
      <c r="EP837" s="2" t="n">
        <v>0</v>
      </c>
      <c r="EQ837" s="2" t="n">
        <v>100</v>
      </c>
      <c r="ER837" s="2" t="n">
        <v>100</v>
      </c>
      <c r="ES837" s="2" t="n">
        <v>0</v>
      </c>
    </row>
    <row r="838">
      <c r="A838" s="2" t="n">
        <v>3</v>
      </c>
      <c r="B838" s="2" t="inlineStr">
        <is>
          <t>34.02.05</t>
        </is>
      </c>
      <c r="C838" s="2" t="inlineStr">
        <is>
          <t>Cuba de embutir retangular branco, Deca L.375.17</t>
        </is>
      </c>
      <c r="D838" s="2" t="inlineStr">
        <is>
          <t>01/03/2028</t>
        </is>
      </c>
      <c r="E838" s="2" t="inlineStr">
        <is>
          <t>05/02/2029</t>
        </is>
      </c>
      <c r="F838" s="2" t="n">
        <v>65</v>
      </c>
      <c r="G838" s="2" t="n">
        <v>0</v>
      </c>
      <c r="H838" s="2" t="n">
        <v>65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0</v>
      </c>
      <c r="AM838" s="2" t="n">
        <v>0</v>
      </c>
      <c r="AN838" s="2" t="n">
        <v>0</v>
      </c>
      <c r="AO838" s="2" t="n">
        <v>0</v>
      </c>
      <c r="AP838" s="2" t="n">
        <v>0</v>
      </c>
      <c r="AQ838" s="2" t="n">
        <v>0</v>
      </c>
      <c r="AR838" s="2" t="n">
        <v>0</v>
      </c>
      <c r="AS838" s="2" t="n">
        <v>0</v>
      </c>
      <c r="AT838" s="2" t="n">
        <v>0</v>
      </c>
      <c r="AU838" s="2" t="n">
        <v>0</v>
      </c>
      <c r="AV838" s="2" t="n">
        <v>0</v>
      </c>
      <c r="AW838" s="2" t="n">
        <v>0</v>
      </c>
      <c r="AX838" s="2" t="n">
        <v>0</v>
      </c>
      <c r="AY838" s="2" t="n">
        <v>0</v>
      </c>
      <c r="AZ838" s="2" t="n">
        <v>0</v>
      </c>
      <c r="BA838" s="2" t="n">
        <v>0</v>
      </c>
      <c r="BB838" s="2" t="n">
        <v>0</v>
      </c>
      <c r="BC838" s="2" t="n">
        <v>0</v>
      </c>
      <c r="BD838" s="2" t="n">
        <v>0</v>
      </c>
      <c r="BE838" s="2" t="n">
        <v>0</v>
      </c>
      <c r="BF838" s="2" t="n">
        <v>0</v>
      </c>
      <c r="BG838" s="2" t="n">
        <v>0</v>
      </c>
      <c r="BH838" s="2" t="n">
        <v>0</v>
      </c>
      <c r="BI838" s="2" t="n">
        <v>0</v>
      </c>
      <c r="BJ838" s="2" t="n">
        <v>0</v>
      </c>
      <c r="BK838" s="2" t="n">
        <v>0</v>
      </c>
      <c r="BL838" s="2" t="n">
        <v>0</v>
      </c>
      <c r="BM838" s="2" t="n">
        <v>0</v>
      </c>
      <c r="BN838" s="2" t="n">
        <v>0</v>
      </c>
      <c r="BO838" s="2" t="n">
        <v>0</v>
      </c>
      <c r="BP838" s="2" t="n">
        <v>0</v>
      </c>
      <c r="BQ838" s="2" t="n">
        <v>0</v>
      </c>
      <c r="BR838" s="2" t="n">
        <v>0</v>
      </c>
      <c r="BS838" s="2" t="n">
        <v>0</v>
      </c>
      <c r="BT838" s="2" t="n">
        <v>0</v>
      </c>
      <c r="BU838" s="2" t="n">
        <v>0</v>
      </c>
      <c r="BV838" s="2" t="n">
        <v>0</v>
      </c>
      <c r="BW838" s="2" t="n">
        <v>0</v>
      </c>
      <c r="BX838" s="2" t="n">
        <v>0</v>
      </c>
      <c r="BY838" s="2" t="n">
        <v>0</v>
      </c>
      <c r="BZ838" s="2" t="n">
        <v>0</v>
      </c>
      <c r="CA838" s="2" t="n">
        <v>0</v>
      </c>
      <c r="CB838" s="2" t="n">
        <v>0</v>
      </c>
      <c r="CC838" s="2" t="n">
        <v>0</v>
      </c>
      <c r="CD838" s="2" t="n">
        <v>0</v>
      </c>
      <c r="CE838" s="2" t="n">
        <v>0</v>
      </c>
      <c r="CF838" s="2" t="n">
        <v>0</v>
      </c>
      <c r="CG838" s="2" t="n">
        <v>0</v>
      </c>
      <c r="CH838" s="2" t="n">
        <v>0</v>
      </c>
      <c r="CI838" s="2" t="n">
        <v>0</v>
      </c>
      <c r="CJ838" s="2" t="n">
        <v>0</v>
      </c>
      <c r="CK838" s="2" t="n">
        <v>0</v>
      </c>
      <c r="CL838" s="2" t="n">
        <v>0</v>
      </c>
      <c r="CM838" s="2" t="n">
        <v>0</v>
      </c>
      <c r="CN838" s="2" t="n">
        <v>0</v>
      </c>
      <c r="CO838" s="2" t="n">
        <v>0</v>
      </c>
      <c r="CP838" s="2" t="n">
        <v>0</v>
      </c>
      <c r="CQ838" s="2" t="n">
        <v>0</v>
      </c>
      <c r="CR838" s="2" t="n">
        <v>0</v>
      </c>
      <c r="CS838" s="2" t="n">
        <v>0</v>
      </c>
      <c r="CT838" s="2" t="n">
        <v>0</v>
      </c>
      <c r="CU838" s="2" t="n">
        <v>0</v>
      </c>
      <c r="CV838" s="2" t="n">
        <v>0</v>
      </c>
      <c r="CW838" s="2" t="n">
        <v>0</v>
      </c>
      <c r="CX838" s="2" t="n">
        <v>0</v>
      </c>
      <c r="CY838" s="2" t="n">
        <v>0</v>
      </c>
      <c r="CZ838" s="2" t="n">
        <v>0</v>
      </c>
      <c r="DA838" s="2" t="n">
        <v>0</v>
      </c>
      <c r="DB838" s="2" t="n">
        <v>0</v>
      </c>
      <c r="DC838" s="2" t="n">
        <v>0</v>
      </c>
      <c r="DD838" s="2" t="n">
        <v>7.49</v>
      </c>
      <c r="DE838" s="2" t="n">
        <v>9.6</v>
      </c>
      <c r="DF838" s="2" t="n">
        <v>0</v>
      </c>
      <c r="DG838" s="2" t="n">
        <v>15.71</v>
      </c>
      <c r="DH838" s="2" t="n">
        <v>17.85</v>
      </c>
      <c r="DI838" s="2" t="n">
        <v>0</v>
      </c>
      <c r="DJ838" s="2" t="n">
        <v>26.39</v>
      </c>
      <c r="DK838" s="2" t="n">
        <v>28.5</v>
      </c>
      <c r="DL838" s="2" t="n">
        <v>0</v>
      </c>
      <c r="DM838" s="2" t="n">
        <v>36.13</v>
      </c>
      <c r="DN838" s="2" t="n">
        <v>38.25</v>
      </c>
      <c r="DO838" s="2" t="n">
        <v>0</v>
      </c>
      <c r="DP838" s="2" t="n">
        <v>45.85</v>
      </c>
      <c r="DQ838" s="2" t="n">
        <v>48.04</v>
      </c>
      <c r="DR838" s="2" t="n">
        <v>0</v>
      </c>
      <c r="DS838" s="2" t="n">
        <v>55.92</v>
      </c>
      <c r="DT838" s="2" t="n">
        <v>57.97</v>
      </c>
      <c r="DU838" s="2" t="n">
        <v>0</v>
      </c>
      <c r="DV838" s="2" t="n">
        <v>64.14</v>
      </c>
      <c r="DW838" s="2" t="n">
        <v>66.20999999999999</v>
      </c>
      <c r="DX838" s="2" t="n">
        <v>0</v>
      </c>
      <c r="DY838" s="2" t="n">
        <v>72.79000000000001</v>
      </c>
      <c r="DZ838" s="2" t="n">
        <v>75.18000000000001</v>
      </c>
      <c r="EA838" s="2" t="n">
        <v>0</v>
      </c>
      <c r="EB838" s="2" t="n">
        <v>80.93000000000001</v>
      </c>
      <c r="EC838" s="2" t="n">
        <v>84.2</v>
      </c>
      <c r="ED838" s="2" t="n">
        <v>0</v>
      </c>
      <c r="EE838" s="2" t="n">
        <v>87.59</v>
      </c>
      <c r="EF838" s="2" t="n">
        <v>90.55</v>
      </c>
      <c r="EG838" s="2" t="n">
        <v>0</v>
      </c>
      <c r="EH838" s="2" t="n">
        <v>96.19</v>
      </c>
      <c r="EI838" s="2" t="n">
        <v>98.68000000000001</v>
      </c>
      <c r="EJ838" s="2" t="n">
        <v>0</v>
      </c>
      <c r="EK838" s="2" t="n">
        <v>100</v>
      </c>
      <c r="EL838" s="2" t="n">
        <v>100</v>
      </c>
      <c r="EM838" s="2" t="n">
        <v>0</v>
      </c>
      <c r="EN838" s="2" t="n">
        <v>100</v>
      </c>
      <c r="EO838" s="2" t="n">
        <v>100</v>
      </c>
      <c r="EP838" s="2" t="n">
        <v>0</v>
      </c>
      <c r="EQ838" s="2" t="n">
        <v>100</v>
      </c>
      <c r="ER838" s="2" t="n">
        <v>100</v>
      </c>
      <c r="ES838" s="2" t="n">
        <v>0</v>
      </c>
    </row>
    <row r="839">
      <c r="A839" s="2" t="n">
        <v>3</v>
      </c>
      <c r="B839" s="2" t="inlineStr">
        <is>
          <t>34.02.06</t>
        </is>
      </c>
      <c r="C839" s="2" t="inlineStr">
        <is>
          <t>Cuba de semi encaixe quadrada com mesa, Deca l.61040.M.17 branca</t>
        </is>
      </c>
      <c r="D839" s="2" t="inlineStr">
        <is>
          <t>01/03/2028</t>
        </is>
      </c>
      <c r="E839" s="2" t="inlineStr">
        <is>
          <t>05/02/2029</t>
        </is>
      </c>
      <c r="F839" s="2" t="n">
        <v>211650</v>
      </c>
      <c r="G839" s="2" t="n">
        <v>0</v>
      </c>
      <c r="H839" s="2" t="n">
        <v>211650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0</v>
      </c>
      <c r="AL839" s="2" t="n">
        <v>0</v>
      </c>
      <c r="AM839" s="2" t="n">
        <v>0</v>
      </c>
      <c r="AN839" s="2" t="n">
        <v>0</v>
      </c>
      <c r="AO839" s="2" t="n">
        <v>0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0</v>
      </c>
      <c r="AX839" s="2" t="n">
        <v>0</v>
      </c>
      <c r="AY839" s="2" t="n">
        <v>0</v>
      </c>
      <c r="AZ839" s="2" t="n">
        <v>0</v>
      </c>
      <c r="BA839" s="2" t="n">
        <v>0</v>
      </c>
      <c r="BB839" s="2" t="n">
        <v>0</v>
      </c>
      <c r="BC839" s="2" t="n">
        <v>0</v>
      </c>
      <c r="BD839" s="2" t="n">
        <v>0</v>
      </c>
      <c r="BE839" s="2" t="n">
        <v>0</v>
      </c>
      <c r="BF839" s="2" t="n">
        <v>0</v>
      </c>
      <c r="BG839" s="2" t="n">
        <v>0</v>
      </c>
      <c r="BH839" s="2" t="n">
        <v>0</v>
      </c>
      <c r="BI839" s="2" t="n">
        <v>0</v>
      </c>
      <c r="BJ839" s="2" t="n">
        <v>0</v>
      </c>
      <c r="BK839" s="2" t="n">
        <v>0</v>
      </c>
      <c r="BL839" s="2" t="n">
        <v>0</v>
      </c>
      <c r="BM839" s="2" t="n">
        <v>0</v>
      </c>
      <c r="BN839" s="2" t="n">
        <v>0</v>
      </c>
      <c r="BO839" s="2" t="n">
        <v>0</v>
      </c>
      <c r="BP839" s="2" t="n">
        <v>0</v>
      </c>
      <c r="BQ839" s="2" t="n">
        <v>0</v>
      </c>
      <c r="BR839" s="2" t="n">
        <v>0</v>
      </c>
      <c r="BS839" s="2" t="n">
        <v>0</v>
      </c>
      <c r="BT839" s="2" t="n">
        <v>0</v>
      </c>
      <c r="BU839" s="2" t="n">
        <v>0</v>
      </c>
      <c r="BV839" s="2" t="n">
        <v>0</v>
      </c>
      <c r="BW839" s="2" t="n">
        <v>0</v>
      </c>
      <c r="BX839" s="2" t="n">
        <v>0</v>
      </c>
      <c r="BY839" s="2" t="n">
        <v>0</v>
      </c>
      <c r="BZ839" s="2" t="n">
        <v>0</v>
      </c>
      <c r="CA839" s="2" t="n">
        <v>0</v>
      </c>
      <c r="CB839" s="2" t="n">
        <v>0</v>
      </c>
      <c r="CC839" s="2" t="n">
        <v>0</v>
      </c>
      <c r="CD839" s="2" t="n">
        <v>0</v>
      </c>
      <c r="CE839" s="2" t="n">
        <v>0</v>
      </c>
      <c r="CF839" s="2" t="n">
        <v>0</v>
      </c>
      <c r="CG839" s="2" t="n">
        <v>0</v>
      </c>
      <c r="CH839" s="2" t="n">
        <v>0</v>
      </c>
      <c r="CI839" s="2" t="n">
        <v>0</v>
      </c>
      <c r="CJ839" s="2" t="n">
        <v>0</v>
      </c>
      <c r="CK839" s="2" t="n">
        <v>0</v>
      </c>
      <c r="CL839" s="2" t="n">
        <v>0</v>
      </c>
      <c r="CM839" s="2" t="n">
        <v>0</v>
      </c>
      <c r="CN839" s="2" t="n">
        <v>0</v>
      </c>
      <c r="CO839" s="2" t="n">
        <v>0</v>
      </c>
      <c r="CP839" s="2" t="n">
        <v>0</v>
      </c>
      <c r="CQ839" s="2" t="n">
        <v>0</v>
      </c>
      <c r="CR839" s="2" t="n">
        <v>0</v>
      </c>
      <c r="CS839" s="2" t="n">
        <v>0</v>
      </c>
      <c r="CT839" s="2" t="n">
        <v>0</v>
      </c>
      <c r="CU839" s="2" t="n">
        <v>0</v>
      </c>
      <c r="CV839" s="2" t="n">
        <v>0</v>
      </c>
      <c r="CW839" s="2" t="n">
        <v>0</v>
      </c>
      <c r="CX839" s="2" t="n">
        <v>0</v>
      </c>
      <c r="CY839" s="2" t="n">
        <v>0</v>
      </c>
      <c r="CZ839" s="2" t="n">
        <v>0</v>
      </c>
      <c r="DA839" s="2" t="n">
        <v>0</v>
      </c>
      <c r="DB839" s="2" t="n">
        <v>0</v>
      </c>
      <c r="DC839" s="2" t="n">
        <v>0</v>
      </c>
      <c r="DD839" s="2" t="n">
        <v>7.49</v>
      </c>
      <c r="DE839" s="2" t="n">
        <v>9.6</v>
      </c>
      <c r="DF839" s="2" t="n">
        <v>0</v>
      </c>
      <c r="DG839" s="2" t="n">
        <v>15.71</v>
      </c>
      <c r="DH839" s="2" t="n">
        <v>17.85</v>
      </c>
      <c r="DI839" s="2" t="n">
        <v>0</v>
      </c>
      <c r="DJ839" s="2" t="n">
        <v>26.39</v>
      </c>
      <c r="DK839" s="2" t="n">
        <v>28.5</v>
      </c>
      <c r="DL839" s="2" t="n">
        <v>0</v>
      </c>
      <c r="DM839" s="2" t="n">
        <v>36.13</v>
      </c>
      <c r="DN839" s="2" t="n">
        <v>38.25</v>
      </c>
      <c r="DO839" s="2" t="n">
        <v>0</v>
      </c>
      <c r="DP839" s="2" t="n">
        <v>45.85</v>
      </c>
      <c r="DQ839" s="2" t="n">
        <v>48.04</v>
      </c>
      <c r="DR839" s="2" t="n">
        <v>0</v>
      </c>
      <c r="DS839" s="2" t="n">
        <v>55.92</v>
      </c>
      <c r="DT839" s="2" t="n">
        <v>57.97</v>
      </c>
      <c r="DU839" s="2" t="n">
        <v>0</v>
      </c>
      <c r="DV839" s="2" t="n">
        <v>64.14</v>
      </c>
      <c r="DW839" s="2" t="n">
        <v>66.20999999999999</v>
      </c>
      <c r="DX839" s="2" t="n">
        <v>0</v>
      </c>
      <c r="DY839" s="2" t="n">
        <v>72.79000000000001</v>
      </c>
      <c r="DZ839" s="2" t="n">
        <v>75.18000000000001</v>
      </c>
      <c r="EA839" s="2" t="n">
        <v>0</v>
      </c>
      <c r="EB839" s="2" t="n">
        <v>80.93000000000001</v>
      </c>
      <c r="EC839" s="2" t="n">
        <v>84.2</v>
      </c>
      <c r="ED839" s="2" t="n">
        <v>0</v>
      </c>
      <c r="EE839" s="2" t="n">
        <v>87.59</v>
      </c>
      <c r="EF839" s="2" t="n">
        <v>90.55</v>
      </c>
      <c r="EG839" s="2" t="n">
        <v>0</v>
      </c>
      <c r="EH839" s="2" t="n">
        <v>96.19</v>
      </c>
      <c r="EI839" s="2" t="n">
        <v>98.68000000000001</v>
      </c>
      <c r="EJ839" s="2" t="n">
        <v>0</v>
      </c>
      <c r="EK839" s="2" t="n">
        <v>100</v>
      </c>
      <c r="EL839" s="2" t="n">
        <v>100</v>
      </c>
      <c r="EM839" s="2" t="n">
        <v>0</v>
      </c>
      <c r="EN839" s="2" t="n">
        <v>100</v>
      </c>
      <c r="EO839" s="2" t="n">
        <v>100</v>
      </c>
      <c r="EP839" s="2" t="n">
        <v>0</v>
      </c>
      <c r="EQ839" s="2" t="n">
        <v>100</v>
      </c>
      <c r="ER839" s="2" t="n">
        <v>100</v>
      </c>
      <c r="ES839" s="2" t="n">
        <v>0</v>
      </c>
    </row>
    <row r="840">
      <c r="A840" s="2" t="n">
        <v>3</v>
      </c>
      <c r="B840" s="2" t="inlineStr">
        <is>
          <t>34.02.07</t>
        </is>
      </c>
      <c r="C840" s="2" t="inlineStr">
        <is>
          <t>Torneira de mesa bica baixa, para lavatório, ref.: Deca Level 1197.C26, cromado</t>
        </is>
      </c>
      <c r="D840" s="2" t="inlineStr">
        <is>
          <t>01/03/2028</t>
        </is>
      </c>
      <c r="E840" s="2" t="inlineStr">
        <is>
          <t>05/02/2029</t>
        </is>
      </c>
      <c r="F840" s="2" t="n">
        <v>54051.91756179199</v>
      </c>
      <c r="G840" s="2" t="n">
        <v>0</v>
      </c>
      <c r="H840" s="2" t="n">
        <v>54051.91756179199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0</v>
      </c>
      <c r="AM840" s="2" t="n">
        <v>0</v>
      </c>
      <c r="AN840" s="2" t="n">
        <v>0</v>
      </c>
      <c r="AO840" s="2" t="n">
        <v>0</v>
      </c>
      <c r="AP840" s="2" t="n">
        <v>0</v>
      </c>
      <c r="AQ840" s="2" t="n">
        <v>0</v>
      </c>
      <c r="AR840" s="2" t="n">
        <v>0</v>
      </c>
      <c r="AS840" s="2" t="n">
        <v>0</v>
      </c>
      <c r="AT840" s="2" t="n">
        <v>0</v>
      </c>
      <c r="AU840" s="2" t="n">
        <v>0</v>
      </c>
      <c r="AV840" s="2" t="n">
        <v>0</v>
      </c>
      <c r="AW840" s="2" t="n">
        <v>0</v>
      </c>
      <c r="AX840" s="2" t="n">
        <v>0</v>
      </c>
      <c r="AY840" s="2" t="n">
        <v>0</v>
      </c>
      <c r="AZ840" s="2" t="n">
        <v>0</v>
      </c>
      <c r="BA840" s="2" t="n">
        <v>0</v>
      </c>
      <c r="BB840" s="2" t="n">
        <v>0</v>
      </c>
      <c r="BC840" s="2" t="n">
        <v>0</v>
      </c>
      <c r="BD840" s="2" t="n">
        <v>0</v>
      </c>
      <c r="BE840" s="2" t="n">
        <v>0</v>
      </c>
      <c r="BF840" s="2" t="n">
        <v>0</v>
      </c>
      <c r="BG840" s="2" t="n">
        <v>0</v>
      </c>
      <c r="BH840" s="2" t="n">
        <v>0</v>
      </c>
      <c r="BI840" s="2" t="n">
        <v>0</v>
      </c>
      <c r="BJ840" s="2" t="n">
        <v>0</v>
      </c>
      <c r="BK840" s="2" t="n">
        <v>0</v>
      </c>
      <c r="BL840" s="2" t="n">
        <v>0</v>
      </c>
      <c r="BM840" s="2" t="n">
        <v>0</v>
      </c>
      <c r="BN840" s="2" t="n">
        <v>0</v>
      </c>
      <c r="BO840" s="2" t="n">
        <v>0</v>
      </c>
      <c r="BP840" s="2" t="n">
        <v>0</v>
      </c>
      <c r="BQ840" s="2" t="n">
        <v>0</v>
      </c>
      <c r="BR840" s="2" t="n">
        <v>0</v>
      </c>
      <c r="BS840" s="2" t="n">
        <v>0</v>
      </c>
      <c r="BT840" s="2" t="n">
        <v>0</v>
      </c>
      <c r="BU840" s="2" t="n">
        <v>0</v>
      </c>
      <c r="BV840" s="2" t="n">
        <v>0</v>
      </c>
      <c r="BW840" s="2" t="n">
        <v>0</v>
      </c>
      <c r="BX840" s="2" t="n">
        <v>0</v>
      </c>
      <c r="BY840" s="2" t="n">
        <v>0</v>
      </c>
      <c r="BZ840" s="2" t="n">
        <v>0</v>
      </c>
      <c r="CA840" s="2" t="n">
        <v>0</v>
      </c>
      <c r="CB840" s="2" t="n">
        <v>0</v>
      </c>
      <c r="CC840" s="2" t="n">
        <v>0</v>
      </c>
      <c r="CD840" s="2" t="n">
        <v>0</v>
      </c>
      <c r="CE840" s="2" t="n">
        <v>0</v>
      </c>
      <c r="CF840" s="2" t="n">
        <v>0</v>
      </c>
      <c r="CG840" s="2" t="n">
        <v>0</v>
      </c>
      <c r="CH840" s="2" t="n">
        <v>0</v>
      </c>
      <c r="CI840" s="2" t="n">
        <v>0</v>
      </c>
      <c r="CJ840" s="2" t="n">
        <v>0</v>
      </c>
      <c r="CK840" s="2" t="n">
        <v>0</v>
      </c>
      <c r="CL840" s="2" t="n">
        <v>0</v>
      </c>
      <c r="CM840" s="2" t="n">
        <v>0</v>
      </c>
      <c r="CN840" s="2" t="n">
        <v>0</v>
      </c>
      <c r="CO840" s="2" t="n">
        <v>0</v>
      </c>
      <c r="CP840" s="2" t="n">
        <v>0</v>
      </c>
      <c r="CQ840" s="2" t="n">
        <v>0</v>
      </c>
      <c r="CR840" s="2" t="n">
        <v>0</v>
      </c>
      <c r="CS840" s="2" t="n">
        <v>0</v>
      </c>
      <c r="CT840" s="2" t="n">
        <v>0</v>
      </c>
      <c r="CU840" s="2" t="n">
        <v>0</v>
      </c>
      <c r="CV840" s="2" t="n">
        <v>0</v>
      </c>
      <c r="CW840" s="2" t="n">
        <v>0</v>
      </c>
      <c r="CX840" s="2" t="n">
        <v>0</v>
      </c>
      <c r="CY840" s="2" t="n">
        <v>0</v>
      </c>
      <c r="CZ840" s="2" t="n">
        <v>0</v>
      </c>
      <c r="DA840" s="2" t="n">
        <v>0</v>
      </c>
      <c r="DB840" s="2" t="n">
        <v>0</v>
      </c>
      <c r="DC840" s="2" t="n">
        <v>0</v>
      </c>
      <c r="DD840" s="2" t="n">
        <v>7.49</v>
      </c>
      <c r="DE840" s="2" t="n">
        <v>9.6</v>
      </c>
      <c r="DF840" s="2" t="n">
        <v>0</v>
      </c>
      <c r="DG840" s="2" t="n">
        <v>15.71</v>
      </c>
      <c r="DH840" s="2" t="n">
        <v>17.85</v>
      </c>
      <c r="DI840" s="2" t="n">
        <v>0</v>
      </c>
      <c r="DJ840" s="2" t="n">
        <v>26.39</v>
      </c>
      <c r="DK840" s="2" t="n">
        <v>28.5</v>
      </c>
      <c r="DL840" s="2" t="n">
        <v>0</v>
      </c>
      <c r="DM840" s="2" t="n">
        <v>36.13</v>
      </c>
      <c r="DN840" s="2" t="n">
        <v>38.25</v>
      </c>
      <c r="DO840" s="2" t="n">
        <v>0</v>
      </c>
      <c r="DP840" s="2" t="n">
        <v>45.85</v>
      </c>
      <c r="DQ840" s="2" t="n">
        <v>48.04</v>
      </c>
      <c r="DR840" s="2" t="n">
        <v>0</v>
      </c>
      <c r="DS840" s="2" t="n">
        <v>55.92</v>
      </c>
      <c r="DT840" s="2" t="n">
        <v>57.97</v>
      </c>
      <c r="DU840" s="2" t="n">
        <v>0</v>
      </c>
      <c r="DV840" s="2" t="n">
        <v>64.14</v>
      </c>
      <c r="DW840" s="2" t="n">
        <v>66.20999999999999</v>
      </c>
      <c r="DX840" s="2" t="n">
        <v>0</v>
      </c>
      <c r="DY840" s="2" t="n">
        <v>72.79000000000001</v>
      </c>
      <c r="DZ840" s="2" t="n">
        <v>75.18000000000001</v>
      </c>
      <c r="EA840" s="2" t="n">
        <v>0</v>
      </c>
      <c r="EB840" s="2" t="n">
        <v>80.93000000000001</v>
      </c>
      <c r="EC840" s="2" t="n">
        <v>84.2</v>
      </c>
      <c r="ED840" s="2" t="n">
        <v>0</v>
      </c>
      <c r="EE840" s="2" t="n">
        <v>87.59</v>
      </c>
      <c r="EF840" s="2" t="n">
        <v>90.55</v>
      </c>
      <c r="EG840" s="2" t="n">
        <v>0</v>
      </c>
      <c r="EH840" s="2" t="n">
        <v>96.19</v>
      </c>
      <c r="EI840" s="2" t="n">
        <v>98.68000000000001</v>
      </c>
      <c r="EJ840" s="2" t="n">
        <v>0</v>
      </c>
      <c r="EK840" s="2" t="n">
        <v>100</v>
      </c>
      <c r="EL840" s="2" t="n">
        <v>100</v>
      </c>
      <c r="EM840" s="2" t="n">
        <v>0</v>
      </c>
      <c r="EN840" s="2" t="n">
        <v>100</v>
      </c>
      <c r="EO840" s="2" t="n">
        <v>100</v>
      </c>
      <c r="EP840" s="2" t="n">
        <v>0</v>
      </c>
      <c r="EQ840" s="2" t="n">
        <v>100</v>
      </c>
      <c r="ER840" s="2" t="n">
        <v>100</v>
      </c>
      <c r="ES840" s="2" t="n">
        <v>0</v>
      </c>
    </row>
    <row r="841">
      <c r="A841" s="2" t="n">
        <v>3</v>
      </c>
      <c r="B841" s="2" t="inlineStr">
        <is>
          <t>34.02.08</t>
        </is>
      </c>
      <c r="C841" s="2" t="inlineStr">
        <is>
          <t>Torneira cromada para lavatório (Lavabo guarita)</t>
        </is>
      </c>
      <c r="D841" s="2" t="inlineStr">
        <is>
          <t>01/03/2028</t>
        </is>
      </c>
      <c r="E841" s="2" t="inlineStr">
        <is>
          <t>05/02/2029</t>
        </is>
      </c>
      <c r="F841" s="2" t="n">
        <v>315.5501792019591</v>
      </c>
      <c r="G841" s="2" t="n">
        <v>0</v>
      </c>
      <c r="H841" s="2" t="n">
        <v>315.5501792019591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0</v>
      </c>
      <c r="AM841" s="2" t="n">
        <v>0</v>
      </c>
      <c r="AN841" s="2" t="n">
        <v>0</v>
      </c>
      <c r="AO841" s="2" t="n">
        <v>0</v>
      </c>
      <c r="AP841" s="2" t="n">
        <v>0</v>
      </c>
      <c r="AQ841" s="2" t="n">
        <v>0</v>
      </c>
      <c r="AR841" s="2" t="n">
        <v>0</v>
      </c>
      <c r="AS841" s="2" t="n">
        <v>0</v>
      </c>
      <c r="AT841" s="2" t="n">
        <v>0</v>
      </c>
      <c r="AU841" s="2" t="n">
        <v>0</v>
      </c>
      <c r="AV841" s="2" t="n">
        <v>0</v>
      </c>
      <c r="AW841" s="2" t="n">
        <v>0</v>
      </c>
      <c r="AX841" s="2" t="n">
        <v>0</v>
      </c>
      <c r="AY841" s="2" t="n">
        <v>0</v>
      </c>
      <c r="AZ841" s="2" t="n">
        <v>0</v>
      </c>
      <c r="BA841" s="2" t="n">
        <v>0</v>
      </c>
      <c r="BB841" s="2" t="n">
        <v>0</v>
      </c>
      <c r="BC841" s="2" t="n">
        <v>0</v>
      </c>
      <c r="BD841" s="2" t="n">
        <v>0</v>
      </c>
      <c r="BE841" s="2" t="n">
        <v>0</v>
      </c>
      <c r="BF841" s="2" t="n">
        <v>0</v>
      </c>
      <c r="BG841" s="2" t="n">
        <v>0</v>
      </c>
      <c r="BH841" s="2" t="n">
        <v>0</v>
      </c>
      <c r="BI841" s="2" t="n">
        <v>0</v>
      </c>
      <c r="BJ841" s="2" t="n">
        <v>0</v>
      </c>
      <c r="BK841" s="2" t="n">
        <v>0</v>
      </c>
      <c r="BL841" s="2" t="n">
        <v>0</v>
      </c>
      <c r="BM841" s="2" t="n">
        <v>0</v>
      </c>
      <c r="BN841" s="2" t="n">
        <v>0</v>
      </c>
      <c r="BO841" s="2" t="n">
        <v>0</v>
      </c>
      <c r="BP841" s="2" t="n">
        <v>0</v>
      </c>
      <c r="BQ841" s="2" t="n">
        <v>0</v>
      </c>
      <c r="BR841" s="2" t="n">
        <v>0</v>
      </c>
      <c r="BS841" s="2" t="n">
        <v>0</v>
      </c>
      <c r="BT841" s="2" t="n">
        <v>0</v>
      </c>
      <c r="BU841" s="2" t="n">
        <v>0</v>
      </c>
      <c r="BV841" s="2" t="n">
        <v>0</v>
      </c>
      <c r="BW841" s="2" t="n">
        <v>0</v>
      </c>
      <c r="BX841" s="2" t="n">
        <v>0</v>
      </c>
      <c r="BY841" s="2" t="n">
        <v>0</v>
      </c>
      <c r="BZ841" s="2" t="n">
        <v>0</v>
      </c>
      <c r="CA841" s="2" t="n">
        <v>0</v>
      </c>
      <c r="CB841" s="2" t="n">
        <v>0</v>
      </c>
      <c r="CC841" s="2" t="n">
        <v>0</v>
      </c>
      <c r="CD841" s="2" t="n">
        <v>0</v>
      </c>
      <c r="CE841" s="2" t="n">
        <v>0</v>
      </c>
      <c r="CF841" s="2" t="n">
        <v>0</v>
      </c>
      <c r="CG841" s="2" t="n">
        <v>0</v>
      </c>
      <c r="CH841" s="2" t="n">
        <v>0</v>
      </c>
      <c r="CI841" s="2" t="n">
        <v>0</v>
      </c>
      <c r="CJ841" s="2" t="n">
        <v>0</v>
      </c>
      <c r="CK841" s="2" t="n">
        <v>0</v>
      </c>
      <c r="CL841" s="2" t="n">
        <v>0</v>
      </c>
      <c r="CM841" s="2" t="n">
        <v>0</v>
      </c>
      <c r="CN841" s="2" t="n">
        <v>0</v>
      </c>
      <c r="CO841" s="2" t="n">
        <v>0</v>
      </c>
      <c r="CP841" s="2" t="n">
        <v>0</v>
      </c>
      <c r="CQ841" s="2" t="n">
        <v>0</v>
      </c>
      <c r="CR841" s="2" t="n">
        <v>0</v>
      </c>
      <c r="CS841" s="2" t="n">
        <v>0</v>
      </c>
      <c r="CT841" s="2" t="n">
        <v>0</v>
      </c>
      <c r="CU841" s="2" t="n">
        <v>0</v>
      </c>
      <c r="CV841" s="2" t="n">
        <v>0</v>
      </c>
      <c r="CW841" s="2" t="n">
        <v>0</v>
      </c>
      <c r="CX841" s="2" t="n">
        <v>0</v>
      </c>
      <c r="CY841" s="2" t="n">
        <v>0</v>
      </c>
      <c r="CZ841" s="2" t="n">
        <v>0</v>
      </c>
      <c r="DA841" s="2" t="n">
        <v>0</v>
      </c>
      <c r="DB841" s="2" t="n">
        <v>0</v>
      </c>
      <c r="DC841" s="2" t="n">
        <v>0</v>
      </c>
      <c r="DD841" s="2" t="n">
        <v>7.49</v>
      </c>
      <c r="DE841" s="2" t="n">
        <v>9.6</v>
      </c>
      <c r="DF841" s="2" t="n">
        <v>0</v>
      </c>
      <c r="DG841" s="2" t="n">
        <v>15.71</v>
      </c>
      <c r="DH841" s="2" t="n">
        <v>17.85</v>
      </c>
      <c r="DI841" s="2" t="n">
        <v>0</v>
      </c>
      <c r="DJ841" s="2" t="n">
        <v>26.39</v>
      </c>
      <c r="DK841" s="2" t="n">
        <v>28.5</v>
      </c>
      <c r="DL841" s="2" t="n">
        <v>0</v>
      </c>
      <c r="DM841" s="2" t="n">
        <v>36.13</v>
      </c>
      <c r="DN841" s="2" t="n">
        <v>38.25</v>
      </c>
      <c r="DO841" s="2" t="n">
        <v>0</v>
      </c>
      <c r="DP841" s="2" t="n">
        <v>45.85</v>
      </c>
      <c r="DQ841" s="2" t="n">
        <v>48.04</v>
      </c>
      <c r="DR841" s="2" t="n">
        <v>0</v>
      </c>
      <c r="DS841" s="2" t="n">
        <v>55.92</v>
      </c>
      <c r="DT841" s="2" t="n">
        <v>57.97</v>
      </c>
      <c r="DU841" s="2" t="n">
        <v>0</v>
      </c>
      <c r="DV841" s="2" t="n">
        <v>64.14</v>
      </c>
      <c r="DW841" s="2" t="n">
        <v>66.20999999999999</v>
      </c>
      <c r="DX841" s="2" t="n">
        <v>0</v>
      </c>
      <c r="DY841" s="2" t="n">
        <v>72.79000000000001</v>
      </c>
      <c r="DZ841" s="2" t="n">
        <v>75.18000000000001</v>
      </c>
      <c r="EA841" s="2" t="n">
        <v>0</v>
      </c>
      <c r="EB841" s="2" t="n">
        <v>80.93000000000001</v>
      </c>
      <c r="EC841" s="2" t="n">
        <v>84.2</v>
      </c>
      <c r="ED841" s="2" t="n">
        <v>0</v>
      </c>
      <c r="EE841" s="2" t="n">
        <v>87.59</v>
      </c>
      <c r="EF841" s="2" t="n">
        <v>90.55</v>
      </c>
      <c r="EG841" s="2" t="n">
        <v>0</v>
      </c>
      <c r="EH841" s="2" t="n">
        <v>96.19</v>
      </c>
      <c r="EI841" s="2" t="n">
        <v>98.68000000000001</v>
      </c>
      <c r="EJ841" s="2" t="n">
        <v>0</v>
      </c>
      <c r="EK841" s="2" t="n">
        <v>100</v>
      </c>
      <c r="EL841" s="2" t="n">
        <v>100</v>
      </c>
      <c r="EM841" s="2" t="n">
        <v>0</v>
      </c>
      <c r="EN841" s="2" t="n">
        <v>100</v>
      </c>
      <c r="EO841" s="2" t="n">
        <v>100</v>
      </c>
      <c r="EP841" s="2" t="n">
        <v>0</v>
      </c>
      <c r="EQ841" s="2" t="n">
        <v>100</v>
      </c>
      <c r="ER841" s="2" t="n">
        <v>100</v>
      </c>
      <c r="ES841" s="2" t="n">
        <v>0</v>
      </c>
    </row>
    <row r="842">
      <c r="A842" s="2" t="n">
        <v>3</v>
      </c>
      <c r="B842" s="2" t="inlineStr">
        <is>
          <t>34.02.09</t>
        </is>
      </c>
      <c r="C842" s="2" t="inlineStr">
        <is>
          <t>Torneira de mesa bica baixa, para lavatório, ref.: Deca Link 1197.C.LNK, cromado</t>
        </is>
      </c>
      <c r="D842" s="2" t="inlineStr">
        <is>
          <t>01/03/2028</t>
        </is>
      </c>
      <c r="E842" s="2" t="inlineStr">
        <is>
          <t>05/02/2029</t>
        </is>
      </c>
      <c r="F842" s="2" t="n">
        <v>30923.91756179199</v>
      </c>
      <c r="G842" s="2" t="n">
        <v>0</v>
      </c>
      <c r="H842" s="2" t="n">
        <v>30923.91756179199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n">
        <v>0</v>
      </c>
      <c r="AK842" s="2" t="n">
        <v>0</v>
      </c>
      <c r="AL842" s="2" t="n">
        <v>0</v>
      </c>
      <c r="AM842" s="2" t="n">
        <v>0</v>
      </c>
      <c r="AN842" s="2" t="n">
        <v>0</v>
      </c>
      <c r="AO842" s="2" t="n">
        <v>0</v>
      </c>
      <c r="AP842" s="2" t="n">
        <v>0</v>
      </c>
      <c r="AQ842" s="2" t="n">
        <v>0</v>
      </c>
      <c r="AR842" s="2" t="n">
        <v>0</v>
      </c>
      <c r="AS842" s="2" t="n">
        <v>0</v>
      </c>
      <c r="AT842" s="2" t="n">
        <v>0</v>
      </c>
      <c r="AU842" s="2" t="n">
        <v>0</v>
      </c>
      <c r="AV842" s="2" t="n">
        <v>0</v>
      </c>
      <c r="AW842" s="2" t="n">
        <v>0</v>
      </c>
      <c r="AX842" s="2" t="n">
        <v>0</v>
      </c>
      <c r="AY842" s="2" t="n">
        <v>0</v>
      </c>
      <c r="AZ842" s="2" t="n">
        <v>0</v>
      </c>
      <c r="BA842" s="2" t="n">
        <v>0</v>
      </c>
      <c r="BB842" s="2" t="n">
        <v>0</v>
      </c>
      <c r="BC842" s="2" t="n">
        <v>0</v>
      </c>
      <c r="BD842" s="2" t="n">
        <v>0</v>
      </c>
      <c r="BE842" s="2" t="n">
        <v>0</v>
      </c>
      <c r="BF842" s="2" t="n">
        <v>0</v>
      </c>
      <c r="BG842" s="2" t="n">
        <v>0</v>
      </c>
      <c r="BH842" s="2" t="n">
        <v>0</v>
      </c>
      <c r="BI842" s="2" t="n">
        <v>0</v>
      </c>
      <c r="BJ842" s="2" t="n">
        <v>0</v>
      </c>
      <c r="BK842" s="2" t="n">
        <v>0</v>
      </c>
      <c r="BL842" s="2" t="n">
        <v>0</v>
      </c>
      <c r="BM842" s="2" t="n">
        <v>0</v>
      </c>
      <c r="BN842" s="2" t="n">
        <v>0</v>
      </c>
      <c r="BO842" s="2" t="n">
        <v>0</v>
      </c>
      <c r="BP842" s="2" t="n">
        <v>0</v>
      </c>
      <c r="BQ842" s="2" t="n">
        <v>0</v>
      </c>
      <c r="BR842" s="2" t="n">
        <v>0</v>
      </c>
      <c r="BS842" s="2" t="n">
        <v>0</v>
      </c>
      <c r="BT842" s="2" t="n">
        <v>0</v>
      </c>
      <c r="BU842" s="2" t="n">
        <v>0</v>
      </c>
      <c r="BV842" s="2" t="n">
        <v>0</v>
      </c>
      <c r="BW842" s="2" t="n">
        <v>0</v>
      </c>
      <c r="BX842" s="2" t="n">
        <v>0</v>
      </c>
      <c r="BY842" s="2" t="n">
        <v>0</v>
      </c>
      <c r="BZ842" s="2" t="n">
        <v>0</v>
      </c>
      <c r="CA842" s="2" t="n">
        <v>0</v>
      </c>
      <c r="CB842" s="2" t="n">
        <v>0</v>
      </c>
      <c r="CC842" s="2" t="n">
        <v>0</v>
      </c>
      <c r="CD842" s="2" t="n">
        <v>0</v>
      </c>
      <c r="CE842" s="2" t="n">
        <v>0</v>
      </c>
      <c r="CF842" s="2" t="n">
        <v>0</v>
      </c>
      <c r="CG842" s="2" t="n">
        <v>0</v>
      </c>
      <c r="CH842" s="2" t="n">
        <v>0</v>
      </c>
      <c r="CI842" s="2" t="n">
        <v>0</v>
      </c>
      <c r="CJ842" s="2" t="n">
        <v>0</v>
      </c>
      <c r="CK842" s="2" t="n">
        <v>0</v>
      </c>
      <c r="CL842" s="2" t="n">
        <v>0</v>
      </c>
      <c r="CM842" s="2" t="n">
        <v>0</v>
      </c>
      <c r="CN842" s="2" t="n">
        <v>0</v>
      </c>
      <c r="CO842" s="2" t="n">
        <v>0</v>
      </c>
      <c r="CP842" s="2" t="n">
        <v>0</v>
      </c>
      <c r="CQ842" s="2" t="n">
        <v>0</v>
      </c>
      <c r="CR842" s="2" t="n">
        <v>0</v>
      </c>
      <c r="CS842" s="2" t="n">
        <v>0</v>
      </c>
      <c r="CT842" s="2" t="n">
        <v>0</v>
      </c>
      <c r="CU842" s="2" t="n">
        <v>0</v>
      </c>
      <c r="CV842" s="2" t="n">
        <v>0</v>
      </c>
      <c r="CW842" s="2" t="n">
        <v>0</v>
      </c>
      <c r="CX842" s="2" t="n">
        <v>0</v>
      </c>
      <c r="CY842" s="2" t="n">
        <v>0</v>
      </c>
      <c r="CZ842" s="2" t="n">
        <v>0</v>
      </c>
      <c r="DA842" s="2" t="n">
        <v>0</v>
      </c>
      <c r="DB842" s="2" t="n">
        <v>0</v>
      </c>
      <c r="DC842" s="2" t="n">
        <v>0</v>
      </c>
      <c r="DD842" s="2" t="n">
        <v>7.49</v>
      </c>
      <c r="DE842" s="2" t="n">
        <v>9.6</v>
      </c>
      <c r="DF842" s="2" t="n">
        <v>0</v>
      </c>
      <c r="DG842" s="2" t="n">
        <v>15.71</v>
      </c>
      <c r="DH842" s="2" t="n">
        <v>17.85</v>
      </c>
      <c r="DI842" s="2" t="n">
        <v>0</v>
      </c>
      <c r="DJ842" s="2" t="n">
        <v>26.39</v>
      </c>
      <c r="DK842" s="2" t="n">
        <v>28.5</v>
      </c>
      <c r="DL842" s="2" t="n">
        <v>0</v>
      </c>
      <c r="DM842" s="2" t="n">
        <v>36.13</v>
      </c>
      <c r="DN842" s="2" t="n">
        <v>38.25</v>
      </c>
      <c r="DO842" s="2" t="n">
        <v>0</v>
      </c>
      <c r="DP842" s="2" t="n">
        <v>45.85</v>
      </c>
      <c r="DQ842" s="2" t="n">
        <v>48.04</v>
      </c>
      <c r="DR842" s="2" t="n">
        <v>0</v>
      </c>
      <c r="DS842" s="2" t="n">
        <v>55.92</v>
      </c>
      <c r="DT842" s="2" t="n">
        <v>57.97</v>
      </c>
      <c r="DU842" s="2" t="n">
        <v>0</v>
      </c>
      <c r="DV842" s="2" t="n">
        <v>64.14</v>
      </c>
      <c r="DW842" s="2" t="n">
        <v>66.20999999999999</v>
      </c>
      <c r="DX842" s="2" t="n">
        <v>0</v>
      </c>
      <c r="DY842" s="2" t="n">
        <v>72.79000000000001</v>
      </c>
      <c r="DZ842" s="2" t="n">
        <v>75.18000000000001</v>
      </c>
      <c r="EA842" s="2" t="n">
        <v>0</v>
      </c>
      <c r="EB842" s="2" t="n">
        <v>80.93000000000001</v>
      </c>
      <c r="EC842" s="2" t="n">
        <v>84.2</v>
      </c>
      <c r="ED842" s="2" t="n">
        <v>0</v>
      </c>
      <c r="EE842" s="2" t="n">
        <v>87.59</v>
      </c>
      <c r="EF842" s="2" t="n">
        <v>90.55</v>
      </c>
      <c r="EG842" s="2" t="n">
        <v>0</v>
      </c>
      <c r="EH842" s="2" t="n">
        <v>96.19</v>
      </c>
      <c r="EI842" s="2" t="n">
        <v>98.68000000000001</v>
      </c>
      <c r="EJ842" s="2" t="n">
        <v>0</v>
      </c>
      <c r="EK842" s="2" t="n">
        <v>100</v>
      </c>
      <c r="EL842" s="2" t="n">
        <v>100</v>
      </c>
      <c r="EM842" s="2" t="n">
        <v>0</v>
      </c>
      <c r="EN842" s="2" t="n">
        <v>100</v>
      </c>
      <c r="EO842" s="2" t="n">
        <v>100</v>
      </c>
      <c r="EP842" s="2" t="n">
        <v>0</v>
      </c>
      <c r="EQ842" s="2" t="n">
        <v>100</v>
      </c>
      <c r="ER842" s="2" t="n">
        <v>100</v>
      </c>
      <c r="ES842" s="2" t="n">
        <v>0</v>
      </c>
    </row>
    <row r="843">
      <c r="A843" s="2" t="n">
        <v>3</v>
      </c>
      <c r="B843" s="2" t="inlineStr">
        <is>
          <t>34.02.10</t>
        </is>
      </c>
      <c r="C843" s="2" t="inlineStr">
        <is>
          <t>Torneira de mesa com fechamento automático para lavatório, ref.: Deca, Decamatic Eco 1173.C, cromado</t>
        </is>
      </c>
      <c r="D843" s="2" t="inlineStr">
        <is>
          <t>01/03/2028</t>
        </is>
      </c>
      <c r="E843" s="2" t="inlineStr">
        <is>
          <t>05/02/2029</t>
        </is>
      </c>
      <c r="F843" s="2" t="n">
        <v>10335</v>
      </c>
      <c r="G843" s="2" t="n">
        <v>0</v>
      </c>
      <c r="H843" s="2" t="n">
        <v>10335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0</v>
      </c>
      <c r="AL843" s="2" t="n">
        <v>0</v>
      </c>
      <c r="AM843" s="2" t="n">
        <v>0</v>
      </c>
      <c r="AN843" s="2" t="n">
        <v>0</v>
      </c>
      <c r="AO843" s="2" t="n">
        <v>0</v>
      </c>
      <c r="AP843" s="2" t="n">
        <v>0</v>
      </c>
      <c r="AQ843" s="2" t="n">
        <v>0</v>
      </c>
      <c r="AR843" s="2" t="n">
        <v>0</v>
      </c>
      <c r="AS843" s="2" t="n">
        <v>0</v>
      </c>
      <c r="AT843" s="2" t="n">
        <v>0</v>
      </c>
      <c r="AU843" s="2" t="n">
        <v>0</v>
      </c>
      <c r="AV843" s="2" t="n">
        <v>0</v>
      </c>
      <c r="AW843" s="2" t="n">
        <v>0</v>
      </c>
      <c r="AX843" s="2" t="n">
        <v>0</v>
      </c>
      <c r="AY843" s="2" t="n">
        <v>0</v>
      </c>
      <c r="AZ843" s="2" t="n">
        <v>0</v>
      </c>
      <c r="BA843" s="2" t="n">
        <v>0</v>
      </c>
      <c r="BB843" s="2" t="n">
        <v>0</v>
      </c>
      <c r="BC843" s="2" t="n">
        <v>0</v>
      </c>
      <c r="BD843" s="2" t="n">
        <v>0</v>
      </c>
      <c r="BE843" s="2" t="n">
        <v>0</v>
      </c>
      <c r="BF843" s="2" t="n">
        <v>0</v>
      </c>
      <c r="BG843" s="2" t="n">
        <v>0</v>
      </c>
      <c r="BH843" s="2" t="n">
        <v>0</v>
      </c>
      <c r="BI843" s="2" t="n">
        <v>0</v>
      </c>
      <c r="BJ843" s="2" t="n">
        <v>0</v>
      </c>
      <c r="BK843" s="2" t="n">
        <v>0</v>
      </c>
      <c r="BL843" s="2" t="n">
        <v>0</v>
      </c>
      <c r="BM843" s="2" t="n">
        <v>0</v>
      </c>
      <c r="BN843" s="2" t="n">
        <v>0</v>
      </c>
      <c r="BO843" s="2" t="n">
        <v>0</v>
      </c>
      <c r="BP843" s="2" t="n">
        <v>0</v>
      </c>
      <c r="BQ843" s="2" t="n">
        <v>0</v>
      </c>
      <c r="BR843" s="2" t="n">
        <v>0</v>
      </c>
      <c r="BS843" s="2" t="n">
        <v>0</v>
      </c>
      <c r="BT843" s="2" t="n">
        <v>0</v>
      </c>
      <c r="BU843" s="2" t="n">
        <v>0</v>
      </c>
      <c r="BV843" s="2" t="n">
        <v>0</v>
      </c>
      <c r="BW843" s="2" t="n">
        <v>0</v>
      </c>
      <c r="BX843" s="2" t="n">
        <v>0</v>
      </c>
      <c r="BY843" s="2" t="n">
        <v>0</v>
      </c>
      <c r="BZ843" s="2" t="n">
        <v>0</v>
      </c>
      <c r="CA843" s="2" t="n">
        <v>0</v>
      </c>
      <c r="CB843" s="2" t="n">
        <v>0</v>
      </c>
      <c r="CC843" s="2" t="n">
        <v>0</v>
      </c>
      <c r="CD843" s="2" t="n">
        <v>0</v>
      </c>
      <c r="CE843" s="2" t="n">
        <v>0</v>
      </c>
      <c r="CF843" s="2" t="n">
        <v>0</v>
      </c>
      <c r="CG843" s="2" t="n">
        <v>0</v>
      </c>
      <c r="CH843" s="2" t="n">
        <v>0</v>
      </c>
      <c r="CI843" s="2" t="n">
        <v>0</v>
      </c>
      <c r="CJ843" s="2" t="n">
        <v>0</v>
      </c>
      <c r="CK843" s="2" t="n">
        <v>0</v>
      </c>
      <c r="CL843" s="2" t="n">
        <v>0</v>
      </c>
      <c r="CM843" s="2" t="n">
        <v>0</v>
      </c>
      <c r="CN843" s="2" t="n">
        <v>0</v>
      </c>
      <c r="CO843" s="2" t="n">
        <v>0</v>
      </c>
      <c r="CP843" s="2" t="n">
        <v>0</v>
      </c>
      <c r="CQ843" s="2" t="n">
        <v>0</v>
      </c>
      <c r="CR843" s="2" t="n">
        <v>0</v>
      </c>
      <c r="CS843" s="2" t="n">
        <v>0</v>
      </c>
      <c r="CT843" s="2" t="n">
        <v>0</v>
      </c>
      <c r="CU843" s="2" t="n">
        <v>0</v>
      </c>
      <c r="CV843" s="2" t="n">
        <v>0</v>
      </c>
      <c r="CW843" s="2" t="n">
        <v>0</v>
      </c>
      <c r="CX843" s="2" t="n">
        <v>0</v>
      </c>
      <c r="CY843" s="2" t="n">
        <v>0</v>
      </c>
      <c r="CZ843" s="2" t="n">
        <v>0</v>
      </c>
      <c r="DA843" s="2" t="n">
        <v>0</v>
      </c>
      <c r="DB843" s="2" t="n">
        <v>0</v>
      </c>
      <c r="DC843" s="2" t="n">
        <v>0</v>
      </c>
      <c r="DD843" s="2" t="n">
        <v>7.49</v>
      </c>
      <c r="DE843" s="2" t="n">
        <v>9.6</v>
      </c>
      <c r="DF843" s="2" t="n">
        <v>0</v>
      </c>
      <c r="DG843" s="2" t="n">
        <v>15.71</v>
      </c>
      <c r="DH843" s="2" t="n">
        <v>17.85</v>
      </c>
      <c r="DI843" s="2" t="n">
        <v>0</v>
      </c>
      <c r="DJ843" s="2" t="n">
        <v>26.39</v>
      </c>
      <c r="DK843" s="2" t="n">
        <v>28.5</v>
      </c>
      <c r="DL843" s="2" t="n">
        <v>0</v>
      </c>
      <c r="DM843" s="2" t="n">
        <v>36.13</v>
      </c>
      <c r="DN843" s="2" t="n">
        <v>38.25</v>
      </c>
      <c r="DO843" s="2" t="n">
        <v>0</v>
      </c>
      <c r="DP843" s="2" t="n">
        <v>45.85</v>
      </c>
      <c r="DQ843" s="2" t="n">
        <v>48.04</v>
      </c>
      <c r="DR843" s="2" t="n">
        <v>0</v>
      </c>
      <c r="DS843" s="2" t="n">
        <v>55.92</v>
      </c>
      <c r="DT843" s="2" t="n">
        <v>57.97</v>
      </c>
      <c r="DU843" s="2" t="n">
        <v>0</v>
      </c>
      <c r="DV843" s="2" t="n">
        <v>64.14</v>
      </c>
      <c r="DW843" s="2" t="n">
        <v>66.20999999999999</v>
      </c>
      <c r="DX843" s="2" t="n">
        <v>0</v>
      </c>
      <c r="DY843" s="2" t="n">
        <v>72.79000000000001</v>
      </c>
      <c r="DZ843" s="2" t="n">
        <v>75.18000000000001</v>
      </c>
      <c r="EA843" s="2" t="n">
        <v>0</v>
      </c>
      <c r="EB843" s="2" t="n">
        <v>80.93000000000001</v>
      </c>
      <c r="EC843" s="2" t="n">
        <v>84.2</v>
      </c>
      <c r="ED843" s="2" t="n">
        <v>0</v>
      </c>
      <c r="EE843" s="2" t="n">
        <v>87.59</v>
      </c>
      <c r="EF843" s="2" t="n">
        <v>90.55</v>
      </c>
      <c r="EG843" s="2" t="n">
        <v>0</v>
      </c>
      <c r="EH843" s="2" t="n">
        <v>96.19</v>
      </c>
      <c r="EI843" s="2" t="n">
        <v>98.68000000000001</v>
      </c>
      <c r="EJ843" s="2" t="n">
        <v>0</v>
      </c>
      <c r="EK843" s="2" t="n">
        <v>100</v>
      </c>
      <c r="EL843" s="2" t="n">
        <v>100</v>
      </c>
      <c r="EM843" s="2" t="n">
        <v>0</v>
      </c>
      <c r="EN843" s="2" t="n">
        <v>100</v>
      </c>
      <c r="EO843" s="2" t="n">
        <v>100</v>
      </c>
      <c r="EP843" s="2" t="n">
        <v>0</v>
      </c>
      <c r="EQ843" s="2" t="n">
        <v>100</v>
      </c>
      <c r="ER843" s="2" t="n">
        <v>100</v>
      </c>
      <c r="ES843" s="2" t="n">
        <v>0</v>
      </c>
    </row>
    <row r="844">
      <c r="A844" s="2" t="n">
        <v>3</v>
      </c>
      <c r="B844" s="2" t="inlineStr">
        <is>
          <t>34.02.11</t>
        </is>
      </c>
      <c r="C844" s="2" t="inlineStr">
        <is>
          <t>Torneira De Mesa Com Fechamento Automático Para Lavatório DECA Decamatic Eco Conforto Cromado Cód.: 1173.C.CONF</t>
        </is>
      </c>
      <c r="D844" s="2" t="inlineStr">
        <is>
          <t>01/03/2028</t>
        </is>
      </c>
      <c r="E844" s="2" t="inlineStr">
        <is>
          <t>05/02/2029</t>
        </is>
      </c>
      <c r="F844" s="2" t="n">
        <v>4770</v>
      </c>
      <c r="G844" s="2" t="n">
        <v>0</v>
      </c>
      <c r="H844" s="2" t="n">
        <v>4770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0</v>
      </c>
      <c r="AL844" s="2" t="n">
        <v>0</v>
      </c>
      <c r="AM844" s="2" t="n">
        <v>0</v>
      </c>
      <c r="AN844" s="2" t="n">
        <v>0</v>
      </c>
      <c r="AO844" s="2" t="n">
        <v>0</v>
      </c>
      <c r="AP844" s="2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 t="n">
        <v>0</v>
      </c>
      <c r="AX844" s="2" t="n">
        <v>0</v>
      </c>
      <c r="AY844" s="2" t="n">
        <v>0</v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n">
        <v>0</v>
      </c>
      <c r="BE844" s="2" t="n">
        <v>0</v>
      </c>
      <c r="BF844" s="2" t="n">
        <v>0</v>
      </c>
      <c r="BG844" s="2" t="n">
        <v>0</v>
      </c>
      <c r="BH844" s="2" t="n">
        <v>0</v>
      </c>
      <c r="BI844" s="2" t="n">
        <v>0</v>
      </c>
      <c r="BJ844" s="2" t="n">
        <v>0</v>
      </c>
      <c r="BK844" s="2" t="n">
        <v>0</v>
      </c>
      <c r="BL844" s="2" t="n">
        <v>0</v>
      </c>
      <c r="BM844" s="2" t="n">
        <v>0</v>
      </c>
      <c r="BN844" s="2" t="n">
        <v>0</v>
      </c>
      <c r="BO844" s="2" t="n">
        <v>0</v>
      </c>
      <c r="BP844" s="2" t="n">
        <v>0</v>
      </c>
      <c r="BQ844" s="2" t="n">
        <v>0</v>
      </c>
      <c r="BR844" s="2" t="n">
        <v>0</v>
      </c>
      <c r="BS844" s="2" t="n">
        <v>0</v>
      </c>
      <c r="BT844" s="2" t="n">
        <v>0</v>
      </c>
      <c r="BU844" s="2" t="n">
        <v>0</v>
      </c>
      <c r="BV844" s="2" t="n">
        <v>0</v>
      </c>
      <c r="BW844" s="2" t="n">
        <v>0</v>
      </c>
      <c r="BX844" s="2" t="n">
        <v>0</v>
      </c>
      <c r="BY844" s="2" t="n">
        <v>0</v>
      </c>
      <c r="BZ844" s="2" t="n">
        <v>0</v>
      </c>
      <c r="CA844" s="2" t="n">
        <v>0</v>
      </c>
      <c r="CB844" s="2" t="n">
        <v>0</v>
      </c>
      <c r="CC844" s="2" t="n">
        <v>0</v>
      </c>
      <c r="CD844" s="2" t="n">
        <v>0</v>
      </c>
      <c r="CE844" s="2" t="n">
        <v>0</v>
      </c>
      <c r="CF844" s="2" t="n">
        <v>0</v>
      </c>
      <c r="CG844" s="2" t="n">
        <v>0</v>
      </c>
      <c r="CH844" s="2" t="n">
        <v>0</v>
      </c>
      <c r="CI844" s="2" t="n">
        <v>0</v>
      </c>
      <c r="CJ844" s="2" t="n">
        <v>0</v>
      </c>
      <c r="CK844" s="2" t="n">
        <v>0</v>
      </c>
      <c r="CL844" s="2" t="n">
        <v>0</v>
      </c>
      <c r="CM844" s="2" t="n">
        <v>0</v>
      </c>
      <c r="CN844" s="2" t="n">
        <v>0</v>
      </c>
      <c r="CO844" s="2" t="n">
        <v>0</v>
      </c>
      <c r="CP844" s="2" t="n">
        <v>0</v>
      </c>
      <c r="CQ844" s="2" t="n">
        <v>0</v>
      </c>
      <c r="CR844" s="2" t="n">
        <v>0</v>
      </c>
      <c r="CS844" s="2" t="n">
        <v>0</v>
      </c>
      <c r="CT844" s="2" t="n">
        <v>0</v>
      </c>
      <c r="CU844" s="2" t="n">
        <v>0</v>
      </c>
      <c r="CV844" s="2" t="n">
        <v>0</v>
      </c>
      <c r="CW844" s="2" t="n">
        <v>0</v>
      </c>
      <c r="CX844" s="2" t="n">
        <v>0</v>
      </c>
      <c r="CY844" s="2" t="n">
        <v>0</v>
      </c>
      <c r="CZ844" s="2" t="n">
        <v>0</v>
      </c>
      <c r="DA844" s="2" t="n">
        <v>0</v>
      </c>
      <c r="DB844" s="2" t="n">
        <v>0</v>
      </c>
      <c r="DC844" s="2" t="n">
        <v>0</v>
      </c>
      <c r="DD844" s="2" t="n">
        <v>7.49</v>
      </c>
      <c r="DE844" s="2" t="n">
        <v>9.6</v>
      </c>
      <c r="DF844" s="2" t="n">
        <v>0</v>
      </c>
      <c r="DG844" s="2" t="n">
        <v>15.71</v>
      </c>
      <c r="DH844" s="2" t="n">
        <v>17.85</v>
      </c>
      <c r="DI844" s="2" t="n">
        <v>0</v>
      </c>
      <c r="DJ844" s="2" t="n">
        <v>26.39</v>
      </c>
      <c r="DK844" s="2" t="n">
        <v>28.5</v>
      </c>
      <c r="DL844" s="2" t="n">
        <v>0</v>
      </c>
      <c r="DM844" s="2" t="n">
        <v>36.13</v>
      </c>
      <c r="DN844" s="2" t="n">
        <v>38.25</v>
      </c>
      <c r="DO844" s="2" t="n">
        <v>0</v>
      </c>
      <c r="DP844" s="2" t="n">
        <v>45.85</v>
      </c>
      <c r="DQ844" s="2" t="n">
        <v>48.04</v>
      </c>
      <c r="DR844" s="2" t="n">
        <v>0</v>
      </c>
      <c r="DS844" s="2" t="n">
        <v>55.92</v>
      </c>
      <c r="DT844" s="2" t="n">
        <v>57.97</v>
      </c>
      <c r="DU844" s="2" t="n">
        <v>0</v>
      </c>
      <c r="DV844" s="2" t="n">
        <v>64.14</v>
      </c>
      <c r="DW844" s="2" t="n">
        <v>66.20999999999999</v>
      </c>
      <c r="DX844" s="2" t="n">
        <v>0</v>
      </c>
      <c r="DY844" s="2" t="n">
        <v>72.79000000000001</v>
      </c>
      <c r="DZ844" s="2" t="n">
        <v>75.18000000000001</v>
      </c>
      <c r="EA844" s="2" t="n">
        <v>0</v>
      </c>
      <c r="EB844" s="2" t="n">
        <v>80.93000000000001</v>
      </c>
      <c r="EC844" s="2" t="n">
        <v>84.2</v>
      </c>
      <c r="ED844" s="2" t="n">
        <v>0</v>
      </c>
      <c r="EE844" s="2" t="n">
        <v>87.59</v>
      </c>
      <c r="EF844" s="2" t="n">
        <v>90.55</v>
      </c>
      <c r="EG844" s="2" t="n">
        <v>0</v>
      </c>
      <c r="EH844" s="2" t="n">
        <v>96.19</v>
      </c>
      <c r="EI844" s="2" t="n">
        <v>98.68000000000001</v>
      </c>
      <c r="EJ844" s="2" t="n">
        <v>0</v>
      </c>
      <c r="EK844" s="2" t="n">
        <v>100</v>
      </c>
      <c r="EL844" s="2" t="n">
        <v>100</v>
      </c>
      <c r="EM844" s="2" t="n">
        <v>0</v>
      </c>
      <c r="EN844" s="2" t="n">
        <v>100</v>
      </c>
      <c r="EO844" s="2" t="n">
        <v>100</v>
      </c>
      <c r="EP844" s="2" t="n">
        <v>0</v>
      </c>
      <c r="EQ844" s="2" t="n">
        <v>100</v>
      </c>
      <c r="ER844" s="2" t="n">
        <v>100</v>
      </c>
      <c r="ES844" s="2" t="n">
        <v>0</v>
      </c>
    </row>
    <row r="845">
      <c r="A845" s="2" t="n">
        <v>3</v>
      </c>
      <c r="B845" s="2" t="inlineStr">
        <is>
          <t>34.02.12</t>
        </is>
      </c>
      <c r="C845" s="2" t="inlineStr">
        <is>
          <t>Misturador monocomando de mesa bica baixa, para lavatório; ref.: Deca Level 2875.C26, cromado</t>
        </is>
      </c>
      <c r="D845" s="2" t="inlineStr">
        <is>
          <t>01/03/2028</t>
        </is>
      </c>
      <c r="E845" s="2" t="inlineStr">
        <is>
          <t>05/02/2029</t>
        </is>
      </c>
      <c r="F845" s="2" t="n">
        <v>119656.9946212878</v>
      </c>
      <c r="G845" s="2" t="n">
        <v>0</v>
      </c>
      <c r="H845" s="2" t="n">
        <v>119656.9946212878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0</v>
      </c>
      <c r="AL845" s="2" t="n">
        <v>0</v>
      </c>
      <c r="AM845" s="2" t="n">
        <v>0</v>
      </c>
      <c r="AN845" s="2" t="n">
        <v>0</v>
      </c>
      <c r="AO845" s="2" t="n">
        <v>0</v>
      </c>
      <c r="AP845" s="2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2" t="n">
        <v>0</v>
      </c>
      <c r="AW845" s="2" t="n">
        <v>0</v>
      </c>
      <c r="AX845" s="2" t="n">
        <v>0</v>
      </c>
      <c r="AY845" s="2" t="n">
        <v>0</v>
      </c>
      <c r="AZ845" s="2" t="n">
        <v>0</v>
      </c>
      <c r="BA845" s="2" t="n">
        <v>0</v>
      </c>
      <c r="BB845" s="2" t="n">
        <v>0</v>
      </c>
      <c r="BC845" s="2" t="n">
        <v>0</v>
      </c>
      <c r="BD845" s="2" t="n">
        <v>0</v>
      </c>
      <c r="BE845" s="2" t="n">
        <v>0</v>
      </c>
      <c r="BF845" s="2" t="n">
        <v>0</v>
      </c>
      <c r="BG845" s="2" t="n">
        <v>0</v>
      </c>
      <c r="BH845" s="2" t="n">
        <v>0</v>
      </c>
      <c r="BI845" s="2" t="n">
        <v>0</v>
      </c>
      <c r="BJ845" s="2" t="n">
        <v>0</v>
      </c>
      <c r="BK845" s="2" t="n">
        <v>0</v>
      </c>
      <c r="BL845" s="2" t="n">
        <v>0</v>
      </c>
      <c r="BM845" s="2" t="n">
        <v>0</v>
      </c>
      <c r="BN845" s="2" t="n">
        <v>0</v>
      </c>
      <c r="BO845" s="2" t="n">
        <v>0</v>
      </c>
      <c r="BP845" s="2" t="n">
        <v>0</v>
      </c>
      <c r="BQ845" s="2" t="n">
        <v>0</v>
      </c>
      <c r="BR845" s="2" t="n">
        <v>0</v>
      </c>
      <c r="BS845" s="2" t="n">
        <v>0</v>
      </c>
      <c r="BT845" s="2" t="n">
        <v>0</v>
      </c>
      <c r="BU845" s="2" t="n">
        <v>0</v>
      </c>
      <c r="BV845" s="2" t="n">
        <v>0</v>
      </c>
      <c r="BW845" s="2" t="n">
        <v>0</v>
      </c>
      <c r="BX845" s="2" t="n">
        <v>0</v>
      </c>
      <c r="BY845" s="2" t="n">
        <v>0</v>
      </c>
      <c r="BZ845" s="2" t="n">
        <v>0</v>
      </c>
      <c r="CA845" s="2" t="n">
        <v>0</v>
      </c>
      <c r="CB845" s="2" t="n">
        <v>0</v>
      </c>
      <c r="CC845" s="2" t="n">
        <v>0</v>
      </c>
      <c r="CD845" s="2" t="n">
        <v>0</v>
      </c>
      <c r="CE845" s="2" t="n">
        <v>0</v>
      </c>
      <c r="CF845" s="2" t="n">
        <v>0</v>
      </c>
      <c r="CG845" s="2" t="n">
        <v>0</v>
      </c>
      <c r="CH845" s="2" t="n">
        <v>0</v>
      </c>
      <c r="CI845" s="2" t="n">
        <v>0</v>
      </c>
      <c r="CJ845" s="2" t="n">
        <v>0</v>
      </c>
      <c r="CK845" s="2" t="n">
        <v>0</v>
      </c>
      <c r="CL845" s="2" t="n">
        <v>0</v>
      </c>
      <c r="CM845" s="2" t="n">
        <v>0</v>
      </c>
      <c r="CN845" s="2" t="n">
        <v>0</v>
      </c>
      <c r="CO845" s="2" t="n">
        <v>0</v>
      </c>
      <c r="CP845" s="2" t="n">
        <v>0</v>
      </c>
      <c r="CQ845" s="2" t="n">
        <v>0</v>
      </c>
      <c r="CR845" s="2" t="n">
        <v>0</v>
      </c>
      <c r="CS845" s="2" t="n">
        <v>0</v>
      </c>
      <c r="CT845" s="2" t="n">
        <v>0</v>
      </c>
      <c r="CU845" s="2" t="n">
        <v>0</v>
      </c>
      <c r="CV845" s="2" t="n">
        <v>0</v>
      </c>
      <c r="CW845" s="2" t="n">
        <v>0</v>
      </c>
      <c r="CX845" s="2" t="n">
        <v>0</v>
      </c>
      <c r="CY845" s="2" t="n">
        <v>0</v>
      </c>
      <c r="CZ845" s="2" t="n">
        <v>0</v>
      </c>
      <c r="DA845" s="2" t="n">
        <v>0</v>
      </c>
      <c r="DB845" s="2" t="n">
        <v>0</v>
      </c>
      <c r="DC845" s="2" t="n">
        <v>0</v>
      </c>
      <c r="DD845" s="2" t="n">
        <v>7.49</v>
      </c>
      <c r="DE845" s="2" t="n">
        <v>9.6</v>
      </c>
      <c r="DF845" s="2" t="n">
        <v>0</v>
      </c>
      <c r="DG845" s="2" t="n">
        <v>15.71</v>
      </c>
      <c r="DH845" s="2" t="n">
        <v>17.85</v>
      </c>
      <c r="DI845" s="2" t="n">
        <v>0</v>
      </c>
      <c r="DJ845" s="2" t="n">
        <v>26.39</v>
      </c>
      <c r="DK845" s="2" t="n">
        <v>28.5</v>
      </c>
      <c r="DL845" s="2" t="n">
        <v>0</v>
      </c>
      <c r="DM845" s="2" t="n">
        <v>36.13</v>
      </c>
      <c r="DN845" s="2" t="n">
        <v>38.25</v>
      </c>
      <c r="DO845" s="2" t="n">
        <v>0</v>
      </c>
      <c r="DP845" s="2" t="n">
        <v>45.85</v>
      </c>
      <c r="DQ845" s="2" t="n">
        <v>48.04</v>
      </c>
      <c r="DR845" s="2" t="n">
        <v>0</v>
      </c>
      <c r="DS845" s="2" t="n">
        <v>55.92</v>
      </c>
      <c r="DT845" s="2" t="n">
        <v>57.97</v>
      </c>
      <c r="DU845" s="2" t="n">
        <v>0</v>
      </c>
      <c r="DV845" s="2" t="n">
        <v>64.14</v>
      </c>
      <c r="DW845" s="2" t="n">
        <v>66.20999999999999</v>
      </c>
      <c r="DX845" s="2" t="n">
        <v>0</v>
      </c>
      <c r="DY845" s="2" t="n">
        <v>72.79000000000001</v>
      </c>
      <c r="DZ845" s="2" t="n">
        <v>75.18000000000001</v>
      </c>
      <c r="EA845" s="2" t="n">
        <v>0</v>
      </c>
      <c r="EB845" s="2" t="n">
        <v>80.93000000000001</v>
      </c>
      <c r="EC845" s="2" t="n">
        <v>84.2</v>
      </c>
      <c r="ED845" s="2" t="n">
        <v>0</v>
      </c>
      <c r="EE845" s="2" t="n">
        <v>87.59</v>
      </c>
      <c r="EF845" s="2" t="n">
        <v>90.55</v>
      </c>
      <c r="EG845" s="2" t="n">
        <v>0</v>
      </c>
      <c r="EH845" s="2" t="n">
        <v>96.19</v>
      </c>
      <c r="EI845" s="2" t="n">
        <v>98.68000000000001</v>
      </c>
      <c r="EJ845" s="2" t="n">
        <v>0</v>
      </c>
      <c r="EK845" s="2" t="n">
        <v>100</v>
      </c>
      <c r="EL845" s="2" t="n">
        <v>100</v>
      </c>
      <c r="EM845" s="2" t="n">
        <v>0</v>
      </c>
      <c r="EN845" s="2" t="n">
        <v>100</v>
      </c>
      <c r="EO845" s="2" t="n">
        <v>100</v>
      </c>
      <c r="EP845" s="2" t="n">
        <v>0</v>
      </c>
      <c r="EQ845" s="2" t="n">
        <v>100</v>
      </c>
      <c r="ER845" s="2" t="n">
        <v>100</v>
      </c>
      <c r="ES845" s="2" t="n">
        <v>0</v>
      </c>
    </row>
    <row r="846">
      <c r="A846" s="2" t="n">
        <v>3</v>
      </c>
      <c r="B846" s="2" t="inlineStr">
        <is>
          <t>34.02.13</t>
        </is>
      </c>
      <c r="C846" s="2" t="inlineStr">
        <is>
          <t>Ligação flexível cromada 40cm</t>
        </is>
      </c>
      <c r="D846" s="2" t="inlineStr">
        <is>
          <t>01/03/2028</t>
        </is>
      </c>
      <c r="E846" s="2" t="inlineStr">
        <is>
          <t>05/02/2029</t>
        </is>
      </c>
      <c r="F846" s="2" t="n">
        <v>16065.83332891097</v>
      </c>
      <c r="G846" s="2" t="n">
        <v>0</v>
      </c>
      <c r="H846" s="2" t="n">
        <v>16065.83332891097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0</v>
      </c>
      <c r="AM846" s="2" t="n">
        <v>0</v>
      </c>
      <c r="AN846" s="2" t="n">
        <v>0</v>
      </c>
      <c r="AO846" s="2" t="n">
        <v>0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0</v>
      </c>
      <c r="AX846" s="2" t="n">
        <v>0</v>
      </c>
      <c r="AY846" s="2" t="n">
        <v>0</v>
      </c>
      <c r="AZ846" s="2" t="n">
        <v>0</v>
      </c>
      <c r="BA846" s="2" t="n">
        <v>0</v>
      </c>
      <c r="BB846" s="2" t="n">
        <v>0</v>
      </c>
      <c r="BC846" s="2" t="n">
        <v>0</v>
      </c>
      <c r="BD846" s="2" t="n">
        <v>0</v>
      </c>
      <c r="BE846" s="2" t="n">
        <v>0</v>
      </c>
      <c r="BF846" s="2" t="n">
        <v>0</v>
      </c>
      <c r="BG846" s="2" t="n">
        <v>0</v>
      </c>
      <c r="BH846" s="2" t="n">
        <v>0</v>
      </c>
      <c r="BI846" s="2" t="n">
        <v>0</v>
      </c>
      <c r="BJ846" s="2" t="n">
        <v>0</v>
      </c>
      <c r="BK846" s="2" t="n">
        <v>0</v>
      </c>
      <c r="BL846" s="2" t="n">
        <v>0</v>
      </c>
      <c r="BM846" s="2" t="n">
        <v>0</v>
      </c>
      <c r="BN846" s="2" t="n">
        <v>0</v>
      </c>
      <c r="BO846" s="2" t="n">
        <v>0</v>
      </c>
      <c r="BP846" s="2" t="n">
        <v>0</v>
      </c>
      <c r="BQ846" s="2" t="n">
        <v>0</v>
      </c>
      <c r="BR846" s="2" t="n">
        <v>0</v>
      </c>
      <c r="BS846" s="2" t="n">
        <v>0</v>
      </c>
      <c r="BT846" s="2" t="n">
        <v>0</v>
      </c>
      <c r="BU846" s="2" t="n">
        <v>0</v>
      </c>
      <c r="BV846" s="2" t="n">
        <v>0</v>
      </c>
      <c r="BW846" s="2" t="n">
        <v>0</v>
      </c>
      <c r="BX846" s="2" t="n">
        <v>0</v>
      </c>
      <c r="BY846" s="2" t="n">
        <v>0</v>
      </c>
      <c r="BZ846" s="2" t="n">
        <v>0</v>
      </c>
      <c r="CA846" s="2" t="n">
        <v>0</v>
      </c>
      <c r="CB846" s="2" t="n">
        <v>0</v>
      </c>
      <c r="CC846" s="2" t="n">
        <v>0</v>
      </c>
      <c r="CD846" s="2" t="n">
        <v>0</v>
      </c>
      <c r="CE846" s="2" t="n">
        <v>0</v>
      </c>
      <c r="CF846" s="2" t="n">
        <v>0</v>
      </c>
      <c r="CG846" s="2" t="n">
        <v>0</v>
      </c>
      <c r="CH846" s="2" t="n">
        <v>0</v>
      </c>
      <c r="CI846" s="2" t="n">
        <v>0</v>
      </c>
      <c r="CJ846" s="2" t="n">
        <v>0</v>
      </c>
      <c r="CK846" s="2" t="n">
        <v>0</v>
      </c>
      <c r="CL846" s="2" t="n">
        <v>0</v>
      </c>
      <c r="CM846" s="2" t="n">
        <v>0</v>
      </c>
      <c r="CN846" s="2" t="n">
        <v>0</v>
      </c>
      <c r="CO846" s="2" t="n">
        <v>0</v>
      </c>
      <c r="CP846" s="2" t="n">
        <v>0</v>
      </c>
      <c r="CQ846" s="2" t="n">
        <v>0</v>
      </c>
      <c r="CR846" s="2" t="n">
        <v>0</v>
      </c>
      <c r="CS846" s="2" t="n">
        <v>0</v>
      </c>
      <c r="CT846" s="2" t="n">
        <v>0</v>
      </c>
      <c r="CU846" s="2" t="n">
        <v>0</v>
      </c>
      <c r="CV846" s="2" t="n">
        <v>0</v>
      </c>
      <c r="CW846" s="2" t="n">
        <v>0</v>
      </c>
      <c r="CX846" s="2" t="n">
        <v>0</v>
      </c>
      <c r="CY846" s="2" t="n">
        <v>0</v>
      </c>
      <c r="CZ846" s="2" t="n">
        <v>0</v>
      </c>
      <c r="DA846" s="2" t="n">
        <v>0</v>
      </c>
      <c r="DB846" s="2" t="n">
        <v>0</v>
      </c>
      <c r="DC846" s="2" t="n">
        <v>0</v>
      </c>
      <c r="DD846" s="2" t="n">
        <v>7.49</v>
      </c>
      <c r="DE846" s="2" t="n">
        <v>9.6</v>
      </c>
      <c r="DF846" s="2" t="n">
        <v>0</v>
      </c>
      <c r="DG846" s="2" t="n">
        <v>15.71</v>
      </c>
      <c r="DH846" s="2" t="n">
        <v>17.85</v>
      </c>
      <c r="DI846" s="2" t="n">
        <v>0</v>
      </c>
      <c r="DJ846" s="2" t="n">
        <v>26.39</v>
      </c>
      <c r="DK846" s="2" t="n">
        <v>28.5</v>
      </c>
      <c r="DL846" s="2" t="n">
        <v>0</v>
      </c>
      <c r="DM846" s="2" t="n">
        <v>36.13</v>
      </c>
      <c r="DN846" s="2" t="n">
        <v>38.25</v>
      </c>
      <c r="DO846" s="2" t="n">
        <v>0</v>
      </c>
      <c r="DP846" s="2" t="n">
        <v>45.85</v>
      </c>
      <c r="DQ846" s="2" t="n">
        <v>48.04</v>
      </c>
      <c r="DR846" s="2" t="n">
        <v>0</v>
      </c>
      <c r="DS846" s="2" t="n">
        <v>55.92</v>
      </c>
      <c r="DT846" s="2" t="n">
        <v>57.97</v>
      </c>
      <c r="DU846" s="2" t="n">
        <v>0</v>
      </c>
      <c r="DV846" s="2" t="n">
        <v>64.14</v>
      </c>
      <c r="DW846" s="2" t="n">
        <v>66.20999999999999</v>
      </c>
      <c r="DX846" s="2" t="n">
        <v>0</v>
      </c>
      <c r="DY846" s="2" t="n">
        <v>72.79000000000001</v>
      </c>
      <c r="DZ846" s="2" t="n">
        <v>75.18000000000001</v>
      </c>
      <c r="EA846" s="2" t="n">
        <v>0</v>
      </c>
      <c r="EB846" s="2" t="n">
        <v>80.93000000000001</v>
      </c>
      <c r="EC846" s="2" t="n">
        <v>84.2</v>
      </c>
      <c r="ED846" s="2" t="n">
        <v>0</v>
      </c>
      <c r="EE846" s="2" t="n">
        <v>87.59</v>
      </c>
      <c r="EF846" s="2" t="n">
        <v>90.55</v>
      </c>
      <c r="EG846" s="2" t="n">
        <v>0</v>
      </c>
      <c r="EH846" s="2" t="n">
        <v>96.19</v>
      </c>
      <c r="EI846" s="2" t="n">
        <v>98.68000000000001</v>
      </c>
      <c r="EJ846" s="2" t="n">
        <v>0</v>
      </c>
      <c r="EK846" s="2" t="n">
        <v>100</v>
      </c>
      <c r="EL846" s="2" t="n">
        <v>100</v>
      </c>
      <c r="EM846" s="2" t="n">
        <v>0</v>
      </c>
      <c r="EN846" s="2" t="n">
        <v>100</v>
      </c>
      <c r="EO846" s="2" t="n">
        <v>100</v>
      </c>
      <c r="EP846" s="2" t="n">
        <v>0</v>
      </c>
      <c r="EQ846" s="2" t="n">
        <v>100</v>
      </c>
      <c r="ER846" s="2" t="n">
        <v>100</v>
      </c>
      <c r="ES846" s="2" t="n">
        <v>0</v>
      </c>
    </row>
    <row r="847">
      <c r="A847" s="2" t="n">
        <v>3</v>
      </c>
      <c r="B847" s="2" t="inlineStr">
        <is>
          <t>34.02.14</t>
        </is>
      </c>
      <c r="C847" s="2" t="inlineStr">
        <is>
          <t>Válvula cromada para lavatório</t>
        </is>
      </c>
      <c r="D847" s="2" t="inlineStr">
        <is>
          <t>01/03/2028</t>
        </is>
      </c>
      <c r="E847" s="2" t="inlineStr">
        <is>
          <t>05/02/2029</t>
        </is>
      </c>
      <c r="F847" s="2" t="n">
        <v>53496.53225369921</v>
      </c>
      <c r="G847" s="2" t="n">
        <v>0</v>
      </c>
      <c r="H847" s="2" t="n">
        <v>53496.53225369921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0</v>
      </c>
      <c r="AM847" s="2" t="n">
        <v>0</v>
      </c>
      <c r="AN847" s="2" t="n">
        <v>0</v>
      </c>
      <c r="AO847" s="2" t="n">
        <v>0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0</v>
      </c>
      <c r="AX847" s="2" t="n">
        <v>0</v>
      </c>
      <c r="AY847" s="2" t="n">
        <v>0</v>
      </c>
      <c r="AZ847" s="2" t="n">
        <v>0</v>
      </c>
      <c r="BA847" s="2" t="n">
        <v>0</v>
      </c>
      <c r="BB847" s="2" t="n">
        <v>0</v>
      </c>
      <c r="BC847" s="2" t="n">
        <v>0</v>
      </c>
      <c r="BD847" s="2" t="n">
        <v>0</v>
      </c>
      <c r="BE847" s="2" t="n">
        <v>0</v>
      </c>
      <c r="BF847" s="2" t="n">
        <v>0</v>
      </c>
      <c r="BG847" s="2" t="n">
        <v>0</v>
      </c>
      <c r="BH847" s="2" t="n">
        <v>0</v>
      </c>
      <c r="BI847" s="2" t="n">
        <v>0</v>
      </c>
      <c r="BJ847" s="2" t="n">
        <v>0</v>
      </c>
      <c r="BK847" s="2" t="n">
        <v>0</v>
      </c>
      <c r="BL847" s="2" t="n">
        <v>0</v>
      </c>
      <c r="BM847" s="2" t="n">
        <v>0</v>
      </c>
      <c r="BN847" s="2" t="n">
        <v>0</v>
      </c>
      <c r="BO847" s="2" t="n">
        <v>0</v>
      </c>
      <c r="BP847" s="2" t="n">
        <v>0</v>
      </c>
      <c r="BQ847" s="2" t="n">
        <v>0</v>
      </c>
      <c r="BR847" s="2" t="n">
        <v>0</v>
      </c>
      <c r="BS847" s="2" t="n">
        <v>0</v>
      </c>
      <c r="BT847" s="2" t="n">
        <v>0</v>
      </c>
      <c r="BU847" s="2" t="n">
        <v>0</v>
      </c>
      <c r="BV847" s="2" t="n">
        <v>0</v>
      </c>
      <c r="BW847" s="2" t="n">
        <v>0</v>
      </c>
      <c r="BX847" s="2" t="n">
        <v>0</v>
      </c>
      <c r="BY847" s="2" t="n">
        <v>0</v>
      </c>
      <c r="BZ847" s="2" t="n">
        <v>0</v>
      </c>
      <c r="CA847" s="2" t="n">
        <v>0</v>
      </c>
      <c r="CB847" s="2" t="n">
        <v>0</v>
      </c>
      <c r="CC847" s="2" t="n">
        <v>0</v>
      </c>
      <c r="CD847" s="2" t="n">
        <v>0</v>
      </c>
      <c r="CE847" s="2" t="n">
        <v>0</v>
      </c>
      <c r="CF847" s="2" t="n">
        <v>0</v>
      </c>
      <c r="CG847" s="2" t="n">
        <v>0</v>
      </c>
      <c r="CH847" s="2" t="n">
        <v>0</v>
      </c>
      <c r="CI847" s="2" t="n">
        <v>0</v>
      </c>
      <c r="CJ847" s="2" t="n">
        <v>0</v>
      </c>
      <c r="CK847" s="2" t="n">
        <v>0</v>
      </c>
      <c r="CL847" s="2" t="n">
        <v>0</v>
      </c>
      <c r="CM847" s="2" t="n">
        <v>0</v>
      </c>
      <c r="CN847" s="2" t="n">
        <v>0</v>
      </c>
      <c r="CO847" s="2" t="n">
        <v>0</v>
      </c>
      <c r="CP847" s="2" t="n">
        <v>0</v>
      </c>
      <c r="CQ847" s="2" t="n">
        <v>0</v>
      </c>
      <c r="CR847" s="2" t="n">
        <v>0</v>
      </c>
      <c r="CS847" s="2" t="n">
        <v>0</v>
      </c>
      <c r="CT847" s="2" t="n">
        <v>0</v>
      </c>
      <c r="CU847" s="2" t="n">
        <v>0</v>
      </c>
      <c r="CV847" s="2" t="n">
        <v>0</v>
      </c>
      <c r="CW847" s="2" t="n">
        <v>0</v>
      </c>
      <c r="CX847" s="2" t="n">
        <v>0</v>
      </c>
      <c r="CY847" s="2" t="n">
        <v>0</v>
      </c>
      <c r="CZ847" s="2" t="n">
        <v>0</v>
      </c>
      <c r="DA847" s="2" t="n">
        <v>0</v>
      </c>
      <c r="DB847" s="2" t="n">
        <v>0</v>
      </c>
      <c r="DC847" s="2" t="n">
        <v>0</v>
      </c>
      <c r="DD847" s="2" t="n">
        <v>7.49</v>
      </c>
      <c r="DE847" s="2" t="n">
        <v>9.6</v>
      </c>
      <c r="DF847" s="2" t="n">
        <v>0</v>
      </c>
      <c r="DG847" s="2" t="n">
        <v>15.71</v>
      </c>
      <c r="DH847" s="2" t="n">
        <v>17.85</v>
      </c>
      <c r="DI847" s="2" t="n">
        <v>0</v>
      </c>
      <c r="DJ847" s="2" t="n">
        <v>26.39</v>
      </c>
      <c r="DK847" s="2" t="n">
        <v>28.5</v>
      </c>
      <c r="DL847" s="2" t="n">
        <v>0</v>
      </c>
      <c r="DM847" s="2" t="n">
        <v>36.13</v>
      </c>
      <c r="DN847" s="2" t="n">
        <v>38.25</v>
      </c>
      <c r="DO847" s="2" t="n">
        <v>0</v>
      </c>
      <c r="DP847" s="2" t="n">
        <v>45.85</v>
      </c>
      <c r="DQ847" s="2" t="n">
        <v>48.04</v>
      </c>
      <c r="DR847" s="2" t="n">
        <v>0</v>
      </c>
      <c r="DS847" s="2" t="n">
        <v>55.92</v>
      </c>
      <c r="DT847" s="2" t="n">
        <v>57.97</v>
      </c>
      <c r="DU847" s="2" t="n">
        <v>0</v>
      </c>
      <c r="DV847" s="2" t="n">
        <v>64.14</v>
      </c>
      <c r="DW847" s="2" t="n">
        <v>66.20999999999999</v>
      </c>
      <c r="DX847" s="2" t="n">
        <v>0</v>
      </c>
      <c r="DY847" s="2" t="n">
        <v>72.79000000000001</v>
      </c>
      <c r="DZ847" s="2" t="n">
        <v>75.18000000000001</v>
      </c>
      <c r="EA847" s="2" t="n">
        <v>0</v>
      </c>
      <c r="EB847" s="2" t="n">
        <v>80.93000000000001</v>
      </c>
      <c r="EC847" s="2" t="n">
        <v>84.2</v>
      </c>
      <c r="ED847" s="2" t="n">
        <v>0</v>
      </c>
      <c r="EE847" s="2" t="n">
        <v>87.59</v>
      </c>
      <c r="EF847" s="2" t="n">
        <v>90.55</v>
      </c>
      <c r="EG847" s="2" t="n">
        <v>0</v>
      </c>
      <c r="EH847" s="2" t="n">
        <v>96.19</v>
      </c>
      <c r="EI847" s="2" t="n">
        <v>98.68000000000001</v>
      </c>
      <c r="EJ847" s="2" t="n">
        <v>0</v>
      </c>
      <c r="EK847" s="2" t="n">
        <v>100</v>
      </c>
      <c r="EL847" s="2" t="n">
        <v>100</v>
      </c>
      <c r="EM847" s="2" t="n">
        <v>0</v>
      </c>
      <c r="EN847" s="2" t="n">
        <v>100</v>
      </c>
      <c r="EO847" s="2" t="n">
        <v>100</v>
      </c>
      <c r="EP847" s="2" t="n">
        <v>0</v>
      </c>
      <c r="EQ847" s="2" t="n">
        <v>100</v>
      </c>
      <c r="ER847" s="2" t="n">
        <v>100</v>
      </c>
      <c r="ES847" s="2" t="n">
        <v>0</v>
      </c>
    </row>
    <row r="848">
      <c r="A848" s="2" t="n">
        <v>3</v>
      </c>
      <c r="B848" s="2" t="inlineStr">
        <is>
          <t>34.02.15</t>
        </is>
      </c>
      <c r="C848" s="2" t="inlineStr">
        <is>
          <t>Válvula de Escoamento Click para Lavatório, Cuba e Bidê Cromado, Cód.: 1601.C.CLI</t>
        </is>
      </c>
      <c r="D848" s="2" t="inlineStr">
        <is>
          <t>01/03/2028</t>
        </is>
      </c>
      <c r="E848" s="2" t="inlineStr">
        <is>
          <t>05/02/2029</t>
        </is>
      </c>
      <c r="F848" s="2" t="n">
        <v>699.3010752117544</v>
      </c>
      <c r="G848" s="2" t="n">
        <v>0</v>
      </c>
      <c r="H848" s="2" t="n">
        <v>699.3010752117544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0</v>
      </c>
      <c r="AL848" s="2" t="n">
        <v>0</v>
      </c>
      <c r="AM848" s="2" t="n">
        <v>0</v>
      </c>
      <c r="AN848" s="2" t="n">
        <v>0</v>
      </c>
      <c r="AO848" s="2" t="n">
        <v>0</v>
      </c>
      <c r="AP848" s="2" t="n">
        <v>0</v>
      </c>
      <c r="AQ848" s="2" t="n">
        <v>0</v>
      </c>
      <c r="AR848" s="2" t="n">
        <v>0</v>
      </c>
      <c r="AS848" s="2" t="n">
        <v>0</v>
      </c>
      <c r="AT848" s="2" t="n">
        <v>0</v>
      </c>
      <c r="AU848" s="2" t="n">
        <v>0</v>
      </c>
      <c r="AV848" s="2" t="n">
        <v>0</v>
      </c>
      <c r="AW848" s="2" t="n">
        <v>0</v>
      </c>
      <c r="AX848" s="2" t="n">
        <v>0</v>
      </c>
      <c r="AY848" s="2" t="n">
        <v>0</v>
      </c>
      <c r="AZ848" s="2" t="n">
        <v>0</v>
      </c>
      <c r="BA848" s="2" t="n">
        <v>0</v>
      </c>
      <c r="BB848" s="2" t="n">
        <v>0</v>
      </c>
      <c r="BC848" s="2" t="n">
        <v>0</v>
      </c>
      <c r="BD848" s="2" t="n">
        <v>0</v>
      </c>
      <c r="BE848" s="2" t="n">
        <v>0</v>
      </c>
      <c r="BF848" s="2" t="n">
        <v>0</v>
      </c>
      <c r="BG848" s="2" t="n">
        <v>0</v>
      </c>
      <c r="BH848" s="2" t="n">
        <v>0</v>
      </c>
      <c r="BI848" s="2" t="n">
        <v>0</v>
      </c>
      <c r="BJ848" s="2" t="n">
        <v>0</v>
      </c>
      <c r="BK848" s="2" t="n">
        <v>0</v>
      </c>
      <c r="BL848" s="2" t="n">
        <v>0</v>
      </c>
      <c r="BM848" s="2" t="n">
        <v>0</v>
      </c>
      <c r="BN848" s="2" t="n">
        <v>0</v>
      </c>
      <c r="BO848" s="2" t="n">
        <v>0</v>
      </c>
      <c r="BP848" s="2" t="n">
        <v>0</v>
      </c>
      <c r="BQ848" s="2" t="n">
        <v>0</v>
      </c>
      <c r="BR848" s="2" t="n">
        <v>0</v>
      </c>
      <c r="BS848" s="2" t="n">
        <v>0</v>
      </c>
      <c r="BT848" s="2" t="n">
        <v>0</v>
      </c>
      <c r="BU848" s="2" t="n">
        <v>0</v>
      </c>
      <c r="BV848" s="2" t="n">
        <v>0</v>
      </c>
      <c r="BW848" s="2" t="n">
        <v>0</v>
      </c>
      <c r="BX848" s="2" t="n">
        <v>0</v>
      </c>
      <c r="BY848" s="2" t="n">
        <v>0</v>
      </c>
      <c r="BZ848" s="2" t="n">
        <v>0</v>
      </c>
      <c r="CA848" s="2" t="n">
        <v>0</v>
      </c>
      <c r="CB848" s="2" t="n">
        <v>0</v>
      </c>
      <c r="CC848" s="2" t="n">
        <v>0</v>
      </c>
      <c r="CD848" s="2" t="n">
        <v>0</v>
      </c>
      <c r="CE848" s="2" t="n">
        <v>0</v>
      </c>
      <c r="CF848" s="2" t="n">
        <v>0</v>
      </c>
      <c r="CG848" s="2" t="n">
        <v>0</v>
      </c>
      <c r="CH848" s="2" t="n">
        <v>0</v>
      </c>
      <c r="CI848" s="2" t="n">
        <v>0</v>
      </c>
      <c r="CJ848" s="2" t="n">
        <v>0</v>
      </c>
      <c r="CK848" s="2" t="n">
        <v>0</v>
      </c>
      <c r="CL848" s="2" t="n">
        <v>0</v>
      </c>
      <c r="CM848" s="2" t="n">
        <v>0</v>
      </c>
      <c r="CN848" s="2" t="n">
        <v>0</v>
      </c>
      <c r="CO848" s="2" t="n">
        <v>0</v>
      </c>
      <c r="CP848" s="2" t="n">
        <v>0</v>
      </c>
      <c r="CQ848" s="2" t="n">
        <v>0</v>
      </c>
      <c r="CR848" s="2" t="n">
        <v>0</v>
      </c>
      <c r="CS848" s="2" t="n">
        <v>0</v>
      </c>
      <c r="CT848" s="2" t="n">
        <v>0</v>
      </c>
      <c r="CU848" s="2" t="n">
        <v>0</v>
      </c>
      <c r="CV848" s="2" t="n">
        <v>0</v>
      </c>
      <c r="CW848" s="2" t="n">
        <v>0</v>
      </c>
      <c r="CX848" s="2" t="n">
        <v>0</v>
      </c>
      <c r="CY848" s="2" t="n">
        <v>0</v>
      </c>
      <c r="CZ848" s="2" t="n">
        <v>0</v>
      </c>
      <c r="DA848" s="2" t="n">
        <v>0</v>
      </c>
      <c r="DB848" s="2" t="n">
        <v>0</v>
      </c>
      <c r="DC848" s="2" t="n">
        <v>0</v>
      </c>
      <c r="DD848" s="2" t="n">
        <v>7.49</v>
      </c>
      <c r="DE848" s="2" t="n">
        <v>9.6</v>
      </c>
      <c r="DF848" s="2" t="n">
        <v>0</v>
      </c>
      <c r="DG848" s="2" t="n">
        <v>15.71</v>
      </c>
      <c r="DH848" s="2" t="n">
        <v>17.85</v>
      </c>
      <c r="DI848" s="2" t="n">
        <v>0</v>
      </c>
      <c r="DJ848" s="2" t="n">
        <v>26.39</v>
      </c>
      <c r="DK848" s="2" t="n">
        <v>28.5</v>
      </c>
      <c r="DL848" s="2" t="n">
        <v>0</v>
      </c>
      <c r="DM848" s="2" t="n">
        <v>36.13</v>
      </c>
      <c r="DN848" s="2" t="n">
        <v>38.25</v>
      </c>
      <c r="DO848" s="2" t="n">
        <v>0</v>
      </c>
      <c r="DP848" s="2" t="n">
        <v>45.85</v>
      </c>
      <c r="DQ848" s="2" t="n">
        <v>48.04</v>
      </c>
      <c r="DR848" s="2" t="n">
        <v>0</v>
      </c>
      <c r="DS848" s="2" t="n">
        <v>55.92</v>
      </c>
      <c r="DT848" s="2" t="n">
        <v>57.97</v>
      </c>
      <c r="DU848" s="2" t="n">
        <v>0</v>
      </c>
      <c r="DV848" s="2" t="n">
        <v>64.14</v>
      </c>
      <c r="DW848" s="2" t="n">
        <v>66.20999999999999</v>
      </c>
      <c r="DX848" s="2" t="n">
        <v>0</v>
      </c>
      <c r="DY848" s="2" t="n">
        <v>72.79000000000001</v>
      </c>
      <c r="DZ848" s="2" t="n">
        <v>75.18000000000001</v>
      </c>
      <c r="EA848" s="2" t="n">
        <v>0</v>
      </c>
      <c r="EB848" s="2" t="n">
        <v>80.93000000000001</v>
      </c>
      <c r="EC848" s="2" t="n">
        <v>84.2</v>
      </c>
      <c r="ED848" s="2" t="n">
        <v>0</v>
      </c>
      <c r="EE848" s="2" t="n">
        <v>87.59</v>
      </c>
      <c r="EF848" s="2" t="n">
        <v>90.55</v>
      </c>
      <c r="EG848" s="2" t="n">
        <v>0</v>
      </c>
      <c r="EH848" s="2" t="n">
        <v>96.19</v>
      </c>
      <c r="EI848" s="2" t="n">
        <v>98.68000000000001</v>
      </c>
      <c r="EJ848" s="2" t="n">
        <v>0</v>
      </c>
      <c r="EK848" s="2" t="n">
        <v>100</v>
      </c>
      <c r="EL848" s="2" t="n">
        <v>100</v>
      </c>
      <c r="EM848" s="2" t="n">
        <v>0</v>
      </c>
      <c r="EN848" s="2" t="n">
        <v>100</v>
      </c>
      <c r="EO848" s="2" t="n">
        <v>100</v>
      </c>
      <c r="EP848" s="2" t="n">
        <v>0</v>
      </c>
      <c r="EQ848" s="2" t="n">
        <v>100</v>
      </c>
      <c r="ER848" s="2" t="n">
        <v>100</v>
      </c>
      <c r="ES848" s="2" t="n">
        <v>0</v>
      </c>
    </row>
    <row r="849">
      <c r="A849" s="2" t="n">
        <v>3</v>
      </c>
      <c r="B849" s="2" t="inlineStr">
        <is>
          <t>34.02.16</t>
        </is>
      </c>
      <c r="C849" s="2" t="inlineStr">
        <is>
          <t>Sifão cromado para lavatório</t>
        </is>
      </c>
      <c r="D849" s="2" t="inlineStr">
        <is>
          <t>01/03/2028</t>
        </is>
      </c>
      <c r="E849" s="2" t="inlineStr">
        <is>
          <t>05/02/2029</t>
        </is>
      </c>
      <c r="F849" s="2" t="n">
        <v>51201.53225369921</v>
      </c>
      <c r="G849" s="2" t="n">
        <v>0</v>
      </c>
      <c r="H849" s="2" t="n">
        <v>51201.53225369921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0</v>
      </c>
      <c r="AL849" s="2" t="n">
        <v>0</v>
      </c>
      <c r="AM849" s="2" t="n">
        <v>0</v>
      </c>
      <c r="AN849" s="2" t="n">
        <v>0</v>
      </c>
      <c r="AO849" s="2" t="n">
        <v>0</v>
      </c>
      <c r="AP849" s="2" t="n">
        <v>0</v>
      </c>
      <c r="AQ849" s="2" t="n">
        <v>0</v>
      </c>
      <c r="AR849" s="2" t="n">
        <v>0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 t="n">
        <v>0</v>
      </c>
      <c r="AX849" s="2" t="n">
        <v>0</v>
      </c>
      <c r="AY849" s="2" t="n">
        <v>0</v>
      </c>
      <c r="AZ849" s="2" t="n">
        <v>0</v>
      </c>
      <c r="BA849" s="2" t="n">
        <v>0</v>
      </c>
      <c r="BB849" s="2" t="n">
        <v>0</v>
      </c>
      <c r="BC849" s="2" t="n">
        <v>0</v>
      </c>
      <c r="BD849" s="2" t="n">
        <v>0</v>
      </c>
      <c r="BE849" s="2" t="n">
        <v>0</v>
      </c>
      <c r="BF849" s="2" t="n">
        <v>0</v>
      </c>
      <c r="BG849" s="2" t="n">
        <v>0</v>
      </c>
      <c r="BH849" s="2" t="n">
        <v>0</v>
      </c>
      <c r="BI849" s="2" t="n">
        <v>0</v>
      </c>
      <c r="BJ849" s="2" t="n">
        <v>0</v>
      </c>
      <c r="BK849" s="2" t="n">
        <v>0</v>
      </c>
      <c r="BL849" s="2" t="n">
        <v>0</v>
      </c>
      <c r="BM849" s="2" t="n">
        <v>0</v>
      </c>
      <c r="BN849" s="2" t="n">
        <v>0</v>
      </c>
      <c r="BO849" s="2" t="n">
        <v>0</v>
      </c>
      <c r="BP849" s="2" t="n">
        <v>0</v>
      </c>
      <c r="BQ849" s="2" t="n">
        <v>0</v>
      </c>
      <c r="BR849" s="2" t="n">
        <v>0</v>
      </c>
      <c r="BS849" s="2" t="n">
        <v>0</v>
      </c>
      <c r="BT849" s="2" t="n">
        <v>0</v>
      </c>
      <c r="BU849" s="2" t="n">
        <v>0</v>
      </c>
      <c r="BV849" s="2" t="n">
        <v>0</v>
      </c>
      <c r="BW849" s="2" t="n">
        <v>0</v>
      </c>
      <c r="BX849" s="2" t="n">
        <v>0</v>
      </c>
      <c r="BY849" s="2" t="n">
        <v>0</v>
      </c>
      <c r="BZ849" s="2" t="n">
        <v>0</v>
      </c>
      <c r="CA849" s="2" t="n">
        <v>0</v>
      </c>
      <c r="CB849" s="2" t="n">
        <v>0</v>
      </c>
      <c r="CC849" s="2" t="n">
        <v>0</v>
      </c>
      <c r="CD849" s="2" t="n">
        <v>0</v>
      </c>
      <c r="CE849" s="2" t="n">
        <v>0</v>
      </c>
      <c r="CF849" s="2" t="n">
        <v>0</v>
      </c>
      <c r="CG849" s="2" t="n">
        <v>0</v>
      </c>
      <c r="CH849" s="2" t="n">
        <v>0</v>
      </c>
      <c r="CI849" s="2" t="n">
        <v>0</v>
      </c>
      <c r="CJ849" s="2" t="n">
        <v>0</v>
      </c>
      <c r="CK849" s="2" t="n">
        <v>0</v>
      </c>
      <c r="CL849" s="2" t="n">
        <v>0</v>
      </c>
      <c r="CM849" s="2" t="n">
        <v>0</v>
      </c>
      <c r="CN849" s="2" t="n">
        <v>0</v>
      </c>
      <c r="CO849" s="2" t="n">
        <v>0</v>
      </c>
      <c r="CP849" s="2" t="n">
        <v>0</v>
      </c>
      <c r="CQ849" s="2" t="n">
        <v>0</v>
      </c>
      <c r="CR849" s="2" t="n">
        <v>0</v>
      </c>
      <c r="CS849" s="2" t="n">
        <v>0</v>
      </c>
      <c r="CT849" s="2" t="n">
        <v>0</v>
      </c>
      <c r="CU849" s="2" t="n">
        <v>0</v>
      </c>
      <c r="CV849" s="2" t="n">
        <v>0</v>
      </c>
      <c r="CW849" s="2" t="n">
        <v>0</v>
      </c>
      <c r="CX849" s="2" t="n">
        <v>0</v>
      </c>
      <c r="CY849" s="2" t="n">
        <v>0</v>
      </c>
      <c r="CZ849" s="2" t="n">
        <v>0</v>
      </c>
      <c r="DA849" s="2" t="n">
        <v>0</v>
      </c>
      <c r="DB849" s="2" t="n">
        <v>0</v>
      </c>
      <c r="DC849" s="2" t="n">
        <v>0</v>
      </c>
      <c r="DD849" s="2" t="n">
        <v>7.49</v>
      </c>
      <c r="DE849" s="2" t="n">
        <v>9.6</v>
      </c>
      <c r="DF849" s="2" t="n">
        <v>0</v>
      </c>
      <c r="DG849" s="2" t="n">
        <v>15.71</v>
      </c>
      <c r="DH849" s="2" t="n">
        <v>17.85</v>
      </c>
      <c r="DI849" s="2" t="n">
        <v>0</v>
      </c>
      <c r="DJ849" s="2" t="n">
        <v>26.39</v>
      </c>
      <c r="DK849" s="2" t="n">
        <v>28.5</v>
      </c>
      <c r="DL849" s="2" t="n">
        <v>0</v>
      </c>
      <c r="DM849" s="2" t="n">
        <v>36.13</v>
      </c>
      <c r="DN849" s="2" t="n">
        <v>38.25</v>
      </c>
      <c r="DO849" s="2" t="n">
        <v>0</v>
      </c>
      <c r="DP849" s="2" t="n">
        <v>45.85</v>
      </c>
      <c r="DQ849" s="2" t="n">
        <v>48.04</v>
      </c>
      <c r="DR849" s="2" t="n">
        <v>0</v>
      </c>
      <c r="DS849" s="2" t="n">
        <v>55.92</v>
      </c>
      <c r="DT849" s="2" t="n">
        <v>57.97</v>
      </c>
      <c r="DU849" s="2" t="n">
        <v>0</v>
      </c>
      <c r="DV849" s="2" t="n">
        <v>64.14</v>
      </c>
      <c r="DW849" s="2" t="n">
        <v>66.20999999999999</v>
      </c>
      <c r="DX849" s="2" t="n">
        <v>0</v>
      </c>
      <c r="DY849" s="2" t="n">
        <v>72.79000000000001</v>
      </c>
      <c r="DZ849" s="2" t="n">
        <v>75.18000000000001</v>
      </c>
      <c r="EA849" s="2" t="n">
        <v>0</v>
      </c>
      <c r="EB849" s="2" t="n">
        <v>80.93000000000001</v>
      </c>
      <c r="EC849" s="2" t="n">
        <v>84.2</v>
      </c>
      <c r="ED849" s="2" t="n">
        <v>0</v>
      </c>
      <c r="EE849" s="2" t="n">
        <v>87.59</v>
      </c>
      <c r="EF849" s="2" t="n">
        <v>90.55</v>
      </c>
      <c r="EG849" s="2" t="n">
        <v>0</v>
      </c>
      <c r="EH849" s="2" t="n">
        <v>96.19</v>
      </c>
      <c r="EI849" s="2" t="n">
        <v>98.68000000000001</v>
      </c>
      <c r="EJ849" s="2" t="n">
        <v>0</v>
      </c>
      <c r="EK849" s="2" t="n">
        <v>100</v>
      </c>
      <c r="EL849" s="2" t="n">
        <v>100</v>
      </c>
      <c r="EM849" s="2" t="n">
        <v>0</v>
      </c>
      <c r="EN849" s="2" t="n">
        <v>100</v>
      </c>
      <c r="EO849" s="2" t="n">
        <v>100</v>
      </c>
      <c r="EP849" s="2" t="n">
        <v>0</v>
      </c>
      <c r="EQ849" s="2" t="n">
        <v>100</v>
      </c>
      <c r="ER849" s="2" t="n">
        <v>100</v>
      </c>
      <c r="ES849" s="2" t="n">
        <v>0</v>
      </c>
    </row>
    <row r="850">
      <c r="A850" s="2" t="n">
        <v>3</v>
      </c>
      <c r="B850" s="2" t="inlineStr">
        <is>
          <t>34.02.17</t>
        </is>
      </c>
      <c r="C850" s="2" t="inlineStr">
        <is>
          <t>Sifão Articulado Cromado, Deca, Cód.: 1682.C.100.112</t>
        </is>
      </c>
      <c r="D850" s="2" t="inlineStr">
        <is>
          <t>01/03/2028</t>
        </is>
      </c>
      <c r="E850" s="2" t="inlineStr">
        <is>
          <t>05/02/2029</t>
        </is>
      </c>
      <c r="F850" s="2" t="n">
        <v>669.3010752117544</v>
      </c>
      <c r="G850" s="2" t="n">
        <v>0</v>
      </c>
      <c r="H850" s="2" t="n">
        <v>669.3010752117544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0</v>
      </c>
      <c r="AM850" s="2" t="n">
        <v>0</v>
      </c>
      <c r="AN850" s="2" t="n">
        <v>0</v>
      </c>
      <c r="AO850" s="2" t="n">
        <v>0</v>
      </c>
      <c r="AP850" s="2" t="n">
        <v>0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0</v>
      </c>
      <c r="AX850" s="2" t="n">
        <v>0</v>
      </c>
      <c r="AY850" s="2" t="n">
        <v>0</v>
      </c>
      <c r="AZ850" s="2" t="n">
        <v>0</v>
      </c>
      <c r="BA850" s="2" t="n">
        <v>0</v>
      </c>
      <c r="BB850" s="2" t="n">
        <v>0</v>
      </c>
      <c r="BC850" s="2" t="n">
        <v>0</v>
      </c>
      <c r="BD850" s="2" t="n">
        <v>0</v>
      </c>
      <c r="BE850" s="2" t="n">
        <v>0</v>
      </c>
      <c r="BF850" s="2" t="n">
        <v>0</v>
      </c>
      <c r="BG850" s="2" t="n">
        <v>0</v>
      </c>
      <c r="BH850" s="2" t="n">
        <v>0</v>
      </c>
      <c r="BI850" s="2" t="n">
        <v>0</v>
      </c>
      <c r="BJ850" s="2" t="n">
        <v>0</v>
      </c>
      <c r="BK850" s="2" t="n">
        <v>0</v>
      </c>
      <c r="BL850" s="2" t="n">
        <v>0</v>
      </c>
      <c r="BM850" s="2" t="n">
        <v>0</v>
      </c>
      <c r="BN850" s="2" t="n">
        <v>0</v>
      </c>
      <c r="BO850" s="2" t="n">
        <v>0</v>
      </c>
      <c r="BP850" s="2" t="n">
        <v>0</v>
      </c>
      <c r="BQ850" s="2" t="n">
        <v>0</v>
      </c>
      <c r="BR850" s="2" t="n">
        <v>0</v>
      </c>
      <c r="BS850" s="2" t="n">
        <v>0</v>
      </c>
      <c r="BT850" s="2" t="n">
        <v>0</v>
      </c>
      <c r="BU850" s="2" t="n">
        <v>0</v>
      </c>
      <c r="BV850" s="2" t="n">
        <v>0</v>
      </c>
      <c r="BW850" s="2" t="n">
        <v>0</v>
      </c>
      <c r="BX850" s="2" t="n">
        <v>0</v>
      </c>
      <c r="BY850" s="2" t="n">
        <v>0</v>
      </c>
      <c r="BZ850" s="2" t="n">
        <v>0</v>
      </c>
      <c r="CA850" s="2" t="n">
        <v>0</v>
      </c>
      <c r="CB850" s="2" t="n">
        <v>0</v>
      </c>
      <c r="CC850" s="2" t="n">
        <v>0</v>
      </c>
      <c r="CD850" s="2" t="n">
        <v>0</v>
      </c>
      <c r="CE850" s="2" t="n">
        <v>0</v>
      </c>
      <c r="CF850" s="2" t="n">
        <v>0</v>
      </c>
      <c r="CG850" s="2" t="n">
        <v>0</v>
      </c>
      <c r="CH850" s="2" t="n">
        <v>0</v>
      </c>
      <c r="CI850" s="2" t="n">
        <v>0</v>
      </c>
      <c r="CJ850" s="2" t="n">
        <v>0</v>
      </c>
      <c r="CK850" s="2" t="n">
        <v>0</v>
      </c>
      <c r="CL850" s="2" t="n">
        <v>0</v>
      </c>
      <c r="CM850" s="2" t="n">
        <v>0</v>
      </c>
      <c r="CN850" s="2" t="n">
        <v>0</v>
      </c>
      <c r="CO850" s="2" t="n">
        <v>0</v>
      </c>
      <c r="CP850" s="2" t="n">
        <v>0</v>
      </c>
      <c r="CQ850" s="2" t="n">
        <v>0</v>
      </c>
      <c r="CR850" s="2" t="n">
        <v>0</v>
      </c>
      <c r="CS850" s="2" t="n">
        <v>0</v>
      </c>
      <c r="CT850" s="2" t="n">
        <v>0</v>
      </c>
      <c r="CU850" s="2" t="n">
        <v>0</v>
      </c>
      <c r="CV850" s="2" t="n">
        <v>0</v>
      </c>
      <c r="CW850" s="2" t="n">
        <v>0</v>
      </c>
      <c r="CX850" s="2" t="n">
        <v>0</v>
      </c>
      <c r="CY850" s="2" t="n">
        <v>0</v>
      </c>
      <c r="CZ850" s="2" t="n">
        <v>0</v>
      </c>
      <c r="DA850" s="2" t="n">
        <v>0</v>
      </c>
      <c r="DB850" s="2" t="n">
        <v>0</v>
      </c>
      <c r="DC850" s="2" t="n">
        <v>0</v>
      </c>
      <c r="DD850" s="2" t="n">
        <v>7.49</v>
      </c>
      <c r="DE850" s="2" t="n">
        <v>9.6</v>
      </c>
      <c r="DF850" s="2" t="n">
        <v>0</v>
      </c>
      <c r="DG850" s="2" t="n">
        <v>15.71</v>
      </c>
      <c r="DH850" s="2" t="n">
        <v>17.85</v>
      </c>
      <c r="DI850" s="2" t="n">
        <v>0</v>
      </c>
      <c r="DJ850" s="2" t="n">
        <v>26.39</v>
      </c>
      <c r="DK850" s="2" t="n">
        <v>28.5</v>
      </c>
      <c r="DL850" s="2" t="n">
        <v>0</v>
      </c>
      <c r="DM850" s="2" t="n">
        <v>36.13</v>
      </c>
      <c r="DN850" s="2" t="n">
        <v>38.25</v>
      </c>
      <c r="DO850" s="2" t="n">
        <v>0</v>
      </c>
      <c r="DP850" s="2" t="n">
        <v>45.85</v>
      </c>
      <c r="DQ850" s="2" t="n">
        <v>48.04</v>
      </c>
      <c r="DR850" s="2" t="n">
        <v>0</v>
      </c>
      <c r="DS850" s="2" t="n">
        <v>55.92</v>
      </c>
      <c r="DT850" s="2" t="n">
        <v>57.97</v>
      </c>
      <c r="DU850" s="2" t="n">
        <v>0</v>
      </c>
      <c r="DV850" s="2" t="n">
        <v>64.14</v>
      </c>
      <c r="DW850" s="2" t="n">
        <v>66.20999999999999</v>
      </c>
      <c r="DX850" s="2" t="n">
        <v>0</v>
      </c>
      <c r="DY850" s="2" t="n">
        <v>72.79000000000001</v>
      </c>
      <c r="DZ850" s="2" t="n">
        <v>75.18000000000001</v>
      </c>
      <c r="EA850" s="2" t="n">
        <v>0</v>
      </c>
      <c r="EB850" s="2" t="n">
        <v>80.93000000000001</v>
      </c>
      <c r="EC850" s="2" t="n">
        <v>84.2</v>
      </c>
      <c r="ED850" s="2" t="n">
        <v>0</v>
      </c>
      <c r="EE850" s="2" t="n">
        <v>87.59</v>
      </c>
      <c r="EF850" s="2" t="n">
        <v>90.55</v>
      </c>
      <c r="EG850" s="2" t="n">
        <v>0</v>
      </c>
      <c r="EH850" s="2" t="n">
        <v>96.19</v>
      </c>
      <c r="EI850" s="2" t="n">
        <v>98.68000000000001</v>
      </c>
      <c r="EJ850" s="2" t="n">
        <v>0</v>
      </c>
      <c r="EK850" s="2" t="n">
        <v>100</v>
      </c>
      <c r="EL850" s="2" t="n">
        <v>100</v>
      </c>
      <c r="EM850" s="2" t="n">
        <v>0</v>
      </c>
      <c r="EN850" s="2" t="n">
        <v>100</v>
      </c>
      <c r="EO850" s="2" t="n">
        <v>100</v>
      </c>
      <c r="EP850" s="2" t="n">
        <v>0</v>
      </c>
      <c r="EQ850" s="2" t="n">
        <v>100</v>
      </c>
      <c r="ER850" s="2" t="n">
        <v>100</v>
      </c>
      <c r="ES850" s="2" t="n">
        <v>0</v>
      </c>
    </row>
    <row r="851">
      <c r="A851" s="2" t="n">
        <v>2</v>
      </c>
      <c r="B851" s="2" t="inlineStr">
        <is>
          <t>34.03</t>
        </is>
      </c>
      <c r="C851" s="2" t="inlineStr">
        <is>
          <t>Pias</t>
        </is>
      </c>
      <c r="D851" s="2" t="inlineStr">
        <is>
          <t>01/03/2028</t>
        </is>
      </c>
      <c r="E851" s="2" t="inlineStr">
        <is>
          <t>05/02/2029</t>
        </is>
      </c>
      <c r="F851" s="2" t="n">
        <v>141118.324368813</v>
      </c>
      <c r="G851" s="2" t="n">
        <v>0</v>
      </c>
      <c r="H851" s="2" t="n">
        <v>141118.324368813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0</v>
      </c>
      <c r="AL851" s="2" t="n">
        <v>0</v>
      </c>
      <c r="AM851" s="2" t="n">
        <v>0</v>
      </c>
      <c r="AN851" s="2" t="n">
        <v>0</v>
      </c>
      <c r="AO851" s="2" t="n">
        <v>0</v>
      </c>
      <c r="AP851" s="2" t="n">
        <v>0</v>
      </c>
      <c r="AQ851" s="2" t="n">
        <v>0</v>
      </c>
      <c r="AR851" s="2" t="n">
        <v>0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 t="n">
        <v>0</v>
      </c>
      <c r="AX851" s="2" t="n">
        <v>0</v>
      </c>
      <c r="AY851" s="2" t="n">
        <v>0</v>
      </c>
      <c r="AZ851" s="2" t="n">
        <v>0</v>
      </c>
      <c r="BA851" s="2" t="n">
        <v>0</v>
      </c>
      <c r="BB851" s="2" t="n">
        <v>0</v>
      </c>
      <c r="BC851" s="2" t="n">
        <v>0</v>
      </c>
      <c r="BD851" s="2" t="n">
        <v>0</v>
      </c>
      <c r="BE851" s="2" t="n">
        <v>0</v>
      </c>
      <c r="BF851" s="2" t="n">
        <v>0</v>
      </c>
      <c r="BG851" s="2" t="n">
        <v>0</v>
      </c>
      <c r="BH851" s="2" t="n">
        <v>0</v>
      </c>
      <c r="BI851" s="2" t="n">
        <v>0</v>
      </c>
      <c r="BJ851" s="2" t="n">
        <v>0</v>
      </c>
      <c r="BK851" s="2" t="n">
        <v>0</v>
      </c>
      <c r="BL851" s="2" t="n">
        <v>0</v>
      </c>
      <c r="BM851" s="2" t="n">
        <v>0</v>
      </c>
      <c r="BN851" s="2" t="n">
        <v>0</v>
      </c>
      <c r="BO851" s="2" t="n">
        <v>0</v>
      </c>
      <c r="BP851" s="2" t="n">
        <v>0</v>
      </c>
      <c r="BQ851" s="2" t="n">
        <v>0</v>
      </c>
      <c r="BR851" s="2" t="n">
        <v>0</v>
      </c>
      <c r="BS851" s="2" t="n">
        <v>0</v>
      </c>
      <c r="BT851" s="2" t="n">
        <v>0</v>
      </c>
      <c r="BU851" s="2" t="n">
        <v>0</v>
      </c>
      <c r="BV851" s="2" t="n">
        <v>0</v>
      </c>
      <c r="BW851" s="2" t="n">
        <v>0</v>
      </c>
      <c r="BX851" s="2" t="n">
        <v>0</v>
      </c>
      <c r="BY851" s="2" t="n">
        <v>0</v>
      </c>
      <c r="BZ851" s="2" t="n">
        <v>0</v>
      </c>
      <c r="CA851" s="2" t="n">
        <v>0</v>
      </c>
      <c r="CB851" s="2" t="n">
        <v>0</v>
      </c>
      <c r="CC851" s="2" t="n">
        <v>0</v>
      </c>
      <c r="CD851" s="2" t="n">
        <v>0</v>
      </c>
      <c r="CE851" s="2" t="n">
        <v>0</v>
      </c>
      <c r="CF851" s="2" t="n">
        <v>0</v>
      </c>
      <c r="CG851" s="2" t="n">
        <v>0</v>
      </c>
      <c r="CH851" s="2" t="n">
        <v>0</v>
      </c>
      <c r="CI851" s="2" t="n">
        <v>0</v>
      </c>
      <c r="CJ851" s="2" t="n">
        <v>0</v>
      </c>
      <c r="CK851" s="2" t="n">
        <v>0</v>
      </c>
      <c r="CL851" s="2" t="n">
        <v>0</v>
      </c>
      <c r="CM851" s="2" t="n">
        <v>0</v>
      </c>
      <c r="CN851" s="2" t="n">
        <v>0</v>
      </c>
      <c r="CO851" s="2" t="n">
        <v>0</v>
      </c>
      <c r="CP851" s="2" t="n">
        <v>0</v>
      </c>
      <c r="CQ851" s="2" t="n">
        <v>0</v>
      </c>
      <c r="CR851" s="2" t="n">
        <v>0</v>
      </c>
      <c r="CS851" s="2" t="n">
        <v>0</v>
      </c>
      <c r="CT851" s="2" t="n">
        <v>0</v>
      </c>
      <c r="CU851" s="2" t="n">
        <v>0</v>
      </c>
      <c r="CV851" s="2" t="n">
        <v>0</v>
      </c>
      <c r="CW851" s="2" t="n">
        <v>0</v>
      </c>
      <c r="CX851" s="2" t="n">
        <v>0</v>
      </c>
      <c r="CY851" s="2" t="n">
        <v>0</v>
      </c>
      <c r="CZ851" s="2" t="n">
        <v>0</v>
      </c>
      <c r="DA851" s="2" t="n">
        <v>0</v>
      </c>
      <c r="DB851" s="2" t="n">
        <v>0</v>
      </c>
      <c r="DC851" s="2" t="n">
        <v>0</v>
      </c>
      <c r="DD851" s="2" t="n">
        <v>7.49</v>
      </c>
      <c r="DE851" s="2" t="n">
        <v>9.6</v>
      </c>
      <c r="DF851" s="2" t="n">
        <v>0</v>
      </c>
      <c r="DG851" s="2" t="n">
        <v>15.71</v>
      </c>
      <c r="DH851" s="2" t="n">
        <v>17.85</v>
      </c>
      <c r="DI851" s="2" t="n">
        <v>0</v>
      </c>
      <c r="DJ851" s="2" t="n">
        <v>26.39</v>
      </c>
      <c r="DK851" s="2" t="n">
        <v>28.5</v>
      </c>
      <c r="DL851" s="2" t="n">
        <v>0</v>
      </c>
      <c r="DM851" s="2" t="n">
        <v>36.13</v>
      </c>
      <c r="DN851" s="2" t="n">
        <v>38.25</v>
      </c>
      <c r="DO851" s="2" t="n">
        <v>0</v>
      </c>
      <c r="DP851" s="2" t="n">
        <v>45.85</v>
      </c>
      <c r="DQ851" s="2" t="n">
        <v>48.04</v>
      </c>
      <c r="DR851" s="2" t="n">
        <v>0</v>
      </c>
      <c r="DS851" s="2" t="n">
        <v>55.92</v>
      </c>
      <c r="DT851" s="2" t="n">
        <v>57.97</v>
      </c>
      <c r="DU851" s="2" t="n">
        <v>0</v>
      </c>
      <c r="DV851" s="2" t="n">
        <v>64.14</v>
      </c>
      <c r="DW851" s="2" t="n">
        <v>66.20999999999999</v>
      </c>
      <c r="DX851" s="2" t="n">
        <v>0</v>
      </c>
      <c r="DY851" s="2" t="n">
        <v>72.79000000000001</v>
      </c>
      <c r="DZ851" s="2" t="n">
        <v>75.18000000000001</v>
      </c>
      <c r="EA851" s="2" t="n">
        <v>0</v>
      </c>
      <c r="EB851" s="2" t="n">
        <v>80.93000000000001</v>
      </c>
      <c r="EC851" s="2" t="n">
        <v>84.2</v>
      </c>
      <c r="ED851" s="2" t="n">
        <v>0</v>
      </c>
      <c r="EE851" s="2" t="n">
        <v>87.59</v>
      </c>
      <c r="EF851" s="2" t="n">
        <v>90.55</v>
      </c>
      <c r="EG851" s="2" t="n">
        <v>0</v>
      </c>
      <c r="EH851" s="2" t="n">
        <v>96.19</v>
      </c>
      <c r="EI851" s="2" t="n">
        <v>98.68000000000001</v>
      </c>
      <c r="EJ851" s="2" t="n">
        <v>0</v>
      </c>
      <c r="EK851" s="2" t="n">
        <v>100</v>
      </c>
      <c r="EL851" s="2" t="n">
        <v>100</v>
      </c>
      <c r="EM851" s="2" t="n">
        <v>0</v>
      </c>
      <c r="EN851" s="2" t="n">
        <v>100</v>
      </c>
      <c r="EO851" s="2" t="n">
        <v>100</v>
      </c>
      <c r="EP851" s="2" t="n">
        <v>0</v>
      </c>
      <c r="EQ851" s="2" t="n">
        <v>100</v>
      </c>
      <c r="ER851" s="2" t="n">
        <v>100</v>
      </c>
      <c r="ES851" s="2" t="n">
        <v>0</v>
      </c>
    </row>
    <row r="852">
      <c r="A852" s="2" t="n">
        <v>3</v>
      </c>
      <c r="B852" s="2" t="inlineStr">
        <is>
          <t>34.03.01</t>
        </is>
      </c>
      <c r="C852" s="2" t="inlineStr">
        <is>
          <t>Cuba simples de embutir, em aço inox escovado 56x34x18cm, Mekal CS-2</t>
        </is>
      </c>
      <c r="D852" s="2" t="inlineStr">
        <is>
          <t>01/03/2028</t>
        </is>
      </c>
      <c r="E852" s="2" t="inlineStr">
        <is>
          <t>05/02/2029</t>
        </is>
      </c>
      <c r="F852" s="2" t="n">
        <v>44550</v>
      </c>
      <c r="G852" s="2" t="n">
        <v>0</v>
      </c>
      <c r="H852" s="2" t="n">
        <v>44550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0</v>
      </c>
      <c r="AL852" s="2" t="n">
        <v>0</v>
      </c>
      <c r="AM852" s="2" t="n">
        <v>0</v>
      </c>
      <c r="AN852" s="2" t="n">
        <v>0</v>
      </c>
      <c r="AO852" s="2" t="n">
        <v>0</v>
      </c>
      <c r="AP852" s="2" t="n">
        <v>0</v>
      </c>
      <c r="AQ852" s="2" t="n">
        <v>0</v>
      </c>
      <c r="AR852" s="2" t="n">
        <v>0</v>
      </c>
      <c r="AS852" s="2" t="n">
        <v>0</v>
      </c>
      <c r="AT852" s="2" t="n">
        <v>0</v>
      </c>
      <c r="AU852" s="2" t="n">
        <v>0</v>
      </c>
      <c r="AV852" s="2" t="n">
        <v>0</v>
      </c>
      <c r="AW852" s="2" t="n">
        <v>0</v>
      </c>
      <c r="AX852" s="2" t="n">
        <v>0</v>
      </c>
      <c r="AY852" s="2" t="n">
        <v>0</v>
      </c>
      <c r="AZ852" s="2" t="n">
        <v>0</v>
      </c>
      <c r="BA852" s="2" t="n">
        <v>0</v>
      </c>
      <c r="BB852" s="2" t="n">
        <v>0</v>
      </c>
      <c r="BC852" s="2" t="n">
        <v>0</v>
      </c>
      <c r="BD852" s="2" t="n">
        <v>0</v>
      </c>
      <c r="BE852" s="2" t="n">
        <v>0</v>
      </c>
      <c r="BF852" s="2" t="n">
        <v>0</v>
      </c>
      <c r="BG852" s="2" t="n">
        <v>0</v>
      </c>
      <c r="BH852" s="2" t="n">
        <v>0</v>
      </c>
      <c r="BI852" s="2" t="n">
        <v>0</v>
      </c>
      <c r="BJ852" s="2" t="n">
        <v>0</v>
      </c>
      <c r="BK852" s="2" t="n">
        <v>0</v>
      </c>
      <c r="BL852" s="2" t="n">
        <v>0</v>
      </c>
      <c r="BM852" s="2" t="n">
        <v>0</v>
      </c>
      <c r="BN852" s="2" t="n">
        <v>0</v>
      </c>
      <c r="BO852" s="2" t="n">
        <v>0</v>
      </c>
      <c r="BP852" s="2" t="n">
        <v>0</v>
      </c>
      <c r="BQ852" s="2" t="n">
        <v>0</v>
      </c>
      <c r="BR852" s="2" t="n">
        <v>0</v>
      </c>
      <c r="BS852" s="2" t="n">
        <v>0</v>
      </c>
      <c r="BT852" s="2" t="n">
        <v>0</v>
      </c>
      <c r="BU852" s="2" t="n">
        <v>0</v>
      </c>
      <c r="BV852" s="2" t="n">
        <v>0</v>
      </c>
      <c r="BW852" s="2" t="n">
        <v>0</v>
      </c>
      <c r="BX852" s="2" t="n">
        <v>0</v>
      </c>
      <c r="BY852" s="2" t="n">
        <v>0</v>
      </c>
      <c r="BZ852" s="2" t="n">
        <v>0</v>
      </c>
      <c r="CA852" s="2" t="n">
        <v>0</v>
      </c>
      <c r="CB852" s="2" t="n">
        <v>0</v>
      </c>
      <c r="CC852" s="2" t="n">
        <v>0</v>
      </c>
      <c r="CD852" s="2" t="n">
        <v>0</v>
      </c>
      <c r="CE852" s="2" t="n">
        <v>0</v>
      </c>
      <c r="CF852" s="2" t="n">
        <v>0</v>
      </c>
      <c r="CG852" s="2" t="n">
        <v>0</v>
      </c>
      <c r="CH852" s="2" t="n">
        <v>0</v>
      </c>
      <c r="CI852" s="2" t="n">
        <v>0</v>
      </c>
      <c r="CJ852" s="2" t="n">
        <v>0</v>
      </c>
      <c r="CK852" s="2" t="n">
        <v>0</v>
      </c>
      <c r="CL852" s="2" t="n">
        <v>0</v>
      </c>
      <c r="CM852" s="2" t="n">
        <v>0</v>
      </c>
      <c r="CN852" s="2" t="n">
        <v>0</v>
      </c>
      <c r="CO852" s="2" t="n">
        <v>0</v>
      </c>
      <c r="CP852" s="2" t="n">
        <v>0</v>
      </c>
      <c r="CQ852" s="2" t="n">
        <v>0</v>
      </c>
      <c r="CR852" s="2" t="n">
        <v>0</v>
      </c>
      <c r="CS852" s="2" t="n">
        <v>0</v>
      </c>
      <c r="CT852" s="2" t="n">
        <v>0</v>
      </c>
      <c r="CU852" s="2" t="n">
        <v>0</v>
      </c>
      <c r="CV852" s="2" t="n">
        <v>0</v>
      </c>
      <c r="CW852" s="2" t="n">
        <v>0</v>
      </c>
      <c r="CX852" s="2" t="n">
        <v>0</v>
      </c>
      <c r="CY852" s="2" t="n">
        <v>0</v>
      </c>
      <c r="CZ852" s="2" t="n">
        <v>0</v>
      </c>
      <c r="DA852" s="2" t="n">
        <v>0</v>
      </c>
      <c r="DB852" s="2" t="n">
        <v>0</v>
      </c>
      <c r="DC852" s="2" t="n">
        <v>0</v>
      </c>
      <c r="DD852" s="2" t="n">
        <v>7.49</v>
      </c>
      <c r="DE852" s="2" t="n">
        <v>9.6</v>
      </c>
      <c r="DF852" s="2" t="n">
        <v>0</v>
      </c>
      <c r="DG852" s="2" t="n">
        <v>15.71</v>
      </c>
      <c r="DH852" s="2" t="n">
        <v>17.85</v>
      </c>
      <c r="DI852" s="2" t="n">
        <v>0</v>
      </c>
      <c r="DJ852" s="2" t="n">
        <v>26.39</v>
      </c>
      <c r="DK852" s="2" t="n">
        <v>28.5</v>
      </c>
      <c r="DL852" s="2" t="n">
        <v>0</v>
      </c>
      <c r="DM852" s="2" t="n">
        <v>36.13</v>
      </c>
      <c r="DN852" s="2" t="n">
        <v>38.25</v>
      </c>
      <c r="DO852" s="2" t="n">
        <v>0</v>
      </c>
      <c r="DP852" s="2" t="n">
        <v>45.85</v>
      </c>
      <c r="DQ852" s="2" t="n">
        <v>48.04</v>
      </c>
      <c r="DR852" s="2" t="n">
        <v>0</v>
      </c>
      <c r="DS852" s="2" t="n">
        <v>55.92</v>
      </c>
      <c r="DT852" s="2" t="n">
        <v>57.97</v>
      </c>
      <c r="DU852" s="2" t="n">
        <v>0</v>
      </c>
      <c r="DV852" s="2" t="n">
        <v>64.14</v>
      </c>
      <c r="DW852" s="2" t="n">
        <v>66.20999999999999</v>
      </c>
      <c r="DX852" s="2" t="n">
        <v>0</v>
      </c>
      <c r="DY852" s="2" t="n">
        <v>72.79000000000001</v>
      </c>
      <c r="DZ852" s="2" t="n">
        <v>75.18000000000001</v>
      </c>
      <c r="EA852" s="2" t="n">
        <v>0</v>
      </c>
      <c r="EB852" s="2" t="n">
        <v>80.93000000000001</v>
      </c>
      <c r="EC852" s="2" t="n">
        <v>84.2</v>
      </c>
      <c r="ED852" s="2" t="n">
        <v>0</v>
      </c>
      <c r="EE852" s="2" t="n">
        <v>87.59</v>
      </c>
      <c r="EF852" s="2" t="n">
        <v>90.55</v>
      </c>
      <c r="EG852" s="2" t="n">
        <v>0</v>
      </c>
      <c r="EH852" s="2" t="n">
        <v>96.19</v>
      </c>
      <c r="EI852" s="2" t="n">
        <v>98.68000000000001</v>
      </c>
      <c r="EJ852" s="2" t="n">
        <v>0</v>
      </c>
      <c r="EK852" s="2" t="n">
        <v>100</v>
      </c>
      <c r="EL852" s="2" t="n">
        <v>100</v>
      </c>
      <c r="EM852" s="2" t="n">
        <v>0</v>
      </c>
      <c r="EN852" s="2" t="n">
        <v>100</v>
      </c>
      <c r="EO852" s="2" t="n">
        <v>100</v>
      </c>
      <c r="EP852" s="2" t="n">
        <v>0</v>
      </c>
      <c r="EQ852" s="2" t="n">
        <v>100</v>
      </c>
      <c r="ER852" s="2" t="n">
        <v>100</v>
      </c>
      <c r="ES852" s="2" t="n">
        <v>0</v>
      </c>
    </row>
    <row r="853">
      <c r="A853" s="2" t="n">
        <v>3</v>
      </c>
      <c r="B853" s="2" t="inlineStr">
        <is>
          <t>34.03.02</t>
        </is>
      </c>
      <c r="C853" s="2" t="inlineStr">
        <is>
          <t>Cuba de aço inox a definir (Copa SS)</t>
        </is>
      </c>
      <c r="D853" s="2" t="inlineStr">
        <is>
          <t>01/03/2028</t>
        </is>
      </c>
      <c r="E853" s="2" t="inlineStr">
        <is>
          <t>05/02/2029</t>
        </is>
      </c>
      <c r="F853" s="2" t="n">
        <v>450</v>
      </c>
      <c r="G853" s="2" t="n">
        <v>0</v>
      </c>
      <c r="H853" s="2" t="n">
        <v>450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0</v>
      </c>
      <c r="AM853" s="2" t="n">
        <v>0</v>
      </c>
      <c r="AN853" s="2" t="n">
        <v>0</v>
      </c>
      <c r="AO853" s="2" t="n">
        <v>0</v>
      </c>
      <c r="AP853" s="2" t="n">
        <v>0</v>
      </c>
      <c r="AQ853" s="2" t="n">
        <v>0</v>
      </c>
      <c r="AR853" s="2" t="n">
        <v>0</v>
      </c>
      <c r="AS853" s="2" t="n">
        <v>0</v>
      </c>
      <c r="AT853" s="2" t="n">
        <v>0</v>
      </c>
      <c r="AU853" s="2" t="n">
        <v>0</v>
      </c>
      <c r="AV853" s="2" t="n">
        <v>0</v>
      </c>
      <c r="AW853" s="2" t="n">
        <v>0</v>
      </c>
      <c r="AX853" s="2" t="n">
        <v>0</v>
      </c>
      <c r="AY853" s="2" t="n">
        <v>0</v>
      </c>
      <c r="AZ853" s="2" t="n">
        <v>0</v>
      </c>
      <c r="BA853" s="2" t="n">
        <v>0</v>
      </c>
      <c r="BB853" s="2" t="n">
        <v>0</v>
      </c>
      <c r="BC853" s="2" t="n">
        <v>0</v>
      </c>
      <c r="BD853" s="2" t="n">
        <v>0</v>
      </c>
      <c r="BE853" s="2" t="n">
        <v>0</v>
      </c>
      <c r="BF853" s="2" t="n">
        <v>0</v>
      </c>
      <c r="BG853" s="2" t="n">
        <v>0</v>
      </c>
      <c r="BH853" s="2" t="n">
        <v>0</v>
      </c>
      <c r="BI853" s="2" t="n">
        <v>0</v>
      </c>
      <c r="BJ853" s="2" t="n">
        <v>0</v>
      </c>
      <c r="BK853" s="2" t="n">
        <v>0</v>
      </c>
      <c r="BL853" s="2" t="n">
        <v>0</v>
      </c>
      <c r="BM853" s="2" t="n">
        <v>0</v>
      </c>
      <c r="BN853" s="2" t="n">
        <v>0</v>
      </c>
      <c r="BO853" s="2" t="n">
        <v>0</v>
      </c>
      <c r="BP853" s="2" t="n">
        <v>0</v>
      </c>
      <c r="BQ853" s="2" t="n">
        <v>0</v>
      </c>
      <c r="BR853" s="2" t="n">
        <v>0</v>
      </c>
      <c r="BS853" s="2" t="n">
        <v>0</v>
      </c>
      <c r="BT853" s="2" t="n">
        <v>0</v>
      </c>
      <c r="BU853" s="2" t="n">
        <v>0</v>
      </c>
      <c r="BV853" s="2" t="n">
        <v>0</v>
      </c>
      <c r="BW853" s="2" t="n">
        <v>0</v>
      </c>
      <c r="BX853" s="2" t="n">
        <v>0</v>
      </c>
      <c r="BY853" s="2" t="n">
        <v>0</v>
      </c>
      <c r="BZ853" s="2" t="n">
        <v>0</v>
      </c>
      <c r="CA853" s="2" t="n">
        <v>0</v>
      </c>
      <c r="CB853" s="2" t="n">
        <v>0</v>
      </c>
      <c r="CC853" s="2" t="n">
        <v>0</v>
      </c>
      <c r="CD853" s="2" t="n">
        <v>0</v>
      </c>
      <c r="CE853" s="2" t="n">
        <v>0</v>
      </c>
      <c r="CF853" s="2" t="n">
        <v>0</v>
      </c>
      <c r="CG853" s="2" t="n">
        <v>0</v>
      </c>
      <c r="CH853" s="2" t="n">
        <v>0</v>
      </c>
      <c r="CI853" s="2" t="n">
        <v>0</v>
      </c>
      <c r="CJ853" s="2" t="n">
        <v>0</v>
      </c>
      <c r="CK853" s="2" t="n">
        <v>0</v>
      </c>
      <c r="CL853" s="2" t="n">
        <v>0</v>
      </c>
      <c r="CM853" s="2" t="n">
        <v>0</v>
      </c>
      <c r="CN853" s="2" t="n">
        <v>0</v>
      </c>
      <c r="CO853" s="2" t="n">
        <v>0</v>
      </c>
      <c r="CP853" s="2" t="n">
        <v>0</v>
      </c>
      <c r="CQ853" s="2" t="n">
        <v>0</v>
      </c>
      <c r="CR853" s="2" t="n">
        <v>0</v>
      </c>
      <c r="CS853" s="2" t="n">
        <v>0</v>
      </c>
      <c r="CT853" s="2" t="n">
        <v>0</v>
      </c>
      <c r="CU853" s="2" t="n">
        <v>0</v>
      </c>
      <c r="CV853" s="2" t="n">
        <v>0</v>
      </c>
      <c r="CW853" s="2" t="n">
        <v>0</v>
      </c>
      <c r="CX853" s="2" t="n">
        <v>0</v>
      </c>
      <c r="CY853" s="2" t="n">
        <v>0</v>
      </c>
      <c r="CZ853" s="2" t="n">
        <v>0</v>
      </c>
      <c r="DA853" s="2" t="n">
        <v>0</v>
      </c>
      <c r="DB853" s="2" t="n">
        <v>0</v>
      </c>
      <c r="DC853" s="2" t="n">
        <v>0</v>
      </c>
      <c r="DD853" s="2" t="n">
        <v>7.49</v>
      </c>
      <c r="DE853" s="2" t="n">
        <v>9.6</v>
      </c>
      <c r="DF853" s="2" t="n">
        <v>0</v>
      </c>
      <c r="DG853" s="2" t="n">
        <v>15.71</v>
      </c>
      <c r="DH853" s="2" t="n">
        <v>17.85</v>
      </c>
      <c r="DI853" s="2" t="n">
        <v>0</v>
      </c>
      <c r="DJ853" s="2" t="n">
        <v>26.39</v>
      </c>
      <c r="DK853" s="2" t="n">
        <v>28.5</v>
      </c>
      <c r="DL853" s="2" t="n">
        <v>0</v>
      </c>
      <c r="DM853" s="2" t="n">
        <v>36.13</v>
      </c>
      <c r="DN853" s="2" t="n">
        <v>38.25</v>
      </c>
      <c r="DO853" s="2" t="n">
        <v>0</v>
      </c>
      <c r="DP853" s="2" t="n">
        <v>45.85</v>
      </c>
      <c r="DQ853" s="2" t="n">
        <v>48.04</v>
      </c>
      <c r="DR853" s="2" t="n">
        <v>0</v>
      </c>
      <c r="DS853" s="2" t="n">
        <v>55.92</v>
      </c>
      <c r="DT853" s="2" t="n">
        <v>57.97</v>
      </c>
      <c r="DU853" s="2" t="n">
        <v>0</v>
      </c>
      <c r="DV853" s="2" t="n">
        <v>64.14</v>
      </c>
      <c r="DW853" s="2" t="n">
        <v>66.20999999999999</v>
      </c>
      <c r="DX853" s="2" t="n">
        <v>0</v>
      </c>
      <c r="DY853" s="2" t="n">
        <v>72.79000000000001</v>
      </c>
      <c r="DZ853" s="2" t="n">
        <v>75.18000000000001</v>
      </c>
      <c r="EA853" s="2" t="n">
        <v>0</v>
      </c>
      <c r="EB853" s="2" t="n">
        <v>80.93000000000001</v>
      </c>
      <c r="EC853" s="2" t="n">
        <v>84.2</v>
      </c>
      <c r="ED853" s="2" t="n">
        <v>0</v>
      </c>
      <c r="EE853" s="2" t="n">
        <v>87.59</v>
      </c>
      <c r="EF853" s="2" t="n">
        <v>90.55</v>
      </c>
      <c r="EG853" s="2" t="n">
        <v>0</v>
      </c>
      <c r="EH853" s="2" t="n">
        <v>96.19</v>
      </c>
      <c r="EI853" s="2" t="n">
        <v>98.68000000000001</v>
      </c>
      <c r="EJ853" s="2" t="n">
        <v>0</v>
      </c>
      <c r="EK853" s="2" t="n">
        <v>100</v>
      </c>
      <c r="EL853" s="2" t="n">
        <v>100</v>
      </c>
      <c r="EM853" s="2" t="n">
        <v>0</v>
      </c>
      <c r="EN853" s="2" t="n">
        <v>100</v>
      </c>
      <c r="EO853" s="2" t="n">
        <v>100</v>
      </c>
      <c r="EP853" s="2" t="n">
        <v>0</v>
      </c>
      <c r="EQ853" s="2" t="n">
        <v>100</v>
      </c>
      <c r="ER853" s="2" t="n">
        <v>100</v>
      </c>
      <c r="ES853" s="2" t="n">
        <v>0</v>
      </c>
    </row>
    <row r="854">
      <c r="A854" s="2" t="n">
        <v>3</v>
      </c>
      <c r="B854" s="2" t="inlineStr">
        <is>
          <t>34.03.03</t>
        </is>
      </c>
      <c r="C854" s="2" t="inlineStr">
        <is>
          <t>Cuba Inox Mekal Retta LR-50 R10 Cód.: 01035516; Ralo Quadrado Elegance 17,5x17,5cm Escovado Mozaik Cód.: RBLE1520;</t>
        </is>
      </c>
      <c r="D854" s="2" t="inlineStr">
        <is>
          <t>01/03/2028</t>
        </is>
      </c>
      <c r="E854" s="2" t="inlineStr">
        <is>
          <t>05/02/2029</t>
        </is>
      </c>
      <c r="F854" s="2" t="n">
        <v>13225</v>
      </c>
      <c r="G854" s="2" t="n">
        <v>0</v>
      </c>
      <c r="H854" s="2" t="n">
        <v>13225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0</v>
      </c>
      <c r="AL854" s="2" t="n">
        <v>0</v>
      </c>
      <c r="AM854" s="2" t="n">
        <v>0</v>
      </c>
      <c r="AN854" s="2" t="n">
        <v>0</v>
      </c>
      <c r="AO854" s="2" t="n">
        <v>0</v>
      </c>
      <c r="AP854" s="2" t="n">
        <v>0</v>
      </c>
      <c r="AQ854" s="2" t="n">
        <v>0</v>
      </c>
      <c r="AR854" s="2" t="n">
        <v>0</v>
      </c>
      <c r="AS854" s="2" t="n">
        <v>0</v>
      </c>
      <c r="AT854" s="2" t="n">
        <v>0</v>
      </c>
      <c r="AU854" s="2" t="n">
        <v>0</v>
      </c>
      <c r="AV854" s="2" t="n">
        <v>0</v>
      </c>
      <c r="AW854" s="2" t="n">
        <v>0</v>
      </c>
      <c r="AX854" s="2" t="n">
        <v>0</v>
      </c>
      <c r="AY854" s="2" t="n">
        <v>0</v>
      </c>
      <c r="AZ854" s="2" t="n">
        <v>0</v>
      </c>
      <c r="BA854" s="2" t="n">
        <v>0</v>
      </c>
      <c r="BB854" s="2" t="n">
        <v>0</v>
      </c>
      <c r="BC854" s="2" t="n">
        <v>0</v>
      </c>
      <c r="BD854" s="2" t="n">
        <v>0</v>
      </c>
      <c r="BE854" s="2" t="n">
        <v>0</v>
      </c>
      <c r="BF854" s="2" t="n">
        <v>0</v>
      </c>
      <c r="BG854" s="2" t="n">
        <v>0</v>
      </c>
      <c r="BH854" s="2" t="n">
        <v>0</v>
      </c>
      <c r="BI854" s="2" t="n">
        <v>0</v>
      </c>
      <c r="BJ854" s="2" t="n">
        <v>0</v>
      </c>
      <c r="BK854" s="2" t="n">
        <v>0</v>
      </c>
      <c r="BL854" s="2" t="n">
        <v>0</v>
      </c>
      <c r="BM854" s="2" t="n">
        <v>0</v>
      </c>
      <c r="BN854" s="2" t="n">
        <v>0</v>
      </c>
      <c r="BO854" s="2" t="n">
        <v>0</v>
      </c>
      <c r="BP854" s="2" t="n">
        <v>0</v>
      </c>
      <c r="BQ854" s="2" t="n">
        <v>0</v>
      </c>
      <c r="BR854" s="2" t="n">
        <v>0</v>
      </c>
      <c r="BS854" s="2" t="n">
        <v>0</v>
      </c>
      <c r="BT854" s="2" t="n">
        <v>0</v>
      </c>
      <c r="BU854" s="2" t="n">
        <v>0</v>
      </c>
      <c r="BV854" s="2" t="n">
        <v>0</v>
      </c>
      <c r="BW854" s="2" t="n">
        <v>0</v>
      </c>
      <c r="BX854" s="2" t="n">
        <v>0</v>
      </c>
      <c r="BY854" s="2" t="n">
        <v>0</v>
      </c>
      <c r="BZ854" s="2" t="n">
        <v>0</v>
      </c>
      <c r="CA854" s="2" t="n">
        <v>0</v>
      </c>
      <c r="CB854" s="2" t="n">
        <v>0</v>
      </c>
      <c r="CC854" s="2" t="n">
        <v>0</v>
      </c>
      <c r="CD854" s="2" t="n">
        <v>0</v>
      </c>
      <c r="CE854" s="2" t="n">
        <v>0</v>
      </c>
      <c r="CF854" s="2" t="n">
        <v>0</v>
      </c>
      <c r="CG854" s="2" t="n">
        <v>0</v>
      </c>
      <c r="CH854" s="2" t="n">
        <v>0</v>
      </c>
      <c r="CI854" s="2" t="n">
        <v>0</v>
      </c>
      <c r="CJ854" s="2" t="n">
        <v>0</v>
      </c>
      <c r="CK854" s="2" t="n">
        <v>0</v>
      </c>
      <c r="CL854" s="2" t="n">
        <v>0</v>
      </c>
      <c r="CM854" s="2" t="n">
        <v>0</v>
      </c>
      <c r="CN854" s="2" t="n">
        <v>0</v>
      </c>
      <c r="CO854" s="2" t="n">
        <v>0</v>
      </c>
      <c r="CP854" s="2" t="n">
        <v>0</v>
      </c>
      <c r="CQ854" s="2" t="n">
        <v>0</v>
      </c>
      <c r="CR854" s="2" t="n">
        <v>0</v>
      </c>
      <c r="CS854" s="2" t="n">
        <v>0</v>
      </c>
      <c r="CT854" s="2" t="n">
        <v>0</v>
      </c>
      <c r="CU854" s="2" t="n">
        <v>0</v>
      </c>
      <c r="CV854" s="2" t="n">
        <v>0</v>
      </c>
      <c r="CW854" s="2" t="n">
        <v>0</v>
      </c>
      <c r="CX854" s="2" t="n">
        <v>0</v>
      </c>
      <c r="CY854" s="2" t="n">
        <v>0</v>
      </c>
      <c r="CZ854" s="2" t="n">
        <v>0</v>
      </c>
      <c r="DA854" s="2" t="n">
        <v>0</v>
      </c>
      <c r="DB854" s="2" t="n">
        <v>0</v>
      </c>
      <c r="DC854" s="2" t="n">
        <v>0</v>
      </c>
      <c r="DD854" s="2" t="n">
        <v>7.49</v>
      </c>
      <c r="DE854" s="2" t="n">
        <v>9.6</v>
      </c>
      <c r="DF854" s="2" t="n">
        <v>0</v>
      </c>
      <c r="DG854" s="2" t="n">
        <v>15.71</v>
      </c>
      <c r="DH854" s="2" t="n">
        <v>17.85</v>
      </c>
      <c r="DI854" s="2" t="n">
        <v>0</v>
      </c>
      <c r="DJ854" s="2" t="n">
        <v>26.39</v>
      </c>
      <c r="DK854" s="2" t="n">
        <v>28.5</v>
      </c>
      <c r="DL854" s="2" t="n">
        <v>0</v>
      </c>
      <c r="DM854" s="2" t="n">
        <v>36.13</v>
      </c>
      <c r="DN854" s="2" t="n">
        <v>38.25</v>
      </c>
      <c r="DO854" s="2" t="n">
        <v>0</v>
      </c>
      <c r="DP854" s="2" t="n">
        <v>45.85</v>
      </c>
      <c r="DQ854" s="2" t="n">
        <v>48.04</v>
      </c>
      <c r="DR854" s="2" t="n">
        <v>0</v>
      </c>
      <c r="DS854" s="2" t="n">
        <v>55.92</v>
      </c>
      <c r="DT854" s="2" t="n">
        <v>57.97</v>
      </c>
      <c r="DU854" s="2" t="n">
        <v>0</v>
      </c>
      <c r="DV854" s="2" t="n">
        <v>64.14</v>
      </c>
      <c r="DW854" s="2" t="n">
        <v>66.20999999999999</v>
      </c>
      <c r="DX854" s="2" t="n">
        <v>0</v>
      </c>
      <c r="DY854" s="2" t="n">
        <v>72.79000000000001</v>
      </c>
      <c r="DZ854" s="2" t="n">
        <v>75.18000000000001</v>
      </c>
      <c r="EA854" s="2" t="n">
        <v>0</v>
      </c>
      <c r="EB854" s="2" t="n">
        <v>80.93000000000001</v>
      </c>
      <c r="EC854" s="2" t="n">
        <v>84.2</v>
      </c>
      <c r="ED854" s="2" t="n">
        <v>0</v>
      </c>
      <c r="EE854" s="2" t="n">
        <v>87.59</v>
      </c>
      <c r="EF854" s="2" t="n">
        <v>90.55</v>
      </c>
      <c r="EG854" s="2" t="n">
        <v>0</v>
      </c>
      <c r="EH854" s="2" t="n">
        <v>96.19</v>
      </c>
      <c r="EI854" s="2" t="n">
        <v>98.68000000000001</v>
      </c>
      <c r="EJ854" s="2" t="n">
        <v>0</v>
      </c>
      <c r="EK854" s="2" t="n">
        <v>100</v>
      </c>
      <c r="EL854" s="2" t="n">
        <v>100</v>
      </c>
      <c r="EM854" s="2" t="n">
        <v>0</v>
      </c>
      <c r="EN854" s="2" t="n">
        <v>100</v>
      </c>
      <c r="EO854" s="2" t="n">
        <v>100</v>
      </c>
      <c r="EP854" s="2" t="n">
        <v>0</v>
      </c>
      <c r="EQ854" s="2" t="n">
        <v>100</v>
      </c>
      <c r="ER854" s="2" t="n">
        <v>100</v>
      </c>
      <c r="ES854" s="2" t="n">
        <v>0</v>
      </c>
    </row>
    <row r="855">
      <c r="A855" s="2" t="n">
        <v>3</v>
      </c>
      <c r="B855" s="2" t="inlineStr">
        <is>
          <t>34.03.04</t>
        </is>
      </c>
      <c r="C855" s="2" t="inlineStr">
        <is>
          <t>Torneira de mesa bica móvel 90°, ref.: Deca Link 1166.C.LNK, cromado</t>
        </is>
      </c>
      <c r="D855" s="2" t="inlineStr">
        <is>
          <t>01/03/2028</t>
        </is>
      </c>
      <c r="E855" s="2" t="inlineStr">
        <is>
          <t>05/02/2029</t>
        </is>
      </c>
      <c r="F855" s="2" t="n">
        <v>51039.46774099395</v>
      </c>
      <c r="G855" s="2" t="n">
        <v>0</v>
      </c>
      <c r="H855" s="2" t="n">
        <v>51039.46774099395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0</v>
      </c>
      <c r="AM855" s="2" t="n">
        <v>0</v>
      </c>
      <c r="AN855" s="2" t="n">
        <v>0</v>
      </c>
      <c r="AO855" s="2" t="n">
        <v>0</v>
      </c>
      <c r="AP855" s="2" t="n">
        <v>0</v>
      </c>
      <c r="AQ855" s="2" t="n">
        <v>0</v>
      </c>
      <c r="AR855" s="2" t="n">
        <v>0</v>
      </c>
      <c r="AS855" s="2" t="n">
        <v>0</v>
      </c>
      <c r="AT855" s="2" t="n">
        <v>0</v>
      </c>
      <c r="AU855" s="2" t="n">
        <v>0</v>
      </c>
      <c r="AV855" s="2" t="n">
        <v>0</v>
      </c>
      <c r="AW855" s="2" t="n">
        <v>0</v>
      </c>
      <c r="AX855" s="2" t="n">
        <v>0</v>
      </c>
      <c r="AY855" s="2" t="n">
        <v>0</v>
      </c>
      <c r="AZ855" s="2" t="n">
        <v>0</v>
      </c>
      <c r="BA855" s="2" t="n">
        <v>0</v>
      </c>
      <c r="BB855" s="2" t="n">
        <v>0</v>
      </c>
      <c r="BC855" s="2" t="n">
        <v>0</v>
      </c>
      <c r="BD855" s="2" t="n">
        <v>0</v>
      </c>
      <c r="BE855" s="2" t="n">
        <v>0</v>
      </c>
      <c r="BF855" s="2" t="n">
        <v>0</v>
      </c>
      <c r="BG855" s="2" t="n">
        <v>0</v>
      </c>
      <c r="BH855" s="2" t="n">
        <v>0</v>
      </c>
      <c r="BI855" s="2" t="n">
        <v>0</v>
      </c>
      <c r="BJ855" s="2" t="n">
        <v>0</v>
      </c>
      <c r="BK855" s="2" t="n">
        <v>0</v>
      </c>
      <c r="BL855" s="2" t="n">
        <v>0</v>
      </c>
      <c r="BM855" s="2" t="n">
        <v>0</v>
      </c>
      <c r="BN855" s="2" t="n">
        <v>0</v>
      </c>
      <c r="BO855" s="2" t="n">
        <v>0</v>
      </c>
      <c r="BP855" s="2" t="n">
        <v>0</v>
      </c>
      <c r="BQ855" s="2" t="n">
        <v>0</v>
      </c>
      <c r="BR855" s="2" t="n">
        <v>0</v>
      </c>
      <c r="BS855" s="2" t="n">
        <v>0</v>
      </c>
      <c r="BT855" s="2" t="n">
        <v>0</v>
      </c>
      <c r="BU855" s="2" t="n">
        <v>0</v>
      </c>
      <c r="BV855" s="2" t="n">
        <v>0</v>
      </c>
      <c r="BW855" s="2" t="n">
        <v>0</v>
      </c>
      <c r="BX855" s="2" t="n">
        <v>0</v>
      </c>
      <c r="BY855" s="2" t="n">
        <v>0</v>
      </c>
      <c r="BZ855" s="2" t="n">
        <v>0</v>
      </c>
      <c r="CA855" s="2" t="n">
        <v>0</v>
      </c>
      <c r="CB855" s="2" t="n">
        <v>0</v>
      </c>
      <c r="CC855" s="2" t="n">
        <v>0</v>
      </c>
      <c r="CD855" s="2" t="n">
        <v>0</v>
      </c>
      <c r="CE855" s="2" t="n">
        <v>0</v>
      </c>
      <c r="CF855" s="2" t="n">
        <v>0</v>
      </c>
      <c r="CG855" s="2" t="n">
        <v>0</v>
      </c>
      <c r="CH855" s="2" t="n">
        <v>0</v>
      </c>
      <c r="CI855" s="2" t="n">
        <v>0</v>
      </c>
      <c r="CJ855" s="2" t="n">
        <v>0</v>
      </c>
      <c r="CK855" s="2" t="n">
        <v>0</v>
      </c>
      <c r="CL855" s="2" t="n">
        <v>0</v>
      </c>
      <c r="CM855" s="2" t="n">
        <v>0</v>
      </c>
      <c r="CN855" s="2" t="n">
        <v>0</v>
      </c>
      <c r="CO855" s="2" t="n">
        <v>0</v>
      </c>
      <c r="CP855" s="2" t="n">
        <v>0</v>
      </c>
      <c r="CQ855" s="2" t="n">
        <v>0</v>
      </c>
      <c r="CR855" s="2" t="n">
        <v>0</v>
      </c>
      <c r="CS855" s="2" t="n">
        <v>0</v>
      </c>
      <c r="CT855" s="2" t="n">
        <v>0</v>
      </c>
      <c r="CU855" s="2" t="n">
        <v>0</v>
      </c>
      <c r="CV855" s="2" t="n">
        <v>0</v>
      </c>
      <c r="CW855" s="2" t="n">
        <v>0</v>
      </c>
      <c r="CX855" s="2" t="n">
        <v>0</v>
      </c>
      <c r="CY855" s="2" t="n">
        <v>0</v>
      </c>
      <c r="CZ855" s="2" t="n">
        <v>0</v>
      </c>
      <c r="DA855" s="2" t="n">
        <v>0</v>
      </c>
      <c r="DB855" s="2" t="n">
        <v>0</v>
      </c>
      <c r="DC855" s="2" t="n">
        <v>0</v>
      </c>
      <c r="DD855" s="2" t="n">
        <v>7.49</v>
      </c>
      <c r="DE855" s="2" t="n">
        <v>9.6</v>
      </c>
      <c r="DF855" s="2" t="n">
        <v>0</v>
      </c>
      <c r="DG855" s="2" t="n">
        <v>15.71</v>
      </c>
      <c r="DH855" s="2" t="n">
        <v>17.85</v>
      </c>
      <c r="DI855" s="2" t="n">
        <v>0</v>
      </c>
      <c r="DJ855" s="2" t="n">
        <v>26.39</v>
      </c>
      <c r="DK855" s="2" t="n">
        <v>28.5</v>
      </c>
      <c r="DL855" s="2" t="n">
        <v>0</v>
      </c>
      <c r="DM855" s="2" t="n">
        <v>36.13</v>
      </c>
      <c r="DN855" s="2" t="n">
        <v>38.25</v>
      </c>
      <c r="DO855" s="2" t="n">
        <v>0</v>
      </c>
      <c r="DP855" s="2" t="n">
        <v>45.85</v>
      </c>
      <c r="DQ855" s="2" t="n">
        <v>48.04</v>
      </c>
      <c r="DR855" s="2" t="n">
        <v>0</v>
      </c>
      <c r="DS855" s="2" t="n">
        <v>55.92</v>
      </c>
      <c r="DT855" s="2" t="n">
        <v>57.97</v>
      </c>
      <c r="DU855" s="2" t="n">
        <v>0</v>
      </c>
      <c r="DV855" s="2" t="n">
        <v>64.14</v>
      </c>
      <c r="DW855" s="2" t="n">
        <v>66.20999999999999</v>
      </c>
      <c r="DX855" s="2" t="n">
        <v>0</v>
      </c>
      <c r="DY855" s="2" t="n">
        <v>72.79000000000001</v>
      </c>
      <c r="DZ855" s="2" t="n">
        <v>75.18000000000001</v>
      </c>
      <c r="EA855" s="2" t="n">
        <v>0</v>
      </c>
      <c r="EB855" s="2" t="n">
        <v>80.93000000000001</v>
      </c>
      <c r="EC855" s="2" t="n">
        <v>84.2</v>
      </c>
      <c r="ED855" s="2" t="n">
        <v>0</v>
      </c>
      <c r="EE855" s="2" t="n">
        <v>87.59</v>
      </c>
      <c r="EF855" s="2" t="n">
        <v>90.55</v>
      </c>
      <c r="EG855" s="2" t="n">
        <v>0</v>
      </c>
      <c r="EH855" s="2" t="n">
        <v>96.19</v>
      </c>
      <c r="EI855" s="2" t="n">
        <v>98.68000000000001</v>
      </c>
      <c r="EJ855" s="2" t="n">
        <v>0</v>
      </c>
      <c r="EK855" s="2" t="n">
        <v>100</v>
      </c>
      <c r="EL855" s="2" t="n">
        <v>100</v>
      </c>
      <c r="EM855" s="2" t="n">
        <v>0</v>
      </c>
      <c r="EN855" s="2" t="n">
        <v>100</v>
      </c>
      <c r="EO855" s="2" t="n">
        <v>100</v>
      </c>
      <c r="EP855" s="2" t="n">
        <v>0</v>
      </c>
      <c r="EQ855" s="2" t="n">
        <v>100</v>
      </c>
      <c r="ER855" s="2" t="n">
        <v>100</v>
      </c>
      <c r="ES855" s="2" t="n">
        <v>0</v>
      </c>
    </row>
    <row r="856">
      <c r="A856" s="2" t="n">
        <v>3</v>
      </c>
      <c r="B856" s="2" t="inlineStr">
        <is>
          <t>34.03.05</t>
        </is>
      </c>
      <c r="C856" s="2" t="inlineStr">
        <is>
          <t>Torneira cromada para pia de cozinha (Copa SS)</t>
        </is>
      </c>
      <c r="D856" s="2" t="inlineStr">
        <is>
          <t>01/03/2028</t>
        </is>
      </c>
      <c r="E856" s="2" t="inlineStr">
        <is>
          <t>05/02/2029</t>
        </is>
      </c>
      <c r="F856" s="2" t="n">
        <v>415.5501792019591</v>
      </c>
      <c r="G856" s="2" t="n">
        <v>0</v>
      </c>
      <c r="H856" s="2" t="n">
        <v>415.5501792019591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0</v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0</v>
      </c>
      <c r="AL856" s="2" t="n">
        <v>0</v>
      </c>
      <c r="AM856" s="2" t="n">
        <v>0</v>
      </c>
      <c r="AN856" s="2" t="n">
        <v>0</v>
      </c>
      <c r="AO856" s="2" t="n">
        <v>0</v>
      </c>
      <c r="AP856" s="2" t="n">
        <v>0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 t="n">
        <v>0</v>
      </c>
      <c r="AX856" s="2" t="n">
        <v>0</v>
      </c>
      <c r="AY856" s="2" t="n">
        <v>0</v>
      </c>
      <c r="AZ856" s="2" t="n">
        <v>0</v>
      </c>
      <c r="BA856" s="2" t="n">
        <v>0</v>
      </c>
      <c r="BB856" s="2" t="n">
        <v>0</v>
      </c>
      <c r="BC856" s="2" t="n">
        <v>0</v>
      </c>
      <c r="BD856" s="2" t="n">
        <v>0</v>
      </c>
      <c r="BE856" s="2" t="n">
        <v>0</v>
      </c>
      <c r="BF856" s="2" t="n">
        <v>0</v>
      </c>
      <c r="BG856" s="2" t="n">
        <v>0</v>
      </c>
      <c r="BH856" s="2" t="n">
        <v>0</v>
      </c>
      <c r="BI856" s="2" t="n">
        <v>0</v>
      </c>
      <c r="BJ856" s="2" t="n">
        <v>0</v>
      </c>
      <c r="BK856" s="2" t="n">
        <v>0</v>
      </c>
      <c r="BL856" s="2" t="n">
        <v>0</v>
      </c>
      <c r="BM856" s="2" t="n">
        <v>0</v>
      </c>
      <c r="BN856" s="2" t="n">
        <v>0</v>
      </c>
      <c r="BO856" s="2" t="n">
        <v>0</v>
      </c>
      <c r="BP856" s="2" t="n">
        <v>0</v>
      </c>
      <c r="BQ856" s="2" t="n">
        <v>0</v>
      </c>
      <c r="BR856" s="2" t="n">
        <v>0</v>
      </c>
      <c r="BS856" s="2" t="n">
        <v>0</v>
      </c>
      <c r="BT856" s="2" t="n">
        <v>0</v>
      </c>
      <c r="BU856" s="2" t="n">
        <v>0</v>
      </c>
      <c r="BV856" s="2" t="n">
        <v>0</v>
      </c>
      <c r="BW856" s="2" t="n">
        <v>0</v>
      </c>
      <c r="BX856" s="2" t="n">
        <v>0</v>
      </c>
      <c r="BY856" s="2" t="n">
        <v>0</v>
      </c>
      <c r="BZ856" s="2" t="n">
        <v>0</v>
      </c>
      <c r="CA856" s="2" t="n">
        <v>0</v>
      </c>
      <c r="CB856" s="2" t="n">
        <v>0</v>
      </c>
      <c r="CC856" s="2" t="n">
        <v>0</v>
      </c>
      <c r="CD856" s="2" t="n">
        <v>0</v>
      </c>
      <c r="CE856" s="2" t="n">
        <v>0</v>
      </c>
      <c r="CF856" s="2" t="n">
        <v>0</v>
      </c>
      <c r="CG856" s="2" t="n">
        <v>0</v>
      </c>
      <c r="CH856" s="2" t="n">
        <v>0</v>
      </c>
      <c r="CI856" s="2" t="n">
        <v>0</v>
      </c>
      <c r="CJ856" s="2" t="n">
        <v>0</v>
      </c>
      <c r="CK856" s="2" t="n">
        <v>0</v>
      </c>
      <c r="CL856" s="2" t="n">
        <v>0</v>
      </c>
      <c r="CM856" s="2" t="n">
        <v>0</v>
      </c>
      <c r="CN856" s="2" t="n">
        <v>0</v>
      </c>
      <c r="CO856" s="2" t="n">
        <v>0</v>
      </c>
      <c r="CP856" s="2" t="n">
        <v>0</v>
      </c>
      <c r="CQ856" s="2" t="n">
        <v>0</v>
      </c>
      <c r="CR856" s="2" t="n">
        <v>0</v>
      </c>
      <c r="CS856" s="2" t="n">
        <v>0</v>
      </c>
      <c r="CT856" s="2" t="n">
        <v>0</v>
      </c>
      <c r="CU856" s="2" t="n">
        <v>0</v>
      </c>
      <c r="CV856" s="2" t="n">
        <v>0</v>
      </c>
      <c r="CW856" s="2" t="n">
        <v>0</v>
      </c>
      <c r="CX856" s="2" t="n">
        <v>0</v>
      </c>
      <c r="CY856" s="2" t="n">
        <v>0</v>
      </c>
      <c r="CZ856" s="2" t="n">
        <v>0</v>
      </c>
      <c r="DA856" s="2" t="n">
        <v>0</v>
      </c>
      <c r="DB856" s="2" t="n">
        <v>0</v>
      </c>
      <c r="DC856" s="2" t="n">
        <v>0</v>
      </c>
      <c r="DD856" s="2" t="n">
        <v>7.49</v>
      </c>
      <c r="DE856" s="2" t="n">
        <v>9.6</v>
      </c>
      <c r="DF856" s="2" t="n">
        <v>0</v>
      </c>
      <c r="DG856" s="2" t="n">
        <v>15.71</v>
      </c>
      <c r="DH856" s="2" t="n">
        <v>17.85</v>
      </c>
      <c r="DI856" s="2" t="n">
        <v>0</v>
      </c>
      <c r="DJ856" s="2" t="n">
        <v>26.39</v>
      </c>
      <c r="DK856" s="2" t="n">
        <v>28.5</v>
      </c>
      <c r="DL856" s="2" t="n">
        <v>0</v>
      </c>
      <c r="DM856" s="2" t="n">
        <v>36.13</v>
      </c>
      <c r="DN856" s="2" t="n">
        <v>38.25</v>
      </c>
      <c r="DO856" s="2" t="n">
        <v>0</v>
      </c>
      <c r="DP856" s="2" t="n">
        <v>45.85</v>
      </c>
      <c r="DQ856" s="2" t="n">
        <v>48.04</v>
      </c>
      <c r="DR856" s="2" t="n">
        <v>0</v>
      </c>
      <c r="DS856" s="2" t="n">
        <v>55.92</v>
      </c>
      <c r="DT856" s="2" t="n">
        <v>57.97</v>
      </c>
      <c r="DU856" s="2" t="n">
        <v>0</v>
      </c>
      <c r="DV856" s="2" t="n">
        <v>64.14</v>
      </c>
      <c r="DW856" s="2" t="n">
        <v>66.20999999999999</v>
      </c>
      <c r="DX856" s="2" t="n">
        <v>0</v>
      </c>
      <c r="DY856" s="2" t="n">
        <v>72.79000000000001</v>
      </c>
      <c r="DZ856" s="2" t="n">
        <v>75.18000000000001</v>
      </c>
      <c r="EA856" s="2" t="n">
        <v>0</v>
      </c>
      <c r="EB856" s="2" t="n">
        <v>80.93000000000001</v>
      </c>
      <c r="EC856" s="2" t="n">
        <v>84.2</v>
      </c>
      <c r="ED856" s="2" t="n">
        <v>0</v>
      </c>
      <c r="EE856" s="2" t="n">
        <v>87.59</v>
      </c>
      <c r="EF856" s="2" t="n">
        <v>90.55</v>
      </c>
      <c r="EG856" s="2" t="n">
        <v>0</v>
      </c>
      <c r="EH856" s="2" t="n">
        <v>96.19</v>
      </c>
      <c r="EI856" s="2" t="n">
        <v>98.68000000000001</v>
      </c>
      <c r="EJ856" s="2" t="n">
        <v>0</v>
      </c>
      <c r="EK856" s="2" t="n">
        <v>100</v>
      </c>
      <c r="EL856" s="2" t="n">
        <v>100</v>
      </c>
      <c r="EM856" s="2" t="n">
        <v>0</v>
      </c>
      <c r="EN856" s="2" t="n">
        <v>100</v>
      </c>
      <c r="EO856" s="2" t="n">
        <v>100</v>
      </c>
      <c r="EP856" s="2" t="n">
        <v>0</v>
      </c>
      <c r="EQ856" s="2" t="n">
        <v>100</v>
      </c>
      <c r="ER856" s="2" t="n">
        <v>100</v>
      </c>
      <c r="ES856" s="2" t="n">
        <v>0</v>
      </c>
    </row>
    <row r="857">
      <c r="A857" s="2" t="n">
        <v>3</v>
      </c>
      <c r="B857" s="2" t="inlineStr">
        <is>
          <t>34.03.06</t>
        </is>
      </c>
      <c r="C857" s="2" t="inlineStr">
        <is>
          <t>Torneira bica alta de mesa para cozinha Docol Doc cromado/preto Cód.: 00738957</t>
        </is>
      </c>
      <c r="D857" s="2" t="inlineStr">
        <is>
          <t>01/03/2028</t>
        </is>
      </c>
      <c r="E857" s="2" t="inlineStr">
        <is>
          <t>05/02/2029</t>
        </is>
      </c>
      <c r="F857" s="2" t="n">
        <v>7535</v>
      </c>
      <c r="G857" s="2" t="n">
        <v>0</v>
      </c>
      <c r="H857" s="2" t="n">
        <v>7535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0</v>
      </c>
      <c r="AL857" s="2" t="n">
        <v>0</v>
      </c>
      <c r="AM857" s="2" t="n">
        <v>0</v>
      </c>
      <c r="AN857" s="2" t="n">
        <v>0</v>
      </c>
      <c r="AO857" s="2" t="n">
        <v>0</v>
      </c>
      <c r="AP857" s="2" t="n">
        <v>0</v>
      </c>
      <c r="AQ857" s="2" t="n">
        <v>0</v>
      </c>
      <c r="AR857" s="2" t="n">
        <v>0</v>
      </c>
      <c r="AS857" s="2" t="n">
        <v>0</v>
      </c>
      <c r="AT857" s="2" t="n">
        <v>0</v>
      </c>
      <c r="AU857" s="2" t="n">
        <v>0</v>
      </c>
      <c r="AV857" s="2" t="n">
        <v>0</v>
      </c>
      <c r="AW857" s="2" t="n">
        <v>0</v>
      </c>
      <c r="AX857" s="2" t="n">
        <v>0</v>
      </c>
      <c r="AY857" s="2" t="n">
        <v>0</v>
      </c>
      <c r="AZ857" s="2" t="n">
        <v>0</v>
      </c>
      <c r="BA857" s="2" t="n">
        <v>0</v>
      </c>
      <c r="BB857" s="2" t="n">
        <v>0</v>
      </c>
      <c r="BC857" s="2" t="n">
        <v>0</v>
      </c>
      <c r="BD857" s="2" t="n">
        <v>0</v>
      </c>
      <c r="BE857" s="2" t="n">
        <v>0</v>
      </c>
      <c r="BF857" s="2" t="n">
        <v>0</v>
      </c>
      <c r="BG857" s="2" t="n">
        <v>0</v>
      </c>
      <c r="BH857" s="2" t="n">
        <v>0</v>
      </c>
      <c r="BI857" s="2" t="n">
        <v>0</v>
      </c>
      <c r="BJ857" s="2" t="n">
        <v>0</v>
      </c>
      <c r="BK857" s="2" t="n">
        <v>0</v>
      </c>
      <c r="BL857" s="2" t="n">
        <v>0</v>
      </c>
      <c r="BM857" s="2" t="n">
        <v>0</v>
      </c>
      <c r="BN857" s="2" t="n">
        <v>0</v>
      </c>
      <c r="BO857" s="2" t="n">
        <v>0</v>
      </c>
      <c r="BP857" s="2" t="n">
        <v>0</v>
      </c>
      <c r="BQ857" s="2" t="n">
        <v>0</v>
      </c>
      <c r="BR857" s="2" t="n">
        <v>0</v>
      </c>
      <c r="BS857" s="2" t="n">
        <v>0</v>
      </c>
      <c r="BT857" s="2" t="n">
        <v>0</v>
      </c>
      <c r="BU857" s="2" t="n">
        <v>0</v>
      </c>
      <c r="BV857" s="2" t="n">
        <v>0</v>
      </c>
      <c r="BW857" s="2" t="n">
        <v>0</v>
      </c>
      <c r="BX857" s="2" t="n">
        <v>0</v>
      </c>
      <c r="BY857" s="2" t="n">
        <v>0</v>
      </c>
      <c r="BZ857" s="2" t="n">
        <v>0</v>
      </c>
      <c r="CA857" s="2" t="n">
        <v>0</v>
      </c>
      <c r="CB857" s="2" t="n">
        <v>0</v>
      </c>
      <c r="CC857" s="2" t="n">
        <v>0</v>
      </c>
      <c r="CD857" s="2" t="n">
        <v>0</v>
      </c>
      <c r="CE857" s="2" t="n">
        <v>0</v>
      </c>
      <c r="CF857" s="2" t="n">
        <v>0</v>
      </c>
      <c r="CG857" s="2" t="n">
        <v>0</v>
      </c>
      <c r="CH857" s="2" t="n">
        <v>0</v>
      </c>
      <c r="CI857" s="2" t="n">
        <v>0</v>
      </c>
      <c r="CJ857" s="2" t="n">
        <v>0</v>
      </c>
      <c r="CK857" s="2" t="n">
        <v>0</v>
      </c>
      <c r="CL857" s="2" t="n">
        <v>0</v>
      </c>
      <c r="CM857" s="2" t="n">
        <v>0</v>
      </c>
      <c r="CN857" s="2" t="n">
        <v>0</v>
      </c>
      <c r="CO857" s="2" t="n">
        <v>0</v>
      </c>
      <c r="CP857" s="2" t="n">
        <v>0</v>
      </c>
      <c r="CQ857" s="2" t="n">
        <v>0</v>
      </c>
      <c r="CR857" s="2" t="n">
        <v>0</v>
      </c>
      <c r="CS857" s="2" t="n">
        <v>0</v>
      </c>
      <c r="CT857" s="2" t="n">
        <v>0</v>
      </c>
      <c r="CU857" s="2" t="n">
        <v>0</v>
      </c>
      <c r="CV857" s="2" t="n">
        <v>0</v>
      </c>
      <c r="CW857" s="2" t="n">
        <v>0</v>
      </c>
      <c r="CX857" s="2" t="n">
        <v>0</v>
      </c>
      <c r="CY857" s="2" t="n">
        <v>0</v>
      </c>
      <c r="CZ857" s="2" t="n">
        <v>0</v>
      </c>
      <c r="DA857" s="2" t="n">
        <v>0</v>
      </c>
      <c r="DB857" s="2" t="n">
        <v>0</v>
      </c>
      <c r="DC857" s="2" t="n">
        <v>0</v>
      </c>
      <c r="DD857" s="2" t="n">
        <v>7.49</v>
      </c>
      <c r="DE857" s="2" t="n">
        <v>9.6</v>
      </c>
      <c r="DF857" s="2" t="n">
        <v>0</v>
      </c>
      <c r="DG857" s="2" t="n">
        <v>15.71</v>
      </c>
      <c r="DH857" s="2" t="n">
        <v>17.85</v>
      </c>
      <c r="DI857" s="2" t="n">
        <v>0</v>
      </c>
      <c r="DJ857" s="2" t="n">
        <v>26.39</v>
      </c>
      <c r="DK857" s="2" t="n">
        <v>28.5</v>
      </c>
      <c r="DL857" s="2" t="n">
        <v>0</v>
      </c>
      <c r="DM857" s="2" t="n">
        <v>36.13</v>
      </c>
      <c r="DN857" s="2" t="n">
        <v>38.25</v>
      </c>
      <c r="DO857" s="2" t="n">
        <v>0</v>
      </c>
      <c r="DP857" s="2" t="n">
        <v>45.85</v>
      </c>
      <c r="DQ857" s="2" t="n">
        <v>48.04</v>
      </c>
      <c r="DR857" s="2" t="n">
        <v>0</v>
      </c>
      <c r="DS857" s="2" t="n">
        <v>55.92</v>
      </c>
      <c r="DT857" s="2" t="n">
        <v>57.97</v>
      </c>
      <c r="DU857" s="2" t="n">
        <v>0</v>
      </c>
      <c r="DV857" s="2" t="n">
        <v>64.14</v>
      </c>
      <c r="DW857" s="2" t="n">
        <v>66.20999999999999</v>
      </c>
      <c r="DX857" s="2" t="n">
        <v>0</v>
      </c>
      <c r="DY857" s="2" t="n">
        <v>72.79000000000001</v>
      </c>
      <c r="DZ857" s="2" t="n">
        <v>75.18000000000001</v>
      </c>
      <c r="EA857" s="2" t="n">
        <v>0</v>
      </c>
      <c r="EB857" s="2" t="n">
        <v>80.93000000000001</v>
      </c>
      <c r="EC857" s="2" t="n">
        <v>84.2</v>
      </c>
      <c r="ED857" s="2" t="n">
        <v>0</v>
      </c>
      <c r="EE857" s="2" t="n">
        <v>87.59</v>
      </c>
      <c r="EF857" s="2" t="n">
        <v>90.55</v>
      </c>
      <c r="EG857" s="2" t="n">
        <v>0</v>
      </c>
      <c r="EH857" s="2" t="n">
        <v>96.19</v>
      </c>
      <c r="EI857" s="2" t="n">
        <v>98.68000000000001</v>
      </c>
      <c r="EJ857" s="2" t="n">
        <v>0</v>
      </c>
      <c r="EK857" s="2" t="n">
        <v>100</v>
      </c>
      <c r="EL857" s="2" t="n">
        <v>100</v>
      </c>
      <c r="EM857" s="2" t="n">
        <v>0</v>
      </c>
      <c r="EN857" s="2" t="n">
        <v>100</v>
      </c>
      <c r="EO857" s="2" t="n">
        <v>100</v>
      </c>
      <c r="EP857" s="2" t="n">
        <v>0</v>
      </c>
      <c r="EQ857" s="2" t="n">
        <v>100</v>
      </c>
      <c r="ER857" s="2" t="n">
        <v>100</v>
      </c>
      <c r="ES857" s="2" t="n">
        <v>0</v>
      </c>
    </row>
    <row r="858">
      <c r="A858" s="2" t="n">
        <v>3</v>
      </c>
      <c r="B858" s="2" t="inlineStr">
        <is>
          <t>34.03.07</t>
        </is>
      </c>
      <c r="C858" s="2" t="inlineStr">
        <is>
          <t>Ligação flexível cromada 40cm</t>
        </is>
      </c>
      <c r="D858" s="2" t="inlineStr">
        <is>
          <t>01/03/2028</t>
        </is>
      </c>
      <c r="E858" s="2" t="inlineStr">
        <is>
          <t>05/02/2029</t>
        </is>
      </c>
      <c r="F858" s="2" t="n">
        <v>3627.768816205702</v>
      </c>
      <c r="G858" s="2" t="n">
        <v>0</v>
      </c>
      <c r="H858" s="2" t="n">
        <v>3627.768816205702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0</v>
      </c>
      <c r="AM858" s="2" t="n">
        <v>0</v>
      </c>
      <c r="AN858" s="2" t="n">
        <v>0</v>
      </c>
      <c r="AO858" s="2" t="n">
        <v>0</v>
      </c>
      <c r="AP858" s="2" t="n">
        <v>0</v>
      </c>
      <c r="AQ858" s="2" t="n">
        <v>0</v>
      </c>
      <c r="AR858" s="2" t="n">
        <v>0</v>
      </c>
      <c r="AS858" s="2" t="n">
        <v>0</v>
      </c>
      <c r="AT858" s="2" t="n">
        <v>0</v>
      </c>
      <c r="AU858" s="2" t="n">
        <v>0</v>
      </c>
      <c r="AV858" s="2" t="n">
        <v>0</v>
      </c>
      <c r="AW858" s="2" t="n">
        <v>0</v>
      </c>
      <c r="AX858" s="2" t="n">
        <v>0</v>
      </c>
      <c r="AY858" s="2" t="n">
        <v>0</v>
      </c>
      <c r="AZ858" s="2" t="n">
        <v>0</v>
      </c>
      <c r="BA858" s="2" t="n">
        <v>0</v>
      </c>
      <c r="BB858" s="2" t="n">
        <v>0</v>
      </c>
      <c r="BC858" s="2" t="n">
        <v>0</v>
      </c>
      <c r="BD858" s="2" t="n">
        <v>0</v>
      </c>
      <c r="BE858" s="2" t="n">
        <v>0</v>
      </c>
      <c r="BF858" s="2" t="n">
        <v>0</v>
      </c>
      <c r="BG858" s="2" t="n">
        <v>0</v>
      </c>
      <c r="BH858" s="2" t="n">
        <v>0</v>
      </c>
      <c r="BI858" s="2" t="n">
        <v>0</v>
      </c>
      <c r="BJ858" s="2" t="n">
        <v>0</v>
      </c>
      <c r="BK858" s="2" t="n">
        <v>0</v>
      </c>
      <c r="BL858" s="2" t="n">
        <v>0</v>
      </c>
      <c r="BM858" s="2" t="n">
        <v>0</v>
      </c>
      <c r="BN858" s="2" t="n">
        <v>0</v>
      </c>
      <c r="BO858" s="2" t="n">
        <v>0</v>
      </c>
      <c r="BP858" s="2" t="n">
        <v>0</v>
      </c>
      <c r="BQ858" s="2" t="n">
        <v>0</v>
      </c>
      <c r="BR858" s="2" t="n">
        <v>0</v>
      </c>
      <c r="BS858" s="2" t="n">
        <v>0</v>
      </c>
      <c r="BT858" s="2" t="n">
        <v>0</v>
      </c>
      <c r="BU858" s="2" t="n">
        <v>0</v>
      </c>
      <c r="BV858" s="2" t="n">
        <v>0</v>
      </c>
      <c r="BW858" s="2" t="n">
        <v>0</v>
      </c>
      <c r="BX858" s="2" t="n">
        <v>0</v>
      </c>
      <c r="BY858" s="2" t="n">
        <v>0</v>
      </c>
      <c r="BZ858" s="2" t="n">
        <v>0</v>
      </c>
      <c r="CA858" s="2" t="n">
        <v>0</v>
      </c>
      <c r="CB858" s="2" t="n">
        <v>0</v>
      </c>
      <c r="CC858" s="2" t="n">
        <v>0</v>
      </c>
      <c r="CD858" s="2" t="n">
        <v>0</v>
      </c>
      <c r="CE858" s="2" t="n">
        <v>0</v>
      </c>
      <c r="CF858" s="2" t="n">
        <v>0</v>
      </c>
      <c r="CG858" s="2" t="n">
        <v>0</v>
      </c>
      <c r="CH858" s="2" t="n">
        <v>0</v>
      </c>
      <c r="CI858" s="2" t="n">
        <v>0</v>
      </c>
      <c r="CJ858" s="2" t="n">
        <v>0</v>
      </c>
      <c r="CK858" s="2" t="n">
        <v>0</v>
      </c>
      <c r="CL858" s="2" t="n">
        <v>0</v>
      </c>
      <c r="CM858" s="2" t="n">
        <v>0</v>
      </c>
      <c r="CN858" s="2" t="n">
        <v>0</v>
      </c>
      <c r="CO858" s="2" t="n">
        <v>0</v>
      </c>
      <c r="CP858" s="2" t="n">
        <v>0</v>
      </c>
      <c r="CQ858" s="2" t="n">
        <v>0</v>
      </c>
      <c r="CR858" s="2" t="n">
        <v>0</v>
      </c>
      <c r="CS858" s="2" t="n">
        <v>0</v>
      </c>
      <c r="CT858" s="2" t="n">
        <v>0</v>
      </c>
      <c r="CU858" s="2" t="n">
        <v>0</v>
      </c>
      <c r="CV858" s="2" t="n">
        <v>0</v>
      </c>
      <c r="CW858" s="2" t="n">
        <v>0</v>
      </c>
      <c r="CX858" s="2" t="n">
        <v>0</v>
      </c>
      <c r="CY858" s="2" t="n">
        <v>0</v>
      </c>
      <c r="CZ858" s="2" t="n">
        <v>0</v>
      </c>
      <c r="DA858" s="2" t="n">
        <v>0</v>
      </c>
      <c r="DB858" s="2" t="n">
        <v>0</v>
      </c>
      <c r="DC858" s="2" t="n">
        <v>0</v>
      </c>
      <c r="DD858" s="2" t="n">
        <v>7.49</v>
      </c>
      <c r="DE858" s="2" t="n">
        <v>9.6</v>
      </c>
      <c r="DF858" s="2" t="n">
        <v>0</v>
      </c>
      <c r="DG858" s="2" t="n">
        <v>15.71</v>
      </c>
      <c r="DH858" s="2" t="n">
        <v>17.85</v>
      </c>
      <c r="DI858" s="2" t="n">
        <v>0</v>
      </c>
      <c r="DJ858" s="2" t="n">
        <v>26.39</v>
      </c>
      <c r="DK858" s="2" t="n">
        <v>28.5</v>
      </c>
      <c r="DL858" s="2" t="n">
        <v>0</v>
      </c>
      <c r="DM858" s="2" t="n">
        <v>36.13</v>
      </c>
      <c r="DN858" s="2" t="n">
        <v>38.25</v>
      </c>
      <c r="DO858" s="2" t="n">
        <v>0</v>
      </c>
      <c r="DP858" s="2" t="n">
        <v>45.85</v>
      </c>
      <c r="DQ858" s="2" t="n">
        <v>48.04</v>
      </c>
      <c r="DR858" s="2" t="n">
        <v>0</v>
      </c>
      <c r="DS858" s="2" t="n">
        <v>55.92</v>
      </c>
      <c r="DT858" s="2" t="n">
        <v>57.97</v>
      </c>
      <c r="DU858" s="2" t="n">
        <v>0</v>
      </c>
      <c r="DV858" s="2" t="n">
        <v>64.14</v>
      </c>
      <c r="DW858" s="2" t="n">
        <v>66.20999999999999</v>
      </c>
      <c r="DX858" s="2" t="n">
        <v>0</v>
      </c>
      <c r="DY858" s="2" t="n">
        <v>72.79000000000001</v>
      </c>
      <c r="DZ858" s="2" t="n">
        <v>75.18000000000001</v>
      </c>
      <c r="EA858" s="2" t="n">
        <v>0</v>
      </c>
      <c r="EB858" s="2" t="n">
        <v>80.93000000000001</v>
      </c>
      <c r="EC858" s="2" t="n">
        <v>84.2</v>
      </c>
      <c r="ED858" s="2" t="n">
        <v>0</v>
      </c>
      <c r="EE858" s="2" t="n">
        <v>87.59</v>
      </c>
      <c r="EF858" s="2" t="n">
        <v>90.55</v>
      </c>
      <c r="EG858" s="2" t="n">
        <v>0</v>
      </c>
      <c r="EH858" s="2" t="n">
        <v>96.19</v>
      </c>
      <c r="EI858" s="2" t="n">
        <v>98.68000000000001</v>
      </c>
      <c r="EJ858" s="2" t="n">
        <v>0</v>
      </c>
      <c r="EK858" s="2" t="n">
        <v>100</v>
      </c>
      <c r="EL858" s="2" t="n">
        <v>100</v>
      </c>
      <c r="EM858" s="2" t="n">
        <v>0</v>
      </c>
      <c r="EN858" s="2" t="n">
        <v>100</v>
      </c>
      <c r="EO858" s="2" t="n">
        <v>100</v>
      </c>
      <c r="EP858" s="2" t="n">
        <v>0</v>
      </c>
      <c r="EQ858" s="2" t="n">
        <v>100</v>
      </c>
      <c r="ER858" s="2" t="n">
        <v>100</v>
      </c>
      <c r="ES858" s="2" t="n">
        <v>0</v>
      </c>
    </row>
    <row r="859">
      <c r="A859" s="2" t="n">
        <v>3</v>
      </c>
      <c r="B859" s="2" t="inlineStr">
        <is>
          <t>34.03.08</t>
        </is>
      </c>
      <c r="C859" s="2" t="inlineStr">
        <is>
          <t>Válvula de aço inox para pia americana</t>
        </is>
      </c>
      <c r="D859" s="2" t="inlineStr">
        <is>
          <t>01/03/2028</t>
        </is>
      </c>
      <c r="E859" s="2" t="inlineStr">
        <is>
          <t>05/02/2029</t>
        </is>
      </c>
      <c r="F859" s="2" t="n">
        <v>8562.768816205702</v>
      </c>
      <c r="G859" s="2" t="n">
        <v>0</v>
      </c>
      <c r="H859" s="2" t="n">
        <v>8562.768816205702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0</v>
      </c>
      <c r="AM859" s="2" t="n">
        <v>0</v>
      </c>
      <c r="AN859" s="2" t="n">
        <v>0</v>
      </c>
      <c r="AO859" s="2" t="n">
        <v>0</v>
      </c>
      <c r="AP859" s="2" t="n">
        <v>0</v>
      </c>
      <c r="AQ859" s="2" t="n">
        <v>0</v>
      </c>
      <c r="AR859" s="2" t="n">
        <v>0</v>
      </c>
      <c r="AS859" s="2" t="n">
        <v>0</v>
      </c>
      <c r="AT859" s="2" t="n">
        <v>0</v>
      </c>
      <c r="AU859" s="2" t="n">
        <v>0</v>
      </c>
      <c r="AV859" s="2" t="n">
        <v>0</v>
      </c>
      <c r="AW859" s="2" t="n">
        <v>0</v>
      </c>
      <c r="AX859" s="2" t="n">
        <v>0</v>
      </c>
      <c r="AY859" s="2" t="n">
        <v>0</v>
      </c>
      <c r="AZ859" s="2" t="n">
        <v>0</v>
      </c>
      <c r="BA859" s="2" t="n">
        <v>0</v>
      </c>
      <c r="BB859" s="2" t="n">
        <v>0</v>
      </c>
      <c r="BC859" s="2" t="n">
        <v>0</v>
      </c>
      <c r="BD859" s="2" t="n">
        <v>0</v>
      </c>
      <c r="BE859" s="2" t="n">
        <v>0</v>
      </c>
      <c r="BF859" s="2" t="n">
        <v>0</v>
      </c>
      <c r="BG859" s="2" t="n">
        <v>0</v>
      </c>
      <c r="BH859" s="2" t="n">
        <v>0</v>
      </c>
      <c r="BI859" s="2" t="n">
        <v>0</v>
      </c>
      <c r="BJ859" s="2" t="n">
        <v>0</v>
      </c>
      <c r="BK859" s="2" t="n">
        <v>0</v>
      </c>
      <c r="BL859" s="2" t="n">
        <v>0</v>
      </c>
      <c r="BM859" s="2" t="n">
        <v>0</v>
      </c>
      <c r="BN859" s="2" t="n">
        <v>0</v>
      </c>
      <c r="BO859" s="2" t="n">
        <v>0</v>
      </c>
      <c r="BP859" s="2" t="n">
        <v>0</v>
      </c>
      <c r="BQ859" s="2" t="n">
        <v>0</v>
      </c>
      <c r="BR859" s="2" t="n">
        <v>0</v>
      </c>
      <c r="BS859" s="2" t="n">
        <v>0</v>
      </c>
      <c r="BT859" s="2" t="n">
        <v>0</v>
      </c>
      <c r="BU859" s="2" t="n">
        <v>0</v>
      </c>
      <c r="BV859" s="2" t="n">
        <v>0</v>
      </c>
      <c r="BW859" s="2" t="n">
        <v>0</v>
      </c>
      <c r="BX859" s="2" t="n">
        <v>0</v>
      </c>
      <c r="BY859" s="2" t="n">
        <v>0</v>
      </c>
      <c r="BZ859" s="2" t="n">
        <v>0</v>
      </c>
      <c r="CA859" s="2" t="n">
        <v>0</v>
      </c>
      <c r="CB859" s="2" t="n">
        <v>0</v>
      </c>
      <c r="CC859" s="2" t="n">
        <v>0</v>
      </c>
      <c r="CD859" s="2" t="n">
        <v>0</v>
      </c>
      <c r="CE859" s="2" t="n">
        <v>0</v>
      </c>
      <c r="CF859" s="2" t="n">
        <v>0</v>
      </c>
      <c r="CG859" s="2" t="n">
        <v>0</v>
      </c>
      <c r="CH859" s="2" t="n">
        <v>0</v>
      </c>
      <c r="CI859" s="2" t="n">
        <v>0</v>
      </c>
      <c r="CJ859" s="2" t="n">
        <v>0</v>
      </c>
      <c r="CK859" s="2" t="n">
        <v>0</v>
      </c>
      <c r="CL859" s="2" t="n">
        <v>0</v>
      </c>
      <c r="CM859" s="2" t="n">
        <v>0</v>
      </c>
      <c r="CN859" s="2" t="n">
        <v>0</v>
      </c>
      <c r="CO859" s="2" t="n">
        <v>0</v>
      </c>
      <c r="CP859" s="2" t="n">
        <v>0</v>
      </c>
      <c r="CQ859" s="2" t="n">
        <v>0</v>
      </c>
      <c r="CR859" s="2" t="n">
        <v>0</v>
      </c>
      <c r="CS859" s="2" t="n">
        <v>0</v>
      </c>
      <c r="CT859" s="2" t="n">
        <v>0</v>
      </c>
      <c r="CU859" s="2" t="n">
        <v>0</v>
      </c>
      <c r="CV859" s="2" t="n">
        <v>0</v>
      </c>
      <c r="CW859" s="2" t="n">
        <v>0</v>
      </c>
      <c r="CX859" s="2" t="n">
        <v>0</v>
      </c>
      <c r="CY859" s="2" t="n">
        <v>0</v>
      </c>
      <c r="CZ859" s="2" t="n">
        <v>0</v>
      </c>
      <c r="DA859" s="2" t="n">
        <v>0</v>
      </c>
      <c r="DB859" s="2" t="n">
        <v>0</v>
      </c>
      <c r="DC859" s="2" t="n">
        <v>0</v>
      </c>
      <c r="DD859" s="2" t="n">
        <v>7.49</v>
      </c>
      <c r="DE859" s="2" t="n">
        <v>9.6</v>
      </c>
      <c r="DF859" s="2" t="n">
        <v>0</v>
      </c>
      <c r="DG859" s="2" t="n">
        <v>15.71</v>
      </c>
      <c r="DH859" s="2" t="n">
        <v>17.85</v>
      </c>
      <c r="DI859" s="2" t="n">
        <v>0</v>
      </c>
      <c r="DJ859" s="2" t="n">
        <v>26.39</v>
      </c>
      <c r="DK859" s="2" t="n">
        <v>28.5</v>
      </c>
      <c r="DL859" s="2" t="n">
        <v>0</v>
      </c>
      <c r="DM859" s="2" t="n">
        <v>36.13</v>
      </c>
      <c r="DN859" s="2" t="n">
        <v>38.25</v>
      </c>
      <c r="DO859" s="2" t="n">
        <v>0</v>
      </c>
      <c r="DP859" s="2" t="n">
        <v>45.85</v>
      </c>
      <c r="DQ859" s="2" t="n">
        <v>48.04</v>
      </c>
      <c r="DR859" s="2" t="n">
        <v>0</v>
      </c>
      <c r="DS859" s="2" t="n">
        <v>55.92</v>
      </c>
      <c r="DT859" s="2" t="n">
        <v>57.97</v>
      </c>
      <c r="DU859" s="2" t="n">
        <v>0</v>
      </c>
      <c r="DV859" s="2" t="n">
        <v>64.14</v>
      </c>
      <c r="DW859" s="2" t="n">
        <v>66.20999999999999</v>
      </c>
      <c r="DX859" s="2" t="n">
        <v>0</v>
      </c>
      <c r="DY859" s="2" t="n">
        <v>72.79000000000001</v>
      </c>
      <c r="DZ859" s="2" t="n">
        <v>75.18000000000001</v>
      </c>
      <c r="EA859" s="2" t="n">
        <v>0</v>
      </c>
      <c r="EB859" s="2" t="n">
        <v>80.93000000000001</v>
      </c>
      <c r="EC859" s="2" t="n">
        <v>84.2</v>
      </c>
      <c r="ED859" s="2" t="n">
        <v>0</v>
      </c>
      <c r="EE859" s="2" t="n">
        <v>87.59</v>
      </c>
      <c r="EF859" s="2" t="n">
        <v>90.55</v>
      </c>
      <c r="EG859" s="2" t="n">
        <v>0</v>
      </c>
      <c r="EH859" s="2" t="n">
        <v>96.19</v>
      </c>
      <c r="EI859" s="2" t="n">
        <v>98.68000000000001</v>
      </c>
      <c r="EJ859" s="2" t="n">
        <v>0</v>
      </c>
      <c r="EK859" s="2" t="n">
        <v>100</v>
      </c>
      <c r="EL859" s="2" t="n">
        <v>100</v>
      </c>
      <c r="EM859" s="2" t="n">
        <v>0</v>
      </c>
      <c r="EN859" s="2" t="n">
        <v>100</v>
      </c>
      <c r="EO859" s="2" t="n">
        <v>100</v>
      </c>
      <c r="EP859" s="2" t="n">
        <v>0</v>
      </c>
      <c r="EQ859" s="2" t="n">
        <v>100</v>
      </c>
      <c r="ER859" s="2" t="n">
        <v>100</v>
      </c>
      <c r="ES859" s="2" t="n">
        <v>0</v>
      </c>
    </row>
    <row r="860">
      <c r="A860" s="2" t="n">
        <v>3</v>
      </c>
      <c r="B860" s="2" t="inlineStr">
        <is>
          <t>34.03.09</t>
        </is>
      </c>
      <c r="C860" s="2" t="inlineStr">
        <is>
          <t>Sifão cromado para pia de cozinha</t>
        </is>
      </c>
      <c r="D860" s="2" t="inlineStr">
        <is>
          <t>01/03/2028</t>
        </is>
      </c>
      <c r="E860" s="2" t="inlineStr">
        <is>
          <t>05/02/2029</t>
        </is>
      </c>
      <c r="F860" s="2" t="n">
        <v>11155.01792019591</v>
      </c>
      <c r="G860" s="2" t="n">
        <v>0</v>
      </c>
      <c r="H860" s="2" t="n">
        <v>11155.01792019591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0</v>
      </c>
      <c r="AL860" s="2" t="n">
        <v>0</v>
      </c>
      <c r="AM860" s="2" t="n">
        <v>0</v>
      </c>
      <c r="AN860" s="2" t="n">
        <v>0</v>
      </c>
      <c r="AO860" s="2" t="n">
        <v>0</v>
      </c>
      <c r="AP860" s="2" t="n">
        <v>0</v>
      </c>
      <c r="AQ860" s="2" t="n">
        <v>0</v>
      </c>
      <c r="AR860" s="2" t="n">
        <v>0</v>
      </c>
      <c r="AS860" s="2" t="n">
        <v>0</v>
      </c>
      <c r="AT860" s="2" t="n">
        <v>0</v>
      </c>
      <c r="AU860" s="2" t="n">
        <v>0</v>
      </c>
      <c r="AV860" s="2" t="n">
        <v>0</v>
      </c>
      <c r="AW860" s="2" t="n">
        <v>0</v>
      </c>
      <c r="AX860" s="2" t="n">
        <v>0</v>
      </c>
      <c r="AY860" s="2" t="n">
        <v>0</v>
      </c>
      <c r="AZ860" s="2" t="n">
        <v>0</v>
      </c>
      <c r="BA860" s="2" t="n">
        <v>0</v>
      </c>
      <c r="BB860" s="2" t="n">
        <v>0</v>
      </c>
      <c r="BC860" s="2" t="n">
        <v>0</v>
      </c>
      <c r="BD860" s="2" t="n">
        <v>0</v>
      </c>
      <c r="BE860" s="2" t="n">
        <v>0</v>
      </c>
      <c r="BF860" s="2" t="n">
        <v>0</v>
      </c>
      <c r="BG860" s="2" t="n">
        <v>0</v>
      </c>
      <c r="BH860" s="2" t="n">
        <v>0</v>
      </c>
      <c r="BI860" s="2" t="n">
        <v>0</v>
      </c>
      <c r="BJ860" s="2" t="n">
        <v>0</v>
      </c>
      <c r="BK860" s="2" t="n">
        <v>0</v>
      </c>
      <c r="BL860" s="2" t="n">
        <v>0</v>
      </c>
      <c r="BM860" s="2" t="n">
        <v>0</v>
      </c>
      <c r="BN860" s="2" t="n">
        <v>0</v>
      </c>
      <c r="BO860" s="2" t="n">
        <v>0</v>
      </c>
      <c r="BP860" s="2" t="n">
        <v>0</v>
      </c>
      <c r="BQ860" s="2" t="n">
        <v>0</v>
      </c>
      <c r="BR860" s="2" t="n">
        <v>0</v>
      </c>
      <c r="BS860" s="2" t="n">
        <v>0</v>
      </c>
      <c r="BT860" s="2" t="n">
        <v>0</v>
      </c>
      <c r="BU860" s="2" t="n">
        <v>0</v>
      </c>
      <c r="BV860" s="2" t="n">
        <v>0</v>
      </c>
      <c r="BW860" s="2" t="n">
        <v>0</v>
      </c>
      <c r="BX860" s="2" t="n">
        <v>0</v>
      </c>
      <c r="BY860" s="2" t="n">
        <v>0</v>
      </c>
      <c r="BZ860" s="2" t="n">
        <v>0</v>
      </c>
      <c r="CA860" s="2" t="n">
        <v>0</v>
      </c>
      <c r="CB860" s="2" t="n">
        <v>0</v>
      </c>
      <c r="CC860" s="2" t="n">
        <v>0</v>
      </c>
      <c r="CD860" s="2" t="n">
        <v>0</v>
      </c>
      <c r="CE860" s="2" t="n">
        <v>0</v>
      </c>
      <c r="CF860" s="2" t="n">
        <v>0</v>
      </c>
      <c r="CG860" s="2" t="n">
        <v>0</v>
      </c>
      <c r="CH860" s="2" t="n">
        <v>0</v>
      </c>
      <c r="CI860" s="2" t="n">
        <v>0</v>
      </c>
      <c r="CJ860" s="2" t="n">
        <v>0</v>
      </c>
      <c r="CK860" s="2" t="n">
        <v>0</v>
      </c>
      <c r="CL860" s="2" t="n">
        <v>0</v>
      </c>
      <c r="CM860" s="2" t="n">
        <v>0</v>
      </c>
      <c r="CN860" s="2" t="n">
        <v>0</v>
      </c>
      <c r="CO860" s="2" t="n">
        <v>0</v>
      </c>
      <c r="CP860" s="2" t="n">
        <v>0</v>
      </c>
      <c r="CQ860" s="2" t="n">
        <v>0</v>
      </c>
      <c r="CR860" s="2" t="n">
        <v>0</v>
      </c>
      <c r="CS860" s="2" t="n">
        <v>0</v>
      </c>
      <c r="CT860" s="2" t="n">
        <v>0</v>
      </c>
      <c r="CU860" s="2" t="n">
        <v>0</v>
      </c>
      <c r="CV860" s="2" t="n">
        <v>0</v>
      </c>
      <c r="CW860" s="2" t="n">
        <v>0</v>
      </c>
      <c r="CX860" s="2" t="n">
        <v>0</v>
      </c>
      <c r="CY860" s="2" t="n">
        <v>0</v>
      </c>
      <c r="CZ860" s="2" t="n">
        <v>0</v>
      </c>
      <c r="DA860" s="2" t="n">
        <v>0</v>
      </c>
      <c r="DB860" s="2" t="n">
        <v>0</v>
      </c>
      <c r="DC860" s="2" t="n">
        <v>0</v>
      </c>
      <c r="DD860" s="2" t="n">
        <v>7.49</v>
      </c>
      <c r="DE860" s="2" t="n">
        <v>9.6</v>
      </c>
      <c r="DF860" s="2" t="n">
        <v>0</v>
      </c>
      <c r="DG860" s="2" t="n">
        <v>15.71</v>
      </c>
      <c r="DH860" s="2" t="n">
        <v>17.85</v>
      </c>
      <c r="DI860" s="2" t="n">
        <v>0</v>
      </c>
      <c r="DJ860" s="2" t="n">
        <v>26.39</v>
      </c>
      <c r="DK860" s="2" t="n">
        <v>28.5</v>
      </c>
      <c r="DL860" s="2" t="n">
        <v>0</v>
      </c>
      <c r="DM860" s="2" t="n">
        <v>36.13</v>
      </c>
      <c r="DN860" s="2" t="n">
        <v>38.25</v>
      </c>
      <c r="DO860" s="2" t="n">
        <v>0</v>
      </c>
      <c r="DP860" s="2" t="n">
        <v>45.85</v>
      </c>
      <c r="DQ860" s="2" t="n">
        <v>48.04</v>
      </c>
      <c r="DR860" s="2" t="n">
        <v>0</v>
      </c>
      <c r="DS860" s="2" t="n">
        <v>55.92</v>
      </c>
      <c r="DT860" s="2" t="n">
        <v>57.97</v>
      </c>
      <c r="DU860" s="2" t="n">
        <v>0</v>
      </c>
      <c r="DV860" s="2" t="n">
        <v>64.14</v>
      </c>
      <c r="DW860" s="2" t="n">
        <v>66.20999999999999</v>
      </c>
      <c r="DX860" s="2" t="n">
        <v>0</v>
      </c>
      <c r="DY860" s="2" t="n">
        <v>72.79000000000001</v>
      </c>
      <c r="DZ860" s="2" t="n">
        <v>75.18000000000001</v>
      </c>
      <c r="EA860" s="2" t="n">
        <v>0</v>
      </c>
      <c r="EB860" s="2" t="n">
        <v>80.93000000000001</v>
      </c>
      <c r="EC860" s="2" t="n">
        <v>84.2</v>
      </c>
      <c r="ED860" s="2" t="n">
        <v>0</v>
      </c>
      <c r="EE860" s="2" t="n">
        <v>87.59</v>
      </c>
      <c r="EF860" s="2" t="n">
        <v>90.55</v>
      </c>
      <c r="EG860" s="2" t="n">
        <v>0</v>
      </c>
      <c r="EH860" s="2" t="n">
        <v>96.19</v>
      </c>
      <c r="EI860" s="2" t="n">
        <v>98.68000000000001</v>
      </c>
      <c r="EJ860" s="2" t="n">
        <v>0</v>
      </c>
      <c r="EK860" s="2" t="n">
        <v>100</v>
      </c>
      <c r="EL860" s="2" t="n">
        <v>100</v>
      </c>
      <c r="EM860" s="2" t="n">
        <v>0</v>
      </c>
      <c r="EN860" s="2" t="n">
        <v>100</v>
      </c>
      <c r="EO860" s="2" t="n">
        <v>100</v>
      </c>
      <c r="EP860" s="2" t="n">
        <v>0</v>
      </c>
      <c r="EQ860" s="2" t="n">
        <v>100</v>
      </c>
      <c r="ER860" s="2" t="n">
        <v>100</v>
      </c>
      <c r="ES860" s="2" t="n">
        <v>0</v>
      </c>
    </row>
    <row r="861">
      <c r="A861" s="2" t="n">
        <v>3</v>
      </c>
      <c r="B861" s="2" t="inlineStr">
        <is>
          <t>34.03.10</t>
        </is>
      </c>
      <c r="C861" s="2" t="inlineStr">
        <is>
          <t>Sifão Articulado Cromado, Deca, Cód.: 1682.C.112</t>
        </is>
      </c>
      <c r="D861" s="2" t="inlineStr">
        <is>
          <t>01/03/2028</t>
        </is>
      </c>
      <c r="E861" s="2" t="inlineStr">
        <is>
          <t>05/02/2029</t>
        </is>
      </c>
      <c r="F861" s="2" t="n">
        <v>557.7508960097954</v>
      </c>
      <c r="G861" s="2" t="n">
        <v>0</v>
      </c>
      <c r="H861" s="2" t="n">
        <v>557.7508960097954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0</v>
      </c>
      <c r="AL861" s="2" t="n">
        <v>0</v>
      </c>
      <c r="AM861" s="2" t="n">
        <v>0</v>
      </c>
      <c r="AN861" s="2" t="n">
        <v>0</v>
      </c>
      <c r="AO861" s="2" t="n">
        <v>0</v>
      </c>
      <c r="AP861" s="2" t="n">
        <v>0</v>
      </c>
      <c r="AQ861" s="2" t="n">
        <v>0</v>
      </c>
      <c r="AR861" s="2" t="n">
        <v>0</v>
      </c>
      <c r="AS861" s="2" t="n">
        <v>0</v>
      </c>
      <c r="AT861" s="2" t="n">
        <v>0</v>
      </c>
      <c r="AU861" s="2" t="n">
        <v>0</v>
      </c>
      <c r="AV861" s="2" t="n">
        <v>0</v>
      </c>
      <c r="AW861" s="2" t="n">
        <v>0</v>
      </c>
      <c r="AX861" s="2" t="n">
        <v>0</v>
      </c>
      <c r="AY861" s="2" t="n">
        <v>0</v>
      </c>
      <c r="AZ861" s="2" t="n">
        <v>0</v>
      </c>
      <c r="BA861" s="2" t="n">
        <v>0</v>
      </c>
      <c r="BB861" s="2" t="n">
        <v>0</v>
      </c>
      <c r="BC861" s="2" t="n">
        <v>0</v>
      </c>
      <c r="BD861" s="2" t="n">
        <v>0</v>
      </c>
      <c r="BE861" s="2" t="n">
        <v>0</v>
      </c>
      <c r="BF861" s="2" t="n">
        <v>0</v>
      </c>
      <c r="BG861" s="2" t="n">
        <v>0</v>
      </c>
      <c r="BH861" s="2" t="n">
        <v>0</v>
      </c>
      <c r="BI861" s="2" t="n">
        <v>0</v>
      </c>
      <c r="BJ861" s="2" t="n">
        <v>0</v>
      </c>
      <c r="BK861" s="2" t="n">
        <v>0</v>
      </c>
      <c r="BL861" s="2" t="n">
        <v>0</v>
      </c>
      <c r="BM861" s="2" t="n">
        <v>0</v>
      </c>
      <c r="BN861" s="2" t="n">
        <v>0</v>
      </c>
      <c r="BO861" s="2" t="n">
        <v>0</v>
      </c>
      <c r="BP861" s="2" t="n">
        <v>0</v>
      </c>
      <c r="BQ861" s="2" t="n">
        <v>0</v>
      </c>
      <c r="BR861" s="2" t="n">
        <v>0</v>
      </c>
      <c r="BS861" s="2" t="n">
        <v>0</v>
      </c>
      <c r="BT861" s="2" t="n">
        <v>0</v>
      </c>
      <c r="BU861" s="2" t="n">
        <v>0</v>
      </c>
      <c r="BV861" s="2" t="n">
        <v>0</v>
      </c>
      <c r="BW861" s="2" t="n">
        <v>0</v>
      </c>
      <c r="BX861" s="2" t="n">
        <v>0</v>
      </c>
      <c r="BY861" s="2" t="n">
        <v>0</v>
      </c>
      <c r="BZ861" s="2" t="n">
        <v>0</v>
      </c>
      <c r="CA861" s="2" t="n">
        <v>0</v>
      </c>
      <c r="CB861" s="2" t="n">
        <v>0</v>
      </c>
      <c r="CC861" s="2" t="n">
        <v>0</v>
      </c>
      <c r="CD861" s="2" t="n">
        <v>0</v>
      </c>
      <c r="CE861" s="2" t="n">
        <v>0</v>
      </c>
      <c r="CF861" s="2" t="n">
        <v>0</v>
      </c>
      <c r="CG861" s="2" t="n">
        <v>0</v>
      </c>
      <c r="CH861" s="2" t="n">
        <v>0</v>
      </c>
      <c r="CI861" s="2" t="n">
        <v>0</v>
      </c>
      <c r="CJ861" s="2" t="n">
        <v>0</v>
      </c>
      <c r="CK861" s="2" t="n">
        <v>0</v>
      </c>
      <c r="CL861" s="2" t="n">
        <v>0</v>
      </c>
      <c r="CM861" s="2" t="n">
        <v>0</v>
      </c>
      <c r="CN861" s="2" t="n">
        <v>0</v>
      </c>
      <c r="CO861" s="2" t="n">
        <v>0</v>
      </c>
      <c r="CP861" s="2" t="n">
        <v>0</v>
      </c>
      <c r="CQ861" s="2" t="n">
        <v>0</v>
      </c>
      <c r="CR861" s="2" t="n">
        <v>0</v>
      </c>
      <c r="CS861" s="2" t="n">
        <v>0</v>
      </c>
      <c r="CT861" s="2" t="n">
        <v>0</v>
      </c>
      <c r="CU861" s="2" t="n">
        <v>0</v>
      </c>
      <c r="CV861" s="2" t="n">
        <v>0</v>
      </c>
      <c r="CW861" s="2" t="n">
        <v>0</v>
      </c>
      <c r="CX861" s="2" t="n">
        <v>0</v>
      </c>
      <c r="CY861" s="2" t="n">
        <v>0</v>
      </c>
      <c r="CZ861" s="2" t="n">
        <v>0</v>
      </c>
      <c r="DA861" s="2" t="n">
        <v>0</v>
      </c>
      <c r="DB861" s="2" t="n">
        <v>0</v>
      </c>
      <c r="DC861" s="2" t="n">
        <v>0</v>
      </c>
      <c r="DD861" s="2" t="n">
        <v>7.49</v>
      </c>
      <c r="DE861" s="2" t="n">
        <v>9.6</v>
      </c>
      <c r="DF861" s="2" t="n">
        <v>0</v>
      </c>
      <c r="DG861" s="2" t="n">
        <v>15.71</v>
      </c>
      <c r="DH861" s="2" t="n">
        <v>17.85</v>
      </c>
      <c r="DI861" s="2" t="n">
        <v>0</v>
      </c>
      <c r="DJ861" s="2" t="n">
        <v>26.39</v>
      </c>
      <c r="DK861" s="2" t="n">
        <v>28.5</v>
      </c>
      <c r="DL861" s="2" t="n">
        <v>0</v>
      </c>
      <c r="DM861" s="2" t="n">
        <v>36.13</v>
      </c>
      <c r="DN861" s="2" t="n">
        <v>38.25</v>
      </c>
      <c r="DO861" s="2" t="n">
        <v>0</v>
      </c>
      <c r="DP861" s="2" t="n">
        <v>45.85</v>
      </c>
      <c r="DQ861" s="2" t="n">
        <v>48.04</v>
      </c>
      <c r="DR861" s="2" t="n">
        <v>0</v>
      </c>
      <c r="DS861" s="2" t="n">
        <v>55.92</v>
      </c>
      <c r="DT861" s="2" t="n">
        <v>57.97</v>
      </c>
      <c r="DU861" s="2" t="n">
        <v>0</v>
      </c>
      <c r="DV861" s="2" t="n">
        <v>64.14</v>
      </c>
      <c r="DW861" s="2" t="n">
        <v>66.20999999999999</v>
      </c>
      <c r="DX861" s="2" t="n">
        <v>0</v>
      </c>
      <c r="DY861" s="2" t="n">
        <v>72.79000000000001</v>
      </c>
      <c r="DZ861" s="2" t="n">
        <v>75.18000000000001</v>
      </c>
      <c r="EA861" s="2" t="n">
        <v>0</v>
      </c>
      <c r="EB861" s="2" t="n">
        <v>80.93000000000001</v>
      </c>
      <c r="EC861" s="2" t="n">
        <v>84.2</v>
      </c>
      <c r="ED861" s="2" t="n">
        <v>0</v>
      </c>
      <c r="EE861" s="2" t="n">
        <v>87.59</v>
      </c>
      <c r="EF861" s="2" t="n">
        <v>90.55</v>
      </c>
      <c r="EG861" s="2" t="n">
        <v>0</v>
      </c>
      <c r="EH861" s="2" t="n">
        <v>96.19</v>
      </c>
      <c r="EI861" s="2" t="n">
        <v>98.68000000000001</v>
      </c>
      <c r="EJ861" s="2" t="n">
        <v>0</v>
      </c>
      <c r="EK861" s="2" t="n">
        <v>100</v>
      </c>
      <c r="EL861" s="2" t="n">
        <v>100</v>
      </c>
      <c r="EM861" s="2" t="n">
        <v>0</v>
      </c>
      <c r="EN861" s="2" t="n">
        <v>100</v>
      </c>
      <c r="EO861" s="2" t="n">
        <v>100</v>
      </c>
      <c r="EP861" s="2" t="n">
        <v>0</v>
      </c>
      <c r="EQ861" s="2" t="n">
        <v>100</v>
      </c>
      <c r="ER861" s="2" t="n">
        <v>100</v>
      </c>
      <c r="ES861" s="2" t="n">
        <v>0</v>
      </c>
    </row>
    <row r="862">
      <c r="A862" s="2" t="n">
        <v>2</v>
      </c>
      <c r="B862" s="2" t="inlineStr">
        <is>
          <t>34.04</t>
        </is>
      </c>
      <c r="C862" s="2" t="inlineStr">
        <is>
          <t>Tanque</t>
        </is>
      </c>
      <c r="D862" s="2" t="inlineStr">
        <is>
          <t>01/03/2028</t>
        </is>
      </c>
      <c r="E862" s="2" t="inlineStr">
        <is>
          <t>05/02/2029</t>
        </is>
      </c>
      <c r="F862" s="2" t="n">
        <v>145390.4121804264</v>
      </c>
      <c r="G862" s="2" t="n">
        <v>0</v>
      </c>
      <c r="H862" s="2" t="n">
        <v>145390.4121804264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0</v>
      </c>
      <c r="AM862" s="2" t="n">
        <v>0</v>
      </c>
      <c r="AN862" s="2" t="n">
        <v>0</v>
      </c>
      <c r="AO862" s="2" t="n">
        <v>0</v>
      </c>
      <c r="AP862" s="2" t="n">
        <v>0</v>
      </c>
      <c r="AQ862" s="2" t="n">
        <v>0</v>
      </c>
      <c r="AR862" s="2" t="n">
        <v>0</v>
      </c>
      <c r="AS862" s="2" t="n">
        <v>0</v>
      </c>
      <c r="AT862" s="2" t="n">
        <v>0</v>
      </c>
      <c r="AU862" s="2" t="n">
        <v>0</v>
      </c>
      <c r="AV862" s="2" t="n">
        <v>0</v>
      </c>
      <c r="AW862" s="2" t="n">
        <v>0</v>
      </c>
      <c r="AX862" s="2" t="n">
        <v>0</v>
      </c>
      <c r="AY862" s="2" t="n">
        <v>0</v>
      </c>
      <c r="AZ862" s="2" t="n">
        <v>0</v>
      </c>
      <c r="BA862" s="2" t="n">
        <v>0</v>
      </c>
      <c r="BB862" s="2" t="n">
        <v>0</v>
      </c>
      <c r="BC862" s="2" t="n">
        <v>0</v>
      </c>
      <c r="BD862" s="2" t="n">
        <v>0</v>
      </c>
      <c r="BE862" s="2" t="n">
        <v>0</v>
      </c>
      <c r="BF862" s="2" t="n">
        <v>0</v>
      </c>
      <c r="BG862" s="2" t="n">
        <v>0</v>
      </c>
      <c r="BH862" s="2" t="n">
        <v>0</v>
      </c>
      <c r="BI862" s="2" t="n">
        <v>0</v>
      </c>
      <c r="BJ862" s="2" t="n">
        <v>0</v>
      </c>
      <c r="BK862" s="2" t="n">
        <v>0</v>
      </c>
      <c r="BL862" s="2" t="n">
        <v>0</v>
      </c>
      <c r="BM862" s="2" t="n">
        <v>0</v>
      </c>
      <c r="BN862" s="2" t="n">
        <v>0</v>
      </c>
      <c r="BO862" s="2" t="n">
        <v>0</v>
      </c>
      <c r="BP862" s="2" t="n">
        <v>0</v>
      </c>
      <c r="BQ862" s="2" t="n">
        <v>0</v>
      </c>
      <c r="BR862" s="2" t="n">
        <v>0</v>
      </c>
      <c r="BS862" s="2" t="n">
        <v>0</v>
      </c>
      <c r="BT862" s="2" t="n">
        <v>0</v>
      </c>
      <c r="BU862" s="2" t="n">
        <v>0</v>
      </c>
      <c r="BV862" s="2" t="n">
        <v>0</v>
      </c>
      <c r="BW862" s="2" t="n">
        <v>0</v>
      </c>
      <c r="BX862" s="2" t="n">
        <v>0</v>
      </c>
      <c r="BY862" s="2" t="n">
        <v>0</v>
      </c>
      <c r="BZ862" s="2" t="n">
        <v>0</v>
      </c>
      <c r="CA862" s="2" t="n">
        <v>0</v>
      </c>
      <c r="CB862" s="2" t="n">
        <v>0</v>
      </c>
      <c r="CC862" s="2" t="n">
        <v>0</v>
      </c>
      <c r="CD862" s="2" t="n">
        <v>0</v>
      </c>
      <c r="CE862" s="2" t="n">
        <v>0</v>
      </c>
      <c r="CF862" s="2" t="n">
        <v>0</v>
      </c>
      <c r="CG862" s="2" t="n">
        <v>0</v>
      </c>
      <c r="CH862" s="2" t="n">
        <v>0</v>
      </c>
      <c r="CI862" s="2" t="n">
        <v>0</v>
      </c>
      <c r="CJ862" s="2" t="n">
        <v>0</v>
      </c>
      <c r="CK862" s="2" t="n">
        <v>0</v>
      </c>
      <c r="CL862" s="2" t="n">
        <v>0</v>
      </c>
      <c r="CM862" s="2" t="n">
        <v>0</v>
      </c>
      <c r="CN862" s="2" t="n">
        <v>0</v>
      </c>
      <c r="CO862" s="2" t="n">
        <v>0</v>
      </c>
      <c r="CP862" s="2" t="n">
        <v>0</v>
      </c>
      <c r="CQ862" s="2" t="n">
        <v>0</v>
      </c>
      <c r="CR862" s="2" t="n">
        <v>0</v>
      </c>
      <c r="CS862" s="2" t="n">
        <v>0</v>
      </c>
      <c r="CT862" s="2" t="n">
        <v>0</v>
      </c>
      <c r="CU862" s="2" t="n">
        <v>0</v>
      </c>
      <c r="CV862" s="2" t="n">
        <v>0</v>
      </c>
      <c r="CW862" s="2" t="n">
        <v>0</v>
      </c>
      <c r="CX862" s="2" t="n">
        <v>0</v>
      </c>
      <c r="CY862" s="2" t="n">
        <v>0</v>
      </c>
      <c r="CZ862" s="2" t="n">
        <v>0</v>
      </c>
      <c r="DA862" s="2" t="n">
        <v>0</v>
      </c>
      <c r="DB862" s="2" t="n">
        <v>0</v>
      </c>
      <c r="DC862" s="2" t="n">
        <v>0</v>
      </c>
      <c r="DD862" s="2" t="n">
        <v>7.49</v>
      </c>
      <c r="DE862" s="2" t="n">
        <v>9.6</v>
      </c>
      <c r="DF862" s="2" t="n">
        <v>0</v>
      </c>
      <c r="DG862" s="2" t="n">
        <v>15.71</v>
      </c>
      <c r="DH862" s="2" t="n">
        <v>17.85</v>
      </c>
      <c r="DI862" s="2" t="n">
        <v>0</v>
      </c>
      <c r="DJ862" s="2" t="n">
        <v>26.39</v>
      </c>
      <c r="DK862" s="2" t="n">
        <v>28.5</v>
      </c>
      <c r="DL862" s="2" t="n">
        <v>0</v>
      </c>
      <c r="DM862" s="2" t="n">
        <v>36.13</v>
      </c>
      <c r="DN862" s="2" t="n">
        <v>38.25</v>
      </c>
      <c r="DO862" s="2" t="n">
        <v>0</v>
      </c>
      <c r="DP862" s="2" t="n">
        <v>45.85</v>
      </c>
      <c r="DQ862" s="2" t="n">
        <v>48.04</v>
      </c>
      <c r="DR862" s="2" t="n">
        <v>0</v>
      </c>
      <c r="DS862" s="2" t="n">
        <v>55.92</v>
      </c>
      <c r="DT862" s="2" t="n">
        <v>57.97</v>
      </c>
      <c r="DU862" s="2" t="n">
        <v>0</v>
      </c>
      <c r="DV862" s="2" t="n">
        <v>64.14</v>
      </c>
      <c r="DW862" s="2" t="n">
        <v>66.20999999999999</v>
      </c>
      <c r="DX862" s="2" t="n">
        <v>0</v>
      </c>
      <c r="DY862" s="2" t="n">
        <v>72.79000000000001</v>
      </c>
      <c r="DZ862" s="2" t="n">
        <v>75.18000000000001</v>
      </c>
      <c r="EA862" s="2" t="n">
        <v>0</v>
      </c>
      <c r="EB862" s="2" t="n">
        <v>80.93000000000001</v>
      </c>
      <c r="EC862" s="2" t="n">
        <v>84.2</v>
      </c>
      <c r="ED862" s="2" t="n">
        <v>0</v>
      </c>
      <c r="EE862" s="2" t="n">
        <v>87.59</v>
      </c>
      <c r="EF862" s="2" t="n">
        <v>90.55</v>
      </c>
      <c r="EG862" s="2" t="n">
        <v>0</v>
      </c>
      <c r="EH862" s="2" t="n">
        <v>96.19</v>
      </c>
      <c r="EI862" s="2" t="n">
        <v>98.68000000000001</v>
      </c>
      <c r="EJ862" s="2" t="n">
        <v>0</v>
      </c>
      <c r="EK862" s="2" t="n">
        <v>100</v>
      </c>
      <c r="EL862" s="2" t="n">
        <v>100</v>
      </c>
      <c r="EM862" s="2" t="n">
        <v>0</v>
      </c>
      <c r="EN862" s="2" t="n">
        <v>100</v>
      </c>
      <c r="EO862" s="2" t="n">
        <v>100</v>
      </c>
      <c r="EP862" s="2" t="n">
        <v>0</v>
      </c>
      <c r="EQ862" s="2" t="n">
        <v>100</v>
      </c>
      <c r="ER862" s="2" t="n">
        <v>100</v>
      </c>
      <c r="ES862" s="2" t="n">
        <v>0</v>
      </c>
    </row>
    <row r="863">
      <c r="A863" s="2" t="n">
        <v>3</v>
      </c>
      <c r="B863" s="2" t="inlineStr">
        <is>
          <t>34.04.01</t>
        </is>
      </c>
      <c r="C863" s="2" t="inlineStr">
        <is>
          <t>Tanque para lavanderia, capacidade 32L, 50x40cm, em aço inox escovado, Mekal CT-5</t>
        </is>
      </c>
      <c r="D863" s="2" t="inlineStr">
        <is>
          <t>01/03/2028</t>
        </is>
      </c>
      <c r="E863" s="2" t="inlineStr">
        <is>
          <t>05/02/2029</t>
        </is>
      </c>
      <c r="F863" s="2" t="n">
        <v>102621.7361977344</v>
      </c>
      <c r="G863" s="2" t="n">
        <v>0</v>
      </c>
      <c r="H863" s="2" t="n">
        <v>102621.7361977344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0</v>
      </c>
      <c r="AM863" s="2" t="n">
        <v>0</v>
      </c>
      <c r="AN863" s="2" t="n">
        <v>0</v>
      </c>
      <c r="AO863" s="2" t="n">
        <v>0</v>
      </c>
      <c r="AP863" s="2" t="n">
        <v>0</v>
      </c>
      <c r="AQ863" s="2" t="n">
        <v>0</v>
      </c>
      <c r="AR863" s="2" t="n">
        <v>0</v>
      </c>
      <c r="AS863" s="2" t="n">
        <v>0</v>
      </c>
      <c r="AT863" s="2" t="n">
        <v>0</v>
      </c>
      <c r="AU863" s="2" t="n">
        <v>0</v>
      </c>
      <c r="AV863" s="2" t="n">
        <v>0</v>
      </c>
      <c r="AW863" s="2" t="n">
        <v>0</v>
      </c>
      <c r="AX863" s="2" t="n">
        <v>0</v>
      </c>
      <c r="AY863" s="2" t="n">
        <v>0</v>
      </c>
      <c r="AZ863" s="2" t="n">
        <v>0</v>
      </c>
      <c r="BA863" s="2" t="n">
        <v>0</v>
      </c>
      <c r="BB863" s="2" t="n">
        <v>0</v>
      </c>
      <c r="BC863" s="2" t="n">
        <v>0</v>
      </c>
      <c r="BD863" s="2" t="n">
        <v>0</v>
      </c>
      <c r="BE863" s="2" t="n">
        <v>0</v>
      </c>
      <c r="BF863" s="2" t="n">
        <v>0</v>
      </c>
      <c r="BG863" s="2" t="n">
        <v>0</v>
      </c>
      <c r="BH863" s="2" t="n">
        <v>0</v>
      </c>
      <c r="BI863" s="2" t="n">
        <v>0</v>
      </c>
      <c r="BJ863" s="2" t="n">
        <v>0</v>
      </c>
      <c r="BK863" s="2" t="n">
        <v>0</v>
      </c>
      <c r="BL863" s="2" t="n">
        <v>0</v>
      </c>
      <c r="BM863" s="2" t="n">
        <v>0</v>
      </c>
      <c r="BN863" s="2" t="n">
        <v>0</v>
      </c>
      <c r="BO863" s="2" t="n">
        <v>0</v>
      </c>
      <c r="BP863" s="2" t="n">
        <v>0</v>
      </c>
      <c r="BQ863" s="2" t="n">
        <v>0</v>
      </c>
      <c r="BR863" s="2" t="n">
        <v>0</v>
      </c>
      <c r="BS863" s="2" t="n">
        <v>0</v>
      </c>
      <c r="BT863" s="2" t="n">
        <v>0</v>
      </c>
      <c r="BU863" s="2" t="n">
        <v>0</v>
      </c>
      <c r="BV863" s="2" t="n">
        <v>0</v>
      </c>
      <c r="BW863" s="2" t="n">
        <v>0</v>
      </c>
      <c r="BX863" s="2" t="n">
        <v>0</v>
      </c>
      <c r="BY863" s="2" t="n">
        <v>0</v>
      </c>
      <c r="BZ863" s="2" t="n">
        <v>0</v>
      </c>
      <c r="CA863" s="2" t="n">
        <v>0</v>
      </c>
      <c r="CB863" s="2" t="n">
        <v>0</v>
      </c>
      <c r="CC863" s="2" t="n">
        <v>0</v>
      </c>
      <c r="CD863" s="2" t="n">
        <v>0</v>
      </c>
      <c r="CE863" s="2" t="n">
        <v>0</v>
      </c>
      <c r="CF863" s="2" t="n">
        <v>0</v>
      </c>
      <c r="CG863" s="2" t="n">
        <v>0</v>
      </c>
      <c r="CH863" s="2" t="n">
        <v>0</v>
      </c>
      <c r="CI863" s="2" t="n">
        <v>0</v>
      </c>
      <c r="CJ863" s="2" t="n">
        <v>0</v>
      </c>
      <c r="CK863" s="2" t="n">
        <v>0</v>
      </c>
      <c r="CL863" s="2" t="n">
        <v>0</v>
      </c>
      <c r="CM863" s="2" t="n">
        <v>0</v>
      </c>
      <c r="CN863" s="2" t="n">
        <v>0</v>
      </c>
      <c r="CO863" s="2" t="n">
        <v>0</v>
      </c>
      <c r="CP863" s="2" t="n">
        <v>0</v>
      </c>
      <c r="CQ863" s="2" t="n">
        <v>0</v>
      </c>
      <c r="CR863" s="2" t="n">
        <v>0</v>
      </c>
      <c r="CS863" s="2" t="n">
        <v>0</v>
      </c>
      <c r="CT863" s="2" t="n">
        <v>0</v>
      </c>
      <c r="CU863" s="2" t="n">
        <v>0</v>
      </c>
      <c r="CV863" s="2" t="n">
        <v>0</v>
      </c>
      <c r="CW863" s="2" t="n">
        <v>0</v>
      </c>
      <c r="CX863" s="2" t="n">
        <v>0</v>
      </c>
      <c r="CY863" s="2" t="n">
        <v>0</v>
      </c>
      <c r="CZ863" s="2" t="n">
        <v>0</v>
      </c>
      <c r="DA863" s="2" t="n">
        <v>0</v>
      </c>
      <c r="DB863" s="2" t="n">
        <v>0</v>
      </c>
      <c r="DC863" s="2" t="n">
        <v>0</v>
      </c>
      <c r="DD863" s="2" t="n">
        <v>7.49</v>
      </c>
      <c r="DE863" s="2" t="n">
        <v>9.6</v>
      </c>
      <c r="DF863" s="2" t="n">
        <v>0</v>
      </c>
      <c r="DG863" s="2" t="n">
        <v>15.71</v>
      </c>
      <c r="DH863" s="2" t="n">
        <v>17.85</v>
      </c>
      <c r="DI863" s="2" t="n">
        <v>0</v>
      </c>
      <c r="DJ863" s="2" t="n">
        <v>26.39</v>
      </c>
      <c r="DK863" s="2" t="n">
        <v>28.5</v>
      </c>
      <c r="DL863" s="2" t="n">
        <v>0</v>
      </c>
      <c r="DM863" s="2" t="n">
        <v>36.13</v>
      </c>
      <c r="DN863" s="2" t="n">
        <v>38.25</v>
      </c>
      <c r="DO863" s="2" t="n">
        <v>0</v>
      </c>
      <c r="DP863" s="2" t="n">
        <v>45.85</v>
      </c>
      <c r="DQ863" s="2" t="n">
        <v>48.04</v>
      </c>
      <c r="DR863" s="2" t="n">
        <v>0</v>
      </c>
      <c r="DS863" s="2" t="n">
        <v>55.92</v>
      </c>
      <c r="DT863" s="2" t="n">
        <v>57.97</v>
      </c>
      <c r="DU863" s="2" t="n">
        <v>0</v>
      </c>
      <c r="DV863" s="2" t="n">
        <v>64.14</v>
      </c>
      <c r="DW863" s="2" t="n">
        <v>66.20999999999999</v>
      </c>
      <c r="DX863" s="2" t="n">
        <v>0</v>
      </c>
      <c r="DY863" s="2" t="n">
        <v>72.79000000000001</v>
      </c>
      <c r="DZ863" s="2" t="n">
        <v>75.18000000000001</v>
      </c>
      <c r="EA863" s="2" t="n">
        <v>0</v>
      </c>
      <c r="EB863" s="2" t="n">
        <v>80.93000000000001</v>
      </c>
      <c r="EC863" s="2" t="n">
        <v>84.2</v>
      </c>
      <c r="ED863" s="2" t="n">
        <v>0</v>
      </c>
      <c r="EE863" s="2" t="n">
        <v>87.59</v>
      </c>
      <c r="EF863" s="2" t="n">
        <v>90.55</v>
      </c>
      <c r="EG863" s="2" t="n">
        <v>0</v>
      </c>
      <c r="EH863" s="2" t="n">
        <v>96.19</v>
      </c>
      <c r="EI863" s="2" t="n">
        <v>98.68000000000001</v>
      </c>
      <c r="EJ863" s="2" t="n">
        <v>0</v>
      </c>
      <c r="EK863" s="2" t="n">
        <v>100</v>
      </c>
      <c r="EL863" s="2" t="n">
        <v>100</v>
      </c>
      <c r="EM863" s="2" t="n">
        <v>0</v>
      </c>
      <c r="EN863" s="2" t="n">
        <v>100</v>
      </c>
      <c r="EO863" s="2" t="n">
        <v>100</v>
      </c>
      <c r="EP863" s="2" t="n">
        <v>0</v>
      </c>
      <c r="EQ863" s="2" t="n">
        <v>100</v>
      </c>
      <c r="ER863" s="2" t="n">
        <v>100</v>
      </c>
      <c r="ES863" s="2" t="n">
        <v>0</v>
      </c>
    </row>
    <row r="864">
      <c r="A864" s="2" t="n">
        <v>3</v>
      </c>
      <c r="B864" s="2" t="inlineStr">
        <is>
          <t>34.04.02</t>
        </is>
      </c>
      <c r="C864" s="2" t="inlineStr">
        <is>
          <t>Tanque 30L branco, Deca, TQ.02.17</t>
        </is>
      </c>
      <c r="D864" s="2" t="inlineStr">
        <is>
          <t>01/03/2028</t>
        </is>
      </c>
      <c r="E864" s="2" t="inlineStr">
        <is>
          <t>05/02/2029</t>
        </is>
      </c>
      <c r="F864" s="2" t="n">
        <v>444.3211468925381</v>
      </c>
      <c r="G864" s="2" t="n">
        <v>0</v>
      </c>
      <c r="H864" s="2" t="n">
        <v>444.3211468925381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0</v>
      </c>
      <c r="AM864" s="2" t="n">
        <v>0</v>
      </c>
      <c r="AN864" s="2" t="n">
        <v>0</v>
      </c>
      <c r="AO864" s="2" t="n">
        <v>0</v>
      </c>
      <c r="AP864" s="2" t="n">
        <v>0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 t="n">
        <v>0</v>
      </c>
      <c r="AX864" s="2" t="n">
        <v>0</v>
      </c>
      <c r="AY864" s="2" t="n">
        <v>0</v>
      </c>
      <c r="AZ864" s="2" t="n">
        <v>0</v>
      </c>
      <c r="BA864" s="2" t="n">
        <v>0</v>
      </c>
      <c r="BB864" s="2" t="n">
        <v>0</v>
      </c>
      <c r="BC864" s="2" t="n">
        <v>0</v>
      </c>
      <c r="BD864" s="2" t="n">
        <v>0</v>
      </c>
      <c r="BE864" s="2" t="n">
        <v>0</v>
      </c>
      <c r="BF864" s="2" t="n">
        <v>0</v>
      </c>
      <c r="BG864" s="2" t="n">
        <v>0</v>
      </c>
      <c r="BH864" s="2" t="n">
        <v>0</v>
      </c>
      <c r="BI864" s="2" t="n">
        <v>0</v>
      </c>
      <c r="BJ864" s="2" t="n">
        <v>0</v>
      </c>
      <c r="BK864" s="2" t="n">
        <v>0</v>
      </c>
      <c r="BL864" s="2" t="n">
        <v>0</v>
      </c>
      <c r="BM864" s="2" t="n">
        <v>0</v>
      </c>
      <c r="BN864" s="2" t="n">
        <v>0</v>
      </c>
      <c r="BO864" s="2" t="n">
        <v>0</v>
      </c>
      <c r="BP864" s="2" t="n">
        <v>0</v>
      </c>
      <c r="BQ864" s="2" t="n">
        <v>0</v>
      </c>
      <c r="BR864" s="2" t="n">
        <v>0</v>
      </c>
      <c r="BS864" s="2" t="n">
        <v>0</v>
      </c>
      <c r="BT864" s="2" t="n">
        <v>0</v>
      </c>
      <c r="BU864" s="2" t="n">
        <v>0</v>
      </c>
      <c r="BV864" s="2" t="n">
        <v>0</v>
      </c>
      <c r="BW864" s="2" t="n">
        <v>0</v>
      </c>
      <c r="BX864" s="2" t="n">
        <v>0</v>
      </c>
      <c r="BY864" s="2" t="n">
        <v>0</v>
      </c>
      <c r="BZ864" s="2" t="n">
        <v>0</v>
      </c>
      <c r="CA864" s="2" t="n">
        <v>0</v>
      </c>
      <c r="CB864" s="2" t="n">
        <v>0</v>
      </c>
      <c r="CC864" s="2" t="n">
        <v>0</v>
      </c>
      <c r="CD864" s="2" t="n">
        <v>0</v>
      </c>
      <c r="CE864" s="2" t="n">
        <v>0</v>
      </c>
      <c r="CF864" s="2" t="n">
        <v>0</v>
      </c>
      <c r="CG864" s="2" t="n">
        <v>0</v>
      </c>
      <c r="CH864" s="2" t="n">
        <v>0</v>
      </c>
      <c r="CI864" s="2" t="n">
        <v>0</v>
      </c>
      <c r="CJ864" s="2" t="n">
        <v>0</v>
      </c>
      <c r="CK864" s="2" t="n">
        <v>0</v>
      </c>
      <c r="CL864" s="2" t="n">
        <v>0</v>
      </c>
      <c r="CM864" s="2" t="n">
        <v>0</v>
      </c>
      <c r="CN864" s="2" t="n">
        <v>0</v>
      </c>
      <c r="CO864" s="2" t="n">
        <v>0</v>
      </c>
      <c r="CP864" s="2" t="n">
        <v>0</v>
      </c>
      <c r="CQ864" s="2" t="n">
        <v>0</v>
      </c>
      <c r="CR864" s="2" t="n">
        <v>0</v>
      </c>
      <c r="CS864" s="2" t="n">
        <v>0</v>
      </c>
      <c r="CT864" s="2" t="n">
        <v>0</v>
      </c>
      <c r="CU864" s="2" t="n">
        <v>0</v>
      </c>
      <c r="CV864" s="2" t="n">
        <v>0</v>
      </c>
      <c r="CW864" s="2" t="n">
        <v>0</v>
      </c>
      <c r="CX864" s="2" t="n">
        <v>0</v>
      </c>
      <c r="CY864" s="2" t="n">
        <v>0</v>
      </c>
      <c r="CZ864" s="2" t="n">
        <v>0</v>
      </c>
      <c r="DA864" s="2" t="n">
        <v>0</v>
      </c>
      <c r="DB864" s="2" t="n">
        <v>0</v>
      </c>
      <c r="DC864" s="2" t="n">
        <v>0</v>
      </c>
      <c r="DD864" s="2" t="n">
        <v>7.49</v>
      </c>
      <c r="DE864" s="2" t="n">
        <v>9.6</v>
      </c>
      <c r="DF864" s="2" t="n">
        <v>0</v>
      </c>
      <c r="DG864" s="2" t="n">
        <v>15.71</v>
      </c>
      <c r="DH864" s="2" t="n">
        <v>17.85</v>
      </c>
      <c r="DI864" s="2" t="n">
        <v>0</v>
      </c>
      <c r="DJ864" s="2" t="n">
        <v>26.39</v>
      </c>
      <c r="DK864" s="2" t="n">
        <v>28.5</v>
      </c>
      <c r="DL864" s="2" t="n">
        <v>0</v>
      </c>
      <c r="DM864" s="2" t="n">
        <v>36.13</v>
      </c>
      <c r="DN864" s="2" t="n">
        <v>38.25</v>
      </c>
      <c r="DO864" s="2" t="n">
        <v>0</v>
      </c>
      <c r="DP864" s="2" t="n">
        <v>45.85</v>
      </c>
      <c r="DQ864" s="2" t="n">
        <v>48.04</v>
      </c>
      <c r="DR864" s="2" t="n">
        <v>0</v>
      </c>
      <c r="DS864" s="2" t="n">
        <v>55.92</v>
      </c>
      <c r="DT864" s="2" t="n">
        <v>57.97</v>
      </c>
      <c r="DU864" s="2" t="n">
        <v>0</v>
      </c>
      <c r="DV864" s="2" t="n">
        <v>64.14</v>
      </c>
      <c r="DW864" s="2" t="n">
        <v>66.20999999999999</v>
      </c>
      <c r="DX864" s="2" t="n">
        <v>0</v>
      </c>
      <c r="DY864" s="2" t="n">
        <v>72.79000000000001</v>
      </c>
      <c r="DZ864" s="2" t="n">
        <v>75.18000000000001</v>
      </c>
      <c r="EA864" s="2" t="n">
        <v>0</v>
      </c>
      <c r="EB864" s="2" t="n">
        <v>80.93000000000001</v>
      </c>
      <c r="EC864" s="2" t="n">
        <v>84.2</v>
      </c>
      <c r="ED864" s="2" t="n">
        <v>0</v>
      </c>
      <c r="EE864" s="2" t="n">
        <v>87.59</v>
      </c>
      <c r="EF864" s="2" t="n">
        <v>90.55</v>
      </c>
      <c r="EG864" s="2" t="n">
        <v>0</v>
      </c>
      <c r="EH864" s="2" t="n">
        <v>96.19</v>
      </c>
      <c r="EI864" s="2" t="n">
        <v>98.68000000000001</v>
      </c>
      <c r="EJ864" s="2" t="n">
        <v>0</v>
      </c>
      <c r="EK864" s="2" t="n">
        <v>100</v>
      </c>
      <c r="EL864" s="2" t="n">
        <v>100</v>
      </c>
      <c r="EM864" s="2" t="n">
        <v>0</v>
      </c>
      <c r="EN864" s="2" t="n">
        <v>100</v>
      </c>
      <c r="EO864" s="2" t="n">
        <v>100</v>
      </c>
      <c r="EP864" s="2" t="n">
        <v>0</v>
      </c>
      <c r="EQ864" s="2" t="n">
        <v>100</v>
      </c>
      <c r="ER864" s="2" t="n">
        <v>100</v>
      </c>
      <c r="ES864" s="2" t="n">
        <v>0</v>
      </c>
    </row>
    <row r="865">
      <c r="A865" s="2" t="n">
        <v>3</v>
      </c>
      <c r="B865" s="2" t="inlineStr">
        <is>
          <t>34.04.03</t>
        </is>
      </c>
      <c r="C865" s="2" t="inlineStr">
        <is>
          <t>Torneira de mesa bica móvel 90°, ref.: Deca Link 1166.C.LNK, cromado</t>
        </is>
      </c>
      <c r="D865" s="2" t="inlineStr">
        <is>
          <t>01/03/2028</t>
        </is>
      </c>
      <c r="E865" s="2" t="inlineStr">
        <is>
          <t>05/02/2029</t>
        </is>
      </c>
      <c r="F865" s="2" t="n">
        <v>26655.0179201959</v>
      </c>
      <c r="G865" s="2" t="n">
        <v>0</v>
      </c>
      <c r="H865" s="2" t="n">
        <v>26655.0179201959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2" t="n">
        <v>0</v>
      </c>
      <c r="AB865" s="2" t="n">
        <v>0</v>
      </c>
      <c r="AC865" s="2" t="n">
        <v>0</v>
      </c>
      <c r="AD865" s="2" t="n">
        <v>0</v>
      </c>
      <c r="AE865" s="2" t="n">
        <v>0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0</v>
      </c>
      <c r="AM865" s="2" t="n">
        <v>0</v>
      </c>
      <c r="AN865" s="2" t="n">
        <v>0</v>
      </c>
      <c r="AO865" s="2" t="n">
        <v>0</v>
      </c>
      <c r="AP865" s="2" t="n">
        <v>0</v>
      </c>
      <c r="AQ865" s="2" t="n">
        <v>0</v>
      </c>
      <c r="AR865" s="2" t="n">
        <v>0</v>
      </c>
      <c r="AS865" s="2" t="n">
        <v>0</v>
      </c>
      <c r="AT865" s="2" t="n">
        <v>0</v>
      </c>
      <c r="AU865" s="2" t="n">
        <v>0</v>
      </c>
      <c r="AV865" s="2" t="n">
        <v>0</v>
      </c>
      <c r="AW865" s="2" t="n">
        <v>0</v>
      </c>
      <c r="AX865" s="2" t="n">
        <v>0</v>
      </c>
      <c r="AY865" s="2" t="n">
        <v>0</v>
      </c>
      <c r="AZ865" s="2" t="n">
        <v>0</v>
      </c>
      <c r="BA865" s="2" t="n">
        <v>0</v>
      </c>
      <c r="BB865" s="2" t="n">
        <v>0</v>
      </c>
      <c r="BC865" s="2" t="n">
        <v>0</v>
      </c>
      <c r="BD865" s="2" t="n">
        <v>0</v>
      </c>
      <c r="BE865" s="2" t="n">
        <v>0</v>
      </c>
      <c r="BF865" s="2" t="n">
        <v>0</v>
      </c>
      <c r="BG865" s="2" t="n">
        <v>0</v>
      </c>
      <c r="BH865" s="2" t="n">
        <v>0</v>
      </c>
      <c r="BI865" s="2" t="n">
        <v>0</v>
      </c>
      <c r="BJ865" s="2" t="n">
        <v>0</v>
      </c>
      <c r="BK865" s="2" t="n">
        <v>0</v>
      </c>
      <c r="BL865" s="2" t="n">
        <v>0</v>
      </c>
      <c r="BM865" s="2" t="n">
        <v>0</v>
      </c>
      <c r="BN865" s="2" t="n">
        <v>0</v>
      </c>
      <c r="BO865" s="2" t="n">
        <v>0</v>
      </c>
      <c r="BP865" s="2" t="n">
        <v>0</v>
      </c>
      <c r="BQ865" s="2" t="n">
        <v>0</v>
      </c>
      <c r="BR865" s="2" t="n">
        <v>0</v>
      </c>
      <c r="BS865" s="2" t="n">
        <v>0</v>
      </c>
      <c r="BT865" s="2" t="n">
        <v>0</v>
      </c>
      <c r="BU865" s="2" t="n">
        <v>0</v>
      </c>
      <c r="BV865" s="2" t="n">
        <v>0</v>
      </c>
      <c r="BW865" s="2" t="n">
        <v>0</v>
      </c>
      <c r="BX865" s="2" t="n">
        <v>0</v>
      </c>
      <c r="BY865" s="2" t="n">
        <v>0</v>
      </c>
      <c r="BZ865" s="2" t="n">
        <v>0</v>
      </c>
      <c r="CA865" s="2" t="n">
        <v>0</v>
      </c>
      <c r="CB865" s="2" t="n">
        <v>0</v>
      </c>
      <c r="CC865" s="2" t="n">
        <v>0</v>
      </c>
      <c r="CD865" s="2" t="n">
        <v>0</v>
      </c>
      <c r="CE865" s="2" t="n">
        <v>0</v>
      </c>
      <c r="CF865" s="2" t="n">
        <v>0</v>
      </c>
      <c r="CG865" s="2" t="n">
        <v>0</v>
      </c>
      <c r="CH865" s="2" t="n">
        <v>0</v>
      </c>
      <c r="CI865" s="2" t="n">
        <v>0</v>
      </c>
      <c r="CJ865" s="2" t="n">
        <v>0</v>
      </c>
      <c r="CK865" s="2" t="n">
        <v>0</v>
      </c>
      <c r="CL865" s="2" t="n">
        <v>0</v>
      </c>
      <c r="CM865" s="2" t="n">
        <v>0</v>
      </c>
      <c r="CN865" s="2" t="n">
        <v>0</v>
      </c>
      <c r="CO865" s="2" t="n">
        <v>0</v>
      </c>
      <c r="CP865" s="2" t="n">
        <v>0</v>
      </c>
      <c r="CQ865" s="2" t="n">
        <v>0</v>
      </c>
      <c r="CR865" s="2" t="n">
        <v>0</v>
      </c>
      <c r="CS865" s="2" t="n">
        <v>0</v>
      </c>
      <c r="CT865" s="2" t="n">
        <v>0</v>
      </c>
      <c r="CU865" s="2" t="n">
        <v>0</v>
      </c>
      <c r="CV865" s="2" t="n">
        <v>0</v>
      </c>
      <c r="CW865" s="2" t="n">
        <v>0</v>
      </c>
      <c r="CX865" s="2" t="n">
        <v>0</v>
      </c>
      <c r="CY865" s="2" t="n">
        <v>0</v>
      </c>
      <c r="CZ865" s="2" t="n">
        <v>0</v>
      </c>
      <c r="DA865" s="2" t="n">
        <v>0</v>
      </c>
      <c r="DB865" s="2" t="n">
        <v>0</v>
      </c>
      <c r="DC865" s="2" t="n">
        <v>0</v>
      </c>
      <c r="DD865" s="2" t="n">
        <v>7.49</v>
      </c>
      <c r="DE865" s="2" t="n">
        <v>9.6</v>
      </c>
      <c r="DF865" s="2" t="n">
        <v>0</v>
      </c>
      <c r="DG865" s="2" t="n">
        <v>15.71</v>
      </c>
      <c r="DH865" s="2" t="n">
        <v>17.85</v>
      </c>
      <c r="DI865" s="2" t="n">
        <v>0</v>
      </c>
      <c r="DJ865" s="2" t="n">
        <v>26.39</v>
      </c>
      <c r="DK865" s="2" t="n">
        <v>28.5</v>
      </c>
      <c r="DL865" s="2" t="n">
        <v>0</v>
      </c>
      <c r="DM865" s="2" t="n">
        <v>36.13</v>
      </c>
      <c r="DN865" s="2" t="n">
        <v>38.25</v>
      </c>
      <c r="DO865" s="2" t="n">
        <v>0</v>
      </c>
      <c r="DP865" s="2" t="n">
        <v>45.85</v>
      </c>
      <c r="DQ865" s="2" t="n">
        <v>48.04</v>
      </c>
      <c r="DR865" s="2" t="n">
        <v>0</v>
      </c>
      <c r="DS865" s="2" t="n">
        <v>55.92</v>
      </c>
      <c r="DT865" s="2" t="n">
        <v>57.97</v>
      </c>
      <c r="DU865" s="2" t="n">
        <v>0</v>
      </c>
      <c r="DV865" s="2" t="n">
        <v>64.14</v>
      </c>
      <c r="DW865" s="2" t="n">
        <v>66.20999999999999</v>
      </c>
      <c r="DX865" s="2" t="n">
        <v>0</v>
      </c>
      <c r="DY865" s="2" t="n">
        <v>72.79000000000001</v>
      </c>
      <c r="DZ865" s="2" t="n">
        <v>75.18000000000001</v>
      </c>
      <c r="EA865" s="2" t="n">
        <v>0</v>
      </c>
      <c r="EB865" s="2" t="n">
        <v>80.93000000000001</v>
      </c>
      <c r="EC865" s="2" t="n">
        <v>84.2</v>
      </c>
      <c r="ED865" s="2" t="n">
        <v>0</v>
      </c>
      <c r="EE865" s="2" t="n">
        <v>87.59</v>
      </c>
      <c r="EF865" s="2" t="n">
        <v>90.55</v>
      </c>
      <c r="EG865" s="2" t="n">
        <v>0</v>
      </c>
      <c r="EH865" s="2" t="n">
        <v>96.19</v>
      </c>
      <c r="EI865" s="2" t="n">
        <v>98.68000000000001</v>
      </c>
      <c r="EJ865" s="2" t="n">
        <v>0</v>
      </c>
      <c r="EK865" s="2" t="n">
        <v>100</v>
      </c>
      <c r="EL865" s="2" t="n">
        <v>100</v>
      </c>
      <c r="EM865" s="2" t="n">
        <v>0</v>
      </c>
      <c r="EN865" s="2" t="n">
        <v>100</v>
      </c>
      <c r="EO865" s="2" t="n">
        <v>100</v>
      </c>
      <c r="EP865" s="2" t="n">
        <v>0</v>
      </c>
      <c r="EQ865" s="2" t="n">
        <v>100</v>
      </c>
      <c r="ER865" s="2" t="n">
        <v>100</v>
      </c>
      <c r="ES865" s="2" t="n">
        <v>0</v>
      </c>
    </row>
    <row r="866">
      <c r="A866" s="2" t="n">
        <v>3</v>
      </c>
      <c r="B866" s="2" t="inlineStr">
        <is>
          <t>34.04.04</t>
        </is>
      </c>
      <c r="C866" s="2" t="inlineStr">
        <is>
          <t>Torneira  de parede para Jardim e Tanque com Adaptador de Mangueira  Deca Standard Cromado Cód.: 1153.C39</t>
        </is>
      </c>
      <c r="D866" s="2" t="inlineStr">
        <is>
          <t>01/03/2028</t>
        </is>
      </c>
      <c r="E866" s="2" t="inlineStr">
        <is>
          <t>05/02/2029</t>
        </is>
      </c>
      <c r="F866" s="2" t="n">
        <v>203.1003584039181</v>
      </c>
      <c r="G866" s="2" t="n">
        <v>0</v>
      </c>
      <c r="H866" s="2" t="n">
        <v>203.1003584039181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0</v>
      </c>
      <c r="AL866" s="2" t="n">
        <v>0</v>
      </c>
      <c r="AM866" s="2" t="n">
        <v>0</v>
      </c>
      <c r="AN866" s="2" t="n">
        <v>0</v>
      </c>
      <c r="AO866" s="2" t="n">
        <v>0</v>
      </c>
      <c r="AP866" s="2" t="n">
        <v>0</v>
      </c>
      <c r="AQ866" s="2" t="n">
        <v>0</v>
      </c>
      <c r="AR866" s="2" t="n">
        <v>0</v>
      </c>
      <c r="AS866" s="2" t="n">
        <v>0</v>
      </c>
      <c r="AT866" s="2" t="n">
        <v>0</v>
      </c>
      <c r="AU866" s="2" t="n">
        <v>0</v>
      </c>
      <c r="AV866" s="2" t="n">
        <v>0</v>
      </c>
      <c r="AW866" s="2" t="n">
        <v>0</v>
      </c>
      <c r="AX866" s="2" t="n">
        <v>0</v>
      </c>
      <c r="AY866" s="2" t="n">
        <v>0</v>
      </c>
      <c r="AZ866" s="2" t="n">
        <v>0</v>
      </c>
      <c r="BA866" s="2" t="n">
        <v>0</v>
      </c>
      <c r="BB866" s="2" t="n">
        <v>0</v>
      </c>
      <c r="BC866" s="2" t="n">
        <v>0</v>
      </c>
      <c r="BD866" s="2" t="n">
        <v>0</v>
      </c>
      <c r="BE866" s="2" t="n">
        <v>0</v>
      </c>
      <c r="BF866" s="2" t="n">
        <v>0</v>
      </c>
      <c r="BG866" s="2" t="n">
        <v>0</v>
      </c>
      <c r="BH866" s="2" t="n">
        <v>0</v>
      </c>
      <c r="BI866" s="2" t="n">
        <v>0</v>
      </c>
      <c r="BJ866" s="2" t="n">
        <v>0</v>
      </c>
      <c r="BK866" s="2" t="n">
        <v>0</v>
      </c>
      <c r="BL866" s="2" t="n">
        <v>0</v>
      </c>
      <c r="BM866" s="2" t="n">
        <v>0</v>
      </c>
      <c r="BN866" s="2" t="n">
        <v>0</v>
      </c>
      <c r="BO866" s="2" t="n">
        <v>0</v>
      </c>
      <c r="BP866" s="2" t="n">
        <v>0</v>
      </c>
      <c r="BQ866" s="2" t="n">
        <v>0</v>
      </c>
      <c r="BR866" s="2" t="n">
        <v>0</v>
      </c>
      <c r="BS866" s="2" t="n">
        <v>0</v>
      </c>
      <c r="BT866" s="2" t="n">
        <v>0</v>
      </c>
      <c r="BU866" s="2" t="n">
        <v>0</v>
      </c>
      <c r="BV866" s="2" t="n">
        <v>0</v>
      </c>
      <c r="BW866" s="2" t="n">
        <v>0</v>
      </c>
      <c r="BX866" s="2" t="n">
        <v>0</v>
      </c>
      <c r="BY866" s="2" t="n">
        <v>0</v>
      </c>
      <c r="BZ866" s="2" t="n">
        <v>0</v>
      </c>
      <c r="CA866" s="2" t="n">
        <v>0</v>
      </c>
      <c r="CB866" s="2" t="n">
        <v>0</v>
      </c>
      <c r="CC866" s="2" t="n">
        <v>0</v>
      </c>
      <c r="CD866" s="2" t="n">
        <v>0</v>
      </c>
      <c r="CE866" s="2" t="n">
        <v>0</v>
      </c>
      <c r="CF866" s="2" t="n">
        <v>0</v>
      </c>
      <c r="CG866" s="2" t="n">
        <v>0</v>
      </c>
      <c r="CH866" s="2" t="n">
        <v>0</v>
      </c>
      <c r="CI866" s="2" t="n">
        <v>0</v>
      </c>
      <c r="CJ866" s="2" t="n">
        <v>0</v>
      </c>
      <c r="CK866" s="2" t="n">
        <v>0</v>
      </c>
      <c r="CL866" s="2" t="n">
        <v>0</v>
      </c>
      <c r="CM866" s="2" t="n">
        <v>0</v>
      </c>
      <c r="CN866" s="2" t="n">
        <v>0</v>
      </c>
      <c r="CO866" s="2" t="n">
        <v>0</v>
      </c>
      <c r="CP866" s="2" t="n">
        <v>0</v>
      </c>
      <c r="CQ866" s="2" t="n">
        <v>0</v>
      </c>
      <c r="CR866" s="2" t="n">
        <v>0</v>
      </c>
      <c r="CS866" s="2" t="n">
        <v>0</v>
      </c>
      <c r="CT866" s="2" t="n">
        <v>0</v>
      </c>
      <c r="CU866" s="2" t="n">
        <v>0</v>
      </c>
      <c r="CV866" s="2" t="n">
        <v>0</v>
      </c>
      <c r="CW866" s="2" t="n">
        <v>0</v>
      </c>
      <c r="CX866" s="2" t="n">
        <v>0</v>
      </c>
      <c r="CY866" s="2" t="n">
        <v>0</v>
      </c>
      <c r="CZ866" s="2" t="n">
        <v>0</v>
      </c>
      <c r="DA866" s="2" t="n">
        <v>0</v>
      </c>
      <c r="DB866" s="2" t="n">
        <v>0</v>
      </c>
      <c r="DC866" s="2" t="n">
        <v>0</v>
      </c>
      <c r="DD866" s="2" t="n">
        <v>7.49</v>
      </c>
      <c r="DE866" s="2" t="n">
        <v>9.6</v>
      </c>
      <c r="DF866" s="2" t="n">
        <v>0</v>
      </c>
      <c r="DG866" s="2" t="n">
        <v>15.71</v>
      </c>
      <c r="DH866" s="2" t="n">
        <v>17.85</v>
      </c>
      <c r="DI866" s="2" t="n">
        <v>0</v>
      </c>
      <c r="DJ866" s="2" t="n">
        <v>26.39</v>
      </c>
      <c r="DK866" s="2" t="n">
        <v>28.5</v>
      </c>
      <c r="DL866" s="2" t="n">
        <v>0</v>
      </c>
      <c r="DM866" s="2" t="n">
        <v>36.13</v>
      </c>
      <c r="DN866" s="2" t="n">
        <v>38.25</v>
      </c>
      <c r="DO866" s="2" t="n">
        <v>0</v>
      </c>
      <c r="DP866" s="2" t="n">
        <v>45.85</v>
      </c>
      <c r="DQ866" s="2" t="n">
        <v>48.04</v>
      </c>
      <c r="DR866" s="2" t="n">
        <v>0</v>
      </c>
      <c r="DS866" s="2" t="n">
        <v>55.92</v>
      </c>
      <c r="DT866" s="2" t="n">
        <v>57.97</v>
      </c>
      <c r="DU866" s="2" t="n">
        <v>0</v>
      </c>
      <c r="DV866" s="2" t="n">
        <v>64.14</v>
      </c>
      <c r="DW866" s="2" t="n">
        <v>66.20999999999999</v>
      </c>
      <c r="DX866" s="2" t="n">
        <v>0</v>
      </c>
      <c r="DY866" s="2" t="n">
        <v>72.79000000000001</v>
      </c>
      <c r="DZ866" s="2" t="n">
        <v>75.18000000000001</v>
      </c>
      <c r="EA866" s="2" t="n">
        <v>0</v>
      </c>
      <c r="EB866" s="2" t="n">
        <v>80.93000000000001</v>
      </c>
      <c r="EC866" s="2" t="n">
        <v>84.2</v>
      </c>
      <c r="ED866" s="2" t="n">
        <v>0</v>
      </c>
      <c r="EE866" s="2" t="n">
        <v>87.59</v>
      </c>
      <c r="EF866" s="2" t="n">
        <v>90.55</v>
      </c>
      <c r="EG866" s="2" t="n">
        <v>0</v>
      </c>
      <c r="EH866" s="2" t="n">
        <v>96.19</v>
      </c>
      <c r="EI866" s="2" t="n">
        <v>98.68000000000001</v>
      </c>
      <c r="EJ866" s="2" t="n">
        <v>0</v>
      </c>
      <c r="EK866" s="2" t="n">
        <v>100</v>
      </c>
      <c r="EL866" s="2" t="n">
        <v>100</v>
      </c>
      <c r="EM866" s="2" t="n">
        <v>0</v>
      </c>
      <c r="EN866" s="2" t="n">
        <v>100</v>
      </c>
      <c r="EO866" s="2" t="n">
        <v>100</v>
      </c>
      <c r="EP866" s="2" t="n">
        <v>0</v>
      </c>
      <c r="EQ866" s="2" t="n">
        <v>100</v>
      </c>
      <c r="ER866" s="2" t="n">
        <v>100</v>
      </c>
      <c r="ES866" s="2" t="n">
        <v>0</v>
      </c>
    </row>
    <row r="867">
      <c r="A867" s="2" t="n">
        <v>3</v>
      </c>
      <c r="B867" s="2" t="inlineStr">
        <is>
          <t>34.04.05</t>
        </is>
      </c>
      <c r="C867" s="2" t="inlineStr">
        <is>
          <t>Válvula cromada para tanque</t>
        </is>
      </c>
      <c r="D867" s="2" t="inlineStr">
        <is>
          <t>01/03/2028</t>
        </is>
      </c>
      <c r="E867" s="2" t="inlineStr">
        <is>
          <t>05/02/2029</t>
        </is>
      </c>
      <c r="F867" s="2" t="n">
        <v>4238.118278599825</v>
      </c>
      <c r="G867" s="2" t="n">
        <v>0</v>
      </c>
      <c r="H867" s="2" t="n">
        <v>4238.118278599825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0</v>
      </c>
      <c r="AB867" s="2" t="n">
        <v>0</v>
      </c>
      <c r="AC867" s="2" t="n">
        <v>0</v>
      </c>
      <c r="AD867" s="2" t="n">
        <v>0</v>
      </c>
      <c r="AE867" s="2" t="n">
        <v>0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0</v>
      </c>
      <c r="AL867" s="2" t="n">
        <v>0</v>
      </c>
      <c r="AM867" s="2" t="n">
        <v>0</v>
      </c>
      <c r="AN867" s="2" t="n">
        <v>0</v>
      </c>
      <c r="AO867" s="2" t="n">
        <v>0</v>
      </c>
      <c r="AP867" s="2" t="n">
        <v>0</v>
      </c>
      <c r="AQ867" s="2" t="n">
        <v>0</v>
      </c>
      <c r="AR867" s="2" t="n">
        <v>0</v>
      </c>
      <c r="AS867" s="2" t="n">
        <v>0</v>
      </c>
      <c r="AT867" s="2" t="n">
        <v>0</v>
      </c>
      <c r="AU867" s="2" t="n">
        <v>0</v>
      </c>
      <c r="AV867" s="2" t="n">
        <v>0</v>
      </c>
      <c r="AW867" s="2" t="n">
        <v>0</v>
      </c>
      <c r="AX867" s="2" t="n">
        <v>0</v>
      </c>
      <c r="AY867" s="2" t="n">
        <v>0</v>
      </c>
      <c r="AZ867" s="2" t="n">
        <v>0</v>
      </c>
      <c r="BA867" s="2" t="n">
        <v>0</v>
      </c>
      <c r="BB867" s="2" t="n">
        <v>0</v>
      </c>
      <c r="BC867" s="2" t="n">
        <v>0</v>
      </c>
      <c r="BD867" s="2" t="n">
        <v>0</v>
      </c>
      <c r="BE867" s="2" t="n">
        <v>0</v>
      </c>
      <c r="BF867" s="2" t="n">
        <v>0</v>
      </c>
      <c r="BG867" s="2" t="n">
        <v>0</v>
      </c>
      <c r="BH867" s="2" t="n">
        <v>0</v>
      </c>
      <c r="BI867" s="2" t="n">
        <v>0</v>
      </c>
      <c r="BJ867" s="2" t="n">
        <v>0</v>
      </c>
      <c r="BK867" s="2" t="n">
        <v>0</v>
      </c>
      <c r="BL867" s="2" t="n">
        <v>0</v>
      </c>
      <c r="BM867" s="2" t="n">
        <v>0</v>
      </c>
      <c r="BN867" s="2" t="n">
        <v>0</v>
      </c>
      <c r="BO867" s="2" t="n">
        <v>0</v>
      </c>
      <c r="BP867" s="2" t="n">
        <v>0</v>
      </c>
      <c r="BQ867" s="2" t="n">
        <v>0</v>
      </c>
      <c r="BR867" s="2" t="n">
        <v>0</v>
      </c>
      <c r="BS867" s="2" t="n">
        <v>0</v>
      </c>
      <c r="BT867" s="2" t="n">
        <v>0</v>
      </c>
      <c r="BU867" s="2" t="n">
        <v>0</v>
      </c>
      <c r="BV867" s="2" t="n">
        <v>0</v>
      </c>
      <c r="BW867" s="2" t="n">
        <v>0</v>
      </c>
      <c r="BX867" s="2" t="n">
        <v>0</v>
      </c>
      <c r="BY867" s="2" t="n">
        <v>0</v>
      </c>
      <c r="BZ867" s="2" t="n">
        <v>0</v>
      </c>
      <c r="CA867" s="2" t="n">
        <v>0</v>
      </c>
      <c r="CB867" s="2" t="n">
        <v>0</v>
      </c>
      <c r="CC867" s="2" t="n">
        <v>0</v>
      </c>
      <c r="CD867" s="2" t="n">
        <v>0</v>
      </c>
      <c r="CE867" s="2" t="n">
        <v>0</v>
      </c>
      <c r="CF867" s="2" t="n">
        <v>0</v>
      </c>
      <c r="CG867" s="2" t="n">
        <v>0</v>
      </c>
      <c r="CH867" s="2" t="n">
        <v>0</v>
      </c>
      <c r="CI867" s="2" t="n">
        <v>0</v>
      </c>
      <c r="CJ867" s="2" t="n">
        <v>0</v>
      </c>
      <c r="CK867" s="2" t="n">
        <v>0</v>
      </c>
      <c r="CL867" s="2" t="n">
        <v>0</v>
      </c>
      <c r="CM867" s="2" t="n">
        <v>0</v>
      </c>
      <c r="CN867" s="2" t="n">
        <v>0</v>
      </c>
      <c r="CO867" s="2" t="n">
        <v>0</v>
      </c>
      <c r="CP867" s="2" t="n">
        <v>0</v>
      </c>
      <c r="CQ867" s="2" t="n">
        <v>0</v>
      </c>
      <c r="CR867" s="2" t="n">
        <v>0</v>
      </c>
      <c r="CS867" s="2" t="n">
        <v>0</v>
      </c>
      <c r="CT867" s="2" t="n">
        <v>0</v>
      </c>
      <c r="CU867" s="2" t="n">
        <v>0</v>
      </c>
      <c r="CV867" s="2" t="n">
        <v>0</v>
      </c>
      <c r="CW867" s="2" t="n">
        <v>0</v>
      </c>
      <c r="CX867" s="2" t="n">
        <v>0</v>
      </c>
      <c r="CY867" s="2" t="n">
        <v>0</v>
      </c>
      <c r="CZ867" s="2" t="n">
        <v>0</v>
      </c>
      <c r="DA867" s="2" t="n">
        <v>0</v>
      </c>
      <c r="DB867" s="2" t="n">
        <v>0</v>
      </c>
      <c r="DC867" s="2" t="n">
        <v>0</v>
      </c>
      <c r="DD867" s="2" t="n">
        <v>7.49</v>
      </c>
      <c r="DE867" s="2" t="n">
        <v>9.6</v>
      </c>
      <c r="DF867" s="2" t="n">
        <v>0</v>
      </c>
      <c r="DG867" s="2" t="n">
        <v>15.71</v>
      </c>
      <c r="DH867" s="2" t="n">
        <v>17.85</v>
      </c>
      <c r="DI867" s="2" t="n">
        <v>0</v>
      </c>
      <c r="DJ867" s="2" t="n">
        <v>26.39</v>
      </c>
      <c r="DK867" s="2" t="n">
        <v>28.5</v>
      </c>
      <c r="DL867" s="2" t="n">
        <v>0</v>
      </c>
      <c r="DM867" s="2" t="n">
        <v>36.13</v>
      </c>
      <c r="DN867" s="2" t="n">
        <v>38.25</v>
      </c>
      <c r="DO867" s="2" t="n">
        <v>0</v>
      </c>
      <c r="DP867" s="2" t="n">
        <v>45.85</v>
      </c>
      <c r="DQ867" s="2" t="n">
        <v>48.04</v>
      </c>
      <c r="DR867" s="2" t="n">
        <v>0</v>
      </c>
      <c r="DS867" s="2" t="n">
        <v>55.92</v>
      </c>
      <c r="DT867" s="2" t="n">
        <v>57.97</v>
      </c>
      <c r="DU867" s="2" t="n">
        <v>0</v>
      </c>
      <c r="DV867" s="2" t="n">
        <v>64.14</v>
      </c>
      <c r="DW867" s="2" t="n">
        <v>66.20999999999999</v>
      </c>
      <c r="DX867" s="2" t="n">
        <v>0</v>
      </c>
      <c r="DY867" s="2" t="n">
        <v>72.79000000000001</v>
      </c>
      <c r="DZ867" s="2" t="n">
        <v>75.18000000000001</v>
      </c>
      <c r="EA867" s="2" t="n">
        <v>0</v>
      </c>
      <c r="EB867" s="2" t="n">
        <v>80.93000000000001</v>
      </c>
      <c r="EC867" s="2" t="n">
        <v>84.2</v>
      </c>
      <c r="ED867" s="2" t="n">
        <v>0</v>
      </c>
      <c r="EE867" s="2" t="n">
        <v>87.59</v>
      </c>
      <c r="EF867" s="2" t="n">
        <v>90.55</v>
      </c>
      <c r="EG867" s="2" t="n">
        <v>0</v>
      </c>
      <c r="EH867" s="2" t="n">
        <v>96.19</v>
      </c>
      <c r="EI867" s="2" t="n">
        <v>98.68000000000001</v>
      </c>
      <c r="EJ867" s="2" t="n">
        <v>0</v>
      </c>
      <c r="EK867" s="2" t="n">
        <v>100</v>
      </c>
      <c r="EL867" s="2" t="n">
        <v>100</v>
      </c>
      <c r="EM867" s="2" t="n">
        <v>0</v>
      </c>
      <c r="EN867" s="2" t="n">
        <v>100</v>
      </c>
      <c r="EO867" s="2" t="n">
        <v>100</v>
      </c>
      <c r="EP867" s="2" t="n">
        <v>0</v>
      </c>
      <c r="EQ867" s="2" t="n">
        <v>100</v>
      </c>
      <c r="ER867" s="2" t="n">
        <v>100</v>
      </c>
      <c r="ES867" s="2" t="n">
        <v>0</v>
      </c>
    </row>
    <row r="868">
      <c r="A868" s="2" t="n">
        <v>3</v>
      </c>
      <c r="B868" s="2" t="inlineStr">
        <is>
          <t>34.04.06</t>
        </is>
      </c>
      <c r="C868" s="2" t="inlineStr">
        <is>
          <t>Sifão cromado para tanque</t>
        </is>
      </c>
      <c r="D868" s="2" t="inlineStr">
        <is>
          <t>01/03/2028</t>
        </is>
      </c>
      <c r="E868" s="2" t="inlineStr">
        <is>
          <t>05/02/2029</t>
        </is>
      </c>
      <c r="F868" s="2" t="n">
        <v>11155.01792019591</v>
      </c>
      <c r="G868" s="2" t="n">
        <v>0</v>
      </c>
      <c r="H868" s="2" t="n">
        <v>11155.01792019591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0</v>
      </c>
      <c r="AM868" s="2" t="n">
        <v>0</v>
      </c>
      <c r="AN868" s="2" t="n">
        <v>0</v>
      </c>
      <c r="AO868" s="2" t="n">
        <v>0</v>
      </c>
      <c r="AP868" s="2" t="n">
        <v>0</v>
      </c>
      <c r="AQ868" s="2" t="n">
        <v>0</v>
      </c>
      <c r="AR868" s="2" t="n">
        <v>0</v>
      </c>
      <c r="AS868" s="2" t="n">
        <v>0</v>
      </c>
      <c r="AT868" s="2" t="n">
        <v>0</v>
      </c>
      <c r="AU868" s="2" t="n">
        <v>0</v>
      </c>
      <c r="AV868" s="2" t="n">
        <v>0</v>
      </c>
      <c r="AW868" s="2" t="n">
        <v>0</v>
      </c>
      <c r="AX868" s="2" t="n">
        <v>0</v>
      </c>
      <c r="AY868" s="2" t="n">
        <v>0</v>
      </c>
      <c r="AZ868" s="2" t="n">
        <v>0</v>
      </c>
      <c r="BA868" s="2" t="n">
        <v>0</v>
      </c>
      <c r="BB868" s="2" t="n">
        <v>0</v>
      </c>
      <c r="BC868" s="2" t="n">
        <v>0</v>
      </c>
      <c r="BD868" s="2" t="n">
        <v>0</v>
      </c>
      <c r="BE868" s="2" t="n">
        <v>0</v>
      </c>
      <c r="BF868" s="2" t="n">
        <v>0</v>
      </c>
      <c r="BG868" s="2" t="n">
        <v>0</v>
      </c>
      <c r="BH868" s="2" t="n">
        <v>0</v>
      </c>
      <c r="BI868" s="2" t="n">
        <v>0</v>
      </c>
      <c r="BJ868" s="2" t="n">
        <v>0</v>
      </c>
      <c r="BK868" s="2" t="n">
        <v>0</v>
      </c>
      <c r="BL868" s="2" t="n">
        <v>0</v>
      </c>
      <c r="BM868" s="2" t="n">
        <v>0</v>
      </c>
      <c r="BN868" s="2" t="n">
        <v>0</v>
      </c>
      <c r="BO868" s="2" t="n">
        <v>0</v>
      </c>
      <c r="BP868" s="2" t="n">
        <v>0</v>
      </c>
      <c r="BQ868" s="2" t="n">
        <v>0</v>
      </c>
      <c r="BR868" s="2" t="n">
        <v>0</v>
      </c>
      <c r="BS868" s="2" t="n">
        <v>0</v>
      </c>
      <c r="BT868" s="2" t="n">
        <v>0</v>
      </c>
      <c r="BU868" s="2" t="n">
        <v>0</v>
      </c>
      <c r="BV868" s="2" t="n">
        <v>0</v>
      </c>
      <c r="BW868" s="2" t="n">
        <v>0</v>
      </c>
      <c r="BX868" s="2" t="n">
        <v>0</v>
      </c>
      <c r="BY868" s="2" t="n">
        <v>0</v>
      </c>
      <c r="BZ868" s="2" t="n">
        <v>0</v>
      </c>
      <c r="CA868" s="2" t="n">
        <v>0</v>
      </c>
      <c r="CB868" s="2" t="n">
        <v>0</v>
      </c>
      <c r="CC868" s="2" t="n">
        <v>0</v>
      </c>
      <c r="CD868" s="2" t="n">
        <v>0</v>
      </c>
      <c r="CE868" s="2" t="n">
        <v>0</v>
      </c>
      <c r="CF868" s="2" t="n">
        <v>0</v>
      </c>
      <c r="CG868" s="2" t="n">
        <v>0</v>
      </c>
      <c r="CH868" s="2" t="n">
        <v>0</v>
      </c>
      <c r="CI868" s="2" t="n">
        <v>0</v>
      </c>
      <c r="CJ868" s="2" t="n">
        <v>0</v>
      </c>
      <c r="CK868" s="2" t="n">
        <v>0</v>
      </c>
      <c r="CL868" s="2" t="n">
        <v>0</v>
      </c>
      <c r="CM868" s="2" t="n">
        <v>0</v>
      </c>
      <c r="CN868" s="2" t="n">
        <v>0</v>
      </c>
      <c r="CO868" s="2" t="n">
        <v>0</v>
      </c>
      <c r="CP868" s="2" t="n">
        <v>0</v>
      </c>
      <c r="CQ868" s="2" t="n">
        <v>0</v>
      </c>
      <c r="CR868" s="2" t="n">
        <v>0</v>
      </c>
      <c r="CS868" s="2" t="n">
        <v>0</v>
      </c>
      <c r="CT868" s="2" t="n">
        <v>0</v>
      </c>
      <c r="CU868" s="2" t="n">
        <v>0</v>
      </c>
      <c r="CV868" s="2" t="n">
        <v>0</v>
      </c>
      <c r="CW868" s="2" t="n">
        <v>0</v>
      </c>
      <c r="CX868" s="2" t="n">
        <v>0</v>
      </c>
      <c r="CY868" s="2" t="n">
        <v>0</v>
      </c>
      <c r="CZ868" s="2" t="n">
        <v>0</v>
      </c>
      <c r="DA868" s="2" t="n">
        <v>0</v>
      </c>
      <c r="DB868" s="2" t="n">
        <v>0</v>
      </c>
      <c r="DC868" s="2" t="n">
        <v>0</v>
      </c>
      <c r="DD868" s="2" t="n">
        <v>7.49</v>
      </c>
      <c r="DE868" s="2" t="n">
        <v>9.6</v>
      </c>
      <c r="DF868" s="2" t="n">
        <v>0</v>
      </c>
      <c r="DG868" s="2" t="n">
        <v>15.71</v>
      </c>
      <c r="DH868" s="2" t="n">
        <v>17.85</v>
      </c>
      <c r="DI868" s="2" t="n">
        <v>0</v>
      </c>
      <c r="DJ868" s="2" t="n">
        <v>26.39</v>
      </c>
      <c r="DK868" s="2" t="n">
        <v>28.5</v>
      </c>
      <c r="DL868" s="2" t="n">
        <v>0</v>
      </c>
      <c r="DM868" s="2" t="n">
        <v>36.13</v>
      </c>
      <c r="DN868" s="2" t="n">
        <v>38.25</v>
      </c>
      <c r="DO868" s="2" t="n">
        <v>0</v>
      </c>
      <c r="DP868" s="2" t="n">
        <v>45.85</v>
      </c>
      <c r="DQ868" s="2" t="n">
        <v>48.04</v>
      </c>
      <c r="DR868" s="2" t="n">
        <v>0</v>
      </c>
      <c r="DS868" s="2" t="n">
        <v>55.92</v>
      </c>
      <c r="DT868" s="2" t="n">
        <v>57.97</v>
      </c>
      <c r="DU868" s="2" t="n">
        <v>0</v>
      </c>
      <c r="DV868" s="2" t="n">
        <v>64.14</v>
      </c>
      <c r="DW868" s="2" t="n">
        <v>66.20999999999999</v>
      </c>
      <c r="DX868" s="2" t="n">
        <v>0</v>
      </c>
      <c r="DY868" s="2" t="n">
        <v>72.79000000000001</v>
      </c>
      <c r="DZ868" s="2" t="n">
        <v>75.18000000000001</v>
      </c>
      <c r="EA868" s="2" t="n">
        <v>0</v>
      </c>
      <c r="EB868" s="2" t="n">
        <v>80.93000000000001</v>
      </c>
      <c r="EC868" s="2" t="n">
        <v>84.2</v>
      </c>
      <c r="ED868" s="2" t="n">
        <v>0</v>
      </c>
      <c r="EE868" s="2" t="n">
        <v>87.59</v>
      </c>
      <c r="EF868" s="2" t="n">
        <v>90.55</v>
      </c>
      <c r="EG868" s="2" t="n">
        <v>0</v>
      </c>
      <c r="EH868" s="2" t="n">
        <v>96.19</v>
      </c>
      <c r="EI868" s="2" t="n">
        <v>98.68000000000001</v>
      </c>
      <c r="EJ868" s="2" t="n">
        <v>0</v>
      </c>
      <c r="EK868" s="2" t="n">
        <v>100</v>
      </c>
      <c r="EL868" s="2" t="n">
        <v>100</v>
      </c>
      <c r="EM868" s="2" t="n">
        <v>0</v>
      </c>
      <c r="EN868" s="2" t="n">
        <v>100</v>
      </c>
      <c r="EO868" s="2" t="n">
        <v>100</v>
      </c>
      <c r="EP868" s="2" t="n">
        <v>0</v>
      </c>
      <c r="EQ868" s="2" t="n">
        <v>100</v>
      </c>
      <c r="ER868" s="2" t="n">
        <v>100</v>
      </c>
      <c r="ES868" s="2" t="n">
        <v>0</v>
      </c>
    </row>
    <row r="869">
      <c r="A869" s="2" t="n">
        <v>3</v>
      </c>
      <c r="B869" s="2" t="inlineStr">
        <is>
          <t>34.04.07</t>
        </is>
      </c>
      <c r="C869" s="2" t="inlineStr">
        <is>
          <t>Sifão Articulado Cromado, Deca, Cód.: 1682.C.112</t>
        </is>
      </c>
      <c r="D869" s="2" t="inlineStr">
        <is>
          <t>01/03/2028</t>
        </is>
      </c>
      <c r="E869" s="2" t="inlineStr">
        <is>
          <t>05/02/2029</t>
        </is>
      </c>
      <c r="F869" s="2" t="n">
        <v>73.10035840391814</v>
      </c>
      <c r="G869" s="2" t="n">
        <v>0</v>
      </c>
      <c r="H869" s="2" t="n">
        <v>73.10035840391814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0</v>
      </c>
      <c r="AL869" s="2" t="n">
        <v>0</v>
      </c>
      <c r="AM869" s="2" t="n">
        <v>0</v>
      </c>
      <c r="AN869" s="2" t="n">
        <v>0</v>
      </c>
      <c r="AO869" s="2" t="n">
        <v>0</v>
      </c>
      <c r="AP869" s="2" t="n">
        <v>0</v>
      </c>
      <c r="AQ869" s="2" t="n">
        <v>0</v>
      </c>
      <c r="AR869" s="2" t="n">
        <v>0</v>
      </c>
      <c r="AS869" s="2" t="n">
        <v>0</v>
      </c>
      <c r="AT869" s="2" t="n">
        <v>0</v>
      </c>
      <c r="AU869" s="2" t="n">
        <v>0</v>
      </c>
      <c r="AV869" s="2" t="n">
        <v>0</v>
      </c>
      <c r="AW869" s="2" t="n">
        <v>0</v>
      </c>
      <c r="AX869" s="2" t="n">
        <v>0</v>
      </c>
      <c r="AY869" s="2" t="n">
        <v>0</v>
      </c>
      <c r="AZ869" s="2" t="n">
        <v>0</v>
      </c>
      <c r="BA869" s="2" t="n">
        <v>0</v>
      </c>
      <c r="BB869" s="2" t="n">
        <v>0</v>
      </c>
      <c r="BC869" s="2" t="n">
        <v>0</v>
      </c>
      <c r="BD869" s="2" t="n">
        <v>0</v>
      </c>
      <c r="BE869" s="2" t="n">
        <v>0</v>
      </c>
      <c r="BF869" s="2" t="n">
        <v>0</v>
      </c>
      <c r="BG869" s="2" t="n">
        <v>0</v>
      </c>
      <c r="BH869" s="2" t="n">
        <v>0</v>
      </c>
      <c r="BI869" s="2" t="n">
        <v>0</v>
      </c>
      <c r="BJ869" s="2" t="n">
        <v>0</v>
      </c>
      <c r="BK869" s="2" t="n">
        <v>0</v>
      </c>
      <c r="BL869" s="2" t="n">
        <v>0</v>
      </c>
      <c r="BM869" s="2" t="n">
        <v>0</v>
      </c>
      <c r="BN869" s="2" t="n">
        <v>0</v>
      </c>
      <c r="BO869" s="2" t="n">
        <v>0</v>
      </c>
      <c r="BP869" s="2" t="n">
        <v>0</v>
      </c>
      <c r="BQ869" s="2" t="n">
        <v>0</v>
      </c>
      <c r="BR869" s="2" t="n">
        <v>0</v>
      </c>
      <c r="BS869" s="2" t="n">
        <v>0</v>
      </c>
      <c r="BT869" s="2" t="n">
        <v>0</v>
      </c>
      <c r="BU869" s="2" t="n">
        <v>0</v>
      </c>
      <c r="BV869" s="2" t="n">
        <v>0</v>
      </c>
      <c r="BW869" s="2" t="n">
        <v>0</v>
      </c>
      <c r="BX869" s="2" t="n">
        <v>0</v>
      </c>
      <c r="BY869" s="2" t="n">
        <v>0</v>
      </c>
      <c r="BZ869" s="2" t="n">
        <v>0</v>
      </c>
      <c r="CA869" s="2" t="n">
        <v>0</v>
      </c>
      <c r="CB869" s="2" t="n">
        <v>0</v>
      </c>
      <c r="CC869" s="2" t="n">
        <v>0</v>
      </c>
      <c r="CD869" s="2" t="n">
        <v>0</v>
      </c>
      <c r="CE869" s="2" t="n">
        <v>0</v>
      </c>
      <c r="CF869" s="2" t="n">
        <v>0</v>
      </c>
      <c r="CG869" s="2" t="n">
        <v>0</v>
      </c>
      <c r="CH869" s="2" t="n">
        <v>0</v>
      </c>
      <c r="CI869" s="2" t="n">
        <v>0</v>
      </c>
      <c r="CJ869" s="2" t="n">
        <v>0</v>
      </c>
      <c r="CK869" s="2" t="n">
        <v>0</v>
      </c>
      <c r="CL869" s="2" t="n">
        <v>0</v>
      </c>
      <c r="CM869" s="2" t="n">
        <v>0</v>
      </c>
      <c r="CN869" s="2" t="n">
        <v>0</v>
      </c>
      <c r="CO869" s="2" t="n">
        <v>0</v>
      </c>
      <c r="CP869" s="2" t="n">
        <v>0</v>
      </c>
      <c r="CQ869" s="2" t="n">
        <v>0</v>
      </c>
      <c r="CR869" s="2" t="n">
        <v>0</v>
      </c>
      <c r="CS869" s="2" t="n">
        <v>0</v>
      </c>
      <c r="CT869" s="2" t="n">
        <v>0</v>
      </c>
      <c r="CU869" s="2" t="n">
        <v>0</v>
      </c>
      <c r="CV869" s="2" t="n">
        <v>0</v>
      </c>
      <c r="CW869" s="2" t="n">
        <v>0</v>
      </c>
      <c r="CX869" s="2" t="n">
        <v>0</v>
      </c>
      <c r="CY869" s="2" t="n">
        <v>0</v>
      </c>
      <c r="CZ869" s="2" t="n">
        <v>0</v>
      </c>
      <c r="DA869" s="2" t="n">
        <v>0</v>
      </c>
      <c r="DB869" s="2" t="n">
        <v>0</v>
      </c>
      <c r="DC869" s="2" t="n">
        <v>0</v>
      </c>
      <c r="DD869" s="2" t="n">
        <v>7.49</v>
      </c>
      <c r="DE869" s="2" t="n">
        <v>9.6</v>
      </c>
      <c r="DF869" s="2" t="n">
        <v>0</v>
      </c>
      <c r="DG869" s="2" t="n">
        <v>15.71</v>
      </c>
      <c r="DH869" s="2" t="n">
        <v>17.85</v>
      </c>
      <c r="DI869" s="2" t="n">
        <v>0</v>
      </c>
      <c r="DJ869" s="2" t="n">
        <v>26.39</v>
      </c>
      <c r="DK869" s="2" t="n">
        <v>28.5</v>
      </c>
      <c r="DL869" s="2" t="n">
        <v>0</v>
      </c>
      <c r="DM869" s="2" t="n">
        <v>36.13</v>
      </c>
      <c r="DN869" s="2" t="n">
        <v>38.25</v>
      </c>
      <c r="DO869" s="2" t="n">
        <v>0</v>
      </c>
      <c r="DP869" s="2" t="n">
        <v>45.85</v>
      </c>
      <c r="DQ869" s="2" t="n">
        <v>48.04</v>
      </c>
      <c r="DR869" s="2" t="n">
        <v>0</v>
      </c>
      <c r="DS869" s="2" t="n">
        <v>55.92</v>
      </c>
      <c r="DT869" s="2" t="n">
        <v>57.97</v>
      </c>
      <c r="DU869" s="2" t="n">
        <v>0</v>
      </c>
      <c r="DV869" s="2" t="n">
        <v>64.14</v>
      </c>
      <c r="DW869" s="2" t="n">
        <v>66.20999999999999</v>
      </c>
      <c r="DX869" s="2" t="n">
        <v>0</v>
      </c>
      <c r="DY869" s="2" t="n">
        <v>72.79000000000001</v>
      </c>
      <c r="DZ869" s="2" t="n">
        <v>75.18000000000001</v>
      </c>
      <c r="EA869" s="2" t="n">
        <v>0</v>
      </c>
      <c r="EB869" s="2" t="n">
        <v>80.93000000000001</v>
      </c>
      <c r="EC869" s="2" t="n">
        <v>84.2</v>
      </c>
      <c r="ED869" s="2" t="n">
        <v>0</v>
      </c>
      <c r="EE869" s="2" t="n">
        <v>87.59</v>
      </c>
      <c r="EF869" s="2" t="n">
        <v>90.55</v>
      </c>
      <c r="EG869" s="2" t="n">
        <v>0</v>
      </c>
      <c r="EH869" s="2" t="n">
        <v>96.19</v>
      </c>
      <c r="EI869" s="2" t="n">
        <v>98.68000000000001</v>
      </c>
      <c r="EJ869" s="2" t="n">
        <v>0</v>
      </c>
      <c r="EK869" s="2" t="n">
        <v>100</v>
      </c>
      <c r="EL869" s="2" t="n">
        <v>100</v>
      </c>
      <c r="EM869" s="2" t="n">
        <v>0</v>
      </c>
      <c r="EN869" s="2" t="n">
        <v>100</v>
      </c>
      <c r="EO869" s="2" t="n">
        <v>100</v>
      </c>
      <c r="EP869" s="2" t="n">
        <v>0</v>
      </c>
      <c r="EQ869" s="2" t="n">
        <v>100</v>
      </c>
      <c r="ER869" s="2" t="n">
        <v>100</v>
      </c>
      <c r="ES869" s="2" t="n">
        <v>0</v>
      </c>
    </row>
    <row r="870">
      <c r="A870" s="2" t="n">
        <v>2</v>
      </c>
      <c r="B870" s="2" t="inlineStr">
        <is>
          <t>34.05</t>
        </is>
      </c>
      <c r="C870" s="2" t="inlineStr">
        <is>
          <t>Banho</t>
        </is>
      </c>
      <c r="D870" s="2" t="inlineStr">
        <is>
          <t>01/03/2028</t>
        </is>
      </c>
      <c r="E870" s="2" t="inlineStr">
        <is>
          <t>05/02/2029</t>
        </is>
      </c>
      <c r="F870" s="2" t="n">
        <v>163811.1267717113</v>
      </c>
      <c r="G870" s="2" t="n">
        <v>0</v>
      </c>
      <c r="H870" s="2" t="n">
        <v>163811.1267717113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0</v>
      </c>
      <c r="AL870" s="2" t="n">
        <v>0</v>
      </c>
      <c r="AM870" s="2" t="n">
        <v>0</v>
      </c>
      <c r="AN870" s="2" t="n">
        <v>0</v>
      </c>
      <c r="AO870" s="2" t="n">
        <v>0</v>
      </c>
      <c r="AP870" s="2" t="n">
        <v>0</v>
      </c>
      <c r="AQ870" s="2" t="n">
        <v>0</v>
      </c>
      <c r="AR870" s="2" t="n">
        <v>0</v>
      </c>
      <c r="AS870" s="2" t="n">
        <v>0</v>
      </c>
      <c r="AT870" s="2" t="n">
        <v>0</v>
      </c>
      <c r="AU870" s="2" t="n">
        <v>0</v>
      </c>
      <c r="AV870" s="2" t="n">
        <v>0</v>
      </c>
      <c r="AW870" s="2" t="n">
        <v>0</v>
      </c>
      <c r="AX870" s="2" t="n">
        <v>0</v>
      </c>
      <c r="AY870" s="2" t="n">
        <v>0</v>
      </c>
      <c r="AZ870" s="2" t="n">
        <v>0</v>
      </c>
      <c r="BA870" s="2" t="n">
        <v>0</v>
      </c>
      <c r="BB870" s="2" t="n">
        <v>0</v>
      </c>
      <c r="BC870" s="2" t="n">
        <v>0</v>
      </c>
      <c r="BD870" s="2" t="n">
        <v>0</v>
      </c>
      <c r="BE870" s="2" t="n">
        <v>0</v>
      </c>
      <c r="BF870" s="2" t="n">
        <v>0</v>
      </c>
      <c r="BG870" s="2" t="n">
        <v>0</v>
      </c>
      <c r="BH870" s="2" t="n">
        <v>0</v>
      </c>
      <c r="BI870" s="2" t="n">
        <v>0</v>
      </c>
      <c r="BJ870" s="2" t="n">
        <v>0</v>
      </c>
      <c r="BK870" s="2" t="n">
        <v>0</v>
      </c>
      <c r="BL870" s="2" t="n">
        <v>0</v>
      </c>
      <c r="BM870" s="2" t="n">
        <v>0</v>
      </c>
      <c r="BN870" s="2" t="n">
        <v>0</v>
      </c>
      <c r="BO870" s="2" t="n">
        <v>0</v>
      </c>
      <c r="BP870" s="2" t="n">
        <v>0</v>
      </c>
      <c r="BQ870" s="2" t="n">
        <v>0</v>
      </c>
      <c r="BR870" s="2" t="n">
        <v>0</v>
      </c>
      <c r="BS870" s="2" t="n">
        <v>0</v>
      </c>
      <c r="BT870" s="2" t="n">
        <v>0</v>
      </c>
      <c r="BU870" s="2" t="n">
        <v>0</v>
      </c>
      <c r="BV870" s="2" t="n">
        <v>0</v>
      </c>
      <c r="BW870" s="2" t="n">
        <v>0</v>
      </c>
      <c r="BX870" s="2" t="n">
        <v>0</v>
      </c>
      <c r="BY870" s="2" t="n">
        <v>0</v>
      </c>
      <c r="BZ870" s="2" t="n">
        <v>0</v>
      </c>
      <c r="CA870" s="2" t="n">
        <v>0</v>
      </c>
      <c r="CB870" s="2" t="n">
        <v>0</v>
      </c>
      <c r="CC870" s="2" t="n">
        <v>0</v>
      </c>
      <c r="CD870" s="2" t="n">
        <v>0</v>
      </c>
      <c r="CE870" s="2" t="n">
        <v>0</v>
      </c>
      <c r="CF870" s="2" t="n">
        <v>0</v>
      </c>
      <c r="CG870" s="2" t="n">
        <v>0</v>
      </c>
      <c r="CH870" s="2" t="n">
        <v>0</v>
      </c>
      <c r="CI870" s="2" t="n">
        <v>0</v>
      </c>
      <c r="CJ870" s="2" t="n">
        <v>0</v>
      </c>
      <c r="CK870" s="2" t="n">
        <v>0</v>
      </c>
      <c r="CL870" s="2" t="n">
        <v>0</v>
      </c>
      <c r="CM870" s="2" t="n">
        <v>0</v>
      </c>
      <c r="CN870" s="2" t="n">
        <v>0</v>
      </c>
      <c r="CO870" s="2" t="n">
        <v>0</v>
      </c>
      <c r="CP870" s="2" t="n">
        <v>0</v>
      </c>
      <c r="CQ870" s="2" t="n">
        <v>0</v>
      </c>
      <c r="CR870" s="2" t="n">
        <v>0</v>
      </c>
      <c r="CS870" s="2" t="n">
        <v>0</v>
      </c>
      <c r="CT870" s="2" t="n">
        <v>0</v>
      </c>
      <c r="CU870" s="2" t="n">
        <v>0</v>
      </c>
      <c r="CV870" s="2" t="n">
        <v>0</v>
      </c>
      <c r="CW870" s="2" t="n">
        <v>0</v>
      </c>
      <c r="CX870" s="2" t="n">
        <v>0</v>
      </c>
      <c r="CY870" s="2" t="n">
        <v>0</v>
      </c>
      <c r="CZ870" s="2" t="n">
        <v>0</v>
      </c>
      <c r="DA870" s="2" t="n">
        <v>0</v>
      </c>
      <c r="DB870" s="2" t="n">
        <v>0</v>
      </c>
      <c r="DC870" s="2" t="n">
        <v>0</v>
      </c>
      <c r="DD870" s="2" t="n">
        <v>7.49</v>
      </c>
      <c r="DE870" s="2" t="n">
        <v>9.6</v>
      </c>
      <c r="DF870" s="2" t="n">
        <v>0</v>
      </c>
      <c r="DG870" s="2" t="n">
        <v>15.71</v>
      </c>
      <c r="DH870" s="2" t="n">
        <v>17.85</v>
      </c>
      <c r="DI870" s="2" t="n">
        <v>0</v>
      </c>
      <c r="DJ870" s="2" t="n">
        <v>26.39</v>
      </c>
      <c r="DK870" s="2" t="n">
        <v>28.5</v>
      </c>
      <c r="DL870" s="2" t="n">
        <v>0</v>
      </c>
      <c r="DM870" s="2" t="n">
        <v>36.13</v>
      </c>
      <c r="DN870" s="2" t="n">
        <v>38.25</v>
      </c>
      <c r="DO870" s="2" t="n">
        <v>0</v>
      </c>
      <c r="DP870" s="2" t="n">
        <v>45.85</v>
      </c>
      <c r="DQ870" s="2" t="n">
        <v>48.04</v>
      </c>
      <c r="DR870" s="2" t="n">
        <v>0</v>
      </c>
      <c r="DS870" s="2" t="n">
        <v>55.92</v>
      </c>
      <c r="DT870" s="2" t="n">
        <v>57.97</v>
      </c>
      <c r="DU870" s="2" t="n">
        <v>0</v>
      </c>
      <c r="DV870" s="2" t="n">
        <v>64.14</v>
      </c>
      <c r="DW870" s="2" t="n">
        <v>66.20999999999999</v>
      </c>
      <c r="DX870" s="2" t="n">
        <v>0</v>
      </c>
      <c r="DY870" s="2" t="n">
        <v>72.79000000000001</v>
      </c>
      <c r="DZ870" s="2" t="n">
        <v>75.18000000000001</v>
      </c>
      <c r="EA870" s="2" t="n">
        <v>0</v>
      </c>
      <c r="EB870" s="2" t="n">
        <v>80.93000000000001</v>
      </c>
      <c r="EC870" s="2" t="n">
        <v>84.2</v>
      </c>
      <c r="ED870" s="2" t="n">
        <v>0</v>
      </c>
      <c r="EE870" s="2" t="n">
        <v>87.59</v>
      </c>
      <c r="EF870" s="2" t="n">
        <v>90.55</v>
      </c>
      <c r="EG870" s="2" t="n">
        <v>0</v>
      </c>
      <c r="EH870" s="2" t="n">
        <v>96.19</v>
      </c>
      <c r="EI870" s="2" t="n">
        <v>98.68000000000001</v>
      </c>
      <c r="EJ870" s="2" t="n">
        <v>0</v>
      </c>
      <c r="EK870" s="2" t="n">
        <v>100</v>
      </c>
      <c r="EL870" s="2" t="n">
        <v>100</v>
      </c>
      <c r="EM870" s="2" t="n">
        <v>0</v>
      </c>
      <c r="EN870" s="2" t="n">
        <v>100</v>
      </c>
      <c r="EO870" s="2" t="n">
        <v>100</v>
      </c>
      <c r="EP870" s="2" t="n">
        <v>0</v>
      </c>
      <c r="EQ870" s="2" t="n">
        <v>100</v>
      </c>
      <c r="ER870" s="2" t="n">
        <v>100</v>
      </c>
      <c r="ES870" s="2" t="n">
        <v>0</v>
      </c>
    </row>
    <row r="871">
      <c r="A871" s="2" t="n">
        <v>3</v>
      </c>
      <c r="B871" s="2" t="inlineStr">
        <is>
          <t>34.05.01</t>
        </is>
      </c>
      <c r="C871" s="2" t="inlineStr">
        <is>
          <t>Chuveiro de Parede com Tubo Deca Acqua Plus Standart Cromado, Cód.: 1990.C.STD;</t>
        </is>
      </c>
      <c r="D871" s="2" t="inlineStr">
        <is>
          <t>01/03/2028</t>
        </is>
      </c>
      <c r="E871" s="2" t="inlineStr">
        <is>
          <t>05/02/2029</t>
        </is>
      </c>
      <c r="F871" s="2" t="n">
        <v>306.5501792019591</v>
      </c>
      <c r="G871" s="2" t="n">
        <v>0</v>
      </c>
      <c r="H871" s="2" t="n">
        <v>306.5501792019591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0</v>
      </c>
      <c r="AM871" s="2" t="n">
        <v>0</v>
      </c>
      <c r="AN871" s="2" t="n">
        <v>0</v>
      </c>
      <c r="AO871" s="2" t="n">
        <v>0</v>
      </c>
      <c r="AP871" s="2" t="n">
        <v>0</v>
      </c>
      <c r="AQ871" s="2" t="n">
        <v>0</v>
      </c>
      <c r="AR871" s="2" t="n">
        <v>0</v>
      </c>
      <c r="AS871" s="2" t="n">
        <v>0</v>
      </c>
      <c r="AT871" s="2" t="n">
        <v>0</v>
      </c>
      <c r="AU871" s="2" t="n">
        <v>0</v>
      </c>
      <c r="AV871" s="2" t="n">
        <v>0</v>
      </c>
      <c r="AW871" s="2" t="n">
        <v>0</v>
      </c>
      <c r="AX871" s="2" t="n">
        <v>0</v>
      </c>
      <c r="AY871" s="2" t="n">
        <v>0</v>
      </c>
      <c r="AZ871" s="2" t="n">
        <v>0</v>
      </c>
      <c r="BA871" s="2" t="n">
        <v>0</v>
      </c>
      <c r="BB871" s="2" t="n">
        <v>0</v>
      </c>
      <c r="BC871" s="2" t="n">
        <v>0</v>
      </c>
      <c r="BD871" s="2" t="n">
        <v>0</v>
      </c>
      <c r="BE871" s="2" t="n">
        <v>0</v>
      </c>
      <c r="BF871" s="2" t="n">
        <v>0</v>
      </c>
      <c r="BG871" s="2" t="n">
        <v>0</v>
      </c>
      <c r="BH871" s="2" t="n">
        <v>0</v>
      </c>
      <c r="BI871" s="2" t="n">
        <v>0</v>
      </c>
      <c r="BJ871" s="2" t="n">
        <v>0</v>
      </c>
      <c r="BK871" s="2" t="n">
        <v>0</v>
      </c>
      <c r="BL871" s="2" t="n">
        <v>0</v>
      </c>
      <c r="BM871" s="2" t="n">
        <v>0</v>
      </c>
      <c r="BN871" s="2" t="n">
        <v>0</v>
      </c>
      <c r="BO871" s="2" t="n">
        <v>0</v>
      </c>
      <c r="BP871" s="2" t="n">
        <v>0</v>
      </c>
      <c r="BQ871" s="2" t="n">
        <v>0</v>
      </c>
      <c r="BR871" s="2" t="n">
        <v>0</v>
      </c>
      <c r="BS871" s="2" t="n">
        <v>0</v>
      </c>
      <c r="BT871" s="2" t="n">
        <v>0</v>
      </c>
      <c r="BU871" s="2" t="n">
        <v>0</v>
      </c>
      <c r="BV871" s="2" t="n">
        <v>0</v>
      </c>
      <c r="BW871" s="2" t="n">
        <v>0</v>
      </c>
      <c r="BX871" s="2" t="n">
        <v>0</v>
      </c>
      <c r="BY871" s="2" t="n">
        <v>0</v>
      </c>
      <c r="BZ871" s="2" t="n">
        <v>0</v>
      </c>
      <c r="CA871" s="2" t="n">
        <v>0</v>
      </c>
      <c r="CB871" s="2" t="n">
        <v>0</v>
      </c>
      <c r="CC871" s="2" t="n">
        <v>0</v>
      </c>
      <c r="CD871" s="2" t="n">
        <v>0</v>
      </c>
      <c r="CE871" s="2" t="n">
        <v>0</v>
      </c>
      <c r="CF871" s="2" t="n">
        <v>0</v>
      </c>
      <c r="CG871" s="2" t="n">
        <v>0</v>
      </c>
      <c r="CH871" s="2" t="n">
        <v>0</v>
      </c>
      <c r="CI871" s="2" t="n">
        <v>0</v>
      </c>
      <c r="CJ871" s="2" t="n">
        <v>0</v>
      </c>
      <c r="CK871" s="2" t="n">
        <v>0</v>
      </c>
      <c r="CL871" s="2" t="n">
        <v>0</v>
      </c>
      <c r="CM871" s="2" t="n">
        <v>0</v>
      </c>
      <c r="CN871" s="2" t="n">
        <v>0</v>
      </c>
      <c r="CO871" s="2" t="n">
        <v>0</v>
      </c>
      <c r="CP871" s="2" t="n">
        <v>0</v>
      </c>
      <c r="CQ871" s="2" t="n">
        <v>0</v>
      </c>
      <c r="CR871" s="2" t="n">
        <v>0</v>
      </c>
      <c r="CS871" s="2" t="n">
        <v>0</v>
      </c>
      <c r="CT871" s="2" t="n">
        <v>0</v>
      </c>
      <c r="CU871" s="2" t="n">
        <v>0</v>
      </c>
      <c r="CV871" s="2" t="n">
        <v>0</v>
      </c>
      <c r="CW871" s="2" t="n">
        <v>0</v>
      </c>
      <c r="CX871" s="2" t="n">
        <v>0</v>
      </c>
      <c r="CY871" s="2" t="n">
        <v>0</v>
      </c>
      <c r="CZ871" s="2" t="n">
        <v>0</v>
      </c>
      <c r="DA871" s="2" t="n">
        <v>0</v>
      </c>
      <c r="DB871" s="2" t="n">
        <v>0</v>
      </c>
      <c r="DC871" s="2" t="n">
        <v>0</v>
      </c>
      <c r="DD871" s="2" t="n">
        <v>7.49</v>
      </c>
      <c r="DE871" s="2" t="n">
        <v>9.6</v>
      </c>
      <c r="DF871" s="2" t="n">
        <v>0</v>
      </c>
      <c r="DG871" s="2" t="n">
        <v>15.71</v>
      </c>
      <c r="DH871" s="2" t="n">
        <v>17.85</v>
      </c>
      <c r="DI871" s="2" t="n">
        <v>0</v>
      </c>
      <c r="DJ871" s="2" t="n">
        <v>26.39</v>
      </c>
      <c r="DK871" s="2" t="n">
        <v>28.5</v>
      </c>
      <c r="DL871" s="2" t="n">
        <v>0</v>
      </c>
      <c r="DM871" s="2" t="n">
        <v>36.13</v>
      </c>
      <c r="DN871" s="2" t="n">
        <v>38.25</v>
      </c>
      <c r="DO871" s="2" t="n">
        <v>0</v>
      </c>
      <c r="DP871" s="2" t="n">
        <v>45.85</v>
      </c>
      <c r="DQ871" s="2" t="n">
        <v>48.04</v>
      </c>
      <c r="DR871" s="2" t="n">
        <v>0</v>
      </c>
      <c r="DS871" s="2" t="n">
        <v>55.92</v>
      </c>
      <c r="DT871" s="2" t="n">
        <v>57.97</v>
      </c>
      <c r="DU871" s="2" t="n">
        <v>0</v>
      </c>
      <c r="DV871" s="2" t="n">
        <v>64.14</v>
      </c>
      <c r="DW871" s="2" t="n">
        <v>66.20999999999999</v>
      </c>
      <c r="DX871" s="2" t="n">
        <v>0</v>
      </c>
      <c r="DY871" s="2" t="n">
        <v>72.79000000000001</v>
      </c>
      <c r="DZ871" s="2" t="n">
        <v>75.18000000000001</v>
      </c>
      <c r="EA871" s="2" t="n">
        <v>0</v>
      </c>
      <c r="EB871" s="2" t="n">
        <v>80.93000000000001</v>
      </c>
      <c r="EC871" s="2" t="n">
        <v>84.2</v>
      </c>
      <c r="ED871" s="2" t="n">
        <v>0</v>
      </c>
      <c r="EE871" s="2" t="n">
        <v>87.59</v>
      </c>
      <c r="EF871" s="2" t="n">
        <v>90.55</v>
      </c>
      <c r="EG871" s="2" t="n">
        <v>0</v>
      </c>
      <c r="EH871" s="2" t="n">
        <v>96.19</v>
      </c>
      <c r="EI871" s="2" t="n">
        <v>98.68000000000001</v>
      </c>
      <c r="EJ871" s="2" t="n">
        <v>0</v>
      </c>
      <c r="EK871" s="2" t="n">
        <v>100</v>
      </c>
      <c r="EL871" s="2" t="n">
        <v>100</v>
      </c>
      <c r="EM871" s="2" t="n">
        <v>0</v>
      </c>
      <c r="EN871" s="2" t="n">
        <v>100</v>
      </c>
      <c r="EO871" s="2" t="n">
        <v>100</v>
      </c>
      <c r="EP871" s="2" t="n">
        <v>0</v>
      </c>
      <c r="EQ871" s="2" t="n">
        <v>100</v>
      </c>
      <c r="ER871" s="2" t="n">
        <v>100</v>
      </c>
      <c r="ES871" s="2" t="n">
        <v>0</v>
      </c>
    </row>
    <row r="872">
      <c r="A872" s="2" t="n">
        <v>3</v>
      </c>
      <c r="B872" s="2" t="inlineStr">
        <is>
          <t>34.05.02</t>
        </is>
      </c>
      <c r="C872" s="2" t="inlineStr">
        <is>
          <t>Chuveiro elétrico a definir</t>
        </is>
      </c>
      <c r="D872" s="2" t="inlineStr">
        <is>
          <t>01/03/2028</t>
        </is>
      </c>
      <c r="E872" s="2" t="inlineStr">
        <is>
          <t>05/02/2029</t>
        </is>
      </c>
      <c r="F872" s="2" t="n">
        <v>657.7508960097953</v>
      </c>
      <c r="G872" s="2" t="n">
        <v>0</v>
      </c>
      <c r="H872" s="2" t="n">
        <v>657.7508960097953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0</v>
      </c>
      <c r="AL872" s="2" t="n">
        <v>0</v>
      </c>
      <c r="AM872" s="2" t="n">
        <v>0</v>
      </c>
      <c r="AN872" s="2" t="n">
        <v>0</v>
      </c>
      <c r="AO872" s="2" t="n">
        <v>0</v>
      </c>
      <c r="AP872" s="2" t="n">
        <v>0</v>
      </c>
      <c r="AQ872" s="2" t="n">
        <v>0</v>
      </c>
      <c r="AR872" s="2" t="n">
        <v>0</v>
      </c>
      <c r="AS872" s="2" t="n">
        <v>0</v>
      </c>
      <c r="AT872" s="2" t="n">
        <v>0</v>
      </c>
      <c r="AU872" s="2" t="n">
        <v>0</v>
      </c>
      <c r="AV872" s="2" t="n">
        <v>0</v>
      </c>
      <c r="AW872" s="2" t="n">
        <v>0</v>
      </c>
      <c r="AX872" s="2" t="n">
        <v>0</v>
      </c>
      <c r="AY872" s="2" t="n">
        <v>0</v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0</v>
      </c>
      <c r="BG872" s="2" t="n">
        <v>0</v>
      </c>
      <c r="BH872" s="2" t="n">
        <v>0</v>
      </c>
      <c r="BI872" s="2" t="n">
        <v>0</v>
      </c>
      <c r="BJ872" s="2" t="n">
        <v>0</v>
      </c>
      <c r="BK872" s="2" t="n">
        <v>0</v>
      </c>
      <c r="BL872" s="2" t="n">
        <v>0</v>
      </c>
      <c r="BM872" s="2" t="n">
        <v>0</v>
      </c>
      <c r="BN872" s="2" t="n">
        <v>0</v>
      </c>
      <c r="BO872" s="2" t="n">
        <v>0</v>
      </c>
      <c r="BP872" s="2" t="n">
        <v>0</v>
      </c>
      <c r="BQ872" s="2" t="n">
        <v>0</v>
      </c>
      <c r="BR872" s="2" t="n">
        <v>0</v>
      </c>
      <c r="BS872" s="2" t="n">
        <v>0</v>
      </c>
      <c r="BT872" s="2" t="n">
        <v>0</v>
      </c>
      <c r="BU872" s="2" t="n">
        <v>0</v>
      </c>
      <c r="BV872" s="2" t="n">
        <v>0</v>
      </c>
      <c r="BW872" s="2" t="n">
        <v>0</v>
      </c>
      <c r="BX872" s="2" t="n">
        <v>0</v>
      </c>
      <c r="BY872" s="2" t="n">
        <v>0</v>
      </c>
      <c r="BZ872" s="2" t="n">
        <v>0</v>
      </c>
      <c r="CA872" s="2" t="n">
        <v>0</v>
      </c>
      <c r="CB872" s="2" t="n">
        <v>0</v>
      </c>
      <c r="CC872" s="2" t="n">
        <v>0</v>
      </c>
      <c r="CD872" s="2" t="n">
        <v>0</v>
      </c>
      <c r="CE872" s="2" t="n">
        <v>0</v>
      </c>
      <c r="CF872" s="2" t="n">
        <v>0</v>
      </c>
      <c r="CG872" s="2" t="n">
        <v>0</v>
      </c>
      <c r="CH872" s="2" t="n">
        <v>0</v>
      </c>
      <c r="CI872" s="2" t="n">
        <v>0</v>
      </c>
      <c r="CJ872" s="2" t="n">
        <v>0</v>
      </c>
      <c r="CK872" s="2" t="n">
        <v>0</v>
      </c>
      <c r="CL872" s="2" t="n">
        <v>0</v>
      </c>
      <c r="CM872" s="2" t="n">
        <v>0</v>
      </c>
      <c r="CN872" s="2" t="n">
        <v>0</v>
      </c>
      <c r="CO872" s="2" t="n">
        <v>0</v>
      </c>
      <c r="CP872" s="2" t="n">
        <v>0</v>
      </c>
      <c r="CQ872" s="2" t="n">
        <v>0</v>
      </c>
      <c r="CR872" s="2" t="n">
        <v>0</v>
      </c>
      <c r="CS872" s="2" t="n">
        <v>0</v>
      </c>
      <c r="CT872" s="2" t="n">
        <v>0</v>
      </c>
      <c r="CU872" s="2" t="n">
        <v>0</v>
      </c>
      <c r="CV872" s="2" t="n">
        <v>0</v>
      </c>
      <c r="CW872" s="2" t="n">
        <v>0</v>
      </c>
      <c r="CX872" s="2" t="n">
        <v>0</v>
      </c>
      <c r="CY872" s="2" t="n">
        <v>0</v>
      </c>
      <c r="CZ872" s="2" t="n">
        <v>0</v>
      </c>
      <c r="DA872" s="2" t="n">
        <v>0</v>
      </c>
      <c r="DB872" s="2" t="n">
        <v>0</v>
      </c>
      <c r="DC872" s="2" t="n">
        <v>0</v>
      </c>
      <c r="DD872" s="2" t="n">
        <v>7.49</v>
      </c>
      <c r="DE872" s="2" t="n">
        <v>9.6</v>
      </c>
      <c r="DF872" s="2" t="n">
        <v>0</v>
      </c>
      <c r="DG872" s="2" t="n">
        <v>15.71</v>
      </c>
      <c r="DH872" s="2" t="n">
        <v>17.85</v>
      </c>
      <c r="DI872" s="2" t="n">
        <v>0</v>
      </c>
      <c r="DJ872" s="2" t="n">
        <v>26.39</v>
      </c>
      <c r="DK872" s="2" t="n">
        <v>28.5</v>
      </c>
      <c r="DL872" s="2" t="n">
        <v>0</v>
      </c>
      <c r="DM872" s="2" t="n">
        <v>36.13</v>
      </c>
      <c r="DN872" s="2" t="n">
        <v>38.25</v>
      </c>
      <c r="DO872" s="2" t="n">
        <v>0</v>
      </c>
      <c r="DP872" s="2" t="n">
        <v>45.85</v>
      </c>
      <c r="DQ872" s="2" t="n">
        <v>48.04</v>
      </c>
      <c r="DR872" s="2" t="n">
        <v>0</v>
      </c>
      <c r="DS872" s="2" t="n">
        <v>55.92</v>
      </c>
      <c r="DT872" s="2" t="n">
        <v>57.97</v>
      </c>
      <c r="DU872" s="2" t="n">
        <v>0</v>
      </c>
      <c r="DV872" s="2" t="n">
        <v>64.14</v>
      </c>
      <c r="DW872" s="2" t="n">
        <v>66.20999999999999</v>
      </c>
      <c r="DX872" s="2" t="n">
        <v>0</v>
      </c>
      <c r="DY872" s="2" t="n">
        <v>72.79000000000001</v>
      </c>
      <c r="DZ872" s="2" t="n">
        <v>75.18000000000001</v>
      </c>
      <c r="EA872" s="2" t="n">
        <v>0</v>
      </c>
      <c r="EB872" s="2" t="n">
        <v>80.93000000000001</v>
      </c>
      <c r="EC872" s="2" t="n">
        <v>84.2</v>
      </c>
      <c r="ED872" s="2" t="n">
        <v>0</v>
      </c>
      <c r="EE872" s="2" t="n">
        <v>87.59</v>
      </c>
      <c r="EF872" s="2" t="n">
        <v>90.55</v>
      </c>
      <c r="EG872" s="2" t="n">
        <v>0</v>
      </c>
      <c r="EH872" s="2" t="n">
        <v>96.19</v>
      </c>
      <c r="EI872" s="2" t="n">
        <v>98.68000000000001</v>
      </c>
      <c r="EJ872" s="2" t="n">
        <v>0</v>
      </c>
      <c r="EK872" s="2" t="n">
        <v>100</v>
      </c>
      <c r="EL872" s="2" t="n">
        <v>100</v>
      </c>
      <c r="EM872" s="2" t="n">
        <v>0</v>
      </c>
      <c r="EN872" s="2" t="n">
        <v>100</v>
      </c>
      <c r="EO872" s="2" t="n">
        <v>100</v>
      </c>
      <c r="EP872" s="2" t="n">
        <v>0</v>
      </c>
      <c r="EQ872" s="2" t="n">
        <v>100</v>
      </c>
      <c r="ER872" s="2" t="n">
        <v>100</v>
      </c>
      <c r="ES872" s="2" t="n">
        <v>0</v>
      </c>
    </row>
    <row r="873">
      <c r="A873" s="2" t="n">
        <v>3</v>
      </c>
      <c r="B873" s="2" t="inlineStr">
        <is>
          <t>34.05.03</t>
        </is>
      </c>
      <c r="C873" s="2" t="inlineStr">
        <is>
          <t>Registro de pressão com acabamento para chuveiro elétrico</t>
        </is>
      </c>
      <c r="D873" s="2" t="inlineStr">
        <is>
          <t>01/03/2028</t>
        </is>
      </c>
      <c r="E873" s="2" t="inlineStr">
        <is>
          <t>05/02/2029</t>
        </is>
      </c>
      <c r="F873" s="2" t="n">
        <v>369.3010752117544</v>
      </c>
      <c r="G873" s="2" t="n">
        <v>0</v>
      </c>
      <c r="H873" s="2" t="n">
        <v>369.3010752117544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0</v>
      </c>
      <c r="AL873" s="2" t="n">
        <v>0</v>
      </c>
      <c r="AM873" s="2" t="n">
        <v>0</v>
      </c>
      <c r="AN873" s="2" t="n">
        <v>0</v>
      </c>
      <c r="AO873" s="2" t="n">
        <v>0</v>
      </c>
      <c r="AP873" s="2" t="n">
        <v>0</v>
      </c>
      <c r="AQ873" s="2" t="n">
        <v>0</v>
      </c>
      <c r="AR873" s="2" t="n">
        <v>0</v>
      </c>
      <c r="AS873" s="2" t="n">
        <v>0</v>
      </c>
      <c r="AT873" s="2" t="n">
        <v>0</v>
      </c>
      <c r="AU873" s="2" t="n">
        <v>0</v>
      </c>
      <c r="AV873" s="2" t="n">
        <v>0</v>
      </c>
      <c r="AW873" s="2" t="n">
        <v>0</v>
      </c>
      <c r="AX873" s="2" t="n">
        <v>0</v>
      </c>
      <c r="AY873" s="2" t="n">
        <v>0</v>
      </c>
      <c r="AZ873" s="2" t="n">
        <v>0</v>
      </c>
      <c r="BA873" s="2" t="n">
        <v>0</v>
      </c>
      <c r="BB873" s="2" t="n">
        <v>0</v>
      </c>
      <c r="BC873" s="2" t="n">
        <v>0</v>
      </c>
      <c r="BD873" s="2" t="n">
        <v>0</v>
      </c>
      <c r="BE873" s="2" t="n">
        <v>0</v>
      </c>
      <c r="BF873" s="2" t="n">
        <v>0</v>
      </c>
      <c r="BG873" s="2" t="n">
        <v>0</v>
      </c>
      <c r="BH873" s="2" t="n">
        <v>0</v>
      </c>
      <c r="BI873" s="2" t="n">
        <v>0</v>
      </c>
      <c r="BJ873" s="2" t="n">
        <v>0</v>
      </c>
      <c r="BK873" s="2" t="n">
        <v>0</v>
      </c>
      <c r="BL873" s="2" t="n">
        <v>0</v>
      </c>
      <c r="BM873" s="2" t="n">
        <v>0</v>
      </c>
      <c r="BN873" s="2" t="n">
        <v>0</v>
      </c>
      <c r="BO873" s="2" t="n">
        <v>0</v>
      </c>
      <c r="BP873" s="2" t="n">
        <v>0</v>
      </c>
      <c r="BQ873" s="2" t="n">
        <v>0</v>
      </c>
      <c r="BR873" s="2" t="n">
        <v>0</v>
      </c>
      <c r="BS873" s="2" t="n">
        <v>0</v>
      </c>
      <c r="BT873" s="2" t="n">
        <v>0</v>
      </c>
      <c r="BU873" s="2" t="n">
        <v>0</v>
      </c>
      <c r="BV873" s="2" t="n">
        <v>0</v>
      </c>
      <c r="BW873" s="2" t="n">
        <v>0</v>
      </c>
      <c r="BX873" s="2" t="n">
        <v>0</v>
      </c>
      <c r="BY873" s="2" t="n">
        <v>0</v>
      </c>
      <c r="BZ873" s="2" t="n">
        <v>0</v>
      </c>
      <c r="CA873" s="2" t="n">
        <v>0</v>
      </c>
      <c r="CB873" s="2" t="n">
        <v>0</v>
      </c>
      <c r="CC873" s="2" t="n">
        <v>0</v>
      </c>
      <c r="CD873" s="2" t="n">
        <v>0</v>
      </c>
      <c r="CE873" s="2" t="n">
        <v>0</v>
      </c>
      <c r="CF873" s="2" t="n">
        <v>0</v>
      </c>
      <c r="CG873" s="2" t="n">
        <v>0</v>
      </c>
      <c r="CH873" s="2" t="n">
        <v>0</v>
      </c>
      <c r="CI873" s="2" t="n">
        <v>0</v>
      </c>
      <c r="CJ873" s="2" t="n">
        <v>0</v>
      </c>
      <c r="CK873" s="2" t="n">
        <v>0</v>
      </c>
      <c r="CL873" s="2" t="n">
        <v>0</v>
      </c>
      <c r="CM873" s="2" t="n">
        <v>0</v>
      </c>
      <c r="CN873" s="2" t="n">
        <v>0</v>
      </c>
      <c r="CO873" s="2" t="n">
        <v>0</v>
      </c>
      <c r="CP873" s="2" t="n">
        <v>0</v>
      </c>
      <c r="CQ873" s="2" t="n">
        <v>0</v>
      </c>
      <c r="CR873" s="2" t="n">
        <v>0</v>
      </c>
      <c r="CS873" s="2" t="n">
        <v>0</v>
      </c>
      <c r="CT873" s="2" t="n">
        <v>0</v>
      </c>
      <c r="CU873" s="2" t="n">
        <v>0</v>
      </c>
      <c r="CV873" s="2" t="n">
        <v>0</v>
      </c>
      <c r="CW873" s="2" t="n">
        <v>0</v>
      </c>
      <c r="CX873" s="2" t="n">
        <v>0</v>
      </c>
      <c r="CY873" s="2" t="n">
        <v>0</v>
      </c>
      <c r="CZ873" s="2" t="n">
        <v>0</v>
      </c>
      <c r="DA873" s="2" t="n">
        <v>0</v>
      </c>
      <c r="DB873" s="2" t="n">
        <v>0</v>
      </c>
      <c r="DC873" s="2" t="n">
        <v>0</v>
      </c>
      <c r="DD873" s="2" t="n">
        <v>7.49</v>
      </c>
      <c r="DE873" s="2" t="n">
        <v>9.6</v>
      </c>
      <c r="DF873" s="2" t="n">
        <v>0</v>
      </c>
      <c r="DG873" s="2" t="n">
        <v>15.71</v>
      </c>
      <c r="DH873" s="2" t="n">
        <v>17.85</v>
      </c>
      <c r="DI873" s="2" t="n">
        <v>0</v>
      </c>
      <c r="DJ873" s="2" t="n">
        <v>26.39</v>
      </c>
      <c r="DK873" s="2" t="n">
        <v>28.5</v>
      </c>
      <c r="DL873" s="2" t="n">
        <v>0</v>
      </c>
      <c r="DM873" s="2" t="n">
        <v>36.13</v>
      </c>
      <c r="DN873" s="2" t="n">
        <v>38.25</v>
      </c>
      <c r="DO873" s="2" t="n">
        <v>0</v>
      </c>
      <c r="DP873" s="2" t="n">
        <v>45.85</v>
      </c>
      <c r="DQ873" s="2" t="n">
        <v>48.04</v>
      </c>
      <c r="DR873" s="2" t="n">
        <v>0</v>
      </c>
      <c r="DS873" s="2" t="n">
        <v>55.92</v>
      </c>
      <c r="DT873" s="2" t="n">
        <v>57.97</v>
      </c>
      <c r="DU873" s="2" t="n">
        <v>0</v>
      </c>
      <c r="DV873" s="2" t="n">
        <v>64.14</v>
      </c>
      <c r="DW873" s="2" t="n">
        <v>66.20999999999999</v>
      </c>
      <c r="DX873" s="2" t="n">
        <v>0</v>
      </c>
      <c r="DY873" s="2" t="n">
        <v>72.79000000000001</v>
      </c>
      <c r="DZ873" s="2" t="n">
        <v>75.18000000000001</v>
      </c>
      <c r="EA873" s="2" t="n">
        <v>0</v>
      </c>
      <c r="EB873" s="2" t="n">
        <v>80.93000000000001</v>
      </c>
      <c r="EC873" s="2" t="n">
        <v>84.2</v>
      </c>
      <c r="ED873" s="2" t="n">
        <v>0</v>
      </c>
      <c r="EE873" s="2" t="n">
        <v>87.59</v>
      </c>
      <c r="EF873" s="2" t="n">
        <v>90.55</v>
      </c>
      <c r="EG873" s="2" t="n">
        <v>0</v>
      </c>
      <c r="EH873" s="2" t="n">
        <v>96.19</v>
      </c>
      <c r="EI873" s="2" t="n">
        <v>98.68000000000001</v>
      </c>
      <c r="EJ873" s="2" t="n">
        <v>0</v>
      </c>
      <c r="EK873" s="2" t="n">
        <v>100</v>
      </c>
      <c r="EL873" s="2" t="n">
        <v>100</v>
      </c>
      <c r="EM873" s="2" t="n">
        <v>0</v>
      </c>
      <c r="EN873" s="2" t="n">
        <v>100</v>
      </c>
      <c r="EO873" s="2" t="n">
        <v>100</v>
      </c>
      <c r="EP873" s="2" t="n">
        <v>0</v>
      </c>
      <c r="EQ873" s="2" t="n">
        <v>100</v>
      </c>
      <c r="ER873" s="2" t="n">
        <v>100</v>
      </c>
      <c r="ES873" s="2" t="n">
        <v>0</v>
      </c>
    </row>
    <row r="874">
      <c r="A874" s="2" t="n">
        <v>3</v>
      </c>
      <c r="B874" s="2" t="inlineStr">
        <is>
          <t>34.05.04</t>
        </is>
      </c>
      <c r="C874" s="2" t="inlineStr">
        <is>
          <t>Acabamento de monocomando de chuveiro, ref.: Deca Level 4993.C26.CHU, cromado</t>
        </is>
      </c>
      <c r="D874" s="2" t="inlineStr">
        <is>
          <t>01/03/2028</t>
        </is>
      </c>
      <c r="E874" s="2" t="inlineStr">
        <is>
          <t>05/02/2029</t>
        </is>
      </c>
      <c r="F874" s="2" t="n">
        <v>162477.5246212878</v>
      </c>
      <c r="G874" s="2" t="n">
        <v>0</v>
      </c>
      <c r="H874" s="2" t="n">
        <v>162477.5246212878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0</v>
      </c>
      <c r="AM874" s="2" t="n">
        <v>0</v>
      </c>
      <c r="AN874" s="2" t="n">
        <v>0</v>
      </c>
      <c r="AO874" s="2" t="n">
        <v>0</v>
      </c>
      <c r="AP874" s="2" t="n">
        <v>0</v>
      </c>
      <c r="AQ874" s="2" t="n">
        <v>0</v>
      </c>
      <c r="AR874" s="2" t="n">
        <v>0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 t="n">
        <v>0</v>
      </c>
      <c r="AX874" s="2" t="n">
        <v>0</v>
      </c>
      <c r="AY874" s="2" t="n">
        <v>0</v>
      </c>
      <c r="AZ874" s="2" t="n">
        <v>0</v>
      </c>
      <c r="BA874" s="2" t="n">
        <v>0</v>
      </c>
      <c r="BB874" s="2" t="n">
        <v>0</v>
      </c>
      <c r="BC874" s="2" t="n">
        <v>0</v>
      </c>
      <c r="BD874" s="2" t="n">
        <v>0</v>
      </c>
      <c r="BE874" s="2" t="n">
        <v>0</v>
      </c>
      <c r="BF874" s="2" t="n">
        <v>0</v>
      </c>
      <c r="BG874" s="2" t="n">
        <v>0</v>
      </c>
      <c r="BH874" s="2" t="n">
        <v>0</v>
      </c>
      <c r="BI874" s="2" t="n">
        <v>0</v>
      </c>
      <c r="BJ874" s="2" t="n">
        <v>0</v>
      </c>
      <c r="BK874" s="2" t="n">
        <v>0</v>
      </c>
      <c r="BL874" s="2" t="n">
        <v>0</v>
      </c>
      <c r="BM874" s="2" t="n">
        <v>0</v>
      </c>
      <c r="BN874" s="2" t="n">
        <v>0</v>
      </c>
      <c r="BO874" s="2" t="n">
        <v>0</v>
      </c>
      <c r="BP874" s="2" t="n">
        <v>0</v>
      </c>
      <c r="BQ874" s="2" t="n">
        <v>0</v>
      </c>
      <c r="BR874" s="2" t="n">
        <v>0</v>
      </c>
      <c r="BS874" s="2" t="n">
        <v>0</v>
      </c>
      <c r="BT874" s="2" t="n">
        <v>0</v>
      </c>
      <c r="BU874" s="2" t="n">
        <v>0</v>
      </c>
      <c r="BV874" s="2" t="n">
        <v>0</v>
      </c>
      <c r="BW874" s="2" t="n">
        <v>0</v>
      </c>
      <c r="BX874" s="2" t="n">
        <v>0</v>
      </c>
      <c r="BY874" s="2" t="n">
        <v>0</v>
      </c>
      <c r="BZ874" s="2" t="n">
        <v>0</v>
      </c>
      <c r="CA874" s="2" t="n">
        <v>0</v>
      </c>
      <c r="CB874" s="2" t="n">
        <v>0</v>
      </c>
      <c r="CC874" s="2" t="n">
        <v>0</v>
      </c>
      <c r="CD874" s="2" t="n">
        <v>0</v>
      </c>
      <c r="CE874" s="2" t="n">
        <v>0</v>
      </c>
      <c r="CF874" s="2" t="n">
        <v>0</v>
      </c>
      <c r="CG874" s="2" t="n">
        <v>0</v>
      </c>
      <c r="CH874" s="2" t="n">
        <v>0</v>
      </c>
      <c r="CI874" s="2" t="n">
        <v>0</v>
      </c>
      <c r="CJ874" s="2" t="n">
        <v>0</v>
      </c>
      <c r="CK874" s="2" t="n">
        <v>0</v>
      </c>
      <c r="CL874" s="2" t="n">
        <v>0</v>
      </c>
      <c r="CM874" s="2" t="n">
        <v>0</v>
      </c>
      <c r="CN874" s="2" t="n">
        <v>0</v>
      </c>
      <c r="CO874" s="2" t="n">
        <v>0</v>
      </c>
      <c r="CP874" s="2" t="n">
        <v>0</v>
      </c>
      <c r="CQ874" s="2" t="n">
        <v>0</v>
      </c>
      <c r="CR874" s="2" t="n">
        <v>0</v>
      </c>
      <c r="CS874" s="2" t="n">
        <v>0</v>
      </c>
      <c r="CT874" s="2" t="n">
        <v>0</v>
      </c>
      <c r="CU874" s="2" t="n">
        <v>0</v>
      </c>
      <c r="CV874" s="2" t="n">
        <v>0</v>
      </c>
      <c r="CW874" s="2" t="n">
        <v>0</v>
      </c>
      <c r="CX874" s="2" t="n">
        <v>0</v>
      </c>
      <c r="CY874" s="2" t="n">
        <v>0</v>
      </c>
      <c r="CZ874" s="2" t="n">
        <v>0</v>
      </c>
      <c r="DA874" s="2" t="n">
        <v>0</v>
      </c>
      <c r="DB874" s="2" t="n">
        <v>0</v>
      </c>
      <c r="DC874" s="2" t="n">
        <v>0</v>
      </c>
      <c r="DD874" s="2" t="n">
        <v>7.49</v>
      </c>
      <c r="DE874" s="2" t="n">
        <v>9.6</v>
      </c>
      <c r="DF874" s="2" t="n">
        <v>0</v>
      </c>
      <c r="DG874" s="2" t="n">
        <v>15.71</v>
      </c>
      <c r="DH874" s="2" t="n">
        <v>17.85</v>
      </c>
      <c r="DI874" s="2" t="n">
        <v>0</v>
      </c>
      <c r="DJ874" s="2" t="n">
        <v>26.39</v>
      </c>
      <c r="DK874" s="2" t="n">
        <v>28.5</v>
      </c>
      <c r="DL874" s="2" t="n">
        <v>0</v>
      </c>
      <c r="DM874" s="2" t="n">
        <v>36.13</v>
      </c>
      <c r="DN874" s="2" t="n">
        <v>38.25</v>
      </c>
      <c r="DO874" s="2" t="n">
        <v>0</v>
      </c>
      <c r="DP874" s="2" t="n">
        <v>45.85</v>
      </c>
      <c r="DQ874" s="2" t="n">
        <v>48.04</v>
      </c>
      <c r="DR874" s="2" t="n">
        <v>0</v>
      </c>
      <c r="DS874" s="2" t="n">
        <v>55.92</v>
      </c>
      <c r="DT874" s="2" t="n">
        <v>57.97</v>
      </c>
      <c r="DU874" s="2" t="n">
        <v>0</v>
      </c>
      <c r="DV874" s="2" t="n">
        <v>64.14</v>
      </c>
      <c r="DW874" s="2" t="n">
        <v>66.20999999999999</v>
      </c>
      <c r="DX874" s="2" t="n">
        <v>0</v>
      </c>
      <c r="DY874" s="2" t="n">
        <v>72.79000000000001</v>
      </c>
      <c r="DZ874" s="2" t="n">
        <v>75.18000000000001</v>
      </c>
      <c r="EA874" s="2" t="n">
        <v>0</v>
      </c>
      <c r="EB874" s="2" t="n">
        <v>80.93000000000001</v>
      </c>
      <c r="EC874" s="2" t="n">
        <v>84.2</v>
      </c>
      <c r="ED874" s="2" t="n">
        <v>0</v>
      </c>
      <c r="EE874" s="2" t="n">
        <v>87.59</v>
      </c>
      <c r="EF874" s="2" t="n">
        <v>90.55</v>
      </c>
      <c r="EG874" s="2" t="n">
        <v>0</v>
      </c>
      <c r="EH874" s="2" t="n">
        <v>96.19</v>
      </c>
      <c r="EI874" s="2" t="n">
        <v>98.68000000000001</v>
      </c>
      <c r="EJ874" s="2" t="n">
        <v>0</v>
      </c>
      <c r="EK874" s="2" t="n">
        <v>100</v>
      </c>
      <c r="EL874" s="2" t="n">
        <v>100</v>
      </c>
      <c r="EM874" s="2" t="n">
        <v>0</v>
      </c>
      <c r="EN874" s="2" t="n">
        <v>100</v>
      </c>
      <c r="EO874" s="2" t="n">
        <v>100</v>
      </c>
      <c r="EP874" s="2" t="n">
        <v>0</v>
      </c>
      <c r="EQ874" s="2" t="n">
        <v>100</v>
      </c>
      <c r="ER874" s="2" t="n">
        <v>100</v>
      </c>
      <c r="ES874" s="2" t="n">
        <v>0</v>
      </c>
    </row>
    <row r="875">
      <c r="A875" s="2" t="n">
        <v>2</v>
      </c>
      <c r="B875" s="2" t="inlineStr">
        <is>
          <t>34.06</t>
        </is>
      </c>
      <c r="C875" s="2" t="inlineStr">
        <is>
          <t>Acessibilidade</t>
        </is>
      </c>
      <c r="D875" s="2" t="inlineStr">
        <is>
          <t>01/03/2028</t>
        </is>
      </c>
      <c r="E875" s="2" t="inlineStr">
        <is>
          <t>05/02/2029</t>
        </is>
      </c>
      <c r="F875" s="2" t="n">
        <v>25561.28911759612</v>
      </c>
      <c r="G875" s="2" t="n">
        <v>0</v>
      </c>
      <c r="H875" s="2" t="n">
        <v>25561.28911759612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0</v>
      </c>
      <c r="S875" s="2" t="n">
        <v>0</v>
      </c>
      <c r="T875" s="2" t="n">
        <v>0</v>
      </c>
      <c r="U875" s="2" t="n">
        <v>0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n">
        <v>0</v>
      </c>
      <c r="AC875" s="2" t="n">
        <v>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0</v>
      </c>
      <c r="AL875" s="2" t="n">
        <v>0</v>
      </c>
      <c r="AM875" s="2" t="n">
        <v>0</v>
      </c>
      <c r="AN875" s="2" t="n">
        <v>0</v>
      </c>
      <c r="AO875" s="2" t="n">
        <v>0</v>
      </c>
      <c r="AP875" s="2" t="n">
        <v>0</v>
      </c>
      <c r="AQ875" s="2" t="n">
        <v>0</v>
      </c>
      <c r="AR875" s="2" t="n">
        <v>0</v>
      </c>
      <c r="AS875" s="2" t="n">
        <v>0</v>
      </c>
      <c r="AT875" s="2" t="n">
        <v>0</v>
      </c>
      <c r="AU875" s="2" t="n">
        <v>0</v>
      </c>
      <c r="AV875" s="2" t="n">
        <v>0</v>
      </c>
      <c r="AW875" s="2" t="n">
        <v>0</v>
      </c>
      <c r="AX875" s="2" t="n">
        <v>0</v>
      </c>
      <c r="AY875" s="2" t="n">
        <v>0</v>
      </c>
      <c r="AZ875" s="2" t="n">
        <v>0</v>
      </c>
      <c r="BA875" s="2" t="n">
        <v>0</v>
      </c>
      <c r="BB875" s="2" t="n">
        <v>0</v>
      </c>
      <c r="BC875" s="2" t="n">
        <v>0</v>
      </c>
      <c r="BD875" s="2" t="n">
        <v>0</v>
      </c>
      <c r="BE875" s="2" t="n">
        <v>0</v>
      </c>
      <c r="BF875" s="2" t="n">
        <v>0</v>
      </c>
      <c r="BG875" s="2" t="n">
        <v>0</v>
      </c>
      <c r="BH875" s="2" t="n">
        <v>0</v>
      </c>
      <c r="BI875" s="2" t="n">
        <v>0</v>
      </c>
      <c r="BJ875" s="2" t="n">
        <v>0</v>
      </c>
      <c r="BK875" s="2" t="n">
        <v>0</v>
      </c>
      <c r="BL875" s="2" t="n">
        <v>0</v>
      </c>
      <c r="BM875" s="2" t="n">
        <v>0</v>
      </c>
      <c r="BN875" s="2" t="n">
        <v>0</v>
      </c>
      <c r="BO875" s="2" t="n">
        <v>0</v>
      </c>
      <c r="BP875" s="2" t="n">
        <v>0</v>
      </c>
      <c r="BQ875" s="2" t="n">
        <v>0</v>
      </c>
      <c r="BR875" s="2" t="n">
        <v>0</v>
      </c>
      <c r="BS875" s="2" t="n">
        <v>0</v>
      </c>
      <c r="BT875" s="2" t="n">
        <v>0</v>
      </c>
      <c r="BU875" s="2" t="n">
        <v>0</v>
      </c>
      <c r="BV875" s="2" t="n">
        <v>0</v>
      </c>
      <c r="BW875" s="2" t="n">
        <v>0</v>
      </c>
      <c r="BX875" s="2" t="n">
        <v>0</v>
      </c>
      <c r="BY875" s="2" t="n">
        <v>0</v>
      </c>
      <c r="BZ875" s="2" t="n">
        <v>0</v>
      </c>
      <c r="CA875" s="2" t="n">
        <v>0</v>
      </c>
      <c r="CB875" s="2" t="n">
        <v>0</v>
      </c>
      <c r="CC875" s="2" t="n">
        <v>0</v>
      </c>
      <c r="CD875" s="2" t="n">
        <v>0</v>
      </c>
      <c r="CE875" s="2" t="n">
        <v>0</v>
      </c>
      <c r="CF875" s="2" t="n">
        <v>0</v>
      </c>
      <c r="CG875" s="2" t="n">
        <v>0</v>
      </c>
      <c r="CH875" s="2" t="n">
        <v>0</v>
      </c>
      <c r="CI875" s="2" t="n">
        <v>0</v>
      </c>
      <c r="CJ875" s="2" t="n">
        <v>0</v>
      </c>
      <c r="CK875" s="2" t="n">
        <v>0</v>
      </c>
      <c r="CL875" s="2" t="n">
        <v>0</v>
      </c>
      <c r="CM875" s="2" t="n">
        <v>0</v>
      </c>
      <c r="CN875" s="2" t="n">
        <v>0</v>
      </c>
      <c r="CO875" s="2" t="n">
        <v>0</v>
      </c>
      <c r="CP875" s="2" t="n">
        <v>0</v>
      </c>
      <c r="CQ875" s="2" t="n">
        <v>0</v>
      </c>
      <c r="CR875" s="2" t="n">
        <v>0</v>
      </c>
      <c r="CS875" s="2" t="n">
        <v>0</v>
      </c>
      <c r="CT875" s="2" t="n">
        <v>0</v>
      </c>
      <c r="CU875" s="2" t="n">
        <v>0</v>
      </c>
      <c r="CV875" s="2" t="n">
        <v>0</v>
      </c>
      <c r="CW875" s="2" t="n">
        <v>0</v>
      </c>
      <c r="CX875" s="2" t="n">
        <v>0</v>
      </c>
      <c r="CY875" s="2" t="n">
        <v>0</v>
      </c>
      <c r="CZ875" s="2" t="n">
        <v>0</v>
      </c>
      <c r="DA875" s="2" t="n">
        <v>0</v>
      </c>
      <c r="DB875" s="2" t="n">
        <v>0</v>
      </c>
      <c r="DC875" s="2" t="n">
        <v>0</v>
      </c>
      <c r="DD875" s="2" t="n">
        <v>7.49</v>
      </c>
      <c r="DE875" s="2" t="n">
        <v>9.6</v>
      </c>
      <c r="DF875" s="2" t="n">
        <v>0</v>
      </c>
      <c r="DG875" s="2" t="n">
        <v>15.71</v>
      </c>
      <c r="DH875" s="2" t="n">
        <v>17.85</v>
      </c>
      <c r="DI875" s="2" t="n">
        <v>0</v>
      </c>
      <c r="DJ875" s="2" t="n">
        <v>26.39</v>
      </c>
      <c r="DK875" s="2" t="n">
        <v>28.5</v>
      </c>
      <c r="DL875" s="2" t="n">
        <v>0</v>
      </c>
      <c r="DM875" s="2" t="n">
        <v>36.13</v>
      </c>
      <c r="DN875" s="2" t="n">
        <v>38.25</v>
      </c>
      <c r="DO875" s="2" t="n">
        <v>0</v>
      </c>
      <c r="DP875" s="2" t="n">
        <v>45.85</v>
      </c>
      <c r="DQ875" s="2" t="n">
        <v>48.04</v>
      </c>
      <c r="DR875" s="2" t="n">
        <v>0</v>
      </c>
      <c r="DS875" s="2" t="n">
        <v>55.92</v>
      </c>
      <c r="DT875" s="2" t="n">
        <v>57.97</v>
      </c>
      <c r="DU875" s="2" t="n">
        <v>0</v>
      </c>
      <c r="DV875" s="2" t="n">
        <v>64.14</v>
      </c>
      <c r="DW875" s="2" t="n">
        <v>66.20999999999999</v>
      </c>
      <c r="DX875" s="2" t="n">
        <v>0</v>
      </c>
      <c r="DY875" s="2" t="n">
        <v>72.79000000000001</v>
      </c>
      <c r="DZ875" s="2" t="n">
        <v>75.18000000000001</v>
      </c>
      <c r="EA875" s="2" t="n">
        <v>0</v>
      </c>
      <c r="EB875" s="2" t="n">
        <v>80.93000000000001</v>
      </c>
      <c r="EC875" s="2" t="n">
        <v>84.2</v>
      </c>
      <c r="ED875" s="2" t="n">
        <v>0</v>
      </c>
      <c r="EE875" s="2" t="n">
        <v>87.59</v>
      </c>
      <c r="EF875" s="2" t="n">
        <v>90.55</v>
      </c>
      <c r="EG875" s="2" t="n">
        <v>0</v>
      </c>
      <c r="EH875" s="2" t="n">
        <v>96.19</v>
      </c>
      <c r="EI875" s="2" t="n">
        <v>98.68000000000001</v>
      </c>
      <c r="EJ875" s="2" t="n">
        <v>0</v>
      </c>
      <c r="EK875" s="2" t="n">
        <v>100</v>
      </c>
      <c r="EL875" s="2" t="n">
        <v>100</v>
      </c>
      <c r="EM875" s="2" t="n">
        <v>0</v>
      </c>
      <c r="EN875" s="2" t="n">
        <v>100</v>
      </c>
      <c r="EO875" s="2" t="n">
        <v>100</v>
      </c>
      <c r="EP875" s="2" t="n">
        <v>0</v>
      </c>
      <c r="EQ875" s="2" t="n">
        <v>100</v>
      </c>
      <c r="ER875" s="2" t="n">
        <v>100</v>
      </c>
      <c r="ES875" s="2" t="n">
        <v>0</v>
      </c>
    </row>
    <row r="876">
      <c r="A876" s="2" t="n">
        <v>3</v>
      </c>
      <c r="B876" s="2" t="inlineStr">
        <is>
          <t>34.06.01</t>
        </is>
      </c>
      <c r="C876" s="2" t="inlineStr">
        <is>
          <t>Barra para banheiro de P.N.E em aço polido, ref.: Deca Conforto L=70cm</t>
        </is>
      </c>
      <c r="D876" s="2" t="inlineStr">
        <is>
          <t>01/03/2028</t>
        </is>
      </c>
      <c r="E876" s="2" t="inlineStr">
        <is>
          <t>05/02/2029</t>
        </is>
      </c>
      <c r="F876" s="2" t="n">
        <v>8901.791594023014</v>
      </c>
      <c r="G876" s="2" t="n">
        <v>0</v>
      </c>
      <c r="H876" s="2" t="n">
        <v>8901.791594023014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0</v>
      </c>
      <c r="AM876" s="2" t="n">
        <v>0</v>
      </c>
      <c r="AN876" s="2" t="n">
        <v>0</v>
      </c>
      <c r="AO876" s="2" t="n">
        <v>0</v>
      </c>
      <c r="AP876" s="2" t="n">
        <v>0</v>
      </c>
      <c r="AQ876" s="2" t="n">
        <v>0</v>
      </c>
      <c r="AR876" s="2" t="n">
        <v>0</v>
      </c>
      <c r="AS876" s="2" t="n">
        <v>0</v>
      </c>
      <c r="AT876" s="2" t="n">
        <v>0</v>
      </c>
      <c r="AU876" s="2" t="n">
        <v>0</v>
      </c>
      <c r="AV876" s="2" t="n">
        <v>0</v>
      </c>
      <c r="AW876" s="2" t="n">
        <v>0</v>
      </c>
      <c r="AX876" s="2" t="n">
        <v>0</v>
      </c>
      <c r="AY876" s="2" t="n">
        <v>0</v>
      </c>
      <c r="AZ876" s="2" t="n">
        <v>0</v>
      </c>
      <c r="BA876" s="2" t="n">
        <v>0</v>
      </c>
      <c r="BB876" s="2" t="n">
        <v>0</v>
      </c>
      <c r="BC876" s="2" t="n">
        <v>0</v>
      </c>
      <c r="BD876" s="2" t="n">
        <v>0</v>
      </c>
      <c r="BE876" s="2" t="n">
        <v>0</v>
      </c>
      <c r="BF876" s="2" t="n">
        <v>0</v>
      </c>
      <c r="BG876" s="2" t="n">
        <v>0</v>
      </c>
      <c r="BH876" s="2" t="n">
        <v>0</v>
      </c>
      <c r="BI876" s="2" t="n">
        <v>0</v>
      </c>
      <c r="BJ876" s="2" t="n">
        <v>0</v>
      </c>
      <c r="BK876" s="2" t="n">
        <v>0</v>
      </c>
      <c r="BL876" s="2" t="n">
        <v>0</v>
      </c>
      <c r="BM876" s="2" t="n">
        <v>0</v>
      </c>
      <c r="BN876" s="2" t="n">
        <v>0</v>
      </c>
      <c r="BO876" s="2" t="n">
        <v>0</v>
      </c>
      <c r="BP876" s="2" t="n">
        <v>0</v>
      </c>
      <c r="BQ876" s="2" t="n">
        <v>0</v>
      </c>
      <c r="BR876" s="2" t="n">
        <v>0</v>
      </c>
      <c r="BS876" s="2" t="n">
        <v>0</v>
      </c>
      <c r="BT876" s="2" t="n">
        <v>0</v>
      </c>
      <c r="BU876" s="2" t="n">
        <v>0</v>
      </c>
      <c r="BV876" s="2" t="n">
        <v>0</v>
      </c>
      <c r="BW876" s="2" t="n">
        <v>0</v>
      </c>
      <c r="BX876" s="2" t="n">
        <v>0</v>
      </c>
      <c r="BY876" s="2" t="n">
        <v>0</v>
      </c>
      <c r="BZ876" s="2" t="n">
        <v>0</v>
      </c>
      <c r="CA876" s="2" t="n">
        <v>0</v>
      </c>
      <c r="CB876" s="2" t="n">
        <v>0</v>
      </c>
      <c r="CC876" s="2" t="n">
        <v>0</v>
      </c>
      <c r="CD876" s="2" t="n">
        <v>0</v>
      </c>
      <c r="CE876" s="2" t="n">
        <v>0</v>
      </c>
      <c r="CF876" s="2" t="n">
        <v>0</v>
      </c>
      <c r="CG876" s="2" t="n">
        <v>0</v>
      </c>
      <c r="CH876" s="2" t="n">
        <v>0</v>
      </c>
      <c r="CI876" s="2" t="n">
        <v>0</v>
      </c>
      <c r="CJ876" s="2" t="n">
        <v>0</v>
      </c>
      <c r="CK876" s="2" t="n">
        <v>0</v>
      </c>
      <c r="CL876" s="2" t="n">
        <v>0</v>
      </c>
      <c r="CM876" s="2" t="n">
        <v>0</v>
      </c>
      <c r="CN876" s="2" t="n">
        <v>0</v>
      </c>
      <c r="CO876" s="2" t="n">
        <v>0</v>
      </c>
      <c r="CP876" s="2" t="n">
        <v>0</v>
      </c>
      <c r="CQ876" s="2" t="n">
        <v>0</v>
      </c>
      <c r="CR876" s="2" t="n">
        <v>0</v>
      </c>
      <c r="CS876" s="2" t="n">
        <v>0</v>
      </c>
      <c r="CT876" s="2" t="n">
        <v>0</v>
      </c>
      <c r="CU876" s="2" t="n">
        <v>0</v>
      </c>
      <c r="CV876" s="2" t="n">
        <v>0</v>
      </c>
      <c r="CW876" s="2" t="n">
        <v>0</v>
      </c>
      <c r="CX876" s="2" t="n">
        <v>0</v>
      </c>
      <c r="CY876" s="2" t="n">
        <v>0</v>
      </c>
      <c r="CZ876" s="2" t="n">
        <v>0</v>
      </c>
      <c r="DA876" s="2" t="n">
        <v>0</v>
      </c>
      <c r="DB876" s="2" t="n">
        <v>0</v>
      </c>
      <c r="DC876" s="2" t="n">
        <v>0</v>
      </c>
      <c r="DD876" s="2" t="n">
        <v>7.49</v>
      </c>
      <c r="DE876" s="2" t="n">
        <v>9.6</v>
      </c>
      <c r="DF876" s="2" t="n">
        <v>0</v>
      </c>
      <c r="DG876" s="2" t="n">
        <v>15.71</v>
      </c>
      <c r="DH876" s="2" t="n">
        <v>17.85</v>
      </c>
      <c r="DI876" s="2" t="n">
        <v>0</v>
      </c>
      <c r="DJ876" s="2" t="n">
        <v>26.39</v>
      </c>
      <c r="DK876" s="2" t="n">
        <v>28.5</v>
      </c>
      <c r="DL876" s="2" t="n">
        <v>0</v>
      </c>
      <c r="DM876" s="2" t="n">
        <v>36.13</v>
      </c>
      <c r="DN876" s="2" t="n">
        <v>38.25</v>
      </c>
      <c r="DO876" s="2" t="n">
        <v>0</v>
      </c>
      <c r="DP876" s="2" t="n">
        <v>45.85</v>
      </c>
      <c r="DQ876" s="2" t="n">
        <v>48.04</v>
      </c>
      <c r="DR876" s="2" t="n">
        <v>0</v>
      </c>
      <c r="DS876" s="2" t="n">
        <v>55.92</v>
      </c>
      <c r="DT876" s="2" t="n">
        <v>57.97</v>
      </c>
      <c r="DU876" s="2" t="n">
        <v>0</v>
      </c>
      <c r="DV876" s="2" t="n">
        <v>64.14</v>
      </c>
      <c r="DW876" s="2" t="n">
        <v>66.20999999999999</v>
      </c>
      <c r="DX876" s="2" t="n">
        <v>0</v>
      </c>
      <c r="DY876" s="2" t="n">
        <v>72.79000000000001</v>
      </c>
      <c r="DZ876" s="2" t="n">
        <v>75.18000000000001</v>
      </c>
      <c r="EA876" s="2" t="n">
        <v>0</v>
      </c>
      <c r="EB876" s="2" t="n">
        <v>80.93000000000001</v>
      </c>
      <c r="EC876" s="2" t="n">
        <v>84.2</v>
      </c>
      <c r="ED876" s="2" t="n">
        <v>0</v>
      </c>
      <c r="EE876" s="2" t="n">
        <v>87.59</v>
      </c>
      <c r="EF876" s="2" t="n">
        <v>90.55</v>
      </c>
      <c r="EG876" s="2" t="n">
        <v>0</v>
      </c>
      <c r="EH876" s="2" t="n">
        <v>96.19</v>
      </c>
      <c r="EI876" s="2" t="n">
        <v>98.68000000000001</v>
      </c>
      <c r="EJ876" s="2" t="n">
        <v>0</v>
      </c>
      <c r="EK876" s="2" t="n">
        <v>100</v>
      </c>
      <c r="EL876" s="2" t="n">
        <v>100</v>
      </c>
      <c r="EM876" s="2" t="n">
        <v>0</v>
      </c>
      <c r="EN876" s="2" t="n">
        <v>100</v>
      </c>
      <c r="EO876" s="2" t="n">
        <v>100</v>
      </c>
      <c r="EP876" s="2" t="n">
        <v>0</v>
      </c>
      <c r="EQ876" s="2" t="n">
        <v>100</v>
      </c>
      <c r="ER876" s="2" t="n">
        <v>100</v>
      </c>
      <c r="ES876" s="2" t="n">
        <v>0</v>
      </c>
    </row>
    <row r="877">
      <c r="A877" s="2" t="n">
        <v>3</v>
      </c>
      <c r="B877" s="2" t="inlineStr">
        <is>
          <t>34.06.02</t>
        </is>
      </c>
      <c r="C877" s="2" t="inlineStr">
        <is>
          <t>Barra para banheiro de P.N.E em aço polido, ref.: Deca Conforto L=80cm</t>
        </is>
      </c>
      <c r="D877" s="2" t="inlineStr">
        <is>
          <t>01/03/2028</t>
        </is>
      </c>
      <c r="E877" s="2" t="inlineStr">
        <is>
          <t>05/02/2029</t>
        </is>
      </c>
      <c r="F877" s="2" t="n">
        <v>5029.390442981949</v>
      </c>
      <c r="G877" s="2" t="n">
        <v>0</v>
      </c>
      <c r="H877" s="2" t="n">
        <v>5029.390442981949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0</v>
      </c>
      <c r="S877" s="2" t="n">
        <v>0</v>
      </c>
      <c r="T877" s="2" t="n">
        <v>0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0</v>
      </c>
      <c r="Z877" s="2" t="n">
        <v>0</v>
      </c>
      <c r="AA877" s="2" t="n">
        <v>0</v>
      </c>
      <c r="AB877" s="2" t="n">
        <v>0</v>
      </c>
      <c r="AC877" s="2" t="n">
        <v>0</v>
      </c>
      <c r="AD877" s="2" t="n">
        <v>0</v>
      </c>
      <c r="AE877" s="2" t="n">
        <v>0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0</v>
      </c>
      <c r="AL877" s="2" t="n">
        <v>0</v>
      </c>
      <c r="AM877" s="2" t="n">
        <v>0</v>
      </c>
      <c r="AN877" s="2" t="n">
        <v>0</v>
      </c>
      <c r="AO877" s="2" t="n">
        <v>0</v>
      </c>
      <c r="AP877" s="2" t="n">
        <v>0</v>
      </c>
      <c r="AQ877" s="2" t="n">
        <v>0</v>
      </c>
      <c r="AR877" s="2" t="n">
        <v>0</v>
      </c>
      <c r="AS877" s="2" t="n">
        <v>0</v>
      </c>
      <c r="AT877" s="2" t="n">
        <v>0</v>
      </c>
      <c r="AU877" s="2" t="n">
        <v>0</v>
      </c>
      <c r="AV877" s="2" t="n">
        <v>0</v>
      </c>
      <c r="AW877" s="2" t="n">
        <v>0</v>
      </c>
      <c r="AX877" s="2" t="n">
        <v>0</v>
      </c>
      <c r="AY877" s="2" t="n">
        <v>0</v>
      </c>
      <c r="AZ877" s="2" t="n">
        <v>0</v>
      </c>
      <c r="BA877" s="2" t="n">
        <v>0</v>
      </c>
      <c r="BB877" s="2" t="n">
        <v>0</v>
      </c>
      <c r="BC877" s="2" t="n">
        <v>0</v>
      </c>
      <c r="BD877" s="2" t="n">
        <v>0</v>
      </c>
      <c r="BE877" s="2" t="n">
        <v>0</v>
      </c>
      <c r="BF877" s="2" t="n">
        <v>0</v>
      </c>
      <c r="BG877" s="2" t="n">
        <v>0</v>
      </c>
      <c r="BH877" s="2" t="n">
        <v>0</v>
      </c>
      <c r="BI877" s="2" t="n">
        <v>0</v>
      </c>
      <c r="BJ877" s="2" t="n">
        <v>0</v>
      </c>
      <c r="BK877" s="2" t="n">
        <v>0</v>
      </c>
      <c r="BL877" s="2" t="n">
        <v>0</v>
      </c>
      <c r="BM877" s="2" t="n">
        <v>0</v>
      </c>
      <c r="BN877" s="2" t="n">
        <v>0</v>
      </c>
      <c r="BO877" s="2" t="n">
        <v>0</v>
      </c>
      <c r="BP877" s="2" t="n">
        <v>0</v>
      </c>
      <c r="BQ877" s="2" t="n">
        <v>0</v>
      </c>
      <c r="BR877" s="2" t="n">
        <v>0</v>
      </c>
      <c r="BS877" s="2" t="n">
        <v>0</v>
      </c>
      <c r="BT877" s="2" t="n">
        <v>0</v>
      </c>
      <c r="BU877" s="2" t="n">
        <v>0</v>
      </c>
      <c r="BV877" s="2" t="n">
        <v>0</v>
      </c>
      <c r="BW877" s="2" t="n">
        <v>0</v>
      </c>
      <c r="BX877" s="2" t="n">
        <v>0</v>
      </c>
      <c r="BY877" s="2" t="n">
        <v>0</v>
      </c>
      <c r="BZ877" s="2" t="n">
        <v>0</v>
      </c>
      <c r="CA877" s="2" t="n">
        <v>0</v>
      </c>
      <c r="CB877" s="2" t="n">
        <v>0</v>
      </c>
      <c r="CC877" s="2" t="n">
        <v>0</v>
      </c>
      <c r="CD877" s="2" t="n">
        <v>0</v>
      </c>
      <c r="CE877" s="2" t="n">
        <v>0</v>
      </c>
      <c r="CF877" s="2" t="n">
        <v>0</v>
      </c>
      <c r="CG877" s="2" t="n">
        <v>0</v>
      </c>
      <c r="CH877" s="2" t="n">
        <v>0</v>
      </c>
      <c r="CI877" s="2" t="n">
        <v>0</v>
      </c>
      <c r="CJ877" s="2" t="n">
        <v>0</v>
      </c>
      <c r="CK877" s="2" t="n">
        <v>0</v>
      </c>
      <c r="CL877" s="2" t="n">
        <v>0</v>
      </c>
      <c r="CM877" s="2" t="n">
        <v>0</v>
      </c>
      <c r="CN877" s="2" t="n">
        <v>0</v>
      </c>
      <c r="CO877" s="2" t="n">
        <v>0</v>
      </c>
      <c r="CP877" s="2" t="n">
        <v>0</v>
      </c>
      <c r="CQ877" s="2" t="n">
        <v>0</v>
      </c>
      <c r="CR877" s="2" t="n">
        <v>0</v>
      </c>
      <c r="CS877" s="2" t="n">
        <v>0</v>
      </c>
      <c r="CT877" s="2" t="n">
        <v>0</v>
      </c>
      <c r="CU877" s="2" t="n">
        <v>0</v>
      </c>
      <c r="CV877" s="2" t="n">
        <v>0</v>
      </c>
      <c r="CW877" s="2" t="n">
        <v>0</v>
      </c>
      <c r="CX877" s="2" t="n">
        <v>0</v>
      </c>
      <c r="CY877" s="2" t="n">
        <v>0</v>
      </c>
      <c r="CZ877" s="2" t="n">
        <v>0</v>
      </c>
      <c r="DA877" s="2" t="n">
        <v>0</v>
      </c>
      <c r="DB877" s="2" t="n">
        <v>0</v>
      </c>
      <c r="DC877" s="2" t="n">
        <v>0</v>
      </c>
      <c r="DD877" s="2" t="n">
        <v>7.49</v>
      </c>
      <c r="DE877" s="2" t="n">
        <v>9.6</v>
      </c>
      <c r="DF877" s="2" t="n">
        <v>0</v>
      </c>
      <c r="DG877" s="2" t="n">
        <v>15.71</v>
      </c>
      <c r="DH877" s="2" t="n">
        <v>17.85</v>
      </c>
      <c r="DI877" s="2" t="n">
        <v>0</v>
      </c>
      <c r="DJ877" s="2" t="n">
        <v>26.39</v>
      </c>
      <c r="DK877" s="2" t="n">
        <v>28.5</v>
      </c>
      <c r="DL877" s="2" t="n">
        <v>0</v>
      </c>
      <c r="DM877" s="2" t="n">
        <v>36.13</v>
      </c>
      <c r="DN877" s="2" t="n">
        <v>38.25</v>
      </c>
      <c r="DO877" s="2" t="n">
        <v>0</v>
      </c>
      <c r="DP877" s="2" t="n">
        <v>45.85</v>
      </c>
      <c r="DQ877" s="2" t="n">
        <v>48.04</v>
      </c>
      <c r="DR877" s="2" t="n">
        <v>0</v>
      </c>
      <c r="DS877" s="2" t="n">
        <v>55.92</v>
      </c>
      <c r="DT877" s="2" t="n">
        <v>57.97</v>
      </c>
      <c r="DU877" s="2" t="n">
        <v>0</v>
      </c>
      <c r="DV877" s="2" t="n">
        <v>64.14</v>
      </c>
      <c r="DW877" s="2" t="n">
        <v>66.20999999999999</v>
      </c>
      <c r="DX877" s="2" t="n">
        <v>0</v>
      </c>
      <c r="DY877" s="2" t="n">
        <v>72.79000000000001</v>
      </c>
      <c r="DZ877" s="2" t="n">
        <v>75.18000000000001</v>
      </c>
      <c r="EA877" s="2" t="n">
        <v>0</v>
      </c>
      <c r="EB877" s="2" t="n">
        <v>80.93000000000001</v>
      </c>
      <c r="EC877" s="2" t="n">
        <v>84.2</v>
      </c>
      <c r="ED877" s="2" t="n">
        <v>0</v>
      </c>
      <c r="EE877" s="2" t="n">
        <v>87.59</v>
      </c>
      <c r="EF877" s="2" t="n">
        <v>90.55</v>
      </c>
      <c r="EG877" s="2" t="n">
        <v>0</v>
      </c>
      <c r="EH877" s="2" t="n">
        <v>96.19</v>
      </c>
      <c r="EI877" s="2" t="n">
        <v>98.68000000000001</v>
      </c>
      <c r="EJ877" s="2" t="n">
        <v>0</v>
      </c>
      <c r="EK877" s="2" t="n">
        <v>100</v>
      </c>
      <c r="EL877" s="2" t="n">
        <v>100</v>
      </c>
      <c r="EM877" s="2" t="n">
        <v>0</v>
      </c>
      <c r="EN877" s="2" t="n">
        <v>100</v>
      </c>
      <c r="EO877" s="2" t="n">
        <v>100</v>
      </c>
      <c r="EP877" s="2" t="n">
        <v>0</v>
      </c>
      <c r="EQ877" s="2" t="n">
        <v>100</v>
      </c>
      <c r="ER877" s="2" t="n">
        <v>100</v>
      </c>
      <c r="ES877" s="2" t="n">
        <v>0</v>
      </c>
    </row>
    <row r="878">
      <c r="A878" s="2" t="n">
        <v>3</v>
      </c>
      <c r="B878" s="2" t="inlineStr">
        <is>
          <t>34.06.03</t>
        </is>
      </c>
      <c r="C878" s="2" t="inlineStr">
        <is>
          <t>Barra para banheiro de P.N.E em aço polido, ref.: Deca Conforto para lavatório</t>
        </is>
      </c>
      <c r="D878" s="2" t="inlineStr">
        <is>
          <t>01/03/2028</t>
        </is>
      </c>
      <c r="E878" s="2" t="inlineStr">
        <is>
          <t>05/02/2029</t>
        </is>
      </c>
      <c r="F878" s="2" t="n">
        <v>8172.759469845668</v>
      </c>
      <c r="G878" s="2" t="n">
        <v>0</v>
      </c>
      <c r="H878" s="2" t="n">
        <v>8172.759469845668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0</v>
      </c>
      <c r="AL878" s="2" t="n">
        <v>0</v>
      </c>
      <c r="AM878" s="2" t="n">
        <v>0</v>
      </c>
      <c r="AN878" s="2" t="n">
        <v>0</v>
      </c>
      <c r="AO878" s="2" t="n">
        <v>0</v>
      </c>
      <c r="AP878" s="2" t="n">
        <v>0</v>
      </c>
      <c r="AQ878" s="2" t="n">
        <v>0</v>
      </c>
      <c r="AR878" s="2" t="n">
        <v>0</v>
      </c>
      <c r="AS878" s="2" t="n">
        <v>0</v>
      </c>
      <c r="AT878" s="2" t="n">
        <v>0</v>
      </c>
      <c r="AU878" s="2" t="n">
        <v>0</v>
      </c>
      <c r="AV878" s="2" t="n">
        <v>0</v>
      </c>
      <c r="AW878" s="2" t="n">
        <v>0</v>
      </c>
      <c r="AX878" s="2" t="n">
        <v>0</v>
      </c>
      <c r="AY878" s="2" t="n">
        <v>0</v>
      </c>
      <c r="AZ878" s="2" t="n">
        <v>0</v>
      </c>
      <c r="BA878" s="2" t="n">
        <v>0</v>
      </c>
      <c r="BB878" s="2" t="n">
        <v>0</v>
      </c>
      <c r="BC878" s="2" t="n">
        <v>0</v>
      </c>
      <c r="BD878" s="2" t="n">
        <v>0</v>
      </c>
      <c r="BE878" s="2" t="n">
        <v>0</v>
      </c>
      <c r="BF878" s="2" t="n">
        <v>0</v>
      </c>
      <c r="BG878" s="2" t="n">
        <v>0</v>
      </c>
      <c r="BH878" s="2" t="n">
        <v>0</v>
      </c>
      <c r="BI878" s="2" t="n">
        <v>0</v>
      </c>
      <c r="BJ878" s="2" t="n">
        <v>0</v>
      </c>
      <c r="BK878" s="2" t="n">
        <v>0</v>
      </c>
      <c r="BL878" s="2" t="n">
        <v>0</v>
      </c>
      <c r="BM878" s="2" t="n">
        <v>0</v>
      </c>
      <c r="BN878" s="2" t="n">
        <v>0</v>
      </c>
      <c r="BO878" s="2" t="n">
        <v>0</v>
      </c>
      <c r="BP878" s="2" t="n">
        <v>0</v>
      </c>
      <c r="BQ878" s="2" t="n">
        <v>0</v>
      </c>
      <c r="BR878" s="2" t="n">
        <v>0</v>
      </c>
      <c r="BS878" s="2" t="n">
        <v>0</v>
      </c>
      <c r="BT878" s="2" t="n">
        <v>0</v>
      </c>
      <c r="BU878" s="2" t="n">
        <v>0</v>
      </c>
      <c r="BV878" s="2" t="n">
        <v>0</v>
      </c>
      <c r="BW878" s="2" t="n">
        <v>0</v>
      </c>
      <c r="BX878" s="2" t="n">
        <v>0</v>
      </c>
      <c r="BY878" s="2" t="n">
        <v>0</v>
      </c>
      <c r="BZ878" s="2" t="n">
        <v>0</v>
      </c>
      <c r="CA878" s="2" t="n">
        <v>0</v>
      </c>
      <c r="CB878" s="2" t="n">
        <v>0</v>
      </c>
      <c r="CC878" s="2" t="n">
        <v>0</v>
      </c>
      <c r="CD878" s="2" t="n">
        <v>0</v>
      </c>
      <c r="CE878" s="2" t="n">
        <v>0</v>
      </c>
      <c r="CF878" s="2" t="n">
        <v>0</v>
      </c>
      <c r="CG878" s="2" t="n">
        <v>0</v>
      </c>
      <c r="CH878" s="2" t="n">
        <v>0</v>
      </c>
      <c r="CI878" s="2" t="n">
        <v>0</v>
      </c>
      <c r="CJ878" s="2" t="n">
        <v>0</v>
      </c>
      <c r="CK878" s="2" t="n">
        <v>0</v>
      </c>
      <c r="CL878" s="2" t="n">
        <v>0</v>
      </c>
      <c r="CM878" s="2" t="n">
        <v>0</v>
      </c>
      <c r="CN878" s="2" t="n">
        <v>0</v>
      </c>
      <c r="CO878" s="2" t="n">
        <v>0</v>
      </c>
      <c r="CP878" s="2" t="n">
        <v>0</v>
      </c>
      <c r="CQ878" s="2" t="n">
        <v>0</v>
      </c>
      <c r="CR878" s="2" t="n">
        <v>0</v>
      </c>
      <c r="CS878" s="2" t="n">
        <v>0</v>
      </c>
      <c r="CT878" s="2" t="n">
        <v>0</v>
      </c>
      <c r="CU878" s="2" t="n">
        <v>0</v>
      </c>
      <c r="CV878" s="2" t="n">
        <v>0</v>
      </c>
      <c r="CW878" s="2" t="n">
        <v>0</v>
      </c>
      <c r="CX878" s="2" t="n">
        <v>0</v>
      </c>
      <c r="CY878" s="2" t="n">
        <v>0</v>
      </c>
      <c r="CZ878" s="2" t="n">
        <v>0</v>
      </c>
      <c r="DA878" s="2" t="n">
        <v>0</v>
      </c>
      <c r="DB878" s="2" t="n">
        <v>0</v>
      </c>
      <c r="DC878" s="2" t="n">
        <v>0</v>
      </c>
      <c r="DD878" s="2" t="n">
        <v>7.49</v>
      </c>
      <c r="DE878" s="2" t="n">
        <v>9.6</v>
      </c>
      <c r="DF878" s="2" t="n">
        <v>0</v>
      </c>
      <c r="DG878" s="2" t="n">
        <v>15.71</v>
      </c>
      <c r="DH878" s="2" t="n">
        <v>17.85</v>
      </c>
      <c r="DI878" s="2" t="n">
        <v>0</v>
      </c>
      <c r="DJ878" s="2" t="n">
        <v>26.39</v>
      </c>
      <c r="DK878" s="2" t="n">
        <v>28.5</v>
      </c>
      <c r="DL878" s="2" t="n">
        <v>0</v>
      </c>
      <c r="DM878" s="2" t="n">
        <v>36.13</v>
      </c>
      <c r="DN878" s="2" t="n">
        <v>38.25</v>
      </c>
      <c r="DO878" s="2" t="n">
        <v>0</v>
      </c>
      <c r="DP878" s="2" t="n">
        <v>45.85</v>
      </c>
      <c r="DQ878" s="2" t="n">
        <v>48.04</v>
      </c>
      <c r="DR878" s="2" t="n">
        <v>0</v>
      </c>
      <c r="DS878" s="2" t="n">
        <v>55.92</v>
      </c>
      <c r="DT878" s="2" t="n">
        <v>57.97</v>
      </c>
      <c r="DU878" s="2" t="n">
        <v>0</v>
      </c>
      <c r="DV878" s="2" t="n">
        <v>64.14</v>
      </c>
      <c r="DW878" s="2" t="n">
        <v>66.20999999999999</v>
      </c>
      <c r="DX878" s="2" t="n">
        <v>0</v>
      </c>
      <c r="DY878" s="2" t="n">
        <v>72.79000000000001</v>
      </c>
      <c r="DZ878" s="2" t="n">
        <v>75.18000000000001</v>
      </c>
      <c r="EA878" s="2" t="n">
        <v>0</v>
      </c>
      <c r="EB878" s="2" t="n">
        <v>80.93000000000001</v>
      </c>
      <c r="EC878" s="2" t="n">
        <v>84.2</v>
      </c>
      <c r="ED878" s="2" t="n">
        <v>0</v>
      </c>
      <c r="EE878" s="2" t="n">
        <v>87.59</v>
      </c>
      <c r="EF878" s="2" t="n">
        <v>90.55</v>
      </c>
      <c r="EG878" s="2" t="n">
        <v>0</v>
      </c>
      <c r="EH878" s="2" t="n">
        <v>96.19</v>
      </c>
      <c r="EI878" s="2" t="n">
        <v>98.68000000000001</v>
      </c>
      <c r="EJ878" s="2" t="n">
        <v>0</v>
      </c>
      <c r="EK878" s="2" t="n">
        <v>100</v>
      </c>
      <c r="EL878" s="2" t="n">
        <v>100</v>
      </c>
      <c r="EM878" s="2" t="n">
        <v>0</v>
      </c>
      <c r="EN878" s="2" t="n">
        <v>100</v>
      </c>
      <c r="EO878" s="2" t="n">
        <v>100</v>
      </c>
      <c r="EP878" s="2" t="n">
        <v>0</v>
      </c>
      <c r="EQ878" s="2" t="n">
        <v>100</v>
      </c>
      <c r="ER878" s="2" t="n">
        <v>100</v>
      </c>
      <c r="ES878" s="2" t="n">
        <v>0</v>
      </c>
    </row>
    <row r="879">
      <c r="A879" s="2" t="n">
        <v>3</v>
      </c>
      <c r="B879" s="2" t="inlineStr">
        <is>
          <t>34.06.04</t>
        </is>
      </c>
      <c r="C879" s="2" t="inlineStr">
        <is>
          <t>Cadeira articulada para banho P.N.E. acabamento inox</t>
        </is>
      </c>
      <c r="D879" s="2" t="inlineStr">
        <is>
          <t>01/03/2028</t>
        </is>
      </c>
      <c r="E879" s="2" t="inlineStr">
        <is>
          <t>05/02/2029</t>
        </is>
      </c>
      <c r="F879" s="2" t="n">
        <v>3457.347610745487</v>
      </c>
      <c r="G879" s="2" t="n">
        <v>0</v>
      </c>
      <c r="H879" s="2" t="n">
        <v>3457.347610745487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0</v>
      </c>
      <c r="AM879" s="2" t="n">
        <v>0</v>
      </c>
      <c r="AN879" s="2" t="n">
        <v>0</v>
      </c>
      <c r="AO879" s="2" t="n">
        <v>0</v>
      </c>
      <c r="AP879" s="2" t="n">
        <v>0</v>
      </c>
      <c r="AQ879" s="2" t="n">
        <v>0</v>
      </c>
      <c r="AR879" s="2" t="n">
        <v>0</v>
      </c>
      <c r="AS879" s="2" t="n">
        <v>0</v>
      </c>
      <c r="AT879" s="2" t="n">
        <v>0</v>
      </c>
      <c r="AU879" s="2" t="n">
        <v>0</v>
      </c>
      <c r="AV879" s="2" t="n">
        <v>0</v>
      </c>
      <c r="AW879" s="2" t="n">
        <v>0</v>
      </c>
      <c r="AX879" s="2" t="n">
        <v>0</v>
      </c>
      <c r="AY879" s="2" t="n">
        <v>0</v>
      </c>
      <c r="AZ879" s="2" t="n">
        <v>0</v>
      </c>
      <c r="BA879" s="2" t="n">
        <v>0</v>
      </c>
      <c r="BB879" s="2" t="n">
        <v>0</v>
      </c>
      <c r="BC879" s="2" t="n">
        <v>0</v>
      </c>
      <c r="BD879" s="2" t="n">
        <v>0</v>
      </c>
      <c r="BE879" s="2" t="n">
        <v>0</v>
      </c>
      <c r="BF879" s="2" t="n">
        <v>0</v>
      </c>
      <c r="BG879" s="2" t="n">
        <v>0</v>
      </c>
      <c r="BH879" s="2" t="n">
        <v>0</v>
      </c>
      <c r="BI879" s="2" t="n">
        <v>0</v>
      </c>
      <c r="BJ879" s="2" t="n">
        <v>0</v>
      </c>
      <c r="BK879" s="2" t="n">
        <v>0</v>
      </c>
      <c r="BL879" s="2" t="n">
        <v>0</v>
      </c>
      <c r="BM879" s="2" t="n">
        <v>0</v>
      </c>
      <c r="BN879" s="2" t="n">
        <v>0</v>
      </c>
      <c r="BO879" s="2" t="n">
        <v>0</v>
      </c>
      <c r="BP879" s="2" t="n">
        <v>0</v>
      </c>
      <c r="BQ879" s="2" t="n">
        <v>0</v>
      </c>
      <c r="BR879" s="2" t="n">
        <v>0</v>
      </c>
      <c r="BS879" s="2" t="n">
        <v>0</v>
      </c>
      <c r="BT879" s="2" t="n">
        <v>0</v>
      </c>
      <c r="BU879" s="2" t="n">
        <v>0</v>
      </c>
      <c r="BV879" s="2" t="n">
        <v>0</v>
      </c>
      <c r="BW879" s="2" t="n">
        <v>0</v>
      </c>
      <c r="BX879" s="2" t="n">
        <v>0</v>
      </c>
      <c r="BY879" s="2" t="n">
        <v>0</v>
      </c>
      <c r="BZ879" s="2" t="n">
        <v>0</v>
      </c>
      <c r="CA879" s="2" t="n">
        <v>0</v>
      </c>
      <c r="CB879" s="2" t="n">
        <v>0</v>
      </c>
      <c r="CC879" s="2" t="n">
        <v>0</v>
      </c>
      <c r="CD879" s="2" t="n">
        <v>0</v>
      </c>
      <c r="CE879" s="2" t="n">
        <v>0</v>
      </c>
      <c r="CF879" s="2" t="n">
        <v>0</v>
      </c>
      <c r="CG879" s="2" t="n">
        <v>0</v>
      </c>
      <c r="CH879" s="2" t="n">
        <v>0</v>
      </c>
      <c r="CI879" s="2" t="n">
        <v>0</v>
      </c>
      <c r="CJ879" s="2" t="n">
        <v>0</v>
      </c>
      <c r="CK879" s="2" t="n">
        <v>0</v>
      </c>
      <c r="CL879" s="2" t="n">
        <v>0</v>
      </c>
      <c r="CM879" s="2" t="n">
        <v>0</v>
      </c>
      <c r="CN879" s="2" t="n">
        <v>0</v>
      </c>
      <c r="CO879" s="2" t="n">
        <v>0</v>
      </c>
      <c r="CP879" s="2" t="n">
        <v>0</v>
      </c>
      <c r="CQ879" s="2" t="n">
        <v>0</v>
      </c>
      <c r="CR879" s="2" t="n">
        <v>0</v>
      </c>
      <c r="CS879" s="2" t="n">
        <v>0</v>
      </c>
      <c r="CT879" s="2" t="n">
        <v>0</v>
      </c>
      <c r="CU879" s="2" t="n">
        <v>0</v>
      </c>
      <c r="CV879" s="2" t="n">
        <v>0</v>
      </c>
      <c r="CW879" s="2" t="n">
        <v>0</v>
      </c>
      <c r="CX879" s="2" t="n">
        <v>0</v>
      </c>
      <c r="CY879" s="2" t="n">
        <v>0</v>
      </c>
      <c r="CZ879" s="2" t="n">
        <v>0</v>
      </c>
      <c r="DA879" s="2" t="n">
        <v>0</v>
      </c>
      <c r="DB879" s="2" t="n">
        <v>0</v>
      </c>
      <c r="DC879" s="2" t="n">
        <v>0</v>
      </c>
      <c r="DD879" s="2" t="n">
        <v>7.49</v>
      </c>
      <c r="DE879" s="2" t="n">
        <v>9.6</v>
      </c>
      <c r="DF879" s="2" t="n">
        <v>0</v>
      </c>
      <c r="DG879" s="2" t="n">
        <v>15.71</v>
      </c>
      <c r="DH879" s="2" t="n">
        <v>17.85</v>
      </c>
      <c r="DI879" s="2" t="n">
        <v>0</v>
      </c>
      <c r="DJ879" s="2" t="n">
        <v>26.39</v>
      </c>
      <c r="DK879" s="2" t="n">
        <v>28.5</v>
      </c>
      <c r="DL879" s="2" t="n">
        <v>0</v>
      </c>
      <c r="DM879" s="2" t="n">
        <v>36.13</v>
      </c>
      <c r="DN879" s="2" t="n">
        <v>38.25</v>
      </c>
      <c r="DO879" s="2" t="n">
        <v>0</v>
      </c>
      <c r="DP879" s="2" t="n">
        <v>45.85</v>
      </c>
      <c r="DQ879" s="2" t="n">
        <v>48.04</v>
      </c>
      <c r="DR879" s="2" t="n">
        <v>0</v>
      </c>
      <c r="DS879" s="2" t="n">
        <v>55.92</v>
      </c>
      <c r="DT879" s="2" t="n">
        <v>57.97</v>
      </c>
      <c r="DU879" s="2" t="n">
        <v>0</v>
      </c>
      <c r="DV879" s="2" t="n">
        <v>64.14</v>
      </c>
      <c r="DW879" s="2" t="n">
        <v>66.20999999999999</v>
      </c>
      <c r="DX879" s="2" t="n">
        <v>0</v>
      </c>
      <c r="DY879" s="2" t="n">
        <v>72.79000000000001</v>
      </c>
      <c r="DZ879" s="2" t="n">
        <v>75.18000000000001</v>
      </c>
      <c r="EA879" s="2" t="n">
        <v>0</v>
      </c>
      <c r="EB879" s="2" t="n">
        <v>80.93000000000001</v>
      </c>
      <c r="EC879" s="2" t="n">
        <v>84.2</v>
      </c>
      <c r="ED879" s="2" t="n">
        <v>0</v>
      </c>
      <c r="EE879" s="2" t="n">
        <v>87.59</v>
      </c>
      <c r="EF879" s="2" t="n">
        <v>90.55</v>
      </c>
      <c r="EG879" s="2" t="n">
        <v>0</v>
      </c>
      <c r="EH879" s="2" t="n">
        <v>96.19</v>
      </c>
      <c r="EI879" s="2" t="n">
        <v>98.68000000000001</v>
      </c>
      <c r="EJ879" s="2" t="n">
        <v>0</v>
      </c>
      <c r="EK879" s="2" t="n">
        <v>100</v>
      </c>
      <c r="EL879" s="2" t="n">
        <v>100</v>
      </c>
      <c r="EM879" s="2" t="n">
        <v>0</v>
      </c>
      <c r="EN879" s="2" t="n">
        <v>100</v>
      </c>
      <c r="EO879" s="2" t="n">
        <v>100</v>
      </c>
      <c r="EP879" s="2" t="n">
        <v>0</v>
      </c>
      <c r="EQ879" s="2" t="n">
        <v>100</v>
      </c>
      <c r="ER879" s="2" t="n">
        <v>100</v>
      </c>
      <c r="ES879" s="2" t="n">
        <v>0</v>
      </c>
    </row>
    <row r="880">
      <c r="A880" s="2" t="n">
        <v>2</v>
      </c>
      <c r="B880" s="2" t="inlineStr">
        <is>
          <t>34.07</t>
        </is>
      </c>
      <c r="C880" s="2" t="inlineStr">
        <is>
          <t>Diversos</t>
        </is>
      </c>
      <c r="D880" s="2" t="inlineStr">
        <is>
          <t>01/03/2028</t>
        </is>
      </c>
      <c r="E880" s="2" t="inlineStr">
        <is>
          <t>05/02/2029</t>
        </is>
      </c>
      <c r="F880" s="2" t="n">
        <v>239592.4948384529</v>
      </c>
      <c r="G880" s="2" t="n">
        <v>0</v>
      </c>
      <c r="H880" s="2" t="n">
        <v>239592.4948384529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0</v>
      </c>
      <c r="AM880" s="2" t="n">
        <v>0</v>
      </c>
      <c r="AN880" s="2" t="n">
        <v>0</v>
      </c>
      <c r="AO880" s="2" t="n">
        <v>0</v>
      </c>
      <c r="AP880" s="2" t="n">
        <v>0</v>
      </c>
      <c r="AQ880" s="2" t="n">
        <v>0</v>
      </c>
      <c r="AR880" s="2" t="n">
        <v>0</v>
      </c>
      <c r="AS880" s="2" t="n">
        <v>0</v>
      </c>
      <c r="AT880" s="2" t="n">
        <v>0</v>
      </c>
      <c r="AU880" s="2" t="n">
        <v>0</v>
      </c>
      <c r="AV880" s="2" t="n">
        <v>0</v>
      </c>
      <c r="AW880" s="2" t="n">
        <v>0</v>
      </c>
      <c r="AX880" s="2" t="n">
        <v>0</v>
      </c>
      <c r="AY880" s="2" t="n">
        <v>0</v>
      </c>
      <c r="AZ880" s="2" t="n">
        <v>0</v>
      </c>
      <c r="BA880" s="2" t="n">
        <v>0</v>
      </c>
      <c r="BB880" s="2" t="n">
        <v>0</v>
      </c>
      <c r="BC880" s="2" t="n">
        <v>0</v>
      </c>
      <c r="BD880" s="2" t="n">
        <v>0</v>
      </c>
      <c r="BE880" s="2" t="n">
        <v>0</v>
      </c>
      <c r="BF880" s="2" t="n">
        <v>0</v>
      </c>
      <c r="BG880" s="2" t="n">
        <v>0</v>
      </c>
      <c r="BH880" s="2" t="n">
        <v>0</v>
      </c>
      <c r="BI880" s="2" t="n">
        <v>0</v>
      </c>
      <c r="BJ880" s="2" t="n">
        <v>0</v>
      </c>
      <c r="BK880" s="2" t="n">
        <v>0</v>
      </c>
      <c r="BL880" s="2" t="n">
        <v>0</v>
      </c>
      <c r="BM880" s="2" t="n">
        <v>0</v>
      </c>
      <c r="BN880" s="2" t="n">
        <v>0</v>
      </c>
      <c r="BO880" s="2" t="n">
        <v>0</v>
      </c>
      <c r="BP880" s="2" t="n">
        <v>0</v>
      </c>
      <c r="BQ880" s="2" t="n">
        <v>0</v>
      </c>
      <c r="BR880" s="2" t="n">
        <v>0</v>
      </c>
      <c r="BS880" s="2" t="n">
        <v>0</v>
      </c>
      <c r="BT880" s="2" t="n">
        <v>0</v>
      </c>
      <c r="BU880" s="2" t="n">
        <v>0</v>
      </c>
      <c r="BV880" s="2" t="n">
        <v>0</v>
      </c>
      <c r="BW880" s="2" t="n">
        <v>0</v>
      </c>
      <c r="BX880" s="2" t="n">
        <v>0</v>
      </c>
      <c r="BY880" s="2" t="n">
        <v>0</v>
      </c>
      <c r="BZ880" s="2" t="n">
        <v>0</v>
      </c>
      <c r="CA880" s="2" t="n">
        <v>0</v>
      </c>
      <c r="CB880" s="2" t="n">
        <v>0</v>
      </c>
      <c r="CC880" s="2" t="n">
        <v>0</v>
      </c>
      <c r="CD880" s="2" t="n">
        <v>0</v>
      </c>
      <c r="CE880" s="2" t="n">
        <v>0</v>
      </c>
      <c r="CF880" s="2" t="n">
        <v>0</v>
      </c>
      <c r="CG880" s="2" t="n">
        <v>0</v>
      </c>
      <c r="CH880" s="2" t="n">
        <v>0</v>
      </c>
      <c r="CI880" s="2" t="n">
        <v>0</v>
      </c>
      <c r="CJ880" s="2" t="n">
        <v>0</v>
      </c>
      <c r="CK880" s="2" t="n">
        <v>0</v>
      </c>
      <c r="CL880" s="2" t="n">
        <v>0</v>
      </c>
      <c r="CM880" s="2" t="n">
        <v>0</v>
      </c>
      <c r="CN880" s="2" t="n">
        <v>0</v>
      </c>
      <c r="CO880" s="2" t="n">
        <v>0</v>
      </c>
      <c r="CP880" s="2" t="n">
        <v>0</v>
      </c>
      <c r="CQ880" s="2" t="n">
        <v>0</v>
      </c>
      <c r="CR880" s="2" t="n">
        <v>0</v>
      </c>
      <c r="CS880" s="2" t="n">
        <v>0</v>
      </c>
      <c r="CT880" s="2" t="n">
        <v>0</v>
      </c>
      <c r="CU880" s="2" t="n">
        <v>0</v>
      </c>
      <c r="CV880" s="2" t="n">
        <v>0</v>
      </c>
      <c r="CW880" s="2" t="n">
        <v>0</v>
      </c>
      <c r="CX880" s="2" t="n">
        <v>0</v>
      </c>
      <c r="CY880" s="2" t="n">
        <v>0</v>
      </c>
      <c r="CZ880" s="2" t="n">
        <v>0</v>
      </c>
      <c r="DA880" s="2" t="n">
        <v>0</v>
      </c>
      <c r="DB880" s="2" t="n">
        <v>0</v>
      </c>
      <c r="DC880" s="2" t="n">
        <v>0</v>
      </c>
      <c r="DD880" s="2" t="n">
        <v>7.49</v>
      </c>
      <c r="DE880" s="2" t="n">
        <v>9.6</v>
      </c>
      <c r="DF880" s="2" t="n">
        <v>0</v>
      </c>
      <c r="DG880" s="2" t="n">
        <v>15.71</v>
      </c>
      <c r="DH880" s="2" t="n">
        <v>17.85</v>
      </c>
      <c r="DI880" s="2" t="n">
        <v>0</v>
      </c>
      <c r="DJ880" s="2" t="n">
        <v>26.39</v>
      </c>
      <c r="DK880" s="2" t="n">
        <v>28.5</v>
      </c>
      <c r="DL880" s="2" t="n">
        <v>0</v>
      </c>
      <c r="DM880" s="2" t="n">
        <v>36.13</v>
      </c>
      <c r="DN880" s="2" t="n">
        <v>38.25</v>
      </c>
      <c r="DO880" s="2" t="n">
        <v>0</v>
      </c>
      <c r="DP880" s="2" t="n">
        <v>45.85</v>
      </c>
      <c r="DQ880" s="2" t="n">
        <v>48.04</v>
      </c>
      <c r="DR880" s="2" t="n">
        <v>0</v>
      </c>
      <c r="DS880" s="2" t="n">
        <v>55.92</v>
      </c>
      <c r="DT880" s="2" t="n">
        <v>57.97</v>
      </c>
      <c r="DU880" s="2" t="n">
        <v>0</v>
      </c>
      <c r="DV880" s="2" t="n">
        <v>64.14</v>
      </c>
      <c r="DW880" s="2" t="n">
        <v>66.20999999999999</v>
      </c>
      <c r="DX880" s="2" t="n">
        <v>0</v>
      </c>
      <c r="DY880" s="2" t="n">
        <v>72.79000000000001</v>
      </c>
      <c r="DZ880" s="2" t="n">
        <v>75.18000000000001</v>
      </c>
      <c r="EA880" s="2" t="n">
        <v>0</v>
      </c>
      <c r="EB880" s="2" t="n">
        <v>80.93000000000001</v>
      </c>
      <c r="EC880" s="2" t="n">
        <v>84.2</v>
      </c>
      <c r="ED880" s="2" t="n">
        <v>0</v>
      </c>
      <c r="EE880" s="2" t="n">
        <v>87.59</v>
      </c>
      <c r="EF880" s="2" t="n">
        <v>90.55</v>
      </c>
      <c r="EG880" s="2" t="n">
        <v>0</v>
      </c>
      <c r="EH880" s="2" t="n">
        <v>96.19</v>
      </c>
      <c r="EI880" s="2" t="n">
        <v>98.68000000000001</v>
      </c>
      <c r="EJ880" s="2" t="n">
        <v>0</v>
      </c>
      <c r="EK880" s="2" t="n">
        <v>100</v>
      </c>
      <c r="EL880" s="2" t="n">
        <v>100</v>
      </c>
      <c r="EM880" s="2" t="n">
        <v>0</v>
      </c>
      <c r="EN880" s="2" t="n">
        <v>100</v>
      </c>
      <c r="EO880" s="2" t="n">
        <v>100</v>
      </c>
      <c r="EP880" s="2" t="n">
        <v>0</v>
      </c>
      <c r="EQ880" s="2" t="n">
        <v>100</v>
      </c>
      <c r="ER880" s="2" t="n">
        <v>100</v>
      </c>
      <c r="ES880" s="2" t="n">
        <v>0</v>
      </c>
    </row>
    <row r="881">
      <c r="A881" s="2" t="n">
        <v>3</v>
      </c>
      <c r="B881" s="2" t="inlineStr">
        <is>
          <t>34.07.01</t>
        </is>
      </c>
      <c r="C881" s="2" t="inlineStr">
        <is>
          <t>Torneira de limpeza com bico rosqueado</t>
        </is>
      </c>
      <c r="D881" s="2" t="inlineStr">
        <is>
          <t>01/03/2028</t>
        </is>
      </c>
      <c r="E881" s="2" t="inlineStr">
        <is>
          <t>05/02/2029</t>
        </is>
      </c>
      <c r="F881" s="2" t="n">
        <v>2201.854838452895</v>
      </c>
      <c r="G881" s="2" t="n">
        <v>0</v>
      </c>
      <c r="H881" s="2" t="n">
        <v>2201.854838452895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0</v>
      </c>
      <c r="AM881" s="2" t="n">
        <v>0</v>
      </c>
      <c r="AN881" s="2" t="n">
        <v>0</v>
      </c>
      <c r="AO881" s="2" t="n">
        <v>0</v>
      </c>
      <c r="AP881" s="2" t="n">
        <v>0</v>
      </c>
      <c r="AQ881" s="2" t="n">
        <v>0</v>
      </c>
      <c r="AR881" s="2" t="n">
        <v>0</v>
      </c>
      <c r="AS881" s="2" t="n">
        <v>0</v>
      </c>
      <c r="AT881" s="2" t="n">
        <v>0</v>
      </c>
      <c r="AU881" s="2" t="n">
        <v>0</v>
      </c>
      <c r="AV881" s="2" t="n">
        <v>0</v>
      </c>
      <c r="AW881" s="2" t="n">
        <v>0</v>
      </c>
      <c r="AX881" s="2" t="n">
        <v>0</v>
      </c>
      <c r="AY881" s="2" t="n">
        <v>0</v>
      </c>
      <c r="AZ881" s="2" t="n">
        <v>0</v>
      </c>
      <c r="BA881" s="2" t="n">
        <v>0</v>
      </c>
      <c r="BB881" s="2" t="n">
        <v>0</v>
      </c>
      <c r="BC881" s="2" t="n">
        <v>0</v>
      </c>
      <c r="BD881" s="2" t="n">
        <v>0</v>
      </c>
      <c r="BE881" s="2" t="n">
        <v>0</v>
      </c>
      <c r="BF881" s="2" t="n">
        <v>0</v>
      </c>
      <c r="BG881" s="2" t="n">
        <v>0</v>
      </c>
      <c r="BH881" s="2" t="n">
        <v>0</v>
      </c>
      <c r="BI881" s="2" t="n">
        <v>0</v>
      </c>
      <c r="BJ881" s="2" t="n">
        <v>0</v>
      </c>
      <c r="BK881" s="2" t="n">
        <v>0</v>
      </c>
      <c r="BL881" s="2" t="n">
        <v>0</v>
      </c>
      <c r="BM881" s="2" t="n">
        <v>0</v>
      </c>
      <c r="BN881" s="2" t="n">
        <v>0</v>
      </c>
      <c r="BO881" s="2" t="n">
        <v>0</v>
      </c>
      <c r="BP881" s="2" t="n">
        <v>0</v>
      </c>
      <c r="BQ881" s="2" t="n">
        <v>0</v>
      </c>
      <c r="BR881" s="2" t="n">
        <v>0</v>
      </c>
      <c r="BS881" s="2" t="n">
        <v>0</v>
      </c>
      <c r="BT881" s="2" t="n">
        <v>0</v>
      </c>
      <c r="BU881" s="2" t="n">
        <v>0</v>
      </c>
      <c r="BV881" s="2" t="n">
        <v>0</v>
      </c>
      <c r="BW881" s="2" t="n">
        <v>0</v>
      </c>
      <c r="BX881" s="2" t="n">
        <v>0</v>
      </c>
      <c r="BY881" s="2" t="n">
        <v>0</v>
      </c>
      <c r="BZ881" s="2" t="n">
        <v>0</v>
      </c>
      <c r="CA881" s="2" t="n">
        <v>0</v>
      </c>
      <c r="CB881" s="2" t="n">
        <v>0</v>
      </c>
      <c r="CC881" s="2" t="n">
        <v>0</v>
      </c>
      <c r="CD881" s="2" t="n">
        <v>0</v>
      </c>
      <c r="CE881" s="2" t="n">
        <v>0</v>
      </c>
      <c r="CF881" s="2" t="n">
        <v>0</v>
      </c>
      <c r="CG881" s="2" t="n">
        <v>0</v>
      </c>
      <c r="CH881" s="2" t="n">
        <v>0</v>
      </c>
      <c r="CI881" s="2" t="n">
        <v>0</v>
      </c>
      <c r="CJ881" s="2" t="n">
        <v>0</v>
      </c>
      <c r="CK881" s="2" t="n">
        <v>0</v>
      </c>
      <c r="CL881" s="2" t="n">
        <v>0</v>
      </c>
      <c r="CM881" s="2" t="n">
        <v>0</v>
      </c>
      <c r="CN881" s="2" t="n">
        <v>0</v>
      </c>
      <c r="CO881" s="2" t="n">
        <v>0</v>
      </c>
      <c r="CP881" s="2" t="n">
        <v>0</v>
      </c>
      <c r="CQ881" s="2" t="n">
        <v>0</v>
      </c>
      <c r="CR881" s="2" t="n">
        <v>0</v>
      </c>
      <c r="CS881" s="2" t="n">
        <v>0</v>
      </c>
      <c r="CT881" s="2" t="n">
        <v>0</v>
      </c>
      <c r="CU881" s="2" t="n">
        <v>0</v>
      </c>
      <c r="CV881" s="2" t="n">
        <v>0</v>
      </c>
      <c r="CW881" s="2" t="n">
        <v>0</v>
      </c>
      <c r="CX881" s="2" t="n">
        <v>0</v>
      </c>
      <c r="CY881" s="2" t="n">
        <v>0</v>
      </c>
      <c r="CZ881" s="2" t="n">
        <v>0</v>
      </c>
      <c r="DA881" s="2" t="n">
        <v>0</v>
      </c>
      <c r="DB881" s="2" t="n">
        <v>0</v>
      </c>
      <c r="DC881" s="2" t="n">
        <v>0</v>
      </c>
      <c r="DD881" s="2" t="n">
        <v>7.49</v>
      </c>
      <c r="DE881" s="2" t="n">
        <v>9.6</v>
      </c>
      <c r="DF881" s="2" t="n">
        <v>0</v>
      </c>
      <c r="DG881" s="2" t="n">
        <v>15.71</v>
      </c>
      <c r="DH881" s="2" t="n">
        <v>17.85</v>
      </c>
      <c r="DI881" s="2" t="n">
        <v>0</v>
      </c>
      <c r="DJ881" s="2" t="n">
        <v>26.39</v>
      </c>
      <c r="DK881" s="2" t="n">
        <v>28.5</v>
      </c>
      <c r="DL881" s="2" t="n">
        <v>0</v>
      </c>
      <c r="DM881" s="2" t="n">
        <v>36.13</v>
      </c>
      <c r="DN881" s="2" t="n">
        <v>38.25</v>
      </c>
      <c r="DO881" s="2" t="n">
        <v>0</v>
      </c>
      <c r="DP881" s="2" t="n">
        <v>45.85</v>
      </c>
      <c r="DQ881" s="2" t="n">
        <v>48.04</v>
      </c>
      <c r="DR881" s="2" t="n">
        <v>0</v>
      </c>
      <c r="DS881" s="2" t="n">
        <v>55.92</v>
      </c>
      <c r="DT881" s="2" t="n">
        <v>57.97</v>
      </c>
      <c r="DU881" s="2" t="n">
        <v>0</v>
      </c>
      <c r="DV881" s="2" t="n">
        <v>64.14</v>
      </c>
      <c r="DW881" s="2" t="n">
        <v>66.20999999999999</v>
      </c>
      <c r="DX881" s="2" t="n">
        <v>0</v>
      </c>
      <c r="DY881" s="2" t="n">
        <v>72.79000000000001</v>
      </c>
      <c r="DZ881" s="2" t="n">
        <v>75.18000000000001</v>
      </c>
      <c r="EA881" s="2" t="n">
        <v>0</v>
      </c>
      <c r="EB881" s="2" t="n">
        <v>80.93000000000001</v>
      </c>
      <c r="EC881" s="2" t="n">
        <v>84.2</v>
      </c>
      <c r="ED881" s="2" t="n">
        <v>0</v>
      </c>
      <c r="EE881" s="2" t="n">
        <v>87.59</v>
      </c>
      <c r="EF881" s="2" t="n">
        <v>90.55</v>
      </c>
      <c r="EG881" s="2" t="n">
        <v>0</v>
      </c>
      <c r="EH881" s="2" t="n">
        <v>96.19</v>
      </c>
      <c r="EI881" s="2" t="n">
        <v>98.68000000000001</v>
      </c>
      <c r="EJ881" s="2" t="n">
        <v>0</v>
      </c>
      <c r="EK881" s="2" t="n">
        <v>100</v>
      </c>
      <c r="EL881" s="2" t="n">
        <v>100</v>
      </c>
      <c r="EM881" s="2" t="n">
        <v>0</v>
      </c>
      <c r="EN881" s="2" t="n">
        <v>100</v>
      </c>
      <c r="EO881" s="2" t="n">
        <v>100</v>
      </c>
      <c r="EP881" s="2" t="n">
        <v>0</v>
      </c>
      <c r="EQ881" s="2" t="n">
        <v>100</v>
      </c>
      <c r="ER881" s="2" t="n">
        <v>100</v>
      </c>
      <c r="ES881" s="2" t="n">
        <v>0</v>
      </c>
    </row>
    <row r="882">
      <c r="A882" s="2" t="n">
        <v>3</v>
      </c>
      <c r="B882" s="2" t="inlineStr">
        <is>
          <t>34.07.02</t>
        </is>
      </c>
      <c r="C882" s="2" t="inlineStr">
        <is>
          <t>Dispenser de sabonete líquido de parede, para espuma de sabão, ref.: Draco Star, Prime Press Espuma 70.032, acabamento white</t>
        </is>
      </c>
      <c r="D882" s="2" t="inlineStr">
        <is>
          <t>01/03/2028</t>
        </is>
      </c>
      <c r="E882" s="2" t="inlineStr">
        <is>
          <t>05/02/2029</t>
        </is>
      </c>
      <c r="F882" s="2" t="n">
        <v>1225</v>
      </c>
      <c r="G882" s="2" t="n">
        <v>0</v>
      </c>
      <c r="H882" s="2" t="n">
        <v>1225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0</v>
      </c>
      <c r="AM882" s="2" t="n">
        <v>0</v>
      </c>
      <c r="AN882" s="2" t="n">
        <v>0</v>
      </c>
      <c r="AO882" s="2" t="n">
        <v>0</v>
      </c>
      <c r="AP882" s="2" t="n">
        <v>0</v>
      </c>
      <c r="AQ882" s="2" t="n">
        <v>0</v>
      </c>
      <c r="AR882" s="2" t="n">
        <v>0</v>
      </c>
      <c r="AS882" s="2" t="n">
        <v>0</v>
      </c>
      <c r="AT882" s="2" t="n">
        <v>0</v>
      </c>
      <c r="AU882" s="2" t="n">
        <v>0</v>
      </c>
      <c r="AV882" s="2" t="n">
        <v>0</v>
      </c>
      <c r="AW882" s="2" t="n">
        <v>0</v>
      </c>
      <c r="AX882" s="2" t="n">
        <v>0</v>
      </c>
      <c r="AY882" s="2" t="n">
        <v>0</v>
      </c>
      <c r="AZ882" s="2" t="n">
        <v>0</v>
      </c>
      <c r="BA882" s="2" t="n">
        <v>0</v>
      </c>
      <c r="BB882" s="2" t="n">
        <v>0</v>
      </c>
      <c r="BC882" s="2" t="n">
        <v>0</v>
      </c>
      <c r="BD882" s="2" t="n">
        <v>0</v>
      </c>
      <c r="BE882" s="2" t="n">
        <v>0</v>
      </c>
      <c r="BF882" s="2" t="n">
        <v>0</v>
      </c>
      <c r="BG882" s="2" t="n">
        <v>0</v>
      </c>
      <c r="BH882" s="2" t="n">
        <v>0</v>
      </c>
      <c r="BI882" s="2" t="n">
        <v>0</v>
      </c>
      <c r="BJ882" s="2" t="n">
        <v>0</v>
      </c>
      <c r="BK882" s="2" t="n">
        <v>0</v>
      </c>
      <c r="BL882" s="2" t="n">
        <v>0</v>
      </c>
      <c r="BM882" s="2" t="n">
        <v>0</v>
      </c>
      <c r="BN882" s="2" t="n">
        <v>0</v>
      </c>
      <c r="BO882" s="2" t="n">
        <v>0</v>
      </c>
      <c r="BP882" s="2" t="n">
        <v>0</v>
      </c>
      <c r="BQ882" s="2" t="n">
        <v>0</v>
      </c>
      <c r="BR882" s="2" t="n">
        <v>0</v>
      </c>
      <c r="BS882" s="2" t="n">
        <v>0</v>
      </c>
      <c r="BT882" s="2" t="n">
        <v>0</v>
      </c>
      <c r="BU882" s="2" t="n">
        <v>0</v>
      </c>
      <c r="BV882" s="2" t="n">
        <v>0</v>
      </c>
      <c r="BW882" s="2" t="n">
        <v>0</v>
      </c>
      <c r="BX882" s="2" t="n">
        <v>0</v>
      </c>
      <c r="BY882" s="2" t="n">
        <v>0</v>
      </c>
      <c r="BZ882" s="2" t="n">
        <v>0</v>
      </c>
      <c r="CA882" s="2" t="n">
        <v>0</v>
      </c>
      <c r="CB882" s="2" t="n">
        <v>0</v>
      </c>
      <c r="CC882" s="2" t="n">
        <v>0</v>
      </c>
      <c r="CD882" s="2" t="n">
        <v>0</v>
      </c>
      <c r="CE882" s="2" t="n">
        <v>0</v>
      </c>
      <c r="CF882" s="2" t="n">
        <v>0</v>
      </c>
      <c r="CG882" s="2" t="n">
        <v>0</v>
      </c>
      <c r="CH882" s="2" t="n">
        <v>0</v>
      </c>
      <c r="CI882" s="2" t="n">
        <v>0</v>
      </c>
      <c r="CJ882" s="2" t="n">
        <v>0</v>
      </c>
      <c r="CK882" s="2" t="n">
        <v>0</v>
      </c>
      <c r="CL882" s="2" t="n">
        <v>0</v>
      </c>
      <c r="CM882" s="2" t="n">
        <v>0</v>
      </c>
      <c r="CN882" s="2" t="n">
        <v>0</v>
      </c>
      <c r="CO882" s="2" t="n">
        <v>0</v>
      </c>
      <c r="CP882" s="2" t="n">
        <v>0</v>
      </c>
      <c r="CQ882" s="2" t="n">
        <v>0</v>
      </c>
      <c r="CR882" s="2" t="n">
        <v>0</v>
      </c>
      <c r="CS882" s="2" t="n">
        <v>0</v>
      </c>
      <c r="CT882" s="2" t="n">
        <v>0</v>
      </c>
      <c r="CU882" s="2" t="n">
        <v>0</v>
      </c>
      <c r="CV882" s="2" t="n">
        <v>0</v>
      </c>
      <c r="CW882" s="2" t="n">
        <v>0</v>
      </c>
      <c r="CX882" s="2" t="n">
        <v>0</v>
      </c>
      <c r="CY882" s="2" t="n">
        <v>0</v>
      </c>
      <c r="CZ882" s="2" t="n">
        <v>0</v>
      </c>
      <c r="DA882" s="2" t="n">
        <v>0</v>
      </c>
      <c r="DB882" s="2" t="n">
        <v>0</v>
      </c>
      <c r="DC882" s="2" t="n">
        <v>0</v>
      </c>
      <c r="DD882" s="2" t="n">
        <v>7.49</v>
      </c>
      <c r="DE882" s="2" t="n">
        <v>9.6</v>
      </c>
      <c r="DF882" s="2" t="n">
        <v>0</v>
      </c>
      <c r="DG882" s="2" t="n">
        <v>15.71</v>
      </c>
      <c r="DH882" s="2" t="n">
        <v>17.85</v>
      </c>
      <c r="DI882" s="2" t="n">
        <v>0</v>
      </c>
      <c r="DJ882" s="2" t="n">
        <v>26.39</v>
      </c>
      <c r="DK882" s="2" t="n">
        <v>28.5</v>
      </c>
      <c r="DL882" s="2" t="n">
        <v>0</v>
      </c>
      <c r="DM882" s="2" t="n">
        <v>36.13</v>
      </c>
      <c r="DN882" s="2" t="n">
        <v>38.25</v>
      </c>
      <c r="DO882" s="2" t="n">
        <v>0</v>
      </c>
      <c r="DP882" s="2" t="n">
        <v>45.85</v>
      </c>
      <c r="DQ882" s="2" t="n">
        <v>48.04</v>
      </c>
      <c r="DR882" s="2" t="n">
        <v>0</v>
      </c>
      <c r="DS882" s="2" t="n">
        <v>55.92</v>
      </c>
      <c r="DT882" s="2" t="n">
        <v>57.97</v>
      </c>
      <c r="DU882" s="2" t="n">
        <v>0</v>
      </c>
      <c r="DV882" s="2" t="n">
        <v>64.14</v>
      </c>
      <c r="DW882" s="2" t="n">
        <v>66.20999999999999</v>
      </c>
      <c r="DX882" s="2" t="n">
        <v>0</v>
      </c>
      <c r="DY882" s="2" t="n">
        <v>72.79000000000001</v>
      </c>
      <c r="DZ882" s="2" t="n">
        <v>75.18000000000001</v>
      </c>
      <c r="EA882" s="2" t="n">
        <v>0</v>
      </c>
      <c r="EB882" s="2" t="n">
        <v>80.93000000000001</v>
      </c>
      <c r="EC882" s="2" t="n">
        <v>84.2</v>
      </c>
      <c r="ED882" s="2" t="n">
        <v>0</v>
      </c>
      <c r="EE882" s="2" t="n">
        <v>87.59</v>
      </c>
      <c r="EF882" s="2" t="n">
        <v>90.55</v>
      </c>
      <c r="EG882" s="2" t="n">
        <v>0</v>
      </c>
      <c r="EH882" s="2" t="n">
        <v>96.19</v>
      </c>
      <c r="EI882" s="2" t="n">
        <v>98.68000000000001</v>
      </c>
      <c r="EJ882" s="2" t="n">
        <v>0</v>
      </c>
      <c r="EK882" s="2" t="n">
        <v>100</v>
      </c>
      <c r="EL882" s="2" t="n">
        <v>100</v>
      </c>
      <c r="EM882" s="2" t="n">
        <v>0</v>
      </c>
      <c r="EN882" s="2" t="n">
        <v>100</v>
      </c>
      <c r="EO882" s="2" t="n">
        <v>100</v>
      </c>
      <c r="EP882" s="2" t="n">
        <v>0</v>
      </c>
      <c r="EQ882" s="2" t="n">
        <v>100</v>
      </c>
      <c r="ER882" s="2" t="n">
        <v>100</v>
      </c>
      <c r="ES882" s="2" t="n">
        <v>0</v>
      </c>
    </row>
    <row r="883">
      <c r="A883" s="2" t="n">
        <v>3</v>
      </c>
      <c r="B883" s="2" t="inlineStr">
        <is>
          <t>34.07.03</t>
        </is>
      </c>
      <c r="C883" s="2" t="inlineStr">
        <is>
          <t>Dispenser de papel toalha para papel interfolhado, ref.: Draco Star 70.106, acabamento white.</t>
        </is>
      </c>
      <c r="D883" s="2" t="inlineStr">
        <is>
          <t>01/03/2028</t>
        </is>
      </c>
      <c r="E883" s="2" t="inlineStr">
        <is>
          <t>05/02/2029</t>
        </is>
      </c>
      <c r="F883" s="2" t="n">
        <v>995</v>
      </c>
      <c r="G883" s="2" t="n">
        <v>0</v>
      </c>
      <c r="H883" s="2" t="n">
        <v>995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0</v>
      </c>
      <c r="AM883" s="2" t="n">
        <v>0</v>
      </c>
      <c r="AN883" s="2" t="n">
        <v>0</v>
      </c>
      <c r="AO883" s="2" t="n">
        <v>0</v>
      </c>
      <c r="AP883" s="2" t="n">
        <v>0</v>
      </c>
      <c r="AQ883" s="2" t="n">
        <v>0</v>
      </c>
      <c r="AR883" s="2" t="n">
        <v>0</v>
      </c>
      <c r="AS883" s="2" t="n">
        <v>0</v>
      </c>
      <c r="AT883" s="2" t="n">
        <v>0</v>
      </c>
      <c r="AU883" s="2" t="n">
        <v>0</v>
      </c>
      <c r="AV883" s="2" t="n">
        <v>0</v>
      </c>
      <c r="AW883" s="2" t="n">
        <v>0</v>
      </c>
      <c r="AX883" s="2" t="n">
        <v>0</v>
      </c>
      <c r="AY883" s="2" t="n">
        <v>0</v>
      </c>
      <c r="AZ883" s="2" t="n">
        <v>0</v>
      </c>
      <c r="BA883" s="2" t="n">
        <v>0</v>
      </c>
      <c r="BB883" s="2" t="n">
        <v>0</v>
      </c>
      <c r="BC883" s="2" t="n">
        <v>0</v>
      </c>
      <c r="BD883" s="2" t="n">
        <v>0</v>
      </c>
      <c r="BE883" s="2" t="n">
        <v>0</v>
      </c>
      <c r="BF883" s="2" t="n">
        <v>0</v>
      </c>
      <c r="BG883" s="2" t="n">
        <v>0</v>
      </c>
      <c r="BH883" s="2" t="n">
        <v>0</v>
      </c>
      <c r="BI883" s="2" t="n">
        <v>0</v>
      </c>
      <c r="BJ883" s="2" t="n">
        <v>0</v>
      </c>
      <c r="BK883" s="2" t="n">
        <v>0</v>
      </c>
      <c r="BL883" s="2" t="n">
        <v>0</v>
      </c>
      <c r="BM883" s="2" t="n">
        <v>0</v>
      </c>
      <c r="BN883" s="2" t="n">
        <v>0</v>
      </c>
      <c r="BO883" s="2" t="n">
        <v>0</v>
      </c>
      <c r="BP883" s="2" t="n">
        <v>0</v>
      </c>
      <c r="BQ883" s="2" t="n">
        <v>0</v>
      </c>
      <c r="BR883" s="2" t="n">
        <v>0</v>
      </c>
      <c r="BS883" s="2" t="n">
        <v>0</v>
      </c>
      <c r="BT883" s="2" t="n">
        <v>0</v>
      </c>
      <c r="BU883" s="2" t="n">
        <v>0</v>
      </c>
      <c r="BV883" s="2" t="n">
        <v>0</v>
      </c>
      <c r="BW883" s="2" t="n">
        <v>0</v>
      </c>
      <c r="BX883" s="2" t="n">
        <v>0</v>
      </c>
      <c r="BY883" s="2" t="n">
        <v>0</v>
      </c>
      <c r="BZ883" s="2" t="n">
        <v>0</v>
      </c>
      <c r="CA883" s="2" t="n">
        <v>0</v>
      </c>
      <c r="CB883" s="2" t="n">
        <v>0</v>
      </c>
      <c r="CC883" s="2" t="n">
        <v>0</v>
      </c>
      <c r="CD883" s="2" t="n">
        <v>0</v>
      </c>
      <c r="CE883" s="2" t="n">
        <v>0</v>
      </c>
      <c r="CF883" s="2" t="n">
        <v>0</v>
      </c>
      <c r="CG883" s="2" t="n">
        <v>0</v>
      </c>
      <c r="CH883" s="2" t="n">
        <v>0</v>
      </c>
      <c r="CI883" s="2" t="n">
        <v>0</v>
      </c>
      <c r="CJ883" s="2" t="n">
        <v>0</v>
      </c>
      <c r="CK883" s="2" t="n">
        <v>0</v>
      </c>
      <c r="CL883" s="2" t="n">
        <v>0</v>
      </c>
      <c r="CM883" s="2" t="n">
        <v>0</v>
      </c>
      <c r="CN883" s="2" t="n">
        <v>0</v>
      </c>
      <c r="CO883" s="2" t="n">
        <v>0</v>
      </c>
      <c r="CP883" s="2" t="n">
        <v>0</v>
      </c>
      <c r="CQ883" s="2" t="n">
        <v>0</v>
      </c>
      <c r="CR883" s="2" t="n">
        <v>0</v>
      </c>
      <c r="CS883" s="2" t="n">
        <v>0</v>
      </c>
      <c r="CT883" s="2" t="n">
        <v>0</v>
      </c>
      <c r="CU883" s="2" t="n">
        <v>0</v>
      </c>
      <c r="CV883" s="2" t="n">
        <v>0</v>
      </c>
      <c r="CW883" s="2" t="n">
        <v>0</v>
      </c>
      <c r="CX883" s="2" t="n">
        <v>0</v>
      </c>
      <c r="CY883" s="2" t="n">
        <v>0</v>
      </c>
      <c r="CZ883" s="2" t="n">
        <v>0</v>
      </c>
      <c r="DA883" s="2" t="n">
        <v>0</v>
      </c>
      <c r="DB883" s="2" t="n">
        <v>0</v>
      </c>
      <c r="DC883" s="2" t="n">
        <v>0</v>
      </c>
      <c r="DD883" s="2" t="n">
        <v>7.49</v>
      </c>
      <c r="DE883" s="2" t="n">
        <v>9.6</v>
      </c>
      <c r="DF883" s="2" t="n">
        <v>0</v>
      </c>
      <c r="DG883" s="2" t="n">
        <v>15.71</v>
      </c>
      <c r="DH883" s="2" t="n">
        <v>17.85</v>
      </c>
      <c r="DI883" s="2" t="n">
        <v>0</v>
      </c>
      <c r="DJ883" s="2" t="n">
        <v>26.39</v>
      </c>
      <c r="DK883" s="2" t="n">
        <v>28.5</v>
      </c>
      <c r="DL883" s="2" t="n">
        <v>0</v>
      </c>
      <c r="DM883" s="2" t="n">
        <v>36.13</v>
      </c>
      <c r="DN883" s="2" t="n">
        <v>38.25</v>
      </c>
      <c r="DO883" s="2" t="n">
        <v>0</v>
      </c>
      <c r="DP883" s="2" t="n">
        <v>45.85</v>
      </c>
      <c r="DQ883" s="2" t="n">
        <v>48.04</v>
      </c>
      <c r="DR883" s="2" t="n">
        <v>0</v>
      </c>
      <c r="DS883" s="2" t="n">
        <v>55.92</v>
      </c>
      <c r="DT883" s="2" t="n">
        <v>57.97</v>
      </c>
      <c r="DU883" s="2" t="n">
        <v>0</v>
      </c>
      <c r="DV883" s="2" t="n">
        <v>64.14</v>
      </c>
      <c r="DW883" s="2" t="n">
        <v>66.20999999999999</v>
      </c>
      <c r="DX883" s="2" t="n">
        <v>0</v>
      </c>
      <c r="DY883" s="2" t="n">
        <v>72.79000000000001</v>
      </c>
      <c r="DZ883" s="2" t="n">
        <v>75.18000000000001</v>
      </c>
      <c r="EA883" s="2" t="n">
        <v>0</v>
      </c>
      <c r="EB883" s="2" t="n">
        <v>80.93000000000001</v>
      </c>
      <c r="EC883" s="2" t="n">
        <v>84.2</v>
      </c>
      <c r="ED883" s="2" t="n">
        <v>0</v>
      </c>
      <c r="EE883" s="2" t="n">
        <v>87.59</v>
      </c>
      <c r="EF883" s="2" t="n">
        <v>90.55</v>
      </c>
      <c r="EG883" s="2" t="n">
        <v>0</v>
      </c>
      <c r="EH883" s="2" t="n">
        <v>96.19</v>
      </c>
      <c r="EI883" s="2" t="n">
        <v>98.68000000000001</v>
      </c>
      <c r="EJ883" s="2" t="n">
        <v>0</v>
      </c>
      <c r="EK883" s="2" t="n">
        <v>100</v>
      </c>
      <c r="EL883" s="2" t="n">
        <v>100</v>
      </c>
      <c r="EM883" s="2" t="n">
        <v>0</v>
      </c>
      <c r="EN883" s="2" t="n">
        <v>100</v>
      </c>
      <c r="EO883" s="2" t="n">
        <v>100</v>
      </c>
      <c r="EP883" s="2" t="n">
        <v>0</v>
      </c>
      <c r="EQ883" s="2" t="n">
        <v>100</v>
      </c>
      <c r="ER883" s="2" t="n">
        <v>100</v>
      </c>
      <c r="ES883" s="2" t="n">
        <v>0</v>
      </c>
    </row>
    <row r="884">
      <c r="A884" s="2" t="n">
        <v>3</v>
      </c>
      <c r="B884" s="2" t="inlineStr">
        <is>
          <t>34.07.04</t>
        </is>
      </c>
      <c r="C884" s="2" t="inlineStr">
        <is>
          <t>Suporte de papel higiênico duplo, ref.: Draco Star 70.278, acabamento white.</t>
        </is>
      </c>
      <c r="D884" s="2" t="inlineStr">
        <is>
          <t>01/03/2028</t>
        </is>
      </c>
      <c r="E884" s="2" t="inlineStr">
        <is>
          <t>05/02/2029</t>
        </is>
      </c>
      <c r="F884" s="2" t="n">
        <v>995</v>
      </c>
      <c r="G884" s="2" t="n">
        <v>0</v>
      </c>
      <c r="H884" s="2" t="n">
        <v>995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0</v>
      </c>
      <c r="AL884" s="2" t="n">
        <v>0</v>
      </c>
      <c r="AM884" s="2" t="n">
        <v>0</v>
      </c>
      <c r="AN884" s="2" t="n">
        <v>0</v>
      </c>
      <c r="AO884" s="2" t="n">
        <v>0</v>
      </c>
      <c r="AP884" s="2" t="n">
        <v>0</v>
      </c>
      <c r="AQ884" s="2" t="n">
        <v>0</v>
      </c>
      <c r="AR884" s="2" t="n">
        <v>0</v>
      </c>
      <c r="AS884" s="2" t="n">
        <v>0</v>
      </c>
      <c r="AT884" s="2" t="n">
        <v>0</v>
      </c>
      <c r="AU884" s="2" t="n">
        <v>0</v>
      </c>
      <c r="AV884" s="2" t="n">
        <v>0</v>
      </c>
      <c r="AW884" s="2" t="n">
        <v>0</v>
      </c>
      <c r="AX884" s="2" t="n">
        <v>0</v>
      </c>
      <c r="AY884" s="2" t="n">
        <v>0</v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n">
        <v>0</v>
      </c>
      <c r="BI884" s="2" t="n">
        <v>0</v>
      </c>
      <c r="BJ884" s="2" t="n">
        <v>0</v>
      </c>
      <c r="BK884" s="2" t="n">
        <v>0</v>
      </c>
      <c r="BL884" s="2" t="n">
        <v>0</v>
      </c>
      <c r="BM884" s="2" t="n">
        <v>0</v>
      </c>
      <c r="BN884" s="2" t="n">
        <v>0</v>
      </c>
      <c r="BO884" s="2" t="n">
        <v>0</v>
      </c>
      <c r="BP884" s="2" t="n">
        <v>0</v>
      </c>
      <c r="BQ884" s="2" t="n">
        <v>0</v>
      </c>
      <c r="BR884" s="2" t="n">
        <v>0</v>
      </c>
      <c r="BS884" s="2" t="n">
        <v>0</v>
      </c>
      <c r="BT884" s="2" t="n">
        <v>0</v>
      </c>
      <c r="BU884" s="2" t="n">
        <v>0</v>
      </c>
      <c r="BV884" s="2" t="n">
        <v>0</v>
      </c>
      <c r="BW884" s="2" t="n">
        <v>0</v>
      </c>
      <c r="BX884" s="2" t="n">
        <v>0</v>
      </c>
      <c r="BY884" s="2" t="n">
        <v>0</v>
      </c>
      <c r="BZ884" s="2" t="n">
        <v>0</v>
      </c>
      <c r="CA884" s="2" t="n">
        <v>0</v>
      </c>
      <c r="CB884" s="2" t="n">
        <v>0</v>
      </c>
      <c r="CC884" s="2" t="n">
        <v>0</v>
      </c>
      <c r="CD884" s="2" t="n">
        <v>0</v>
      </c>
      <c r="CE884" s="2" t="n">
        <v>0</v>
      </c>
      <c r="CF884" s="2" t="n">
        <v>0</v>
      </c>
      <c r="CG884" s="2" t="n">
        <v>0</v>
      </c>
      <c r="CH884" s="2" t="n">
        <v>0</v>
      </c>
      <c r="CI884" s="2" t="n">
        <v>0</v>
      </c>
      <c r="CJ884" s="2" t="n">
        <v>0</v>
      </c>
      <c r="CK884" s="2" t="n">
        <v>0</v>
      </c>
      <c r="CL884" s="2" t="n">
        <v>0</v>
      </c>
      <c r="CM884" s="2" t="n">
        <v>0</v>
      </c>
      <c r="CN884" s="2" t="n">
        <v>0</v>
      </c>
      <c r="CO884" s="2" t="n">
        <v>0</v>
      </c>
      <c r="CP884" s="2" t="n">
        <v>0</v>
      </c>
      <c r="CQ884" s="2" t="n">
        <v>0</v>
      </c>
      <c r="CR884" s="2" t="n">
        <v>0</v>
      </c>
      <c r="CS884" s="2" t="n">
        <v>0</v>
      </c>
      <c r="CT884" s="2" t="n">
        <v>0</v>
      </c>
      <c r="CU884" s="2" t="n">
        <v>0</v>
      </c>
      <c r="CV884" s="2" t="n">
        <v>0</v>
      </c>
      <c r="CW884" s="2" t="n">
        <v>0</v>
      </c>
      <c r="CX884" s="2" t="n">
        <v>0</v>
      </c>
      <c r="CY884" s="2" t="n">
        <v>0</v>
      </c>
      <c r="CZ884" s="2" t="n">
        <v>0</v>
      </c>
      <c r="DA884" s="2" t="n">
        <v>0</v>
      </c>
      <c r="DB884" s="2" t="n">
        <v>0</v>
      </c>
      <c r="DC884" s="2" t="n">
        <v>0</v>
      </c>
      <c r="DD884" s="2" t="n">
        <v>7.49</v>
      </c>
      <c r="DE884" s="2" t="n">
        <v>9.6</v>
      </c>
      <c r="DF884" s="2" t="n">
        <v>0</v>
      </c>
      <c r="DG884" s="2" t="n">
        <v>15.71</v>
      </c>
      <c r="DH884" s="2" t="n">
        <v>17.85</v>
      </c>
      <c r="DI884" s="2" t="n">
        <v>0</v>
      </c>
      <c r="DJ884" s="2" t="n">
        <v>26.39</v>
      </c>
      <c r="DK884" s="2" t="n">
        <v>28.5</v>
      </c>
      <c r="DL884" s="2" t="n">
        <v>0</v>
      </c>
      <c r="DM884" s="2" t="n">
        <v>36.13</v>
      </c>
      <c r="DN884" s="2" t="n">
        <v>38.25</v>
      </c>
      <c r="DO884" s="2" t="n">
        <v>0</v>
      </c>
      <c r="DP884" s="2" t="n">
        <v>45.85</v>
      </c>
      <c r="DQ884" s="2" t="n">
        <v>48.04</v>
      </c>
      <c r="DR884" s="2" t="n">
        <v>0</v>
      </c>
      <c r="DS884" s="2" t="n">
        <v>55.92</v>
      </c>
      <c r="DT884" s="2" t="n">
        <v>57.97</v>
      </c>
      <c r="DU884" s="2" t="n">
        <v>0</v>
      </c>
      <c r="DV884" s="2" t="n">
        <v>64.14</v>
      </c>
      <c r="DW884" s="2" t="n">
        <v>66.20999999999999</v>
      </c>
      <c r="DX884" s="2" t="n">
        <v>0</v>
      </c>
      <c r="DY884" s="2" t="n">
        <v>72.79000000000001</v>
      </c>
      <c r="DZ884" s="2" t="n">
        <v>75.18000000000001</v>
      </c>
      <c r="EA884" s="2" t="n">
        <v>0</v>
      </c>
      <c r="EB884" s="2" t="n">
        <v>80.93000000000001</v>
      </c>
      <c r="EC884" s="2" t="n">
        <v>84.2</v>
      </c>
      <c r="ED884" s="2" t="n">
        <v>0</v>
      </c>
      <c r="EE884" s="2" t="n">
        <v>87.59</v>
      </c>
      <c r="EF884" s="2" t="n">
        <v>90.55</v>
      </c>
      <c r="EG884" s="2" t="n">
        <v>0</v>
      </c>
      <c r="EH884" s="2" t="n">
        <v>96.19</v>
      </c>
      <c r="EI884" s="2" t="n">
        <v>98.68000000000001</v>
      </c>
      <c r="EJ884" s="2" t="n">
        <v>0</v>
      </c>
      <c r="EK884" s="2" t="n">
        <v>100</v>
      </c>
      <c r="EL884" s="2" t="n">
        <v>100</v>
      </c>
      <c r="EM884" s="2" t="n">
        <v>0</v>
      </c>
      <c r="EN884" s="2" t="n">
        <v>100</v>
      </c>
      <c r="EO884" s="2" t="n">
        <v>100</v>
      </c>
      <c r="EP884" s="2" t="n">
        <v>0</v>
      </c>
      <c r="EQ884" s="2" t="n">
        <v>100</v>
      </c>
      <c r="ER884" s="2" t="n">
        <v>100</v>
      </c>
      <c r="ES884" s="2" t="n">
        <v>0</v>
      </c>
    </row>
    <row r="885">
      <c r="A885" s="2" t="n">
        <v>3</v>
      </c>
      <c r="B885" s="2" t="inlineStr">
        <is>
          <t>34.07.05</t>
        </is>
      </c>
      <c r="C885" s="2" t="inlineStr">
        <is>
          <t>Papeleira Quadrada Deca Clean Cromado, Cód.: 2020.C.CLN</t>
        </is>
      </c>
      <c r="D885" s="2" t="inlineStr">
        <is>
          <t>01/03/2028</t>
        </is>
      </c>
      <c r="E885" s="2" t="inlineStr">
        <is>
          <t>05/02/2029</t>
        </is>
      </c>
      <c r="F885" s="2" t="n">
        <v>1968</v>
      </c>
      <c r="G885" s="2" t="n">
        <v>0</v>
      </c>
      <c r="H885" s="2" t="n">
        <v>1968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0</v>
      </c>
      <c r="AM885" s="2" t="n">
        <v>0</v>
      </c>
      <c r="AN885" s="2" t="n">
        <v>0</v>
      </c>
      <c r="AO885" s="2" t="n">
        <v>0</v>
      </c>
      <c r="AP885" s="2" t="n">
        <v>0</v>
      </c>
      <c r="AQ885" s="2" t="n">
        <v>0</v>
      </c>
      <c r="AR885" s="2" t="n">
        <v>0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0</v>
      </c>
      <c r="AY885" s="2" t="n">
        <v>0</v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n">
        <v>0</v>
      </c>
      <c r="BE885" s="2" t="n">
        <v>0</v>
      </c>
      <c r="BF885" s="2" t="n">
        <v>0</v>
      </c>
      <c r="BG885" s="2" t="n">
        <v>0</v>
      </c>
      <c r="BH885" s="2" t="n">
        <v>0</v>
      </c>
      <c r="BI885" s="2" t="n">
        <v>0</v>
      </c>
      <c r="BJ885" s="2" t="n">
        <v>0</v>
      </c>
      <c r="BK885" s="2" t="n">
        <v>0</v>
      </c>
      <c r="BL885" s="2" t="n">
        <v>0</v>
      </c>
      <c r="BM885" s="2" t="n">
        <v>0</v>
      </c>
      <c r="BN885" s="2" t="n">
        <v>0</v>
      </c>
      <c r="BO885" s="2" t="n">
        <v>0</v>
      </c>
      <c r="BP885" s="2" t="n">
        <v>0</v>
      </c>
      <c r="BQ885" s="2" t="n">
        <v>0</v>
      </c>
      <c r="BR885" s="2" t="n">
        <v>0</v>
      </c>
      <c r="BS885" s="2" t="n">
        <v>0</v>
      </c>
      <c r="BT885" s="2" t="n">
        <v>0</v>
      </c>
      <c r="BU885" s="2" t="n">
        <v>0</v>
      </c>
      <c r="BV885" s="2" t="n">
        <v>0</v>
      </c>
      <c r="BW885" s="2" t="n">
        <v>0</v>
      </c>
      <c r="BX885" s="2" t="n">
        <v>0</v>
      </c>
      <c r="BY885" s="2" t="n">
        <v>0</v>
      </c>
      <c r="BZ885" s="2" t="n">
        <v>0</v>
      </c>
      <c r="CA885" s="2" t="n">
        <v>0</v>
      </c>
      <c r="CB885" s="2" t="n">
        <v>0</v>
      </c>
      <c r="CC885" s="2" t="n">
        <v>0</v>
      </c>
      <c r="CD885" s="2" t="n">
        <v>0</v>
      </c>
      <c r="CE885" s="2" t="n">
        <v>0</v>
      </c>
      <c r="CF885" s="2" t="n">
        <v>0</v>
      </c>
      <c r="CG885" s="2" t="n">
        <v>0</v>
      </c>
      <c r="CH885" s="2" t="n">
        <v>0</v>
      </c>
      <c r="CI885" s="2" t="n">
        <v>0</v>
      </c>
      <c r="CJ885" s="2" t="n">
        <v>0</v>
      </c>
      <c r="CK885" s="2" t="n">
        <v>0</v>
      </c>
      <c r="CL885" s="2" t="n">
        <v>0</v>
      </c>
      <c r="CM885" s="2" t="n">
        <v>0</v>
      </c>
      <c r="CN885" s="2" t="n">
        <v>0</v>
      </c>
      <c r="CO885" s="2" t="n">
        <v>0</v>
      </c>
      <c r="CP885" s="2" t="n">
        <v>0</v>
      </c>
      <c r="CQ885" s="2" t="n">
        <v>0</v>
      </c>
      <c r="CR885" s="2" t="n">
        <v>0</v>
      </c>
      <c r="CS885" s="2" t="n">
        <v>0</v>
      </c>
      <c r="CT885" s="2" t="n">
        <v>0</v>
      </c>
      <c r="CU885" s="2" t="n">
        <v>0</v>
      </c>
      <c r="CV885" s="2" t="n">
        <v>0</v>
      </c>
      <c r="CW885" s="2" t="n">
        <v>0</v>
      </c>
      <c r="CX885" s="2" t="n">
        <v>0</v>
      </c>
      <c r="CY885" s="2" t="n">
        <v>0</v>
      </c>
      <c r="CZ885" s="2" t="n">
        <v>0</v>
      </c>
      <c r="DA885" s="2" t="n">
        <v>0</v>
      </c>
      <c r="DB885" s="2" t="n">
        <v>0</v>
      </c>
      <c r="DC885" s="2" t="n">
        <v>0</v>
      </c>
      <c r="DD885" s="2" t="n">
        <v>7.49</v>
      </c>
      <c r="DE885" s="2" t="n">
        <v>9.6</v>
      </c>
      <c r="DF885" s="2" t="n">
        <v>0</v>
      </c>
      <c r="DG885" s="2" t="n">
        <v>15.71</v>
      </c>
      <c r="DH885" s="2" t="n">
        <v>17.85</v>
      </c>
      <c r="DI885" s="2" t="n">
        <v>0</v>
      </c>
      <c r="DJ885" s="2" t="n">
        <v>26.39</v>
      </c>
      <c r="DK885" s="2" t="n">
        <v>28.5</v>
      </c>
      <c r="DL885" s="2" t="n">
        <v>0</v>
      </c>
      <c r="DM885" s="2" t="n">
        <v>36.13</v>
      </c>
      <c r="DN885" s="2" t="n">
        <v>38.25</v>
      </c>
      <c r="DO885" s="2" t="n">
        <v>0</v>
      </c>
      <c r="DP885" s="2" t="n">
        <v>45.85</v>
      </c>
      <c r="DQ885" s="2" t="n">
        <v>48.04</v>
      </c>
      <c r="DR885" s="2" t="n">
        <v>0</v>
      </c>
      <c r="DS885" s="2" t="n">
        <v>55.92</v>
      </c>
      <c r="DT885" s="2" t="n">
        <v>57.97</v>
      </c>
      <c r="DU885" s="2" t="n">
        <v>0</v>
      </c>
      <c r="DV885" s="2" t="n">
        <v>64.14</v>
      </c>
      <c r="DW885" s="2" t="n">
        <v>66.20999999999999</v>
      </c>
      <c r="DX885" s="2" t="n">
        <v>0</v>
      </c>
      <c r="DY885" s="2" t="n">
        <v>72.79000000000001</v>
      </c>
      <c r="DZ885" s="2" t="n">
        <v>75.18000000000001</v>
      </c>
      <c r="EA885" s="2" t="n">
        <v>0</v>
      </c>
      <c r="EB885" s="2" t="n">
        <v>80.93000000000001</v>
      </c>
      <c r="EC885" s="2" t="n">
        <v>84.2</v>
      </c>
      <c r="ED885" s="2" t="n">
        <v>0</v>
      </c>
      <c r="EE885" s="2" t="n">
        <v>87.59</v>
      </c>
      <c r="EF885" s="2" t="n">
        <v>90.55</v>
      </c>
      <c r="EG885" s="2" t="n">
        <v>0</v>
      </c>
      <c r="EH885" s="2" t="n">
        <v>96.19</v>
      </c>
      <c r="EI885" s="2" t="n">
        <v>98.68000000000001</v>
      </c>
      <c r="EJ885" s="2" t="n">
        <v>0</v>
      </c>
      <c r="EK885" s="2" t="n">
        <v>100</v>
      </c>
      <c r="EL885" s="2" t="n">
        <v>100</v>
      </c>
      <c r="EM885" s="2" t="n">
        <v>0</v>
      </c>
      <c r="EN885" s="2" t="n">
        <v>100</v>
      </c>
      <c r="EO885" s="2" t="n">
        <v>100</v>
      </c>
      <c r="EP885" s="2" t="n">
        <v>0</v>
      </c>
      <c r="EQ885" s="2" t="n">
        <v>100</v>
      </c>
      <c r="ER885" s="2" t="n">
        <v>100</v>
      </c>
      <c r="ES885" s="2" t="n">
        <v>0</v>
      </c>
    </row>
    <row r="886">
      <c r="A886" s="2" t="n">
        <v>3</v>
      </c>
      <c r="B886" s="2" t="inlineStr">
        <is>
          <t>34.07.06</t>
        </is>
      </c>
      <c r="C886" s="2" t="inlineStr">
        <is>
          <t>Ralo oculto quadrado</t>
        </is>
      </c>
      <c r="D886" s="2" t="inlineStr">
        <is>
          <t>01/03/2028</t>
        </is>
      </c>
      <c r="E886" s="2" t="inlineStr">
        <is>
          <t>05/02/2029</t>
        </is>
      </c>
      <c r="F886" s="2" t="n">
        <v>80000</v>
      </c>
      <c r="G886" s="2" t="n">
        <v>0</v>
      </c>
      <c r="H886" s="2" t="n">
        <v>80000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0</v>
      </c>
      <c r="AL886" s="2" t="n">
        <v>0</v>
      </c>
      <c r="AM886" s="2" t="n">
        <v>0</v>
      </c>
      <c r="AN886" s="2" t="n">
        <v>0</v>
      </c>
      <c r="AO886" s="2" t="n">
        <v>0</v>
      </c>
      <c r="AP886" s="2" t="n">
        <v>0</v>
      </c>
      <c r="AQ886" s="2" t="n">
        <v>0</v>
      </c>
      <c r="AR886" s="2" t="n">
        <v>0</v>
      </c>
      <c r="AS886" s="2" t="n">
        <v>0</v>
      </c>
      <c r="AT886" s="2" t="n">
        <v>0</v>
      </c>
      <c r="AU886" s="2" t="n">
        <v>0</v>
      </c>
      <c r="AV886" s="2" t="n">
        <v>0</v>
      </c>
      <c r="AW886" s="2" t="n">
        <v>0</v>
      </c>
      <c r="AX886" s="2" t="n">
        <v>0</v>
      </c>
      <c r="AY886" s="2" t="n">
        <v>0</v>
      </c>
      <c r="AZ886" s="2" t="n">
        <v>0</v>
      </c>
      <c r="BA886" s="2" t="n">
        <v>0</v>
      </c>
      <c r="BB886" s="2" t="n">
        <v>0</v>
      </c>
      <c r="BC886" s="2" t="n">
        <v>0</v>
      </c>
      <c r="BD886" s="2" t="n">
        <v>0</v>
      </c>
      <c r="BE886" s="2" t="n">
        <v>0</v>
      </c>
      <c r="BF886" s="2" t="n">
        <v>0</v>
      </c>
      <c r="BG886" s="2" t="n">
        <v>0</v>
      </c>
      <c r="BH886" s="2" t="n">
        <v>0</v>
      </c>
      <c r="BI886" s="2" t="n">
        <v>0</v>
      </c>
      <c r="BJ886" s="2" t="n">
        <v>0</v>
      </c>
      <c r="BK886" s="2" t="n">
        <v>0</v>
      </c>
      <c r="BL886" s="2" t="n">
        <v>0</v>
      </c>
      <c r="BM886" s="2" t="n">
        <v>0</v>
      </c>
      <c r="BN886" s="2" t="n">
        <v>0</v>
      </c>
      <c r="BO886" s="2" t="n">
        <v>0</v>
      </c>
      <c r="BP886" s="2" t="n">
        <v>0</v>
      </c>
      <c r="BQ886" s="2" t="n">
        <v>0</v>
      </c>
      <c r="BR886" s="2" t="n">
        <v>0</v>
      </c>
      <c r="BS886" s="2" t="n">
        <v>0</v>
      </c>
      <c r="BT886" s="2" t="n">
        <v>0</v>
      </c>
      <c r="BU886" s="2" t="n">
        <v>0</v>
      </c>
      <c r="BV886" s="2" t="n">
        <v>0</v>
      </c>
      <c r="BW886" s="2" t="n">
        <v>0</v>
      </c>
      <c r="BX886" s="2" t="n">
        <v>0</v>
      </c>
      <c r="BY886" s="2" t="n">
        <v>0</v>
      </c>
      <c r="BZ886" s="2" t="n">
        <v>0</v>
      </c>
      <c r="CA886" s="2" t="n">
        <v>0</v>
      </c>
      <c r="CB886" s="2" t="n">
        <v>0</v>
      </c>
      <c r="CC886" s="2" t="n">
        <v>0</v>
      </c>
      <c r="CD886" s="2" t="n">
        <v>0</v>
      </c>
      <c r="CE886" s="2" t="n">
        <v>0</v>
      </c>
      <c r="CF886" s="2" t="n">
        <v>0</v>
      </c>
      <c r="CG886" s="2" t="n">
        <v>0</v>
      </c>
      <c r="CH886" s="2" t="n">
        <v>0</v>
      </c>
      <c r="CI886" s="2" t="n">
        <v>0</v>
      </c>
      <c r="CJ886" s="2" t="n">
        <v>0</v>
      </c>
      <c r="CK886" s="2" t="n">
        <v>0</v>
      </c>
      <c r="CL886" s="2" t="n">
        <v>0</v>
      </c>
      <c r="CM886" s="2" t="n">
        <v>0</v>
      </c>
      <c r="CN886" s="2" t="n">
        <v>0</v>
      </c>
      <c r="CO886" s="2" t="n">
        <v>0</v>
      </c>
      <c r="CP886" s="2" t="n">
        <v>0</v>
      </c>
      <c r="CQ886" s="2" t="n">
        <v>0</v>
      </c>
      <c r="CR886" s="2" t="n">
        <v>0</v>
      </c>
      <c r="CS886" s="2" t="n">
        <v>0</v>
      </c>
      <c r="CT886" s="2" t="n">
        <v>0</v>
      </c>
      <c r="CU886" s="2" t="n">
        <v>0</v>
      </c>
      <c r="CV886" s="2" t="n">
        <v>0</v>
      </c>
      <c r="CW886" s="2" t="n">
        <v>0</v>
      </c>
      <c r="CX886" s="2" t="n">
        <v>0</v>
      </c>
      <c r="CY886" s="2" t="n">
        <v>0</v>
      </c>
      <c r="CZ886" s="2" t="n">
        <v>0</v>
      </c>
      <c r="DA886" s="2" t="n">
        <v>0</v>
      </c>
      <c r="DB886" s="2" t="n">
        <v>0</v>
      </c>
      <c r="DC886" s="2" t="n">
        <v>0</v>
      </c>
      <c r="DD886" s="2" t="n">
        <v>7.49</v>
      </c>
      <c r="DE886" s="2" t="n">
        <v>9.6</v>
      </c>
      <c r="DF886" s="2" t="n">
        <v>0</v>
      </c>
      <c r="DG886" s="2" t="n">
        <v>15.71</v>
      </c>
      <c r="DH886" s="2" t="n">
        <v>17.85</v>
      </c>
      <c r="DI886" s="2" t="n">
        <v>0</v>
      </c>
      <c r="DJ886" s="2" t="n">
        <v>26.39</v>
      </c>
      <c r="DK886" s="2" t="n">
        <v>28.5</v>
      </c>
      <c r="DL886" s="2" t="n">
        <v>0</v>
      </c>
      <c r="DM886" s="2" t="n">
        <v>36.13</v>
      </c>
      <c r="DN886" s="2" t="n">
        <v>38.25</v>
      </c>
      <c r="DO886" s="2" t="n">
        <v>0</v>
      </c>
      <c r="DP886" s="2" t="n">
        <v>45.85</v>
      </c>
      <c r="DQ886" s="2" t="n">
        <v>48.04</v>
      </c>
      <c r="DR886" s="2" t="n">
        <v>0</v>
      </c>
      <c r="DS886" s="2" t="n">
        <v>55.92</v>
      </c>
      <c r="DT886" s="2" t="n">
        <v>57.97</v>
      </c>
      <c r="DU886" s="2" t="n">
        <v>0</v>
      </c>
      <c r="DV886" s="2" t="n">
        <v>64.14</v>
      </c>
      <c r="DW886" s="2" t="n">
        <v>66.20999999999999</v>
      </c>
      <c r="DX886" s="2" t="n">
        <v>0</v>
      </c>
      <c r="DY886" s="2" t="n">
        <v>72.79000000000001</v>
      </c>
      <c r="DZ886" s="2" t="n">
        <v>75.18000000000001</v>
      </c>
      <c r="EA886" s="2" t="n">
        <v>0</v>
      </c>
      <c r="EB886" s="2" t="n">
        <v>80.93000000000001</v>
      </c>
      <c r="EC886" s="2" t="n">
        <v>84.2</v>
      </c>
      <c r="ED886" s="2" t="n">
        <v>0</v>
      </c>
      <c r="EE886" s="2" t="n">
        <v>87.59</v>
      </c>
      <c r="EF886" s="2" t="n">
        <v>90.55</v>
      </c>
      <c r="EG886" s="2" t="n">
        <v>0</v>
      </c>
      <c r="EH886" s="2" t="n">
        <v>96.19</v>
      </c>
      <c r="EI886" s="2" t="n">
        <v>98.68000000000001</v>
      </c>
      <c r="EJ886" s="2" t="n">
        <v>0</v>
      </c>
      <c r="EK886" s="2" t="n">
        <v>100</v>
      </c>
      <c r="EL886" s="2" t="n">
        <v>100</v>
      </c>
      <c r="EM886" s="2" t="n">
        <v>0</v>
      </c>
      <c r="EN886" s="2" t="n">
        <v>100</v>
      </c>
      <c r="EO886" s="2" t="n">
        <v>100</v>
      </c>
      <c r="EP886" s="2" t="n">
        <v>0</v>
      </c>
      <c r="EQ886" s="2" t="n">
        <v>100</v>
      </c>
      <c r="ER886" s="2" t="n">
        <v>100</v>
      </c>
      <c r="ES886" s="2" t="n">
        <v>0</v>
      </c>
    </row>
    <row r="887">
      <c r="A887" s="2" t="n">
        <v>3</v>
      </c>
      <c r="B887" s="2" t="inlineStr">
        <is>
          <t>34.07.07</t>
        </is>
      </c>
      <c r="C887" s="2" t="inlineStr">
        <is>
          <t>Ralo Quadrado Elegance 17,5x17,5cm Escovado Mozaik Cód.: RBLE1520</t>
        </is>
      </c>
      <c r="D887" s="2" t="inlineStr">
        <is>
          <t>01/03/2028</t>
        </is>
      </c>
      <c r="E887" s="2" t="inlineStr">
        <is>
          <t>05/02/2029</t>
        </is>
      </c>
      <c r="F887" s="2" t="n">
        <v>2500</v>
      </c>
      <c r="G887" s="2" t="n">
        <v>0</v>
      </c>
      <c r="H887" s="2" t="n">
        <v>2500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0</v>
      </c>
      <c r="AM887" s="2" t="n">
        <v>0</v>
      </c>
      <c r="AN887" s="2" t="n">
        <v>0</v>
      </c>
      <c r="AO887" s="2" t="n">
        <v>0</v>
      </c>
      <c r="AP887" s="2" t="n">
        <v>0</v>
      </c>
      <c r="AQ887" s="2" t="n">
        <v>0</v>
      </c>
      <c r="AR887" s="2" t="n">
        <v>0</v>
      </c>
      <c r="AS887" s="2" t="n">
        <v>0</v>
      </c>
      <c r="AT887" s="2" t="n">
        <v>0</v>
      </c>
      <c r="AU887" s="2" t="n">
        <v>0</v>
      </c>
      <c r="AV887" s="2" t="n">
        <v>0</v>
      </c>
      <c r="AW887" s="2" t="n">
        <v>0</v>
      </c>
      <c r="AX887" s="2" t="n">
        <v>0</v>
      </c>
      <c r="AY887" s="2" t="n">
        <v>0</v>
      </c>
      <c r="AZ887" s="2" t="n">
        <v>0</v>
      </c>
      <c r="BA887" s="2" t="n">
        <v>0</v>
      </c>
      <c r="BB887" s="2" t="n">
        <v>0</v>
      </c>
      <c r="BC887" s="2" t="n">
        <v>0</v>
      </c>
      <c r="BD887" s="2" t="n">
        <v>0</v>
      </c>
      <c r="BE887" s="2" t="n">
        <v>0</v>
      </c>
      <c r="BF887" s="2" t="n">
        <v>0</v>
      </c>
      <c r="BG887" s="2" t="n">
        <v>0</v>
      </c>
      <c r="BH887" s="2" t="n">
        <v>0</v>
      </c>
      <c r="BI887" s="2" t="n">
        <v>0</v>
      </c>
      <c r="BJ887" s="2" t="n">
        <v>0</v>
      </c>
      <c r="BK887" s="2" t="n">
        <v>0</v>
      </c>
      <c r="BL887" s="2" t="n">
        <v>0</v>
      </c>
      <c r="BM887" s="2" t="n">
        <v>0</v>
      </c>
      <c r="BN887" s="2" t="n">
        <v>0</v>
      </c>
      <c r="BO887" s="2" t="n">
        <v>0</v>
      </c>
      <c r="BP887" s="2" t="n">
        <v>0</v>
      </c>
      <c r="BQ887" s="2" t="n">
        <v>0</v>
      </c>
      <c r="BR887" s="2" t="n">
        <v>0</v>
      </c>
      <c r="BS887" s="2" t="n">
        <v>0</v>
      </c>
      <c r="BT887" s="2" t="n">
        <v>0</v>
      </c>
      <c r="BU887" s="2" t="n">
        <v>0</v>
      </c>
      <c r="BV887" s="2" t="n">
        <v>0</v>
      </c>
      <c r="BW887" s="2" t="n">
        <v>0</v>
      </c>
      <c r="BX887" s="2" t="n">
        <v>0</v>
      </c>
      <c r="BY887" s="2" t="n">
        <v>0</v>
      </c>
      <c r="BZ887" s="2" t="n">
        <v>0</v>
      </c>
      <c r="CA887" s="2" t="n">
        <v>0</v>
      </c>
      <c r="CB887" s="2" t="n">
        <v>0</v>
      </c>
      <c r="CC887" s="2" t="n">
        <v>0</v>
      </c>
      <c r="CD887" s="2" t="n">
        <v>0</v>
      </c>
      <c r="CE887" s="2" t="n">
        <v>0</v>
      </c>
      <c r="CF887" s="2" t="n">
        <v>0</v>
      </c>
      <c r="CG887" s="2" t="n">
        <v>0</v>
      </c>
      <c r="CH887" s="2" t="n">
        <v>0</v>
      </c>
      <c r="CI887" s="2" t="n">
        <v>0</v>
      </c>
      <c r="CJ887" s="2" t="n">
        <v>0</v>
      </c>
      <c r="CK887" s="2" t="n">
        <v>0</v>
      </c>
      <c r="CL887" s="2" t="n">
        <v>0</v>
      </c>
      <c r="CM887" s="2" t="n">
        <v>0</v>
      </c>
      <c r="CN887" s="2" t="n">
        <v>0</v>
      </c>
      <c r="CO887" s="2" t="n">
        <v>0</v>
      </c>
      <c r="CP887" s="2" t="n">
        <v>0</v>
      </c>
      <c r="CQ887" s="2" t="n">
        <v>0</v>
      </c>
      <c r="CR887" s="2" t="n">
        <v>0</v>
      </c>
      <c r="CS887" s="2" t="n">
        <v>0</v>
      </c>
      <c r="CT887" s="2" t="n">
        <v>0</v>
      </c>
      <c r="CU887" s="2" t="n">
        <v>0</v>
      </c>
      <c r="CV887" s="2" t="n">
        <v>0</v>
      </c>
      <c r="CW887" s="2" t="n">
        <v>0</v>
      </c>
      <c r="CX887" s="2" t="n">
        <v>0</v>
      </c>
      <c r="CY887" s="2" t="n">
        <v>0</v>
      </c>
      <c r="CZ887" s="2" t="n">
        <v>0</v>
      </c>
      <c r="DA887" s="2" t="n">
        <v>0</v>
      </c>
      <c r="DB887" s="2" t="n">
        <v>0</v>
      </c>
      <c r="DC887" s="2" t="n">
        <v>0</v>
      </c>
      <c r="DD887" s="2" t="n">
        <v>7.49</v>
      </c>
      <c r="DE887" s="2" t="n">
        <v>9.6</v>
      </c>
      <c r="DF887" s="2" t="n">
        <v>0</v>
      </c>
      <c r="DG887" s="2" t="n">
        <v>15.71</v>
      </c>
      <c r="DH887" s="2" t="n">
        <v>17.85</v>
      </c>
      <c r="DI887" s="2" t="n">
        <v>0</v>
      </c>
      <c r="DJ887" s="2" t="n">
        <v>26.39</v>
      </c>
      <c r="DK887" s="2" t="n">
        <v>28.5</v>
      </c>
      <c r="DL887" s="2" t="n">
        <v>0</v>
      </c>
      <c r="DM887" s="2" t="n">
        <v>36.13</v>
      </c>
      <c r="DN887" s="2" t="n">
        <v>38.25</v>
      </c>
      <c r="DO887" s="2" t="n">
        <v>0</v>
      </c>
      <c r="DP887" s="2" t="n">
        <v>45.85</v>
      </c>
      <c r="DQ887" s="2" t="n">
        <v>48.04</v>
      </c>
      <c r="DR887" s="2" t="n">
        <v>0</v>
      </c>
      <c r="DS887" s="2" t="n">
        <v>55.92</v>
      </c>
      <c r="DT887" s="2" t="n">
        <v>57.97</v>
      </c>
      <c r="DU887" s="2" t="n">
        <v>0</v>
      </c>
      <c r="DV887" s="2" t="n">
        <v>64.14</v>
      </c>
      <c r="DW887" s="2" t="n">
        <v>66.20999999999999</v>
      </c>
      <c r="DX887" s="2" t="n">
        <v>0</v>
      </c>
      <c r="DY887" s="2" t="n">
        <v>72.79000000000001</v>
      </c>
      <c r="DZ887" s="2" t="n">
        <v>75.18000000000001</v>
      </c>
      <c r="EA887" s="2" t="n">
        <v>0</v>
      </c>
      <c r="EB887" s="2" t="n">
        <v>80.93000000000001</v>
      </c>
      <c r="EC887" s="2" t="n">
        <v>84.2</v>
      </c>
      <c r="ED887" s="2" t="n">
        <v>0</v>
      </c>
      <c r="EE887" s="2" t="n">
        <v>87.59</v>
      </c>
      <c r="EF887" s="2" t="n">
        <v>90.55</v>
      </c>
      <c r="EG887" s="2" t="n">
        <v>0</v>
      </c>
      <c r="EH887" s="2" t="n">
        <v>96.19</v>
      </c>
      <c r="EI887" s="2" t="n">
        <v>98.68000000000001</v>
      </c>
      <c r="EJ887" s="2" t="n">
        <v>0</v>
      </c>
      <c r="EK887" s="2" t="n">
        <v>100</v>
      </c>
      <c r="EL887" s="2" t="n">
        <v>100</v>
      </c>
      <c r="EM887" s="2" t="n">
        <v>0</v>
      </c>
      <c r="EN887" s="2" t="n">
        <v>100</v>
      </c>
      <c r="EO887" s="2" t="n">
        <v>100</v>
      </c>
      <c r="EP887" s="2" t="n">
        <v>0</v>
      </c>
      <c r="EQ887" s="2" t="n">
        <v>100</v>
      </c>
      <c r="ER887" s="2" t="n">
        <v>100</v>
      </c>
      <c r="ES887" s="2" t="n">
        <v>0</v>
      </c>
    </row>
    <row r="888">
      <c r="A888" s="2" t="n">
        <v>3</v>
      </c>
      <c r="B888" s="2" t="inlineStr">
        <is>
          <t>34.07.08</t>
        </is>
      </c>
      <c r="C888" s="2" t="inlineStr">
        <is>
          <t>Acabamento para registro, ref.: Deca Level, cromado</t>
        </is>
      </c>
      <c r="D888" s="2" t="inlineStr">
        <is>
          <t>01/03/2028</t>
        </is>
      </c>
      <c r="E888" s="2" t="inlineStr">
        <is>
          <t>05/02/2029</t>
        </is>
      </c>
      <c r="F888" s="2" t="n">
        <v>136077</v>
      </c>
      <c r="G888" s="2" t="n">
        <v>0</v>
      </c>
      <c r="H888" s="2" t="n">
        <v>136077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0</v>
      </c>
      <c r="AM888" s="2" t="n">
        <v>0</v>
      </c>
      <c r="AN888" s="2" t="n">
        <v>0</v>
      </c>
      <c r="AO888" s="2" t="n">
        <v>0</v>
      </c>
      <c r="AP888" s="2" t="n">
        <v>0</v>
      </c>
      <c r="AQ888" s="2" t="n">
        <v>0</v>
      </c>
      <c r="AR888" s="2" t="n">
        <v>0</v>
      </c>
      <c r="AS888" s="2" t="n">
        <v>0</v>
      </c>
      <c r="AT888" s="2" t="n">
        <v>0</v>
      </c>
      <c r="AU888" s="2" t="n">
        <v>0</v>
      </c>
      <c r="AV888" s="2" t="n">
        <v>0</v>
      </c>
      <c r="AW888" s="2" t="n">
        <v>0</v>
      </c>
      <c r="AX888" s="2" t="n">
        <v>0</v>
      </c>
      <c r="AY888" s="2" t="n">
        <v>0</v>
      </c>
      <c r="AZ888" s="2" t="n">
        <v>0</v>
      </c>
      <c r="BA888" s="2" t="n">
        <v>0</v>
      </c>
      <c r="BB888" s="2" t="n">
        <v>0</v>
      </c>
      <c r="BC888" s="2" t="n">
        <v>0</v>
      </c>
      <c r="BD888" s="2" t="n">
        <v>0</v>
      </c>
      <c r="BE888" s="2" t="n">
        <v>0</v>
      </c>
      <c r="BF888" s="2" t="n">
        <v>0</v>
      </c>
      <c r="BG888" s="2" t="n">
        <v>0</v>
      </c>
      <c r="BH888" s="2" t="n">
        <v>0</v>
      </c>
      <c r="BI888" s="2" t="n">
        <v>0</v>
      </c>
      <c r="BJ888" s="2" t="n">
        <v>0</v>
      </c>
      <c r="BK888" s="2" t="n">
        <v>0</v>
      </c>
      <c r="BL888" s="2" t="n">
        <v>0</v>
      </c>
      <c r="BM888" s="2" t="n">
        <v>0</v>
      </c>
      <c r="BN888" s="2" t="n">
        <v>0</v>
      </c>
      <c r="BO888" s="2" t="n">
        <v>0</v>
      </c>
      <c r="BP888" s="2" t="n">
        <v>0</v>
      </c>
      <c r="BQ888" s="2" t="n">
        <v>0</v>
      </c>
      <c r="BR888" s="2" t="n">
        <v>0</v>
      </c>
      <c r="BS888" s="2" t="n">
        <v>0</v>
      </c>
      <c r="BT888" s="2" t="n">
        <v>0</v>
      </c>
      <c r="BU888" s="2" t="n">
        <v>0</v>
      </c>
      <c r="BV888" s="2" t="n">
        <v>0</v>
      </c>
      <c r="BW888" s="2" t="n">
        <v>0</v>
      </c>
      <c r="BX888" s="2" t="n">
        <v>0</v>
      </c>
      <c r="BY888" s="2" t="n">
        <v>0</v>
      </c>
      <c r="BZ888" s="2" t="n">
        <v>0</v>
      </c>
      <c r="CA888" s="2" t="n">
        <v>0</v>
      </c>
      <c r="CB888" s="2" t="n">
        <v>0</v>
      </c>
      <c r="CC888" s="2" t="n">
        <v>0</v>
      </c>
      <c r="CD888" s="2" t="n">
        <v>0</v>
      </c>
      <c r="CE888" s="2" t="n">
        <v>0</v>
      </c>
      <c r="CF888" s="2" t="n">
        <v>0</v>
      </c>
      <c r="CG888" s="2" t="n">
        <v>0</v>
      </c>
      <c r="CH888" s="2" t="n">
        <v>0</v>
      </c>
      <c r="CI888" s="2" t="n">
        <v>0</v>
      </c>
      <c r="CJ888" s="2" t="n">
        <v>0</v>
      </c>
      <c r="CK888" s="2" t="n">
        <v>0</v>
      </c>
      <c r="CL888" s="2" t="n">
        <v>0</v>
      </c>
      <c r="CM888" s="2" t="n">
        <v>0</v>
      </c>
      <c r="CN888" s="2" t="n">
        <v>0</v>
      </c>
      <c r="CO888" s="2" t="n">
        <v>0</v>
      </c>
      <c r="CP888" s="2" t="n">
        <v>0</v>
      </c>
      <c r="CQ888" s="2" t="n">
        <v>0</v>
      </c>
      <c r="CR888" s="2" t="n">
        <v>0</v>
      </c>
      <c r="CS888" s="2" t="n">
        <v>0</v>
      </c>
      <c r="CT888" s="2" t="n">
        <v>0</v>
      </c>
      <c r="CU888" s="2" t="n">
        <v>0</v>
      </c>
      <c r="CV888" s="2" t="n">
        <v>0</v>
      </c>
      <c r="CW888" s="2" t="n">
        <v>0</v>
      </c>
      <c r="CX888" s="2" t="n">
        <v>0</v>
      </c>
      <c r="CY888" s="2" t="n">
        <v>0</v>
      </c>
      <c r="CZ888" s="2" t="n">
        <v>0</v>
      </c>
      <c r="DA888" s="2" t="n">
        <v>0</v>
      </c>
      <c r="DB888" s="2" t="n">
        <v>0</v>
      </c>
      <c r="DC888" s="2" t="n">
        <v>0</v>
      </c>
      <c r="DD888" s="2" t="n">
        <v>7.49</v>
      </c>
      <c r="DE888" s="2" t="n">
        <v>9.6</v>
      </c>
      <c r="DF888" s="2" t="n">
        <v>0</v>
      </c>
      <c r="DG888" s="2" t="n">
        <v>15.71</v>
      </c>
      <c r="DH888" s="2" t="n">
        <v>17.85</v>
      </c>
      <c r="DI888" s="2" t="n">
        <v>0</v>
      </c>
      <c r="DJ888" s="2" t="n">
        <v>26.39</v>
      </c>
      <c r="DK888" s="2" t="n">
        <v>28.5</v>
      </c>
      <c r="DL888" s="2" t="n">
        <v>0</v>
      </c>
      <c r="DM888" s="2" t="n">
        <v>36.13</v>
      </c>
      <c r="DN888" s="2" t="n">
        <v>38.25</v>
      </c>
      <c r="DO888" s="2" t="n">
        <v>0</v>
      </c>
      <c r="DP888" s="2" t="n">
        <v>45.85</v>
      </c>
      <c r="DQ888" s="2" t="n">
        <v>48.04</v>
      </c>
      <c r="DR888" s="2" t="n">
        <v>0</v>
      </c>
      <c r="DS888" s="2" t="n">
        <v>55.92</v>
      </c>
      <c r="DT888" s="2" t="n">
        <v>57.97</v>
      </c>
      <c r="DU888" s="2" t="n">
        <v>0</v>
      </c>
      <c r="DV888" s="2" t="n">
        <v>64.14</v>
      </c>
      <c r="DW888" s="2" t="n">
        <v>66.20999999999999</v>
      </c>
      <c r="DX888" s="2" t="n">
        <v>0</v>
      </c>
      <c r="DY888" s="2" t="n">
        <v>72.79000000000001</v>
      </c>
      <c r="DZ888" s="2" t="n">
        <v>75.18000000000001</v>
      </c>
      <c r="EA888" s="2" t="n">
        <v>0</v>
      </c>
      <c r="EB888" s="2" t="n">
        <v>80.93000000000001</v>
      </c>
      <c r="EC888" s="2" t="n">
        <v>84.2</v>
      </c>
      <c r="ED888" s="2" t="n">
        <v>0</v>
      </c>
      <c r="EE888" s="2" t="n">
        <v>87.59</v>
      </c>
      <c r="EF888" s="2" t="n">
        <v>90.55</v>
      </c>
      <c r="EG888" s="2" t="n">
        <v>0</v>
      </c>
      <c r="EH888" s="2" t="n">
        <v>96.19</v>
      </c>
      <c r="EI888" s="2" t="n">
        <v>98.68000000000001</v>
      </c>
      <c r="EJ888" s="2" t="n">
        <v>0</v>
      </c>
      <c r="EK888" s="2" t="n">
        <v>100</v>
      </c>
      <c r="EL888" s="2" t="n">
        <v>100</v>
      </c>
      <c r="EM888" s="2" t="n">
        <v>0</v>
      </c>
      <c r="EN888" s="2" t="n">
        <v>100</v>
      </c>
      <c r="EO888" s="2" t="n">
        <v>100</v>
      </c>
      <c r="EP888" s="2" t="n">
        <v>0</v>
      </c>
      <c r="EQ888" s="2" t="n">
        <v>100</v>
      </c>
      <c r="ER888" s="2" t="n">
        <v>100</v>
      </c>
      <c r="ES888" s="2" t="n">
        <v>0</v>
      </c>
    </row>
    <row r="889">
      <c r="A889" s="2" t="n">
        <v>3</v>
      </c>
      <c r="B889" s="2" t="inlineStr">
        <is>
          <t>34.07.09</t>
        </is>
      </c>
      <c r="C889" s="2" t="inlineStr">
        <is>
          <t>Acabamento de registro, ref.: Deca Link, cromado.</t>
        </is>
      </c>
      <c r="D889" s="2" t="inlineStr">
        <is>
          <t>01/03/2028</t>
        </is>
      </c>
      <c r="E889" s="2" t="inlineStr">
        <is>
          <t>05/02/2029</t>
        </is>
      </c>
      <c r="F889" s="2" t="n">
        <v>1815.64</v>
      </c>
      <c r="G889" s="2" t="n">
        <v>0</v>
      </c>
      <c r="H889" s="2" t="n">
        <v>1815.64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0</v>
      </c>
      <c r="AM889" s="2" t="n">
        <v>0</v>
      </c>
      <c r="AN889" s="2" t="n">
        <v>0</v>
      </c>
      <c r="AO889" s="2" t="n">
        <v>0</v>
      </c>
      <c r="AP889" s="2" t="n">
        <v>0</v>
      </c>
      <c r="AQ889" s="2" t="n">
        <v>0</v>
      </c>
      <c r="AR889" s="2" t="n">
        <v>0</v>
      </c>
      <c r="AS889" s="2" t="n">
        <v>0</v>
      </c>
      <c r="AT889" s="2" t="n">
        <v>0</v>
      </c>
      <c r="AU889" s="2" t="n">
        <v>0</v>
      </c>
      <c r="AV889" s="2" t="n">
        <v>0</v>
      </c>
      <c r="AW889" s="2" t="n">
        <v>0</v>
      </c>
      <c r="AX889" s="2" t="n">
        <v>0</v>
      </c>
      <c r="AY889" s="2" t="n">
        <v>0</v>
      </c>
      <c r="AZ889" s="2" t="n">
        <v>0</v>
      </c>
      <c r="BA889" s="2" t="n">
        <v>0</v>
      </c>
      <c r="BB889" s="2" t="n">
        <v>0</v>
      </c>
      <c r="BC889" s="2" t="n">
        <v>0</v>
      </c>
      <c r="BD889" s="2" t="n">
        <v>0</v>
      </c>
      <c r="BE889" s="2" t="n">
        <v>0</v>
      </c>
      <c r="BF889" s="2" t="n">
        <v>0</v>
      </c>
      <c r="BG889" s="2" t="n">
        <v>0</v>
      </c>
      <c r="BH889" s="2" t="n">
        <v>0</v>
      </c>
      <c r="BI889" s="2" t="n">
        <v>0</v>
      </c>
      <c r="BJ889" s="2" t="n">
        <v>0</v>
      </c>
      <c r="BK889" s="2" t="n">
        <v>0</v>
      </c>
      <c r="BL889" s="2" t="n">
        <v>0</v>
      </c>
      <c r="BM889" s="2" t="n">
        <v>0</v>
      </c>
      <c r="BN889" s="2" t="n">
        <v>0</v>
      </c>
      <c r="BO889" s="2" t="n">
        <v>0</v>
      </c>
      <c r="BP889" s="2" t="n">
        <v>0</v>
      </c>
      <c r="BQ889" s="2" t="n">
        <v>0</v>
      </c>
      <c r="BR889" s="2" t="n">
        <v>0</v>
      </c>
      <c r="BS889" s="2" t="n">
        <v>0</v>
      </c>
      <c r="BT889" s="2" t="n">
        <v>0</v>
      </c>
      <c r="BU889" s="2" t="n">
        <v>0</v>
      </c>
      <c r="BV889" s="2" t="n">
        <v>0</v>
      </c>
      <c r="BW889" s="2" t="n">
        <v>0</v>
      </c>
      <c r="BX889" s="2" t="n">
        <v>0</v>
      </c>
      <c r="BY889" s="2" t="n">
        <v>0</v>
      </c>
      <c r="BZ889" s="2" t="n">
        <v>0</v>
      </c>
      <c r="CA889" s="2" t="n">
        <v>0</v>
      </c>
      <c r="CB889" s="2" t="n">
        <v>0</v>
      </c>
      <c r="CC889" s="2" t="n">
        <v>0</v>
      </c>
      <c r="CD889" s="2" t="n">
        <v>0</v>
      </c>
      <c r="CE889" s="2" t="n">
        <v>0</v>
      </c>
      <c r="CF889" s="2" t="n">
        <v>0</v>
      </c>
      <c r="CG889" s="2" t="n">
        <v>0</v>
      </c>
      <c r="CH889" s="2" t="n">
        <v>0</v>
      </c>
      <c r="CI889" s="2" t="n">
        <v>0</v>
      </c>
      <c r="CJ889" s="2" t="n">
        <v>0</v>
      </c>
      <c r="CK889" s="2" t="n">
        <v>0</v>
      </c>
      <c r="CL889" s="2" t="n">
        <v>0</v>
      </c>
      <c r="CM889" s="2" t="n">
        <v>0</v>
      </c>
      <c r="CN889" s="2" t="n">
        <v>0</v>
      </c>
      <c r="CO889" s="2" t="n">
        <v>0</v>
      </c>
      <c r="CP889" s="2" t="n">
        <v>0</v>
      </c>
      <c r="CQ889" s="2" t="n">
        <v>0</v>
      </c>
      <c r="CR889" s="2" t="n">
        <v>0</v>
      </c>
      <c r="CS889" s="2" t="n">
        <v>0</v>
      </c>
      <c r="CT889" s="2" t="n">
        <v>0</v>
      </c>
      <c r="CU889" s="2" t="n">
        <v>0</v>
      </c>
      <c r="CV889" s="2" t="n">
        <v>0</v>
      </c>
      <c r="CW889" s="2" t="n">
        <v>0</v>
      </c>
      <c r="CX889" s="2" t="n">
        <v>0</v>
      </c>
      <c r="CY889" s="2" t="n">
        <v>0</v>
      </c>
      <c r="CZ889" s="2" t="n">
        <v>0</v>
      </c>
      <c r="DA889" s="2" t="n">
        <v>0</v>
      </c>
      <c r="DB889" s="2" t="n">
        <v>0</v>
      </c>
      <c r="DC889" s="2" t="n">
        <v>0</v>
      </c>
      <c r="DD889" s="2" t="n">
        <v>7.49</v>
      </c>
      <c r="DE889" s="2" t="n">
        <v>9.6</v>
      </c>
      <c r="DF889" s="2" t="n">
        <v>0</v>
      </c>
      <c r="DG889" s="2" t="n">
        <v>15.71</v>
      </c>
      <c r="DH889" s="2" t="n">
        <v>17.85</v>
      </c>
      <c r="DI889" s="2" t="n">
        <v>0</v>
      </c>
      <c r="DJ889" s="2" t="n">
        <v>26.39</v>
      </c>
      <c r="DK889" s="2" t="n">
        <v>28.5</v>
      </c>
      <c r="DL889" s="2" t="n">
        <v>0</v>
      </c>
      <c r="DM889" s="2" t="n">
        <v>36.13</v>
      </c>
      <c r="DN889" s="2" t="n">
        <v>38.25</v>
      </c>
      <c r="DO889" s="2" t="n">
        <v>0</v>
      </c>
      <c r="DP889" s="2" t="n">
        <v>45.85</v>
      </c>
      <c r="DQ889" s="2" t="n">
        <v>48.04</v>
      </c>
      <c r="DR889" s="2" t="n">
        <v>0</v>
      </c>
      <c r="DS889" s="2" t="n">
        <v>55.92</v>
      </c>
      <c r="DT889" s="2" t="n">
        <v>57.97</v>
      </c>
      <c r="DU889" s="2" t="n">
        <v>0</v>
      </c>
      <c r="DV889" s="2" t="n">
        <v>64.14</v>
      </c>
      <c r="DW889" s="2" t="n">
        <v>66.20999999999999</v>
      </c>
      <c r="DX889" s="2" t="n">
        <v>0</v>
      </c>
      <c r="DY889" s="2" t="n">
        <v>72.79000000000001</v>
      </c>
      <c r="DZ889" s="2" t="n">
        <v>75.18000000000001</v>
      </c>
      <c r="EA889" s="2" t="n">
        <v>0</v>
      </c>
      <c r="EB889" s="2" t="n">
        <v>80.93000000000001</v>
      </c>
      <c r="EC889" s="2" t="n">
        <v>84.2</v>
      </c>
      <c r="ED889" s="2" t="n">
        <v>0</v>
      </c>
      <c r="EE889" s="2" t="n">
        <v>87.59</v>
      </c>
      <c r="EF889" s="2" t="n">
        <v>90.55</v>
      </c>
      <c r="EG889" s="2" t="n">
        <v>0</v>
      </c>
      <c r="EH889" s="2" t="n">
        <v>96.19</v>
      </c>
      <c r="EI889" s="2" t="n">
        <v>98.68000000000001</v>
      </c>
      <c r="EJ889" s="2" t="n">
        <v>0</v>
      </c>
      <c r="EK889" s="2" t="n">
        <v>100</v>
      </c>
      <c r="EL889" s="2" t="n">
        <v>100</v>
      </c>
      <c r="EM889" s="2" t="n">
        <v>0</v>
      </c>
      <c r="EN889" s="2" t="n">
        <v>100</v>
      </c>
      <c r="EO889" s="2" t="n">
        <v>100</v>
      </c>
      <c r="EP889" s="2" t="n">
        <v>0</v>
      </c>
      <c r="EQ889" s="2" t="n">
        <v>100</v>
      </c>
      <c r="ER889" s="2" t="n">
        <v>100</v>
      </c>
      <c r="ES889" s="2" t="n">
        <v>0</v>
      </c>
    </row>
    <row r="890">
      <c r="A890" s="2" t="n">
        <v>3</v>
      </c>
      <c r="B890" s="2" t="inlineStr">
        <is>
          <t>34.07.10</t>
        </is>
      </c>
      <c r="C890" s="2" t="inlineStr">
        <is>
          <t>Acabamento para Registro de Gaveta Linha Cubo Cromado, Deca Cód.: 4900.C86</t>
        </is>
      </c>
      <c r="D890" s="2" t="inlineStr">
        <is>
          <t>01/03/2028</t>
        </is>
      </c>
      <c r="E890" s="2" t="inlineStr">
        <is>
          <t>05/02/2029</t>
        </is>
      </c>
      <c r="F890" s="2" t="n">
        <v>11120</v>
      </c>
      <c r="G890" s="2" t="n">
        <v>0</v>
      </c>
      <c r="H890" s="2" t="n">
        <v>11120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n">
        <v>0</v>
      </c>
      <c r="AK890" s="2" t="n">
        <v>0</v>
      </c>
      <c r="AL890" s="2" t="n">
        <v>0</v>
      </c>
      <c r="AM890" s="2" t="n">
        <v>0</v>
      </c>
      <c r="AN890" s="2" t="n">
        <v>0</v>
      </c>
      <c r="AO890" s="2" t="n">
        <v>0</v>
      </c>
      <c r="AP890" s="2" t="n">
        <v>0</v>
      </c>
      <c r="AQ890" s="2" t="n">
        <v>0</v>
      </c>
      <c r="AR890" s="2" t="n">
        <v>0</v>
      </c>
      <c r="AS890" s="2" t="n">
        <v>0</v>
      </c>
      <c r="AT890" s="2" t="n">
        <v>0</v>
      </c>
      <c r="AU890" s="2" t="n">
        <v>0</v>
      </c>
      <c r="AV890" s="2" t="n">
        <v>0</v>
      </c>
      <c r="AW890" s="2" t="n">
        <v>0</v>
      </c>
      <c r="AX890" s="2" t="n">
        <v>0</v>
      </c>
      <c r="AY890" s="2" t="n">
        <v>0</v>
      </c>
      <c r="AZ890" s="2" t="n">
        <v>0</v>
      </c>
      <c r="BA890" s="2" t="n">
        <v>0</v>
      </c>
      <c r="BB890" s="2" t="n">
        <v>0</v>
      </c>
      <c r="BC890" s="2" t="n">
        <v>0</v>
      </c>
      <c r="BD890" s="2" t="n">
        <v>0</v>
      </c>
      <c r="BE890" s="2" t="n">
        <v>0</v>
      </c>
      <c r="BF890" s="2" t="n">
        <v>0</v>
      </c>
      <c r="BG890" s="2" t="n">
        <v>0</v>
      </c>
      <c r="BH890" s="2" t="n">
        <v>0</v>
      </c>
      <c r="BI890" s="2" t="n">
        <v>0</v>
      </c>
      <c r="BJ890" s="2" t="n">
        <v>0</v>
      </c>
      <c r="BK890" s="2" t="n">
        <v>0</v>
      </c>
      <c r="BL890" s="2" t="n">
        <v>0</v>
      </c>
      <c r="BM890" s="2" t="n">
        <v>0</v>
      </c>
      <c r="BN890" s="2" t="n">
        <v>0</v>
      </c>
      <c r="BO890" s="2" t="n">
        <v>0</v>
      </c>
      <c r="BP890" s="2" t="n">
        <v>0</v>
      </c>
      <c r="BQ890" s="2" t="n">
        <v>0</v>
      </c>
      <c r="BR890" s="2" t="n">
        <v>0</v>
      </c>
      <c r="BS890" s="2" t="n">
        <v>0</v>
      </c>
      <c r="BT890" s="2" t="n">
        <v>0</v>
      </c>
      <c r="BU890" s="2" t="n">
        <v>0</v>
      </c>
      <c r="BV890" s="2" t="n">
        <v>0</v>
      </c>
      <c r="BW890" s="2" t="n">
        <v>0</v>
      </c>
      <c r="BX890" s="2" t="n">
        <v>0</v>
      </c>
      <c r="BY890" s="2" t="n">
        <v>0</v>
      </c>
      <c r="BZ890" s="2" t="n">
        <v>0</v>
      </c>
      <c r="CA890" s="2" t="n">
        <v>0</v>
      </c>
      <c r="CB890" s="2" t="n">
        <v>0</v>
      </c>
      <c r="CC890" s="2" t="n">
        <v>0</v>
      </c>
      <c r="CD890" s="2" t="n">
        <v>0</v>
      </c>
      <c r="CE890" s="2" t="n">
        <v>0</v>
      </c>
      <c r="CF890" s="2" t="n">
        <v>0</v>
      </c>
      <c r="CG890" s="2" t="n">
        <v>0</v>
      </c>
      <c r="CH890" s="2" t="n">
        <v>0</v>
      </c>
      <c r="CI890" s="2" t="n">
        <v>0</v>
      </c>
      <c r="CJ890" s="2" t="n">
        <v>0</v>
      </c>
      <c r="CK890" s="2" t="n">
        <v>0</v>
      </c>
      <c r="CL890" s="2" t="n">
        <v>0</v>
      </c>
      <c r="CM890" s="2" t="n">
        <v>0</v>
      </c>
      <c r="CN890" s="2" t="n">
        <v>0</v>
      </c>
      <c r="CO890" s="2" t="n">
        <v>0</v>
      </c>
      <c r="CP890" s="2" t="n">
        <v>0</v>
      </c>
      <c r="CQ890" s="2" t="n">
        <v>0</v>
      </c>
      <c r="CR890" s="2" t="n">
        <v>0</v>
      </c>
      <c r="CS890" s="2" t="n">
        <v>0</v>
      </c>
      <c r="CT890" s="2" t="n">
        <v>0</v>
      </c>
      <c r="CU890" s="2" t="n">
        <v>0</v>
      </c>
      <c r="CV890" s="2" t="n">
        <v>0</v>
      </c>
      <c r="CW890" s="2" t="n">
        <v>0</v>
      </c>
      <c r="CX890" s="2" t="n">
        <v>0</v>
      </c>
      <c r="CY890" s="2" t="n">
        <v>0</v>
      </c>
      <c r="CZ890" s="2" t="n">
        <v>0</v>
      </c>
      <c r="DA890" s="2" t="n">
        <v>0</v>
      </c>
      <c r="DB890" s="2" t="n">
        <v>0</v>
      </c>
      <c r="DC890" s="2" t="n">
        <v>0</v>
      </c>
      <c r="DD890" s="2" t="n">
        <v>7.49</v>
      </c>
      <c r="DE890" s="2" t="n">
        <v>9.6</v>
      </c>
      <c r="DF890" s="2" t="n">
        <v>0</v>
      </c>
      <c r="DG890" s="2" t="n">
        <v>15.71</v>
      </c>
      <c r="DH890" s="2" t="n">
        <v>17.85</v>
      </c>
      <c r="DI890" s="2" t="n">
        <v>0</v>
      </c>
      <c r="DJ890" s="2" t="n">
        <v>26.39</v>
      </c>
      <c r="DK890" s="2" t="n">
        <v>28.5</v>
      </c>
      <c r="DL890" s="2" t="n">
        <v>0</v>
      </c>
      <c r="DM890" s="2" t="n">
        <v>36.13</v>
      </c>
      <c r="DN890" s="2" t="n">
        <v>38.25</v>
      </c>
      <c r="DO890" s="2" t="n">
        <v>0</v>
      </c>
      <c r="DP890" s="2" t="n">
        <v>45.85</v>
      </c>
      <c r="DQ890" s="2" t="n">
        <v>48.04</v>
      </c>
      <c r="DR890" s="2" t="n">
        <v>0</v>
      </c>
      <c r="DS890" s="2" t="n">
        <v>55.92</v>
      </c>
      <c r="DT890" s="2" t="n">
        <v>57.97</v>
      </c>
      <c r="DU890" s="2" t="n">
        <v>0</v>
      </c>
      <c r="DV890" s="2" t="n">
        <v>64.14</v>
      </c>
      <c r="DW890" s="2" t="n">
        <v>66.20999999999999</v>
      </c>
      <c r="DX890" s="2" t="n">
        <v>0</v>
      </c>
      <c r="DY890" s="2" t="n">
        <v>72.79000000000001</v>
      </c>
      <c r="DZ890" s="2" t="n">
        <v>75.18000000000001</v>
      </c>
      <c r="EA890" s="2" t="n">
        <v>0</v>
      </c>
      <c r="EB890" s="2" t="n">
        <v>80.93000000000001</v>
      </c>
      <c r="EC890" s="2" t="n">
        <v>84.2</v>
      </c>
      <c r="ED890" s="2" t="n">
        <v>0</v>
      </c>
      <c r="EE890" s="2" t="n">
        <v>87.59</v>
      </c>
      <c r="EF890" s="2" t="n">
        <v>90.55</v>
      </c>
      <c r="EG890" s="2" t="n">
        <v>0</v>
      </c>
      <c r="EH890" s="2" t="n">
        <v>96.19</v>
      </c>
      <c r="EI890" s="2" t="n">
        <v>98.68000000000001</v>
      </c>
      <c r="EJ890" s="2" t="n">
        <v>0</v>
      </c>
      <c r="EK890" s="2" t="n">
        <v>100</v>
      </c>
      <c r="EL890" s="2" t="n">
        <v>100</v>
      </c>
      <c r="EM890" s="2" t="n">
        <v>0</v>
      </c>
      <c r="EN890" s="2" t="n">
        <v>100</v>
      </c>
      <c r="EO890" s="2" t="n">
        <v>100</v>
      </c>
      <c r="EP890" s="2" t="n">
        <v>0</v>
      </c>
      <c r="EQ890" s="2" t="n">
        <v>100</v>
      </c>
      <c r="ER890" s="2" t="n">
        <v>100</v>
      </c>
      <c r="ES890" s="2" t="n">
        <v>0</v>
      </c>
    </row>
    <row r="891">
      <c r="A891" s="2" t="n">
        <v>3</v>
      </c>
      <c r="B891" s="2" t="inlineStr">
        <is>
          <t>34.07.11</t>
        </is>
      </c>
      <c r="C891" s="2" t="inlineStr">
        <is>
          <t>Acabamento para Registro de Pressão com Mecanismo 1/2 Volta Linha Cubo, Cromado, Deca Cód.: 4916.C86</t>
        </is>
      </c>
      <c r="D891" s="2" t="inlineStr">
        <is>
          <t>01/03/2028</t>
        </is>
      </c>
      <c r="E891" s="2" t="inlineStr">
        <is>
          <t>05/02/2029</t>
        </is>
      </c>
      <c r="F891" s="2" t="n">
        <v>695</v>
      </c>
      <c r="G891" s="2" t="n">
        <v>0</v>
      </c>
      <c r="H891" s="2" t="n">
        <v>695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0</v>
      </c>
      <c r="AM891" s="2" t="n">
        <v>0</v>
      </c>
      <c r="AN891" s="2" t="n">
        <v>0</v>
      </c>
      <c r="AO891" s="2" t="n">
        <v>0</v>
      </c>
      <c r="AP891" s="2" t="n">
        <v>0</v>
      </c>
      <c r="AQ891" s="2" t="n">
        <v>0</v>
      </c>
      <c r="AR891" s="2" t="n">
        <v>0</v>
      </c>
      <c r="AS891" s="2" t="n">
        <v>0</v>
      </c>
      <c r="AT891" s="2" t="n">
        <v>0</v>
      </c>
      <c r="AU891" s="2" t="n">
        <v>0</v>
      </c>
      <c r="AV891" s="2" t="n">
        <v>0</v>
      </c>
      <c r="AW891" s="2" t="n">
        <v>0</v>
      </c>
      <c r="AX891" s="2" t="n">
        <v>0</v>
      </c>
      <c r="AY891" s="2" t="n">
        <v>0</v>
      </c>
      <c r="AZ891" s="2" t="n">
        <v>0</v>
      </c>
      <c r="BA891" s="2" t="n">
        <v>0</v>
      </c>
      <c r="BB891" s="2" t="n">
        <v>0</v>
      </c>
      <c r="BC891" s="2" t="n">
        <v>0</v>
      </c>
      <c r="BD891" s="2" t="n">
        <v>0</v>
      </c>
      <c r="BE891" s="2" t="n">
        <v>0</v>
      </c>
      <c r="BF891" s="2" t="n">
        <v>0</v>
      </c>
      <c r="BG891" s="2" t="n">
        <v>0</v>
      </c>
      <c r="BH891" s="2" t="n">
        <v>0</v>
      </c>
      <c r="BI891" s="2" t="n">
        <v>0</v>
      </c>
      <c r="BJ891" s="2" t="n">
        <v>0</v>
      </c>
      <c r="BK891" s="2" t="n">
        <v>0</v>
      </c>
      <c r="BL891" s="2" t="n">
        <v>0</v>
      </c>
      <c r="BM891" s="2" t="n">
        <v>0</v>
      </c>
      <c r="BN891" s="2" t="n">
        <v>0</v>
      </c>
      <c r="BO891" s="2" t="n">
        <v>0</v>
      </c>
      <c r="BP891" s="2" t="n">
        <v>0</v>
      </c>
      <c r="BQ891" s="2" t="n">
        <v>0</v>
      </c>
      <c r="BR891" s="2" t="n">
        <v>0</v>
      </c>
      <c r="BS891" s="2" t="n">
        <v>0</v>
      </c>
      <c r="BT891" s="2" t="n">
        <v>0</v>
      </c>
      <c r="BU891" s="2" t="n">
        <v>0</v>
      </c>
      <c r="BV891" s="2" t="n">
        <v>0</v>
      </c>
      <c r="BW891" s="2" t="n">
        <v>0</v>
      </c>
      <c r="BX891" s="2" t="n">
        <v>0</v>
      </c>
      <c r="BY891" s="2" t="n">
        <v>0</v>
      </c>
      <c r="BZ891" s="2" t="n">
        <v>0</v>
      </c>
      <c r="CA891" s="2" t="n">
        <v>0</v>
      </c>
      <c r="CB891" s="2" t="n">
        <v>0</v>
      </c>
      <c r="CC891" s="2" t="n">
        <v>0</v>
      </c>
      <c r="CD891" s="2" t="n">
        <v>0</v>
      </c>
      <c r="CE891" s="2" t="n">
        <v>0</v>
      </c>
      <c r="CF891" s="2" t="n">
        <v>0</v>
      </c>
      <c r="CG891" s="2" t="n">
        <v>0</v>
      </c>
      <c r="CH891" s="2" t="n">
        <v>0</v>
      </c>
      <c r="CI891" s="2" t="n">
        <v>0</v>
      </c>
      <c r="CJ891" s="2" t="n">
        <v>0</v>
      </c>
      <c r="CK891" s="2" t="n">
        <v>0</v>
      </c>
      <c r="CL891" s="2" t="n">
        <v>0</v>
      </c>
      <c r="CM891" s="2" t="n">
        <v>0</v>
      </c>
      <c r="CN891" s="2" t="n">
        <v>0</v>
      </c>
      <c r="CO891" s="2" t="n">
        <v>0</v>
      </c>
      <c r="CP891" s="2" t="n">
        <v>0</v>
      </c>
      <c r="CQ891" s="2" t="n">
        <v>0</v>
      </c>
      <c r="CR891" s="2" t="n">
        <v>0</v>
      </c>
      <c r="CS891" s="2" t="n">
        <v>0</v>
      </c>
      <c r="CT891" s="2" t="n">
        <v>0</v>
      </c>
      <c r="CU891" s="2" t="n">
        <v>0</v>
      </c>
      <c r="CV891" s="2" t="n">
        <v>0</v>
      </c>
      <c r="CW891" s="2" t="n">
        <v>0</v>
      </c>
      <c r="CX891" s="2" t="n">
        <v>0</v>
      </c>
      <c r="CY891" s="2" t="n">
        <v>0</v>
      </c>
      <c r="CZ891" s="2" t="n">
        <v>0</v>
      </c>
      <c r="DA891" s="2" t="n">
        <v>0</v>
      </c>
      <c r="DB891" s="2" t="n">
        <v>0</v>
      </c>
      <c r="DC891" s="2" t="n">
        <v>0</v>
      </c>
      <c r="DD891" s="2" t="n">
        <v>7.49</v>
      </c>
      <c r="DE891" s="2" t="n">
        <v>9.6</v>
      </c>
      <c r="DF891" s="2" t="n">
        <v>0</v>
      </c>
      <c r="DG891" s="2" t="n">
        <v>15.71</v>
      </c>
      <c r="DH891" s="2" t="n">
        <v>17.85</v>
      </c>
      <c r="DI891" s="2" t="n">
        <v>0</v>
      </c>
      <c r="DJ891" s="2" t="n">
        <v>26.39</v>
      </c>
      <c r="DK891" s="2" t="n">
        <v>28.5</v>
      </c>
      <c r="DL891" s="2" t="n">
        <v>0</v>
      </c>
      <c r="DM891" s="2" t="n">
        <v>36.13</v>
      </c>
      <c r="DN891" s="2" t="n">
        <v>38.25</v>
      </c>
      <c r="DO891" s="2" t="n">
        <v>0</v>
      </c>
      <c r="DP891" s="2" t="n">
        <v>45.85</v>
      </c>
      <c r="DQ891" s="2" t="n">
        <v>48.04</v>
      </c>
      <c r="DR891" s="2" t="n">
        <v>0</v>
      </c>
      <c r="DS891" s="2" t="n">
        <v>55.92</v>
      </c>
      <c r="DT891" s="2" t="n">
        <v>57.97</v>
      </c>
      <c r="DU891" s="2" t="n">
        <v>0</v>
      </c>
      <c r="DV891" s="2" t="n">
        <v>64.14</v>
      </c>
      <c r="DW891" s="2" t="n">
        <v>66.20999999999999</v>
      </c>
      <c r="DX891" s="2" t="n">
        <v>0</v>
      </c>
      <c r="DY891" s="2" t="n">
        <v>72.79000000000001</v>
      </c>
      <c r="DZ891" s="2" t="n">
        <v>75.18000000000001</v>
      </c>
      <c r="EA891" s="2" t="n">
        <v>0</v>
      </c>
      <c r="EB891" s="2" t="n">
        <v>80.93000000000001</v>
      </c>
      <c r="EC891" s="2" t="n">
        <v>84.2</v>
      </c>
      <c r="ED891" s="2" t="n">
        <v>0</v>
      </c>
      <c r="EE891" s="2" t="n">
        <v>87.59</v>
      </c>
      <c r="EF891" s="2" t="n">
        <v>90.55</v>
      </c>
      <c r="EG891" s="2" t="n">
        <v>0</v>
      </c>
      <c r="EH891" s="2" t="n">
        <v>96.19</v>
      </c>
      <c r="EI891" s="2" t="n">
        <v>98.68000000000001</v>
      </c>
      <c r="EJ891" s="2" t="n">
        <v>0</v>
      </c>
      <c r="EK891" s="2" t="n">
        <v>100</v>
      </c>
      <c r="EL891" s="2" t="n">
        <v>100</v>
      </c>
      <c r="EM891" s="2" t="n">
        <v>0</v>
      </c>
      <c r="EN891" s="2" t="n">
        <v>100</v>
      </c>
      <c r="EO891" s="2" t="n">
        <v>100</v>
      </c>
      <c r="EP891" s="2" t="n">
        <v>0</v>
      </c>
      <c r="EQ891" s="2" t="n">
        <v>100</v>
      </c>
      <c r="ER891" s="2" t="n">
        <v>100</v>
      </c>
      <c r="ES891" s="2" t="n">
        <v>0</v>
      </c>
    </row>
    <row r="892">
      <c r="A892" s="2" t="n">
        <v>1</v>
      </c>
      <c r="B892" s="2" t="inlineStr">
        <is>
          <t>35</t>
        </is>
      </c>
      <c r="C892" s="2" t="inlineStr">
        <is>
          <t>PINTURAS</t>
        </is>
      </c>
      <c r="D892" s="2" t="inlineStr">
        <is>
          <t>19/10/2026</t>
        </is>
      </c>
      <c r="E892" s="2" t="inlineStr">
        <is>
          <t>02/04/2029</t>
        </is>
      </c>
      <c r="F892" s="2" t="n">
        <v>3676746.932637811</v>
      </c>
      <c r="G892" s="2" t="n">
        <v>0</v>
      </c>
      <c r="H892" s="2" t="n">
        <v>3676746.932637811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n">
        <v>0</v>
      </c>
      <c r="AK892" s="2" t="n">
        <v>0</v>
      </c>
      <c r="AL892" s="2" t="n">
        <v>0</v>
      </c>
      <c r="AM892" s="2" t="n">
        <v>0</v>
      </c>
      <c r="AN892" s="2" t="n">
        <v>0</v>
      </c>
      <c r="AO892" s="2" t="n">
        <v>0</v>
      </c>
      <c r="AP892" s="2" t="n">
        <v>0</v>
      </c>
      <c r="AQ892" s="2" t="n">
        <v>0</v>
      </c>
      <c r="AR892" s="2" t="n">
        <v>0</v>
      </c>
      <c r="AS892" s="2" t="n">
        <v>0</v>
      </c>
      <c r="AT892" s="2" t="n">
        <v>0</v>
      </c>
      <c r="AU892" s="2" t="n">
        <v>0</v>
      </c>
      <c r="AV892" s="2" t="n">
        <v>0</v>
      </c>
      <c r="AW892" s="2" t="n">
        <v>0</v>
      </c>
      <c r="AX892" s="2" t="n">
        <v>0</v>
      </c>
      <c r="AY892" s="2" t="n">
        <v>0</v>
      </c>
      <c r="AZ892" s="2" t="n">
        <v>0</v>
      </c>
      <c r="BA892" s="2" t="n">
        <v>0</v>
      </c>
      <c r="BB892" s="2" t="n">
        <v>0</v>
      </c>
      <c r="BC892" s="2" t="n">
        <v>0</v>
      </c>
      <c r="BD892" s="2" t="n">
        <v>0</v>
      </c>
      <c r="BE892" s="2" t="n">
        <v>0</v>
      </c>
      <c r="BF892" s="2" t="n">
        <v>0.92</v>
      </c>
      <c r="BG892" s="2" t="n">
        <v>0</v>
      </c>
      <c r="BH892" s="2" t="n">
        <v>0</v>
      </c>
      <c r="BI892" s="2" t="n">
        <v>2.65</v>
      </c>
      <c r="BJ892" s="2" t="n">
        <v>0</v>
      </c>
      <c r="BK892" s="2" t="n">
        <v>0</v>
      </c>
      <c r="BL892" s="2" t="n">
        <v>4.12</v>
      </c>
      <c r="BM892" s="2" t="n">
        <v>0</v>
      </c>
      <c r="BN892" s="2" t="n">
        <v>2.92</v>
      </c>
      <c r="BO892" s="2" t="n">
        <v>6.59</v>
      </c>
      <c r="BP892" s="2" t="n">
        <v>0</v>
      </c>
      <c r="BQ892" s="2" t="n">
        <v>6.47</v>
      </c>
      <c r="BR892" s="2" t="n">
        <v>9.06</v>
      </c>
      <c r="BS892" s="2" t="n">
        <v>0</v>
      </c>
      <c r="BT892" s="2" t="n">
        <v>10.1</v>
      </c>
      <c r="BU892" s="2" t="n">
        <v>11.53</v>
      </c>
      <c r="BV892" s="2" t="n">
        <v>0</v>
      </c>
      <c r="BW892" s="2" t="n">
        <v>13.9</v>
      </c>
      <c r="BX892" s="2" t="n">
        <v>14.21</v>
      </c>
      <c r="BY892" s="2" t="n">
        <v>0</v>
      </c>
      <c r="BZ892" s="2" t="n">
        <v>14.99</v>
      </c>
      <c r="CA892" s="2" t="n">
        <v>14.99</v>
      </c>
      <c r="CB892" s="2" t="n">
        <v>0</v>
      </c>
      <c r="CC892" s="2" t="n">
        <v>14.99</v>
      </c>
      <c r="CD892" s="2" t="n">
        <v>14.99</v>
      </c>
      <c r="CE892" s="2" t="n">
        <v>0</v>
      </c>
      <c r="CF892" s="2" t="n">
        <v>14.99</v>
      </c>
      <c r="CG892" s="2" t="n">
        <v>14.99</v>
      </c>
      <c r="CH892" s="2" t="n">
        <v>0</v>
      </c>
      <c r="CI892" s="2" t="n">
        <v>14.99</v>
      </c>
      <c r="CJ892" s="2" t="n">
        <v>14.99</v>
      </c>
      <c r="CK892" s="2" t="n">
        <v>0</v>
      </c>
      <c r="CL892" s="2" t="n">
        <v>14.99</v>
      </c>
      <c r="CM892" s="2" t="n">
        <v>14.99</v>
      </c>
      <c r="CN892" s="2" t="n">
        <v>0</v>
      </c>
      <c r="CO892" s="2" t="n">
        <v>14.99</v>
      </c>
      <c r="CP892" s="2" t="n">
        <v>14.99</v>
      </c>
      <c r="CQ892" s="2" t="n">
        <v>0</v>
      </c>
      <c r="CR892" s="2" t="n">
        <v>14.99</v>
      </c>
      <c r="CS892" s="2" t="n">
        <v>14.99</v>
      </c>
      <c r="CT892" s="2" t="n">
        <v>0</v>
      </c>
      <c r="CU892" s="2" t="n">
        <v>14.99</v>
      </c>
      <c r="CV892" s="2" t="n">
        <v>14.99</v>
      </c>
      <c r="CW892" s="2" t="n">
        <v>0</v>
      </c>
      <c r="CX892" s="2" t="n">
        <v>15.81</v>
      </c>
      <c r="CY892" s="2" t="n">
        <v>16.23</v>
      </c>
      <c r="CZ892" s="2" t="n">
        <v>0</v>
      </c>
      <c r="DA892" s="2" t="n">
        <v>17.55</v>
      </c>
      <c r="DB892" s="2" t="n">
        <v>17.97</v>
      </c>
      <c r="DC892" s="2" t="n">
        <v>0</v>
      </c>
      <c r="DD892" s="2" t="n">
        <v>19.57</v>
      </c>
      <c r="DE892" s="2" t="n">
        <v>20.41</v>
      </c>
      <c r="DF892" s="2" t="n">
        <v>0</v>
      </c>
      <c r="DG892" s="2" t="n">
        <v>23.48</v>
      </c>
      <c r="DH892" s="2" t="n">
        <v>24.42</v>
      </c>
      <c r="DI892" s="2" t="n">
        <v>0</v>
      </c>
      <c r="DJ892" s="2" t="n">
        <v>31.87</v>
      </c>
      <c r="DK892" s="2" t="n">
        <v>33.71</v>
      </c>
      <c r="DL892" s="2" t="n">
        <v>0</v>
      </c>
      <c r="DM892" s="2" t="n">
        <v>41.29</v>
      </c>
      <c r="DN892" s="2" t="n">
        <v>42.73</v>
      </c>
      <c r="DO892" s="2" t="n">
        <v>0</v>
      </c>
      <c r="DP892" s="2" t="n">
        <v>47.44</v>
      </c>
      <c r="DQ892" s="2" t="n">
        <v>48.89</v>
      </c>
      <c r="DR892" s="2" t="n">
        <v>0</v>
      </c>
      <c r="DS892" s="2" t="n">
        <v>53.53</v>
      </c>
      <c r="DT892" s="2" t="n">
        <v>55.02</v>
      </c>
      <c r="DU892" s="2" t="n">
        <v>0</v>
      </c>
      <c r="DV892" s="2" t="n">
        <v>59.17</v>
      </c>
      <c r="DW892" s="2" t="n">
        <v>61.92</v>
      </c>
      <c r="DX892" s="2" t="n">
        <v>0</v>
      </c>
      <c r="DY892" s="2" t="n">
        <v>66.09</v>
      </c>
      <c r="DZ892" s="2" t="n">
        <v>69.41</v>
      </c>
      <c r="EA892" s="2" t="n">
        <v>0</v>
      </c>
      <c r="EB892" s="2" t="n">
        <v>72.53</v>
      </c>
      <c r="EC892" s="2" t="n">
        <v>76.93000000000001</v>
      </c>
      <c r="ED892" s="2" t="n">
        <v>0</v>
      </c>
      <c r="EE892" s="2" t="n">
        <v>78.14</v>
      </c>
      <c r="EF892" s="2" t="n">
        <v>81.95999999999999</v>
      </c>
      <c r="EG892" s="2" t="n">
        <v>0</v>
      </c>
      <c r="EH892" s="2" t="n">
        <v>85.47</v>
      </c>
      <c r="EI892" s="2" t="n">
        <v>89.78</v>
      </c>
      <c r="EJ892" s="2" t="n">
        <v>0</v>
      </c>
      <c r="EK892" s="2" t="n">
        <v>92.44</v>
      </c>
      <c r="EL892" s="2" t="n">
        <v>95.38</v>
      </c>
      <c r="EM892" s="2" t="n">
        <v>0</v>
      </c>
      <c r="EN892" s="2" t="n">
        <v>97.36</v>
      </c>
      <c r="EO892" s="2" t="n">
        <v>98.44</v>
      </c>
      <c r="EP892" s="2" t="n">
        <v>0</v>
      </c>
      <c r="EQ892" s="2" t="n">
        <v>98.45999999999999</v>
      </c>
      <c r="ER892" s="2" t="n">
        <v>98.45999999999999</v>
      </c>
      <c r="ES892" s="2" t="n">
        <v>0</v>
      </c>
    </row>
    <row r="893">
      <c r="A893" s="2" t="n">
        <v>2</v>
      </c>
      <c r="B893" s="2" t="inlineStr">
        <is>
          <t>35.01</t>
        </is>
      </c>
      <c r="C893" s="2" t="inlineStr">
        <is>
          <t>Latex Acrílico</t>
        </is>
      </c>
      <c r="D893" s="2" t="inlineStr">
        <is>
          <t>11/01/2028</t>
        </is>
      </c>
      <c r="E893" s="2" t="inlineStr">
        <is>
          <t>02/04/2029</t>
        </is>
      </c>
      <c r="F893" s="2" t="n">
        <v>2249424.420092636</v>
      </c>
      <c r="G893" s="2" t="n">
        <v>0</v>
      </c>
      <c r="H893" s="2" t="n">
        <v>2249424.420092636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n">
        <v>0</v>
      </c>
      <c r="AK893" s="2" t="n">
        <v>0</v>
      </c>
      <c r="AL893" s="2" t="n">
        <v>0</v>
      </c>
      <c r="AM893" s="2" t="n">
        <v>0</v>
      </c>
      <c r="AN893" s="2" t="n">
        <v>0</v>
      </c>
      <c r="AO893" s="2" t="n">
        <v>0</v>
      </c>
      <c r="AP893" s="2" t="n">
        <v>0</v>
      </c>
      <c r="AQ893" s="2" t="n">
        <v>0</v>
      </c>
      <c r="AR893" s="2" t="n">
        <v>0</v>
      </c>
      <c r="AS893" s="2" t="n">
        <v>0</v>
      </c>
      <c r="AT893" s="2" t="n">
        <v>0</v>
      </c>
      <c r="AU893" s="2" t="n">
        <v>0</v>
      </c>
      <c r="AV893" s="2" t="n">
        <v>0</v>
      </c>
      <c r="AW893" s="2" t="n">
        <v>0</v>
      </c>
      <c r="AX893" s="2" t="n">
        <v>0</v>
      </c>
      <c r="AY893" s="2" t="n">
        <v>0</v>
      </c>
      <c r="AZ893" s="2" t="n">
        <v>0</v>
      </c>
      <c r="BA893" s="2" t="n">
        <v>0</v>
      </c>
      <c r="BB893" s="2" t="n">
        <v>0</v>
      </c>
      <c r="BC893" s="2" t="n">
        <v>0</v>
      </c>
      <c r="BD893" s="2" t="n">
        <v>0</v>
      </c>
      <c r="BE893" s="2" t="n">
        <v>0</v>
      </c>
      <c r="BF893" s="2" t="n">
        <v>0</v>
      </c>
      <c r="BG893" s="2" t="n">
        <v>0</v>
      </c>
      <c r="BH893" s="2" t="n">
        <v>0</v>
      </c>
      <c r="BI893" s="2" t="n">
        <v>0</v>
      </c>
      <c r="BJ893" s="2" t="n">
        <v>0</v>
      </c>
      <c r="BK893" s="2" t="n">
        <v>0</v>
      </c>
      <c r="BL893" s="2" t="n">
        <v>0</v>
      </c>
      <c r="BM893" s="2" t="n">
        <v>0</v>
      </c>
      <c r="BN893" s="2" t="n">
        <v>0</v>
      </c>
      <c r="BO893" s="2" t="n">
        <v>0</v>
      </c>
      <c r="BP893" s="2" t="n">
        <v>0</v>
      </c>
      <c r="BQ893" s="2" t="n">
        <v>0</v>
      </c>
      <c r="BR893" s="2" t="n">
        <v>0</v>
      </c>
      <c r="BS893" s="2" t="n">
        <v>0</v>
      </c>
      <c r="BT893" s="2" t="n">
        <v>0</v>
      </c>
      <c r="BU893" s="2" t="n">
        <v>0</v>
      </c>
      <c r="BV893" s="2" t="n">
        <v>0</v>
      </c>
      <c r="BW893" s="2" t="n">
        <v>0</v>
      </c>
      <c r="BX893" s="2" t="n">
        <v>0</v>
      </c>
      <c r="BY893" s="2" t="n">
        <v>0</v>
      </c>
      <c r="BZ893" s="2" t="n">
        <v>0</v>
      </c>
      <c r="CA893" s="2" t="n">
        <v>0</v>
      </c>
      <c r="CB893" s="2" t="n">
        <v>0</v>
      </c>
      <c r="CC893" s="2" t="n">
        <v>0</v>
      </c>
      <c r="CD893" s="2" t="n">
        <v>0</v>
      </c>
      <c r="CE893" s="2" t="n">
        <v>0</v>
      </c>
      <c r="CF893" s="2" t="n">
        <v>0</v>
      </c>
      <c r="CG893" s="2" t="n">
        <v>0</v>
      </c>
      <c r="CH893" s="2" t="n">
        <v>0</v>
      </c>
      <c r="CI893" s="2" t="n">
        <v>0</v>
      </c>
      <c r="CJ893" s="2" t="n">
        <v>0</v>
      </c>
      <c r="CK893" s="2" t="n">
        <v>0</v>
      </c>
      <c r="CL893" s="2" t="n">
        <v>0</v>
      </c>
      <c r="CM893" s="2" t="n">
        <v>0</v>
      </c>
      <c r="CN893" s="2" t="n">
        <v>0</v>
      </c>
      <c r="CO893" s="2" t="n">
        <v>0</v>
      </c>
      <c r="CP893" s="2" t="n">
        <v>0</v>
      </c>
      <c r="CQ893" s="2" t="n">
        <v>0</v>
      </c>
      <c r="CR893" s="2" t="n">
        <v>0</v>
      </c>
      <c r="CS893" s="2" t="n">
        <v>0</v>
      </c>
      <c r="CT893" s="2" t="n">
        <v>0</v>
      </c>
      <c r="CU893" s="2" t="n">
        <v>0</v>
      </c>
      <c r="CV893" s="2" t="n">
        <v>0</v>
      </c>
      <c r="CW893" s="2" t="n">
        <v>0</v>
      </c>
      <c r="CX893" s="2" t="n">
        <v>1.35</v>
      </c>
      <c r="CY893" s="2" t="n">
        <v>2.03</v>
      </c>
      <c r="CZ893" s="2" t="n">
        <v>0</v>
      </c>
      <c r="DA893" s="2" t="n">
        <v>4.19</v>
      </c>
      <c r="DB893" s="2" t="n">
        <v>4.87</v>
      </c>
      <c r="DC893" s="2" t="n">
        <v>0</v>
      </c>
      <c r="DD893" s="2" t="n">
        <v>7.49</v>
      </c>
      <c r="DE893" s="2" t="n">
        <v>8.859999999999999</v>
      </c>
      <c r="DF893" s="2" t="n">
        <v>0</v>
      </c>
      <c r="DG893" s="2" t="n">
        <v>12.72</v>
      </c>
      <c r="DH893" s="2" t="n">
        <v>14.1</v>
      </c>
      <c r="DI893" s="2" t="n">
        <v>0</v>
      </c>
      <c r="DJ893" s="2" t="n">
        <v>21.84</v>
      </c>
      <c r="DK893" s="2" t="n">
        <v>23.94</v>
      </c>
      <c r="DL893" s="2" t="n">
        <v>0</v>
      </c>
      <c r="DM893" s="2" t="n">
        <v>31.36</v>
      </c>
      <c r="DN893" s="2" t="n">
        <v>33.47</v>
      </c>
      <c r="DO893" s="2" t="n">
        <v>0</v>
      </c>
      <c r="DP893" s="2" t="n">
        <v>40.97</v>
      </c>
      <c r="DQ893" s="2" t="n">
        <v>43.09</v>
      </c>
      <c r="DR893" s="2" t="n">
        <v>0</v>
      </c>
      <c r="DS893" s="2" t="n">
        <v>50.46</v>
      </c>
      <c r="DT893" s="2" t="n">
        <v>52.64</v>
      </c>
      <c r="DU893" s="2" t="n">
        <v>0</v>
      </c>
      <c r="DV893" s="2" t="n">
        <v>59.27</v>
      </c>
      <c r="DW893" s="2" t="n">
        <v>61.56</v>
      </c>
      <c r="DX893" s="2" t="n">
        <v>0</v>
      </c>
      <c r="DY893" s="2" t="n">
        <v>68.22</v>
      </c>
      <c r="DZ893" s="2" t="n">
        <v>71.04000000000001</v>
      </c>
      <c r="EA893" s="2" t="n">
        <v>0</v>
      </c>
      <c r="EB893" s="2" t="n">
        <v>76.31999999999999</v>
      </c>
      <c r="EC893" s="2" t="n">
        <v>78.27</v>
      </c>
      <c r="ED893" s="2" t="n">
        <v>0</v>
      </c>
      <c r="EE893" s="2" t="n">
        <v>82.22</v>
      </c>
      <c r="EF893" s="2" t="n">
        <v>84.26000000000001</v>
      </c>
      <c r="EG893" s="2" t="n">
        <v>0</v>
      </c>
      <c r="EH893" s="2" t="n">
        <v>89.09</v>
      </c>
      <c r="EI893" s="2" t="n">
        <v>91.2</v>
      </c>
      <c r="EJ893" s="2" t="n">
        <v>0</v>
      </c>
      <c r="EK893" s="2" t="n">
        <v>95.55</v>
      </c>
      <c r="EL893" s="2" t="n">
        <v>96.84999999999999</v>
      </c>
      <c r="EM893" s="2" t="n">
        <v>0</v>
      </c>
      <c r="EN893" s="2" t="n">
        <v>99.81999999999999</v>
      </c>
      <c r="EO893" s="2" t="n">
        <v>99.97</v>
      </c>
      <c r="EP893" s="2" t="n">
        <v>0</v>
      </c>
      <c r="EQ893" s="2" t="n">
        <v>100</v>
      </c>
      <c r="ER893" s="2" t="n">
        <v>100</v>
      </c>
      <c r="ES893" s="2" t="n">
        <v>0</v>
      </c>
    </row>
    <row r="894">
      <c r="A894" s="2" t="n">
        <v>3</v>
      </c>
      <c r="B894" s="2" t="inlineStr">
        <is>
          <t>35.01.01</t>
        </is>
      </c>
      <c r="C894" s="2" t="inlineStr">
        <is>
          <t>Emassamento acrílico (1 demão + retoques)</t>
        </is>
      </c>
      <c r="D894" s="2" t="inlineStr">
        <is>
          <t>11/01/2028</t>
        </is>
      </c>
      <c r="E894" s="2" t="inlineStr">
        <is>
          <t>02/04/2029</t>
        </is>
      </c>
      <c r="F894" s="2" t="n">
        <v>553494.8368130275</v>
      </c>
      <c r="G894" s="2" t="n">
        <v>0</v>
      </c>
      <c r="H894" s="2" t="n">
        <v>553494.8368130275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n">
        <v>0</v>
      </c>
      <c r="AK894" s="2" t="n">
        <v>0</v>
      </c>
      <c r="AL894" s="2" t="n">
        <v>0</v>
      </c>
      <c r="AM894" s="2" t="n">
        <v>0</v>
      </c>
      <c r="AN894" s="2" t="n">
        <v>0</v>
      </c>
      <c r="AO894" s="2" t="n">
        <v>0</v>
      </c>
      <c r="AP894" s="2" t="n">
        <v>0</v>
      </c>
      <c r="AQ894" s="2" t="n">
        <v>0</v>
      </c>
      <c r="AR894" s="2" t="n">
        <v>0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0</v>
      </c>
      <c r="AY894" s="2" t="n">
        <v>0</v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n">
        <v>0</v>
      </c>
      <c r="BE894" s="2" t="n">
        <v>0</v>
      </c>
      <c r="BF894" s="2" t="n">
        <v>0</v>
      </c>
      <c r="BG894" s="2" t="n">
        <v>0</v>
      </c>
      <c r="BH894" s="2" t="n">
        <v>0</v>
      </c>
      <c r="BI894" s="2" t="n">
        <v>0</v>
      </c>
      <c r="BJ894" s="2" t="n">
        <v>0</v>
      </c>
      <c r="BK894" s="2" t="n">
        <v>0</v>
      </c>
      <c r="BL894" s="2" t="n">
        <v>0</v>
      </c>
      <c r="BM894" s="2" t="n">
        <v>0</v>
      </c>
      <c r="BN894" s="2" t="n">
        <v>0</v>
      </c>
      <c r="BO894" s="2" t="n">
        <v>0</v>
      </c>
      <c r="BP894" s="2" t="n">
        <v>0</v>
      </c>
      <c r="BQ894" s="2" t="n">
        <v>0</v>
      </c>
      <c r="BR894" s="2" t="n">
        <v>0</v>
      </c>
      <c r="BS894" s="2" t="n">
        <v>0</v>
      </c>
      <c r="BT894" s="2" t="n">
        <v>0</v>
      </c>
      <c r="BU894" s="2" t="n">
        <v>0</v>
      </c>
      <c r="BV894" s="2" t="n">
        <v>0</v>
      </c>
      <c r="BW894" s="2" t="n">
        <v>0</v>
      </c>
      <c r="BX894" s="2" t="n">
        <v>0</v>
      </c>
      <c r="BY894" s="2" t="n">
        <v>0</v>
      </c>
      <c r="BZ894" s="2" t="n">
        <v>0</v>
      </c>
      <c r="CA894" s="2" t="n">
        <v>0</v>
      </c>
      <c r="CB894" s="2" t="n">
        <v>0</v>
      </c>
      <c r="CC894" s="2" t="n">
        <v>0</v>
      </c>
      <c r="CD894" s="2" t="n">
        <v>0</v>
      </c>
      <c r="CE894" s="2" t="n">
        <v>0</v>
      </c>
      <c r="CF894" s="2" t="n">
        <v>0</v>
      </c>
      <c r="CG894" s="2" t="n">
        <v>0</v>
      </c>
      <c r="CH894" s="2" t="n">
        <v>0</v>
      </c>
      <c r="CI894" s="2" t="n">
        <v>0</v>
      </c>
      <c r="CJ894" s="2" t="n">
        <v>0</v>
      </c>
      <c r="CK894" s="2" t="n">
        <v>0</v>
      </c>
      <c r="CL894" s="2" t="n">
        <v>0</v>
      </c>
      <c r="CM894" s="2" t="n">
        <v>0</v>
      </c>
      <c r="CN894" s="2" t="n">
        <v>0</v>
      </c>
      <c r="CO894" s="2" t="n">
        <v>0</v>
      </c>
      <c r="CP894" s="2" t="n">
        <v>0</v>
      </c>
      <c r="CQ894" s="2" t="n">
        <v>0</v>
      </c>
      <c r="CR894" s="2" t="n">
        <v>0</v>
      </c>
      <c r="CS894" s="2" t="n">
        <v>0</v>
      </c>
      <c r="CT894" s="2" t="n">
        <v>0</v>
      </c>
      <c r="CU894" s="2" t="n">
        <v>0</v>
      </c>
      <c r="CV894" s="2" t="n">
        <v>0</v>
      </c>
      <c r="CW894" s="2" t="n">
        <v>0</v>
      </c>
      <c r="CX894" s="2" t="n">
        <v>1.35</v>
      </c>
      <c r="CY894" s="2" t="n">
        <v>2.03</v>
      </c>
      <c r="CZ894" s="2" t="n">
        <v>0</v>
      </c>
      <c r="DA894" s="2" t="n">
        <v>4.19</v>
      </c>
      <c r="DB894" s="2" t="n">
        <v>4.87</v>
      </c>
      <c r="DC894" s="2" t="n">
        <v>0</v>
      </c>
      <c r="DD894" s="2" t="n">
        <v>7.49</v>
      </c>
      <c r="DE894" s="2" t="n">
        <v>8.859999999999999</v>
      </c>
      <c r="DF894" s="2" t="n">
        <v>0</v>
      </c>
      <c r="DG894" s="2" t="n">
        <v>12.72</v>
      </c>
      <c r="DH894" s="2" t="n">
        <v>14.1</v>
      </c>
      <c r="DI894" s="2" t="n">
        <v>0</v>
      </c>
      <c r="DJ894" s="2" t="n">
        <v>21.84</v>
      </c>
      <c r="DK894" s="2" t="n">
        <v>23.94</v>
      </c>
      <c r="DL894" s="2" t="n">
        <v>0</v>
      </c>
      <c r="DM894" s="2" t="n">
        <v>31.36</v>
      </c>
      <c r="DN894" s="2" t="n">
        <v>33.47</v>
      </c>
      <c r="DO894" s="2" t="n">
        <v>0</v>
      </c>
      <c r="DP894" s="2" t="n">
        <v>40.97</v>
      </c>
      <c r="DQ894" s="2" t="n">
        <v>43.09</v>
      </c>
      <c r="DR894" s="2" t="n">
        <v>0</v>
      </c>
      <c r="DS894" s="2" t="n">
        <v>50.46</v>
      </c>
      <c r="DT894" s="2" t="n">
        <v>52.64</v>
      </c>
      <c r="DU894" s="2" t="n">
        <v>0</v>
      </c>
      <c r="DV894" s="2" t="n">
        <v>59.27</v>
      </c>
      <c r="DW894" s="2" t="n">
        <v>61.56</v>
      </c>
      <c r="DX894" s="2" t="n">
        <v>0</v>
      </c>
      <c r="DY894" s="2" t="n">
        <v>68.22</v>
      </c>
      <c r="DZ894" s="2" t="n">
        <v>71.04000000000001</v>
      </c>
      <c r="EA894" s="2" t="n">
        <v>0</v>
      </c>
      <c r="EB894" s="2" t="n">
        <v>76.31999999999999</v>
      </c>
      <c r="EC894" s="2" t="n">
        <v>78.27</v>
      </c>
      <c r="ED894" s="2" t="n">
        <v>0</v>
      </c>
      <c r="EE894" s="2" t="n">
        <v>82.22</v>
      </c>
      <c r="EF894" s="2" t="n">
        <v>84.26000000000001</v>
      </c>
      <c r="EG894" s="2" t="n">
        <v>0</v>
      </c>
      <c r="EH894" s="2" t="n">
        <v>89.09</v>
      </c>
      <c r="EI894" s="2" t="n">
        <v>91.2</v>
      </c>
      <c r="EJ894" s="2" t="n">
        <v>0</v>
      </c>
      <c r="EK894" s="2" t="n">
        <v>95.55</v>
      </c>
      <c r="EL894" s="2" t="n">
        <v>96.84999999999999</v>
      </c>
      <c r="EM894" s="2" t="n">
        <v>0</v>
      </c>
      <c r="EN894" s="2" t="n">
        <v>99.81999999999999</v>
      </c>
      <c r="EO894" s="2" t="n">
        <v>99.97</v>
      </c>
      <c r="EP894" s="2" t="n">
        <v>0</v>
      </c>
      <c r="EQ894" s="2" t="n">
        <v>100</v>
      </c>
      <c r="ER894" s="2" t="n">
        <v>100</v>
      </c>
      <c r="ES894" s="2" t="n">
        <v>0</v>
      </c>
    </row>
    <row r="895">
      <c r="A895" s="2" t="n">
        <v>3</v>
      </c>
      <c r="B895" s="2" t="inlineStr">
        <is>
          <t>35.01.02</t>
        </is>
      </c>
      <c r="C895" s="2" t="inlineStr">
        <is>
          <t>Emassamento acrílico (1 demão + retoques)</t>
        </is>
      </c>
      <c r="D895" s="2" t="inlineStr">
        <is>
          <t>11/01/2028</t>
        </is>
      </c>
      <c r="E895" s="2" t="inlineStr">
        <is>
          <t>02/04/2029</t>
        </is>
      </c>
      <c r="F895" s="2" t="n">
        <v>553494.8368130275</v>
      </c>
      <c r="G895" s="2" t="n">
        <v>0</v>
      </c>
      <c r="H895" s="2" t="n">
        <v>553494.8368130275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0</v>
      </c>
      <c r="AA895" s="2" t="n">
        <v>0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n">
        <v>0</v>
      </c>
      <c r="AK895" s="2" t="n">
        <v>0</v>
      </c>
      <c r="AL895" s="2" t="n">
        <v>0</v>
      </c>
      <c r="AM895" s="2" t="n">
        <v>0</v>
      </c>
      <c r="AN895" s="2" t="n">
        <v>0</v>
      </c>
      <c r="AO895" s="2" t="n">
        <v>0</v>
      </c>
      <c r="AP895" s="2" t="n">
        <v>0</v>
      </c>
      <c r="AQ895" s="2" t="n">
        <v>0</v>
      </c>
      <c r="AR895" s="2" t="n">
        <v>0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0</v>
      </c>
      <c r="AY895" s="2" t="n">
        <v>0</v>
      </c>
      <c r="AZ895" s="2" t="n">
        <v>0</v>
      </c>
      <c r="BA895" s="2" t="n">
        <v>0</v>
      </c>
      <c r="BB895" s="2" t="n">
        <v>0</v>
      </c>
      <c r="BC895" s="2" t="n">
        <v>0</v>
      </c>
      <c r="BD895" s="2" t="n">
        <v>0</v>
      </c>
      <c r="BE895" s="2" t="n">
        <v>0</v>
      </c>
      <c r="BF895" s="2" t="n">
        <v>0</v>
      </c>
      <c r="BG895" s="2" t="n">
        <v>0</v>
      </c>
      <c r="BH895" s="2" t="n">
        <v>0</v>
      </c>
      <c r="BI895" s="2" t="n">
        <v>0</v>
      </c>
      <c r="BJ895" s="2" t="n">
        <v>0</v>
      </c>
      <c r="BK895" s="2" t="n">
        <v>0</v>
      </c>
      <c r="BL895" s="2" t="n">
        <v>0</v>
      </c>
      <c r="BM895" s="2" t="n">
        <v>0</v>
      </c>
      <c r="BN895" s="2" t="n">
        <v>0</v>
      </c>
      <c r="BO895" s="2" t="n">
        <v>0</v>
      </c>
      <c r="BP895" s="2" t="n">
        <v>0</v>
      </c>
      <c r="BQ895" s="2" t="n">
        <v>0</v>
      </c>
      <c r="BR895" s="2" t="n">
        <v>0</v>
      </c>
      <c r="BS895" s="2" t="n">
        <v>0</v>
      </c>
      <c r="BT895" s="2" t="n">
        <v>0</v>
      </c>
      <c r="BU895" s="2" t="n">
        <v>0</v>
      </c>
      <c r="BV895" s="2" t="n">
        <v>0</v>
      </c>
      <c r="BW895" s="2" t="n">
        <v>0</v>
      </c>
      <c r="BX895" s="2" t="n">
        <v>0</v>
      </c>
      <c r="BY895" s="2" t="n">
        <v>0</v>
      </c>
      <c r="BZ895" s="2" t="n">
        <v>0</v>
      </c>
      <c r="CA895" s="2" t="n">
        <v>0</v>
      </c>
      <c r="CB895" s="2" t="n">
        <v>0</v>
      </c>
      <c r="CC895" s="2" t="n">
        <v>0</v>
      </c>
      <c r="CD895" s="2" t="n">
        <v>0</v>
      </c>
      <c r="CE895" s="2" t="n">
        <v>0</v>
      </c>
      <c r="CF895" s="2" t="n">
        <v>0</v>
      </c>
      <c r="CG895" s="2" t="n">
        <v>0</v>
      </c>
      <c r="CH895" s="2" t="n">
        <v>0</v>
      </c>
      <c r="CI895" s="2" t="n">
        <v>0</v>
      </c>
      <c r="CJ895" s="2" t="n">
        <v>0</v>
      </c>
      <c r="CK895" s="2" t="n">
        <v>0</v>
      </c>
      <c r="CL895" s="2" t="n">
        <v>0</v>
      </c>
      <c r="CM895" s="2" t="n">
        <v>0</v>
      </c>
      <c r="CN895" s="2" t="n">
        <v>0</v>
      </c>
      <c r="CO895" s="2" t="n">
        <v>0</v>
      </c>
      <c r="CP895" s="2" t="n">
        <v>0</v>
      </c>
      <c r="CQ895" s="2" t="n">
        <v>0</v>
      </c>
      <c r="CR895" s="2" t="n">
        <v>0</v>
      </c>
      <c r="CS895" s="2" t="n">
        <v>0</v>
      </c>
      <c r="CT895" s="2" t="n">
        <v>0</v>
      </c>
      <c r="CU895" s="2" t="n">
        <v>0</v>
      </c>
      <c r="CV895" s="2" t="n">
        <v>0</v>
      </c>
      <c r="CW895" s="2" t="n">
        <v>0</v>
      </c>
      <c r="CX895" s="2" t="n">
        <v>1.35</v>
      </c>
      <c r="CY895" s="2" t="n">
        <v>2.03</v>
      </c>
      <c r="CZ895" s="2" t="n">
        <v>0</v>
      </c>
      <c r="DA895" s="2" t="n">
        <v>4.19</v>
      </c>
      <c r="DB895" s="2" t="n">
        <v>4.87</v>
      </c>
      <c r="DC895" s="2" t="n">
        <v>0</v>
      </c>
      <c r="DD895" s="2" t="n">
        <v>7.49</v>
      </c>
      <c r="DE895" s="2" t="n">
        <v>8.859999999999999</v>
      </c>
      <c r="DF895" s="2" t="n">
        <v>0</v>
      </c>
      <c r="DG895" s="2" t="n">
        <v>12.72</v>
      </c>
      <c r="DH895" s="2" t="n">
        <v>14.1</v>
      </c>
      <c r="DI895" s="2" t="n">
        <v>0</v>
      </c>
      <c r="DJ895" s="2" t="n">
        <v>21.84</v>
      </c>
      <c r="DK895" s="2" t="n">
        <v>23.94</v>
      </c>
      <c r="DL895" s="2" t="n">
        <v>0</v>
      </c>
      <c r="DM895" s="2" t="n">
        <v>31.36</v>
      </c>
      <c r="DN895" s="2" t="n">
        <v>33.47</v>
      </c>
      <c r="DO895" s="2" t="n">
        <v>0</v>
      </c>
      <c r="DP895" s="2" t="n">
        <v>40.97</v>
      </c>
      <c r="DQ895" s="2" t="n">
        <v>43.09</v>
      </c>
      <c r="DR895" s="2" t="n">
        <v>0</v>
      </c>
      <c r="DS895" s="2" t="n">
        <v>50.46</v>
      </c>
      <c r="DT895" s="2" t="n">
        <v>52.64</v>
      </c>
      <c r="DU895" s="2" t="n">
        <v>0</v>
      </c>
      <c r="DV895" s="2" t="n">
        <v>59.27</v>
      </c>
      <c r="DW895" s="2" t="n">
        <v>61.56</v>
      </c>
      <c r="DX895" s="2" t="n">
        <v>0</v>
      </c>
      <c r="DY895" s="2" t="n">
        <v>68.22</v>
      </c>
      <c r="DZ895" s="2" t="n">
        <v>71.04000000000001</v>
      </c>
      <c r="EA895" s="2" t="n">
        <v>0</v>
      </c>
      <c r="EB895" s="2" t="n">
        <v>76.31999999999999</v>
      </c>
      <c r="EC895" s="2" t="n">
        <v>78.27</v>
      </c>
      <c r="ED895" s="2" t="n">
        <v>0</v>
      </c>
      <c r="EE895" s="2" t="n">
        <v>82.22</v>
      </c>
      <c r="EF895" s="2" t="n">
        <v>84.26000000000001</v>
      </c>
      <c r="EG895" s="2" t="n">
        <v>0</v>
      </c>
      <c r="EH895" s="2" t="n">
        <v>89.09</v>
      </c>
      <c r="EI895" s="2" t="n">
        <v>91.2</v>
      </c>
      <c r="EJ895" s="2" t="n">
        <v>0</v>
      </c>
      <c r="EK895" s="2" t="n">
        <v>95.55</v>
      </c>
      <c r="EL895" s="2" t="n">
        <v>96.84999999999999</v>
      </c>
      <c r="EM895" s="2" t="n">
        <v>0</v>
      </c>
      <c r="EN895" s="2" t="n">
        <v>99.81999999999999</v>
      </c>
      <c r="EO895" s="2" t="n">
        <v>99.97</v>
      </c>
      <c r="EP895" s="2" t="n">
        <v>0</v>
      </c>
      <c r="EQ895" s="2" t="n">
        <v>100</v>
      </c>
      <c r="ER895" s="2" t="n">
        <v>100</v>
      </c>
      <c r="ES895" s="2" t="n">
        <v>0</v>
      </c>
    </row>
    <row r="896">
      <c r="A896" s="2" t="n">
        <v>3</v>
      </c>
      <c r="B896" s="2" t="inlineStr">
        <is>
          <t>35.01.03</t>
        </is>
      </c>
      <c r="C896" s="2" t="inlineStr">
        <is>
          <t>Pintura acrílica fosca, cor Mármore. Ref. Suvinil sobre paredes - Reboco (1 demão selador + 3 demãos Latex acrílico)</t>
        </is>
      </c>
      <c r="D896" s="2" t="inlineStr">
        <is>
          <t>11/01/2028</t>
        </is>
      </c>
      <c r="E896" s="2" t="inlineStr">
        <is>
          <t>02/04/2029</t>
        </is>
      </c>
      <c r="F896" s="2" t="n">
        <v>65171.25919441812</v>
      </c>
      <c r="G896" s="2" t="n">
        <v>0</v>
      </c>
      <c r="H896" s="2" t="n">
        <v>65171.25919441812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n">
        <v>0</v>
      </c>
      <c r="AK896" s="2" t="n">
        <v>0</v>
      </c>
      <c r="AL896" s="2" t="n">
        <v>0</v>
      </c>
      <c r="AM896" s="2" t="n">
        <v>0</v>
      </c>
      <c r="AN896" s="2" t="n">
        <v>0</v>
      </c>
      <c r="AO896" s="2" t="n">
        <v>0</v>
      </c>
      <c r="AP896" s="2" t="n">
        <v>0</v>
      </c>
      <c r="AQ896" s="2" t="n">
        <v>0</v>
      </c>
      <c r="AR896" s="2" t="n">
        <v>0</v>
      </c>
      <c r="AS896" s="2" t="n">
        <v>0</v>
      </c>
      <c r="AT896" s="2" t="n">
        <v>0</v>
      </c>
      <c r="AU896" s="2" t="n">
        <v>0</v>
      </c>
      <c r="AV896" s="2" t="n">
        <v>0</v>
      </c>
      <c r="AW896" s="2" t="n">
        <v>0</v>
      </c>
      <c r="AX896" s="2" t="n">
        <v>0</v>
      </c>
      <c r="AY896" s="2" t="n">
        <v>0</v>
      </c>
      <c r="AZ896" s="2" t="n">
        <v>0</v>
      </c>
      <c r="BA896" s="2" t="n">
        <v>0</v>
      </c>
      <c r="BB896" s="2" t="n">
        <v>0</v>
      </c>
      <c r="BC896" s="2" t="n">
        <v>0</v>
      </c>
      <c r="BD896" s="2" t="n">
        <v>0</v>
      </c>
      <c r="BE896" s="2" t="n">
        <v>0</v>
      </c>
      <c r="BF896" s="2" t="n">
        <v>0</v>
      </c>
      <c r="BG896" s="2" t="n">
        <v>0</v>
      </c>
      <c r="BH896" s="2" t="n">
        <v>0</v>
      </c>
      <c r="BI896" s="2" t="n">
        <v>0</v>
      </c>
      <c r="BJ896" s="2" t="n">
        <v>0</v>
      </c>
      <c r="BK896" s="2" t="n">
        <v>0</v>
      </c>
      <c r="BL896" s="2" t="n">
        <v>0</v>
      </c>
      <c r="BM896" s="2" t="n">
        <v>0</v>
      </c>
      <c r="BN896" s="2" t="n">
        <v>0</v>
      </c>
      <c r="BO896" s="2" t="n">
        <v>0</v>
      </c>
      <c r="BP896" s="2" t="n">
        <v>0</v>
      </c>
      <c r="BQ896" s="2" t="n">
        <v>0</v>
      </c>
      <c r="BR896" s="2" t="n">
        <v>0</v>
      </c>
      <c r="BS896" s="2" t="n">
        <v>0</v>
      </c>
      <c r="BT896" s="2" t="n">
        <v>0</v>
      </c>
      <c r="BU896" s="2" t="n">
        <v>0</v>
      </c>
      <c r="BV896" s="2" t="n">
        <v>0</v>
      </c>
      <c r="BW896" s="2" t="n">
        <v>0</v>
      </c>
      <c r="BX896" s="2" t="n">
        <v>0</v>
      </c>
      <c r="BY896" s="2" t="n">
        <v>0</v>
      </c>
      <c r="BZ896" s="2" t="n">
        <v>0</v>
      </c>
      <c r="CA896" s="2" t="n">
        <v>0</v>
      </c>
      <c r="CB896" s="2" t="n">
        <v>0</v>
      </c>
      <c r="CC896" s="2" t="n">
        <v>0</v>
      </c>
      <c r="CD896" s="2" t="n">
        <v>0</v>
      </c>
      <c r="CE896" s="2" t="n">
        <v>0</v>
      </c>
      <c r="CF896" s="2" t="n">
        <v>0</v>
      </c>
      <c r="CG896" s="2" t="n">
        <v>0</v>
      </c>
      <c r="CH896" s="2" t="n">
        <v>0</v>
      </c>
      <c r="CI896" s="2" t="n">
        <v>0</v>
      </c>
      <c r="CJ896" s="2" t="n">
        <v>0</v>
      </c>
      <c r="CK896" s="2" t="n">
        <v>0</v>
      </c>
      <c r="CL896" s="2" t="n">
        <v>0</v>
      </c>
      <c r="CM896" s="2" t="n">
        <v>0</v>
      </c>
      <c r="CN896" s="2" t="n">
        <v>0</v>
      </c>
      <c r="CO896" s="2" t="n">
        <v>0</v>
      </c>
      <c r="CP896" s="2" t="n">
        <v>0</v>
      </c>
      <c r="CQ896" s="2" t="n">
        <v>0</v>
      </c>
      <c r="CR896" s="2" t="n">
        <v>0</v>
      </c>
      <c r="CS896" s="2" t="n">
        <v>0</v>
      </c>
      <c r="CT896" s="2" t="n">
        <v>0</v>
      </c>
      <c r="CU896" s="2" t="n">
        <v>0</v>
      </c>
      <c r="CV896" s="2" t="n">
        <v>0</v>
      </c>
      <c r="CW896" s="2" t="n">
        <v>0</v>
      </c>
      <c r="CX896" s="2" t="n">
        <v>1.35</v>
      </c>
      <c r="CY896" s="2" t="n">
        <v>2.03</v>
      </c>
      <c r="CZ896" s="2" t="n">
        <v>0</v>
      </c>
      <c r="DA896" s="2" t="n">
        <v>4.19</v>
      </c>
      <c r="DB896" s="2" t="n">
        <v>4.87</v>
      </c>
      <c r="DC896" s="2" t="n">
        <v>0</v>
      </c>
      <c r="DD896" s="2" t="n">
        <v>7.49</v>
      </c>
      <c r="DE896" s="2" t="n">
        <v>8.859999999999999</v>
      </c>
      <c r="DF896" s="2" t="n">
        <v>0</v>
      </c>
      <c r="DG896" s="2" t="n">
        <v>12.72</v>
      </c>
      <c r="DH896" s="2" t="n">
        <v>14.1</v>
      </c>
      <c r="DI896" s="2" t="n">
        <v>0</v>
      </c>
      <c r="DJ896" s="2" t="n">
        <v>21.84</v>
      </c>
      <c r="DK896" s="2" t="n">
        <v>23.94</v>
      </c>
      <c r="DL896" s="2" t="n">
        <v>0</v>
      </c>
      <c r="DM896" s="2" t="n">
        <v>31.36</v>
      </c>
      <c r="DN896" s="2" t="n">
        <v>33.47</v>
      </c>
      <c r="DO896" s="2" t="n">
        <v>0</v>
      </c>
      <c r="DP896" s="2" t="n">
        <v>40.97</v>
      </c>
      <c r="DQ896" s="2" t="n">
        <v>43.09</v>
      </c>
      <c r="DR896" s="2" t="n">
        <v>0</v>
      </c>
      <c r="DS896" s="2" t="n">
        <v>50.46</v>
      </c>
      <c r="DT896" s="2" t="n">
        <v>52.64</v>
      </c>
      <c r="DU896" s="2" t="n">
        <v>0</v>
      </c>
      <c r="DV896" s="2" t="n">
        <v>59.27</v>
      </c>
      <c r="DW896" s="2" t="n">
        <v>61.56</v>
      </c>
      <c r="DX896" s="2" t="n">
        <v>0</v>
      </c>
      <c r="DY896" s="2" t="n">
        <v>68.22</v>
      </c>
      <c r="DZ896" s="2" t="n">
        <v>71.04000000000001</v>
      </c>
      <c r="EA896" s="2" t="n">
        <v>0</v>
      </c>
      <c r="EB896" s="2" t="n">
        <v>76.31999999999999</v>
      </c>
      <c r="EC896" s="2" t="n">
        <v>78.27</v>
      </c>
      <c r="ED896" s="2" t="n">
        <v>0</v>
      </c>
      <c r="EE896" s="2" t="n">
        <v>82.22</v>
      </c>
      <c r="EF896" s="2" t="n">
        <v>84.26000000000001</v>
      </c>
      <c r="EG896" s="2" t="n">
        <v>0</v>
      </c>
      <c r="EH896" s="2" t="n">
        <v>89.09</v>
      </c>
      <c r="EI896" s="2" t="n">
        <v>91.2</v>
      </c>
      <c r="EJ896" s="2" t="n">
        <v>0</v>
      </c>
      <c r="EK896" s="2" t="n">
        <v>95.55</v>
      </c>
      <c r="EL896" s="2" t="n">
        <v>96.84999999999999</v>
      </c>
      <c r="EM896" s="2" t="n">
        <v>0</v>
      </c>
      <c r="EN896" s="2" t="n">
        <v>99.81999999999999</v>
      </c>
      <c r="EO896" s="2" t="n">
        <v>99.97</v>
      </c>
      <c r="EP896" s="2" t="n">
        <v>0</v>
      </c>
      <c r="EQ896" s="2" t="n">
        <v>100</v>
      </c>
      <c r="ER896" s="2" t="n">
        <v>100</v>
      </c>
      <c r="ES896" s="2" t="n">
        <v>0</v>
      </c>
    </row>
    <row r="897">
      <c r="A897" s="2" t="n">
        <v>3</v>
      </c>
      <c r="B897" s="2" t="inlineStr">
        <is>
          <t>35.01.04</t>
        </is>
      </c>
      <c r="C897" s="2" t="inlineStr">
        <is>
          <t>Pintura  acrílica, cor Branco neve, acabamento acetinado. Ref.: Suvinil sobre paredes - Reboco (1 demão selador + 3 demãos Latex acrílico)</t>
        </is>
      </c>
      <c r="D897" s="2" t="inlineStr">
        <is>
          <t>11/01/2028</t>
        </is>
      </c>
      <c r="E897" s="2" t="inlineStr">
        <is>
          <t>02/04/2029</t>
        </is>
      </c>
      <c r="F897" s="2" t="n">
        <v>267773.2681852594</v>
      </c>
      <c r="G897" s="2" t="n">
        <v>0</v>
      </c>
      <c r="H897" s="2" t="n">
        <v>267773.2681852594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n">
        <v>0</v>
      </c>
      <c r="AK897" s="2" t="n">
        <v>0</v>
      </c>
      <c r="AL897" s="2" t="n">
        <v>0</v>
      </c>
      <c r="AM897" s="2" t="n">
        <v>0</v>
      </c>
      <c r="AN897" s="2" t="n">
        <v>0</v>
      </c>
      <c r="AO897" s="2" t="n">
        <v>0</v>
      </c>
      <c r="AP897" s="2" t="n">
        <v>0</v>
      </c>
      <c r="AQ897" s="2" t="n">
        <v>0</v>
      </c>
      <c r="AR897" s="2" t="n">
        <v>0</v>
      </c>
      <c r="AS897" s="2" t="n">
        <v>0</v>
      </c>
      <c r="AT897" s="2" t="n">
        <v>0</v>
      </c>
      <c r="AU897" s="2" t="n">
        <v>0</v>
      </c>
      <c r="AV897" s="2" t="n">
        <v>0</v>
      </c>
      <c r="AW897" s="2" t="n">
        <v>0</v>
      </c>
      <c r="AX897" s="2" t="n">
        <v>0</v>
      </c>
      <c r="AY897" s="2" t="n">
        <v>0</v>
      </c>
      <c r="AZ897" s="2" t="n">
        <v>0</v>
      </c>
      <c r="BA897" s="2" t="n">
        <v>0</v>
      </c>
      <c r="BB897" s="2" t="n">
        <v>0</v>
      </c>
      <c r="BC897" s="2" t="n">
        <v>0</v>
      </c>
      <c r="BD897" s="2" t="n">
        <v>0</v>
      </c>
      <c r="BE897" s="2" t="n">
        <v>0</v>
      </c>
      <c r="BF897" s="2" t="n">
        <v>0</v>
      </c>
      <c r="BG897" s="2" t="n">
        <v>0</v>
      </c>
      <c r="BH897" s="2" t="n">
        <v>0</v>
      </c>
      <c r="BI897" s="2" t="n">
        <v>0</v>
      </c>
      <c r="BJ897" s="2" t="n">
        <v>0</v>
      </c>
      <c r="BK897" s="2" t="n">
        <v>0</v>
      </c>
      <c r="BL897" s="2" t="n">
        <v>0</v>
      </c>
      <c r="BM897" s="2" t="n">
        <v>0</v>
      </c>
      <c r="BN897" s="2" t="n">
        <v>0</v>
      </c>
      <c r="BO897" s="2" t="n">
        <v>0</v>
      </c>
      <c r="BP897" s="2" t="n">
        <v>0</v>
      </c>
      <c r="BQ897" s="2" t="n">
        <v>0</v>
      </c>
      <c r="BR897" s="2" t="n">
        <v>0</v>
      </c>
      <c r="BS897" s="2" t="n">
        <v>0</v>
      </c>
      <c r="BT897" s="2" t="n">
        <v>0</v>
      </c>
      <c r="BU897" s="2" t="n">
        <v>0</v>
      </c>
      <c r="BV897" s="2" t="n">
        <v>0</v>
      </c>
      <c r="BW897" s="2" t="n">
        <v>0</v>
      </c>
      <c r="BX897" s="2" t="n">
        <v>0</v>
      </c>
      <c r="BY897" s="2" t="n">
        <v>0</v>
      </c>
      <c r="BZ897" s="2" t="n">
        <v>0</v>
      </c>
      <c r="CA897" s="2" t="n">
        <v>0</v>
      </c>
      <c r="CB897" s="2" t="n">
        <v>0</v>
      </c>
      <c r="CC897" s="2" t="n">
        <v>0</v>
      </c>
      <c r="CD897" s="2" t="n">
        <v>0</v>
      </c>
      <c r="CE897" s="2" t="n">
        <v>0</v>
      </c>
      <c r="CF897" s="2" t="n">
        <v>0</v>
      </c>
      <c r="CG897" s="2" t="n">
        <v>0</v>
      </c>
      <c r="CH897" s="2" t="n">
        <v>0</v>
      </c>
      <c r="CI897" s="2" t="n">
        <v>0</v>
      </c>
      <c r="CJ897" s="2" t="n">
        <v>0</v>
      </c>
      <c r="CK897" s="2" t="n">
        <v>0</v>
      </c>
      <c r="CL897" s="2" t="n">
        <v>0</v>
      </c>
      <c r="CM897" s="2" t="n">
        <v>0</v>
      </c>
      <c r="CN897" s="2" t="n">
        <v>0</v>
      </c>
      <c r="CO897" s="2" t="n">
        <v>0</v>
      </c>
      <c r="CP897" s="2" t="n">
        <v>0</v>
      </c>
      <c r="CQ897" s="2" t="n">
        <v>0</v>
      </c>
      <c r="CR897" s="2" t="n">
        <v>0</v>
      </c>
      <c r="CS897" s="2" t="n">
        <v>0</v>
      </c>
      <c r="CT897" s="2" t="n">
        <v>0</v>
      </c>
      <c r="CU897" s="2" t="n">
        <v>0</v>
      </c>
      <c r="CV897" s="2" t="n">
        <v>0</v>
      </c>
      <c r="CW897" s="2" t="n">
        <v>0</v>
      </c>
      <c r="CX897" s="2" t="n">
        <v>1.35</v>
      </c>
      <c r="CY897" s="2" t="n">
        <v>2.03</v>
      </c>
      <c r="CZ897" s="2" t="n">
        <v>0</v>
      </c>
      <c r="DA897" s="2" t="n">
        <v>4.19</v>
      </c>
      <c r="DB897" s="2" t="n">
        <v>4.87</v>
      </c>
      <c r="DC897" s="2" t="n">
        <v>0</v>
      </c>
      <c r="DD897" s="2" t="n">
        <v>7.49</v>
      </c>
      <c r="DE897" s="2" t="n">
        <v>8.859999999999999</v>
      </c>
      <c r="DF897" s="2" t="n">
        <v>0</v>
      </c>
      <c r="DG897" s="2" t="n">
        <v>12.72</v>
      </c>
      <c r="DH897" s="2" t="n">
        <v>14.1</v>
      </c>
      <c r="DI897" s="2" t="n">
        <v>0</v>
      </c>
      <c r="DJ897" s="2" t="n">
        <v>21.84</v>
      </c>
      <c r="DK897" s="2" t="n">
        <v>23.94</v>
      </c>
      <c r="DL897" s="2" t="n">
        <v>0</v>
      </c>
      <c r="DM897" s="2" t="n">
        <v>31.36</v>
      </c>
      <c r="DN897" s="2" t="n">
        <v>33.47</v>
      </c>
      <c r="DO897" s="2" t="n">
        <v>0</v>
      </c>
      <c r="DP897" s="2" t="n">
        <v>40.97</v>
      </c>
      <c r="DQ897" s="2" t="n">
        <v>43.09</v>
      </c>
      <c r="DR897" s="2" t="n">
        <v>0</v>
      </c>
      <c r="DS897" s="2" t="n">
        <v>50.46</v>
      </c>
      <c r="DT897" s="2" t="n">
        <v>52.64</v>
      </c>
      <c r="DU897" s="2" t="n">
        <v>0</v>
      </c>
      <c r="DV897" s="2" t="n">
        <v>59.27</v>
      </c>
      <c r="DW897" s="2" t="n">
        <v>61.56</v>
      </c>
      <c r="DX897" s="2" t="n">
        <v>0</v>
      </c>
      <c r="DY897" s="2" t="n">
        <v>68.22</v>
      </c>
      <c r="DZ897" s="2" t="n">
        <v>71.04000000000001</v>
      </c>
      <c r="EA897" s="2" t="n">
        <v>0</v>
      </c>
      <c r="EB897" s="2" t="n">
        <v>76.31999999999999</v>
      </c>
      <c r="EC897" s="2" t="n">
        <v>78.27</v>
      </c>
      <c r="ED897" s="2" t="n">
        <v>0</v>
      </c>
      <c r="EE897" s="2" t="n">
        <v>82.22</v>
      </c>
      <c r="EF897" s="2" t="n">
        <v>84.26000000000001</v>
      </c>
      <c r="EG897" s="2" t="n">
        <v>0</v>
      </c>
      <c r="EH897" s="2" t="n">
        <v>89.09</v>
      </c>
      <c r="EI897" s="2" t="n">
        <v>91.2</v>
      </c>
      <c r="EJ897" s="2" t="n">
        <v>0</v>
      </c>
      <c r="EK897" s="2" t="n">
        <v>95.55</v>
      </c>
      <c r="EL897" s="2" t="n">
        <v>96.84999999999999</v>
      </c>
      <c r="EM897" s="2" t="n">
        <v>0</v>
      </c>
      <c r="EN897" s="2" t="n">
        <v>99.81999999999999</v>
      </c>
      <c r="EO897" s="2" t="n">
        <v>99.97</v>
      </c>
      <c r="EP897" s="2" t="n">
        <v>0</v>
      </c>
      <c r="EQ897" s="2" t="n">
        <v>100</v>
      </c>
      <c r="ER897" s="2" t="n">
        <v>100</v>
      </c>
      <c r="ES897" s="2" t="n">
        <v>0</v>
      </c>
    </row>
    <row r="898">
      <c r="A898" s="2" t="n">
        <v>3</v>
      </c>
      <c r="B898" s="2" t="inlineStr">
        <is>
          <t>35.01.05</t>
        </is>
      </c>
      <c r="C898" s="2" t="inlineStr">
        <is>
          <t>Pintura  acrílica, cor Branco neve, acabamento acetinado. Ref.: Suvinil sobre paredes - Drywall (1 demão selador + 3 demãos Latex acrílico)</t>
        </is>
      </c>
      <c r="D898" s="2" t="inlineStr">
        <is>
          <t>11/01/2028</t>
        </is>
      </c>
      <c r="E898" s="2" t="inlineStr">
        <is>
          <t>02/04/2029</t>
        </is>
      </c>
      <c r="F898" s="2" t="n">
        <v>461539.4268221169</v>
      </c>
      <c r="G898" s="2" t="n">
        <v>0</v>
      </c>
      <c r="H898" s="2" t="n">
        <v>461539.4268221169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n">
        <v>0</v>
      </c>
      <c r="AK898" s="2" t="n">
        <v>0</v>
      </c>
      <c r="AL898" s="2" t="n">
        <v>0</v>
      </c>
      <c r="AM898" s="2" t="n">
        <v>0</v>
      </c>
      <c r="AN898" s="2" t="n">
        <v>0</v>
      </c>
      <c r="AO898" s="2" t="n">
        <v>0</v>
      </c>
      <c r="AP898" s="2" t="n">
        <v>0</v>
      </c>
      <c r="AQ898" s="2" t="n">
        <v>0</v>
      </c>
      <c r="AR898" s="2" t="n">
        <v>0</v>
      </c>
      <c r="AS898" s="2" t="n">
        <v>0</v>
      </c>
      <c r="AT898" s="2" t="n">
        <v>0</v>
      </c>
      <c r="AU898" s="2" t="n">
        <v>0</v>
      </c>
      <c r="AV898" s="2" t="n">
        <v>0</v>
      </c>
      <c r="AW898" s="2" t="n">
        <v>0</v>
      </c>
      <c r="AX898" s="2" t="n">
        <v>0</v>
      </c>
      <c r="AY898" s="2" t="n">
        <v>0</v>
      </c>
      <c r="AZ898" s="2" t="n">
        <v>0</v>
      </c>
      <c r="BA898" s="2" t="n">
        <v>0</v>
      </c>
      <c r="BB898" s="2" t="n">
        <v>0</v>
      </c>
      <c r="BC898" s="2" t="n">
        <v>0</v>
      </c>
      <c r="BD898" s="2" t="n">
        <v>0</v>
      </c>
      <c r="BE898" s="2" t="n">
        <v>0</v>
      </c>
      <c r="BF898" s="2" t="n">
        <v>0</v>
      </c>
      <c r="BG898" s="2" t="n">
        <v>0</v>
      </c>
      <c r="BH898" s="2" t="n">
        <v>0</v>
      </c>
      <c r="BI898" s="2" t="n">
        <v>0</v>
      </c>
      <c r="BJ898" s="2" t="n">
        <v>0</v>
      </c>
      <c r="BK898" s="2" t="n">
        <v>0</v>
      </c>
      <c r="BL898" s="2" t="n">
        <v>0</v>
      </c>
      <c r="BM898" s="2" t="n">
        <v>0</v>
      </c>
      <c r="BN898" s="2" t="n">
        <v>0</v>
      </c>
      <c r="BO898" s="2" t="n">
        <v>0</v>
      </c>
      <c r="BP898" s="2" t="n">
        <v>0</v>
      </c>
      <c r="BQ898" s="2" t="n">
        <v>0</v>
      </c>
      <c r="BR898" s="2" t="n">
        <v>0</v>
      </c>
      <c r="BS898" s="2" t="n">
        <v>0</v>
      </c>
      <c r="BT898" s="2" t="n">
        <v>0</v>
      </c>
      <c r="BU898" s="2" t="n">
        <v>0</v>
      </c>
      <c r="BV898" s="2" t="n">
        <v>0</v>
      </c>
      <c r="BW898" s="2" t="n">
        <v>0</v>
      </c>
      <c r="BX898" s="2" t="n">
        <v>0</v>
      </c>
      <c r="BY898" s="2" t="n">
        <v>0</v>
      </c>
      <c r="BZ898" s="2" t="n">
        <v>0</v>
      </c>
      <c r="CA898" s="2" t="n">
        <v>0</v>
      </c>
      <c r="CB898" s="2" t="n">
        <v>0</v>
      </c>
      <c r="CC898" s="2" t="n">
        <v>0</v>
      </c>
      <c r="CD898" s="2" t="n">
        <v>0</v>
      </c>
      <c r="CE898" s="2" t="n">
        <v>0</v>
      </c>
      <c r="CF898" s="2" t="n">
        <v>0</v>
      </c>
      <c r="CG898" s="2" t="n">
        <v>0</v>
      </c>
      <c r="CH898" s="2" t="n">
        <v>0</v>
      </c>
      <c r="CI898" s="2" t="n">
        <v>0</v>
      </c>
      <c r="CJ898" s="2" t="n">
        <v>0</v>
      </c>
      <c r="CK898" s="2" t="n">
        <v>0</v>
      </c>
      <c r="CL898" s="2" t="n">
        <v>0</v>
      </c>
      <c r="CM898" s="2" t="n">
        <v>0</v>
      </c>
      <c r="CN898" s="2" t="n">
        <v>0</v>
      </c>
      <c r="CO898" s="2" t="n">
        <v>0</v>
      </c>
      <c r="CP898" s="2" t="n">
        <v>0</v>
      </c>
      <c r="CQ898" s="2" t="n">
        <v>0</v>
      </c>
      <c r="CR898" s="2" t="n">
        <v>0</v>
      </c>
      <c r="CS898" s="2" t="n">
        <v>0</v>
      </c>
      <c r="CT898" s="2" t="n">
        <v>0</v>
      </c>
      <c r="CU898" s="2" t="n">
        <v>0</v>
      </c>
      <c r="CV898" s="2" t="n">
        <v>0</v>
      </c>
      <c r="CW898" s="2" t="n">
        <v>0</v>
      </c>
      <c r="CX898" s="2" t="n">
        <v>1.35</v>
      </c>
      <c r="CY898" s="2" t="n">
        <v>2.03</v>
      </c>
      <c r="CZ898" s="2" t="n">
        <v>0</v>
      </c>
      <c r="DA898" s="2" t="n">
        <v>4.19</v>
      </c>
      <c r="DB898" s="2" t="n">
        <v>4.87</v>
      </c>
      <c r="DC898" s="2" t="n">
        <v>0</v>
      </c>
      <c r="DD898" s="2" t="n">
        <v>7.49</v>
      </c>
      <c r="DE898" s="2" t="n">
        <v>8.859999999999999</v>
      </c>
      <c r="DF898" s="2" t="n">
        <v>0</v>
      </c>
      <c r="DG898" s="2" t="n">
        <v>12.72</v>
      </c>
      <c r="DH898" s="2" t="n">
        <v>14.1</v>
      </c>
      <c r="DI898" s="2" t="n">
        <v>0</v>
      </c>
      <c r="DJ898" s="2" t="n">
        <v>21.84</v>
      </c>
      <c r="DK898" s="2" t="n">
        <v>23.94</v>
      </c>
      <c r="DL898" s="2" t="n">
        <v>0</v>
      </c>
      <c r="DM898" s="2" t="n">
        <v>31.36</v>
      </c>
      <c r="DN898" s="2" t="n">
        <v>33.47</v>
      </c>
      <c r="DO898" s="2" t="n">
        <v>0</v>
      </c>
      <c r="DP898" s="2" t="n">
        <v>40.97</v>
      </c>
      <c r="DQ898" s="2" t="n">
        <v>43.09</v>
      </c>
      <c r="DR898" s="2" t="n">
        <v>0</v>
      </c>
      <c r="DS898" s="2" t="n">
        <v>50.46</v>
      </c>
      <c r="DT898" s="2" t="n">
        <v>52.64</v>
      </c>
      <c r="DU898" s="2" t="n">
        <v>0</v>
      </c>
      <c r="DV898" s="2" t="n">
        <v>59.27</v>
      </c>
      <c r="DW898" s="2" t="n">
        <v>61.56</v>
      </c>
      <c r="DX898" s="2" t="n">
        <v>0</v>
      </c>
      <c r="DY898" s="2" t="n">
        <v>68.22</v>
      </c>
      <c r="DZ898" s="2" t="n">
        <v>71.04000000000001</v>
      </c>
      <c r="EA898" s="2" t="n">
        <v>0</v>
      </c>
      <c r="EB898" s="2" t="n">
        <v>76.31999999999999</v>
      </c>
      <c r="EC898" s="2" t="n">
        <v>78.27</v>
      </c>
      <c r="ED898" s="2" t="n">
        <v>0</v>
      </c>
      <c r="EE898" s="2" t="n">
        <v>82.22</v>
      </c>
      <c r="EF898" s="2" t="n">
        <v>84.26000000000001</v>
      </c>
      <c r="EG898" s="2" t="n">
        <v>0</v>
      </c>
      <c r="EH898" s="2" t="n">
        <v>89.09</v>
      </c>
      <c r="EI898" s="2" t="n">
        <v>91.2</v>
      </c>
      <c r="EJ898" s="2" t="n">
        <v>0</v>
      </c>
      <c r="EK898" s="2" t="n">
        <v>95.55</v>
      </c>
      <c r="EL898" s="2" t="n">
        <v>96.84999999999999</v>
      </c>
      <c r="EM898" s="2" t="n">
        <v>0</v>
      </c>
      <c r="EN898" s="2" t="n">
        <v>99.81999999999999</v>
      </c>
      <c r="EO898" s="2" t="n">
        <v>99.97</v>
      </c>
      <c r="EP898" s="2" t="n">
        <v>0</v>
      </c>
      <c r="EQ898" s="2" t="n">
        <v>100</v>
      </c>
      <c r="ER898" s="2" t="n">
        <v>100</v>
      </c>
      <c r="ES898" s="2" t="n">
        <v>0</v>
      </c>
    </row>
    <row r="899">
      <c r="A899" s="2" t="n">
        <v>3</v>
      </c>
      <c r="B899" s="2" t="inlineStr">
        <is>
          <t>35.01.06</t>
        </is>
      </c>
      <c r="C899" s="2" t="inlineStr">
        <is>
          <t>Pintura  acrílica fosca cinza claro sobre paredes - Reboco (1 demão selador + 3 demãos Latex acrílico)</t>
        </is>
      </c>
      <c r="D899" s="2" t="inlineStr">
        <is>
          <t>11/01/2028</t>
        </is>
      </c>
      <c r="E899" s="2" t="inlineStr">
        <is>
          <t>02/04/2029</t>
        </is>
      </c>
      <c r="F899" s="2" t="n">
        <v>51391.65375278632</v>
      </c>
      <c r="G899" s="2" t="n">
        <v>0</v>
      </c>
      <c r="H899" s="2" t="n">
        <v>51391.65375278632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0</v>
      </c>
      <c r="AL899" s="2" t="n">
        <v>0</v>
      </c>
      <c r="AM899" s="2" t="n">
        <v>0</v>
      </c>
      <c r="AN899" s="2" t="n">
        <v>0</v>
      </c>
      <c r="AO899" s="2" t="n">
        <v>0</v>
      </c>
      <c r="AP899" s="2" t="n">
        <v>0</v>
      </c>
      <c r="AQ899" s="2" t="n">
        <v>0</v>
      </c>
      <c r="AR899" s="2" t="n">
        <v>0</v>
      </c>
      <c r="AS899" s="2" t="n">
        <v>0</v>
      </c>
      <c r="AT899" s="2" t="n">
        <v>0</v>
      </c>
      <c r="AU899" s="2" t="n">
        <v>0</v>
      </c>
      <c r="AV899" s="2" t="n">
        <v>0</v>
      </c>
      <c r="AW899" s="2" t="n">
        <v>0</v>
      </c>
      <c r="AX899" s="2" t="n">
        <v>0</v>
      </c>
      <c r="AY899" s="2" t="n">
        <v>0</v>
      </c>
      <c r="AZ899" s="2" t="n">
        <v>0</v>
      </c>
      <c r="BA899" s="2" t="n">
        <v>0</v>
      </c>
      <c r="BB899" s="2" t="n">
        <v>0</v>
      </c>
      <c r="BC899" s="2" t="n">
        <v>0</v>
      </c>
      <c r="BD899" s="2" t="n">
        <v>0</v>
      </c>
      <c r="BE899" s="2" t="n">
        <v>0</v>
      </c>
      <c r="BF899" s="2" t="n">
        <v>0</v>
      </c>
      <c r="BG899" s="2" t="n">
        <v>0</v>
      </c>
      <c r="BH899" s="2" t="n">
        <v>0</v>
      </c>
      <c r="BI899" s="2" t="n">
        <v>0</v>
      </c>
      <c r="BJ899" s="2" t="n">
        <v>0</v>
      </c>
      <c r="BK899" s="2" t="n">
        <v>0</v>
      </c>
      <c r="BL899" s="2" t="n">
        <v>0</v>
      </c>
      <c r="BM899" s="2" t="n">
        <v>0</v>
      </c>
      <c r="BN899" s="2" t="n">
        <v>0</v>
      </c>
      <c r="BO899" s="2" t="n">
        <v>0</v>
      </c>
      <c r="BP899" s="2" t="n">
        <v>0</v>
      </c>
      <c r="BQ899" s="2" t="n">
        <v>0</v>
      </c>
      <c r="BR899" s="2" t="n">
        <v>0</v>
      </c>
      <c r="BS899" s="2" t="n">
        <v>0</v>
      </c>
      <c r="BT899" s="2" t="n">
        <v>0</v>
      </c>
      <c r="BU899" s="2" t="n">
        <v>0</v>
      </c>
      <c r="BV899" s="2" t="n">
        <v>0</v>
      </c>
      <c r="BW899" s="2" t="n">
        <v>0</v>
      </c>
      <c r="BX899" s="2" t="n">
        <v>0</v>
      </c>
      <c r="BY899" s="2" t="n">
        <v>0</v>
      </c>
      <c r="BZ899" s="2" t="n">
        <v>0</v>
      </c>
      <c r="CA899" s="2" t="n">
        <v>0</v>
      </c>
      <c r="CB899" s="2" t="n">
        <v>0</v>
      </c>
      <c r="CC899" s="2" t="n">
        <v>0</v>
      </c>
      <c r="CD899" s="2" t="n">
        <v>0</v>
      </c>
      <c r="CE899" s="2" t="n">
        <v>0</v>
      </c>
      <c r="CF899" s="2" t="n">
        <v>0</v>
      </c>
      <c r="CG899" s="2" t="n">
        <v>0</v>
      </c>
      <c r="CH899" s="2" t="n">
        <v>0</v>
      </c>
      <c r="CI899" s="2" t="n">
        <v>0</v>
      </c>
      <c r="CJ899" s="2" t="n">
        <v>0</v>
      </c>
      <c r="CK899" s="2" t="n">
        <v>0</v>
      </c>
      <c r="CL899" s="2" t="n">
        <v>0</v>
      </c>
      <c r="CM899" s="2" t="n">
        <v>0</v>
      </c>
      <c r="CN899" s="2" t="n">
        <v>0</v>
      </c>
      <c r="CO899" s="2" t="n">
        <v>0</v>
      </c>
      <c r="CP899" s="2" t="n">
        <v>0</v>
      </c>
      <c r="CQ899" s="2" t="n">
        <v>0</v>
      </c>
      <c r="CR899" s="2" t="n">
        <v>0</v>
      </c>
      <c r="CS899" s="2" t="n">
        <v>0</v>
      </c>
      <c r="CT899" s="2" t="n">
        <v>0</v>
      </c>
      <c r="CU899" s="2" t="n">
        <v>0</v>
      </c>
      <c r="CV899" s="2" t="n">
        <v>0</v>
      </c>
      <c r="CW899" s="2" t="n">
        <v>0</v>
      </c>
      <c r="CX899" s="2" t="n">
        <v>1.35</v>
      </c>
      <c r="CY899" s="2" t="n">
        <v>2.03</v>
      </c>
      <c r="CZ899" s="2" t="n">
        <v>0</v>
      </c>
      <c r="DA899" s="2" t="n">
        <v>4.19</v>
      </c>
      <c r="DB899" s="2" t="n">
        <v>4.87</v>
      </c>
      <c r="DC899" s="2" t="n">
        <v>0</v>
      </c>
      <c r="DD899" s="2" t="n">
        <v>7.49</v>
      </c>
      <c r="DE899" s="2" t="n">
        <v>8.859999999999999</v>
      </c>
      <c r="DF899" s="2" t="n">
        <v>0</v>
      </c>
      <c r="DG899" s="2" t="n">
        <v>12.72</v>
      </c>
      <c r="DH899" s="2" t="n">
        <v>14.1</v>
      </c>
      <c r="DI899" s="2" t="n">
        <v>0</v>
      </c>
      <c r="DJ899" s="2" t="n">
        <v>21.84</v>
      </c>
      <c r="DK899" s="2" t="n">
        <v>23.94</v>
      </c>
      <c r="DL899" s="2" t="n">
        <v>0</v>
      </c>
      <c r="DM899" s="2" t="n">
        <v>31.36</v>
      </c>
      <c r="DN899" s="2" t="n">
        <v>33.47</v>
      </c>
      <c r="DO899" s="2" t="n">
        <v>0</v>
      </c>
      <c r="DP899" s="2" t="n">
        <v>40.97</v>
      </c>
      <c r="DQ899" s="2" t="n">
        <v>43.09</v>
      </c>
      <c r="DR899" s="2" t="n">
        <v>0</v>
      </c>
      <c r="DS899" s="2" t="n">
        <v>50.46</v>
      </c>
      <c r="DT899" s="2" t="n">
        <v>52.64</v>
      </c>
      <c r="DU899" s="2" t="n">
        <v>0</v>
      </c>
      <c r="DV899" s="2" t="n">
        <v>59.27</v>
      </c>
      <c r="DW899" s="2" t="n">
        <v>61.56</v>
      </c>
      <c r="DX899" s="2" t="n">
        <v>0</v>
      </c>
      <c r="DY899" s="2" t="n">
        <v>68.22</v>
      </c>
      <c r="DZ899" s="2" t="n">
        <v>71.04000000000001</v>
      </c>
      <c r="EA899" s="2" t="n">
        <v>0</v>
      </c>
      <c r="EB899" s="2" t="n">
        <v>76.31999999999999</v>
      </c>
      <c r="EC899" s="2" t="n">
        <v>78.27</v>
      </c>
      <c r="ED899" s="2" t="n">
        <v>0</v>
      </c>
      <c r="EE899" s="2" t="n">
        <v>82.22</v>
      </c>
      <c r="EF899" s="2" t="n">
        <v>84.26000000000001</v>
      </c>
      <c r="EG899" s="2" t="n">
        <v>0</v>
      </c>
      <c r="EH899" s="2" t="n">
        <v>89.09</v>
      </c>
      <c r="EI899" s="2" t="n">
        <v>91.2</v>
      </c>
      <c r="EJ899" s="2" t="n">
        <v>0</v>
      </c>
      <c r="EK899" s="2" t="n">
        <v>95.55</v>
      </c>
      <c r="EL899" s="2" t="n">
        <v>96.84999999999999</v>
      </c>
      <c r="EM899" s="2" t="n">
        <v>0</v>
      </c>
      <c r="EN899" s="2" t="n">
        <v>99.81999999999999</v>
      </c>
      <c r="EO899" s="2" t="n">
        <v>99.97</v>
      </c>
      <c r="EP899" s="2" t="n">
        <v>0</v>
      </c>
      <c r="EQ899" s="2" t="n">
        <v>100</v>
      </c>
      <c r="ER899" s="2" t="n">
        <v>100</v>
      </c>
      <c r="ES899" s="2" t="n">
        <v>0</v>
      </c>
    </row>
    <row r="900">
      <c r="A900" s="2" t="n">
        <v>3</v>
      </c>
      <c r="B900" s="2" t="inlineStr">
        <is>
          <t>35.01.07</t>
        </is>
      </c>
      <c r="C900" s="2" t="inlineStr">
        <is>
          <t>Pintura acrílica fosca. Ref.: Branco Neve; Suvinil sob tetos  (2 demãos Latex acrílico)</t>
        </is>
      </c>
      <c r="D900" s="2" t="inlineStr">
        <is>
          <t>11/01/2028</t>
        </is>
      </c>
      <c r="E900" s="2" t="inlineStr">
        <is>
          <t>02/04/2029</t>
        </is>
      </c>
      <c r="F900" s="2" t="n">
        <v>295121.82416</v>
      </c>
      <c r="G900" s="2" t="n">
        <v>0</v>
      </c>
      <c r="H900" s="2" t="n">
        <v>295121.82416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n">
        <v>0</v>
      </c>
      <c r="AK900" s="2" t="n">
        <v>0</v>
      </c>
      <c r="AL900" s="2" t="n">
        <v>0</v>
      </c>
      <c r="AM900" s="2" t="n">
        <v>0</v>
      </c>
      <c r="AN900" s="2" t="n">
        <v>0</v>
      </c>
      <c r="AO900" s="2" t="n">
        <v>0</v>
      </c>
      <c r="AP900" s="2" t="n">
        <v>0</v>
      </c>
      <c r="AQ900" s="2" t="n">
        <v>0</v>
      </c>
      <c r="AR900" s="2" t="n">
        <v>0</v>
      </c>
      <c r="AS900" s="2" t="n">
        <v>0</v>
      </c>
      <c r="AT900" s="2" t="n">
        <v>0</v>
      </c>
      <c r="AU900" s="2" t="n">
        <v>0</v>
      </c>
      <c r="AV900" s="2" t="n">
        <v>0</v>
      </c>
      <c r="AW900" s="2" t="n">
        <v>0</v>
      </c>
      <c r="AX900" s="2" t="n">
        <v>0</v>
      </c>
      <c r="AY900" s="2" t="n">
        <v>0</v>
      </c>
      <c r="AZ900" s="2" t="n">
        <v>0</v>
      </c>
      <c r="BA900" s="2" t="n">
        <v>0</v>
      </c>
      <c r="BB900" s="2" t="n">
        <v>0</v>
      </c>
      <c r="BC900" s="2" t="n">
        <v>0</v>
      </c>
      <c r="BD900" s="2" t="n">
        <v>0</v>
      </c>
      <c r="BE900" s="2" t="n">
        <v>0</v>
      </c>
      <c r="BF900" s="2" t="n">
        <v>0</v>
      </c>
      <c r="BG900" s="2" t="n">
        <v>0</v>
      </c>
      <c r="BH900" s="2" t="n">
        <v>0</v>
      </c>
      <c r="BI900" s="2" t="n">
        <v>0</v>
      </c>
      <c r="BJ900" s="2" t="n">
        <v>0</v>
      </c>
      <c r="BK900" s="2" t="n">
        <v>0</v>
      </c>
      <c r="BL900" s="2" t="n">
        <v>0</v>
      </c>
      <c r="BM900" s="2" t="n">
        <v>0</v>
      </c>
      <c r="BN900" s="2" t="n">
        <v>0</v>
      </c>
      <c r="BO900" s="2" t="n">
        <v>0</v>
      </c>
      <c r="BP900" s="2" t="n">
        <v>0</v>
      </c>
      <c r="BQ900" s="2" t="n">
        <v>0</v>
      </c>
      <c r="BR900" s="2" t="n">
        <v>0</v>
      </c>
      <c r="BS900" s="2" t="n">
        <v>0</v>
      </c>
      <c r="BT900" s="2" t="n">
        <v>0</v>
      </c>
      <c r="BU900" s="2" t="n">
        <v>0</v>
      </c>
      <c r="BV900" s="2" t="n">
        <v>0</v>
      </c>
      <c r="BW900" s="2" t="n">
        <v>0</v>
      </c>
      <c r="BX900" s="2" t="n">
        <v>0</v>
      </c>
      <c r="BY900" s="2" t="n">
        <v>0</v>
      </c>
      <c r="BZ900" s="2" t="n">
        <v>0</v>
      </c>
      <c r="CA900" s="2" t="n">
        <v>0</v>
      </c>
      <c r="CB900" s="2" t="n">
        <v>0</v>
      </c>
      <c r="CC900" s="2" t="n">
        <v>0</v>
      </c>
      <c r="CD900" s="2" t="n">
        <v>0</v>
      </c>
      <c r="CE900" s="2" t="n">
        <v>0</v>
      </c>
      <c r="CF900" s="2" t="n">
        <v>0</v>
      </c>
      <c r="CG900" s="2" t="n">
        <v>0</v>
      </c>
      <c r="CH900" s="2" t="n">
        <v>0</v>
      </c>
      <c r="CI900" s="2" t="n">
        <v>0</v>
      </c>
      <c r="CJ900" s="2" t="n">
        <v>0</v>
      </c>
      <c r="CK900" s="2" t="n">
        <v>0</v>
      </c>
      <c r="CL900" s="2" t="n">
        <v>0</v>
      </c>
      <c r="CM900" s="2" t="n">
        <v>0</v>
      </c>
      <c r="CN900" s="2" t="n">
        <v>0</v>
      </c>
      <c r="CO900" s="2" t="n">
        <v>0</v>
      </c>
      <c r="CP900" s="2" t="n">
        <v>0</v>
      </c>
      <c r="CQ900" s="2" t="n">
        <v>0</v>
      </c>
      <c r="CR900" s="2" t="n">
        <v>0</v>
      </c>
      <c r="CS900" s="2" t="n">
        <v>0</v>
      </c>
      <c r="CT900" s="2" t="n">
        <v>0</v>
      </c>
      <c r="CU900" s="2" t="n">
        <v>0</v>
      </c>
      <c r="CV900" s="2" t="n">
        <v>0</v>
      </c>
      <c r="CW900" s="2" t="n">
        <v>0</v>
      </c>
      <c r="CX900" s="2" t="n">
        <v>1.35</v>
      </c>
      <c r="CY900" s="2" t="n">
        <v>2.03</v>
      </c>
      <c r="CZ900" s="2" t="n">
        <v>0</v>
      </c>
      <c r="DA900" s="2" t="n">
        <v>4.19</v>
      </c>
      <c r="DB900" s="2" t="n">
        <v>4.87</v>
      </c>
      <c r="DC900" s="2" t="n">
        <v>0</v>
      </c>
      <c r="DD900" s="2" t="n">
        <v>7.49</v>
      </c>
      <c r="DE900" s="2" t="n">
        <v>8.859999999999999</v>
      </c>
      <c r="DF900" s="2" t="n">
        <v>0</v>
      </c>
      <c r="DG900" s="2" t="n">
        <v>12.72</v>
      </c>
      <c r="DH900" s="2" t="n">
        <v>14.1</v>
      </c>
      <c r="DI900" s="2" t="n">
        <v>0</v>
      </c>
      <c r="DJ900" s="2" t="n">
        <v>21.84</v>
      </c>
      <c r="DK900" s="2" t="n">
        <v>23.94</v>
      </c>
      <c r="DL900" s="2" t="n">
        <v>0</v>
      </c>
      <c r="DM900" s="2" t="n">
        <v>31.36</v>
      </c>
      <c r="DN900" s="2" t="n">
        <v>33.47</v>
      </c>
      <c r="DO900" s="2" t="n">
        <v>0</v>
      </c>
      <c r="DP900" s="2" t="n">
        <v>40.97</v>
      </c>
      <c r="DQ900" s="2" t="n">
        <v>43.09</v>
      </c>
      <c r="DR900" s="2" t="n">
        <v>0</v>
      </c>
      <c r="DS900" s="2" t="n">
        <v>50.46</v>
      </c>
      <c r="DT900" s="2" t="n">
        <v>52.64</v>
      </c>
      <c r="DU900" s="2" t="n">
        <v>0</v>
      </c>
      <c r="DV900" s="2" t="n">
        <v>59.27</v>
      </c>
      <c r="DW900" s="2" t="n">
        <v>61.56</v>
      </c>
      <c r="DX900" s="2" t="n">
        <v>0</v>
      </c>
      <c r="DY900" s="2" t="n">
        <v>68.22</v>
      </c>
      <c r="DZ900" s="2" t="n">
        <v>71.04000000000001</v>
      </c>
      <c r="EA900" s="2" t="n">
        <v>0</v>
      </c>
      <c r="EB900" s="2" t="n">
        <v>76.31999999999999</v>
      </c>
      <c r="EC900" s="2" t="n">
        <v>78.27</v>
      </c>
      <c r="ED900" s="2" t="n">
        <v>0</v>
      </c>
      <c r="EE900" s="2" t="n">
        <v>82.22</v>
      </c>
      <c r="EF900" s="2" t="n">
        <v>84.26000000000001</v>
      </c>
      <c r="EG900" s="2" t="n">
        <v>0</v>
      </c>
      <c r="EH900" s="2" t="n">
        <v>89.09</v>
      </c>
      <c r="EI900" s="2" t="n">
        <v>91.2</v>
      </c>
      <c r="EJ900" s="2" t="n">
        <v>0</v>
      </c>
      <c r="EK900" s="2" t="n">
        <v>95.55</v>
      </c>
      <c r="EL900" s="2" t="n">
        <v>96.84999999999999</v>
      </c>
      <c r="EM900" s="2" t="n">
        <v>0</v>
      </c>
      <c r="EN900" s="2" t="n">
        <v>99.81999999999999</v>
      </c>
      <c r="EO900" s="2" t="n">
        <v>99.97</v>
      </c>
      <c r="EP900" s="2" t="n">
        <v>0</v>
      </c>
      <c r="EQ900" s="2" t="n">
        <v>100</v>
      </c>
      <c r="ER900" s="2" t="n">
        <v>100</v>
      </c>
      <c r="ES900" s="2" t="n">
        <v>0</v>
      </c>
    </row>
    <row r="901">
      <c r="A901" s="2" t="n">
        <v>3</v>
      </c>
      <c r="B901" s="2" t="inlineStr">
        <is>
          <t>35.01.08</t>
        </is>
      </c>
      <c r="C901" s="2" t="inlineStr">
        <is>
          <t>Pintura acrílica fosca. Ref.: Mármore; Suvinil sob tetos  (2 demãos Latex acrílico)</t>
        </is>
      </c>
      <c r="D901" s="2" t="inlineStr">
        <is>
          <t>11/01/2028</t>
        </is>
      </c>
      <c r="E901" s="2" t="inlineStr">
        <is>
          <t>02/04/2029</t>
        </is>
      </c>
      <c r="F901" s="2" t="n">
        <v>1437.314352</v>
      </c>
      <c r="G901" s="2" t="n">
        <v>0</v>
      </c>
      <c r="H901" s="2" t="n">
        <v>1437.314352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0</v>
      </c>
      <c r="AB901" s="2" t="n">
        <v>0</v>
      </c>
      <c r="AC901" s="2" t="n">
        <v>0</v>
      </c>
      <c r="AD901" s="2" t="n">
        <v>0</v>
      </c>
      <c r="AE901" s="2" t="n">
        <v>0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n">
        <v>0</v>
      </c>
      <c r="AK901" s="2" t="n">
        <v>0</v>
      </c>
      <c r="AL901" s="2" t="n">
        <v>0</v>
      </c>
      <c r="AM901" s="2" t="n">
        <v>0</v>
      </c>
      <c r="AN901" s="2" t="n">
        <v>0</v>
      </c>
      <c r="AO901" s="2" t="n">
        <v>0</v>
      </c>
      <c r="AP901" s="2" t="n">
        <v>0</v>
      </c>
      <c r="AQ901" s="2" t="n">
        <v>0</v>
      </c>
      <c r="AR901" s="2" t="n">
        <v>0</v>
      </c>
      <c r="AS901" s="2" t="n">
        <v>0</v>
      </c>
      <c r="AT901" s="2" t="n">
        <v>0</v>
      </c>
      <c r="AU901" s="2" t="n">
        <v>0</v>
      </c>
      <c r="AV901" s="2" t="n">
        <v>0</v>
      </c>
      <c r="AW901" s="2" t="n">
        <v>0</v>
      </c>
      <c r="AX901" s="2" t="n">
        <v>0</v>
      </c>
      <c r="AY901" s="2" t="n">
        <v>0</v>
      </c>
      <c r="AZ901" s="2" t="n">
        <v>0</v>
      </c>
      <c r="BA901" s="2" t="n">
        <v>0</v>
      </c>
      <c r="BB901" s="2" t="n">
        <v>0</v>
      </c>
      <c r="BC901" s="2" t="n">
        <v>0</v>
      </c>
      <c r="BD901" s="2" t="n">
        <v>0</v>
      </c>
      <c r="BE901" s="2" t="n">
        <v>0</v>
      </c>
      <c r="BF901" s="2" t="n">
        <v>0</v>
      </c>
      <c r="BG901" s="2" t="n">
        <v>0</v>
      </c>
      <c r="BH901" s="2" t="n">
        <v>0</v>
      </c>
      <c r="BI901" s="2" t="n">
        <v>0</v>
      </c>
      <c r="BJ901" s="2" t="n">
        <v>0</v>
      </c>
      <c r="BK901" s="2" t="n">
        <v>0</v>
      </c>
      <c r="BL901" s="2" t="n">
        <v>0</v>
      </c>
      <c r="BM901" s="2" t="n">
        <v>0</v>
      </c>
      <c r="BN901" s="2" t="n">
        <v>0</v>
      </c>
      <c r="BO901" s="2" t="n">
        <v>0</v>
      </c>
      <c r="BP901" s="2" t="n">
        <v>0</v>
      </c>
      <c r="BQ901" s="2" t="n">
        <v>0</v>
      </c>
      <c r="BR901" s="2" t="n">
        <v>0</v>
      </c>
      <c r="BS901" s="2" t="n">
        <v>0</v>
      </c>
      <c r="BT901" s="2" t="n">
        <v>0</v>
      </c>
      <c r="BU901" s="2" t="n">
        <v>0</v>
      </c>
      <c r="BV901" s="2" t="n">
        <v>0</v>
      </c>
      <c r="BW901" s="2" t="n">
        <v>0</v>
      </c>
      <c r="BX901" s="2" t="n">
        <v>0</v>
      </c>
      <c r="BY901" s="2" t="n">
        <v>0</v>
      </c>
      <c r="BZ901" s="2" t="n">
        <v>0</v>
      </c>
      <c r="CA901" s="2" t="n">
        <v>0</v>
      </c>
      <c r="CB901" s="2" t="n">
        <v>0</v>
      </c>
      <c r="CC901" s="2" t="n">
        <v>0</v>
      </c>
      <c r="CD901" s="2" t="n">
        <v>0</v>
      </c>
      <c r="CE901" s="2" t="n">
        <v>0</v>
      </c>
      <c r="CF901" s="2" t="n">
        <v>0</v>
      </c>
      <c r="CG901" s="2" t="n">
        <v>0</v>
      </c>
      <c r="CH901" s="2" t="n">
        <v>0</v>
      </c>
      <c r="CI901" s="2" t="n">
        <v>0</v>
      </c>
      <c r="CJ901" s="2" t="n">
        <v>0</v>
      </c>
      <c r="CK901" s="2" t="n">
        <v>0</v>
      </c>
      <c r="CL901" s="2" t="n">
        <v>0</v>
      </c>
      <c r="CM901" s="2" t="n">
        <v>0</v>
      </c>
      <c r="CN901" s="2" t="n">
        <v>0</v>
      </c>
      <c r="CO901" s="2" t="n">
        <v>0</v>
      </c>
      <c r="CP901" s="2" t="n">
        <v>0</v>
      </c>
      <c r="CQ901" s="2" t="n">
        <v>0</v>
      </c>
      <c r="CR901" s="2" t="n">
        <v>0</v>
      </c>
      <c r="CS901" s="2" t="n">
        <v>0</v>
      </c>
      <c r="CT901" s="2" t="n">
        <v>0</v>
      </c>
      <c r="CU901" s="2" t="n">
        <v>0</v>
      </c>
      <c r="CV901" s="2" t="n">
        <v>0</v>
      </c>
      <c r="CW901" s="2" t="n">
        <v>0</v>
      </c>
      <c r="CX901" s="2" t="n">
        <v>1.35</v>
      </c>
      <c r="CY901" s="2" t="n">
        <v>2.03</v>
      </c>
      <c r="CZ901" s="2" t="n">
        <v>0</v>
      </c>
      <c r="DA901" s="2" t="n">
        <v>4.19</v>
      </c>
      <c r="DB901" s="2" t="n">
        <v>4.87</v>
      </c>
      <c r="DC901" s="2" t="n">
        <v>0</v>
      </c>
      <c r="DD901" s="2" t="n">
        <v>7.49</v>
      </c>
      <c r="DE901" s="2" t="n">
        <v>8.859999999999999</v>
      </c>
      <c r="DF901" s="2" t="n">
        <v>0</v>
      </c>
      <c r="DG901" s="2" t="n">
        <v>12.72</v>
      </c>
      <c r="DH901" s="2" t="n">
        <v>14.1</v>
      </c>
      <c r="DI901" s="2" t="n">
        <v>0</v>
      </c>
      <c r="DJ901" s="2" t="n">
        <v>21.84</v>
      </c>
      <c r="DK901" s="2" t="n">
        <v>23.94</v>
      </c>
      <c r="DL901" s="2" t="n">
        <v>0</v>
      </c>
      <c r="DM901" s="2" t="n">
        <v>31.36</v>
      </c>
      <c r="DN901" s="2" t="n">
        <v>33.47</v>
      </c>
      <c r="DO901" s="2" t="n">
        <v>0</v>
      </c>
      <c r="DP901" s="2" t="n">
        <v>40.97</v>
      </c>
      <c r="DQ901" s="2" t="n">
        <v>43.09</v>
      </c>
      <c r="DR901" s="2" t="n">
        <v>0</v>
      </c>
      <c r="DS901" s="2" t="n">
        <v>50.46</v>
      </c>
      <c r="DT901" s="2" t="n">
        <v>52.64</v>
      </c>
      <c r="DU901" s="2" t="n">
        <v>0</v>
      </c>
      <c r="DV901" s="2" t="n">
        <v>59.27</v>
      </c>
      <c r="DW901" s="2" t="n">
        <v>61.56</v>
      </c>
      <c r="DX901" s="2" t="n">
        <v>0</v>
      </c>
      <c r="DY901" s="2" t="n">
        <v>68.22</v>
      </c>
      <c r="DZ901" s="2" t="n">
        <v>71.04000000000001</v>
      </c>
      <c r="EA901" s="2" t="n">
        <v>0</v>
      </c>
      <c r="EB901" s="2" t="n">
        <v>76.31999999999999</v>
      </c>
      <c r="EC901" s="2" t="n">
        <v>78.27</v>
      </c>
      <c r="ED901" s="2" t="n">
        <v>0</v>
      </c>
      <c r="EE901" s="2" t="n">
        <v>82.22</v>
      </c>
      <c r="EF901" s="2" t="n">
        <v>84.26000000000001</v>
      </c>
      <c r="EG901" s="2" t="n">
        <v>0</v>
      </c>
      <c r="EH901" s="2" t="n">
        <v>89.09</v>
      </c>
      <c r="EI901" s="2" t="n">
        <v>91.2</v>
      </c>
      <c r="EJ901" s="2" t="n">
        <v>0</v>
      </c>
      <c r="EK901" s="2" t="n">
        <v>95.55</v>
      </c>
      <c r="EL901" s="2" t="n">
        <v>96.84999999999999</v>
      </c>
      <c r="EM901" s="2" t="n">
        <v>0</v>
      </c>
      <c r="EN901" s="2" t="n">
        <v>99.81999999999999</v>
      </c>
      <c r="EO901" s="2" t="n">
        <v>99.97</v>
      </c>
      <c r="EP901" s="2" t="n">
        <v>0</v>
      </c>
      <c r="EQ901" s="2" t="n">
        <v>100</v>
      </c>
      <c r="ER901" s="2" t="n">
        <v>100</v>
      </c>
      <c r="ES901" s="2" t="n">
        <v>0</v>
      </c>
    </row>
    <row r="902">
      <c r="A902" s="2" t="n">
        <v>2</v>
      </c>
      <c r="B902" s="2" t="inlineStr">
        <is>
          <t>35.02</t>
        </is>
      </c>
      <c r="C902" s="2" t="inlineStr">
        <is>
          <t>Esmalte sintético</t>
        </is>
      </c>
      <c r="D902" s="2" t="inlineStr">
        <is>
          <t>17/04/2028</t>
        </is>
      </c>
      <c r="E902" s="2" t="inlineStr">
        <is>
          <t>15/01/2029</t>
        </is>
      </c>
      <c r="F902" s="2" t="n">
        <v>262207.567157645</v>
      </c>
      <c r="G902" s="2" t="n">
        <v>0</v>
      </c>
      <c r="H902" s="2" t="n">
        <v>262207.567157645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n">
        <v>0</v>
      </c>
      <c r="AK902" s="2" t="n">
        <v>0</v>
      </c>
      <c r="AL902" s="2" t="n">
        <v>0</v>
      </c>
      <c r="AM902" s="2" t="n">
        <v>0</v>
      </c>
      <c r="AN902" s="2" t="n">
        <v>0</v>
      </c>
      <c r="AO902" s="2" t="n">
        <v>0</v>
      </c>
      <c r="AP902" s="2" t="n">
        <v>0</v>
      </c>
      <c r="AQ902" s="2" t="n">
        <v>0</v>
      </c>
      <c r="AR902" s="2" t="n">
        <v>0</v>
      </c>
      <c r="AS902" s="2" t="n">
        <v>0</v>
      </c>
      <c r="AT902" s="2" t="n">
        <v>0</v>
      </c>
      <c r="AU902" s="2" t="n">
        <v>0</v>
      </c>
      <c r="AV902" s="2" t="n">
        <v>0</v>
      </c>
      <c r="AW902" s="2" t="n">
        <v>0</v>
      </c>
      <c r="AX902" s="2" t="n">
        <v>0</v>
      </c>
      <c r="AY902" s="2" t="n">
        <v>0</v>
      </c>
      <c r="AZ902" s="2" t="n">
        <v>0</v>
      </c>
      <c r="BA902" s="2" t="n">
        <v>0</v>
      </c>
      <c r="BB902" s="2" t="n">
        <v>0</v>
      </c>
      <c r="BC902" s="2" t="n">
        <v>0</v>
      </c>
      <c r="BD902" s="2" t="n">
        <v>0</v>
      </c>
      <c r="BE902" s="2" t="n">
        <v>0</v>
      </c>
      <c r="BF902" s="2" t="n">
        <v>0</v>
      </c>
      <c r="BG902" s="2" t="n">
        <v>0</v>
      </c>
      <c r="BH902" s="2" t="n">
        <v>0</v>
      </c>
      <c r="BI902" s="2" t="n">
        <v>0</v>
      </c>
      <c r="BJ902" s="2" t="n">
        <v>0</v>
      </c>
      <c r="BK902" s="2" t="n">
        <v>0</v>
      </c>
      <c r="BL902" s="2" t="n">
        <v>0</v>
      </c>
      <c r="BM902" s="2" t="n">
        <v>0</v>
      </c>
      <c r="BN902" s="2" t="n">
        <v>0</v>
      </c>
      <c r="BO902" s="2" t="n">
        <v>0</v>
      </c>
      <c r="BP902" s="2" t="n">
        <v>0</v>
      </c>
      <c r="BQ902" s="2" t="n">
        <v>0</v>
      </c>
      <c r="BR902" s="2" t="n">
        <v>0</v>
      </c>
      <c r="BS902" s="2" t="n">
        <v>0</v>
      </c>
      <c r="BT902" s="2" t="n">
        <v>0</v>
      </c>
      <c r="BU902" s="2" t="n">
        <v>0</v>
      </c>
      <c r="BV902" s="2" t="n">
        <v>0</v>
      </c>
      <c r="BW902" s="2" t="n">
        <v>0</v>
      </c>
      <c r="BX902" s="2" t="n">
        <v>0</v>
      </c>
      <c r="BY902" s="2" t="n">
        <v>0</v>
      </c>
      <c r="BZ902" s="2" t="n">
        <v>0</v>
      </c>
      <c r="CA902" s="2" t="n">
        <v>0</v>
      </c>
      <c r="CB902" s="2" t="n">
        <v>0</v>
      </c>
      <c r="CC902" s="2" t="n">
        <v>0</v>
      </c>
      <c r="CD902" s="2" t="n">
        <v>0</v>
      </c>
      <c r="CE902" s="2" t="n">
        <v>0</v>
      </c>
      <c r="CF902" s="2" t="n">
        <v>0</v>
      </c>
      <c r="CG902" s="2" t="n">
        <v>0</v>
      </c>
      <c r="CH902" s="2" t="n">
        <v>0</v>
      </c>
      <c r="CI902" s="2" t="n">
        <v>0</v>
      </c>
      <c r="CJ902" s="2" t="n">
        <v>0</v>
      </c>
      <c r="CK902" s="2" t="n">
        <v>0</v>
      </c>
      <c r="CL902" s="2" t="n">
        <v>0</v>
      </c>
      <c r="CM902" s="2" t="n">
        <v>0</v>
      </c>
      <c r="CN902" s="2" t="n">
        <v>0</v>
      </c>
      <c r="CO902" s="2" t="n">
        <v>0</v>
      </c>
      <c r="CP902" s="2" t="n">
        <v>0</v>
      </c>
      <c r="CQ902" s="2" t="n">
        <v>0</v>
      </c>
      <c r="CR902" s="2" t="n">
        <v>0</v>
      </c>
      <c r="CS902" s="2" t="n">
        <v>0</v>
      </c>
      <c r="CT902" s="2" t="n">
        <v>0</v>
      </c>
      <c r="CU902" s="2" t="n">
        <v>0</v>
      </c>
      <c r="CV902" s="2" t="n">
        <v>0</v>
      </c>
      <c r="CW902" s="2" t="n">
        <v>0</v>
      </c>
      <c r="CX902" s="2" t="n">
        <v>0</v>
      </c>
      <c r="CY902" s="2" t="n">
        <v>0</v>
      </c>
      <c r="CZ902" s="2" t="n">
        <v>0</v>
      </c>
      <c r="DA902" s="2" t="n">
        <v>0</v>
      </c>
      <c r="DB902" s="2" t="n">
        <v>0</v>
      </c>
      <c r="DC902" s="2" t="n">
        <v>0</v>
      </c>
      <c r="DD902" s="2" t="n">
        <v>0</v>
      </c>
      <c r="DE902" s="2" t="n">
        <v>0</v>
      </c>
      <c r="DF902" s="2" t="n">
        <v>0</v>
      </c>
      <c r="DG902" s="2" t="n">
        <v>7.85</v>
      </c>
      <c r="DH902" s="2" t="n">
        <v>8.83</v>
      </c>
      <c r="DI902" s="2" t="n">
        <v>0</v>
      </c>
      <c r="DJ902" s="2" t="n">
        <v>36.6</v>
      </c>
      <c r="DK902" s="2" t="n">
        <v>41.97</v>
      </c>
      <c r="DL902" s="2" t="n">
        <v>0</v>
      </c>
      <c r="DM902" s="2" t="n">
        <v>43.04</v>
      </c>
      <c r="DN902" s="2" t="n">
        <v>43.04</v>
      </c>
      <c r="DO902" s="2" t="n">
        <v>0</v>
      </c>
      <c r="DP902" s="2" t="n">
        <v>43.04</v>
      </c>
      <c r="DQ902" s="2" t="n">
        <v>43.04</v>
      </c>
      <c r="DR902" s="2" t="n">
        <v>0</v>
      </c>
      <c r="DS902" s="2" t="n">
        <v>43.04</v>
      </c>
      <c r="DT902" s="2" t="n">
        <v>43.04</v>
      </c>
      <c r="DU902" s="2" t="n">
        <v>0</v>
      </c>
      <c r="DV902" s="2" t="n">
        <v>43.04</v>
      </c>
      <c r="DW902" s="2" t="n">
        <v>57.28</v>
      </c>
      <c r="DX902" s="2" t="n">
        <v>0</v>
      </c>
      <c r="DY902" s="2" t="n">
        <v>57.28</v>
      </c>
      <c r="DZ902" s="2" t="n">
        <v>71.52</v>
      </c>
      <c r="EA902" s="2" t="n">
        <v>0</v>
      </c>
      <c r="EB902" s="2" t="n">
        <v>70.56999999999999</v>
      </c>
      <c r="EC902" s="2" t="n">
        <v>82.91</v>
      </c>
      <c r="ED902" s="2" t="n">
        <v>0</v>
      </c>
      <c r="EE902" s="2" t="n">
        <v>78.17</v>
      </c>
      <c r="EF902" s="2" t="n">
        <v>90.51000000000001</v>
      </c>
      <c r="EG902" s="2" t="n">
        <v>0</v>
      </c>
      <c r="EH902" s="2" t="n">
        <v>92.41</v>
      </c>
      <c r="EI902" s="2" t="n">
        <v>100</v>
      </c>
      <c r="EJ902" s="2" t="n">
        <v>0</v>
      </c>
      <c r="EK902" s="2" t="n">
        <v>100</v>
      </c>
      <c r="EL902" s="2" t="n">
        <v>100</v>
      </c>
      <c r="EM902" s="2" t="n">
        <v>0</v>
      </c>
      <c r="EN902" s="2" t="n">
        <v>100</v>
      </c>
      <c r="EO902" s="2" t="n">
        <v>100</v>
      </c>
      <c r="EP902" s="2" t="n">
        <v>0</v>
      </c>
      <c r="EQ902" s="2" t="n">
        <v>100</v>
      </c>
      <c r="ER902" s="2" t="n">
        <v>100</v>
      </c>
      <c r="ES902" s="2" t="n">
        <v>0</v>
      </c>
    </row>
    <row r="903">
      <c r="A903" s="2" t="n">
        <v>3</v>
      </c>
      <c r="B903" s="2" t="inlineStr">
        <is>
          <t>35.02.01</t>
        </is>
      </c>
      <c r="C903" s="2" t="inlineStr">
        <is>
          <t>Pintura esmalte sobre esquadrias de aço  (1 demão zarcão + 2 demãos esmalte)</t>
        </is>
      </c>
      <c r="D903" s="2" t="inlineStr">
        <is>
          <t>05/05/2028</t>
        </is>
      </c>
      <c r="E903" s="2" t="inlineStr">
        <is>
          <t>01/06/2028</t>
        </is>
      </c>
      <c r="F903" s="2" t="n">
        <v>56263.55909148065</v>
      </c>
      <c r="G903" s="2" t="n">
        <v>0</v>
      </c>
      <c r="H903" s="2" t="n">
        <v>56263.55909148065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0</v>
      </c>
      <c r="AM903" s="2" t="n">
        <v>0</v>
      </c>
      <c r="AN903" s="2" t="n">
        <v>0</v>
      </c>
      <c r="AO903" s="2" t="n">
        <v>0</v>
      </c>
      <c r="AP903" s="2" t="n">
        <v>0</v>
      </c>
      <c r="AQ903" s="2" t="n">
        <v>0</v>
      </c>
      <c r="AR903" s="2" t="n">
        <v>0</v>
      </c>
      <c r="AS903" s="2" t="n">
        <v>0</v>
      </c>
      <c r="AT903" s="2" t="n">
        <v>0</v>
      </c>
      <c r="AU903" s="2" t="n">
        <v>0</v>
      </c>
      <c r="AV903" s="2" t="n">
        <v>0</v>
      </c>
      <c r="AW903" s="2" t="n">
        <v>0</v>
      </c>
      <c r="AX903" s="2" t="n">
        <v>0</v>
      </c>
      <c r="AY903" s="2" t="n">
        <v>0</v>
      </c>
      <c r="AZ903" s="2" t="n">
        <v>0</v>
      </c>
      <c r="BA903" s="2" t="n">
        <v>0</v>
      </c>
      <c r="BB903" s="2" t="n">
        <v>0</v>
      </c>
      <c r="BC903" s="2" t="n">
        <v>0</v>
      </c>
      <c r="BD903" s="2" t="n">
        <v>0</v>
      </c>
      <c r="BE903" s="2" t="n">
        <v>0</v>
      </c>
      <c r="BF903" s="2" t="n">
        <v>0</v>
      </c>
      <c r="BG903" s="2" t="n">
        <v>0</v>
      </c>
      <c r="BH903" s="2" t="n">
        <v>0</v>
      </c>
      <c r="BI903" s="2" t="n">
        <v>0</v>
      </c>
      <c r="BJ903" s="2" t="n">
        <v>0</v>
      </c>
      <c r="BK903" s="2" t="n">
        <v>0</v>
      </c>
      <c r="BL903" s="2" t="n">
        <v>0</v>
      </c>
      <c r="BM903" s="2" t="n">
        <v>0</v>
      </c>
      <c r="BN903" s="2" t="n">
        <v>0</v>
      </c>
      <c r="BO903" s="2" t="n">
        <v>0</v>
      </c>
      <c r="BP903" s="2" t="n">
        <v>0</v>
      </c>
      <c r="BQ903" s="2" t="n">
        <v>0</v>
      </c>
      <c r="BR903" s="2" t="n">
        <v>0</v>
      </c>
      <c r="BS903" s="2" t="n">
        <v>0</v>
      </c>
      <c r="BT903" s="2" t="n">
        <v>0</v>
      </c>
      <c r="BU903" s="2" t="n">
        <v>0</v>
      </c>
      <c r="BV903" s="2" t="n">
        <v>0</v>
      </c>
      <c r="BW903" s="2" t="n">
        <v>0</v>
      </c>
      <c r="BX903" s="2" t="n">
        <v>0</v>
      </c>
      <c r="BY903" s="2" t="n">
        <v>0</v>
      </c>
      <c r="BZ903" s="2" t="n">
        <v>0</v>
      </c>
      <c r="CA903" s="2" t="n">
        <v>0</v>
      </c>
      <c r="CB903" s="2" t="n">
        <v>0</v>
      </c>
      <c r="CC903" s="2" t="n">
        <v>0</v>
      </c>
      <c r="CD903" s="2" t="n">
        <v>0</v>
      </c>
      <c r="CE903" s="2" t="n">
        <v>0</v>
      </c>
      <c r="CF903" s="2" t="n">
        <v>0</v>
      </c>
      <c r="CG903" s="2" t="n">
        <v>0</v>
      </c>
      <c r="CH903" s="2" t="n">
        <v>0</v>
      </c>
      <c r="CI903" s="2" t="n">
        <v>0</v>
      </c>
      <c r="CJ903" s="2" t="n">
        <v>0</v>
      </c>
      <c r="CK903" s="2" t="n">
        <v>0</v>
      </c>
      <c r="CL903" s="2" t="n">
        <v>0</v>
      </c>
      <c r="CM903" s="2" t="n">
        <v>0</v>
      </c>
      <c r="CN903" s="2" t="n">
        <v>0</v>
      </c>
      <c r="CO903" s="2" t="n">
        <v>0</v>
      </c>
      <c r="CP903" s="2" t="n">
        <v>0</v>
      </c>
      <c r="CQ903" s="2" t="n">
        <v>0</v>
      </c>
      <c r="CR903" s="2" t="n">
        <v>0</v>
      </c>
      <c r="CS903" s="2" t="n">
        <v>0</v>
      </c>
      <c r="CT903" s="2" t="n">
        <v>0</v>
      </c>
      <c r="CU903" s="2" t="n">
        <v>0</v>
      </c>
      <c r="CV903" s="2" t="n">
        <v>0</v>
      </c>
      <c r="CW903" s="2" t="n">
        <v>0</v>
      </c>
      <c r="CX903" s="2" t="n">
        <v>0</v>
      </c>
      <c r="CY903" s="2" t="n">
        <v>0</v>
      </c>
      <c r="CZ903" s="2" t="n">
        <v>0</v>
      </c>
      <c r="DA903" s="2" t="n">
        <v>0</v>
      </c>
      <c r="DB903" s="2" t="n">
        <v>0</v>
      </c>
      <c r="DC903" s="2" t="n">
        <v>0</v>
      </c>
      <c r="DD903" s="2" t="n">
        <v>0</v>
      </c>
      <c r="DE903" s="2" t="n">
        <v>0</v>
      </c>
      <c r="DF903" s="2" t="n">
        <v>0</v>
      </c>
      <c r="DG903" s="2" t="n">
        <v>0</v>
      </c>
      <c r="DH903" s="2" t="n">
        <v>0</v>
      </c>
      <c r="DI903" s="2" t="n">
        <v>0</v>
      </c>
      <c r="DJ903" s="2" t="n">
        <v>70</v>
      </c>
      <c r="DK903" s="2" t="n">
        <v>95</v>
      </c>
      <c r="DL903" s="2" t="n">
        <v>0</v>
      </c>
      <c r="DM903" s="2" t="n">
        <v>100</v>
      </c>
      <c r="DN903" s="2" t="n">
        <v>100</v>
      </c>
      <c r="DO903" s="2" t="n">
        <v>0</v>
      </c>
      <c r="DP903" s="2" t="n">
        <v>100</v>
      </c>
      <c r="DQ903" s="2" t="n">
        <v>100</v>
      </c>
      <c r="DR903" s="2" t="n">
        <v>0</v>
      </c>
      <c r="DS903" s="2" t="n">
        <v>100</v>
      </c>
      <c r="DT903" s="2" t="n">
        <v>100</v>
      </c>
      <c r="DU903" s="2" t="n">
        <v>0</v>
      </c>
      <c r="DV903" s="2" t="n">
        <v>100</v>
      </c>
      <c r="DW903" s="2" t="n">
        <v>100</v>
      </c>
      <c r="DX903" s="2" t="n">
        <v>0</v>
      </c>
      <c r="DY903" s="2" t="n">
        <v>100</v>
      </c>
      <c r="DZ903" s="2" t="n">
        <v>100</v>
      </c>
      <c r="EA903" s="2" t="n">
        <v>0</v>
      </c>
      <c r="EB903" s="2" t="n">
        <v>100</v>
      </c>
      <c r="EC903" s="2" t="n">
        <v>100</v>
      </c>
      <c r="ED903" s="2" t="n">
        <v>0</v>
      </c>
      <c r="EE903" s="2" t="n">
        <v>100</v>
      </c>
      <c r="EF903" s="2" t="n">
        <v>100</v>
      </c>
      <c r="EG903" s="2" t="n">
        <v>0</v>
      </c>
      <c r="EH903" s="2" t="n">
        <v>100</v>
      </c>
      <c r="EI903" s="2" t="n">
        <v>100</v>
      </c>
      <c r="EJ903" s="2" t="n">
        <v>0</v>
      </c>
      <c r="EK903" s="2" t="n">
        <v>100</v>
      </c>
      <c r="EL903" s="2" t="n">
        <v>100</v>
      </c>
      <c r="EM903" s="2" t="n">
        <v>0</v>
      </c>
      <c r="EN903" s="2" t="n">
        <v>100</v>
      </c>
      <c r="EO903" s="2" t="n">
        <v>100</v>
      </c>
      <c r="EP903" s="2" t="n">
        <v>0</v>
      </c>
      <c r="EQ903" s="2" t="n">
        <v>100</v>
      </c>
      <c r="ER903" s="2" t="n">
        <v>100</v>
      </c>
      <c r="ES903" s="2" t="n">
        <v>0</v>
      </c>
    </row>
    <row r="904">
      <c r="A904" s="2" t="n">
        <v>3</v>
      </c>
      <c r="B904" s="2" t="inlineStr">
        <is>
          <t>35.02.02</t>
        </is>
      </c>
      <c r="C904" s="2" t="inlineStr">
        <is>
          <t>Pintura de tubulações aparentes para estacionamentos (1 demão zarcão + 2 demãos esmalte)</t>
        </is>
      </c>
      <c r="D904" s="2" t="inlineStr">
        <is>
          <t>17/04/2028</t>
        </is>
      </c>
      <c r="E904" s="2" t="inlineStr">
        <is>
          <t>15/01/2029</t>
        </is>
      </c>
      <c r="F904" s="2" t="n">
        <v>205944.0080661644</v>
      </c>
      <c r="G904" s="2" t="n">
        <v>0</v>
      </c>
      <c r="H904" s="2" t="n">
        <v>205944.0080661644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0</v>
      </c>
      <c r="AM904" s="2" t="n">
        <v>0</v>
      </c>
      <c r="AN904" s="2" t="n">
        <v>0</v>
      </c>
      <c r="AO904" s="2" t="n">
        <v>0</v>
      </c>
      <c r="AP904" s="2" t="n">
        <v>0</v>
      </c>
      <c r="AQ904" s="2" t="n">
        <v>0</v>
      </c>
      <c r="AR904" s="2" t="n">
        <v>0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n">
        <v>0</v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n">
        <v>0</v>
      </c>
      <c r="BE904" s="2" t="n">
        <v>0</v>
      </c>
      <c r="BF904" s="2" t="n">
        <v>0</v>
      </c>
      <c r="BG904" s="2" t="n">
        <v>0</v>
      </c>
      <c r="BH904" s="2" t="n">
        <v>0</v>
      </c>
      <c r="BI904" s="2" t="n">
        <v>0</v>
      </c>
      <c r="BJ904" s="2" t="n">
        <v>0</v>
      </c>
      <c r="BK904" s="2" t="n">
        <v>0</v>
      </c>
      <c r="BL904" s="2" t="n">
        <v>0</v>
      </c>
      <c r="BM904" s="2" t="n">
        <v>0</v>
      </c>
      <c r="BN904" s="2" t="n">
        <v>0</v>
      </c>
      <c r="BO904" s="2" t="n">
        <v>0</v>
      </c>
      <c r="BP904" s="2" t="n">
        <v>0</v>
      </c>
      <c r="BQ904" s="2" t="n">
        <v>0</v>
      </c>
      <c r="BR904" s="2" t="n">
        <v>0</v>
      </c>
      <c r="BS904" s="2" t="n">
        <v>0</v>
      </c>
      <c r="BT904" s="2" t="n">
        <v>0</v>
      </c>
      <c r="BU904" s="2" t="n">
        <v>0</v>
      </c>
      <c r="BV904" s="2" t="n">
        <v>0</v>
      </c>
      <c r="BW904" s="2" t="n">
        <v>0</v>
      </c>
      <c r="BX904" s="2" t="n">
        <v>0</v>
      </c>
      <c r="BY904" s="2" t="n">
        <v>0</v>
      </c>
      <c r="BZ904" s="2" t="n">
        <v>0</v>
      </c>
      <c r="CA904" s="2" t="n">
        <v>0</v>
      </c>
      <c r="CB904" s="2" t="n">
        <v>0</v>
      </c>
      <c r="CC904" s="2" t="n">
        <v>0</v>
      </c>
      <c r="CD904" s="2" t="n">
        <v>0</v>
      </c>
      <c r="CE904" s="2" t="n">
        <v>0</v>
      </c>
      <c r="CF904" s="2" t="n">
        <v>0</v>
      </c>
      <c r="CG904" s="2" t="n">
        <v>0</v>
      </c>
      <c r="CH904" s="2" t="n">
        <v>0</v>
      </c>
      <c r="CI904" s="2" t="n">
        <v>0</v>
      </c>
      <c r="CJ904" s="2" t="n">
        <v>0</v>
      </c>
      <c r="CK904" s="2" t="n">
        <v>0</v>
      </c>
      <c r="CL904" s="2" t="n">
        <v>0</v>
      </c>
      <c r="CM904" s="2" t="n">
        <v>0</v>
      </c>
      <c r="CN904" s="2" t="n">
        <v>0</v>
      </c>
      <c r="CO904" s="2" t="n">
        <v>0</v>
      </c>
      <c r="CP904" s="2" t="n">
        <v>0</v>
      </c>
      <c r="CQ904" s="2" t="n">
        <v>0</v>
      </c>
      <c r="CR904" s="2" t="n">
        <v>0</v>
      </c>
      <c r="CS904" s="2" t="n">
        <v>0</v>
      </c>
      <c r="CT904" s="2" t="n">
        <v>0</v>
      </c>
      <c r="CU904" s="2" t="n">
        <v>0</v>
      </c>
      <c r="CV904" s="2" t="n">
        <v>0</v>
      </c>
      <c r="CW904" s="2" t="n">
        <v>0</v>
      </c>
      <c r="CX904" s="2" t="n">
        <v>0</v>
      </c>
      <c r="CY904" s="2" t="n">
        <v>0</v>
      </c>
      <c r="CZ904" s="2" t="n">
        <v>0</v>
      </c>
      <c r="DA904" s="2" t="n">
        <v>0</v>
      </c>
      <c r="DB904" s="2" t="n">
        <v>0</v>
      </c>
      <c r="DC904" s="2" t="n">
        <v>0</v>
      </c>
      <c r="DD904" s="2" t="n">
        <v>0</v>
      </c>
      <c r="DE904" s="2" t="n">
        <v>0</v>
      </c>
      <c r="DF904" s="2" t="n">
        <v>0</v>
      </c>
      <c r="DG904" s="2" t="n">
        <v>9.99</v>
      </c>
      <c r="DH904" s="2" t="n">
        <v>11.24</v>
      </c>
      <c r="DI904" s="2" t="n">
        <v>0</v>
      </c>
      <c r="DJ904" s="2" t="n">
        <v>27.48</v>
      </c>
      <c r="DK904" s="2" t="n">
        <v>27.48</v>
      </c>
      <c r="DL904" s="2" t="n">
        <v>0</v>
      </c>
      <c r="DM904" s="2" t="n">
        <v>27.48</v>
      </c>
      <c r="DN904" s="2" t="n">
        <v>27.48</v>
      </c>
      <c r="DO904" s="2" t="n">
        <v>0</v>
      </c>
      <c r="DP904" s="2" t="n">
        <v>27.48</v>
      </c>
      <c r="DQ904" s="2" t="n">
        <v>27.48</v>
      </c>
      <c r="DR904" s="2" t="n">
        <v>0</v>
      </c>
      <c r="DS904" s="2" t="n">
        <v>27.48</v>
      </c>
      <c r="DT904" s="2" t="n">
        <v>27.48</v>
      </c>
      <c r="DU904" s="2" t="n">
        <v>0</v>
      </c>
      <c r="DV904" s="2" t="n">
        <v>27.48</v>
      </c>
      <c r="DW904" s="2" t="n">
        <v>45.61</v>
      </c>
      <c r="DX904" s="2" t="n">
        <v>0</v>
      </c>
      <c r="DY904" s="2" t="n">
        <v>45.61</v>
      </c>
      <c r="DZ904" s="2" t="n">
        <v>63.74</v>
      </c>
      <c r="EA904" s="2" t="n">
        <v>0</v>
      </c>
      <c r="EB904" s="2" t="n">
        <v>62.53</v>
      </c>
      <c r="EC904" s="2" t="n">
        <v>78.23999999999999</v>
      </c>
      <c r="ED904" s="2" t="n">
        <v>0</v>
      </c>
      <c r="EE904" s="2" t="n">
        <v>72.2</v>
      </c>
      <c r="EF904" s="2" t="n">
        <v>87.91</v>
      </c>
      <c r="EG904" s="2" t="n">
        <v>0</v>
      </c>
      <c r="EH904" s="2" t="n">
        <v>90.33</v>
      </c>
      <c r="EI904" s="2" t="n">
        <v>100</v>
      </c>
      <c r="EJ904" s="2" t="n">
        <v>0</v>
      </c>
      <c r="EK904" s="2" t="n">
        <v>100</v>
      </c>
      <c r="EL904" s="2" t="n">
        <v>100</v>
      </c>
      <c r="EM904" s="2" t="n">
        <v>0</v>
      </c>
      <c r="EN904" s="2" t="n">
        <v>100</v>
      </c>
      <c r="EO904" s="2" t="n">
        <v>100</v>
      </c>
      <c r="EP904" s="2" t="n">
        <v>0</v>
      </c>
      <c r="EQ904" s="2" t="n">
        <v>100</v>
      </c>
      <c r="ER904" s="2" t="n">
        <v>100</v>
      </c>
      <c r="ES904" s="2" t="n">
        <v>0</v>
      </c>
    </row>
    <row r="905">
      <c r="A905" s="2" t="n">
        <v>2</v>
      </c>
      <c r="B905" s="2" t="inlineStr">
        <is>
          <t>35.03</t>
        </is>
      </c>
      <c r="C905" s="2" t="inlineStr">
        <is>
          <t>Pintura Texturizada</t>
        </is>
      </c>
      <c r="D905" s="2" t="inlineStr">
        <is>
          <t>17/04/2028</t>
        </is>
      </c>
      <c r="E905" s="2" t="inlineStr">
        <is>
          <t>09/03/2029</t>
        </is>
      </c>
      <c r="F905" s="2" t="n">
        <v>170242.5560705028</v>
      </c>
      <c r="G905" s="2" t="n">
        <v>0</v>
      </c>
      <c r="H905" s="2" t="n">
        <v>170242.5560705028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0</v>
      </c>
      <c r="W905" s="2" t="n">
        <v>0</v>
      </c>
      <c r="X905" s="2" t="n">
        <v>0</v>
      </c>
      <c r="Y905" s="2" t="n">
        <v>0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n">
        <v>0</v>
      </c>
      <c r="AK905" s="2" t="n">
        <v>0</v>
      </c>
      <c r="AL905" s="2" t="n">
        <v>0</v>
      </c>
      <c r="AM905" s="2" t="n">
        <v>0</v>
      </c>
      <c r="AN905" s="2" t="n">
        <v>0</v>
      </c>
      <c r="AO905" s="2" t="n">
        <v>0</v>
      </c>
      <c r="AP905" s="2" t="n">
        <v>0</v>
      </c>
      <c r="AQ905" s="2" t="n">
        <v>0</v>
      </c>
      <c r="AR905" s="2" t="n">
        <v>0</v>
      </c>
      <c r="AS905" s="2" t="n">
        <v>0</v>
      </c>
      <c r="AT905" s="2" t="n">
        <v>0</v>
      </c>
      <c r="AU905" s="2" t="n">
        <v>0</v>
      </c>
      <c r="AV905" s="2" t="n">
        <v>0</v>
      </c>
      <c r="AW905" s="2" t="n">
        <v>0</v>
      </c>
      <c r="AX905" s="2" t="n">
        <v>0</v>
      </c>
      <c r="AY905" s="2" t="n">
        <v>0</v>
      </c>
      <c r="AZ905" s="2" t="n">
        <v>0</v>
      </c>
      <c r="BA905" s="2" t="n">
        <v>0</v>
      </c>
      <c r="BB905" s="2" t="n">
        <v>0</v>
      </c>
      <c r="BC905" s="2" t="n">
        <v>0</v>
      </c>
      <c r="BD905" s="2" t="n">
        <v>0</v>
      </c>
      <c r="BE905" s="2" t="n">
        <v>0</v>
      </c>
      <c r="BF905" s="2" t="n">
        <v>0</v>
      </c>
      <c r="BG905" s="2" t="n">
        <v>0</v>
      </c>
      <c r="BH905" s="2" t="n">
        <v>0</v>
      </c>
      <c r="BI905" s="2" t="n">
        <v>0</v>
      </c>
      <c r="BJ905" s="2" t="n">
        <v>0</v>
      </c>
      <c r="BK905" s="2" t="n">
        <v>0</v>
      </c>
      <c r="BL905" s="2" t="n">
        <v>0</v>
      </c>
      <c r="BM905" s="2" t="n">
        <v>0</v>
      </c>
      <c r="BN905" s="2" t="n">
        <v>0</v>
      </c>
      <c r="BO905" s="2" t="n">
        <v>0</v>
      </c>
      <c r="BP905" s="2" t="n">
        <v>0</v>
      </c>
      <c r="BQ905" s="2" t="n">
        <v>0</v>
      </c>
      <c r="BR905" s="2" t="n">
        <v>0</v>
      </c>
      <c r="BS905" s="2" t="n">
        <v>0</v>
      </c>
      <c r="BT905" s="2" t="n">
        <v>0</v>
      </c>
      <c r="BU905" s="2" t="n">
        <v>0</v>
      </c>
      <c r="BV905" s="2" t="n">
        <v>0</v>
      </c>
      <c r="BW905" s="2" t="n">
        <v>0</v>
      </c>
      <c r="BX905" s="2" t="n">
        <v>0</v>
      </c>
      <c r="BY905" s="2" t="n">
        <v>0</v>
      </c>
      <c r="BZ905" s="2" t="n">
        <v>0</v>
      </c>
      <c r="CA905" s="2" t="n">
        <v>0</v>
      </c>
      <c r="CB905" s="2" t="n">
        <v>0</v>
      </c>
      <c r="CC905" s="2" t="n">
        <v>0</v>
      </c>
      <c r="CD905" s="2" t="n">
        <v>0</v>
      </c>
      <c r="CE905" s="2" t="n">
        <v>0</v>
      </c>
      <c r="CF905" s="2" t="n">
        <v>0</v>
      </c>
      <c r="CG905" s="2" t="n">
        <v>0</v>
      </c>
      <c r="CH905" s="2" t="n">
        <v>0</v>
      </c>
      <c r="CI905" s="2" t="n">
        <v>0</v>
      </c>
      <c r="CJ905" s="2" t="n">
        <v>0</v>
      </c>
      <c r="CK905" s="2" t="n">
        <v>0</v>
      </c>
      <c r="CL905" s="2" t="n">
        <v>0</v>
      </c>
      <c r="CM905" s="2" t="n">
        <v>0</v>
      </c>
      <c r="CN905" s="2" t="n">
        <v>0</v>
      </c>
      <c r="CO905" s="2" t="n">
        <v>0</v>
      </c>
      <c r="CP905" s="2" t="n">
        <v>0</v>
      </c>
      <c r="CQ905" s="2" t="n">
        <v>0</v>
      </c>
      <c r="CR905" s="2" t="n">
        <v>0</v>
      </c>
      <c r="CS905" s="2" t="n">
        <v>0</v>
      </c>
      <c r="CT905" s="2" t="n">
        <v>0</v>
      </c>
      <c r="CU905" s="2" t="n">
        <v>0</v>
      </c>
      <c r="CV905" s="2" t="n">
        <v>0</v>
      </c>
      <c r="CW905" s="2" t="n">
        <v>0</v>
      </c>
      <c r="CX905" s="2" t="n">
        <v>0</v>
      </c>
      <c r="CY905" s="2" t="n">
        <v>0</v>
      </c>
      <c r="CZ905" s="2" t="n">
        <v>0</v>
      </c>
      <c r="DA905" s="2" t="n">
        <v>0</v>
      </c>
      <c r="DB905" s="2" t="n">
        <v>0</v>
      </c>
      <c r="DC905" s="2" t="n">
        <v>0</v>
      </c>
      <c r="DD905" s="2" t="n">
        <v>0</v>
      </c>
      <c r="DE905" s="2" t="n">
        <v>0</v>
      </c>
      <c r="DF905" s="2" t="n">
        <v>0</v>
      </c>
      <c r="DG905" s="2" t="n">
        <v>3.33</v>
      </c>
      <c r="DH905" s="2" t="n">
        <v>3.75</v>
      </c>
      <c r="DI905" s="2" t="n">
        <v>0</v>
      </c>
      <c r="DJ905" s="2" t="n">
        <v>9.16</v>
      </c>
      <c r="DK905" s="2" t="n">
        <v>9.16</v>
      </c>
      <c r="DL905" s="2" t="n">
        <v>0</v>
      </c>
      <c r="DM905" s="2" t="n">
        <v>18.32</v>
      </c>
      <c r="DN905" s="2" t="n">
        <v>18.32</v>
      </c>
      <c r="DO905" s="2" t="n">
        <v>0</v>
      </c>
      <c r="DP905" s="2" t="n">
        <v>18.32</v>
      </c>
      <c r="DQ905" s="2" t="n">
        <v>18.32</v>
      </c>
      <c r="DR905" s="2" t="n">
        <v>0</v>
      </c>
      <c r="DS905" s="2" t="n">
        <v>18.32</v>
      </c>
      <c r="DT905" s="2" t="n">
        <v>18.32</v>
      </c>
      <c r="DU905" s="2" t="n">
        <v>0</v>
      </c>
      <c r="DV905" s="2" t="n">
        <v>18.32</v>
      </c>
      <c r="DW905" s="2" t="n">
        <v>22.19</v>
      </c>
      <c r="DX905" s="2" t="n">
        <v>0</v>
      </c>
      <c r="DY905" s="2" t="n">
        <v>22.43</v>
      </c>
      <c r="DZ905" s="2" t="n">
        <v>27.26</v>
      </c>
      <c r="EA905" s="2" t="n">
        <v>0</v>
      </c>
      <c r="EB905" s="2" t="n">
        <v>27.02</v>
      </c>
      <c r="EC905" s="2" t="n">
        <v>38.26</v>
      </c>
      <c r="ED905" s="2" t="n">
        <v>0</v>
      </c>
      <c r="EE905" s="2" t="n">
        <v>34.34</v>
      </c>
      <c r="EF905" s="2" t="n">
        <v>43.4</v>
      </c>
      <c r="EG905" s="2" t="n">
        <v>0</v>
      </c>
      <c r="EH905" s="2" t="n">
        <v>45.21</v>
      </c>
      <c r="EI905" s="2" t="n">
        <v>56.39</v>
      </c>
      <c r="EJ905" s="2" t="n">
        <v>0</v>
      </c>
      <c r="EK905" s="2" t="n">
        <v>56.39</v>
      </c>
      <c r="EL905" s="2" t="n">
        <v>62.44</v>
      </c>
      <c r="EM905" s="2" t="n">
        <v>0</v>
      </c>
      <c r="EN905" s="2" t="n">
        <v>63.04</v>
      </c>
      <c r="EO905" s="2" t="n">
        <v>66.67</v>
      </c>
      <c r="EP905" s="2" t="n">
        <v>0</v>
      </c>
      <c r="EQ905" s="2" t="n">
        <v>66.67</v>
      </c>
      <c r="ER905" s="2" t="n">
        <v>66.67</v>
      </c>
      <c r="ES905" s="2" t="n">
        <v>0</v>
      </c>
    </row>
    <row r="906">
      <c r="A906" s="2" t="n">
        <v>3</v>
      </c>
      <c r="B906" s="2" t="inlineStr">
        <is>
          <t>35.03.01</t>
        </is>
      </c>
      <c r="C906" s="2" t="inlineStr">
        <is>
          <t>Textura acrílica rolada fosca na cor Mármore. Ref.: Suvinil.</t>
        </is>
      </c>
      <c r="D906" s="2" t="inlineStr">
        <is>
          <t>17/04/2028</t>
        </is>
      </c>
      <c r="E906" s="2" t="inlineStr">
        <is>
          <t>09/03/2029</t>
        </is>
      </c>
      <c r="F906" s="2" t="n">
        <v>135146.8133705028</v>
      </c>
      <c r="G906" s="2" t="n">
        <v>0</v>
      </c>
      <c r="H906" s="2" t="n">
        <v>135146.8133705028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0</v>
      </c>
      <c r="AM906" s="2" t="n">
        <v>0</v>
      </c>
      <c r="AN906" s="2" t="n">
        <v>0</v>
      </c>
      <c r="AO906" s="2" t="n">
        <v>0</v>
      </c>
      <c r="AP906" s="2" t="n">
        <v>0</v>
      </c>
      <c r="AQ906" s="2" t="n">
        <v>0</v>
      </c>
      <c r="AR906" s="2" t="n">
        <v>0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2" t="n">
        <v>0</v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n">
        <v>0</v>
      </c>
      <c r="BE906" s="2" t="n">
        <v>0</v>
      </c>
      <c r="BF906" s="2" t="n">
        <v>0</v>
      </c>
      <c r="BG906" s="2" t="n">
        <v>0</v>
      </c>
      <c r="BH906" s="2" t="n">
        <v>0</v>
      </c>
      <c r="BI906" s="2" t="n">
        <v>0</v>
      </c>
      <c r="BJ906" s="2" t="n">
        <v>0</v>
      </c>
      <c r="BK906" s="2" t="n">
        <v>0</v>
      </c>
      <c r="BL906" s="2" t="n">
        <v>0</v>
      </c>
      <c r="BM906" s="2" t="n">
        <v>0</v>
      </c>
      <c r="BN906" s="2" t="n">
        <v>0</v>
      </c>
      <c r="BO906" s="2" t="n">
        <v>0</v>
      </c>
      <c r="BP906" s="2" t="n">
        <v>0</v>
      </c>
      <c r="BQ906" s="2" t="n">
        <v>0</v>
      </c>
      <c r="BR906" s="2" t="n">
        <v>0</v>
      </c>
      <c r="BS906" s="2" t="n">
        <v>0</v>
      </c>
      <c r="BT906" s="2" t="n">
        <v>0</v>
      </c>
      <c r="BU906" s="2" t="n">
        <v>0</v>
      </c>
      <c r="BV906" s="2" t="n">
        <v>0</v>
      </c>
      <c r="BW906" s="2" t="n">
        <v>0</v>
      </c>
      <c r="BX906" s="2" t="n">
        <v>0</v>
      </c>
      <c r="BY906" s="2" t="n">
        <v>0</v>
      </c>
      <c r="BZ906" s="2" t="n">
        <v>0</v>
      </c>
      <c r="CA906" s="2" t="n">
        <v>0</v>
      </c>
      <c r="CB906" s="2" t="n">
        <v>0</v>
      </c>
      <c r="CC906" s="2" t="n">
        <v>0</v>
      </c>
      <c r="CD906" s="2" t="n">
        <v>0</v>
      </c>
      <c r="CE906" s="2" t="n">
        <v>0</v>
      </c>
      <c r="CF906" s="2" t="n">
        <v>0</v>
      </c>
      <c r="CG906" s="2" t="n">
        <v>0</v>
      </c>
      <c r="CH906" s="2" t="n">
        <v>0</v>
      </c>
      <c r="CI906" s="2" t="n">
        <v>0</v>
      </c>
      <c r="CJ906" s="2" t="n">
        <v>0</v>
      </c>
      <c r="CK906" s="2" t="n">
        <v>0</v>
      </c>
      <c r="CL906" s="2" t="n">
        <v>0</v>
      </c>
      <c r="CM906" s="2" t="n">
        <v>0</v>
      </c>
      <c r="CN906" s="2" t="n">
        <v>0</v>
      </c>
      <c r="CO906" s="2" t="n">
        <v>0</v>
      </c>
      <c r="CP906" s="2" t="n">
        <v>0</v>
      </c>
      <c r="CQ906" s="2" t="n">
        <v>0</v>
      </c>
      <c r="CR906" s="2" t="n">
        <v>0</v>
      </c>
      <c r="CS906" s="2" t="n">
        <v>0</v>
      </c>
      <c r="CT906" s="2" t="n">
        <v>0</v>
      </c>
      <c r="CU906" s="2" t="n">
        <v>0</v>
      </c>
      <c r="CV906" s="2" t="n">
        <v>0</v>
      </c>
      <c r="CW906" s="2" t="n">
        <v>0</v>
      </c>
      <c r="CX906" s="2" t="n">
        <v>0</v>
      </c>
      <c r="CY906" s="2" t="n">
        <v>0</v>
      </c>
      <c r="CZ906" s="2" t="n">
        <v>0</v>
      </c>
      <c r="DA906" s="2" t="n">
        <v>0</v>
      </c>
      <c r="DB906" s="2" t="n">
        <v>0</v>
      </c>
      <c r="DC906" s="2" t="n">
        <v>0</v>
      </c>
      <c r="DD906" s="2" t="n">
        <v>0</v>
      </c>
      <c r="DE906" s="2" t="n">
        <v>0</v>
      </c>
      <c r="DF906" s="2" t="n">
        <v>0</v>
      </c>
      <c r="DG906" s="2" t="n">
        <v>3.33</v>
      </c>
      <c r="DH906" s="2" t="n">
        <v>3.75</v>
      </c>
      <c r="DI906" s="2" t="n">
        <v>0</v>
      </c>
      <c r="DJ906" s="2" t="n">
        <v>9.16</v>
      </c>
      <c r="DK906" s="2" t="n">
        <v>9.16</v>
      </c>
      <c r="DL906" s="2" t="n">
        <v>0</v>
      </c>
      <c r="DM906" s="2" t="n">
        <v>18.32</v>
      </c>
      <c r="DN906" s="2" t="n">
        <v>18.32</v>
      </c>
      <c r="DO906" s="2" t="n">
        <v>0</v>
      </c>
      <c r="DP906" s="2" t="n">
        <v>18.32</v>
      </c>
      <c r="DQ906" s="2" t="n">
        <v>18.32</v>
      </c>
      <c r="DR906" s="2" t="n">
        <v>0</v>
      </c>
      <c r="DS906" s="2" t="n">
        <v>18.32</v>
      </c>
      <c r="DT906" s="2" t="n">
        <v>18.32</v>
      </c>
      <c r="DU906" s="2" t="n">
        <v>0</v>
      </c>
      <c r="DV906" s="2" t="n">
        <v>18.32</v>
      </c>
      <c r="DW906" s="2" t="n">
        <v>22.19</v>
      </c>
      <c r="DX906" s="2" t="n">
        <v>0</v>
      </c>
      <c r="DY906" s="2" t="n">
        <v>22.43</v>
      </c>
      <c r="DZ906" s="2" t="n">
        <v>27.26</v>
      </c>
      <c r="EA906" s="2" t="n">
        <v>0</v>
      </c>
      <c r="EB906" s="2" t="n">
        <v>27.02</v>
      </c>
      <c r="EC906" s="2" t="n">
        <v>38.26</v>
      </c>
      <c r="ED906" s="2" t="n">
        <v>0</v>
      </c>
      <c r="EE906" s="2" t="n">
        <v>34.34</v>
      </c>
      <c r="EF906" s="2" t="n">
        <v>43.4</v>
      </c>
      <c r="EG906" s="2" t="n">
        <v>0</v>
      </c>
      <c r="EH906" s="2" t="n">
        <v>45.21</v>
      </c>
      <c r="EI906" s="2" t="n">
        <v>56.39</v>
      </c>
      <c r="EJ906" s="2" t="n">
        <v>0</v>
      </c>
      <c r="EK906" s="2" t="n">
        <v>56.39</v>
      </c>
      <c r="EL906" s="2" t="n">
        <v>62.44</v>
      </c>
      <c r="EM906" s="2" t="n">
        <v>0</v>
      </c>
      <c r="EN906" s="2" t="n">
        <v>63.04</v>
      </c>
      <c r="EO906" s="2" t="n">
        <v>66.67</v>
      </c>
      <c r="EP906" s="2" t="n">
        <v>0</v>
      </c>
      <c r="EQ906" s="2" t="n">
        <v>66.67</v>
      </c>
      <c r="ER906" s="2" t="n">
        <v>66.67</v>
      </c>
      <c r="ES906" s="2" t="n">
        <v>0</v>
      </c>
    </row>
    <row r="907">
      <c r="A907" s="2" t="n">
        <v>3</v>
      </c>
      <c r="B907" s="2" t="inlineStr">
        <is>
          <t>35.03.02</t>
        </is>
      </c>
      <c r="C907" s="2" t="inlineStr">
        <is>
          <t>Textura DECORART.IT Efeito Velvet tom Coral Cinza de Grife</t>
        </is>
      </c>
      <c r="D907" s="2" t="inlineStr">
        <is>
          <t>17/04/2028</t>
        </is>
      </c>
      <c r="E907" s="2" t="inlineStr">
        <is>
          <t>09/03/2029</t>
        </is>
      </c>
      <c r="F907" s="2" t="n">
        <v>30991.32420000001</v>
      </c>
      <c r="G907" s="2" t="n">
        <v>0</v>
      </c>
      <c r="H907" s="2" t="n">
        <v>30991.32420000001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n">
        <v>0</v>
      </c>
      <c r="AK907" s="2" t="n">
        <v>0</v>
      </c>
      <c r="AL907" s="2" t="n">
        <v>0</v>
      </c>
      <c r="AM907" s="2" t="n">
        <v>0</v>
      </c>
      <c r="AN907" s="2" t="n">
        <v>0</v>
      </c>
      <c r="AO907" s="2" t="n">
        <v>0</v>
      </c>
      <c r="AP907" s="2" t="n">
        <v>0</v>
      </c>
      <c r="AQ907" s="2" t="n">
        <v>0</v>
      </c>
      <c r="AR907" s="2" t="n">
        <v>0</v>
      </c>
      <c r="AS907" s="2" t="n">
        <v>0</v>
      </c>
      <c r="AT907" s="2" t="n">
        <v>0</v>
      </c>
      <c r="AU907" s="2" t="n">
        <v>0</v>
      </c>
      <c r="AV907" s="2" t="n">
        <v>0</v>
      </c>
      <c r="AW907" s="2" t="n">
        <v>0</v>
      </c>
      <c r="AX907" s="2" t="n">
        <v>0</v>
      </c>
      <c r="AY907" s="2" t="n">
        <v>0</v>
      </c>
      <c r="AZ907" s="2" t="n">
        <v>0</v>
      </c>
      <c r="BA907" s="2" t="n">
        <v>0</v>
      </c>
      <c r="BB907" s="2" t="n">
        <v>0</v>
      </c>
      <c r="BC907" s="2" t="n">
        <v>0</v>
      </c>
      <c r="BD907" s="2" t="n">
        <v>0</v>
      </c>
      <c r="BE907" s="2" t="n">
        <v>0</v>
      </c>
      <c r="BF907" s="2" t="n">
        <v>0</v>
      </c>
      <c r="BG907" s="2" t="n">
        <v>0</v>
      </c>
      <c r="BH907" s="2" t="n">
        <v>0</v>
      </c>
      <c r="BI907" s="2" t="n">
        <v>0</v>
      </c>
      <c r="BJ907" s="2" t="n">
        <v>0</v>
      </c>
      <c r="BK907" s="2" t="n">
        <v>0</v>
      </c>
      <c r="BL907" s="2" t="n">
        <v>0</v>
      </c>
      <c r="BM907" s="2" t="n">
        <v>0</v>
      </c>
      <c r="BN907" s="2" t="n">
        <v>0</v>
      </c>
      <c r="BO907" s="2" t="n">
        <v>0</v>
      </c>
      <c r="BP907" s="2" t="n">
        <v>0</v>
      </c>
      <c r="BQ907" s="2" t="n">
        <v>0</v>
      </c>
      <c r="BR907" s="2" t="n">
        <v>0</v>
      </c>
      <c r="BS907" s="2" t="n">
        <v>0</v>
      </c>
      <c r="BT907" s="2" t="n">
        <v>0</v>
      </c>
      <c r="BU907" s="2" t="n">
        <v>0</v>
      </c>
      <c r="BV907" s="2" t="n">
        <v>0</v>
      </c>
      <c r="BW907" s="2" t="n">
        <v>0</v>
      </c>
      <c r="BX907" s="2" t="n">
        <v>0</v>
      </c>
      <c r="BY907" s="2" t="n">
        <v>0</v>
      </c>
      <c r="BZ907" s="2" t="n">
        <v>0</v>
      </c>
      <c r="CA907" s="2" t="n">
        <v>0</v>
      </c>
      <c r="CB907" s="2" t="n">
        <v>0</v>
      </c>
      <c r="CC907" s="2" t="n">
        <v>0</v>
      </c>
      <c r="CD907" s="2" t="n">
        <v>0</v>
      </c>
      <c r="CE907" s="2" t="n">
        <v>0</v>
      </c>
      <c r="CF907" s="2" t="n">
        <v>0</v>
      </c>
      <c r="CG907" s="2" t="n">
        <v>0</v>
      </c>
      <c r="CH907" s="2" t="n">
        <v>0</v>
      </c>
      <c r="CI907" s="2" t="n">
        <v>0</v>
      </c>
      <c r="CJ907" s="2" t="n">
        <v>0</v>
      </c>
      <c r="CK907" s="2" t="n">
        <v>0</v>
      </c>
      <c r="CL907" s="2" t="n">
        <v>0</v>
      </c>
      <c r="CM907" s="2" t="n">
        <v>0</v>
      </c>
      <c r="CN907" s="2" t="n">
        <v>0</v>
      </c>
      <c r="CO907" s="2" t="n">
        <v>0</v>
      </c>
      <c r="CP907" s="2" t="n">
        <v>0</v>
      </c>
      <c r="CQ907" s="2" t="n">
        <v>0</v>
      </c>
      <c r="CR907" s="2" t="n">
        <v>0</v>
      </c>
      <c r="CS907" s="2" t="n">
        <v>0</v>
      </c>
      <c r="CT907" s="2" t="n">
        <v>0</v>
      </c>
      <c r="CU907" s="2" t="n">
        <v>0</v>
      </c>
      <c r="CV907" s="2" t="n">
        <v>0</v>
      </c>
      <c r="CW907" s="2" t="n">
        <v>0</v>
      </c>
      <c r="CX907" s="2" t="n">
        <v>0</v>
      </c>
      <c r="CY907" s="2" t="n">
        <v>0</v>
      </c>
      <c r="CZ907" s="2" t="n">
        <v>0</v>
      </c>
      <c r="DA907" s="2" t="n">
        <v>0</v>
      </c>
      <c r="DB907" s="2" t="n">
        <v>0</v>
      </c>
      <c r="DC907" s="2" t="n">
        <v>0</v>
      </c>
      <c r="DD907" s="2" t="n">
        <v>0</v>
      </c>
      <c r="DE907" s="2" t="n">
        <v>0</v>
      </c>
      <c r="DF907" s="2" t="n">
        <v>0</v>
      </c>
      <c r="DG907" s="2" t="n">
        <v>3.33</v>
      </c>
      <c r="DH907" s="2" t="n">
        <v>3.75</v>
      </c>
      <c r="DI907" s="2" t="n">
        <v>0</v>
      </c>
      <c r="DJ907" s="2" t="n">
        <v>9.16</v>
      </c>
      <c r="DK907" s="2" t="n">
        <v>9.16</v>
      </c>
      <c r="DL907" s="2" t="n">
        <v>0</v>
      </c>
      <c r="DM907" s="2" t="n">
        <v>18.32</v>
      </c>
      <c r="DN907" s="2" t="n">
        <v>18.32</v>
      </c>
      <c r="DO907" s="2" t="n">
        <v>0</v>
      </c>
      <c r="DP907" s="2" t="n">
        <v>18.32</v>
      </c>
      <c r="DQ907" s="2" t="n">
        <v>18.32</v>
      </c>
      <c r="DR907" s="2" t="n">
        <v>0</v>
      </c>
      <c r="DS907" s="2" t="n">
        <v>18.32</v>
      </c>
      <c r="DT907" s="2" t="n">
        <v>18.32</v>
      </c>
      <c r="DU907" s="2" t="n">
        <v>0</v>
      </c>
      <c r="DV907" s="2" t="n">
        <v>18.32</v>
      </c>
      <c r="DW907" s="2" t="n">
        <v>22.19</v>
      </c>
      <c r="DX907" s="2" t="n">
        <v>0</v>
      </c>
      <c r="DY907" s="2" t="n">
        <v>22.43</v>
      </c>
      <c r="DZ907" s="2" t="n">
        <v>27.26</v>
      </c>
      <c r="EA907" s="2" t="n">
        <v>0</v>
      </c>
      <c r="EB907" s="2" t="n">
        <v>27.02</v>
      </c>
      <c r="EC907" s="2" t="n">
        <v>38.26</v>
      </c>
      <c r="ED907" s="2" t="n">
        <v>0</v>
      </c>
      <c r="EE907" s="2" t="n">
        <v>34.34</v>
      </c>
      <c r="EF907" s="2" t="n">
        <v>43.4</v>
      </c>
      <c r="EG907" s="2" t="n">
        <v>0</v>
      </c>
      <c r="EH907" s="2" t="n">
        <v>45.21</v>
      </c>
      <c r="EI907" s="2" t="n">
        <v>56.39</v>
      </c>
      <c r="EJ907" s="2" t="n">
        <v>0</v>
      </c>
      <c r="EK907" s="2" t="n">
        <v>56.39</v>
      </c>
      <c r="EL907" s="2" t="n">
        <v>62.44</v>
      </c>
      <c r="EM907" s="2" t="n">
        <v>0</v>
      </c>
      <c r="EN907" s="2" t="n">
        <v>63.04</v>
      </c>
      <c r="EO907" s="2" t="n">
        <v>66.67</v>
      </c>
      <c r="EP907" s="2" t="n">
        <v>0</v>
      </c>
      <c r="EQ907" s="2" t="n">
        <v>66.67</v>
      </c>
      <c r="ER907" s="2" t="n">
        <v>66.67</v>
      </c>
      <c r="ES907" s="2" t="n">
        <v>0</v>
      </c>
    </row>
    <row r="908">
      <c r="A908" s="2" t="n">
        <v>3</v>
      </c>
      <c r="B908" s="2" t="inlineStr">
        <is>
          <t>35.03.03</t>
        </is>
      </c>
      <c r="C908" s="2" t="inlineStr">
        <is>
          <t>Textura Dacapo Rev. Cristal Areia</t>
        </is>
      </c>
      <c r="D908" s="2" t="inlineStr">
        <is>
          <t>17/04/2028</t>
        </is>
      </c>
      <c r="E908" s="2" t="inlineStr">
        <is>
          <t>09/03/2029</t>
        </is>
      </c>
      <c r="F908" s="2" t="n">
        <v>4104.4185</v>
      </c>
      <c r="G908" s="2" t="n">
        <v>0</v>
      </c>
      <c r="H908" s="2" t="n">
        <v>4104.4185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0</v>
      </c>
      <c r="AM908" s="2" t="n">
        <v>0</v>
      </c>
      <c r="AN908" s="2" t="n">
        <v>0</v>
      </c>
      <c r="AO908" s="2" t="n">
        <v>0</v>
      </c>
      <c r="AP908" s="2" t="n">
        <v>0</v>
      </c>
      <c r="AQ908" s="2" t="n">
        <v>0</v>
      </c>
      <c r="AR908" s="2" t="n">
        <v>0</v>
      </c>
      <c r="AS908" s="2" t="n">
        <v>0</v>
      </c>
      <c r="AT908" s="2" t="n">
        <v>0</v>
      </c>
      <c r="AU908" s="2" t="n">
        <v>0</v>
      </c>
      <c r="AV908" s="2" t="n">
        <v>0</v>
      </c>
      <c r="AW908" s="2" t="n">
        <v>0</v>
      </c>
      <c r="AX908" s="2" t="n">
        <v>0</v>
      </c>
      <c r="AY908" s="2" t="n">
        <v>0</v>
      </c>
      <c r="AZ908" s="2" t="n">
        <v>0</v>
      </c>
      <c r="BA908" s="2" t="n">
        <v>0</v>
      </c>
      <c r="BB908" s="2" t="n">
        <v>0</v>
      </c>
      <c r="BC908" s="2" t="n">
        <v>0</v>
      </c>
      <c r="BD908" s="2" t="n">
        <v>0</v>
      </c>
      <c r="BE908" s="2" t="n">
        <v>0</v>
      </c>
      <c r="BF908" s="2" t="n">
        <v>0</v>
      </c>
      <c r="BG908" s="2" t="n">
        <v>0</v>
      </c>
      <c r="BH908" s="2" t="n">
        <v>0</v>
      </c>
      <c r="BI908" s="2" t="n">
        <v>0</v>
      </c>
      <c r="BJ908" s="2" t="n">
        <v>0</v>
      </c>
      <c r="BK908" s="2" t="n">
        <v>0</v>
      </c>
      <c r="BL908" s="2" t="n">
        <v>0</v>
      </c>
      <c r="BM908" s="2" t="n">
        <v>0</v>
      </c>
      <c r="BN908" s="2" t="n">
        <v>0</v>
      </c>
      <c r="BO908" s="2" t="n">
        <v>0</v>
      </c>
      <c r="BP908" s="2" t="n">
        <v>0</v>
      </c>
      <c r="BQ908" s="2" t="n">
        <v>0</v>
      </c>
      <c r="BR908" s="2" t="n">
        <v>0</v>
      </c>
      <c r="BS908" s="2" t="n">
        <v>0</v>
      </c>
      <c r="BT908" s="2" t="n">
        <v>0</v>
      </c>
      <c r="BU908" s="2" t="n">
        <v>0</v>
      </c>
      <c r="BV908" s="2" t="n">
        <v>0</v>
      </c>
      <c r="BW908" s="2" t="n">
        <v>0</v>
      </c>
      <c r="BX908" s="2" t="n">
        <v>0</v>
      </c>
      <c r="BY908" s="2" t="n">
        <v>0</v>
      </c>
      <c r="BZ908" s="2" t="n">
        <v>0</v>
      </c>
      <c r="CA908" s="2" t="n">
        <v>0</v>
      </c>
      <c r="CB908" s="2" t="n">
        <v>0</v>
      </c>
      <c r="CC908" s="2" t="n">
        <v>0</v>
      </c>
      <c r="CD908" s="2" t="n">
        <v>0</v>
      </c>
      <c r="CE908" s="2" t="n">
        <v>0</v>
      </c>
      <c r="CF908" s="2" t="n">
        <v>0</v>
      </c>
      <c r="CG908" s="2" t="n">
        <v>0</v>
      </c>
      <c r="CH908" s="2" t="n">
        <v>0</v>
      </c>
      <c r="CI908" s="2" t="n">
        <v>0</v>
      </c>
      <c r="CJ908" s="2" t="n">
        <v>0</v>
      </c>
      <c r="CK908" s="2" t="n">
        <v>0</v>
      </c>
      <c r="CL908" s="2" t="n">
        <v>0</v>
      </c>
      <c r="CM908" s="2" t="n">
        <v>0</v>
      </c>
      <c r="CN908" s="2" t="n">
        <v>0</v>
      </c>
      <c r="CO908" s="2" t="n">
        <v>0</v>
      </c>
      <c r="CP908" s="2" t="n">
        <v>0</v>
      </c>
      <c r="CQ908" s="2" t="n">
        <v>0</v>
      </c>
      <c r="CR908" s="2" t="n">
        <v>0</v>
      </c>
      <c r="CS908" s="2" t="n">
        <v>0</v>
      </c>
      <c r="CT908" s="2" t="n">
        <v>0</v>
      </c>
      <c r="CU908" s="2" t="n">
        <v>0</v>
      </c>
      <c r="CV908" s="2" t="n">
        <v>0</v>
      </c>
      <c r="CW908" s="2" t="n">
        <v>0</v>
      </c>
      <c r="CX908" s="2" t="n">
        <v>0</v>
      </c>
      <c r="CY908" s="2" t="n">
        <v>0</v>
      </c>
      <c r="CZ908" s="2" t="n">
        <v>0</v>
      </c>
      <c r="DA908" s="2" t="n">
        <v>0</v>
      </c>
      <c r="DB908" s="2" t="n">
        <v>0</v>
      </c>
      <c r="DC908" s="2" t="n">
        <v>0</v>
      </c>
      <c r="DD908" s="2" t="n">
        <v>0</v>
      </c>
      <c r="DE908" s="2" t="n">
        <v>0</v>
      </c>
      <c r="DF908" s="2" t="n">
        <v>0</v>
      </c>
      <c r="DG908" s="2" t="n">
        <v>3.33</v>
      </c>
      <c r="DH908" s="2" t="n">
        <v>3.75</v>
      </c>
      <c r="DI908" s="2" t="n">
        <v>0</v>
      </c>
      <c r="DJ908" s="2" t="n">
        <v>9.16</v>
      </c>
      <c r="DK908" s="2" t="n">
        <v>9.16</v>
      </c>
      <c r="DL908" s="2" t="n">
        <v>0</v>
      </c>
      <c r="DM908" s="2" t="n">
        <v>18.32</v>
      </c>
      <c r="DN908" s="2" t="n">
        <v>18.32</v>
      </c>
      <c r="DO908" s="2" t="n">
        <v>0</v>
      </c>
      <c r="DP908" s="2" t="n">
        <v>18.32</v>
      </c>
      <c r="DQ908" s="2" t="n">
        <v>18.32</v>
      </c>
      <c r="DR908" s="2" t="n">
        <v>0</v>
      </c>
      <c r="DS908" s="2" t="n">
        <v>18.32</v>
      </c>
      <c r="DT908" s="2" t="n">
        <v>18.32</v>
      </c>
      <c r="DU908" s="2" t="n">
        <v>0</v>
      </c>
      <c r="DV908" s="2" t="n">
        <v>18.32</v>
      </c>
      <c r="DW908" s="2" t="n">
        <v>22.19</v>
      </c>
      <c r="DX908" s="2" t="n">
        <v>0</v>
      </c>
      <c r="DY908" s="2" t="n">
        <v>22.43</v>
      </c>
      <c r="DZ908" s="2" t="n">
        <v>27.26</v>
      </c>
      <c r="EA908" s="2" t="n">
        <v>0</v>
      </c>
      <c r="EB908" s="2" t="n">
        <v>27.02</v>
      </c>
      <c r="EC908" s="2" t="n">
        <v>38.26</v>
      </c>
      <c r="ED908" s="2" t="n">
        <v>0</v>
      </c>
      <c r="EE908" s="2" t="n">
        <v>34.34</v>
      </c>
      <c r="EF908" s="2" t="n">
        <v>43.4</v>
      </c>
      <c r="EG908" s="2" t="n">
        <v>0</v>
      </c>
      <c r="EH908" s="2" t="n">
        <v>45.21</v>
      </c>
      <c r="EI908" s="2" t="n">
        <v>56.39</v>
      </c>
      <c r="EJ908" s="2" t="n">
        <v>0</v>
      </c>
      <c r="EK908" s="2" t="n">
        <v>56.39</v>
      </c>
      <c r="EL908" s="2" t="n">
        <v>62.44</v>
      </c>
      <c r="EM908" s="2" t="n">
        <v>0</v>
      </c>
      <c r="EN908" s="2" t="n">
        <v>63.04</v>
      </c>
      <c r="EO908" s="2" t="n">
        <v>66.67</v>
      </c>
      <c r="EP908" s="2" t="n">
        <v>0</v>
      </c>
      <c r="EQ908" s="2" t="n">
        <v>66.67</v>
      </c>
      <c r="ER908" s="2" t="n">
        <v>66.67</v>
      </c>
      <c r="ES908" s="2" t="n">
        <v>0</v>
      </c>
    </row>
    <row r="909">
      <c r="A909" s="2" t="n">
        <v>2</v>
      </c>
      <c r="B909" s="2" t="inlineStr">
        <is>
          <t>35.04</t>
        </is>
      </c>
      <c r="C909" s="2" t="inlineStr">
        <is>
          <t>Pintura de pisos</t>
        </is>
      </c>
      <c r="D909" s="2" t="inlineStr">
        <is>
          <t>19/05/2028</t>
        </is>
      </c>
      <c r="E909" s="2" t="inlineStr">
        <is>
          <t>23/02/2029</t>
        </is>
      </c>
      <c r="F909" s="2" t="n">
        <v>121225.1724712322</v>
      </c>
      <c r="G909" s="2" t="n">
        <v>0</v>
      </c>
      <c r="H909" s="2" t="n">
        <v>121225.1724712322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n">
        <v>0</v>
      </c>
      <c r="AK909" s="2" t="n">
        <v>0</v>
      </c>
      <c r="AL909" s="2" t="n">
        <v>0</v>
      </c>
      <c r="AM909" s="2" t="n">
        <v>0</v>
      </c>
      <c r="AN909" s="2" t="n">
        <v>0</v>
      </c>
      <c r="AO909" s="2" t="n">
        <v>0</v>
      </c>
      <c r="AP909" s="2" t="n">
        <v>0</v>
      </c>
      <c r="AQ909" s="2" t="n">
        <v>0</v>
      </c>
      <c r="AR909" s="2" t="n">
        <v>0</v>
      </c>
      <c r="AS909" s="2" t="n">
        <v>0</v>
      </c>
      <c r="AT909" s="2" t="n">
        <v>0</v>
      </c>
      <c r="AU909" s="2" t="n">
        <v>0</v>
      </c>
      <c r="AV909" s="2" t="n">
        <v>0</v>
      </c>
      <c r="AW909" s="2" t="n">
        <v>0</v>
      </c>
      <c r="AX909" s="2" t="n">
        <v>0</v>
      </c>
      <c r="AY909" s="2" t="n">
        <v>0</v>
      </c>
      <c r="AZ909" s="2" t="n">
        <v>0</v>
      </c>
      <c r="BA909" s="2" t="n">
        <v>0</v>
      </c>
      <c r="BB909" s="2" t="n">
        <v>0</v>
      </c>
      <c r="BC909" s="2" t="n">
        <v>0</v>
      </c>
      <c r="BD909" s="2" t="n">
        <v>0</v>
      </c>
      <c r="BE909" s="2" t="n">
        <v>0</v>
      </c>
      <c r="BF909" s="2" t="n">
        <v>0</v>
      </c>
      <c r="BG909" s="2" t="n">
        <v>0</v>
      </c>
      <c r="BH909" s="2" t="n">
        <v>0</v>
      </c>
      <c r="BI909" s="2" t="n">
        <v>0</v>
      </c>
      <c r="BJ909" s="2" t="n">
        <v>0</v>
      </c>
      <c r="BK909" s="2" t="n">
        <v>0</v>
      </c>
      <c r="BL909" s="2" t="n">
        <v>0</v>
      </c>
      <c r="BM909" s="2" t="n">
        <v>0</v>
      </c>
      <c r="BN909" s="2" t="n">
        <v>0</v>
      </c>
      <c r="BO909" s="2" t="n">
        <v>0</v>
      </c>
      <c r="BP909" s="2" t="n">
        <v>0</v>
      </c>
      <c r="BQ909" s="2" t="n">
        <v>0</v>
      </c>
      <c r="BR909" s="2" t="n">
        <v>0</v>
      </c>
      <c r="BS909" s="2" t="n">
        <v>0</v>
      </c>
      <c r="BT909" s="2" t="n">
        <v>0</v>
      </c>
      <c r="BU909" s="2" t="n">
        <v>0</v>
      </c>
      <c r="BV909" s="2" t="n">
        <v>0</v>
      </c>
      <c r="BW909" s="2" t="n">
        <v>0</v>
      </c>
      <c r="BX909" s="2" t="n">
        <v>0</v>
      </c>
      <c r="BY909" s="2" t="n">
        <v>0</v>
      </c>
      <c r="BZ909" s="2" t="n">
        <v>0</v>
      </c>
      <c r="CA909" s="2" t="n">
        <v>0</v>
      </c>
      <c r="CB909" s="2" t="n">
        <v>0</v>
      </c>
      <c r="CC909" s="2" t="n">
        <v>0</v>
      </c>
      <c r="CD909" s="2" t="n">
        <v>0</v>
      </c>
      <c r="CE909" s="2" t="n">
        <v>0</v>
      </c>
      <c r="CF909" s="2" t="n">
        <v>0</v>
      </c>
      <c r="CG909" s="2" t="n">
        <v>0</v>
      </c>
      <c r="CH909" s="2" t="n">
        <v>0</v>
      </c>
      <c r="CI909" s="2" t="n">
        <v>0</v>
      </c>
      <c r="CJ909" s="2" t="n">
        <v>0</v>
      </c>
      <c r="CK909" s="2" t="n">
        <v>0</v>
      </c>
      <c r="CL909" s="2" t="n">
        <v>0</v>
      </c>
      <c r="CM909" s="2" t="n">
        <v>0</v>
      </c>
      <c r="CN909" s="2" t="n">
        <v>0</v>
      </c>
      <c r="CO909" s="2" t="n">
        <v>0</v>
      </c>
      <c r="CP909" s="2" t="n">
        <v>0</v>
      </c>
      <c r="CQ909" s="2" t="n">
        <v>0</v>
      </c>
      <c r="CR909" s="2" t="n">
        <v>0</v>
      </c>
      <c r="CS909" s="2" t="n">
        <v>0</v>
      </c>
      <c r="CT909" s="2" t="n">
        <v>0</v>
      </c>
      <c r="CU909" s="2" t="n">
        <v>0</v>
      </c>
      <c r="CV909" s="2" t="n">
        <v>0</v>
      </c>
      <c r="CW909" s="2" t="n">
        <v>0</v>
      </c>
      <c r="CX909" s="2" t="n">
        <v>0</v>
      </c>
      <c r="CY909" s="2" t="n">
        <v>0</v>
      </c>
      <c r="CZ909" s="2" t="n">
        <v>0</v>
      </c>
      <c r="DA909" s="2" t="n">
        <v>0</v>
      </c>
      <c r="DB909" s="2" t="n">
        <v>0</v>
      </c>
      <c r="DC909" s="2" t="n">
        <v>0</v>
      </c>
      <c r="DD909" s="2" t="n">
        <v>0</v>
      </c>
      <c r="DE909" s="2" t="n">
        <v>0</v>
      </c>
      <c r="DF909" s="2" t="n">
        <v>0</v>
      </c>
      <c r="DG909" s="2" t="n">
        <v>0</v>
      </c>
      <c r="DH909" s="2" t="n">
        <v>0</v>
      </c>
      <c r="DI909" s="2" t="n">
        <v>0</v>
      </c>
      <c r="DJ909" s="2" t="n">
        <v>14.66</v>
      </c>
      <c r="DK909" s="2" t="n">
        <v>16.49</v>
      </c>
      <c r="DL909" s="2" t="n">
        <v>0</v>
      </c>
      <c r="DM909" s="2" t="n">
        <v>27.48</v>
      </c>
      <c r="DN909" s="2" t="n">
        <v>27.48</v>
      </c>
      <c r="DO909" s="2" t="n">
        <v>0</v>
      </c>
      <c r="DP909" s="2" t="n">
        <v>27.48</v>
      </c>
      <c r="DQ909" s="2" t="n">
        <v>27.48</v>
      </c>
      <c r="DR909" s="2" t="n">
        <v>0</v>
      </c>
      <c r="DS909" s="2" t="n">
        <v>27.48</v>
      </c>
      <c r="DT909" s="2" t="n">
        <v>27.48</v>
      </c>
      <c r="DU909" s="2" t="n">
        <v>0</v>
      </c>
      <c r="DV909" s="2" t="n">
        <v>27.48</v>
      </c>
      <c r="DW909" s="2" t="n">
        <v>27.48</v>
      </c>
      <c r="DX909" s="2" t="n">
        <v>0</v>
      </c>
      <c r="DY909" s="2" t="n">
        <v>27.48</v>
      </c>
      <c r="DZ909" s="2" t="n">
        <v>38.36</v>
      </c>
      <c r="EA909" s="2" t="n">
        <v>0</v>
      </c>
      <c r="EB909" s="2" t="n">
        <v>37.45</v>
      </c>
      <c r="EC909" s="2" t="n">
        <v>51.05</v>
      </c>
      <c r="ED909" s="2" t="n">
        <v>0</v>
      </c>
      <c r="EE909" s="2" t="n">
        <v>46.52</v>
      </c>
      <c r="EF909" s="2" t="n">
        <v>64.65000000000001</v>
      </c>
      <c r="EG909" s="2" t="n">
        <v>0</v>
      </c>
      <c r="EH909" s="2" t="n">
        <v>66.45999999999999</v>
      </c>
      <c r="EI909" s="2" t="n">
        <v>84.59</v>
      </c>
      <c r="EJ909" s="2" t="n">
        <v>0</v>
      </c>
      <c r="EK909" s="2" t="n">
        <v>84.59</v>
      </c>
      <c r="EL909" s="2" t="n">
        <v>100</v>
      </c>
      <c r="EM909" s="2" t="n">
        <v>0</v>
      </c>
      <c r="EN909" s="2" t="n">
        <v>100</v>
      </c>
      <c r="EO909" s="2" t="n">
        <v>100</v>
      </c>
      <c r="EP909" s="2" t="n">
        <v>0</v>
      </c>
      <c r="EQ909" s="2" t="n">
        <v>100</v>
      </c>
      <c r="ER909" s="2" t="n">
        <v>100</v>
      </c>
      <c r="ES909" s="2" t="n">
        <v>0</v>
      </c>
    </row>
    <row r="910">
      <c r="A910" s="2" t="n">
        <v>3</v>
      </c>
      <c r="B910" s="2" t="inlineStr">
        <is>
          <t>35.04.01</t>
        </is>
      </c>
      <c r="C910" s="2" t="inlineStr">
        <is>
          <t>Pintura de demarcação de vagas com borracha clorada</t>
        </is>
      </c>
      <c r="D910" s="2" t="inlineStr">
        <is>
          <t>19/05/2028</t>
        </is>
      </c>
      <c r="E910" s="2" t="inlineStr">
        <is>
          <t>23/02/2029</t>
        </is>
      </c>
      <c r="F910" s="2" t="n">
        <v>83118.75</v>
      </c>
      <c r="G910" s="2" t="n">
        <v>0</v>
      </c>
      <c r="H910" s="2" t="n">
        <v>83118.75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0</v>
      </c>
      <c r="AM910" s="2" t="n">
        <v>0</v>
      </c>
      <c r="AN910" s="2" t="n">
        <v>0</v>
      </c>
      <c r="AO910" s="2" t="n">
        <v>0</v>
      </c>
      <c r="AP910" s="2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n">
        <v>0</v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0</v>
      </c>
      <c r="BG910" s="2" t="n">
        <v>0</v>
      </c>
      <c r="BH910" s="2" t="n">
        <v>0</v>
      </c>
      <c r="BI910" s="2" t="n">
        <v>0</v>
      </c>
      <c r="BJ910" s="2" t="n">
        <v>0</v>
      </c>
      <c r="BK910" s="2" t="n">
        <v>0</v>
      </c>
      <c r="BL910" s="2" t="n">
        <v>0</v>
      </c>
      <c r="BM910" s="2" t="n">
        <v>0</v>
      </c>
      <c r="BN910" s="2" t="n">
        <v>0</v>
      </c>
      <c r="BO910" s="2" t="n">
        <v>0</v>
      </c>
      <c r="BP910" s="2" t="n">
        <v>0</v>
      </c>
      <c r="BQ910" s="2" t="n">
        <v>0</v>
      </c>
      <c r="BR910" s="2" t="n">
        <v>0</v>
      </c>
      <c r="BS910" s="2" t="n">
        <v>0</v>
      </c>
      <c r="BT910" s="2" t="n">
        <v>0</v>
      </c>
      <c r="BU910" s="2" t="n">
        <v>0</v>
      </c>
      <c r="BV910" s="2" t="n">
        <v>0</v>
      </c>
      <c r="BW910" s="2" t="n">
        <v>0</v>
      </c>
      <c r="BX910" s="2" t="n">
        <v>0</v>
      </c>
      <c r="BY910" s="2" t="n">
        <v>0</v>
      </c>
      <c r="BZ910" s="2" t="n">
        <v>0</v>
      </c>
      <c r="CA910" s="2" t="n">
        <v>0</v>
      </c>
      <c r="CB910" s="2" t="n">
        <v>0</v>
      </c>
      <c r="CC910" s="2" t="n">
        <v>0</v>
      </c>
      <c r="CD910" s="2" t="n">
        <v>0</v>
      </c>
      <c r="CE910" s="2" t="n">
        <v>0</v>
      </c>
      <c r="CF910" s="2" t="n">
        <v>0</v>
      </c>
      <c r="CG910" s="2" t="n">
        <v>0</v>
      </c>
      <c r="CH910" s="2" t="n">
        <v>0</v>
      </c>
      <c r="CI910" s="2" t="n">
        <v>0</v>
      </c>
      <c r="CJ910" s="2" t="n">
        <v>0</v>
      </c>
      <c r="CK910" s="2" t="n">
        <v>0</v>
      </c>
      <c r="CL910" s="2" t="n">
        <v>0</v>
      </c>
      <c r="CM910" s="2" t="n">
        <v>0</v>
      </c>
      <c r="CN910" s="2" t="n">
        <v>0</v>
      </c>
      <c r="CO910" s="2" t="n">
        <v>0</v>
      </c>
      <c r="CP910" s="2" t="n">
        <v>0</v>
      </c>
      <c r="CQ910" s="2" t="n">
        <v>0</v>
      </c>
      <c r="CR910" s="2" t="n">
        <v>0</v>
      </c>
      <c r="CS910" s="2" t="n">
        <v>0</v>
      </c>
      <c r="CT910" s="2" t="n">
        <v>0</v>
      </c>
      <c r="CU910" s="2" t="n">
        <v>0</v>
      </c>
      <c r="CV910" s="2" t="n">
        <v>0</v>
      </c>
      <c r="CW910" s="2" t="n">
        <v>0</v>
      </c>
      <c r="CX910" s="2" t="n">
        <v>0</v>
      </c>
      <c r="CY910" s="2" t="n">
        <v>0</v>
      </c>
      <c r="CZ910" s="2" t="n">
        <v>0</v>
      </c>
      <c r="DA910" s="2" t="n">
        <v>0</v>
      </c>
      <c r="DB910" s="2" t="n">
        <v>0</v>
      </c>
      <c r="DC910" s="2" t="n">
        <v>0</v>
      </c>
      <c r="DD910" s="2" t="n">
        <v>0</v>
      </c>
      <c r="DE910" s="2" t="n">
        <v>0</v>
      </c>
      <c r="DF910" s="2" t="n">
        <v>0</v>
      </c>
      <c r="DG910" s="2" t="n">
        <v>0</v>
      </c>
      <c r="DH910" s="2" t="n">
        <v>0</v>
      </c>
      <c r="DI910" s="2" t="n">
        <v>0</v>
      </c>
      <c r="DJ910" s="2" t="n">
        <v>14.66</v>
      </c>
      <c r="DK910" s="2" t="n">
        <v>16.49</v>
      </c>
      <c r="DL910" s="2" t="n">
        <v>0</v>
      </c>
      <c r="DM910" s="2" t="n">
        <v>27.48</v>
      </c>
      <c r="DN910" s="2" t="n">
        <v>27.48</v>
      </c>
      <c r="DO910" s="2" t="n">
        <v>0</v>
      </c>
      <c r="DP910" s="2" t="n">
        <v>27.48</v>
      </c>
      <c r="DQ910" s="2" t="n">
        <v>27.48</v>
      </c>
      <c r="DR910" s="2" t="n">
        <v>0</v>
      </c>
      <c r="DS910" s="2" t="n">
        <v>27.48</v>
      </c>
      <c r="DT910" s="2" t="n">
        <v>27.48</v>
      </c>
      <c r="DU910" s="2" t="n">
        <v>0</v>
      </c>
      <c r="DV910" s="2" t="n">
        <v>27.48</v>
      </c>
      <c r="DW910" s="2" t="n">
        <v>27.48</v>
      </c>
      <c r="DX910" s="2" t="n">
        <v>0</v>
      </c>
      <c r="DY910" s="2" t="n">
        <v>27.48</v>
      </c>
      <c r="DZ910" s="2" t="n">
        <v>38.36</v>
      </c>
      <c r="EA910" s="2" t="n">
        <v>0</v>
      </c>
      <c r="EB910" s="2" t="n">
        <v>37.45</v>
      </c>
      <c r="EC910" s="2" t="n">
        <v>51.05</v>
      </c>
      <c r="ED910" s="2" t="n">
        <v>0</v>
      </c>
      <c r="EE910" s="2" t="n">
        <v>46.52</v>
      </c>
      <c r="EF910" s="2" t="n">
        <v>64.65000000000001</v>
      </c>
      <c r="EG910" s="2" t="n">
        <v>0</v>
      </c>
      <c r="EH910" s="2" t="n">
        <v>66.45999999999999</v>
      </c>
      <c r="EI910" s="2" t="n">
        <v>84.59</v>
      </c>
      <c r="EJ910" s="2" t="n">
        <v>0</v>
      </c>
      <c r="EK910" s="2" t="n">
        <v>84.59</v>
      </c>
      <c r="EL910" s="2" t="n">
        <v>100</v>
      </c>
      <c r="EM910" s="2" t="n">
        <v>0</v>
      </c>
      <c r="EN910" s="2" t="n">
        <v>100</v>
      </c>
      <c r="EO910" s="2" t="n">
        <v>100</v>
      </c>
      <c r="EP910" s="2" t="n">
        <v>0</v>
      </c>
      <c r="EQ910" s="2" t="n">
        <v>100</v>
      </c>
      <c r="ER910" s="2" t="n">
        <v>100</v>
      </c>
      <c r="ES910" s="2" t="n">
        <v>0</v>
      </c>
    </row>
    <row r="911">
      <c r="A911" s="2" t="n">
        <v>3</v>
      </c>
      <c r="B911" s="2" t="inlineStr">
        <is>
          <t>35.04.02</t>
        </is>
      </c>
      <c r="C911" s="2" t="inlineStr">
        <is>
          <t>Pintura de pisos com emulsão acrílica Novacor Pisos ou similar  (2 demãos emulsão acrílica)</t>
        </is>
      </c>
      <c r="D911" s="2" t="inlineStr">
        <is>
          <t>19/05/2028</t>
        </is>
      </c>
      <c r="E911" s="2" t="inlineStr">
        <is>
          <t>23/02/2029</t>
        </is>
      </c>
      <c r="F911" s="2" t="n">
        <v>38106.42247123216</v>
      </c>
      <c r="G911" s="2" t="n">
        <v>0</v>
      </c>
      <c r="H911" s="2" t="n">
        <v>38106.42247123216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0</v>
      </c>
      <c r="AM911" s="2" t="n">
        <v>0</v>
      </c>
      <c r="AN911" s="2" t="n">
        <v>0</v>
      </c>
      <c r="AO911" s="2" t="n">
        <v>0</v>
      </c>
      <c r="AP911" s="2" t="n">
        <v>0</v>
      </c>
      <c r="AQ911" s="2" t="n">
        <v>0</v>
      </c>
      <c r="AR911" s="2" t="n">
        <v>0</v>
      </c>
      <c r="AS911" s="2" t="n">
        <v>0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2" t="n">
        <v>0</v>
      </c>
      <c r="AZ911" s="2" t="n">
        <v>0</v>
      </c>
      <c r="BA911" s="2" t="n">
        <v>0</v>
      </c>
      <c r="BB911" s="2" t="n">
        <v>0</v>
      </c>
      <c r="BC911" s="2" t="n">
        <v>0</v>
      </c>
      <c r="BD911" s="2" t="n">
        <v>0</v>
      </c>
      <c r="BE911" s="2" t="n">
        <v>0</v>
      </c>
      <c r="BF911" s="2" t="n">
        <v>0</v>
      </c>
      <c r="BG911" s="2" t="n">
        <v>0</v>
      </c>
      <c r="BH911" s="2" t="n">
        <v>0</v>
      </c>
      <c r="BI911" s="2" t="n">
        <v>0</v>
      </c>
      <c r="BJ911" s="2" t="n">
        <v>0</v>
      </c>
      <c r="BK911" s="2" t="n">
        <v>0</v>
      </c>
      <c r="BL911" s="2" t="n">
        <v>0</v>
      </c>
      <c r="BM911" s="2" t="n">
        <v>0</v>
      </c>
      <c r="BN911" s="2" t="n">
        <v>0</v>
      </c>
      <c r="BO911" s="2" t="n">
        <v>0</v>
      </c>
      <c r="BP911" s="2" t="n">
        <v>0</v>
      </c>
      <c r="BQ911" s="2" t="n">
        <v>0</v>
      </c>
      <c r="BR911" s="2" t="n">
        <v>0</v>
      </c>
      <c r="BS911" s="2" t="n">
        <v>0</v>
      </c>
      <c r="BT911" s="2" t="n">
        <v>0</v>
      </c>
      <c r="BU911" s="2" t="n">
        <v>0</v>
      </c>
      <c r="BV911" s="2" t="n">
        <v>0</v>
      </c>
      <c r="BW911" s="2" t="n">
        <v>0</v>
      </c>
      <c r="BX911" s="2" t="n">
        <v>0</v>
      </c>
      <c r="BY911" s="2" t="n">
        <v>0</v>
      </c>
      <c r="BZ911" s="2" t="n">
        <v>0</v>
      </c>
      <c r="CA911" s="2" t="n">
        <v>0</v>
      </c>
      <c r="CB911" s="2" t="n">
        <v>0</v>
      </c>
      <c r="CC911" s="2" t="n">
        <v>0</v>
      </c>
      <c r="CD911" s="2" t="n">
        <v>0</v>
      </c>
      <c r="CE911" s="2" t="n">
        <v>0</v>
      </c>
      <c r="CF911" s="2" t="n">
        <v>0</v>
      </c>
      <c r="CG911" s="2" t="n">
        <v>0</v>
      </c>
      <c r="CH911" s="2" t="n">
        <v>0</v>
      </c>
      <c r="CI911" s="2" t="n">
        <v>0</v>
      </c>
      <c r="CJ911" s="2" t="n">
        <v>0</v>
      </c>
      <c r="CK911" s="2" t="n">
        <v>0</v>
      </c>
      <c r="CL911" s="2" t="n">
        <v>0</v>
      </c>
      <c r="CM911" s="2" t="n">
        <v>0</v>
      </c>
      <c r="CN911" s="2" t="n">
        <v>0</v>
      </c>
      <c r="CO911" s="2" t="n">
        <v>0</v>
      </c>
      <c r="CP911" s="2" t="n">
        <v>0</v>
      </c>
      <c r="CQ911" s="2" t="n">
        <v>0</v>
      </c>
      <c r="CR911" s="2" t="n">
        <v>0</v>
      </c>
      <c r="CS911" s="2" t="n">
        <v>0</v>
      </c>
      <c r="CT911" s="2" t="n">
        <v>0</v>
      </c>
      <c r="CU911" s="2" t="n">
        <v>0</v>
      </c>
      <c r="CV911" s="2" t="n">
        <v>0</v>
      </c>
      <c r="CW911" s="2" t="n">
        <v>0</v>
      </c>
      <c r="CX911" s="2" t="n">
        <v>0</v>
      </c>
      <c r="CY911" s="2" t="n">
        <v>0</v>
      </c>
      <c r="CZ911" s="2" t="n">
        <v>0</v>
      </c>
      <c r="DA911" s="2" t="n">
        <v>0</v>
      </c>
      <c r="DB911" s="2" t="n">
        <v>0</v>
      </c>
      <c r="DC911" s="2" t="n">
        <v>0</v>
      </c>
      <c r="DD911" s="2" t="n">
        <v>0</v>
      </c>
      <c r="DE911" s="2" t="n">
        <v>0</v>
      </c>
      <c r="DF911" s="2" t="n">
        <v>0</v>
      </c>
      <c r="DG911" s="2" t="n">
        <v>0</v>
      </c>
      <c r="DH911" s="2" t="n">
        <v>0</v>
      </c>
      <c r="DI911" s="2" t="n">
        <v>0</v>
      </c>
      <c r="DJ911" s="2" t="n">
        <v>14.66</v>
      </c>
      <c r="DK911" s="2" t="n">
        <v>16.49</v>
      </c>
      <c r="DL911" s="2" t="n">
        <v>0</v>
      </c>
      <c r="DM911" s="2" t="n">
        <v>27.48</v>
      </c>
      <c r="DN911" s="2" t="n">
        <v>27.48</v>
      </c>
      <c r="DO911" s="2" t="n">
        <v>0</v>
      </c>
      <c r="DP911" s="2" t="n">
        <v>27.48</v>
      </c>
      <c r="DQ911" s="2" t="n">
        <v>27.48</v>
      </c>
      <c r="DR911" s="2" t="n">
        <v>0</v>
      </c>
      <c r="DS911" s="2" t="n">
        <v>27.48</v>
      </c>
      <c r="DT911" s="2" t="n">
        <v>27.48</v>
      </c>
      <c r="DU911" s="2" t="n">
        <v>0</v>
      </c>
      <c r="DV911" s="2" t="n">
        <v>27.48</v>
      </c>
      <c r="DW911" s="2" t="n">
        <v>27.48</v>
      </c>
      <c r="DX911" s="2" t="n">
        <v>0</v>
      </c>
      <c r="DY911" s="2" t="n">
        <v>27.48</v>
      </c>
      <c r="DZ911" s="2" t="n">
        <v>38.36</v>
      </c>
      <c r="EA911" s="2" t="n">
        <v>0</v>
      </c>
      <c r="EB911" s="2" t="n">
        <v>37.45</v>
      </c>
      <c r="EC911" s="2" t="n">
        <v>51.05</v>
      </c>
      <c r="ED911" s="2" t="n">
        <v>0</v>
      </c>
      <c r="EE911" s="2" t="n">
        <v>46.52</v>
      </c>
      <c r="EF911" s="2" t="n">
        <v>64.65000000000001</v>
      </c>
      <c r="EG911" s="2" t="n">
        <v>0</v>
      </c>
      <c r="EH911" s="2" t="n">
        <v>66.45999999999999</v>
      </c>
      <c r="EI911" s="2" t="n">
        <v>84.59</v>
      </c>
      <c r="EJ911" s="2" t="n">
        <v>0</v>
      </c>
      <c r="EK911" s="2" t="n">
        <v>84.59</v>
      </c>
      <c r="EL911" s="2" t="n">
        <v>100</v>
      </c>
      <c r="EM911" s="2" t="n">
        <v>0</v>
      </c>
      <c r="EN911" s="2" t="n">
        <v>100</v>
      </c>
      <c r="EO911" s="2" t="n">
        <v>100</v>
      </c>
      <c r="EP911" s="2" t="n">
        <v>0</v>
      </c>
      <c r="EQ911" s="2" t="n">
        <v>100</v>
      </c>
      <c r="ER911" s="2" t="n">
        <v>100</v>
      </c>
      <c r="ES911" s="2" t="n">
        <v>0</v>
      </c>
    </row>
    <row r="912">
      <c r="A912" s="2" t="n">
        <v>2</v>
      </c>
      <c r="B912" s="2" t="inlineStr">
        <is>
          <t>35.05</t>
        </is>
      </c>
      <c r="C912" s="2" t="inlineStr">
        <is>
          <t>Caiação</t>
        </is>
      </c>
      <c r="D912" s="2" t="inlineStr">
        <is>
          <t>19/05/2028</t>
        </is>
      </c>
      <c r="E912" s="2" t="inlineStr">
        <is>
          <t>09/10/2028</t>
        </is>
      </c>
      <c r="F912" s="2" t="n">
        <v>46607.99878410152</v>
      </c>
      <c r="G912" s="2" t="n">
        <v>0</v>
      </c>
      <c r="H912" s="2" t="n">
        <v>46607.99878410152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0</v>
      </c>
      <c r="AM912" s="2" t="n">
        <v>0</v>
      </c>
      <c r="AN912" s="2" t="n">
        <v>0</v>
      </c>
      <c r="AO912" s="2" t="n">
        <v>0</v>
      </c>
      <c r="AP912" s="2" t="n">
        <v>0</v>
      </c>
      <c r="AQ912" s="2" t="n">
        <v>0</v>
      </c>
      <c r="AR912" s="2" t="n">
        <v>0</v>
      </c>
      <c r="AS912" s="2" t="n">
        <v>0</v>
      </c>
      <c r="AT912" s="2" t="n">
        <v>0</v>
      </c>
      <c r="AU912" s="2" t="n">
        <v>0</v>
      </c>
      <c r="AV912" s="2" t="n">
        <v>0</v>
      </c>
      <c r="AW912" s="2" t="n">
        <v>0</v>
      </c>
      <c r="AX912" s="2" t="n">
        <v>0</v>
      </c>
      <c r="AY912" s="2" t="n">
        <v>0</v>
      </c>
      <c r="AZ912" s="2" t="n">
        <v>0</v>
      </c>
      <c r="BA912" s="2" t="n">
        <v>0</v>
      </c>
      <c r="BB912" s="2" t="n">
        <v>0</v>
      </c>
      <c r="BC912" s="2" t="n">
        <v>0</v>
      </c>
      <c r="BD912" s="2" t="n">
        <v>0</v>
      </c>
      <c r="BE912" s="2" t="n">
        <v>0</v>
      </c>
      <c r="BF912" s="2" t="n">
        <v>0</v>
      </c>
      <c r="BG912" s="2" t="n">
        <v>0</v>
      </c>
      <c r="BH912" s="2" t="n">
        <v>0</v>
      </c>
      <c r="BI912" s="2" t="n">
        <v>0</v>
      </c>
      <c r="BJ912" s="2" t="n">
        <v>0</v>
      </c>
      <c r="BK912" s="2" t="n">
        <v>0</v>
      </c>
      <c r="BL912" s="2" t="n">
        <v>0</v>
      </c>
      <c r="BM912" s="2" t="n">
        <v>0</v>
      </c>
      <c r="BN912" s="2" t="n">
        <v>0</v>
      </c>
      <c r="BO912" s="2" t="n">
        <v>0</v>
      </c>
      <c r="BP912" s="2" t="n">
        <v>0</v>
      </c>
      <c r="BQ912" s="2" t="n">
        <v>0</v>
      </c>
      <c r="BR912" s="2" t="n">
        <v>0</v>
      </c>
      <c r="BS912" s="2" t="n">
        <v>0</v>
      </c>
      <c r="BT912" s="2" t="n">
        <v>0</v>
      </c>
      <c r="BU912" s="2" t="n">
        <v>0</v>
      </c>
      <c r="BV912" s="2" t="n">
        <v>0</v>
      </c>
      <c r="BW912" s="2" t="n">
        <v>0</v>
      </c>
      <c r="BX912" s="2" t="n">
        <v>0</v>
      </c>
      <c r="BY912" s="2" t="n">
        <v>0</v>
      </c>
      <c r="BZ912" s="2" t="n">
        <v>0</v>
      </c>
      <c r="CA912" s="2" t="n">
        <v>0</v>
      </c>
      <c r="CB912" s="2" t="n">
        <v>0</v>
      </c>
      <c r="CC912" s="2" t="n">
        <v>0</v>
      </c>
      <c r="CD912" s="2" t="n">
        <v>0</v>
      </c>
      <c r="CE912" s="2" t="n">
        <v>0</v>
      </c>
      <c r="CF912" s="2" t="n">
        <v>0</v>
      </c>
      <c r="CG912" s="2" t="n">
        <v>0</v>
      </c>
      <c r="CH912" s="2" t="n">
        <v>0</v>
      </c>
      <c r="CI912" s="2" t="n">
        <v>0</v>
      </c>
      <c r="CJ912" s="2" t="n">
        <v>0</v>
      </c>
      <c r="CK912" s="2" t="n">
        <v>0</v>
      </c>
      <c r="CL912" s="2" t="n">
        <v>0</v>
      </c>
      <c r="CM912" s="2" t="n">
        <v>0</v>
      </c>
      <c r="CN912" s="2" t="n">
        <v>0</v>
      </c>
      <c r="CO912" s="2" t="n">
        <v>0</v>
      </c>
      <c r="CP912" s="2" t="n">
        <v>0</v>
      </c>
      <c r="CQ912" s="2" t="n">
        <v>0</v>
      </c>
      <c r="CR912" s="2" t="n">
        <v>0</v>
      </c>
      <c r="CS912" s="2" t="n">
        <v>0</v>
      </c>
      <c r="CT912" s="2" t="n">
        <v>0</v>
      </c>
      <c r="CU912" s="2" t="n">
        <v>0</v>
      </c>
      <c r="CV912" s="2" t="n">
        <v>0</v>
      </c>
      <c r="CW912" s="2" t="n">
        <v>0</v>
      </c>
      <c r="CX912" s="2" t="n">
        <v>0</v>
      </c>
      <c r="CY912" s="2" t="n">
        <v>0</v>
      </c>
      <c r="CZ912" s="2" t="n">
        <v>0</v>
      </c>
      <c r="DA912" s="2" t="n">
        <v>0</v>
      </c>
      <c r="DB912" s="2" t="n">
        <v>0</v>
      </c>
      <c r="DC912" s="2" t="n">
        <v>0</v>
      </c>
      <c r="DD912" s="2" t="n">
        <v>0</v>
      </c>
      <c r="DE912" s="2" t="n">
        <v>0</v>
      </c>
      <c r="DF912" s="2" t="n">
        <v>0</v>
      </c>
      <c r="DG912" s="2" t="n">
        <v>0</v>
      </c>
      <c r="DH912" s="2" t="n">
        <v>0</v>
      </c>
      <c r="DI912" s="2" t="n">
        <v>0</v>
      </c>
      <c r="DJ912" s="2" t="n">
        <v>0</v>
      </c>
      <c r="DK912" s="2" t="n">
        <v>9.09</v>
      </c>
      <c r="DL912" s="2" t="n">
        <v>0</v>
      </c>
      <c r="DM912" s="2" t="n">
        <v>18.18</v>
      </c>
      <c r="DN912" s="2" t="n">
        <v>30.3</v>
      </c>
      <c r="DO912" s="2" t="n">
        <v>0</v>
      </c>
      <c r="DP912" s="2" t="n">
        <v>39.39</v>
      </c>
      <c r="DQ912" s="2" t="n">
        <v>51.52</v>
      </c>
      <c r="DR912" s="2" t="n">
        <v>0</v>
      </c>
      <c r="DS912" s="2" t="n">
        <v>61.62</v>
      </c>
      <c r="DT912" s="2" t="n">
        <v>73.73999999999999</v>
      </c>
      <c r="DU912" s="2" t="n">
        <v>0</v>
      </c>
      <c r="DV912" s="2" t="n">
        <v>81.81999999999999</v>
      </c>
      <c r="DW912" s="2" t="n">
        <v>93.94</v>
      </c>
      <c r="DX912" s="2" t="n">
        <v>0</v>
      </c>
      <c r="DY912" s="2" t="n">
        <v>100</v>
      </c>
      <c r="DZ912" s="2" t="n">
        <v>100</v>
      </c>
      <c r="EA912" s="2" t="n">
        <v>0</v>
      </c>
      <c r="EB912" s="2" t="n">
        <v>100</v>
      </c>
      <c r="EC912" s="2" t="n">
        <v>100</v>
      </c>
      <c r="ED912" s="2" t="n">
        <v>0</v>
      </c>
      <c r="EE912" s="2" t="n">
        <v>100</v>
      </c>
      <c r="EF912" s="2" t="n">
        <v>100</v>
      </c>
      <c r="EG912" s="2" t="n">
        <v>0</v>
      </c>
      <c r="EH912" s="2" t="n">
        <v>100</v>
      </c>
      <c r="EI912" s="2" t="n">
        <v>100</v>
      </c>
      <c r="EJ912" s="2" t="n">
        <v>0</v>
      </c>
      <c r="EK912" s="2" t="n">
        <v>100</v>
      </c>
      <c r="EL912" s="2" t="n">
        <v>100</v>
      </c>
      <c r="EM912" s="2" t="n">
        <v>0</v>
      </c>
      <c r="EN912" s="2" t="n">
        <v>100</v>
      </c>
      <c r="EO912" s="2" t="n">
        <v>100</v>
      </c>
      <c r="EP912" s="2" t="n">
        <v>0</v>
      </c>
      <c r="EQ912" s="2" t="n">
        <v>100</v>
      </c>
      <c r="ER912" s="2" t="n">
        <v>100</v>
      </c>
      <c r="ES912" s="2" t="n">
        <v>0</v>
      </c>
    </row>
    <row r="913">
      <c r="A913" s="2" t="n">
        <v>3</v>
      </c>
      <c r="B913" s="2" t="inlineStr">
        <is>
          <t>35.05.01</t>
        </is>
      </c>
      <c r="C913" s="2" t="inlineStr">
        <is>
          <t>Pintura tipo caiação com três demãos</t>
        </is>
      </c>
      <c r="D913" s="2" t="inlineStr">
        <is>
          <t>19/05/2028</t>
        </is>
      </c>
      <c r="E913" s="2" t="inlineStr">
        <is>
          <t>09/10/2028</t>
        </is>
      </c>
      <c r="F913" s="2" t="n">
        <v>46607.99878410152</v>
      </c>
      <c r="G913" s="2" t="n">
        <v>0</v>
      </c>
      <c r="H913" s="2" t="n">
        <v>46607.99878410152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0</v>
      </c>
      <c r="AL913" s="2" t="n">
        <v>0</v>
      </c>
      <c r="AM913" s="2" t="n">
        <v>0</v>
      </c>
      <c r="AN913" s="2" t="n">
        <v>0</v>
      </c>
      <c r="AO913" s="2" t="n">
        <v>0</v>
      </c>
      <c r="AP913" s="2" t="n">
        <v>0</v>
      </c>
      <c r="AQ913" s="2" t="n">
        <v>0</v>
      </c>
      <c r="AR913" s="2" t="n">
        <v>0</v>
      </c>
      <c r="AS913" s="2" t="n">
        <v>0</v>
      </c>
      <c r="AT913" s="2" t="n">
        <v>0</v>
      </c>
      <c r="AU913" s="2" t="n">
        <v>0</v>
      </c>
      <c r="AV913" s="2" t="n">
        <v>0</v>
      </c>
      <c r="AW913" s="2" t="n">
        <v>0</v>
      </c>
      <c r="AX913" s="2" t="n">
        <v>0</v>
      </c>
      <c r="AY913" s="2" t="n">
        <v>0</v>
      </c>
      <c r="AZ913" s="2" t="n">
        <v>0</v>
      </c>
      <c r="BA913" s="2" t="n">
        <v>0</v>
      </c>
      <c r="BB913" s="2" t="n">
        <v>0</v>
      </c>
      <c r="BC913" s="2" t="n">
        <v>0</v>
      </c>
      <c r="BD913" s="2" t="n">
        <v>0</v>
      </c>
      <c r="BE913" s="2" t="n">
        <v>0</v>
      </c>
      <c r="BF913" s="2" t="n">
        <v>0</v>
      </c>
      <c r="BG913" s="2" t="n">
        <v>0</v>
      </c>
      <c r="BH913" s="2" t="n">
        <v>0</v>
      </c>
      <c r="BI913" s="2" t="n">
        <v>0</v>
      </c>
      <c r="BJ913" s="2" t="n">
        <v>0</v>
      </c>
      <c r="BK913" s="2" t="n">
        <v>0</v>
      </c>
      <c r="BL913" s="2" t="n">
        <v>0</v>
      </c>
      <c r="BM913" s="2" t="n">
        <v>0</v>
      </c>
      <c r="BN913" s="2" t="n">
        <v>0</v>
      </c>
      <c r="BO913" s="2" t="n">
        <v>0</v>
      </c>
      <c r="BP913" s="2" t="n">
        <v>0</v>
      </c>
      <c r="BQ913" s="2" t="n">
        <v>0</v>
      </c>
      <c r="BR913" s="2" t="n">
        <v>0</v>
      </c>
      <c r="BS913" s="2" t="n">
        <v>0</v>
      </c>
      <c r="BT913" s="2" t="n">
        <v>0</v>
      </c>
      <c r="BU913" s="2" t="n">
        <v>0</v>
      </c>
      <c r="BV913" s="2" t="n">
        <v>0</v>
      </c>
      <c r="BW913" s="2" t="n">
        <v>0</v>
      </c>
      <c r="BX913" s="2" t="n">
        <v>0</v>
      </c>
      <c r="BY913" s="2" t="n">
        <v>0</v>
      </c>
      <c r="BZ913" s="2" t="n">
        <v>0</v>
      </c>
      <c r="CA913" s="2" t="n">
        <v>0</v>
      </c>
      <c r="CB913" s="2" t="n">
        <v>0</v>
      </c>
      <c r="CC913" s="2" t="n">
        <v>0</v>
      </c>
      <c r="CD913" s="2" t="n">
        <v>0</v>
      </c>
      <c r="CE913" s="2" t="n">
        <v>0</v>
      </c>
      <c r="CF913" s="2" t="n">
        <v>0</v>
      </c>
      <c r="CG913" s="2" t="n">
        <v>0</v>
      </c>
      <c r="CH913" s="2" t="n">
        <v>0</v>
      </c>
      <c r="CI913" s="2" t="n">
        <v>0</v>
      </c>
      <c r="CJ913" s="2" t="n">
        <v>0</v>
      </c>
      <c r="CK913" s="2" t="n">
        <v>0</v>
      </c>
      <c r="CL913" s="2" t="n">
        <v>0</v>
      </c>
      <c r="CM913" s="2" t="n">
        <v>0</v>
      </c>
      <c r="CN913" s="2" t="n">
        <v>0</v>
      </c>
      <c r="CO913" s="2" t="n">
        <v>0</v>
      </c>
      <c r="CP913" s="2" t="n">
        <v>0</v>
      </c>
      <c r="CQ913" s="2" t="n">
        <v>0</v>
      </c>
      <c r="CR913" s="2" t="n">
        <v>0</v>
      </c>
      <c r="CS913" s="2" t="n">
        <v>0</v>
      </c>
      <c r="CT913" s="2" t="n">
        <v>0</v>
      </c>
      <c r="CU913" s="2" t="n">
        <v>0</v>
      </c>
      <c r="CV913" s="2" t="n">
        <v>0</v>
      </c>
      <c r="CW913" s="2" t="n">
        <v>0</v>
      </c>
      <c r="CX913" s="2" t="n">
        <v>0</v>
      </c>
      <c r="CY913" s="2" t="n">
        <v>0</v>
      </c>
      <c r="CZ913" s="2" t="n">
        <v>0</v>
      </c>
      <c r="DA913" s="2" t="n">
        <v>0</v>
      </c>
      <c r="DB913" s="2" t="n">
        <v>0</v>
      </c>
      <c r="DC913" s="2" t="n">
        <v>0</v>
      </c>
      <c r="DD913" s="2" t="n">
        <v>0</v>
      </c>
      <c r="DE913" s="2" t="n">
        <v>0</v>
      </c>
      <c r="DF913" s="2" t="n">
        <v>0</v>
      </c>
      <c r="DG913" s="2" t="n">
        <v>0</v>
      </c>
      <c r="DH913" s="2" t="n">
        <v>0</v>
      </c>
      <c r="DI913" s="2" t="n">
        <v>0</v>
      </c>
      <c r="DJ913" s="2" t="n">
        <v>0</v>
      </c>
      <c r="DK913" s="2" t="n">
        <v>9.09</v>
      </c>
      <c r="DL913" s="2" t="n">
        <v>0</v>
      </c>
      <c r="DM913" s="2" t="n">
        <v>18.18</v>
      </c>
      <c r="DN913" s="2" t="n">
        <v>30.3</v>
      </c>
      <c r="DO913" s="2" t="n">
        <v>0</v>
      </c>
      <c r="DP913" s="2" t="n">
        <v>39.39</v>
      </c>
      <c r="DQ913" s="2" t="n">
        <v>51.52</v>
      </c>
      <c r="DR913" s="2" t="n">
        <v>0</v>
      </c>
      <c r="DS913" s="2" t="n">
        <v>61.62</v>
      </c>
      <c r="DT913" s="2" t="n">
        <v>73.73999999999999</v>
      </c>
      <c r="DU913" s="2" t="n">
        <v>0</v>
      </c>
      <c r="DV913" s="2" t="n">
        <v>81.81999999999999</v>
      </c>
      <c r="DW913" s="2" t="n">
        <v>93.94</v>
      </c>
      <c r="DX913" s="2" t="n">
        <v>0</v>
      </c>
      <c r="DY913" s="2" t="n">
        <v>100</v>
      </c>
      <c r="DZ913" s="2" t="n">
        <v>100</v>
      </c>
      <c r="EA913" s="2" t="n">
        <v>0</v>
      </c>
      <c r="EB913" s="2" t="n">
        <v>100</v>
      </c>
      <c r="EC913" s="2" t="n">
        <v>100</v>
      </c>
      <c r="ED913" s="2" t="n">
        <v>0</v>
      </c>
      <c r="EE913" s="2" t="n">
        <v>100</v>
      </c>
      <c r="EF913" s="2" t="n">
        <v>100</v>
      </c>
      <c r="EG913" s="2" t="n">
        <v>0</v>
      </c>
      <c r="EH913" s="2" t="n">
        <v>100</v>
      </c>
      <c r="EI913" s="2" t="n">
        <v>100</v>
      </c>
      <c r="EJ913" s="2" t="n">
        <v>0</v>
      </c>
      <c r="EK913" s="2" t="n">
        <v>100</v>
      </c>
      <c r="EL913" s="2" t="n">
        <v>100</v>
      </c>
      <c r="EM913" s="2" t="n">
        <v>0</v>
      </c>
      <c r="EN913" s="2" t="n">
        <v>100</v>
      </c>
      <c r="EO913" s="2" t="n">
        <v>100</v>
      </c>
      <c r="EP913" s="2" t="n">
        <v>0</v>
      </c>
      <c r="EQ913" s="2" t="n">
        <v>100</v>
      </c>
      <c r="ER913" s="2" t="n">
        <v>100</v>
      </c>
      <c r="ES913" s="2" t="n">
        <v>0</v>
      </c>
    </row>
    <row r="914">
      <c r="A914" s="2" t="n">
        <v>2</v>
      </c>
      <c r="B914" s="2" t="inlineStr">
        <is>
          <t>35.06</t>
        </is>
      </c>
      <c r="C914" s="2" t="inlineStr">
        <is>
          <t>Verniz</t>
        </is>
      </c>
      <c r="D914" s="2" t="inlineStr">
        <is>
          <t>19/10/2026</t>
        </is>
      </c>
      <c r="E914" s="2" t="inlineStr">
        <is>
          <t>10/05/2027</t>
        </is>
      </c>
      <c r="F914" s="2" t="n">
        <v>551081.8205879439</v>
      </c>
      <c r="G914" s="2" t="n">
        <v>0</v>
      </c>
      <c r="H914" s="2" t="n">
        <v>551081.8205879439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0</v>
      </c>
      <c r="AM914" s="2" t="n">
        <v>0</v>
      </c>
      <c r="AN914" s="2" t="n">
        <v>0</v>
      </c>
      <c r="AO914" s="2" t="n">
        <v>0</v>
      </c>
      <c r="AP914" s="2" t="n">
        <v>0</v>
      </c>
      <c r="AQ914" s="2" t="n">
        <v>0</v>
      </c>
      <c r="AR914" s="2" t="n">
        <v>0</v>
      </c>
      <c r="AS914" s="2" t="n">
        <v>0</v>
      </c>
      <c r="AT914" s="2" t="n">
        <v>0</v>
      </c>
      <c r="AU914" s="2" t="n">
        <v>0</v>
      </c>
      <c r="AV914" s="2" t="n">
        <v>0</v>
      </c>
      <c r="AW914" s="2" t="n">
        <v>0</v>
      </c>
      <c r="AX914" s="2" t="n">
        <v>0</v>
      </c>
      <c r="AY914" s="2" t="n">
        <v>0</v>
      </c>
      <c r="AZ914" s="2" t="n">
        <v>0</v>
      </c>
      <c r="BA914" s="2" t="n">
        <v>0</v>
      </c>
      <c r="BB914" s="2" t="n">
        <v>0</v>
      </c>
      <c r="BC914" s="2" t="n">
        <v>0</v>
      </c>
      <c r="BD914" s="2" t="n">
        <v>0</v>
      </c>
      <c r="BE914" s="2" t="n">
        <v>0</v>
      </c>
      <c r="BF914" s="2" t="n">
        <v>6.11</v>
      </c>
      <c r="BG914" s="2" t="n">
        <v>0</v>
      </c>
      <c r="BH914" s="2" t="n">
        <v>0</v>
      </c>
      <c r="BI914" s="2" t="n">
        <v>17.71</v>
      </c>
      <c r="BJ914" s="2" t="n">
        <v>0</v>
      </c>
      <c r="BK914" s="2" t="n">
        <v>0</v>
      </c>
      <c r="BL914" s="2" t="n">
        <v>27.48</v>
      </c>
      <c r="BM914" s="2" t="n">
        <v>0</v>
      </c>
      <c r="BN914" s="2" t="n">
        <v>19.47</v>
      </c>
      <c r="BO914" s="2" t="n">
        <v>43.96</v>
      </c>
      <c r="BP914" s="2" t="n">
        <v>0</v>
      </c>
      <c r="BQ914" s="2" t="n">
        <v>43.19</v>
      </c>
      <c r="BR914" s="2" t="n">
        <v>60.44</v>
      </c>
      <c r="BS914" s="2" t="n">
        <v>0</v>
      </c>
      <c r="BT914" s="2" t="n">
        <v>67.37</v>
      </c>
      <c r="BU914" s="2" t="n">
        <v>76.93000000000001</v>
      </c>
      <c r="BV914" s="2" t="n">
        <v>0</v>
      </c>
      <c r="BW914" s="2" t="n">
        <v>92.75</v>
      </c>
      <c r="BX914" s="2" t="n">
        <v>94.81999999999999</v>
      </c>
      <c r="BY914" s="2" t="n">
        <v>0</v>
      </c>
      <c r="BZ914" s="2" t="n">
        <v>100</v>
      </c>
      <c r="CA914" s="2" t="n">
        <v>100</v>
      </c>
      <c r="CB914" s="2" t="n">
        <v>0</v>
      </c>
      <c r="CC914" s="2" t="n">
        <v>100</v>
      </c>
      <c r="CD914" s="2" t="n">
        <v>100</v>
      </c>
      <c r="CE914" s="2" t="n">
        <v>0</v>
      </c>
      <c r="CF914" s="2" t="n">
        <v>100</v>
      </c>
      <c r="CG914" s="2" t="n">
        <v>100</v>
      </c>
      <c r="CH914" s="2" t="n">
        <v>0</v>
      </c>
      <c r="CI914" s="2" t="n">
        <v>100</v>
      </c>
      <c r="CJ914" s="2" t="n">
        <v>100</v>
      </c>
      <c r="CK914" s="2" t="n">
        <v>0</v>
      </c>
      <c r="CL914" s="2" t="n">
        <v>100</v>
      </c>
      <c r="CM914" s="2" t="n">
        <v>100</v>
      </c>
      <c r="CN914" s="2" t="n">
        <v>0</v>
      </c>
      <c r="CO914" s="2" t="n">
        <v>100</v>
      </c>
      <c r="CP914" s="2" t="n">
        <v>100</v>
      </c>
      <c r="CQ914" s="2" t="n">
        <v>0</v>
      </c>
      <c r="CR914" s="2" t="n">
        <v>100</v>
      </c>
      <c r="CS914" s="2" t="n">
        <v>100</v>
      </c>
      <c r="CT914" s="2" t="n">
        <v>0</v>
      </c>
      <c r="CU914" s="2" t="n">
        <v>100</v>
      </c>
      <c r="CV914" s="2" t="n">
        <v>100</v>
      </c>
      <c r="CW914" s="2" t="n">
        <v>0</v>
      </c>
      <c r="CX914" s="2" t="n">
        <v>100</v>
      </c>
      <c r="CY914" s="2" t="n">
        <v>100</v>
      </c>
      <c r="CZ914" s="2" t="n">
        <v>0</v>
      </c>
      <c r="DA914" s="2" t="n">
        <v>100</v>
      </c>
      <c r="DB914" s="2" t="n">
        <v>100</v>
      </c>
      <c r="DC914" s="2" t="n">
        <v>0</v>
      </c>
      <c r="DD914" s="2" t="n">
        <v>100</v>
      </c>
      <c r="DE914" s="2" t="n">
        <v>100</v>
      </c>
      <c r="DF914" s="2" t="n">
        <v>0</v>
      </c>
      <c r="DG914" s="2" t="n">
        <v>100</v>
      </c>
      <c r="DH914" s="2" t="n">
        <v>100</v>
      </c>
      <c r="DI914" s="2" t="n">
        <v>0</v>
      </c>
      <c r="DJ914" s="2" t="n">
        <v>100</v>
      </c>
      <c r="DK914" s="2" t="n">
        <v>100</v>
      </c>
      <c r="DL914" s="2" t="n">
        <v>0</v>
      </c>
      <c r="DM914" s="2" t="n">
        <v>100</v>
      </c>
      <c r="DN914" s="2" t="n">
        <v>100</v>
      </c>
      <c r="DO914" s="2" t="n">
        <v>0</v>
      </c>
      <c r="DP914" s="2" t="n">
        <v>100</v>
      </c>
      <c r="DQ914" s="2" t="n">
        <v>100</v>
      </c>
      <c r="DR914" s="2" t="n">
        <v>0</v>
      </c>
      <c r="DS914" s="2" t="n">
        <v>100</v>
      </c>
      <c r="DT914" s="2" t="n">
        <v>100</v>
      </c>
      <c r="DU914" s="2" t="n">
        <v>0</v>
      </c>
      <c r="DV914" s="2" t="n">
        <v>100</v>
      </c>
      <c r="DW914" s="2" t="n">
        <v>100</v>
      </c>
      <c r="DX914" s="2" t="n">
        <v>0</v>
      </c>
      <c r="DY914" s="2" t="n">
        <v>100</v>
      </c>
      <c r="DZ914" s="2" t="n">
        <v>100</v>
      </c>
      <c r="EA914" s="2" t="n">
        <v>0</v>
      </c>
      <c r="EB914" s="2" t="n">
        <v>100</v>
      </c>
      <c r="EC914" s="2" t="n">
        <v>100</v>
      </c>
      <c r="ED914" s="2" t="n">
        <v>0</v>
      </c>
      <c r="EE914" s="2" t="n">
        <v>100</v>
      </c>
      <c r="EF914" s="2" t="n">
        <v>100</v>
      </c>
      <c r="EG914" s="2" t="n">
        <v>0</v>
      </c>
      <c r="EH914" s="2" t="n">
        <v>100</v>
      </c>
      <c r="EI914" s="2" t="n">
        <v>100</v>
      </c>
      <c r="EJ914" s="2" t="n">
        <v>0</v>
      </c>
      <c r="EK914" s="2" t="n">
        <v>100</v>
      </c>
      <c r="EL914" s="2" t="n">
        <v>100</v>
      </c>
      <c r="EM914" s="2" t="n">
        <v>0</v>
      </c>
      <c r="EN914" s="2" t="n">
        <v>100</v>
      </c>
      <c r="EO914" s="2" t="n">
        <v>100</v>
      </c>
      <c r="EP914" s="2" t="n">
        <v>0</v>
      </c>
      <c r="EQ914" s="2" t="n">
        <v>100</v>
      </c>
      <c r="ER914" s="2" t="n">
        <v>100</v>
      </c>
      <c r="ES914" s="2" t="n">
        <v>0</v>
      </c>
    </row>
    <row r="915">
      <c r="A915" s="2" t="n">
        <v>3</v>
      </c>
      <c r="B915" s="2" t="inlineStr">
        <is>
          <t>35.06.01</t>
        </is>
      </c>
      <c r="C915" s="2" t="inlineStr">
        <is>
          <t>Desbaste de rebarbas, estuque e aplicação de silicone hidrofugante sobre superfícies de concreto aparente (2 demãos silicone incolor hidrofugante)</t>
        </is>
      </c>
      <c r="D915" s="2" t="inlineStr">
        <is>
          <t>19/10/2026</t>
        </is>
      </c>
      <c r="E915" s="2" t="inlineStr">
        <is>
          <t>10/05/2027</t>
        </is>
      </c>
      <c r="F915" s="2" t="n">
        <v>551081.8205879439</v>
      </c>
      <c r="G915" s="2" t="n">
        <v>0</v>
      </c>
      <c r="H915" s="2" t="n">
        <v>551081.8205879439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0</v>
      </c>
      <c r="AM915" s="2" t="n">
        <v>0</v>
      </c>
      <c r="AN915" s="2" t="n">
        <v>0</v>
      </c>
      <c r="AO915" s="2" t="n">
        <v>0</v>
      </c>
      <c r="AP915" s="2" t="n">
        <v>0</v>
      </c>
      <c r="AQ915" s="2" t="n">
        <v>0</v>
      </c>
      <c r="AR915" s="2" t="n">
        <v>0</v>
      </c>
      <c r="AS915" s="2" t="n">
        <v>0</v>
      </c>
      <c r="AT915" s="2" t="n">
        <v>0</v>
      </c>
      <c r="AU915" s="2" t="n">
        <v>0</v>
      </c>
      <c r="AV915" s="2" t="n">
        <v>0</v>
      </c>
      <c r="AW915" s="2" t="n">
        <v>0</v>
      </c>
      <c r="AX915" s="2" t="n">
        <v>0</v>
      </c>
      <c r="AY915" s="2" t="n">
        <v>0</v>
      </c>
      <c r="AZ915" s="2" t="n">
        <v>0</v>
      </c>
      <c r="BA915" s="2" t="n">
        <v>0</v>
      </c>
      <c r="BB915" s="2" t="n">
        <v>0</v>
      </c>
      <c r="BC915" s="2" t="n">
        <v>0</v>
      </c>
      <c r="BD915" s="2" t="n">
        <v>0</v>
      </c>
      <c r="BE915" s="2" t="n">
        <v>0</v>
      </c>
      <c r="BF915" s="2" t="n">
        <v>6.11</v>
      </c>
      <c r="BG915" s="2" t="n">
        <v>0</v>
      </c>
      <c r="BH915" s="2" t="n">
        <v>0</v>
      </c>
      <c r="BI915" s="2" t="n">
        <v>17.71</v>
      </c>
      <c r="BJ915" s="2" t="n">
        <v>0</v>
      </c>
      <c r="BK915" s="2" t="n">
        <v>0</v>
      </c>
      <c r="BL915" s="2" t="n">
        <v>27.48</v>
      </c>
      <c r="BM915" s="2" t="n">
        <v>0</v>
      </c>
      <c r="BN915" s="2" t="n">
        <v>19.47</v>
      </c>
      <c r="BO915" s="2" t="n">
        <v>43.96</v>
      </c>
      <c r="BP915" s="2" t="n">
        <v>0</v>
      </c>
      <c r="BQ915" s="2" t="n">
        <v>43.19</v>
      </c>
      <c r="BR915" s="2" t="n">
        <v>60.44</v>
      </c>
      <c r="BS915" s="2" t="n">
        <v>0</v>
      </c>
      <c r="BT915" s="2" t="n">
        <v>67.37</v>
      </c>
      <c r="BU915" s="2" t="n">
        <v>76.93000000000001</v>
      </c>
      <c r="BV915" s="2" t="n">
        <v>0</v>
      </c>
      <c r="BW915" s="2" t="n">
        <v>92.75</v>
      </c>
      <c r="BX915" s="2" t="n">
        <v>94.81999999999999</v>
      </c>
      <c r="BY915" s="2" t="n">
        <v>0</v>
      </c>
      <c r="BZ915" s="2" t="n">
        <v>100</v>
      </c>
      <c r="CA915" s="2" t="n">
        <v>100</v>
      </c>
      <c r="CB915" s="2" t="n">
        <v>0</v>
      </c>
      <c r="CC915" s="2" t="n">
        <v>100</v>
      </c>
      <c r="CD915" s="2" t="n">
        <v>100</v>
      </c>
      <c r="CE915" s="2" t="n">
        <v>0</v>
      </c>
      <c r="CF915" s="2" t="n">
        <v>100</v>
      </c>
      <c r="CG915" s="2" t="n">
        <v>100</v>
      </c>
      <c r="CH915" s="2" t="n">
        <v>0</v>
      </c>
      <c r="CI915" s="2" t="n">
        <v>100</v>
      </c>
      <c r="CJ915" s="2" t="n">
        <v>100</v>
      </c>
      <c r="CK915" s="2" t="n">
        <v>0</v>
      </c>
      <c r="CL915" s="2" t="n">
        <v>100</v>
      </c>
      <c r="CM915" s="2" t="n">
        <v>100</v>
      </c>
      <c r="CN915" s="2" t="n">
        <v>0</v>
      </c>
      <c r="CO915" s="2" t="n">
        <v>100</v>
      </c>
      <c r="CP915" s="2" t="n">
        <v>100</v>
      </c>
      <c r="CQ915" s="2" t="n">
        <v>0</v>
      </c>
      <c r="CR915" s="2" t="n">
        <v>100</v>
      </c>
      <c r="CS915" s="2" t="n">
        <v>100</v>
      </c>
      <c r="CT915" s="2" t="n">
        <v>0</v>
      </c>
      <c r="CU915" s="2" t="n">
        <v>100</v>
      </c>
      <c r="CV915" s="2" t="n">
        <v>100</v>
      </c>
      <c r="CW915" s="2" t="n">
        <v>0</v>
      </c>
      <c r="CX915" s="2" t="n">
        <v>100</v>
      </c>
      <c r="CY915" s="2" t="n">
        <v>100</v>
      </c>
      <c r="CZ915" s="2" t="n">
        <v>0</v>
      </c>
      <c r="DA915" s="2" t="n">
        <v>100</v>
      </c>
      <c r="DB915" s="2" t="n">
        <v>100</v>
      </c>
      <c r="DC915" s="2" t="n">
        <v>0</v>
      </c>
      <c r="DD915" s="2" t="n">
        <v>100</v>
      </c>
      <c r="DE915" s="2" t="n">
        <v>100</v>
      </c>
      <c r="DF915" s="2" t="n">
        <v>0</v>
      </c>
      <c r="DG915" s="2" t="n">
        <v>100</v>
      </c>
      <c r="DH915" s="2" t="n">
        <v>100</v>
      </c>
      <c r="DI915" s="2" t="n">
        <v>0</v>
      </c>
      <c r="DJ915" s="2" t="n">
        <v>100</v>
      </c>
      <c r="DK915" s="2" t="n">
        <v>100</v>
      </c>
      <c r="DL915" s="2" t="n">
        <v>0</v>
      </c>
      <c r="DM915" s="2" t="n">
        <v>100</v>
      </c>
      <c r="DN915" s="2" t="n">
        <v>100</v>
      </c>
      <c r="DO915" s="2" t="n">
        <v>0</v>
      </c>
      <c r="DP915" s="2" t="n">
        <v>100</v>
      </c>
      <c r="DQ915" s="2" t="n">
        <v>100</v>
      </c>
      <c r="DR915" s="2" t="n">
        <v>0</v>
      </c>
      <c r="DS915" s="2" t="n">
        <v>100</v>
      </c>
      <c r="DT915" s="2" t="n">
        <v>100</v>
      </c>
      <c r="DU915" s="2" t="n">
        <v>0</v>
      </c>
      <c r="DV915" s="2" t="n">
        <v>100</v>
      </c>
      <c r="DW915" s="2" t="n">
        <v>100</v>
      </c>
      <c r="DX915" s="2" t="n">
        <v>0</v>
      </c>
      <c r="DY915" s="2" t="n">
        <v>100</v>
      </c>
      <c r="DZ915" s="2" t="n">
        <v>100</v>
      </c>
      <c r="EA915" s="2" t="n">
        <v>0</v>
      </c>
      <c r="EB915" s="2" t="n">
        <v>100</v>
      </c>
      <c r="EC915" s="2" t="n">
        <v>100</v>
      </c>
      <c r="ED915" s="2" t="n">
        <v>0</v>
      </c>
      <c r="EE915" s="2" t="n">
        <v>100</v>
      </c>
      <c r="EF915" s="2" t="n">
        <v>100</v>
      </c>
      <c r="EG915" s="2" t="n">
        <v>0</v>
      </c>
      <c r="EH915" s="2" t="n">
        <v>100</v>
      </c>
      <c r="EI915" s="2" t="n">
        <v>100</v>
      </c>
      <c r="EJ915" s="2" t="n">
        <v>0</v>
      </c>
      <c r="EK915" s="2" t="n">
        <v>100</v>
      </c>
      <c r="EL915" s="2" t="n">
        <v>100</v>
      </c>
      <c r="EM915" s="2" t="n">
        <v>0</v>
      </c>
      <c r="EN915" s="2" t="n">
        <v>100</v>
      </c>
      <c r="EO915" s="2" t="n">
        <v>100</v>
      </c>
      <c r="EP915" s="2" t="n">
        <v>0</v>
      </c>
      <c r="EQ915" s="2" t="n">
        <v>100</v>
      </c>
      <c r="ER915" s="2" t="n">
        <v>100</v>
      </c>
      <c r="ES915" s="2" t="n">
        <v>0</v>
      </c>
    </row>
    <row r="916">
      <c r="A916" s="2" t="n">
        <v>2</v>
      </c>
      <c r="B916" s="2" t="inlineStr">
        <is>
          <t>35.07</t>
        </is>
      </c>
      <c r="C916" s="2" t="inlineStr">
        <is>
          <t>Especiais</t>
        </is>
      </c>
      <c r="D916" s="2" t="inlineStr">
        <is>
          <t>09/06/2028</t>
        </is>
      </c>
      <c r="E916" s="2" t="inlineStr">
        <is>
          <t>09/03/2029</t>
        </is>
      </c>
      <c r="F916" s="2" t="n">
        <v>275957.39747375</v>
      </c>
      <c r="G916" s="2" t="n">
        <v>0</v>
      </c>
      <c r="H916" s="2" t="n">
        <v>275957.39747375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0</v>
      </c>
      <c r="AM916" s="2" t="n">
        <v>0</v>
      </c>
      <c r="AN916" s="2" t="n">
        <v>0</v>
      </c>
      <c r="AO916" s="2" t="n">
        <v>0</v>
      </c>
      <c r="AP916" s="2" t="n">
        <v>0</v>
      </c>
      <c r="AQ916" s="2" t="n">
        <v>0</v>
      </c>
      <c r="AR916" s="2" t="n">
        <v>0</v>
      </c>
      <c r="AS916" s="2" t="n">
        <v>0</v>
      </c>
      <c r="AT916" s="2" t="n">
        <v>0</v>
      </c>
      <c r="AU916" s="2" t="n">
        <v>0</v>
      </c>
      <c r="AV916" s="2" t="n">
        <v>0</v>
      </c>
      <c r="AW916" s="2" t="n">
        <v>0</v>
      </c>
      <c r="AX916" s="2" t="n">
        <v>0</v>
      </c>
      <c r="AY916" s="2" t="n">
        <v>0</v>
      </c>
      <c r="AZ916" s="2" t="n">
        <v>0</v>
      </c>
      <c r="BA916" s="2" t="n">
        <v>0</v>
      </c>
      <c r="BB916" s="2" t="n">
        <v>0</v>
      </c>
      <c r="BC916" s="2" t="n">
        <v>0</v>
      </c>
      <c r="BD916" s="2" t="n">
        <v>0</v>
      </c>
      <c r="BE916" s="2" t="n">
        <v>0</v>
      </c>
      <c r="BF916" s="2" t="n">
        <v>0</v>
      </c>
      <c r="BG916" s="2" t="n">
        <v>0</v>
      </c>
      <c r="BH916" s="2" t="n">
        <v>0</v>
      </c>
      <c r="BI916" s="2" t="n">
        <v>0</v>
      </c>
      <c r="BJ916" s="2" t="n">
        <v>0</v>
      </c>
      <c r="BK916" s="2" t="n">
        <v>0</v>
      </c>
      <c r="BL916" s="2" t="n">
        <v>0</v>
      </c>
      <c r="BM916" s="2" t="n">
        <v>0</v>
      </c>
      <c r="BN916" s="2" t="n">
        <v>0</v>
      </c>
      <c r="BO916" s="2" t="n">
        <v>0</v>
      </c>
      <c r="BP916" s="2" t="n">
        <v>0</v>
      </c>
      <c r="BQ916" s="2" t="n">
        <v>0</v>
      </c>
      <c r="BR916" s="2" t="n">
        <v>0</v>
      </c>
      <c r="BS916" s="2" t="n">
        <v>0</v>
      </c>
      <c r="BT916" s="2" t="n">
        <v>0</v>
      </c>
      <c r="BU916" s="2" t="n">
        <v>0</v>
      </c>
      <c r="BV916" s="2" t="n">
        <v>0</v>
      </c>
      <c r="BW916" s="2" t="n">
        <v>0</v>
      </c>
      <c r="BX916" s="2" t="n">
        <v>0</v>
      </c>
      <c r="BY916" s="2" t="n">
        <v>0</v>
      </c>
      <c r="BZ916" s="2" t="n">
        <v>0</v>
      </c>
      <c r="CA916" s="2" t="n">
        <v>0</v>
      </c>
      <c r="CB916" s="2" t="n">
        <v>0</v>
      </c>
      <c r="CC916" s="2" t="n">
        <v>0</v>
      </c>
      <c r="CD916" s="2" t="n">
        <v>0</v>
      </c>
      <c r="CE916" s="2" t="n">
        <v>0</v>
      </c>
      <c r="CF916" s="2" t="n">
        <v>0</v>
      </c>
      <c r="CG916" s="2" t="n">
        <v>0</v>
      </c>
      <c r="CH916" s="2" t="n">
        <v>0</v>
      </c>
      <c r="CI916" s="2" t="n">
        <v>0</v>
      </c>
      <c r="CJ916" s="2" t="n">
        <v>0</v>
      </c>
      <c r="CK916" s="2" t="n">
        <v>0</v>
      </c>
      <c r="CL916" s="2" t="n">
        <v>0</v>
      </c>
      <c r="CM916" s="2" t="n">
        <v>0</v>
      </c>
      <c r="CN916" s="2" t="n">
        <v>0</v>
      </c>
      <c r="CO916" s="2" t="n">
        <v>0</v>
      </c>
      <c r="CP916" s="2" t="n">
        <v>0</v>
      </c>
      <c r="CQ916" s="2" t="n">
        <v>0</v>
      </c>
      <c r="CR916" s="2" t="n">
        <v>0</v>
      </c>
      <c r="CS916" s="2" t="n">
        <v>0</v>
      </c>
      <c r="CT916" s="2" t="n">
        <v>0</v>
      </c>
      <c r="CU916" s="2" t="n">
        <v>0</v>
      </c>
      <c r="CV916" s="2" t="n">
        <v>0</v>
      </c>
      <c r="CW916" s="2" t="n">
        <v>0</v>
      </c>
      <c r="CX916" s="2" t="n">
        <v>0</v>
      </c>
      <c r="CY916" s="2" t="n">
        <v>0</v>
      </c>
      <c r="CZ916" s="2" t="n">
        <v>0</v>
      </c>
      <c r="DA916" s="2" t="n">
        <v>0</v>
      </c>
      <c r="DB916" s="2" t="n">
        <v>0</v>
      </c>
      <c r="DC916" s="2" t="n">
        <v>0</v>
      </c>
      <c r="DD916" s="2" t="n">
        <v>0</v>
      </c>
      <c r="DE916" s="2" t="n">
        <v>0</v>
      </c>
      <c r="DF916" s="2" t="n">
        <v>0</v>
      </c>
      <c r="DG916" s="2" t="n">
        <v>0</v>
      </c>
      <c r="DH916" s="2" t="n">
        <v>0</v>
      </c>
      <c r="DI916" s="2" t="n">
        <v>0</v>
      </c>
      <c r="DJ916" s="2" t="n">
        <v>0</v>
      </c>
      <c r="DK916" s="2" t="n">
        <v>0</v>
      </c>
      <c r="DL916" s="2" t="n">
        <v>0</v>
      </c>
      <c r="DM916" s="2" t="n">
        <v>27.48</v>
      </c>
      <c r="DN916" s="2" t="n">
        <v>27.48</v>
      </c>
      <c r="DO916" s="2" t="n">
        <v>0</v>
      </c>
      <c r="DP916" s="2" t="n">
        <v>27.48</v>
      </c>
      <c r="DQ916" s="2" t="n">
        <v>27.48</v>
      </c>
      <c r="DR916" s="2" t="n">
        <v>0</v>
      </c>
      <c r="DS916" s="2" t="n">
        <v>27.48</v>
      </c>
      <c r="DT916" s="2" t="n">
        <v>27.48</v>
      </c>
      <c r="DU916" s="2" t="n">
        <v>0</v>
      </c>
      <c r="DV916" s="2" t="n">
        <v>27.48</v>
      </c>
      <c r="DW916" s="2" t="n">
        <v>27.48</v>
      </c>
      <c r="DX916" s="2" t="n">
        <v>0</v>
      </c>
      <c r="DY916" s="2" t="n">
        <v>27.48</v>
      </c>
      <c r="DZ916" s="2" t="n">
        <v>27.48</v>
      </c>
      <c r="EA916" s="2" t="n">
        <v>0</v>
      </c>
      <c r="EB916" s="2" t="n">
        <v>27.48</v>
      </c>
      <c r="EC916" s="2" t="n">
        <v>45.61</v>
      </c>
      <c r="ED916" s="2" t="n">
        <v>0</v>
      </c>
      <c r="EE916" s="2" t="n">
        <v>38.36</v>
      </c>
      <c r="EF916" s="2" t="n">
        <v>47.42</v>
      </c>
      <c r="EG916" s="2" t="n">
        <v>0</v>
      </c>
      <c r="EH916" s="2" t="n">
        <v>51.05</v>
      </c>
      <c r="EI916" s="2" t="n">
        <v>69.18000000000001</v>
      </c>
      <c r="EJ916" s="2" t="n">
        <v>0</v>
      </c>
      <c r="EK916" s="2" t="n">
        <v>69.18000000000001</v>
      </c>
      <c r="EL916" s="2" t="n">
        <v>87.31</v>
      </c>
      <c r="EM916" s="2" t="n">
        <v>0</v>
      </c>
      <c r="EN916" s="2" t="n">
        <v>89.12</v>
      </c>
      <c r="EO916" s="2" t="n">
        <v>100</v>
      </c>
      <c r="EP916" s="2" t="n">
        <v>0</v>
      </c>
      <c r="EQ916" s="2" t="n">
        <v>100</v>
      </c>
      <c r="ER916" s="2" t="n">
        <v>100</v>
      </c>
      <c r="ES916" s="2" t="n">
        <v>0</v>
      </c>
    </row>
    <row r="917">
      <c r="A917" s="2" t="n">
        <v>3</v>
      </c>
      <c r="B917" s="2" t="inlineStr">
        <is>
          <t>35.07.01</t>
        </is>
      </c>
      <c r="C917" s="2" t="inlineStr">
        <is>
          <t>Pintura de meia parede em epóxi monolítico de tom cinza médio</t>
        </is>
      </c>
      <c r="D917" s="2" t="inlineStr">
        <is>
          <t>09/06/2028</t>
        </is>
      </c>
      <c r="E917" s="2" t="inlineStr">
        <is>
          <t>09/03/2029</t>
        </is>
      </c>
      <c r="F917" s="2" t="n">
        <v>227651.49133625</v>
      </c>
      <c r="G917" s="2" t="n">
        <v>0</v>
      </c>
      <c r="H917" s="2" t="n">
        <v>227651.49133625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0</v>
      </c>
      <c r="AM917" s="2" t="n">
        <v>0</v>
      </c>
      <c r="AN917" s="2" t="n">
        <v>0</v>
      </c>
      <c r="AO917" s="2" t="n">
        <v>0</v>
      </c>
      <c r="AP917" s="2" t="n">
        <v>0</v>
      </c>
      <c r="AQ917" s="2" t="n">
        <v>0</v>
      </c>
      <c r="AR917" s="2" t="n">
        <v>0</v>
      </c>
      <c r="AS917" s="2" t="n">
        <v>0</v>
      </c>
      <c r="AT917" s="2" t="n">
        <v>0</v>
      </c>
      <c r="AU917" s="2" t="n">
        <v>0</v>
      </c>
      <c r="AV917" s="2" t="n">
        <v>0</v>
      </c>
      <c r="AW917" s="2" t="n">
        <v>0</v>
      </c>
      <c r="AX917" s="2" t="n">
        <v>0</v>
      </c>
      <c r="AY917" s="2" t="n">
        <v>0</v>
      </c>
      <c r="AZ917" s="2" t="n">
        <v>0</v>
      </c>
      <c r="BA917" s="2" t="n">
        <v>0</v>
      </c>
      <c r="BB917" s="2" t="n">
        <v>0</v>
      </c>
      <c r="BC917" s="2" t="n">
        <v>0</v>
      </c>
      <c r="BD917" s="2" t="n">
        <v>0</v>
      </c>
      <c r="BE917" s="2" t="n">
        <v>0</v>
      </c>
      <c r="BF917" s="2" t="n">
        <v>0</v>
      </c>
      <c r="BG917" s="2" t="n">
        <v>0</v>
      </c>
      <c r="BH917" s="2" t="n">
        <v>0</v>
      </c>
      <c r="BI917" s="2" t="n">
        <v>0</v>
      </c>
      <c r="BJ917" s="2" t="n">
        <v>0</v>
      </c>
      <c r="BK917" s="2" t="n">
        <v>0</v>
      </c>
      <c r="BL917" s="2" t="n">
        <v>0</v>
      </c>
      <c r="BM917" s="2" t="n">
        <v>0</v>
      </c>
      <c r="BN917" s="2" t="n">
        <v>0</v>
      </c>
      <c r="BO917" s="2" t="n">
        <v>0</v>
      </c>
      <c r="BP917" s="2" t="n">
        <v>0</v>
      </c>
      <c r="BQ917" s="2" t="n">
        <v>0</v>
      </c>
      <c r="BR917" s="2" t="n">
        <v>0</v>
      </c>
      <c r="BS917" s="2" t="n">
        <v>0</v>
      </c>
      <c r="BT917" s="2" t="n">
        <v>0</v>
      </c>
      <c r="BU917" s="2" t="n">
        <v>0</v>
      </c>
      <c r="BV917" s="2" t="n">
        <v>0</v>
      </c>
      <c r="BW917" s="2" t="n">
        <v>0</v>
      </c>
      <c r="BX917" s="2" t="n">
        <v>0</v>
      </c>
      <c r="BY917" s="2" t="n">
        <v>0</v>
      </c>
      <c r="BZ917" s="2" t="n">
        <v>0</v>
      </c>
      <c r="CA917" s="2" t="n">
        <v>0</v>
      </c>
      <c r="CB917" s="2" t="n">
        <v>0</v>
      </c>
      <c r="CC917" s="2" t="n">
        <v>0</v>
      </c>
      <c r="CD917" s="2" t="n">
        <v>0</v>
      </c>
      <c r="CE917" s="2" t="n">
        <v>0</v>
      </c>
      <c r="CF917" s="2" t="n">
        <v>0</v>
      </c>
      <c r="CG917" s="2" t="n">
        <v>0</v>
      </c>
      <c r="CH917" s="2" t="n">
        <v>0</v>
      </c>
      <c r="CI917" s="2" t="n">
        <v>0</v>
      </c>
      <c r="CJ917" s="2" t="n">
        <v>0</v>
      </c>
      <c r="CK917" s="2" t="n">
        <v>0</v>
      </c>
      <c r="CL917" s="2" t="n">
        <v>0</v>
      </c>
      <c r="CM917" s="2" t="n">
        <v>0</v>
      </c>
      <c r="CN917" s="2" t="n">
        <v>0</v>
      </c>
      <c r="CO917" s="2" t="n">
        <v>0</v>
      </c>
      <c r="CP917" s="2" t="n">
        <v>0</v>
      </c>
      <c r="CQ917" s="2" t="n">
        <v>0</v>
      </c>
      <c r="CR917" s="2" t="n">
        <v>0</v>
      </c>
      <c r="CS917" s="2" t="n">
        <v>0</v>
      </c>
      <c r="CT917" s="2" t="n">
        <v>0</v>
      </c>
      <c r="CU917" s="2" t="n">
        <v>0</v>
      </c>
      <c r="CV917" s="2" t="n">
        <v>0</v>
      </c>
      <c r="CW917" s="2" t="n">
        <v>0</v>
      </c>
      <c r="CX917" s="2" t="n">
        <v>0</v>
      </c>
      <c r="CY917" s="2" t="n">
        <v>0</v>
      </c>
      <c r="CZ917" s="2" t="n">
        <v>0</v>
      </c>
      <c r="DA917" s="2" t="n">
        <v>0</v>
      </c>
      <c r="DB917" s="2" t="n">
        <v>0</v>
      </c>
      <c r="DC917" s="2" t="n">
        <v>0</v>
      </c>
      <c r="DD917" s="2" t="n">
        <v>0</v>
      </c>
      <c r="DE917" s="2" t="n">
        <v>0</v>
      </c>
      <c r="DF917" s="2" t="n">
        <v>0</v>
      </c>
      <c r="DG917" s="2" t="n">
        <v>0</v>
      </c>
      <c r="DH917" s="2" t="n">
        <v>0</v>
      </c>
      <c r="DI917" s="2" t="n">
        <v>0</v>
      </c>
      <c r="DJ917" s="2" t="n">
        <v>0</v>
      </c>
      <c r="DK917" s="2" t="n">
        <v>0</v>
      </c>
      <c r="DL917" s="2" t="n">
        <v>0</v>
      </c>
      <c r="DM917" s="2" t="n">
        <v>27.48</v>
      </c>
      <c r="DN917" s="2" t="n">
        <v>27.48</v>
      </c>
      <c r="DO917" s="2" t="n">
        <v>0</v>
      </c>
      <c r="DP917" s="2" t="n">
        <v>27.48</v>
      </c>
      <c r="DQ917" s="2" t="n">
        <v>27.48</v>
      </c>
      <c r="DR917" s="2" t="n">
        <v>0</v>
      </c>
      <c r="DS917" s="2" t="n">
        <v>27.48</v>
      </c>
      <c r="DT917" s="2" t="n">
        <v>27.48</v>
      </c>
      <c r="DU917" s="2" t="n">
        <v>0</v>
      </c>
      <c r="DV917" s="2" t="n">
        <v>27.48</v>
      </c>
      <c r="DW917" s="2" t="n">
        <v>27.48</v>
      </c>
      <c r="DX917" s="2" t="n">
        <v>0</v>
      </c>
      <c r="DY917" s="2" t="n">
        <v>27.48</v>
      </c>
      <c r="DZ917" s="2" t="n">
        <v>27.48</v>
      </c>
      <c r="EA917" s="2" t="n">
        <v>0</v>
      </c>
      <c r="EB917" s="2" t="n">
        <v>27.48</v>
      </c>
      <c r="EC917" s="2" t="n">
        <v>45.61</v>
      </c>
      <c r="ED917" s="2" t="n">
        <v>0</v>
      </c>
      <c r="EE917" s="2" t="n">
        <v>38.36</v>
      </c>
      <c r="EF917" s="2" t="n">
        <v>47.42</v>
      </c>
      <c r="EG917" s="2" t="n">
        <v>0</v>
      </c>
      <c r="EH917" s="2" t="n">
        <v>51.05</v>
      </c>
      <c r="EI917" s="2" t="n">
        <v>69.18000000000001</v>
      </c>
      <c r="EJ917" s="2" t="n">
        <v>0</v>
      </c>
      <c r="EK917" s="2" t="n">
        <v>69.18000000000001</v>
      </c>
      <c r="EL917" s="2" t="n">
        <v>87.31</v>
      </c>
      <c r="EM917" s="2" t="n">
        <v>0</v>
      </c>
      <c r="EN917" s="2" t="n">
        <v>89.12</v>
      </c>
      <c r="EO917" s="2" t="n">
        <v>100</v>
      </c>
      <c r="EP917" s="2" t="n">
        <v>0</v>
      </c>
      <c r="EQ917" s="2" t="n">
        <v>100</v>
      </c>
      <c r="ER917" s="2" t="n">
        <v>100</v>
      </c>
      <c r="ES917" s="2" t="n">
        <v>0</v>
      </c>
    </row>
    <row r="918">
      <c r="A918" s="2" t="n">
        <v>3</v>
      </c>
      <c r="B918" s="2" t="inlineStr">
        <is>
          <t>35.07.02</t>
        </is>
      </c>
      <c r="C918" s="2" t="inlineStr">
        <is>
          <t>Arremate em faixa de pintura epóxi fosca de cor cinza chumbo</t>
        </is>
      </c>
      <c r="D918" s="2" t="inlineStr">
        <is>
          <t>09/06/2028</t>
        </is>
      </c>
      <c r="E918" s="2" t="inlineStr">
        <is>
          <t>09/03/2029</t>
        </is>
      </c>
      <c r="F918" s="2" t="n">
        <v>48305.9061375</v>
      </c>
      <c r="G918" s="2" t="n">
        <v>0</v>
      </c>
      <c r="H918" s="2" t="n">
        <v>48305.9061375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0</v>
      </c>
      <c r="AM918" s="2" t="n">
        <v>0</v>
      </c>
      <c r="AN918" s="2" t="n">
        <v>0</v>
      </c>
      <c r="AO918" s="2" t="n">
        <v>0</v>
      </c>
      <c r="AP918" s="2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n">
        <v>0</v>
      </c>
      <c r="AZ918" s="2" t="n">
        <v>0</v>
      </c>
      <c r="BA918" s="2" t="n">
        <v>0</v>
      </c>
      <c r="BB918" s="2" t="n">
        <v>0</v>
      </c>
      <c r="BC918" s="2" t="n">
        <v>0</v>
      </c>
      <c r="BD918" s="2" t="n">
        <v>0</v>
      </c>
      <c r="BE918" s="2" t="n">
        <v>0</v>
      </c>
      <c r="BF918" s="2" t="n">
        <v>0</v>
      </c>
      <c r="BG918" s="2" t="n">
        <v>0</v>
      </c>
      <c r="BH918" s="2" t="n">
        <v>0</v>
      </c>
      <c r="BI918" s="2" t="n">
        <v>0</v>
      </c>
      <c r="BJ918" s="2" t="n">
        <v>0</v>
      </c>
      <c r="BK918" s="2" t="n">
        <v>0</v>
      </c>
      <c r="BL918" s="2" t="n">
        <v>0</v>
      </c>
      <c r="BM918" s="2" t="n">
        <v>0</v>
      </c>
      <c r="BN918" s="2" t="n">
        <v>0</v>
      </c>
      <c r="BO918" s="2" t="n">
        <v>0</v>
      </c>
      <c r="BP918" s="2" t="n">
        <v>0</v>
      </c>
      <c r="BQ918" s="2" t="n">
        <v>0</v>
      </c>
      <c r="BR918" s="2" t="n">
        <v>0</v>
      </c>
      <c r="BS918" s="2" t="n">
        <v>0</v>
      </c>
      <c r="BT918" s="2" t="n">
        <v>0</v>
      </c>
      <c r="BU918" s="2" t="n">
        <v>0</v>
      </c>
      <c r="BV918" s="2" t="n">
        <v>0</v>
      </c>
      <c r="BW918" s="2" t="n">
        <v>0</v>
      </c>
      <c r="BX918" s="2" t="n">
        <v>0</v>
      </c>
      <c r="BY918" s="2" t="n">
        <v>0</v>
      </c>
      <c r="BZ918" s="2" t="n">
        <v>0</v>
      </c>
      <c r="CA918" s="2" t="n">
        <v>0</v>
      </c>
      <c r="CB918" s="2" t="n">
        <v>0</v>
      </c>
      <c r="CC918" s="2" t="n">
        <v>0</v>
      </c>
      <c r="CD918" s="2" t="n">
        <v>0</v>
      </c>
      <c r="CE918" s="2" t="n">
        <v>0</v>
      </c>
      <c r="CF918" s="2" t="n">
        <v>0</v>
      </c>
      <c r="CG918" s="2" t="n">
        <v>0</v>
      </c>
      <c r="CH918" s="2" t="n">
        <v>0</v>
      </c>
      <c r="CI918" s="2" t="n">
        <v>0</v>
      </c>
      <c r="CJ918" s="2" t="n">
        <v>0</v>
      </c>
      <c r="CK918" s="2" t="n">
        <v>0</v>
      </c>
      <c r="CL918" s="2" t="n">
        <v>0</v>
      </c>
      <c r="CM918" s="2" t="n">
        <v>0</v>
      </c>
      <c r="CN918" s="2" t="n">
        <v>0</v>
      </c>
      <c r="CO918" s="2" t="n">
        <v>0</v>
      </c>
      <c r="CP918" s="2" t="n">
        <v>0</v>
      </c>
      <c r="CQ918" s="2" t="n">
        <v>0</v>
      </c>
      <c r="CR918" s="2" t="n">
        <v>0</v>
      </c>
      <c r="CS918" s="2" t="n">
        <v>0</v>
      </c>
      <c r="CT918" s="2" t="n">
        <v>0</v>
      </c>
      <c r="CU918" s="2" t="n">
        <v>0</v>
      </c>
      <c r="CV918" s="2" t="n">
        <v>0</v>
      </c>
      <c r="CW918" s="2" t="n">
        <v>0</v>
      </c>
      <c r="CX918" s="2" t="n">
        <v>0</v>
      </c>
      <c r="CY918" s="2" t="n">
        <v>0</v>
      </c>
      <c r="CZ918" s="2" t="n">
        <v>0</v>
      </c>
      <c r="DA918" s="2" t="n">
        <v>0</v>
      </c>
      <c r="DB918" s="2" t="n">
        <v>0</v>
      </c>
      <c r="DC918" s="2" t="n">
        <v>0</v>
      </c>
      <c r="DD918" s="2" t="n">
        <v>0</v>
      </c>
      <c r="DE918" s="2" t="n">
        <v>0</v>
      </c>
      <c r="DF918" s="2" t="n">
        <v>0</v>
      </c>
      <c r="DG918" s="2" t="n">
        <v>0</v>
      </c>
      <c r="DH918" s="2" t="n">
        <v>0</v>
      </c>
      <c r="DI918" s="2" t="n">
        <v>0</v>
      </c>
      <c r="DJ918" s="2" t="n">
        <v>0</v>
      </c>
      <c r="DK918" s="2" t="n">
        <v>0</v>
      </c>
      <c r="DL918" s="2" t="n">
        <v>0</v>
      </c>
      <c r="DM918" s="2" t="n">
        <v>27.48</v>
      </c>
      <c r="DN918" s="2" t="n">
        <v>27.48</v>
      </c>
      <c r="DO918" s="2" t="n">
        <v>0</v>
      </c>
      <c r="DP918" s="2" t="n">
        <v>27.48</v>
      </c>
      <c r="DQ918" s="2" t="n">
        <v>27.48</v>
      </c>
      <c r="DR918" s="2" t="n">
        <v>0</v>
      </c>
      <c r="DS918" s="2" t="n">
        <v>27.48</v>
      </c>
      <c r="DT918" s="2" t="n">
        <v>27.48</v>
      </c>
      <c r="DU918" s="2" t="n">
        <v>0</v>
      </c>
      <c r="DV918" s="2" t="n">
        <v>27.48</v>
      </c>
      <c r="DW918" s="2" t="n">
        <v>27.48</v>
      </c>
      <c r="DX918" s="2" t="n">
        <v>0</v>
      </c>
      <c r="DY918" s="2" t="n">
        <v>27.48</v>
      </c>
      <c r="DZ918" s="2" t="n">
        <v>27.48</v>
      </c>
      <c r="EA918" s="2" t="n">
        <v>0</v>
      </c>
      <c r="EB918" s="2" t="n">
        <v>27.48</v>
      </c>
      <c r="EC918" s="2" t="n">
        <v>45.61</v>
      </c>
      <c r="ED918" s="2" t="n">
        <v>0</v>
      </c>
      <c r="EE918" s="2" t="n">
        <v>38.36</v>
      </c>
      <c r="EF918" s="2" t="n">
        <v>47.42</v>
      </c>
      <c r="EG918" s="2" t="n">
        <v>0</v>
      </c>
      <c r="EH918" s="2" t="n">
        <v>51.05</v>
      </c>
      <c r="EI918" s="2" t="n">
        <v>69.18000000000001</v>
      </c>
      <c r="EJ918" s="2" t="n">
        <v>0</v>
      </c>
      <c r="EK918" s="2" t="n">
        <v>69.18000000000001</v>
      </c>
      <c r="EL918" s="2" t="n">
        <v>87.31</v>
      </c>
      <c r="EM918" s="2" t="n">
        <v>0</v>
      </c>
      <c r="EN918" s="2" t="n">
        <v>89.12</v>
      </c>
      <c r="EO918" s="2" t="n">
        <v>100</v>
      </c>
      <c r="EP918" s="2" t="n">
        <v>0</v>
      </c>
      <c r="EQ918" s="2" t="n">
        <v>100</v>
      </c>
      <c r="ER918" s="2" t="n">
        <v>100</v>
      </c>
      <c r="ES918" s="2" t="n">
        <v>0</v>
      </c>
    </row>
    <row r="919">
      <c r="A919" s="2" t="n">
        <v>1</v>
      </c>
      <c r="B919" s="2" t="inlineStr">
        <is>
          <t>36</t>
        </is>
      </c>
      <c r="C919" s="2" t="inlineStr">
        <is>
          <t>PAISAGISMO</t>
        </is>
      </c>
      <c r="D919" s="2" t="inlineStr">
        <is>
          <t>12/07/2028</t>
        </is>
      </c>
      <c r="E919" s="2" t="inlineStr">
        <is>
          <t>06/12/2028</t>
        </is>
      </c>
      <c r="F919" s="2" t="n">
        <v>1116999.598184166</v>
      </c>
      <c r="G919" s="2" t="n">
        <v>0</v>
      </c>
      <c r="H919" s="2" t="n">
        <v>1116999.598184166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0</v>
      </c>
      <c r="AM919" s="2" t="n">
        <v>0</v>
      </c>
      <c r="AN919" s="2" t="n">
        <v>0</v>
      </c>
      <c r="AO919" s="2" t="n">
        <v>0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 t="n">
        <v>0</v>
      </c>
      <c r="AX919" s="2" t="n">
        <v>0</v>
      </c>
      <c r="AY919" s="2" t="n">
        <v>0</v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n">
        <v>0</v>
      </c>
      <c r="BE919" s="2" t="n">
        <v>0</v>
      </c>
      <c r="BF919" s="2" t="n">
        <v>0</v>
      </c>
      <c r="BG919" s="2" t="n">
        <v>0</v>
      </c>
      <c r="BH919" s="2" t="n">
        <v>0</v>
      </c>
      <c r="BI919" s="2" t="n">
        <v>0</v>
      </c>
      <c r="BJ919" s="2" t="n">
        <v>0</v>
      </c>
      <c r="BK919" s="2" t="n">
        <v>0</v>
      </c>
      <c r="BL919" s="2" t="n">
        <v>0</v>
      </c>
      <c r="BM919" s="2" t="n">
        <v>0</v>
      </c>
      <c r="BN919" s="2" t="n">
        <v>0</v>
      </c>
      <c r="BO919" s="2" t="n">
        <v>0</v>
      </c>
      <c r="BP919" s="2" t="n">
        <v>0</v>
      </c>
      <c r="BQ919" s="2" t="n">
        <v>0</v>
      </c>
      <c r="BR919" s="2" t="n">
        <v>0</v>
      </c>
      <c r="BS919" s="2" t="n">
        <v>0</v>
      </c>
      <c r="BT919" s="2" t="n">
        <v>0</v>
      </c>
      <c r="BU919" s="2" t="n">
        <v>0</v>
      </c>
      <c r="BV919" s="2" t="n">
        <v>0</v>
      </c>
      <c r="BW919" s="2" t="n">
        <v>0</v>
      </c>
      <c r="BX919" s="2" t="n">
        <v>0</v>
      </c>
      <c r="BY919" s="2" t="n">
        <v>0</v>
      </c>
      <c r="BZ919" s="2" t="n">
        <v>0</v>
      </c>
      <c r="CA919" s="2" t="n">
        <v>0</v>
      </c>
      <c r="CB919" s="2" t="n">
        <v>0</v>
      </c>
      <c r="CC919" s="2" t="n">
        <v>0</v>
      </c>
      <c r="CD919" s="2" t="n">
        <v>0</v>
      </c>
      <c r="CE919" s="2" t="n">
        <v>0</v>
      </c>
      <c r="CF919" s="2" t="n">
        <v>0</v>
      </c>
      <c r="CG919" s="2" t="n">
        <v>0</v>
      </c>
      <c r="CH919" s="2" t="n">
        <v>0</v>
      </c>
      <c r="CI919" s="2" t="n">
        <v>0</v>
      </c>
      <c r="CJ919" s="2" t="n">
        <v>0</v>
      </c>
      <c r="CK919" s="2" t="n">
        <v>0</v>
      </c>
      <c r="CL919" s="2" t="n">
        <v>0</v>
      </c>
      <c r="CM919" s="2" t="n">
        <v>0</v>
      </c>
      <c r="CN919" s="2" t="n">
        <v>0</v>
      </c>
      <c r="CO919" s="2" t="n">
        <v>0</v>
      </c>
      <c r="CP919" s="2" t="n">
        <v>0</v>
      </c>
      <c r="CQ919" s="2" t="n">
        <v>0</v>
      </c>
      <c r="CR919" s="2" t="n">
        <v>0</v>
      </c>
      <c r="CS919" s="2" t="n">
        <v>0</v>
      </c>
      <c r="CT919" s="2" t="n">
        <v>0</v>
      </c>
      <c r="CU919" s="2" t="n">
        <v>0</v>
      </c>
      <c r="CV919" s="2" t="n">
        <v>0</v>
      </c>
      <c r="CW919" s="2" t="n">
        <v>0</v>
      </c>
      <c r="CX919" s="2" t="n">
        <v>0</v>
      </c>
      <c r="CY919" s="2" t="n">
        <v>0</v>
      </c>
      <c r="CZ919" s="2" t="n">
        <v>0</v>
      </c>
      <c r="DA919" s="2" t="n">
        <v>0</v>
      </c>
      <c r="DB919" s="2" t="n">
        <v>0</v>
      </c>
      <c r="DC919" s="2" t="n">
        <v>0</v>
      </c>
      <c r="DD919" s="2" t="n">
        <v>0</v>
      </c>
      <c r="DE919" s="2" t="n">
        <v>0</v>
      </c>
      <c r="DF919" s="2" t="n">
        <v>0</v>
      </c>
      <c r="DG919" s="2" t="n">
        <v>0</v>
      </c>
      <c r="DH919" s="2" t="n">
        <v>0</v>
      </c>
      <c r="DI919" s="2" t="n">
        <v>0</v>
      </c>
      <c r="DJ919" s="2" t="n">
        <v>0</v>
      </c>
      <c r="DK919" s="2" t="n">
        <v>0</v>
      </c>
      <c r="DL919" s="2" t="n">
        <v>0</v>
      </c>
      <c r="DM919" s="2" t="n">
        <v>0</v>
      </c>
      <c r="DN919" s="2" t="n">
        <v>0</v>
      </c>
      <c r="DO919" s="2" t="n">
        <v>0</v>
      </c>
      <c r="DP919" s="2" t="n">
        <v>0</v>
      </c>
      <c r="DQ919" s="2" t="n">
        <v>23.66</v>
      </c>
      <c r="DR919" s="2" t="n">
        <v>0</v>
      </c>
      <c r="DS919" s="2" t="n">
        <v>27.03</v>
      </c>
      <c r="DT919" s="2" t="n">
        <v>56.37</v>
      </c>
      <c r="DU919" s="2" t="n">
        <v>0</v>
      </c>
      <c r="DV919" s="2" t="n">
        <v>58.33</v>
      </c>
      <c r="DW919" s="2" t="n">
        <v>70.83</v>
      </c>
      <c r="DX919" s="2" t="n">
        <v>0</v>
      </c>
      <c r="DY919" s="2" t="n">
        <v>88.61</v>
      </c>
      <c r="DZ919" s="2" t="n">
        <v>89.09</v>
      </c>
      <c r="EA919" s="2" t="n">
        <v>0</v>
      </c>
      <c r="EB919" s="2" t="n">
        <v>97.63</v>
      </c>
      <c r="EC919" s="2" t="n">
        <v>98.09999999999999</v>
      </c>
      <c r="ED919" s="2" t="n">
        <v>0</v>
      </c>
      <c r="EE919" s="2" t="n">
        <v>100</v>
      </c>
      <c r="EF919" s="2" t="n">
        <v>100</v>
      </c>
      <c r="EG919" s="2" t="n">
        <v>0</v>
      </c>
      <c r="EH919" s="2" t="n">
        <v>100</v>
      </c>
      <c r="EI919" s="2" t="n">
        <v>100</v>
      </c>
      <c r="EJ919" s="2" t="n">
        <v>0</v>
      </c>
      <c r="EK919" s="2" t="n">
        <v>100</v>
      </c>
      <c r="EL919" s="2" t="n">
        <v>100</v>
      </c>
      <c r="EM919" s="2" t="n">
        <v>0</v>
      </c>
      <c r="EN919" s="2" t="n">
        <v>100</v>
      </c>
      <c r="EO919" s="2" t="n">
        <v>100</v>
      </c>
      <c r="EP919" s="2" t="n">
        <v>0</v>
      </c>
      <c r="EQ919" s="2" t="n">
        <v>100</v>
      </c>
      <c r="ER919" s="2" t="n">
        <v>100</v>
      </c>
      <c r="ES919" s="2" t="n">
        <v>0</v>
      </c>
    </row>
    <row r="920">
      <c r="A920" s="2" t="n">
        <v>2</v>
      </c>
      <c r="B920" s="2" t="inlineStr">
        <is>
          <t>36.01</t>
        </is>
      </c>
      <c r="C920" s="2" t="inlineStr">
        <is>
          <t>Serviços de Paisagismo</t>
        </is>
      </c>
      <c r="D920" s="2" t="inlineStr">
        <is>
          <t>12/07/2028</t>
        </is>
      </c>
      <c r="E920" s="2" t="inlineStr">
        <is>
          <t>06/12/2028</t>
        </is>
      </c>
      <c r="F920" s="2" t="n">
        <v>1116999.598184166</v>
      </c>
      <c r="G920" s="2" t="n">
        <v>0</v>
      </c>
      <c r="H920" s="2" t="n">
        <v>1116999.598184166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0</v>
      </c>
      <c r="AM920" s="2" t="n">
        <v>0</v>
      </c>
      <c r="AN920" s="2" t="n">
        <v>0</v>
      </c>
      <c r="AO920" s="2" t="n">
        <v>0</v>
      </c>
      <c r="AP920" s="2" t="n">
        <v>0</v>
      </c>
      <c r="AQ920" s="2" t="n">
        <v>0</v>
      </c>
      <c r="AR920" s="2" t="n">
        <v>0</v>
      </c>
      <c r="AS920" s="2" t="n">
        <v>0</v>
      </c>
      <c r="AT920" s="2" t="n">
        <v>0</v>
      </c>
      <c r="AU920" s="2" t="n">
        <v>0</v>
      </c>
      <c r="AV920" s="2" t="n">
        <v>0</v>
      </c>
      <c r="AW920" s="2" t="n">
        <v>0</v>
      </c>
      <c r="AX920" s="2" t="n">
        <v>0</v>
      </c>
      <c r="AY920" s="2" t="n">
        <v>0</v>
      </c>
      <c r="AZ920" s="2" t="n">
        <v>0</v>
      </c>
      <c r="BA920" s="2" t="n">
        <v>0</v>
      </c>
      <c r="BB920" s="2" t="n">
        <v>0</v>
      </c>
      <c r="BC920" s="2" t="n">
        <v>0</v>
      </c>
      <c r="BD920" s="2" t="n">
        <v>0</v>
      </c>
      <c r="BE920" s="2" t="n">
        <v>0</v>
      </c>
      <c r="BF920" s="2" t="n">
        <v>0</v>
      </c>
      <c r="BG920" s="2" t="n">
        <v>0</v>
      </c>
      <c r="BH920" s="2" t="n">
        <v>0</v>
      </c>
      <c r="BI920" s="2" t="n">
        <v>0</v>
      </c>
      <c r="BJ920" s="2" t="n">
        <v>0</v>
      </c>
      <c r="BK920" s="2" t="n">
        <v>0</v>
      </c>
      <c r="BL920" s="2" t="n">
        <v>0</v>
      </c>
      <c r="BM920" s="2" t="n">
        <v>0</v>
      </c>
      <c r="BN920" s="2" t="n">
        <v>0</v>
      </c>
      <c r="BO920" s="2" t="n">
        <v>0</v>
      </c>
      <c r="BP920" s="2" t="n">
        <v>0</v>
      </c>
      <c r="BQ920" s="2" t="n">
        <v>0</v>
      </c>
      <c r="BR920" s="2" t="n">
        <v>0</v>
      </c>
      <c r="BS920" s="2" t="n">
        <v>0</v>
      </c>
      <c r="BT920" s="2" t="n">
        <v>0</v>
      </c>
      <c r="BU920" s="2" t="n">
        <v>0</v>
      </c>
      <c r="BV920" s="2" t="n">
        <v>0</v>
      </c>
      <c r="BW920" s="2" t="n">
        <v>0</v>
      </c>
      <c r="BX920" s="2" t="n">
        <v>0</v>
      </c>
      <c r="BY920" s="2" t="n">
        <v>0</v>
      </c>
      <c r="BZ920" s="2" t="n">
        <v>0</v>
      </c>
      <c r="CA920" s="2" t="n">
        <v>0</v>
      </c>
      <c r="CB920" s="2" t="n">
        <v>0</v>
      </c>
      <c r="CC920" s="2" t="n">
        <v>0</v>
      </c>
      <c r="CD920" s="2" t="n">
        <v>0</v>
      </c>
      <c r="CE920" s="2" t="n">
        <v>0</v>
      </c>
      <c r="CF920" s="2" t="n">
        <v>0</v>
      </c>
      <c r="CG920" s="2" t="n">
        <v>0</v>
      </c>
      <c r="CH920" s="2" t="n">
        <v>0</v>
      </c>
      <c r="CI920" s="2" t="n">
        <v>0</v>
      </c>
      <c r="CJ920" s="2" t="n">
        <v>0</v>
      </c>
      <c r="CK920" s="2" t="n">
        <v>0</v>
      </c>
      <c r="CL920" s="2" t="n">
        <v>0</v>
      </c>
      <c r="CM920" s="2" t="n">
        <v>0</v>
      </c>
      <c r="CN920" s="2" t="n">
        <v>0</v>
      </c>
      <c r="CO920" s="2" t="n">
        <v>0</v>
      </c>
      <c r="CP920" s="2" t="n">
        <v>0</v>
      </c>
      <c r="CQ920" s="2" t="n">
        <v>0</v>
      </c>
      <c r="CR920" s="2" t="n">
        <v>0</v>
      </c>
      <c r="CS920" s="2" t="n">
        <v>0</v>
      </c>
      <c r="CT920" s="2" t="n">
        <v>0</v>
      </c>
      <c r="CU920" s="2" t="n">
        <v>0</v>
      </c>
      <c r="CV920" s="2" t="n">
        <v>0</v>
      </c>
      <c r="CW920" s="2" t="n">
        <v>0</v>
      </c>
      <c r="CX920" s="2" t="n">
        <v>0</v>
      </c>
      <c r="CY920" s="2" t="n">
        <v>0</v>
      </c>
      <c r="CZ920" s="2" t="n">
        <v>0</v>
      </c>
      <c r="DA920" s="2" t="n">
        <v>0</v>
      </c>
      <c r="DB920" s="2" t="n">
        <v>0</v>
      </c>
      <c r="DC920" s="2" t="n">
        <v>0</v>
      </c>
      <c r="DD920" s="2" t="n">
        <v>0</v>
      </c>
      <c r="DE920" s="2" t="n">
        <v>0</v>
      </c>
      <c r="DF920" s="2" t="n">
        <v>0</v>
      </c>
      <c r="DG920" s="2" t="n">
        <v>0</v>
      </c>
      <c r="DH920" s="2" t="n">
        <v>0</v>
      </c>
      <c r="DI920" s="2" t="n">
        <v>0</v>
      </c>
      <c r="DJ920" s="2" t="n">
        <v>0</v>
      </c>
      <c r="DK920" s="2" t="n">
        <v>0</v>
      </c>
      <c r="DL920" s="2" t="n">
        <v>0</v>
      </c>
      <c r="DM920" s="2" t="n">
        <v>0</v>
      </c>
      <c r="DN920" s="2" t="n">
        <v>0</v>
      </c>
      <c r="DO920" s="2" t="n">
        <v>0</v>
      </c>
      <c r="DP920" s="2" t="n">
        <v>0</v>
      </c>
      <c r="DQ920" s="2" t="n">
        <v>23.66</v>
      </c>
      <c r="DR920" s="2" t="n">
        <v>0</v>
      </c>
      <c r="DS920" s="2" t="n">
        <v>27.03</v>
      </c>
      <c r="DT920" s="2" t="n">
        <v>56.37</v>
      </c>
      <c r="DU920" s="2" t="n">
        <v>0</v>
      </c>
      <c r="DV920" s="2" t="n">
        <v>58.33</v>
      </c>
      <c r="DW920" s="2" t="n">
        <v>70.83</v>
      </c>
      <c r="DX920" s="2" t="n">
        <v>0</v>
      </c>
      <c r="DY920" s="2" t="n">
        <v>88.61</v>
      </c>
      <c r="DZ920" s="2" t="n">
        <v>89.09</v>
      </c>
      <c r="EA920" s="2" t="n">
        <v>0</v>
      </c>
      <c r="EB920" s="2" t="n">
        <v>97.63</v>
      </c>
      <c r="EC920" s="2" t="n">
        <v>98.09999999999999</v>
      </c>
      <c r="ED920" s="2" t="n">
        <v>0</v>
      </c>
      <c r="EE920" s="2" t="n">
        <v>100</v>
      </c>
      <c r="EF920" s="2" t="n">
        <v>100</v>
      </c>
      <c r="EG920" s="2" t="n">
        <v>0</v>
      </c>
      <c r="EH920" s="2" t="n">
        <v>100</v>
      </c>
      <c r="EI920" s="2" t="n">
        <v>100</v>
      </c>
      <c r="EJ920" s="2" t="n">
        <v>0</v>
      </c>
      <c r="EK920" s="2" t="n">
        <v>100</v>
      </c>
      <c r="EL920" s="2" t="n">
        <v>100</v>
      </c>
      <c r="EM920" s="2" t="n">
        <v>0</v>
      </c>
      <c r="EN920" s="2" t="n">
        <v>100</v>
      </c>
      <c r="EO920" s="2" t="n">
        <v>100</v>
      </c>
      <c r="EP920" s="2" t="n">
        <v>0</v>
      </c>
      <c r="EQ920" s="2" t="n">
        <v>100</v>
      </c>
      <c r="ER920" s="2" t="n">
        <v>100</v>
      </c>
      <c r="ES920" s="2" t="n">
        <v>0</v>
      </c>
    </row>
    <row r="921">
      <c r="A921" s="2" t="n">
        <v>3</v>
      </c>
      <c r="B921" s="2" t="inlineStr">
        <is>
          <t>36.01.01</t>
        </is>
      </c>
      <c r="C921" s="2" t="inlineStr">
        <is>
          <t>Drenagens Para Jardins</t>
        </is>
      </c>
      <c r="D921" s="2" t="inlineStr">
        <is>
          <t>12/07/2028</t>
        </is>
      </c>
      <c r="E921" s="2" t="inlineStr">
        <is>
          <t>06/12/2028</t>
        </is>
      </c>
      <c r="F921" s="2" t="n">
        <v>40149.59818416653</v>
      </c>
      <c r="G921" s="2" t="n">
        <v>0</v>
      </c>
      <c r="H921" s="2" t="n">
        <v>40149.59818416653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n">
        <v>0</v>
      </c>
      <c r="AK921" s="2" t="n">
        <v>0</v>
      </c>
      <c r="AL921" s="2" t="n">
        <v>0</v>
      </c>
      <c r="AM921" s="2" t="n">
        <v>0</v>
      </c>
      <c r="AN921" s="2" t="n">
        <v>0</v>
      </c>
      <c r="AO921" s="2" t="n">
        <v>0</v>
      </c>
      <c r="AP921" s="2" t="n">
        <v>0</v>
      </c>
      <c r="AQ921" s="2" t="n">
        <v>0</v>
      </c>
      <c r="AR921" s="2" t="n">
        <v>0</v>
      </c>
      <c r="AS921" s="2" t="n">
        <v>0</v>
      </c>
      <c r="AT921" s="2" t="n">
        <v>0</v>
      </c>
      <c r="AU921" s="2" t="n">
        <v>0</v>
      </c>
      <c r="AV921" s="2" t="n">
        <v>0</v>
      </c>
      <c r="AW921" s="2" t="n">
        <v>0</v>
      </c>
      <c r="AX921" s="2" t="n">
        <v>0</v>
      </c>
      <c r="AY921" s="2" t="n">
        <v>0</v>
      </c>
      <c r="AZ921" s="2" t="n">
        <v>0</v>
      </c>
      <c r="BA921" s="2" t="n">
        <v>0</v>
      </c>
      <c r="BB921" s="2" t="n">
        <v>0</v>
      </c>
      <c r="BC921" s="2" t="n">
        <v>0</v>
      </c>
      <c r="BD921" s="2" t="n">
        <v>0</v>
      </c>
      <c r="BE921" s="2" t="n">
        <v>0</v>
      </c>
      <c r="BF921" s="2" t="n">
        <v>0</v>
      </c>
      <c r="BG921" s="2" t="n">
        <v>0</v>
      </c>
      <c r="BH921" s="2" t="n">
        <v>0</v>
      </c>
      <c r="BI921" s="2" t="n">
        <v>0</v>
      </c>
      <c r="BJ921" s="2" t="n">
        <v>0</v>
      </c>
      <c r="BK921" s="2" t="n">
        <v>0</v>
      </c>
      <c r="BL921" s="2" t="n">
        <v>0</v>
      </c>
      <c r="BM921" s="2" t="n">
        <v>0</v>
      </c>
      <c r="BN921" s="2" t="n">
        <v>0</v>
      </c>
      <c r="BO921" s="2" t="n">
        <v>0</v>
      </c>
      <c r="BP921" s="2" t="n">
        <v>0</v>
      </c>
      <c r="BQ921" s="2" t="n">
        <v>0</v>
      </c>
      <c r="BR921" s="2" t="n">
        <v>0</v>
      </c>
      <c r="BS921" s="2" t="n">
        <v>0</v>
      </c>
      <c r="BT921" s="2" t="n">
        <v>0</v>
      </c>
      <c r="BU921" s="2" t="n">
        <v>0</v>
      </c>
      <c r="BV921" s="2" t="n">
        <v>0</v>
      </c>
      <c r="BW921" s="2" t="n">
        <v>0</v>
      </c>
      <c r="BX921" s="2" t="n">
        <v>0</v>
      </c>
      <c r="BY921" s="2" t="n">
        <v>0</v>
      </c>
      <c r="BZ921" s="2" t="n">
        <v>0</v>
      </c>
      <c r="CA921" s="2" t="n">
        <v>0</v>
      </c>
      <c r="CB921" s="2" t="n">
        <v>0</v>
      </c>
      <c r="CC921" s="2" t="n">
        <v>0</v>
      </c>
      <c r="CD921" s="2" t="n">
        <v>0</v>
      </c>
      <c r="CE921" s="2" t="n">
        <v>0</v>
      </c>
      <c r="CF921" s="2" t="n">
        <v>0</v>
      </c>
      <c r="CG921" s="2" t="n">
        <v>0</v>
      </c>
      <c r="CH921" s="2" t="n">
        <v>0</v>
      </c>
      <c r="CI921" s="2" t="n">
        <v>0</v>
      </c>
      <c r="CJ921" s="2" t="n">
        <v>0</v>
      </c>
      <c r="CK921" s="2" t="n">
        <v>0</v>
      </c>
      <c r="CL921" s="2" t="n">
        <v>0</v>
      </c>
      <c r="CM921" s="2" t="n">
        <v>0</v>
      </c>
      <c r="CN921" s="2" t="n">
        <v>0</v>
      </c>
      <c r="CO921" s="2" t="n">
        <v>0</v>
      </c>
      <c r="CP921" s="2" t="n">
        <v>0</v>
      </c>
      <c r="CQ921" s="2" t="n">
        <v>0</v>
      </c>
      <c r="CR921" s="2" t="n">
        <v>0</v>
      </c>
      <c r="CS921" s="2" t="n">
        <v>0</v>
      </c>
      <c r="CT921" s="2" t="n">
        <v>0</v>
      </c>
      <c r="CU921" s="2" t="n">
        <v>0</v>
      </c>
      <c r="CV921" s="2" t="n">
        <v>0</v>
      </c>
      <c r="CW921" s="2" t="n">
        <v>0</v>
      </c>
      <c r="CX921" s="2" t="n">
        <v>0</v>
      </c>
      <c r="CY921" s="2" t="n">
        <v>0</v>
      </c>
      <c r="CZ921" s="2" t="n">
        <v>0</v>
      </c>
      <c r="DA921" s="2" t="n">
        <v>0</v>
      </c>
      <c r="DB921" s="2" t="n">
        <v>0</v>
      </c>
      <c r="DC921" s="2" t="n">
        <v>0</v>
      </c>
      <c r="DD921" s="2" t="n">
        <v>0</v>
      </c>
      <c r="DE921" s="2" t="n">
        <v>0</v>
      </c>
      <c r="DF921" s="2" t="n">
        <v>0</v>
      </c>
      <c r="DG921" s="2" t="n">
        <v>0</v>
      </c>
      <c r="DH921" s="2" t="n">
        <v>0</v>
      </c>
      <c r="DI921" s="2" t="n">
        <v>0</v>
      </c>
      <c r="DJ921" s="2" t="n">
        <v>0</v>
      </c>
      <c r="DK921" s="2" t="n">
        <v>0</v>
      </c>
      <c r="DL921" s="2" t="n">
        <v>0</v>
      </c>
      <c r="DM921" s="2" t="n">
        <v>0</v>
      </c>
      <c r="DN921" s="2" t="n">
        <v>0</v>
      </c>
      <c r="DO921" s="2" t="n">
        <v>0</v>
      </c>
      <c r="DP921" s="2" t="n">
        <v>0</v>
      </c>
      <c r="DQ921" s="2" t="n">
        <v>26.5</v>
      </c>
      <c r="DR921" s="2" t="n">
        <v>0</v>
      </c>
      <c r="DS921" s="2" t="n">
        <v>30.29</v>
      </c>
      <c r="DT921" s="2" t="n">
        <v>63.16</v>
      </c>
      <c r="DU921" s="2" t="n">
        <v>0</v>
      </c>
      <c r="DV921" s="2" t="n">
        <v>63.16</v>
      </c>
      <c r="DW921" s="2" t="n">
        <v>76.61</v>
      </c>
      <c r="DX921" s="2" t="n">
        <v>0</v>
      </c>
      <c r="DY921" s="2" t="n">
        <v>87.23999999999999</v>
      </c>
      <c r="DZ921" s="2" t="n">
        <v>87.78</v>
      </c>
      <c r="EA921" s="2" t="n">
        <v>0</v>
      </c>
      <c r="EB921" s="2" t="n">
        <v>97.34</v>
      </c>
      <c r="EC921" s="2" t="n">
        <v>97.87</v>
      </c>
      <c r="ED921" s="2" t="n">
        <v>0</v>
      </c>
      <c r="EE921" s="2" t="n">
        <v>100</v>
      </c>
      <c r="EF921" s="2" t="n">
        <v>100</v>
      </c>
      <c r="EG921" s="2" t="n">
        <v>0</v>
      </c>
      <c r="EH921" s="2" t="n">
        <v>100</v>
      </c>
      <c r="EI921" s="2" t="n">
        <v>100</v>
      </c>
      <c r="EJ921" s="2" t="n">
        <v>0</v>
      </c>
      <c r="EK921" s="2" t="n">
        <v>100</v>
      </c>
      <c r="EL921" s="2" t="n">
        <v>100</v>
      </c>
      <c r="EM921" s="2" t="n">
        <v>0</v>
      </c>
      <c r="EN921" s="2" t="n">
        <v>100</v>
      </c>
      <c r="EO921" s="2" t="n">
        <v>100</v>
      </c>
      <c r="EP921" s="2" t="n">
        <v>0</v>
      </c>
      <c r="EQ921" s="2" t="n">
        <v>100</v>
      </c>
      <c r="ER921" s="2" t="n">
        <v>100</v>
      </c>
      <c r="ES921" s="2" t="n">
        <v>0</v>
      </c>
    </row>
    <row r="922">
      <c r="A922" s="2" t="n">
        <v>3</v>
      </c>
      <c r="B922" s="2" t="inlineStr">
        <is>
          <t>36.01.02</t>
        </is>
      </c>
      <c r="C922" s="2" t="inlineStr">
        <is>
          <t>Paisagismo</t>
        </is>
      </c>
      <c r="D922" s="2" t="inlineStr">
        <is>
          <t>12/07/2028</t>
        </is>
      </c>
      <c r="E922" s="2" t="inlineStr">
        <is>
          <t>06/12/2028</t>
        </is>
      </c>
      <c r="F922" s="2" t="n">
        <v>558000</v>
      </c>
      <c r="G922" s="2" t="n">
        <v>0</v>
      </c>
      <c r="H922" s="2" t="n">
        <v>558000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0</v>
      </c>
      <c r="AM922" s="2" t="n">
        <v>0</v>
      </c>
      <c r="AN922" s="2" t="n">
        <v>0</v>
      </c>
      <c r="AO922" s="2" t="n">
        <v>0</v>
      </c>
      <c r="AP922" s="2" t="n">
        <v>0</v>
      </c>
      <c r="AQ922" s="2" t="n">
        <v>0</v>
      </c>
      <c r="AR922" s="2" t="n">
        <v>0</v>
      </c>
      <c r="AS922" s="2" t="n">
        <v>0</v>
      </c>
      <c r="AT922" s="2" t="n">
        <v>0</v>
      </c>
      <c r="AU922" s="2" t="n">
        <v>0</v>
      </c>
      <c r="AV922" s="2" t="n">
        <v>0</v>
      </c>
      <c r="AW922" s="2" t="n">
        <v>0</v>
      </c>
      <c r="AX922" s="2" t="n">
        <v>0</v>
      </c>
      <c r="AY922" s="2" t="n">
        <v>0</v>
      </c>
      <c r="AZ922" s="2" t="n">
        <v>0</v>
      </c>
      <c r="BA922" s="2" t="n">
        <v>0</v>
      </c>
      <c r="BB922" s="2" t="n">
        <v>0</v>
      </c>
      <c r="BC922" s="2" t="n">
        <v>0</v>
      </c>
      <c r="BD922" s="2" t="n">
        <v>0</v>
      </c>
      <c r="BE922" s="2" t="n">
        <v>0</v>
      </c>
      <c r="BF922" s="2" t="n">
        <v>0</v>
      </c>
      <c r="BG922" s="2" t="n">
        <v>0</v>
      </c>
      <c r="BH922" s="2" t="n">
        <v>0</v>
      </c>
      <c r="BI922" s="2" t="n">
        <v>0</v>
      </c>
      <c r="BJ922" s="2" t="n">
        <v>0</v>
      </c>
      <c r="BK922" s="2" t="n">
        <v>0</v>
      </c>
      <c r="BL922" s="2" t="n">
        <v>0</v>
      </c>
      <c r="BM922" s="2" t="n">
        <v>0</v>
      </c>
      <c r="BN922" s="2" t="n">
        <v>0</v>
      </c>
      <c r="BO922" s="2" t="n">
        <v>0</v>
      </c>
      <c r="BP922" s="2" t="n">
        <v>0</v>
      </c>
      <c r="BQ922" s="2" t="n">
        <v>0</v>
      </c>
      <c r="BR922" s="2" t="n">
        <v>0</v>
      </c>
      <c r="BS922" s="2" t="n">
        <v>0</v>
      </c>
      <c r="BT922" s="2" t="n">
        <v>0</v>
      </c>
      <c r="BU922" s="2" t="n">
        <v>0</v>
      </c>
      <c r="BV922" s="2" t="n">
        <v>0</v>
      </c>
      <c r="BW922" s="2" t="n">
        <v>0</v>
      </c>
      <c r="BX922" s="2" t="n">
        <v>0</v>
      </c>
      <c r="BY922" s="2" t="n">
        <v>0</v>
      </c>
      <c r="BZ922" s="2" t="n">
        <v>0</v>
      </c>
      <c r="CA922" s="2" t="n">
        <v>0</v>
      </c>
      <c r="CB922" s="2" t="n">
        <v>0</v>
      </c>
      <c r="CC922" s="2" t="n">
        <v>0</v>
      </c>
      <c r="CD922" s="2" t="n">
        <v>0</v>
      </c>
      <c r="CE922" s="2" t="n">
        <v>0</v>
      </c>
      <c r="CF922" s="2" t="n">
        <v>0</v>
      </c>
      <c r="CG922" s="2" t="n">
        <v>0</v>
      </c>
      <c r="CH922" s="2" t="n">
        <v>0</v>
      </c>
      <c r="CI922" s="2" t="n">
        <v>0</v>
      </c>
      <c r="CJ922" s="2" t="n">
        <v>0</v>
      </c>
      <c r="CK922" s="2" t="n">
        <v>0</v>
      </c>
      <c r="CL922" s="2" t="n">
        <v>0</v>
      </c>
      <c r="CM922" s="2" t="n">
        <v>0</v>
      </c>
      <c r="CN922" s="2" t="n">
        <v>0</v>
      </c>
      <c r="CO922" s="2" t="n">
        <v>0</v>
      </c>
      <c r="CP922" s="2" t="n">
        <v>0</v>
      </c>
      <c r="CQ922" s="2" t="n">
        <v>0</v>
      </c>
      <c r="CR922" s="2" t="n">
        <v>0</v>
      </c>
      <c r="CS922" s="2" t="n">
        <v>0</v>
      </c>
      <c r="CT922" s="2" t="n">
        <v>0</v>
      </c>
      <c r="CU922" s="2" t="n">
        <v>0</v>
      </c>
      <c r="CV922" s="2" t="n">
        <v>0</v>
      </c>
      <c r="CW922" s="2" t="n">
        <v>0</v>
      </c>
      <c r="CX922" s="2" t="n">
        <v>0</v>
      </c>
      <c r="CY922" s="2" t="n">
        <v>0</v>
      </c>
      <c r="CZ922" s="2" t="n">
        <v>0</v>
      </c>
      <c r="DA922" s="2" t="n">
        <v>0</v>
      </c>
      <c r="DB922" s="2" t="n">
        <v>0</v>
      </c>
      <c r="DC922" s="2" t="n">
        <v>0</v>
      </c>
      <c r="DD922" s="2" t="n">
        <v>0</v>
      </c>
      <c r="DE922" s="2" t="n">
        <v>0</v>
      </c>
      <c r="DF922" s="2" t="n">
        <v>0</v>
      </c>
      <c r="DG922" s="2" t="n">
        <v>0</v>
      </c>
      <c r="DH922" s="2" t="n">
        <v>0</v>
      </c>
      <c r="DI922" s="2" t="n">
        <v>0</v>
      </c>
      <c r="DJ922" s="2" t="n">
        <v>0</v>
      </c>
      <c r="DK922" s="2" t="n">
        <v>0</v>
      </c>
      <c r="DL922" s="2" t="n">
        <v>0</v>
      </c>
      <c r="DM922" s="2" t="n">
        <v>0</v>
      </c>
      <c r="DN922" s="2" t="n">
        <v>0</v>
      </c>
      <c r="DO922" s="2" t="n">
        <v>0</v>
      </c>
      <c r="DP922" s="2" t="n">
        <v>0</v>
      </c>
      <c r="DQ922" s="2" t="n">
        <v>26.5</v>
      </c>
      <c r="DR922" s="2" t="n">
        <v>0</v>
      </c>
      <c r="DS922" s="2" t="n">
        <v>30.29</v>
      </c>
      <c r="DT922" s="2" t="n">
        <v>63.16</v>
      </c>
      <c r="DU922" s="2" t="n">
        <v>0</v>
      </c>
      <c r="DV922" s="2" t="n">
        <v>63.16</v>
      </c>
      <c r="DW922" s="2" t="n">
        <v>76.61</v>
      </c>
      <c r="DX922" s="2" t="n">
        <v>0</v>
      </c>
      <c r="DY922" s="2" t="n">
        <v>87.23999999999999</v>
      </c>
      <c r="DZ922" s="2" t="n">
        <v>87.78</v>
      </c>
      <c r="EA922" s="2" t="n">
        <v>0</v>
      </c>
      <c r="EB922" s="2" t="n">
        <v>97.34</v>
      </c>
      <c r="EC922" s="2" t="n">
        <v>97.87</v>
      </c>
      <c r="ED922" s="2" t="n">
        <v>0</v>
      </c>
      <c r="EE922" s="2" t="n">
        <v>100</v>
      </c>
      <c r="EF922" s="2" t="n">
        <v>100</v>
      </c>
      <c r="EG922" s="2" t="n">
        <v>0</v>
      </c>
      <c r="EH922" s="2" t="n">
        <v>100</v>
      </c>
      <c r="EI922" s="2" t="n">
        <v>100</v>
      </c>
      <c r="EJ922" s="2" t="n">
        <v>0</v>
      </c>
      <c r="EK922" s="2" t="n">
        <v>100</v>
      </c>
      <c r="EL922" s="2" t="n">
        <v>100</v>
      </c>
      <c r="EM922" s="2" t="n">
        <v>0</v>
      </c>
      <c r="EN922" s="2" t="n">
        <v>100</v>
      </c>
      <c r="EO922" s="2" t="n">
        <v>100</v>
      </c>
      <c r="EP922" s="2" t="n">
        <v>0</v>
      </c>
      <c r="EQ922" s="2" t="n">
        <v>100</v>
      </c>
      <c r="ER922" s="2" t="n">
        <v>100</v>
      </c>
      <c r="ES922" s="2" t="n">
        <v>0</v>
      </c>
    </row>
    <row r="923">
      <c r="A923" s="2" t="n">
        <v>3</v>
      </c>
      <c r="B923" s="2" t="inlineStr">
        <is>
          <t>36.01.03</t>
        </is>
      </c>
      <c r="C923" s="2" t="inlineStr">
        <is>
          <t>Terra vegetal</t>
        </is>
      </c>
      <c r="D923" s="2" t="inlineStr">
        <is>
          <t>12/07/2028</t>
        </is>
      </c>
      <c r="E923" s="2" t="inlineStr">
        <is>
          <t>06/12/2028</t>
        </is>
      </c>
      <c r="F923" s="2" t="n">
        <v>100000</v>
      </c>
      <c r="G923" s="2" t="n">
        <v>0</v>
      </c>
      <c r="H923" s="2" t="n">
        <v>100000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0</v>
      </c>
      <c r="AM923" s="2" t="n">
        <v>0</v>
      </c>
      <c r="AN923" s="2" t="n">
        <v>0</v>
      </c>
      <c r="AO923" s="2" t="n">
        <v>0</v>
      </c>
      <c r="AP923" s="2" t="n">
        <v>0</v>
      </c>
      <c r="AQ923" s="2" t="n">
        <v>0</v>
      </c>
      <c r="AR923" s="2" t="n">
        <v>0</v>
      </c>
      <c r="AS923" s="2" t="n">
        <v>0</v>
      </c>
      <c r="AT923" s="2" t="n">
        <v>0</v>
      </c>
      <c r="AU923" s="2" t="n">
        <v>0</v>
      </c>
      <c r="AV923" s="2" t="n">
        <v>0</v>
      </c>
      <c r="AW923" s="2" t="n">
        <v>0</v>
      </c>
      <c r="AX923" s="2" t="n">
        <v>0</v>
      </c>
      <c r="AY923" s="2" t="n">
        <v>0</v>
      </c>
      <c r="AZ923" s="2" t="n">
        <v>0</v>
      </c>
      <c r="BA923" s="2" t="n">
        <v>0</v>
      </c>
      <c r="BB923" s="2" t="n">
        <v>0</v>
      </c>
      <c r="BC923" s="2" t="n">
        <v>0</v>
      </c>
      <c r="BD923" s="2" t="n">
        <v>0</v>
      </c>
      <c r="BE923" s="2" t="n">
        <v>0</v>
      </c>
      <c r="BF923" s="2" t="n">
        <v>0</v>
      </c>
      <c r="BG923" s="2" t="n">
        <v>0</v>
      </c>
      <c r="BH923" s="2" t="n">
        <v>0</v>
      </c>
      <c r="BI923" s="2" t="n">
        <v>0</v>
      </c>
      <c r="BJ923" s="2" t="n">
        <v>0</v>
      </c>
      <c r="BK923" s="2" t="n">
        <v>0</v>
      </c>
      <c r="BL923" s="2" t="n">
        <v>0</v>
      </c>
      <c r="BM923" s="2" t="n">
        <v>0</v>
      </c>
      <c r="BN923" s="2" t="n">
        <v>0</v>
      </c>
      <c r="BO923" s="2" t="n">
        <v>0</v>
      </c>
      <c r="BP923" s="2" t="n">
        <v>0</v>
      </c>
      <c r="BQ923" s="2" t="n">
        <v>0</v>
      </c>
      <c r="BR923" s="2" t="n">
        <v>0</v>
      </c>
      <c r="BS923" s="2" t="n">
        <v>0</v>
      </c>
      <c r="BT923" s="2" t="n">
        <v>0</v>
      </c>
      <c r="BU923" s="2" t="n">
        <v>0</v>
      </c>
      <c r="BV923" s="2" t="n">
        <v>0</v>
      </c>
      <c r="BW923" s="2" t="n">
        <v>0</v>
      </c>
      <c r="BX923" s="2" t="n">
        <v>0</v>
      </c>
      <c r="BY923" s="2" t="n">
        <v>0</v>
      </c>
      <c r="BZ923" s="2" t="n">
        <v>0</v>
      </c>
      <c r="CA923" s="2" t="n">
        <v>0</v>
      </c>
      <c r="CB923" s="2" t="n">
        <v>0</v>
      </c>
      <c r="CC923" s="2" t="n">
        <v>0</v>
      </c>
      <c r="CD923" s="2" t="n">
        <v>0</v>
      </c>
      <c r="CE923" s="2" t="n">
        <v>0</v>
      </c>
      <c r="CF923" s="2" t="n">
        <v>0</v>
      </c>
      <c r="CG923" s="2" t="n">
        <v>0</v>
      </c>
      <c r="CH923" s="2" t="n">
        <v>0</v>
      </c>
      <c r="CI923" s="2" t="n">
        <v>0</v>
      </c>
      <c r="CJ923" s="2" t="n">
        <v>0</v>
      </c>
      <c r="CK923" s="2" t="n">
        <v>0</v>
      </c>
      <c r="CL923" s="2" t="n">
        <v>0</v>
      </c>
      <c r="CM923" s="2" t="n">
        <v>0</v>
      </c>
      <c r="CN923" s="2" t="n">
        <v>0</v>
      </c>
      <c r="CO923" s="2" t="n">
        <v>0</v>
      </c>
      <c r="CP923" s="2" t="n">
        <v>0</v>
      </c>
      <c r="CQ923" s="2" t="n">
        <v>0</v>
      </c>
      <c r="CR923" s="2" t="n">
        <v>0</v>
      </c>
      <c r="CS923" s="2" t="n">
        <v>0</v>
      </c>
      <c r="CT923" s="2" t="n">
        <v>0</v>
      </c>
      <c r="CU923" s="2" t="n">
        <v>0</v>
      </c>
      <c r="CV923" s="2" t="n">
        <v>0</v>
      </c>
      <c r="CW923" s="2" t="n">
        <v>0</v>
      </c>
      <c r="CX923" s="2" t="n">
        <v>0</v>
      </c>
      <c r="CY923" s="2" t="n">
        <v>0</v>
      </c>
      <c r="CZ923" s="2" t="n">
        <v>0</v>
      </c>
      <c r="DA923" s="2" t="n">
        <v>0</v>
      </c>
      <c r="DB923" s="2" t="n">
        <v>0</v>
      </c>
      <c r="DC923" s="2" t="n">
        <v>0</v>
      </c>
      <c r="DD923" s="2" t="n">
        <v>0</v>
      </c>
      <c r="DE923" s="2" t="n">
        <v>0</v>
      </c>
      <c r="DF923" s="2" t="n">
        <v>0</v>
      </c>
      <c r="DG923" s="2" t="n">
        <v>0</v>
      </c>
      <c r="DH923" s="2" t="n">
        <v>0</v>
      </c>
      <c r="DI923" s="2" t="n">
        <v>0</v>
      </c>
      <c r="DJ923" s="2" t="n">
        <v>0</v>
      </c>
      <c r="DK923" s="2" t="n">
        <v>0</v>
      </c>
      <c r="DL923" s="2" t="n">
        <v>0</v>
      </c>
      <c r="DM923" s="2" t="n">
        <v>0</v>
      </c>
      <c r="DN923" s="2" t="n">
        <v>0</v>
      </c>
      <c r="DO923" s="2" t="n">
        <v>0</v>
      </c>
      <c r="DP923" s="2" t="n">
        <v>0</v>
      </c>
      <c r="DQ923" s="2" t="n">
        <v>26.5</v>
      </c>
      <c r="DR923" s="2" t="n">
        <v>0</v>
      </c>
      <c r="DS923" s="2" t="n">
        <v>30.29</v>
      </c>
      <c r="DT923" s="2" t="n">
        <v>63.16</v>
      </c>
      <c r="DU923" s="2" t="n">
        <v>0</v>
      </c>
      <c r="DV923" s="2" t="n">
        <v>63.16</v>
      </c>
      <c r="DW923" s="2" t="n">
        <v>76.61</v>
      </c>
      <c r="DX923" s="2" t="n">
        <v>0</v>
      </c>
      <c r="DY923" s="2" t="n">
        <v>87.23999999999999</v>
      </c>
      <c r="DZ923" s="2" t="n">
        <v>87.78</v>
      </c>
      <c r="EA923" s="2" t="n">
        <v>0</v>
      </c>
      <c r="EB923" s="2" t="n">
        <v>97.34</v>
      </c>
      <c r="EC923" s="2" t="n">
        <v>97.87</v>
      </c>
      <c r="ED923" s="2" t="n">
        <v>0</v>
      </c>
      <c r="EE923" s="2" t="n">
        <v>100</v>
      </c>
      <c r="EF923" s="2" t="n">
        <v>100</v>
      </c>
      <c r="EG923" s="2" t="n">
        <v>0</v>
      </c>
      <c r="EH923" s="2" t="n">
        <v>100</v>
      </c>
      <c r="EI923" s="2" t="n">
        <v>100</v>
      </c>
      <c r="EJ923" s="2" t="n">
        <v>0</v>
      </c>
      <c r="EK923" s="2" t="n">
        <v>100</v>
      </c>
      <c r="EL923" s="2" t="n">
        <v>100</v>
      </c>
      <c r="EM923" s="2" t="n">
        <v>0</v>
      </c>
      <c r="EN923" s="2" t="n">
        <v>100</v>
      </c>
      <c r="EO923" s="2" t="n">
        <v>100</v>
      </c>
      <c r="EP923" s="2" t="n">
        <v>0</v>
      </c>
      <c r="EQ923" s="2" t="n">
        <v>100</v>
      </c>
      <c r="ER923" s="2" t="n">
        <v>100</v>
      </c>
      <c r="ES923" s="2" t="n">
        <v>0</v>
      </c>
    </row>
    <row r="924">
      <c r="A924" s="2" t="n">
        <v>3</v>
      </c>
      <c r="B924" s="2" t="inlineStr">
        <is>
          <t>36.01.04</t>
        </is>
      </c>
      <c r="C924" s="2" t="inlineStr">
        <is>
          <t>Irrigação</t>
        </is>
      </c>
      <c r="D924" s="2" t="inlineStr">
        <is>
          <t>25/09/2028</t>
        </is>
      </c>
      <c r="E924" s="2" t="inlineStr">
        <is>
          <t>25/10/2028</t>
        </is>
      </c>
      <c r="F924" s="2" t="n">
        <v>120000</v>
      </c>
      <c r="G924" s="2" t="n">
        <v>0</v>
      </c>
      <c r="H924" s="2" t="n">
        <v>120000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0</v>
      </c>
      <c r="AM924" s="2" t="n">
        <v>0</v>
      </c>
      <c r="AN924" s="2" t="n">
        <v>0</v>
      </c>
      <c r="AO924" s="2" t="n">
        <v>0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 t="n">
        <v>0</v>
      </c>
      <c r="AX924" s="2" t="n">
        <v>0</v>
      </c>
      <c r="AY924" s="2" t="n">
        <v>0</v>
      </c>
      <c r="AZ924" s="2" t="n">
        <v>0</v>
      </c>
      <c r="BA924" s="2" t="n">
        <v>0</v>
      </c>
      <c r="BB924" s="2" t="n">
        <v>0</v>
      </c>
      <c r="BC924" s="2" t="n">
        <v>0</v>
      </c>
      <c r="BD924" s="2" t="n">
        <v>0</v>
      </c>
      <c r="BE924" s="2" t="n">
        <v>0</v>
      </c>
      <c r="BF924" s="2" t="n">
        <v>0</v>
      </c>
      <c r="BG924" s="2" t="n">
        <v>0</v>
      </c>
      <c r="BH924" s="2" t="n">
        <v>0</v>
      </c>
      <c r="BI924" s="2" t="n">
        <v>0</v>
      </c>
      <c r="BJ924" s="2" t="n">
        <v>0</v>
      </c>
      <c r="BK924" s="2" t="n">
        <v>0</v>
      </c>
      <c r="BL924" s="2" t="n">
        <v>0</v>
      </c>
      <c r="BM924" s="2" t="n">
        <v>0</v>
      </c>
      <c r="BN924" s="2" t="n">
        <v>0</v>
      </c>
      <c r="BO924" s="2" t="n">
        <v>0</v>
      </c>
      <c r="BP924" s="2" t="n">
        <v>0</v>
      </c>
      <c r="BQ924" s="2" t="n">
        <v>0</v>
      </c>
      <c r="BR924" s="2" t="n">
        <v>0</v>
      </c>
      <c r="BS924" s="2" t="n">
        <v>0</v>
      </c>
      <c r="BT924" s="2" t="n">
        <v>0</v>
      </c>
      <c r="BU924" s="2" t="n">
        <v>0</v>
      </c>
      <c r="BV924" s="2" t="n">
        <v>0</v>
      </c>
      <c r="BW924" s="2" t="n">
        <v>0</v>
      </c>
      <c r="BX924" s="2" t="n">
        <v>0</v>
      </c>
      <c r="BY924" s="2" t="n">
        <v>0</v>
      </c>
      <c r="BZ924" s="2" t="n">
        <v>0</v>
      </c>
      <c r="CA924" s="2" t="n">
        <v>0</v>
      </c>
      <c r="CB924" s="2" t="n">
        <v>0</v>
      </c>
      <c r="CC924" s="2" t="n">
        <v>0</v>
      </c>
      <c r="CD924" s="2" t="n">
        <v>0</v>
      </c>
      <c r="CE924" s="2" t="n">
        <v>0</v>
      </c>
      <c r="CF924" s="2" t="n">
        <v>0</v>
      </c>
      <c r="CG924" s="2" t="n">
        <v>0</v>
      </c>
      <c r="CH924" s="2" t="n">
        <v>0</v>
      </c>
      <c r="CI924" s="2" t="n">
        <v>0</v>
      </c>
      <c r="CJ924" s="2" t="n">
        <v>0</v>
      </c>
      <c r="CK924" s="2" t="n">
        <v>0</v>
      </c>
      <c r="CL924" s="2" t="n">
        <v>0</v>
      </c>
      <c r="CM924" s="2" t="n">
        <v>0</v>
      </c>
      <c r="CN924" s="2" t="n">
        <v>0</v>
      </c>
      <c r="CO924" s="2" t="n">
        <v>0</v>
      </c>
      <c r="CP924" s="2" t="n">
        <v>0</v>
      </c>
      <c r="CQ924" s="2" t="n">
        <v>0</v>
      </c>
      <c r="CR924" s="2" t="n">
        <v>0</v>
      </c>
      <c r="CS924" s="2" t="n">
        <v>0</v>
      </c>
      <c r="CT924" s="2" t="n">
        <v>0</v>
      </c>
      <c r="CU924" s="2" t="n">
        <v>0</v>
      </c>
      <c r="CV924" s="2" t="n">
        <v>0</v>
      </c>
      <c r="CW924" s="2" t="n">
        <v>0</v>
      </c>
      <c r="CX924" s="2" t="n">
        <v>0</v>
      </c>
      <c r="CY924" s="2" t="n">
        <v>0</v>
      </c>
      <c r="CZ924" s="2" t="n">
        <v>0</v>
      </c>
      <c r="DA924" s="2" t="n">
        <v>0</v>
      </c>
      <c r="DB924" s="2" t="n">
        <v>0</v>
      </c>
      <c r="DC924" s="2" t="n">
        <v>0</v>
      </c>
      <c r="DD924" s="2" t="n">
        <v>0</v>
      </c>
      <c r="DE924" s="2" t="n">
        <v>0</v>
      </c>
      <c r="DF924" s="2" t="n">
        <v>0</v>
      </c>
      <c r="DG924" s="2" t="n">
        <v>0</v>
      </c>
      <c r="DH924" s="2" t="n">
        <v>0</v>
      </c>
      <c r="DI924" s="2" t="n">
        <v>0</v>
      </c>
      <c r="DJ924" s="2" t="n">
        <v>0</v>
      </c>
      <c r="DK924" s="2" t="n">
        <v>0</v>
      </c>
      <c r="DL924" s="2" t="n">
        <v>0</v>
      </c>
      <c r="DM924" s="2" t="n">
        <v>0</v>
      </c>
      <c r="DN924" s="2" t="n">
        <v>0</v>
      </c>
      <c r="DO924" s="2" t="n">
        <v>0</v>
      </c>
      <c r="DP924" s="2" t="n">
        <v>0</v>
      </c>
      <c r="DQ924" s="2" t="n">
        <v>0</v>
      </c>
      <c r="DR924" s="2" t="n">
        <v>0</v>
      </c>
      <c r="DS924" s="2" t="n">
        <v>0</v>
      </c>
      <c r="DT924" s="2" t="n">
        <v>0</v>
      </c>
      <c r="DU924" s="2" t="n">
        <v>0</v>
      </c>
      <c r="DV924" s="2" t="n">
        <v>18.18</v>
      </c>
      <c r="DW924" s="2" t="n">
        <v>22.73</v>
      </c>
      <c r="DX924" s="2" t="n">
        <v>0</v>
      </c>
      <c r="DY924" s="2" t="n">
        <v>100</v>
      </c>
      <c r="DZ924" s="2" t="n">
        <v>100</v>
      </c>
      <c r="EA924" s="2" t="n">
        <v>0</v>
      </c>
      <c r="EB924" s="2" t="n">
        <v>100</v>
      </c>
      <c r="EC924" s="2" t="n">
        <v>100</v>
      </c>
      <c r="ED924" s="2" t="n">
        <v>0</v>
      </c>
      <c r="EE924" s="2" t="n">
        <v>100</v>
      </c>
      <c r="EF924" s="2" t="n">
        <v>100</v>
      </c>
      <c r="EG924" s="2" t="n">
        <v>0</v>
      </c>
      <c r="EH924" s="2" t="n">
        <v>100</v>
      </c>
      <c r="EI924" s="2" t="n">
        <v>100</v>
      </c>
      <c r="EJ924" s="2" t="n">
        <v>0</v>
      </c>
      <c r="EK924" s="2" t="n">
        <v>100</v>
      </c>
      <c r="EL924" s="2" t="n">
        <v>100</v>
      </c>
      <c r="EM924" s="2" t="n">
        <v>0</v>
      </c>
      <c r="EN924" s="2" t="n">
        <v>100</v>
      </c>
      <c r="EO924" s="2" t="n">
        <v>100</v>
      </c>
      <c r="EP924" s="2" t="n">
        <v>0</v>
      </c>
      <c r="EQ924" s="2" t="n">
        <v>100</v>
      </c>
      <c r="ER924" s="2" t="n">
        <v>100</v>
      </c>
      <c r="ES924" s="2" t="n">
        <v>0</v>
      </c>
    </row>
    <row r="925">
      <c r="A925" s="2" t="n">
        <v>3</v>
      </c>
      <c r="B925" s="2" t="inlineStr">
        <is>
          <t>36.01.05</t>
        </is>
      </c>
      <c r="C925" s="2" t="inlineStr">
        <is>
          <t>Transporte vertical de material para execução de paisagismo em pavimentos elevados</t>
        </is>
      </c>
      <c r="D925" s="2" t="inlineStr">
        <is>
          <t>12/07/2028</t>
        </is>
      </c>
      <c r="E925" s="2" t="inlineStr">
        <is>
          <t>06/12/2028</t>
        </is>
      </c>
      <c r="F925" s="2" t="n">
        <v>50000</v>
      </c>
      <c r="G925" s="2" t="n">
        <v>0</v>
      </c>
      <c r="H925" s="2" t="n">
        <v>50000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0</v>
      </c>
      <c r="AM925" s="2" t="n">
        <v>0</v>
      </c>
      <c r="AN925" s="2" t="n">
        <v>0</v>
      </c>
      <c r="AO925" s="2" t="n">
        <v>0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n">
        <v>0</v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n">
        <v>0</v>
      </c>
      <c r="BE925" s="2" t="n">
        <v>0</v>
      </c>
      <c r="BF925" s="2" t="n">
        <v>0</v>
      </c>
      <c r="BG925" s="2" t="n">
        <v>0</v>
      </c>
      <c r="BH925" s="2" t="n">
        <v>0</v>
      </c>
      <c r="BI925" s="2" t="n">
        <v>0</v>
      </c>
      <c r="BJ925" s="2" t="n">
        <v>0</v>
      </c>
      <c r="BK925" s="2" t="n">
        <v>0</v>
      </c>
      <c r="BL925" s="2" t="n">
        <v>0</v>
      </c>
      <c r="BM925" s="2" t="n">
        <v>0</v>
      </c>
      <c r="BN925" s="2" t="n">
        <v>0</v>
      </c>
      <c r="BO925" s="2" t="n">
        <v>0</v>
      </c>
      <c r="BP925" s="2" t="n">
        <v>0</v>
      </c>
      <c r="BQ925" s="2" t="n">
        <v>0</v>
      </c>
      <c r="BR925" s="2" t="n">
        <v>0</v>
      </c>
      <c r="BS925" s="2" t="n">
        <v>0</v>
      </c>
      <c r="BT925" s="2" t="n">
        <v>0</v>
      </c>
      <c r="BU925" s="2" t="n">
        <v>0</v>
      </c>
      <c r="BV925" s="2" t="n">
        <v>0</v>
      </c>
      <c r="BW925" s="2" t="n">
        <v>0</v>
      </c>
      <c r="BX925" s="2" t="n">
        <v>0</v>
      </c>
      <c r="BY925" s="2" t="n">
        <v>0</v>
      </c>
      <c r="BZ925" s="2" t="n">
        <v>0</v>
      </c>
      <c r="CA925" s="2" t="n">
        <v>0</v>
      </c>
      <c r="CB925" s="2" t="n">
        <v>0</v>
      </c>
      <c r="CC925" s="2" t="n">
        <v>0</v>
      </c>
      <c r="CD925" s="2" t="n">
        <v>0</v>
      </c>
      <c r="CE925" s="2" t="n">
        <v>0</v>
      </c>
      <c r="CF925" s="2" t="n">
        <v>0</v>
      </c>
      <c r="CG925" s="2" t="n">
        <v>0</v>
      </c>
      <c r="CH925" s="2" t="n">
        <v>0</v>
      </c>
      <c r="CI925" s="2" t="n">
        <v>0</v>
      </c>
      <c r="CJ925" s="2" t="n">
        <v>0</v>
      </c>
      <c r="CK925" s="2" t="n">
        <v>0</v>
      </c>
      <c r="CL925" s="2" t="n">
        <v>0</v>
      </c>
      <c r="CM925" s="2" t="n">
        <v>0</v>
      </c>
      <c r="CN925" s="2" t="n">
        <v>0</v>
      </c>
      <c r="CO925" s="2" t="n">
        <v>0</v>
      </c>
      <c r="CP925" s="2" t="n">
        <v>0</v>
      </c>
      <c r="CQ925" s="2" t="n">
        <v>0</v>
      </c>
      <c r="CR925" s="2" t="n">
        <v>0</v>
      </c>
      <c r="CS925" s="2" t="n">
        <v>0</v>
      </c>
      <c r="CT925" s="2" t="n">
        <v>0</v>
      </c>
      <c r="CU925" s="2" t="n">
        <v>0</v>
      </c>
      <c r="CV925" s="2" t="n">
        <v>0</v>
      </c>
      <c r="CW925" s="2" t="n">
        <v>0</v>
      </c>
      <c r="CX925" s="2" t="n">
        <v>0</v>
      </c>
      <c r="CY925" s="2" t="n">
        <v>0</v>
      </c>
      <c r="CZ925" s="2" t="n">
        <v>0</v>
      </c>
      <c r="DA925" s="2" t="n">
        <v>0</v>
      </c>
      <c r="DB925" s="2" t="n">
        <v>0</v>
      </c>
      <c r="DC925" s="2" t="n">
        <v>0</v>
      </c>
      <c r="DD925" s="2" t="n">
        <v>0</v>
      </c>
      <c r="DE925" s="2" t="n">
        <v>0</v>
      </c>
      <c r="DF925" s="2" t="n">
        <v>0</v>
      </c>
      <c r="DG925" s="2" t="n">
        <v>0</v>
      </c>
      <c r="DH925" s="2" t="n">
        <v>0</v>
      </c>
      <c r="DI925" s="2" t="n">
        <v>0</v>
      </c>
      <c r="DJ925" s="2" t="n">
        <v>0</v>
      </c>
      <c r="DK925" s="2" t="n">
        <v>0</v>
      </c>
      <c r="DL925" s="2" t="n">
        <v>0</v>
      </c>
      <c r="DM925" s="2" t="n">
        <v>0</v>
      </c>
      <c r="DN925" s="2" t="n">
        <v>0</v>
      </c>
      <c r="DO925" s="2" t="n">
        <v>0</v>
      </c>
      <c r="DP925" s="2" t="n">
        <v>0</v>
      </c>
      <c r="DQ925" s="2" t="n">
        <v>26.5</v>
      </c>
      <c r="DR925" s="2" t="n">
        <v>0</v>
      </c>
      <c r="DS925" s="2" t="n">
        <v>30.29</v>
      </c>
      <c r="DT925" s="2" t="n">
        <v>63.16</v>
      </c>
      <c r="DU925" s="2" t="n">
        <v>0</v>
      </c>
      <c r="DV925" s="2" t="n">
        <v>63.16</v>
      </c>
      <c r="DW925" s="2" t="n">
        <v>76.61</v>
      </c>
      <c r="DX925" s="2" t="n">
        <v>0</v>
      </c>
      <c r="DY925" s="2" t="n">
        <v>87.23999999999999</v>
      </c>
      <c r="DZ925" s="2" t="n">
        <v>87.78</v>
      </c>
      <c r="EA925" s="2" t="n">
        <v>0</v>
      </c>
      <c r="EB925" s="2" t="n">
        <v>97.34</v>
      </c>
      <c r="EC925" s="2" t="n">
        <v>97.87</v>
      </c>
      <c r="ED925" s="2" t="n">
        <v>0</v>
      </c>
      <c r="EE925" s="2" t="n">
        <v>100</v>
      </c>
      <c r="EF925" s="2" t="n">
        <v>100</v>
      </c>
      <c r="EG925" s="2" t="n">
        <v>0</v>
      </c>
      <c r="EH925" s="2" t="n">
        <v>100</v>
      </c>
      <c r="EI925" s="2" t="n">
        <v>100</v>
      </c>
      <c r="EJ925" s="2" t="n">
        <v>0</v>
      </c>
      <c r="EK925" s="2" t="n">
        <v>100</v>
      </c>
      <c r="EL925" s="2" t="n">
        <v>100</v>
      </c>
      <c r="EM925" s="2" t="n">
        <v>0</v>
      </c>
      <c r="EN925" s="2" t="n">
        <v>100</v>
      </c>
      <c r="EO925" s="2" t="n">
        <v>100</v>
      </c>
      <c r="EP925" s="2" t="n">
        <v>0</v>
      </c>
      <c r="EQ925" s="2" t="n">
        <v>100</v>
      </c>
      <c r="ER925" s="2" t="n">
        <v>100</v>
      </c>
      <c r="ES925" s="2" t="n">
        <v>0</v>
      </c>
    </row>
    <row r="926">
      <c r="A926" s="2" t="n">
        <v>3</v>
      </c>
      <c r="B926" s="2" t="inlineStr">
        <is>
          <t>36.01.06</t>
        </is>
      </c>
      <c r="C926" s="2" t="inlineStr">
        <is>
          <t>Cachepô para floreiras</t>
        </is>
      </c>
      <c r="D926" s="2" t="inlineStr">
        <is>
          <t>12/07/2028</t>
        </is>
      </c>
      <c r="E926" s="2" t="inlineStr">
        <is>
          <t>06/12/2028</t>
        </is>
      </c>
      <c r="F926" s="2" t="n">
        <v>248850</v>
      </c>
      <c r="G926" s="2" t="n">
        <v>0</v>
      </c>
      <c r="H926" s="2" t="n">
        <v>248850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0</v>
      </c>
      <c r="AM926" s="2" t="n">
        <v>0</v>
      </c>
      <c r="AN926" s="2" t="n">
        <v>0</v>
      </c>
      <c r="AO926" s="2" t="n">
        <v>0</v>
      </c>
      <c r="AP926" s="2" t="n">
        <v>0</v>
      </c>
      <c r="AQ926" s="2" t="n">
        <v>0</v>
      </c>
      <c r="AR926" s="2" t="n">
        <v>0</v>
      </c>
      <c r="AS926" s="2" t="n">
        <v>0</v>
      </c>
      <c r="AT926" s="2" t="n">
        <v>0</v>
      </c>
      <c r="AU926" s="2" t="n">
        <v>0</v>
      </c>
      <c r="AV926" s="2" t="n">
        <v>0</v>
      </c>
      <c r="AW926" s="2" t="n">
        <v>0</v>
      </c>
      <c r="AX926" s="2" t="n">
        <v>0</v>
      </c>
      <c r="AY926" s="2" t="n">
        <v>0</v>
      </c>
      <c r="AZ926" s="2" t="n">
        <v>0</v>
      </c>
      <c r="BA926" s="2" t="n">
        <v>0</v>
      </c>
      <c r="BB926" s="2" t="n">
        <v>0</v>
      </c>
      <c r="BC926" s="2" t="n">
        <v>0</v>
      </c>
      <c r="BD926" s="2" t="n">
        <v>0</v>
      </c>
      <c r="BE926" s="2" t="n">
        <v>0</v>
      </c>
      <c r="BF926" s="2" t="n">
        <v>0</v>
      </c>
      <c r="BG926" s="2" t="n">
        <v>0</v>
      </c>
      <c r="BH926" s="2" t="n">
        <v>0</v>
      </c>
      <c r="BI926" s="2" t="n">
        <v>0</v>
      </c>
      <c r="BJ926" s="2" t="n">
        <v>0</v>
      </c>
      <c r="BK926" s="2" t="n">
        <v>0</v>
      </c>
      <c r="BL926" s="2" t="n">
        <v>0</v>
      </c>
      <c r="BM926" s="2" t="n">
        <v>0</v>
      </c>
      <c r="BN926" s="2" t="n">
        <v>0</v>
      </c>
      <c r="BO926" s="2" t="n">
        <v>0</v>
      </c>
      <c r="BP926" s="2" t="n">
        <v>0</v>
      </c>
      <c r="BQ926" s="2" t="n">
        <v>0</v>
      </c>
      <c r="BR926" s="2" t="n">
        <v>0</v>
      </c>
      <c r="BS926" s="2" t="n">
        <v>0</v>
      </c>
      <c r="BT926" s="2" t="n">
        <v>0</v>
      </c>
      <c r="BU926" s="2" t="n">
        <v>0</v>
      </c>
      <c r="BV926" s="2" t="n">
        <v>0</v>
      </c>
      <c r="BW926" s="2" t="n">
        <v>0</v>
      </c>
      <c r="BX926" s="2" t="n">
        <v>0</v>
      </c>
      <c r="BY926" s="2" t="n">
        <v>0</v>
      </c>
      <c r="BZ926" s="2" t="n">
        <v>0</v>
      </c>
      <c r="CA926" s="2" t="n">
        <v>0</v>
      </c>
      <c r="CB926" s="2" t="n">
        <v>0</v>
      </c>
      <c r="CC926" s="2" t="n">
        <v>0</v>
      </c>
      <c r="CD926" s="2" t="n">
        <v>0</v>
      </c>
      <c r="CE926" s="2" t="n">
        <v>0</v>
      </c>
      <c r="CF926" s="2" t="n">
        <v>0</v>
      </c>
      <c r="CG926" s="2" t="n">
        <v>0</v>
      </c>
      <c r="CH926" s="2" t="n">
        <v>0</v>
      </c>
      <c r="CI926" s="2" t="n">
        <v>0</v>
      </c>
      <c r="CJ926" s="2" t="n">
        <v>0</v>
      </c>
      <c r="CK926" s="2" t="n">
        <v>0</v>
      </c>
      <c r="CL926" s="2" t="n">
        <v>0</v>
      </c>
      <c r="CM926" s="2" t="n">
        <v>0</v>
      </c>
      <c r="CN926" s="2" t="n">
        <v>0</v>
      </c>
      <c r="CO926" s="2" t="n">
        <v>0</v>
      </c>
      <c r="CP926" s="2" t="n">
        <v>0</v>
      </c>
      <c r="CQ926" s="2" t="n">
        <v>0</v>
      </c>
      <c r="CR926" s="2" t="n">
        <v>0</v>
      </c>
      <c r="CS926" s="2" t="n">
        <v>0</v>
      </c>
      <c r="CT926" s="2" t="n">
        <v>0</v>
      </c>
      <c r="CU926" s="2" t="n">
        <v>0</v>
      </c>
      <c r="CV926" s="2" t="n">
        <v>0</v>
      </c>
      <c r="CW926" s="2" t="n">
        <v>0</v>
      </c>
      <c r="CX926" s="2" t="n">
        <v>0</v>
      </c>
      <c r="CY926" s="2" t="n">
        <v>0</v>
      </c>
      <c r="CZ926" s="2" t="n">
        <v>0</v>
      </c>
      <c r="DA926" s="2" t="n">
        <v>0</v>
      </c>
      <c r="DB926" s="2" t="n">
        <v>0</v>
      </c>
      <c r="DC926" s="2" t="n">
        <v>0</v>
      </c>
      <c r="DD926" s="2" t="n">
        <v>0</v>
      </c>
      <c r="DE926" s="2" t="n">
        <v>0</v>
      </c>
      <c r="DF926" s="2" t="n">
        <v>0</v>
      </c>
      <c r="DG926" s="2" t="n">
        <v>0</v>
      </c>
      <c r="DH926" s="2" t="n">
        <v>0</v>
      </c>
      <c r="DI926" s="2" t="n">
        <v>0</v>
      </c>
      <c r="DJ926" s="2" t="n">
        <v>0</v>
      </c>
      <c r="DK926" s="2" t="n">
        <v>0</v>
      </c>
      <c r="DL926" s="2" t="n">
        <v>0</v>
      </c>
      <c r="DM926" s="2" t="n">
        <v>0</v>
      </c>
      <c r="DN926" s="2" t="n">
        <v>0</v>
      </c>
      <c r="DO926" s="2" t="n">
        <v>0</v>
      </c>
      <c r="DP926" s="2" t="n">
        <v>0</v>
      </c>
      <c r="DQ926" s="2" t="n">
        <v>26.5</v>
      </c>
      <c r="DR926" s="2" t="n">
        <v>0</v>
      </c>
      <c r="DS926" s="2" t="n">
        <v>30.29</v>
      </c>
      <c r="DT926" s="2" t="n">
        <v>63.16</v>
      </c>
      <c r="DU926" s="2" t="n">
        <v>0</v>
      </c>
      <c r="DV926" s="2" t="n">
        <v>63.16</v>
      </c>
      <c r="DW926" s="2" t="n">
        <v>76.61</v>
      </c>
      <c r="DX926" s="2" t="n">
        <v>0</v>
      </c>
      <c r="DY926" s="2" t="n">
        <v>87.23999999999999</v>
      </c>
      <c r="DZ926" s="2" t="n">
        <v>87.78</v>
      </c>
      <c r="EA926" s="2" t="n">
        <v>0</v>
      </c>
      <c r="EB926" s="2" t="n">
        <v>97.34</v>
      </c>
      <c r="EC926" s="2" t="n">
        <v>97.87</v>
      </c>
      <c r="ED926" s="2" t="n">
        <v>0</v>
      </c>
      <c r="EE926" s="2" t="n">
        <v>100</v>
      </c>
      <c r="EF926" s="2" t="n">
        <v>100</v>
      </c>
      <c r="EG926" s="2" t="n">
        <v>0</v>
      </c>
      <c r="EH926" s="2" t="n">
        <v>100</v>
      </c>
      <c r="EI926" s="2" t="n">
        <v>100</v>
      </c>
      <c r="EJ926" s="2" t="n">
        <v>0</v>
      </c>
      <c r="EK926" s="2" t="n">
        <v>100</v>
      </c>
      <c r="EL926" s="2" t="n">
        <v>100</v>
      </c>
      <c r="EM926" s="2" t="n">
        <v>0</v>
      </c>
      <c r="EN926" s="2" t="n">
        <v>100</v>
      </c>
      <c r="EO926" s="2" t="n">
        <v>100</v>
      </c>
      <c r="EP926" s="2" t="n">
        <v>0</v>
      </c>
      <c r="EQ926" s="2" t="n">
        <v>100</v>
      </c>
      <c r="ER926" s="2" t="n">
        <v>100</v>
      </c>
      <c r="ES926" s="2" t="n">
        <v>0</v>
      </c>
    </row>
    <row r="927">
      <c r="A927" s="2" t="n">
        <v>1</v>
      </c>
      <c r="B927" s="2" t="inlineStr">
        <is>
          <t>37</t>
        </is>
      </c>
      <c r="C927" s="2" t="inlineStr">
        <is>
          <t>LIMPEZA FINAL DE OBRA</t>
        </is>
      </c>
      <c r="D927" s="2" t="inlineStr">
        <is>
          <t>14/03/2028</t>
        </is>
      </c>
      <c r="E927" s="2" t="inlineStr">
        <is>
          <t>13/04/2029</t>
        </is>
      </c>
      <c r="F927" s="2" t="n">
        <v>887766.610405</v>
      </c>
      <c r="G927" s="2" t="n">
        <v>0</v>
      </c>
      <c r="H927" s="2" t="n">
        <v>887766.610405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n">
        <v>0</v>
      </c>
      <c r="AK927" s="2" t="n">
        <v>0</v>
      </c>
      <c r="AL927" s="2" t="n">
        <v>0</v>
      </c>
      <c r="AM927" s="2" t="n">
        <v>0</v>
      </c>
      <c r="AN927" s="2" t="n">
        <v>0</v>
      </c>
      <c r="AO927" s="2" t="n">
        <v>0</v>
      </c>
      <c r="AP927" s="2" t="n">
        <v>0</v>
      </c>
      <c r="AQ927" s="2" t="n">
        <v>0</v>
      </c>
      <c r="AR927" s="2" t="n">
        <v>0</v>
      </c>
      <c r="AS927" s="2" t="n">
        <v>0</v>
      </c>
      <c r="AT927" s="2" t="n">
        <v>0</v>
      </c>
      <c r="AU927" s="2" t="n">
        <v>0</v>
      </c>
      <c r="AV927" s="2" t="n">
        <v>0</v>
      </c>
      <c r="AW927" s="2" t="n">
        <v>0</v>
      </c>
      <c r="AX927" s="2" t="n">
        <v>0</v>
      </c>
      <c r="AY927" s="2" t="n">
        <v>0</v>
      </c>
      <c r="AZ927" s="2" t="n">
        <v>0</v>
      </c>
      <c r="BA927" s="2" t="n">
        <v>0</v>
      </c>
      <c r="BB927" s="2" t="n">
        <v>0</v>
      </c>
      <c r="BC927" s="2" t="n">
        <v>0</v>
      </c>
      <c r="BD927" s="2" t="n">
        <v>0</v>
      </c>
      <c r="BE927" s="2" t="n">
        <v>0</v>
      </c>
      <c r="BF927" s="2" t="n">
        <v>0</v>
      </c>
      <c r="BG927" s="2" t="n">
        <v>0</v>
      </c>
      <c r="BH927" s="2" t="n">
        <v>0</v>
      </c>
      <c r="BI927" s="2" t="n">
        <v>0</v>
      </c>
      <c r="BJ927" s="2" t="n">
        <v>0</v>
      </c>
      <c r="BK927" s="2" t="n">
        <v>0</v>
      </c>
      <c r="BL927" s="2" t="n">
        <v>0</v>
      </c>
      <c r="BM927" s="2" t="n">
        <v>0</v>
      </c>
      <c r="BN927" s="2" t="n">
        <v>0</v>
      </c>
      <c r="BO927" s="2" t="n">
        <v>0</v>
      </c>
      <c r="BP927" s="2" t="n">
        <v>0</v>
      </c>
      <c r="BQ927" s="2" t="n">
        <v>0</v>
      </c>
      <c r="BR927" s="2" t="n">
        <v>0</v>
      </c>
      <c r="BS927" s="2" t="n">
        <v>0</v>
      </c>
      <c r="BT927" s="2" t="n">
        <v>0</v>
      </c>
      <c r="BU927" s="2" t="n">
        <v>0</v>
      </c>
      <c r="BV927" s="2" t="n">
        <v>0</v>
      </c>
      <c r="BW927" s="2" t="n">
        <v>0</v>
      </c>
      <c r="BX927" s="2" t="n">
        <v>0</v>
      </c>
      <c r="BY927" s="2" t="n">
        <v>0</v>
      </c>
      <c r="BZ927" s="2" t="n">
        <v>0</v>
      </c>
      <c r="CA927" s="2" t="n">
        <v>0</v>
      </c>
      <c r="CB927" s="2" t="n">
        <v>0</v>
      </c>
      <c r="CC927" s="2" t="n">
        <v>0</v>
      </c>
      <c r="CD927" s="2" t="n">
        <v>0</v>
      </c>
      <c r="CE927" s="2" t="n">
        <v>0</v>
      </c>
      <c r="CF927" s="2" t="n">
        <v>0</v>
      </c>
      <c r="CG927" s="2" t="n">
        <v>0</v>
      </c>
      <c r="CH927" s="2" t="n">
        <v>0</v>
      </c>
      <c r="CI927" s="2" t="n">
        <v>0</v>
      </c>
      <c r="CJ927" s="2" t="n">
        <v>0</v>
      </c>
      <c r="CK927" s="2" t="n">
        <v>0</v>
      </c>
      <c r="CL927" s="2" t="n">
        <v>0</v>
      </c>
      <c r="CM927" s="2" t="n">
        <v>0</v>
      </c>
      <c r="CN927" s="2" t="n">
        <v>0</v>
      </c>
      <c r="CO927" s="2" t="n">
        <v>0</v>
      </c>
      <c r="CP927" s="2" t="n">
        <v>0</v>
      </c>
      <c r="CQ927" s="2" t="n">
        <v>0</v>
      </c>
      <c r="CR927" s="2" t="n">
        <v>0</v>
      </c>
      <c r="CS927" s="2" t="n">
        <v>0</v>
      </c>
      <c r="CT927" s="2" t="n">
        <v>0</v>
      </c>
      <c r="CU927" s="2" t="n">
        <v>0</v>
      </c>
      <c r="CV927" s="2" t="n">
        <v>0</v>
      </c>
      <c r="CW927" s="2" t="n">
        <v>0</v>
      </c>
      <c r="CX927" s="2" t="n">
        <v>0</v>
      </c>
      <c r="CY927" s="2" t="n">
        <v>0</v>
      </c>
      <c r="CZ927" s="2" t="n">
        <v>0</v>
      </c>
      <c r="DA927" s="2" t="n">
        <v>0</v>
      </c>
      <c r="DB927" s="2" t="n">
        <v>0</v>
      </c>
      <c r="DC927" s="2" t="n">
        <v>0</v>
      </c>
      <c r="DD927" s="2" t="n">
        <v>1.31</v>
      </c>
      <c r="DE927" s="2" t="n">
        <v>2.04</v>
      </c>
      <c r="DF927" s="2" t="n">
        <v>0</v>
      </c>
      <c r="DG927" s="2" t="n">
        <v>4.02</v>
      </c>
      <c r="DH927" s="2" t="n">
        <v>6</v>
      </c>
      <c r="DI927" s="2" t="n">
        <v>0</v>
      </c>
      <c r="DJ927" s="2" t="n">
        <v>11.76</v>
      </c>
      <c r="DK927" s="2" t="n">
        <v>13.15</v>
      </c>
      <c r="DL927" s="2" t="n">
        <v>0</v>
      </c>
      <c r="DM927" s="2" t="n">
        <v>20.44</v>
      </c>
      <c r="DN927" s="2" t="n">
        <v>22.43</v>
      </c>
      <c r="DO927" s="2" t="n">
        <v>0</v>
      </c>
      <c r="DP927" s="2" t="n">
        <v>29.06</v>
      </c>
      <c r="DQ927" s="2" t="n">
        <v>31.21</v>
      </c>
      <c r="DR927" s="2" t="n">
        <v>0</v>
      </c>
      <c r="DS927" s="2" t="n">
        <v>38.76</v>
      </c>
      <c r="DT927" s="2" t="n">
        <v>40.37</v>
      </c>
      <c r="DU927" s="2" t="n">
        <v>0</v>
      </c>
      <c r="DV927" s="2" t="n">
        <v>46.92</v>
      </c>
      <c r="DW927" s="2" t="n">
        <v>48.99</v>
      </c>
      <c r="DX927" s="2" t="n">
        <v>0</v>
      </c>
      <c r="DY927" s="2" t="n">
        <v>55.35</v>
      </c>
      <c r="DZ927" s="2" t="n">
        <v>57.64</v>
      </c>
      <c r="EA927" s="2" t="n">
        <v>0</v>
      </c>
      <c r="EB927" s="2" t="n">
        <v>62.5</v>
      </c>
      <c r="EC927" s="2" t="n">
        <v>64.68000000000001</v>
      </c>
      <c r="ED927" s="2" t="n">
        <v>0</v>
      </c>
      <c r="EE927" s="2" t="n">
        <v>68.02</v>
      </c>
      <c r="EF927" s="2" t="n">
        <v>71.38</v>
      </c>
      <c r="EG927" s="2" t="n">
        <v>0</v>
      </c>
      <c r="EH927" s="2" t="n">
        <v>78.67</v>
      </c>
      <c r="EI927" s="2" t="n">
        <v>81.65000000000001</v>
      </c>
      <c r="EJ927" s="2" t="n">
        <v>0</v>
      </c>
      <c r="EK927" s="2" t="n">
        <v>88.23</v>
      </c>
      <c r="EL927" s="2" t="n">
        <v>91.26000000000001</v>
      </c>
      <c r="EM927" s="2" t="n">
        <v>0</v>
      </c>
      <c r="EN927" s="2" t="n">
        <v>97.67</v>
      </c>
      <c r="EO927" s="2" t="n">
        <v>99.19</v>
      </c>
      <c r="EP927" s="2" t="n">
        <v>0</v>
      </c>
      <c r="EQ927" s="2" t="n">
        <v>99.95</v>
      </c>
      <c r="ER927" s="2" t="n">
        <v>99.95</v>
      </c>
      <c r="ES927" s="2" t="n">
        <v>0</v>
      </c>
    </row>
    <row r="928">
      <c r="A928" s="2" t="n">
        <v>2</v>
      </c>
      <c r="B928" s="2" t="inlineStr">
        <is>
          <t>37.01</t>
        </is>
      </c>
      <c r="C928" s="2" t="inlineStr">
        <is>
          <t>Comunicação visual definitiva</t>
        </is>
      </c>
      <c r="D928" s="2" t="inlineStr">
        <is>
          <t>31/10/2028</t>
        </is>
      </c>
      <c r="E928" s="2" t="inlineStr">
        <is>
          <t>13/04/2029</t>
        </is>
      </c>
      <c r="F928" s="2" t="n">
        <v>51825</v>
      </c>
      <c r="G928" s="2" t="n">
        <v>0</v>
      </c>
      <c r="H928" s="2" t="n">
        <v>51825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n">
        <v>0</v>
      </c>
      <c r="AK928" s="2" t="n">
        <v>0</v>
      </c>
      <c r="AL928" s="2" t="n">
        <v>0</v>
      </c>
      <c r="AM928" s="2" t="n">
        <v>0</v>
      </c>
      <c r="AN928" s="2" t="n">
        <v>0</v>
      </c>
      <c r="AO928" s="2" t="n">
        <v>0</v>
      </c>
      <c r="AP928" s="2" t="n">
        <v>0</v>
      </c>
      <c r="AQ928" s="2" t="n">
        <v>0</v>
      </c>
      <c r="AR928" s="2" t="n">
        <v>0</v>
      </c>
      <c r="AS928" s="2" t="n">
        <v>0</v>
      </c>
      <c r="AT928" s="2" t="n">
        <v>0</v>
      </c>
      <c r="AU928" s="2" t="n">
        <v>0</v>
      </c>
      <c r="AV928" s="2" t="n">
        <v>0</v>
      </c>
      <c r="AW928" s="2" t="n">
        <v>0</v>
      </c>
      <c r="AX928" s="2" t="n">
        <v>0</v>
      </c>
      <c r="AY928" s="2" t="n">
        <v>0</v>
      </c>
      <c r="AZ928" s="2" t="n">
        <v>0</v>
      </c>
      <c r="BA928" s="2" t="n">
        <v>0</v>
      </c>
      <c r="BB928" s="2" t="n">
        <v>0</v>
      </c>
      <c r="BC928" s="2" t="n">
        <v>0</v>
      </c>
      <c r="BD928" s="2" t="n">
        <v>0</v>
      </c>
      <c r="BE928" s="2" t="n">
        <v>0</v>
      </c>
      <c r="BF928" s="2" t="n">
        <v>0</v>
      </c>
      <c r="BG928" s="2" t="n">
        <v>0</v>
      </c>
      <c r="BH928" s="2" t="n">
        <v>0</v>
      </c>
      <c r="BI928" s="2" t="n">
        <v>0</v>
      </c>
      <c r="BJ928" s="2" t="n">
        <v>0</v>
      </c>
      <c r="BK928" s="2" t="n">
        <v>0</v>
      </c>
      <c r="BL928" s="2" t="n">
        <v>0</v>
      </c>
      <c r="BM928" s="2" t="n">
        <v>0</v>
      </c>
      <c r="BN928" s="2" t="n">
        <v>0</v>
      </c>
      <c r="BO928" s="2" t="n">
        <v>0</v>
      </c>
      <c r="BP928" s="2" t="n">
        <v>0</v>
      </c>
      <c r="BQ928" s="2" t="n">
        <v>0</v>
      </c>
      <c r="BR928" s="2" t="n">
        <v>0</v>
      </c>
      <c r="BS928" s="2" t="n">
        <v>0</v>
      </c>
      <c r="BT928" s="2" t="n">
        <v>0</v>
      </c>
      <c r="BU928" s="2" t="n">
        <v>0</v>
      </c>
      <c r="BV928" s="2" t="n">
        <v>0</v>
      </c>
      <c r="BW928" s="2" t="n">
        <v>0</v>
      </c>
      <c r="BX928" s="2" t="n">
        <v>0</v>
      </c>
      <c r="BY928" s="2" t="n">
        <v>0</v>
      </c>
      <c r="BZ928" s="2" t="n">
        <v>0</v>
      </c>
      <c r="CA928" s="2" t="n">
        <v>0</v>
      </c>
      <c r="CB928" s="2" t="n">
        <v>0</v>
      </c>
      <c r="CC928" s="2" t="n">
        <v>0</v>
      </c>
      <c r="CD928" s="2" t="n">
        <v>0</v>
      </c>
      <c r="CE928" s="2" t="n">
        <v>0</v>
      </c>
      <c r="CF928" s="2" t="n">
        <v>0</v>
      </c>
      <c r="CG928" s="2" t="n">
        <v>0</v>
      </c>
      <c r="CH928" s="2" t="n">
        <v>0</v>
      </c>
      <c r="CI928" s="2" t="n">
        <v>0</v>
      </c>
      <c r="CJ928" s="2" t="n">
        <v>0</v>
      </c>
      <c r="CK928" s="2" t="n">
        <v>0</v>
      </c>
      <c r="CL928" s="2" t="n">
        <v>0</v>
      </c>
      <c r="CM928" s="2" t="n">
        <v>0</v>
      </c>
      <c r="CN928" s="2" t="n">
        <v>0</v>
      </c>
      <c r="CO928" s="2" t="n">
        <v>0</v>
      </c>
      <c r="CP928" s="2" t="n">
        <v>0</v>
      </c>
      <c r="CQ928" s="2" t="n">
        <v>0</v>
      </c>
      <c r="CR928" s="2" t="n">
        <v>0</v>
      </c>
      <c r="CS928" s="2" t="n">
        <v>0</v>
      </c>
      <c r="CT928" s="2" t="n">
        <v>0</v>
      </c>
      <c r="CU928" s="2" t="n">
        <v>0</v>
      </c>
      <c r="CV928" s="2" t="n">
        <v>0</v>
      </c>
      <c r="CW928" s="2" t="n">
        <v>0</v>
      </c>
      <c r="CX928" s="2" t="n">
        <v>0</v>
      </c>
      <c r="CY928" s="2" t="n">
        <v>0</v>
      </c>
      <c r="CZ928" s="2" t="n">
        <v>0</v>
      </c>
      <c r="DA928" s="2" t="n">
        <v>0</v>
      </c>
      <c r="DB928" s="2" t="n">
        <v>0</v>
      </c>
      <c r="DC928" s="2" t="n">
        <v>0</v>
      </c>
      <c r="DD928" s="2" t="n">
        <v>0</v>
      </c>
      <c r="DE928" s="2" t="n">
        <v>0</v>
      </c>
      <c r="DF928" s="2" t="n">
        <v>0</v>
      </c>
      <c r="DG928" s="2" t="n">
        <v>0</v>
      </c>
      <c r="DH928" s="2" t="n">
        <v>0</v>
      </c>
      <c r="DI928" s="2" t="n">
        <v>0</v>
      </c>
      <c r="DJ928" s="2" t="n">
        <v>0</v>
      </c>
      <c r="DK928" s="2" t="n">
        <v>0</v>
      </c>
      <c r="DL928" s="2" t="n">
        <v>0</v>
      </c>
      <c r="DM928" s="2" t="n">
        <v>0</v>
      </c>
      <c r="DN928" s="2" t="n">
        <v>0</v>
      </c>
      <c r="DO928" s="2" t="n">
        <v>0</v>
      </c>
      <c r="DP928" s="2" t="n">
        <v>0</v>
      </c>
      <c r="DQ928" s="2" t="n">
        <v>0</v>
      </c>
      <c r="DR928" s="2" t="n">
        <v>0</v>
      </c>
      <c r="DS928" s="2" t="n">
        <v>0</v>
      </c>
      <c r="DT928" s="2" t="n">
        <v>0</v>
      </c>
      <c r="DU928" s="2" t="n">
        <v>0</v>
      </c>
      <c r="DV928" s="2" t="n">
        <v>0</v>
      </c>
      <c r="DW928" s="2" t="n">
        <v>0</v>
      </c>
      <c r="DX928" s="2" t="n">
        <v>0</v>
      </c>
      <c r="DY928" s="2" t="n">
        <v>0</v>
      </c>
      <c r="DZ928" s="2" t="n">
        <v>0.05</v>
      </c>
      <c r="EA928" s="2" t="n">
        <v>0</v>
      </c>
      <c r="EB928" s="2" t="n">
        <v>0</v>
      </c>
      <c r="EC928" s="2" t="n">
        <v>0.49</v>
      </c>
      <c r="ED928" s="2" t="n">
        <v>0</v>
      </c>
      <c r="EE928" s="2" t="n">
        <v>0.49</v>
      </c>
      <c r="EF928" s="2" t="n">
        <v>3.53</v>
      </c>
      <c r="EG928" s="2" t="n">
        <v>0</v>
      </c>
      <c r="EH928" s="2" t="n">
        <v>25.22</v>
      </c>
      <c r="EI928" s="2" t="n">
        <v>32.04</v>
      </c>
      <c r="EJ928" s="2" t="n">
        <v>0</v>
      </c>
      <c r="EK928" s="2" t="n">
        <v>52.87</v>
      </c>
      <c r="EL928" s="2" t="n">
        <v>63.71</v>
      </c>
      <c r="EM928" s="2" t="n">
        <v>0</v>
      </c>
      <c r="EN928" s="2" t="n">
        <v>89.40000000000001</v>
      </c>
      <c r="EO928" s="2" t="n">
        <v>91.76000000000001</v>
      </c>
      <c r="EP928" s="2" t="n">
        <v>0</v>
      </c>
      <c r="EQ928" s="2" t="n">
        <v>99.17</v>
      </c>
      <c r="ER928" s="2" t="n">
        <v>99.17</v>
      </c>
      <c r="ES928" s="2" t="n">
        <v>0</v>
      </c>
    </row>
    <row r="929">
      <c r="A929" s="2" t="n">
        <v>3</v>
      </c>
      <c r="B929" s="2" t="inlineStr">
        <is>
          <t>37.01.01</t>
        </is>
      </c>
      <c r="C929" s="2" t="inlineStr">
        <is>
          <t>Numeracao dos apartamentos</t>
        </is>
      </c>
      <c r="D929" s="2" t="inlineStr">
        <is>
          <t>31/10/2028</t>
        </is>
      </c>
      <c r="E929" s="2" t="inlineStr">
        <is>
          <t>13/04/2029</t>
        </is>
      </c>
      <c r="F929" s="2" t="n">
        <v>6825</v>
      </c>
      <c r="G929" s="2" t="n">
        <v>0</v>
      </c>
      <c r="H929" s="2" t="n">
        <v>6825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0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2" t="n">
        <v>0</v>
      </c>
      <c r="AL929" s="2" t="n">
        <v>0</v>
      </c>
      <c r="AM929" s="2" t="n">
        <v>0</v>
      </c>
      <c r="AN929" s="2" t="n">
        <v>0</v>
      </c>
      <c r="AO929" s="2" t="n">
        <v>0</v>
      </c>
      <c r="AP929" s="2" t="n">
        <v>0</v>
      </c>
      <c r="AQ929" s="2" t="n">
        <v>0</v>
      </c>
      <c r="AR929" s="2" t="n">
        <v>0</v>
      </c>
      <c r="AS929" s="2" t="n">
        <v>0</v>
      </c>
      <c r="AT929" s="2" t="n">
        <v>0</v>
      </c>
      <c r="AU929" s="2" t="n">
        <v>0</v>
      </c>
      <c r="AV929" s="2" t="n">
        <v>0</v>
      </c>
      <c r="AW929" s="2" t="n">
        <v>0</v>
      </c>
      <c r="AX929" s="2" t="n">
        <v>0</v>
      </c>
      <c r="AY929" s="2" t="n">
        <v>0</v>
      </c>
      <c r="AZ929" s="2" t="n">
        <v>0</v>
      </c>
      <c r="BA929" s="2" t="n">
        <v>0</v>
      </c>
      <c r="BB929" s="2" t="n">
        <v>0</v>
      </c>
      <c r="BC929" s="2" t="n">
        <v>0</v>
      </c>
      <c r="BD929" s="2" t="n">
        <v>0</v>
      </c>
      <c r="BE929" s="2" t="n">
        <v>0</v>
      </c>
      <c r="BF929" s="2" t="n">
        <v>0</v>
      </c>
      <c r="BG929" s="2" t="n">
        <v>0</v>
      </c>
      <c r="BH929" s="2" t="n">
        <v>0</v>
      </c>
      <c r="BI929" s="2" t="n">
        <v>0</v>
      </c>
      <c r="BJ929" s="2" t="n">
        <v>0</v>
      </c>
      <c r="BK929" s="2" t="n">
        <v>0</v>
      </c>
      <c r="BL929" s="2" t="n">
        <v>0</v>
      </c>
      <c r="BM929" s="2" t="n">
        <v>0</v>
      </c>
      <c r="BN929" s="2" t="n">
        <v>0</v>
      </c>
      <c r="BO929" s="2" t="n">
        <v>0</v>
      </c>
      <c r="BP929" s="2" t="n">
        <v>0</v>
      </c>
      <c r="BQ929" s="2" t="n">
        <v>0</v>
      </c>
      <c r="BR929" s="2" t="n">
        <v>0</v>
      </c>
      <c r="BS929" s="2" t="n">
        <v>0</v>
      </c>
      <c r="BT929" s="2" t="n">
        <v>0</v>
      </c>
      <c r="BU929" s="2" t="n">
        <v>0</v>
      </c>
      <c r="BV929" s="2" t="n">
        <v>0</v>
      </c>
      <c r="BW929" s="2" t="n">
        <v>0</v>
      </c>
      <c r="BX929" s="2" t="n">
        <v>0</v>
      </c>
      <c r="BY929" s="2" t="n">
        <v>0</v>
      </c>
      <c r="BZ929" s="2" t="n">
        <v>0</v>
      </c>
      <c r="CA929" s="2" t="n">
        <v>0</v>
      </c>
      <c r="CB929" s="2" t="n">
        <v>0</v>
      </c>
      <c r="CC929" s="2" t="n">
        <v>0</v>
      </c>
      <c r="CD929" s="2" t="n">
        <v>0</v>
      </c>
      <c r="CE929" s="2" t="n">
        <v>0</v>
      </c>
      <c r="CF929" s="2" t="n">
        <v>0</v>
      </c>
      <c r="CG929" s="2" t="n">
        <v>0</v>
      </c>
      <c r="CH929" s="2" t="n">
        <v>0</v>
      </c>
      <c r="CI929" s="2" t="n">
        <v>0</v>
      </c>
      <c r="CJ929" s="2" t="n">
        <v>0</v>
      </c>
      <c r="CK929" s="2" t="n">
        <v>0</v>
      </c>
      <c r="CL929" s="2" t="n">
        <v>0</v>
      </c>
      <c r="CM929" s="2" t="n">
        <v>0</v>
      </c>
      <c r="CN929" s="2" t="n">
        <v>0</v>
      </c>
      <c r="CO929" s="2" t="n">
        <v>0</v>
      </c>
      <c r="CP929" s="2" t="n">
        <v>0</v>
      </c>
      <c r="CQ929" s="2" t="n">
        <v>0</v>
      </c>
      <c r="CR929" s="2" t="n">
        <v>0</v>
      </c>
      <c r="CS929" s="2" t="n">
        <v>0</v>
      </c>
      <c r="CT929" s="2" t="n">
        <v>0</v>
      </c>
      <c r="CU929" s="2" t="n">
        <v>0</v>
      </c>
      <c r="CV929" s="2" t="n">
        <v>0</v>
      </c>
      <c r="CW929" s="2" t="n">
        <v>0</v>
      </c>
      <c r="CX929" s="2" t="n">
        <v>0</v>
      </c>
      <c r="CY929" s="2" t="n">
        <v>0</v>
      </c>
      <c r="CZ929" s="2" t="n">
        <v>0</v>
      </c>
      <c r="DA929" s="2" t="n">
        <v>0</v>
      </c>
      <c r="DB929" s="2" t="n">
        <v>0</v>
      </c>
      <c r="DC929" s="2" t="n">
        <v>0</v>
      </c>
      <c r="DD929" s="2" t="n">
        <v>0</v>
      </c>
      <c r="DE929" s="2" t="n">
        <v>0</v>
      </c>
      <c r="DF929" s="2" t="n">
        <v>0</v>
      </c>
      <c r="DG929" s="2" t="n">
        <v>0</v>
      </c>
      <c r="DH929" s="2" t="n">
        <v>0</v>
      </c>
      <c r="DI929" s="2" t="n">
        <v>0</v>
      </c>
      <c r="DJ929" s="2" t="n">
        <v>0</v>
      </c>
      <c r="DK929" s="2" t="n">
        <v>0</v>
      </c>
      <c r="DL929" s="2" t="n">
        <v>0</v>
      </c>
      <c r="DM929" s="2" t="n">
        <v>0</v>
      </c>
      <c r="DN929" s="2" t="n">
        <v>0</v>
      </c>
      <c r="DO929" s="2" t="n">
        <v>0</v>
      </c>
      <c r="DP929" s="2" t="n">
        <v>0</v>
      </c>
      <c r="DQ929" s="2" t="n">
        <v>0</v>
      </c>
      <c r="DR929" s="2" t="n">
        <v>0</v>
      </c>
      <c r="DS929" s="2" t="n">
        <v>0</v>
      </c>
      <c r="DT929" s="2" t="n">
        <v>0</v>
      </c>
      <c r="DU929" s="2" t="n">
        <v>0</v>
      </c>
      <c r="DV929" s="2" t="n">
        <v>0</v>
      </c>
      <c r="DW929" s="2" t="n">
        <v>0</v>
      </c>
      <c r="DX929" s="2" t="n">
        <v>0</v>
      </c>
      <c r="DY929" s="2" t="n">
        <v>0</v>
      </c>
      <c r="DZ929" s="2" t="n">
        <v>0.05</v>
      </c>
      <c r="EA929" s="2" t="n">
        <v>0</v>
      </c>
      <c r="EB929" s="2" t="n">
        <v>0</v>
      </c>
      <c r="EC929" s="2" t="n">
        <v>0.49</v>
      </c>
      <c r="ED929" s="2" t="n">
        <v>0</v>
      </c>
      <c r="EE929" s="2" t="n">
        <v>0.49</v>
      </c>
      <c r="EF929" s="2" t="n">
        <v>3.53</v>
      </c>
      <c r="EG929" s="2" t="n">
        <v>0</v>
      </c>
      <c r="EH929" s="2" t="n">
        <v>25.22</v>
      </c>
      <c r="EI929" s="2" t="n">
        <v>32.04</v>
      </c>
      <c r="EJ929" s="2" t="n">
        <v>0</v>
      </c>
      <c r="EK929" s="2" t="n">
        <v>52.87</v>
      </c>
      <c r="EL929" s="2" t="n">
        <v>63.71</v>
      </c>
      <c r="EM929" s="2" t="n">
        <v>0</v>
      </c>
      <c r="EN929" s="2" t="n">
        <v>89.40000000000001</v>
      </c>
      <c r="EO929" s="2" t="n">
        <v>91.76000000000001</v>
      </c>
      <c r="EP929" s="2" t="n">
        <v>0</v>
      </c>
      <c r="EQ929" s="2" t="n">
        <v>99.17</v>
      </c>
      <c r="ER929" s="2" t="n">
        <v>99.17</v>
      </c>
      <c r="ES929" s="2" t="n">
        <v>0</v>
      </c>
    </row>
    <row r="930">
      <c r="A930" s="2" t="n">
        <v>3</v>
      </c>
      <c r="B930" s="2" t="inlineStr">
        <is>
          <t>37.01.02</t>
        </is>
      </c>
      <c r="C930" s="2" t="inlineStr">
        <is>
          <t>Letreiro com nome do predio</t>
        </is>
      </c>
      <c r="D930" s="2" t="inlineStr">
        <is>
          <t>31/10/2028</t>
        </is>
      </c>
      <c r="E930" s="2" t="inlineStr">
        <is>
          <t>13/04/2029</t>
        </is>
      </c>
      <c r="F930" s="2" t="n">
        <v>25000</v>
      </c>
      <c r="G930" s="2" t="n">
        <v>0</v>
      </c>
      <c r="H930" s="2" t="n">
        <v>25000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0</v>
      </c>
      <c r="AM930" s="2" t="n">
        <v>0</v>
      </c>
      <c r="AN930" s="2" t="n">
        <v>0</v>
      </c>
      <c r="AO930" s="2" t="n">
        <v>0</v>
      </c>
      <c r="AP930" s="2" t="n">
        <v>0</v>
      </c>
      <c r="AQ930" s="2" t="n">
        <v>0</v>
      </c>
      <c r="AR930" s="2" t="n">
        <v>0</v>
      </c>
      <c r="AS930" s="2" t="n">
        <v>0</v>
      </c>
      <c r="AT930" s="2" t="n">
        <v>0</v>
      </c>
      <c r="AU930" s="2" t="n">
        <v>0</v>
      </c>
      <c r="AV930" s="2" t="n">
        <v>0</v>
      </c>
      <c r="AW930" s="2" t="n">
        <v>0</v>
      </c>
      <c r="AX930" s="2" t="n">
        <v>0</v>
      </c>
      <c r="AY930" s="2" t="n">
        <v>0</v>
      </c>
      <c r="AZ930" s="2" t="n">
        <v>0</v>
      </c>
      <c r="BA930" s="2" t="n">
        <v>0</v>
      </c>
      <c r="BB930" s="2" t="n">
        <v>0</v>
      </c>
      <c r="BC930" s="2" t="n">
        <v>0</v>
      </c>
      <c r="BD930" s="2" t="n">
        <v>0</v>
      </c>
      <c r="BE930" s="2" t="n">
        <v>0</v>
      </c>
      <c r="BF930" s="2" t="n">
        <v>0</v>
      </c>
      <c r="BG930" s="2" t="n">
        <v>0</v>
      </c>
      <c r="BH930" s="2" t="n">
        <v>0</v>
      </c>
      <c r="BI930" s="2" t="n">
        <v>0</v>
      </c>
      <c r="BJ930" s="2" t="n">
        <v>0</v>
      </c>
      <c r="BK930" s="2" t="n">
        <v>0</v>
      </c>
      <c r="BL930" s="2" t="n">
        <v>0</v>
      </c>
      <c r="BM930" s="2" t="n">
        <v>0</v>
      </c>
      <c r="BN930" s="2" t="n">
        <v>0</v>
      </c>
      <c r="BO930" s="2" t="n">
        <v>0</v>
      </c>
      <c r="BP930" s="2" t="n">
        <v>0</v>
      </c>
      <c r="BQ930" s="2" t="n">
        <v>0</v>
      </c>
      <c r="BR930" s="2" t="n">
        <v>0</v>
      </c>
      <c r="BS930" s="2" t="n">
        <v>0</v>
      </c>
      <c r="BT930" s="2" t="n">
        <v>0</v>
      </c>
      <c r="BU930" s="2" t="n">
        <v>0</v>
      </c>
      <c r="BV930" s="2" t="n">
        <v>0</v>
      </c>
      <c r="BW930" s="2" t="n">
        <v>0</v>
      </c>
      <c r="BX930" s="2" t="n">
        <v>0</v>
      </c>
      <c r="BY930" s="2" t="n">
        <v>0</v>
      </c>
      <c r="BZ930" s="2" t="n">
        <v>0</v>
      </c>
      <c r="CA930" s="2" t="n">
        <v>0</v>
      </c>
      <c r="CB930" s="2" t="n">
        <v>0</v>
      </c>
      <c r="CC930" s="2" t="n">
        <v>0</v>
      </c>
      <c r="CD930" s="2" t="n">
        <v>0</v>
      </c>
      <c r="CE930" s="2" t="n">
        <v>0</v>
      </c>
      <c r="CF930" s="2" t="n">
        <v>0</v>
      </c>
      <c r="CG930" s="2" t="n">
        <v>0</v>
      </c>
      <c r="CH930" s="2" t="n">
        <v>0</v>
      </c>
      <c r="CI930" s="2" t="n">
        <v>0</v>
      </c>
      <c r="CJ930" s="2" t="n">
        <v>0</v>
      </c>
      <c r="CK930" s="2" t="n">
        <v>0</v>
      </c>
      <c r="CL930" s="2" t="n">
        <v>0</v>
      </c>
      <c r="CM930" s="2" t="n">
        <v>0</v>
      </c>
      <c r="CN930" s="2" t="n">
        <v>0</v>
      </c>
      <c r="CO930" s="2" t="n">
        <v>0</v>
      </c>
      <c r="CP930" s="2" t="n">
        <v>0</v>
      </c>
      <c r="CQ930" s="2" t="n">
        <v>0</v>
      </c>
      <c r="CR930" s="2" t="n">
        <v>0</v>
      </c>
      <c r="CS930" s="2" t="n">
        <v>0</v>
      </c>
      <c r="CT930" s="2" t="n">
        <v>0</v>
      </c>
      <c r="CU930" s="2" t="n">
        <v>0</v>
      </c>
      <c r="CV930" s="2" t="n">
        <v>0</v>
      </c>
      <c r="CW930" s="2" t="n">
        <v>0</v>
      </c>
      <c r="CX930" s="2" t="n">
        <v>0</v>
      </c>
      <c r="CY930" s="2" t="n">
        <v>0</v>
      </c>
      <c r="CZ930" s="2" t="n">
        <v>0</v>
      </c>
      <c r="DA930" s="2" t="n">
        <v>0</v>
      </c>
      <c r="DB930" s="2" t="n">
        <v>0</v>
      </c>
      <c r="DC930" s="2" t="n">
        <v>0</v>
      </c>
      <c r="DD930" s="2" t="n">
        <v>0</v>
      </c>
      <c r="DE930" s="2" t="n">
        <v>0</v>
      </c>
      <c r="DF930" s="2" t="n">
        <v>0</v>
      </c>
      <c r="DG930" s="2" t="n">
        <v>0</v>
      </c>
      <c r="DH930" s="2" t="n">
        <v>0</v>
      </c>
      <c r="DI930" s="2" t="n">
        <v>0</v>
      </c>
      <c r="DJ930" s="2" t="n">
        <v>0</v>
      </c>
      <c r="DK930" s="2" t="n">
        <v>0</v>
      </c>
      <c r="DL930" s="2" t="n">
        <v>0</v>
      </c>
      <c r="DM930" s="2" t="n">
        <v>0</v>
      </c>
      <c r="DN930" s="2" t="n">
        <v>0</v>
      </c>
      <c r="DO930" s="2" t="n">
        <v>0</v>
      </c>
      <c r="DP930" s="2" t="n">
        <v>0</v>
      </c>
      <c r="DQ930" s="2" t="n">
        <v>0</v>
      </c>
      <c r="DR930" s="2" t="n">
        <v>0</v>
      </c>
      <c r="DS930" s="2" t="n">
        <v>0</v>
      </c>
      <c r="DT930" s="2" t="n">
        <v>0</v>
      </c>
      <c r="DU930" s="2" t="n">
        <v>0</v>
      </c>
      <c r="DV930" s="2" t="n">
        <v>0</v>
      </c>
      <c r="DW930" s="2" t="n">
        <v>0</v>
      </c>
      <c r="DX930" s="2" t="n">
        <v>0</v>
      </c>
      <c r="DY930" s="2" t="n">
        <v>0</v>
      </c>
      <c r="DZ930" s="2" t="n">
        <v>0.05</v>
      </c>
      <c r="EA930" s="2" t="n">
        <v>0</v>
      </c>
      <c r="EB930" s="2" t="n">
        <v>0</v>
      </c>
      <c r="EC930" s="2" t="n">
        <v>0.49</v>
      </c>
      <c r="ED930" s="2" t="n">
        <v>0</v>
      </c>
      <c r="EE930" s="2" t="n">
        <v>0.49</v>
      </c>
      <c r="EF930" s="2" t="n">
        <v>3.53</v>
      </c>
      <c r="EG930" s="2" t="n">
        <v>0</v>
      </c>
      <c r="EH930" s="2" t="n">
        <v>25.22</v>
      </c>
      <c r="EI930" s="2" t="n">
        <v>32.04</v>
      </c>
      <c r="EJ930" s="2" t="n">
        <v>0</v>
      </c>
      <c r="EK930" s="2" t="n">
        <v>52.87</v>
      </c>
      <c r="EL930" s="2" t="n">
        <v>63.71</v>
      </c>
      <c r="EM930" s="2" t="n">
        <v>0</v>
      </c>
      <c r="EN930" s="2" t="n">
        <v>89.40000000000001</v>
      </c>
      <c r="EO930" s="2" t="n">
        <v>91.76000000000001</v>
      </c>
      <c r="EP930" s="2" t="n">
        <v>0</v>
      </c>
      <c r="EQ930" s="2" t="n">
        <v>99.17</v>
      </c>
      <c r="ER930" s="2" t="n">
        <v>99.17</v>
      </c>
      <c r="ES930" s="2" t="n">
        <v>0</v>
      </c>
    </row>
    <row r="931">
      <c r="A931" s="2" t="n">
        <v>3</v>
      </c>
      <c r="B931" s="2" t="inlineStr">
        <is>
          <t>37.01.03</t>
        </is>
      </c>
      <c r="C931" s="2" t="inlineStr">
        <is>
          <t>Placas de indicação de ambientes</t>
        </is>
      </c>
      <c r="D931" s="2" t="inlineStr">
        <is>
          <t>31/10/2028</t>
        </is>
      </c>
      <c r="E931" s="2" t="inlineStr">
        <is>
          <t>13/04/2029</t>
        </is>
      </c>
      <c r="F931" s="2" t="n">
        <v>20000</v>
      </c>
      <c r="G931" s="2" t="n">
        <v>0</v>
      </c>
      <c r="H931" s="2" t="n">
        <v>20000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0</v>
      </c>
      <c r="AM931" s="2" t="n">
        <v>0</v>
      </c>
      <c r="AN931" s="2" t="n">
        <v>0</v>
      </c>
      <c r="AO931" s="2" t="n">
        <v>0</v>
      </c>
      <c r="AP931" s="2" t="n">
        <v>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s="2" t="n">
        <v>0</v>
      </c>
      <c r="AW931" s="2" t="n">
        <v>0</v>
      </c>
      <c r="AX931" s="2" t="n">
        <v>0</v>
      </c>
      <c r="AY931" s="2" t="n">
        <v>0</v>
      </c>
      <c r="AZ931" s="2" t="n">
        <v>0</v>
      </c>
      <c r="BA931" s="2" t="n">
        <v>0</v>
      </c>
      <c r="BB931" s="2" t="n">
        <v>0</v>
      </c>
      <c r="BC931" s="2" t="n">
        <v>0</v>
      </c>
      <c r="BD931" s="2" t="n">
        <v>0</v>
      </c>
      <c r="BE931" s="2" t="n">
        <v>0</v>
      </c>
      <c r="BF931" s="2" t="n">
        <v>0</v>
      </c>
      <c r="BG931" s="2" t="n">
        <v>0</v>
      </c>
      <c r="BH931" s="2" t="n">
        <v>0</v>
      </c>
      <c r="BI931" s="2" t="n">
        <v>0</v>
      </c>
      <c r="BJ931" s="2" t="n">
        <v>0</v>
      </c>
      <c r="BK931" s="2" t="n">
        <v>0</v>
      </c>
      <c r="BL931" s="2" t="n">
        <v>0</v>
      </c>
      <c r="BM931" s="2" t="n">
        <v>0</v>
      </c>
      <c r="BN931" s="2" t="n">
        <v>0</v>
      </c>
      <c r="BO931" s="2" t="n">
        <v>0</v>
      </c>
      <c r="BP931" s="2" t="n">
        <v>0</v>
      </c>
      <c r="BQ931" s="2" t="n">
        <v>0</v>
      </c>
      <c r="BR931" s="2" t="n">
        <v>0</v>
      </c>
      <c r="BS931" s="2" t="n">
        <v>0</v>
      </c>
      <c r="BT931" s="2" t="n">
        <v>0</v>
      </c>
      <c r="BU931" s="2" t="n">
        <v>0</v>
      </c>
      <c r="BV931" s="2" t="n">
        <v>0</v>
      </c>
      <c r="BW931" s="2" t="n">
        <v>0</v>
      </c>
      <c r="BX931" s="2" t="n">
        <v>0</v>
      </c>
      <c r="BY931" s="2" t="n">
        <v>0</v>
      </c>
      <c r="BZ931" s="2" t="n">
        <v>0</v>
      </c>
      <c r="CA931" s="2" t="n">
        <v>0</v>
      </c>
      <c r="CB931" s="2" t="n">
        <v>0</v>
      </c>
      <c r="CC931" s="2" t="n">
        <v>0</v>
      </c>
      <c r="CD931" s="2" t="n">
        <v>0</v>
      </c>
      <c r="CE931" s="2" t="n">
        <v>0</v>
      </c>
      <c r="CF931" s="2" t="n">
        <v>0</v>
      </c>
      <c r="CG931" s="2" t="n">
        <v>0</v>
      </c>
      <c r="CH931" s="2" t="n">
        <v>0</v>
      </c>
      <c r="CI931" s="2" t="n">
        <v>0</v>
      </c>
      <c r="CJ931" s="2" t="n">
        <v>0</v>
      </c>
      <c r="CK931" s="2" t="n">
        <v>0</v>
      </c>
      <c r="CL931" s="2" t="n">
        <v>0</v>
      </c>
      <c r="CM931" s="2" t="n">
        <v>0</v>
      </c>
      <c r="CN931" s="2" t="n">
        <v>0</v>
      </c>
      <c r="CO931" s="2" t="n">
        <v>0</v>
      </c>
      <c r="CP931" s="2" t="n">
        <v>0</v>
      </c>
      <c r="CQ931" s="2" t="n">
        <v>0</v>
      </c>
      <c r="CR931" s="2" t="n">
        <v>0</v>
      </c>
      <c r="CS931" s="2" t="n">
        <v>0</v>
      </c>
      <c r="CT931" s="2" t="n">
        <v>0</v>
      </c>
      <c r="CU931" s="2" t="n">
        <v>0</v>
      </c>
      <c r="CV931" s="2" t="n">
        <v>0</v>
      </c>
      <c r="CW931" s="2" t="n">
        <v>0</v>
      </c>
      <c r="CX931" s="2" t="n">
        <v>0</v>
      </c>
      <c r="CY931" s="2" t="n">
        <v>0</v>
      </c>
      <c r="CZ931" s="2" t="n">
        <v>0</v>
      </c>
      <c r="DA931" s="2" t="n">
        <v>0</v>
      </c>
      <c r="DB931" s="2" t="n">
        <v>0</v>
      </c>
      <c r="DC931" s="2" t="n">
        <v>0</v>
      </c>
      <c r="DD931" s="2" t="n">
        <v>0</v>
      </c>
      <c r="DE931" s="2" t="n">
        <v>0</v>
      </c>
      <c r="DF931" s="2" t="n">
        <v>0</v>
      </c>
      <c r="DG931" s="2" t="n">
        <v>0</v>
      </c>
      <c r="DH931" s="2" t="n">
        <v>0</v>
      </c>
      <c r="DI931" s="2" t="n">
        <v>0</v>
      </c>
      <c r="DJ931" s="2" t="n">
        <v>0</v>
      </c>
      <c r="DK931" s="2" t="n">
        <v>0</v>
      </c>
      <c r="DL931" s="2" t="n">
        <v>0</v>
      </c>
      <c r="DM931" s="2" t="n">
        <v>0</v>
      </c>
      <c r="DN931" s="2" t="n">
        <v>0</v>
      </c>
      <c r="DO931" s="2" t="n">
        <v>0</v>
      </c>
      <c r="DP931" s="2" t="n">
        <v>0</v>
      </c>
      <c r="DQ931" s="2" t="n">
        <v>0</v>
      </c>
      <c r="DR931" s="2" t="n">
        <v>0</v>
      </c>
      <c r="DS931" s="2" t="n">
        <v>0</v>
      </c>
      <c r="DT931" s="2" t="n">
        <v>0</v>
      </c>
      <c r="DU931" s="2" t="n">
        <v>0</v>
      </c>
      <c r="DV931" s="2" t="n">
        <v>0</v>
      </c>
      <c r="DW931" s="2" t="n">
        <v>0</v>
      </c>
      <c r="DX931" s="2" t="n">
        <v>0</v>
      </c>
      <c r="DY931" s="2" t="n">
        <v>0</v>
      </c>
      <c r="DZ931" s="2" t="n">
        <v>0.05</v>
      </c>
      <c r="EA931" s="2" t="n">
        <v>0</v>
      </c>
      <c r="EB931" s="2" t="n">
        <v>0</v>
      </c>
      <c r="EC931" s="2" t="n">
        <v>0.49</v>
      </c>
      <c r="ED931" s="2" t="n">
        <v>0</v>
      </c>
      <c r="EE931" s="2" t="n">
        <v>0.49</v>
      </c>
      <c r="EF931" s="2" t="n">
        <v>3.53</v>
      </c>
      <c r="EG931" s="2" t="n">
        <v>0</v>
      </c>
      <c r="EH931" s="2" t="n">
        <v>25.22</v>
      </c>
      <c r="EI931" s="2" t="n">
        <v>32.04</v>
      </c>
      <c r="EJ931" s="2" t="n">
        <v>0</v>
      </c>
      <c r="EK931" s="2" t="n">
        <v>52.87</v>
      </c>
      <c r="EL931" s="2" t="n">
        <v>63.71</v>
      </c>
      <c r="EM931" s="2" t="n">
        <v>0</v>
      </c>
      <c r="EN931" s="2" t="n">
        <v>89.40000000000001</v>
      </c>
      <c r="EO931" s="2" t="n">
        <v>91.76000000000001</v>
      </c>
      <c r="EP931" s="2" t="n">
        <v>0</v>
      </c>
      <c r="EQ931" s="2" t="n">
        <v>99.17</v>
      </c>
      <c r="ER931" s="2" t="n">
        <v>99.17</v>
      </c>
      <c r="ES931" s="2" t="n">
        <v>0</v>
      </c>
    </row>
    <row r="932">
      <c r="A932" s="2" t="n">
        <v>2</v>
      </c>
      <c r="B932" s="2" t="inlineStr">
        <is>
          <t>37.02</t>
        </is>
      </c>
      <c r="C932" s="2" t="inlineStr">
        <is>
          <t>Despesas Gerais</t>
        </is>
      </c>
      <c r="D932" s="2" t="inlineStr">
        <is>
          <t>24/04/2028</t>
        </is>
      </c>
      <c r="E932" s="2" t="inlineStr">
        <is>
          <t>19/03/2029</t>
        </is>
      </c>
      <c r="F932" s="2" t="n">
        <v>299500</v>
      </c>
      <c r="G932" s="2" t="n">
        <v>0</v>
      </c>
      <c r="H932" s="2" t="n">
        <v>299500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2" t="n">
        <v>0</v>
      </c>
      <c r="AB932" s="2" t="n">
        <v>0</v>
      </c>
      <c r="AC932" s="2" t="n">
        <v>0</v>
      </c>
      <c r="AD932" s="2" t="n">
        <v>0</v>
      </c>
      <c r="AE932" s="2" t="n">
        <v>0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n">
        <v>0</v>
      </c>
      <c r="AK932" s="2" t="n">
        <v>0</v>
      </c>
      <c r="AL932" s="2" t="n">
        <v>0</v>
      </c>
      <c r="AM932" s="2" t="n">
        <v>0</v>
      </c>
      <c r="AN932" s="2" t="n">
        <v>0</v>
      </c>
      <c r="AO932" s="2" t="n">
        <v>0</v>
      </c>
      <c r="AP932" s="2" t="n">
        <v>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n">
        <v>0</v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n">
        <v>0</v>
      </c>
      <c r="BE932" s="2" t="n">
        <v>0</v>
      </c>
      <c r="BF932" s="2" t="n">
        <v>0</v>
      </c>
      <c r="BG932" s="2" t="n">
        <v>0</v>
      </c>
      <c r="BH932" s="2" t="n">
        <v>0</v>
      </c>
      <c r="BI932" s="2" t="n">
        <v>0</v>
      </c>
      <c r="BJ932" s="2" t="n">
        <v>0</v>
      </c>
      <c r="BK932" s="2" t="n">
        <v>0</v>
      </c>
      <c r="BL932" s="2" t="n">
        <v>0</v>
      </c>
      <c r="BM932" s="2" t="n">
        <v>0</v>
      </c>
      <c r="BN932" s="2" t="n">
        <v>0</v>
      </c>
      <c r="BO932" s="2" t="n">
        <v>0</v>
      </c>
      <c r="BP932" s="2" t="n">
        <v>0</v>
      </c>
      <c r="BQ932" s="2" t="n">
        <v>0</v>
      </c>
      <c r="BR932" s="2" t="n">
        <v>0</v>
      </c>
      <c r="BS932" s="2" t="n">
        <v>0</v>
      </c>
      <c r="BT932" s="2" t="n">
        <v>0</v>
      </c>
      <c r="BU932" s="2" t="n">
        <v>0</v>
      </c>
      <c r="BV932" s="2" t="n">
        <v>0</v>
      </c>
      <c r="BW932" s="2" t="n">
        <v>0</v>
      </c>
      <c r="BX932" s="2" t="n">
        <v>0</v>
      </c>
      <c r="BY932" s="2" t="n">
        <v>0</v>
      </c>
      <c r="BZ932" s="2" t="n">
        <v>0</v>
      </c>
      <c r="CA932" s="2" t="n">
        <v>0</v>
      </c>
      <c r="CB932" s="2" t="n">
        <v>0</v>
      </c>
      <c r="CC932" s="2" t="n">
        <v>0</v>
      </c>
      <c r="CD932" s="2" t="n">
        <v>0</v>
      </c>
      <c r="CE932" s="2" t="n">
        <v>0</v>
      </c>
      <c r="CF932" s="2" t="n">
        <v>0</v>
      </c>
      <c r="CG932" s="2" t="n">
        <v>0</v>
      </c>
      <c r="CH932" s="2" t="n">
        <v>0</v>
      </c>
      <c r="CI932" s="2" t="n">
        <v>0</v>
      </c>
      <c r="CJ932" s="2" t="n">
        <v>0</v>
      </c>
      <c r="CK932" s="2" t="n">
        <v>0</v>
      </c>
      <c r="CL932" s="2" t="n">
        <v>0</v>
      </c>
      <c r="CM932" s="2" t="n">
        <v>0</v>
      </c>
      <c r="CN932" s="2" t="n">
        <v>0</v>
      </c>
      <c r="CO932" s="2" t="n">
        <v>0</v>
      </c>
      <c r="CP932" s="2" t="n">
        <v>0</v>
      </c>
      <c r="CQ932" s="2" t="n">
        <v>0</v>
      </c>
      <c r="CR932" s="2" t="n">
        <v>0</v>
      </c>
      <c r="CS932" s="2" t="n">
        <v>0</v>
      </c>
      <c r="CT932" s="2" t="n">
        <v>0</v>
      </c>
      <c r="CU932" s="2" t="n">
        <v>0</v>
      </c>
      <c r="CV932" s="2" t="n">
        <v>0</v>
      </c>
      <c r="CW932" s="2" t="n">
        <v>0</v>
      </c>
      <c r="CX932" s="2" t="n">
        <v>0</v>
      </c>
      <c r="CY932" s="2" t="n">
        <v>0</v>
      </c>
      <c r="CZ932" s="2" t="n">
        <v>0</v>
      </c>
      <c r="DA932" s="2" t="n">
        <v>0</v>
      </c>
      <c r="DB932" s="2" t="n">
        <v>0</v>
      </c>
      <c r="DC932" s="2" t="n">
        <v>0</v>
      </c>
      <c r="DD932" s="2" t="n">
        <v>0</v>
      </c>
      <c r="DE932" s="2" t="n">
        <v>0</v>
      </c>
      <c r="DF932" s="2" t="n">
        <v>0</v>
      </c>
      <c r="DG932" s="2" t="n">
        <v>0</v>
      </c>
      <c r="DH932" s="2" t="n">
        <v>3.68</v>
      </c>
      <c r="DI932" s="2" t="n">
        <v>0</v>
      </c>
      <c r="DJ932" s="2" t="n">
        <v>10.31</v>
      </c>
      <c r="DK932" s="2" t="n">
        <v>11.04</v>
      </c>
      <c r="DL932" s="2" t="n">
        <v>0</v>
      </c>
      <c r="DM932" s="2" t="n">
        <v>18.88</v>
      </c>
      <c r="DN932" s="2" t="n">
        <v>21.09</v>
      </c>
      <c r="DO932" s="2" t="n">
        <v>0</v>
      </c>
      <c r="DP932" s="2" t="n">
        <v>28.17</v>
      </c>
      <c r="DQ932" s="2" t="n">
        <v>31.12</v>
      </c>
      <c r="DR932" s="2" t="n">
        <v>0</v>
      </c>
      <c r="DS932" s="2" t="n">
        <v>39.92</v>
      </c>
      <c r="DT932" s="2" t="n">
        <v>40.75</v>
      </c>
      <c r="DU932" s="2" t="n">
        <v>0</v>
      </c>
      <c r="DV932" s="2" t="n">
        <v>48.23</v>
      </c>
      <c r="DW932" s="2" t="n">
        <v>50.95</v>
      </c>
      <c r="DX932" s="2" t="n">
        <v>0</v>
      </c>
      <c r="DY932" s="2" t="n">
        <v>58.47</v>
      </c>
      <c r="DZ932" s="2" t="n">
        <v>61.41</v>
      </c>
      <c r="EA932" s="2" t="n">
        <v>0</v>
      </c>
      <c r="EB932" s="2" t="n">
        <v>66.56999999999999</v>
      </c>
      <c r="EC932" s="2" t="n">
        <v>68.84</v>
      </c>
      <c r="ED932" s="2" t="n">
        <v>0</v>
      </c>
      <c r="EE932" s="2" t="n">
        <v>72.45999999999999</v>
      </c>
      <c r="EF932" s="2" t="n">
        <v>75.79000000000001</v>
      </c>
      <c r="EG932" s="2" t="n">
        <v>0</v>
      </c>
      <c r="EH932" s="2" t="n">
        <v>82.62</v>
      </c>
      <c r="EI932" s="2" t="n">
        <v>85.28</v>
      </c>
      <c r="EJ932" s="2" t="n">
        <v>0</v>
      </c>
      <c r="EK932" s="2" t="n">
        <v>92.64</v>
      </c>
      <c r="EL932" s="2" t="n">
        <v>93.95</v>
      </c>
      <c r="EM932" s="2" t="n">
        <v>0</v>
      </c>
      <c r="EN932" s="2" t="n">
        <v>100</v>
      </c>
      <c r="EO932" s="2" t="n">
        <v>100</v>
      </c>
      <c r="EP932" s="2" t="n">
        <v>0</v>
      </c>
      <c r="EQ932" s="2" t="n">
        <v>100</v>
      </c>
      <c r="ER932" s="2" t="n">
        <v>100</v>
      </c>
      <c r="ES932" s="2" t="n">
        <v>0</v>
      </c>
    </row>
    <row r="933">
      <c r="A933" s="2" t="n">
        <v>3</v>
      </c>
      <c r="B933" s="2" t="inlineStr">
        <is>
          <t>37.02.01</t>
        </is>
      </c>
      <c r="C933" s="2" t="inlineStr">
        <is>
          <t>Arremates Finais</t>
        </is>
      </c>
      <c r="D933" s="2" t="inlineStr">
        <is>
          <t>24/04/2028</t>
        </is>
      </c>
      <c r="E933" s="2" t="inlineStr">
        <is>
          <t>19/03/2029</t>
        </is>
      </c>
      <c r="F933" s="2" t="n">
        <v>200000</v>
      </c>
      <c r="G933" s="2" t="n">
        <v>0</v>
      </c>
      <c r="H933" s="2" t="n">
        <v>200000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0</v>
      </c>
      <c r="AM933" s="2" t="n">
        <v>0</v>
      </c>
      <c r="AN933" s="2" t="n">
        <v>0</v>
      </c>
      <c r="AO933" s="2" t="n">
        <v>0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 t="n">
        <v>0</v>
      </c>
      <c r="AX933" s="2" t="n">
        <v>0</v>
      </c>
      <c r="AY933" s="2" t="n">
        <v>0</v>
      </c>
      <c r="AZ933" s="2" t="n">
        <v>0</v>
      </c>
      <c r="BA933" s="2" t="n">
        <v>0</v>
      </c>
      <c r="BB933" s="2" t="n">
        <v>0</v>
      </c>
      <c r="BC933" s="2" t="n">
        <v>0</v>
      </c>
      <c r="BD933" s="2" t="n">
        <v>0</v>
      </c>
      <c r="BE933" s="2" t="n">
        <v>0</v>
      </c>
      <c r="BF933" s="2" t="n">
        <v>0</v>
      </c>
      <c r="BG933" s="2" t="n">
        <v>0</v>
      </c>
      <c r="BH933" s="2" t="n">
        <v>0</v>
      </c>
      <c r="BI933" s="2" t="n">
        <v>0</v>
      </c>
      <c r="BJ933" s="2" t="n">
        <v>0</v>
      </c>
      <c r="BK933" s="2" t="n">
        <v>0</v>
      </c>
      <c r="BL933" s="2" t="n">
        <v>0</v>
      </c>
      <c r="BM933" s="2" t="n">
        <v>0</v>
      </c>
      <c r="BN933" s="2" t="n">
        <v>0</v>
      </c>
      <c r="BO933" s="2" t="n">
        <v>0</v>
      </c>
      <c r="BP933" s="2" t="n">
        <v>0</v>
      </c>
      <c r="BQ933" s="2" t="n">
        <v>0</v>
      </c>
      <c r="BR933" s="2" t="n">
        <v>0</v>
      </c>
      <c r="BS933" s="2" t="n">
        <v>0</v>
      </c>
      <c r="BT933" s="2" t="n">
        <v>0</v>
      </c>
      <c r="BU933" s="2" t="n">
        <v>0</v>
      </c>
      <c r="BV933" s="2" t="n">
        <v>0</v>
      </c>
      <c r="BW933" s="2" t="n">
        <v>0</v>
      </c>
      <c r="BX933" s="2" t="n">
        <v>0</v>
      </c>
      <c r="BY933" s="2" t="n">
        <v>0</v>
      </c>
      <c r="BZ933" s="2" t="n">
        <v>0</v>
      </c>
      <c r="CA933" s="2" t="n">
        <v>0</v>
      </c>
      <c r="CB933" s="2" t="n">
        <v>0</v>
      </c>
      <c r="CC933" s="2" t="n">
        <v>0</v>
      </c>
      <c r="CD933" s="2" t="n">
        <v>0</v>
      </c>
      <c r="CE933" s="2" t="n">
        <v>0</v>
      </c>
      <c r="CF933" s="2" t="n">
        <v>0</v>
      </c>
      <c r="CG933" s="2" t="n">
        <v>0</v>
      </c>
      <c r="CH933" s="2" t="n">
        <v>0</v>
      </c>
      <c r="CI933" s="2" t="n">
        <v>0</v>
      </c>
      <c r="CJ933" s="2" t="n">
        <v>0</v>
      </c>
      <c r="CK933" s="2" t="n">
        <v>0</v>
      </c>
      <c r="CL933" s="2" t="n">
        <v>0</v>
      </c>
      <c r="CM933" s="2" t="n">
        <v>0</v>
      </c>
      <c r="CN933" s="2" t="n">
        <v>0</v>
      </c>
      <c r="CO933" s="2" t="n">
        <v>0</v>
      </c>
      <c r="CP933" s="2" t="n">
        <v>0</v>
      </c>
      <c r="CQ933" s="2" t="n">
        <v>0</v>
      </c>
      <c r="CR933" s="2" t="n">
        <v>0</v>
      </c>
      <c r="CS933" s="2" t="n">
        <v>0</v>
      </c>
      <c r="CT933" s="2" t="n">
        <v>0</v>
      </c>
      <c r="CU933" s="2" t="n">
        <v>0</v>
      </c>
      <c r="CV933" s="2" t="n">
        <v>0</v>
      </c>
      <c r="CW933" s="2" t="n">
        <v>0</v>
      </c>
      <c r="CX933" s="2" t="n">
        <v>0</v>
      </c>
      <c r="CY933" s="2" t="n">
        <v>0</v>
      </c>
      <c r="CZ933" s="2" t="n">
        <v>0</v>
      </c>
      <c r="DA933" s="2" t="n">
        <v>0</v>
      </c>
      <c r="DB933" s="2" t="n">
        <v>0</v>
      </c>
      <c r="DC933" s="2" t="n">
        <v>0</v>
      </c>
      <c r="DD933" s="2" t="n">
        <v>0</v>
      </c>
      <c r="DE933" s="2" t="n">
        <v>0</v>
      </c>
      <c r="DF933" s="2" t="n">
        <v>0</v>
      </c>
      <c r="DG933" s="2" t="n">
        <v>0</v>
      </c>
      <c r="DH933" s="2" t="n">
        <v>3.68</v>
      </c>
      <c r="DI933" s="2" t="n">
        <v>0</v>
      </c>
      <c r="DJ933" s="2" t="n">
        <v>10.31</v>
      </c>
      <c r="DK933" s="2" t="n">
        <v>11.04</v>
      </c>
      <c r="DL933" s="2" t="n">
        <v>0</v>
      </c>
      <c r="DM933" s="2" t="n">
        <v>18.88</v>
      </c>
      <c r="DN933" s="2" t="n">
        <v>21.09</v>
      </c>
      <c r="DO933" s="2" t="n">
        <v>0</v>
      </c>
      <c r="DP933" s="2" t="n">
        <v>28.17</v>
      </c>
      <c r="DQ933" s="2" t="n">
        <v>31.12</v>
      </c>
      <c r="DR933" s="2" t="n">
        <v>0</v>
      </c>
      <c r="DS933" s="2" t="n">
        <v>39.92</v>
      </c>
      <c r="DT933" s="2" t="n">
        <v>40.75</v>
      </c>
      <c r="DU933" s="2" t="n">
        <v>0</v>
      </c>
      <c r="DV933" s="2" t="n">
        <v>48.23</v>
      </c>
      <c r="DW933" s="2" t="n">
        <v>50.95</v>
      </c>
      <c r="DX933" s="2" t="n">
        <v>0</v>
      </c>
      <c r="DY933" s="2" t="n">
        <v>58.47</v>
      </c>
      <c r="DZ933" s="2" t="n">
        <v>61.41</v>
      </c>
      <c r="EA933" s="2" t="n">
        <v>0</v>
      </c>
      <c r="EB933" s="2" t="n">
        <v>66.56999999999999</v>
      </c>
      <c r="EC933" s="2" t="n">
        <v>68.84</v>
      </c>
      <c r="ED933" s="2" t="n">
        <v>0</v>
      </c>
      <c r="EE933" s="2" t="n">
        <v>72.45999999999999</v>
      </c>
      <c r="EF933" s="2" t="n">
        <v>75.79000000000001</v>
      </c>
      <c r="EG933" s="2" t="n">
        <v>0</v>
      </c>
      <c r="EH933" s="2" t="n">
        <v>82.62</v>
      </c>
      <c r="EI933" s="2" t="n">
        <v>85.28</v>
      </c>
      <c r="EJ933" s="2" t="n">
        <v>0</v>
      </c>
      <c r="EK933" s="2" t="n">
        <v>92.64</v>
      </c>
      <c r="EL933" s="2" t="n">
        <v>93.95</v>
      </c>
      <c r="EM933" s="2" t="n">
        <v>0</v>
      </c>
      <c r="EN933" s="2" t="n">
        <v>100</v>
      </c>
      <c r="EO933" s="2" t="n">
        <v>100</v>
      </c>
      <c r="EP933" s="2" t="n">
        <v>0</v>
      </c>
      <c r="EQ933" s="2" t="n">
        <v>100</v>
      </c>
      <c r="ER933" s="2" t="n">
        <v>100</v>
      </c>
      <c r="ES933" s="2" t="n">
        <v>0</v>
      </c>
    </row>
    <row r="934">
      <c r="A934" s="2" t="n">
        <v>3</v>
      </c>
      <c r="B934" s="2" t="inlineStr">
        <is>
          <t>37.02.02</t>
        </is>
      </c>
      <c r="C934" s="2" t="inlineStr">
        <is>
          <t>Vistoria final de obra</t>
        </is>
      </c>
      <c r="D934" s="2" t="inlineStr">
        <is>
          <t>24/04/2028</t>
        </is>
      </c>
      <c r="E934" s="2" t="inlineStr">
        <is>
          <t>19/03/2029</t>
        </is>
      </c>
      <c r="F934" s="2" t="n">
        <v>20000</v>
      </c>
      <c r="G934" s="2" t="n">
        <v>0</v>
      </c>
      <c r="H934" s="2" t="n">
        <v>20000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0</v>
      </c>
      <c r="AM934" s="2" t="n">
        <v>0</v>
      </c>
      <c r="AN934" s="2" t="n">
        <v>0</v>
      </c>
      <c r="AO934" s="2" t="n">
        <v>0</v>
      </c>
      <c r="AP934" s="2" t="n">
        <v>0</v>
      </c>
      <c r="AQ934" s="2" t="n">
        <v>0</v>
      </c>
      <c r="AR934" s="2" t="n">
        <v>0</v>
      </c>
      <c r="AS934" s="2" t="n">
        <v>0</v>
      </c>
      <c r="AT934" s="2" t="n">
        <v>0</v>
      </c>
      <c r="AU934" s="2" t="n">
        <v>0</v>
      </c>
      <c r="AV934" s="2" t="n">
        <v>0</v>
      </c>
      <c r="AW934" s="2" t="n">
        <v>0</v>
      </c>
      <c r="AX934" s="2" t="n">
        <v>0</v>
      </c>
      <c r="AY934" s="2" t="n">
        <v>0</v>
      </c>
      <c r="AZ934" s="2" t="n">
        <v>0</v>
      </c>
      <c r="BA934" s="2" t="n">
        <v>0</v>
      </c>
      <c r="BB934" s="2" t="n">
        <v>0</v>
      </c>
      <c r="BC934" s="2" t="n">
        <v>0</v>
      </c>
      <c r="BD934" s="2" t="n">
        <v>0</v>
      </c>
      <c r="BE934" s="2" t="n">
        <v>0</v>
      </c>
      <c r="BF934" s="2" t="n">
        <v>0</v>
      </c>
      <c r="BG934" s="2" t="n">
        <v>0</v>
      </c>
      <c r="BH934" s="2" t="n">
        <v>0</v>
      </c>
      <c r="BI934" s="2" t="n">
        <v>0</v>
      </c>
      <c r="BJ934" s="2" t="n">
        <v>0</v>
      </c>
      <c r="BK934" s="2" t="n">
        <v>0</v>
      </c>
      <c r="BL934" s="2" t="n">
        <v>0</v>
      </c>
      <c r="BM934" s="2" t="n">
        <v>0</v>
      </c>
      <c r="BN934" s="2" t="n">
        <v>0</v>
      </c>
      <c r="BO934" s="2" t="n">
        <v>0</v>
      </c>
      <c r="BP934" s="2" t="n">
        <v>0</v>
      </c>
      <c r="BQ934" s="2" t="n">
        <v>0</v>
      </c>
      <c r="BR934" s="2" t="n">
        <v>0</v>
      </c>
      <c r="BS934" s="2" t="n">
        <v>0</v>
      </c>
      <c r="BT934" s="2" t="n">
        <v>0</v>
      </c>
      <c r="BU934" s="2" t="n">
        <v>0</v>
      </c>
      <c r="BV934" s="2" t="n">
        <v>0</v>
      </c>
      <c r="BW934" s="2" t="n">
        <v>0</v>
      </c>
      <c r="BX934" s="2" t="n">
        <v>0</v>
      </c>
      <c r="BY934" s="2" t="n">
        <v>0</v>
      </c>
      <c r="BZ934" s="2" t="n">
        <v>0</v>
      </c>
      <c r="CA934" s="2" t="n">
        <v>0</v>
      </c>
      <c r="CB934" s="2" t="n">
        <v>0</v>
      </c>
      <c r="CC934" s="2" t="n">
        <v>0</v>
      </c>
      <c r="CD934" s="2" t="n">
        <v>0</v>
      </c>
      <c r="CE934" s="2" t="n">
        <v>0</v>
      </c>
      <c r="CF934" s="2" t="n">
        <v>0</v>
      </c>
      <c r="CG934" s="2" t="n">
        <v>0</v>
      </c>
      <c r="CH934" s="2" t="n">
        <v>0</v>
      </c>
      <c r="CI934" s="2" t="n">
        <v>0</v>
      </c>
      <c r="CJ934" s="2" t="n">
        <v>0</v>
      </c>
      <c r="CK934" s="2" t="n">
        <v>0</v>
      </c>
      <c r="CL934" s="2" t="n">
        <v>0</v>
      </c>
      <c r="CM934" s="2" t="n">
        <v>0</v>
      </c>
      <c r="CN934" s="2" t="n">
        <v>0</v>
      </c>
      <c r="CO934" s="2" t="n">
        <v>0</v>
      </c>
      <c r="CP934" s="2" t="n">
        <v>0</v>
      </c>
      <c r="CQ934" s="2" t="n">
        <v>0</v>
      </c>
      <c r="CR934" s="2" t="n">
        <v>0</v>
      </c>
      <c r="CS934" s="2" t="n">
        <v>0</v>
      </c>
      <c r="CT934" s="2" t="n">
        <v>0</v>
      </c>
      <c r="CU934" s="2" t="n">
        <v>0</v>
      </c>
      <c r="CV934" s="2" t="n">
        <v>0</v>
      </c>
      <c r="CW934" s="2" t="n">
        <v>0</v>
      </c>
      <c r="CX934" s="2" t="n">
        <v>0</v>
      </c>
      <c r="CY934" s="2" t="n">
        <v>0</v>
      </c>
      <c r="CZ934" s="2" t="n">
        <v>0</v>
      </c>
      <c r="DA934" s="2" t="n">
        <v>0</v>
      </c>
      <c r="DB934" s="2" t="n">
        <v>0</v>
      </c>
      <c r="DC934" s="2" t="n">
        <v>0</v>
      </c>
      <c r="DD934" s="2" t="n">
        <v>0</v>
      </c>
      <c r="DE934" s="2" t="n">
        <v>0</v>
      </c>
      <c r="DF934" s="2" t="n">
        <v>0</v>
      </c>
      <c r="DG934" s="2" t="n">
        <v>0</v>
      </c>
      <c r="DH934" s="2" t="n">
        <v>3.68</v>
      </c>
      <c r="DI934" s="2" t="n">
        <v>0</v>
      </c>
      <c r="DJ934" s="2" t="n">
        <v>10.31</v>
      </c>
      <c r="DK934" s="2" t="n">
        <v>11.04</v>
      </c>
      <c r="DL934" s="2" t="n">
        <v>0</v>
      </c>
      <c r="DM934" s="2" t="n">
        <v>18.88</v>
      </c>
      <c r="DN934" s="2" t="n">
        <v>21.09</v>
      </c>
      <c r="DO934" s="2" t="n">
        <v>0</v>
      </c>
      <c r="DP934" s="2" t="n">
        <v>28.17</v>
      </c>
      <c r="DQ934" s="2" t="n">
        <v>31.12</v>
      </c>
      <c r="DR934" s="2" t="n">
        <v>0</v>
      </c>
      <c r="DS934" s="2" t="n">
        <v>39.92</v>
      </c>
      <c r="DT934" s="2" t="n">
        <v>40.75</v>
      </c>
      <c r="DU934" s="2" t="n">
        <v>0</v>
      </c>
      <c r="DV934" s="2" t="n">
        <v>48.23</v>
      </c>
      <c r="DW934" s="2" t="n">
        <v>50.95</v>
      </c>
      <c r="DX934" s="2" t="n">
        <v>0</v>
      </c>
      <c r="DY934" s="2" t="n">
        <v>58.47</v>
      </c>
      <c r="DZ934" s="2" t="n">
        <v>61.41</v>
      </c>
      <c r="EA934" s="2" t="n">
        <v>0</v>
      </c>
      <c r="EB934" s="2" t="n">
        <v>66.56999999999999</v>
      </c>
      <c r="EC934" s="2" t="n">
        <v>68.84</v>
      </c>
      <c r="ED934" s="2" t="n">
        <v>0</v>
      </c>
      <c r="EE934" s="2" t="n">
        <v>72.45999999999999</v>
      </c>
      <c r="EF934" s="2" t="n">
        <v>75.79000000000001</v>
      </c>
      <c r="EG934" s="2" t="n">
        <v>0</v>
      </c>
      <c r="EH934" s="2" t="n">
        <v>82.62</v>
      </c>
      <c r="EI934" s="2" t="n">
        <v>85.28</v>
      </c>
      <c r="EJ934" s="2" t="n">
        <v>0</v>
      </c>
      <c r="EK934" s="2" t="n">
        <v>92.64</v>
      </c>
      <c r="EL934" s="2" t="n">
        <v>93.95</v>
      </c>
      <c r="EM934" s="2" t="n">
        <v>0</v>
      </c>
      <c r="EN934" s="2" t="n">
        <v>100</v>
      </c>
      <c r="EO934" s="2" t="n">
        <v>100</v>
      </c>
      <c r="EP934" s="2" t="n">
        <v>0</v>
      </c>
      <c r="EQ934" s="2" t="n">
        <v>100</v>
      </c>
      <c r="ER934" s="2" t="n">
        <v>100</v>
      </c>
      <c r="ES934" s="2" t="n">
        <v>0</v>
      </c>
    </row>
    <row r="935">
      <c r="A935" s="2" t="n">
        <v>3</v>
      </c>
      <c r="B935" s="2" t="inlineStr">
        <is>
          <t>37.02.03</t>
        </is>
      </c>
      <c r="C935" s="2" t="inlineStr">
        <is>
          <t>Elaboração de manual do proprietário</t>
        </is>
      </c>
      <c r="D935" s="2" t="inlineStr">
        <is>
          <t>24/04/2028</t>
        </is>
      </c>
      <c r="E935" s="2" t="inlineStr">
        <is>
          <t>19/03/2029</t>
        </is>
      </c>
      <c r="F935" s="2" t="n">
        <v>52500</v>
      </c>
      <c r="G935" s="2" t="n">
        <v>0</v>
      </c>
      <c r="H935" s="2" t="n">
        <v>52500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0</v>
      </c>
      <c r="AA935" s="2" t="n">
        <v>0</v>
      </c>
      <c r="AB935" s="2" t="n">
        <v>0</v>
      </c>
      <c r="AC935" s="2" t="n">
        <v>0</v>
      </c>
      <c r="AD935" s="2" t="n">
        <v>0</v>
      </c>
      <c r="AE935" s="2" t="n">
        <v>0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n">
        <v>0</v>
      </c>
      <c r="AK935" s="2" t="n">
        <v>0</v>
      </c>
      <c r="AL935" s="2" t="n">
        <v>0</v>
      </c>
      <c r="AM935" s="2" t="n">
        <v>0</v>
      </c>
      <c r="AN935" s="2" t="n">
        <v>0</v>
      </c>
      <c r="AO935" s="2" t="n">
        <v>0</v>
      </c>
      <c r="AP935" s="2" t="n">
        <v>0</v>
      </c>
      <c r="AQ935" s="2" t="n">
        <v>0</v>
      </c>
      <c r="AR935" s="2" t="n">
        <v>0</v>
      </c>
      <c r="AS935" s="2" t="n">
        <v>0</v>
      </c>
      <c r="AT935" s="2" t="n">
        <v>0</v>
      </c>
      <c r="AU935" s="2" t="n">
        <v>0</v>
      </c>
      <c r="AV935" s="2" t="n">
        <v>0</v>
      </c>
      <c r="AW935" s="2" t="n">
        <v>0</v>
      </c>
      <c r="AX935" s="2" t="n">
        <v>0</v>
      </c>
      <c r="AY935" s="2" t="n">
        <v>0</v>
      </c>
      <c r="AZ935" s="2" t="n">
        <v>0</v>
      </c>
      <c r="BA935" s="2" t="n">
        <v>0</v>
      </c>
      <c r="BB935" s="2" t="n">
        <v>0</v>
      </c>
      <c r="BC935" s="2" t="n">
        <v>0</v>
      </c>
      <c r="BD935" s="2" t="n">
        <v>0</v>
      </c>
      <c r="BE935" s="2" t="n">
        <v>0</v>
      </c>
      <c r="BF935" s="2" t="n">
        <v>0</v>
      </c>
      <c r="BG935" s="2" t="n">
        <v>0</v>
      </c>
      <c r="BH935" s="2" t="n">
        <v>0</v>
      </c>
      <c r="BI935" s="2" t="n">
        <v>0</v>
      </c>
      <c r="BJ935" s="2" t="n">
        <v>0</v>
      </c>
      <c r="BK935" s="2" t="n">
        <v>0</v>
      </c>
      <c r="BL935" s="2" t="n">
        <v>0</v>
      </c>
      <c r="BM935" s="2" t="n">
        <v>0</v>
      </c>
      <c r="BN935" s="2" t="n">
        <v>0</v>
      </c>
      <c r="BO935" s="2" t="n">
        <v>0</v>
      </c>
      <c r="BP935" s="2" t="n">
        <v>0</v>
      </c>
      <c r="BQ935" s="2" t="n">
        <v>0</v>
      </c>
      <c r="BR935" s="2" t="n">
        <v>0</v>
      </c>
      <c r="BS935" s="2" t="n">
        <v>0</v>
      </c>
      <c r="BT935" s="2" t="n">
        <v>0</v>
      </c>
      <c r="BU935" s="2" t="n">
        <v>0</v>
      </c>
      <c r="BV935" s="2" t="n">
        <v>0</v>
      </c>
      <c r="BW935" s="2" t="n">
        <v>0</v>
      </c>
      <c r="BX935" s="2" t="n">
        <v>0</v>
      </c>
      <c r="BY935" s="2" t="n">
        <v>0</v>
      </c>
      <c r="BZ935" s="2" t="n">
        <v>0</v>
      </c>
      <c r="CA935" s="2" t="n">
        <v>0</v>
      </c>
      <c r="CB935" s="2" t="n">
        <v>0</v>
      </c>
      <c r="CC935" s="2" t="n">
        <v>0</v>
      </c>
      <c r="CD935" s="2" t="n">
        <v>0</v>
      </c>
      <c r="CE935" s="2" t="n">
        <v>0</v>
      </c>
      <c r="CF935" s="2" t="n">
        <v>0</v>
      </c>
      <c r="CG935" s="2" t="n">
        <v>0</v>
      </c>
      <c r="CH935" s="2" t="n">
        <v>0</v>
      </c>
      <c r="CI935" s="2" t="n">
        <v>0</v>
      </c>
      <c r="CJ935" s="2" t="n">
        <v>0</v>
      </c>
      <c r="CK935" s="2" t="n">
        <v>0</v>
      </c>
      <c r="CL935" s="2" t="n">
        <v>0</v>
      </c>
      <c r="CM935" s="2" t="n">
        <v>0</v>
      </c>
      <c r="CN935" s="2" t="n">
        <v>0</v>
      </c>
      <c r="CO935" s="2" t="n">
        <v>0</v>
      </c>
      <c r="CP935" s="2" t="n">
        <v>0</v>
      </c>
      <c r="CQ935" s="2" t="n">
        <v>0</v>
      </c>
      <c r="CR935" s="2" t="n">
        <v>0</v>
      </c>
      <c r="CS935" s="2" t="n">
        <v>0</v>
      </c>
      <c r="CT935" s="2" t="n">
        <v>0</v>
      </c>
      <c r="CU935" s="2" t="n">
        <v>0</v>
      </c>
      <c r="CV935" s="2" t="n">
        <v>0</v>
      </c>
      <c r="CW935" s="2" t="n">
        <v>0</v>
      </c>
      <c r="CX935" s="2" t="n">
        <v>0</v>
      </c>
      <c r="CY935" s="2" t="n">
        <v>0</v>
      </c>
      <c r="CZ935" s="2" t="n">
        <v>0</v>
      </c>
      <c r="DA935" s="2" t="n">
        <v>0</v>
      </c>
      <c r="DB935" s="2" t="n">
        <v>0</v>
      </c>
      <c r="DC935" s="2" t="n">
        <v>0</v>
      </c>
      <c r="DD935" s="2" t="n">
        <v>0</v>
      </c>
      <c r="DE935" s="2" t="n">
        <v>0</v>
      </c>
      <c r="DF935" s="2" t="n">
        <v>0</v>
      </c>
      <c r="DG935" s="2" t="n">
        <v>0</v>
      </c>
      <c r="DH935" s="2" t="n">
        <v>3.68</v>
      </c>
      <c r="DI935" s="2" t="n">
        <v>0</v>
      </c>
      <c r="DJ935" s="2" t="n">
        <v>10.31</v>
      </c>
      <c r="DK935" s="2" t="n">
        <v>11.04</v>
      </c>
      <c r="DL935" s="2" t="n">
        <v>0</v>
      </c>
      <c r="DM935" s="2" t="n">
        <v>18.88</v>
      </c>
      <c r="DN935" s="2" t="n">
        <v>21.09</v>
      </c>
      <c r="DO935" s="2" t="n">
        <v>0</v>
      </c>
      <c r="DP935" s="2" t="n">
        <v>28.17</v>
      </c>
      <c r="DQ935" s="2" t="n">
        <v>31.12</v>
      </c>
      <c r="DR935" s="2" t="n">
        <v>0</v>
      </c>
      <c r="DS935" s="2" t="n">
        <v>39.92</v>
      </c>
      <c r="DT935" s="2" t="n">
        <v>40.75</v>
      </c>
      <c r="DU935" s="2" t="n">
        <v>0</v>
      </c>
      <c r="DV935" s="2" t="n">
        <v>48.23</v>
      </c>
      <c r="DW935" s="2" t="n">
        <v>50.95</v>
      </c>
      <c r="DX935" s="2" t="n">
        <v>0</v>
      </c>
      <c r="DY935" s="2" t="n">
        <v>58.47</v>
      </c>
      <c r="DZ935" s="2" t="n">
        <v>61.41</v>
      </c>
      <c r="EA935" s="2" t="n">
        <v>0</v>
      </c>
      <c r="EB935" s="2" t="n">
        <v>66.56999999999999</v>
      </c>
      <c r="EC935" s="2" t="n">
        <v>68.84</v>
      </c>
      <c r="ED935" s="2" t="n">
        <v>0</v>
      </c>
      <c r="EE935" s="2" t="n">
        <v>72.45999999999999</v>
      </c>
      <c r="EF935" s="2" t="n">
        <v>75.79000000000001</v>
      </c>
      <c r="EG935" s="2" t="n">
        <v>0</v>
      </c>
      <c r="EH935" s="2" t="n">
        <v>82.62</v>
      </c>
      <c r="EI935" s="2" t="n">
        <v>85.28</v>
      </c>
      <c r="EJ935" s="2" t="n">
        <v>0</v>
      </c>
      <c r="EK935" s="2" t="n">
        <v>92.64</v>
      </c>
      <c r="EL935" s="2" t="n">
        <v>93.95</v>
      </c>
      <c r="EM935" s="2" t="n">
        <v>0</v>
      </c>
      <c r="EN935" s="2" t="n">
        <v>100</v>
      </c>
      <c r="EO935" s="2" t="n">
        <v>100</v>
      </c>
      <c r="EP935" s="2" t="n">
        <v>0</v>
      </c>
      <c r="EQ935" s="2" t="n">
        <v>100</v>
      </c>
      <c r="ER935" s="2" t="n">
        <v>100</v>
      </c>
      <c r="ES935" s="2" t="n">
        <v>0</v>
      </c>
    </row>
    <row r="936">
      <c r="A936" s="2" t="n">
        <v>3</v>
      </c>
      <c r="B936" s="2" t="inlineStr">
        <is>
          <t>37.02.04</t>
        </is>
      </c>
      <c r="C936" s="2" t="inlineStr">
        <is>
          <t>Enchimento de reservatórios com caminhão pipa</t>
        </is>
      </c>
      <c r="D936" s="2" t="inlineStr">
        <is>
          <t>24/04/2028</t>
        </is>
      </c>
      <c r="E936" s="2" t="inlineStr">
        <is>
          <t>19/03/2029</t>
        </is>
      </c>
      <c r="F936" s="2" t="n">
        <v>13500</v>
      </c>
      <c r="G936" s="2" t="n">
        <v>0</v>
      </c>
      <c r="H936" s="2" t="n">
        <v>13500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0</v>
      </c>
      <c r="W936" s="2" t="n">
        <v>0</v>
      </c>
      <c r="X936" s="2" t="n">
        <v>0</v>
      </c>
      <c r="Y936" s="2" t="n">
        <v>0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0</v>
      </c>
      <c r="AG936" s="2" t="n">
        <v>0</v>
      </c>
      <c r="AH936" s="2" t="n">
        <v>0</v>
      </c>
      <c r="AI936" s="2" t="n">
        <v>0</v>
      </c>
      <c r="AJ936" s="2" t="n">
        <v>0</v>
      </c>
      <c r="AK936" s="2" t="n">
        <v>0</v>
      </c>
      <c r="AL936" s="2" t="n">
        <v>0</v>
      </c>
      <c r="AM936" s="2" t="n">
        <v>0</v>
      </c>
      <c r="AN936" s="2" t="n">
        <v>0</v>
      </c>
      <c r="AO936" s="2" t="n">
        <v>0</v>
      </c>
      <c r="AP936" s="2" t="n">
        <v>0</v>
      </c>
      <c r="AQ936" s="2" t="n">
        <v>0</v>
      </c>
      <c r="AR936" s="2" t="n">
        <v>0</v>
      </c>
      <c r="AS936" s="2" t="n">
        <v>0</v>
      </c>
      <c r="AT936" s="2" t="n">
        <v>0</v>
      </c>
      <c r="AU936" s="2" t="n">
        <v>0</v>
      </c>
      <c r="AV936" s="2" t="n">
        <v>0</v>
      </c>
      <c r="AW936" s="2" t="n">
        <v>0</v>
      </c>
      <c r="AX936" s="2" t="n">
        <v>0</v>
      </c>
      <c r="AY936" s="2" t="n">
        <v>0</v>
      </c>
      <c r="AZ936" s="2" t="n">
        <v>0</v>
      </c>
      <c r="BA936" s="2" t="n">
        <v>0</v>
      </c>
      <c r="BB936" s="2" t="n">
        <v>0</v>
      </c>
      <c r="BC936" s="2" t="n">
        <v>0</v>
      </c>
      <c r="BD936" s="2" t="n">
        <v>0</v>
      </c>
      <c r="BE936" s="2" t="n">
        <v>0</v>
      </c>
      <c r="BF936" s="2" t="n">
        <v>0</v>
      </c>
      <c r="BG936" s="2" t="n">
        <v>0</v>
      </c>
      <c r="BH936" s="2" t="n">
        <v>0</v>
      </c>
      <c r="BI936" s="2" t="n">
        <v>0</v>
      </c>
      <c r="BJ936" s="2" t="n">
        <v>0</v>
      </c>
      <c r="BK936" s="2" t="n">
        <v>0</v>
      </c>
      <c r="BL936" s="2" t="n">
        <v>0</v>
      </c>
      <c r="BM936" s="2" t="n">
        <v>0</v>
      </c>
      <c r="BN936" s="2" t="n">
        <v>0</v>
      </c>
      <c r="BO936" s="2" t="n">
        <v>0</v>
      </c>
      <c r="BP936" s="2" t="n">
        <v>0</v>
      </c>
      <c r="BQ936" s="2" t="n">
        <v>0</v>
      </c>
      <c r="BR936" s="2" t="n">
        <v>0</v>
      </c>
      <c r="BS936" s="2" t="n">
        <v>0</v>
      </c>
      <c r="BT936" s="2" t="n">
        <v>0</v>
      </c>
      <c r="BU936" s="2" t="n">
        <v>0</v>
      </c>
      <c r="BV936" s="2" t="n">
        <v>0</v>
      </c>
      <c r="BW936" s="2" t="n">
        <v>0</v>
      </c>
      <c r="BX936" s="2" t="n">
        <v>0</v>
      </c>
      <c r="BY936" s="2" t="n">
        <v>0</v>
      </c>
      <c r="BZ936" s="2" t="n">
        <v>0</v>
      </c>
      <c r="CA936" s="2" t="n">
        <v>0</v>
      </c>
      <c r="CB936" s="2" t="n">
        <v>0</v>
      </c>
      <c r="CC936" s="2" t="n">
        <v>0</v>
      </c>
      <c r="CD936" s="2" t="n">
        <v>0</v>
      </c>
      <c r="CE936" s="2" t="n">
        <v>0</v>
      </c>
      <c r="CF936" s="2" t="n">
        <v>0</v>
      </c>
      <c r="CG936" s="2" t="n">
        <v>0</v>
      </c>
      <c r="CH936" s="2" t="n">
        <v>0</v>
      </c>
      <c r="CI936" s="2" t="n">
        <v>0</v>
      </c>
      <c r="CJ936" s="2" t="n">
        <v>0</v>
      </c>
      <c r="CK936" s="2" t="n">
        <v>0</v>
      </c>
      <c r="CL936" s="2" t="n">
        <v>0</v>
      </c>
      <c r="CM936" s="2" t="n">
        <v>0</v>
      </c>
      <c r="CN936" s="2" t="n">
        <v>0</v>
      </c>
      <c r="CO936" s="2" t="n">
        <v>0</v>
      </c>
      <c r="CP936" s="2" t="n">
        <v>0</v>
      </c>
      <c r="CQ936" s="2" t="n">
        <v>0</v>
      </c>
      <c r="CR936" s="2" t="n">
        <v>0</v>
      </c>
      <c r="CS936" s="2" t="n">
        <v>0</v>
      </c>
      <c r="CT936" s="2" t="n">
        <v>0</v>
      </c>
      <c r="CU936" s="2" t="n">
        <v>0</v>
      </c>
      <c r="CV936" s="2" t="n">
        <v>0</v>
      </c>
      <c r="CW936" s="2" t="n">
        <v>0</v>
      </c>
      <c r="CX936" s="2" t="n">
        <v>0</v>
      </c>
      <c r="CY936" s="2" t="n">
        <v>0</v>
      </c>
      <c r="CZ936" s="2" t="n">
        <v>0</v>
      </c>
      <c r="DA936" s="2" t="n">
        <v>0</v>
      </c>
      <c r="DB936" s="2" t="n">
        <v>0</v>
      </c>
      <c r="DC936" s="2" t="n">
        <v>0</v>
      </c>
      <c r="DD936" s="2" t="n">
        <v>0</v>
      </c>
      <c r="DE936" s="2" t="n">
        <v>0</v>
      </c>
      <c r="DF936" s="2" t="n">
        <v>0</v>
      </c>
      <c r="DG936" s="2" t="n">
        <v>0</v>
      </c>
      <c r="DH936" s="2" t="n">
        <v>3.68</v>
      </c>
      <c r="DI936" s="2" t="n">
        <v>0</v>
      </c>
      <c r="DJ936" s="2" t="n">
        <v>10.31</v>
      </c>
      <c r="DK936" s="2" t="n">
        <v>11.04</v>
      </c>
      <c r="DL936" s="2" t="n">
        <v>0</v>
      </c>
      <c r="DM936" s="2" t="n">
        <v>18.88</v>
      </c>
      <c r="DN936" s="2" t="n">
        <v>21.09</v>
      </c>
      <c r="DO936" s="2" t="n">
        <v>0</v>
      </c>
      <c r="DP936" s="2" t="n">
        <v>28.17</v>
      </c>
      <c r="DQ936" s="2" t="n">
        <v>31.12</v>
      </c>
      <c r="DR936" s="2" t="n">
        <v>0</v>
      </c>
      <c r="DS936" s="2" t="n">
        <v>39.92</v>
      </c>
      <c r="DT936" s="2" t="n">
        <v>40.75</v>
      </c>
      <c r="DU936" s="2" t="n">
        <v>0</v>
      </c>
      <c r="DV936" s="2" t="n">
        <v>48.23</v>
      </c>
      <c r="DW936" s="2" t="n">
        <v>50.95</v>
      </c>
      <c r="DX936" s="2" t="n">
        <v>0</v>
      </c>
      <c r="DY936" s="2" t="n">
        <v>58.47</v>
      </c>
      <c r="DZ936" s="2" t="n">
        <v>61.41</v>
      </c>
      <c r="EA936" s="2" t="n">
        <v>0</v>
      </c>
      <c r="EB936" s="2" t="n">
        <v>66.56999999999999</v>
      </c>
      <c r="EC936" s="2" t="n">
        <v>68.84</v>
      </c>
      <c r="ED936" s="2" t="n">
        <v>0</v>
      </c>
      <c r="EE936" s="2" t="n">
        <v>72.45999999999999</v>
      </c>
      <c r="EF936" s="2" t="n">
        <v>75.79000000000001</v>
      </c>
      <c r="EG936" s="2" t="n">
        <v>0</v>
      </c>
      <c r="EH936" s="2" t="n">
        <v>82.62</v>
      </c>
      <c r="EI936" s="2" t="n">
        <v>85.28</v>
      </c>
      <c r="EJ936" s="2" t="n">
        <v>0</v>
      </c>
      <c r="EK936" s="2" t="n">
        <v>92.64</v>
      </c>
      <c r="EL936" s="2" t="n">
        <v>93.95</v>
      </c>
      <c r="EM936" s="2" t="n">
        <v>0</v>
      </c>
      <c r="EN936" s="2" t="n">
        <v>100</v>
      </c>
      <c r="EO936" s="2" t="n">
        <v>100</v>
      </c>
      <c r="EP936" s="2" t="n">
        <v>0</v>
      </c>
      <c r="EQ936" s="2" t="n">
        <v>100</v>
      </c>
      <c r="ER936" s="2" t="n">
        <v>100</v>
      </c>
      <c r="ES936" s="2" t="n">
        <v>0</v>
      </c>
    </row>
    <row r="937">
      <c r="A937" s="2" t="n">
        <v>3</v>
      </c>
      <c r="B937" s="2" t="inlineStr">
        <is>
          <t>37.02.05</t>
        </is>
      </c>
      <c r="C937" s="2" t="inlineStr">
        <is>
          <t>Enchimento de piscinas com caminhão pipa</t>
        </is>
      </c>
      <c r="D937" s="2" t="inlineStr">
        <is>
          <t>24/04/2028</t>
        </is>
      </c>
      <c r="E937" s="2" t="inlineStr">
        <is>
          <t>19/03/2029</t>
        </is>
      </c>
      <c r="F937" s="2" t="n">
        <v>13500</v>
      </c>
      <c r="G937" s="2" t="n">
        <v>0</v>
      </c>
      <c r="H937" s="2" t="n">
        <v>13500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  <c r="AA937" s="2" t="n">
        <v>0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0</v>
      </c>
      <c r="AG937" s="2" t="n">
        <v>0</v>
      </c>
      <c r="AH937" s="2" t="n">
        <v>0</v>
      </c>
      <c r="AI937" s="2" t="n">
        <v>0</v>
      </c>
      <c r="AJ937" s="2" t="n">
        <v>0</v>
      </c>
      <c r="AK937" s="2" t="n">
        <v>0</v>
      </c>
      <c r="AL937" s="2" t="n">
        <v>0</v>
      </c>
      <c r="AM937" s="2" t="n">
        <v>0</v>
      </c>
      <c r="AN937" s="2" t="n">
        <v>0</v>
      </c>
      <c r="AO937" s="2" t="n">
        <v>0</v>
      </c>
      <c r="AP937" s="2" t="n">
        <v>0</v>
      </c>
      <c r="AQ937" s="2" t="n">
        <v>0</v>
      </c>
      <c r="AR937" s="2" t="n">
        <v>0</v>
      </c>
      <c r="AS937" s="2" t="n">
        <v>0</v>
      </c>
      <c r="AT937" s="2" t="n">
        <v>0</v>
      </c>
      <c r="AU937" s="2" t="n">
        <v>0</v>
      </c>
      <c r="AV937" s="2" t="n">
        <v>0</v>
      </c>
      <c r="AW937" s="2" t="n">
        <v>0</v>
      </c>
      <c r="AX937" s="2" t="n">
        <v>0</v>
      </c>
      <c r="AY937" s="2" t="n">
        <v>0</v>
      </c>
      <c r="AZ937" s="2" t="n">
        <v>0</v>
      </c>
      <c r="BA937" s="2" t="n">
        <v>0</v>
      </c>
      <c r="BB937" s="2" t="n">
        <v>0</v>
      </c>
      <c r="BC937" s="2" t="n">
        <v>0</v>
      </c>
      <c r="BD937" s="2" t="n">
        <v>0</v>
      </c>
      <c r="BE937" s="2" t="n">
        <v>0</v>
      </c>
      <c r="BF937" s="2" t="n">
        <v>0</v>
      </c>
      <c r="BG937" s="2" t="n">
        <v>0</v>
      </c>
      <c r="BH937" s="2" t="n">
        <v>0</v>
      </c>
      <c r="BI937" s="2" t="n">
        <v>0</v>
      </c>
      <c r="BJ937" s="2" t="n">
        <v>0</v>
      </c>
      <c r="BK937" s="2" t="n">
        <v>0</v>
      </c>
      <c r="BL937" s="2" t="n">
        <v>0</v>
      </c>
      <c r="BM937" s="2" t="n">
        <v>0</v>
      </c>
      <c r="BN937" s="2" t="n">
        <v>0</v>
      </c>
      <c r="BO937" s="2" t="n">
        <v>0</v>
      </c>
      <c r="BP937" s="2" t="n">
        <v>0</v>
      </c>
      <c r="BQ937" s="2" t="n">
        <v>0</v>
      </c>
      <c r="BR937" s="2" t="n">
        <v>0</v>
      </c>
      <c r="BS937" s="2" t="n">
        <v>0</v>
      </c>
      <c r="BT937" s="2" t="n">
        <v>0</v>
      </c>
      <c r="BU937" s="2" t="n">
        <v>0</v>
      </c>
      <c r="BV937" s="2" t="n">
        <v>0</v>
      </c>
      <c r="BW937" s="2" t="n">
        <v>0</v>
      </c>
      <c r="BX937" s="2" t="n">
        <v>0</v>
      </c>
      <c r="BY937" s="2" t="n">
        <v>0</v>
      </c>
      <c r="BZ937" s="2" t="n">
        <v>0</v>
      </c>
      <c r="CA937" s="2" t="n">
        <v>0</v>
      </c>
      <c r="CB937" s="2" t="n">
        <v>0</v>
      </c>
      <c r="CC937" s="2" t="n">
        <v>0</v>
      </c>
      <c r="CD937" s="2" t="n">
        <v>0</v>
      </c>
      <c r="CE937" s="2" t="n">
        <v>0</v>
      </c>
      <c r="CF937" s="2" t="n">
        <v>0</v>
      </c>
      <c r="CG937" s="2" t="n">
        <v>0</v>
      </c>
      <c r="CH937" s="2" t="n">
        <v>0</v>
      </c>
      <c r="CI937" s="2" t="n">
        <v>0</v>
      </c>
      <c r="CJ937" s="2" t="n">
        <v>0</v>
      </c>
      <c r="CK937" s="2" t="n">
        <v>0</v>
      </c>
      <c r="CL937" s="2" t="n">
        <v>0</v>
      </c>
      <c r="CM937" s="2" t="n">
        <v>0</v>
      </c>
      <c r="CN937" s="2" t="n">
        <v>0</v>
      </c>
      <c r="CO937" s="2" t="n">
        <v>0</v>
      </c>
      <c r="CP937" s="2" t="n">
        <v>0</v>
      </c>
      <c r="CQ937" s="2" t="n">
        <v>0</v>
      </c>
      <c r="CR937" s="2" t="n">
        <v>0</v>
      </c>
      <c r="CS937" s="2" t="n">
        <v>0</v>
      </c>
      <c r="CT937" s="2" t="n">
        <v>0</v>
      </c>
      <c r="CU937" s="2" t="n">
        <v>0</v>
      </c>
      <c r="CV937" s="2" t="n">
        <v>0</v>
      </c>
      <c r="CW937" s="2" t="n">
        <v>0</v>
      </c>
      <c r="CX937" s="2" t="n">
        <v>0</v>
      </c>
      <c r="CY937" s="2" t="n">
        <v>0</v>
      </c>
      <c r="CZ937" s="2" t="n">
        <v>0</v>
      </c>
      <c r="DA937" s="2" t="n">
        <v>0</v>
      </c>
      <c r="DB937" s="2" t="n">
        <v>0</v>
      </c>
      <c r="DC937" s="2" t="n">
        <v>0</v>
      </c>
      <c r="DD937" s="2" t="n">
        <v>0</v>
      </c>
      <c r="DE937" s="2" t="n">
        <v>0</v>
      </c>
      <c r="DF937" s="2" t="n">
        <v>0</v>
      </c>
      <c r="DG937" s="2" t="n">
        <v>0</v>
      </c>
      <c r="DH937" s="2" t="n">
        <v>3.68</v>
      </c>
      <c r="DI937" s="2" t="n">
        <v>0</v>
      </c>
      <c r="DJ937" s="2" t="n">
        <v>10.31</v>
      </c>
      <c r="DK937" s="2" t="n">
        <v>11.04</v>
      </c>
      <c r="DL937" s="2" t="n">
        <v>0</v>
      </c>
      <c r="DM937" s="2" t="n">
        <v>18.88</v>
      </c>
      <c r="DN937" s="2" t="n">
        <v>21.09</v>
      </c>
      <c r="DO937" s="2" t="n">
        <v>0</v>
      </c>
      <c r="DP937" s="2" t="n">
        <v>28.17</v>
      </c>
      <c r="DQ937" s="2" t="n">
        <v>31.12</v>
      </c>
      <c r="DR937" s="2" t="n">
        <v>0</v>
      </c>
      <c r="DS937" s="2" t="n">
        <v>39.92</v>
      </c>
      <c r="DT937" s="2" t="n">
        <v>40.75</v>
      </c>
      <c r="DU937" s="2" t="n">
        <v>0</v>
      </c>
      <c r="DV937" s="2" t="n">
        <v>48.23</v>
      </c>
      <c r="DW937" s="2" t="n">
        <v>50.95</v>
      </c>
      <c r="DX937" s="2" t="n">
        <v>0</v>
      </c>
      <c r="DY937" s="2" t="n">
        <v>58.47</v>
      </c>
      <c r="DZ937" s="2" t="n">
        <v>61.41</v>
      </c>
      <c r="EA937" s="2" t="n">
        <v>0</v>
      </c>
      <c r="EB937" s="2" t="n">
        <v>66.56999999999999</v>
      </c>
      <c r="EC937" s="2" t="n">
        <v>68.84</v>
      </c>
      <c r="ED937" s="2" t="n">
        <v>0</v>
      </c>
      <c r="EE937" s="2" t="n">
        <v>72.45999999999999</v>
      </c>
      <c r="EF937" s="2" t="n">
        <v>75.79000000000001</v>
      </c>
      <c r="EG937" s="2" t="n">
        <v>0</v>
      </c>
      <c r="EH937" s="2" t="n">
        <v>82.62</v>
      </c>
      <c r="EI937" s="2" t="n">
        <v>85.28</v>
      </c>
      <c r="EJ937" s="2" t="n">
        <v>0</v>
      </c>
      <c r="EK937" s="2" t="n">
        <v>92.64</v>
      </c>
      <c r="EL937" s="2" t="n">
        <v>93.95</v>
      </c>
      <c r="EM937" s="2" t="n">
        <v>0</v>
      </c>
      <c r="EN937" s="2" t="n">
        <v>100</v>
      </c>
      <c r="EO937" s="2" t="n">
        <v>100</v>
      </c>
      <c r="EP937" s="2" t="n">
        <v>0</v>
      </c>
      <c r="EQ937" s="2" t="n">
        <v>100</v>
      </c>
      <c r="ER937" s="2" t="n">
        <v>100</v>
      </c>
      <c r="ES937" s="2" t="n">
        <v>0</v>
      </c>
    </row>
    <row r="938">
      <c r="A938" s="2" t="n">
        <v>2</v>
      </c>
      <c r="B938" s="2" t="inlineStr">
        <is>
          <t>37.03</t>
        </is>
      </c>
      <c r="C938" s="2" t="inlineStr">
        <is>
          <t>Limpeza Final da Obra</t>
        </is>
      </c>
      <c r="D938" s="2" t="inlineStr">
        <is>
          <t>14/03/2028</t>
        </is>
      </c>
      <c r="E938" s="2" t="inlineStr">
        <is>
          <t>13/04/2029</t>
        </is>
      </c>
      <c r="F938" s="2" t="n">
        <v>486441.610405</v>
      </c>
      <c r="G938" s="2" t="n">
        <v>0</v>
      </c>
      <c r="H938" s="2" t="n">
        <v>486441.610405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0</v>
      </c>
      <c r="AM938" s="2" t="n">
        <v>0</v>
      </c>
      <c r="AN938" s="2" t="n">
        <v>0</v>
      </c>
      <c r="AO938" s="2" t="n">
        <v>0</v>
      </c>
      <c r="AP938" s="2" t="n">
        <v>0</v>
      </c>
      <c r="AQ938" s="2" t="n">
        <v>0</v>
      </c>
      <c r="AR938" s="2" t="n">
        <v>0</v>
      </c>
      <c r="AS938" s="2" t="n">
        <v>0</v>
      </c>
      <c r="AT938" s="2" t="n">
        <v>0</v>
      </c>
      <c r="AU938" s="2" t="n">
        <v>0</v>
      </c>
      <c r="AV938" s="2" t="n">
        <v>0</v>
      </c>
      <c r="AW938" s="2" t="n">
        <v>0</v>
      </c>
      <c r="AX938" s="2" t="n">
        <v>0</v>
      </c>
      <c r="AY938" s="2" t="n">
        <v>0</v>
      </c>
      <c r="AZ938" s="2" t="n">
        <v>0</v>
      </c>
      <c r="BA938" s="2" t="n">
        <v>0</v>
      </c>
      <c r="BB938" s="2" t="n">
        <v>0</v>
      </c>
      <c r="BC938" s="2" t="n">
        <v>0</v>
      </c>
      <c r="BD938" s="2" t="n">
        <v>0</v>
      </c>
      <c r="BE938" s="2" t="n">
        <v>0</v>
      </c>
      <c r="BF938" s="2" t="n">
        <v>0</v>
      </c>
      <c r="BG938" s="2" t="n">
        <v>0</v>
      </c>
      <c r="BH938" s="2" t="n">
        <v>0</v>
      </c>
      <c r="BI938" s="2" t="n">
        <v>0</v>
      </c>
      <c r="BJ938" s="2" t="n">
        <v>0</v>
      </c>
      <c r="BK938" s="2" t="n">
        <v>0</v>
      </c>
      <c r="BL938" s="2" t="n">
        <v>0</v>
      </c>
      <c r="BM938" s="2" t="n">
        <v>0</v>
      </c>
      <c r="BN938" s="2" t="n">
        <v>0</v>
      </c>
      <c r="BO938" s="2" t="n">
        <v>0</v>
      </c>
      <c r="BP938" s="2" t="n">
        <v>0</v>
      </c>
      <c r="BQ938" s="2" t="n">
        <v>0</v>
      </c>
      <c r="BR938" s="2" t="n">
        <v>0</v>
      </c>
      <c r="BS938" s="2" t="n">
        <v>0</v>
      </c>
      <c r="BT938" s="2" t="n">
        <v>0</v>
      </c>
      <c r="BU938" s="2" t="n">
        <v>0</v>
      </c>
      <c r="BV938" s="2" t="n">
        <v>0</v>
      </c>
      <c r="BW938" s="2" t="n">
        <v>0</v>
      </c>
      <c r="BX938" s="2" t="n">
        <v>0</v>
      </c>
      <c r="BY938" s="2" t="n">
        <v>0</v>
      </c>
      <c r="BZ938" s="2" t="n">
        <v>0</v>
      </c>
      <c r="CA938" s="2" t="n">
        <v>0</v>
      </c>
      <c r="CB938" s="2" t="n">
        <v>0</v>
      </c>
      <c r="CC938" s="2" t="n">
        <v>0</v>
      </c>
      <c r="CD938" s="2" t="n">
        <v>0</v>
      </c>
      <c r="CE938" s="2" t="n">
        <v>0</v>
      </c>
      <c r="CF938" s="2" t="n">
        <v>0</v>
      </c>
      <c r="CG938" s="2" t="n">
        <v>0</v>
      </c>
      <c r="CH938" s="2" t="n">
        <v>0</v>
      </c>
      <c r="CI938" s="2" t="n">
        <v>0</v>
      </c>
      <c r="CJ938" s="2" t="n">
        <v>0</v>
      </c>
      <c r="CK938" s="2" t="n">
        <v>0</v>
      </c>
      <c r="CL938" s="2" t="n">
        <v>0</v>
      </c>
      <c r="CM938" s="2" t="n">
        <v>0</v>
      </c>
      <c r="CN938" s="2" t="n">
        <v>0</v>
      </c>
      <c r="CO938" s="2" t="n">
        <v>0</v>
      </c>
      <c r="CP938" s="2" t="n">
        <v>0</v>
      </c>
      <c r="CQ938" s="2" t="n">
        <v>0</v>
      </c>
      <c r="CR938" s="2" t="n">
        <v>0</v>
      </c>
      <c r="CS938" s="2" t="n">
        <v>0</v>
      </c>
      <c r="CT938" s="2" t="n">
        <v>0</v>
      </c>
      <c r="CU938" s="2" t="n">
        <v>0</v>
      </c>
      <c r="CV938" s="2" t="n">
        <v>0</v>
      </c>
      <c r="CW938" s="2" t="n">
        <v>0</v>
      </c>
      <c r="CX938" s="2" t="n">
        <v>0</v>
      </c>
      <c r="CY938" s="2" t="n">
        <v>0</v>
      </c>
      <c r="CZ938" s="2" t="n">
        <v>0</v>
      </c>
      <c r="DA938" s="2" t="n">
        <v>0</v>
      </c>
      <c r="DB938" s="2" t="n">
        <v>0</v>
      </c>
      <c r="DC938" s="2" t="n">
        <v>0</v>
      </c>
      <c r="DD938" s="2" t="n">
        <v>2.39</v>
      </c>
      <c r="DE938" s="2" t="n">
        <v>3.72</v>
      </c>
      <c r="DF938" s="2" t="n">
        <v>0</v>
      </c>
      <c r="DG938" s="2" t="n">
        <v>7.33</v>
      </c>
      <c r="DH938" s="2" t="n">
        <v>8.69</v>
      </c>
      <c r="DI938" s="2" t="n">
        <v>0</v>
      </c>
      <c r="DJ938" s="2" t="n">
        <v>15.11</v>
      </c>
      <c r="DK938" s="2" t="n">
        <v>17.2</v>
      </c>
      <c r="DL938" s="2" t="n">
        <v>0</v>
      </c>
      <c r="DM938" s="2" t="n">
        <v>24.93</v>
      </c>
      <c r="DN938" s="2" t="n">
        <v>27.03</v>
      </c>
      <c r="DO938" s="2" t="n">
        <v>0</v>
      </c>
      <c r="DP938" s="2" t="n">
        <v>34.76</v>
      </c>
      <c r="DQ938" s="2" t="n">
        <v>36.87</v>
      </c>
      <c r="DR938" s="2" t="n">
        <v>0</v>
      </c>
      <c r="DS938" s="2" t="n">
        <v>45.23</v>
      </c>
      <c r="DT938" s="2" t="n">
        <v>47.65</v>
      </c>
      <c r="DU938" s="2" t="n">
        <v>0</v>
      </c>
      <c r="DV938" s="2" t="n">
        <v>54.08</v>
      </c>
      <c r="DW938" s="2" t="n">
        <v>56.17</v>
      </c>
      <c r="DX938" s="2" t="n">
        <v>0</v>
      </c>
      <c r="DY938" s="2" t="n">
        <v>63.15</v>
      </c>
      <c r="DZ938" s="2" t="n">
        <v>65.51000000000001</v>
      </c>
      <c r="EA938" s="2" t="n">
        <v>0</v>
      </c>
      <c r="EB938" s="2" t="n">
        <v>71.20999999999999</v>
      </c>
      <c r="EC938" s="2" t="n">
        <v>73.67</v>
      </c>
      <c r="ED938" s="2" t="n">
        <v>0</v>
      </c>
      <c r="EE938" s="2" t="n">
        <v>77.59999999999999</v>
      </c>
      <c r="EF938" s="2" t="n">
        <v>80.43000000000001</v>
      </c>
      <c r="EG938" s="2" t="n">
        <v>0</v>
      </c>
      <c r="EH938" s="2" t="n">
        <v>87.22</v>
      </c>
      <c r="EI938" s="2" t="n">
        <v>89.22</v>
      </c>
      <c r="EJ938" s="2" t="n">
        <v>0</v>
      </c>
      <c r="EK938" s="2" t="n">
        <v>94.48</v>
      </c>
      <c r="EL938" s="2" t="n">
        <v>95.56</v>
      </c>
      <c r="EM938" s="2" t="n">
        <v>0</v>
      </c>
      <c r="EN938" s="2" t="n">
        <v>98.19</v>
      </c>
      <c r="EO938" s="2" t="n">
        <v>99.47</v>
      </c>
      <c r="EP938" s="2" t="n">
        <v>0</v>
      </c>
      <c r="EQ938" s="2" t="n">
        <v>100</v>
      </c>
      <c r="ER938" s="2" t="n">
        <v>100</v>
      </c>
      <c r="ES938" s="2" t="n">
        <v>0</v>
      </c>
    </row>
    <row r="939">
      <c r="A939" s="2" t="n">
        <v>3</v>
      </c>
      <c r="B939" s="2" t="inlineStr">
        <is>
          <t>37.03.01</t>
        </is>
      </c>
      <c r="C939" s="2" t="inlineStr">
        <is>
          <t>Limpeza de apartamentos ou salas</t>
        </is>
      </c>
      <c r="D939" s="2" t="inlineStr">
        <is>
          <t>14/03/2028</t>
        </is>
      </c>
      <c r="E939" s="2" t="inlineStr">
        <is>
          <t>13/04/2029</t>
        </is>
      </c>
      <c r="F939" s="2" t="n">
        <v>129819.328955</v>
      </c>
      <c r="G939" s="2" t="n">
        <v>0</v>
      </c>
      <c r="H939" s="2" t="n">
        <v>129819.328955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n">
        <v>0</v>
      </c>
      <c r="AK939" s="2" t="n">
        <v>0</v>
      </c>
      <c r="AL939" s="2" t="n">
        <v>0</v>
      </c>
      <c r="AM939" s="2" t="n">
        <v>0</v>
      </c>
      <c r="AN939" s="2" t="n">
        <v>0</v>
      </c>
      <c r="AO939" s="2" t="n">
        <v>0</v>
      </c>
      <c r="AP939" s="2" t="n">
        <v>0</v>
      </c>
      <c r="AQ939" s="2" t="n">
        <v>0</v>
      </c>
      <c r="AR939" s="2" t="n">
        <v>0</v>
      </c>
      <c r="AS939" s="2" t="n">
        <v>0</v>
      </c>
      <c r="AT939" s="2" t="n">
        <v>0</v>
      </c>
      <c r="AU939" s="2" t="n">
        <v>0</v>
      </c>
      <c r="AV939" s="2" t="n">
        <v>0</v>
      </c>
      <c r="AW939" s="2" t="n">
        <v>0</v>
      </c>
      <c r="AX939" s="2" t="n">
        <v>0</v>
      </c>
      <c r="AY939" s="2" t="n">
        <v>0</v>
      </c>
      <c r="AZ939" s="2" t="n">
        <v>0</v>
      </c>
      <c r="BA939" s="2" t="n">
        <v>0</v>
      </c>
      <c r="BB939" s="2" t="n">
        <v>0</v>
      </c>
      <c r="BC939" s="2" t="n">
        <v>0</v>
      </c>
      <c r="BD939" s="2" t="n">
        <v>0</v>
      </c>
      <c r="BE939" s="2" t="n">
        <v>0</v>
      </c>
      <c r="BF939" s="2" t="n">
        <v>0</v>
      </c>
      <c r="BG939" s="2" t="n">
        <v>0</v>
      </c>
      <c r="BH939" s="2" t="n">
        <v>0</v>
      </c>
      <c r="BI939" s="2" t="n">
        <v>0</v>
      </c>
      <c r="BJ939" s="2" t="n">
        <v>0</v>
      </c>
      <c r="BK939" s="2" t="n">
        <v>0</v>
      </c>
      <c r="BL939" s="2" t="n">
        <v>0</v>
      </c>
      <c r="BM939" s="2" t="n">
        <v>0</v>
      </c>
      <c r="BN939" s="2" t="n">
        <v>0</v>
      </c>
      <c r="BO939" s="2" t="n">
        <v>0</v>
      </c>
      <c r="BP939" s="2" t="n">
        <v>0</v>
      </c>
      <c r="BQ939" s="2" t="n">
        <v>0</v>
      </c>
      <c r="BR939" s="2" t="n">
        <v>0</v>
      </c>
      <c r="BS939" s="2" t="n">
        <v>0</v>
      </c>
      <c r="BT939" s="2" t="n">
        <v>0</v>
      </c>
      <c r="BU939" s="2" t="n">
        <v>0</v>
      </c>
      <c r="BV939" s="2" t="n">
        <v>0</v>
      </c>
      <c r="BW939" s="2" t="n">
        <v>0</v>
      </c>
      <c r="BX939" s="2" t="n">
        <v>0</v>
      </c>
      <c r="BY939" s="2" t="n">
        <v>0</v>
      </c>
      <c r="BZ939" s="2" t="n">
        <v>0</v>
      </c>
      <c r="CA939" s="2" t="n">
        <v>0</v>
      </c>
      <c r="CB939" s="2" t="n">
        <v>0</v>
      </c>
      <c r="CC939" s="2" t="n">
        <v>0</v>
      </c>
      <c r="CD939" s="2" t="n">
        <v>0</v>
      </c>
      <c r="CE939" s="2" t="n">
        <v>0</v>
      </c>
      <c r="CF939" s="2" t="n">
        <v>0</v>
      </c>
      <c r="CG939" s="2" t="n">
        <v>0</v>
      </c>
      <c r="CH939" s="2" t="n">
        <v>0</v>
      </c>
      <c r="CI939" s="2" t="n">
        <v>0</v>
      </c>
      <c r="CJ939" s="2" t="n">
        <v>0</v>
      </c>
      <c r="CK939" s="2" t="n">
        <v>0</v>
      </c>
      <c r="CL939" s="2" t="n">
        <v>0</v>
      </c>
      <c r="CM939" s="2" t="n">
        <v>0</v>
      </c>
      <c r="CN939" s="2" t="n">
        <v>0</v>
      </c>
      <c r="CO939" s="2" t="n">
        <v>0</v>
      </c>
      <c r="CP939" s="2" t="n">
        <v>0</v>
      </c>
      <c r="CQ939" s="2" t="n">
        <v>0</v>
      </c>
      <c r="CR939" s="2" t="n">
        <v>0</v>
      </c>
      <c r="CS939" s="2" t="n">
        <v>0</v>
      </c>
      <c r="CT939" s="2" t="n">
        <v>0</v>
      </c>
      <c r="CU939" s="2" t="n">
        <v>0</v>
      </c>
      <c r="CV939" s="2" t="n">
        <v>0</v>
      </c>
      <c r="CW939" s="2" t="n">
        <v>0</v>
      </c>
      <c r="CX939" s="2" t="n">
        <v>0</v>
      </c>
      <c r="CY939" s="2" t="n">
        <v>0</v>
      </c>
      <c r="CZ939" s="2" t="n">
        <v>0</v>
      </c>
      <c r="DA939" s="2" t="n">
        <v>0</v>
      </c>
      <c r="DB939" s="2" t="n">
        <v>0</v>
      </c>
      <c r="DC939" s="2" t="n">
        <v>0</v>
      </c>
      <c r="DD939" s="2" t="n">
        <v>2.39</v>
      </c>
      <c r="DE939" s="2" t="n">
        <v>3.72</v>
      </c>
      <c r="DF939" s="2" t="n">
        <v>0</v>
      </c>
      <c r="DG939" s="2" t="n">
        <v>7.33</v>
      </c>
      <c r="DH939" s="2" t="n">
        <v>8.69</v>
      </c>
      <c r="DI939" s="2" t="n">
        <v>0</v>
      </c>
      <c r="DJ939" s="2" t="n">
        <v>15.11</v>
      </c>
      <c r="DK939" s="2" t="n">
        <v>17.2</v>
      </c>
      <c r="DL939" s="2" t="n">
        <v>0</v>
      </c>
      <c r="DM939" s="2" t="n">
        <v>24.93</v>
      </c>
      <c r="DN939" s="2" t="n">
        <v>27.03</v>
      </c>
      <c r="DO939" s="2" t="n">
        <v>0</v>
      </c>
      <c r="DP939" s="2" t="n">
        <v>34.76</v>
      </c>
      <c r="DQ939" s="2" t="n">
        <v>36.87</v>
      </c>
      <c r="DR939" s="2" t="n">
        <v>0</v>
      </c>
      <c r="DS939" s="2" t="n">
        <v>45.23</v>
      </c>
      <c r="DT939" s="2" t="n">
        <v>47.65</v>
      </c>
      <c r="DU939" s="2" t="n">
        <v>0</v>
      </c>
      <c r="DV939" s="2" t="n">
        <v>54.08</v>
      </c>
      <c r="DW939" s="2" t="n">
        <v>56.17</v>
      </c>
      <c r="DX939" s="2" t="n">
        <v>0</v>
      </c>
      <c r="DY939" s="2" t="n">
        <v>63.15</v>
      </c>
      <c r="DZ939" s="2" t="n">
        <v>65.51000000000001</v>
      </c>
      <c r="EA939" s="2" t="n">
        <v>0</v>
      </c>
      <c r="EB939" s="2" t="n">
        <v>71.20999999999999</v>
      </c>
      <c r="EC939" s="2" t="n">
        <v>73.67</v>
      </c>
      <c r="ED939" s="2" t="n">
        <v>0</v>
      </c>
      <c r="EE939" s="2" t="n">
        <v>77.59999999999999</v>
      </c>
      <c r="EF939" s="2" t="n">
        <v>80.43000000000001</v>
      </c>
      <c r="EG939" s="2" t="n">
        <v>0</v>
      </c>
      <c r="EH939" s="2" t="n">
        <v>87.22</v>
      </c>
      <c r="EI939" s="2" t="n">
        <v>89.22</v>
      </c>
      <c r="EJ939" s="2" t="n">
        <v>0</v>
      </c>
      <c r="EK939" s="2" t="n">
        <v>94.48</v>
      </c>
      <c r="EL939" s="2" t="n">
        <v>95.56</v>
      </c>
      <c r="EM939" s="2" t="n">
        <v>0</v>
      </c>
      <c r="EN939" s="2" t="n">
        <v>98.19</v>
      </c>
      <c r="EO939" s="2" t="n">
        <v>99.47</v>
      </c>
      <c r="EP939" s="2" t="n">
        <v>0</v>
      </c>
      <c r="EQ939" s="2" t="n">
        <v>100</v>
      </c>
      <c r="ER939" s="2" t="n">
        <v>100</v>
      </c>
      <c r="ES939" s="2" t="n">
        <v>0</v>
      </c>
    </row>
    <row r="940">
      <c r="A940" s="2" t="n">
        <v>3</v>
      </c>
      <c r="B940" s="2" t="inlineStr">
        <is>
          <t>37.03.02</t>
        </is>
      </c>
      <c r="C940" s="2" t="inlineStr">
        <is>
          <t>Limpeza de áreas comuns</t>
        </is>
      </c>
      <c r="D940" s="2" t="inlineStr">
        <is>
          <t>14/03/2028</t>
        </is>
      </c>
      <c r="E940" s="2" t="inlineStr">
        <is>
          <t>13/04/2029</t>
        </is>
      </c>
      <c r="F940" s="2" t="n">
        <v>162790.2082000001</v>
      </c>
      <c r="G940" s="2" t="n">
        <v>0</v>
      </c>
      <c r="H940" s="2" t="n">
        <v>162790.2082000001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0</v>
      </c>
      <c r="Z940" s="2" t="n">
        <v>0</v>
      </c>
      <c r="AA940" s="2" t="n">
        <v>0</v>
      </c>
      <c r="AB940" s="2" t="n">
        <v>0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n">
        <v>0</v>
      </c>
      <c r="AK940" s="2" t="n">
        <v>0</v>
      </c>
      <c r="AL940" s="2" t="n">
        <v>0</v>
      </c>
      <c r="AM940" s="2" t="n">
        <v>0</v>
      </c>
      <c r="AN940" s="2" t="n">
        <v>0</v>
      </c>
      <c r="AO940" s="2" t="n">
        <v>0</v>
      </c>
      <c r="AP940" s="2" t="n">
        <v>0</v>
      </c>
      <c r="AQ940" s="2" t="n">
        <v>0</v>
      </c>
      <c r="AR940" s="2" t="n">
        <v>0</v>
      </c>
      <c r="AS940" s="2" t="n">
        <v>0</v>
      </c>
      <c r="AT940" s="2" t="n">
        <v>0</v>
      </c>
      <c r="AU940" s="2" t="n">
        <v>0</v>
      </c>
      <c r="AV940" s="2" t="n">
        <v>0</v>
      </c>
      <c r="AW940" s="2" t="n">
        <v>0</v>
      </c>
      <c r="AX940" s="2" t="n">
        <v>0</v>
      </c>
      <c r="AY940" s="2" t="n">
        <v>0</v>
      </c>
      <c r="AZ940" s="2" t="n">
        <v>0</v>
      </c>
      <c r="BA940" s="2" t="n">
        <v>0</v>
      </c>
      <c r="BB940" s="2" t="n">
        <v>0</v>
      </c>
      <c r="BC940" s="2" t="n">
        <v>0</v>
      </c>
      <c r="BD940" s="2" t="n">
        <v>0</v>
      </c>
      <c r="BE940" s="2" t="n">
        <v>0</v>
      </c>
      <c r="BF940" s="2" t="n">
        <v>0</v>
      </c>
      <c r="BG940" s="2" t="n">
        <v>0</v>
      </c>
      <c r="BH940" s="2" t="n">
        <v>0</v>
      </c>
      <c r="BI940" s="2" t="n">
        <v>0</v>
      </c>
      <c r="BJ940" s="2" t="n">
        <v>0</v>
      </c>
      <c r="BK940" s="2" t="n">
        <v>0</v>
      </c>
      <c r="BL940" s="2" t="n">
        <v>0</v>
      </c>
      <c r="BM940" s="2" t="n">
        <v>0</v>
      </c>
      <c r="BN940" s="2" t="n">
        <v>0</v>
      </c>
      <c r="BO940" s="2" t="n">
        <v>0</v>
      </c>
      <c r="BP940" s="2" t="n">
        <v>0</v>
      </c>
      <c r="BQ940" s="2" t="n">
        <v>0</v>
      </c>
      <c r="BR940" s="2" t="n">
        <v>0</v>
      </c>
      <c r="BS940" s="2" t="n">
        <v>0</v>
      </c>
      <c r="BT940" s="2" t="n">
        <v>0</v>
      </c>
      <c r="BU940" s="2" t="n">
        <v>0</v>
      </c>
      <c r="BV940" s="2" t="n">
        <v>0</v>
      </c>
      <c r="BW940" s="2" t="n">
        <v>0</v>
      </c>
      <c r="BX940" s="2" t="n">
        <v>0</v>
      </c>
      <c r="BY940" s="2" t="n">
        <v>0</v>
      </c>
      <c r="BZ940" s="2" t="n">
        <v>0</v>
      </c>
      <c r="CA940" s="2" t="n">
        <v>0</v>
      </c>
      <c r="CB940" s="2" t="n">
        <v>0</v>
      </c>
      <c r="CC940" s="2" t="n">
        <v>0</v>
      </c>
      <c r="CD940" s="2" t="n">
        <v>0</v>
      </c>
      <c r="CE940" s="2" t="n">
        <v>0</v>
      </c>
      <c r="CF940" s="2" t="n">
        <v>0</v>
      </c>
      <c r="CG940" s="2" t="n">
        <v>0</v>
      </c>
      <c r="CH940" s="2" t="n">
        <v>0</v>
      </c>
      <c r="CI940" s="2" t="n">
        <v>0</v>
      </c>
      <c r="CJ940" s="2" t="n">
        <v>0</v>
      </c>
      <c r="CK940" s="2" t="n">
        <v>0</v>
      </c>
      <c r="CL940" s="2" t="n">
        <v>0</v>
      </c>
      <c r="CM940" s="2" t="n">
        <v>0</v>
      </c>
      <c r="CN940" s="2" t="n">
        <v>0</v>
      </c>
      <c r="CO940" s="2" t="n">
        <v>0</v>
      </c>
      <c r="CP940" s="2" t="n">
        <v>0</v>
      </c>
      <c r="CQ940" s="2" t="n">
        <v>0</v>
      </c>
      <c r="CR940" s="2" t="n">
        <v>0</v>
      </c>
      <c r="CS940" s="2" t="n">
        <v>0</v>
      </c>
      <c r="CT940" s="2" t="n">
        <v>0</v>
      </c>
      <c r="CU940" s="2" t="n">
        <v>0</v>
      </c>
      <c r="CV940" s="2" t="n">
        <v>0</v>
      </c>
      <c r="CW940" s="2" t="n">
        <v>0</v>
      </c>
      <c r="CX940" s="2" t="n">
        <v>0</v>
      </c>
      <c r="CY940" s="2" t="n">
        <v>0</v>
      </c>
      <c r="CZ940" s="2" t="n">
        <v>0</v>
      </c>
      <c r="DA940" s="2" t="n">
        <v>0</v>
      </c>
      <c r="DB940" s="2" t="n">
        <v>0</v>
      </c>
      <c r="DC940" s="2" t="n">
        <v>0</v>
      </c>
      <c r="DD940" s="2" t="n">
        <v>2.39</v>
      </c>
      <c r="DE940" s="2" t="n">
        <v>3.72</v>
      </c>
      <c r="DF940" s="2" t="n">
        <v>0</v>
      </c>
      <c r="DG940" s="2" t="n">
        <v>7.33</v>
      </c>
      <c r="DH940" s="2" t="n">
        <v>8.69</v>
      </c>
      <c r="DI940" s="2" t="n">
        <v>0</v>
      </c>
      <c r="DJ940" s="2" t="n">
        <v>15.11</v>
      </c>
      <c r="DK940" s="2" t="n">
        <v>17.2</v>
      </c>
      <c r="DL940" s="2" t="n">
        <v>0</v>
      </c>
      <c r="DM940" s="2" t="n">
        <v>24.93</v>
      </c>
      <c r="DN940" s="2" t="n">
        <v>27.03</v>
      </c>
      <c r="DO940" s="2" t="n">
        <v>0</v>
      </c>
      <c r="DP940" s="2" t="n">
        <v>34.76</v>
      </c>
      <c r="DQ940" s="2" t="n">
        <v>36.87</v>
      </c>
      <c r="DR940" s="2" t="n">
        <v>0</v>
      </c>
      <c r="DS940" s="2" t="n">
        <v>45.23</v>
      </c>
      <c r="DT940" s="2" t="n">
        <v>47.65</v>
      </c>
      <c r="DU940" s="2" t="n">
        <v>0</v>
      </c>
      <c r="DV940" s="2" t="n">
        <v>54.08</v>
      </c>
      <c r="DW940" s="2" t="n">
        <v>56.17</v>
      </c>
      <c r="DX940" s="2" t="n">
        <v>0</v>
      </c>
      <c r="DY940" s="2" t="n">
        <v>63.15</v>
      </c>
      <c r="DZ940" s="2" t="n">
        <v>65.51000000000001</v>
      </c>
      <c r="EA940" s="2" t="n">
        <v>0</v>
      </c>
      <c r="EB940" s="2" t="n">
        <v>71.20999999999999</v>
      </c>
      <c r="EC940" s="2" t="n">
        <v>73.67</v>
      </c>
      <c r="ED940" s="2" t="n">
        <v>0</v>
      </c>
      <c r="EE940" s="2" t="n">
        <v>77.59999999999999</v>
      </c>
      <c r="EF940" s="2" t="n">
        <v>80.43000000000001</v>
      </c>
      <c r="EG940" s="2" t="n">
        <v>0</v>
      </c>
      <c r="EH940" s="2" t="n">
        <v>87.22</v>
      </c>
      <c r="EI940" s="2" t="n">
        <v>89.22</v>
      </c>
      <c r="EJ940" s="2" t="n">
        <v>0</v>
      </c>
      <c r="EK940" s="2" t="n">
        <v>94.48</v>
      </c>
      <c r="EL940" s="2" t="n">
        <v>95.56</v>
      </c>
      <c r="EM940" s="2" t="n">
        <v>0</v>
      </c>
      <c r="EN940" s="2" t="n">
        <v>98.19</v>
      </c>
      <c r="EO940" s="2" t="n">
        <v>99.47</v>
      </c>
      <c r="EP940" s="2" t="n">
        <v>0</v>
      </c>
      <c r="EQ940" s="2" t="n">
        <v>100</v>
      </c>
      <c r="ER940" s="2" t="n">
        <v>100</v>
      </c>
      <c r="ES940" s="2" t="n">
        <v>0</v>
      </c>
    </row>
    <row r="941">
      <c r="A941" s="2" t="n">
        <v>3</v>
      </c>
      <c r="B941" s="2" t="inlineStr">
        <is>
          <t>37.03.03</t>
        </is>
      </c>
      <c r="C941" s="2" t="inlineStr">
        <is>
          <t>Limpeza de fachadas</t>
        </is>
      </c>
      <c r="D941" s="2" t="inlineStr">
        <is>
          <t>14/03/2028</t>
        </is>
      </c>
      <c r="E941" s="2" t="inlineStr">
        <is>
          <t>13/04/2029</t>
        </is>
      </c>
      <c r="F941" s="2" t="n">
        <v>171736.25</v>
      </c>
      <c r="G941" s="2" t="n">
        <v>0</v>
      </c>
      <c r="H941" s="2" t="n">
        <v>171736.25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n">
        <v>0</v>
      </c>
      <c r="AK941" s="2" t="n">
        <v>0</v>
      </c>
      <c r="AL941" s="2" t="n">
        <v>0</v>
      </c>
      <c r="AM941" s="2" t="n">
        <v>0</v>
      </c>
      <c r="AN941" s="2" t="n">
        <v>0</v>
      </c>
      <c r="AO941" s="2" t="n">
        <v>0</v>
      </c>
      <c r="AP941" s="2" t="n">
        <v>0</v>
      </c>
      <c r="AQ941" s="2" t="n">
        <v>0</v>
      </c>
      <c r="AR941" s="2" t="n">
        <v>0</v>
      </c>
      <c r="AS941" s="2" t="n">
        <v>0</v>
      </c>
      <c r="AT941" s="2" t="n">
        <v>0</v>
      </c>
      <c r="AU941" s="2" t="n">
        <v>0</v>
      </c>
      <c r="AV941" s="2" t="n">
        <v>0</v>
      </c>
      <c r="AW941" s="2" t="n">
        <v>0</v>
      </c>
      <c r="AX941" s="2" t="n">
        <v>0</v>
      </c>
      <c r="AY941" s="2" t="n">
        <v>0</v>
      </c>
      <c r="AZ941" s="2" t="n">
        <v>0</v>
      </c>
      <c r="BA941" s="2" t="n">
        <v>0</v>
      </c>
      <c r="BB941" s="2" t="n">
        <v>0</v>
      </c>
      <c r="BC941" s="2" t="n">
        <v>0</v>
      </c>
      <c r="BD941" s="2" t="n">
        <v>0</v>
      </c>
      <c r="BE941" s="2" t="n">
        <v>0</v>
      </c>
      <c r="BF941" s="2" t="n">
        <v>0</v>
      </c>
      <c r="BG941" s="2" t="n">
        <v>0</v>
      </c>
      <c r="BH941" s="2" t="n">
        <v>0</v>
      </c>
      <c r="BI941" s="2" t="n">
        <v>0</v>
      </c>
      <c r="BJ941" s="2" t="n">
        <v>0</v>
      </c>
      <c r="BK941" s="2" t="n">
        <v>0</v>
      </c>
      <c r="BL941" s="2" t="n">
        <v>0</v>
      </c>
      <c r="BM941" s="2" t="n">
        <v>0</v>
      </c>
      <c r="BN941" s="2" t="n">
        <v>0</v>
      </c>
      <c r="BO941" s="2" t="n">
        <v>0</v>
      </c>
      <c r="BP941" s="2" t="n">
        <v>0</v>
      </c>
      <c r="BQ941" s="2" t="n">
        <v>0</v>
      </c>
      <c r="BR941" s="2" t="n">
        <v>0</v>
      </c>
      <c r="BS941" s="2" t="n">
        <v>0</v>
      </c>
      <c r="BT941" s="2" t="n">
        <v>0</v>
      </c>
      <c r="BU941" s="2" t="n">
        <v>0</v>
      </c>
      <c r="BV941" s="2" t="n">
        <v>0</v>
      </c>
      <c r="BW941" s="2" t="n">
        <v>0</v>
      </c>
      <c r="BX941" s="2" t="n">
        <v>0</v>
      </c>
      <c r="BY941" s="2" t="n">
        <v>0</v>
      </c>
      <c r="BZ941" s="2" t="n">
        <v>0</v>
      </c>
      <c r="CA941" s="2" t="n">
        <v>0</v>
      </c>
      <c r="CB941" s="2" t="n">
        <v>0</v>
      </c>
      <c r="CC941" s="2" t="n">
        <v>0</v>
      </c>
      <c r="CD941" s="2" t="n">
        <v>0</v>
      </c>
      <c r="CE941" s="2" t="n">
        <v>0</v>
      </c>
      <c r="CF941" s="2" t="n">
        <v>0</v>
      </c>
      <c r="CG941" s="2" t="n">
        <v>0</v>
      </c>
      <c r="CH941" s="2" t="n">
        <v>0</v>
      </c>
      <c r="CI941" s="2" t="n">
        <v>0</v>
      </c>
      <c r="CJ941" s="2" t="n">
        <v>0</v>
      </c>
      <c r="CK941" s="2" t="n">
        <v>0</v>
      </c>
      <c r="CL941" s="2" t="n">
        <v>0</v>
      </c>
      <c r="CM941" s="2" t="n">
        <v>0</v>
      </c>
      <c r="CN941" s="2" t="n">
        <v>0</v>
      </c>
      <c r="CO941" s="2" t="n">
        <v>0</v>
      </c>
      <c r="CP941" s="2" t="n">
        <v>0</v>
      </c>
      <c r="CQ941" s="2" t="n">
        <v>0</v>
      </c>
      <c r="CR941" s="2" t="n">
        <v>0</v>
      </c>
      <c r="CS941" s="2" t="n">
        <v>0</v>
      </c>
      <c r="CT941" s="2" t="n">
        <v>0</v>
      </c>
      <c r="CU941" s="2" t="n">
        <v>0</v>
      </c>
      <c r="CV941" s="2" t="n">
        <v>0</v>
      </c>
      <c r="CW941" s="2" t="n">
        <v>0</v>
      </c>
      <c r="CX941" s="2" t="n">
        <v>0</v>
      </c>
      <c r="CY941" s="2" t="n">
        <v>0</v>
      </c>
      <c r="CZ941" s="2" t="n">
        <v>0</v>
      </c>
      <c r="DA941" s="2" t="n">
        <v>0</v>
      </c>
      <c r="DB941" s="2" t="n">
        <v>0</v>
      </c>
      <c r="DC941" s="2" t="n">
        <v>0</v>
      </c>
      <c r="DD941" s="2" t="n">
        <v>2.39</v>
      </c>
      <c r="DE941" s="2" t="n">
        <v>3.72</v>
      </c>
      <c r="DF941" s="2" t="n">
        <v>0</v>
      </c>
      <c r="DG941" s="2" t="n">
        <v>7.33</v>
      </c>
      <c r="DH941" s="2" t="n">
        <v>8.69</v>
      </c>
      <c r="DI941" s="2" t="n">
        <v>0</v>
      </c>
      <c r="DJ941" s="2" t="n">
        <v>15.11</v>
      </c>
      <c r="DK941" s="2" t="n">
        <v>17.2</v>
      </c>
      <c r="DL941" s="2" t="n">
        <v>0</v>
      </c>
      <c r="DM941" s="2" t="n">
        <v>24.93</v>
      </c>
      <c r="DN941" s="2" t="n">
        <v>27.03</v>
      </c>
      <c r="DO941" s="2" t="n">
        <v>0</v>
      </c>
      <c r="DP941" s="2" t="n">
        <v>34.76</v>
      </c>
      <c r="DQ941" s="2" t="n">
        <v>36.87</v>
      </c>
      <c r="DR941" s="2" t="n">
        <v>0</v>
      </c>
      <c r="DS941" s="2" t="n">
        <v>45.23</v>
      </c>
      <c r="DT941" s="2" t="n">
        <v>47.65</v>
      </c>
      <c r="DU941" s="2" t="n">
        <v>0</v>
      </c>
      <c r="DV941" s="2" t="n">
        <v>54.08</v>
      </c>
      <c r="DW941" s="2" t="n">
        <v>56.17</v>
      </c>
      <c r="DX941" s="2" t="n">
        <v>0</v>
      </c>
      <c r="DY941" s="2" t="n">
        <v>63.15</v>
      </c>
      <c r="DZ941" s="2" t="n">
        <v>65.51000000000001</v>
      </c>
      <c r="EA941" s="2" t="n">
        <v>0</v>
      </c>
      <c r="EB941" s="2" t="n">
        <v>71.20999999999999</v>
      </c>
      <c r="EC941" s="2" t="n">
        <v>73.67</v>
      </c>
      <c r="ED941" s="2" t="n">
        <v>0</v>
      </c>
      <c r="EE941" s="2" t="n">
        <v>77.59999999999999</v>
      </c>
      <c r="EF941" s="2" t="n">
        <v>80.43000000000001</v>
      </c>
      <c r="EG941" s="2" t="n">
        <v>0</v>
      </c>
      <c r="EH941" s="2" t="n">
        <v>87.22</v>
      </c>
      <c r="EI941" s="2" t="n">
        <v>89.22</v>
      </c>
      <c r="EJ941" s="2" t="n">
        <v>0</v>
      </c>
      <c r="EK941" s="2" t="n">
        <v>94.48</v>
      </c>
      <c r="EL941" s="2" t="n">
        <v>95.56</v>
      </c>
      <c r="EM941" s="2" t="n">
        <v>0</v>
      </c>
      <c r="EN941" s="2" t="n">
        <v>98.19</v>
      </c>
      <c r="EO941" s="2" t="n">
        <v>99.47</v>
      </c>
      <c r="EP941" s="2" t="n">
        <v>0</v>
      </c>
      <c r="EQ941" s="2" t="n">
        <v>100</v>
      </c>
      <c r="ER941" s="2" t="n">
        <v>100</v>
      </c>
      <c r="ES941" s="2" t="n">
        <v>0</v>
      </c>
    </row>
    <row r="942">
      <c r="A942" s="2" t="n">
        <v>3</v>
      </c>
      <c r="B942" s="2" t="inlineStr">
        <is>
          <t>37.03.04</t>
        </is>
      </c>
      <c r="C942" s="2" t="inlineStr">
        <is>
          <t>Limpeza de vidros</t>
        </is>
      </c>
      <c r="D942" s="2" t="inlineStr">
        <is>
          <t>14/03/2028</t>
        </is>
      </c>
      <c r="E942" s="2" t="inlineStr">
        <is>
          <t>13/04/2029</t>
        </is>
      </c>
      <c r="F942" s="2" t="n">
        <v>12095.82325</v>
      </c>
      <c r="G942" s="2" t="n">
        <v>0</v>
      </c>
      <c r="H942" s="2" t="n">
        <v>12095.82325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0</v>
      </c>
      <c r="Z942" s="2" t="n">
        <v>0</v>
      </c>
      <c r="AA942" s="2" t="n">
        <v>0</v>
      </c>
      <c r="AB942" s="2" t="n">
        <v>0</v>
      </c>
      <c r="AC942" s="2" t="n">
        <v>0</v>
      </c>
      <c r="AD942" s="2" t="n">
        <v>0</v>
      </c>
      <c r="AE942" s="2" t="n">
        <v>0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n">
        <v>0</v>
      </c>
      <c r="AK942" s="2" t="n">
        <v>0</v>
      </c>
      <c r="AL942" s="2" t="n">
        <v>0</v>
      </c>
      <c r="AM942" s="2" t="n">
        <v>0</v>
      </c>
      <c r="AN942" s="2" t="n">
        <v>0</v>
      </c>
      <c r="AO942" s="2" t="n">
        <v>0</v>
      </c>
      <c r="AP942" s="2" t="n">
        <v>0</v>
      </c>
      <c r="AQ942" s="2" t="n">
        <v>0</v>
      </c>
      <c r="AR942" s="2" t="n">
        <v>0</v>
      </c>
      <c r="AS942" s="2" t="n">
        <v>0</v>
      </c>
      <c r="AT942" s="2" t="n">
        <v>0</v>
      </c>
      <c r="AU942" s="2" t="n">
        <v>0</v>
      </c>
      <c r="AV942" s="2" t="n">
        <v>0</v>
      </c>
      <c r="AW942" s="2" t="n">
        <v>0</v>
      </c>
      <c r="AX942" s="2" t="n">
        <v>0</v>
      </c>
      <c r="AY942" s="2" t="n">
        <v>0</v>
      </c>
      <c r="AZ942" s="2" t="n">
        <v>0</v>
      </c>
      <c r="BA942" s="2" t="n">
        <v>0</v>
      </c>
      <c r="BB942" s="2" t="n">
        <v>0</v>
      </c>
      <c r="BC942" s="2" t="n">
        <v>0</v>
      </c>
      <c r="BD942" s="2" t="n">
        <v>0</v>
      </c>
      <c r="BE942" s="2" t="n">
        <v>0</v>
      </c>
      <c r="BF942" s="2" t="n">
        <v>0</v>
      </c>
      <c r="BG942" s="2" t="n">
        <v>0</v>
      </c>
      <c r="BH942" s="2" t="n">
        <v>0</v>
      </c>
      <c r="BI942" s="2" t="n">
        <v>0</v>
      </c>
      <c r="BJ942" s="2" t="n">
        <v>0</v>
      </c>
      <c r="BK942" s="2" t="n">
        <v>0</v>
      </c>
      <c r="BL942" s="2" t="n">
        <v>0</v>
      </c>
      <c r="BM942" s="2" t="n">
        <v>0</v>
      </c>
      <c r="BN942" s="2" t="n">
        <v>0</v>
      </c>
      <c r="BO942" s="2" t="n">
        <v>0</v>
      </c>
      <c r="BP942" s="2" t="n">
        <v>0</v>
      </c>
      <c r="BQ942" s="2" t="n">
        <v>0</v>
      </c>
      <c r="BR942" s="2" t="n">
        <v>0</v>
      </c>
      <c r="BS942" s="2" t="n">
        <v>0</v>
      </c>
      <c r="BT942" s="2" t="n">
        <v>0</v>
      </c>
      <c r="BU942" s="2" t="n">
        <v>0</v>
      </c>
      <c r="BV942" s="2" t="n">
        <v>0</v>
      </c>
      <c r="BW942" s="2" t="n">
        <v>0</v>
      </c>
      <c r="BX942" s="2" t="n">
        <v>0</v>
      </c>
      <c r="BY942" s="2" t="n">
        <v>0</v>
      </c>
      <c r="BZ942" s="2" t="n">
        <v>0</v>
      </c>
      <c r="CA942" s="2" t="n">
        <v>0</v>
      </c>
      <c r="CB942" s="2" t="n">
        <v>0</v>
      </c>
      <c r="CC942" s="2" t="n">
        <v>0</v>
      </c>
      <c r="CD942" s="2" t="n">
        <v>0</v>
      </c>
      <c r="CE942" s="2" t="n">
        <v>0</v>
      </c>
      <c r="CF942" s="2" t="n">
        <v>0</v>
      </c>
      <c r="CG942" s="2" t="n">
        <v>0</v>
      </c>
      <c r="CH942" s="2" t="n">
        <v>0</v>
      </c>
      <c r="CI942" s="2" t="n">
        <v>0</v>
      </c>
      <c r="CJ942" s="2" t="n">
        <v>0</v>
      </c>
      <c r="CK942" s="2" t="n">
        <v>0</v>
      </c>
      <c r="CL942" s="2" t="n">
        <v>0</v>
      </c>
      <c r="CM942" s="2" t="n">
        <v>0</v>
      </c>
      <c r="CN942" s="2" t="n">
        <v>0</v>
      </c>
      <c r="CO942" s="2" t="n">
        <v>0</v>
      </c>
      <c r="CP942" s="2" t="n">
        <v>0</v>
      </c>
      <c r="CQ942" s="2" t="n">
        <v>0</v>
      </c>
      <c r="CR942" s="2" t="n">
        <v>0</v>
      </c>
      <c r="CS942" s="2" t="n">
        <v>0</v>
      </c>
      <c r="CT942" s="2" t="n">
        <v>0</v>
      </c>
      <c r="CU942" s="2" t="n">
        <v>0</v>
      </c>
      <c r="CV942" s="2" t="n">
        <v>0</v>
      </c>
      <c r="CW942" s="2" t="n">
        <v>0</v>
      </c>
      <c r="CX942" s="2" t="n">
        <v>0</v>
      </c>
      <c r="CY942" s="2" t="n">
        <v>0</v>
      </c>
      <c r="CZ942" s="2" t="n">
        <v>0</v>
      </c>
      <c r="DA942" s="2" t="n">
        <v>0</v>
      </c>
      <c r="DB942" s="2" t="n">
        <v>0</v>
      </c>
      <c r="DC942" s="2" t="n">
        <v>0</v>
      </c>
      <c r="DD942" s="2" t="n">
        <v>2.39</v>
      </c>
      <c r="DE942" s="2" t="n">
        <v>3.72</v>
      </c>
      <c r="DF942" s="2" t="n">
        <v>0</v>
      </c>
      <c r="DG942" s="2" t="n">
        <v>7.33</v>
      </c>
      <c r="DH942" s="2" t="n">
        <v>8.69</v>
      </c>
      <c r="DI942" s="2" t="n">
        <v>0</v>
      </c>
      <c r="DJ942" s="2" t="n">
        <v>15.11</v>
      </c>
      <c r="DK942" s="2" t="n">
        <v>17.2</v>
      </c>
      <c r="DL942" s="2" t="n">
        <v>0</v>
      </c>
      <c r="DM942" s="2" t="n">
        <v>24.93</v>
      </c>
      <c r="DN942" s="2" t="n">
        <v>27.03</v>
      </c>
      <c r="DO942" s="2" t="n">
        <v>0</v>
      </c>
      <c r="DP942" s="2" t="n">
        <v>34.76</v>
      </c>
      <c r="DQ942" s="2" t="n">
        <v>36.87</v>
      </c>
      <c r="DR942" s="2" t="n">
        <v>0</v>
      </c>
      <c r="DS942" s="2" t="n">
        <v>45.23</v>
      </c>
      <c r="DT942" s="2" t="n">
        <v>47.65</v>
      </c>
      <c r="DU942" s="2" t="n">
        <v>0</v>
      </c>
      <c r="DV942" s="2" t="n">
        <v>54.08</v>
      </c>
      <c r="DW942" s="2" t="n">
        <v>56.17</v>
      </c>
      <c r="DX942" s="2" t="n">
        <v>0</v>
      </c>
      <c r="DY942" s="2" t="n">
        <v>63.15</v>
      </c>
      <c r="DZ942" s="2" t="n">
        <v>65.51000000000001</v>
      </c>
      <c r="EA942" s="2" t="n">
        <v>0</v>
      </c>
      <c r="EB942" s="2" t="n">
        <v>71.20999999999999</v>
      </c>
      <c r="EC942" s="2" t="n">
        <v>73.67</v>
      </c>
      <c r="ED942" s="2" t="n">
        <v>0</v>
      </c>
      <c r="EE942" s="2" t="n">
        <v>77.59999999999999</v>
      </c>
      <c r="EF942" s="2" t="n">
        <v>80.43000000000001</v>
      </c>
      <c r="EG942" s="2" t="n">
        <v>0</v>
      </c>
      <c r="EH942" s="2" t="n">
        <v>87.22</v>
      </c>
      <c r="EI942" s="2" t="n">
        <v>89.22</v>
      </c>
      <c r="EJ942" s="2" t="n">
        <v>0</v>
      </c>
      <c r="EK942" s="2" t="n">
        <v>94.48</v>
      </c>
      <c r="EL942" s="2" t="n">
        <v>95.56</v>
      </c>
      <c r="EM942" s="2" t="n">
        <v>0</v>
      </c>
      <c r="EN942" s="2" t="n">
        <v>98.19</v>
      </c>
      <c r="EO942" s="2" t="n">
        <v>99.47</v>
      </c>
      <c r="EP942" s="2" t="n">
        <v>0</v>
      </c>
      <c r="EQ942" s="2" t="n">
        <v>100</v>
      </c>
      <c r="ER942" s="2" t="n">
        <v>100</v>
      </c>
      <c r="ES942" s="2" t="n">
        <v>0</v>
      </c>
    </row>
    <row r="943">
      <c r="A943" s="2" t="n">
        <v>3</v>
      </c>
      <c r="B943" s="2" t="inlineStr">
        <is>
          <t>37.03.05</t>
        </is>
      </c>
      <c r="C943" s="2" t="inlineStr">
        <is>
          <t>Limpeza e desinfecção de Reservatórios</t>
        </is>
      </c>
      <c r="D943" s="2" t="inlineStr">
        <is>
          <t>14/03/2028</t>
        </is>
      </c>
      <c r="E943" s="2" t="inlineStr">
        <is>
          <t>13/04/2029</t>
        </is>
      </c>
      <c r="F943" s="2" t="n">
        <v>5000</v>
      </c>
      <c r="G943" s="2" t="n">
        <v>0</v>
      </c>
      <c r="H943" s="2" t="n">
        <v>5000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0</v>
      </c>
      <c r="AL943" s="2" t="n">
        <v>0</v>
      </c>
      <c r="AM943" s="2" t="n">
        <v>0</v>
      </c>
      <c r="AN943" s="2" t="n">
        <v>0</v>
      </c>
      <c r="AO943" s="2" t="n">
        <v>0</v>
      </c>
      <c r="AP943" s="2" t="n">
        <v>0</v>
      </c>
      <c r="AQ943" s="2" t="n">
        <v>0</v>
      </c>
      <c r="AR943" s="2" t="n">
        <v>0</v>
      </c>
      <c r="AS943" s="2" t="n">
        <v>0</v>
      </c>
      <c r="AT943" s="2" t="n">
        <v>0</v>
      </c>
      <c r="AU943" s="2" t="n">
        <v>0</v>
      </c>
      <c r="AV943" s="2" t="n">
        <v>0</v>
      </c>
      <c r="AW943" s="2" t="n">
        <v>0</v>
      </c>
      <c r="AX943" s="2" t="n">
        <v>0</v>
      </c>
      <c r="AY943" s="2" t="n">
        <v>0</v>
      </c>
      <c r="AZ943" s="2" t="n">
        <v>0</v>
      </c>
      <c r="BA943" s="2" t="n">
        <v>0</v>
      </c>
      <c r="BB943" s="2" t="n">
        <v>0</v>
      </c>
      <c r="BC943" s="2" t="n">
        <v>0</v>
      </c>
      <c r="BD943" s="2" t="n">
        <v>0</v>
      </c>
      <c r="BE943" s="2" t="n">
        <v>0</v>
      </c>
      <c r="BF943" s="2" t="n">
        <v>0</v>
      </c>
      <c r="BG943" s="2" t="n">
        <v>0</v>
      </c>
      <c r="BH943" s="2" t="n">
        <v>0</v>
      </c>
      <c r="BI943" s="2" t="n">
        <v>0</v>
      </c>
      <c r="BJ943" s="2" t="n">
        <v>0</v>
      </c>
      <c r="BK943" s="2" t="n">
        <v>0</v>
      </c>
      <c r="BL943" s="2" t="n">
        <v>0</v>
      </c>
      <c r="BM943" s="2" t="n">
        <v>0</v>
      </c>
      <c r="BN943" s="2" t="n">
        <v>0</v>
      </c>
      <c r="BO943" s="2" t="n">
        <v>0</v>
      </c>
      <c r="BP943" s="2" t="n">
        <v>0</v>
      </c>
      <c r="BQ943" s="2" t="n">
        <v>0</v>
      </c>
      <c r="BR943" s="2" t="n">
        <v>0</v>
      </c>
      <c r="BS943" s="2" t="n">
        <v>0</v>
      </c>
      <c r="BT943" s="2" t="n">
        <v>0</v>
      </c>
      <c r="BU943" s="2" t="n">
        <v>0</v>
      </c>
      <c r="BV943" s="2" t="n">
        <v>0</v>
      </c>
      <c r="BW943" s="2" t="n">
        <v>0</v>
      </c>
      <c r="BX943" s="2" t="n">
        <v>0</v>
      </c>
      <c r="BY943" s="2" t="n">
        <v>0</v>
      </c>
      <c r="BZ943" s="2" t="n">
        <v>0</v>
      </c>
      <c r="CA943" s="2" t="n">
        <v>0</v>
      </c>
      <c r="CB943" s="2" t="n">
        <v>0</v>
      </c>
      <c r="CC943" s="2" t="n">
        <v>0</v>
      </c>
      <c r="CD943" s="2" t="n">
        <v>0</v>
      </c>
      <c r="CE943" s="2" t="n">
        <v>0</v>
      </c>
      <c r="CF943" s="2" t="n">
        <v>0</v>
      </c>
      <c r="CG943" s="2" t="n">
        <v>0</v>
      </c>
      <c r="CH943" s="2" t="n">
        <v>0</v>
      </c>
      <c r="CI943" s="2" t="n">
        <v>0</v>
      </c>
      <c r="CJ943" s="2" t="n">
        <v>0</v>
      </c>
      <c r="CK943" s="2" t="n">
        <v>0</v>
      </c>
      <c r="CL943" s="2" t="n">
        <v>0</v>
      </c>
      <c r="CM943" s="2" t="n">
        <v>0</v>
      </c>
      <c r="CN943" s="2" t="n">
        <v>0</v>
      </c>
      <c r="CO943" s="2" t="n">
        <v>0</v>
      </c>
      <c r="CP943" s="2" t="n">
        <v>0</v>
      </c>
      <c r="CQ943" s="2" t="n">
        <v>0</v>
      </c>
      <c r="CR943" s="2" t="n">
        <v>0</v>
      </c>
      <c r="CS943" s="2" t="n">
        <v>0</v>
      </c>
      <c r="CT943" s="2" t="n">
        <v>0</v>
      </c>
      <c r="CU943" s="2" t="n">
        <v>0</v>
      </c>
      <c r="CV943" s="2" t="n">
        <v>0</v>
      </c>
      <c r="CW943" s="2" t="n">
        <v>0</v>
      </c>
      <c r="CX943" s="2" t="n">
        <v>0</v>
      </c>
      <c r="CY943" s="2" t="n">
        <v>0</v>
      </c>
      <c r="CZ943" s="2" t="n">
        <v>0</v>
      </c>
      <c r="DA943" s="2" t="n">
        <v>0</v>
      </c>
      <c r="DB943" s="2" t="n">
        <v>0</v>
      </c>
      <c r="DC943" s="2" t="n">
        <v>0</v>
      </c>
      <c r="DD943" s="2" t="n">
        <v>2.39</v>
      </c>
      <c r="DE943" s="2" t="n">
        <v>3.72</v>
      </c>
      <c r="DF943" s="2" t="n">
        <v>0</v>
      </c>
      <c r="DG943" s="2" t="n">
        <v>7.33</v>
      </c>
      <c r="DH943" s="2" t="n">
        <v>8.69</v>
      </c>
      <c r="DI943" s="2" t="n">
        <v>0</v>
      </c>
      <c r="DJ943" s="2" t="n">
        <v>15.11</v>
      </c>
      <c r="DK943" s="2" t="n">
        <v>17.2</v>
      </c>
      <c r="DL943" s="2" t="n">
        <v>0</v>
      </c>
      <c r="DM943" s="2" t="n">
        <v>24.93</v>
      </c>
      <c r="DN943" s="2" t="n">
        <v>27.03</v>
      </c>
      <c r="DO943" s="2" t="n">
        <v>0</v>
      </c>
      <c r="DP943" s="2" t="n">
        <v>34.76</v>
      </c>
      <c r="DQ943" s="2" t="n">
        <v>36.87</v>
      </c>
      <c r="DR943" s="2" t="n">
        <v>0</v>
      </c>
      <c r="DS943" s="2" t="n">
        <v>45.23</v>
      </c>
      <c r="DT943" s="2" t="n">
        <v>47.65</v>
      </c>
      <c r="DU943" s="2" t="n">
        <v>0</v>
      </c>
      <c r="DV943" s="2" t="n">
        <v>54.08</v>
      </c>
      <c r="DW943" s="2" t="n">
        <v>56.17</v>
      </c>
      <c r="DX943" s="2" t="n">
        <v>0</v>
      </c>
      <c r="DY943" s="2" t="n">
        <v>63.15</v>
      </c>
      <c r="DZ943" s="2" t="n">
        <v>65.51000000000001</v>
      </c>
      <c r="EA943" s="2" t="n">
        <v>0</v>
      </c>
      <c r="EB943" s="2" t="n">
        <v>71.20999999999999</v>
      </c>
      <c r="EC943" s="2" t="n">
        <v>73.67</v>
      </c>
      <c r="ED943" s="2" t="n">
        <v>0</v>
      </c>
      <c r="EE943" s="2" t="n">
        <v>77.59999999999999</v>
      </c>
      <c r="EF943" s="2" t="n">
        <v>80.43000000000001</v>
      </c>
      <c r="EG943" s="2" t="n">
        <v>0</v>
      </c>
      <c r="EH943" s="2" t="n">
        <v>87.22</v>
      </c>
      <c r="EI943" s="2" t="n">
        <v>89.22</v>
      </c>
      <c r="EJ943" s="2" t="n">
        <v>0</v>
      </c>
      <c r="EK943" s="2" t="n">
        <v>94.48</v>
      </c>
      <c r="EL943" s="2" t="n">
        <v>95.56</v>
      </c>
      <c r="EM943" s="2" t="n">
        <v>0</v>
      </c>
      <c r="EN943" s="2" t="n">
        <v>98.19</v>
      </c>
      <c r="EO943" s="2" t="n">
        <v>99.47</v>
      </c>
      <c r="EP943" s="2" t="n">
        <v>0</v>
      </c>
      <c r="EQ943" s="2" t="n">
        <v>100</v>
      </c>
      <c r="ER943" s="2" t="n">
        <v>100</v>
      </c>
      <c r="ES943" s="2" t="n">
        <v>0</v>
      </c>
    </row>
    <row r="944">
      <c r="A944" s="2" t="n">
        <v>3</v>
      </c>
      <c r="B944" s="2" t="inlineStr">
        <is>
          <t>37.03.06</t>
        </is>
      </c>
      <c r="C944" s="2" t="inlineStr">
        <is>
          <t>Limpeza e desinfecção de Piscinas</t>
        </is>
      </c>
      <c r="D944" s="2" t="inlineStr">
        <is>
          <t>14/03/2028</t>
        </is>
      </c>
      <c r="E944" s="2" t="inlineStr">
        <is>
          <t>13/04/2029</t>
        </is>
      </c>
      <c r="F944" s="2" t="n">
        <v>5000</v>
      </c>
      <c r="G944" s="2" t="n">
        <v>0</v>
      </c>
      <c r="H944" s="2" t="n">
        <v>5000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n">
        <v>0</v>
      </c>
      <c r="AE944" s="2" t="n">
        <v>0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n">
        <v>0</v>
      </c>
      <c r="AK944" s="2" t="n">
        <v>0</v>
      </c>
      <c r="AL944" s="2" t="n">
        <v>0</v>
      </c>
      <c r="AM944" s="2" t="n">
        <v>0</v>
      </c>
      <c r="AN944" s="2" t="n">
        <v>0</v>
      </c>
      <c r="AO944" s="2" t="n">
        <v>0</v>
      </c>
      <c r="AP944" s="2" t="n">
        <v>0</v>
      </c>
      <c r="AQ944" s="2" t="n">
        <v>0</v>
      </c>
      <c r="AR944" s="2" t="n">
        <v>0</v>
      </c>
      <c r="AS944" s="2" t="n">
        <v>0</v>
      </c>
      <c r="AT944" s="2" t="n">
        <v>0</v>
      </c>
      <c r="AU944" s="2" t="n">
        <v>0</v>
      </c>
      <c r="AV944" s="2" t="n">
        <v>0</v>
      </c>
      <c r="AW944" s="2" t="n">
        <v>0</v>
      </c>
      <c r="AX944" s="2" t="n">
        <v>0</v>
      </c>
      <c r="AY944" s="2" t="n">
        <v>0</v>
      </c>
      <c r="AZ944" s="2" t="n">
        <v>0</v>
      </c>
      <c r="BA944" s="2" t="n">
        <v>0</v>
      </c>
      <c r="BB944" s="2" t="n">
        <v>0</v>
      </c>
      <c r="BC944" s="2" t="n">
        <v>0</v>
      </c>
      <c r="BD944" s="2" t="n">
        <v>0</v>
      </c>
      <c r="BE944" s="2" t="n">
        <v>0</v>
      </c>
      <c r="BF944" s="2" t="n">
        <v>0</v>
      </c>
      <c r="BG944" s="2" t="n">
        <v>0</v>
      </c>
      <c r="BH944" s="2" t="n">
        <v>0</v>
      </c>
      <c r="BI944" s="2" t="n">
        <v>0</v>
      </c>
      <c r="BJ944" s="2" t="n">
        <v>0</v>
      </c>
      <c r="BK944" s="2" t="n">
        <v>0</v>
      </c>
      <c r="BL944" s="2" t="n">
        <v>0</v>
      </c>
      <c r="BM944" s="2" t="n">
        <v>0</v>
      </c>
      <c r="BN944" s="2" t="n">
        <v>0</v>
      </c>
      <c r="BO944" s="2" t="n">
        <v>0</v>
      </c>
      <c r="BP944" s="2" t="n">
        <v>0</v>
      </c>
      <c r="BQ944" s="2" t="n">
        <v>0</v>
      </c>
      <c r="BR944" s="2" t="n">
        <v>0</v>
      </c>
      <c r="BS944" s="2" t="n">
        <v>0</v>
      </c>
      <c r="BT944" s="2" t="n">
        <v>0</v>
      </c>
      <c r="BU944" s="2" t="n">
        <v>0</v>
      </c>
      <c r="BV944" s="2" t="n">
        <v>0</v>
      </c>
      <c r="BW944" s="2" t="n">
        <v>0</v>
      </c>
      <c r="BX944" s="2" t="n">
        <v>0</v>
      </c>
      <c r="BY944" s="2" t="n">
        <v>0</v>
      </c>
      <c r="BZ944" s="2" t="n">
        <v>0</v>
      </c>
      <c r="CA944" s="2" t="n">
        <v>0</v>
      </c>
      <c r="CB944" s="2" t="n">
        <v>0</v>
      </c>
      <c r="CC944" s="2" t="n">
        <v>0</v>
      </c>
      <c r="CD944" s="2" t="n">
        <v>0</v>
      </c>
      <c r="CE944" s="2" t="n">
        <v>0</v>
      </c>
      <c r="CF944" s="2" t="n">
        <v>0</v>
      </c>
      <c r="CG944" s="2" t="n">
        <v>0</v>
      </c>
      <c r="CH944" s="2" t="n">
        <v>0</v>
      </c>
      <c r="CI944" s="2" t="n">
        <v>0</v>
      </c>
      <c r="CJ944" s="2" t="n">
        <v>0</v>
      </c>
      <c r="CK944" s="2" t="n">
        <v>0</v>
      </c>
      <c r="CL944" s="2" t="n">
        <v>0</v>
      </c>
      <c r="CM944" s="2" t="n">
        <v>0</v>
      </c>
      <c r="CN944" s="2" t="n">
        <v>0</v>
      </c>
      <c r="CO944" s="2" t="n">
        <v>0</v>
      </c>
      <c r="CP944" s="2" t="n">
        <v>0</v>
      </c>
      <c r="CQ944" s="2" t="n">
        <v>0</v>
      </c>
      <c r="CR944" s="2" t="n">
        <v>0</v>
      </c>
      <c r="CS944" s="2" t="n">
        <v>0</v>
      </c>
      <c r="CT944" s="2" t="n">
        <v>0</v>
      </c>
      <c r="CU944" s="2" t="n">
        <v>0</v>
      </c>
      <c r="CV944" s="2" t="n">
        <v>0</v>
      </c>
      <c r="CW944" s="2" t="n">
        <v>0</v>
      </c>
      <c r="CX944" s="2" t="n">
        <v>0</v>
      </c>
      <c r="CY944" s="2" t="n">
        <v>0</v>
      </c>
      <c r="CZ944" s="2" t="n">
        <v>0</v>
      </c>
      <c r="DA944" s="2" t="n">
        <v>0</v>
      </c>
      <c r="DB944" s="2" t="n">
        <v>0</v>
      </c>
      <c r="DC944" s="2" t="n">
        <v>0</v>
      </c>
      <c r="DD944" s="2" t="n">
        <v>2.39</v>
      </c>
      <c r="DE944" s="2" t="n">
        <v>3.72</v>
      </c>
      <c r="DF944" s="2" t="n">
        <v>0</v>
      </c>
      <c r="DG944" s="2" t="n">
        <v>7.33</v>
      </c>
      <c r="DH944" s="2" t="n">
        <v>8.69</v>
      </c>
      <c r="DI944" s="2" t="n">
        <v>0</v>
      </c>
      <c r="DJ944" s="2" t="n">
        <v>15.11</v>
      </c>
      <c r="DK944" s="2" t="n">
        <v>17.2</v>
      </c>
      <c r="DL944" s="2" t="n">
        <v>0</v>
      </c>
      <c r="DM944" s="2" t="n">
        <v>24.93</v>
      </c>
      <c r="DN944" s="2" t="n">
        <v>27.03</v>
      </c>
      <c r="DO944" s="2" t="n">
        <v>0</v>
      </c>
      <c r="DP944" s="2" t="n">
        <v>34.76</v>
      </c>
      <c r="DQ944" s="2" t="n">
        <v>36.87</v>
      </c>
      <c r="DR944" s="2" t="n">
        <v>0</v>
      </c>
      <c r="DS944" s="2" t="n">
        <v>45.23</v>
      </c>
      <c r="DT944" s="2" t="n">
        <v>47.65</v>
      </c>
      <c r="DU944" s="2" t="n">
        <v>0</v>
      </c>
      <c r="DV944" s="2" t="n">
        <v>54.08</v>
      </c>
      <c r="DW944" s="2" t="n">
        <v>56.17</v>
      </c>
      <c r="DX944" s="2" t="n">
        <v>0</v>
      </c>
      <c r="DY944" s="2" t="n">
        <v>63.15</v>
      </c>
      <c r="DZ944" s="2" t="n">
        <v>65.51000000000001</v>
      </c>
      <c r="EA944" s="2" t="n">
        <v>0</v>
      </c>
      <c r="EB944" s="2" t="n">
        <v>71.20999999999999</v>
      </c>
      <c r="EC944" s="2" t="n">
        <v>73.67</v>
      </c>
      <c r="ED944" s="2" t="n">
        <v>0</v>
      </c>
      <c r="EE944" s="2" t="n">
        <v>77.59999999999999</v>
      </c>
      <c r="EF944" s="2" t="n">
        <v>80.43000000000001</v>
      </c>
      <c r="EG944" s="2" t="n">
        <v>0</v>
      </c>
      <c r="EH944" s="2" t="n">
        <v>87.22</v>
      </c>
      <c r="EI944" s="2" t="n">
        <v>89.22</v>
      </c>
      <c r="EJ944" s="2" t="n">
        <v>0</v>
      </c>
      <c r="EK944" s="2" t="n">
        <v>94.48</v>
      </c>
      <c r="EL944" s="2" t="n">
        <v>95.56</v>
      </c>
      <c r="EM944" s="2" t="n">
        <v>0</v>
      </c>
      <c r="EN944" s="2" t="n">
        <v>98.19</v>
      </c>
      <c r="EO944" s="2" t="n">
        <v>99.47</v>
      </c>
      <c r="EP944" s="2" t="n">
        <v>0</v>
      </c>
      <c r="EQ944" s="2" t="n">
        <v>100</v>
      </c>
      <c r="ER944" s="2" t="n">
        <v>100</v>
      </c>
      <c r="ES944" s="2" t="n">
        <v>0</v>
      </c>
    </row>
    <row r="945">
      <c r="A945" s="2" t="n">
        <v>2</v>
      </c>
      <c r="B945" s="2" t="inlineStr">
        <is>
          <t>37.04</t>
        </is>
      </c>
      <c r="C945" s="2" t="inlineStr">
        <is>
          <t>Manutenção pós entrega</t>
        </is>
      </c>
      <c r="D945" s="2" t="inlineStr">
        <is>
          <t>26/06/2028</t>
        </is>
      </c>
      <c r="E945" s="2" t="inlineStr">
        <is>
          <t>02/04/2029</t>
        </is>
      </c>
      <c r="F945" s="2" t="n">
        <v>50000</v>
      </c>
      <c r="G945" s="2" t="n">
        <v>0</v>
      </c>
      <c r="H945" s="2" t="n">
        <v>50000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0</v>
      </c>
      <c r="AM945" s="2" t="n">
        <v>0</v>
      </c>
      <c r="AN945" s="2" t="n">
        <v>0</v>
      </c>
      <c r="AO945" s="2" t="n">
        <v>0</v>
      </c>
      <c r="AP945" s="2" t="n">
        <v>0</v>
      </c>
      <c r="AQ945" s="2" t="n">
        <v>0</v>
      </c>
      <c r="AR945" s="2" t="n">
        <v>0</v>
      </c>
      <c r="AS945" s="2" t="n">
        <v>0</v>
      </c>
      <c r="AT945" s="2" t="n">
        <v>0</v>
      </c>
      <c r="AU945" s="2" t="n">
        <v>0</v>
      </c>
      <c r="AV945" s="2" t="n">
        <v>0</v>
      </c>
      <c r="AW945" s="2" t="n">
        <v>0</v>
      </c>
      <c r="AX945" s="2" t="n">
        <v>0</v>
      </c>
      <c r="AY945" s="2" t="n">
        <v>0</v>
      </c>
      <c r="AZ945" s="2" t="n">
        <v>0</v>
      </c>
      <c r="BA945" s="2" t="n">
        <v>0</v>
      </c>
      <c r="BB945" s="2" t="n">
        <v>0</v>
      </c>
      <c r="BC945" s="2" t="n">
        <v>0</v>
      </c>
      <c r="BD945" s="2" t="n">
        <v>0</v>
      </c>
      <c r="BE945" s="2" t="n">
        <v>0</v>
      </c>
      <c r="BF945" s="2" t="n">
        <v>0</v>
      </c>
      <c r="BG945" s="2" t="n">
        <v>0</v>
      </c>
      <c r="BH945" s="2" t="n">
        <v>0</v>
      </c>
      <c r="BI945" s="2" t="n">
        <v>0</v>
      </c>
      <c r="BJ945" s="2" t="n">
        <v>0</v>
      </c>
      <c r="BK945" s="2" t="n">
        <v>0</v>
      </c>
      <c r="BL945" s="2" t="n">
        <v>0</v>
      </c>
      <c r="BM945" s="2" t="n">
        <v>0</v>
      </c>
      <c r="BN945" s="2" t="n">
        <v>0</v>
      </c>
      <c r="BO945" s="2" t="n">
        <v>0</v>
      </c>
      <c r="BP945" s="2" t="n">
        <v>0</v>
      </c>
      <c r="BQ945" s="2" t="n">
        <v>0</v>
      </c>
      <c r="BR945" s="2" t="n">
        <v>0</v>
      </c>
      <c r="BS945" s="2" t="n">
        <v>0</v>
      </c>
      <c r="BT945" s="2" t="n">
        <v>0</v>
      </c>
      <c r="BU945" s="2" t="n">
        <v>0</v>
      </c>
      <c r="BV945" s="2" t="n">
        <v>0</v>
      </c>
      <c r="BW945" s="2" t="n">
        <v>0</v>
      </c>
      <c r="BX945" s="2" t="n">
        <v>0</v>
      </c>
      <c r="BY945" s="2" t="n">
        <v>0</v>
      </c>
      <c r="BZ945" s="2" t="n">
        <v>0</v>
      </c>
      <c r="CA945" s="2" t="n">
        <v>0</v>
      </c>
      <c r="CB945" s="2" t="n">
        <v>0</v>
      </c>
      <c r="CC945" s="2" t="n">
        <v>0</v>
      </c>
      <c r="CD945" s="2" t="n">
        <v>0</v>
      </c>
      <c r="CE945" s="2" t="n">
        <v>0</v>
      </c>
      <c r="CF945" s="2" t="n">
        <v>0</v>
      </c>
      <c r="CG945" s="2" t="n">
        <v>0</v>
      </c>
      <c r="CH945" s="2" t="n">
        <v>0</v>
      </c>
      <c r="CI945" s="2" t="n">
        <v>0</v>
      </c>
      <c r="CJ945" s="2" t="n">
        <v>0</v>
      </c>
      <c r="CK945" s="2" t="n">
        <v>0</v>
      </c>
      <c r="CL945" s="2" t="n">
        <v>0</v>
      </c>
      <c r="CM945" s="2" t="n">
        <v>0</v>
      </c>
      <c r="CN945" s="2" t="n">
        <v>0</v>
      </c>
      <c r="CO945" s="2" t="n">
        <v>0</v>
      </c>
      <c r="CP945" s="2" t="n">
        <v>0</v>
      </c>
      <c r="CQ945" s="2" t="n">
        <v>0</v>
      </c>
      <c r="CR945" s="2" t="n">
        <v>0</v>
      </c>
      <c r="CS945" s="2" t="n">
        <v>0</v>
      </c>
      <c r="CT945" s="2" t="n">
        <v>0</v>
      </c>
      <c r="CU945" s="2" t="n">
        <v>0</v>
      </c>
      <c r="CV945" s="2" t="n">
        <v>0</v>
      </c>
      <c r="CW945" s="2" t="n">
        <v>0</v>
      </c>
      <c r="CX945" s="2" t="n">
        <v>0</v>
      </c>
      <c r="CY945" s="2" t="n">
        <v>0</v>
      </c>
      <c r="CZ945" s="2" t="n">
        <v>0</v>
      </c>
      <c r="DA945" s="2" t="n">
        <v>0</v>
      </c>
      <c r="DB945" s="2" t="n">
        <v>0</v>
      </c>
      <c r="DC945" s="2" t="n">
        <v>0</v>
      </c>
      <c r="DD945" s="2" t="n">
        <v>0</v>
      </c>
      <c r="DE945" s="2" t="n">
        <v>0</v>
      </c>
      <c r="DF945" s="2" t="n">
        <v>0</v>
      </c>
      <c r="DG945" s="2" t="n">
        <v>0</v>
      </c>
      <c r="DH945" s="2" t="n">
        <v>0</v>
      </c>
      <c r="DI945" s="2" t="n">
        <v>0</v>
      </c>
      <c r="DJ945" s="2" t="n">
        <v>0</v>
      </c>
      <c r="DK945" s="2" t="n">
        <v>0</v>
      </c>
      <c r="DL945" s="2" t="n">
        <v>0</v>
      </c>
      <c r="DM945" s="2" t="n">
        <v>7.27</v>
      </c>
      <c r="DN945" s="2" t="n">
        <v>9.09</v>
      </c>
      <c r="DO945" s="2" t="n">
        <v>0</v>
      </c>
      <c r="DP945" s="2" t="n">
        <v>9.09</v>
      </c>
      <c r="DQ945" s="2" t="n">
        <v>9.09</v>
      </c>
      <c r="DR945" s="2" t="n">
        <v>0</v>
      </c>
      <c r="DS945" s="2" t="n">
        <v>9.09</v>
      </c>
      <c r="DT945" s="2" t="n">
        <v>9.09</v>
      </c>
      <c r="DU945" s="2" t="n">
        <v>0</v>
      </c>
      <c r="DV945" s="2" t="n">
        <v>18.18</v>
      </c>
      <c r="DW945" s="2" t="n">
        <v>18.18</v>
      </c>
      <c r="DX945" s="2" t="n">
        <v>0</v>
      </c>
      <c r="DY945" s="2" t="n">
        <v>18.18</v>
      </c>
      <c r="DZ945" s="2" t="n">
        <v>18.18</v>
      </c>
      <c r="EA945" s="2" t="n">
        <v>0</v>
      </c>
      <c r="EB945" s="2" t="n">
        <v>18.18</v>
      </c>
      <c r="EC945" s="2" t="n">
        <v>18.79</v>
      </c>
      <c r="ED945" s="2" t="n">
        <v>0</v>
      </c>
      <c r="EE945" s="2" t="n">
        <v>18.18</v>
      </c>
      <c r="EF945" s="2" t="n">
        <v>27.27</v>
      </c>
      <c r="EG945" s="2" t="n">
        <v>0</v>
      </c>
      <c r="EH945" s="2" t="n">
        <v>27.27</v>
      </c>
      <c r="EI945" s="2" t="n">
        <v>37.58</v>
      </c>
      <c r="EJ945" s="2" t="n">
        <v>0</v>
      </c>
      <c r="EK945" s="2" t="n">
        <v>37.58</v>
      </c>
      <c r="EL945" s="2" t="n">
        <v>61.82</v>
      </c>
      <c r="EM945" s="2" t="n">
        <v>0</v>
      </c>
      <c r="EN945" s="2" t="n">
        <v>87.27</v>
      </c>
      <c r="EO945" s="2" t="n">
        <v>99.39</v>
      </c>
      <c r="EP945" s="2" t="n">
        <v>0</v>
      </c>
      <c r="EQ945" s="2" t="n">
        <v>100</v>
      </c>
      <c r="ER945" s="2" t="n">
        <v>100</v>
      </c>
      <c r="ES945" s="2" t="n">
        <v>0</v>
      </c>
    </row>
    <row r="946">
      <c r="A946" s="2" t="n">
        <v>3</v>
      </c>
      <c r="B946" s="2" t="inlineStr">
        <is>
          <t>37.04.01</t>
        </is>
      </c>
      <c r="C946" s="2" t="inlineStr">
        <is>
          <t>&lt;html&gt;Assitência pós obra e manutenção - estimativa % &lt;b&gt;- A Assistência pós obra consiste no auxílio técnico fornecido ao condomínio nas etapas iniciais de operação do edifício. Exemplos: orientações quanto a dutos e caixas a utilizar para passagem de cabos de internet e TV a cabo, orientação quanto a quadros elétricos e circuitos disponíveis para ligação de ar condicionado e sistemas auxiliares a implementar. &lt;/b&gt;&lt;/html&gt;</t>
        </is>
      </c>
      <c r="D946" s="2" t="inlineStr">
        <is>
          <t>26/06/2028</t>
        </is>
      </c>
      <c r="E946" s="2" t="inlineStr">
        <is>
          <t>02/04/2029</t>
        </is>
      </c>
      <c r="F946" s="2" t="n">
        <v>50000</v>
      </c>
      <c r="G946" s="2" t="n">
        <v>0</v>
      </c>
      <c r="H946" s="2" t="n">
        <v>50000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2" t="n">
        <v>0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n">
        <v>0</v>
      </c>
      <c r="AK946" s="2" t="n">
        <v>0</v>
      </c>
      <c r="AL946" s="2" t="n">
        <v>0</v>
      </c>
      <c r="AM946" s="2" t="n">
        <v>0</v>
      </c>
      <c r="AN946" s="2" t="n">
        <v>0</v>
      </c>
      <c r="AO946" s="2" t="n">
        <v>0</v>
      </c>
      <c r="AP946" s="2" t="n">
        <v>0</v>
      </c>
      <c r="AQ946" s="2" t="n">
        <v>0</v>
      </c>
      <c r="AR946" s="2" t="n">
        <v>0</v>
      </c>
      <c r="AS946" s="2" t="n">
        <v>0</v>
      </c>
      <c r="AT946" s="2" t="n">
        <v>0</v>
      </c>
      <c r="AU946" s="2" t="n">
        <v>0</v>
      </c>
      <c r="AV946" s="2" t="n">
        <v>0</v>
      </c>
      <c r="AW946" s="2" t="n">
        <v>0</v>
      </c>
      <c r="AX946" s="2" t="n">
        <v>0</v>
      </c>
      <c r="AY946" s="2" t="n">
        <v>0</v>
      </c>
      <c r="AZ946" s="2" t="n">
        <v>0</v>
      </c>
      <c r="BA946" s="2" t="n">
        <v>0</v>
      </c>
      <c r="BB946" s="2" t="n">
        <v>0</v>
      </c>
      <c r="BC946" s="2" t="n">
        <v>0</v>
      </c>
      <c r="BD946" s="2" t="n">
        <v>0</v>
      </c>
      <c r="BE946" s="2" t="n">
        <v>0</v>
      </c>
      <c r="BF946" s="2" t="n">
        <v>0</v>
      </c>
      <c r="BG946" s="2" t="n">
        <v>0</v>
      </c>
      <c r="BH946" s="2" t="n">
        <v>0</v>
      </c>
      <c r="BI946" s="2" t="n">
        <v>0</v>
      </c>
      <c r="BJ946" s="2" t="n">
        <v>0</v>
      </c>
      <c r="BK946" s="2" t="n">
        <v>0</v>
      </c>
      <c r="BL946" s="2" t="n">
        <v>0</v>
      </c>
      <c r="BM946" s="2" t="n">
        <v>0</v>
      </c>
      <c r="BN946" s="2" t="n">
        <v>0</v>
      </c>
      <c r="BO946" s="2" t="n">
        <v>0</v>
      </c>
      <c r="BP946" s="2" t="n">
        <v>0</v>
      </c>
      <c r="BQ946" s="2" t="n">
        <v>0</v>
      </c>
      <c r="BR946" s="2" t="n">
        <v>0</v>
      </c>
      <c r="BS946" s="2" t="n">
        <v>0</v>
      </c>
      <c r="BT946" s="2" t="n">
        <v>0</v>
      </c>
      <c r="BU946" s="2" t="n">
        <v>0</v>
      </c>
      <c r="BV946" s="2" t="n">
        <v>0</v>
      </c>
      <c r="BW946" s="2" t="n">
        <v>0</v>
      </c>
      <c r="BX946" s="2" t="n">
        <v>0</v>
      </c>
      <c r="BY946" s="2" t="n">
        <v>0</v>
      </c>
      <c r="BZ946" s="2" t="n">
        <v>0</v>
      </c>
      <c r="CA946" s="2" t="n">
        <v>0</v>
      </c>
      <c r="CB946" s="2" t="n">
        <v>0</v>
      </c>
      <c r="CC946" s="2" t="n">
        <v>0</v>
      </c>
      <c r="CD946" s="2" t="n">
        <v>0</v>
      </c>
      <c r="CE946" s="2" t="n">
        <v>0</v>
      </c>
      <c r="CF946" s="2" t="n">
        <v>0</v>
      </c>
      <c r="CG946" s="2" t="n">
        <v>0</v>
      </c>
      <c r="CH946" s="2" t="n">
        <v>0</v>
      </c>
      <c r="CI946" s="2" t="n">
        <v>0</v>
      </c>
      <c r="CJ946" s="2" t="n">
        <v>0</v>
      </c>
      <c r="CK946" s="2" t="n">
        <v>0</v>
      </c>
      <c r="CL946" s="2" t="n">
        <v>0</v>
      </c>
      <c r="CM946" s="2" t="n">
        <v>0</v>
      </c>
      <c r="CN946" s="2" t="n">
        <v>0</v>
      </c>
      <c r="CO946" s="2" t="n">
        <v>0</v>
      </c>
      <c r="CP946" s="2" t="n">
        <v>0</v>
      </c>
      <c r="CQ946" s="2" t="n">
        <v>0</v>
      </c>
      <c r="CR946" s="2" t="n">
        <v>0</v>
      </c>
      <c r="CS946" s="2" t="n">
        <v>0</v>
      </c>
      <c r="CT946" s="2" t="n">
        <v>0</v>
      </c>
      <c r="CU946" s="2" t="n">
        <v>0</v>
      </c>
      <c r="CV946" s="2" t="n">
        <v>0</v>
      </c>
      <c r="CW946" s="2" t="n">
        <v>0</v>
      </c>
      <c r="CX946" s="2" t="n">
        <v>0</v>
      </c>
      <c r="CY946" s="2" t="n">
        <v>0</v>
      </c>
      <c r="CZ946" s="2" t="n">
        <v>0</v>
      </c>
      <c r="DA946" s="2" t="n">
        <v>0</v>
      </c>
      <c r="DB946" s="2" t="n">
        <v>0</v>
      </c>
      <c r="DC946" s="2" t="n">
        <v>0</v>
      </c>
      <c r="DD946" s="2" t="n">
        <v>0</v>
      </c>
      <c r="DE946" s="2" t="n">
        <v>0</v>
      </c>
      <c r="DF946" s="2" t="n">
        <v>0</v>
      </c>
      <c r="DG946" s="2" t="n">
        <v>0</v>
      </c>
      <c r="DH946" s="2" t="n">
        <v>0</v>
      </c>
      <c r="DI946" s="2" t="n">
        <v>0</v>
      </c>
      <c r="DJ946" s="2" t="n">
        <v>0</v>
      </c>
      <c r="DK946" s="2" t="n">
        <v>0</v>
      </c>
      <c r="DL946" s="2" t="n">
        <v>0</v>
      </c>
      <c r="DM946" s="2" t="n">
        <v>7.27</v>
      </c>
      <c r="DN946" s="2" t="n">
        <v>9.09</v>
      </c>
      <c r="DO946" s="2" t="n">
        <v>0</v>
      </c>
      <c r="DP946" s="2" t="n">
        <v>9.09</v>
      </c>
      <c r="DQ946" s="2" t="n">
        <v>9.09</v>
      </c>
      <c r="DR946" s="2" t="n">
        <v>0</v>
      </c>
      <c r="DS946" s="2" t="n">
        <v>9.09</v>
      </c>
      <c r="DT946" s="2" t="n">
        <v>9.09</v>
      </c>
      <c r="DU946" s="2" t="n">
        <v>0</v>
      </c>
      <c r="DV946" s="2" t="n">
        <v>18.18</v>
      </c>
      <c r="DW946" s="2" t="n">
        <v>18.18</v>
      </c>
      <c r="DX946" s="2" t="n">
        <v>0</v>
      </c>
      <c r="DY946" s="2" t="n">
        <v>18.18</v>
      </c>
      <c r="DZ946" s="2" t="n">
        <v>18.18</v>
      </c>
      <c r="EA946" s="2" t="n">
        <v>0</v>
      </c>
      <c r="EB946" s="2" t="n">
        <v>18.18</v>
      </c>
      <c r="EC946" s="2" t="n">
        <v>18.79</v>
      </c>
      <c r="ED946" s="2" t="n">
        <v>0</v>
      </c>
      <c r="EE946" s="2" t="n">
        <v>18.18</v>
      </c>
      <c r="EF946" s="2" t="n">
        <v>27.27</v>
      </c>
      <c r="EG946" s="2" t="n">
        <v>0</v>
      </c>
      <c r="EH946" s="2" t="n">
        <v>27.27</v>
      </c>
      <c r="EI946" s="2" t="n">
        <v>37.58</v>
      </c>
      <c r="EJ946" s="2" t="n">
        <v>0</v>
      </c>
      <c r="EK946" s="2" t="n">
        <v>37.58</v>
      </c>
      <c r="EL946" s="2" t="n">
        <v>61.82</v>
      </c>
      <c r="EM946" s="2" t="n">
        <v>0</v>
      </c>
      <c r="EN946" s="2" t="n">
        <v>87.27</v>
      </c>
      <c r="EO946" s="2" t="n">
        <v>99.39</v>
      </c>
      <c r="EP946" s="2" t="n">
        <v>0</v>
      </c>
      <c r="EQ946" s="2" t="n">
        <v>100</v>
      </c>
      <c r="ER946" s="2" t="n">
        <v>100</v>
      </c>
      <c r="ES946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AA6004"/>
  <sheetViews>
    <sheetView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3" max="3"/>
    <col width="28" customWidth="1" min="5" max="5"/>
    <col width="6" customWidth="1" min="13" max="13"/>
    <col width="7" customWidth="1" min="14" max="14"/>
    <col width="15" customWidth="1" min="15" max="15"/>
    <col width="2" customWidth="1" min="16" max="16"/>
    <col width="2" customWidth="1" min="17" max="17"/>
    <col width="44" customWidth="1" min="18" max="18"/>
    <col width="6" customWidth="1" min="19" max="19"/>
    <col width="30" customWidth="1" min="20" max="20"/>
    <col width="8" customWidth="1" min="21" max="21"/>
    <col width="8" customWidth="1" min="22" max="22"/>
    <col width="10" customWidth="1" min="23" max="23"/>
    <col width="10" customWidth="1" min="24" max="24"/>
    <col width="10" customWidth="1" min="25" max="25"/>
    <col width="10" customWidth="1" min="26" max="26"/>
    <col width="60" customWidth="1" min="27" max="27"/>
  </cols>
  <sheetData>
    <row r="1">
      <c r="A1" s="4" t="inlineStr">
        <is>
          <t xml:space="preserve">Projeto Botânico </t>
        </is>
      </c>
      <c r="M1" s="123" t="inlineStr">
        <is>
          <t>CÁLCULO (não editar) — situação de cada atividade na data do retrato</t>
        </is>
      </c>
    </row>
    <row r="2">
      <c r="A2" s="4" t="inlineStr">
        <is>
          <t>Planilha Gerada Em 24/09/2026</t>
        </is>
      </c>
      <c r="M2" s="2" t="inlineStr">
        <is>
          <t>Pacotes sem de-para →</t>
        </is>
      </c>
      <c r="O2" s="69">
        <f>COUNTIF(M5:M6004,"?")</f>
        <v/>
      </c>
    </row>
    <row r="3">
      <c r="I3" s="4" t="inlineStr">
        <is>
          <t>Avanço físico (%)</t>
        </is>
      </c>
      <c r="M3" s="5">
        <f>"Data do retrato: "&amp;TEXT('RETRATO 2027'!$K$5,"dd/mm/yyyy")</f>
        <v/>
      </c>
      <c r="R3" s="3" t="inlineStr">
        <is>
          <t>DE-PARA: PACOTE DO PREVISION → PL (edite as colunas azuis; PL vazio = pacote ignorado)</t>
        </is>
      </c>
    </row>
    <row r="4" ht="32" customHeight="1">
      <c r="B4" s="4" t="inlineStr">
        <is>
          <t>ID</t>
        </is>
      </c>
      <c r="C4" s="4" t="inlineStr">
        <is>
          <t>Pacote de trabalho/tarefas</t>
        </is>
      </c>
      <c r="D4" s="4" t="inlineStr">
        <is>
          <t>Serviço</t>
        </is>
      </c>
      <c r="E4" s="4" t="inlineStr">
        <is>
          <t>Lote</t>
        </is>
      </c>
      <c r="F4" s="4" t="inlineStr">
        <is>
          <t>Data de Início</t>
        </is>
      </c>
      <c r="G4" s="4" t="inlineStr">
        <is>
          <t>Data de Término</t>
        </is>
      </c>
      <c r="H4" s="4" t="inlineStr">
        <is>
          <t>Data de referência</t>
        </is>
      </c>
      <c r="I4" s="4" t="inlineStr">
        <is>
          <t>Base</t>
        </is>
      </c>
      <c r="J4" s="4" t="inlineStr">
        <is>
          <t>Previsto</t>
        </is>
      </c>
      <c r="K4" s="4" t="inlineStr">
        <is>
          <t>Realizado</t>
        </is>
      </c>
      <c r="M4" s="58" t="inlineStr">
        <is>
          <t>PL</t>
        </is>
      </c>
      <c r="N4" s="58" t="inlineStr">
        <is>
          <t>Nº pav.</t>
        </is>
      </c>
      <c r="O4" s="58" t="inlineStr">
        <is>
          <t>Situação na data</t>
        </is>
      </c>
      <c r="R4" s="58" t="inlineStr">
        <is>
          <t>Pacote de trabalho (Prevision)</t>
        </is>
      </c>
      <c r="S4" s="58" t="inlineStr">
        <is>
          <t>PL</t>
        </is>
      </c>
      <c r="T4" s="58" t="inlineStr">
        <is>
          <t>Rótulo nas observações</t>
        </is>
      </c>
      <c r="U4" s="58" t="inlineStr">
        <is>
          <t>Exibir?</t>
        </is>
      </c>
      <c r="V4" s="58" t="inlineStr">
        <is>
          <t>Nº ativ.</t>
        </is>
      </c>
      <c r="W4" s="58" t="inlineStr">
        <is>
          <t>Concluídas</t>
        </is>
      </c>
      <c r="X4" s="58" t="inlineStr">
        <is>
          <t>Em execução</t>
        </is>
      </c>
      <c r="Y4" s="58" t="inlineStr">
        <is>
          <t>Maior pav.
concluído</t>
        </is>
      </c>
      <c r="Z4" s="58" t="inlineStr">
        <is>
          <t>Maior pav.
em execução</t>
        </is>
      </c>
      <c r="AA4" s="58" t="inlineStr">
        <is>
          <t>Texto (observação)</t>
        </is>
      </c>
    </row>
    <row r="5">
      <c r="B5" s="4" t="n">
        <v>33897908</v>
      </c>
      <c r="C5" s="4" t="inlineStr">
        <is>
          <t>LOCAÇÃO DE OBRA</t>
        </is>
      </c>
      <c r="D5" s="4" t="inlineStr">
        <is>
          <t>-</t>
        </is>
      </c>
      <c r="E5" s="4" t="inlineStr">
        <is>
          <t>SERVIÇOS INICIAIS</t>
        </is>
      </c>
      <c r="F5" s="126" t="n">
        <v>45831</v>
      </c>
      <c r="G5" s="126" t="n">
        <v>45842</v>
      </c>
      <c r="H5" s="126" t="n">
        <v>46289</v>
      </c>
      <c r="I5" s="4" t="n">
        <v>100</v>
      </c>
      <c r="J5" s="4" t="n">
        <v>100</v>
      </c>
      <c r="K5" s="4" t="n">
        <v>100</v>
      </c>
      <c r="M5" s="2">
        <f>IF(C5="","",IFERROR(INDEX($S$5:$S$304,MATCH(C5,$R$5:$R$304,0))&amp;"","?"))</f>
        <v/>
      </c>
      <c r="N5" s="2">
        <f>IF(E5="","",IF(ISNUMBER(SEARCH("SUBSOLO",E5)),IFERROR(-VALUE(LEFT(E5,FIND("º",SUBSTITUTE(E5,"°","º"))-1)),-1),IF(LEFT(E5,6)="TÉRREO",0,IFERROR(VALUE(LEFT(E5,FIND("º",SUBSTITUTE(E5,"°","º"))-1)),""))))</f>
        <v/>
      </c>
      <c r="O5" s="2">
        <f>IF(OR(F5="",G5=""),"",IF(G5&lt;='RETRATO 2027'!$K$5,"CONCLUÍDA",IF(F5&lt;='RETRATO 2027'!$K$5,"EM ANDAMENTO","A INICIAR")))</f>
        <v/>
      </c>
      <c r="R5" s="4" t="inlineStr">
        <is>
          <t>LOCAÇÃO DE OBRA</t>
        </is>
      </c>
      <c r="S5" s="4" t="inlineStr">
        <is>
          <t>12</t>
        </is>
      </c>
      <c r="T5" s="4" t="inlineStr">
        <is>
          <t>Locação de obra</t>
        </is>
      </c>
      <c r="U5" s="4" t="inlineStr">
        <is>
          <t>SIM</t>
        </is>
      </c>
      <c r="V5" s="2">
        <f>IF(R5="","",COUNTIF($C$5:$C$6004,R5))</f>
        <v/>
      </c>
      <c r="W5" s="2">
        <f>IF(R5="","",COUNTIFS($C$5:$C$6004,R5,$O$5:$O$6004,"CONCLUÍDA"))</f>
        <v/>
      </c>
      <c r="X5" s="2">
        <f>IF(R5="","",COUNTIFS($C$5:$C$6004,R5,$O$5:$O$6004,"EM ANDAMENTO"))</f>
        <v/>
      </c>
      <c r="Y5" s="2">
        <f>IF(R5="","",IF(COUNTIFS($C$5:$C$6004,R5,$O$5:$O$6004,"CONCLUÍDA",$N$5:$N$6004,"&gt;=-99")=0,"",_xlfn.MAXIFS($N$5:$N$6004,$C$5:$C$6004,R5,$O$5:$O$6004,"CONCLUÍDA")))</f>
        <v/>
      </c>
      <c r="Z5" s="2">
        <f>IF(R5="","",IF(COUNTIFS($C$5:$C$6004,R5,$O$5:$O$6004,"EM ANDAMENTO",$N$5:$N$6004,"&gt;=-99")=0,"",_xlfn.MAXIFS($N$5:$N$6004,$C$5:$C$6004,R5,$O$5:$O$6004,"EM ANDAMENTO")))</f>
        <v/>
      </c>
      <c r="AA5" s="2">
        <f>IF(OR(R5="",S5="",U5&lt;&gt;"SIM",V5=0),"",IF(W5+X5=0,"",T5&amp;": "&amp;IF(W5=V5,"concluído",IF(W5=0,"em execução"&amp;IF(Z5&lt;&gt;""," ("&amp;IF(Z5&lt;0,IF(COUNTIF($E$5:$E$6004,"SUBSOLO*")&gt;0,"subsolo",-Z5&amp;"º subsolo"),IF(Z5=0,"térreo",Z5&amp;"º pav."))&amp;")",""),IF(Y5&lt;&gt;"","até "&amp;IF(Y5&lt;0,IF(COUNTIF($E$5:$E$6004,"SUBSOLO*")&gt;0,"subsolo",-Y5&amp;"º subsolo"),IF(Y5=0,"térreo",Y5&amp;"º pav.")),W5&amp;" de "&amp;V5&amp;" concluídas")&amp;IF(Z5="","",IF(OR(Y5="",Z5&gt;Y5),", executando "&amp;IF(Z5&lt;0,IF(COUNTIF($E$5:$E$6004,"SUBSOLO*")&gt;0,"subsolo",-Z5&amp;"º subsolo"),IF(Z5=0,"térreo",Z5&amp;"º pav."))," (restam serviços no "&amp;IF(Z5&lt;0,IF(COUNTIF($E$5:$E$6004,"SUBSOLO*")&gt;0,"subsolo",-Z5&amp;"º subsolo"),IF(Z5=0,"térreo",Z5&amp;"º pav."))&amp;")"))))))</f>
        <v/>
      </c>
    </row>
    <row r="6">
      <c r="B6" s="4" t="n">
        <v>33897907</v>
      </c>
      <c r="C6" s="4" t="inlineStr">
        <is>
          <t>DEMOLIÇÃO</t>
        </is>
      </c>
      <c r="D6" s="4" t="inlineStr">
        <is>
          <t>-</t>
        </is>
      </c>
      <c r="E6" s="4" t="inlineStr">
        <is>
          <t>SERVIÇOS INICIAIS</t>
        </is>
      </c>
      <c r="F6" s="126" t="n">
        <v>45845</v>
      </c>
      <c r="G6" s="126" t="n">
        <v>45863</v>
      </c>
      <c r="H6" s="126" t="n">
        <v>46289</v>
      </c>
      <c r="I6" s="4" t="n">
        <v>100</v>
      </c>
      <c r="J6" s="4" t="n">
        <v>100</v>
      </c>
      <c r="K6" s="4" t="n">
        <v>100</v>
      </c>
      <c r="M6" s="2">
        <f>IF(C6="","",IFERROR(INDEX($S$5:$S$304,MATCH(C6,$R$5:$R$304,0))&amp;"","?"))</f>
        <v/>
      </c>
      <c r="N6" s="2">
        <f>IF(E6="","",IF(ISNUMBER(SEARCH("SUBSOLO",E6)),IFERROR(-VALUE(LEFT(E6,FIND("º",SUBSTITUTE(E6,"°","º"))-1)),-1),IF(LEFT(E6,6)="TÉRREO",0,IFERROR(VALUE(LEFT(E6,FIND("º",SUBSTITUTE(E6,"°","º"))-1)),""))))</f>
        <v/>
      </c>
      <c r="O6" s="2">
        <f>IF(OR(F6="",G6=""),"",IF(G6&lt;='RETRATO 2027'!$K$5,"CONCLUÍDA",IF(F6&lt;='RETRATO 2027'!$K$5,"EM ANDAMENTO","A INICIAR")))</f>
        <v/>
      </c>
      <c r="R6" s="4" t="inlineStr">
        <is>
          <t>DEMOLIÇÃO</t>
        </is>
      </c>
      <c r="S6" s="4" t="inlineStr">
        <is>
          <t>12</t>
        </is>
      </c>
      <c r="T6" s="4" t="inlineStr">
        <is>
          <t>Demolição</t>
        </is>
      </c>
      <c r="U6" s="4" t="inlineStr">
        <is>
          <t>SIM</t>
        </is>
      </c>
      <c r="V6" s="2">
        <f>IF(R6="","",COUNTIF($C$5:$C$6004,R6))</f>
        <v/>
      </c>
      <c r="W6" s="2">
        <f>IF(R6="","",COUNTIFS($C$5:$C$6004,R6,$O$5:$O$6004,"CONCLUÍDA"))</f>
        <v/>
      </c>
      <c r="X6" s="2">
        <f>IF(R6="","",COUNTIFS($C$5:$C$6004,R6,$O$5:$O$6004,"EM ANDAMENTO"))</f>
        <v/>
      </c>
      <c r="Y6" s="2">
        <f>IF(R6="","",IF(COUNTIFS($C$5:$C$6004,R6,$O$5:$O$6004,"CONCLUÍDA",$N$5:$N$6004,"&gt;=-99")=0,"",_xlfn.MAXIFS($N$5:$N$6004,$C$5:$C$6004,R6,$O$5:$O$6004,"CONCLUÍDA")))</f>
        <v/>
      </c>
      <c r="Z6" s="2">
        <f>IF(R6="","",IF(COUNTIFS($C$5:$C$6004,R6,$O$5:$O$6004,"EM ANDAMENTO",$N$5:$N$6004,"&gt;=-99")=0,"",_xlfn.MAXIFS($N$5:$N$6004,$C$5:$C$6004,R6,$O$5:$O$6004,"EM ANDAMENTO")))</f>
        <v/>
      </c>
      <c r="AA6" s="2">
        <f>IF(OR(R6="",S6="",U6&lt;&gt;"SIM",V6=0),"",IF(W6+X6=0,"",T6&amp;": "&amp;IF(W6=V6,"concluído",IF(W6=0,"em execução"&amp;IF(Z6&lt;&gt;""," ("&amp;IF(Z6&lt;0,IF(COUNTIF($E$5:$E$6004,"SUBSOLO*")&gt;0,"subsolo",-Z6&amp;"º subsolo"),IF(Z6=0,"térreo",Z6&amp;"º pav."))&amp;")",""),IF(Y6&lt;&gt;"","até "&amp;IF(Y6&lt;0,IF(COUNTIF($E$5:$E$6004,"SUBSOLO*")&gt;0,"subsolo",-Y6&amp;"º subsolo"),IF(Y6=0,"térreo",Y6&amp;"º pav.")),W6&amp;" de "&amp;V6&amp;" concluídas")&amp;IF(Z6="","",IF(OR(Y6="",Z6&gt;Y6),", executando "&amp;IF(Z6&lt;0,IF(COUNTIF($E$5:$E$6004,"SUBSOLO*")&gt;0,"subsolo",-Z6&amp;"º subsolo"),IF(Z6=0,"térreo",Z6&amp;"º pav."))," (restam serviços no "&amp;IF(Z6&lt;0,IF(COUNTIF($E$5:$E$6004,"SUBSOLO*")&gt;0,"subsolo",-Z6&amp;"º subsolo"),IF(Z6=0,"térreo",Z6&amp;"º pav."))&amp;")"))))))</f>
        <v/>
      </c>
    </row>
    <row r="7">
      <c r="B7" s="4" t="n">
        <v>29933153</v>
      </c>
      <c r="C7" s="4" t="inlineStr">
        <is>
          <t>CONTENÇÕES EM ESTACAS</t>
        </is>
      </c>
      <c r="D7" s="4" t="inlineStr">
        <is>
          <t>-</t>
        </is>
      </c>
      <c r="E7" s="4" t="inlineStr">
        <is>
          <t>SERVIÇOS INICIAIS</t>
        </is>
      </c>
      <c r="F7" s="126" t="n">
        <v>45859</v>
      </c>
      <c r="G7" s="126" t="n">
        <v>45883</v>
      </c>
      <c r="H7" s="126" t="n">
        <v>46289</v>
      </c>
      <c r="I7" s="4" t="n">
        <v>100</v>
      </c>
      <c r="J7" s="4" t="n">
        <v>100</v>
      </c>
      <c r="K7" s="4" t="n">
        <v>97</v>
      </c>
      <c r="M7" s="2">
        <f>IF(C7="","",IFERROR(INDEX($S$5:$S$304,MATCH(C7,$R$5:$R$304,0))&amp;"","?"))</f>
        <v/>
      </c>
      <c r="N7" s="2">
        <f>IF(E7="","",IF(ISNUMBER(SEARCH("SUBSOLO",E7)),IFERROR(-VALUE(LEFT(E7,FIND("º",SUBSTITUTE(E7,"°","º"))-1)),-1),IF(LEFT(E7,6)="TÉRREO",0,IFERROR(VALUE(LEFT(E7,FIND("º",SUBSTITUTE(E7,"°","º"))-1)),""))))</f>
        <v/>
      </c>
      <c r="O7" s="2">
        <f>IF(OR(F7="",G7=""),"",IF(G7&lt;='RETRATO 2027'!$K$5,"CONCLUÍDA",IF(F7&lt;='RETRATO 2027'!$K$5,"EM ANDAMENTO","A INICIAR")))</f>
        <v/>
      </c>
      <c r="R7" s="4" t="inlineStr">
        <is>
          <t>CONTENÇÕES EM ESTACAS</t>
        </is>
      </c>
      <c r="S7" s="4" t="inlineStr">
        <is>
          <t>13</t>
        </is>
      </c>
      <c r="T7" s="4" t="inlineStr">
        <is>
          <t>Contenções em estacas</t>
        </is>
      </c>
      <c r="U7" s="4" t="inlineStr">
        <is>
          <t>SIM</t>
        </is>
      </c>
      <c r="V7" s="2">
        <f>IF(R7="","",COUNTIF($C$5:$C$6004,R7))</f>
        <v/>
      </c>
      <c r="W7" s="2">
        <f>IF(R7="","",COUNTIFS($C$5:$C$6004,R7,$O$5:$O$6004,"CONCLUÍDA"))</f>
        <v/>
      </c>
      <c r="X7" s="2">
        <f>IF(R7="","",COUNTIFS($C$5:$C$6004,R7,$O$5:$O$6004,"EM ANDAMENTO"))</f>
        <v/>
      </c>
      <c r="Y7" s="2">
        <f>IF(R7="","",IF(COUNTIFS($C$5:$C$6004,R7,$O$5:$O$6004,"CONCLUÍDA",$N$5:$N$6004,"&gt;=-99")=0,"",_xlfn.MAXIFS($N$5:$N$6004,$C$5:$C$6004,R7,$O$5:$O$6004,"CONCLUÍDA")))</f>
        <v/>
      </c>
      <c r="Z7" s="2">
        <f>IF(R7="","",IF(COUNTIFS($C$5:$C$6004,R7,$O$5:$O$6004,"EM ANDAMENTO",$N$5:$N$6004,"&gt;=-99")=0,"",_xlfn.MAXIFS($N$5:$N$6004,$C$5:$C$6004,R7,$O$5:$O$6004,"EM ANDAMENTO")))</f>
        <v/>
      </c>
      <c r="AA7" s="2">
        <f>IF(OR(R7="",S7="",U7&lt;&gt;"SIM",V7=0),"",IF(W7+X7=0,"",T7&amp;": "&amp;IF(W7=V7,"concluído",IF(W7=0,"em execução"&amp;IF(Z7&lt;&gt;""," ("&amp;IF(Z7&lt;0,IF(COUNTIF($E$5:$E$6004,"SUBSOLO*")&gt;0,"subsolo",-Z7&amp;"º subsolo"),IF(Z7=0,"térreo",Z7&amp;"º pav."))&amp;")",""),IF(Y7&lt;&gt;"","até "&amp;IF(Y7&lt;0,IF(COUNTIF($E$5:$E$6004,"SUBSOLO*")&gt;0,"subsolo",-Y7&amp;"º subsolo"),IF(Y7=0,"térreo",Y7&amp;"º pav.")),W7&amp;" de "&amp;V7&amp;" concluídas")&amp;IF(Z7="","",IF(OR(Y7="",Z7&gt;Y7),", executando "&amp;IF(Z7&lt;0,IF(COUNTIF($E$5:$E$6004,"SUBSOLO*")&gt;0,"subsolo",-Z7&amp;"º subsolo"),IF(Z7=0,"térreo",Z7&amp;"º pav."))," (restam serviços no "&amp;IF(Z7&lt;0,IF(COUNTIF($E$5:$E$6004,"SUBSOLO*")&gt;0,"subsolo",-Z7&amp;"º subsolo"),IF(Z7=0,"térreo",Z7&amp;"º pav."))&amp;")"))))))</f>
        <v/>
      </c>
    </row>
    <row r="8">
      <c r="B8" s="4" t="n">
        <v>33143217</v>
      </c>
      <c r="C8" s="4" t="inlineStr">
        <is>
          <t>VIGA DE COROAMENTO (TRECHO - CENTRAL DE POLÍMEROS)</t>
        </is>
      </c>
      <c r="D8" s="4" t="inlineStr">
        <is>
          <t>-</t>
        </is>
      </c>
      <c r="E8" s="4" t="inlineStr">
        <is>
          <t>SERVIÇOS INICIAIS</t>
        </is>
      </c>
      <c r="F8" s="126" t="n">
        <v>45901</v>
      </c>
      <c r="G8" s="126" t="n">
        <v>45918</v>
      </c>
      <c r="H8" s="126" t="n">
        <v>46289</v>
      </c>
      <c r="I8" s="4" t="n">
        <v>100</v>
      </c>
      <c r="J8" s="4" t="n">
        <v>100</v>
      </c>
      <c r="K8" s="4" t="n">
        <v>100</v>
      </c>
      <c r="M8" s="2">
        <f>IF(C8="","",IFERROR(INDEX($S$5:$S$304,MATCH(C8,$R$5:$R$304,0))&amp;"","?"))</f>
        <v/>
      </c>
      <c r="N8" s="2">
        <f>IF(E8="","",IF(ISNUMBER(SEARCH("SUBSOLO",E8)),IFERROR(-VALUE(LEFT(E8,FIND("º",SUBSTITUTE(E8,"°","º"))-1)),-1),IF(LEFT(E8,6)="TÉRREO",0,IFERROR(VALUE(LEFT(E8,FIND("º",SUBSTITUTE(E8,"°","º"))-1)),""))))</f>
        <v/>
      </c>
      <c r="O8" s="2">
        <f>IF(OR(F8="",G8=""),"",IF(G8&lt;='RETRATO 2027'!$K$5,"CONCLUÍDA",IF(F8&lt;='RETRATO 2027'!$K$5,"EM ANDAMENTO","A INICIAR")))</f>
        <v/>
      </c>
      <c r="R8" s="4" t="inlineStr">
        <is>
          <t>VIGA DE COROAMENTO (TRECHO - CENTRAL DE POLÍMEROS)</t>
        </is>
      </c>
      <c r="S8" s="4" t="inlineStr">
        <is>
          <t>15</t>
        </is>
      </c>
      <c r="T8" s="4" t="inlineStr">
        <is>
          <t>Viga de coroamento (trecho - central de polímeros)</t>
        </is>
      </c>
      <c r="U8" s="4" t="inlineStr">
        <is>
          <t>NÃO</t>
        </is>
      </c>
      <c r="V8" s="2">
        <f>IF(R8="","",COUNTIF($C$5:$C$6004,R8))</f>
        <v/>
      </c>
      <c r="W8" s="2">
        <f>IF(R8="","",COUNTIFS($C$5:$C$6004,R8,$O$5:$O$6004,"CONCLUÍDA"))</f>
        <v/>
      </c>
      <c r="X8" s="2">
        <f>IF(R8="","",COUNTIFS($C$5:$C$6004,R8,$O$5:$O$6004,"EM ANDAMENTO"))</f>
        <v/>
      </c>
      <c r="Y8" s="2">
        <f>IF(R8="","",IF(COUNTIFS($C$5:$C$6004,R8,$O$5:$O$6004,"CONCLUÍDA",$N$5:$N$6004,"&gt;=-99")=0,"",_xlfn.MAXIFS($N$5:$N$6004,$C$5:$C$6004,R8,$O$5:$O$6004,"CONCLUÍDA")))</f>
        <v/>
      </c>
      <c r="Z8" s="2">
        <f>IF(R8="","",IF(COUNTIFS($C$5:$C$6004,R8,$O$5:$O$6004,"EM ANDAMENTO",$N$5:$N$6004,"&gt;=-99")=0,"",_xlfn.MAXIFS($N$5:$N$6004,$C$5:$C$6004,R8,$O$5:$O$6004,"EM ANDAMENTO")))</f>
        <v/>
      </c>
      <c r="AA8" s="2">
        <f>IF(OR(R8="",S8="",U8&lt;&gt;"SIM",V8=0),"",IF(W8+X8=0,"",T8&amp;": "&amp;IF(W8=V8,"concluído",IF(W8=0,"em execução"&amp;IF(Z8&lt;&gt;""," ("&amp;IF(Z8&lt;0,IF(COUNTIF($E$5:$E$6004,"SUBSOLO*")&gt;0,"subsolo",-Z8&amp;"º subsolo"),IF(Z8=0,"térreo",Z8&amp;"º pav."))&amp;")",""),IF(Y8&lt;&gt;"","até "&amp;IF(Y8&lt;0,IF(COUNTIF($E$5:$E$6004,"SUBSOLO*")&gt;0,"subsolo",-Y8&amp;"º subsolo"),IF(Y8=0,"térreo",Y8&amp;"º pav.")),W8&amp;" de "&amp;V8&amp;" concluídas")&amp;IF(Z8="","",IF(OR(Y8="",Z8&gt;Y8),", executando "&amp;IF(Z8&lt;0,IF(COUNTIF($E$5:$E$6004,"SUBSOLO*")&gt;0,"subsolo",-Z8&amp;"º subsolo"),IF(Z8=0,"térreo",Z8&amp;"º pav."))," (restam serviços no "&amp;IF(Z8&lt;0,IF(COUNTIF($E$5:$E$6004,"SUBSOLO*")&gt;0,"subsolo",-Z8&amp;"º subsolo"),IF(Z8=0,"térreo",Z8&amp;"º pav."))&amp;")"))))))</f>
        <v/>
      </c>
    </row>
    <row r="9">
      <c r="B9" s="4" t="n">
        <v>13543135</v>
      </c>
      <c r="C9" s="4" t="inlineStr">
        <is>
          <t>VIGA DE COROAMENTO (TRECHO - CENTRAL DE POLÍMEROS)</t>
        </is>
      </c>
      <c r="D9" s="4" t="inlineStr">
        <is>
          <t>Escavação e Arrasamento</t>
        </is>
      </c>
      <c r="E9" s="4" t="inlineStr">
        <is>
          <t>SERVIÇOS INICIAIS</t>
        </is>
      </c>
      <c r="F9" s="126" t="n">
        <v>45901</v>
      </c>
      <c r="G9" s="126" t="n">
        <v>45905</v>
      </c>
      <c r="H9" s="126" t="n">
        <v>46289</v>
      </c>
      <c r="I9" s="4" t="n">
        <v>100</v>
      </c>
      <c r="J9" s="4" t="n">
        <v>100</v>
      </c>
      <c r="K9" s="4" t="n">
        <v>100</v>
      </c>
      <c r="M9" s="2">
        <f>IF(C9="","",IFERROR(INDEX($S$5:$S$304,MATCH(C9,$R$5:$R$304,0))&amp;"","?"))</f>
        <v/>
      </c>
      <c r="N9" s="2">
        <f>IF(E9="","",IF(ISNUMBER(SEARCH("SUBSOLO",E9)),IFERROR(-VALUE(LEFT(E9,FIND("º",SUBSTITUTE(E9,"°","º"))-1)),-1),IF(LEFT(E9,6)="TÉRREO",0,IFERROR(VALUE(LEFT(E9,FIND("º",SUBSTITUTE(E9,"°","º"))-1)),""))))</f>
        <v/>
      </c>
      <c r="O9" s="2">
        <f>IF(OR(F9="",G9=""),"",IF(G9&lt;='RETRATO 2027'!$K$5,"CONCLUÍDA",IF(F9&lt;='RETRATO 2027'!$K$5,"EM ANDAMENTO","A INICIAR")))</f>
        <v/>
      </c>
      <c r="R9" s="4" t="inlineStr">
        <is>
          <t>VIGA DE COROAMENTO (TRECHO - RUA MANACA 1º ETAPA)</t>
        </is>
      </c>
      <c r="S9" s="4" t="inlineStr">
        <is>
          <t>15</t>
        </is>
      </c>
      <c r="T9" s="4" t="inlineStr">
        <is>
          <t>Viga de coroamento (trecho - rua manaca 1º etapa)</t>
        </is>
      </c>
      <c r="U9" s="4" t="inlineStr">
        <is>
          <t>NÃO</t>
        </is>
      </c>
      <c r="V9" s="2">
        <f>IF(R9="","",COUNTIF($C$5:$C$6004,R9))</f>
        <v/>
      </c>
      <c r="W9" s="2">
        <f>IF(R9="","",COUNTIFS($C$5:$C$6004,R9,$O$5:$O$6004,"CONCLUÍDA"))</f>
        <v/>
      </c>
      <c r="X9" s="2">
        <f>IF(R9="","",COUNTIFS($C$5:$C$6004,R9,$O$5:$O$6004,"EM ANDAMENTO"))</f>
        <v/>
      </c>
      <c r="Y9" s="2">
        <f>IF(R9="","",IF(COUNTIFS($C$5:$C$6004,R9,$O$5:$O$6004,"CONCLUÍDA",$N$5:$N$6004,"&gt;=-99")=0,"",_xlfn.MAXIFS($N$5:$N$6004,$C$5:$C$6004,R9,$O$5:$O$6004,"CONCLUÍDA")))</f>
        <v/>
      </c>
      <c r="Z9" s="2">
        <f>IF(R9="","",IF(COUNTIFS($C$5:$C$6004,R9,$O$5:$O$6004,"EM ANDAMENTO",$N$5:$N$6004,"&gt;=-99")=0,"",_xlfn.MAXIFS($N$5:$N$6004,$C$5:$C$6004,R9,$O$5:$O$6004,"EM ANDAMENTO")))</f>
        <v/>
      </c>
      <c r="AA9" s="2">
        <f>IF(OR(R9="",S9="",U9&lt;&gt;"SIM",V9=0),"",IF(W9+X9=0,"",T9&amp;": "&amp;IF(W9=V9,"concluído",IF(W9=0,"em execução"&amp;IF(Z9&lt;&gt;""," ("&amp;IF(Z9&lt;0,IF(COUNTIF($E$5:$E$6004,"SUBSOLO*")&gt;0,"subsolo",-Z9&amp;"º subsolo"),IF(Z9=0,"térreo",Z9&amp;"º pav."))&amp;")",""),IF(Y9&lt;&gt;"","até "&amp;IF(Y9&lt;0,IF(COUNTIF($E$5:$E$6004,"SUBSOLO*")&gt;0,"subsolo",-Y9&amp;"º subsolo"),IF(Y9=0,"térreo",Y9&amp;"º pav.")),W9&amp;" de "&amp;V9&amp;" concluídas")&amp;IF(Z9="","",IF(OR(Y9="",Z9&gt;Y9),", executando "&amp;IF(Z9&lt;0,IF(COUNTIF($E$5:$E$6004,"SUBSOLO*")&gt;0,"subsolo",-Z9&amp;"º subsolo"),IF(Z9=0,"térreo",Z9&amp;"º pav."))," (restam serviços no "&amp;IF(Z9&lt;0,IF(COUNTIF($E$5:$E$6004,"SUBSOLO*")&gt;0,"subsolo",-Z9&amp;"º subsolo"),IF(Z9=0,"térreo",Z9&amp;"º pav."))&amp;")"))))))</f>
        <v/>
      </c>
    </row>
    <row r="10">
      <c r="B10" s="4" t="n">
        <v>13543136</v>
      </c>
      <c r="C10" s="4" t="inlineStr">
        <is>
          <t>VIGA DE COROAMENTO (TRECHO - CENTRAL DE POLÍMEROS)</t>
        </is>
      </c>
      <c r="D10" s="4" t="inlineStr">
        <is>
          <t>Armação</t>
        </is>
      </c>
      <c r="E10" s="4" t="inlineStr">
        <is>
          <t>SERVIÇOS INICIAIS</t>
        </is>
      </c>
      <c r="F10" s="126" t="n">
        <v>45911</v>
      </c>
      <c r="G10" s="126" t="n">
        <v>45915</v>
      </c>
      <c r="H10" s="126" t="n">
        <v>46289</v>
      </c>
      <c r="I10" s="4" t="n">
        <v>100</v>
      </c>
      <c r="J10" s="4" t="n">
        <v>100</v>
      </c>
      <c r="K10" s="4" t="n">
        <v>100</v>
      </c>
      <c r="M10" s="2">
        <f>IF(C10="","",IFERROR(INDEX($S$5:$S$304,MATCH(C10,$R$5:$R$304,0))&amp;"","?"))</f>
        <v/>
      </c>
      <c r="N10" s="2">
        <f>IF(E10="","",IF(ISNUMBER(SEARCH("SUBSOLO",E10)),IFERROR(-VALUE(LEFT(E10,FIND("º",SUBSTITUTE(E10,"°","º"))-1)),-1),IF(LEFT(E10,6)="TÉRREO",0,IFERROR(VALUE(LEFT(E10,FIND("º",SUBSTITUTE(E10,"°","º"))-1)),""))))</f>
        <v/>
      </c>
      <c r="O10" s="2">
        <f>IF(OR(F10="",G10=""),"",IF(G10&lt;='RETRATO 2027'!$K$5,"CONCLUÍDA",IF(F10&lt;='RETRATO 2027'!$K$5,"EM ANDAMENTO","A INICIAR")))</f>
        <v/>
      </c>
      <c r="R10" s="4" t="inlineStr">
        <is>
          <t>VIGA DE COROAMENTO (TRECHO - RUA MANACA 2º ETAPA)</t>
        </is>
      </c>
      <c r="S10" s="4" t="inlineStr">
        <is>
          <t>15</t>
        </is>
      </c>
      <c r="T10" s="4" t="inlineStr">
        <is>
          <t>Viga de coroamento (trecho - rua manaca 2º etapa)</t>
        </is>
      </c>
      <c r="U10" s="4" t="inlineStr">
        <is>
          <t>NÃO</t>
        </is>
      </c>
      <c r="V10" s="2">
        <f>IF(R10="","",COUNTIF($C$5:$C$6004,R10))</f>
        <v/>
      </c>
      <c r="W10" s="2">
        <f>IF(R10="","",COUNTIFS($C$5:$C$6004,R10,$O$5:$O$6004,"CONCLUÍDA"))</f>
        <v/>
      </c>
      <c r="X10" s="2">
        <f>IF(R10="","",COUNTIFS($C$5:$C$6004,R10,$O$5:$O$6004,"EM ANDAMENTO"))</f>
        <v/>
      </c>
      <c r="Y10" s="2">
        <f>IF(R10="","",IF(COUNTIFS($C$5:$C$6004,R10,$O$5:$O$6004,"CONCLUÍDA",$N$5:$N$6004,"&gt;=-99")=0,"",_xlfn.MAXIFS($N$5:$N$6004,$C$5:$C$6004,R10,$O$5:$O$6004,"CONCLUÍDA")))</f>
        <v/>
      </c>
      <c r="Z10" s="2">
        <f>IF(R10="","",IF(COUNTIFS($C$5:$C$6004,R10,$O$5:$O$6004,"EM ANDAMENTO",$N$5:$N$6004,"&gt;=-99")=0,"",_xlfn.MAXIFS($N$5:$N$6004,$C$5:$C$6004,R10,$O$5:$O$6004,"EM ANDAMENTO")))</f>
        <v/>
      </c>
      <c r="AA10" s="2">
        <f>IF(OR(R10="",S10="",U10&lt;&gt;"SIM",V10=0),"",IF(W10+X10=0,"",T10&amp;": "&amp;IF(W10=V10,"concluído",IF(W10=0,"em execução"&amp;IF(Z10&lt;&gt;""," ("&amp;IF(Z10&lt;0,IF(COUNTIF($E$5:$E$6004,"SUBSOLO*")&gt;0,"subsolo",-Z10&amp;"º subsolo"),IF(Z10=0,"térreo",Z10&amp;"º pav."))&amp;")",""),IF(Y10&lt;&gt;"","até "&amp;IF(Y10&lt;0,IF(COUNTIF($E$5:$E$6004,"SUBSOLO*")&gt;0,"subsolo",-Y10&amp;"º subsolo"),IF(Y10=0,"térreo",Y10&amp;"º pav.")),W10&amp;" de "&amp;V10&amp;" concluídas")&amp;IF(Z10="","",IF(OR(Y10="",Z10&gt;Y10),", executando "&amp;IF(Z10&lt;0,IF(COUNTIF($E$5:$E$6004,"SUBSOLO*")&gt;0,"subsolo",-Z10&amp;"º subsolo"),IF(Z10=0,"térreo",Z10&amp;"º pav."))," (restam serviços no "&amp;IF(Z10&lt;0,IF(COUNTIF($E$5:$E$6004,"SUBSOLO*")&gt;0,"subsolo",-Z10&amp;"º subsolo"),IF(Z10=0,"térreo",Z10&amp;"º pav."))&amp;")"))))))</f>
        <v/>
      </c>
    </row>
    <row r="11">
      <c r="B11" s="4" t="n">
        <v>13543137</v>
      </c>
      <c r="C11" s="4" t="inlineStr">
        <is>
          <t>VIGA DE COROAMENTO (TRECHO - CENTRAL DE POLÍMEROS)</t>
        </is>
      </c>
      <c r="D11" s="4" t="inlineStr">
        <is>
          <t>Forma</t>
        </is>
      </c>
      <c r="E11" s="4" t="inlineStr">
        <is>
          <t>SERVIÇOS INICIAIS</t>
        </is>
      </c>
      <c r="F11" s="126" t="n">
        <v>45915</v>
      </c>
      <c r="G11" s="126" t="n">
        <v>45916</v>
      </c>
      <c r="H11" s="126" t="n">
        <v>46289</v>
      </c>
      <c r="I11" s="4" t="n">
        <v>100</v>
      </c>
      <c r="J11" s="4" t="n">
        <v>100</v>
      </c>
      <c r="K11" s="4" t="n">
        <v>100</v>
      </c>
      <c r="M11" s="2">
        <f>IF(C11="","",IFERROR(INDEX($S$5:$S$304,MATCH(C11,$R$5:$R$304,0))&amp;"","?"))</f>
        <v/>
      </c>
      <c r="N11" s="2">
        <f>IF(E11="","",IF(ISNUMBER(SEARCH("SUBSOLO",E11)),IFERROR(-VALUE(LEFT(E11,FIND("º",SUBSTITUTE(E11,"°","º"))-1)),-1),IF(LEFT(E11,6)="TÉRREO",0,IFERROR(VALUE(LEFT(E11,FIND("º",SUBSTITUTE(E11,"°","º"))-1)),""))))</f>
        <v/>
      </c>
      <c r="O11" s="2">
        <f>IF(OR(F11="",G11=""),"",IF(G11&lt;='RETRATO 2027'!$K$5,"CONCLUÍDA",IF(F11&lt;='RETRATO 2027'!$K$5,"EM ANDAMENTO","A INICIAR")))</f>
        <v/>
      </c>
      <c r="R11" s="4" t="inlineStr">
        <is>
          <t>FUNDAÇÃO PROFUNDA</t>
        </is>
      </c>
      <c r="S11" s="4" t="inlineStr">
        <is>
          <t>15</t>
        </is>
      </c>
      <c r="T11" s="4" t="inlineStr">
        <is>
          <t>Fundação profunda</t>
        </is>
      </c>
      <c r="U11" s="4" t="inlineStr">
        <is>
          <t>SIM</t>
        </is>
      </c>
      <c r="V11" s="2">
        <f>IF(R11="","",COUNTIF($C$5:$C$6004,R11))</f>
        <v/>
      </c>
      <c r="W11" s="2">
        <f>IF(R11="","",COUNTIFS($C$5:$C$6004,R11,$O$5:$O$6004,"CONCLUÍDA"))</f>
        <v/>
      </c>
      <c r="X11" s="2">
        <f>IF(R11="","",COUNTIFS($C$5:$C$6004,R11,$O$5:$O$6004,"EM ANDAMENTO"))</f>
        <v/>
      </c>
      <c r="Y11" s="2">
        <f>IF(R11="","",IF(COUNTIFS($C$5:$C$6004,R11,$O$5:$O$6004,"CONCLUÍDA",$N$5:$N$6004,"&gt;=-99")=0,"",_xlfn.MAXIFS($N$5:$N$6004,$C$5:$C$6004,R11,$O$5:$O$6004,"CONCLUÍDA")))</f>
        <v/>
      </c>
      <c r="Z11" s="2">
        <f>IF(R11="","",IF(COUNTIFS($C$5:$C$6004,R11,$O$5:$O$6004,"EM ANDAMENTO",$N$5:$N$6004,"&gt;=-99")=0,"",_xlfn.MAXIFS($N$5:$N$6004,$C$5:$C$6004,R11,$O$5:$O$6004,"EM ANDAMENTO")))</f>
        <v/>
      </c>
      <c r="AA11" s="2">
        <f>IF(OR(R11="",S11="",U11&lt;&gt;"SIM",V11=0),"",IF(W11+X11=0,"",T11&amp;": "&amp;IF(W11=V11,"concluído",IF(W11=0,"em execução"&amp;IF(Z11&lt;&gt;""," ("&amp;IF(Z11&lt;0,IF(COUNTIF($E$5:$E$6004,"SUBSOLO*")&gt;0,"subsolo",-Z11&amp;"º subsolo"),IF(Z11=0,"térreo",Z11&amp;"º pav."))&amp;")",""),IF(Y11&lt;&gt;"","até "&amp;IF(Y11&lt;0,IF(COUNTIF($E$5:$E$6004,"SUBSOLO*")&gt;0,"subsolo",-Y11&amp;"º subsolo"),IF(Y11=0,"térreo",Y11&amp;"º pav.")),W11&amp;" de "&amp;V11&amp;" concluídas")&amp;IF(Z11="","",IF(OR(Y11="",Z11&gt;Y11),", executando "&amp;IF(Z11&lt;0,IF(COUNTIF($E$5:$E$6004,"SUBSOLO*")&gt;0,"subsolo",-Z11&amp;"º subsolo"),IF(Z11=0,"térreo",Z11&amp;"º pav."))," (restam serviços no "&amp;IF(Z11&lt;0,IF(COUNTIF($E$5:$E$6004,"SUBSOLO*")&gt;0,"subsolo",-Z11&amp;"º subsolo"),IF(Z11=0,"térreo",Z11&amp;"º pav."))&amp;")"))))))</f>
        <v/>
      </c>
    </row>
    <row r="12">
      <c r="B12" s="4" t="n">
        <v>13543138</v>
      </c>
      <c r="C12" s="4" t="inlineStr">
        <is>
          <t>VIGA DE COROAMENTO (TRECHO - CENTRAL DE POLÍMEROS)</t>
        </is>
      </c>
      <c r="D12" s="4" t="inlineStr">
        <is>
          <t>Concretagem</t>
        </is>
      </c>
      <c r="E12" s="4" t="inlineStr">
        <is>
          <t>SERVIÇOS INICIAIS</t>
        </is>
      </c>
      <c r="F12" s="126" t="n">
        <v>45917</v>
      </c>
      <c r="G12" s="126" t="n">
        <v>45917</v>
      </c>
      <c r="H12" s="126" t="n">
        <v>46289</v>
      </c>
      <c r="I12" s="4" t="n">
        <v>100</v>
      </c>
      <c r="J12" s="4" t="n">
        <v>100</v>
      </c>
      <c r="K12" s="4" t="n">
        <v>100</v>
      </c>
      <c r="M12" s="2">
        <f>IF(C12="","",IFERROR(INDEX($S$5:$S$304,MATCH(C12,$R$5:$R$304,0))&amp;"","?"))</f>
        <v/>
      </c>
      <c r="N12" s="2">
        <f>IF(E12="","",IF(ISNUMBER(SEARCH("SUBSOLO",E12)),IFERROR(-VALUE(LEFT(E12,FIND("º",SUBSTITUTE(E12,"°","º"))-1)),-1),IF(LEFT(E12,6)="TÉRREO",0,IFERROR(VALUE(LEFT(E12,FIND("º",SUBSTITUTE(E12,"°","º"))-1)),""))))</f>
        <v/>
      </c>
      <c r="O12" s="2">
        <f>IF(OR(F12="",G12=""),"",IF(G12&lt;='RETRATO 2027'!$K$5,"CONCLUÍDA",IF(F12&lt;='RETRATO 2027'!$K$5,"EM ANDAMENTO","A INICIAR")))</f>
        <v/>
      </c>
      <c r="R12" s="4" t="inlineStr">
        <is>
          <t>VIGA DE COROAMENTO (TRECHO - RUA IPÊ 1º ETAPA)</t>
        </is>
      </c>
      <c r="S12" s="4" t="inlineStr">
        <is>
          <t>15</t>
        </is>
      </c>
      <c r="T12" s="4" t="inlineStr">
        <is>
          <t>Viga de coroamento (trecho - rua ipê 1º etapa)</t>
        </is>
      </c>
      <c r="U12" s="4" t="inlineStr">
        <is>
          <t>NÃO</t>
        </is>
      </c>
      <c r="V12" s="2">
        <f>IF(R12="","",COUNTIF($C$5:$C$6004,R12))</f>
        <v/>
      </c>
      <c r="W12" s="2">
        <f>IF(R12="","",COUNTIFS($C$5:$C$6004,R12,$O$5:$O$6004,"CONCLUÍDA"))</f>
        <v/>
      </c>
      <c r="X12" s="2">
        <f>IF(R12="","",COUNTIFS($C$5:$C$6004,R12,$O$5:$O$6004,"EM ANDAMENTO"))</f>
        <v/>
      </c>
      <c r="Y12" s="2">
        <f>IF(R12="","",IF(COUNTIFS($C$5:$C$6004,R12,$O$5:$O$6004,"CONCLUÍDA",$N$5:$N$6004,"&gt;=-99")=0,"",_xlfn.MAXIFS($N$5:$N$6004,$C$5:$C$6004,R12,$O$5:$O$6004,"CONCLUÍDA")))</f>
        <v/>
      </c>
      <c r="Z12" s="2">
        <f>IF(R12="","",IF(COUNTIFS($C$5:$C$6004,R12,$O$5:$O$6004,"EM ANDAMENTO",$N$5:$N$6004,"&gt;=-99")=0,"",_xlfn.MAXIFS($N$5:$N$6004,$C$5:$C$6004,R12,$O$5:$O$6004,"EM ANDAMENTO")))</f>
        <v/>
      </c>
      <c r="AA12" s="2">
        <f>IF(OR(R12="",S12="",U12&lt;&gt;"SIM",V12=0),"",IF(W12+X12=0,"",T12&amp;": "&amp;IF(W12=V12,"concluído",IF(W12=0,"em execução"&amp;IF(Z12&lt;&gt;""," ("&amp;IF(Z12&lt;0,IF(COUNTIF($E$5:$E$6004,"SUBSOLO*")&gt;0,"subsolo",-Z12&amp;"º subsolo"),IF(Z12=0,"térreo",Z12&amp;"º pav."))&amp;")",""),IF(Y12&lt;&gt;"","até "&amp;IF(Y12&lt;0,IF(COUNTIF($E$5:$E$6004,"SUBSOLO*")&gt;0,"subsolo",-Y12&amp;"º subsolo"),IF(Y12=0,"térreo",Y12&amp;"º pav.")),W12&amp;" de "&amp;V12&amp;" concluídas")&amp;IF(Z12="","",IF(OR(Y12="",Z12&gt;Y12),", executando "&amp;IF(Z12&lt;0,IF(COUNTIF($E$5:$E$6004,"SUBSOLO*")&gt;0,"subsolo",-Z12&amp;"º subsolo"),IF(Z12=0,"térreo",Z12&amp;"º pav."))," (restam serviços no "&amp;IF(Z12&lt;0,IF(COUNTIF($E$5:$E$6004,"SUBSOLO*")&gt;0,"subsolo",-Z12&amp;"º subsolo"),IF(Z12=0,"térreo",Z12&amp;"º pav."))&amp;")"))))))</f>
        <v/>
      </c>
    </row>
    <row r="13">
      <c r="B13" s="4" t="n">
        <v>13543139</v>
      </c>
      <c r="C13" s="4" t="inlineStr">
        <is>
          <t>VIGA DE COROAMENTO (TRECHO - CENTRAL DE POLÍMEROS)</t>
        </is>
      </c>
      <c r="D13" s="4" t="inlineStr">
        <is>
          <t>Aterro</t>
        </is>
      </c>
      <c r="E13" s="4" t="inlineStr">
        <is>
          <t>SERVIÇOS INICIAIS</t>
        </is>
      </c>
      <c r="F13" s="126" t="n">
        <v>45918</v>
      </c>
      <c r="G13" s="126" t="n">
        <v>45918</v>
      </c>
      <c r="H13" s="126" t="n">
        <v>46289</v>
      </c>
      <c r="I13" s="4" t="n">
        <v>100</v>
      </c>
      <c r="J13" s="4" t="n">
        <v>100</v>
      </c>
      <c r="K13" s="4" t="n">
        <v>100</v>
      </c>
      <c r="M13" s="2">
        <f>IF(C13="","",IFERROR(INDEX($S$5:$S$304,MATCH(C13,$R$5:$R$304,0))&amp;"","?"))</f>
        <v/>
      </c>
      <c r="N13" s="2">
        <f>IF(E13="","",IF(ISNUMBER(SEARCH("SUBSOLO",E13)),IFERROR(-VALUE(LEFT(E13,FIND("º",SUBSTITUTE(E13,"°","º"))-1)),-1),IF(LEFT(E13,6)="TÉRREO",0,IFERROR(VALUE(LEFT(E13,FIND("º",SUBSTITUTE(E13,"°","º"))-1)),""))))</f>
        <v/>
      </c>
      <c r="O13" s="2">
        <f>IF(OR(F13="",G13=""),"",IF(G13&lt;='RETRATO 2027'!$K$5,"CONCLUÍDA",IF(F13&lt;='RETRATO 2027'!$K$5,"EM ANDAMENTO","A INICIAR")))</f>
        <v/>
      </c>
      <c r="R13" s="4" t="inlineStr">
        <is>
          <t>VIGA DE COROAMENTO (TRECHO - RUA IPÊ 2º ETAPA)</t>
        </is>
      </c>
      <c r="S13" s="4" t="inlineStr">
        <is>
          <t>15</t>
        </is>
      </c>
      <c r="T13" s="4" t="inlineStr">
        <is>
          <t>Viga de coroamento (trecho - rua ipê 2º etapa)</t>
        </is>
      </c>
      <c r="U13" s="4" t="inlineStr">
        <is>
          <t>NÃO</t>
        </is>
      </c>
      <c r="V13" s="2">
        <f>IF(R13="","",COUNTIF($C$5:$C$6004,R13))</f>
        <v/>
      </c>
      <c r="W13" s="2">
        <f>IF(R13="","",COUNTIFS($C$5:$C$6004,R13,$O$5:$O$6004,"CONCLUÍDA"))</f>
        <v/>
      </c>
      <c r="X13" s="2">
        <f>IF(R13="","",COUNTIFS($C$5:$C$6004,R13,$O$5:$O$6004,"EM ANDAMENTO"))</f>
        <v/>
      </c>
      <c r="Y13" s="2">
        <f>IF(R13="","",IF(COUNTIFS($C$5:$C$6004,R13,$O$5:$O$6004,"CONCLUÍDA",$N$5:$N$6004,"&gt;=-99")=0,"",_xlfn.MAXIFS($N$5:$N$6004,$C$5:$C$6004,R13,$O$5:$O$6004,"CONCLUÍDA")))</f>
        <v/>
      </c>
      <c r="Z13" s="2">
        <f>IF(R13="","",IF(COUNTIFS($C$5:$C$6004,R13,$O$5:$O$6004,"EM ANDAMENTO",$N$5:$N$6004,"&gt;=-99")=0,"",_xlfn.MAXIFS($N$5:$N$6004,$C$5:$C$6004,R13,$O$5:$O$6004,"EM ANDAMENTO")))</f>
        <v/>
      </c>
      <c r="AA13" s="2">
        <f>IF(OR(R13="",S13="",U13&lt;&gt;"SIM",V13=0),"",IF(W13+X13=0,"",T13&amp;": "&amp;IF(W13=V13,"concluído",IF(W13=0,"em execução"&amp;IF(Z13&lt;&gt;""," ("&amp;IF(Z13&lt;0,IF(COUNTIF($E$5:$E$6004,"SUBSOLO*")&gt;0,"subsolo",-Z13&amp;"º subsolo"),IF(Z13=0,"térreo",Z13&amp;"º pav."))&amp;")",""),IF(Y13&lt;&gt;"","até "&amp;IF(Y13&lt;0,IF(COUNTIF($E$5:$E$6004,"SUBSOLO*")&gt;0,"subsolo",-Y13&amp;"º subsolo"),IF(Y13=0,"térreo",Y13&amp;"º pav.")),W13&amp;" de "&amp;V13&amp;" concluídas")&amp;IF(Z13="","",IF(OR(Y13="",Z13&gt;Y13),", executando "&amp;IF(Z13&lt;0,IF(COUNTIF($E$5:$E$6004,"SUBSOLO*")&gt;0,"subsolo",-Z13&amp;"º subsolo"),IF(Z13=0,"térreo",Z13&amp;"º pav."))," (restam serviços no "&amp;IF(Z13&lt;0,IF(COUNTIF($E$5:$E$6004,"SUBSOLO*")&gt;0,"subsolo",-Z13&amp;"º subsolo"),IF(Z13=0,"térreo",Z13&amp;"º pav."))&amp;")"))))))</f>
        <v/>
      </c>
    </row>
    <row r="14">
      <c r="B14" s="4" t="n">
        <v>33143218</v>
      </c>
      <c r="C14" s="4" t="inlineStr">
        <is>
          <t>VIGA DE COROAMENTO (TRECHO - RUA MANACA 1º ETAPA)</t>
        </is>
      </c>
      <c r="D14" s="4" t="inlineStr">
        <is>
          <t>-</t>
        </is>
      </c>
      <c r="E14" s="4" t="inlineStr">
        <is>
          <t>SERVIÇOS INICIAIS</t>
        </is>
      </c>
      <c r="F14" s="126" t="n">
        <v>45908</v>
      </c>
      <c r="G14" s="126" t="n">
        <v>45933</v>
      </c>
      <c r="H14" s="126" t="n">
        <v>46289</v>
      </c>
      <c r="I14" s="4" t="n">
        <v>100</v>
      </c>
      <c r="J14" s="4" t="n">
        <v>100</v>
      </c>
      <c r="K14" s="4" t="n">
        <v>100</v>
      </c>
      <c r="M14" s="2">
        <f>IF(C14="","",IFERROR(INDEX($S$5:$S$304,MATCH(C14,$R$5:$R$304,0))&amp;"","?"))</f>
        <v/>
      </c>
      <c r="N14" s="2">
        <f>IF(E14="","",IF(ISNUMBER(SEARCH("SUBSOLO",E14)),IFERROR(-VALUE(LEFT(E14,FIND("º",SUBSTITUTE(E14,"°","º"))-1)),-1),IF(LEFT(E14,6)="TÉRREO",0,IFERROR(VALUE(LEFT(E14,FIND("º",SUBSTITUTE(E14,"°","º"))-1)),""))))</f>
        <v/>
      </c>
      <c r="O14" s="2">
        <f>IF(OR(F14="",G14=""),"",IF(G14&lt;='RETRATO 2027'!$K$5,"CONCLUÍDA",IF(F14&lt;='RETRATO 2027'!$K$5,"EM ANDAMENTO","A INICIAR")))</f>
        <v/>
      </c>
      <c r="R14" s="4" t="inlineStr">
        <is>
          <t>VIGA DE COROAMENTO (TRECHO - RUA BOM JESUS)</t>
        </is>
      </c>
      <c r="S14" s="4" t="inlineStr">
        <is>
          <t>15</t>
        </is>
      </c>
      <c r="T14" s="4" t="inlineStr">
        <is>
          <t>Viga de coroamento (trecho - rua bom jesus)</t>
        </is>
      </c>
      <c r="U14" s="4" t="inlineStr">
        <is>
          <t>NÃO</t>
        </is>
      </c>
      <c r="V14" s="2">
        <f>IF(R14="","",COUNTIF($C$5:$C$6004,R14))</f>
        <v/>
      </c>
      <c r="W14" s="2">
        <f>IF(R14="","",COUNTIFS($C$5:$C$6004,R14,$O$5:$O$6004,"CONCLUÍDA"))</f>
        <v/>
      </c>
      <c r="X14" s="2">
        <f>IF(R14="","",COUNTIFS($C$5:$C$6004,R14,$O$5:$O$6004,"EM ANDAMENTO"))</f>
        <v/>
      </c>
      <c r="Y14" s="2">
        <f>IF(R14="","",IF(COUNTIFS($C$5:$C$6004,R14,$O$5:$O$6004,"CONCLUÍDA",$N$5:$N$6004,"&gt;=-99")=0,"",_xlfn.MAXIFS($N$5:$N$6004,$C$5:$C$6004,R14,$O$5:$O$6004,"CONCLUÍDA")))</f>
        <v/>
      </c>
      <c r="Z14" s="2">
        <f>IF(R14="","",IF(COUNTIFS($C$5:$C$6004,R14,$O$5:$O$6004,"EM ANDAMENTO",$N$5:$N$6004,"&gt;=-99")=0,"",_xlfn.MAXIFS($N$5:$N$6004,$C$5:$C$6004,R14,$O$5:$O$6004,"EM ANDAMENTO")))</f>
        <v/>
      </c>
      <c r="AA14" s="2">
        <f>IF(OR(R14="",S14="",U14&lt;&gt;"SIM",V14=0),"",IF(W14+X14=0,"",T14&amp;": "&amp;IF(W14=V14,"concluído",IF(W14=0,"em execução"&amp;IF(Z14&lt;&gt;""," ("&amp;IF(Z14&lt;0,IF(COUNTIF($E$5:$E$6004,"SUBSOLO*")&gt;0,"subsolo",-Z14&amp;"º subsolo"),IF(Z14=0,"térreo",Z14&amp;"º pav."))&amp;")",""),IF(Y14&lt;&gt;"","até "&amp;IF(Y14&lt;0,IF(COUNTIF($E$5:$E$6004,"SUBSOLO*")&gt;0,"subsolo",-Y14&amp;"º subsolo"),IF(Y14=0,"térreo",Y14&amp;"º pav.")),W14&amp;" de "&amp;V14&amp;" concluídas")&amp;IF(Z14="","",IF(OR(Y14="",Z14&gt;Y14),", executando "&amp;IF(Z14&lt;0,IF(COUNTIF($E$5:$E$6004,"SUBSOLO*")&gt;0,"subsolo",-Z14&amp;"º subsolo"),IF(Z14=0,"térreo",Z14&amp;"º pav."))," (restam serviços no "&amp;IF(Z14&lt;0,IF(COUNTIF($E$5:$E$6004,"SUBSOLO*")&gt;0,"subsolo",-Z14&amp;"º subsolo"),IF(Z14=0,"térreo",Z14&amp;"º pav."))&amp;")"))))))</f>
        <v/>
      </c>
    </row>
    <row r="15">
      <c r="B15" s="4" t="n">
        <v>13543236</v>
      </c>
      <c r="C15" s="4" t="inlineStr">
        <is>
          <t>VIGA DE COROAMENTO (TRECHO - RUA MANACA 1º ETAPA)</t>
        </is>
      </c>
      <c r="D15" s="4" t="inlineStr">
        <is>
          <t>Escavação e Arrasamento</t>
        </is>
      </c>
      <c r="E15" s="4" t="inlineStr">
        <is>
          <t>SERVIÇOS INICIAIS</t>
        </is>
      </c>
      <c r="F15" s="126" t="n">
        <v>45908</v>
      </c>
      <c r="G15" s="126" t="n">
        <v>45912</v>
      </c>
      <c r="H15" s="126" t="n">
        <v>46289</v>
      </c>
      <c r="I15" s="4" t="n">
        <v>100</v>
      </c>
      <c r="J15" s="4" t="n">
        <v>100</v>
      </c>
      <c r="K15" s="4" t="n">
        <v>100</v>
      </c>
      <c r="M15" s="2">
        <f>IF(C15="","",IFERROR(INDEX($S$5:$S$304,MATCH(C15,$R$5:$R$304,0))&amp;"","?"))</f>
        <v/>
      </c>
      <c r="N15" s="2">
        <f>IF(E15="","",IF(ISNUMBER(SEARCH("SUBSOLO",E15)),IFERROR(-VALUE(LEFT(E15,FIND("º",SUBSTITUTE(E15,"°","º"))-1)),-1),IF(LEFT(E15,6)="TÉRREO",0,IFERROR(VALUE(LEFT(E15,FIND("º",SUBSTITUTE(E15,"°","º"))-1)),""))))</f>
        <v/>
      </c>
      <c r="O15" s="2">
        <f>IF(OR(F15="",G15=""),"",IF(G15&lt;='RETRATO 2027'!$K$5,"CONCLUÍDA",IF(F15&lt;='RETRATO 2027'!$K$5,"EM ANDAMENTO","A INICIAR")))</f>
        <v/>
      </c>
      <c r="R15" s="4" t="inlineStr">
        <is>
          <t>FUNDAÇÃO PROFUNDA - MEDIÇÃO</t>
        </is>
      </c>
      <c r="S15" s="4" t="inlineStr">
        <is>
          <t>15</t>
        </is>
      </c>
      <c r="T15" s="4" t="inlineStr">
        <is>
          <t>Fundação profunda - medição</t>
        </is>
      </c>
      <c r="U15" s="4" t="inlineStr">
        <is>
          <t>NÃO</t>
        </is>
      </c>
      <c r="V15" s="2">
        <f>IF(R15="","",COUNTIF($C$5:$C$6004,R15))</f>
        <v/>
      </c>
      <c r="W15" s="2">
        <f>IF(R15="","",COUNTIFS($C$5:$C$6004,R15,$O$5:$O$6004,"CONCLUÍDA"))</f>
        <v/>
      </c>
      <c r="X15" s="2">
        <f>IF(R15="","",COUNTIFS($C$5:$C$6004,R15,$O$5:$O$6004,"EM ANDAMENTO"))</f>
        <v/>
      </c>
      <c r="Y15" s="2">
        <f>IF(R15="","",IF(COUNTIFS($C$5:$C$6004,R15,$O$5:$O$6004,"CONCLUÍDA",$N$5:$N$6004,"&gt;=-99")=0,"",_xlfn.MAXIFS($N$5:$N$6004,$C$5:$C$6004,R15,$O$5:$O$6004,"CONCLUÍDA")))</f>
        <v/>
      </c>
      <c r="Z15" s="2">
        <f>IF(R15="","",IF(COUNTIFS($C$5:$C$6004,R15,$O$5:$O$6004,"EM ANDAMENTO",$N$5:$N$6004,"&gt;=-99")=0,"",_xlfn.MAXIFS($N$5:$N$6004,$C$5:$C$6004,R15,$O$5:$O$6004,"EM ANDAMENTO")))</f>
        <v/>
      </c>
      <c r="AA15" s="2">
        <f>IF(OR(R15="",S15="",U15&lt;&gt;"SIM",V15=0),"",IF(W15+X15=0,"",T15&amp;": "&amp;IF(W15=V15,"concluído",IF(W15=0,"em execução"&amp;IF(Z15&lt;&gt;""," ("&amp;IF(Z15&lt;0,IF(COUNTIF($E$5:$E$6004,"SUBSOLO*")&gt;0,"subsolo",-Z15&amp;"º subsolo"),IF(Z15=0,"térreo",Z15&amp;"º pav."))&amp;")",""),IF(Y15&lt;&gt;"","até "&amp;IF(Y15&lt;0,IF(COUNTIF($E$5:$E$6004,"SUBSOLO*")&gt;0,"subsolo",-Y15&amp;"º subsolo"),IF(Y15=0,"térreo",Y15&amp;"º pav.")),W15&amp;" de "&amp;V15&amp;" concluídas")&amp;IF(Z15="","",IF(OR(Y15="",Z15&gt;Y15),", executando "&amp;IF(Z15&lt;0,IF(COUNTIF($E$5:$E$6004,"SUBSOLO*")&gt;0,"subsolo",-Z15&amp;"º subsolo"),IF(Z15=0,"térreo",Z15&amp;"º pav."))," (restam serviços no "&amp;IF(Z15&lt;0,IF(COUNTIF($E$5:$E$6004,"SUBSOLO*")&gt;0,"subsolo",-Z15&amp;"º subsolo"),IF(Z15=0,"térreo",Z15&amp;"º pav."))&amp;")"))))))</f>
        <v/>
      </c>
    </row>
    <row r="16">
      <c r="B16" s="4" t="n">
        <v>13543237</v>
      </c>
      <c r="C16" s="4" t="inlineStr">
        <is>
          <t>VIGA DE COROAMENTO (TRECHO - RUA MANACA 1º ETAPA)</t>
        </is>
      </c>
      <c r="D16" s="4" t="inlineStr">
        <is>
          <t>Armação</t>
        </is>
      </c>
      <c r="E16" s="4" t="inlineStr">
        <is>
          <t>SERVIÇOS INICIAIS</t>
        </is>
      </c>
      <c r="F16" s="126" t="n">
        <v>45916</v>
      </c>
      <c r="G16" s="126" t="n">
        <v>45919</v>
      </c>
      <c r="H16" s="126" t="n">
        <v>46289</v>
      </c>
      <c r="I16" s="4" t="n">
        <v>100</v>
      </c>
      <c r="J16" s="4" t="n">
        <v>100</v>
      </c>
      <c r="K16" s="4" t="n">
        <v>100</v>
      </c>
      <c r="M16" s="2">
        <f>IF(C16="","",IFERROR(INDEX($S$5:$S$304,MATCH(C16,$R$5:$R$304,0))&amp;"","?"))</f>
        <v/>
      </c>
      <c r="N16" s="2">
        <f>IF(E16="","",IF(ISNUMBER(SEARCH("SUBSOLO",E16)),IFERROR(-VALUE(LEFT(E16,FIND("º",SUBSTITUTE(E16,"°","º"))-1)),-1),IF(LEFT(E16,6)="TÉRREO",0,IFERROR(VALUE(LEFT(E16,FIND("º",SUBSTITUTE(E16,"°","º"))-1)),""))))</f>
        <v/>
      </c>
      <c r="O16" s="2">
        <f>IF(OR(F16="",G16=""),"",IF(G16&lt;='RETRATO 2027'!$K$5,"CONCLUÍDA",IF(F16&lt;='RETRATO 2027'!$K$5,"EM ANDAMENTO","A INICIAR")))</f>
        <v/>
      </c>
      <c r="R16" s="4" t="inlineStr">
        <is>
          <t>VIGA DE COROAMENTO (TRECHO - RUA IPÊ 3º ETAPA)</t>
        </is>
      </c>
      <c r="S16" s="4" t="inlineStr">
        <is>
          <t>15</t>
        </is>
      </c>
      <c r="T16" s="4" t="inlineStr">
        <is>
          <t>Viga de coroamento (trecho - rua ipê 3º etapa)</t>
        </is>
      </c>
      <c r="U16" s="4" t="inlineStr">
        <is>
          <t>NÃO</t>
        </is>
      </c>
      <c r="V16" s="2">
        <f>IF(R16="","",COUNTIF($C$5:$C$6004,R16))</f>
        <v/>
      </c>
      <c r="W16" s="2">
        <f>IF(R16="","",COUNTIFS($C$5:$C$6004,R16,$O$5:$O$6004,"CONCLUÍDA"))</f>
        <v/>
      </c>
      <c r="X16" s="2">
        <f>IF(R16="","",COUNTIFS($C$5:$C$6004,R16,$O$5:$O$6004,"EM ANDAMENTO"))</f>
        <v/>
      </c>
      <c r="Y16" s="2">
        <f>IF(R16="","",IF(COUNTIFS($C$5:$C$6004,R16,$O$5:$O$6004,"CONCLUÍDA",$N$5:$N$6004,"&gt;=-99")=0,"",_xlfn.MAXIFS($N$5:$N$6004,$C$5:$C$6004,R16,$O$5:$O$6004,"CONCLUÍDA")))</f>
        <v/>
      </c>
      <c r="Z16" s="2">
        <f>IF(R16="","",IF(COUNTIFS($C$5:$C$6004,R16,$O$5:$O$6004,"EM ANDAMENTO",$N$5:$N$6004,"&gt;=-99")=0,"",_xlfn.MAXIFS($N$5:$N$6004,$C$5:$C$6004,R16,$O$5:$O$6004,"EM ANDAMENTO")))</f>
        <v/>
      </c>
      <c r="AA16" s="2">
        <f>IF(OR(R16="",S16="",U16&lt;&gt;"SIM",V16=0),"",IF(W16+X16=0,"",T16&amp;": "&amp;IF(W16=V16,"concluído",IF(W16=0,"em execução"&amp;IF(Z16&lt;&gt;""," ("&amp;IF(Z16&lt;0,IF(COUNTIF($E$5:$E$6004,"SUBSOLO*")&gt;0,"subsolo",-Z16&amp;"º subsolo"),IF(Z16=0,"térreo",Z16&amp;"º pav."))&amp;")",""),IF(Y16&lt;&gt;"","até "&amp;IF(Y16&lt;0,IF(COUNTIF($E$5:$E$6004,"SUBSOLO*")&gt;0,"subsolo",-Y16&amp;"º subsolo"),IF(Y16=0,"térreo",Y16&amp;"º pav.")),W16&amp;" de "&amp;V16&amp;" concluídas")&amp;IF(Z16="","",IF(OR(Y16="",Z16&gt;Y16),", executando "&amp;IF(Z16&lt;0,IF(COUNTIF($E$5:$E$6004,"SUBSOLO*")&gt;0,"subsolo",-Z16&amp;"º subsolo"),IF(Z16=0,"térreo",Z16&amp;"º pav."))," (restam serviços no "&amp;IF(Z16&lt;0,IF(COUNTIF($E$5:$E$6004,"SUBSOLO*")&gt;0,"subsolo",-Z16&amp;"º subsolo"),IF(Z16=0,"térreo",Z16&amp;"º pav."))&amp;")"))))))</f>
        <v/>
      </c>
    </row>
    <row r="17">
      <c r="B17" s="4" t="n">
        <v>13543238</v>
      </c>
      <c r="C17" s="4" t="inlineStr">
        <is>
          <t>VIGA DE COROAMENTO (TRECHO - RUA MANACA 1º ETAPA)</t>
        </is>
      </c>
      <c r="D17" s="4" t="inlineStr">
        <is>
          <t>Forma</t>
        </is>
      </c>
      <c r="E17" s="4" t="inlineStr">
        <is>
          <t>SERVIÇOS INICIAIS</t>
        </is>
      </c>
      <c r="F17" s="126" t="n">
        <v>45917</v>
      </c>
      <c r="G17" s="126" t="n">
        <v>45919</v>
      </c>
      <c r="H17" s="126" t="n">
        <v>46289</v>
      </c>
      <c r="I17" s="4" t="n">
        <v>100</v>
      </c>
      <c r="J17" s="4" t="n">
        <v>100</v>
      </c>
      <c r="K17" s="4" t="n">
        <v>100</v>
      </c>
      <c r="M17" s="2">
        <f>IF(C17="","",IFERROR(INDEX($S$5:$S$304,MATCH(C17,$R$5:$R$304,0))&amp;"","?"))</f>
        <v/>
      </c>
      <c r="N17" s="2">
        <f>IF(E17="","",IF(ISNUMBER(SEARCH("SUBSOLO",E17)),IFERROR(-VALUE(LEFT(E17,FIND("º",SUBSTITUTE(E17,"°","º"))-1)),-1),IF(LEFT(E17,6)="TÉRREO",0,IFERROR(VALUE(LEFT(E17,FIND("º",SUBSTITUTE(E17,"°","º"))-1)),""))))</f>
        <v/>
      </c>
      <c r="O17" s="2">
        <f>IF(OR(F17="",G17=""),"",IF(G17&lt;='RETRATO 2027'!$K$5,"CONCLUÍDA",IF(F17&lt;='RETRATO 2027'!$K$5,"EM ANDAMENTO","A INICIAR")))</f>
        <v/>
      </c>
      <c r="R17" s="4" t="inlineStr">
        <is>
          <t>TERRAPLENAGEM (FASE 1)</t>
        </is>
      </c>
      <c r="S17" s="4" t="inlineStr">
        <is>
          <t>14</t>
        </is>
      </c>
      <c r="T17" s="4" t="inlineStr">
        <is>
          <t>Terraplenagem (fase 1)</t>
        </is>
      </c>
      <c r="U17" s="4" t="inlineStr">
        <is>
          <t>SIM</t>
        </is>
      </c>
      <c r="V17" s="2">
        <f>IF(R17="","",COUNTIF($C$5:$C$6004,R17))</f>
        <v/>
      </c>
      <c r="W17" s="2">
        <f>IF(R17="","",COUNTIFS($C$5:$C$6004,R17,$O$5:$O$6004,"CONCLUÍDA"))</f>
        <v/>
      </c>
      <c r="X17" s="2">
        <f>IF(R17="","",COUNTIFS($C$5:$C$6004,R17,$O$5:$O$6004,"EM ANDAMENTO"))</f>
        <v/>
      </c>
      <c r="Y17" s="2">
        <f>IF(R17="","",IF(COUNTIFS($C$5:$C$6004,R17,$O$5:$O$6004,"CONCLUÍDA",$N$5:$N$6004,"&gt;=-99")=0,"",_xlfn.MAXIFS($N$5:$N$6004,$C$5:$C$6004,R17,$O$5:$O$6004,"CONCLUÍDA")))</f>
        <v/>
      </c>
      <c r="Z17" s="2">
        <f>IF(R17="","",IF(COUNTIFS($C$5:$C$6004,R17,$O$5:$O$6004,"EM ANDAMENTO",$N$5:$N$6004,"&gt;=-99")=0,"",_xlfn.MAXIFS($N$5:$N$6004,$C$5:$C$6004,R17,$O$5:$O$6004,"EM ANDAMENTO")))</f>
        <v/>
      </c>
      <c r="AA17" s="2">
        <f>IF(OR(R17="",S17="",U17&lt;&gt;"SIM",V17=0),"",IF(W17+X17=0,"",T17&amp;": "&amp;IF(W17=V17,"concluído",IF(W17=0,"em execução"&amp;IF(Z17&lt;&gt;""," ("&amp;IF(Z17&lt;0,IF(COUNTIF($E$5:$E$6004,"SUBSOLO*")&gt;0,"subsolo",-Z17&amp;"º subsolo"),IF(Z17=0,"térreo",Z17&amp;"º pav."))&amp;")",""),IF(Y17&lt;&gt;"","até "&amp;IF(Y17&lt;0,IF(COUNTIF($E$5:$E$6004,"SUBSOLO*")&gt;0,"subsolo",-Y17&amp;"º subsolo"),IF(Y17=0,"térreo",Y17&amp;"º pav.")),W17&amp;" de "&amp;V17&amp;" concluídas")&amp;IF(Z17="","",IF(OR(Y17="",Z17&gt;Y17),", executando "&amp;IF(Z17&lt;0,IF(COUNTIF($E$5:$E$6004,"SUBSOLO*")&gt;0,"subsolo",-Z17&amp;"º subsolo"),IF(Z17=0,"térreo",Z17&amp;"º pav."))," (restam serviços no "&amp;IF(Z17&lt;0,IF(COUNTIF($E$5:$E$6004,"SUBSOLO*")&gt;0,"subsolo",-Z17&amp;"º subsolo"),IF(Z17=0,"térreo",Z17&amp;"º pav."))&amp;")"))))))</f>
        <v/>
      </c>
    </row>
    <row r="18">
      <c r="B18" s="4" t="n">
        <v>13543239</v>
      </c>
      <c r="C18" s="4" t="inlineStr">
        <is>
          <t>VIGA DE COROAMENTO (TRECHO - RUA MANACA 1º ETAPA)</t>
        </is>
      </c>
      <c r="D18" s="4" t="inlineStr">
        <is>
          <t>Concretagem</t>
        </is>
      </c>
      <c r="E18" s="4" t="inlineStr">
        <is>
          <t>SERVIÇOS INICIAIS</t>
        </is>
      </c>
      <c r="F18" s="126" t="n">
        <v>45922</v>
      </c>
      <c r="G18" s="126" t="n">
        <v>45922</v>
      </c>
      <c r="H18" s="126" t="n">
        <v>46289</v>
      </c>
      <c r="I18" s="4" t="n">
        <v>100</v>
      </c>
      <c r="J18" s="4" t="n">
        <v>100</v>
      </c>
      <c r="K18" s="4" t="n">
        <v>100</v>
      </c>
      <c r="M18" s="2">
        <f>IF(C18="","",IFERROR(INDEX($S$5:$S$304,MATCH(C18,$R$5:$R$304,0))&amp;"","?"))</f>
        <v/>
      </c>
      <c r="N18" s="2">
        <f>IF(E18="","",IF(ISNUMBER(SEARCH("SUBSOLO",E18)),IFERROR(-VALUE(LEFT(E18,FIND("º",SUBSTITUTE(E18,"°","º"))-1)),-1),IF(LEFT(E18,6)="TÉRREO",0,IFERROR(VALUE(LEFT(E18,FIND("º",SUBSTITUTE(E18,"°","º"))-1)),""))))</f>
        <v/>
      </c>
      <c r="O18" s="2">
        <f>IF(OR(F18="",G18=""),"",IF(G18&lt;='RETRATO 2027'!$K$5,"CONCLUÍDA",IF(F18&lt;='RETRATO 2027'!$K$5,"EM ANDAMENTO","A INICIAR")))</f>
        <v/>
      </c>
      <c r="R18" s="4" t="inlineStr">
        <is>
          <t>FUNDAÇÃO SUPERFICIAL</t>
        </is>
      </c>
      <c r="S18" s="4" t="inlineStr">
        <is>
          <t>16</t>
        </is>
      </c>
      <c r="T18" s="4" t="inlineStr">
        <is>
          <t>Fundação superficial</t>
        </is>
      </c>
      <c r="U18" s="4" t="inlineStr">
        <is>
          <t>NÃO</t>
        </is>
      </c>
      <c r="V18" s="2">
        <f>IF(R18="","",COUNTIF($C$5:$C$6004,R18))</f>
        <v/>
      </c>
      <c r="W18" s="2">
        <f>IF(R18="","",COUNTIFS($C$5:$C$6004,R18,$O$5:$O$6004,"CONCLUÍDA"))</f>
        <v/>
      </c>
      <c r="X18" s="2">
        <f>IF(R18="","",COUNTIFS($C$5:$C$6004,R18,$O$5:$O$6004,"EM ANDAMENTO"))</f>
        <v/>
      </c>
      <c r="Y18" s="2">
        <f>IF(R18="","",IF(COUNTIFS($C$5:$C$6004,R18,$O$5:$O$6004,"CONCLUÍDA",$N$5:$N$6004,"&gt;=-99")=0,"",_xlfn.MAXIFS($N$5:$N$6004,$C$5:$C$6004,R18,$O$5:$O$6004,"CONCLUÍDA")))</f>
        <v/>
      </c>
      <c r="Z18" s="2">
        <f>IF(R18="","",IF(COUNTIFS($C$5:$C$6004,R18,$O$5:$O$6004,"EM ANDAMENTO",$N$5:$N$6004,"&gt;=-99")=0,"",_xlfn.MAXIFS($N$5:$N$6004,$C$5:$C$6004,R18,$O$5:$O$6004,"EM ANDAMENTO")))</f>
        <v/>
      </c>
      <c r="AA18" s="2">
        <f>IF(OR(R18="",S18="",U18&lt;&gt;"SIM",V18=0),"",IF(W18+X18=0,"",T18&amp;": "&amp;IF(W18=V18,"concluído",IF(W18=0,"em execução"&amp;IF(Z18&lt;&gt;""," ("&amp;IF(Z18&lt;0,IF(COUNTIF($E$5:$E$6004,"SUBSOLO*")&gt;0,"subsolo",-Z18&amp;"º subsolo"),IF(Z18=0,"térreo",Z18&amp;"º pav."))&amp;")",""),IF(Y18&lt;&gt;"","até "&amp;IF(Y18&lt;0,IF(COUNTIF($E$5:$E$6004,"SUBSOLO*")&gt;0,"subsolo",-Y18&amp;"º subsolo"),IF(Y18=0,"térreo",Y18&amp;"º pav.")),W18&amp;" de "&amp;V18&amp;" concluídas")&amp;IF(Z18="","",IF(OR(Y18="",Z18&gt;Y18),", executando "&amp;IF(Z18&lt;0,IF(COUNTIF($E$5:$E$6004,"SUBSOLO*")&gt;0,"subsolo",-Z18&amp;"º subsolo"),IF(Z18=0,"térreo",Z18&amp;"º pav."))," (restam serviços no "&amp;IF(Z18&lt;0,IF(COUNTIF($E$5:$E$6004,"SUBSOLO*")&gt;0,"subsolo",-Z18&amp;"º subsolo"),IF(Z18=0,"térreo",Z18&amp;"º pav."))&amp;")"))))))</f>
        <v/>
      </c>
    </row>
    <row r="19">
      <c r="B19" s="4" t="n">
        <v>13543240</v>
      </c>
      <c r="C19" s="4" t="inlineStr">
        <is>
          <t>VIGA DE COROAMENTO (TRECHO - RUA MANACA 1º ETAPA)</t>
        </is>
      </c>
      <c r="D19" s="4" t="inlineStr">
        <is>
          <t>Aterro</t>
        </is>
      </c>
      <c r="E19" s="4" t="inlineStr">
        <is>
          <t>SERVIÇOS INICIAIS</t>
        </is>
      </c>
      <c r="F19" s="126" t="n">
        <v>45933</v>
      </c>
      <c r="G19" s="126" t="n">
        <v>45933</v>
      </c>
      <c r="H19" s="126" t="n">
        <v>46289</v>
      </c>
      <c r="I19" s="4" t="n">
        <v>100</v>
      </c>
      <c r="J19" s="4" t="n">
        <v>100</v>
      </c>
      <c r="K19" s="4" t="n">
        <v>100</v>
      </c>
      <c r="M19" s="2">
        <f>IF(C19="","",IFERROR(INDEX($S$5:$S$304,MATCH(C19,$R$5:$R$304,0))&amp;"","?"))</f>
        <v/>
      </c>
      <c r="N19" s="2">
        <f>IF(E19="","",IF(ISNUMBER(SEARCH("SUBSOLO",E19)),IFERROR(-VALUE(LEFT(E19,FIND("º",SUBSTITUTE(E19,"°","º"))-1)),-1),IF(LEFT(E19,6)="TÉRREO",0,IFERROR(VALUE(LEFT(E19,FIND("º",SUBSTITUTE(E19,"°","º"))-1)),""))))</f>
        <v/>
      </c>
      <c r="O19" s="2">
        <f>IF(OR(F19="",G19=""),"",IF(G19&lt;='RETRATO 2027'!$K$5,"CONCLUÍDA",IF(F19&lt;='RETRATO 2027'!$K$5,"EM ANDAMENTO","A INICIAR")))</f>
        <v/>
      </c>
      <c r="R19" s="4" t="inlineStr">
        <is>
          <t>FUNDAÇÃO SUPERFICIAL - FASE 1</t>
        </is>
      </c>
      <c r="S19" s="4" t="inlineStr">
        <is>
          <t>16</t>
        </is>
      </c>
      <c r="T19" s="4" t="inlineStr">
        <is>
          <t>Fundação superficial - fase 1</t>
        </is>
      </c>
      <c r="U19" s="4" t="inlineStr">
        <is>
          <t>NÃO</t>
        </is>
      </c>
      <c r="V19" s="2">
        <f>IF(R19="","",COUNTIF($C$5:$C$6004,R19))</f>
        <v/>
      </c>
      <c r="W19" s="2">
        <f>IF(R19="","",COUNTIFS($C$5:$C$6004,R19,$O$5:$O$6004,"CONCLUÍDA"))</f>
        <v/>
      </c>
      <c r="X19" s="2">
        <f>IF(R19="","",COUNTIFS($C$5:$C$6004,R19,$O$5:$O$6004,"EM ANDAMENTO"))</f>
        <v/>
      </c>
      <c r="Y19" s="2">
        <f>IF(R19="","",IF(COUNTIFS($C$5:$C$6004,R19,$O$5:$O$6004,"CONCLUÍDA",$N$5:$N$6004,"&gt;=-99")=0,"",_xlfn.MAXIFS($N$5:$N$6004,$C$5:$C$6004,R19,$O$5:$O$6004,"CONCLUÍDA")))</f>
        <v/>
      </c>
      <c r="Z19" s="2">
        <f>IF(R19="","",IF(COUNTIFS($C$5:$C$6004,R19,$O$5:$O$6004,"EM ANDAMENTO",$N$5:$N$6004,"&gt;=-99")=0,"",_xlfn.MAXIFS($N$5:$N$6004,$C$5:$C$6004,R19,$O$5:$O$6004,"EM ANDAMENTO")))</f>
        <v/>
      </c>
      <c r="AA19" s="2">
        <f>IF(OR(R19="",S19="",U19&lt;&gt;"SIM",V19=0),"",IF(W19+X19=0,"",T19&amp;": "&amp;IF(W19=V19,"concluído",IF(W19=0,"em execução"&amp;IF(Z19&lt;&gt;""," ("&amp;IF(Z19&lt;0,IF(COUNTIF($E$5:$E$6004,"SUBSOLO*")&gt;0,"subsolo",-Z19&amp;"º subsolo"),IF(Z19=0,"térreo",Z19&amp;"º pav."))&amp;")",""),IF(Y19&lt;&gt;"","até "&amp;IF(Y19&lt;0,IF(COUNTIF($E$5:$E$6004,"SUBSOLO*")&gt;0,"subsolo",-Y19&amp;"º subsolo"),IF(Y19=0,"térreo",Y19&amp;"º pav.")),W19&amp;" de "&amp;V19&amp;" concluídas")&amp;IF(Z19="","",IF(OR(Y19="",Z19&gt;Y19),", executando "&amp;IF(Z19&lt;0,IF(COUNTIF($E$5:$E$6004,"SUBSOLO*")&gt;0,"subsolo",-Z19&amp;"º subsolo"),IF(Z19=0,"térreo",Z19&amp;"º pav."))," (restam serviços no "&amp;IF(Z19&lt;0,IF(COUNTIF($E$5:$E$6004,"SUBSOLO*")&gt;0,"subsolo",-Z19&amp;"º subsolo"),IF(Z19=0,"térreo",Z19&amp;"º pav."))&amp;")"))))))</f>
        <v/>
      </c>
    </row>
    <row r="20">
      <c r="B20" s="4" t="n">
        <v>33143219</v>
      </c>
      <c r="C20" s="4" t="inlineStr">
        <is>
          <t>VIGA DE COROAMENTO (TRECHO - RUA MANACA 2º ETAPA)</t>
        </is>
      </c>
      <c r="D20" s="4" t="inlineStr">
        <is>
          <t>-</t>
        </is>
      </c>
      <c r="E20" s="4" t="inlineStr">
        <is>
          <t>SERVIÇOS INICIAIS</t>
        </is>
      </c>
      <c r="F20" s="126" t="n">
        <v>45915</v>
      </c>
      <c r="G20" s="126" t="n">
        <v>45936</v>
      </c>
      <c r="H20" s="126" t="n">
        <v>46289</v>
      </c>
      <c r="I20" s="4" t="n">
        <v>100</v>
      </c>
      <c r="J20" s="4" t="n">
        <v>100</v>
      </c>
      <c r="K20" s="4" t="n">
        <v>100</v>
      </c>
      <c r="M20" s="2">
        <f>IF(C20="","",IFERROR(INDEX($S$5:$S$304,MATCH(C20,$R$5:$R$304,0))&amp;"","?"))</f>
        <v/>
      </c>
      <c r="N20" s="2">
        <f>IF(E20="","",IF(ISNUMBER(SEARCH("SUBSOLO",E20)),IFERROR(-VALUE(LEFT(E20,FIND("º",SUBSTITUTE(E20,"°","º"))-1)),-1),IF(LEFT(E20,6)="TÉRREO",0,IFERROR(VALUE(LEFT(E20,FIND("º",SUBSTITUTE(E20,"°","º"))-1)),""))))</f>
        <v/>
      </c>
      <c r="O20" s="2">
        <f>IF(OR(F20="",G20=""),"",IF(G20&lt;='RETRATO 2027'!$K$5,"CONCLUÍDA",IF(F20&lt;='RETRATO 2027'!$K$5,"EM ANDAMENTO","A INICIAR")))</f>
        <v/>
      </c>
      <c r="R20" s="4" t="inlineStr">
        <is>
          <t>FUNDAÇÃO SUPERFICIAL - FASE 2</t>
        </is>
      </c>
      <c r="S20" s="4" t="inlineStr">
        <is>
          <t>16</t>
        </is>
      </c>
      <c r="T20" s="4" t="inlineStr">
        <is>
          <t>Fundação superficial - fase 2</t>
        </is>
      </c>
      <c r="U20" s="4" t="inlineStr">
        <is>
          <t>SIM</t>
        </is>
      </c>
      <c r="V20" s="2">
        <f>IF(R20="","",COUNTIF($C$5:$C$6004,R20))</f>
        <v/>
      </c>
      <c r="W20" s="2">
        <f>IF(R20="","",COUNTIFS($C$5:$C$6004,R20,$O$5:$O$6004,"CONCLUÍDA"))</f>
        <v/>
      </c>
      <c r="X20" s="2">
        <f>IF(R20="","",COUNTIFS($C$5:$C$6004,R20,$O$5:$O$6004,"EM ANDAMENTO"))</f>
        <v/>
      </c>
      <c r="Y20" s="2">
        <f>IF(R20="","",IF(COUNTIFS($C$5:$C$6004,R20,$O$5:$O$6004,"CONCLUÍDA",$N$5:$N$6004,"&gt;=-99")=0,"",_xlfn.MAXIFS($N$5:$N$6004,$C$5:$C$6004,R20,$O$5:$O$6004,"CONCLUÍDA")))</f>
        <v/>
      </c>
      <c r="Z20" s="2">
        <f>IF(R20="","",IF(COUNTIFS($C$5:$C$6004,R20,$O$5:$O$6004,"EM ANDAMENTO",$N$5:$N$6004,"&gt;=-99")=0,"",_xlfn.MAXIFS($N$5:$N$6004,$C$5:$C$6004,R20,$O$5:$O$6004,"EM ANDAMENTO")))</f>
        <v/>
      </c>
      <c r="AA20" s="2">
        <f>IF(OR(R20="",S20="",U20&lt;&gt;"SIM",V20=0),"",IF(W20+X20=0,"",T20&amp;": "&amp;IF(W20=V20,"concluído",IF(W20=0,"em execução"&amp;IF(Z20&lt;&gt;""," ("&amp;IF(Z20&lt;0,IF(COUNTIF($E$5:$E$6004,"SUBSOLO*")&gt;0,"subsolo",-Z20&amp;"º subsolo"),IF(Z20=0,"térreo",Z20&amp;"º pav."))&amp;")",""),IF(Y20&lt;&gt;"","até "&amp;IF(Y20&lt;0,IF(COUNTIF($E$5:$E$6004,"SUBSOLO*")&gt;0,"subsolo",-Y20&amp;"º subsolo"),IF(Y20=0,"térreo",Y20&amp;"º pav.")),W20&amp;" de "&amp;V20&amp;" concluídas")&amp;IF(Z20="","",IF(OR(Y20="",Z20&gt;Y20),", executando "&amp;IF(Z20&lt;0,IF(COUNTIF($E$5:$E$6004,"SUBSOLO*")&gt;0,"subsolo",-Z20&amp;"º subsolo"),IF(Z20=0,"térreo",Z20&amp;"º pav."))," (restam serviços no "&amp;IF(Z20&lt;0,IF(COUNTIF($E$5:$E$6004,"SUBSOLO*")&gt;0,"subsolo",-Z20&amp;"º subsolo"),IF(Z20=0,"térreo",Z20&amp;"º pav."))&amp;")"))))))</f>
        <v/>
      </c>
    </row>
    <row r="21">
      <c r="B21" s="4" t="n">
        <v>13543287</v>
      </c>
      <c r="C21" s="4" t="inlineStr">
        <is>
          <t>VIGA DE COROAMENTO (TRECHO - RUA MANACA 2º ETAPA)</t>
        </is>
      </c>
      <c r="D21" s="4" t="inlineStr">
        <is>
          <t>Escavação e Arrasamento</t>
        </is>
      </c>
      <c r="E21" s="4" t="inlineStr">
        <is>
          <t>SERVIÇOS INICIAIS</t>
        </is>
      </c>
      <c r="F21" s="126" t="n">
        <v>45915</v>
      </c>
      <c r="G21" s="126" t="n">
        <v>45919</v>
      </c>
      <c r="H21" s="126" t="n">
        <v>46289</v>
      </c>
      <c r="I21" s="4" t="n">
        <v>100</v>
      </c>
      <c r="J21" s="4" t="n">
        <v>100</v>
      </c>
      <c r="K21" s="4" t="n">
        <v>100</v>
      </c>
      <c r="M21" s="2">
        <f>IF(C21="","",IFERROR(INDEX($S$5:$S$304,MATCH(C21,$R$5:$R$304,0))&amp;"","?"))</f>
        <v/>
      </c>
      <c r="N21" s="2">
        <f>IF(E21="","",IF(ISNUMBER(SEARCH("SUBSOLO",E21)),IFERROR(-VALUE(LEFT(E21,FIND("º",SUBSTITUTE(E21,"°","º"))-1)),-1),IF(LEFT(E21,6)="TÉRREO",0,IFERROR(VALUE(LEFT(E21,FIND("º",SUBSTITUTE(E21,"°","º"))-1)),""))))</f>
        <v/>
      </c>
      <c r="O21" s="2">
        <f>IF(OR(F21="",G21=""),"",IF(G21&lt;='RETRATO 2027'!$K$5,"CONCLUÍDA",IF(F21&lt;='RETRATO 2027'!$K$5,"EM ANDAMENTO","A INICIAR")))</f>
        <v/>
      </c>
      <c r="R21" s="4" t="inlineStr">
        <is>
          <t>CONTENÇÃO - BLOCO DO ELEVADOR</t>
        </is>
      </c>
      <c r="S21" s="4" t="inlineStr">
        <is>
          <t>13</t>
        </is>
      </c>
      <c r="T21" s="4" t="inlineStr">
        <is>
          <t>Contenção - bloco do elevador</t>
        </is>
      </c>
      <c r="U21" s="4" t="inlineStr">
        <is>
          <t>SIM</t>
        </is>
      </c>
      <c r="V21" s="2">
        <f>IF(R21="","",COUNTIF($C$5:$C$6004,R21))</f>
        <v/>
      </c>
      <c r="W21" s="2">
        <f>IF(R21="","",COUNTIFS($C$5:$C$6004,R21,$O$5:$O$6004,"CONCLUÍDA"))</f>
        <v/>
      </c>
      <c r="X21" s="2">
        <f>IF(R21="","",COUNTIFS($C$5:$C$6004,R21,$O$5:$O$6004,"EM ANDAMENTO"))</f>
        <v/>
      </c>
      <c r="Y21" s="2">
        <f>IF(R21="","",IF(COUNTIFS($C$5:$C$6004,R21,$O$5:$O$6004,"CONCLUÍDA",$N$5:$N$6004,"&gt;=-99")=0,"",_xlfn.MAXIFS($N$5:$N$6004,$C$5:$C$6004,R21,$O$5:$O$6004,"CONCLUÍDA")))</f>
        <v/>
      </c>
      <c r="Z21" s="2">
        <f>IF(R21="","",IF(COUNTIFS($C$5:$C$6004,R21,$O$5:$O$6004,"EM ANDAMENTO",$N$5:$N$6004,"&gt;=-99")=0,"",_xlfn.MAXIFS($N$5:$N$6004,$C$5:$C$6004,R21,$O$5:$O$6004,"EM ANDAMENTO")))</f>
        <v/>
      </c>
      <c r="AA21" s="2">
        <f>IF(OR(R21="",S21="",U21&lt;&gt;"SIM",V21=0),"",IF(W21+X21=0,"",T21&amp;": "&amp;IF(W21=V21,"concluído",IF(W21=0,"em execução"&amp;IF(Z21&lt;&gt;""," ("&amp;IF(Z21&lt;0,IF(COUNTIF($E$5:$E$6004,"SUBSOLO*")&gt;0,"subsolo",-Z21&amp;"º subsolo"),IF(Z21=0,"térreo",Z21&amp;"º pav."))&amp;")",""),IF(Y21&lt;&gt;"","até "&amp;IF(Y21&lt;0,IF(COUNTIF($E$5:$E$6004,"SUBSOLO*")&gt;0,"subsolo",-Y21&amp;"º subsolo"),IF(Y21=0,"térreo",Y21&amp;"º pav.")),W21&amp;" de "&amp;V21&amp;" concluídas")&amp;IF(Z21="","",IF(OR(Y21="",Z21&gt;Y21),", executando "&amp;IF(Z21&lt;0,IF(COUNTIF($E$5:$E$6004,"SUBSOLO*")&gt;0,"subsolo",-Z21&amp;"º subsolo"),IF(Z21=0,"térreo",Z21&amp;"º pav."))," (restam serviços no "&amp;IF(Z21&lt;0,IF(COUNTIF($E$5:$E$6004,"SUBSOLO*")&gt;0,"subsolo",-Z21&amp;"º subsolo"),IF(Z21=0,"térreo",Z21&amp;"º pav."))&amp;")"))))))</f>
        <v/>
      </c>
    </row>
    <row r="22">
      <c r="B22" s="4" t="n">
        <v>13543288</v>
      </c>
      <c r="C22" s="4" t="inlineStr">
        <is>
          <t>VIGA DE COROAMENTO (TRECHO - RUA MANACA 2º ETAPA)</t>
        </is>
      </c>
      <c r="D22" s="4" t="inlineStr">
        <is>
          <t>Armação</t>
        </is>
      </c>
      <c r="E22" s="4" t="inlineStr">
        <is>
          <t>SERVIÇOS INICIAIS</t>
        </is>
      </c>
      <c r="F22" s="126" t="n">
        <v>45922</v>
      </c>
      <c r="G22" s="126" t="n">
        <v>45925</v>
      </c>
      <c r="H22" s="126" t="n">
        <v>46289</v>
      </c>
      <c r="I22" s="4" t="n">
        <v>100</v>
      </c>
      <c r="J22" s="4" t="n">
        <v>100</v>
      </c>
      <c r="K22" s="4" t="n">
        <v>100</v>
      </c>
      <c r="M22" s="2">
        <f>IF(C22="","",IFERROR(INDEX($S$5:$S$304,MATCH(C22,$R$5:$R$304,0))&amp;"","?"))</f>
        <v/>
      </c>
      <c r="N22" s="2">
        <f>IF(E22="","",IF(ISNUMBER(SEARCH("SUBSOLO",E22)),IFERROR(-VALUE(LEFT(E22,FIND("º",SUBSTITUTE(E22,"°","º"))-1)),-1),IF(LEFT(E22,6)="TÉRREO",0,IFERROR(VALUE(LEFT(E22,FIND("º",SUBSTITUTE(E22,"°","º"))-1)),""))))</f>
        <v/>
      </c>
      <c r="O22" s="2">
        <f>IF(OR(F22="",G22=""),"",IF(G22&lt;='RETRATO 2027'!$K$5,"CONCLUÍDA",IF(F22&lt;='RETRATO 2027'!$K$5,"EM ANDAMENTO","A INICIAR")))</f>
        <v/>
      </c>
      <c r="R22" s="4" t="inlineStr">
        <is>
          <t>FUNDAÇÃO SUPERFICIAL - FASE 3</t>
        </is>
      </c>
      <c r="S22" s="4" t="inlineStr">
        <is>
          <t>16</t>
        </is>
      </c>
      <c r="T22" s="4" t="inlineStr">
        <is>
          <t>Fundação superficial - fase 3</t>
        </is>
      </c>
      <c r="U22" s="4" t="inlineStr">
        <is>
          <t>SIM</t>
        </is>
      </c>
      <c r="V22" s="2">
        <f>IF(R22="","",COUNTIF($C$5:$C$6004,R22))</f>
        <v/>
      </c>
      <c r="W22" s="2">
        <f>IF(R22="","",COUNTIFS($C$5:$C$6004,R22,$O$5:$O$6004,"CONCLUÍDA"))</f>
        <v/>
      </c>
      <c r="X22" s="2">
        <f>IF(R22="","",COUNTIFS($C$5:$C$6004,R22,$O$5:$O$6004,"EM ANDAMENTO"))</f>
        <v/>
      </c>
      <c r="Y22" s="2">
        <f>IF(R22="","",IF(COUNTIFS($C$5:$C$6004,R22,$O$5:$O$6004,"CONCLUÍDA",$N$5:$N$6004,"&gt;=-99")=0,"",_xlfn.MAXIFS($N$5:$N$6004,$C$5:$C$6004,R22,$O$5:$O$6004,"CONCLUÍDA")))</f>
        <v/>
      </c>
      <c r="Z22" s="2">
        <f>IF(R22="","",IF(COUNTIFS($C$5:$C$6004,R22,$O$5:$O$6004,"EM ANDAMENTO",$N$5:$N$6004,"&gt;=-99")=0,"",_xlfn.MAXIFS($N$5:$N$6004,$C$5:$C$6004,R22,$O$5:$O$6004,"EM ANDAMENTO")))</f>
        <v/>
      </c>
      <c r="AA22" s="2">
        <f>IF(OR(R22="",S22="",U22&lt;&gt;"SIM",V22=0),"",IF(W22+X22=0,"",T22&amp;": "&amp;IF(W22=V22,"concluído",IF(W22=0,"em execução"&amp;IF(Z22&lt;&gt;""," ("&amp;IF(Z22&lt;0,IF(COUNTIF($E$5:$E$6004,"SUBSOLO*")&gt;0,"subsolo",-Z22&amp;"º subsolo"),IF(Z22=0,"térreo",Z22&amp;"º pav."))&amp;")",""),IF(Y22&lt;&gt;"","até "&amp;IF(Y22&lt;0,IF(COUNTIF($E$5:$E$6004,"SUBSOLO*")&gt;0,"subsolo",-Y22&amp;"º subsolo"),IF(Y22=0,"térreo",Y22&amp;"º pav.")),W22&amp;" de "&amp;V22&amp;" concluídas")&amp;IF(Z22="","",IF(OR(Y22="",Z22&gt;Y22),", executando "&amp;IF(Z22&lt;0,IF(COUNTIF($E$5:$E$6004,"SUBSOLO*")&gt;0,"subsolo",-Z22&amp;"º subsolo"),IF(Z22=0,"térreo",Z22&amp;"º pav."))," (restam serviços no "&amp;IF(Z22&lt;0,IF(COUNTIF($E$5:$E$6004,"SUBSOLO*")&gt;0,"subsolo",-Z22&amp;"º subsolo"),IF(Z22=0,"térreo",Z22&amp;"º pav."))&amp;")"))))))</f>
        <v/>
      </c>
    </row>
    <row r="23">
      <c r="B23" s="4" t="n">
        <v>13543289</v>
      </c>
      <c r="C23" s="4" t="inlineStr">
        <is>
          <t>VIGA DE COROAMENTO (TRECHO - RUA MANACA 2º ETAPA)</t>
        </is>
      </c>
      <c r="D23" s="4" t="inlineStr">
        <is>
          <t>Forma</t>
        </is>
      </c>
      <c r="E23" s="4" t="inlineStr">
        <is>
          <t>SERVIÇOS INICIAIS</t>
        </is>
      </c>
      <c r="F23" s="126" t="n">
        <v>45923</v>
      </c>
      <c r="G23" s="126" t="n">
        <v>45925</v>
      </c>
      <c r="H23" s="126" t="n">
        <v>46289</v>
      </c>
      <c r="I23" s="4" t="n">
        <v>100</v>
      </c>
      <c r="J23" s="4" t="n">
        <v>100</v>
      </c>
      <c r="K23" s="4" t="n">
        <v>100</v>
      </c>
      <c r="M23" s="2">
        <f>IF(C23="","",IFERROR(INDEX($S$5:$S$304,MATCH(C23,$R$5:$R$304,0))&amp;"","?"))</f>
        <v/>
      </c>
      <c r="N23" s="2">
        <f>IF(E23="","",IF(ISNUMBER(SEARCH("SUBSOLO",E23)),IFERROR(-VALUE(LEFT(E23,FIND("º",SUBSTITUTE(E23,"°","º"))-1)),-1),IF(LEFT(E23,6)="TÉRREO",0,IFERROR(VALUE(LEFT(E23,FIND("º",SUBSTITUTE(E23,"°","º"))-1)),""))))</f>
        <v/>
      </c>
      <c r="O23" s="2">
        <f>IF(OR(F23="",G23=""),"",IF(G23&lt;='RETRATO 2027'!$K$5,"CONCLUÍDA",IF(F23&lt;='RETRATO 2027'!$K$5,"EM ANDAMENTO","A INICIAR")))</f>
        <v/>
      </c>
      <c r="R23" s="4" t="inlineStr">
        <is>
          <t>FUNDAÇÃO SUPERFICIAL - NUCLEO</t>
        </is>
      </c>
      <c r="S23" s="4" t="inlineStr">
        <is>
          <t>16</t>
        </is>
      </c>
      <c r="T23" s="4" t="inlineStr">
        <is>
          <t>Fundação superficial - nucleo</t>
        </is>
      </c>
      <c r="U23" s="4" t="inlineStr">
        <is>
          <t>NÃO</t>
        </is>
      </c>
      <c r="V23" s="2">
        <f>IF(R23="","",COUNTIF($C$5:$C$6004,R23))</f>
        <v/>
      </c>
      <c r="W23" s="2">
        <f>IF(R23="","",COUNTIFS($C$5:$C$6004,R23,$O$5:$O$6004,"CONCLUÍDA"))</f>
        <v/>
      </c>
      <c r="X23" s="2">
        <f>IF(R23="","",COUNTIFS($C$5:$C$6004,R23,$O$5:$O$6004,"EM ANDAMENTO"))</f>
        <v/>
      </c>
      <c r="Y23" s="2">
        <f>IF(R23="","",IF(COUNTIFS($C$5:$C$6004,R23,$O$5:$O$6004,"CONCLUÍDA",$N$5:$N$6004,"&gt;=-99")=0,"",_xlfn.MAXIFS($N$5:$N$6004,$C$5:$C$6004,R23,$O$5:$O$6004,"CONCLUÍDA")))</f>
        <v/>
      </c>
      <c r="Z23" s="2">
        <f>IF(R23="","",IF(COUNTIFS($C$5:$C$6004,R23,$O$5:$O$6004,"EM ANDAMENTO",$N$5:$N$6004,"&gt;=-99")=0,"",_xlfn.MAXIFS($N$5:$N$6004,$C$5:$C$6004,R23,$O$5:$O$6004,"EM ANDAMENTO")))</f>
        <v/>
      </c>
      <c r="AA23" s="2">
        <f>IF(OR(R23="",S23="",U23&lt;&gt;"SIM",V23=0),"",IF(W23+X23=0,"",T23&amp;": "&amp;IF(W23=V23,"concluído",IF(W23=0,"em execução"&amp;IF(Z23&lt;&gt;""," ("&amp;IF(Z23&lt;0,IF(COUNTIF($E$5:$E$6004,"SUBSOLO*")&gt;0,"subsolo",-Z23&amp;"º subsolo"),IF(Z23=0,"térreo",Z23&amp;"º pav."))&amp;")",""),IF(Y23&lt;&gt;"","até "&amp;IF(Y23&lt;0,IF(COUNTIF($E$5:$E$6004,"SUBSOLO*")&gt;0,"subsolo",-Y23&amp;"º subsolo"),IF(Y23=0,"térreo",Y23&amp;"º pav.")),W23&amp;" de "&amp;V23&amp;" concluídas")&amp;IF(Z23="","",IF(OR(Y23="",Z23&gt;Y23),", executando "&amp;IF(Z23&lt;0,IF(COUNTIF($E$5:$E$6004,"SUBSOLO*")&gt;0,"subsolo",-Z23&amp;"º subsolo"),IF(Z23=0,"térreo",Z23&amp;"º pav."))," (restam serviços no "&amp;IF(Z23&lt;0,IF(COUNTIF($E$5:$E$6004,"SUBSOLO*")&gt;0,"subsolo",-Z23&amp;"º subsolo"),IF(Z23=0,"térreo",Z23&amp;"º pav."))&amp;")"))))))</f>
        <v/>
      </c>
    </row>
    <row r="24">
      <c r="B24" s="4" t="n">
        <v>13543290</v>
      </c>
      <c r="C24" s="4" t="inlineStr">
        <is>
          <t>VIGA DE COROAMENTO (TRECHO - RUA MANACA 2º ETAPA)</t>
        </is>
      </c>
      <c r="D24" s="4" t="inlineStr">
        <is>
          <t>Concretagem</t>
        </is>
      </c>
      <c r="E24" s="4" t="inlineStr">
        <is>
          <t>SERVIÇOS INICIAIS</t>
        </is>
      </c>
      <c r="F24" s="126" t="n">
        <v>45926</v>
      </c>
      <c r="G24" s="126" t="n">
        <v>45933</v>
      </c>
      <c r="H24" s="126" t="n">
        <v>46289</v>
      </c>
      <c r="I24" s="4" t="n">
        <v>100</v>
      </c>
      <c r="J24" s="4" t="n">
        <v>100</v>
      </c>
      <c r="K24" s="4" t="n">
        <v>100</v>
      </c>
      <c r="M24" s="2">
        <f>IF(C24="","",IFERROR(INDEX($S$5:$S$304,MATCH(C24,$R$5:$R$304,0))&amp;"","?"))</f>
        <v/>
      </c>
      <c r="N24" s="2">
        <f>IF(E24="","",IF(ISNUMBER(SEARCH("SUBSOLO",E24)),IFERROR(-VALUE(LEFT(E24,FIND("º",SUBSTITUTE(E24,"°","º"))-1)),-1),IF(LEFT(E24,6)="TÉRREO",0,IFERROR(VALUE(LEFT(E24,FIND("º",SUBSTITUTE(E24,"°","º"))-1)),""))))</f>
        <v/>
      </c>
      <c r="O24" s="2">
        <f>IF(OR(F24="",G24=""),"",IF(G24&lt;='RETRATO 2027'!$K$5,"CONCLUÍDA",IF(F24&lt;='RETRATO 2027'!$K$5,"EM ANDAMENTO","A INICIAR")))</f>
        <v/>
      </c>
      <c r="R24" s="4" t="inlineStr">
        <is>
          <t>FUNDAÇÃO SUPERFICIAL - FASE 4</t>
        </is>
      </c>
      <c r="S24" s="4" t="inlineStr">
        <is>
          <t>16</t>
        </is>
      </c>
      <c r="T24" s="4" t="inlineStr">
        <is>
          <t>Fundação superficial - fase 4</t>
        </is>
      </c>
      <c r="U24" s="4" t="inlineStr">
        <is>
          <t>NÃO</t>
        </is>
      </c>
      <c r="V24" s="2">
        <f>IF(R24="","",COUNTIF($C$5:$C$6004,R24))</f>
        <v/>
      </c>
      <c r="W24" s="2">
        <f>IF(R24="","",COUNTIFS($C$5:$C$6004,R24,$O$5:$O$6004,"CONCLUÍDA"))</f>
        <v/>
      </c>
      <c r="X24" s="2">
        <f>IF(R24="","",COUNTIFS($C$5:$C$6004,R24,$O$5:$O$6004,"EM ANDAMENTO"))</f>
        <v/>
      </c>
      <c r="Y24" s="2">
        <f>IF(R24="","",IF(COUNTIFS($C$5:$C$6004,R24,$O$5:$O$6004,"CONCLUÍDA",$N$5:$N$6004,"&gt;=-99")=0,"",_xlfn.MAXIFS($N$5:$N$6004,$C$5:$C$6004,R24,$O$5:$O$6004,"CONCLUÍDA")))</f>
        <v/>
      </c>
      <c r="Z24" s="2">
        <f>IF(R24="","",IF(COUNTIFS($C$5:$C$6004,R24,$O$5:$O$6004,"EM ANDAMENTO",$N$5:$N$6004,"&gt;=-99")=0,"",_xlfn.MAXIFS($N$5:$N$6004,$C$5:$C$6004,R24,$O$5:$O$6004,"EM ANDAMENTO")))</f>
        <v/>
      </c>
      <c r="AA24" s="2">
        <f>IF(OR(R24="",S24="",U24&lt;&gt;"SIM",V24=0),"",IF(W24+X24=0,"",T24&amp;": "&amp;IF(W24=V24,"concluído",IF(W24=0,"em execução"&amp;IF(Z24&lt;&gt;""," ("&amp;IF(Z24&lt;0,IF(COUNTIF($E$5:$E$6004,"SUBSOLO*")&gt;0,"subsolo",-Z24&amp;"º subsolo"),IF(Z24=0,"térreo",Z24&amp;"º pav."))&amp;")",""),IF(Y24&lt;&gt;"","até "&amp;IF(Y24&lt;0,IF(COUNTIF($E$5:$E$6004,"SUBSOLO*")&gt;0,"subsolo",-Y24&amp;"º subsolo"),IF(Y24=0,"térreo",Y24&amp;"º pav.")),W24&amp;" de "&amp;V24&amp;" concluídas")&amp;IF(Z24="","",IF(OR(Y24="",Z24&gt;Y24),", executando "&amp;IF(Z24&lt;0,IF(COUNTIF($E$5:$E$6004,"SUBSOLO*")&gt;0,"subsolo",-Z24&amp;"º subsolo"),IF(Z24=0,"térreo",Z24&amp;"º pav."))," (restam serviços no "&amp;IF(Z24&lt;0,IF(COUNTIF($E$5:$E$6004,"SUBSOLO*")&gt;0,"subsolo",-Z24&amp;"º subsolo"),IF(Z24=0,"térreo",Z24&amp;"º pav."))&amp;")"))))))</f>
        <v/>
      </c>
    </row>
    <row r="25">
      <c r="B25" s="4" t="n">
        <v>13543291</v>
      </c>
      <c r="C25" s="4" t="inlineStr">
        <is>
          <t>VIGA DE COROAMENTO (TRECHO - RUA MANACA 2º ETAPA)</t>
        </is>
      </c>
      <c r="D25" s="4" t="inlineStr">
        <is>
          <t>Aterro</t>
        </is>
      </c>
      <c r="E25" s="4" t="inlineStr">
        <is>
          <t>SERVIÇOS INICIAIS</t>
        </is>
      </c>
      <c r="F25" s="126" t="n">
        <v>45936</v>
      </c>
      <c r="G25" s="126" t="n">
        <v>45936</v>
      </c>
      <c r="H25" s="126" t="n">
        <v>46289</v>
      </c>
      <c r="I25" s="4" t="n">
        <v>100</v>
      </c>
      <c r="J25" s="4" t="n">
        <v>100</v>
      </c>
      <c r="K25" s="4" t="n">
        <v>100</v>
      </c>
      <c r="M25" s="2">
        <f>IF(C25="","",IFERROR(INDEX($S$5:$S$304,MATCH(C25,$R$5:$R$304,0))&amp;"","?"))</f>
        <v/>
      </c>
      <c r="N25" s="2">
        <f>IF(E25="","",IF(ISNUMBER(SEARCH("SUBSOLO",E25)),IFERROR(-VALUE(LEFT(E25,FIND("º",SUBSTITUTE(E25,"°","º"))-1)),-1),IF(LEFT(E25,6)="TÉRREO",0,IFERROR(VALUE(LEFT(E25,FIND("º",SUBSTITUTE(E25,"°","º"))-1)),""))))</f>
        <v/>
      </c>
      <c r="O25" s="2">
        <f>IF(OR(F25="",G25=""),"",IF(G25&lt;='RETRATO 2027'!$K$5,"CONCLUÍDA",IF(F25&lt;='RETRATO 2027'!$K$5,"EM ANDAMENTO","A INICIAR")))</f>
        <v/>
      </c>
      <c r="R25" s="4" t="inlineStr">
        <is>
          <t>ESTRUTURA</t>
        </is>
      </c>
      <c r="S25" s="4" t="inlineStr">
        <is>
          <t>17</t>
        </is>
      </c>
      <c r="T25" s="4" t="inlineStr">
        <is>
          <t>Estrutura</t>
        </is>
      </c>
      <c r="U25" s="4" t="inlineStr">
        <is>
          <t>SIM</t>
        </is>
      </c>
      <c r="V25" s="2">
        <f>IF(R25="","",COUNTIF($C$5:$C$6004,R25))</f>
        <v/>
      </c>
      <c r="W25" s="2">
        <f>IF(R25="","",COUNTIFS($C$5:$C$6004,R25,$O$5:$O$6004,"CONCLUÍDA"))</f>
        <v/>
      </c>
      <c r="X25" s="2">
        <f>IF(R25="","",COUNTIFS($C$5:$C$6004,R25,$O$5:$O$6004,"EM ANDAMENTO"))</f>
        <v/>
      </c>
      <c r="Y25" s="2">
        <f>IF(R25="","",IF(COUNTIFS($C$5:$C$6004,R25,$O$5:$O$6004,"CONCLUÍDA",$N$5:$N$6004,"&gt;=-99")=0,"",_xlfn.MAXIFS($N$5:$N$6004,$C$5:$C$6004,R25,$O$5:$O$6004,"CONCLUÍDA")))</f>
        <v/>
      </c>
      <c r="Z25" s="2">
        <f>IF(R25="","",IF(COUNTIFS($C$5:$C$6004,R25,$O$5:$O$6004,"EM ANDAMENTO",$N$5:$N$6004,"&gt;=-99")=0,"",_xlfn.MAXIFS($N$5:$N$6004,$C$5:$C$6004,R25,$O$5:$O$6004,"EM ANDAMENTO")))</f>
        <v/>
      </c>
      <c r="AA25" s="2">
        <f>IF(OR(R25="",S25="",U25&lt;&gt;"SIM",V25=0),"",IF(W25+X25=0,"",T25&amp;": "&amp;IF(W25=V25,"concluído",IF(W25=0,"em execução"&amp;IF(Z25&lt;&gt;""," ("&amp;IF(Z25&lt;0,IF(COUNTIF($E$5:$E$6004,"SUBSOLO*")&gt;0,"subsolo",-Z25&amp;"º subsolo"),IF(Z25=0,"térreo",Z25&amp;"º pav."))&amp;")",""),IF(Y25&lt;&gt;"","até "&amp;IF(Y25&lt;0,IF(COUNTIF($E$5:$E$6004,"SUBSOLO*")&gt;0,"subsolo",-Y25&amp;"º subsolo"),IF(Y25=0,"térreo",Y25&amp;"º pav.")),W25&amp;" de "&amp;V25&amp;" concluídas")&amp;IF(Z25="","",IF(OR(Y25="",Z25&gt;Y25),", executando "&amp;IF(Z25&lt;0,IF(COUNTIF($E$5:$E$6004,"SUBSOLO*")&gt;0,"subsolo",-Z25&amp;"º subsolo"),IF(Z25=0,"térreo",Z25&amp;"º pav."))," (restam serviços no "&amp;IF(Z25&lt;0,IF(COUNTIF($E$5:$E$6004,"SUBSOLO*")&gt;0,"subsolo",-Z25&amp;"º subsolo"),IF(Z25=0,"térreo",Z25&amp;"º pav."))&amp;")"))))))</f>
        <v/>
      </c>
    </row>
    <row r="26">
      <c r="B26" s="4" t="n">
        <v>29933210</v>
      </c>
      <c r="C26" s="4" t="inlineStr">
        <is>
          <t>FUNDAÇÃO PROFUNDA</t>
        </is>
      </c>
      <c r="D26" s="4" t="inlineStr">
        <is>
          <t>-</t>
        </is>
      </c>
      <c r="E26" s="4" t="inlineStr">
        <is>
          <t>SERVIÇOS INICIAIS</t>
        </is>
      </c>
      <c r="F26" s="126" t="n">
        <v>45918</v>
      </c>
      <c r="G26" s="126" t="n">
        <v>46083</v>
      </c>
      <c r="H26" s="126" t="n">
        <v>46289</v>
      </c>
      <c r="I26" s="4" t="n">
        <v>100</v>
      </c>
      <c r="J26" s="4" t="n">
        <v>100</v>
      </c>
      <c r="K26" s="4" t="n">
        <v>100</v>
      </c>
      <c r="M26" s="2">
        <f>IF(C26="","",IFERROR(INDEX($S$5:$S$304,MATCH(C26,$R$5:$R$304,0))&amp;"","?"))</f>
        <v/>
      </c>
      <c r="N26" s="2">
        <f>IF(E26="","",IF(ISNUMBER(SEARCH("SUBSOLO",E26)),IFERROR(-VALUE(LEFT(E26,FIND("º",SUBSTITUTE(E26,"°","º"))-1)),-1),IF(LEFT(E26,6)="TÉRREO",0,IFERROR(VALUE(LEFT(E26,FIND("º",SUBSTITUTE(E26,"°","º"))-1)),""))))</f>
        <v/>
      </c>
      <c r="O26" s="2">
        <f>IF(OR(F26="",G26=""),"",IF(G26&lt;='RETRATO 2027'!$K$5,"CONCLUÍDA",IF(F26&lt;='RETRATO 2027'!$K$5,"EM ANDAMENTO","A INICIAR")))</f>
        <v/>
      </c>
      <c r="R26" s="4" t="inlineStr">
        <is>
          <t>FUNDAÇÃO SUPERFICIAL - FASE 5</t>
        </is>
      </c>
      <c r="S26" s="4" t="inlineStr">
        <is>
          <t>16</t>
        </is>
      </c>
      <c r="T26" s="4" t="inlineStr">
        <is>
          <t>Fundação superficial - fase 5</t>
        </is>
      </c>
      <c r="U26" s="4" t="inlineStr">
        <is>
          <t>SIM</t>
        </is>
      </c>
      <c r="V26" s="2">
        <f>IF(R26="","",COUNTIF($C$5:$C$6004,R26))</f>
        <v/>
      </c>
      <c r="W26" s="2">
        <f>IF(R26="","",COUNTIFS($C$5:$C$6004,R26,$O$5:$O$6004,"CONCLUÍDA"))</f>
        <v/>
      </c>
      <c r="X26" s="2">
        <f>IF(R26="","",COUNTIFS($C$5:$C$6004,R26,$O$5:$O$6004,"EM ANDAMENTO"))</f>
        <v/>
      </c>
      <c r="Y26" s="2">
        <f>IF(R26="","",IF(COUNTIFS($C$5:$C$6004,R26,$O$5:$O$6004,"CONCLUÍDA",$N$5:$N$6004,"&gt;=-99")=0,"",_xlfn.MAXIFS($N$5:$N$6004,$C$5:$C$6004,R26,$O$5:$O$6004,"CONCLUÍDA")))</f>
        <v/>
      </c>
      <c r="Z26" s="2">
        <f>IF(R26="","",IF(COUNTIFS($C$5:$C$6004,R26,$O$5:$O$6004,"EM ANDAMENTO",$N$5:$N$6004,"&gt;=-99")=0,"",_xlfn.MAXIFS($N$5:$N$6004,$C$5:$C$6004,R26,$O$5:$O$6004,"EM ANDAMENTO")))</f>
        <v/>
      </c>
      <c r="AA26" s="2">
        <f>IF(OR(R26="",S26="",U26&lt;&gt;"SIM",V26=0),"",IF(W26+X26=0,"",T26&amp;": "&amp;IF(W26=V26,"concluído",IF(W26=0,"em execução"&amp;IF(Z26&lt;&gt;""," ("&amp;IF(Z26&lt;0,IF(COUNTIF($E$5:$E$6004,"SUBSOLO*")&gt;0,"subsolo",-Z26&amp;"º subsolo"),IF(Z26=0,"térreo",Z26&amp;"º pav."))&amp;")",""),IF(Y26&lt;&gt;"","até "&amp;IF(Y26&lt;0,IF(COUNTIF($E$5:$E$6004,"SUBSOLO*")&gt;0,"subsolo",-Y26&amp;"º subsolo"),IF(Y26=0,"térreo",Y26&amp;"º pav.")),W26&amp;" de "&amp;V26&amp;" concluídas")&amp;IF(Z26="","",IF(OR(Y26="",Z26&gt;Y26),", executando "&amp;IF(Z26&lt;0,IF(COUNTIF($E$5:$E$6004,"SUBSOLO*")&gt;0,"subsolo",-Z26&amp;"º subsolo"),IF(Z26=0,"térreo",Z26&amp;"º pav."))," (restam serviços no "&amp;IF(Z26&lt;0,IF(COUNTIF($E$5:$E$6004,"SUBSOLO*")&gt;0,"subsolo",-Z26&amp;"º subsolo"),IF(Z26=0,"térreo",Z26&amp;"º pav."))&amp;")"))))))</f>
        <v/>
      </c>
    </row>
    <row r="27">
      <c r="B27" s="4" t="n">
        <v>13543844</v>
      </c>
      <c r="C27" s="4" t="inlineStr">
        <is>
          <t>FUNDAÇÃO PROFUNDA</t>
        </is>
      </c>
      <c r="D27" s="4" t="inlineStr">
        <is>
          <t>PF1 e P20C</t>
        </is>
      </c>
      <c r="E27" s="4" t="inlineStr">
        <is>
          <t>SERVIÇOS INICIAIS</t>
        </is>
      </c>
      <c r="F27" s="126" t="n">
        <v>45918</v>
      </c>
      <c r="G27" s="126" t="n">
        <v>45918</v>
      </c>
      <c r="H27" s="126" t="n">
        <v>46289</v>
      </c>
      <c r="I27" s="4" t="n">
        <v>100</v>
      </c>
      <c r="J27" s="4" t="n">
        <v>100</v>
      </c>
      <c r="K27" s="4" t="n">
        <v>100</v>
      </c>
      <c r="M27" s="2">
        <f>IF(C27="","",IFERROR(INDEX($S$5:$S$304,MATCH(C27,$R$5:$R$304,0))&amp;"","?"))</f>
        <v/>
      </c>
      <c r="N27" s="2">
        <f>IF(E27="","",IF(ISNUMBER(SEARCH("SUBSOLO",E27)),IFERROR(-VALUE(LEFT(E27,FIND("º",SUBSTITUTE(E27,"°","º"))-1)),-1),IF(LEFT(E27,6)="TÉRREO",0,IFERROR(VALUE(LEFT(E27,FIND("º",SUBSTITUTE(E27,"°","º"))-1)),""))))</f>
        <v/>
      </c>
      <c r="O27" s="2">
        <f>IF(OR(F27="",G27=""),"",IF(G27&lt;='RETRATO 2027'!$K$5,"CONCLUÍDA",IF(F27&lt;='RETRATO 2027'!$K$5,"EM ANDAMENTO","A INICIAR")))</f>
        <v/>
      </c>
      <c r="R27" s="4" t="inlineStr">
        <is>
          <t>FUNDAÇÃO SUPERFICIAL - FASE 6</t>
        </is>
      </c>
      <c r="S27" s="4" t="inlineStr">
        <is>
          <t>16</t>
        </is>
      </c>
      <c r="T27" s="4" t="inlineStr">
        <is>
          <t>Fundação superficial - fase 6</t>
        </is>
      </c>
      <c r="U27" s="4" t="inlineStr">
        <is>
          <t>NÃO</t>
        </is>
      </c>
      <c r="V27" s="2">
        <f>IF(R27="","",COUNTIF($C$5:$C$6004,R27))</f>
        <v/>
      </c>
      <c r="W27" s="2">
        <f>IF(R27="","",COUNTIFS($C$5:$C$6004,R27,$O$5:$O$6004,"CONCLUÍDA"))</f>
        <v/>
      </c>
      <c r="X27" s="2">
        <f>IF(R27="","",COUNTIFS($C$5:$C$6004,R27,$O$5:$O$6004,"EM ANDAMENTO"))</f>
        <v/>
      </c>
      <c r="Y27" s="2">
        <f>IF(R27="","",IF(COUNTIFS($C$5:$C$6004,R27,$O$5:$O$6004,"CONCLUÍDA",$N$5:$N$6004,"&gt;=-99")=0,"",_xlfn.MAXIFS($N$5:$N$6004,$C$5:$C$6004,R27,$O$5:$O$6004,"CONCLUÍDA")))</f>
        <v/>
      </c>
      <c r="Z27" s="2">
        <f>IF(R27="","",IF(COUNTIFS($C$5:$C$6004,R27,$O$5:$O$6004,"EM ANDAMENTO",$N$5:$N$6004,"&gt;=-99")=0,"",_xlfn.MAXIFS($N$5:$N$6004,$C$5:$C$6004,R27,$O$5:$O$6004,"EM ANDAMENTO")))</f>
        <v/>
      </c>
      <c r="AA27" s="2">
        <f>IF(OR(R27="",S27="",U27&lt;&gt;"SIM",V27=0),"",IF(W27+X27=0,"",T27&amp;": "&amp;IF(W27=V27,"concluído",IF(W27=0,"em execução"&amp;IF(Z27&lt;&gt;""," ("&amp;IF(Z27&lt;0,IF(COUNTIF($E$5:$E$6004,"SUBSOLO*")&gt;0,"subsolo",-Z27&amp;"º subsolo"),IF(Z27=0,"térreo",Z27&amp;"º pav."))&amp;")",""),IF(Y27&lt;&gt;"","até "&amp;IF(Y27&lt;0,IF(COUNTIF($E$5:$E$6004,"SUBSOLO*")&gt;0,"subsolo",-Y27&amp;"º subsolo"),IF(Y27=0,"térreo",Y27&amp;"º pav.")),W27&amp;" de "&amp;V27&amp;" concluídas")&amp;IF(Z27="","",IF(OR(Y27="",Z27&gt;Y27),", executando "&amp;IF(Z27&lt;0,IF(COUNTIF($E$5:$E$6004,"SUBSOLO*")&gt;0,"subsolo",-Z27&amp;"º subsolo"),IF(Z27=0,"térreo",Z27&amp;"º pav."))," (restam serviços no "&amp;IF(Z27&lt;0,IF(COUNTIF($E$5:$E$6004,"SUBSOLO*")&gt;0,"subsolo",-Z27&amp;"º subsolo"),IF(Z27=0,"térreo",Z27&amp;"º pav."))&amp;")"))))))</f>
        <v/>
      </c>
    </row>
    <row r="28">
      <c r="B28" s="4" t="n">
        <v>13543845</v>
      </c>
      <c r="C28" s="4" t="inlineStr">
        <is>
          <t>FUNDAÇÃO PROFUNDA</t>
        </is>
      </c>
      <c r="D28" s="4" t="inlineStr">
        <is>
          <t>PF2 e P155</t>
        </is>
      </c>
      <c r="E28" s="4" t="inlineStr">
        <is>
          <t>SERVIÇOS INICIAIS</t>
        </is>
      </c>
      <c r="F28" s="126" t="n">
        <v>45929</v>
      </c>
      <c r="G28" s="126" t="n">
        <v>45929</v>
      </c>
      <c r="H28" s="126" t="n">
        <v>46289</v>
      </c>
      <c r="I28" s="4" t="n">
        <v>100</v>
      </c>
      <c r="J28" s="4" t="n">
        <v>100</v>
      </c>
      <c r="K28" s="4" t="n">
        <v>100</v>
      </c>
      <c r="M28" s="2">
        <f>IF(C28="","",IFERROR(INDEX($S$5:$S$304,MATCH(C28,$R$5:$R$304,0))&amp;"","?"))</f>
        <v/>
      </c>
      <c r="N28" s="2">
        <f>IF(E28="","",IF(ISNUMBER(SEARCH("SUBSOLO",E28)),IFERROR(-VALUE(LEFT(E28,FIND("º",SUBSTITUTE(E28,"°","º"))-1)),-1),IF(LEFT(E28,6)="TÉRREO",0,IFERROR(VALUE(LEFT(E28,FIND("º",SUBSTITUTE(E28,"°","º"))-1)),""))))</f>
        <v/>
      </c>
      <c r="O28" s="2">
        <f>IF(OR(F28="",G28=""),"",IF(G28&lt;='RETRATO 2027'!$K$5,"CONCLUÍDA",IF(F28&lt;='RETRATO 2027'!$K$5,"EM ANDAMENTO","A INICIAR")))</f>
        <v/>
      </c>
      <c r="R28" s="4" t="inlineStr">
        <is>
          <t>Estrutura Térreo - Fase 2</t>
        </is>
      </c>
      <c r="S28" s="4" t="inlineStr">
        <is>
          <t>17</t>
        </is>
      </c>
      <c r="T28" s="4" t="inlineStr">
        <is>
          <t>Estrutura térreo - fase 2</t>
        </is>
      </c>
      <c r="U28" s="4" t="inlineStr">
        <is>
          <t>NÃO</t>
        </is>
      </c>
      <c r="V28" s="2">
        <f>IF(R28="","",COUNTIF($C$5:$C$6004,R28))</f>
        <v/>
      </c>
      <c r="W28" s="2">
        <f>IF(R28="","",COUNTIFS($C$5:$C$6004,R28,$O$5:$O$6004,"CONCLUÍDA"))</f>
        <v/>
      </c>
      <c r="X28" s="2">
        <f>IF(R28="","",COUNTIFS($C$5:$C$6004,R28,$O$5:$O$6004,"EM ANDAMENTO"))</f>
        <v/>
      </c>
      <c r="Y28" s="2">
        <f>IF(R28="","",IF(COUNTIFS($C$5:$C$6004,R28,$O$5:$O$6004,"CONCLUÍDA",$N$5:$N$6004,"&gt;=-99")=0,"",_xlfn.MAXIFS($N$5:$N$6004,$C$5:$C$6004,R28,$O$5:$O$6004,"CONCLUÍDA")))</f>
        <v/>
      </c>
      <c r="Z28" s="2">
        <f>IF(R28="","",IF(COUNTIFS($C$5:$C$6004,R28,$O$5:$O$6004,"EM ANDAMENTO",$N$5:$N$6004,"&gt;=-99")=0,"",_xlfn.MAXIFS($N$5:$N$6004,$C$5:$C$6004,R28,$O$5:$O$6004,"EM ANDAMENTO")))</f>
        <v/>
      </c>
      <c r="AA28" s="2">
        <f>IF(OR(R28="",S28="",U28&lt;&gt;"SIM",V28=0),"",IF(W28+X28=0,"",T28&amp;": "&amp;IF(W28=V28,"concluído",IF(W28=0,"em execução"&amp;IF(Z28&lt;&gt;""," ("&amp;IF(Z28&lt;0,IF(COUNTIF($E$5:$E$6004,"SUBSOLO*")&gt;0,"subsolo",-Z28&amp;"º subsolo"),IF(Z28=0,"térreo",Z28&amp;"º pav."))&amp;")",""),IF(Y28&lt;&gt;"","até "&amp;IF(Y28&lt;0,IF(COUNTIF($E$5:$E$6004,"SUBSOLO*")&gt;0,"subsolo",-Y28&amp;"º subsolo"),IF(Y28=0,"térreo",Y28&amp;"º pav.")),W28&amp;" de "&amp;V28&amp;" concluídas")&amp;IF(Z28="","",IF(OR(Y28="",Z28&gt;Y28),", executando "&amp;IF(Z28&lt;0,IF(COUNTIF($E$5:$E$6004,"SUBSOLO*")&gt;0,"subsolo",-Z28&amp;"º subsolo"),IF(Z28=0,"térreo",Z28&amp;"º pav."))," (restam serviços no "&amp;IF(Z28&lt;0,IF(COUNTIF($E$5:$E$6004,"SUBSOLO*")&gt;0,"subsolo",-Z28&amp;"º subsolo"),IF(Z28=0,"térreo",Z28&amp;"º pav."))&amp;")"))))))</f>
        <v/>
      </c>
    </row>
    <row r="29">
      <c r="B29" s="4" t="n">
        <v>13543846</v>
      </c>
      <c r="C29" s="4" t="inlineStr">
        <is>
          <t>FUNDAÇÃO PROFUNDA</t>
        </is>
      </c>
      <c r="D29" s="4" t="inlineStr">
        <is>
          <t>P144 e P104</t>
        </is>
      </c>
      <c r="E29" s="4" t="inlineStr">
        <is>
          <t>SERVIÇOS INICIAIS</t>
        </is>
      </c>
      <c r="F29" s="126" t="n">
        <v>45930</v>
      </c>
      <c r="G29" s="126" t="n">
        <v>45930</v>
      </c>
      <c r="H29" s="126" t="n">
        <v>46289</v>
      </c>
      <c r="I29" s="4" t="n">
        <v>100</v>
      </c>
      <c r="J29" s="4" t="n">
        <v>100</v>
      </c>
      <c r="K29" s="4" t="n">
        <v>100</v>
      </c>
      <c r="M29" s="2">
        <f>IF(C29="","",IFERROR(INDEX($S$5:$S$304,MATCH(C29,$R$5:$R$304,0))&amp;"","?"))</f>
        <v/>
      </c>
      <c r="N29" s="2">
        <f>IF(E29="","",IF(ISNUMBER(SEARCH("SUBSOLO",E29)),IFERROR(-VALUE(LEFT(E29,FIND("º",SUBSTITUTE(E29,"°","º"))-1)),-1),IF(LEFT(E29,6)="TÉRREO",0,IFERROR(VALUE(LEFT(E29,FIND("º",SUBSTITUTE(E29,"°","º"))-1)),""))))</f>
        <v/>
      </c>
      <c r="O29" s="2">
        <f>IF(OR(F29="",G29=""),"",IF(G29&lt;='RETRATO 2027'!$K$5,"CONCLUÍDA",IF(F29&lt;='RETRATO 2027'!$K$5,"EM ANDAMENTO","A INICIAR")))</f>
        <v/>
      </c>
      <c r="R29" s="4" t="inlineStr">
        <is>
          <t>Estrutura Térreo - Fase 3</t>
        </is>
      </c>
      <c r="S29" s="4" t="inlineStr">
        <is>
          <t>17</t>
        </is>
      </c>
      <c r="T29" s="4" t="inlineStr">
        <is>
          <t>Estrutura térreo - fase 3</t>
        </is>
      </c>
      <c r="U29" s="4" t="inlineStr">
        <is>
          <t>NÃO</t>
        </is>
      </c>
      <c r="V29" s="2">
        <f>IF(R29="","",COUNTIF($C$5:$C$6004,R29))</f>
        <v/>
      </c>
      <c r="W29" s="2">
        <f>IF(R29="","",COUNTIFS($C$5:$C$6004,R29,$O$5:$O$6004,"CONCLUÍDA"))</f>
        <v/>
      </c>
      <c r="X29" s="2">
        <f>IF(R29="","",COUNTIFS($C$5:$C$6004,R29,$O$5:$O$6004,"EM ANDAMENTO"))</f>
        <v/>
      </c>
      <c r="Y29" s="2">
        <f>IF(R29="","",IF(COUNTIFS($C$5:$C$6004,R29,$O$5:$O$6004,"CONCLUÍDA",$N$5:$N$6004,"&gt;=-99")=0,"",_xlfn.MAXIFS($N$5:$N$6004,$C$5:$C$6004,R29,$O$5:$O$6004,"CONCLUÍDA")))</f>
        <v/>
      </c>
      <c r="Z29" s="2">
        <f>IF(R29="","",IF(COUNTIFS($C$5:$C$6004,R29,$O$5:$O$6004,"EM ANDAMENTO",$N$5:$N$6004,"&gt;=-99")=0,"",_xlfn.MAXIFS($N$5:$N$6004,$C$5:$C$6004,R29,$O$5:$O$6004,"EM ANDAMENTO")))</f>
        <v/>
      </c>
      <c r="AA29" s="2">
        <f>IF(OR(R29="",S29="",U29&lt;&gt;"SIM",V29=0),"",IF(W29+X29=0,"",T29&amp;": "&amp;IF(W29=V29,"concluído",IF(W29=0,"em execução"&amp;IF(Z29&lt;&gt;""," ("&amp;IF(Z29&lt;0,IF(COUNTIF($E$5:$E$6004,"SUBSOLO*")&gt;0,"subsolo",-Z29&amp;"º subsolo"),IF(Z29=0,"térreo",Z29&amp;"º pav."))&amp;")",""),IF(Y29&lt;&gt;"","até "&amp;IF(Y29&lt;0,IF(COUNTIF($E$5:$E$6004,"SUBSOLO*")&gt;0,"subsolo",-Y29&amp;"º subsolo"),IF(Y29=0,"térreo",Y29&amp;"º pav.")),W29&amp;" de "&amp;V29&amp;" concluídas")&amp;IF(Z29="","",IF(OR(Y29="",Z29&gt;Y29),", executando "&amp;IF(Z29&lt;0,IF(COUNTIF($E$5:$E$6004,"SUBSOLO*")&gt;0,"subsolo",-Z29&amp;"º subsolo"),IF(Z29=0,"térreo",Z29&amp;"º pav."))," (restam serviços no "&amp;IF(Z29&lt;0,IF(COUNTIF($E$5:$E$6004,"SUBSOLO*")&gt;0,"subsolo",-Z29&amp;"º subsolo"),IF(Z29=0,"térreo",Z29&amp;"º pav."))&amp;")"))))))</f>
        <v/>
      </c>
    </row>
    <row r="30">
      <c r="B30" s="4" t="n">
        <v>13543847</v>
      </c>
      <c r="C30" s="4" t="inlineStr">
        <is>
          <t>FUNDAÇÃO PROFUNDA</t>
        </is>
      </c>
      <c r="D30" s="4" t="inlineStr">
        <is>
          <t>P25A e P4 A</t>
        </is>
      </c>
      <c r="E30" s="4" t="inlineStr">
        <is>
          <t>SERVIÇOS INICIAIS</t>
        </is>
      </c>
      <c r="F30" s="126" t="n">
        <v>45931</v>
      </c>
      <c r="G30" s="126" t="n">
        <v>45931</v>
      </c>
      <c r="H30" s="126" t="n">
        <v>46289</v>
      </c>
      <c r="I30" s="4" t="n">
        <v>100</v>
      </c>
      <c r="J30" s="4" t="n">
        <v>100</v>
      </c>
      <c r="K30" s="4" t="n">
        <v>100</v>
      </c>
      <c r="M30" s="2">
        <f>IF(C30="","",IFERROR(INDEX($S$5:$S$304,MATCH(C30,$R$5:$R$304,0))&amp;"","?"))</f>
        <v/>
      </c>
      <c r="N30" s="2">
        <f>IF(E30="","",IF(ISNUMBER(SEARCH("SUBSOLO",E30)),IFERROR(-VALUE(LEFT(E30,FIND("º",SUBSTITUTE(E30,"°","º"))-1)),-1),IF(LEFT(E30,6)="TÉRREO",0,IFERROR(VALUE(LEFT(E30,FIND("º",SUBSTITUTE(E30,"°","º"))-1)),""))))</f>
        <v/>
      </c>
      <c r="O30" s="2">
        <f>IF(OR(F30="",G30=""),"",IF(G30&lt;='RETRATO 2027'!$K$5,"CONCLUÍDA",IF(F30&lt;='RETRATO 2027'!$K$5,"EM ANDAMENTO","A INICIAR")))</f>
        <v/>
      </c>
      <c r="R30" s="4" t="inlineStr">
        <is>
          <t>Estrutura Térreo - Fase 4</t>
        </is>
      </c>
      <c r="S30" s="4" t="inlineStr">
        <is>
          <t>17</t>
        </is>
      </c>
      <c r="T30" s="4" t="inlineStr">
        <is>
          <t>Estrutura térreo - fase 4</t>
        </is>
      </c>
      <c r="U30" s="4" t="inlineStr">
        <is>
          <t>NÃO</t>
        </is>
      </c>
      <c r="V30" s="2">
        <f>IF(R30="","",COUNTIF($C$5:$C$6004,R30))</f>
        <v/>
      </c>
      <c r="W30" s="2">
        <f>IF(R30="","",COUNTIFS($C$5:$C$6004,R30,$O$5:$O$6004,"CONCLUÍDA"))</f>
        <v/>
      </c>
      <c r="X30" s="2">
        <f>IF(R30="","",COUNTIFS($C$5:$C$6004,R30,$O$5:$O$6004,"EM ANDAMENTO"))</f>
        <v/>
      </c>
      <c r="Y30" s="2">
        <f>IF(R30="","",IF(COUNTIFS($C$5:$C$6004,R30,$O$5:$O$6004,"CONCLUÍDA",$N$5:$N$6004,"&gt;=-99")=0,"",_xlfn.MAXIFS($N$5:$N$6004,$C$5:$C$6004,R30,$O$5:$O$6004,"CONCLUÍDA")))</f>
        <v/>
      </c>
      <c r="Z30" s="2">
        <f>IF(R30="","",IF(COUNTIFS($C$5:$C$6004,R30,$O$5:$O$6004,"EM ANDAMENTO",$N$5:$N$6004,"&gt;=-99")=0,"",_xlfn.MAXIFS($N$5:$N$6004,$C$5:$C$6004,R30,$O$5:$O$6004,"EM ANDAMENTO")))</f>
        <v/>
      </c>
      <c r="AA30" s="2">
        <f>IF(OR(R30="",S30="",U30&lt;&gt;"SIM",V30=0),"",IF(W30+X30=0,"",T30&amp;": "&amp;IF(W30=V30,"concluído",IF(W30=0,"em execução"&amp;IF(Z30&lt;&gt;""," ("&amp;IF(Z30&lt;0,IF(COUNTIF($E$5:$E$6004,"SUBSOLO*")&gt;0,"subsolo",-Z30&amp;"º subsolo"),IF(Z30=0,"térreo",Z30&amp;"º pav."))&amp;")",""),IF(Y30&lt;&gt;"","até "&amp;IF(Y30&lt;0,IF(COUNTIF($E$5:$E$6004,"SUBSOLO*")&gt;0,"subsolo",-Y30&amp;"º subsolo"),IF(Y30=0,"térreo",Y30&amp;"º pav.")),W30&amp;" de "&amp;V30&amp;" concluídas")&amp;IF(Z30="","",IF(OR(Y30="",Z30&gt;Y30),", executando "&amp;IF(Z30&lt;0,IF(COUNTIF($E$5:$E$6004,"SUBSOLO*")&gt;0,"subsolo",-Z30&amp;"º subsolo"),IF(Z30=0,"térreo",Z30&amp;"º pav."))," (restam serviços no "&amp;IF(Z30&lt;0,IF(COUNTIF($E$5:$E$6004,"SUBSOLO*")&gt;0,"subsolo",-Z30&amp;"º subsolo"),IF(Z30=0,"térreo",Z30&amp;"º pav."))&amp;")"))))))</f>
        <v/>
      </c>
    </row>
    <row r="31">
      <c r="B31" s="4" t="n">
        <v>13543848</v>
      </c>
      <c r="C31" s="4" t="inlineStr">
        <is>
          <t>FUNDAÇÃO PROFUNDA</t>
        </is>
      </c>
      <c r="D31" s="4" t="inlineStr">
        <is>
          <t>P102 e P105</t>
        </is>
      </c>
      <c r="E31" s="4" t="inlineStr">
        <is>
          <t>SERVIÇOS INICIAIS</t>
        </is>
      </c>
      <c r="F31" s="126" t="n">
        <v>45932</v>
      </c>
      <c r="G31" s="126" t="n">
        <v>45932</v>
      </c>
      <c r="H31" s="126" t="n">
        <v>46289</v>
      </c>
      <c r="I31" s="4" t="n">
        <v>100</v>
      </c>
      <c r="J31" s="4" t="n">
        <v>100</v>
      </c>
      <c r="K31" s="4" t="n">
        <v>100</v>
      </c>
      <c r="M31" s="2">
        <f>IF(C31="","",IFERROR(INDEX($S$5:$S$304,MATCH(C31,$R$5:$R$304,0))&amp;"","?"))</f>
        <v/>
      </c>
      <c r="N31" s="2">
        <f>IF(E31="","",IF(ISNUMBER(SEARCH("SUBSOLO",E31)),IFERROR(-VALUE(LEFT(E31,FIND("º",SUBSTITUTE(E31,"°","º"))-1)),-1),IF(LEFT(E31,6)="TÉRREO",0,IFERROR(VALUE(LEFT(E31,FIND("º",SUBSTITUTE(E31,"°","º"))-1)),""))))</f>
        <v/>
      </c>
      <c r="O31" s="2">
        <f>IF(OR(F31="",G31=""),"",IF(G31&lt;='RETRATO 2027'!$K$5,"CONCLUÍDA",IF(F31&lt;='RETRATO 2027'!$K$5,"EM ANDAMENTO","A INICIAR")))</f>
        <v/>
      </c>
      <c r="R31" s="4" t="inlineStr">
        <is>
          <t>Estrutura Mezanino</t>
        </is>
      </c>
      <c r="S31" s="4" t="inlineStr">
        <is>
          <t>17</t>
        </is>
      </c>
      <c r="T31" s="4" t="inlineStr">
        <is>
          <t>Estrutura mezanino</t>
        </is>
      </c>
      <c r="U31" s="4" t="inlineStr">
        <is>
          <t>NÃO</t>
        </is>
      </c>
      <c r="V31" s="2">
        <f>IF(R31="","",COUNTIF($C$5:$C$6004,R31))</f>
        <v/>
      </c>
      <c r="W31" s="2">
        <f>IF(R31="","",COUNTIFS($C$5:$C$6004,R31,$O$5:$O$6004,"CONCLUÍDA"))</f>
        <v/>
      </c>
      <c r="X31" s="2">
        <f>IF(R31="","",COUNTIFS($C$5:$C$6004,R31,$O$5:$O$6004,"EM ANDAMENTO"))</f>
        <v/>
      </c>
      <c r="Y31" s="2">
        <f>IF(R31="","",IF(COUNTIFS($C$5:$C$6004,R31,$O$5:$O$6004,"CONCLUÍDA",$N$5:$N$6004,"&gt;=-99")=0,"",_xlfn.MAXIFS($N$5:$N$6004,$C$5:$C$6004,R31,$O$5:$O$6004,"CONCLUÍDA")))</f>
        <v/>
      </c>
      <c r="Z31" s="2">
        <f>IF(R31="","",IF(COUNTIFS($C$5:$C$6004,R31,$O$5:$O$6004,"EM ANDAMENTO",$N$5:$N$6004,"&gt;=-99")=0,"",_xlfn.MAXIFS($N$5:$N$6004,$C$5:$C$6004,R31,$O$5:$O$6004,"EM ANDAMENTO")))</f>
        <v/>
      </c>
      <c r="AA31" s="2">
        <f>IF(OR(R31="",S31="",U31&lt;&gt;"SIM",V31=0),"",IF(W31+X31=0,"",T31&amp;": "&amp;IF(W31=V31,"concluído",IF(W31=0,"em execução"&amp;IF(Z31&lt;&gt;""," ("&amp;IF(Z31&lt;0,IF(COUNTIF($E$5:$E$6004,"SUBSOLO*")&gt;0,"subsolo",-Z31&amp;"º subsolo"),IF(Z31=0,"térreo",Z31&amp;"º pav."))&amp;")",""),IF(Y31&lt;&gt;"","até "&amp;IF(Y31&lt;0,IF(COUNTIF($E$5:$E$6004,"SUBSOLO*")&gt;0,"subsolo",-Y31&amp;"º subsolo"),IF(Y31=0,"térreo",Y31&amp;"º pav.")),W31&amp;" de "&amp;V31&amp;" concluídas")&amp;IF(Z31="","",IF(OR(Y31="",Z31&gt;Y31),", executando "&amp;IF(Z31&lt;0,IF(COUNTIF($E$5:$E$6004,"SUBSOLO*")&gt;0,"subsolo",-Z31&amp;"º subsolo"),IF(Z31=0,"térreo",Z31&amp;"º pav."))," (restam serviços no "&amp;IF(Z31&lt;0,IF(COUNTIF($E$5:$E$6004,"SUBSOLO*")&gt;0,"subsolo",-Z31&amp;"º subsolo"),IF(Z31=0,"térreo",Z31&amp;"º pav."))&amp;")"))))))</f>
        <v/>
      </c>
    </row>
    <row r="32">
      <c r="B32" s="4" t="n">
        <v>13543849</v>
      </c>
      <c r="C32" s="4" t="inlineStr">
        <is>
          <t>FUNDAÇÃO PROFUNDA</t>
        </is>
      </c>
      <c r="D32" s="4" t="inlineStr">
        <is>
          <t>P106 e P127</t>
        </is>
      </c>
      <c r="E32" s="4" t="inlineStr">
        <is>
          <t>SERVIÇOS INICIAIS</t>
        </is>
      </c>
      <c r="F32" s="126" t="n">
        <v>45933</v>
      </c>
      <c r="G32" s="126" t="n">
        <v>45933</v>
      </c>
      <c r="H32" s="126" t="n">
        <v>46289</v>
      </c>
      <c r="I32" s="4" t="n">
        <v>100</v>
      </c>
      <c r="J32" s="4" t="n">
        <v>100</v>
      </c>
      <c r="K32" s="4" t="n">
        <v>100</v>
      </c>
      <c r="M32" s="2">
        <f>IF(C32="","",IFERROR(INDEX($S$5:$S$304,MATCH(C32,$R$5:$R$304,0))&amp;"","?"))</f>
        <v/>
      </c>
      <c r="N32" s="2">
        <f>IF(E32="","",IF(ISNUMBER(SEARCH("SUBSOLO",E32)),IFERROR(-VALUE(LEFT(E32,FIND("º",SUBSTITUTE(E32,"°","º"))-1)),-1),IF(LEFT(E32,6)="TÉRREO",0,IFERROR(VALUE(LEFT(E32,FIND("º",SUBSTITUTE(E32,"°","º"))-1)),""))))</f>
        <v/>
      </c>
      <c r="O32" s="2">
        <f>IF(OR(F32="",G32=""),"",IF(G32&lt;='RETRATO 2027'!$K$5,"CONCLUÍDA",IF(F32&lt;='RETRATO 2027'!$K$5,"EM ANDAMENTO","A INICIAR")))</f>
        <v/>
      </c>
      <c r="R32" s="4" t="inlineStr">
        <is>
          <t>Estrutura 2º Pav - Fase 1</t>
        </is>
      </c>
      <c r="S32" s="4" t="inlineStr">
        <is>
          <t>17</t>
        </is>
      </c>
      <c r="T32" s="4" t="inlineStr">
        <is>
          <t>Estrutura 2º pav - fase 1</t>
        </is>
      </c>
      <c r="U32" s="4" t="inlineStr">
        <is>
          <t>NÃO</t>
        </is>
      </c>
      <c r="V32" s="2">
        <f>IF(R32="","",COUNTIF($C$5:$C$6004,R32))</f>
        <v/>
      </c>
      <c r="W32" s="2">
        <f>IF(R32="","",COUNTIFS($C$5:$C$6004,R32,$O$5:$O$6004,"CONCLUÍDA"))</f>
        <v/>
      </c>
      <c r="X32" s="2">
        <f>IF(R32="","",COUNTIFS($C$5:$C$6004,R32,$O$5:$O$6004,"EM ANDAMENTO"))</f>
        <v/>
      </c>
      <c r="Y32" s="2">
        <f>IF(R32="","",IF(COUNTIFS($C$5:$C$6004,R32,$O$5:$O$6004,"CONCLUÍDA",$N$5:$N$6004,"&gt;=-99")=0,"",_xlfn.MAXIFS($N$5:$N$6004,$C$5:$C$6004,R32,$O$5:$O$6004,"CONCLUÍDA")))</f>
        <v/>
      </c>
      <c r="Z32" s="2">
        <f>IF(R32="","",IF(COUNTIFS($C$5:$C$6004,R32,$O$5:$O$6004,"EM ANDAMENTO",$N$5:$N$6004,"&gt;=-99")=0,"",_xlfn.MAXIFS($N$5:$N$6004,$C$5:$C$6004,R32,$O$5:$O$6004,"EM ANDAMENTO")))</f>
        <v/>
      </c>
      <c r="AA32" s="2">
        <f>IF(OR(R32="",S32="",U32&lt;&gt;"SIM",V32=0),"",IF(W32+X32=0,"",T32&amp;": "&amp;IF(W32=V32,"concluído",IF(W32=0,"em execução"&amp;IF(Z32&lt;&gt;""," ("&amp;IF(Z32&lt;0,IF(COUNTIF($E$5:$E$6004,"SUBSOLO*")&gt;0,"subsolo",-Z32&amp;"º subsolo"),IF(Z32=0,"térreo",Z32&amp;"º pav."))&amp;")",""),IF(Y32&lt;&gt;"","até "&amp;IF(Y32&lt;0,IF(COUNTIF($E$5:$E$6004,"SUBSOLO*")&gt;0,"subsolo",-Y32&amp;"º subsolo"),IF(Y32=0,"térreo",Y32&amp;"º pav.")),W32&amp;" de "&amp;V32&amp;" concluídas")&amp;IF(Z32="","",IF(OR(Y32="",Z32&gt;Y32),", executando "&amp;IF(Z32&lt;0,IF(COUNTIF($E$5:$E$6004,"SUBSOLO*")&gt;0,"subsolo",-Z32&amp;"º subsolo"),IF(Z32=0,"térreo",Z32&amp;"º pav."))," (restam serviços no "&amp;IF(Z32&lt;0,IF(COUNTIF($E$5:$E$6004,"SUBSOLO*")&gt;0,"subsolo",-Z32&amp;"º subsolo"),IF(Z32=0,"térreo",Z32&amp;"º pav."))&amp;")"))))))</f>
        <v/>
      </c>
    </row>
    <row r="33">
      <c r="B33" s="4" t="n">
        <v>13543850</v>
      </c>
      <c r="C33" s="4" t="inlineStr">
        <is>
          <t>FUNDAÇÃO PROFUNDA</t>
        </is>
      </c>
      <c r="D33" s="4" t="inlineStr">
        <is>
          <t>P108A e P124</t>
        </is>
      </c>
      <c r="E33" s="4" t="inlineStr">
        <is>
          <t>SERVIÇOS INICIAIS</t>
        </is>
      </c>
      <c r="F33" s="126" t="n">
        <v>45936</v>
      </c>
      <c r="G33" s="126" t="n">
        <v>45936</v>
      </c>
      <c r="H33" s="126" t="n">
        <v>46289</v>
      </c>
      <c r="I33" s="4" t="n">
        <v>100</v>
      </c>
      <c r="J33" s="4" t="n">
        <v>100</v>
      </c>
      <c r="K33" s="4" t="n">
        <v>100</v>
      </c>
      <c r="M33" s="2">
        <f>IF(C33="","",IFERROR(INDEX($S$5:$S$304,MATCH(C33,$R$5:$R$304,0))&amp;"","?"))</f>
        <v/>
      </c>
      <c r="N33" s="2">
        <f>IF(E33="","",IF(ISNUMBER(SEARCH("SUBSOLO",E33)),IFERROR(-VALUE(LEFT(E33,FIND("º",SUBSTITUTE(E33,"°","º"))-1)),-1),IF(LEFT(E33,6)="TÉRREO",0,IFERROR(VALUE(LEFT(E33,FIND("º",SUBSTITUTE(E33,"°","º"))-1)),""))))</f>
        <v/>
      </c>
      <c r="O33" s="2">
        <f>IF(OR(F33="",G33=""),"",IF(G33&lt;='RETRATO 2027'!$K$5,"CONCLUÍDA",IF(F33&lt;='RETRATO 2027'!$K$5,"EM ANDAMENTO","A INICIAR")))</f>
        <v/>
      </c>
      <c r="R33" s="4" t="inlineStr">
        <is>
          <t>TERRAPLENAGEM (FASE 2)</t>
        </is>
      </c>
      <c r="S33" s="4" t="inlineStr">
        <is>
          <t>14</t>
        </is>
      </c>
      <c r="T33" s="4" t="inlineStr">
        <is>
          <t>Terraplenagem (fase 2)</t>
        </is>
      </c>
      <c r="U33" s="4" t="inlineStr">
        <is>
          <t>SIM</t>
        </is>
      </c>
      <c r="V33" s="2">
        <f>IF(R33="","",COUNTIF($C$5:$C$6004,R33))</f>
        <v/>
      </c>
      <c r="W33" s="2">
        <f>IF(R33="","",COUNTIFS($C$5:$C$6004,R33,$O$5:$O$6004,"CONCLUÍDA"))</f>
        <v/>
      </c>
      <c r="X33" s="2">
        <f>IF(R33="","",COUNTIFS($C$5:$C$6004,R33,$O$5:$O$6004,"EM ANDAMENTO"))</f>
        <v/>
      </c>
      <c r="Y33" s="2">
        <f>IF(R33="","",IF(COUNTIFS($C$5:$C$6004,R33,$O$5:$O$6004,"CONCLUÍDA",$N$5:$N$6004,"&gt;=-99")=0,"",_xlfn.MAXIFS($N$5:$N$6004,$C$5:$C$6004,R33,$O$5:$O$6004,"CONCLUÍDA")))</f>
        <v/>
      </c>
      <c r="Z33" s="2">
        <f>IF(R33="","",IF(COUNTIFS($C$5:$C$6004,R33,$O$5:$O$6004,"EM ANDAMENTO",$N$5:$N$6004,"&gt;=-99")=0,"",_xlfn.MAXIFS($N$5:$N$6004,$C$5:$C$6004,R33,$O$5:$O$6004,"EM ANDAMENTO")))</f>
        <v/>
      </c>
      <c r="AA33" s="2">
        <f>IF(OR(R33="",S33="",U33&lt;&gt;"SIM",V33=0),"",IF(W33+X33=0,"",T33&amp;": "&amp;IF(W33=V33,"concluído",IF(W33=0,"em execução"&amp;IF(Z33&lt;&gt;""," ("&amp;IF(Z33&lt;0,IF(COUNTIF($E$5:$E$6004,"SUBSOLO*")&gt;0,"subsolo",-Z33&amp;"º subsolo"),IF(Z33=0,"térreo",Z33&amp;"º pav."))&amp;")",""),IF(Y33&lt;&gt;"","até "&amp;IF(Y33&lt;0,IF(COUNTIF($E$5:$E$6004,"SUBSOLO*")&gt;0,"subsolo",-Y33&amp;"º subsolo"),IF(Y33=0,"térreo",Y33&amp;"º pav.")),W33&amp;" de "&amp;V33&amp;" concluídas")&amp;IF(Z33="","",IF(OR(Y33="",Z33&gt;Y33),", executando "&amp;IF(Z33&lt;0,IF(COUNTIF($E$5:$E$6004,"SUBSOLO*")&gt;0,"subsolo",-Z33&amp;"º subsolo"),IF(Z33=0,"térreo",Z33&amp;"º pav."))," (restam serviços no "&amp;IF(Z33&lt;0,IF(COUNTIF($E$5:$E$6004,"SUBSOLO*")&gt;0,"subsolo",-Z33&amp;"º subsolo"),IF(Z33=0,"térreo",Z33&amp;"º pav."))&amp;")"))))))</f>
        <v/>
      </c>
    </row>
    <row r="34">
      <c r="B34" s="4" t="n">
        <v>13543851</v>
      </c>
      <c r="C34" s="4" t="inlineStr">
        <is>
          <t>FUNDAÇÃO PROFUNDA</t>
        </is>
      </c>
      <c r="D34" s="4" t="inlineStr">
        <is>
          <t>P137B e P149B</t>
        </is>
      </c>
      <c r="E34" s="4" t="inlineStr">
        <is>
          <t>SERVIÇOS INICIAIS</t>
        </is>
      </c>
      <c r="F34" s="126" t="n">
        <v>45937</v>
      </c>
      <c r="G34" s="126" t="n">
        <v>45937</v>
      </c>
      <c r="H34" s="126" t="n">
        <v>46289</v>
      </c>
      <c r="I34" s="4" t="n">
        <v>100</v>
      </c>
      <c r="J34" s="4" t="n">
        <v>100</v>
      </c>
      <c r="K34" s="4" t="n">
        <v>100</v>
      </c>
      <c r="M34" s="2">
        <f>IF(C34="","",IFERROR(INDEX($S$5:$S$304,MATCH(C34,$R$5:$R$304,0))&amp;"","?"))</f>
        <v/>
      </c>
      <c r="N34" s="2">
        <f>IF(E34="","",IF(ISNUMBER(SEARCH("SUBSOLO",E34)),IFERROR(-VALUE(LEFT(E34,FIND("º",SUBSTITUTE(E34,"°","º"))-1)),-1),IF(LEFT(E34,6)="TÉRREO",0,IFERROR(VALUE(LEFT(E34,FIND("º",SUBSTITUTE(E34,"°","º"))-1)),""))))</f>
        <v/>
      </c>
      <c r="O34" s="2">
        <f>IF(OR(F34="",G34=""),"",IF(G34&lt;='RETRATO 2027'!$K$5,"CONCLUÍDA",IF(F34&lt;='RETRATO 2027'!$K$5,"EM ANDAMENTO","A INICIAR")))</f>
        <v/>
      </c>
      <c r="R34" s="4" t="inlineStr">
        <is>
          <t>CINTAS FASE 1</t>
        </is>
      </c>
      <c r="S34" s="4" t="inlineStr">
        <is>
          <t>16</t>
        </is>
      </c>
      <c r="T34" s="4" t="inlineStr">
        <is>
          <t>Cintas fase 1</t>
        </is>
      </c>
      <c r="U34" s="4" t="inlineStr">
        <is>
          <t>NÃO</t>
        </is>
      </c>
      <c r="V34" s="2">
        <f>IF(R34="","",COUNTIF($C$5:$C$6004,R34))</f>
        <v/>
      </c>
      <c r="W34" s="2">
        <f>IF(R34="","",COUNTIFS($C$5:$C$6004,R34,$O$5:$O$6004,"CONCLUÍDA"))</f>
        <v/>
      </c>
      <c r="X34" s="2">
        <f>IF(R34="","",COUNTIFS($C$5:$C$6004,R34,$O$5:$O$6004,"EM ANDAMENTO"))</f>
        <v/>
      </c>
      <c r="Y34" s="2">
        <f>IF(R34="","",IF(COUNTIFS($C$5:$C$6004,R34,$O$5:$O$6004,"CONCLUÍDA",$N$5:$N$6004,"&gt;=-99")=0,"",_xlfn.MAXIFS($N$5:$N$6004,$C$5:$C$6004,R34,$O$5:$O$6004,"CONCLUÍDA")))</f>
        <v/>
      </c>
      <c r="Z34" s="2">
        <f>IF(R34="","",IF(COUNTIFS($C$5:$C$6004,R34,$O$5:$O$6004,"EM ANDAMENTO",$N$5:$N$6004,"&gt;=-99")=0,"",_xlfn.MAXIFS($N$5:$N$6004,$C$5:$C$6004,R34,$O$5:$O$6004,"EM ANDAMENTO")))</f>
        <v/>
      </c>
      <c r="AA34" s="2">
        <f>IF(OR(R34="",S34="",U34&lt;&gt;"SIM",V34=0),"",IF(W34+X34=0,"",T34&amp;": "&amp;IF(W34=V34,"concluído",IF(W34=0,"em execução"&amp;IF(Z34&lt;&gt;""," ("&amp;IF(Z34&lt;0,IF(COUNTIF($E$5:$E$6004,"SUBSOLO*")&gt;0,"subsolo",-Z34&amp;"º subsolo"),IF(Z34=0,"térreo",Z34&amp;"º pav."))&amp;")",""),IF(Y34&lt;&gt;"","até "&amp;IF(Y34&lt;0,IF(COUNTIF($E$5:$E$6004,"SUBSOLO*")&gt;0,"subsolo",-Y34&amp;"º subsolo"),IF(Y34=0,"térreo",Y34&amp;"º pav.")),W34&amp;" de "&amp;V34&amp;" concluídas")&amp;IF(Z34="","",IF(OR(Y34="",Z34&gt;Y34),", executando "&amp;IF(Z34&lt;0,IF(COUNTIF($E$5:$E$6004,"SUBSOLO*")&gt;0,"subsolo",-Z34&amp;"º subsolo"),IF(Z34=0,"térreo",Z34&amp;"º pav."))," (restam serviços no "&amp;IF(Z34&lt;0,IF(COUNTIF($E$5:$E$6004,"SUBSOLO*")&gt;0,"subsolo",-Z34&amp;"º subsolo"),IF(Z34=0,"térreo",Z34&amp;"º pav."))&amp;")"))))))</f>
        <v/>
      </c>
    </row>
    <row r="35">
      <c r="B35" s="4" t="n">
        <v>13543852</v>
      </c>
      <c r="C35" s="4" t="inlineStr">
        <is>
          <t>FUNDAÇÃO PROFUNDA</t>
        </is>
      </c>
      <c r="D35" s="4" t="inlineStr">
        <is>
          <t>P108B e P149A</t>
        </is>
      </c>
      <c r="E35" s="4" t="inlineStr">
        <is>
          <t>SERVIÇOS INICIAIS</t>
        </is>
      </c>
      <c r="F35" s="126" t="n">
        <v>45938</v>
      </c>
      <c r="G35" s="126" t="n">
        <v>45938</v>
      </c>
      <c r="H35" s="126" t="n">
        <v>46289</v>
      </c>
      <c r="I35" s="4" t="n">
        <v>100</v>
      </c>
      <c r="J35" s="4" t="n">
        <v>100</v>
      </c>
      <c r="K35" s="4" t="n">
        <v>100</v>
      </c>
      <c r="M35" s="2">
        <f>IF(C35="","",IFERROR(INDEX($S$5:$S$304,MATCH(C35,$R$5:$R$304,0))&amp;"","?"))</f>
        <v/>
      </c>
      <c r="N35" s="2">
        <f>IF(E35="","",IF(ISNUMBER(SEARCH("SUBSOLO",E35)),IFERROR(-VALUE(LEFT(E35,FIND("º",SUBSTITUTE(E35,"°","º"))-1)),-1),IF(LEFT(E35,6)="TÉRREO",0,IFERROR(VALUE(LEFT(E35,FIND("º",SUBSTITUTE(E35,"°","º"))-1)),""))))</f>
        <v/>
      </c>
      <c r="O35" s="2">
        <f>IF(OR(F35="",G35=""),"",IF(G35&lt;='RETRATO 2027'!$K$5,"CONCLUÍDA",IF(F35&lt;='RETRATO 2027'!$K$5,"EM ANDAMENTO","A INICIAR")))</f>
        <v/>
      </c>
      <c r="R35" s="4" t="inlineStr">
        <is>
          <t>CINTAS FASE 2</t>
        </is>
      </c>
      <c r="S35" s="4" t="inlineStr">
        <is>
          <t>16</t>
        </is>
      </c>
      <c r="T35" s="4" t="inlineStr">
        <is>
          <t>Cintas fase 2</t>
        </is>
      </c>
      <c r="U35" s="4" t="inlineStr">
        <is>
          <t>NÃO</t>
        </is>
      </c>
      <c r="V35" s="2">
        <f>IF(R35="","",COUNTIF($C$5:$C$6004,R35))</f>
        <v/>
      </c>
      <c r="W35" s="2">
        <f>IF(R35="","",COUNTIFS($C$5:$C$6004,R35,$O$5:$O$6004,"CONCLUÍDA"))</f>
        <v/>
      </c>
      <c r="X35" s="2">
        <f>IF(R35="","",COUNTIFS($C$5:$C$6004,R35,$O$5:$O$6004,"EM ANDAMENTO"))</f>
        <v/>
      </c>
      <c r="Y35" s="2">
        <f>IF(R35="","",IF(COUNTIFS($C$5:$C$6004,R35,$O$5:$O$6004,"CONCLUÍDA",$N$5:$N$6004,"&gt;=-99")=0,"",_xlfn.MAXIFS($N$5:$N$6004,$C$5:$C$6004,R35,$O$5:$O$6004,"CONCLUÍDA")))</f>
        <v/>
      </c>
      <c r="Z35" s="2">
        <f>IF(R35="","",IF(COUNTIFS($C$5:$C$6004,R35,$O$5:$O$6004,"EM ANDAMENTO",$N$5:$N$6004,"&gt;=-99")=0,"",_xlfn.MAXIFS($N$5:$N$6004,$C$5:$C$6004,R35,$O$5:$O$6004,"EM ANDAMENTO")))</f>
        <v/>
      </c>
      <c r="AA35" s="2">
        <f>IF(OR(R35="",S35="",U35&lt;&gt;"SIM",V35=0),"",IF(W35+X35=0,"",T35&amp;": "&amp;IF(W35=V35,"concluído",IF(W35=0,"em execução"&amp;IF(Z35&lt;&gt;""," ("&amp;IF(Z35&lt;0,IF(COUNTIF($E$5:$E$6004,"SUBSOLO*")&gt;0,"subsolo",-Z35&amp;"º subsolo"),IF(Z35=0,"térreo",Z35&amp;"º pav."))&amp;")",""),IF(Y35&lt;&gt;"","até "&amp;IF(Y35&lt;0,IF(COUNTIF($E$5:$E$6004,"SUBSOLO*")&gt;0,"subsolo",-Y35&amp;"º subsolo"),IF(Y35=0,"térreo",Y35&amp;"º pav.")),W35&amp;" de "&amp;V35&amp;" concluídas")&amp;IF(Z35="","",IF(OR(Y35="",Z35&gt;Y35),", executando "&amp;IF(Z35&lt;0,IF(COUNTIF($E$5:$E$6004,"SUBSOLO*")&gt;0,"subsolo",-Z35&amp;"º subsolo"),IF(Z35=0,"térreo",Z35&amp;"º pav."))," (restam serviços no "&amp;IF(Z35&lt;0,IF(COUNTIF($E$5:$E$6004,"SUBSOLO*")&gt;0,"subsolo",-Z35&amp;"º subsolo"),IF(Z35=0,"térreo",Z35&amp;"º pav."))&amp;")"))))))</f>
        <v/>
      </c>
    </row>
    <row r="36">
      <c r="B36" s="4" t="n">
        <v>13543853</v>
      </c>
      <c r="C36" s="4" t="inlineStr">
        <is>
          <t>FUNDAÇÃO PROFUNDA</t>
        </is>
      </c>
      <c r="D36" s="4" t="inlineStr">
        <is>
          <t>P103 e P137A</t>
        </is>
      </c>
      <c r="E36" s="4" t="inlineStr">
        <is>
          <t>SERVIÇOS INICIAIS</t>
        </is>
      </c>
      <c r="F36" s="126" t="n">
        <v>45939</v>
      </c>
      <c r="G36" s="126" t="n">
        <v>45939</v>
      </c>
      <c r="H36" s="126" t="n">
        <v>46289</v>
      </c>
      <c r="I36" s="4" t="n">
        <v>100</v>
      </c>
      <c r="J36" s="4" t="n">
        <v>100</v>
      </c>
      <c r="K36" s="4" t="n">
        <v>100</v>
      </c>
      <c r="M36" s="2">
        <f>IF(C36="","",IFERROR(INDEX($S$5:$S$304,MATCH(C36,$R$5:$R$304,0))&amp;"","?"))</f>
        <v/>
      </c>
      <c r="N36" s="2">
        <f>IF(E36="","",IF(ISNUMBER(SEARCH("SUBSOLO",E36)),IFERROR(-VALUE(LEFT(E36,FIND("º",SUBSTITUTE(E36,"°","º"))-1)),-1),IF(LEFT(E36,6)="TÉRREO",0,IFERROR(VALUE(LEFT(E36,FIND("º",SUBSTITUTE(E36,"°","º"))-1)),""))))</f>
        <v/>
      </c>
      <c r="O36" s="2">
        <f>IF(OR(F36="",G36=""),"",IF(G36&lt;='RETRATO 2027'!$K$5,"CONCLUÍDA",IF(F36&lt;='RETRATO 2027'!$K$5,"EM ANDAMENTO","A INICIAR")))</f>
        <v/>
      </c>
      <c r="R36" s="4" t="inlineStr">
        <is>
          <t>FECHAMENTO DE CORTINA - CONTENÇÕES</t>
        </is>
      </c>
      <c r="S36" s="4" t="inlineStr">
        <is>
          <t>13</t>
        </is>
      </c>
      <c r="T36" s="4" t="inlineStr">
        <is>
          <t>Fechamento de cortina - contenções</t>
        </is>
      </c>
      <c r="U36" s="4" t="inlineStr">
        <is>
          <t>SIM</t>
        </is>
      </c>
      <c r="V36" s="2">
        <f>IF(R36="","",COUNTIF($C$5:$C$6004,R36))</f>
        <v/>
      </c>
      <c r="W36" s="2">
        <f>IF(R36="","",COUNTIFS($C$5:$C$6004,R36,$O$5:$O$6004,"CONCLUÍDA"))</f>
        <v/>
      </c>
      <c r="X36" s="2">
        <f>IF(R36="","",COUNTIFS($C$5:$C$6004,R36,$O$5:$O$6004,"EM ANDAMENTO"))</f>
        <v/>
      </c>
      <c r="Y36" s="2">
        <f>IF(R36="","",IF(COUNTIFS($C$5:$C$6004,R36,$O$5:$O$6004,"CONCLUÍDA",$N$5:$N$6004,"&gt;=-99")=0,"",_xlfn.MAXIFS($N$5:$N$6004,$C$5:$C$6004,R36,$O$5:$O$6004,"CONCLUÍDA")))</f>
        <v/>
      </c>
      <c r="Z36" s="2">
        <f>IF(R36="","",IF(COUNTIFS($C$5:$C$6004,R36,$O$5:$O$6004,"EM ANDAMENTO",$N$5:$N$6004,"&gt;=-99")=0,"",_xlfn.MAXIFS($N$5:$N$6004,$C$5:$C$6004,R36,$O$5:$O$6004,"EM ANDAMENTO")))</f>
        <v/>
      </c>
      <c r="AA36" s="2">
        <f>IF(OR(R36="",S36="",U36&lt;&gt;"SIM",V36=0),"",IF(W36+X36=0,"",T36&amp;": "&amp;IF(W36=V36,"concluído",IF(W36=0,"em execução"&amp;IF(Z36&lt;&gt;""," ("&amp;IF(Z36&lt;0,IF(COUNTIF($E$5:$E$6004,"SUBSOLO*")&gt;0,"subsolo",-Z36&amp;"º subsolo"),IF(Z36=0,"térreo",Z36&amp;"º pav."))&amp;")",""),IF(Y36&lt;&gt;"","até "&amp;IF(Y36&lt;0,IF(COUNTIF($E$5:$E$6004,"SUBSOLO*")&gt;0,"subsolo",-Y36&amp;"º subsolo"),IF(Y36=0,"térreo",Y36&amp;"º pav.")),W36&amp;" de "&amp;V36&amp;" concluídas")&amp;IF(Z36="","",IF(OR(Y36="",Z36&gt;Y36),", executando "&amp;IF(Z36&lt;0,IF(COUNTIF($E$5:$E$6004,"SUBSOLO*")&gt;0,"subsolo",-Z36&amp;"º subsolo"),IF(Z36=0,"térreo",Z36&amp;"º pav."))," (restam serviços no "&amp;IF(Z36&lt;0,IF(COUNTIF($E$5:$E$6004,"SUBSOLO*")&gt;0,"subsolo",-Z36&amp;"º subsolo"),IF(Z36=0,"térreo",Z36&amp;"º pav."))&amp;")"))))))</f>
        <v/>
      </c>
    </row>
    <row r="37">
      <c r="B37" s="4" t="n">
        <v>13543854</v>
      </c>
      <c r="C37" s="4" t="inlineStr">
        <is>
          <t>FUNDAÇÃO PROFUNDA</t>
        </is>
      </c>
      <c r="D37" s="4" t="inlineStr">
        <is>
          <t>P107A e P25B</t>
        </is>
      </c>
      <c r="E37" s="4" t="inlineStr">
        <is>
          <t>SERVIÇOS INICIAIS</t>
        </is>
      </c>
      <c r="F37" s="126" t="n">
        <v>45940</v>
      </c>
      <c r="G37" s="126" t="n">
        <v>45940</v>
      </c>
      <c r="H37" s="126" t="n">
        <v>46289</v>
      </c>
      <c r="I37" s="4" t="n">
        <v>100</v>
      </c>
      <c r="J37" s="4" t="n">
        <v>100</v>
      </c>
      <c r="K37" s="4" t="n">
        <v>100</v>
      </c>
      <c r="M37" s="2">
        <f>IF(C37="","",IFERROR(INDEX($S$5:$S$304,MATCH(C37,$R$5:$R$304,0))&amp;"","?"))</f>
        <v/>
      </c>
      <c r="N37" s="2">
        <f>IF(E37="","",IF(ISNUMBER(SEARCH("SUBSOLO",E37)),IFERROR(-VALUE(LEFT(E37,FIND("º",SUBSTITUTE(E37,"°","º"))-1)),-1),IF(LEFT(E37,6)="TÉRREO",0,IFERROR(VALUE(LEFT(E37,FIND("º",SUBSTITUTE(E37,"°","º"))-1)),""))))</f>
        <v/>
      </c>
      <c r="O37" s="2">
        <f>IF(OR(F37="",G37=""),"",IF(G37&lt;='RETRATO 2027'!$K$5,"CONCLUÍDA",IF(F37&lt;='RETRATO 2027'!$K$5,"EM ANDAMENTO","A INICIAR")))</f>
        <v/>
      </c>
      <c r="R37" s="4" t="inlineStr">
        <is>
          <t>CINTAS FASE 3</t>
        </is>
      </c>
      <c r="S37" s="4" t="inlineStr">
        <is>
          <t>16</t>
        </is>
      </c>
      <c r="T37" s="4" t="inlineStr">
        <is>
          <t>Cintas fase 3</t>
        </is>
      </c>
      <c r="U37" s="4" t="inlineStr">
        <is>
          <t>NÃO</t>
        </is>
      </c>
      <c r="V37" s="2">
        <f>IF(R37="","",COUNTIF($C$5:$C$6004,R37))</f>
        <v/>
      </c>
      <c r="W37" s="2">
        <f>IF(R37="","",COUNTIFS($C$5:$C$6004,R37,$O$5:$O$6004,"CONCLUÍDA"))</f>
        <v/>
      </c>
      <c r="X37" s="2">
        <f>IF(R37="","",COUNTIFS($C$5:$C$6004,R37,$O$5:$O$6004,"EM ANDAMENTO"))</f>
        <v/>
      </c>
      <c r="Y37" s="2">
        <f>IF(R37="","",IF(COUNTIFS($C$5:$C$6004,R37,$O$5:$O$6004,"CONCLUÍDA",$N$5:$N$6004,"&gt;=-99")=0,"",_xlfn.MAXIFS($N$5:$N$6004,$C$5:$C$6004,R37,$O$5:$O$6004,"CONCLUÍDA")))</f>
        <v/>
      </c>
      <c r="Z37" s="2">
        <f>IF(R37="","",IF(COUNTIFS($C$5:$C$6004,R37,$O$5:$O$6004,"EM ANDAMENTO",$N$5:$N$6004,"&gt;=-99")=0,"",_xlfn.MAXIFS($N$5:$N$6004,$C$5:$C$6004,R37,$O$5:$O$6004,"EM ANDAMENTO")))</f>
        <v/>
      </c>
      <c r="AA37" s="2">
        <f>IF(OR(R37="",S37="",U37&lt;&gt;"SIM",V37=0),"",IF(W37+X37=0,"",T37&amp;": "&amp;IF(W37=V37,"concluído",IF(W37=0,"em execução"&amp;IF(Z37&lt;&gt;""," ("&amp;IF(Z37&lt;0,IF(COUNTIF($E$5:$E$6004,"SUBSOLO*")&gt;0,"subsolo",-Z37&amp;"º subsolo"),IF(Z37=0,"térreo",Z37&amp;"º pav."))&amp;")",""),IF(Y37&lt;&gt;"","até "&amp;IF(Y37&lt;0,IF(COUNTIF($E$5:$E$6004,"SUBSOLO*")&gt;0,"subsolo",-Y37&amp;"º subsolo"),IF(Y37=0,"térreo",Y37&amp;"º pav.")),W37&amp;" de "&amp;V37&amp;" concluídas")&amp;IF(Z37="","",IF(OR(Y37="",Z37&gt;Y37),", executando "&amp;IF(Z37&lt;0,IF(COUNTIF($E$5:$E$6004,"SUBSOLO*")&gt;0,"subsolo",-Z37&amp;"º subsolo"),IF(Z37=0,"térreo",Z37&amp;"º pav."))," (restam serviços no "&amp;IF(Z37&lt;0,IF(COUNTIF($E$5:$E$6004,"SUBSOLO*")&gt;0,"subsolo",-Z37&amp;"º subsolo"),IF(Z37=0,"térreo",Z37&amp;"º pav."))&amp;")"))))))</f>
        <v/>
      </c>
    </row>
    <row r="38">
      <c r="B38" s="4" t="n">
        <v>13543855</v>
      </c>
      <c r="C38" s="4" t="inlineStr">
        <is>
          <t>FUNDAÇÃO PROFUNDA</t>
        </is>
      </c>
      <c r="D38" s="4" t="inlineStr">
        <is>
          <t>P107B e P137C</t>
        </is>
      </c>
      <c r="E38" s="4" t="inlineStr">
        <is>
          <t>SERVIÇOS INICIAIS</t>
        </is>
      </c>
      <c r="F38" s="126" t="n">
        <v>45943</v>
      </c>
      <c r="G38" s="126" t="n">
        <v>45943</v>
      </c>
      <c r="H38" s="126" t="n">
        <v>46289</v>
      </c>
      <c r="I38" s="4" t="n">
        <v>100</v>
      </c>
      <c r="J38" s="4" t="n">
        <v>100</v>
      </c>
      <c r="K38" s="4" t="n">
        <v>100</v>
      </c>
      <c r="M38" s="2">
        <f>IF(C38="","",IFERROR(INDEX($S$5:$S$304,MATCH(C38,$R$5:$R$304,0))&amp;"","?"))</f>
        <v/>
      </c>
      <c r="N38" s="2">
        <f>IF(E38="","",IF(ISNUMBER(SEARCH("SUBSOLO",E38)),IFERROR(-VALUE(LEFT(E38,FIND("º",SUBSTITUTE(E38,"°","º"))-1)),-1),IF(LEFT(E38,6)="TÉRREO",0,IFERROR(VALUE(LEFT(E38,FIND("º",SUBSTITUTE(E38,"°","º"))-1)),""))))</f>
        <v/>
      </c>
      <c r="O38" s="2">
        <f>IF(OR(F38="",G38=""),"",IF(G38&lt;='RETRATO 2027'!$K$5,"CONCLUÍDA",IF(F38&lt;='RETRATO 2027'!$K$5,"EM ANDAMENTO","A INICIAR")))</f>
        <v/>
      </c>
      <c r="R38" s="4" t="inlineStr">
        <is>
          <t>CINTAS FASE 4</t>
        </is>
      </c>
      <c r="S38" s="4" t="inlineStr">
        <is>
          <t>16</t>
        </is>
      </c>
      <c r="T38" s="4" t="inlineStr">
        <is>
          <t>Cintas fase 4</t>
        </is>
      </c>
      <c r="U38" s="4" t="inlineStr">
        <is>
          <t>NÃO</t>
        </is>
      </c>
      <c r="V38" s="2">
        <f>IF(R38="","",COUNTIF($C$5:$C$6004,R38))</f>
        <v/>
      </c>
      <c r="W38" s="2">
        <f>IF(R38="","",COUNTIFS($C$5:$C$6004,R38,$O$5:$O$6004,"CONCLUÍDA"))</f>
        <v/>
      </c>
      <c r="X38" s="2">
        <f>IF(R38="","",COUNTIFS($C$5:$C$6004,R38,$O$5:$O$6004,"EM ANDAMENTO"))</f>
        <v/>
      </c>
      <c r="Y38" s="2">
        <f>IF(R38="","",IF(COUNTIFS($C$5:$C$6004,R38,$O$5:$O$6004,"CONCLUÍDA",$N$5:$N$6004,"&gt;=-99")=0,"",_xlfn.MAXIFS($N$5:$N$6004,$C$5:$C$6004,R38,$O$5:$O$6004,"CONCLUÍDA")))</f>
        <v/>
      </c>
      <c r="Z38" s="2">
        <f>IF(R38="","",IF(COUNTIFS($C$5:$C$6004,R38,$O$5:$O$6004,"EM ANDAMENTO",$N$5:$N$6004,"&gt;=-99")=0,"",_xlfn.MAXIFS($N$5:$N$6004,$C$5:$C$6004,R38,$O$5:$O$6004,"EM ANDAMENTO")))</f>
        <v/>
      </c>
      <c r="AA38" s="2">
        <f>IF(OR(R38="",S38="",U38&lt;&gt;"SIM",V38=0),"",IF(W38+X38=0,"",T38&amp;": "&amp;IF(W38=V38,"concluído",IF(W38=0,"em execução"&amp;IF(Z38&lt;&gt;""," ("&amp;IF(Z38&lt;0,IF(COUNTIF($E$5:$E$6004,"SUBSOLO*")&gt;0,"subsolo",-Z38&amp;"º subsolo"),IF(Z38=0,"térreo",Z38&amp;"º pav."))&amp;")",""),IF(Y38&lt;&gt;"","até "&amp;IF(Y38&lt;0,IF(COUNTIF($E$5:$E$6004,"SUBSOLO*")&gt;0,"subsolo",-Y38&amp;"º subsolo"),IF(Y38=0,"térreo",Y38&amp;"º pav.")),W38&amp;" de "&amp;V38&amp;" concluídas")&amp;IF(Z38="","",IF(OR(Y38="",Z38&gt;Y38),", executando "&amp;IF(Z38&lt;0,IF(COUNTIF($E$5:$E$6004,"SUBSOLO*")&gt;0,"subsolo",-Z38&amp;"º subsolo"),IF(Z38=0,"térreo",Z38&amp;"º pav."))," (restam serviços no "&amp;IF(Z38&lt;0,IF(COUNTIF($E$5:$E$6004,"SUBSOLO*")&gt;0,"subsolo",-Z38&amp;"º subsolo"),IF(Z38=0,"térreo",Z38&amp;"º pav."))&amp;")"))))))</f>
        <v/>
      </c>
    </row>
    <row r="39">
      <c r="B39" s="4" t="n">
        <v>13543856</v>
      </c>
      <c r="C39" s="4" t="inlineStr">
        <is>
          <t>FUNDAÇÃO PROFUNDA</t>
        </is>
      </c>
      <c r="D39" s="4" t="inlineStr">
        <is>
          <t>P154 e P153</t>
        </is>
      </c>
      <c r="E39" s="4" t="inlineStr">
        <is>
          <t>SERVIÇOS INICIAIS</t>
        </is>
      </c>
      <c r="F39" s="126" t="n">
        <v>45944</v>
      </c>
      <c r="G39" s="126" t="n">
        <v>45944</v>
      </c>
      <c r="H39" s="126" t="n">
        <v>46289</v>
      </c>
      <c r="I39" s="4" t="n">
        <v>100</v>
      </c>
      <c r="J39" s="4" t="n">
        <v>100</v>
      </c>
      <c r="K39" s="4" t="n">
        <v>100</v>
      </c>
      <c r="M39" s="2">
        <f>IF(C39="","",IFERROR(INDEX($S$5:$S$304,MATCH(C39,$R$5:$R$304,0))&amp;"","?"))</f>
        <v/>
      </c>
      <c r="N39" s="2">
        <f>IF(E39="","",IF(ISNUMBER(SEARCH("SUBSOLO",E39)),IFERROR(-VALUE(LEFT(E39,FIND("º",SUBSTITUTE(E39,"°","º"))-1)),-1),IF(LEFT(E39,6)="TÉRREO",0,IFERROR(VALUE(LEFT(E39,FIND("º",SUBSTITUTE(E39,"°","º"))-1)),""))))</f>
        <v/>
      </c>
      <c r="O39" s="2">
        <f>IF(OR(F39="",G39=""),"",IF(G39&lt;='RETRATO 2027'!$K$5,"CONCLUÍDA",IF(F39&lt;='RETRATO 2027'!$K$5,"EM ANDAMENTO","A INICIAR")))</f>
        <v/>
      </c>
      <c r="R39" s="4" t="inlineStr">
        <is>
          <t>TRATAMENTO DE CONCRETO - TETO</t>
        </is>
      </c>
      <c r="S39" s="4" t="inlineStr">
        <is>
          <t>35</t>
        </is>
      </c>
      <c r="T39" s="4" t="inlineStr">
        <is>
          <t>Tratamento de concreto - teto</t>
        </is>
      </c>
      <c r="U39" s="4" t="inlineStr">
        <is>
          <t>NÃO</t>
        </is>
      </c>
      <c r="V39" s="2">
        <f>IF(R39="","",COUNTIF($C$5:$C$6004,R39))</f>
        <v/>
      </c>
      <c r="W39" s="2">
        <f>IF(R39="","",COUNTIFS($C$5:$C$6004,R39,$O$5:$O$6004,"CONCLUÍDA"))</f>
        <v/>
      </c>
      <c r="X39" s="2">
        <f>IF(R39="","",COUNTIFS($C$5:$C$6004,R39,$O$5:$O$6004,"EM ANDAMENTO"))</f>
        <v/>
      </c>
      <c r="Y39" s="2">
        <f>IF(R39="","",IF(COUNTIFS($C$5:$C$6004,R39,$O$5:$O$6004,"CONCLUÍDA",$N$5:$N$6004,"&gt;=-99")=0,"",_xlfn.MAXIFS($N$5:$N$6004,$C$5:$C$6004,R39,$O$5:$O$6004,"CONCLUÍDA")))</f>
        <v/>
      </c>
      <c r="Z39" s="2">
        <f>IF(R39="","",IF(COUNTIFS($C$5:$C$6004,R39,$O$5:$O$6004,"EM ANDAMENTO",$N$5:$N$6004,"&gt;=-99")=0,"",_xlfn.MAXIFS($N$5:$N$6004,$C$5:$C$6004,R39,$O$5:$O$6004,"EM ANDAMENTO")))</f>
        <v/>
      </c>
      <c r="AA39" s="2">
        <f>IF(OR(R39="",S39="",U39&lt;&gt;"SIM",V39=0),"",IF(W39+X39=0,"",T39&amp;": "&amp;IF(W39=V39,"concluído",IF(W39=0,"em execução"&amp;IF(Z39&lt;&gt;""," ("&amp;IF(Z39&lt;0,IF(COUNTIF($E$5:$E$6004,"SUBSOLO*")&gt;0,"subsolo",-Z39&amp;"º subsolo"),IF(Z39=0,"térreo",Z39&amp;"º pav."))&amp;")",""),IF(Y39&lt;&gt;"","até "&amp;IF(Y39&lt;0,IF(COUNTIF($E$5:$E$6004,"SUBSOLO*")&gt;0,"subsolo",-Y39&amp;"º subsolo"),IF(Y39=0,"térreo",Y39&amp;"º pav.")),W39&amp;" de "&amp;V39&amp;" concluídas")&amp;IF(Z39="","",IF(OR(Y39="",Z39&gt;Y39),", executando "&amp;IF(Z39&lt;0,IF(COUNTIF($E$5:$E$6004,"SUBSOLO*")&gt;0,"subsolo",-Z39&amp;"º subsolo"),IF(Z39=0,"térreo",Z39&amp;"º pav."))," (restam serviços no "&amp;IF(Z39&lt;0,IF(COUNTIF($E$5:$E$6004,"SUBSOLO*")&gt;0,"subsolo",-Z39&amp;"º subsolo"),IF(Z39=0,"térreo",Z39&amp;"º pav."))&amp;")"))))))</f>
        <v/>
      </c>
    </row>
    <row r="40">
      <c r="B40" s="4" t="n">
        <v>13543857</v>
      </c>
      <c r="C40" s="4" t="inlineStr">
        <is>
          <t>FUNDAÇÃO PROFUNDA</t>
        </is>
      </c>
      <c r="D40" s="4" t="inlineStr">
        <is>
          <t>P156 e P152</t>
        </is>
      </c>
      <c r="E40" s="4" t="inlineStr">
        <is>
          <t>SERVIÇOS INICIAIS</t>
        </is>
      </c>
      <c r="F40" s="126" t="n">
        <v>45945</v>
      </c>
      <c r="G40" s="126" t="n">
        <v>45945</v>
      </c>
      <c r="H40" s="126" t="n">
        <v>46289</v>
      </c>
      <c r="I40" s="4" t="n">
        <v>100</v>
      </c>
      <c r="J40" s="4" t="n">
        <v>100</v>
      </c>
      <c r="K40" s="4" t="n">
        <v>100</v>
      </c>
      <c r="M40" s="2">
        <f>IF(C40="","",IFERROR(INDEX($S$5:$S$304,MATCH(C40,$R$5:$R$304,0))&amp;"","?"))</f>
        <v/>
      </c>
      <c r="N40" s="2">
        <f>IF(E40="","",IF(ISNUMBER(SEARCH("SUBSOLO",E40)),IFERROR(-VALUE(LEFT(E40,FIND("º",SUBSTITUTE(E40,"°","º"))-1)),-1),IF(LEFT(E40,6)="TÉRREO",0,IFERROR(VALUE(LEFT(E40,FIND("º",SUBSTITUTE(E40,"°","º"))-1)),""))))</f>
        <v/>
      </c>
      <c r="O40" s="2">
        <f>IF(OR(F40="",G40=""),"",IF(G40&lt;='RETRATO 2027'!$K$5,"CONCLUÍDA",IF(F40&lt;='RETRATO 2027'!$K$5,"EM ANDAMENTO","A INICIAR")))</f>
        <v/>
      </c>
      <c r="R40" s="4" t="inlineStr">
        <is>
          <t>TRATAMENTO DE CONTENÇÕES</t>
        </is>
      </c>
      <c r="S40" s="4" t="inlineStr">
        <is>
          <t>13</t>
        </is>
      </c>
      <c r="T40" s="4" t="inlineStr">
        <is>
          <t>Tratamento de contenções</t>
        </is>
      </c>
      <c r="U40" s="4" t="inlineStr">
        <is>
          <t>SIM</t>
        </is>
      </c>
      <c r="V40" s="2">
        <f>IF(R40="","",COUNTIF($C$5:$C$6004,R40))</f>
        <v/>
      </c>
      <c r="W40" s="2">
        <f>IF(R40="","",COUNTIFS($C$5:$C$6004,R40,$O$5:$O$6004,"CONCLUÍDA"))</f>
        <v/>
      </c>
      <c r="X40" s="2">
        <f>IF(R40="","",COUNTIFS($C$5:$C$6004,R40,$O$5:$O$6004,"EM ANDAMENTO"))</f>
        <v/>
      </c>
      <c r="Y40" s="2">
        <f>IF(R40="","",IF(COUNTIFS($C$5:$C$6004,R40,$O$5:$O$6004,"CONCLUÍDA",$N$5:$N$6004,"&gt;=-99")=0,"",_xlfn.MAXIFS($N$5:$N$6004,$C$5:$C$6004,R40,$O$5:$O$6004,"CONCLUÍDA")))</f>
        <v/>
      </c>
      <c r="Z40" s="2">
        <f>IF(R40="","",IF(COUNTIFS($C$5:$C$6004,R40,$O$5:$O$6004,"EM ANDAMENTO",$N$5:$N$6004,"&gt;=-99")=0,"",_xlfn.MAXIFS($N$5:$N$6004,$C$5:$C$6004,R40,$O$5:$O$6004,"EM ANDAMENTO")))</f>
        <v/>
      </c>
      <c r="AA40" s="2">
        <f>IF(OR(R40="",S40="",U40&lt;&gt;"SIM",V40=0),"",IF(W40+X40=0,"",T40&amp;": "&amp;IF(W40=V40,"concluído",IF(W40=0,"em execução"&amp;IF(Z40&lt;&gt;""," ("&amp;IF(Z40&lt;0,IF(COUNTIF($E$5:$E$6004,"SUBSOLO*")&gt;0,"subsolo",-Z40&amp;"º subsolo"),IF(Z40=0,"térreo",Z40&amp;"º pav."))&amp;")",""),IF(Y40&lt;&gt;"","até "&amp;IF(Y40&lt;0,IF(COUNTIF($E$5:$E$6004,"SUBSOLO*")&gt;0,"subsolo",-Y40&amp;"º subsolo"),IF(Y40=0,"térreo",Y40&amp;"º pav.")),W40&amp;" de "&amp;V40&amp;" concluídas")&amp;IF(Z40="","",IF(OR(Y40="",Z40&gt;Y40),", executando "&amp;IF(Z40&lt;0,IF(COUNTIF($E$5:$E$6004,"SUBSOLO*")&gt;0,"subsolo",-Z40&amp;"º subsolo"),IF(Z40=0,"térreo",Z40&amp;"º pav."))," (restam serviços no "&amp;IF(Z40&lt;0,IF(COUNTIF($E$5:$E$6004,"SUBSOLO*")&gt;0,"subsolo",-Z40&amp;"º subsolo"),IF(Z40=0,"térreo",Z40&amp;"º pav."))&amp;")"))))))</f>
        <v/>
      </c>
    </row>
    <row r="41">
      <c r="B41" s="4" t="n">
        <v>13543858</v>
      </c>
      <c r="C41" s="4" t="inlineStr">
        <is>
          <t>FUNDAÇÃO PROFUNDA</t>
        </is>
      </c>
      <c r="D41" s="4" t="inlineStr">
        <is>
          <t>P142 e P144</t>
        </is>
      </c>
      <c r="E41" s="4" t="inlineStr">
        <is>
          <t>SERVIÇOS INICIAIS</t>
        </is>
      </c>
      <c r="F41" s="126" t="n">
        <v>45946</v>
      </c>
      <c r="G41" s="126" t="n">
        <v>45946</v>
      </c>
      <c r="H41" s="126" t="n">
        <v>46289</v>
      </c>
      <c r="I41" s="4" t="n">
        <v>100</v>
      </c>
      <c r="J41" s="4" t="n">
        <v>100</v>
      </c>
      <c r="K41" s="4" t="n">
        <v>100</v>
      </c>
      <c r="M41" s="2">
        <f>IF(C41="","",IFERROR(INDEX($S$5:$S$304,MATCH(C41,$R$5:$R$304,0))&amp;"","?"))</f>
        <v/>
      </c>
      <c r="N41" s="2">
        <f>IF(E41="","",IF(ISNUMBER(SEARCH("SUBSOLO",E41)),IFERROR(-VALUE(LEFT(E41,FIND("º",SUBSTITUTE(E41,"°","º"))-1)),-1),IF(LEFT(E41,6)="TÉRREO",0,IFERROR(VALUE(LEFT(E41,FIND("º",SUBSTITUTE(E41,"°","º"))-1)),""))))</f>
        <v/>
      </c>
      <c r="O41" s="2">
        <f>IF(OR(F41="",G41=""),"",IF(G41&lt;='RETRATO 2027'!$K$5,"CONCLUÍDA",IF(F41&lt;='RETRATO 2027'!$K$5,"EM ANDAMENTO","A INICIAR")))</f>
        <v/>
      </c>
      <c r="R41" s="4" t="inlineStr">
        <is>
          <t>DISTRIBUIÇÃO HIDRÁULICA - INFRAS ENTERRADAS</t>
        </is>
      </c>
      <c r="S41" s="4" t="inlineStr">
        <is>
          <t>21</t>
        </is>
      </c>
      <c r="T41" s="4" t="inlineStr">
        <is>
          <t>Distribuição hidráulica - infras enterradas</t>
        </is>
      </c>
      <c r="U41" s="4" t="inlineStr">
        <is>
          <t>NÃO</t>
        </is>
      </c>
      <c r="V41" s="2">
        <f>IF(R41="","",COUNTIF($C$5:$C$6004,R41))</f>
        <v/>
      </c>
      <c r="W41" s="2">
        <f>IF(R41="","",COUNTIFS($C$5:$C$6004,R41,$O$5:$O$6004,"CONCLUÍDA"))</f>
        <v/>
      </c>
      <c r="X41" s="2">
        <f>IF(R41="","",COUNTIFS($C$5:$C$6004,R41,$O$5:$O$6004,"EM ANDAMENTO"))</f>
        <v/>
      </c>
      <c r="Y41" s="2">
        <f>IF(R41="","",IF(COUNTIFS($C$5:$C$6004,R41,$O$5:$O$6004,"CONCLUÍDA",$N$5:$N$6004,"&gt;=-99")=0,"",_xlfn.MAXIFS($N$5:$N$6004,$C$5:$C$6004,R41,$O$5:$O$6004,"CONCLUÍDA")))</f>
        <v/>
      </c>
      <c r="Z41" s="2">
        <f>IF(R41="","",IF(COUNTIFS($C$5:$C$6004,R41,$O$5:$O$6004,"EM ANDAMENTO",$N$5:$N$6004,"&gt;=-99")=0,"",_xlfn.MAXIFS($N$5:$N$6004,$C$5:$C$6004,R41,$O$5:$O$6004,"EM ANDAMENTO")))</f>
        <v/>
      </c>
      <c r="AA41" s="2">
        <f>IF(OR(R41="",S41="",U41&lt;&gt;"SIM",V41=0),"",IF(W41+X41=0,"",T41&amp;": "&amp;IF(W41=V41,"concluído",IF(W41=0,"em execução"&amp;IF(Z41&lt;&gt;""," ("&amp;IF(Z41&lt;0,IF(COUNTIF($E$5:$E$6004,"SUBSOLO*")&gt;0,"subsolo",-Z41&amp;"º subsolo"),IF(Z41=0,"térreo",Z41&amp;"º pav."))&amp;")",""),IF(Y41&lt;&gt;"","até "&amp;IF(Y41&lt;0,IF(COUNTIF($E$5:$E$6004,"SUBSOLO*")&gt;0,"subsolo",-Y41&amp;"º subsolo"),IF(Y41=0,"térreo",Y41&amp;"º pav.")),W41&amp;" de "&amp;V41&amp;" concluídas")&amp;IF(Z41="","",IF(OR(Y41="",Z41&gt;Y41),", executando "&amp;IF(Z41&lt;0,IF(COUNTIF($E$5:$E$6004,"SUBSOLO*")&gt;0,"subsolo",-Z41&amp;"º subsolo"),IF(Z41=0,"térreo",Z41&amp;"º pav."))," (restam serviços no "&amp;IF(Z41&lt;0,IF(COUNTIF($E$5:$E$6004,"SUBSOLO*")&gt;0,"subsolo",-Z41&amp;"º subsolo"),IF(Z41=0,"térreo",Z41&amp;"º pav."))&amp;")"))))))</f>
        <v/>
      </c>
    </row>
    <row r="42">
      <c r="B42" s="4" t="n">
        <v>13543859</v>
      </c>
      <c r="C42" s="4" t="inlineStr">
        <is>
          <t>FUNDAÇÃO PROFUNDA</t>
        </is>
      </c>
      <c r="D42" s="4" t="inlineStr">
        <is>
          <t>P150 e P133B</t>
        </is>
      </c>
      <c r="E42" s="4" t="inlineStr">
        <is>
          <t>SERVIÇOS INICIAIS</t>
        </is>
      </c>
      <c r="F42" s="126" t="n">
        <v>45947</v>
      </c>
      <c r="G42" s="126" t="n">
        <v>45950</v>
      </c>
      <c r="H42" s="126" t="n">
        <v>46289</v>
      </c>
      <c r="I42" s="4" t="n">
        <v>100</v>
      </c>
      <c r="J42" s="4" t="n">
        <v>100</v>
      </c>
      <c r="K42" s="4" t="n">
        <v>100</v>
      </c>
      <c r="M42" s="2">
        <f>IF(C42="","",IFERROR(INDEX($S$5:$S$304,MATCH(C42,$R$5:$R$304,0))&amp;"","?"))</f>
        <v/>
      </c>
      <c r="N42" s="2">
        <f>IF(E42="","",IF(ISNUMBER(SEARCH("SUBSOLO",E42)),IFERROR(-VALUE(LEFT(E42,FIND("º",SUBSTITUTE(E42,"°","º"))-1)),-1),IF(LEFT(E42,6)="TÉRREO",0,IFERROR(VALUE(LEFT(E42,FIND("º",SUBSTITUTE(E42,"°","º"))-1)),""))))</f>
        <v/>
      </c>
      <c r="O42" s="2">
        <f>IF(OR(F42="",G42=""),"",IF(G42&lt;='RETRATO 2027'!$K$5,"CONCLUÍDA",IF(F42&lt;='RETRATO 2027'!$K$5,"EM ANDAMENTO","A INICIAR")))</f>
        <v/>
      </c>
      <c r="R42" s="4" t="inlineStr">
        <is>
          <t>ENTRADA DE ENERGIA</t>
        </is>
      </c>
      <c r="S42" s="4" t="inlineStr">
        <is>
          <t>20</t>
        </is>
      </c>
      <c r="T42" s="4" t="inlineStr">
        <is>
          <t>Entrada de energia</t>
        </is>
      </c>
      <c r="U42" s="4" t="inlineStr">
        <is>
          <t>NÃO</t>
        </is>
      </c>
      <c r="V42" s="2">
        <f>IF(R42="","",COUNTIF($C$5:$C$6004,R42))</f>
        <v/>
      </c>
      <c r="W42" s="2">
        <f>IF(R42="","",COUNTIFS($C$5:$C$6004,R42,$O$5:$O$6004,"CONCLUÍDA"))</f>
        <v/>
      </c>
      <c r="X42" s="2">
        <f>IF(R42="","",COUNTIFS($C$5:$C$6004,R42,$O$5:$O$6004,"EM ANDAMENTO"))</f>
        <v/>
      </c>
      <c r="Y42" s="2">
        <f>IF(R42="","",IF(COUNTIFS($C$5:$C$6004,R42,$O$5:$O$6004,"CONCLUÍDA",$N$5:$N$6004,"&gt;=-99")=0,"",_xlfn.MAXIFS($N$5:$N$6004,$C$5:$C$6004,R42,$O$5:$O$6004,"CONCLUÍDA")))</f>
        <v/>
      </c>
      <c r="Z42" s="2">
        <f>IF(R42="","",IF(COUNTIFS($C$5:$C$6004,R42,$O$5:$O$6004,"EM ANDAMENTO",$N$5:$N$6004,"&gt;=-99")=0,"",_xlfn.MAXIFS($N$5:$N$6004,$C$5:$C$6004,R42,$O$5:$O$6004,"EM ANDAMENTO")))</f>
        <v/>
      </c>
      <c r="AA42" s="2">
        <f>IF(OR(R42="",S42="",U42&lt;&gt;"SIM",V42=0),"",IF(W42+X42=0,"",T42&amp;": "&amp;IF(W42=V42,"concluído",IF(W42=0,"em execução"&amp;IF(Z42&lt;&gt;""," ("&amp;IF(Z42&lt;0,IF(COUNTIF($E$5:$E$6004,"SUBSOLO*")&gt;0,"subsolo",-Z42&amp;"º subsolo"),IF(Z42=0,"térreo",Z42&amp;"º pav."))&amp;")",""),IF(Y42&lt;&gt;"","até "&amp;IF(Y42&lt;0,IF(COUNTIF($E$5:$E$6004,"SUBSOLO*")&gt;0,"subsolo",-Y42&amp;"º subsolo"),IF(Y42=0,"térreo",Y42&amp;"º pav.")),W42&amp;" de "&amp;V42&amp;" concluídas")&amp;IF(Z42="","",IF(OR(Y42="",Z42&gt;Y42),", executando "&amp;IF(Z42&lt;0,IF(COUNTIF($E$5:$E$6004,"SUBSOLO*")&gt;0,"subsolo",-Z42&amp;"º subsolo"),IF(Z42=0,"térreo",Z42&amp;"º pav."))," (restam serviços no "&amp;IF(Z42&lt;0,IF(COUNTIF($E$5:$E$6004,"SUBSOLO*")&gt;0,"subsolo",-Z42&amp;"º subsolo"),IF(Z42=0,"térreo",Z42&amp;"º pav."))&amp;")"))))))</f>
        <v/>
      </c>
    </row>
    <row r="43">
      <c r="B43" s="4" t="n">
        <v>13543860</v>
      </c>
      <c r="C43" s="4" t="inlineStr">
        <is>
          <t>FUNDAÇÃO PROFUNDA</t>
        </is>
      </c>
      <c r="D43" s="4" t="inlineStr">
        <is>
          <t>P151 e P19E</t>
        </is>
      </c>
      <c r="E43" s="4" t="inlineStr">
        <is>
          <t>SERVIÇOS INICIAIS</t>
        </is>
      </c>
      <c r="F43" s="126" t="n">
        <v>45951</v>
      </c>
      <c r="G43" s="126" t="n">
        <v>45951</v>
      </c>
      <c r="H43" s="126" t="n">
        <v>46289</v>
      </c>
      <c r="I43" s="4" t="n">
        <v>100</v>
      </c>
      <c r="J43" s="4" t="n">
        <v>100</v>
      </c>
      <c r="K43" s="4" t="n">
        <v>100</v>
      </c>
      <c r="M43" s="2">
        <f>IF(C43="","",IFERROR(INDEX($S$5:$S$304,MATCH(C43,$R$5:$R$304,0))&amp;"","?"))</f>
        <v/>
      </c>
      <c r="N43" s="2">
        <f>IF(E43="","",IF(ISNUMBER(SEARCH("SUBSOLO",E43)),IFERROR(-VALUE(LEFT(E43,FIND("º",SUBSTITUTE(E43,"°","º"))-1)),-1),IF(LEFT(E43,6)="TÉRREO",0,IFERROR(VALUE(LEFT(E43,FIND("º",SUBSTITUTE(E43,"°","º"))-1)),""))))</f>
        <v/>
      </c>
      <c r="O43" s="2">
        <f>IF(OR(F43="",G43=""),"",IF(G43&lt;='RETRATO 2027'!$K$5,"CONCLUÍDA",IF(F43&lt;='RETRATO 2027'!$K$5,"EM ANDAMENTO","A INICIAR")))</f>
        <v/>
      </c>
      <c r="R43" s="4" t="inlineStr">
        <is>
          <t>ESTRUTURA IGREJA</t>
        </is>
      </c>
      <c r="S43" s="4" t="inlineStr">
        <is>
          <t>17</t>
        </is>
      </c>
      <c r="T43" s="4" t="inlineStr">
        <is>
          <t>Estrutura igreja</t>
        </is>
      </c>
      <c r="U43" s="4" t="inlineStr">
        <is>
          <t>NÃO</t>
        </is>
      </c>
      <c r="V43" s="2">
        <f>IF(R43="","",COUNTIF($C$5:$C$6004,R43))</f>
        <v/>
      </c>
      <c r="W43" s="2">
        <f>IF(R43="","",COUNTIFS($C$5:$C$6004,R43,$O$5:$O$6004,"CONCLUÍDA"))</f>
        <v/>
      </c>
      <c r="X43" s="2">
        <f>IF(R43="","",COUNTIFS($C$5:$C$6004,R43,$O$5:$O$6004,"EM ANDAMENTO"))</f>
        <v/>
      </c>
      <c r="Y43" s="2">
        <f>IF(R43="","",IF(COUNTIFS($C$5:$C$6004,R43,$O$5:$O$6004,"CONCLUÍDA",$N$5:$N$6004,"&gt;=-99")=0,"",_xlfn.MAXIFS($N$5:$N$6004,$C$5:$C$6004,R43,$O$5:$O$6004,"CONCLUÍDA")))</f>
        <v/>
      </c>
      <c r="Z43" s="2">
        <f>IF(R43="","",IF(COUNTIFS($C$5:$C$6004,R43,$O$5:$O$6004,"EM ANDAMENTO",$N$5:$N$6004,"&gt;=-99")=0,"",_xlfn.MAXIFS($N$5:$N$6004,$C$5:$C$6004,R43,$O$5:$O$6004,"EM ANDAMENTO")))</f>
        <v/>
      </c>
      <c r="AA43" s="2">
        <f>IF(OR(R43="",S43="",U43&lt;&gt;"SIM",V43=0),"",IF(W43+X43=0,"",T43&amp;": "&amp;IF(W43=V43,"concluído",IF(W43=0,"em execução"&amp;IF(Z43&lt;&gt;""," ("&amp;IF(Z43&lt;0,IF(COUNTIF($E$5:$E$6004,"SUBSOLO*")&gt;0,"subsolo",-Z43&amp;"º subsolo"),IF(Z43=0,"térreo",Z43&amp;"º pav."))&amp;")",""),IF(Y43&lt;&gt;"","até "&amp;IF(Y43&lt;0,IF(COUNTIF($E$5:$E$6004,"SUBSOLO*")&gt;0,"subsolo",-Y43&amp;"º subsolo"),IF(Y43=0,"térreo",Y43&amp;"º pav.")),W43&amp;" de "&amp;V43&amp;" concluídas")&amp;IF(Z43="","",IF(OR(Y43="",Z43&gt;Y43),", executando "&amp;IF(Z43&lt;0,IF(COUNTIF($E$5:$E$6004,"SUBSOLO*")&gt;0,"subsolo",-Z43&amp;"º subsolo"),IF(Z43=0,"térreo",Z43&amp;"º pav."))," (restam serviços no "&amp;IF(Z43&lt;0,IF(COUNTIF($E$5:$E$6004,"SUBSOLO*")&gt;0,"subsolo",-Z43&amp;"º subsolo"),IF(Z43=0,"térreo",Z43&amp;"º pav."))&amp;")"))))))</f>
        <v/>
      </c>
    </row>
    <row r="44">
      <c r="B44" s="4" t="n">
        <v>13543861</v>
      </c>
      <c r="C44" s="4" t="inlineStr">
        <is>
          <t>FUNDAÇÃO PROFUNDA</t>
        </is>
      </c>
      <c r="D44" s="4" t="inlineStr">
        <is>
          <t>P141 e P143</t>
        </is>
      </c>
      <c r="E44" s="4" t="inlineStr">
        <is>
          <t>SERVIÇOS INICIAIS</t>
        </is>
      </c>
      <c r="F44" s="126" t="n">
        <v>45952</v>
      </c>
      <c r="G44" s="126" t="n">
        <v>45952</v>
      </c>
      <c r="H44" s="126" t="n">
        <v>46289</v>
      </c>
      <c r="I44" s="4" t="n">
        <v>100</v>
      </c>
      <c r="J44" s="4" t="n">
        <v>100</v>
      </c>
      <c r="K44" s="4" t="n">
        <v>100</v>
      </c>
      <c r="M44" s="2">
        <f>IF(C44="","",IFERROR(INDEX($S$5:$S$304,MATCH(C44,$R$5:$R$304,0))&amp;"","?"))</f>
        <v/>
      </c>
      <c r="N44" s="2">
        <f>IF(E44="","",IF(ISNUMBER(SEARCH("SUBSOLO",E44)),IFERROR(-VALUE(LEFT(E44,FIND("º",SUBSTITUTE(E44,"°","º"))-1)),-1),IF(LEFT(E44,6)="TÉRREO",0,IFERROR(VALUE(LEFT(E44,FIND("º",SUBSTITUTE(E44,"°","º"))-1)),""))))</f>
        <v/>
      </c>
      <c r="O44" s="2">
        <f>IF(OR(F44="",G44=""),"",IF(G44&lt;='RETRATO 2027'!$K$5,"CONCLUÍDA",IF(F44&lt;='RETRATO 2027'!$K$5,"EM ANDAMENTO","A INICIAR")))</f>
        <v/>
      </c>
      <c r="R44" s="4" t="inlineStr">
        <is>
          <t>INFRA ELÉTRICA - TETO</t>
        </is>
      </c>
      <c r="S44" s="4" t="inlineStr">
        <is>
          <t>20</t>
        </is>
      </c>
      <c r="T44" s="4" t="inlineStr">
        <is>
          <t>Infra elétrica - teto</t>
        </is>
      </c>
      <c r="U44" s="4" t="inlineStr">
        <is>
          <t>NÃO</t>
        </is>
      </c>
      <c r="V44" s="2">
        <f>IF(R44="","",COUNTIF($C$5:$C$6004,R44))</f>
        <v/>
      </c>
      <c r="W44" s="2">
        <f>IF(R44="","",COUNTIFS($C$5:$C$6004,R44,$O$5:$O$6004,"CONCLUÍDA"))</f>
        <v/>
      </c>
      <c r="X44" s="2">
        <f>IF(R44="","",COUNTIFS($C$5:$C$6004,R44,$O$5:$O$6004,"EM ANDAMENTO"))</f>
        <v/>
      </c>
      <c r="Y44" s="2">
        <f>IF(R44="","",IF(COUNTIFS($C$5:$C$6004,R44,$O$5:$O$6004,"CONCLUÍDA",$N$5:$N$6004,"&gt;=-99")=0,"",_xlfn.MAXIFS($N$5:$N$6004,$C$5:$C$6004,R44,$O$5:$O$6004,"CONCLUÍDA")))</f>
        <v/>
      </c>
      <c r="Z44" s="2">
        <f>IF(R44="","",IF(COUNTIFS($C$5:$C$6004,R44,$O$5:$O$6004,"EM ANDAMENTO",$N$5:$N$6004,"&gt;=-99")=0,"",_xlfn.MAXIFS($N$5:$N$6004,$C$5:$C$6004,R44,$O$5:$O$6004,"EM ANDAMENTO")))</f>
        <v/>
      </c>
      <c r="AA44" s="2">
        <f>IF(OR(R44="",S44="",U44&lt;&gt;"SIM",V44=0),"",IF(W44+X44=0,"",T44&amp;": "&amp;IF(W44=V44,"concluído",IF(W44=0,"em execução"&amp;IF(Z44&lt;&gt;""," ("&amp;IF(Z44&lt;0,IF(COUNTIF($E$5:$E$6004,"SUBSOLO*")&gt;0,"subsolo",-Z44&amp;"º subsolo"),IF(Z44=0,"térreo",Z44&amp;"º pav."))&amp;")",""),IF(Y44&lt;&gt;"","até "&amp;IF(Y44&lt;0,IF(COUNTIF($E$5:$E$6004,"SUBSOLO*")&gt;0,"subsolo",-Y44&amp;"º subsolo"),IF(Y44=0,"térreo",Y44&amp;"º pav.")),W44&amp;" de "&amp;V44&amp;" concluídas")&amp;IF(Z44="","",IF(OR(Y44="",Z44&gt;Y44),", executando "&amp;IF(Z44&lt;0,IF(COUNTIF($E$5:$E$6004,"SUBSOLO*")&gt;0,"subsolo",-Z44&amp;"º subsolo"),IF(Z44=0,"térreo",Z44&amp;"º pav."))," (restam serviços no "&amp;IF(Z44&lt;0,IF(COUNTIF($E$5:$E$6004,"SUBSOLO*")&gt;0,"subsolo",-Z44&amp;"º subsolo"),IF(Z44=0,"térreo",Z44&amp;"º pav."))&amp;")"))))))</f>
        <v/>
      </c>
    </row>
    <row r="45">
      <c r="B45" s="4" t="n">
        <v>13543862</v>
      </c>
      <c r="C45" s="4" t="inlineStr">
        <is>
          <t>FUNDAÇÃO PROFUNDA</t>
        </is>
      </c>
      <c r="D45" s="4" t="inlineStr">
        <is>
          <t>P19D e P133A</t>
        </is>
      </c>
      <c r="E45" s="4" t="inlineStr">
        <is>
          <t>SERVIÇOS INICIAIS</t>
        </is>
      </c>
      <c r="F45" s="126" t="n">
        <v>45953</v>
      </c>
      <c r="G45" s="126" t="n">
        <v>45953</v>
      </c>
      <c r="H45" s="126" t="n">
        <v>46289</v>
      </c>
      <c r="I45" s="4" t="n">
        <v>100</v>
      </c>
      <c r="J45" s="4" t="n">
        <v>100</v>
      </c>
      <c r="K45" s="4" t="n">
        <v>100</v>
      </c>
      <c r="M45" s="2">
        <f>IF(C45="","",IFERROR(INDEX($S$5:$S$304,MATCH(C45,$R$5:$R$304,0))&amp;"","?"))</f>
        <v/>
      </c>
      <c r="N45" s="2">
        <f>IF(E45="","",IF(ISNUMBER(SEARCH("SUBSOLO",E45)),IFERROR(-VALUE(LEFT(E45,FIND("º",SUBSTITUTE(E45,"°","º"))-1)),-1),IF(LEFT(E45,6)="TÉRREO",0,IFERROR(VALUE(LEFT(E45,FIND("º",SUBSTITUTE(E45,"°","º"))-1)),""))))</f>
        <v/>
      </c>
      <c r="O45" s="2">
        <f>IF(OR(F45="",G45=""),"",IF(G45&lt;='RETRATO 2027'!$K$5,"CONCLUÍDA",IF(F45&lt;='RETRATO 2027'!$K$5,"EM ANDAMENTO","A INICIAR")))</f>
        <v/>
      </c>
      <c r="R45" s="4" t="inlineStr">
        <is>
          <t>ESTRUTURA - PISO ARMADO</t>
        </is>
      </c>
      <c r="S45" s="4" t="inlineStr">
        <is>
          <t>17</t>
        </is>
      </c>
      <c r="T45" s="4" t="inlineStr">
        <is>
          <t>Estrutura - piso armado</t>
        </is>
      </c>
      <c r="U45" s="4" t="inlineStr">
        <is>
          <t>NÃO</t>
        </is>
      </c>
      <c r="V45" s="2">
        <f>IF(R45="","",COUNTIF($C$5:$C$6004,R45))</f>
        <v/>
      </c>
      <c r="W45" s="2">
        <f>IF(R45="","",COUNTIFS($C$5:$C$6004,R45,$O$5:$O$6004,"CONCLUÍDA"))</f>
        <v/>
      </c>
      <c r="X45" s="2">
        <f>IF(R45="","",COUNTIFS($C$5:$C$6004,R45,$O$5:$O$6004,"EM ANDAMENTO"))</f>
        <v/>
      </c>
      <c r="Y45" s="2">
        <f>IF(R45="","",IF(COUNTIFS($C$5:$C$6004,R45,$O$5:$O$6004,"CONCLUÍDA",$N$5:$N$6004,"&gt;=-99")=0,"",_xlfn.MAXIFS($N$5:$N$6004,$C$5:$C$6004,R45,$O$5:$O$6004,"CONCLUÍDA")))</f>
        <v/>
      </c>
      <c r="Z45" s="2">
        <f>IF(R45="","",IF(COUNTIFS($C$5:$C$6004,R45,$O$5:$O$6004,"EM ANDAMENTO",$N$5:$N$6004,"&gt;=-99")=0,"",_xlfn.MAXIFS($N$5:$N$6004,$C$5:$C$6004,R45,$O$5:$O$6004,"EM ANDAMENTO")))</f>
        <v/>
      </c>
      <c r="AA45" s="2">
        <f>IF(OR(R45="",S45="",U45&lt;&gt;"SIM",V45=0),"",IF(W45+X45=0,"",T45&amp;": "&amp;IF(W45=V45,"concluído",IF(W45=0,"em execução"&amp;IF(Z45&lt;&gt;""," ("&amp;IF(Z45&lt;0,IF(COUNTIF($E$5:$E$6004,"SUBSOLO*")&gt;0,"subsolo",-Z45&amp;"º subsolo"),IF(Z45=0,"térreo",Z45&amp;"º pav."))&amp;")",""),IF(Y45&lt;&gt;"","até "&amp;IF(Y45&lt;0,IF(COUNTIF($E$5:$E$6004,"SUBSOLO*")&gt;0,"subsolo",-Y45&amp;"º subsolo"),IF(Y45=0,"térreo",Y45&amp;"º pav.")),W45&amp;" de "&amp;V45&amp;" concluídas")&amp;IF(Z45="","",IF(OR(Y45="",Z45&gt;Y45),", executando "&amp;IF(Z45&lt;0,IF(COUNTIF($E$5:$E$6004,"SUBSOLO*")&gt;0,"subsolo",-Z45&amp;"º subsolo"),IF(Z45=0,"térreo",Z45&amp;"º pav."))," (restam serviços no "&amp;IF(Z45&lt;0,IF(COUNTIF($E$5:$E$6004,"SUBSOLO*")&gt;0,"subsolo",-Z45&amp;"º subsolo"),IF(Z45=0,"térreo",Z45&amp;"º pav."))&amp;")"))))))</f>
        <v/>
      </c>
    </row>
    <row r="46">
      <c r="B46" s="4" t="n">
        <v>13543863</v>
      </c>
      <c r="C46" s="4" t="inlineStr">
        <is>
          <t>FUNDAÇÃO PROFUNDA</t>
        </is>
      </c>
      <c r="D46" s="4" t="inlineStr">
        <is>
          <t>P25C e P134B</t>
        </is>
      </c>
      <c r="E46" s="4" t="inlineStr">
        <is>
          <t>SERVIÇOS INICIAIS</t>
        </is>
      </c>
      <c r="F46" s="126" t="n">
        <v>45954</v>
      </c>
      <c r="G46" s="126" t="n">
        <v>45954</v>
      </c>
      <c r="H46" s="126" t="n">
        <v>46289</v>
      </c>
      <c r="I46" s="4" t="n">
        <v>100</v>
      </c>
      <c r="J46" s="4" t="n">
        <v>100</v>
      </c>
      <c r="K46" s="4" t="n">
        <v>100</v>
      </c>
      <c r="M46" s="2">
        <f>IF(C46="","",IFERROR(INDEX($S$5:$S$304,MATCH(C46,$R$5:$R$304,0))&amp;"","?"))</f>
        <v/>
      </c>
      <c r="N46" s="2">
        <f>IF(E46="","",IF(ISNUMBER(SEARCH("SUBSOLO",E46)),IFERROR(-VALUE(LEFT(E46,FIND("º",SUBSTITUTE(E46,"°","º"))-1)),-1),IF(LEFT(E46,6)="TÉRREO",0,IFERROR(VALUE(LEFT(E46,FIND("º",SUBSTITUTE(E46,"°","º"))-1)),""))))</f>
        <v/>
      </c>
      <c r="O46" s="2">
        <f>IF(OR(F46="",G46=""),"",IF(G46&lt;='RETRATO 2027'!$K$5,"CONCLUÍDA",IF(F46&lt;='RETRATO 2027'!$K$5,"EM ANDAMENTO","A INICIAR")))</f>
        <v/>
      </c>
      <c r="R46" s="4" t="inlineStr">
        <is>
          <t>FUNDAÇÃO - PROJEÇÃO IGREJA</t>
        </is>
      </c>
      <c r="S46" s="4" t="inlineStr">
        <is>
          <t>16</t>
        </is>
      </c>
      <c r="T46" s="4" t="inlineStr">
        <is>
          <t>Fundação - projeção igreja</t>
        </is>
      </c>
      <c r="U46" s="4" t="inlineStr">
        <is>
          <t>NÃO</t>
        </is>
      </c>
      <c r="V46" s="2">
        <f>IF(R46="","",COUNTIF($C$5:$C$6004,R46))</f>
        <v/>
      </c>
      <c r="W46" s="2">
        <f>IF(R46="","",COUNTIFS($C$5:$C$6004,R46,$O$5:$O$6004,"CONCLUÍDA"))</f>
        <v/>
      </c>
      <c r="X46" s="2">
        <f>IF(R46="","",COUNTIFS($C$5:$C$6004,R46,$O$5:$O$6004,"EM ANDAMENTO"))</f>
        <v/>
      </c>
      <c r="Y46" s="2">
        <f>IF(R46="","",IF(COUNTIFS($C$5:$C$6004,R46,$O$5:$O$6004,"CONCLUÍDA",$N$5:$N$6004,"&gt;=-99")=0,"",_xlfn.MAXIFS($N$5:$N$6004,$C$5:$C$6004,R46,$O$5:$O$6004,"CONCLUÍDA")))</f>
        <v/>
      </c>
      <c r="Z46" s="2">
        <f>IF(R46="","",IF(COUNTIFS($C$5:$C$6004,R46,$O$5:$O$6004,"EM ANDAMENTO",$N$5:$N$6004,"&gt;=-99")=0,"",_xlfn.MAXIFS($N$5:$N$6004,$C$5:$C$6004,R46,$O$5:$O$6004,"EM ANDAMENTO")))</f>
        <v/>
      </c>
      <c r="AA46" s="2">
        <f>IF(OR(R46="",S46="",U46&lt;&gt;"SIM",V46=0),"",IF(W46+X46=0,"",T46&amp;": "&amp;IF(W46=V46,"concluído",IF(W46=0,"em execução"&amp;IF(Z46&lt;&gt;""," ("&amp;IF(Z46&lt;0,IF(COUNTIF($E$5:$E$6004,"SUBSOLO*")&gt;0,"subsolo",-Z46&amp;"º subsolo"),IF(Z46=0,"térreo",Z46&amp;"º pav."))&amp;")",""),IF(Y46&lt;&gt;"","até "&amp;IF(Y46&lt;0,IF(COUNTIF($E$5:$E$6004,"SUBSOLO*")&gt;0,"subsolo",-Y46&amp;"º subsolo"),IF(Y46=0,"térreo",Y46&amp;"º pav.")),W46&amp;" de "&amp;V46&amp;" concluídas")&amp;IF(Z46="","",IF(OR(Y46="",Z46&gt;Y46),", executando "&amp;IF(Z46&lt;0,IF(COUNTIF($E$5:$E$6004,"SUBSOLO*")&gt;0,"subsolo",-Z46&amp;"º subsolo"),IF(Z46=0,"térreo",Z46&amp;"º pav."))," (restam serviços no "&amp;IF(Z46&lt;0,IF(COUNTIF($E$5:$E$6004,"SUBSOLO*")&gt;0,"subsolo",-Z46&amp;"º subsolo"),IF(Z46=0,"térreo",Z46&amp;"º pav."))&amp;")"))))))</f>
        <v/>
      </c>
    </row>
    <row r="47">
      <c r="B47" s="4" t="n">
        <v>13543864</v>
      </c>
      <c r="C47" s="4" t="inlineStr">
        <is>
          <t>FUNDAÇÃO PROFUNDA</t>
        </is>
      </c>
      <c r="D47" s="4" t="inlineStr">
        <is>
          <t>P135 e P19C</t>
        </is>
      </c>
      <c r="E47" s="4" t="inlineStr">
        <is>
          <t>SERVIÇOS INICIAIS</t>
        </is>
      </c>
      <c r="F47" s="126" t="n">
        <v>45957</v>
      </c>
      <c r="G47" s="126" t="n">
        <v>45957</v>
      </c>
      <c r="H47" s="126" t="n">
        <v>46289</v>
      </c>
      <c r="I47" s="4" t="n">
        <v>100</v>
      </c>
      <c r="J47" s="4" t="n">
        <v>100</v>
      </c>
      <c r="K47" s="4" t="n">
        <v>100</v>
      </c>
      <c r="M47" s="2">
        <f>IF(C47="","",IFERROR(INDEX($S$5:$S$304,MATCH(C47,$R$5:$R$304,0))&amp;"","?"))</f>
        <v/>
      </c>
      <c r="N47" s="2">
        <f>IF(E47="","",IF(ISNUMBER(SEARCH("SUBSOLO",E47)),IFERROR(-VALUE(LEFT(E47,FIND("º",SUBSTITUTE(E47,"°","º"))-1)),-1),IF(LEFT(E47,6)="TÉRREO",0,IFERROR(VALUE(LEFT(E47,FIND("º",SUBSTITUTE(E47,"°","º"))-1)),""))))</f>
        <v/>
      </c>
      <c r="O47" s="2">
        <f>IF(OR(F47="",G47=""),"",IF(G47&lt;='RETRATO 2027'!$K$5,"CONCLUÍDA",IF(F47&lt;='RETRATO 2027'!$K$5,"EM ANDAMENTO","A INICIAR")))</f>
        <v/>
      </c>
      <c r="R47" s="4" t="inlineStr">
        <is>
          <t>ALVENARIA</t>
        </is>
      </c>
      <c r="S47" s="4" t="inlineStr">
        <is>
          <t>18</t>
        </is>
      </c>
      <c r="T47" s="4" t="inlineStr">
        <is>
          <t>Alvenaria</t>
        </is>
      </c>
      <c r="U47" s="4" t="inlineStr">
        <is>
          <t>SIM</t>
        </is>
      </c>
      <c r="V47" s="2">
        <f>IF(R47="","",COUNTIF($C$5:$C$6004,R47))</f>
        <v/>
      </c>
      <c r="W47" s="2">
        <f>IF(R47="","",COUNTIFS($C$5:$C$6004,R47,$O$5:$O$6004,"CONCLUÍDA"))</f>
        <v/>
      </c>
      <c r="X47" s="2">
        <f>IF(R47="","",COUNTIFS($C$5:$C$6004,R47,$O$5:$O$6004,"EM ANDAMENTO"))</f>
        <v/>
      </c>
      <c r="Y47" s="2">
        <f>IF(R47="","",IF(COUNTIFS($C$5:$C$6004,R47,$O$5:$O$6004,"CONCLUÍDA",$N$5:$N$6004,"&gt;=-99")=0,"",_xlfn.MAXIFS($N$5:$N$6004,$C$5:$C$6004,R47,$O$5:$O$6004,"CONCLUÍDA")))</f>
        <v/>
      </c>
      <c r="Z47" s="2">
        <f>IF(R47="","",IF(COUNTIFS($C$5:$C$6004,R47,$O$5:$O$6004,"EM ANDAMENTO",$N$5:$N$6004,"&gt;=-99")=0,"",_xlfn.MAXIFS($N$5:$N$6004,$C$5:$C$6004,R47,$O$5:$O$6004,"EM ANDAMENTO")))</f>
        <v/>
      </c>
      <c r="AA47" s="2">
        <f>IF(OR(R47="",S47="",U47&lt;&gt;"SIM",V47=0),"",IF(W47+X47=0,"",T47&amp;": "&amp;IF(W47=V47,"concluído",IF(W47=0,"em execução"&amp;IF(Z47&lt;&gt;""," ("&amp;IF(Z47&lt;0,IF(COUNTIF($E$5:$E$6004,"SUBSOLO*")&gt;0,"subsolo",-Z47&amp;"º subsolo"),IF(Z47=0,"térreo",Z47&amp;"º pav."))&amp;")",""),IF(Y47&lt;&gt;"","até "&amp;IF(Y47&lt;0,IF(COUNTIF($E$5:$E$6004,"SUBSOLO*")&gt;0,"subsolo",-Y47&amp;"º subsolo"),IF(Y47=0,"térreo",Y47&amp;"º pav.")),W47&amp;" de "&amp;V47&amp;" concluídas")&amp;IF(Z47="","",IF(OR(Y47="",Z47&gt;Y47),", executando "&amp;IF(Z47&lt;0,IF(COUNTIF($E$5:$E$6004,"SUBSOLO*")&gt;0,"subsolo",-Z47&amp;"º subsolo"),IF(Z47=0,"térreo",Z47&amp;"º pav."))," (restam serviços no "&amp;IF(Z47&lt;0,IF(COUNTIF($E$5:$E$6004,"SUBSOLO*")&gt;0,"subsolo",-Z47&amp;"º subsolo"),IF(Z47=0,"térreo",Z47&amp;"º pav."))&amp;")"))))))</f>
        <v/>
      </c>
    </row>
    <row r="48">
      <c r="B48" s="4" t="n">
        <v>13543865</v>
      </c>
      <c r="C48" s="4" t="inlineStr">
        <is>
          <t>FUNDAÇÃO PROFUNDA</t>
        </is>
      </c>
      <c r="D48" s="4" t="inlineStr">
        <is>
          <t>P134D e P14F</t>
        </is>
      </c>
      <c r="E48" s="4" t="inlineStr">
        <is>
          <t>SERVIÇOS INICIAIS</t>
        </is>
      </c>
      <c r="F48" s="126" t="n">
        <v>45958</v>
      </c>
      <c r="G48" s="126" t="n">
        <v>45958</v>
      </c>
      <c r="H48" s="126" t="n">
        <v>46289</v>
      </c>
      <c r="I48" s="4" t="n">
        <v>100</v>
      </c>
      <c r="J48" s="4" t="n">
        <v>100</v>
      </c>
      <c r="K48" s="4" t="n">
        <v>100</v>
      </c>
      <c r="M48" s="2">
        <f>IF(C48="","",IFERROR(INDEX($S$5:$S$304,MATCH(C48,$R$5:$R$304,0))&amp;"","?"))</f>
        <v/>
      </c>
      <c r="N48" s="2">
        <f>IF(E48="","",IF(ISNUMBER(SEARCH("SUBSOLO",E48)),IFERROR(-VALUE(LEFT(E48,FIND("º",SUBSTITUTE(E48,"°","º"))-1)),-1),IF(LEFT(E48,6)="TÉRREO",0,IFERROR(VALUE(LEFT(E48,FIND("º",SUBSTITUTE(E48,"°","º"))-1)),""))))</f>
        <v/>
      </c>
      <c r="O48" s="2">
        <f>IF(OR(F48="",G48=""),"",IF(G48&lt;='RETRATO 2027'!$K$5,"CONCLUÍDA",IF(F48&lt;='RETRATO 2027'!$K$5,"EM ANDAMENTO","A INICIAR")))</f>
        <v/>
      </c>
      <c r="R48" s="4" t="inlineStr">
        <is>
          <t>BLOCOS E CINTAS - IGREJA</t>
        </is>
      </c>
      <c r="S48" s="4" t="inlineStr">
        <is>
          <t>16</t>
        </is>
      </c>
      <c r="T48" s="4" t="inlineStr">
        <is>
          <t>Blocos e cintas - igreja</t>
        </is>
      </c>
      <c r="U48" s="4" t="inlineStr">
        <is>
          <t>NÃO</t>
        </is>
      </c>
      <c r="V48" s="2">
        <f>IF(R48="","",COUNTIF($C$5:$C$6004,R48))</f>
        <v/>
      </c>
      <c r="W48" s="2">
        <f>IF(R48="","",COUNTIFS($C$5:$C$6004,R48,$O$5:$O$6004,"CONCLUÍDA"))</f>
        <v/>
      </c>
      <c r="X48" s="2">
        <f>IF(R48="","",COUNTIFS($C$5:$C$6004,R48,$O$5:$O$6004,"EM ANDAMENTO"))</f>
        <v/>
      </c>
      <c r="Y48" s="2">
        <f>IF(R48="","",IF(COUNTIFS($C$5:$C$6004,R48,$O$5:$O$6004,"CONCLUÍDA",$N$5:$N$6004,"&gt;=-99")=0,"",_xlfn.MAXIFS($N$5:$N$6004,$C$5:$C$6004,R48,$O$5:$O$6004,"CONCLUÍDA")))</f>
        <v/>
      </c>
      <c r="Z48" s="2">
        <f>IF(R48="","",IF(COUNTIFS($C$5:$C$6004,R48,$O$5:$O$6004,"EM ANDAMENTO",$N$5:$N$6004,"&gt;=-99")=0,"",_xlfn.MAXIFS($N$5:$N$6004,$C$5:$C$6004,R48,$O$5:$O$6004,"EM ANDAMENTO")))</f>
        <v/>
      </c>
      <c r="AA48" s="2">
        <f>IF(OR(R48="",S48="",U48&lt;&gt;"SIM",V48=0),"",IF(W48+X48=0,"",T48&amp;": "&amp;IF(W48=V48,"concluído",IF(W48=0,"em execução"&amp;IF(Z48&lt;&gt;""," ("&amp;IF(Z48&lt;0,IF(COUNTIF($E$5:$E$6004,"SUBSOLO*")&gt;0,"subsolo",-Z48&amp;"º subsolo"),IF(Z48=0,"térreo",Z48&amp;"º pav."))&amp;")",""),IF(Y48&lt;&gt;"","até "&amp;IF(Y48&lt;0,IF(COUNTIF($E$5:$E$6004,"SUBSOLO*")&gt;0,"subsolo",-Y48&amp;"º subsolo"),IF(Y48=0,"térreo",Y48&amp;"º pav.")),W48&amp;" de "&amp;V48&amp;" concluídas")&amp;IF(Z48="","",IF(OR(Y48="",Z48&gt;Y48),", executando "&amp;IF(Z48&lt;0,IF(COUNTIF($E$5:$E$6004,"SUBSOLO*")&gt;0,"subsolo",-Z48&amp;"º subsolo"),IF(Z48=0,"térreo",Z48&amp;"º pav."))," (restam serviços no "&amp;IF(Z48&lt;0,IF(COUNTIF($E$5:$E$6004,"SUBSOLO*")&gt;0,"subsolo",-Z48&amp;"º subsolo"),IF(Z48=0,"térreo",Z48&amp;"º pav."))&amp;")"))))))</f>
        <v/>
      </c>
    </row>
    <row r="49">
      <c r="B49" s="4" t="n">
        <v>13584629</v>
      </c>
      <c r="C49" s="4" t="inlineStr">
        <is>
          <t>FUNDAÇÃO PROFUNDA</t>
        </is>
      </c>
      <c r="D49" s="4" t="inlineStr">
        <is>
          <t>P112 e P134C</t>
        </is>
      </c>
      <c r="E49" s="4" t="inlineStr">
        <is>
          <t>SERVIÇOS INICIAIS</t>
        </is>
      </c>
      <c r="F49" s="126" t="n">
        <v>45959</v>
      </c>
      <c r="G49" s="126" t="n">
        <v>45959</v>
      </c>
      <c r="H49" s="126" t="n">
        <v>46289</v>
      </c>
      <c r="I49" s="4" t="n">
        <v>100</v>
      </c>
      <c r="J49" s="4" t="n">
        <v>100</v>
      </c>
      <c r="K49" s="4" t="n">
        <v>100</v>
      </c>
      <c r="M49" s="2">
        <f>IF(C49="","",IFERROR(INDEX($S$5:$S$304,MATCH(C49,$R$5:$R$304,0))&amp;"","?"))</f>
        <v/>
      </c>
      <c r="N49" s="2">
        <f>IF(E49="","",IF(ISNUMBER(SEARCH("SUBSOLO",E49)),IFERROR(-VALUE(LEFT(E49,FIND("º",SUBSTITUTE(E49,"°","º"))-1)),-1),IF(LEFT(E49,6)="TÉRREO",0,IFERROR(VALUE(LEFT(E49,FIND("º",SUBSTITUTE(E49,"°","º"))-1)),""))))</f>
        <v/>
      </c>
      <c r="O49" s="2">
        <f>IF(OR(F49="",G49=""),"",IF(G49&lt;='RETRATO 2027'!$K$5,"CONCLUÍDA",IF(F49&lt;='RETRATO 2027'!$K$5,"EM ANDAMENTO","A INICIAR")))</f>
        <v/>
      </c>
      <c r="R49" s="4" t="inlineStr">
        <is>
          <t>PRUMADA DE INCÊNDIO</t>
        </is>
      </c>
      <c r="S49" s="4" t="inlineStr">
        <is>
          <t>22</t>
        </is>
      </c>
      <c r="T49" s="4" t="inlineStr">
        <is>
          <t>Prumada de incêndio</t>
        </is>
      </c>
      <c r="U49" s="4" t="inlineStr">
        <is>
          <t>SIM</t>
        </is>
      </c>
      <c r="V49" s="2">
        <f>IF(R49="","",COUNTIF($C$5:$C$6004,R49))</f>
        <v/>
      </c>
      <c r="W49" s="2">
        <f>IF(R49="","",COUNTIFS($C$5:$C$6004,R49,$O$5:$O$6004,"CONCLUÍDA"))</f>
        <v/>
      </c>
      <c r="X49" s="2">
        <f>IF(R49="","",COUNTIFS($C$5:$C$6004,R49,$O$5:$O$6004,"EM ANDAMENTO"))</f>
        <v/>
      </c>
      <c r="Y49" s="2">
        <f>IF(R49="","",IF(COUNTIFS($C$5:$C$6004,R49,$O$5:$O$6004,"CONCLUÍDA",$N$5:$N$6004,"&gt;=-99")=0,"",_xlfn.MAXIFS($N$5:$N$6004,$C$5:$C$6004,R49,$O$5:$O$6004,"CONCLUÍDA")))</f>
        <v/>
      </c>
      <c r="Z49" s="2">
        <f>IF(R49="","",IF(COUNTIFS($C$5:$C$6004,R49,$O$5:$O$6004,"EM ANDAMENTO",$N$5:$N$6004,"&gt;=-99")=0,"",_xlfn.MAXIFS($N$5:$N$6004,$C$5:$C$6004,R49,$O$5:$O$6004,"EM ANDAMENTO")))</f>
        <v/>
      </c>
      <c r="AA49" s="2">
        <f>IF(OR(R49="",S49="",U49&lt;&gt;"SIM",V49=0),"",IF(W49+X49=0,"",T49&amp;": "&amp;IF(W49=V49,"concluído",IF(W49=0,"em execução"&amp;IF(Z49&lt;&gt;""," ("&amp;IF(Z49&lt;0,IF(COUNTIF($E$5:$E$6004,"SUBSOLO*")&gt;0,"subsolo",-Z49&amp;"º subsolo"),IF(Z49=0,"térreo",Z49&amp;"º pav."))&amp;")",""),IF(Y49&lt;&gt;"","até "&amp;IF(Y49&lt;0,IF(COUNTIF($E$5:$E$6004,"SUBSOLO*")&gt;0,"subsolo",-Y49&amp;"º subsolo"),IF(Y49=0,"térreo",Y49&amp;"º pav.")),W49&amp;" de "&amp;V49&amp;" concluídas")&amp;IF(Z49="","",IF(OR(Y49="",Z49&gt;Y49),", executando "&amp;IF(Z49&lt;0,IF(COUNTIF($E$5:$E$6004,"SUBSOLO*")&gt;0,"subsolo",-Z49&amp;"º subsolo"),IF(Z49=0,"térreo",Z49&amp;"º pav."))," (restam serviços no "&amp;IF(Z49&lt;0,IF(COUNTIF($E$5:$E$6004,"SUBSOLO*")&gt;0,"subsolo",-Z49&amp;"º subsolo"),IF(Z49=0,"térreo",Z49&amp;"º pav."))&amp;")"))))))</f>
        <v/>
      </c>
    </row>
    <row r="50">
      <c r="B50" s="4" t="n">
        <v>13584630</v>
      </c>
      <c r="C50" s="4" t="inlineStr">
        <is>
          <t>FUNDAÇÃO PROFUNDA</t>
        </is>
      </c>
      <c r="D50" s="4" t="inlineStr">
        <is>
          <t>P19B e P134A</t>
        </is>
      </c>
      <c r="E50" s="4" t="inlineStr">
        <is>
          <t>SERVIÇOS INICIAIS</t>
        </is>
      </c>
      <c r="F50" s="126" t="n">
        <v>45960</v>
      </c>
      <c r="G50" s="126" t="n">
        <v>45960</v>
      </c>
      <c r="H50" s="126" t="n">
        <v>46289</v>
      </c>
      <c r="I50" s="4" t="n">
        <v>100</v>
      </c>
      <c r="J50" s="4" t="n">
        <v>100</v>
      </c>
      <c r="K50" s="4" t="n">
        <v>100</v>
      </c>
      <c r="M50" s="2">
        <f>IF(C50="","",IFERROR(INDEX($S$5:$S$304,MATCH(C50,$R$5:$R$304,0))&amp;"","?"))</f>
        <v/>
      </c>
      <c r="N50" s="2">
        <f>IF(E50="","",IF(ISNUMBER(SEARCH("SUBSOLO",E50)),IFERROR(-VALUE(LEFT(E50,FIND("º",SUBSTITUTE(E50,"°","º"))-1)),-1),IF(LEFT(E50,6)="TÉRREO",0,IFERROR(VALUE(LEFT(E50,FIND("º",SUBSTITUTE(E50,"°","º"))-1)),""))))</f>
        <v/>
      </c>
      <c r="O50" s="2">
        <f>IF(OR(F50="",G50=""),"",IF(G50&lt;='RETRATO 2027'!$K$5,"CONCLUÍDA",IF(F50&lt;='RETRATO 2027'!$K$5,"EM ANDAMENTO","A INICIAR")))</f>
        <v/>
      </c>
      <c r="R50" s="4" t="inlineStr">
        <is>
          <t>PRUMADA HIDROSSANITÁRIA</t>
        </is>
      </c>
      <c r="S50" s="4" t="inlineStr">
        <is>
          <t>21</t>
        </is>
      </c>
      <c r="T50" s="4" t="inlineStr">
        <is>
          <t>Prumada hidrossanitária</t>
        </is>
      </c>
      <c r="U50" s="4" t="inlineStr">
        <is>
          <t>SIM</t>
        </is>
      </c>
      <c r="V50" s="2">
        <f>IF(R50="","",COUNTIF($C$5:$C$6004,R50))</f>
        <v/>
      </c>
      <c r="W50" s="2">
        <f>IF(R50="","",COUNTIFS($C$5:$C$6004,R50,$O$5:$O$6004,"CONCLUÍDA"))</f>
        <v/>
      </c>
      <c r="X50" s="2">
        <f>IF(R50="","",COUNTIFS($C$5:$C$6004,R50,$O$5:$O$6004,"EM ANDAMENTO"))</f>
        <v/>
      </c>
      <c r="Y50" s="2">
        <f>IF(R50="","",IF(COUNTIFS($C$5:$C$6004,R50,$O$5:$O$6004,"CONCLUÍDA",$N$5:$N$6004,"&gt;=-99")=0,"",_xlfn.MAXIFS($N$5:$N$6004,$C$5:$C$6004,R50,$O$5:$O$6004,"CONCLUÍDA")))</f>
        <v/>
      </c>
      <c r="Z50" s="2">
        <f>IF(R50="","",IF(COUNTIFS($C$5:$C$6004,R50,$O$5:$O$6004,"EM ANDAMENTO",$N$5:$N$6004,"&gt;=-99")=0,"",_xlfn.MAXIFS($N$5:$N$6004,$C$5:$C$6004,R50,$O$5:$O$6004,"EM ANDAMENTO")))</f>
        <v/>
      </c>
      <c r="AA50" s="2">
        <f>IF(OR(R50="",S50="",U50&lt;&gt;"SIM",V50=0),"",IF(W50+X50=0,"",T50&amp;": "&amp;IF(W50=V50,"concluído",IF(W50=0,"em execução"&amp;IF(Z50&lt;&gt;""," ("&amp;IF(Z50&lt;0,IF(COUNTIF($E$5:$E$6004,"SUBSOLO*")&gt;0,"subsolo",-Z50&amp;"º subsolo"),IF(Z50=0,"térreo",Z50&amp;"º pav."))&amp;")",""),IF(Y50&lt;&gt;"","até "&amp;IF(Y50&lt;0,IF(COUNTIF($E$5:$E$6004,"SUBSOLO*")&gt;0,"subsolo",-Y50&amp;"º subsolo"),IF(Y50=0,"térreo",Y50&amp;"º pav.")),W50&amp;" de "&amp;V50&amp;" concluídas")&amp;IF(Z50="","",IF(OR(Y50="",Z50&gt;Y50),", executando "&amp;IF(Z50&lt;0,IF(COUNTIF($E$5:$E$6004,"SUBSOLO*")&gt;0,"subsolo",-Z50&amp;"º subsolo"),IF(Z50=0,"térreo",Z50&amp;"º pav."))," (restam serviços no "&amp;IF(Z50&lt;0,IF(COUNTIF($E$5:$E$6004,"SUBSOLO*")&gt;0,"subsolo",-Z50&amp;"º subsolo"),IF(Z50=0,"térreo",Z50&amp;"º pav."))&amp;")"))))))</f>
        <v/>
      </c>
    </row>
    <row r="51">
      <c r="B51" s="4" t="n">
        <v>13584631</v>
      </c>
      <c r="C51" s="4" t="inlineStr">
        <is>
          <t>FUNDAÇÃO PROFUNDA</t>
        </is>
      </c>
      <c r="D51" s="4" t="inlineStr">
        <is>
          <t>P136A e P19A</t>
        </is>
      </c>
      <c r="E51" s="4" t="inlineStr">
        <is>
          <t>SERVIÇOS INICIAIS</t>
        </is>
      </c>
      <c r="F51" s="126" t="n">
        <v>45961</v>
      </c>
      <c r="G51" s="126" t="n">
        <v>45961</v>
      </c>
      <c r="H51" s="126" t="n">
        <v>46289</v>
      </c>
      <c r="I51" s="4" t="n">
        <v>100</v>
      </c>
      <c r="J51" s="4" t="n">
        <v>100</v>
      </c>
      <c r="K51" s="4" t="n">
        <v>100</v>
      </c>
      <c r="M51" s="2">
        <f>IF(C51="","",IFERROR(INDEX($S$5:$S$304,MATCH(C51,$R$5:$R$304,0))&amp;"","?"))</f>
        <v/>
      </c>
      <c r="N51" s="2">
        <f>IF(E51="","",IF(ISNUMBER(SEARCH("SUBSOLO",E51)),IFERROR(-VALUE(LEFT(E51,FIND("º",SUBSTITUTE(E51,"°","º"))-1)),-1),IF(LEFT(E51,6)="TÉRREO",0,IFERROR(VALUE(LEFT(E51,FIND("º",SUBSTITUTE(E51,"°","º"))-1)),""))))</f>
        <v/>
      </c>
      <c r="O51" s="2">
        <f>IF(OR(F51="",G51=""),"",IF(G51&lt;='RETRATO 2027'!$K$5,"CONCLUÍDA",IF(F51&lt;='RETRATO 2027'!$K$5,"EM ANDAMENTO","A INICIAR")))</f>
        <v/>
      </c>
      <c r="R51" s="4" t="inlineStr">
        <is>
          <t>ENCUNHAMENTO</t>
        </is>
      </c>
      <c r="S51" s="4" t="inlineStr">
        <is>
          <t>18</t>
        </is>
      </c>
      <c r="T51" s="4" t="inlineStr">
        <is>
          <t>Encunhamento</t>
        </is>
      </c>
      <c r="U51" s="4" t="inlineStr">
        <is>
          <t>SIM</t>
        </is>
      </c>
      <c r="V51" s="2">
        <f>IF(R51="","",COUNTIF($C$5:$C$6004,R51))</f>
        <v/>
      </c>
      <c r="W51" s="2">
        <f>IF(R51="","",COUNTIFS($C$5:$C$6004,R51,$O$5:$O$6004,"CONCLUÍDA"))</f>
        <v/>
      </c>
      <c r="X51" s="2">
        <f>IF(R51="","",COUNTIFS($C$5:$C$6004,R51,$O$5:$O$6004,"EM ANDAMENTO"))</f>
        <v/>
      </c>
      <c r="Y51" s="2">
        <f>IF(R51="","",IF(COUNTIFS($C$5:$C$6004,R51,$O$5:$O$6004,"CONCLUÍDA",$N$5:$N$6004,"&gt;=-99")=0,"",_xlfn.MAXIFS($N$5:$N$6004,$C$5:$C$6004,R51,$O$5:$O$6004,"CONCLUÍDA")))</f>
        <v/>
      </c>
      <c r="Z51" s="2">
        <f>IF(R51="","",IF(COUNTIFS($C$5:$C$6004,R51,$O$5:$O$6004,"EM ANDAMENTO",$N$5:$N$6004,"&gt;=-99")=0,"",_xlfn.MAXIFS($N$5:$N$6004,$C$5:$C$6004,R51,$O$5:$O$6004,"EM ANDAMENTO")))</f>
        <v/>
      </c>
      <c r="AA51" s="2">
        <f>IF(OR(R51="",S51="",U51&lt;&gt;"SIM",V51=0),"",IF(W51+X51=0,"",T51&amp;": "&amp;IF(W51=V51,"concluído",IF(W51=0,"em execução"&amp;IF(Z51&lt;&gt;""," ("&amp;IF(Z51&lt;0,IF(COUNTIF($E$5:$E$6004,"SUBSOLO*")&gt;0,"subsolo",-Z51&amp;"º subsolo"),IF(Z51=0,"térreo",Z51&amp;"º pav."))&amp;")",""),IF(Y51&lt;&gt;"","até "&amp;IF(Y51&lt;0,IF(COUNTIF($E$5:$E$6004,"SUBSOLO*")&gt;0,"subsolo",-Y51&amp;"º subsolo"),IF(Y51=0,"térreo",Y51&amp;"º pav.")),W51&amp;" de "&amp;V51&amp;" concluídas")&amp;IF(Z51="","",IF(OR(Y51="",Z51&gt;Y51),", executando "&amp;IF(Z51&lt;0,IF(COUNTIF($E$5:$E$6004,"SUBSOLO*")&gt;0,"subsolo",-Z51&amp;"º subsolo"),IF(Z51=0,"térreo",Z51&amp;"º pav."))," (restam serviços no "&amp;IF(Z51&lt;0,IF(COUNTIF($E$5:$E$6004,"SUBSOLO*")&gt;0,"subsolo",-Z51&amp;"º subsolo"),IF(Z51=0,"térreo",Z51&amp;"º pav."))&amp;")"))))))</f>
        <v/>
      </c>
    </row>
    <row r="52">
      <c r="B52" s="4" t="n">
        <v>13584632</v>
      </c>
      <c r="C52" s="4" t="inlineStr">
        <is>
          <t>FUNDAÇÃO PROFUNDA</t>
        </is>
      </c>
      <c r="D52" s="4" t="inlineStr">
        <is>
          <t>P10D e P136B</t>
        </is>
      </c>
      <c r="E52" s="4" t="inlineStr">
        <is>
          <t>SERVIÇOS INICIAIS</t>
        </is>
      </c>
      <c r="F52" s="126" t="n">
        <v>45964</v>
      </c>
      <c r="G52" s="126" t="n">
        <v>45964</v>
      </c>
      <c r="H52" s="126" t="n">
        <v>46289</v>
      </c>
      <c r="I52" s="4" t="n">
        <v>100</v>
      </c>
      <c r="J52" s="4" t="n">
        <v>100</v>
      </c>
      <c r="K52" s="4" t="n">
        <v>100</v>
      </c>
      <c r="M52" s="2">
        <f>IF(C52="","",IFERROR(INDEX($S$5:$S$304,MATCH(C52,$R$5:$R$304,0))&amp;"","?"))</f>
        <v/>
      </c>
      <c r="N52" s="2">
        <f>IF(E52="","",IF(ISNUMBER(SEARCH("SUBSOLO",E52)),IFERROR(-VALUE(LEFT(E52,FIND("º",SUBSTITUTE(E52,"°","º"))-1)),-1),IF(LEFT(E52,6)="TÉRREO",0,IFERROR(VALUE(LEFT(E52,FIND("º",SUBSTITUTE(E52,"°","º"))-1)),""))))</f>
        <v/>
      </c>
      <c r="O52" s="2">
        <f>IF(OR(F52="",G52=""),"",IF(G52&lt;='RETRATO 2027'!$K$5,"CONCLUÍDA",IF(F52&lt;='RETRATO 2027'!$K$5,"EM ANDAMENTO","A INICIAR")))</f>
        <v/>
      </c>
      <c r="R52" s="4" t="inlineStr">
        <is>
          <t>ALVENARIA - ISOLAMENTO DE CONTENÇÕES</t>
        </is>
      </c>
      <c r="S52" s="4" t="inlineStr">
        <is>
          <t>18</t>
        </is>
      </c>
      <c r="T52" s="4" t="inlineStr">
        <is>
          <t>Alvenaria - isolamento de contenções</t>
        </is>
      </c>
      <c r="U52" s="4" t="inlineStr">
        <is>
          <t>NÃO</t>
        </is>
      </c>
      <c r="V52" s="2">
        <f>IF(R52="","",COUNTIF($C$5:$C$6004,R52))</f>
        <v/>
      </c>
      <c r="W52" s="2">
        <f>IF(R52="","",COUNTIFS($C$5:$C$6004,R52,$O$5:$O$6004,"CONCLUÍDA"))</f>
        <v/>
      </c>
      <c r="X52" s="2">
        <f>IF(R52="","",COUNTIFS($C$5:$C$6004,R52,$O$5:$O$6004,"EM ANDAMENTO"))</f>
        <v/>
      </c>
      <c r="Y52" s="2">
        <f>IF(R52="","",IF(COUNTIFS($C$5:$C$6004,R52,$O$5:$O$6004,"CONCLUÍDA",$N$5:$N$6004,"&gt;=-99")=0,"",_xlfn.MAXIFS($N$5:$N$6004,$C$5:$C$6004,R52,$O$5:$O$6004,"CONCLUÍDA")))</f>
        <v/>
      </c>
      <c r="Z52" s="2">
        <f>IF(R52="","",IF(COUNTIFS($C$5:$C$6004,R52,$O$5:$O$6004,"EM ANDAMENTO",$N$5:$N$6004,"&gt;=-99")=0,"",_xlfn.MAXIFS($N$5:$N$6004,$C$5:$C$6004,R52,$O$5:$O$6004,"EM ANDAMENTO")))</f>
        <v/>
      </c>
      <c r="AA52" s="2">
        <f>IF(OR(R52="",S52="",U52&lt;&gt;"SIM",V52=0),"",IF(W52+X52=0,"",T52&amp;": "&amp;IF(W52=V52,"concluído",IF(W52=0,"em execução"&amp;IF(Z52&lt;&gt;""," ("&amp;IF(Z52&lt;0,IF(COUNTIF($E$5:$E$6004,"SUBSOLO*")&gt;0,"subsolo",-Z52&amp;"º subsolo"),IF(Z52=0,"térreo",Z52&amp;"º pav."))&amp;")",""),IF(Y52&lt;&gt;"","até "&amp;IF(Y52&lt;0,IF(COUNTIF($E$5:$E$6004,"SUBSOLO*")&gt;0,"subsolo",-Y52&amp;"º subsolo"),IF(Y52=0,"térreo",Y52&amp;"º pav.")),W52&amp;" de "&amp;V52&amp;" concluídas")&amp;IF(Z52="","",IF(OR(Y52="",Z52&gt;Y52),", executando "&amp;IF(Z52&lt;0,IF(COUNTIF($E$5:$E$6004,"SUBSOLO*")&gt;0,"subsolo",-Z52&amp;"º subsolo"),IF(Z52=0,"térreo",Z52&amp;"º pav."))," (restam serviços no "&amp;IF(Z52&lt;0,IF(COUNTIF($E$5:$E$6004,"SUBSOLO*")&gt;0,"subsolo",-Z52&amp;"º subsolo"),IF(Z52=0,"térreo",Z52&amp;"º pav."))&amp;")"))))))</f>
        <v/>
      </c>
    </row>
    <row r="53">
      <c r="B53" s="4" t="n">
        <v>13584633</v>
      </c>
      <c r="C53" s="4" t="inlineStr">
        <is>
          <t>FUNDAÇÃO PROFUNDA</t>
        </is>
      </c>
      <c r="D53" s="4" t="inlineStr">
        <is>
          <t>P14B e P122A</t>
        </is>
      </c>
      <c r="E53" s="4" t="inlineStr">
        <is>
          <t>SERVIÇOS INICIAIS</t>
        </is>
      </c>
      <c r="F53" s="126" t="n">
        <v>45965</v>
      </c>
      <c r="G53" s="126" t="n">
        <v>45965</v>
      </c>
      <c r="H53" s="126" t="n">
        <v>46289</v>
      </c>
      <c r="I53" s="4" t="n">
        <v>100</v>
      </c>
      <c r="J53" s="4" t="n">
        <v>100</v>
      </c>
      <c r="K53" s="4" t="n">
        <v>100</v>
      </c>
      <c r="M53" s="2">
        <f>IF(C53="","",IFERROR(INDEX($S$5:$S$304,MATCH(C53,$R$5:$R$304,0))&amp;"","?"))</f>
        <v/>
      </c>
      <c r="N53" s="2">
        <f>IF(E53="","",IF(ISNUMBER(SEARCH("SUBSOLO",E53)),IFERROR(-VALUE(LEFT(E53,FIND("º",SUBSTITUTE(E53,"°","º"))-1)),-1),IF(LEFT(E53,6)="TÉRREO",0,IFERROR(VALUE(LEFT(E53,FIND("º",SUBSTITUTE(E53,"°","º"))-1)),""))))</f>
        <v/>
      </c>
      <c r="O53" s="2">
        <f>IF(OR(F53="",G53=""),"",IF(G53&lt;='RETRATO 2027'!$K$5,"CONCLUÍDA",IF(F53&lt;='RETRATO 2027'!$K$5,"EM ANDAMENTO","A INICIAR")))</f>
        <v/>
      </c>
      <c r="R53" s="4" t="inlineStr">
        <is>
          <t>TALISCAMENTO</t>
        </is>
      </c>
      <c r="S53" s="4" t="inlineStr">
        <is>
          <t>29</t>
        </is>
      </c>
      <c r="T53" s="4" t="inlineStr">
        <is>
          <t>Taliscamento</t>
        </is>
      </c>
      <c r="U53" s="4" t="inlineStr">
        <is>
          <t>SIM</t>
        </is>
      </c>
      <c r="V53" s="2">
        <f>IF(R53="","",COUNTIF($C$5:$C$6004,R53))</f>
        <v/>
      </c>
      <c r="W53" s="2">
        <f>IF(R53="","",COUNTIFS($C$5:$C$6004,R53,$O$5:$O$6004,"CONCLUÍDA"))</f>
        <v/>
      </c>
      <c r="X53" s="2">
        <f>IF(R53="","",COUNTIFS($C$5:$C$6004,R53,$O$5:$O$6004,"EM ANDAMENTO"))</f>
        <v/>
      </c>
      <c r="Y53" s="2">
        <f>IF(R53="","",IF(COUNTIFS($C$5:$C$6004,R53,$O$5:$O$6004,"CONCLUÍDA",$N$5:$N$6004,"&gt;=-99")=0,"",_xlfn.MAXIFS($N$5:$N$6004,$C$5:$C$6004,R53,$O$5:$O$6004,"CONCLUÍDA")))</f>
        <v/>
      </c>
      <c r="Z53" s="2">
        <f>IF(R53="","",IF(COUNTIFS($C$5:$C$6004,R53,$O$5:$O$6004,"EM ANDAMENTO",$N$5:$N$6004,"&gt;=-99")=0,"",_xlfn.MAXIFS($N$5:$N$6004,$C$5:$C$6004,R53,$O$5:$O$6004,"EM ANDAMENTO")))</f>
        <v/>
      </c>
      <c r="AA53" s="2">
        <f>IF(OR(R53="",S53="",U53&lt;&gt;"SIM",V53=0),"",IF(W53+X53=0,"",T53&amp;": "&amp;IF(W53=V53,"concluído",IF(W53=0,"em execução"&amp;IF(Z53&lt;&gt;""," ("&amp;IF(Z53&lt;0,IF(COUNTIF($E$5:$E$6004,"SUBSOLO*")&gt;0,"subsolo",-Z53&amp;"º subsolo"),IF(Z53=0,"térreo",Z53&amp;"º pav."))&amp;")",""),IF(Y53&lt;&gt;"","até "&amp;IF(Y53&lt;0,IF(COUNTIF($E$5:$E$6004,"SUBSOLO*")&gt;0,"subsolo",-Y53&amp;"º subsolo"),IF(Y53=0,"térreo",Y53&amp;"º pav.")),W53&amp;" de "&amp;V53&amp;" concluídas")&amp;IF(Z53="","",IF(OR(Y53="",Z53&gt;Y53),", executando "&amp;IF(Z53&lt;0,IF(COUNTIF($E$5:$E$6004,"SUBSOLO*")&gt;0,"subsolo",-Z53&amp;"º subsolo"),IF(Z53=0,"térreo",Z53&amp;"º pav."))," (restam serviços no "&amp;IF(Z53&lt;0,IF(COUNTIF($E$5:$E$6004,"SUBSOLO*")&gt;0,"subsolo",-Z53&amp;"º subsolo"),IF(Z53=0,"térreo",Z53&amp;"º pav."))&amp;")"))))))</f>
        <v/>
      </c>
    </row>
    <row r="54">
      <c r="B54" s="4" t="n">
        <v>13584634</v>
      </c>
      <c r="C54" s="4" t="inlineStr">
        <is>
          <t>FUNDAÇÃO PROFUNDA</t>
        </is>
      </c>
      <c r="D54" s="4" t="inlineStr">
        <is>
          <t>P136C e P138</t>
        </is>
      </c>
      <c r="E54" s="4" t="inlineStr">
        <is>
          <t>SERVIÇOS INICIAIS</t>
        </is>
      </c>
      <c r="F54" s="126" t="n">
        <v>45966</v>
      </c>
      <c r="G54" s="126" t="n">
        <v>45966</v>
      </c>
      <c r="H54" s="126" t="n">
        <v>46289</v>
      </c>
      <c r="I54" s="4" t="n">
        <v>100</v>
      </c>
      <c r="J54" s="4" t="n">
        <v>100</v>
      </c>
      <c r="K54" s="4" t="n">
        <v>100</v>
      </c>
      <c r="M54" s="2">
        <f>IF(C54="","",IFERROR(INDEX($S$5:$S$304,MATCH(C54,$R$5:$R$304,0))&amp;"","?"))</f>
        <v/>
      </c>
      <c r="N54" s="2">
        <f>IF(E54="","",IF(ISNUMBER(SEARCH("SUBSOLO",E54)),IFERROR(-VALUE(LEFT(E54,FIND("º",SUBSTITUTE(E54,"°","º"))-1)),-1),IF(LEFT(E54,6)="TÉRREO",0,IFERROR(VALUE(LEFT(E54,FIND("º",SUBSTITUTE(E54,"°","º"))-1)),""))))</f>
        <v/>
      </c>
      <c r="O54" s="2">
        <f>IF(OR(F54="",G54=""),"",IF(G54&lt;='RETRATO 2027'!$K$5,"CONCLUÍDA",IF(F54&lt;='RETRATO 2027'!$K$5,"EM ANDAMENTO","A INICIAR")))</f>
        <v/>
      </c>
      <c r="R54" s="4" t="inlineStr">
        <is>
          <t>DISTRIBUIÇÃO HIDROSSANITÁRIA</t>
        </is>
      </c>
      <c r="S54" s="4" t="inlineStr">
        <is>
          <t>21</t>
        </is>
      </c>
      <c r="T54" s="4" t="inlineStr">
        <is>
          <t>Distribuição hidrossanitária</t>
        </is>
      </c>
      <c r="U54" s="4" t="inlineStr">
        <is>
          <t>SIM</t>
        </is>
      </c>
      <c r="V54" s="2">
        <f>IF(R54="","",COUNTIF($C$5:$C$6004,R54))</f>
        <v/>
      </c>
      <c r="W54" s="2">
        <f>IF(R54="","",COUNTIFS($C$5:$C$6004,R54,$O$5:$O$6004,"CONCLUÍDA"))</f>
        <v/>
      </c>
      <c r="X54" s="2">
        <f>IF(R54="","",COUNTIFS($C$5:$C$6004,R54,$O$5:$O$6004,"EM ANDAMENTO"))</f>
        <v/>
      </c>
      <c r="Y54" s="2">
        <f>IF(R54="","",IF(COUNTIFS($C$5:$C$6004,R54,$O$5:$O$6004,"CONCLUÍDA",$N$5:$N$6004,"&gt;=-99")=0,"",_xlfn.MAXIFS($N$5:$N$6004,$C$5:$C$6004,R54,$O$5:$O$6004,"CONCLUÍDA")))</f>
        <v/>
      </c>
      <c r="Z54" s="2">
        <f>IF(R54="","",IF(COUNTIFS($C$5:$C$6004,R54,$O$5:$O$6004,"EM ANDAMENTO",$N$5:$N$6004,"&gt;=-99")=0,"",_xlfn.MAXIFS($N$5:$N$6004,$C$5:$C$6004,R54,$O$5:$O$6004,"EM ANDAMENTO")))</f>
        <v/>
      </c>
      <c r="AA54" s="2">
        <f>IF(OR(R54="",S54="",U54&lt;&gt;"SIM",V54=0),"",IF(W54+X54=0,"",T54&amp;": "&amp;IF(W54=V54,"concluído",IF(W54=0,"em execução"&amp;IF(Z54&lt;&gt;""," ("&amp;IF(Z54&lt;0,IF(COUNTIF($E$5:$E$6004,"SUBSOLO*")&gt;0,"subsolo",-Z54&amp;"º subsolo"),IF(Z54=0,"térreo",Z54&amp;"º pav."))&amp;")",""),IF(Y54&lt;&gt;"","até "&amp;IF(Y54&lt;0,IF(COUNTIF($E$5:$E$6004,"SUBSOLO*")&gt;0,"subsolo",-Y54&amp;"º subsolo"),IF(Y54=0,"térreo",Y54&amp;"º pav.")),W54&amp;" de "&amp;V54&amp;" concluídas")&amp;IF(Z54="","",IF(OR(Y54="",Z54&gt;Y54),", executando "&amp;IF(Z54&lt;0,IF(COUNTIF($E$5:$E$6004,"SUBSOLO*")&gt;0,"subsolo",-Z54&amp;"º subsolo"),IF(Z54=0,"térreo",Z54&amp;"º pav."))," (restam serviços no "&amp;IF(Z54&lt;0,IF(COUNTIF($E$5:$E$6004,"SUBSOLO*")&gt;0,"subsolo",-Z54&amp;"º subsolo"),IF(Z54=0,"térreo",Z54&amp;"º pav."))&amp;")"))))))</f>
        <v/>
      </c>
    </row>
    <row r="55">
      <c r="B55" s="4" t="n">
        <v>13584635</v>
      </c>
      <c r="C55" s="4" t="inlineStr">
        <is>
          <t>FUNDAÇÃO PROFUNDA</t>
        </is>
      </c>
      <c r="D55" s="4" t="inlineStr">
        <is>
          <t>P14D e P7B</t>
        </is>
      </c>
      <c r="E55" s="4" t="inlineStr">
        <is>
          <t>SERVIÇOS INICIAIS</t>
        </is>
      </c>
      <c r="F55" s="126" t="n">
        <v>45967</v>
      </c>
      <c r="G55" s="126" t="n">
        <v>45967</v>
      </c>
      <c r="H55" s="126" t="n">
        <v>46289</v>
      </c>
      <c r="I55" s="4" t="n">
        <v>100</v>
      </c>
      <c r="J55" s="4" t="n">
        <v>100</v>
      </c>
      <c r="K55" s="4" t="n">
        <v>100</v>
      </c>
      <c r="M55" s="2">
        <f>IF(C55="","",IFERROR(INDEX($S$5:$S$304,MATCH(C55,$R$5:$R$304,0))&amp;"","?"))</f>
        <v/>
      </c>
      <c r="N55" s="2">
        <f>IF(E55="","",IF(ISNUMBER(SEARCH("SUBSOLO",E55)),IFERROR(-VALUE(LEFT(E55,FIND("º",SUBSTITUTE(E55,"°","º"))-1)),-1),IF(LEFT(E55,6)="TÉRREO",0,IFERROR(VALUE(LEFT(E55,FIND("º",SUBSTITUTE(E55,"°","º"))-1)),""))))</f>
        <v/>
      </c>
      <c r="O55" s="2">
        <f>IF(OR(F55="",G55=""),"",IF(G55&lt;='RETRATO 2027'!$K$5,"CONCLUÍDA",IF(F55&lt;='RETRATO 2027'!$K$5,"EM ANDAMENTO","A INICIAR")))</f>
        <v/>
      </c>
      <c r="R55" s="4" t="inlineStr">
        <is>
          <t>DISTRIBUIÇÃO ELÉTRICA / QUADRO</t>
        </is>
      </c>
      <c r="S55" s="4" t="inlineStr">
        <is>
          <t>20</t>
        </is>
      </c>
      <c r="T55" s="4" t="inlineStr">
        <is>
          <t>Distribuição elétrica / quadro</t>
        </is>
      </c>
      <c r="U55" s="4" t="inlineStr">
        <is>
          <t>SIM</t>
        </is>
      </c>
      <c r="V55" s="2">
        <f>IF(R55="","",COUNTIF($C$5:$C$6004,R55))</f>
        <v/>
      </c>
      <c r="W55" s="2">
        <f>IF(R55="","",COUNTIFS($C$5:$C$6004,R55,$O$5:$O$6004,"CONCLUÍDA"))</f>
        <v/>
      </c>
      <c r="X55" s="2">
        <f>IF(R55="","",COUNTIFS($C$5:$C$6004,R55,$O$5:$O$6004,"EM ANDAMENTO"))</f>
        <v/>
      </c>
      <c r="Y55" s="2">
        <f>IF(R55="","",IF(COUNTIFS($C$5:$C$6004,R55,$O$5:$O$6004,"CONCLUÍDA",$N$5:$N$6004,"&gt;=-99")=0,"",_xlfn.MAXIFS($N$5:$N$6004,$C$5:$C$6004,R55,$O$5:$O$6004,"CONCLUÍDA")))</f>
        <v/>
      </c>
      <c r="Z55" s="2">
        <f>IF(R55="","",IF(COUNTIFS($C$5:$C$6004,R55,$O$5:$O$6004,"EM ANDAMENTO",$N$5:$N$6004,"&gt;=-99")=0,"",_xlfn.MAXIFS($N$5:$N$6004,$C$5:$C$6004,R55,$O$5:$O$6004,"EM ANDAMENTO")))</f>
        <v/>
      </c>
      <c r="AA55" s="2">
        <f>IF(OR(R55="",S55="",U55&lt;&gt;"SIM",V55=0),"",IF(W55+X55=0,"",T55&amp;": "&amp;IF(W55=V55,"concluído",IF(W55=0,"em execução"&amp;IF(Z55&lt;&gt;""," ("&amp;IF(Z55&lt;0,IF(COUNTIF($E$5:$E$6004,"SUBSOLO*")&gt;0,"subsolo",-Z55&amp;"º subsolo"),IF(Z55=0,"térreo",Z55&amp;"º pav."))&amp;")",""),IF(Y55&lt;&gt;"","até "&amp;IF(Y55&lt;0,IF(COUNTIF($E$5:$E$6004,"SUBSOLO*")&gt;0,"subsolo",-Y55&amp;"º subsolo"),IF(Y55=0,"térreo",Y55&amp;"º pav.")),W55&amp;" de "&amp;V55&amp;" concluídas")&amp;IF(Z55="","",IF(OR(Y55="",Z55&gt;Y55),", executando "&amp;IF(Z55&lt;0,IF(COUNTIF($E$5:$E$6004,"SUBSOLO*")&gt;0,"subsolo",-Z55&amp;"º subsolo"),IF(Z55=0,"térreo",Z55&amp;"º pav."))," (restam serviços no "&amp;IF(Z55&lt;0,IF(COUNTIF($E$5:$E$6004,"SUBSOLO*")&gt;0,"subsolo",-Z55&amp;"º subsolo"),IF(Z55=0,"térreo",Z55&amp;"º pav."))&amp;")"))))))</f>
        <v/>
      </c>
    </row>
    <row r="56">
      <c r="B56" s="4" t="n">
        <v>13584636</v>
      </c>
      <c r="C56" s="4" t="inlineStr">
        <is>
          <t>FUNDAÇÃO PROFUNDA</t>
        </is>
      </c>
      <c r="D56" s="4" t="inlineStr">
        <is>
          <t>P139 e P145E</t>
        </is>
      </c>
      <c r="E56" s="4" t="inlineStr">
        <is>
          <t>SERVIÇOS INICIAIS</t>
        </is>
      </c>
      <c r="F56" s="126" t="n">
        <v>45968</v>
      </c>
      <c r="G56" s="126" t="n">
        <v>45968</v>
      </c>
      <c r="H56" s="126" t="n">
        <v>46289</v>
      </c>
      <c r="I56" s="4" t="n">
        <v>100</v>
      </c>
      <c r="J56" s="4" t="n">
        <v>100</v>
      </c>
      <c r="K56" s="4" t="n">
        <v>100</v>
      </c>
      <c r="M56" s="2">
        <f>IF(C56="","",IFERROR(INDEX($S$5:$S$304,MATCH(C56,$R$5:$R$304,0))&amp;"","?"))</f>
        <v/>
      </c>
      <c r="N56" s="2">
        <f>IF(E56="","",IF(ISNUMBER(SEARCH("SUBSOLO",E56)),IFERROR(-VALUE(LEFT(E56,FIND("º",SUBSTITUTE(E56,"°","º"))-1)),-1),IF(LEFT(E56,6)="TÉRREO",0,IFERROR(VALUE(LEFT(E56,FIND("º",SUBSTITUTE(E56,"°","º"))-1)),""))))</f>
        <v/>
      </c>
      <c r="O56" s="2">
        <f>IF(OR(F56="",G56=""),"",IF(G56&lt;='RETRATO 2027'!$K$5,"CONCLUÍDA",IF(F56&lt;='RETRATO 2027'!$K$5,"EM ANDAMENTO","A INICIAR")))</f>
        <v/>
      </c>
      <c r="R56" s="4" t="inlineStr">
        <is>
          <t>DISTRIBUIÇÃO DE GÁS</t>
        </is>
      </c>
      <c r="S56" s="4" t="inlineStr">
        <is>
          <t>21</t>
        </is>
      </c>
      <c r="T56" s="4" t="inlineStr">
        <is>
          <t>Distribuição de gás</t>
        </is>
      </c>
      <c r="U56" s="4" t="inlineStr">
        <is>
          <t>SIM</t>
        </is>
      </c>
      <c r="V56" s="2">
        <f>IF(R56="","",COUNTIF($C$5:$C$6004,R56))</f>
        <v/>
      </c>
      <c r="W56" s="2">
        <f>IF(R56="","",COUNTIFS($C$5:$C$6004,R56,$O$5:$O$6004,"CONCLUÍDA"))</f>
        <v/>
      </c>
      <c r="X56" s="2">
        <f>IF(R56="","",COUNTIFS($C$5:$C$6004,R56,$O$5:$O$6004,"EM ANDAMENTO"))</f>
        <v/>
      </c>
      <c r="Y56" s="2">
        <f>IF(R56="","",IF(COUNTIFS($C$5:$C$6004,R56,$O$5:$O$6004,"CONCLUÍDA",$N$5:$N$6004,"&gt;=-99")=0,"",_xlfn.MAXIFS($N$5:$N$6004,$C$5:$C$6004,R56,$O$5:$O$6004,"CONCLUÍDA")))</f>
        <v/>
      </c>
      <c r="Z56" s="2">
        <f>IF(R56="","",IF(COUNTIFS($C$5:$C$6004,R56,$O$5:$O$6004,"EM ANDAMENTO",$N$5:$N$6004,"&gt;=-99")=0,"",_xlfn.MAXIFS($N$5:$N$6004,$C$5:$C$6004,R56,$O$5:$O$6004,"EM ANDAMENTO")))</f>
        <v/>
      </c>
      <c r="AA56" s="2">
        <f>IF(OR(R56="",S56="",U56&lt;&gt;"SIM",V56=0),"",IF(W56+X56=0,"",T56&amp;": "&amp;IF(W56=V56,"concluído",IF(W56=0,"em execução"&amp;IF(Z56&lt;&gt;""," ("&amp;IF(Z56&lt;0,IF(COUNTIF($E$5:$E$6004,"SUBSOLO*")&gt;0,"subsolo",-Z56&amp;"º subsolo"),IF(Z56=0,"térreo",Z56&amp;"º pav."))&amp;")",""),IF(Y56&lt;&gt;"","até "&amp;IF(Y56&lt;0,IF(COUNTIF($E$5:$E$6004,"SUBSOLO*")&gt;0,"subsolo",-Y56&amp;"º subsolo"),IF(Y56=0,"térreo",Y56&amp;"º pav.")),W56&amp;" de "&amp;V56&amp;" concluídas")&amp;IF(Z56="","",IF(OR(Y56="",Z56&gt;Y56),", executando "&amp;IF(Z56&lt;0,IF(COUNTIF($E$5:$E$6004,"SUBSOLO*")&gt;0,"subsolo",-Z56&amp;"º subsolo"),IF(Z56=0,"térreo",Z56&amp;"º pav."))," (restam serviços no "&amp;IF(Z56&lt;0,IF(COUNTIF($E$5:$E$6004,"SUBSOLO*")&gt;0,"subsolo",-Z56&amp;"º subsolo"),IF(Z56=0,"térreo",Z56&amp;"º pav."))&amp;")"))))))</f>
        <v/>
      </c>
    </row>
    <row r="57">
      <c r="B57" s="4" t="n">
        <v>13584637</v>
      </c>
      <c r="C57" s="4" t="inlineStr">
        <is>
          <t>FUNDAÇÃO PROFUNDA</t>
        </is>
      </c>
      <c r="D57" s="4" t="inlineStr">
        <is>
          <t>P7A e P11D</t>
        </is>
      </c>
      <c r="E57" s="4" t="inlineStr">
        <is>
          <t>SERVIÇOS INICIAIS</t>
        </is>
      </c>
      <c r="F57" s="126" t="n">
        <v>45971</v>
      </c>
      <c r="G57" s="126" t="n">
        <v>45971</v>
      </c>
      <c r="H57" s="126" t="n">
        <v>46289</v>
      </c>
      <c r="I57" s="4" t="n">
        <v>100</v>
      </c>
      <c r="J57" s="4" t="n">
        <v>100</v>
      </c>
      <c r="K57" s="4" t="n">
        <v>100</v>
      </c>
      <c r="M57" s="2">
        <f>IF(C57="","",IFERROR(INDEX($S$5:$S$304,MATCH(C57,$R$5:$R$304,0))&amp;"","?"))</f>
        <v/>
      </c>
      <c r="N57" s="2">
        <f>IF(E57="","",IF(ISNUMBER(SEARCH("SUBSOLO",E57)),IFERROR(-VALUE(LEFT(E57,FIND("º",SUBSTITUTE(E57,"°","º"))-1)),-1),IF(LEFT(E57,6)="TÉRREO",0,IFERROR(VALUE(LEFT(E57,FIND("º",SUBSTITUTE(E57,"°","º"))-1)),""))))</f>
        <v/>
      </c>
      <c r="O57" s="2">
        <f>IF(OR(F57="",G57=""),"",IF(G57&lt;='RETRATO 2027'!$K$5,"CONCLUÍDA",IF(F57&lt;='RETRATO 2027'!$K$5,"EM ANDAMENTO","A INICIAR")))</f>
        <v/>
      </c>
      <c r="R57" s="4" t="inlineStr">
        <is>
          <t>CONTRAMARCO</t>
        </is>
      </c>
      <c r="S57" s="4" t="inlineStr">
        <is>
          <t>25</t>
        </is>
      </c>
      <c r="T57" s="4" t="inlineStr">
        <is>
          <t>Contramarco</t>
        </is>
      </c>
      <c r="U57" s="4" t="inlineStr">
        <is>
          <t>SIM</t>
        </is>
      </c>
      <c r="V57" s="2">
        <f>IF(R57="","",COUNTIF($C$5:$C$6004,R57))</f>
        <v/>
      </c>
      <c r="W57" s="2">
        <f>IF(R57="","",COUNTIFS($C$5:$C$6004,R57,$O$5:$O$6004,"CONCLUÍDA"))</f>
        <v/>
      </c>
      <c r="X57" s="2">
        <f>IF(R57="","",COUNTIFS($C$5:$C$6004,R57,$O$5:$O$6004,"EM ANDAMENTO"))</f>
        <v/>
      </c>
      <c r="Y57" s="2">
        <f>IF(R57="","",IF(COUNTIFS($C$5:$C$6004,R57,$O$5:$O$6004,"CONCLUÍDA",$N$5:$N$6004,"&gt;=-99")=0,"",_xlfn.MAXIFS($N$5:$N$6004,$C$5:$C$6004,R57,$O$5:$O$6004,"CONCLUÍDA")))</f>
        <v/>
      </c>
      <c r="Z57" s="2">
        <f>IF(R57="","",IF(COUNTIFS($C$5:$C$6004,R57,$O$5:$O$6004,"EM ANDAMENTO",$N$5:$N$6004,"&gt;=-99")=0,"",_xlfn.MAXIFS($N$5:$N$6004,$C$5:$C$6004,R57,$O$5:$O$6004,"EM ANDAMENTO")))</f>
        <v/>
      </c>
      <c r="AA57" s="2">
        <f>IF(OR(R57="",S57="",U57&lt;&gt;"SIM",V57=0),"",IF(W57+X57=0,"",T57&amp;": "&amp;IF(W57=V57,"concluído",IF(W57=0,"em execução"&amp;IF(Z57&lt;&gt;""," ("&amp;IF(Z57&lt;0,IF(COUNTIF($E$5:$E$6004,"SUBSOLO*")&gt;0,"subsolo",-Z57&amp;"º subsolo"),IF(Z57=0,"térreo",Z57&amp;"º pav."))&amp;")",""),IF(Y57&lt;&gt;"","até "&amp;IF(Y57&lt;0,IF(COUNTIF($E$5:$E$6004,"SUBSOLO*")&gt;0,"subsolo",-Y57&amp;"º subsolo"),IF(Y57=0,"térreo",Y57&amp;"º pav.")),W57&amp;" de "&amp;V57&amp;" concluídas")&amp;IF(Z57="","",IF(OR(Y57="",Z57&gt;Y57),", executando "&amp;IF(Z57&lt;0,IF(COUNTIF($E$5:$E$6004,"SUBSOLO*")&gt;0,"subsolo",-Z57&amp;"º subsolo"),IF(Z57=0,"térreo",Z57&amp;"º pav."))," (restam serviços no "&amp;IF(Z57&lt;0,IF(COUNTIF($E$5:$E$6004,"SUBSOLO*")&gt;0,"subsolo",-Z57&amp;"º subsolo"),IF(Z57=0,"térreo",Z57&amp;"º pav."))&amp;")"))))))</f>
        <v/>
      </c>
    </row>
    <row r="58">
      <c r="B58" s="4" t="n">
        <v>13584638</v>
      </c>
      <c r="C58" s="4" t="inlineStr">
        <is>
          <t>FUNDAÇÃO PROFUNDA</t>
        </is>
      </c>
      <c r="D58" s="4" t="inlineStr">
        <is>
          <t>P145F e P1C</t>
        </is>
      </c>
      <c r="E58" s="4" t="inlineStr">
        <is>
          <t>SERVIÇOS INICIAIS</t>
        </is>
      </c>
      <c r="F58" s="126" t="n">
        <v>45972</v>
      </c>
      <c r="G58" s="126" t="n">
        <v>45973</v>
      </c>
      <c r="H58" s="126" t="n">
        <v>46289</v>
      </c>
      <c r="I58" s="4" t="n">
        <v>100</v>
      </c>
      <c r="J58" s="4" t="n">
        <v>100</v>
      </c>
      <c r="K58" s="4" t="n">
        <v>100</v>
      </c>
      <c r="M58" s="2">
        <f>IF(C58="","",IFERROR(INDEX($S$5:$S$304,MATCH(C58,$R$5:$R$304,0))&amp;"","?"))</f>
        <v/>
      </c>
      <c r="N58" s="2">
        <f>IF(E58="","",IF(ISNUMBER(SEARCH("SUBSOLO",E58)),IFERROR(-VALUE(LEFT(E58,FIND("º",SUBSTITUTE(E58,"°","º"))-1)),-1),IF(LEFT(E58,6)="TÉRREO",0,IFERROR(VALUE(LEFT(E58,FIND("º",SUBSTITUTE(E58,"°","º"))-1)),""))))</f>
        <v/>
      </c>
      <c r="O58" s="2">
        <f>IF(OR(F58="",G58=""),"",IF(G58&lt;='RETRATO 2027'!$K$5,"CONCLUÍDA",IF(F58&lt;='RETRATO 2027'!$K$5,"EM ANDAMENTO","A INICIAR")))</f>
        <v/>
      </c>
      <c r="R58" s="4" t="inlineStr">
        <is>
          <t>REBOCO INTERNO</t>
        </is>
      </c>
      <c r="S58" s="4" t="inlineStr">
        <is>
          <t>29</t>
        </is>
      </c>
      <c r="T58" s="4" t="inlineStr">
        <is>
          <t>Reboco interno</t>
        </is>
      </c>
      <c r="U58" s="4" t="inlineStr">
        <is>
          <t>SIM</t>
        </is>
      </c>
      <c r="V58" s="2">
        <f>IF(R58="","",COUNTIF($C$5:$C$6004,R58))</f>
        <v/>
      </c>
      <c r="W58" s="2">
        <f>IF(R58="","",COUNTIFS($C$5:$C$6004,R58,$O$5:$O$6004,"CONCLUÍDA"))</f>
        <v/>
      </c>
      <c r="X58" s="2">
        <f>IF(R58="","",COUNTIFS($C$5:$C$6004,R58,$O$5:$O$6004,"EM ANDAMENTO"))</f>
        <v/>
      </c>
      <c r="Y58" s="2">
        <f>IF(R58="","",IF(COUNTIFS($C$5:$C$6004,R58,$O$5:$O$6004,"CONCLUÍDA",$N$5:$N$6004,"&gt;=-99")=0,"",_xlfn.MAXIFS($N$5:$N$6004,$C$5:$C$6004,R58,$O$5:$O$6004,"CONCLUÍDA")))</f>
        <v/>
      </c>
      <c r="Z58" s="2">
        <f>IF(R58="","",IF(COUNTIFS($C$5:$C$6004,R58,$O$5:$O$6004,"EM ANDAMENTO",$N$5:$N$6004,"&gt;=-99")=0,"",_xlfn.MAXIFS($N$5:$N$6004,$C$5:$C$6004,R58,$O$5:$O$6004,"EM ANDAMENTO")))</f>
        <v/>
      </c>
      <c r="AA58" s="2">
        <f>IF(OR(R58="",S58="",U58&lt;&gt;"SIM",V58=0),"",IF(W58+X58=0,"",T58&amp;": "&amp;IF(W58=V58,"concluído",IF(W58=0,"em execução"&amp;IF(Z58&lt;&gt;""," ("&amp;IF(Z58&lt;0,IF(COUNTIF($E$5:$E$6004,"SUBSOLO*")&gt;0,"subsolo",-Z58&amp;"º subsolo"),IF(Z58=0,"térreo",Z58&amp;"º pav."))&amp;")",""),IF(Y58&lt;&gt;"","até "&amp;IF(Y58&lt;0,IF(COUNTIF($E$5:$E$6004,"SUBSOLO*")&gt;0,"subsolo",-Y58&amp;"º subsolo"),IF(Y58=0,"térreo",Y58&amp;"º pav.")),W58&amp;" de "&amp;V58&amp;" concluídas")&amp;IF(Z58="","",IF(OR(Y58="",Z58&gt;Y58),", executando "&amp;IF(Z58&lt;0,IF(COUNTIF($E$5:$E$6004,"SUBSOLO*")&gt;0,"subsolo",-Z58&amp;"º subsolo"),IF(Z58=0,"térreo",Z58&amp;"º pav."))," (restam serviços no "&amp;IF(Z58&lt;0,IF(COUNTIF($E$5:$E$6004,"SUBSOLO*")&gt;0,"subsolo",-Z58&amp;"º subsolo"),IF(Z58=0,"térreo",Z58&amp;"º pav."))&amp;")"))))))</f>
        <v/>
      </c>
    </row>
    <row r="59">
      <c r="B59" s="4" t="n">
        <v>13584639</v>
      </c>
      <c r="C59" s="4" t="inlineStr">
        <is>
          <t>FUNDAÇÃO PROFUNDA</t>
        </is>
      </c>
      <c r="D59" s="4" t="inlineStr">
        <is>
          <t>P11B e P4A</t>
        </is>
      </c>
      <c r="E59" s="4" t="inlineStr">
        <is>
          <t>SERVIÇOS INICIAIS</t>
        </is>
      </c>
      <c r="F59" s="126" t="n">
        <v>45974</v>
      </c>
      <c r="G59" s="126" t="n">
        <v>45974</v>
      </c>
      <c r="H59" s="126" t="n">
        <v>46289</v>
      </c>
      <c r="I59" s="4" t="n">
        <v>100</v>
      </c>
      <c r="J59" s="4" t="n">
        <v>100</v>
      </c>
      <c r="K59" s="4" t="n">
        <v>100</v>
      </c>
      <c r="M59" s="2">
        <f>IF(C59="","",IFERROR(INDEX($S$5:$S$304,MATCH(C59,$R$5:$R$304,0))&amp;"","?"))</f>
        <v/>
      </c>
      <c r="N59" s="2">
        <f>IF(E59="","",IF(ISNUMBER(SEARCH("SUBSOLO",E59)),IFERROR(-VALUE(LEFT(E59,FIND("º",SUBSTITUTE(E59,"°","º"))-1)),-1),IF(LEFT(E59,6)="TÉRREO",0,IFERROR(VALUE(LEFT(E59,FIND("º",SUBSTITUTE(E59,"°","º"))-1)),""))))</f>
        <v/>
      </c>
      <c r="O59" s="2">
        <f>IF(OR(F59="",G59=""),"",IF(G59&lt;='RETRATO 2027'!$K$5,"CONCLUÍDA",IF(F59&lt;='RETRATO 2027'!$K$5,"EM ANDAMENTO","A INICIAR")))</f>
        <v/>
      </c>
      <c r="R59" s="4" t="inlineStr">
        <is>
          <t>SHAFT INTERNO INST. HIDRAÚLICAS</t>
        </is>
      </c>
      <c r="S59" s="4" t="inlineStr">
        <is>
          <t>21</t>
        </is>
      </c>
      <c r="T59" s="4" t="inlineStr">
        <is>
          <t>Shaft interno inst. hidraúlicas</t>
        </is>
      </c>
      <c r="U59" s="4" t="inlineStr">
        <is>
          <t>SIM</t>
        </is>
      </c>
      <c r="V59" s="2">
        <f>IF(R59="","",COUNTIF($C$5:$C$6004,R59))</f>
        <v/>
      </c>
      <c r="W59" s="2">
        <f>IF(R59="","",COUNTIFS($C$5:$C$6004,R59,$O$5:$O$6004,"CONCLUÍDA"))</f>
        <v/>
      </c>
      <c r="X59" s="2">
        <f>IF(R59="","",COUNTIFS($C$5:$C$6004,R59,$O$5:$O$6004,"EM ANDAMENTO"))</f>
        <v/>
      </c>
      <c r="Y59" s="2">
        <f>IF(R59="","",IF(COUNTIFS($C$5:$C$6004,R59,$O$5:$O$6004,"CONCLUÍDA",$N$5:$N$6004,"&gt;=-99")=0,"",_xlfn.MAXIFS($N$5:$N$6004,$C$5:$C$6004,R59,$O$5:$O$6004,"CONCLUÍDA")))</f>
        <v/>
      </c>
      <c r="Z59" s="2">
        <f>IF(R59="","",IF(COUNTIFS($C$5:$C$6004,R59,$O$5:$O$6004,"EM ANDAMENTO",$N$5:$N$6004,"&gt;=-99")=0,"",_xlfn.MAXIFS($N$5:$N$6004,$C$5:$C$6004,R59,$O$5:$O$6004,"EM ANDAMENTO")))</f>
        <v/>
      </c>
      <c r="AA59" s="2">
        <f>IF(OR(R59="",S59="",U59&lt;&gt;"SIM",V59=0),"",IF(W59+X59=0,"",T59&amp;": "&amp;IF(W59=V59,"concluído",IF(W59=0,"em execução"&amp;IF(Z59&lt;&gt;""," ("&amp;IF(Z59&lt;0,IF(COUNTIF($E$5:$E$6004,"SUBSOLO*")&gt;0,"subsolo",-Z59&amp;"º subsolo"),IF(Z59=0,"térreo",Z59&amp;"º pav."))&amp;")",""),IF(Y59&lt;&gt;"","até "&amp;IF(Y59&lt;0,IF(COUNTIF($E$5:$E$6004,"SUBSOLO*")&gt;0,"subsolo",-Y59&amp;"º subsolo"),IF(Y59=0,"térreo",Y59&amp;"º pav.")),W59&amp;" de "&amp;V59&amp;" concluídas")&amp;IF(Z59="","",IF(OR(Y59="",Z59&gt;Y59),", executando "&amp;IF(Z59&lt;0,IF(COUNTIF($E$5:$E$6004,"SUBSOLO*")&gt;0,"subsolo",-Z59&amp;"º subsolo"),IF(Z59=0,"térreo",Z59&amp;"º pav."))," (restam serviços no "&amp;IF(Z59&lt;0,IF(COUNTIF($E$5:$E$6004,"SUBSOLO*")&gt;0,"subsolo",-Z59&amp;"º subsolo"),IF(Z59=0,"térreo",Z59&amp;"º pav."))&amp;")"))))))</f>
        <v/>
      </c>
    </row>
    <row r="60">
      <c r="B60" s="4" t="n">
        <v>13584640</v>
      </c>
      <c r="C60" s="4" t="inlineStr">
        <is>
          <t>FUNDAÇÃO PROFUNDA</t>
        </is>
      </c>
      <c r="D60" s="4" t="inlineStr">
        <is>
          <t>P122B e P126B</t>
        </is>
      </c>
      <c r="E60" s="4" t="inlineStr">
        <is>
          <t>SERVIÇOS INICIAIS</t>
        </is>
      </c>
      <c r="F60" s="126" t="n">
        <v>45975</v>
      </c>
      <c r="G60" s="126" t="n">
        <v>45975</v>
      </c>
      <c r="H60" s="126" t="n">
        <v>46289</v>
      </c>
      <c r="I60" s="4" t="n">
        <v>100</v>
      </c>
      <c r="J60" s="4" t="n">
        <v>100</v>
      </c>
      <c r="K60" s="4" t="n">
        <v>100</v>
      </c>
      <c r="M60" s="2">
        <f>IF(C60="","",IFERROR(INDEX($S$5:$S$304,MATCH(C60,$R$5:$R$304,0))&amp;"","?"))</f>
        <v/>
      </c>
      <c r="N60" s="2">
        <f>IF(E60="","",IF(ISNUMBER(SEARCH("SUBSOLO",E60)),IFERROR(-VALUE(LEFT(E60,FIND("º",SUBSTITUTE(E60,"°","º"))-1)),-1),IF(LEFT(E60,6)="TÉRREO",0,IFERROR(VALUE(LEFT(E60,FIND("º",SUBSTITUTE(E60,"°","º"))-1)),""))))</f>
        <v/>
      </c>
      <c r="O60" s="2">
        <f>IF(OR(F60="",G60=""),"",IF(G60&lt;='RETRATO 2027'!$K$5,"CONCLUÍDA",IF(F60&lt;='RETRATO 2027'!$K$5,"EM ANDAMENTO","A INICIAR")))</f>
        <v/>
      </c>
      <c r="R60" s="4" t="inlineStr">
        <is>
          <t>PRUMADA ELÉTRICA - INFRA</t>
        </is>
      </c>
      <c r="S60" s="4" t="inlineStr">
        <is>
          <t>20</t>
        </is>
      </c>
      <c r="T60" s="4" t="inlineStr">
        <is>
          <t>Prumada elétrica - infra</t>
        </is>
      </c>
      <c r="U60" s="4" t="inlineStr">
        <is>
          <t>SIM</t>
        </is>
      </c>
      <c r="V60" s="2">
        <f>IF(R60="","",COUNTIF($C$5:$C$6004,R60))</f>
        <v/>
      </c>
      <c r="W60" s="2">
        <f>IF(R60="","",COUNTIFS($C$5:$C$6004,R60,$O$5:$O$6004,"CONCLUÍDA"))</f>
        <v/>
      </c>
      <c r="X60" s="2">
        <f>IF(R60="","",COUNTIFS($C$5:$C$6004,R60,$O$5:$O$6004,"EM ANDAMENTO"))</f>
        <v/>
      </c>
      <c r="Y60" s="2">
        <f>IF(R60="","",IF(COUNTIFS($C$5:$C$6004,R60,$O$5:$O$6004,"CONCLUÍDA",$N$5:$N$6004,"&gt;=-99")=0,"",_xlfn.MAXIFS($N$5:$N$6004,$C$5:$C$6004,R60,$O$5:$O$6004,"CONCLUÍDA")))</f>
        <v/>
      </c>
      <c r="Z60" s="2">
        <f>IF(R60="","",IF(COUNTIFS($C$5:$C$6004,R60,$O$5:$O$6004,"EM ANDAMENTO",$N$5:$N$6004,"&gt;=-99")=0,"",_xlfn.MAXIFS($N$5:$N$6004,$C$5:$C$6004,R60,$O$5:$O$6004,"EM ANDAMENTO")))</f>
        <v/>
      </c>
      <c r="AA60" s="2">
        <f>IF(OR(R60="",S60="",U60&lt;&gt;"SIM",V60=0),"",IF(W60+X60=0,"",T60&amp;": "&amp;IF(W60=V60,"concluído",IF(W60=0,"em execução"&amp;IF(Z60&lt;&gt;""," ("&amp;IF(Z60&lt;0,IF(COUNTIF($E$5:$E$6004,"SUBSOLO*")&gt;0,"subsolo",-Z60&amp;"º subsolo"),IF(Z60=0,"térreo",Z60&amp;"º pav."))&amp;")",""),IF(Y60&lt;&gt;"","até "&amp;IF(Y60&lt;0,IF(COUNTIF($E$5:$E$6004,"SUBSOLO*")&gt;0,"subsolo",-Y60&amp;"º subsolo"),IF(Y60=0,"térreo",Y60&amp;"º pav.")),W60&amp;" de "&amp;V60&amp;" concluídas")&amp;IF(Z60="","",IF(OR(Y60="",Z60&gt;Y60),", executando "&amp;IF(Z60&lt;0,IF(COUNTIF($E$5:$E$6004,"SUBSOLO*")&gt;0,"subsolo",-Z60&amp;"º subsolo"),IF(Z60=0,"térreo",Z60&amp;"º pav."))," (restam serviços no "&amp;IF(Z60&lt;0,IF(COUNTIF($E$5:$E$6004,"SUBSOLO*")&gt;0,"subsolo",-Z60&amp;"º subsolo"),IF(Z60=0,"térreo",Z60&amp;"º pav."))&amp;")"))))))</f>
        <v/>
      </c>
    </row>
    <row r="61">
      <c r="B61" s="4" t="n">
        <v>13584641</v>
      </c>
      <c r="C61" s="4" t="inlineStr">
        <is>
          <t>FUNDAÇÃO PROFUNDA</t>
        </is>
      </c>
      <c r="D61" s="4" t="inlineStr">
        <is>
          <t>P145A e P901A</t>
        </is>
      </c>
      <c r="E61" s="4" t="inlineStr">
        <is>
          <t>SERVIÇOS INICIAIS</t>
        </is>
      </c>
      <c r="F61" s="126" t="n">
        <v>45978</v>
      </c>
      <c r="G61" s="126" t="n">
        <v>45978</v>
      </c>
      <c r="H61" s="126" t="n">
        <v>46289</v>
      </c>
      <c r="I61" s="4" t="n">
        <v>100</v>
      </c>
      <c r="J61" s="4" t="n">
        <v>100</v>
      </c>
      <c r="K61" s="4" t="n">
        <v>100</v>
      </c>
      <c r="M61" s="2">
        <f>IF(C61="","",IFERROR(INDEX($S$5:$S$304,MATCH(C61,$R$5:$R$304,0))&amp;"","?"))</f>
        <v/>
      </c>
      <c r="N61" s="2">
        <f>IF(E61="","",IF(ISNUMBER(SEARCH("SUBSOLO",E61)),IFERROR(-VALUE(LEFT(E61,FIND("º",SUBSTITUTE(E61,"°","º"))-1)),-1),IF(LEFT(E61,6)="TÉRREO",0,IFERROR(VALUE(LEFT(E61,FIND("º",SUBSTITUTE(E61,"°","º"))-1)),""))))</f>
        <v/>
      </c>
      <c r="O61" s="2">
        <f>IF(OR(F61="",G61=""),"",IF(G61&lt;='RETRATO 2027'!$K$5,"CONCLUÍDA",IF(F61&lt;='RETRATO 2027'!$K$5,"EM ANDAMENTO","A INICIAR")))</f>
        <v/>
      </c>
      <c r="R61" s="4" t="inlineStr">
        <is>
          <t>CHUMBAMENTO DE PCF</t>
        </is>
      </c>
      <c r="S61" s="4" t="inlineStr">
        <is>
          <t>26</t>
        </is>
      </c>
      <c r="T61" s="4" t="inlineStr">
        <is>
          <t>Chumbamento de PCF</t>
        </is>
      </c>
      <c r="U61" s="4" t="inlineStr">
        <is>
          <t>SIM</t>
        </is>
      </c>
      <c r="V61" s="2">
        <f>IF(R61="","",COUNTIF($C$5:$C$6004,R61))</f>
        <v/>
      </c>
      <c r="W61" s="2">
        <f>IF(R61="","",COUNTIFS($C$5:$C$6004,R61,$O$5:$O$6004,"CONCLUÍDA"))</f>
        <v/>
      </c>
      <c r="X61" s="2">
        <f>IF(R61="","",COUNTIFS($C$5:$C$6004,R61,$O$5:$O$6004,"EM ANDAMENTO"))</f>
        <v/>
      </c>
      <c r="Y61" s="2">
        <f>IF(R61="","",IF(COUNTIFS($C$5:$C$6004,R61,$O$5:$O$6004,"CONCLUÍDA",$N$5:$N$6004,"&gt;=-99")=0,"",_xlfn.MAXIFS($N$5:$N$6004,$C$5:$C$6004,R61,$O$5:$O$6004,"CONCLUÍDA")))</f>
        <v/>
      </c>
      <c r="Z61" s="2">
        <f>IF(R61="","",IF(COUNTIFS($C$5:$C$6004,R61,$O$5:$O$6004,"EM ANDAMENTO",$N$5:$N$6004,"&gt;=-99")=0,"",_xlfn.MAXIFS($N$5:$N$6004,$C$5:$C$6004,R61,$O$5:$O$6004,"EM ANDAMENTO")))</f>
        <v/>
      </c>
      <c r="AA61" s="2">
        <f>IF(OR(R61="",S61="",U61&lt;&gt;"SIM",V61=0),"",IF(W61+X61=0,"",T61&amp;": "&amp;IF(W61=V61,"concluído",IF(W61=0,"em execução"&amp;IF(Z61&lt;&gt;""," ("&amp;IF(Z61&lt;0,IF(COUNTIF($E$5:$E$6004,"SUBSOLO*")&gt;0,"subsolo",-Z61&amp;"º subsolo"),IF(Z61=0,"térreo",Z61&amp;"º pav."))&amp;")",""),IF(Y61&lt;&gt;"","até "&amp;IF(Y61&lt;0,IF(COUNTIF($E$5:$E$6004,"SUBSOLO*")&gt;0,"subsolo",-Y61&amp;"º subsolo"),IF(Y61=0,"térreo",Y61&amp;"º pav.")),W61&amp;" de "&amp;V61&amp;" concluídas")&amp;IF(Z61="","",IF(OR(Y61="",Z61&gt;Y61),", executando "&amp;IF(Z61&lt;0,IF(COUNTIF($E$5:$E$6004,"SUBSOLO*")&gt;0,"subsolo",-Z61&amp;"º subsolo"),IF(Z61=0,"térreo",Z61&amp;"º pav."))," (restam serviços no "&amp;IF(Z61&lt;0,IF(COUNTIF($E$5:$E$6004,"SUBSOLO*")&gt;0,"subsolo",-Z61&amp;"º subsolo"),IF(Z61=0,"térreo",Z61&amp;"º pav."))&amp;")"))))))</f>
        <v/>
      </c>
    </row>
    <row r="62">
      <c r="B62" s="4" t="n">
        <v>13584642</v>
      </c>
      <c r="C62" s="4" t="inlineStr">
        <is>
          <t>FUNDAÇÃO PROFUNDA</t>
        </is>
      </c>
      <c r="D62" s="4" t="inlineStr">
        <is>
          <t>P901U e P145D</t>
        </is>
      </c>
      <c r="E62" s="4" t="inlineStr">
        <is>
          <t>SERVIÇOS INICIAIS</t>
        </is>
      </c>
      <c r="F62" s="126" t="n">
        <v>45979</v>
      </c>
      <c r="G62" s="126" t="n">
        <v>45979</v>
      </c>
      <c r="H62" s="126" t="n">
        <v>46289</v>
      </c>
      <c r="I62" s="4" t="n">
        <v>100</v>
      </c>
      <c r="J62" s="4" t="n">
        <v>100</v>
      </c>
      <c r="K62" s="4" t="n">
        <v>100</v>
      </c>
      <c r="M62" s="2">
        <f>IF(C62="","",IFERROR(INDEX($S$5:$S$304,MATCH(C62,$R$5:$R$304,0))&amp;"","?"))</f>
        <v/>
      </c>
      <c r="N62" s="2">
        <f>IF(E62="","",IF(ISNUMBER(SEARCH("SUBSOLO",E62)),IFERROR(-VALUE(LEFT(E62,FIND("º",SUBSTITUTE(E62,"°","º"))-1)),-1),IF(LEFT(E62,6)="TÉRREO",0,IFERROR(VALUE(LEFT(E62,FIND("º",SUBSTITUTE(E62,"°","º"))-1)),""))))</f>
        <v/>
      </c>
      <c r="O62" s="2">
        <f>IF(OR(F62="",G62=""),"",IF(G62&lt;='RETRATO 2027'!$K$5,"CONCLUÍDA",IF(F62&lt;='RETRATO 2027'!$K$5,"EM ANDAMENTO","A INICIAR")))</f>
        <v/>
      </c>
      <c r="R62" s="4" t="inlineStr">
        <is>
          <t>CONTRAPISO</t>
        </is>
      </c>
      <c r="S62" s="4" t="inlineStr">
        <is>
          <t>28</t>
        </is>
      </c>
      <c r="T62" s="4" t="inlineStr">
        <is>
          <t>Contrapiso</t>
        </is>
      </c>
      <c r="U62" s="4" t="inlineStr">
        <is>
          <t>SIM</t>
        </is>
      </c>
      <c r="V62" s="2">
        <f>IF(R62="","",COUNTIF($C$5:$C$6004,R62))</f>
        <v/>
      </c>
      <c r="W62" s="2">
        <f>IF(R62="","",COUNTIFS($C$5:$C$6004,R62,$O$5:$O$6004,"CONCLUÍDA"))</f>
        <v/>
      </c>
      <c r="X62" s="2">
        <f>IF(R62="","",COUNTIFS($C$5:$C$6004,R62,$O$5:$O$6004,"EM ANDAMENTO"))</f>
        <v/>
      </c>
      <c r="Y62" s="2">
        <f>IF(R62="","",IF(COUNTIFS($C$5:$C$6004,R62,$O$5:$O$6004,"CONCLUÍDA",$N$5:$N$6004,"&gt;=-99")=0,"",_xlfn.MAXIFS($N$5:$N$6004,$C$5:$C$6004,R62,$O$5:$O$6004,"CONCLUÍDA")))</f>
        <v/>
      </c>
      <c r="Z62" s="2">
        <f>IF(R62="","",IF(COUNTIFS($C$5:$C$6004,R62,$O$5:$O$6004,"EM ANDAMENTO",$N$5:$N$6004,"&gt;=-99")=0,"",_xlfn.MAXIFS($N$5:$N$6004,$C$5:$C$6004,R62,$O$5:$O$6004,"EM ANDAMENTO")))</f>
        <v/>
      </c>
      <c r="AA62" s="2">
        <f>IF(OR(R62="",S62="",U62&lt;&gt;"SIM",V62=0),"",IF(W62+X62=0,"",T62&amp;": "&amp;IF(W62=V62,"concluído",IF(W62=0,"em execução"&amp;IF(Z62&lt;&gt;""," ("&amp;IF(Z62&lt;0,IF(COUNTIF($E$5:$E$6004,"SUBSOLO*")&gt;0,"subsolo",-Z62&amp;"º subsolo"),IF(Z62=0,"térreo",Z62&amp;"º pav."))&amp;")",""),IF(Y62&lt;&gt;"","até "&amp;IF(Y62&lt;0,IF(COUNTIF($E$5:$E$6004,"SUBSOLO*")&gt;0,"subsolo",-Y62&amp;"º subsolo"),IF(Y62=0,"térreo",Y62&amp;"º pav.")),W62&amp;" de "&amp;V62&amp;" concluídas")&amp;IF(Z62="","",IF(OR(Y62="",Z62&gt;Y62),", executando "&amp;IF(Z62&lt;0,IF(COUNTIF($E$5:$E$6004,"SUBSOLO*")&gt;0,"subsolo",-Z62&amp;"º subsolo"),IF(Z62=0,"térreo",Z62&amp;"º pav."))," (restam serviços no "&amp;IF(Z62&lt;0,IF(COUNTIF($E$5:$E$6004,"SUBSOLO*")&gt;0,"subsolo",-Z62&amp;"º subsolo"),IF(Z62=0,"térreo",Z62&amp;"º pav."))&amp;")"))))))</f>
        <v/>
      </c>
    </row>
    <row r="63">
      <c r="B63" s="4" t="n">
        <v>13584643</v>
      </c>
      <c r="C63" s="4" t="inlineStr">
        <is>
          <t>FUNDAÇÃO PROFUNDA</t>
        </is>
      </c>
      <c r="D63" s="4" t="inlineStr">
        <is>
          <t>P20A e P901B</t>
        </is>
      </c>
      <c r="E63" s="4" t="inlineStr">
        <is>
          <t>SERVIÇOS INICIAIS</t>
        </is>
      </c>
      <c r="F63" s="126" t="n">
        <v>45980</v>
      </c>
      <c r="G63" s="126" t="n">
        <v>45980</v>
      </c>
      <c r="H63" s="126" t="n">
        <v>46289</v>
      </c>
      <c r="I63" s="4" t="n">
        <v>100</v>
      </c>
      <c r="J63" s="4" t="n">
        <v>100</v>
      </c>
      <c r="K63" s="4" t="n">
        <v>100</v>
      </c>
      <c r="M63" s="2">
        <f>IF(C63="","",IFERROR(INDEX($S$5:$S$304,MATCH(C63,$R$5:$R$304,0))&amp;"","?"))</f>
        <v/>
      </c>
      <c r="N63" s="2">
        <f>IF(E63="","",IF(ISNUMBER(SEARCH("SUBSOLO",E63)),IFERROR(-VALUE(LEFT(E63,FIND("º",SUBSTITUTE(E63,"°","º"))-1)),-1),IF(LEFT(E63,6)="TÉRREO",0,IFERROR(VALUE(LEFT(E63,FIND("º",SUBSTITUTE(E63,"°","º"))-1)),""))))</f>
        <v/>
      </c>
      <c r="O63" s="2">
        <f>IF(OR(F63="",G63=""),"",IF(G63&lt;='RETRATO 2027'!$K$5,"CONCLUÍDA",IF(F63&lt;='RETRATO 2027'!$K$5,"EM ANDAMENTO","A INICIAR")))</f>
        <v/>
      </c>
      <c r="R63" s="4" t="inlineStr">
        <is>
          <t>DISTRIBUIÇÃO HIDRÁULICA</t>
        </is>
      </c>
      <c r="S63" s="4" t="inlineStr">
        <is>
          <t>21</t>
        </is>
      </c>
      <c r="T63" s="4" t="inlineStr">
        <is>
          <t>Distribuição hidráulica</t>
        </is>
      </c>
      <c r="U63" s="4" t="inlineStr">
        <is>
          <t>SIM</t>
        </is>
      </c>
      <c r="V63" s="2">
        <f>IF(R63="","",COUNTIF($C$5:$C$6004,R63))</f>
        <v/>
      </c>
      <c r="W63" s="2">
        <f>IF(R63="","",COUNTIFS($C$5:$C$6004,R63,$O$5:$O$6004,"CONCLUÍDA"))</f>
        <v/>
      </c>
      <c r="X63" s="2">
        <f>IF(R63="","",COUNTIFS($C$5:$C$6004,R63,$O$5:$O$6004,"EM ANDAMENTO"))</f>
        <v/>
      </c>
      <c r="Y63" s="2">
        <f>IF(R63="","",IF(COUNTIFS($C$5:$C$6004,R63,$O$5:$O$6004,"CONCLUÍDA",$N$5:$N$6004,"&gt;=-99")=0,"",_xlfn.MAXIFS($N$5:$N$6004,$C$5:$C$6004,R63,$O$5:$O$6004,"CONCLUÍDA")))</f>
        <v/>
      </c>
      <c r="Z63" s="2">
        <f>IF(R63="","",IF(COUNTIFS($C$5:$C$6004,R63,$O$5:$O$6004,"EM ANDAMENTO",$N$5:$N$6004,"&gt;=-99")=0,"",_xlfn.MAXIFS($N$5:$N$6004,$C$5:$C$6004,R63,$O$5:$O$6004,"EM ANDAMENTO")))</f>
        <v/>
      </c>
      <c r="AA63" s="2">
        <f>IF(OR(R63="",S63="",U63&lt;&gt;"SIM",V63=0),"",IF(W63+X63=0,"",T63&amp;": "&amp;IF(W63=V63,"concluído",IF(W63=0,"em execução"&amp;IF(Z63&lt;&gt;""," ("&amp;IF(Z63&lt;0,IF(COUNTIF($E$5:$E$6004,"SUBSOLO*")&gt;0,"subsolo",-Z63&amp;"º subsolo"),IF(Z63=0,"térreo",Z63&amp;"º pav."))&amp;")",""),IF(Y63&lt;&gt;"","até "&amp;IF(Y63&lt;0,IF(COUNTIF($E$5:$E$6004,"SUBSOLO*")&gt;0,"subsolo",-Y63&amp;"º subsolo"),IF(Y63=0,"térreo",Y63&amp;"º pav.")),W63&amp;" de "&amp;V63&amp;" concluídas")&amp;IF(Z63="","",IF(OR(Y63="",Z63&gt;Y63),", executando "&amp;IF(Z63&lt;0,IF(COUNTIF($E$5:$E$6004,"SUBSOLO*")&gt;0,"subsolo",-Z63&amp;"º subsolo"),IF(Z63=0,"térreo",Z63&amp;"º pav."))," (restam serviços no "&amp;IF(Z63&lt;0,IF(COUNTIF($E$5:$E$6004,"SUBSOLO*")&gt;0,"subsolo",-Z63&amp;"º subsolo"),IF(Z63=0,"térreo",Z63&amp;"º pav."))&amp;")"))))))</f>
        <v/>
      </c>
    </row>
    <row r="64">
      <c r="B64" s="4" t="n">
        <v>13584644</v>
      </c>
      <c r="C64" s="4" t="inlineStr">
        <is>
          <t>FUNDAÇÃO PROFUNDA</t>
        </is>
      </c>
      <c r="D64" s="4" t="inlineStr">
        <is>
          <t>P145B e P901AD</t>
        </is>
      </c>
      <c r="E64" s="4" t="inlineStr">
        <is>
          <t>SERVIÇOS INICIAIS</t>
        </is>
      </c>
      <c r="F64" s="126" t="n">
        <v>45982</v>
      </c>
      <c r="G64" s="126" t="n">
        <v>45982</v>
      </c>
      <c r="H64" s="126" t="n">
        <v>46289</v>
      </c>
      <c r="I64" s="4" t="n">
        <v>100</v>
      </c>
      <c r="J64" s="4" t="n">
        <v>100</v>
      </c>
      <c r="K64" s="4" t="n">
        <v>100</v>
      </c>
      <c r="M64" s="2">
        <f>IF(C64="","",IFERROR(INDEX($S$5:$S$304,MATCH(C64,$R$5:$R$304,0))&amp;"","?"))</f>
        <v/>
      </c>
      <c r="N64" s="2">
        <f>IF(E64="","",IF(ISNUMBER(SEARCH("SUBSOLO",E64)),IFERROR(-VALUE(LEFT(E64,FIND("º",SUBSTITUTE(E64,"°","º"))-1)),-1),IF(LEFT(E64,6)="TÉRREO",0,IFERROR(VALUE(LEFT(E64,FIND("º",SUBSTITUTE(E64,"°","º"))-1)),""))))</f>
        <v/>
      </c>
      <c r="O64" s="2">
        <f>IF(OR(F64="",G64=""),"",IF(G64&lt;='RETRATO 2027'!$K$5,"CONCLUÍDA",IF(F64&lt;='RETRATO 2027'!$K$5,"EM ANDAMENTO","A INICIAR")))</f>
        <v/>
      </c>
      <c r="R64" s="4" t="inlineStr">
        <is>
          <t>DRYWALL 1º FACE</t>
        </is>
      </c>
      <c r="S64" s="4" t="inlineStr">
        <is>
          <t>18</t>
        </is>
      </c>
      <c r="T64" s="4" t="inlineStr">
        <is>
          <t>Drywall 1ª face</t>
        </is>
      </c>
      <c r="U64" s="4" t="inlineStr">
        <is>
          <t>SIM</t>
        </is>
      </c>
      <c r="V64" s="2">
        <f>IF(R64="","",COUNTIF($C$5:$C$6004,R64))</f>
        <v/>
      </c>
      <c r="W64" s="2">
        <f>IF(R64="","",COUNTIFS($C$5:$C$6004,R64,$O$5:$O$6004,"CONCLUÍDA"))</f>
        <v/>
      </c>
      <c r="X64" s="2">
        <f>IF(R64="","",COUNTIFS($C$5:$C$6004,R64,$O$5:$O$6004,"EM ANDAMENTO"))</f>
        <v/>
      </c>
      <c r="Y64" s="2">
        <f>IF(R64="","",IF(COUNTIFS($C$5:$C$6004,R64,$O$5:$O$6004,"CONCLUÍDA",$N$5:$N$6004,"&gt;=-99")=0,"",_xlfn.MAXIFS($N$5:$N$6004,$C$5:$C$6004,R64,$O$5:$O$6004,"CONCLUÍDA")))</f>
        <v/>
      </c>
      <c r="Z64" s="2">
        <f>IF(R64="","",IF(COUNTIFS($C$5:$C$6004,R64,$O$5:$O$6004,"EM ANDAMENTO",$N$5:$N$6004,"&gt;=-99")=0,"",_xlfn.MAXIFS($N$5:$N$6004,$C$5:$C$6004,R64,$O$5:$O$6004,"EM ANDAMENTO")))</f>
        <v/>
      </c>
      <c r="AA64" s="2">
        <f>IF(OR(R64="",S64="",U64&lt;&gt;"SIM",V64=0),"",IF(W64+X64=0,"",T64&amp;": "&amp;IF(W64=V64,"concluído",IF(W64=0,"em execução"&amp;IF(Z64&lt;&gt;""," ("&amp;IF(Z64&lt;0,IF(COUNTIF($E$5:$E$6004,"SUBSOLO*")&gt;0,"subsolo",-Z64&amp;"º subsolo"),IF(Z64=0,"térreo",Z64&amp;"º pav."))&amp;")",""),IF(Y64&lt;&gt;"","até "&amp;IF(Y64&lt;0,IF(COUNTIF($E$5:$E$6004,"SUBSOLO*")&gt;0,"subsolo",-Y64&amp;"º subsolo"),IF(Y64=0,"térreo",Y64&amp;"º pav.")),W64&amp;" de "&amp;V64&amp;" concluídas")&amp;IF(Z64="","",IF(OR(Y64="",Z64&gt;Y64),", executando "&amp;IF(Z64&lt;0,IF(COUNTIF($E$5:$E$6004,"SUBSOLO*")&gt;0,"subsolo",-Z64&amp;"º subsolo"),IF(Z64=0,"térreo",Z64&amp;"º pav."))," (restam serviços no "&amp;IF(Z64&lt;0,IF(COUNTIF($E$5:$E$6004,"SUBSOLO*")&gt;0,"subsolo",-Z64&amp;"º subsolo"),IF(Z64=0,"térreo",Z64&amp;"º pav."))&amp;")"))))))</f>
        <v/>
      </c>
    </row>
    <row r="65">
      <c r="B65" s="4" t="n">
        <v>13584645</v>
      </c>
      <c r="C65" s="4" t="inlineStr">
        <is>
          <t>FUNDAÇÃO PROFUNDA</t>
        </is>
      </c>
      <c r="D65" s="4" t="inlineStr">
        <is>
          <t>P901C e P901AE</t>
        </is>
      </c>
      <c r="E65" s="4" t="inlineStr">
        <is>
          <t>SERVIÇOS INICIAIS</t>
        </is>
      </c>
      <c r="F65" s="126" t="n">
        <v>45985</v>
      </c>
      <c r="G65" s="126" t="n">
        <v>45985</v>
      </c>
      <c r="H65" s="126" t="n">
        <v>46289</v>
      </c>
      <c r="I65" s="4" t="n">
        <v>100</v>
      </c>
      <c r="J65" s="4" t="n">
        <v>100</v>
      </c>
      <c r="K65" s="4" t="n">
        <v>100</v>
      </c>
      <c r="M65" s="2">
        <f>IF(C65="","",IFERROR(INDEX($S$5:$S$304,MATCH(C65,$R$5:$R$304,0))&amp;"","?"))</f>
        <v/>
      </c>
      <c r="N65" s="2">
        <f>IF(E65="","",IF(ISNUMBER(SEARCH("SUBSOLO",E65)),IFERROR(-VALUE(LEFT(E65,FIND("º",SUBSTITUTE(E65,"°","º"))-1)),-1),IF(LEFT(E65,6)="TÉRREO",0,IFERROR(VALUE(LEFT(E65,FIND("º",SUBSTITUTE(E65,"°","º"))-1)),""))))</f>
        <v/>
      </c>
      <c r="O65" s="2">
        <f>IF(OR(F65="",G65=""),"",IF(G65&lt;='RETRATO 2027'!$K$5,"CONCLUÍDA",IF(F65&lt;='RETRATO 2027'!$K$5,"EM ANDAMENTO","A INICIAR")))</f>
        <v/>
      </c>
      <c r="R65" s="4" t="inlineStr">
        <is>
          <t>DISTRIBUIÇÃO DE GÁS - DRYWALL</t>
        </is>
      </c>
      <c r="S65" s="4" t="inlineStr">
        <is>
          <t>21</t>
        </is>
      </c>
      <c r="T65" s="4" t="inlineStr">
        <is>
          <t>Distribuição de gás - drywall</t>
        </is>
      </c>
      <c r="U65" s="4" t="inlineStr">
        <is>
          <t>SIM</t>
        </is>
      </c>
      <c r="V65" s="2">
        <f>IF(R65="","",COUNTIF($C$5:$C$6004,R65))</f>
        <v/>
      </c>
      <c r="W65" s="2">
        <f>IF(R65="","",COUNTIFS($C$5:$C$6004,R65,$O$5:$O$6004,"CONCLUÍDA"))</f>
        <v/>
      </c>
      <c r="X65" s="2">
        <f>IF(R65="","",COUNTIFS($C$5:$C$6004,R65,$O$5:$O$6004,"EM ANDAMENTO"))</f>
        <v/>
      </c>
      <c r="Y65" s="2">
        <f>IF(R65="","",IF(COUNTIFS($C$5:$C$6004,R65,$O$5:$O$6004,"CONCLUÍDA",$N$5:$N$6004,"&gt;=-99")=0,"",_xlfn.MAXIFS($N$5:$N$6004,$C$5:$C$6004,R65,$O$5:$O$6004,"CONCLUÍDA")))</f>
        <v/>
      </c>
      <c r="Z65" s="2">
        <f>IF(R65="","",IF(COUNTIFS($C$5:$C$6004,R65,$O$5:$O$6004,"EM ANDAMENTO",$N$5:$N$6004,"&gt;=-99")=0,"",_xlfn.MAXIFS($N$5:$N$6004,$C$5:$C$6004,R65,$O$5:$O$6004,"EM ANDAMENTO")))</f>
        <v/>
      </c>
      <c r="AA65" s="2">
        <f>IF(OR(R65="",S65="",U65&lt;&gt;"SIM",V65=0),"",IF(W65+X65=0,"",T65&amp;": "&amp;IF(W65=V65,"concluído",IF(W65=0,"em execução"&amp;IF(Z65&lt;&gt;""," ("&amp;IF(Z65&lt;0,IF(COUNTIF($E$5:$E$6004,"SUBSOLO*")&gt;0,"subsolo",-Z65&amp;"º subsolo"),IF(Z65=0,"térreo",Z65&amp;"º pav."))&amp;")",""),IF(Y65&lt;&gt;"","até "&amp;IF(Y65&lt;0,IF(COUNTIF($E$5:$E$6004,"SUBSOLO*")&gt;0,"subsolo",-Y65&amp;"º subsolo"),IF(Y65=0,"térreo",Y65&amp;"º pav.")),W65&amp;" de "&amp;V65&amp;" concluídas")&amp;IF(Z65="","",IF(OR(Y65="",Z65&gt;Y65),", executando "&amp;IF(Z65&lt;0,IF(COUNTIF($E$5:$E$6004,"SUBSOLO*")&gt;0,"subsolo",-Z65&amp;"º subsolo"),IF(Z65=0,"térreo",Z65&amp;"º pav."))," (restam serviços no "&amp;IF(Z65&lt;0,IF(COUNTIF($E$5:$E$6004,"SUBSOLO*")&gt;0,"subsolo",-Z65&amp;"º subsolo"),IF(Z65=0,"térreo",Z65&amp;"º pav."))&amp;")"))))))</f>
        <v/>
      </c>
    </row>
    <row r="66">
      <c r="B66" s="4" t="n">
        <v>13584646</v>
      </c>
      <c r="C66" s="4" t="inlineStr">
        <is>
          <t>FUNDAÇÃO PROFUNDA</t>
        </is>
      </c>
      <c r="D66" s="4" t="inlineStr">
        <is>
          <t>P901D e P145C</t>
        </is>
      </c>
      <c r="E66" s="4" t="inlineStr">
        <is>
          <t>SERVIÇOS INICIAIS</t>
        </is>
      </c>
      <c r="F66" s="126" t="n">
        <v>45986</v>
      </c>
      <c r="G66" s="126" t="n">
        <v>45986</v>
      </c>
      <c r="H66" s="126" t="n">
        <v>46289</v>
      </c>
      <c r="I66" s="4" t="n">
        <v>100</v>
      </c>
      <c r="J66" s="4" t="n">
        <v>100</v>
      </c>
      <c r="K66" s="4" t="n">
        <v>100</v>
      </c>
      <c r="M66" s="2">
        <f>IF(C66="","",IFERROR(INDEX($S$5:$S$304,MATCH(C66,$R$5:$R$304,0))&amp;"","?"))</f>
        <v/>
      </c>
      <c r="N66" s="2">
        <f>IF(E66="","",IF(ISNUMBER(SEARCH("SUBSOLO",E66)),IFERROR(-VALUE(LEFT(E66,FIND("º",SUBSTITUTE(E66,"°","º"))-1)),-1),IF(LEFT(E66,6)="TÉRREO",0,IFERROR(VALUE(LEFT(E66,FIND("º",SUBSTITUTE(E66,"°","º"))-1)),""))))</f>
        <v/>
      </c>
      <c r="O66" s="2">
        <f>IF(OR(F66="",G66=""),"",IF(G66&lt;='RETRATO 2027'!$K$5,"CONCLUÍDA",IF(F66&lt;='RETRATO 2027'!$K$5,"EM ANDAMENTO","A INICIAR")))</f>
        <v/>
      </c>
      <c r="R66" s="4" t="inlineStr">
        <is>
          <t>DISTRIBUIÇÃO ELÉTRICA/QUADRO - DRYWALL</t>
        </is>
      </c>
      <c r="S66" s="4" t="inlineStr">
        <is>
          <t>20</t>
        </is>
      </c>
      <c r="T66" s="4" t="inlineStr">
        <is>
          <t>Distribuição elétrica/quadro - drywall</t>
        </is>
      </c>
      <c r="U66" s="4" t="inlineStr">
        <is>
          <t>SIM</t>
        </is>
      </c>
      <c r="V66" s="2">
        <f>IF(R66="","",COUNTIF($C$5:$C$6004,R66))</f>
        <v/>
      </c>
      <c r="W66" s="2">
        <f>IF(R66="","",COUNTIFS($C$5:$C$6004,R66,$O$5:$O$6004,"CONCLUÍDA"))</f>
        <v/>
      </c>
      <c r="X66" s="2">
        <f>IF(R66="","",COUNTIFS($C$5:$C$6004,R66,$O$5:$O$6004,"EM ANDAMENTO"))</f>
        <v/>
      </c>
      <c r="Y66" s="2">
        <f>IF(R66="","",IF(COUNTIFS($C$5:$C$6004,R66,$O$5:$O$6004,"CONCLUÍDA",$N$5:$N$6004,"&gt;=-99")=0,"",_xlfn.MAXIFS($N$5:$N$6004,$C$5:$C$6004,R66,$O$5:$O$6004,"CONCLUÍDA")))</f>
        <v/>
      </c>
      <c r="Z66" s="2">
        <f>IF(R66="","",IF(COUNTIFS($C$5:$C$6004,R66,$O$5:$O$6004,"EM ANDAMENTO",$N$5:$N$6004,"&gt;=-99")=0,"",_xlfn.MAXIFS($N$5:$N$6004,$C$5:$C$6004,R66,$O$5:$O$6004,"EM ANDAMENTO")))</f>
        <v/>
      </c>
      <c r="AA66" s="2">
        <f>IF(OR(R66="",S66="",U66&lt;&gt;"SIM",V66=0),"",IF(W66+X66=0,"",T66&amp;": "&amp;IF(W66=V66,"concluído",IF(W66=0,"em execução"&amp;IF(Z66&lt;&gt;""," ("&amp;IF(Z66&lt;0,IF(COUNTIF($E$5:$E$6004,"SUBSOLO*")&gt;0,"subsolo",-Z66&amp;"º subsolo"),IF(Z66=0,"térreo",Z66&amp;"º pav."))&amp;")",""),IF(Y66&lt;&gt;"","até "&amp;IF(Y66&lt;0,IF(COUNTIF($E$5:$E$6004,"SUBSOLO*")&gt;0,"subsolo",-Y66&amp;"º subsolo"),IF(Y66=0,"térreo",Y66&amp;"º pav.")),W66&amp;" de "&amp;V66&amp;" concluídas")&amp;IF(Z66="","",IF(OR(Y66="",Z66&gt;Y66),", executando "&amp;IF(Z66&lt;0,IF(COUNTIF($E$5:$E$6004,"SUBSOLO*")&gt;0,"subsolo",-Z66&amp;"º subsolo"),IF(Z66=0,"térreo",Z66&amp;"º pav."))," (restam serviços no "&amp;IF(Z66&lt;0,IF(COUNTIF($E$5:$E$6004,"SUBSOLO*")&gt;0,"subsolo",-Z66&amp;"º subsolo"),IF(Z66=0,"térreo",Z66&amp;"º pav."))&amp;")"))))))</f>
        <v/>
      </c>
    </row>
    <row r="67">
      <c r="B67" s="4" t="n">
        <v>13584647</v>
      </c>
      <c r="C67" s="4" t="inlineStr">
        <is>
          <t>FUNDAÇÃO PROFUNDA</t>
        </is>
      </c>
      <c r="D67" s="4" t="inlineStr">
        <is>
          <t>P901AF e P901E</t>
        </is>
      </c>
      <c r="E67" s="4" t="inlineStr">
        <is>
          <t>SERVIÇOS INICIAIS</t>
        </is>
      </c>
      <c r="F67" s="126" t="n">
        <v>45987</v>
      </c>
      <c r="G67" s="126" t="n">
        <v>45987</v>
      </c>
      <c r="H67" s="126" t="n">
        <v>46289</v>
      </c>
      <c r="I67" s="4" t="n">
        <v>100</v>
      </c>
      <c r="J67" s="4" t="n">
        <v>100</v>
      </c>
      <c r="K67" s="4" t="n">
        <v>100</v>
      </c>
      <c r="M67" s="2">
        <f>IF(C67="","",IFERROR(INDEX($S$5:$S$304,MATCH(C67,$R$5:$R$304,0))&amp;"","?"))</f>
        <v/>
      </c>
      <c r="N67" s="2">
        <f>IF(E67="","",IF(ISNUMBER(SEARCH("SUBSOLO",E67)),IFERROR(-VALUE(LEFT(E67,FIND("º",SUBSTITUTE(E67,"°","º"))-1)),-1),IF(LEFT(E67,6)="TÉRREO",0,IFERROR(VALUE(LEFT(E67,FIND("º",SUBSTITUTE(E67,"°","º"))-1)),""))))</f>
        <v/>
      </c>
      <c r="O67" s="2">
        <f>IF(OR(F67="",G67=""),"",IF(G67&lt;='RETRATO 2027'!$K$5,"CONCLUÍDA",IF(F67&lt;='RETRATO 2027'!$K$5,"EM ANDAMENTO","A INICIAR")))</f>
        <v/>
      </c>
      <c r="R67" s="4" t="inlineStr">
        <is>
          <t>DISTRIBUIÇÃO HIDRÁULICA - DRYWALL</t>
        </is>
      </c>
      <c r="S67" s="4" t="inlineStr">
        <is>
          <t>21</t>
        </is>
      </c>
      <c r="T67" s="4" t="inlineStr">
        <is>
          <t>Distribuição hidráulica - drywall</t>
        </is>
      </c>
      <c r="U67" s="4" t="inlineStr">
        <is>
          <t>SIM</t>
        </is>
      </c>
      <c r="V67" s="2">
        <f>IF(R67="","",COUNTIF($C$5:$C$6004,R67))</f>
        <v/>
      </c>
      <c r="W67" s="2">
        <f>IF(R67="","",COUNTIFS($C$5:$C$6004,R67,$O$5:$O$6004,"CONCLUÍDA"))</f>
        <v/>
      </c>
      <c r="X67" s="2">
        <f>IF(R67="","",COUNTIFS($C$5:$C$6004,R67,$O$5:$O$6004,"EM ANDAMENTO"))</f>
        <v/>
      </c>
      <c r="Y67" s="2">
        <f>IF(R67="","",IF(COUNTIFS($C$5:$C$6004,R67,$O$5:$O$6004,"CONCLUÍDA",$N$5:$N$6004,"&gt;=-99")=0,"",_xlfn.MAXIFS($N$5:$N$6004,$C$5:$C$6004,R67,$O$5:$O$6004,"CONCLUÍDA")))</f>
        <v/>
      </c>
      <c r="Z67" s="2">
        <f>IF(R67="","",IF(COUNTIFS($C$5:$C$6004,R67,$O$5:$O$6004,"EM ANDAMENTO",$N$5:$N$6004,"&gt;=-99")=0,"",_xlfn.MAXIFS($N$5:$N$6004,$C$5:$C$6004,R67,$O$5:$O$6004,"EM ANDAMENTO")))</f>
        <v/>
      </c>
      <c r="AA67" s="2">
        <f>IF(OR(R67="",S67="",U67&lt;&gt;"SIM",V67=0),"",IF(W67+X67=0,"",T67&amp;": "&amp;IF(W67=V67,"concluído",IF(W67=0,"em execução"&amp;IF(Z67&lt;&gt;""," ("&amp;IF(Z67&lt;0,IF(COUNTIF($E$5:$E$6004,"SUBSOLO*")&gt;0,"subsolo",-Z67&amp;"º subsolo"),IF(Z67=0,"térreo",Z67&amp;"º pav."))&amp;")",""),IF(Y67&lt;&gt;"","até "&amp;IF(Y67&lt;0,IF(COUNTIF($E$5:$E$6004,"SUBSOLO*")&gt;0,"subsolo",-Y67&amp;"º subsolo"),IF(Y67=0,"térreo",Y67&amp;"º pav.")),W67&amp;" de "&amp;V67&amp;" concluídas")&amp;IF(Z67="","",IF(OR(Y67="",Z67&gt;Y67),", executando "&amp;IF(Z67&lt;0,IF(COUNTIF($E$5:$E$6004,"SUBSOLO*")&gt;0,"subsolo",-Z67&amp;"º subsolo"),IF(Z67=0,"térreo",Z67&amp;"º pav."))," (restam serviços no "&amp;IF(Z67&lt;0,IF(COUNTIF($E$5:$E$6004,"SUBSOLO*")&gt;0,"subsolo",-Z67&amp;"º subsolo"),IF(Z67=0,"térreo",Z67&amp;"º pav."))&amp;")"))))))</f>
        <v/>
      </c>
    </row>
    <row r="68">
      <c r="B68" s="4" t="n">
        <v>13584648</v>
      </c>
      <c r="C68" s="4" t="inlineStr">
        <is>
          <t>FUNDAÇÃO PROFUNDA</t>
        </is>
      </c>
      <c r="D68" s="4" t="inlineStr">
        <is>
          <t>P901AH e P901N</t>
        </is>
      </c>
      <c r="E68" s="4" t="inlineStr">
        <is>
          <t>SERVIÇOS INICIAIS</t>
        </is>
      </c>
      <c r="F68" s="126" t="n">
        <v>45988</v>
      </c>
      <c r="G68" s="126" t="n">
        <v>45988</v>
      </c>
      <c r="H68" s="126" t="n">
        <v>46289</v>
      </c>
      <c r="I68" s="4" t="n">
        <v>100</v>
      </c>
      <c r="J68" s="4" t="n">
        <v>100</v>
      </c>
      <c r="K68" s="4" t="n">
        <v>100</v>
      </c>
      <c r="M68" s="2">
        <f>IF(C68="","",IFERROR(INDEX($S$5:$S$304,MATCH(C68,$R$5:$R$304,0))&amp;"","?"))</f>
        <v/>
      </c>
      <c r="N68" s="2">
        <f>IF(E68="","",IF(ISNUMBER(SEARCH("SUBSOLO",E68)),IFERROR(-VALUE(LEFT(E68,FIND("º",SUBSTITUTE(E68,"°","º"))-1)),-1),IF(LEFT(E68,6)="TÉRREO",0,IFERROR(VALUE(LEFT(E68,FIND("º",SUBSTITUTE(E68,"°","º"))-1)),""))))</f>
        <v/>
      </c>
      <c r="O68" s="2">
        <f>IF(OR(F68="",G68=""),"",IF(G68&lt;='RETRATO 2027'!$K$5,"CONCLUÍDA",IF(F68&lt;='RETRATO 2027'!$K$5,"EM ANDAMENTO","A INICIAR")))</f>
        <v/>
      </c>
      <c r="R68" s="4" t="inlineStr">
        <is>
          <t>INFRAESTRUTURA - AR CONDICIONADO</t>
        </is>
      </c>
      <c r="S68" s="4" t="inlineStr">
        <is>
          <t>23</t>
        </is>
      </c>
      <c r="T68" s="4" t="inlineStr">
        <is>
          <t>Infraestrutura - ar condicionado</t>
        </is>
      </c>
      <c r="U68" s="4" t="inlineStr">
        <is>
          <t>SIM</t>
        </is>
      </c>
      <c r="V68" s="2">
        <f>IF(R68="","",COUNTIF($C$5:$C$6004,R68))</f>
        <v/>
      </c>
      <c r="W68" s="2">
        <f>IF(R68="","",COUNTIFS($C$5:$C$6004,R68,$O$5:$O$6004,"CONCLUÍDA"))</f>
        <v/>
      </c>
      <c r="X68" s="2">
        <f>IF(R68="","",COUNTIFS($C$5:$C$6004,R68,$O$5:$O$6004,"EM ANDAMENTO"))</f>
        <v/>
      </c>
      <c r="Y68" s="2">
        <f>IF(R68="","",IF(COUNTIFS($C$5:$C$6004,R68,$O$5:$O$6004,"CONCLUÍDA",$N$5:$N$6004,"&gt;=-99")=0,"",_xlfn.MAXIFS($N$5:$N$6004,$C$5:$C$6004,R68,$O$5:$O$6004,"CONCLUÍDA")))</f>
        <v/>
      </c>
      <c r="Z68" s="2">
        <f>IF(R68="","",IF(COUNTIFS($C$5:$C$6004,R68,$O$5:$O$6004,"EM ANDAMENTO",$N$5:$N$6004,"&gt;=-99")=0,"",_xlfn.MAXIFS($N$5:$N$6004,$C$5:$C$6004,R68,$O$5:$O$6004,"EM ANDAMENTO")))</f>
        <v/>
      </c>
      <c r="AA68" s="2">
        <f>IF(OR(R68="",S68="",U68&lt;&gt;"SIM",V68=0),"",IF(W68+X68=0,"",T68&amp;": "&amp;IF(W68=V68,"concluído",IF(W68=0,"em execução"&amp;IF(Z68&lt;&gt;""," ("&amp;IF(Z68&lt;0,IF(COUNTIF($E$5:$E$6004,"SUBSOLO*")&gt;0,"subsolo",-Z68&amp;"º subsolo"),IF(Z68=0,"térreo",Z68&amp;"º pav."))&amp;")",""),IF(Y68&lt;&gt;"","até "&amp;IF(Y68&lt;0,IF(COUNTIF($E$5:$E$6004,"SUBSOLO*")&gt;0,"subsolo",-Y68&amp;"º subsolo"),IF(Y68=0,"térreo",Y68&amp;"º pav.")),W68&amp;" de "&amp;V68&amp;" concluídas")&amp;IF(Z68="","",IF(OR(Y68="",Z68&gt;Y68),", executando "&amp;IF(Z68&lt;0,IF(COUNTIF($E$5:$E$6004,"SUBSOLO*")&gt;0,"subsolo",-Z68&amp;"º subsolo"),IF(Z68=0,"térreo",Z68&amp;"º pav."))," (restam serviços no "&amp;IF(Z68&lt;0,IF(COUNTIF($E$5:$E$6004,"SUBSOLO*")&gt;0,"subsolo",-Z68&amp;"º subsolo"),IF(Z68=0,"térreo",Z68&amp;"º pav."))&amp;")"))))))</f>
        <v/>
      </c>
    </row>
    <row r="69">
      <c r="B69" s="4" t="n">
        <v>13584649</v>
      </c>
      <c r="C69" s="4" t="inlineStr">
        <is>
          <t>FUNDAÇÃO PROFUNDA</t>
        </is>
      </c>
      <c r="D69" s="4" t="inlineStr">
        <is>
          <t>P901K e P901X</t>
        </is>
      </c>
      <c r="E69" s="4" t="inlineStr">
        <is>
          <t>SERVIÇOS INICIAIS</t>
        </is>
      </c>
      <c r="F69" s="126" t="n">
        <v>45989</v>
      </c>
      <c r="G69" s="126" t="n">
        <v>45989</v>
      </c>
      <c r="H69" s="126" t="n">
        <v>46289</v>
      </c>
      <c r="I69" s="4" t="n">
        <v>100</v>
      </c>
      <c r="J69" s="4" t="n">
        <v>100</v>
      </c>
      <c r="K69" s="4" t="n">
        <v>100</v>
      </c>
      <c r="M69" s="2">
        <f>IF(C69="","",IFERROR(INDEX($S$5:$S$304,MATCH(C69,$R$5:$R$304,0))&amp;"","?"))</f>
        <v/>
      </c>
      <c r="N69" s="2">
        <f>IF(E69="","",IF(ISNUMBER(SEARCH("SUBSOLO",E69)),IFERROR(-VALUE(LEFT(E69,FIND("º",SUBSTITUTE(E69,"°","º"))-1)),-1),IF(LEFT(E69,6)="TÉRREO",0,IFERROR(VALUE(LEFT(E69,FIND("º",SUBSTITUTE(E69,"°","º"))-1)),""))))</f>
        <v/>
      </c>
      <c r="O69" s="2">
        <f>IF(OR(F69="",G69=""),"",IF(G69&lt;='RETRATO 2027'!$K$5,"CONCLUÍDA",IF(F69&lt;='RETRATO 2027'!$K$5,"EM ANDAMENTO","A INICIAR")))</f>
        <v/>
      </c>
      <c r="R69" s="4" t="inlineStr">
        <is>
          <t>DRYWALL 2º FACE</t>
        </is>
      </c>
      <c r="S69" s="4" t="inlineStr">
        <is>
          <t>18</t>
        </is>
      </c>
      <c r="T69" s="4" t="inlineStr">
        <is>
          <t>Drywall 2ª face</t>
        </is>
      </c>
      <c r="U69" s="4" t="inlineStr">
        <is>
          <t>SIM</t>
        </is>
      </c>
      <c r="V69" s="2">
        <f>IF(R69="","",COUNTIF($C$5:$C$6004,R69))</f>
        <v/>
      </c>
      <c r="W69" s="2">
        <f>IF(R69="","",COUNTIFS($C$5:$C$6004,R69,$O$5:$O$6004,"CONCLUÍDA"))</f>
        <v/>
      </c>
      <c r="X69" s="2">
        <f>IF(R69="","",COUNTIFS($C$5:$C$6004,R69,$O$5:$O$6004,"EM ANDAMENTO"))</f>
        <v/>
      </c>
      <c r="Y69" s="2">
        <f>IF(R69="","",IF(COUNTIFS($C$5:$C$6004,R69,$O$5:$O$6004,"CONCLUÍDA",$N$5:$N$6004,"&gt;=-99")=0,"",_xlfn.MAXIFS($N$5:$N$6004,$C$5:$C$6004,R69,$O$5:$O$6004,"CONCLUÍDA")))</f>
        <v/>
      </c>
      <c r="Z69" s="2">
        <f>IF(R69="","",IF(COUNTIFS($C$5:$C$6004,R69,$O$5:$O$6004,"EM ANDAMENTO",$N$5:$N$6004,"&gt;=-99")=0,"",_xlfn.MAXIFS($N$5:$N$6004,$C$5:$C$6004,R69,$O$5:$O$6004,"EM ANDAMENTO")))</f>
        <v/>
      </c>
      <c r="AA69" s="2">
        <f>IF(OR(R69="",S69="",U69&lt;&gt;"SIM",V69=0),"",IF(W69+X69=0,"",T69&amp;": "&amp;IF(W69=V69,"concluído",IF(W69=0,"em execução"&amp;IF(Z69&lt;&gt;""," ("&amp;IF(Z69&lt;0,IF(COUNTIF($E$5:$E$6004,"SUBSOLO*")&gt;0,"subsolo",-Z69&amp;"º subsolo"),IF(Z69=0,"térreo",Z69&amp;"º pav."))&amp;")",""),IF(Y69&lt;&gt;"","até "&amp;IF(Y69&lt;0,IF(COUNTIF($E$5:$E$6004,"SUBSOLO*")&gt;0,"subsolo",-Y69&amp;"º subsolo"),IF(Y69=0,"térreo",Y69&amp;"º pav.")),W69&amp;" de "&amp;V69&amp;" concluídas")&amp;IF(Z69="","",IF(OR(Y69="",Z69&gt;Y69),", executando "&amp;IF(Z69&lt;0,IF(COUNTIF($E$5:$E$6004,"SUBSOLO*")&gt;0,"subsolo",-Z69&amp;"º subsolo"),IF(Z69=0,"térreo",Z69&amp;"º pav."))," (restam serviços no "&amp;IF(Z69&lt;0,IF(COUNTIF($E$5:$E$6004,"SUBSOLO*")&gt;0,"subsolo",-Z69&amp;"º subsolo"),IF(Z69=0,"térreo",Z69&amp;"º pav."))&amp;")"))))))</f>
        <v/>
      </c>
    </row>
    <row r="70">
      <c r="B70" s="4" t="n">
        <v>13584650</v>
      </c>
      <c r="C70" s="4" t="inlineStr">
        <is>
          <t>FUNDAÇÃO PROFUNDA</t>
        </is>
      </c>
      <c r="D70" s="4" t="inlineStr">
        <is>
          <t xml:space="preserve">P10A </t>
        </is>
      </c>
      <c r="E70" s="4" t="inlineStr">
        <is>
          <t>SERVIÇOS INICIAIS</t>
        </is>
      </c>
      <c r="F70" s="126" t="n">
        <v>45992</v>
      </c>
      <c r="G70" s="126" t="n">
        <v>45992</v>
      </c>
      <c r="H70" s="126" t="n">
        <v>46289</v>
      </c>
      <c r="I70" s="4" t="n">
        <v>100</v>
      </c>
      <c r="J70" s="4" t="n">
        <v>100</v>
      </c>
      <c r="K70" s="4" t="n">
        <v>100</v>
      </c>
      <c r="M70" s="2">
        <f>IF(C70="","",IFERROR(INDEX($S$5:$S$304,MATCH(C70,$R$5:$R$304,0))&amp;"","?"))</f>
        <v/>
      </c>
      <c r="N70" s="2">
        <f>IF(E70="","",IF(ISNUMBER(SEARCH("SUBSOLO",E70)),IFERROR(-VALUE(LEFT(E70,FIND("º",SUBSTITUTE(E70,"°","º"))-1)),-1),IF(LEFT(E70,6)="TÉRREO",0,IFERROR(VALUE(LEFT(E70,FIND("º",SUBSTITUTE(E70,"°","º"))-1)),""))))</f>
        <v/>
      </c>
      <c r="O70" s="2">
        <f>IF(OR(F70="",G70=""),"",IF(G70&lt;='RETRATO 2027'!$K$5,"CONCLUÍDA",IF(F70&lt;='RETRATO 2027'!$K$5,"EM ANDAMENTO","A INICIAR")))</f>
        <v/>
      </c>
      <c r="R70" s="4" t="inlineStr">
        <is>
          <t>SERRALHERIA</t>
        </is>
      </c>
      <c r="S70" s="4" t="inlineStr">
        <is>
          <t>26</t>
        </is>
      </c>
      <c r="T70" s="4" t="inlineStr">
        <is>
          <t>Serralheria</t>
        </is>
      </c>
      <c r="U70" s="4" t="inlineStr">
        <is>
          <t>SIM</t>
        </is>
      </c>
      <c r="V70" s="2">
        <f>IF(R70="","",COUNTIF($C$5:$C$6004,R70))</f>
        <v/>
      </c>
      <c r="W70" s="2">
        <f>IF(R70="","",COUNTIFS($C$5:$C$6004,R70,$O$5:$O$6004,"CONCLUÍDA"))</f>
        <v/>
      </c>
      <c r="X70" s="2">
        <f>IF(R70="","",COUNTIFS($C$5:$C$6004,R70,$O$5:$O$6004,"EM ANDAMENTO"))</f>
        <v/>
      </c>
      <c r="Y70" s="2">
        <f>IF(R70="","",IF(COUNTIFS($C$5:$C$6004,R70,$O$5:$O$6004,"CONCLUÍDA",$N$5:$N$6004,"&gt;=-99")=0,"",_xlfn.MAXIFS($N$5:$N$6004,$C$5:$C$6004,R70,$O$5:$O$6004,"CONCLUÍDA")))</f>
        <v/>
      </c>
      <c r="Z70" s="2">
        <f>IF(R70="","",IF(COUNTIFS($C$5:$C$6004,R70,$O$5:$O$6004,"EM ANDAMENTO",$N$5:$N$6004,"&gt;=-99")=0,"",_xlfn.MAXIFS($N$5:$N$6004,$C$5:$C$6004,R70,$O$5:$O$6004,"EM ANDAMENTO")))</f>
        <v/>
      </c>
      <c r="AA70" s="2">
        <f>IF(OR(R70="",S70="",U70&lt;&gt;"SIM",V70=0),"",IF(W70+X70=0,"",T70&amp;": "&amp;IF(W70=V70,"concluído",IF(W70=0,"em execução"&amp;IF(Z70&lt;&gt;""," ("&amp;IF(Z70&lt;0,IF(COUNTIF($E$5:$E$6004,"SUBSOLO*")&gt;0,"subsolo",-Z70&amp;"º subsolo"),IF(Z70=0,"térreo",Z70&amp;"º pav."))&amp;")",""),IF(Y70&lt;&gt;"","até "&amp;IF(Y70&lt;0,IF(COUNTIF($E$5:$E$6004,"SUBSOLO*")&gt;0,"subsolo",-Y70&amp;"º subsolo"),IF(Y70=0,"térreo",Y70&amp;"º pav.")),W70&amp;" de "&amp;V70&amp;" concluídas")&amp;IF(Z70="","",IF(OR(Y70="",Z70&gt;Y70),", executando "&amp;IF(Z70&lt;0,IF(COUNTIF($E$5:$E$6004,"SUBSOLO*")&gt;0,"subsolo",-Z70&amp;"º subsolo"),IF(Z70=0,"térreo",Z70&amp;"º pav."))," (restam serviços no "&amp;IF(Z70&lt;0,IF(COUNTIF($E$5:$E$6004,"SUBSOLO*")&gt;0,"subsolo",-Z70&amp;"º subsolo"),IF(Z70=0,"térreo",Z70&amp;"º pav."))&amp;")"))))))</f>
        <v/>
      </c>
    </row>
    <row r="71">
      <c r="B71" s="4" t="n">
        <v>13584651</v>
      </c>
      <c r="C71" s="4" t="inlineStr">
        <is>
          <t>FUNDAÇÃO PROFUNDA</t>
        </is>
      </c>
      <c r="D71" s="4" t="inlineStr">
        <is>
          <t>P901P e P10C</t>
        </is>
      </c>
      <c r="E71" s="4" t="inlineStr">
        <is>
          <t>SERVIÇOS INICIAIS</t>
        </is>
      </c>
      <c r="F71" s="126" t="n">
        <v>45993</v>
      </c>
      <c r="G71" s="126" t="n">
        <v>45993</v>
      </c>
      <c r="H71" s="126" t="n">
        <v>46289</v>
      </c>
      <c r="I71" s="4" t="n">
        <v>100</v>
      </c>
      <c r="J71" s="4" t="n">
        <v>100</v>
      </c>
      <c r="K71" s="4" t="n">
        <v>100</v>
      </c>
      <c r="M71" s="2">
        <f>IF(C71="","",IFERROR(INDEX($S$5:$S$304,MATCH(C71,$R$5:$R$304,0))&amp;"","?"))</f>
        <v/>
      </c>
      <c r="N71" s="2">
        <f>IF(E71="","",IF(ISNUMBER(SEARCH("SUBSOLO",E71)),IFERROR(-VALUE(LEFT(E71,FIND("º",SUBSTITUTE(E71,"°","º"))-1)),-1),IF(LEFT(E71,6)="TÉRREO",0,IFERROR(VALUE(LEFT(E71,FIND("º",SUBSTITUTE(E71,"°","º"))-1)),""))))</f>
        <v/>
      </c>
      <c r="O71" s="2">
        <f>IF(OR(F71="",G71=""),"",IF(G71&lt;='RETRATO 2027'!$K$5,"CONCLUÍDA",IF(F71&lt;='RETRATO 2027'!$K$5,"EM ANDAMENTO","A INICIAR")))</f>
        <v/>
      </c>
      <c r="R71" s="4" t="inlineStr">
        <is>
          <t>IMPERMEABILIZAÇÃO</t>
        </is>
      </c>
      <c r="S71" s="4" t="inlineStr">
        <is>
          <t>19</t>
        </is>
      </c>
      <c r="T71" s="4" t="inlineStr">
        <is>
          <t>Impermeabilização</t>
        </is>
      </c>
      <c r="U71" s="4" t="inlineStr">
        <is>
          <t>SIM</t>
        </is>
      </c>
      <c r="V71" s="2">
        <f>IF(R71="","",COUNTIF($C$5:$C$6004,R71))</f>
        <v/>
      </c>
      <c r="W71" s="2">
        <f>IF(R71="","",COUNTIFS($C$5:$C$6004,R71,$O$5:$O$6004,"CONCLUÍDA"))</f>
        <v/>
      </c>
      <c r="X71" s="2">
        <f>IF(R71="","",COUNTIFS($C$5:$C$6004,R71,$O$5:$O$6004,"EM ANDAMENTO"))</f>
        <v/>
      </c>
      <c r="Y71" s="2">
        <f>IF(R71="","",IF(COUNTIFS($C$5:$C$6004,R71,$O$5:$O$6004,"CONCLUÍDA",$N$5:$N$6004,"&gt;=-99")=0,"",_xlfn.MAXIFS($N$5:$N$6004,$C$5:$C$6004,R71,$O$5:$O$6004,"CONCLUÍDA")))</f>
        <v/>
      </c>
      <c r="Z71" s="2">
        <f>IF(R71="","",IF(COUNTIFS($C$5:$C$6004,R71,$O$5:$O$6004,"EM ANDAMENTO",$N$5:$N$6004,"&gt;=-99")=0,"",_xlfn.MAXIFS($N$5:$N$6004,$C$5:$C$6004,R71,$O$5:$O$6004,"EM ANDAMENTO")))</f>
        <v/>
      </c>
      <c r="AA71" s="2">
        <f>IF(OR(R71="",S71="",U71&lt;&gt;"SIM",V71=0),"",IF(W71+X71=0,"",T71&amp;": "&amp;IF(W71=V71,"concluído",IF(W71=0,"em execução"&amp;IF(Z71&lt;&gt;""," ("&amp;IF(Z71&lt;0,IF(COUNTIF($E$5:$E$6004,"SUBSOLO*")&gt;0,"subsolo",-Z71&amp;"º subsolo"),IF(Z71=0,"térreo",Z71&amp;"º pav."))&amp;")",""),IF(Y71&lt;&gt;"","até "&amp;IF(Y71&lt;0,IF(COUNTIF($E$5:$E$6004,"SUBSOLO*")&gt;0,"subsolo",-Y71&amp;"º subsolo"),IF(Y71=0,"térreo",Y71&amp;"º pav.")),W71&amp;" de "&amp;V71&amp;" concluídas")&amp;IF(Z71="","",IF(OR(Y71="",Z71&gt;Y71),", executando "&amp;IF(Z71&lt;0,IF(COUNTIF($E$5:$E$6004,"SUBSOLO*")&gt;0,"subsolo",-Z71&amp;"º subsolo"),IF(Z71=0,"térreo",Z71&amp;"º pav."))," (restam serviços no "&amp;IF(Z71&lt;0,IF(COUNTIF($E$5:$E$6004,"SUBSOLO*")&gt;0,"subsolo",-Z71&amp;"º subsolo"),IF(Z71=0,"térreo",Z71&amp;"º pav."))&amp;")"))))))</f>
        <v/>
      </c>
    </row>
    <row r="72">
      <c r="B72" s="4" t="n">
        <v>13584652</v>
      </c>
      <c r="C72" s="4" t="inlineStr">
        <is>
          <t>FUNDAÇÃO PROFUNDA</t>
        </is>
      </c>
      <c r="D72" s="4" t="inlineStr">
        <is>
          <t xml:space="preserve">P20D </t>
        </is>
      </c>
      <c r="E72" s="4" t="inlineStr">
        <is>
          <t>SERVIÇOS INICIAIS</t>
        </is>
      </c>
      <c r="F72" s="126" t="n">
        <v>45994</v>
      </c>
      <c r="G72" s="126" t="n">
        <v>45994</v>
      </c>
      <c r="H72" s="126" t="n">
        <v>46289</v>
      </c>
      <c r="I72" s="4" t="n">
        <v>100</v>
      </c>
      <c r="J72" s="4" t="n">
        <v>100</v>
      </c>
      <c r="K72" s="4" t="n">
        <v>100</v>
      </c>
      <c r="M72" s="2">
        <f>IF(C72="","",IFERROR(INDEX($S$5:$S$304,MATCH(C72,$R$5:$R$304,0))&amp;"","?"))</f>
        <v/>
      </c>
      <c r="N72" s="2">
        <f>IF(E72="","",IF(ISNUMBER(SEARCH("SUBSOLO",E72)),IFERROR(-VALUE(LEFT(E72,FIND("º",SUBSTITUTE(E72,"°","º"))-1)),-1),IF(LEFT(E72,6)="TÉRREO",0,IFERROR(VALUE(LEFT(E72,FIND("º",SUBSTITUTE(E72,"°","º"))-1)),""))))</f>
        <v/>
      </c>
      <c r="O72" s="2">
        <f>IF(OR(F72="",G72=""),"",IF(G72&lt;='RETRATO 2027'!$K$5,"CONCLUÍDA",IF(F72&lt;='RETRATO 2027'!$K$5,"EM ANDAMENTO","A INICIAR")))</f>
        <v/>
      </c>
      <c r="R72" s="4" t="inlineStr">
        <is>
          <t>PREPARAÇÃO PARA FACHADA AERADA - F1 + F2 (1º ETAPA)</t>
        </is>
      </c>
      <c r="S72" s="4" t="inlineStr">
        <is>
          <t>32</t>
        </is>
      </c>
      <c r="T72" s="4" t="inlineStr">
        <is>
          <t>Preparação para fachada aerada - F1 + F2 (1º etapa)</t>
        </is>
      </c>
      <c r="U72" s="4" t="inlineStr">
        <is>
          <t>SIM</t>
        </is>
      </c>
      <c r="V72" s="2">
        <f>IF(R72="","",COUNTIF($C$5:$C$6004,R72))</f>
        <v/>
      </c>
      <c r="W72" s="2">
        <f>IF(R72="","",COUNTIFS($C$5:$C$6004,R72,$O$5:$O$6004,"CONCLUÍDA"))</f>
        <v/>
      </c>
      <c r="X72" s="2">
        <f>IF(R72="","",COUNTIFS($C$5:$C$6004,R72,$O$5:$O$6004,"EM ANDAMENTO"))</f>
        <v/>
      </c>
      <c r="Y72" s="2">
        <f>IF(R72="","",IF(COUNTIFS($C$5:$C$6004,R72,$O$5:$O$6004,"CONCLUÍDA",$N$5:$N$6004,"&gt;=-99")=0,"",_xlfn.MAXIFS($N$5:$N$6004,$C$5:$C$6004,R72,$O$5:$O$6004,"CONCLUÍDA")))</f>
        <v/>
      </c>
      <c r="Z72" s="2">
        <f>IF(R72="","",IF(COUNTIFS($C$5:$C$6004,R72,$O$5:$O$6004,"EM ANDAMENTO",$N$5:$N$6004,"&gt;=-99")=0,"",_xlfn.MAXIFS($N$5:$N$6004,$C$5:$C$6004,R72,$O$5:$O$6004,"EM ANDAMENTO")))</f>
        <v/>
      </c>
      <c r="AA72" s="2">
        <f>IF(OR(R72="",S72="",U72&lt;&gt;"SIM",V72=0),"",IF(W72+X72=0,"",T72&amp;": "&amp;IF(W72=V72,"concluído",IF(W72=0,"em execução"&amp;IF(Z72&lt;&gt;""," ("&amp;IF(Z72&lt;0,IF(COUNTIF($E$5:$E$6004,"SUBSOLO*")&gt;0,"subsolo",-Z72&amp;"º subsolo"),IF(Z72=0,"térreo",Z72&amp;"º pav."))&amp;")",""),IF(Y72&lt;&gt;"","até "&amp;IF(Y72&lt;0,IF(COUNTIF($E$5:$E$6004,"SUBSOLO*")&gt;0,"subsolo",-Y72&amp;"º subsolo"),IF(Y72=0,"térreo",Y72&amp;"º pav.")),W72&amp;" de "&amp;V72&amp;" concluídas")&amp;IF(Z72="","",IF(OR(Y72="",Z72&gt;Y72),", executando "&amp;IF(Z72&lt;0,IF(COUNTIF($E$5:$E$6004,"SUBSOLO*")&gt;0,"subsolo",-Z72&amp;"º subsolo"),IF(Z72=0,"térreo",Z72&amp;"º pav."))," (restam serviços no "&amp;IF(Z72&lt;0,IF(COUNTIF($E$5:$E$6004,"SUBSOLO*")&gt;0,"subsolo",-Z72&amp;"º subsolo"),IF(Z72=0,"térreo",Z72&amp;"º pav."))&amp;")"))))))</f>
        <v/>
      </c>
    </row>
    <row r="73">
      <c r="B73" s="4" t="n">
        <v>13584653</v>
      </c>
      <c r="C73" s="4" t="inlineStr">
        <is>
          <t>FUNDAÇÃO PROFUNDA</t>
        </is>
      </c>
      <c r="D73" s="4" t="inlineStr">
        <is>
          <t>P901Q e P901L</t>
        </is>
      </c>
      <c r="E73" s="4" t="inlineStr">
        <is>
          <t>SERVIÇOS INICIAIS</t>
        </is>
      </c>
      <c r="F73" s="126" t="n">
        <v>45995</v>
      </c>
      <c r="G73" s="126" t="n">
        <v>45995</v>
      </c>
      <c r="H73" s="126" t="n">
        <v>46289</v>
      </c>
      <c r="I73" s="4" t="n">
        <v>100</v>
      </c>
      <c r="J73" s="4" t="n">
        <v>100</v>
      </c>
      <c r="K73" s="4" t="n">
        <v>100</v>
      </c>
      <c r="M73" s="2">
        <f>IF(C73="","",IFERROR(INDEX($S$5:$S$304,MATCH(C73,$R$5:$R$304,0))&amp;"","?"))</f>
        <v/>
      </c>
      <c r="N73" s="2">
        <f>IF(E73="","",IF(ISNUMBER(SEARCH("SUBSOLO",E73)),IFERROR(-VALUE(LEFT(E73,FIND("º",SUBSTITUTE(E73,"°","º"))-1)),-1),IF(LEFT(E73,6)="TÉRREO",0,IFERROR(VALUE(LEFT(E73,FIND("º",SUBSTITUTE(E73,"°","º"))-1)),""))))</f>
        <v/>
      </c>
      <c r="O73" s="2">
        <f>IF(OR(F73="",G73=""),"",IF(G73&lt;='RETRATO 2027'!$K$5,"CONCLUÍDA",IF(F73&lt;='RETRATO 2027'!$K$5,"EM ANDAMENTO","A INICIAR")))</f>
        <v/>
      </c>
      <c r="R73" s="4" t="inlineStr">
        <is>
          <t>REVESTIMENTO PORCELANATO PAREDE</t>
        </is>
      </c>
      <c r="S73" s="4" t="inlineStr">
        <is>
          <t>30</t>
        </is>
      </c>
      <c r="T73" s="4" t="inlineStr">
        <is>
          <t>Revestimento porcelanato parede</t>
        </is>
      </c>
      <c r="U73" s="4" t="inlineStr">
        <is>
          <t>SIM</t>
        </is>
      </c>
      <c r="V73" s="2">
        <f>IF(R73="","",COUNTIF($C$5:$C$6004,R73))</f>
        <v/>
      </c>
      <c r="W73" s="2">
        <f>IF(R73="","",COUNTIFS($C$5:$C$6004,R73,$O$5:$O$6004,"CONCLUÍDA"))</f>
        <v/>
      </c>
      <c r="X73" s="2">
        <f>IF(R73="","",COUNTIFS($C$5:$C$6004,R73,$O$5:$O$6004,"EM ANDAMENTO"))</f>
        <v/>
      </c>
      <c r="Y73" s="2">
        <f>IF(R73="","",IF(COUNTIFS($C$5:$C$6004,R73,$O$5:$O$6004,"CONCLUÍDA",$N$5:$N$6004,"&gt;=-99")=0,"",_xlfn.MAXIFS($N$5:$N$6004,$C$5:$C$6004,R73,$O$5:$O$6004,"CONCLUÍDA")))</f>
        <v/>
      </c>
      <c r="Z73" s="2">
        <f>IF(R73="","",IF(COUNTIFS($C$5:$C$6004,R73,$O$5:$O$6004,"EM ANDAMENTO",$N$5:$N$6004,"&gt;=-99")=0,"",_xlfn.MAXIFS($N$5:$N$6004,$C$5:$C$6004,R73,$O$5:$O$6004,"EM ANDAMENTO")))</f>
        <v/>
      </c>
      <c r="AA73" s="2">
        <f>IF(OR(R73="",S73="",U73&lt;&gt;"SIM",V73=0),"",IF(W73+X73=0,"",T73&amp;": "&amp;IF(W73=V73,"concluído",IF(W73=0,"em execução"&amp;IF(Z73&lt;&gt;""," ("&amp;IF(Z73&lt;0,IF(COUNTIF($E$5:$E$6004,"SUBSOLO*")&gt;0,"subsolo",-Z73&amp;"º subsolo"),IF(Z73=0,"térreo",Z73&amp;"º pav."))&amp;")",""),IF(Y73&lt;&gt;"","até "&amp;IF(Y73&lt;0,IF(COUNTIF($E$5:$E$6004,"SUBSOLO*")&gt;0,"subsolo",-Y73&amp;"º subsolo"),IF(Y73=0,"térreo",Y73&amp;"º pav.")),W73&amp;" de "&amp;V73&amp;" concluídas")&amp;IF(Z73="","",IF(OR(Y73="",Z73&gt;Y73),", executando "&amp;IF(Z73&lt;0,IF(COUNTIF($E$5:$E$6004,"SUBSOLO*")&gt;0,"subsolo",-Z73&amp;"º subsolo"),IF(Z73=0,"térreo",Z73&amp;"º pav."))," (restam serviços no "&amp;IF(Z73&lt;0,IF(COUNTIF($E$5:$E$6004,"SUBSOLO*")&gt;0,"subsolo",-Z73&amp;"º subsolo"),IF(Z73=0,"térreo",Z73&amp;"º pav."))&amp;")"))))))</f>
        <v/>
      </c>
    </row>
    <row r="74">
      <c r="B74" s="4" t="n">
        <v>13584654</v>
      </c>
      <c r="C74" s="4" t="inlineStr">
        <is>
          <t>FUNDAÇÃO PROFUNDA</t>
        </is>
      </c>
      <c r="D74" s="4" t="inlineStr">
        <is>
          <t>P901R</t>
        </is>
      </c>
      <c r="E74" s="4" t="inlineStr">
        <is>
          <t>SERVIÇOS INICIAIS</t>
        </is>
      </c>
      <c r="F74" s="126" t="n">
        <v>45996</v>
      </c>
      <c r="G74" s="126" t="n">
        <v>45996</v>
      </c>
      <c r="H74" s="126" t="n">
        <v>46289</v>
      </c>
      <c r="I74" s="4" t="n">
        <v>100</v>
      </c>
      <c r="J74" s="4" t="n">
        <v>100</v>
      </c>
      <c r="K74" s="4" t="n">
        <v>100</v>
      </c>
      <c r="M74" s="2">
        <f>IF(C74="","",IFERROR(INDEX($S$5:$S$304,MATCH(C74,$R$5:$R$304,0))&amp;"","?"))</f>
        <v/>
      </c>
      <c r="N74" s="2">
        <f>IF(E74="","",IF(ISNUMBER(SEARCH("SUBSOLO",E74)),IFERROR(-VALUE(LEFT(E74,FIND("º",SUBSTITUTE(E74,"°","º"))-1)),-1),IF(LEFT(E74,6)="TÉRREO",0,IFERROR(VALUE(LEFT(E74,FIND("º",SUBSTITUTE(E74,"°","º"))-1)),""))))</f>
        <v/>
      </c>
      <c r="O74" s="2">
        <f>IF(OR(F74="",G74=""),"",IF(G74&lt;='RETRATO 2027'!$K$5,"CONCLUÍDA",IF(F74&lt;='RETRATO 2027'!$K$5,"EM ANDAMENTO","A INICIAR")))</f>
        <v/>
      </c>
      <c r="R74" s="4" t="inlineStr">
        <is>
          <t>FACHADA LOJA</t>
        </is>
      </c>
      <c r="S74" s="4" t="inlineStr">
        <is>
          <t>32</t>
        </is>
      </c>
      <c r="T74" s="4" t="inlineStr">
        <is>
          <t>Fachada loja</t>
        </is>
      </c>
      <c r="U74" s="4" t="inlineStr">
        <is>
          <t>SIM</t>
        </is>
      </c>
      <c r="V74" s="2">
        <f>IF(R74="","",COUNTIF($C$5:$C$6004,R74))</f>
        <v/>
      </c>
      <c r="W74" s="2">
        <f>IF(R74="","",COUNTIFS($C$5:$C$6004,R74,$O$5:$O$6004,"CONCLUÍDA"))</f>
        <v/>
      </c>
      <c r="X74" s="2">
        <f>IF(R74="","",COUNTIFS($C$5:$C$6004,R74,$O$5:$O$6004,"EM ANDAMENTO"))</f>
        <v/>
      </c>
      <c r="Y74" s="2">
        <f>IF(R74="","",IF(COUNTIFS($C$5:$C$6004,R74,$O$5:$O$6004,"CONCLUÍDA",$N$5:$N$6004,"&gt;=-99")=0,"",_xlfn.MAXIFS($N$5:$N$6004,$C$5:$C$6004,R74,$O$5:$O$6004,"CONCLUÍDA")))</f>
        <v/>
      </c>
      <c r="Z74" s="2">
        <f>IF(R74="","",IF(COUNTIFS($C$5:$C$6004,R74,$O$5:$O$6004,"EM ANDAMENTO",$N$5:$N$6004,"&gt;=-99")=0,"",_xlfn.MAXIFS($N$5:$N$6004,$C$5:$C$6004,R74,$O$5:$O$6004,"EM ANDAMENTO")))</f>
        <v/>
      </c>
      <c r="AA74" s="2">
        <f>IF(OR(R74="",S74="",U74&lt;&gt;"SIM",V74=0),"",IF(W74+X74=0,"",T74&amp;": "&amp;IF(W74=V74,"concluído",IF(W74=0,"em execução"&amp;IF(Z74&lt;&gt;""," ("&amp;IF(Z74&lt;0,IF(COUNTIF($E$5:$E$6004,"SUBSOLO*")&gt;0,"subsolo",-Z74&amp;"º subsolo"),IF(Z74=0,"térreo",Z74&amp;"º pav."))&amp;")",""),IF(Y74&lt;&gt;"","até "&amp;IF(Y74&lt;0,IF(COUNTIF($E$5:$E$6004,"SUBSOLO*")&gt;0,"subsolo",-Y74&amp;"º subsolo"),IF(Y74=0,"térreo",Y74&amp;"º pav.")),W74&amp;" de "&amp;V74&amp;" concluídas")&amp;IF(Z74="","",IF(OR(Y74="",Z74&gt;Y74),", executando "&amp;IF(Z74&lt;0,IF(COUNTIF($E$5:$E$6004,"SUBSOLO*")&gt;0,"subsolo",-Z74&amp;"º subsolo"),IF(Z74=0,"térreo",Z74&amp;"º pav."))," (restam serviços no "&amp;IF(Z74&lt;0,IF(COUNTIF($E$5:$E$6004,"SUBSOLO*")&gt;0,"subsolo",-Z74&amp;"º subsolo"),IF(Z74=0,"térreo",Z74&amp;"º pav."))&amp;")"))))))</f>
        <v/>
      </c>
    </row>
    <row r="75">
      <c r="B75" s="4" t="n">
        <v>13584655</v>
      </c>
      <c r="C75" s="4" t="inlineStr">
        <is>
          <t>FUNDAÇÃO PROFUNDA</t>
        </is>
      </c>
      <c r="D75" s="4" t="inlineStr">
        <is>
          <t>P901AC e P10B</t>
        </is>
      </c>
      <c r="E75" s="4" t="inlineStr">
        <is>
          <t>SERVIÇOS INICIAIS</t>
        </is>
      </c>
      <c r="F75" s="126" t="n">
        <v>46000</v>
      </c>
      <c r="G75" s="126" t="n">
        <v>46000</v>
      </c>
      <c r="H75" s="126" t="n">
        <v>46289</v>
      </c>
      <c r="I75" s="4" t="n">
        <v>100</v>
      </c>
      <c r="J75" s="4" t="n">
        <v>100</v>
      </c>
      <c r="K75" s="4" t="n">
        <v>100</v>
      </c>
      <c r="M75" s="2">
        <f>IF(C75="","",IFERROR(INDEX($S$5:$S$304,MATCH(C75,$R$5:$R$304,0))&amp;"","?"))</f>
        <v/>
      </c>
      <c r="N75" s="2">
        <f>IF(E75="","",IF(ISNUMBER(SEARCH("SUBSOLO",E75)),IFERROR(-VALUE(LEFT(E75,FIND("º",SUBSTITUTE(E75,"°","º"))-1)),-1),IF(LEFT(E75,6)="TÉRREO",0,IFERROR(VALUE(LEFT(E75,FIND("º",SUBSTITUTE(E75,"°","º"))-1)),""))))</f>
        <v/>
      </c>
      <c r="O75" s="2">
        <f>IF(OR(F75="",G75=""),"",IF(G75&lt;='RETRATO 2027'!$K$5,"CONCLUÍDA",IF(F75&lt;='RETRATO 2027'!$K$5,"EM ANDAMENTO","A INICIAR")))</f>
        <v/>
      </c>
      <c r="R75" s="4" t="inlineStr">
        <is>
          <t>REVESTIMENTOS PORCELANATO PISO</t>
        </is>
      </c>
      <c r="S75" s="4" t="inlineStr">
        <is>
          <t>30</t>
        </is>
      </c>
      <c r="T75" s="4" t="inlineStr">
        <is>
          <t>Revestimentos porcelanato piso</t>
        </is>
      </c>
      <c r="U75" s="4" t="inlineStr">
        <is>
          <t>SIM</t>
        </is>
      </c>
      <c r="V75" s="2">
        <f>IF(R75="","",COUNTIF($C$5:$C$6004,R75))</f>
        <v/>
      </c>
      <c r="W75" s="2">
        <f>IF(R75="","",COUNTIFS($C$5:$C$6004,R75,$O$5:$O$6004,"CONCLUÍDA"))</f>
        <v/>
      </c>
      <c r="X75" s="2">
        <f>IF(R75="","",COUNTIFS($C$5:$C$6004,R75,$O$5:$O$6004,"EM ANDAMENTO"))</f>
        <v/>
      </c>
      <c r="Y75" s="2">
        <f>IF(R75="","",IF(COUNTIFS($C$5:$C$6004,R75,$O$5:$O$6004,"CONCLUÍDA",$N$5:$N$6004,"&gt;=-99")=0,"",_xlfn.MAXIFS($N$5:$N$6004,$C$5:$C$6004,R75,$O$5:$O$6004,"CONCLUÍDA")))</f>
        <v/>
      </c>
      <c r="Z75" s="2">
        <f>IF(R75="","",IF(COUNTIFS($C$5:$C$6004,R75,$O$5:$O$6004,"EM ANDAMENTO",$N$5:$N$6004,"&gt;=-99")=0,"",_xlfn.MAXIFS($N$5:$N$6004,$C$5:$C$6004,R75,$O$5:$O$6004,"EM ANDAMENTO")))</f>
        <v/>
      </c>
      <c r="AA75" s="2">
        <f>IF(OR(R75="",S75="",U75&lt;&gt;"SIM",V75=0),"",IF(W75+X75=0,"",T75&amp;": "&amp;IF(W75=V75,"concluído",IF(W75=0,"em execução"&amp;IF(Z75&lt;&gt;""," ("&amp;IF(Z75&lt;0,IF(COUNTIF($E$5:$E$6004,"SUBSOLO*")&gt;0,"subsolo",-Z75&amp;"º subsolo"),IF(Z75=0,"térreo",Z75&amp;"º pav."))&amp;")",""),IF(Y75&lt;&gt;"","até "&amp;IF(Y75&lt;0,IF(COUNTIF($E$5:$E$6004,"SUBSOLO*")&gt;0,"subsolo",-Y75&amp;"º subsolo"),IF(Y75=0,"térreo",Y75&amp;"º pav.")),W75&amp;" de "&amp;V75&amp;" concluídas")&amp;IF(Z75="","",IF(OR(Y75="",Z75&gt;Y75),", executando "&amp;IF(Z75&lt;0,IF(COUNTIF($E$5:$E$6004,"SUBSOLO*")&gt;0,"subsolo",-Z75&amp;"º subsolo"),IF(Z75=0,"térreo",Z75&amp;"º pav."))," (restam serviços no "&amp;IF(Z75&lt;0,IF(COUNTIF($E$5:$E$6004,"SUBSOLO*")&gt;0,"subsolo",-Z75&amp;"º subsolo"),IF(Z75=0,"térreo",Z75&amp;"º pav."))&amp;")"))))))</f>
        <v/>
      </c>
    </row>
    <row r="76">
      <c r="B76" s="4" t="n">
        <v>13584656</v>
      </c>
      <c r="C76" s="4" t="inlineStr">
        <is>
          <t>FUNDAÇÃO PROFUNDA</t>
        </is>
      </c>
      <c r="D76" s="4" t="inlineStr">
        <is>
          <t xml:space="preserve">P11C </t>
        </is>
      </c>
      <c r="E76" s="4" t="inlineStr">
        <is>
          <t>SERVIÇOS INICIAIS</t>
        </is>
      </c>
      <c r="F76" s="126" t="n">
        <v>46001</v>
      </c>
      <c r="G76" s="126" t="n">
        <v>46001</v>
      </c>
      <c r="H76" s="126" t="n">
        <v>46289</v>
      </c>
      <c r="I76" s="4" t="n">
        <v>100</v>
      </c>
      <c r="J76" s="4" t="n">
        <v>100</v>
      </c>
      <c r="K76" s="4" t="n">
        <v>100</v>
      </c>
      <c r="M76" s="2">
        <f>IF(C76="","",IFERROR(INDEX($S$5:$S$304,MATCH(C76,$R$5:$R$304,0))&amp;"","?"))</f>
        <v/>
      </c>
      <c r="N76" s="2">
        <f>IF(E76="","",IF(ISNUMBER(SEARCH("SUBSOLO",E76)),IFERROR(-VALUE(LEFT(E76,FIND("º",SUBSTITUTE(E76,"°","º"))-1)),-1),IF(LEFT(E76,6)="TÉRREO",0,IFERROR(VALUE(LEFT(E76,FIND("º",SUBSTITUTE(E76,"°","º"))-1)),""))))</f>
        <v/>
      </c>
      <c r="O76" s="2">
        <f>IF(OR(F76="",G76=""),"",IF(G76&lt;='RETRATO 2027'!$K$5,"CONCLUÍDA",IF(F76&lt;='RETRATO 2027'!$K$5,"EM ANDAMENTO","A INICIAR")))</f>
        <v/>
      </c>
      <c r="R76" s="4" t="inlineStr">
        <is>
          <t>FACHADA AERADA - F1 + F2 (1º ETAPA)</t>
        </is>
      </c>
      <c r="S76" s="4" t="inlineStr">
        <is>
          <t>32</t>
        </is>
      </c>
      <c r="T76" s="4" t="inlineStr">
        <is>
          <t>Fachada aerada - F1 + F2 (1º etapa)</t>
        </is>
      </c>
      <c r="U76" s="4" t="inlineStr">
        <is>
          <t>SIM</t>
        </is>
      </c>
      <c r="V76" s="2">
        <f>IF(R76="","",COUNTIF($C$5:$C$6004,R76))</f>
        <v/>
      </c>
      <c r="W76" s="2">
        <f>IF(R76="","",COUNTIFS($C$5:$C$6004,R76,$O$5:$O$6004,"CONCLUÍDA"))</f>
        <v/>
      </c>
      <c r="X76" s="2">
        <f>IF(R76="","",COUNTIFS($C$5:$C$6004,R76,$O$5:$O$6004,"EM ANDAMENTO"))</f>
        <v/>
      </c>
      <c r="Y76" s="2">
        <f>IF(R76="","",IF(COUNTIFS($C$5:$C$6004,R76,$O$5:$O$6004,"CONCLUÍDA",$N$5:$N$6004,"&gt;=-99")=0,"",_xlfn.MAXIFS($N$5:$N$6004,$C$5:$C$6004,R76,$O$5:$O$6004,"CONCLUÍDA")))</f>
        <v/>
      </c>
      <c r="Z76" s="2">
        <f>IF(R76="","",IF(COUNTIFS($C$5:$C$6004,R76,$O$5:$O$6004,"EM ANDAMENTO",$N$5:$N$6004,"&gt;=-99")=0,"",_xlfn.MAXIFS($N$5:$N$6004,$C$5:$C$6004,R76,$O$5:$O$6004,"EM ANDAMENTO")))</f>
        <v/>
      </c>
      <c r="AA76" s="2">
        <f>IF(OR(R76="",S76="",U76&lt;&gt;"SIM",V76=0),"",IF(W76+X76=0,"",T76&amp;": "&amp;IF(W76=V76,"concluído",IF(W76=0,"em execução"&amp;IF(Z76&lt;&gt;""," ("&amp;IF(Z76&lt;0,IF(COUNTIF($E$5:$E$6004,"SUBSOLO*")&gt;0,"subsolo",-Z76&amp;"º subsolo"),IF(Z76=0,"térreo",Z76&amp;"º pav."))&amp;")",""),IF(Y76&lt;&gt;"","até "&amp;IF(Y76&lt;0,IF(COUNTIF($E$5:$E$6004,"SUBSOLO*")&gt;0,"subsolo",-Y76&amp;"º subsolo"),IF(Y76=0,"térreo",Y76&amp;"º pav.")),W76&amp;" de "&amp;V76&amp;" concluídas")&amp;IF(Z76="","",IF(OR(Y76="",Z76&gt;Y76),", executando "&amp;IF(Z76&lt;0,IF(COUNTIF($E$5:$E$6004,"SUBSOLO*")&gt;0,"subsolo",-Z76&amp;"º subsolo"),IF(Z76=0,"térreo",Z76&amp;"º pav."))," (restam serviços no "&amp;IF(Z76&lt;0,IF(COUNTIF($E$5:$E$6004,"SUBSOLO*")&gt;0,"subsolo",-Z76&amp;"º subsolo"),IF(Z76=0,"térreo",Z76&amp;"º pav."))&amp;")"))))))</f>
        <v/>
      </c>
    </row>
    <row r="77">
      <c r="B77" s="4" t="n">
        <v>13584657</v>
      </c>
      <c r="C77" s="4" t="inlineStr">
        <is>
          <t>FUNDAÇÃO PROFUNDA</t>
        </is>
      </c>
      <c r="D77" s="4" t="inlineStr">
        <is>
          <t>P901G e P11A</t>
        </is>
      </c>
      <c r="E77" s="4" t="inlineStr">
        <is>
          <t>SERVIÇOS INICIAIS</t>
        </is>
      </c>
      <c r="F77" s="126" t="n">
        <v>46002</v>
      </c>
      <c r="G77" s="126" t="n">
        <v>46002</v>
      </c>
      <c r="H77" s="126" t="n">
        <v>46289</v>
      </c>
      <c r="I77" s="4" t="n">
        <v>100</v>
      </c>
      <c r="J77" s="4" t="n">
        <v>100</v>
      </c>
      <c r="K77" s="4" t="n">
        <v>100</v>
      </c>
      <c r="M77" s="2">
        <f>IF(C77="","",IFERROR(INDEX($S$5:$S$304,MATCH(C77,$R$5:$R$304,0))&amp;"","?"))</f>
        <v/>
      </c>
      <c r="N77" s="2">
        <f>IF(E77="","",IF(ISNUMBER(SEARCH("SUBSOLO",E77)),IFERROR(-VALUE(LEFT(E77,FIND("º",SUBSTITUTE(E77,"°","º"))-1)),-1),IF(LEFT(E77,6)="TÉRREO",0,IFERROR(VALUE(LEFT(E77,FIND("º",SUBSTITUTE(E77,"°","º"))-1)),""))))</f>
        <v/>
      </c>
      <c r="O77" s="2">
        <f>IF(OR(F77="",G77=""),"",IF(G77&lt;='RETRATO 2027'!$K$5,"CONCLUÍDA",IF(F77&lt;='RETRATO 2027'!$K$5,"EM ANDAMENTO","A INICIAR")))</f>
        <v/>
      </c>
      <c r="R77" s="4" t="inlineStr">
        <is>
          <t>DRYWALL</t>
        </is>
      </c>
      <c r="S77" s="4" t="inlineStr">
        <is>
          <t>18</t>
        </is>
      </c>
      <c r="T77" s="4" t="inlineStr">
        <is>
          <t>Drywall</t>
        </is>
      </c>
      <c r="U77" s="4" t="inlineStr">
        <is>
          <t>SIM</t>
        </is>
      </c>
      <c r="V77" s="2">
        <f>IF(R77="","",COUNTIF($C$5:$C$6004,R77))</f>
        <v/>
      </c>
      <c r="W77" s="2">
        <f>IF(R77="","",COUNTIFS($C$5:$C$6004,R77,$O$5:$O$6004,"CONCLUÍDA"))</f>
        <v/>
      </c>
      <c r="X77" s="2">
        <f>IF(R77="","",COUNTIFS($C$5:$C$6004,R77,$O$5:$O$6004,"EM ANDAMENTO"))</f>
        <v/>
      </c>
      <c r="Y77" s="2">
        <f>IF(R77="","",IF(COUNTIFS($C$5:$C$6004,R77,$O$5:$O$6004,"CONCLUÍDA",$N$5:$N$6004,"&gt;=-99")=0,"",_xlfn.MAXIFS($N$5:$N$6004,$C$5:$C$6004,R77,$O$5:$O$6004,"CONCLUÍDA")))</f>
        <v/>
      </c>
      <c r="Z77" s="2">
        <f>IF(R77="","",IF(COUNTIFS($C$5:$C$6004,R77,$O$5:$O$6004,"EM ANDAMENTO",$N$5:$N$6004,"&gt;=-99")=0,"",_xlfn.MAXIFS($N$5:$N$6004,$C$5:$C$6004,R77,$O$5:$O$6004,"EM ANDAMENTO")))</f>
        <v/>
      </c>
      <c r="AA77" s="2">
        <f>IF(OR(R77="",S77="",U77&lt;&gt;"SIM",V77=0),"",IF(W77+X77=0,"",T77&amp;": "&amp;IF(W77=V77,"concluído",IF(W77=0,"em execução"&amp;IF(Z77&lt;&gt;""," ("&amp;IF(Z77&lt;0,IF(COUNTIF($E$5:$E$6004,"SUBSOLO*")&gt;0,"subsolo",-Z77&amp;"º subsolo"),IF(Z77=0,"térreo",Z77&amp;"º pav."))&amp;")",""),IF(Y77&lt;&gt;"","até "&amp;IF(Y77&lt;0,IF(COUNTIF($E$5:$E$6004,"SUBSOLO*")&gt;0,"subsolo",-Y77&amp;"º subsolo"),IF(Y77=0,"térreo",Y77&amp;"º pav.")),W77&amp;" de "&amp;V77&amp;" concluídas")&amp;IF(Z77="","",IF(OR(Y77="",Z77&gt;Y77),", executando "&amp;IF(Z77&lt;0,IF(COUNTIF($E$5:$E$6004,"SUBSOLO*")&gt;0,"subsolo",-Z77&amp;"º subsolo"),IF(Z77=0,"térreo",Z77&amp;"º pav."))," (restam serviços no "&amp;IF(Z77&lt;0,IF(COUNTIF($E$5:$E$6004,"SUBSOLO*")&gt;0,"subsolo",-Z77&amp;"º subsolo"),IF(Z77=0,"térreo",Z77&amp;"º pav."))&amp;")"))))))</f>
        <v/>
      </c>
    </row>
    <row r="78">
      <c r="B78" s="4" t="n">
        <v>13584658</v>
      </c>
      <c r="C78" s="4" t="inlineStr">
        <is>
          <t>FUNDAÇÃO PROFUNDA</t>
        </is>
      </c>
      <c r="D78" s="4" t="inlineStr">
        <is>
          <t>P901T</t>
        </is>
      </c>
      <c r="E78" s="4" t="inlineStr">
        <is>
          <t>SERVIÇOS INICIAIS</t>
        </is>
      </c>
      <c r="F78" s="126" t="n">
        <v>46003</v>
      </c>
      <c r="G78" s="126" t="n">
        <v>46003</v>
      </c>
      <c r="H78" s="126" t="n">
        <v>46289</v>
      </c>
      <c r="I78" s="4" t="n">
        <v>100</v>
      </c>
      <c r="J78" s="4" t="n">
        <v>100</v>
      </c>
      <c r="K78" s="4" t="n">
        <v>100</v>
      </c>
      <c r="M78" s="2">
        <f>IF(C78="","",IFERROR(INDEX($S$5:$S$304,MATCH(C78,$R$5:$R$304,0))&amp;"","?"))</f>
        <v/>
      </c>
      <c r="N78" s="2">
        <f>IF(E78="","",IF(ISNUMBER(SEARCH("SUBSOLO",E78)),IFERROR(-VALUE(LEFT(E78,FIND("º",SUBSTITUTE(E78,"°","º"))-1)),-1),IF(LEFT(E78,6)="TÉRREO",0,IFERROR(VALUE(LEFT(E78,FIND("º",SUBSTITUTE(E78,"°","º"))-1)),""))))</f>
        <v/>
      </c>
      <c r="O78" s="2">
        <f>IF(OR(F78="",G78=""),"",IF(G78&lt;='RETRATO 2027'!$K$5,"CONCLUÍDA",IF(F78&lt;='RETRATO 2027'!$K$5,"EM ANDAMENTO","A INICIAR")))</f>
        <v/>
      </c>
      <c r="R78" s="4" t="inlineStr">
        <is>
          <t>INSTALAÇÃO DE ADUELAS (ELEVADORES)</t>
        </is>
      </c>
      <c r="S78" s="4" t="inlineStr">
        <is>
          <t>24</t>
        </is>
      </c>
      <c r="T78" s="4" t="inlineStr">
        <is>
          <t>Aduelas (elevadores)</t>
        </is>
      </c>
      <c r="U78" s="4" t="inlineStr">
        <is>
          <t>SIM</t>
        </is>
      </c>
      <c r="V78" s="2">
        <f>IF(R78="","",COUNTIF($C$5:$C$6004,R78))</f>
        <v/>
      </c>
      <c r="W78" s="2">
        <f>IF(R78="","",COUNTIFS($C$5:$C$6004,R78,$O$5:$O$6004,"CONCLUÍDA"))</f>
        <v/>
      </c>
      <c r="X78" s="2">
        <f>IF(R78="","",COUNTIFS($C$5:$C$6004,R78,$O$5:$O$6004,"EM ANDAMENTO"))</f>
        <v/>
      </c>
      <c r="Y78" s="2">
        <f>IF(R78="","",IF(COUNTIFS($C$5:$C$6004,R78,$O$5:$O$6004,"CONCLUÍDA",$N$5:$N$6004,"&gt;=-99")=0,"",_xlfn.MAXIFS($N$5:$N$6004,$C$5:$C$6004,R78,$O$5:$O$6004,"CONCLUÍDA")))</f>
        <v/>
      </c>
      <c r="Z78" s="2">
        <f>IF(R78="","",IF(COUNTIFS($C$5:$C$6004,R78,$O$5:$O$6004,"EM ANDAMENTO",$N$5:$N$6004,"&gt;=-99")=0,"",_xlfn.MAXIFS($N$5:$N$6004,$C$5:$C$6004,R78,$O$5:$O$6004,"EM ANDAMENTO")))</f>
        <v/>
      </c>
      <c r="AA78" s="2">
        <f>IF(OR(R78="",S78="",U78&lt;&gt;"SIM",V78=0),"",IF(W78+X78=0,"",T78&amp;": "&amp;IF(W78=V78,"concluído",IF(W78=0,"em execução"&amp;IF(Z78&lt;&gt;""," ("&amp;IF(Z78&lt;0,IF(COUNTIF($E$5:$E$6004,"SUBSOLO*")&gt;0,"subsolo",-Z78&amp;"º subsolo"),IF(Z78=0,"térreo",Z78&amp;"º pav."))&amp;")",""),IF(Y78&lt;&gt;"","até "&amp;IF(Y78&lt;0,IF(COUNTIF($E$5:$E$6004,"SUBSOLO*")&gt;0,"subsolo",-Y78&amp;"º subsolo"),IF(Y78=0,"térreo",Y78&amp;"º pav.")),W78&amp;" de "&amp;V78&amp;" concluídas")&amp;IF(Z78="","",IF(OR(Y78="",Z78&gt;Y78),", executando "&amp;IF(Z78&lt;0,IF(COUNTIF($E$5:$E$6004,"SUBSOLO*")&gt;0,"subsolo",-Z78&amp;"º subsolo"),IF(Z78=0,"térreo",Z78&amp;"º pav."))," (restam serviços no "&amp;IF(Z78&lt;0,IF(COUNTIF($E$5:$E$6004,"SUBSOLO*")&gt;0,"subsolo",-Z78&amp;"º subsolo"),IF(Z78=0,"térreo",Z78&amp;"º pav."))&amp;")"))))))</f>
        <v/>
      </c>
    </row>
    <row r="79">
      <c r="B79" s="4" t="n">
        <v>13584659</v>
      </c>
      <c r="C79" s="4" t="inlineStr">
        <is>
          <t>FUNDAÇÃO PROFUNDA</t>
        </is>
      </c>
      <c r="D79" s="4" t="inlineStr">
        <is>
          <t>P20B e P901AG</t>
        </is>
      </c>
      <c r="E79" s="4" t="inlineStr">
        <is>
          <t>SERVIÇOS INICIAIS</t>
        </is>
      </c>
      <c r="F79" s="126" t="n">
        <v>46006</v>
      </c>
      <c r="G79" s="126" t="n">
        <v>46006</v>
      </c>
      <c r="H79" s="126" t="n">
        <v>46289</v>
      </c>
      <c r="I79" s="4" t="n">
        <v>100</v>
      </c>
      <c r="J79" s="4" t="n">
        <v>100</v>
      </c>
      <c r="K79" s="4" t="n">
        <v>100</v>
      </c>
      <c r="M79" s="2">
        <f>IF(C79="","",IFERROR(INDEX($S$5:$S$304,MATCH(C79,$R$5:$R$304,0))&amp;"","?"))</f>
        <v/>
      </c>
      <c r="N79" s="2">
        <f>IF(E79="","",IF(ISNUMBER(SEARCH("SUBSOLO",E79)),IFERROR(-VALUE(LEFT(E79,FIND("º",SUBSTITUTE(E79,"°","º"))-1)),-1),IF(LEFT(E79,6)="TÉRREO",0,IFERROR(VALUE(LEFT(E79,FIND("º",SUBSTITUTE(E79,"°","º"))-1)),""))))</f>
        <v/>
      </c>
      <c r="O79" s="2">
        <f>IF(OR(F79="",G79=""),"",IF(G79&lt;='RETRATO 2027'!$K$5,"CONCLUÍDA",IF(F79&lt;='RETRATO 2027'!$K$5,"EM ANDAMENTO","A INICIAR")))</f>
        <v/>
      </c>
      <c r="R79" s="4" t="inlineStr">
        <is>
          <t>REVESTIMENTO DE GRANITO PISO</t>
        </is>
      </c>
      <c r="S79" s="4" t="inlineStr">
        <is>
          <t>30</t>
        </is>
      </c>
      <c r="T79" s="4" t="inlineStr">
        <is>
          <t>Revestimento de granito piso</t>
        </is>
      </c>
      <c r="U79" s="4" t="inlineStr">
        <is>
          <t>NÃO</t>
        </is>
      </c>
      <c r="V79" s="2">
        <f>IF(R79="","",COUNTIF($C$5:$C$6004,R79))</f>
        <v/>
      </c>
      <c r="W79" s="2">
        <f>IF(R79="","",COUNTIFS($C$5:$C$6004,R79,$O$5:$O$6004,"CONCLUÍDA"))</f>
        <v/>
      </c>
      <c r="X79" s="2">
        <f>IF(R79="","",COUNTIFS($C$5:$C$6004,R79,$O$5:$O$6004,"EM ANDAMENTO"))</f>
        <v/>
      </c>
      <c r="Y79" s="2">
        <f>IF(R79="","",IF(COUNTIFS($C$5:$C$6004,R79,$O$5:$O$6004,"CONCLUÍDA",$N$5:$N$6004,"&gt;=-99")=0,"",_xlfn.MAXIFS($N$5:$N$6004,$C$5:$C$6004,R79,$O$5:$O$6004,"CONCLUÍDA")))</f>
        <v/>
      </c>
      <c r="Z79" s="2">
        <f>IF(R79="","",IF(COUNTIFS($C$5:$C$6004,R79,$O$5:$O$6004,"EM ANDAMENTO",$N$5:$N$6004,"&gt;=-99")=0,"",_xlfn.MAXIFS($N$5:$N$6004,$C$5:$C$6004,R79,$O$5:$O$6004,"EM ANDAMENTO")))</f>
        <v/>
      </c>
      <c r="AA79" s="2">
        <f>IF(OR(R79="",S79="",U79&lt;&gt;"SIM",V79=0),"",IF(W79+X79=0,"",T79&amp;": "&amp;IF(W79=V79,"concluído",IF(W79=0,"em execução"&amp;IF(Z79&lt;&gt;""," ("&amp;IF(Z79&lt;0,IF(COUNTIF($E$5:$E$6004,"SUBSOLO*")&gt;0,"subsolo",-Z79&amp;"º subsolo"),IF(Z79=0,"térreo",Z79&amp;"º pav."))&amp;")",""),IF(Y79&lt;&gt;"","até "&amp;IF(Y79&lt;0,IF(COUNTIF($E$5:$E$6004,"SUBSOLO*")&gt;0,"subsolo",-Y79&amp;"º subsolo"),IF(Y79=0,"térreo",Y79&amp;"º pav.")),W79&amp;" de "&amp;V79&amp;" concluídas")&amp;IF(Z79="","",IF(OR(Y79="",Z79&gt;Y79),", executando "&amp;IF(Z79&lt;0,IF(COUNTIF($E$5:$E$6004,"SUBSOLO*")&gt;0,"subsolo",-Z79&amp;"º subsolo"),IF(Z79=0,"térreo",Z79&amp;"º pav."))," (restam serviços no "&amp;IF(Z79&lt;0,IF(COUNTIF($E$5:$E$6004,"SUBSOLO*")&gt;0,"subsolo",-Z79&amp;"º subsolo"),IF(Z79=0,"térreo",Z79&amp;"º pav."))&amp;")"))))))</f>
        <v/>
      </c>
    </row>
    <row r="80">
      <c r="B80" s="4" t="n">
        <v>13584660</v>
      </c>
      <c r="C80" s="4" t="inlineStr">
        <is>
          <t>FUNDAÇÃO PROFUNDA</t>
        </is>
      </c>
      <c r="D80" s="4" t="inlineStr">
        <is>
          <t xml:space="preserve">P2B </t>
        </is>
      </c>
      <c r="E80" s="4" t="inlineStr">
        <is>
          <t>SERVIÇOS INICIAIS</t>
        </is>
      </c>
      <c r="F80" s="126" t="n">
        <v>46007</v>
      </c>
      <c r="G80" s="126" t="n">
        <v>46007</v>
      </c>
      <c r="H80" s="126" t="n">
        <v>46289</v>
      </c>
      <c r="I80" s="4" t="n">
        <v>100</v>
      </c>
      <c r="J80" s="4" t="n">
        <v>100</v>
      </c>
      <c r="K80" s="4" t="n">
        <v>100</v>
      </c>
      <c r="M80" s="2">
        <f>IF(C80="","",IFERROR(INDEX($S$5:$S$304,MATCH(C80,$R$5:$R$304,0))&amp;"","?"))</f>
        <v/>
      </c>
      <c r="N80" s="2">
        <f>IF(E80="","",IF(ISNUMBER(SEARCH("SUBSOLO",E80)),IFERROR(-VALUE(LEFT(E80,FIND("º",SUBSTITUTE(E80,"°","º"))-1)),-1),IF(LEFT(E80,6)="TÉRREO",0,IFERROR(VALUE(LEFT(E80,FIND("º",SUBSTITUTE(E80,"°","º"))-1)),""))))</f>
        <v/>
      </c>
      <c r="O80" s="2">
        <f>IF(OR(F80="",G80=""),"",IF(G80&lt;='RETRATO 2027'!$K$5,"CONCLUÍDA",IF(F80&lt;='RETRATO 2027'!$K$5,"EM ANDAMENTO","A INICIAR")))</f>
        <v/>
      </c>
      <c r="R80" s="4" t="inlineStr">
        <is>
          <t>BANCADAS</t>
        </is>
      </c>
      <c r="S80" s="4" t="inlineStr">
        <is>
          <t>30</t>
        </is>
      </c>
      <c r="T80" s="4" t="inlineStr">
        <is>
          <t>Bancadas</t>
        </is>
      </c>
      <c r="U80" s="4" t="inlineStr">
        <is>
          <t>SIM</t>
        </is>
      </c>
      <c r="V80" s="2">
        <f>IF(R80="","",COUNTIF($C$5:$C$6004,R80))</f>
        <v/>
      </c>
      <c r="W80" s="2">
        <f>IF(R80="","",COUNTIFS($C$5:$C$6004,R80,$O$5:$O$6004,"CONCLUÍDA"))</f>
        <v/>
      </c>
      <c r="X80" s="2">
        <f>IF(R80="","",COUNTIFS($C$5:$C$6004,R80,$O$5:$O$6004,"EM ANDAMENTO"))</f>
        <v/>
      </c>
      <c r="Y80" s="2">
        <f>IF(R80="","",IF(COUNTIFS($C$5:$C$6004,R80,$O$5:$O$6004,"CONCLUÍDA",$N$5:$N$6004,"&gt;=-99")=0,"",_xlfn.MAXIFS($N$5:$N$6004,$C$5:$C$6004,R80,$O$5:$O$6004,"CONCLUÍDA")))</f>
        <v/>
      </c>
      <c r="Z80" s="2">
        <f>IF(R80="","",IF(COUNTIFS($C$5:$C$6004,R80,$O$5:$O$6004,"EM ANDAMENTO",$N$5:$N$6004,"&gt;=-99")=0,"",_xlfn.MAXIFS($N$5:$N$6004,$C$5:$C$6004,R80,$O$5:$O$6004,"EM ANDAMENTO")))</f>
        <v/>
      </c>
      <c r="AA80" s="2">
        <f>IF(OR(R80="",S80="",U80&lt;&gt;"SIM",V80=0),"",IF(W80+X80=0,"",T80&amp;": "&amp;IF(W80=V80,"concluído",IF(W80=0,"em execução"&amp;IF(Z80&lt;&gt;""," ("&amp;IF(Z80&lt;0,IF(COUNTIF($E$5:$E$6004,"SUBSOLO*")&gt;0,"subsolo",-Z80&amp;"º subsolo"),IF(Z80=0,"térreo",Z80&amp;"º pav."))&amp;")",""),IF(Y80&lt;&gt;"","até "&amp;IF(Y80&lt;0,IF(COUNTIF($E$5:$E$6004,"SUBSOLO*")&gt;0,"subsolo",-Y80&amp;"º subsolo"),IF(Y80=0,"térreo",Y80&amp;"º pav.")),W80&amp;" de "&amp;V80&amp;" concluídas")&amp;IF(Z80="","",IF(OR(Y80="",Z80&gt;Y80),", executando "&amp;IF(Z80&lt;0,IF(COUNTIF($E$5:$E$6004,"SUBSOLO*")&gt;0,"subsolo",-Z80&amp;"º subsolo"),IF(Z80=0,"térreo",Z80&amp;"º pav."))," (restam serviços no "&amp;IF(Z80&lt;0,IF(COUNTIF($E$5:$E$6004,"SUBSOLO*")&gt;0,"subsolo",-Z80&amp;"º subsolo"),IF(Z80=0,"térreo",Z80&amp;"º pav."))&amp;")"))))))</f>
        <v/>
      </c>
    </row>
    <row r="81">
      <c r="B81" s="4" t="n">
        <v>13584661</v>
      </c>
      <c r="C81" s="4" t="inlineStr">
        <is>
          <t>FUNDAÇÃO PROFUNDA</t>
        </is>
      </c>
      <c r="D81" s="4" t="inlineStr">
        <is>
          <t xml:space="preserve">P146 </t>
        </is>
      </c>
      <c r="E81" s="4" t="inlineStr">
        <is>
          <t>SERVIÇOS INICIAIS</t>
        </is>
      </c>
      <c r="F81" s="126" t="n">
        <v>46008</v>
      </c>
      <c r="G81" s="126" t="n">
        <v>46010</v>
      </c>
      <c r="H81" s="126" t="n">
        <v>46289</v>
      </c>
      <c r="I81" s="4" t="n">
        <v>100</v>
      </c>
      <c r="J81" s="4" t="n">
        <v>100</v>
      </c>
      <c r="K81" s="4" t="n">
        <v>100</v>
      </c>
      <c r="M81" s="2">
        <f>IF(C81="","",IFERROR(INDEX($S$5:$S$304,MATCH(C81,$R$5:$R$304,0))&amp;"","?"))</f>
        <v/>
      </c>
      <c r="N81" s="2">
        <f>IF(E81="","",IF(ISNUMBER(SEARCH("SUBSOLO",E81)),IFERROR(-VALUE(LEFT(E81,FIND("º",SUBSTITUTE(E81,"°","º"))-1)),-1),IF(LEFT(E81,6)="TÉRREO",0,IFERROR(VALUE(LEFT(E81,FIND("º",SUBSTITUTE(E81,"°","º"))-1)),""))))</f>
        <v/>
      </c>
      <c r="O81" s="2">
        <f>IF(OR(F81="",G81=""),"",IF(G81&lt;='RETRATO 2027'!$K$5,"CONCLUÍDA",IF(F81&lt;='RETRATO 2027'!$K$5,"EM ANDAMENTO","A INICIAR")))</f>
        <v/>
      </c>
      <c r="R81" s="4" t="inlineStr">
        <is>
          <t>INSTALAÇÕES ELÉTRICAS</t>
        </is>
      </c>
      <c r="S81" s="4" t="inlineStr">
        <is>
          <t>20</t>
        </is>
      </c>
      <c r="T81" s="4" t="inlineStr">
        <is>
          <t>Inst. elétricas</t>
        </is>
      </c>
      <c r="U81" s="4" t="inlineStr">
        <is>
          <t>NÃO</t>
        </is>
      </c>
      <c r="V81" s="2">
        <f>IF(R81="","",COUNTIF($C$5:$C$6004,R81))</f>
        <v/>
      </c>
      <c r="W81" s="2">
        <f>IF(R81="","",COUNTIFS($C$5:$C$6004,R81,$O$5:$O$6004,"CONCLUÍDA"))</f>
        <v/>
      </c>
      <c r="X81" s="2">
        <f>IF(R81="","",COUNTIFS($C$5:$C$6004,R81,$O$5:$O$6004,"EM ANDAMENTO"))</f>
        <v/>
      </c>
      <c r="Y81" s="2">
        <f>IF(R81="","",IF(COUNTIFS($C$5:$C$6004,R81,$O$5:$O$6004,"CONCLUÍDA",$N$5:$N$6004,"&gt;=-99")=0,"",_xlfn.MAXIFS($N$5:$N$6004,$C$5:$C$6004,R81,$O$5:$O$6004,"CONCLUÍDA")))</f>
        <v/>
      </c>
      <c r="Z81" s="2">
        <f>IF(R81="","",IF(COUNTIFS($C$5:$C$6004,R81,$O$5:$O$6004,"EM ANDAMENTO",$N$5:$N$6004,"&gt;=-99")=0,"",_xlfn.MAXIFS($N$5:$N$6004,$C$5:$C$6004,R81,$O$5:$O$6004,"EM ANDAMENTO")))</f>
        <v/>
      </c>
      <c r="AA81" s="2">
        <f>IF(OR(R81="",S81="",U81&lt;&gt;"SIM",V81=0),"",IF(W81+X81=0,"",T81&amp;": "&amp;IF(W81=V81,"concluído",IF(W81=0,"em execução"&amp;IF(Z81&lt;&gt;""," ("&amp;IF(Z81&lt;0,IF(COUNTIF($E$5:$E$6004,"SUBSOLO*")&gt;0,"subsolo",-Z81&amp;"º subsolo"),IF(Z81=0,"térreo",Z81&amp;"º pav."))&amp;")",""),IF(Y81&lt;&gt;"","até "&amp;IF(Y81&lt;0,IF(COUNTIF($E$5:$E$6004,"SUBSOLO*")&gt;0,"subsolo",-Y81&amp;"º subsolo"),IF(Y81=0,"térreo",Y81&amp;"º pav.")),W81&amp;" de "&amp;V81&amp;" concluídas")&amp;IF(Z81="","",IF(OR(Y81="",Z81&gt;Y81),", executando "&amp;IF(Z81&lt;0,IF(COUNTIF($E$5:$E$6004,"SUBSOLO*")&gt;0,"subsolo",-Z81&amp;"º subsolo"),IF(Z81=0,"térreo",Z81&amp;"º pav."))," (restam serviços no "&amp;IF(Z81&lt;0,IF(COUNTIF($E$5:$E$6004,"SUBSOLO*")&gt;0,"subsolo",-Z81&amp;"º subsolo"),IF(Z81=0,"térreo",Z81&amp;"º pav."))&amp;")"))))))</f>
        <v/>
      </c>
    </row>
    <row r="82">
      <c r="B82" s="4" t="n">
        <v>13584662</v>
      </c>
      <c r="C82" s="4" t="inlineStr">
        <is>
          <t>FUNDAÇÃO PROFUNDA</t>
        </is>
      </c>
      <c r="D82" s="4" t="inlineStr">
        <is>
          <t>P901I e  P3A</t>
        </is>
      </c>
      <c r="E82" s="4" t="inlineStr">
        <is>
          <t>SERVIÇOS INICIAIS</t>
        </is>
      </c>
      <c r="F82" s="126" t="n">
        <v>46027</v>
      </c>
      <c r="G82" s="126" t="n">
        <v>46027</v>
      </c>
      <c r="H82" s="126" t="n">
        <v>46289</v>
      </c>
      <c r="I82" s="4" t="n">
        <v>100</v>
      </c>
      <c r="J82" s="4" t="n">
        <v>100</v>
      </c>
      <c r="K82" s="4" t="n">
        <v>100</v>
      </c>
      <c r="M82" s="2">
        <f>IF(C82="","",IFERROR(INDEX($S$5:$S$304,MATCH(C82,$R$5:$R$304,0))&amp;"","?"))</f>
        <v/>
      </c>
      <c r="N82" s="2">
        <f>IF(E82="","",IF(ISNUMBER(SEARCH("SUBSOLO",E82)),IFERROR(-VALUE(LEFT(E82,FIND("º",SUBSTITUTE(E82,"°","º"))-1)),-1),IF(LEFT(E82,6)="TÉRREO",0,IFERROR(VALUE(LEFT(E82,FIND("º",SUBSTITUTE(E82,"°","º"))-1)),""))))</f>
        <v/>
      </c>
      <c r="O82" s="2">
        <f>IF(OR(F82="",G82=""),"",IF(G82&lt;='RETRATO 2027'!$K$5,"CONCLUÍDA",IF(F82&lt;='RETRATO 2027'!$K$5,"EM ANDAMENTO","A INICIAR")))</f>
        <v/>
      </c>
      <c r="R82" s="4" t="inlineStr">
        <is>
          <t>INSTALAÇÕES HIDRÁULICAS</t>
        </is>
      </c>
      <c r="S82" s="4" t="inlineStr">
        <is>
          <t>21</t>
        </is>
      </c>
      <c r="T82" s="4" t="inlineStr">
        <is>
          <t>Inst. hidráulicas</t>
        </is>
      </c>
      <c r="U82" s="4" t="inlineStr">
        <is>
          <t>NÃO</t>
        </is>
      </c>
      <c r="V82" s="2">
        <f>IF(R82="","",COUNTIF($C$5:$C$6004,R82))</f>
        <v/>
      </c>
      <c r="W82" s="2">
        <f>IF(R82="","",COUNTIFS($C$5:$C$6004,R82,$O$5:$O$6004,"CONCLUÍDA"))</f>
        <v/>
      </c>
      <c r="X82" s="2">
        <f>IF(R82="","",COUNTIFS($C$5:$C$6004,R82,$O$5:$O$6004,"EM ANDAMENTO"))</f>
        <v/>
      </c>
      <c r="Y82" s="2">
        <f>IF(R82="","",IF(COUNTIFS($C$5:$C$6004,R82,$O$5:$O$6004,"CONCLUÍDA",$N$5:$N$6004,"&gt;=-99")=0,"",_xlfn.MAXIFS($N$5:$N$6004,$C$5:$C$6004,R82,$O$5:$O$6004,"CONCLUÍDA")))</f>
        <v/>
      </c>
      <c r="Z82" s="2">
        <f>IF(R82="","",IF(COUNTIFS($C$5:$C$6004,R82,$O$5:$O$6004,"EM ANDAMENTO",$N$5:$N$6004,"&gt;=-99")=0,"",_xlfn.MAXIFS($N$5:$N$6004,$C$5:$C$6004,R82,$O$5:$O$6004,"EM ANDAMENTO")))</f>
        <v/>
      </c>
      <c r="AA82" s="2">
        <f>IF(OR(R82="",S82="",U82&lt;&gt;"SIM",V82=0),"",IF(W82+X82=0,"",T82&amp;": "&amp;IF(W82=V82,"concluído",IF(W82=0,"em execução"&amp;IF(Z82&lt;&gt;""," ("&amp;IF(Z82&lt;0,IF(COUNTIF($E$5:$E$6004,"SUBSOLO*")&gt;0,"subsolo",-Z82&amp;"º subsolo"),IF(Z82=0,"térreo",Z82&amp;"º pav."))&amp;")",""),IF(Y82&lt;&gt;"","até "&amp;IF(Y82&lt;0,IF(COUNTIF($E$5:$E$6004,"SUBSOLO*")&gt;0,"subsolo",-Y82&amp;"º subsolo"),IF(Y82=0,"térreo",Y82&amp;"º pav.")),W82&amp;" de "&amp;V82&amp;" concluídas")&amp;IF(Z82="","",IF(OR(Y82="",Z82&gt;Y82),", executando "&amp;IF(Z82&lt;0,IF(COUNTIF($E$5:$E$6004,"SUBSOLO*")&gt;0,"subsolo",-Z82&amp;"º subsolo"),IF(Z82=0,"térreo",Z82&amp;"º pav."))," (restam serviços no "&amp;IF(Z82&lt;0,IF(COUNTIF($E$5:$E$6004,"SUBSOLO*")&gt;0,"subsolo",-Z82&amp;"º subsolo"),IF(Z82=0,"térreo",Z82&amp;"º pav."))&amp;")"))))))</f>
        <v/>
      </c>
    </row>
    <row r="83">
      <c r="B83" s="4" t="n">
        <v>13584663</v>
      </c>
      <c r="C83" s="4" t="inlineStr">
        <is>
          <t>FUNDAÇÃO PROFUNDA</t>
        </is>
      </c>
      <c r="D83" s="4" t="inlineStr">
        <is>
          <t>P901J e P901Y</t>
        </is>
      </c>
      <c r="E83" s="4" t="inlineStr">
        <is>
          <t>SERVIÇOS INICIAIS</t>
        </is>
      </c>
      <c r="F83" s="126" t="n">
        <v>46028</v>
      </c>
      <c r="G83" s="126" t="n">
        <v>46028</v>
      </c>
      <c r="H83" s="126" t="n">
        <v>46289</v>
      </c>
      <c r="I83" s="4" t="n">
        <v>100</v>
      </c>
      <c r="J83" s="4" t="n">
        <v>100</v>
      </c>
      <c r="K83" s="4" t="n">
        <v>100</v>
      </c>
      <c r="M83" s="2">
        <f>IF(C83="","",IFERROR(INDEX($S$5:$S$304,MATCH(C83,$R$5:$R$304,0))&amp;"","?"))</f>
        <v/>
      </c>
      <c r="N83" s="2">
        <f>IF(E83="","",IF(ISNUMBER(SEARCH("SUBSOLO",E83)),IFERROR(-VALUE(LEFT(E83,FIND("º",SUBSTITUTE(E83,"°","º"))-1)),-1),IF(LEFT(E83,6)="TÉRREO",0,IFERROR(VALUE(LEFT(E83,FIND("º",SUBSTITUTE(E83,"°","º"))-1)),""))))</f>
        <v/>
      </c>
      <c r="O83" s="2">
        <f>IF(OR(F83="",G83=""),"",IF(G83&lt;='RETRATO 2027'!$K$5,"CONCLUÍDA",IF(F83&lt;='RETRATO 2027'!$K$5,"EM ANDAMENTO","A INICIAR")))</f>
        <v/>
      </c>
      <c r="R83" s="4" t="inlineStr">
        <is>
          <t>FIAÇÃO ELÉTRICA</t>
        </is>
      </c>
      <c r="S83" s="4" t="inlineStr">
        <is>
          <t>20</t>
        </is>
      </c>
      <c r="T83" s="4" t="inlineStr">
        <is>
          <t>Fiação elétrica</t>
        </is>
      </c>
      <c r="U83" s="4" t="inlineStr">
        <is>
          <t>SIM</t>
        </is>
      </c>
      <c r="V83" s="2">
        <f>IF(R83="","",COUNTIF($C$5:$C$6004,R83))</f>
        <v/>
      </c>
      <c r="W83" s="2">
        <f>IF(R83="","",COUNTIFS($C$5:$C$6004,R83,$O$5:$O$6004,"CONCLUÍDA"))</f>
        <v/>
      </c>
      <c r="X83" s="2">
        <f>IF(R83="","",COUNTIFS($C$5:$C$6004,R83,$O$5:$O$6004,"EM ANDAMENTO"))</f>
        <v/>
      </c>
      <c r="Y83" s="2">
        <f>IF(R83="","",IF(COUNTIFS($C$5:$C$6004,R83,$O$5:$O$6004,"CONCLUÍDA",$N$5:$N$6004,"&gt;=-99")=0,"",_xlfn.MAXIFS($N$5:$N$6004,$C$5:$C$6004,R83,$O$5:$O$6004,"CONCLUÍDA")))</f>
        <v/>
      </c>
      <c r="Z83" s="2">
        <f>IF(R83="","",IF(COUNTIFS($C$5:$C$6004,R83,$O$5:$O$6004,"EM ANDAMENTO",$N$5:$N$6004,"&gt;=-99")=0,"",_xlfn.MAXIFS($N$5:$N$6004,$C$5:$C$6004,R83,$O$5:$O$6004,"EM ANDAMENTO")))</f>
        <v/>
      </c>
      <c r="AA83" s="2">
        <f>IF(OR(R83="",S83="",U83&lt;&gt;"SIM",V83=0),"",IF(W83+X83=0,"",T83&amp;": "&amp;IF(W83=V83,"concluído",IF(W83=0,"em execução"&amp;IF(Z83&lt;&gt;""," ("&amp;IF(Z83&lt;0,IF(COUNTIF($E$5:$E$6004,"SUBSOLO*")&gt;0,"subsolo",-Z83&amp;"º subsolo"),IF(Z83=0,"térreo",Z83&amp;"º pav."))&amp;")",""),IF(Y83&lt;&gt;"","até "&amp;IF(Y83&lt;0,IF(COUNTIF($E$5:$E$6004,"SUBSOLO*")&gt;0,"subsolo",-Y83&amp;"º subsolo"),IF(Y83=0,"térreo",Y83&amp;"º pav.")),W83&amp;" de "&amp;V83&amp;" concluídas")&amp;IF(Z83="","",IF(OR(Y83="",Z83&gt;Y83),", executando "&amp;IF(Z83&lt;0,IF(COUNTIF($E$5:$E$6004,"SUBSOLO*")&gt;0,"subsolo",-Z83&amp;"º subsolo"),IF(Z83=0,"térreo",Z83&amp;"º pav."))," (restam serviços no "&amp;IF(Z83&lt;0,IF(COUNTIF($E$5:$E$6004,"SUBSOLO*")&gt;0,"subsolo",-Z83&amp;"º subsolo"),IF(Z83=0,"térreo",Z83&amp;"º pav."))&amp;")"))))))</f>
        <v/>
      </c>
    </row>
    <row r="84">
      <c r="B84" s="4" t="n">
        <v>13584664</v>
      </c>
      <c r="C84" s="4" t="inlineStr">
        <is>
          <t>FUNDAÇÃO PROFUNDA</t>
        </is>
      </c>
      <c r="D84" s="4" t="inlineStr">
        <is>
          <t xml:space="preserve">P3C </t>
        </is>
      </c>
      <c r="E84" s="4" t="inlineStr">
        <is>
          <t>SERVIÇOS INICIAIS</t>
        </is>
      </c>
      <c r="F84" s="126" t="n">
        <v>46029</v>
      </c>
      <c r="G84" s="126" t="n">
        <v>46029</v>
      </c>
      <c r="H84" s="126" t="n">
        <v>46289</v>
      </c>
      <c r="I84" s="4" t="n">
        <v>100</v>
      </c>
      <c r="J84" s="4" t="n">
        <v>100</v>
      </c>
      <c r="K84" s="4" t="n">
        <v>100</v>
      </c>
      <c r="M84" s="2">
        <f>IF(C84="","",IFERROR(INDEX($S$5:$S$304,MATCH(C84,$R$5:$R$304,0))&amp;"","?"))</f>
        <v/>
      </c>
      <c r="N84" s="2">
        <f>IF(E84="","",IF(ISNUMBER(SEARCH("SUBSOLO",E84)),IFERROR(-VALUE(LEFT(E84,FIND("º",SUBSTITUTE(E84,"°","º"))-1)),-1),IF(LEFT(E84,6)="TÉRREO",0,IFERROR(VALUE(LEFT(E84,FIND("º",SUBSTITUTE(E84,"°","º"))-1)),""))))</f>
        <v/>
      </c>
      <c r="O84" s="2">
        <f>IF(OR(F84="",G84=""),"",IF(G84&lt;='RETRATO 2027'!$K$5,"CONCLUÍDA",IF(F84&lt;='RETRATO 2027'!$K$5,"EM ANDAMENTO","A INICIAR")))</f>
        <v/>
      </c>
      <c r="R84" s="4" t="inlineStr">
        <is>
          <t>PRUMADA ELÉTRICA - CABOS</t>
        </is>
      </c>
      <c r="S84" s="4" t="inlineStr">
        <is>
          <t>20</t>
        </is>
      </c>
      <c r="T84" s="4" t="inlineStr">
        <is>
          <t>Prumada elétrica - cabos</t>
        </is>
      </c>
      <c r="U84" s="4" t="inlineStr">
        <is>
          <t>SIM</t>
        </is>
      </c>
      <c r="V84" s="2">
        <f>IF(R84="","",COUNTIF($C$5:$C$6004,R84))</f>
        <v/>
      </c>
      <c r="W84" s="2">
        <f>IF(R84="","",COUNTIFS($C$5:$C$6004,R84,$O$5:$O$6004,"CONCLUÍDA"))</f>
        <v/>
      </c>
      <c r="X84" s="2">
        <f>IF(R84="","",COUNTIFS($C$5:$C$6004,R84,$O$5:$O$6004,"EM ANDAMENTO"))</f>
        <v/>
      </c>
      <c r="Y84" s="2">
        <f>IF(R84="","",IF(COUNTIFS($C$5:$C$6004,R84,$O$5:$O$6004,"CONCLUÍDA",$N$5:$N$6004,"&gt;=-99")=0,"",_xlfn.MAXIFS($N$5:$N$6004,$C$5:$C$6004,R84,$O$5:$O$6004,"CONCLUÍDA")))</f>
        <v/>
      </c>
      <c r="Z84" s="2">
        <f>IF(R84="","",IF(COUNTIFS($C$5:$C$6004,R84,$O$5:$O$6004,"EM ANDAMENTO",$N$5:$N$6004,"&gt;=-99")=0,"",_xlfn.MAXIFS($N$5:$N$6004,$C$5:$C$6004,R84,$O$5:$O$6004,"EM ANDAMENTO")))</f>
        <v/>
      </c>
      <c r="AA84" s="2">
        <f>IF(OR(R84="",S84="",U84&lt;&gt;"SIM",V84=0),"",IF(W84+X84=0,"",T84&amp;": "&amp;IF(W84=V84,"concluído",IF(W84=0,"em execução"&amp;IF(Z84&lt;&gt;""," ("&amp;IF(Z84&lt;0,IF(COUNTIF($E$5:$E$6004,"SUBSOLO*")&gt;0,"subsolo",-Z84&amp;"º subsolo"),IF(Z84=0,"térreo",Z84&amp;"º pav."))&amp;")",""),IF(Y84&lt;&gt;"","até "&amp;IF(Y84&lt;0,IF(COUNTIF($E$5:$E$6004,"SUBSOLO*")&gt;0,"subsolo",-Y84&amp;"º subsolo"),IF(Y84=0,"térreo",Y84&amp;"º pav.")),W84&amp;" de "&amp;V84&amp;" concluídas")&amp;IF(Z84="","",IF(OR(Y84="",Z84&gt;Y84),", executando "&amp;IF(Z84&lt;0,IF(COUNTIF($E$5:$E$6004,"SUBSOLO*")&gt;0,"subsolo",-Z84&amp;"º subsolo"),IF(Z84=0,"térreo",Z84&amp;"º pav."))," (restam serviços no "&amp;IF(Z84&lt;0,IF(COUNTIF($E$5:$E$6004,"SUBSOLO*")&gt;0,"subsolo",-Z84&amp;"º subsolo"),IF(Z84=0,"térreo",Z84&amp;"º pav."))&amp;")"))))))</f>
        <v/>
      </c>
    </row>
    <row r="85">
      <c r="B85" s="4" t="n">
        <v>13584665</v>
      </c>
      <c r="C85" s="4" t="inlineStr">
        <is>
          <t>FUNDAÇÃO PROFUNDA</t>
        </is>
      </c>
      <c r="D85" s="4" t="inlineStr">
        <is>
          <t>P4B e P901S</t>
        </is>
      </c>
      <c r="E85" s="4" t="inlineStr">
        <is>
          <t>SERVIÇOS INICIAIS</t>
        </is>
      </c>
      <c r="F85" s="126" t="n">
        <v>46030</v>
      </c>
      <c r="G85" s="126" t="n">
        <v>46030</v>
      </c>
      <c r="H85" s="126" t="n">
        <v>46289</v>
      </c>
      <c r="I85" s="4" t="n">
        <v>100</v>
      </c>
      <c r="J85" s="4" t="n">
        <v>100</v>
      </c>
      <c r="K85" s="4" t="n">
        <v>100</v>
      </c>
      <c r="M85" s="2">
        <f>IF(C85="","",IFERROR(INDEX($S$5:$S$304,MATCH(C85,$R$5:$R$304,0))&amp;"","?"))</f>
        <v/>
      </c>
      <c r="N85" s="2">
        <f>IF(E85="","",IF(ISNUMBER(SEARCH("SUBSOLO",E85)),IFERROR(-VALUE(LEFT(E85,FIND("º",SUBSTITUTE(E85,"°","º"))-1)),-1),IF(LEFT(E85,6)="TÉRREO",0,IFERROR(VALUE(LEFT(E85,FIND("º",SUBSTITUTE(E85,"°","º"))-1)),""))))</f>
        <v/>
      </c>
      <c r="O85" s="2">
        <f>IF(OR(F85="",G85=""),"",IF(G85&lt;='RETRATO 2027'!$K$5,"CONCLUÍDA",IF(F85&lt;='RETRATO 2027'!$K$5,"EM ANDAMENTO","A INICIAR")))</f>
        <v/>
      </c>
      <c r="R85" s="4" t="inlineStr">
        <is>
          <t>FIAÇÃO TELECOM/DADOS</t>
        </is>
      </c>
      <c r="S85" s="4" t="inlineStr">
        <is>
          <t>20</t>
        </is>
      </c>
      <c r="T85" s="4" t="inlineStr">
        <is>
          <t>Fiação telecom/dados</t>
        </is>
      </c>
      <c r="U85" s="4" t="inlineStr">
        <is>
          <t>SIM</t>
        </is>
      </c>
      <c r="V85" s="2">
        <f>IF(R85="","",COUNTIF($C$5:$C$6004,R85))</f>
        <v/>
      </c>
      <c r="W85" s="2">
        <f>IF(R85="","",COUNTIFS($C$5:$C$6004,R85,$O$5:$O$6004,"CONCLUÍDA"))</f>
        <v/>
      </c>
      <c r="X85" s="2">
        <f>IF(R85="","",COUNTIFS($C$5:$C$6004,R85,$O$5:$O$6004,"EM ANDAMENTO"))</f>
        <v/>
      </c>
      <c r="Y85" s="2">
        <f>IF(R85="","",IF(COUNTIFS($C$5:$C$6004,R85,$O$5:$O$6004,"CONCLUÍDA",$N$5:$N$6004,"&gt;=-99")=0,"",_xlfn.MAXIFS($N$5:$N$6004,$C$5:$C$6004,R85,$O$5:$O$6004,"CONCLUÍDA")))</f>
        <v/>
      </c>
      <c r="Z85" s="2">
        <f>IF(R85="","",IF(COUNTIFS($C$5:$C$6004,R85,$O$5:$O$6004,"EM ANDAMENTO",$N$5:$N$6004,"&gt;=-99")=0,"",_xlfn.MAXIFS($N$5:$N$6004,$C$5:$C$6004,R85,$O$5:$O$6004,"EM ANDAMENTO")))</f>
        <v/>
      </c>
      <c r="AA85" s="2">
        <f>IF(OR(R85="",S85="",U85&lt;&gt;"SIM",V85=0),"",IF(W85+X85=0,"",T85&amp;": "&amp;IF(W85=V85,"concluído",IF(W85=0,"em execução"&amp;IF(Z85&lt;&gt;""," ("&amp;IF(Z85&lt;0,IF(COUNTIF($E$5:$E$6004,"SUBSOLO*")&gt;0,"subsolo",-Z85&amp;"º subsolo"),IF(Z85=0,"térreo",Z85&amp;"º pav."))&amp;")",""),IF(Y85&lt;&gt;"","até "&amp;IF(Y85&lt;0,IF(COUNTIF($E$5:$E$6004,"SUBSOLO*")&gt;0,"subsolo",-Y85&amp;"º subsolo"),IF(Y85=0,"térreo",Y85&amp;"º pav.")),W85&amp;" de "&amp;V85&amp;" concluídas")&amp;IF(Z85="","",IF(OR(Y85="",Z85&gt;Y85),", executando "&amp;IF(Z85&lt;0,IF(COUNTIF($E$5:$E$6004,"SUBSOLO*")&gt;0,"subsolo",-Z85&amp;"º subsolo"),IF(Z85=0,"térreo",Z85&amp;"º pav."))," (restam serviços no "&amp;IF(Z85&lt;0,IF(COUNTIF($E$5:$E$6004,"SUBSOLO*")&gt;0,"subsolo",-Z85&amp;"º subsolo"),IF(Z85=0,"térreo",Z85&amp;"º pav."))&amp;")"))))))</f>
        <v/>
      </c>
    </row>
    <row r="86">
      <c r="B86" s="4" t="n">
        <v>13584666</v>
      </c>
      <c r="C86" s="4" t="inlineStr">
        <is>
          <t>FUNDAÇÃO PROFUNDA</t>
        </is>
      </c>
      <c r="D86" s="4" t="inlineStr">
        <is>
          <t xml:space="preserve">P24C </t>
        </is>
      </c>
      <c r="E86" s="4" t="inlineStr">
        <is>
          <t>SERVIÇOS INICIAIS</t>
        </is>
      </c>
      <c r="F86" s="126" t="n">
        <v>46031</v>
      </c>
      <c r="G86" s="126" t="n">
        <v>46031</v>
      </c>
      <c r="H86" s="126" t="n">
        <v>46289</v>
      </c>
      <c r="I86" s="4" t="n">
        <v>100</v>
      </c>
      <c r="J86" s="4" t="n">
        <v>100</v>
      </c>
      <c r="K86" s="4" t="n">
        <v>100</v>
      </c>
      <c r="M86" s="2">
        <f>IF(C86="","",IFERROR(INDEX($S$5:$S$304,MATCH(C86,$R$5:$R$304,0))&amp;"","?"))</f>
        <v/>
      </c>
      <c r="N86" s="2">
        <f>IF(E86="","",IF(ISNUMBER(SEARCH("SUBSOLO",E86)),IFERROR(-VALUE(LEFT(E86,FIND("º",SUBSTITUTE(E86,"°","º"))-1)),-1),IF(LEFT(E86,6)="TÉRREO",0,IFERROR(VALUE(LEFT(E86,FIND("º",SUBSTITUTE(E86,"°","º"))-1)),""))))</f>
        <v/>
      </c>
      <c r="O86" s="2">
        <f>IF(OR(F86="",G86=""),"",IF(G86&lt;='RETRATO 2027'!$K$5,"CONCLUÍDA",IF(F86&lt;='RETRATO 2027'!$K$5,"EM ANDAMENTO","A INICIAR")))</f>
        <v/>
      </c>
      <c r="R86" s="4" t="inlineStr">
        <is>
          <t>INSTALAÇÕES DE INCÊNDIO</t>
        </is>
      </c>
      <c r="S86" s="4" t="inlineStr">
        <is>
          <t>22</t>
        </is>
      </c>
      <c r="T86" s="4" t="inlineStr">
        <is>
          <t>Inst. de incêndio</t>
        </is>
      </c>
      <c r="U86" s="4" t="inlineStr">
        <is>
          <t>NÃO</t>
        </is>
      </c>
      <c r="V86" s="2">
        <f>IF(R86="","",COUNTIF($C$5:$C$6004,R86))</f>
        <v/>
      </c>
      <c r="W86" s="2">
        <f>IF(R86="","",COUNTIFS($C$5:$C$6004,R86,$O$5:$O$6004,"CONCLUÍDA"))</f>
        <v/>
      </c>
      <c r="X86" s="2">
        <f>IF(R86="","",COUNTIFS($C$5:$C$6004,R86,$O$5:$O$6004,"EM ANDAMENTO"))</f>
        <v/>
      </c>
      <c r="Y86" s="2">
        <f>IF(R86="","",IF(COUNTIFS($C$5:$C$6004,R86,$O$5:$O$6004,"CONCLUÍDA",$N$5:$N$6004,"&gt;=-99")=0,"",_xlfn.MAXIFS($N$5:$N$6004,$C$5:$C$6004,R86,$O$5:$O$6004,"CONCLUÍDA")))</f>
        <v/>
      </c>
      <c r="Z86" s="2">
        <f>IF(R86="","",IF(COUNTIFS($C$5:$C$6004,R86,$O$5:$O$6004,"EM ANDAMENTO",$N$5:$N$6004,"&gt;=-99")=0,"",_xlfn.MAXIFS($N$5:$N$6004,$C$5:$C$6004,R86,$O$5:$O$6004,"EM ANDAMENTO")))</f>
        <v/>
      </c>
      <c r="AA86" s="2">
        <f>IF(OR(R86="",S86="",U86&lt;&gt;"SIM",V86=0),"",IF(W86+X86=0,"",T86&amp;": "&amp;IF(W86=V86,"concluído",IF(W86=0,"em execução"&amp;IF(Z86&lt;&gt;""," ("&amp;IF(Z86&lt;0,IF(COUNTIF($E$5:$E$6004,"SUBSOLO*")&gt;0,"subsolo",-Z86&amp;"º subsolo"),IF(Z86=0,"térreo",Z86&amp;"º pav."))&amp;")",""),IF(Y86&lt;&gt;"","até "&amp;IF(Y86&lt;0,IF(COUNTIF($E$5:$E$6004,"SUBSOLO*")&gt;0,"subsolo",-Y86&amp;"º subsolo"),IF(Y86=0,"térreo",Y86&amp;"º pav.")),W86&amp;" de "&amp;V86&amp;" concluídas")&amp;IF(Z86="","",IF(OR(Y86="",Z86&gt;Y86),", executando "&amp;IF(Z86&lt;0,IF(COUNTIF($E$5:$E$6004,"SUBSOLO*")&gt;0,"subsolo",-Z86&amp;"º subsolo"),IF(Z86=0,"térreo",Z86&amp;"º pav."))," (restam serviços no "&amp;IF(Z86&lt;0,IF(COUNTIF($E$5:$E$6004,"SUBSOLO*")&gt;0,"subsolo",-Z86&amp;"º subsolo"),IF(Z86=0,"térreo",Z86&amp;"º pav."))&amp;")"))))))</f>
        <v/>
      </c>
    </row>
    <row r="87">
      <c r="B87" s="4" t="n">
        <v>13584667</v>
      </c>
      <c r="C87" s="4" t="inlineStr">
        <is>
          <t>FUNDAÇÃO PROFUNDA</t>
        </is>
      </c>
      <c r="D87" s="4" t="inlineStr">
        <is>
          <t>P901Z e P14A</t>
        </is>
      </c>
      <c r="E87" s="4" t="inlineStr">
        <is>
          <t>SERVIÇOS INICIAIS</t>
        </is>
      </c>
      <c r="F87" s="126" t="n">
        <v>46034</v>
      </c>
      <c r="G87" s="126" t="n">
        <v>46034</v>
      </c>
      <c r="H87" s="126" t="n">
        <v>46289</v>
      </c>
      <c r="I87" s="4" t="n">
        <v>100</v>
      </c>
      <c r="J87" s="4" t="n">
        <v>100</v>
      </c>
      <c r="K87" s="4" t="n">
        <v>100</v>
      </c>
      <c r="M87" s="2">
        <f>IF(C87="","",IFERROR(INDEX($S$5:$S$304,MATCH(C87,$R$5:$R$304,0))&amp;"","?"))</f>
        <v/>
      </c>
      <c r="N87" s="2">
        <f>IF(E87="","",IF(ISNUMBER(SEARCH("SUBSOLO",E87)),IFERROR(-VALUE(LEFT(E87,FIND("º",SUBSTITUTE(E87,"°","º"))-1)),-1),IF(LEFT(E87,6)="TÉRREO",0,IFERROR(VALUE(LEFT(E87,FIND("º",SUBSTITUTE(E87,"°","º"))-1)),""))))</f>
        <v/>
      </c>
      <c r="O87" s="2">
        <f>IF(OR(F87="",G87=""),"",IF(G87&lt;='RETRATO 2027'!$K$5,"CONCLUÍDA",IF(F87&lt;='RETRATO 2027'!$K$5,"EM ANDAMENTO","A INICIAR")))</f>
        <v/>
      </c>
      <c r="R87" s="4" t="inlineStr">
        <is>
          <t>PREPARAÇÃO PARA FACHADA AERADA - F3 + F4 (1º ETAPA)</t>
        </is>
      </c>
      <c r="S87" s="4" t="inlineStr">
        <is>
          <t>32</t>
        </is>
      </c>
      <c r="T87" s="4" t="inlineStr">
        <is>
          <t>Preparação para fachada aerada - F3 + F4 (1º etapa)</t>
        </is>
      </c>
      <c r="U87" s="4" t="inlineStr">
        <is>
          <t>SIM</t>
        </is>
      </c>
      <c r="V87" s="2">
        <f>IF(R87="","",COUNTIF($C$5:$C$6004,R87))</f>
        <v/>
      </c>
      <c r="W87" s="2">
        <f>IF(R87="","",COUNTIFS($C$5:$C$6004,R87,$O$5:$O$6004,"CONCLUÍDA"))</f>
        <v/>
      </c>
      <c r="X87" s="2">
        <f>IF(R87="","",COUNTIFS($C$5:$C$6004,R87,$O$5:$O$6004,"EM ANDAMENTO"))</f>
        <v/>
      </c>
      <c r="Y87" s="2">
        <f>IF(R87="","",IF(COUNTIFS($C$5:$C$6004,R87,$O$5:$O$6004,"CONCLUÍDA",$N$5:$N$6004,"&gt;=-99")=0,"",_xlfn.MAXIFS($N$5:$N$6004,$C$5:$C$6004,R87,$O$5:$O$6004,"CONCLUÍDA")))</f>
        <v/>
      </c>
      <c r="Z87" s="2">
        <f>IF(R87="","",IF(COUNTIFS($C$5:$C$6004,R87,$O$5:$O$6004,"EM ANDAMENTO",$N$5:$N$6004,"&gt;=-99")=0,"",_xlfn.MAXIFS($N$5:$N$6004,$C$5:$C$6004,R87,$O$5:$O$6004,"EM ANDAMENTO")))</f>
        <v/>
      </c>
      <c r="AA87" s="2">
        <f>IF(OR(R87="",S87="",U87&lt;&gt;"SIM",V87=0),"",IF(W87+X87=0,"",T87&amp;": "&amp;IF(W87=V87,"concluído",IF(W87=0,"em execução"&amp;IF(Z87&lt;&gt;""," ("&amp;IF(Z87&lt;0,IF(COUNTIF($E$5:$E$6004,"SUBSOLO*")&gt;0,"subsolo",-Z87&amp;"º subsolo"),IF(Z87=0,"térreo",Z87&amp;"º pav."))&amp;")",""),IF(Y87&lt;&gt;"","até "&amp;IF(Y87&lt;0,IF(COUNTIF($E$5:$E$6004,"SUBSOLO*")&gt;0,"subsolo",-Y87&amp;"º subsolo"),IF(Y87=0,"térreo",Y87&amp;"º pav.")),W87&amp;" de "&amp;V87&amp;" concluídas")&amp;IF(Z87="","",IF(OR(Y87="",Z87&gt;Y87),", executando "&amp;IF(Z87&lt;0,IF(COUNTIF($E$5:$E$6004,"SUBSOLO*")&gt;0,"subsolo",-Z87&amp;"º subsolo"),IF(Z87=0,"térreo",Z87&amp;"º pav."))," (restam serviços no "&amp;IF(Z87&lt;0,IF(COUNTIF($E$5:$E$6004,"SUBSOLO*")&gt;0,"subsolo",-Z87&amp;"º subsolo"),IF(Z87=0,"térreo",Z87&amp;"º pav."))&amp;")"))))))</f>
        <v/>
      </c>
    </row>
    <row r="88">
      <c r="B88" s="4" t="n">
        <v>13584668</v>
      </c>
      <c r="C88" s="4" t="inlineStr">
        <is>
          <t>FUNDAÇÃO PROFUNDA</t>
        </is>
      </c>
      <c r="D88" s="4" t="inlineStr">
        <is>
          <t xml:space="preserve">P5A </t>
        </is>
      </c>
      <c r="E88" s="4" t="inlineStr">
        <is>
          <t>SERVIÇOS INICIAIS</t>
        </is>
      </c>
      <c r="F88" s="126" t="n">
        <v>46035</v>
      </c>
      <c r="G88" s="126" t="n">
        <v>46035</v>
      </c>
      <c r="H88" s="126" t="n">
        <v>46289</v>
      </c>
      <c r="I88" s="4" t="n">
        <v>100</v>
      </c>
      <c r="J88" s="4" t="n">
        <v>100</v>
      </c>
      <c r="K88" s="4" t="n">
        <v>100</v>
      </c>
      <c r="M88" s="2">
        <f>IF(C88="","",IFERROR(INDEX($S$5:$S$304,MATCH(C88,$R$5:$R$304,0))&amp;"","?"))</f>
        <v/>
      </c>
      <c r="N88" s="2">
        <f>IF(E88="","",IF(ISNUMBER(SEARCH("SUBSOLO",E88)),IFERROR(-VALUE(LEFT(E88,FIND("º",SUBSTITUTE(E88,"°","º"))-1)),-1),IF(LEFT(E88,6)="TÉRREO",0,IFERROR(VALUE(LEFT(E88,FIND("º",SUBSTITUTE(E88,"°","º"))-1)),""))))</f>
        <v/>
      </c>
      <c r="O88" s="2">
        <f>IF(OR(F88="",G88=""),"",IF(G88&lt;='RETRATO 2027'!$K$5,"CONCLUÍDA",IF(F88&lt;='RETRATO 2027'!$K$5,"EM ANDAMENTO","A INICIAR")))</f>
        <v/>
      </c>
      <c r="R88" s="4" t="inlineStr">
        <is>
          <t>FORRO</t>
        </is>
      </c>
      <c r="S88" s="4" t="inlineStr">
        <is>
          <t>33</t>
        </is>
      </c>
      <c r="T88" s="4" t="inlineStr">
        <is>
          <t>Forro</t>
        </is>
      </c>
      <c r="U88" s="4" t="inlineStr">
        <is>
          <t>SIM</t>
        </is>
      </c>
      <c r="V88" s="2">
        <f>IF(R88="","",COUNTIF($C$5:$C$6004,R88))</f>
        <v/>
      </c>
      <c r="W88" s="2">
        <f>IF(R88="","",COUNTIFS($C$5:$C$6004,R88,$O$5:$O$6004,"CONCLUÍDA"))</f>
        <v/>
      </c>
      <c r="X88" s="2">
        <f>IF(R88="","",COUNTIFS($C$5:$C$6004,R88,$O$5:$O$6004,"EM ANDAMENTO"))</f>
        <v/>
      </c>
      <c r="Y88" s="2">
        <f>IF(R88="","",IF(COUNTIFS($C$5:$C$6004,R88,$O$5:$O$6004,"CONCLUÍDA",$N$5:$N$6004,"&gt;=-99")=0,"",_xlfn.MAXIFS($N$5:$N$6004,$C$5:$C$6004,R88,$O$5:$O$6004,"CONCLUÍDA")))</f>
        <v/>
      </c>
      <c r="Z88" s="2">
        <f>IF(R88="","",IF(COUNTIFS($C$5:$C$6004,R88,$O$5:$O$6004,"EM ANDAMENTO",$N$5:$N$6004,"&gt;=-99")=0,"",_xlfn.MAXIFS($N$5:$N$6004,$C$5:$C$6004,R88,$O$5:$O$6004,"EM ANDAMENTO")))</f>
        <v/>
      </c>
      <c r="AA88" s="2">
        <f>IF(OR(R88="",S88="",U88&lt;&gt;"SIM",V88=0),"",IF(W88+X88=0,"",T88&amp;": "&amp;IF(W88=V88,"concluído",IF(W88=0,"em execução"&amp;IF(Z88&lt;&gt;""," ("&amp;IF(Z88&lt;0,IF(COUNTIF($E$5:$E$6004,"SUBSOLO*")&gt;0,"subsolo",-Z88&amp;"º subsolo"),IF(Z88=0,"térreo",Z88&amp;"º pav."))&amp;")",""),IF(Y88&lt;&gt;"","até "&amp;IF(Y88&lt;0,IF(COUNTIF($E$5:$E$6004,"SUBSOLO*")&gt;0,"subsolo",-Y88&amp;"º subsolo"),IF(Y88=0,"térreo",Y88&amp;"º pav.")),W88&amp;" de "&amp;V88&amp;" concluídas")&amp;IF(Z88="","",IF(OR(Y88="",Z88&gt;Y88),", executando "&amp;IF(Z88&lt;0,IF(COUNTIF($E$5:$E$6004,"SUBSOLO*")&gt;0,"subsolo",-Z88&amp;"º subsolo"),IF(Z88=0,"térreo",Z88&amp;"º pav."))," (restam serviços no "&amp;IF(Z88&lt;0,IF(COUNTIF($E$5:$E$6004,"SUBSOLO*")&gt;0,"subsolo",-Z88&amp;"º subsolo"),IF(Z88=0,"térreo",Z88&amp;"º pav."))&amp;")"))))))</f>
        <v/>
      </c>
    </row>
    <row r="89">
      <c r="B89" s="4" t="n">
        <v>13584669</v>
      </c>
      <c r="C89" s="4" t="inlineStr">
        <is>
          <t>FUNDAÇÃO PROFUNDA</t>
        </is>
      </c>
      <c r="D89" s="4" t="inlineStr">
        <is>
          <t>P6A e P901Z</t>
        </is>
      </c>
      <c r="E89" s="4" t="inlineStr">
        <is>
          <t>SERVIÇOS INICIAIS</t>
        </is>
      </c>
      <c r="F89" s="126" t="n">
        <v>46036</v>
      </c>
      <c r="G89" s="126" t="n">
        <v>46036</v>
      </c>
      <c r="H89" s="126" t="n">
        <v>46289</v>
      </c>
      <c r="I89" s="4" t="n">
        <v>100</v>
      </c>
      <c r="J89" s="4" t="n">
        <v>100</v>
      </c>
      <c r="K89" s="4" t="n">
        <v>100</v>
      </c>
      <c r="M89" s="2">
        <f>IF(C89="","",IFERROR(INDEX($S$5:$S$304,MATCH(C89,$R$5:$R$304,0))&amp;"","?"))</f>
        <v/>
      </c>
      <c r="N89" s="2">
        <f>IF(E89="","",IF(ISNUMBER(SEARCH("SUBSOLO",E89)),IFERROR(-VALUE(LEFT(E89,FIND("º",SUBSTITUTE(E89,"°","º"))-1)),-1),IF(LEFT(E89,6)="TÉRREO",0,IFERROR(VALUE(LEFT(E89,FIND("º",SUBSTITUTE(E89,"°","º"))-1)),""))))</f>
        <v/>
      </c>
      <c r="O89" s="2">
        <f>IF(OR(F89="",G89=""),"",IF(G89&lt;='RETRATO 2027'!$K$5,"CONCLUÍDA",IF(F89&lt;='RETRATO 2027'!$K$5,"EM ANDAMENTO","A INICIAR")))</f>
        <v/>
      </c>
      <c r="R89" s="4" t="inlineStr">
        <is>
          <t>SHAFT</t>
        </is>
      </c>
      <c r="S89" s="4" t="inlineStr">
        <is>
          <t>18</t>
        </is>
      </c>
      <c r="T89" s="4" t="inlineStr">
        <is>
          <t>Shaft</t>
        </is>
      </c>
      <c r="U89" s="4" t="inlineStr">
        <is>
          <t>NÃO</t>
        </is>
      </c>
      <c r="V89" s="2">
        <f>IF(R89="","",COUNTIF($C$5:$C$6004,R89))</f>
        <v/>
      </c>
      <c r="W89" s="2">
        <f>IF(R89="","",COUNTIFS($C$5:$C$6004,R89,$O$5:$O$6004,"CONCLUÍDA"))</f>
        <v/>
      </c>
      <c r="X89" s="2">
        <f>IF(R89="","",COUNTIFS($C$5:$C$6004,R89,$O$5:$O$6004,"EM ANDAMENTO"))</f>
        <v/>
      </c>
      <c r="Y89" s="2">
        <f>IF(R89="","",IF(COUNTIFS($C$5:$C$6004,R89,$O$5:$O$6004,"CONCLUÍDA",$N$5:$N$6004,"&gt;=-99")=0,"",_xlfn.MAXIFS($N$5:$N$6004,$C$5:$C$6004,R89,$O$5:$O$6004,"CONCLUÍDA")))</f>
        <v/>
      </c>
      <c r="Z89" s="2">
        <f>IF(R89="","",IF(COUNTIFS($C$5:$C$6004,R89,$O$5:$O$6004,"EM ANDAMENTO",$N$5:$N$6004,"&gt;=-99")=0,"",_xlfn.MAXIFS($N$5:$N$6004,$C$5:$C$6004,R89,$O$5:$O$6004,"EM ANDAMENTO")))</f>
        <v/>
      </c>
      <c r="AA89" s="2">
        <f>IF(OR(R89="",S89="",U89&lt;&gt;"SIM",V89=0),"",IF(W89+X89=0,"",T89&amp;": "&amp;IF(W89=V89,"concluído",IF(W89=0,"em execução"&amp;IF(Z89&lt;&gt;""," ("&amp;IF(Z89&lt;0,IF(COUNTIF($E$5:$E$6004,"SUBSOLO*")&gt;0,"subsolo",-Z89&amp;"º subsolo"),IF(Z89=0,"térreo",Z89&amp;"º pav."))&amp;")",""),IF(Y89&lt;&gt;"","até "&amp;IF(Y89&lt;0,IF(COUNTIF($E$5:$E$6004,"SUBSOLO*")&gt;0,"subsolo",-Y89&amp;"º subsolo"),IF(Y89=0,"térreo",Y89&amp;"º pav.")),W89&amp;" de "&amp;V89&amp;" concluídas")&amp;IF(Z89="","",IF(OR(Y89="",Z89&gt;Y89),", executando "&amp;IF(Z89&lt;0,IF(COUNTIF($E$5:$E$6004,"SUBSOLO*")&gt;0,"subsolo",-Z89&amp;"º subsolo"),IF(Z89=0,"térreo",Z89&amp;"º pav."))," (restam serviços no "&amp;IF(Z89&lt;0,IF(COUNTIF($E$5:$E$6004,"SUBSOLO*")&gt;0,"subsolo",-Z89&amp;"º subsolo"),IF(Z89=0,"térreo",Z89&amp;"º pav."))&amp;")"))))))</f>
        <v/>
      </c>
    </row>
    <row r="90">
      <c r="B90" s="4" t="n">
        <v>13584670</v>
      </c>
      <c r="C90" s="4" t="inlineStr">
        <is>
          <t>FUNDAÇÃO PROFUNDA</t>
        </is>
      </c>
      <c r="D90" s="4" t="inlineStr">
        <is>
          <t xml:space="preserve">P140 </t>
        </is>
      </c>
      <c r="E90" s="4" t="inlineStr">
        <is>
          <t>SERVIÇOS INICIAIS</t>
        </is>
      </c>
      <c r="F90" s="126" t="n">
        <v>46037</v>
      </c>
      <c r="G90" s="126" t="n">
        <v>46037</v>
      </c>
      <c r="H90" s="126" t="n">
        <v>46289</v>
      </c>
      <c r="I90" s="4" t="n">
        <v>100</v>
      </c>
      <c r="J90" s="4" t="n">
        <v>100</v>
      </c>
      <c r="K90" s="4" t="n">
        <v>100</v>
      </c>
      <c r="M90" s="2">
        <f>IF(C90="","",IFERROR(INDEX($S$5:$S$304,MATCH(C90,$R$5:$R$304,0))&amp;"","?"))</f>
        <v/>
      </c>
      <c r="N90" s="2">
        <f>IF(E90="","",IF(ISNUMBER(SEARCH("SUBSOLO",E90)),IFERROR(-VALUE(LEFT(E90,FIND("º",SUBSTITUTE(E90,"°","º"))-1)),-1),IF(LEFT(E90,6)="TÉRREO",0,IFERROR(VALUE(LEFT(E90,FIND("º",SUBSTITUTE(E90,"°","º"))-1)),""))))</f>
        <v/>
      </c>
      <c r="O90" s="2">
        <f>IF(OR(F90="",G90=""),"",IF(G90&lt;='RETRATO 2027'!$K$5,"CONCLUÍDA",IF(F90&lt;='RETRATO 2027'!$K$5,"EM ANDAMENTO","A INICIAR")))</f>
        <v/>
      </c>
      <c r="R90" s="4" t="inlineStr">
        <is>
          <t>PRESSURIZAÇÃO (VENTILAÇÃO)</t>
        </is>
      </c>
      <c r="S90" s="4" t="inlineStr">
        <is>
          <t>23</t>
        </is>
      </c>
      <c r="T90" s="4" t="inlineStr">
        <is>
          <t>Pressurização (ventilação)</t>
        </is>
      </c>
      <c r="U90" s="4" t="inlineStr">
        <is>
          <t>NÃO</t>
        </is>
      </c>
      <c r="V90" s="2">
        <f>IF(R90="","",COUNTIF($C$5:$C$6004,R90))</f>
        <v/>
      </c>
      <c r="W90" s="2">
        <f>IF(R90="","",COUNTIFS($C$5:$C$6004,R90,$O$5:$O$6004,"CONCLUÍDA"))</f>
        <v/>
      </c>
      <c r="X90" s="2">
        <f>IF(R90="","",COUNTIFS($C$5:$C$6004,R90,$O$5:$O$6004,"EM ANDAMENTO"))</f>
        <v/>
      </c>
      <c r="Y90" s="2">
        <f>IF(R90="","",IF(COUNTIFS($C$5:$C$6004,R90,$O$5:$O$6004,"CONCLUÍDA",$N$5:$N$6004,"&gt;=-99")=0,"",_xlfn.MAXIFS($N$5:$N$6004,$C$5:$C$6004,R90,$O$5:$O$6004,"CONCLUÍDA")))</f>
        <v/>
      </c>
      <c r="Z90" s="2">
        <f>IF(R90="","",IF(COUNTIFS($C$5:$C$6004,R90,$O$5:$O$6004,"EM ANDAMENTO",$N$5:$N$6004,"&gt;=-99")=0,"",_xlfn.MAXIFS($N$5:$N$6004,$C$5:$C$6004,R90,$O$5:$O$6004,"EM ANDAMENTO")))</f>
        <v/>
      </c>
      <c r="AA90" s="2">
        <f>IF(OR(R90="",S90="",U90&lt;&gt;"SIM",V90=0),"",IF(W90+X90=0,"",T90&amp;": "&amp;IF(W90=V90,"concluído",IF(W90=0,"em execução"&amp;IF(Z90&lt;&gt;""," ("&amp;IF(Z90&lt;0,IF(COUNTIF($E$5:$E$6004,"SUBSOLO*")&gt;0,"subsolo",-Z90&amp;"º subsolo"),IF(Z90=0,"térreo",Z90&amp;"º pav."))&amp;")",""),IF(Y90&lt;&gt;"","até "&amp;IF(Y90&lt;0,IF(COUNTIF($E$5:$E$6004,"SUBSOLO*")&gt;0,"subsolo",-Y90&amp;"º subsolo"),IF(Y90=0,"térreo",Y90&amp;"º pav.")),W90&amp;" de "&amp;V90&amp;" concluídas")&amp;IF(Z90="","",IF(OR(Y90="",Z90&gt;Y90),", executando "&amp;IF(Z90&lt;0,IF(COUNTIF($E$5:$E$6004,"SUBSOLO*")&gt;0,"subsolo",-Z90&amp;"º subsolo"),IF(Z90=0,"térreo",Z90&amp;"º pav."))," (restam serviços no "&amp;IF(Z90&lt;0,IF(COUNTIF($E$5:$E$6004,"SUBSOLO*")&gt;0,"subsolo",-Z90&amp;"º subsolo"),IF(Z90=0,"térreo",Z90&amp;"º pav."))&amp;")"))))))</f>
        <v/>
      </c>
    </row>
    <row r="91">
      <c r="B91" s="4" t="n">
        <v>13584671</v>
      </c>
      <c r="C91" s="4" t="inlineStr">
        <is>
          <t>FUNDAÇÃO PROFUNDA</t>
        </is>
      </c>
      <c r="D91" s="4" t="inlineStr">
        <is>
          <t>P7C e P148</t>
        </is>
      </c>
      <c r="E91" s="4" t="inlineStr">
        <is>
          <t>SERVIÇOS INICIAIS</t>
        </is>
      </c>
      <c r="F91" s="126" t="n">
        <v>46038</v>
      </c>
      <c r="G91" s="126" t="n">
        <v>46038</v>
      </c>
      <c r="H91" s="126" t="n">
        <v>46289</v>
      </c>
      <c r="I91" s="4" t="n">
        <v>100</v>
      </c>
      <c r="J91" s="4" t="n">
        <v>100</v>
      </c>
      <c r="K91" s="4" t="n">
        <v>100</v>
      </c>
      <c r="M91" s="2">
        <f>IF(C91="","",IFERROR(INDEX($S$5:$S$304,MATCH(C91,$R$5:$R$304,0))&amp;"","?"))</f>
        <v/>
      </c>
      <c r="N91" s="2">
        <f>IF(E91="","",IF(ISNUMBER(SEARCH("SUBSOLO",E91)),IFERROR(-VALUE(LEFT(E91,FIND("º",SUBSTITUTE(E91,"°","º"))-1)),-1),IF(LEFT(E91,6)="TÉRREO",0,IFERROR(VALUE(LEFT(E91,FIND("º",SUBSTITUTE(E91,"°","º"))-1)),""))))</f>
        <v/>
      </c>
      <c r="O91" s="2">
        <f>IF(OR(F91="",G91=""),"",IF(G91&lt;='RETRATO 2027'!$K$5,"CONCLUÍDA",IF(F91&lt;='RETRATO 2027'!$K$5,"EM ANDAMENTO","A INICIAR")))</f>
        <v/>
      </c>
      <c r="R91" s="4" t="inlineStr">
        <is>
          <t>RESERVATÓRIO</t>
        </is>
      </c>
      <c r="S91" s="4" t="inlineStr">
        <is>
          <t>21</t>
        </is>
      </c>
      <c r="T91" s="4" t="inlineStr">
        <is>
          <t>Reservatório</t>
        </is>
      </c>
      <c r="U91" s="4" t="inlineStr">
        <is>
          <t>NÃO</t>
        </is>
      </c>
      <c r="V91" s="2">
        <f>IF(R91="","",COUNTIF($C$5:$C$6004,R91))</f>
        <v/>
      </c>
      <c r="W91" s="2">
        <f>IF(R91="","",COUNTIFS($C$5:$C$6004,R91,$O$5:$O$6004,"CONCLUÍDA"))</f>
        <v/>
      </c>
      <c r="X91" s="2">
        <f>IF(R91="","",COUNTIFS($C$5:$C$6004,R91,$O$5:$O$6004,"EM ANDAMENTO"))</f>
        <v/>
      </c>
      <c r="Y91" s="2">
        <f>IF(R91="","",IF(COUNTIFS($C$5:$C$6004,R91,$O$5:$O$6004,"CONCLUÍDA",$N$5:$N$6004,"&gt;=-99")=0,"",_xlfn.MAXIFS($N$5:$N$6004,$C$5:$C$6004,R91,$O$5:$O$6004,"CONCLUÍDA")))</f>
        <v/>
      </c>
      <c r="Z91" s="2">
        <f>IF(R91="","",IF(COUNTIFS($C$5:$C$6004,R91,$O$5:$O$6004,"EM ANDAMENTO",$N$5:$N$6004,"&gt;=-99")=0,"",_xlfn.MAXIFS($N$5:$N$6004,$C$5:$C$6004,R91,$O$5:$O$6004,"EM ANDAMENTO")))</f>
        <v/>
      </c>
      <c r="AA91" s="2">
        <f>IF(OR(R91="",S91="",U91&lt;&gt;"SIM",V91=0),"",IF(W91+X91=0,"",T91&amp;": "&amp;IF(W91=V91,"concluído",IF(W91=0,"em execução"&amp;IF(Z91&lt;&gt;""," ("&amp;IF(Z91&lt;0,IF(COUNTIF($E$5:$E$6004,"SUBSOLO*")&gt;0,"subsolo",-Z91&amp;"º subsolo"),IF(Z91=0,"térreo",Z91&amp;"º pav."))&amp;")",""),IF(Y91&lt;&gt;"","até "&amp;IF(Y91&lt;0,IF(COUNTIF($E$5:$E$6004,"SUBSOLO*")&gt;0,"subsolo",-Y91&amp;"º subsolo"),IF(Y91=0,"térreo",Y91&amp;"º pav.")),W91&amp;" de "&amp;V91&amp;" concluídas")&amp;IF(Z91="","",IF(OR(Y91="",Z91&gt;Y91),", executando "&amp;IF(Z91&lt;0,IF(COUNTIF($E$5:$E$6004,"SUBSOLO*")&gt;0,"subsolo",-Z91&amp;"º subsolo"),IF(Z91=0,"térreo",Z91&amp;"º pav."))," (restam serviços no "&amp;IF(Z91&lt;0,IF(COUNTIF($E$5:$E$6004,"SUBSOLO*")&gt;0,"subsolo",-Z91&amp;"º subsolo"),IF(Z91=0,"térreo",Z91&amp;"º pav."))&amp;")"))))))</f>
        <v/>
      </c>
    </row>
    <row r="92">
      <c r="B92" s="4" t="n">
        <v>13584672</v>
      </c>
      <c r="C92" s="4" t="inlineStr">
        <is>
          <t>FUNDAÇÃO PROFUNDA</t>
        </is>
      </c>
      <c r="D92" s="4" t="inlineStr">
        <is>
          <t>P135</t>
        </is>
      </c>
      <c r="E92" s="4" t="inlineStr">
        <is>
          <t>SERVIÇOS INICIAIS</t>
        </is>
      </c>
      <c r="F92" s="126" t="n">
        <v>46041</v>
      </c>
      <c r="G92" s="126" t="n">
        <v>46041</v>
      </c>
      <c r="H92" s="126" t="n">
        <v>46289</v>
      </c>
      <c r="I92" s="4" t="n">
        <v>100</v>
      </c>
      <c r="J92" s="4" t="n">
        <v>100</v>
      </c>
      <c r="K92" s="4" t="n">
        <v>100</v>
      </c>
      <c r="M92" s="2">
        <f>IF(C92="","",IFERROR(INDEX($S$5:$S$304,MATCH(C92,$R$5:$R$304,0))&amp;"","?"))</f>
        <v/>
      </c>
      <c r="N92" s="2">
        <f>IF(E92="","",IF(ISNUMBER(SEARCH("SUBSOLO",E92)),IFERROR(-VALUE(LEFT(E92,FIND("º",SUBSTITUTE(E92,"°","º"))-1)),-1),IF(LEFT(E92,6)="TÉRREO",0,IFERROR(VALUE(LEFT(E92,FIND("º",SUBSTITUTE(E92,"°","º"))-1)),""))))</f>
        <v/>
      </c>
      <c r="O92" s="2">
        <f>IF(OR(F92="",G92=""),"",IF(G92&lt;='RETRATO 2027'!$K$5,"CONCLUÍDA",IF(F92&lt;='RETRATO 2027'!$K$5,"EM ANDAMENTO","A INICIAR")))</f>
        <v/>
      </c>
      <c r="R92" s="4" t="inlineStr">
        <is>
          <t>FACHADA AERADA - F3 + F4 (1º ETAPA)</t>
        </is>
      </c>
      <c r="S92" s="4" t="inlineStr">
        <is>
          <t>32</t>
        </is>
      </c>
      <c r="T92" s="4" t="inlineStr">
        <is>
          <t>Fachada aerada - F3 + F4 (1º etapa)</t>
        </is>
      </c>
      <c r="U92" s="4" t="inlineStr">
        <is>
          <t>SIM</t>
        </is>
      </c>
      <c r="V92" s="2">
        <f>IF(R92="","",COUNTIF($C$5:$C$6004,R92))</f>
        <v/>
      </c>
      <c r="W92" s="2">
        <f>IF(R92="","",COUNTIFS($C$5:$C$6004,R92,$O$5:$O$6004,"CONCLUÍDA"))</f>
        <v/>
      </c>
      <c r="X92" s="2">
        <f>IF(R92="","",COUNTIFS($C$5:$C$6004,R92,$O$5:$O$6004,"EM ANDAMENTO"))</f>
        <v/>
      </c>
      <c r="Y92" s="2">
        <f>IF(R92="","",IF(COUNTIFS($C$5:$C$6004,R92,$O$5:$O$6004,"CONCLUÍDA",$N$5:$N$6004,"&gt;=-99")=0,"",_xlfn.MAXIFS($N$5:$N$6004,$C$5:$C$6004,R92,$O$5:$O$6004,"CONCLUÍDA")))</f>
        <v/>
      </c>
      <c r="Z92" s="2">
        <f>IF(R92="","",IF(COUNTIFS($C$5:$C$6004,R92,$O$5:$O$6004,"EM ANDAMENTO",$N$5:$N$6004,"&gt;=-99")=0,"",_xlfn.MAXIFS($N$5:$N$6004,$C$5:$C$6004,R92,$O$5:$O$6004,"EM ANDAMENTO")))</f>
        <v/>
      </c>
      <c r="AA92" s="2">
        <f>IF(OR(R92="",S92="",U92&lt;&gt;"SIM",V92=0),"",IF(W92+X92=0,"",T92&amp;": "&amp;IF(W92=V92,"concluído",IF(W92=0,"em execução"&amp;IF(Z92&lt;&gt;""," ("&amp;IF(Z92&lt;0,IF(COUNTIF($E$5:$E$6004,"SUBSOLO*")&gt;0,"subsolo",-Z92&amp;"º subsolo"),IF(Z92=0,"térreo",Z92&amp;"º pav."))&amp;")",""),IF(Y92&lt;&gt;"","até "&amp;IF(Y92&lt;0,IF(COUNTIF($E$5:$E$6004,"SUBSOLO*")&gt;0,"subsolo",-Y92&amp;"º subsolo"),IF(Y92=0,"térreo",Y92&amp;"º pav.")),W92&amp;" de "&amp;V92&amp;" concluídas")&amp;IF(Z92="","",IF(OR(Y92="",Z92&gt;Y92),", executando "&amp;IF(Z92&lt;0,IF(COUNTIF($E$5:$E$6004,"SUBSOLO*")&gt;0,"subsolo",-Z92&amp;"º subsolo"),IF(Z92=0,"térreo",Z92&amp;"º pav."))," (restam serviços no "&amp;IF(Z92&lt;0,IF(COUNTIF($E$5:$E$6004,"SUBSOLO*")&gt;0,"subsolo",-Z92&amp;"º subsolo"),IF(Z92=0,"térreo",Z92&amp;"º pav."))&amp;")"))))))</f>
        <v/>
      </c>
    </row>
    <row r="93">
      <c r="B93" s="4" t="n">
        <v>13584673</v>
      </c>
      <c r="C93" s="4" t="inlineStr">
        <is>
          <t>FUNDAÇÃO PROFUNDA</t>
        </is>
      </c>
      <c r="D93" s="4" t="inlineStr">
        <is>
          <t>P5C e P7D</t>
        </is>
      </c>
      <c r="E93" s="4" t="inlineStr">
        <is>
          <t>SERVIÇOS INICIAIS</t>
        </is>
      </c>
      <c r="F93" s="126" t="n">
        <v>46042</v>
      </c>
      <c r="G93" s="126" t="n">
        <v>46042</v>
      </c>
      <c r="H93" s="126" t="n">
        <v>46289</v>
      </c>
      <c r="I93" s="4" t="n">
        <v>100</v>
      </c>
      <c r="J93" s="4" t="n">
        <v>100</v>
      </c>
      <c r="K93" s="4" t="n">
        <v>100</v>
      </c>
      <c r="M93" s="2">
        <f>IF(C93="","",IFERROR(INDEX($S$5:$S$304,MATCH(C93,$R$5:$R$304,0))&amp;"","?"))</f>
        <v/>
      </c>
      <c r="N93" s="2">
        <f>IF(E93="","",IF(ISNUMBER(SEARCH("SUBSOLO",E93)),IFERROR(-VALUE(LEFT(E93,FIND("º",SUBSTITUTE(E93,"°","º"))-1)),-1),IF(LEFT(E93,6)="TÉRREO",0,IFERROR(VALUE(LEFT(E93,FIND("º",SUBSTITUTE(E93,"°","º"))-1)),""))))</f>
        <v/>
      </c>
      <c r="O93" s="2">
        <f>IF(OR(F93="",G93=""),"",IF(G93&lt;='RETRATO 2027'!$K$5,"CONCLUÍDA",IF(F93&lt;='RETRATO 2027'!$K$5,"EM ANDAMENTO","A INICIAR")))</f>
        <v/>
      </c>
      <c r="R93" s="4" t="inlineStr">
        <is>
          <t>PEITORIS E REQUADROS DE FACHADA - F1 + F2 (1º ETAPA)</t>
        </is>
      </c>
      <c r="S93" s="4" t="inlineStr">
        <is>
          <t>32</t>
        </is>
      </c>
      <c r="T93" s="4" t="inlineStr">
        <is>
          <t>Peitoris e requadros de fachada - F1 + F2 (1º etapa)</t>
        </is>
      </c>
      <c r="U93" s="4" t="inlineStr">
        <is>
          <t>SIM</t>
        </is>
      </c>
      <c r="V93" s="2">
        <f>IF(R93="","",COUNTIF($C$5:$C$6004,R93))</f>
        <v/>
      </c>
      <c r="W93" s="2">
        <f>IF(R93="","",COUNTIFS($C$5:$C$6004,R93,$O$5:$O$6004,"CONCLUÍDA"))</f>
        <v/>
      </c>
      <c r="X93" s="2">
        <f>IF(R93="","",COUNTIFS($C$5:$C$6004,R93,$O$5:$O$6004,"EM ANDAMENTO"))</f>
        <v/>
      </c>
      <c r="Y93" s="2">
        <f>IF(R93="","",IF(COUNTIFS($C$5:$C$6004,R93,$O$5:$O$6004,"CONCLUÍDA",$N$5:$N$6004,"&gt;=-99")=0,"",_xlfn.MAXIFS($N$5:$N$6004,$C$5:$C$6004,R93,$O$5:$O$6004,"CONCLUÍDA")))</f>
        <v/>
      </c>
      <c r="Z93" s="2">
        <f>IF(R93="","",IF(COUNTIFS($C$5:$C$6004,R93,$O$5:$O$6004,"EM ANDAMENTO",$N$5:$N$6004,"&gt;=-99")=0,"",_xlfn.MAXIFS($N$5:$N$6004,$C$5:$C$6004,R93,$O$5:$O$6004,"EM ANDAMENTO")))</f>
        <v/>
      </c>
      <c r="AA93" s="2">
        <f>IF(OR(R93="",S93="",U93&lt;&gt;"SIM",V93=0),"",IF(W93+X93=0,"",T93&amp;": "&amp;IF(W93=V93,"concluído",IF(W93=0,"em execução"&amp;IF(Z93&lt;&gt;""," ("&amp;IF(Z93&lt;0,IF(COUNTIF($E$5:$E$6004,"SUBSOLO*")&gt;0,"subsolo",-Z93&amp;"º subsolo"),IF(Z93=0,"térreo",Z93&amp;"º pav."))&amp;")",""),IF(Y93&lt;&gt;"","até "&amp;IF(Y93&lt;0,IF(COUNTIF($E$5:$E$6004,"SUBSOLO*")&gt;0,"subsolo",-Y93&amp;"º subsolo"),IF(Y93=0,"térreo",Y93&amp;"º pav.")),W93&amp;" de "&amp;V93&amp;" concluídas")&amp;IF(Z93="","",IF(OR(Y93="",Z93&gt;Y93),", executando "&amp;IF(Z93&lt;0,IF(COUNTIF($E$5:$E$6004,"SUBSOLO*")&gt;0,"subsolo",-Z93&amp;"º subsolo"),IF(Z93=0,"térreo",Z93&amp;"º pav."))," (restam serviços no "&amp;IF(Z93&lt;0,IF(COUNTIF($E$5:$E$6004,"SUBSOLO*")&gt;0,"subsolo",-Z93&amp;"º subsolo"),IF(Z93=0,"térreo",Z93&amp;"º pav."))&amp;")"))))))</f>
        <v/>
      </c>
    </row>
    <row r="94">
      <c r="B94" s="4" t="n">
        <v>13584674</v>
      </c>
      <c r="C94" s="4" t="inlineStr">
        <is>
          <t>FUNDAÇÃO PROFUNDA</t>
        </is>
      </c>
      <c r="D94" s="4" t="inlineStr">
        <is>
          <t xml:space="preserve">P14C </t>
        </is>
      </c>
      <c r="E94" s="4" t="inlineStr">
        <is>
          <t>SERVIÇOS INICIAIS</t>
        </is>
      </c>
      <c r="F94" s="126" t="n">
        <v>46043</v>
      </c>
      <c r="G94" s="126" t="n">
        <v>46043</v>
      </c>
      <c r="H94" s="126" t="n">
        <v>46289</v>
      </c>
      <c r="I94" s="4" t="n">
        <v>100</v>
      </c>
      <c r="J94" s="4" t="n">
        <v>100</v>
      </c>
      <c r="K94" s="4" t="n">
        <v>100</v>
      </c>
      <c r="M94" s="2">
        <f>IF(C94="","",IFERROR(INDEX($S$5:$S$304,MATCH(C94,$R$5:$R$304,0))&amp;"","?"))</f>
        <v/>
      </c>
      <c r="N94" s="2">
        <f>IF(E94="","",IF(ISNUMBER(SEARCH("SUBSOLO",E94)),IFERROR(-VALUE(LEFT(E94,FIND("º",SUBSTITUTE(E94,"°","º"))-1)),-1),IF(LEFT(E94,6)="TÉRREO",0,IFERROR(VALUE(LEFT(E94,FIND("º",SUBSTITUTE(E94,"°","º"))-1)),""))))</f>
        <v/>
      </c>
      <c r="O94" s="2">
        <f>IF(OR(F94="",G94=""),"",IF(G94&lt;='RETRATO 2027'!$K$5,"CONCLUÍDA",IF(F94&lt;='RETRATO 2027'!$K$5,"EM ANDAMENTO","A INICIAR")))</f>
        <v/>
      </c>
      <c r="R94" s="4" t="inlineStr">
        <is>
          <t>MASSA CORRIDA</t>
        </is>
      </c>
      <c r="S94" s="4" t="inlineStr">
        <is>
          <t>35</t>
        </is>
      </c>
      <c r="T94" s="4" t="inlineStr">
        <is>
          <t>Massa corrida</t>
        </is>
      </c>
      <c r="U94" s="4" t="inlineStr">
        <is>
          <t>SIM</t>
        </is>
      </c>
      <c r="V94" s="2">
        <f>IF(R94="","",COUNTIF($C$5:$C$6004,R94))</f>
        <v/>
      </c>
      <c r="W94" s="2">
        <f>IF(R94="","",COUNTIFS($C$5:$C$6004,R94,$O$5:$O$6004,"CONCLUÍDA"))</f>
        <v/>
      </c>
      <c r="X94" s="2">
        <f>IF(R94="","",COUNTIFS($C$5:$C$6004,R94,$O$5:$O$6004,"EM ANDAMENTO"))</f>
        <v/>
      </c>
      <c r="Y94" s="2">
        <f>IF(R94="","",IF(COUNTIFS($C$5:$C$6004,R94,$O$5:$O$6004,"CONCLUÍDA",$N$5:$N$6004,"&gt;=-99")=0,"",_xlfn.MAXIFS($N$5:$N$6004,$C$5:$C$6004,R94,$O$5:$O$6004,"CONCLUÍDA")))</f>
        <v/>
      </c>
      <c r="Z94" s="2">
        <f>IF(R94="","",IF(COUNTIFS($C$5:$C$6004,R94,$O$5:$O$6004,"EM ANDAMENTO",$N$5:$N$6004,"&gt;=-99")=0,"",_xlfn.MAXIFS($N$5:$N$6004,$C$5:$C$6004,R94,$O$5:$O$6004,"EM ANDAMENTO")))</f>
        <v/>
      </c>
      <c r="AA94" s="2">
        <f>IF(OR(R94="",S94="",U94&lt;&gt;"SIM",V94=0),"",IF(W94+X94=0,"",T94&amp;": "&amp;IF(W94=V94,"concluído",IF(W94=0,"em execução"&amp;IF(Z94&lt;&gt;""," ("&amp;IF(Z94&lt;0,IF(COUNTIF($E$5:$E$6004,"SUBSOLO*")&gt;0,"subsolo",-Z94&amp;"º subsolo"),IF(Z94=0,"térreo",Z94&amp;"º pav."))&amp;")",""),IF(Y94&lt;&gt;"","até "&amp;IF(Y94&lt;0,IF(COUNTIF($E$5:$E$6004,"SUBSOLO*")&gt;0,"subsolo",-Y94&amp;"º subsolo"),IF(Y94=0,"térreo",Y94&amp;"º pav.")),W94&amp;" de "&amp;V94&amp;" concluídas")&amp;IF(Z94="","",IF(OR(Y94="",Z94&gt;Y94),", executando "&amp;IF(Z94&lt;0,IF(COUNTIF($E$5:$E$6004,"SUBSOLO*")&gt;0,"subsolo",-Z94&amp;"º subsolo"),IF(Z94=0,"térreo",Z94&amp;"º pav."))," (restam serviços no "&amp;IF(Z94&lt;0,IF(COUNTIF($E$5:$E$6004,"SUBSOLO*")&gt;0,"subsolo",-Z94&amp;"º subsolo"),IF(Z94=0,"térreo",Z94&amp;"º pav."))&amp;")"))))))</f>
        <v/>
      </c>
    </row>
    <row r="95">
      <c r="B95" s="4" t="n">
        <v>13584675</v>
      </c>
      <c r="C95" s="4" t="inlineStr">
        <is>
          <t>FUNDAÇÃO PROFUNDA</t>
        </is>
      </c>
      <c r="D95" s="4" t="inlineStr">
        <is>
          <t>P6B e P24B</t>
        </is>
      </c>
      <c r="E95" s="4" t="inlineStr">
        <is>
          <t>SERVIÇOS INICIAIS</t>
        </is>
      </c>
      <c r="F95" s="126" t="n">
        <v>46044</v>
      </c>
      <c r="G95" s="126" t="n">
        <v>46044</v>
      </c>
      <c r="H95" s="126" t="n">
        <v>46289</v>
      </c>
      <c r="I95" s="4" t="n">
        <v>100</v>
      </c>
      <c r="J95" s="4" t="n">
        <v>100</v>
      </c>
      <c r="K95" s="4" t="n">
        <v>100</v>
      </c>
      <c r="M95" s="2">
        <f>IF(C95="","",IFERROR(INDEX($S$5:$S$304,MATCH(C95,$R$5:$R$304,0))&amp;"","?"))</f>
        <v/>
      </c>
      <c r="N95" s="2">
        <f>IF(E95="","",IF(ISNUMBER(SEARCH("SUBSOLO",E95)),IFERROR(-VALUE(LEFT(E95,FIND("º",SUBSTITUTE(E95,"°","º"))-1)),-1),IF(LEFT(E95,6)="TÉRREO",0,IFERROR(VALUE(LEFT(E95,FIND("º",SUBSTITUTE(E95,"°","º"))-1)),""))))</f>
        <v/>
      </c>
      <c r="O95" s="2">
        <f>IF(OR(F95="",G95=""),"",IF(G95&lt;='RETRATO 2027'!$K$5,"CONCLUÍDA",IF(F95&lt;='RETRATO 2027'!$K$5,"EM ANDAMENTO","A INICIAR")))</f>
        <v/>
      </c>
      <c r="R95" s="4" t="inlineStr">
        <is>
          <t>PASSEIOS, MURETAS E RAMPAS</t>
        </is>
      </c>
      <c r="S95" s="4" t="inlineStr">
        <is>
          <t>31</t>
        </is>
      </c>
      <c r="T95" s="4" t="inlineStr">
        <is>
          <t>Passeios, muretas e rampas</t>
        </is>
      </c>
      <c r="U95" s="4" t="inlineStr">
        <is>
          <t>SIM</t>
        </is>
      </c>
      <c r="V95" s="2">
        <f>IF(R95="","",COUNTIF($C$5:$C$6004,R95))</f>
        <v/>
      </c>
      <c r="W95" s="2">
        <f>IF(R95="","",COUNTIFS($C$5:$C$6004,R95,$O$5:$O$6004,"CONCLUÍDA"))</f>
        <v/>
      </c>
      <c r="X95" s="2">
        <f>IF(R95="","",COUNTIFS($C$5:$C$6004,R95,$O$5:$O$6004,"EM ANDAMENTO"))</f>
        <v/>
      </c>
      <c r="Y95" s="2">
        <f>IF(R95="","",IF(COUNTIFS($C$5:$C$6004,R95,$O$5:$O$6004,"CONCLUÍDA",$N$5:$N$6004,"&gt;=-99")=0,"",_xlfn.MAXIFS($N$5:$N$6004,$C$5:$C$6004,R95,$O$5:$O$6004,"CONCLUÍDA")))</f>
        <v/>
      </c>
      <c r="Z95" s="2">
        <f>IF(R95="","",IF(COUNTIFS($C$5:$C$6004,R95,$O$5:$O$6004,"EM ANDAMENTO",$N$5:$N$6004,"&gt;=-99")=0,"",_xlfn.MAXIFS($N$5:$N$6004,$C$5:$C$6004,R95,$O$5:$O$6004,"EM ANDAMENTO")))</f>
        <v/>
      </c>
      <c r="AA95" s="2">
        <f>IF(OR(R95="",S95="",U95&lt;&gt;"SIM",V95=0),"",IF(W95+X95=0,"",T95&amp;": "&amp;IF(W95=V95,"concluído",IF(W95=0,"em execução"&amp;IF(Z95&lt;&gt;""," ("&amp;IF(Z95&lt;0,IF(COUNTIF($E$5:$E$6004,"SUBSOLO*")&gt;0,"subsolo",-Z95&amp;"º subsolo"),IF(Z95=0,"térreo",Z95&amp;"º pav."))&amp;")",""),IF(Y95&lt;&gt;"","até "&amp;IF(Y95&lt;0,IF(COUNTIF($E$5:$E$6004,"SUBSOLO*")&gt;0,"subsolo",-Y95&amp;"º subsolo"),IF(Y95=0,"térreo",Y95&amp;"º pav.")),W95&amp;" de "&amp;V95&amp;" concluídas")&amp;IF(Z95="","",IF(OR(Y95="",Z95&gt;Y95),", executando "&amp;IF(Z95&lt;0,IF(COUNTIF($E$5:$E$6004,"SUBSOLO*")&gt;0,"subsolo",-Z95&amp;"º subsolo"),IF(Z95=0,"térreo",Z95&amp;"º pav."))," (restam serviços no "&amp;IF(Z95&lt;0,IF(COUNTIF($E$5:$E$6004,"SUBSOLO*")&gt;0,"subsolo",-Z95&amp;"º subsolo"),IF(Z95=0,"térreo",Z95&amp;"º pav."))&amp;")"))))))</f>
        <v/>
      </c>
    </row>
    <row r="96">
      <c r="B96" s="4" t="n">
        <v>13584676</v>
      </c>
      <c r="C96" s="4" t="inlineStr">
        <is>
          <t>FUNDAÇÃO PROFUNDA</t>
        </is>
      </c>
      <c r="D96" s="4" t="inlineStr">
        <is>
          <t xml:space="preserve">P6C </t>
        </is>
      </c>
      <c r="E96" s="4" t="inlineStr">
        <is>
          <t>SERVIÇOS INICIAIS</t>
        </is>
      </c>
      <c r="F96" s="126" t="n">
        <v>46045</v>
      </c>
      <c r="G96" s="126" t="n">
        <v>46048</v>
      </c>
      <c r="H96" s="126" t="n">
        <v>46289</v>
      </c>
      <c r="I96" s="4" t="n">
        <v>100</v>
      </c>
      <c r="J96" s="4" t="n">
        <v>100</v>
      </c>
      <c r="K96" s="4" t="n">
        <v>100</v>
      </c>
      <c r="M96" s="2">
        <f>IF(C96="","",IFERROR(INDEX($S$5:$S$304,MATCH(C96,$R$5:$R$304,0))&amp;"","?"))</f>
        <v/>
      </c>
      <c r="N96" s="2">
        <f>IF(E96="","",IF(ISNUMBER(SEARCH("SUBSOLO",E96)),IFERROR(-VALUE(LEFT(E96,FIND("º",SUBSTITUTE(E96,"°","º"))-1)),-1),IF(LEFT(E96,6)="TÉRREO",0,IFERROR(VALUE(LEFT(E96,FIND("º",SUBSTITUTE(E96,"°","º"))-1)),""))))</f>
        <v/>
      </c>
      <c r="O96" s="2">
        <f>IF(OR(F96="",G96=""),"",IF(G96&lt;='RETRATO 2027'!$K$5,"CONCLUÍDA",IF(F96&lt;='RETRATO 2027'!$K$5,"EM ANDAMENTO","A INICIAR")))</f>
        <v/>
      </c>
      <c r="R96" s="4" t="inlineStr">
        <is>
          <t>ESQUADRIA DE ALUMÍNIO</t>
        </is>
      </c>
      <c r="S96" s="4" t="inlineStr">
        <is>
          <t>25</t>
        </is>
      </c>
      <c r="T96" s="4" t="inlineStr">
        <is>
          <t>Esquadria de alumínio</t>
        </is>
      </c>
      <c r="U96" s="4" t="inlineStr">
        <is>
          <t>SIM</t>
        </is>
      </c>
      <c r="V96" s="2">
        <f>IF(R96="","",COUNTIF($C$5:$C$6004,R96))</f>
        <v/>
      </c>
      <c r="W96" s="2">
        <f>IF(R96="","",COUNTIFS($C$5:$C$6004,R96,$O$5:$O$6004,"CONCLUÍDA"))</f>
        <v/>
      </c>
      <c r="X96" s="2">
        <f>IF(R96="","",COUNTIFS($C$5:$C$6004,R96,$O$5:$O$6004,"EM ANDAMENTO"))</f>
        <v/>
      </c>
      <c r="Y96" s="2">
        <f>IF(R96="","",IF(COUNTIFS($C$5:$C$6004,R96,$O$5:$O$6004,"CONCLUÍDA",$N$5:$N$6004,"&gt;=-99")=0,"",_xlfn.MAXIFS($N$5:$N$6004,$C$5:$C$6004,R96,$O$5:$O$6004,"CONCLUÍDA")))</f>
        <v/>
      </c>
      <c r="Z96" s="2">
        <f>IF(R96="","",IF(COUNTIFS($C$5:$C$6004,R96,$O$5:$O$6004,"EM ANDAMENTO",$N$5:$N$6004,"&gt;=-99")=0,"",_xlfn.MAXIFS($N$5:$N$6004,$C$5:$C$6004,R96,$O$5:$O$6004,"EM ANDAMENTO")))</f>
        <v/>
      </c>
      <c r="AA96" s="2">
        <f>IF(OR(R96="",S96="",U96&lt;&gt;"SIM",V96=0),"",IF(W96+X96=0,"",T96&amp;": "&amp;IF(W96=V96,"concluído",IF(W96=0,"em execução"&amp;IF(Z96&lt;&gt;""," ("&amp;IF(Z96&lt;0,IF(COUNTIF($E$5:$E$6004,"SUBSOLO*")&gt;0,"subsolo",-Z96&amp;"º subsolo"),IF(Z96=0,"térreo",Z96&amp;"º pav."))&amp;")",""),IF(Y96&lt;&gt;"","até "&amp;IF(Y96&lt;0,IF(COUNTIF($E$5:$E$6004,"SUBSOLO*")&gt;0,"subsolo",-Y96&amp;"º subsolo"),IF(Y96=0,"térreo",Y96&amp;"º pav.")),W96&amp;" de "&amp;V96&amp;" concluídas")&amp;IF(Z96="","",IF(OR(Y96="",Z96&gt;Y96),", executando "&amp;IF(Z96&lt;0,IF(COUNTIF($E$5:$E$6004,"SUBSOLO*")&gt;0,"subsolo",-Z96&amp;"º subsolo"),IF(Z96=0,"térreo",Z96&amp;"º pav."))," (restam serviços no "&amp;IF(Z96&lt;0,IF(COUNTIF($E$5:$E$6004,"SUBSOLO*")&gt;0,"subsolo",-Z96&amp;"º subsolo"),IF(Z96=0,"térreo",Z96&amp;"º pav."))&amp;")"))))))</f>
        <v/>
      </c>
    </row>
    <row r="97">
      <c r="B97" s="4" t="n">
        <v>13584677</v>
      </c>
      <c r="C97" s="4" t="inlineStr">
        <is>
          <t>FUNDAÇÃO PROFUNDA</t>
        </is>
      </c>
      <c r="D97" s="4" t="inlineStr">
        <is>
          <t>P101B e P110</t>
        </is>
      </c>
      <c r="E97" s="4" t="inlineStr">
        <is>
          <t>SERVIÇOS INICIAIS</t>
        </is>
      </c>
      <c r="F97" s="126" t="n">
        <v>46049</v>
      </c>
      <c r="G97" s="126" t="n">
        <v>46052</v>
      </c>
      <c r="H97" s="126" t="n">
        <v>46289</v>
      </c>
      <c r="I97" s="4" t="n">
        <v>100</v>
      </c>
      <c r="J97" s="4" t="n">
        <v>100</v>
      </c>
      <c r="K97" s="4" t="n">
        <v>100</v>
      </c>
      <c r="M97" s="2">
        <f>IF(C97="","",IFERROR(INDEX($S$5:$S$304,MATCH(C97,$R$5:$R$304,0))&amp;"","?"))</f>
        <v/>
      </c>
      <c r="N97" s="2">
        <f>IF(E97="","",IF(ISNUMBER(SEARCH("SUBSOLO",E97)),IFERROR(-VALUE(LEFT(E97,FIND("º",SUBSTITUTE(E97,"°","º"))-1)),-1),IF(LEFT(E97,6)="TÉRREO",0,IFERROR(VALUE(LEFT(E97,FIND("º",SUBSTITUTE(E97,"°","º"))-1)),""))))</f>
        <v/>
      </c>
      <c r="O97" s="2">
        <f>IF(OR(F97="",G97=""),"",IF(G97&lt;='RETRATO 2027'!$K$5,"CONCLUÍDA",IF(F97&lt;='RETRATO 2027'!$K$5,"EM ANDAMENTO","A INICIAR")))</f>
        <v/>
      </c>
      <c r="R97" s="4" t="inlineStr">
        <is>
          <t>PREPARAÇÃO PARA FACHADA AERADA - F5 (1º ETAPA)</t>
        </is>
      </c>
      <c r="S97" s="4" t="inlineStr">
        <is>
          <t>32</t>
        </is>
      </c>
      <c r="T97" s="4" t="inlineStr">
        <is>
          <t>Preparação para fachada aerada - F5 (1º etapa)</t>
        </is>
      </c>
      <c r="U97" s="4" t="inlineStr">
        <is>
          <t>SIM</t>
        </is>
      </c>
      <c r="V97" s="2">
        <f>IF(R97="","",COUNTIF($C$5:$C$6004,R97))</f>
        <v/>
      </c>
      <c r="W97" s="2">
        <f>IF(R97="","",COUNTIFS($C$5:$C$6004,R97,$O$5:$O$6004,"CONCLUÍDA"))</f>
        <v/>
      </c>
      <c r="X97" s="2">
        <f>IF(R97="","",COUNTIFS($C$5:$C$6004,R97,$O$5:$O$6004,"EM ANDAMENTO"))</f>
        <v/>
      </c>
      <c r="Y97" s="2">
        <f>IF(R97="","",IF(COUNTIFS($C$5:$C$6004,R97,$O$5:$O$6004,"CONCLUÍDA",$N$5:$N$6004,"&gt;=-99")=0,"",_xlfn.MAXIFS($N$5:$N$6004,$C$5:$C$6004,R97,$O$5:$O$6004,"CONCLUÍDA")))</f>
        <v/>
      </c>
      <c r="Z97" s="2">
        <f>IF(R97="","",IF(COUNTIFS($C$5:$C$6004,R97,$O$5:$O$6004,"EM ANDAMENTO",$N$5:$N$6004,"&gt;=-99")=0,"",_xlfn.MAXIFS($N$5:$N$6004,$C$5:$C$6004,R97,$O$5:$O$6004,"EM ANDAMENTO")))</f>
        <v/>
      </c>
      <c r="AA97" s="2">
        <f>IF(OR(R97="",S97="",U97&lt;&gt;"SIM",V97=0),"",IF(W97+X97=0,"",T97&amp;": "&amp;IF(W97=V97,"concluído",IF(W97=0,"em execução"&amp;IF(Z97&lt;&gt;""," ("&amp;IF(Z97&lt;0,IF(COUNTIF($E$5:$E$6004,"SUBSOLO*")&gt;0,"subsolo",-Z97&amp;"º subsolo"),IF(Z97=0,"térreo",Z97&amp;"º pav."))&amp;")",""),IF(Y97&lt;&gt;"","até "&amp;IF(Y97&lt;0,IF(COUNTIF($E$5:$E$6004,"SUBSOLO*")&gt;0,"subsolo",-Y97&amp;"º subsolo"),IF(Y97=0,"térreo",Y97&amp;"º pav.")),W97&amp;" de "&amp;V97&amp;" concluídas")&amp;IF(Z97="","",IF(OR(Y97="",Z97&gt;Y97),", executando "&amp;IF(Z97&lt;0,IF(COUNTIF($E$5:$E$6004,"SUBSOLO*")&gt;0,"subsolo",-Z97&amp;"º subsolo"),IF(Z97=0,"térreo",Z97&amp;"º pav."))," (restam serviços no "&amp;IF(Z97&lt;0,IF(COUNTIF($E$5:$E$6004,"SUBSOLO*")&gt;0,"subsolo",-Z97&amp;"º subsolo"),IF(Z97=0,"térreo",Z97&amp;"º pav."))&amp;")"))))))</f>
        <v/>
      </c>
    </row>
    <row r="98">
      <c r="B98" s="4" t="n">
        <v>13584678</v>
      </c>
      <c r="C98" s="4" t="inlineStr">
        <is>
          <t>FUNDAÇÃO PROFUNDA</t>
        </is>
      </c>
      <c r="D98" s="4" t="inlineStr">
        <is>
          <t>Nucleo U</t>
        </is>
      </c>
      <c r="E98" s="4" t="inlineStr">
        <is>
          <t>SERVIÇOS INICIAIS</t>
        </is>
      </c>
      <c r="F98" s="126" t="n">
        <v>46055</v>
      </c>
      <c r="G98" s="126" t="n">
        <v>46055</v>
      </c>
      <c r="H98" s="126" t="n">
        <v>46289</v>
      </c>
      <c r="I98" s="4" t="n">
        <v>100</v>
      </c>
      <c r="J98" s="4" t="n">
        <v>100</v>
      </c>
      <c r="K98" s="4" t="n">
        <v>100</v>
      </c>
      <c r="M98" s="2">
        <f>IF(C98="","",IFERROR(INDEX($S$5:$S$304,MATCH(C98,$R$5:$R$304,0))&amp;"","?"))</f>
        <v/>
      </c>
      <c r="N98" s="2">
        <f>IF(E98="","",IF(ISNUMBER(SEARCH("SUBSOLO",E98)),IFERROR(-VALUE(LEFT(E98,FIND("º",SUBSTITUTE(E98,"°","º"))-1)),-1),IF(LEFT(E98,6)="TÉRREO",0,IFERROR(VALUE(LEFT(E98,FIND("º",SUBSTITUTE(E98,"°","º"))-1)),""))))</f>
        <v/>
      </c>
      <c r="O98" s="2">
        <f>IF(OR(F98="",G98=""),"",IF(G98&lt;='RETRATO 2027'!$K$5,"CONCLUÍDA",IF(F98&lt;='RETRATO 2027'!$K$5,"EM ANDAMENTO","A INICIAR")))</f>
        <v/>
      </c>
      <c r="R98" s="4" t="inlineStr">
        <is>
          <t>PEITORIS E REQUADROS DE FACHADA - F3 + F4 (1º ETAPA)</t>
        </is>
      </c>
      <c r="S98" s="4" t="inlineStr">
        <is>
          <t>32</t>
        </is>
      </c>
      <c r="T98" s="4" t="inlineStr">
        <is>
          <t>Peitoris e requadros de fachada - F3 + F4 (1º etapa)</t>
        </is>
      </c>
      <c r="U98" s="4" t="inlineStr">
        <is>
          <t>SIM</t>
        </is>
      </c>
      <c r="V98" s="2">
        <f>IF(R98="","",COUNTIF($C$5:$C$6004,R98))</f>
        <v/>
      </c>
      <c r="W98" s="2">
        <f>IF(R98="","",COUNTIFS($C$5:$C$6004,R98,$O$5:$O$6004,"CONCLUÍDA"))</f>
        <v/>
      </c>
      <c r="X98" s="2">
        <f>IF(R98="","",COUNTIFS($C$5:$C$6004,R98,$O$5:$O$6004,"EM ANDAMENTO"))</f>
        <v/>
      </c>
      <c r="Y98" s="2">
        <f>IF(R98="","",IF(COUNTIFS($C$5:$C$6004,R98,$O$5:$O$6004,"CONCLUÍDA",$N$5:$N$6004,"&gt;=-99")=0,"",_xlfn.MAXIFS($N$5:$N$6004,$C$5:$C$6004,R98,$O$5:$O$6004,"CONCLUÍDA")))</f>
        <v/>
      </c>
      <c r="Z98" s="2">
        <f>IF(R98="","",IF(COUNTIFS($C$5:$C$6004,R98,$O$5:$O$6004,"EM ANDAMENTO",$N$5:$N$6004,"&gt;=-99")=0,"",_xlfn.MAXIFS($N$5:$N$6004,$C$5:$C$6004,R98,$O$5:$O$6004,"EM ANDAMENTO")))</f>
        <v/>
      </c>
      <c r="AA98" s="2">
        <f>IF(OR(R98="",S98="",U98&lt;&gt;"SIM",V98=0),"",IF(W98+X98=0,"",T98&amp;": "&amp;IF(W98=V98,"concluído",IF(W98=0,"em execução"&amp;IF(Z98&lt;&gt;""," ("&amp;IF(Z98&lt;0,IF(COUNTIF($E$5:$E$6004,"SUBSOLO*")&gt;0,"subsolo",-Z98&amp;"º subsolo"),IF(Z98=0,"térreo",Z98&amp;"º pav."))&amp;")",""),IF(Y98&lt;&gt;"","até "&amp;IF(Y98&lt;0,IF(COUNTIF($E$5:$E$6004,"SUBSOLO*")&gt;0,"subsolo",-Y98&amp;"º subsolo"),IF(Y98=0,"térreo",Y98&amp;"º pav.")),W98&amp;" de "&amp;V98&amp;" concluídas")&amp;IF(Z98="","",IF(OR(Y98="",Z98&gt;Y98),", executando "&amp;IF(Z98&lt;0,IF(COUNTIF($E$5:$E$6004,"SUBSOLO*")&gt;0,"subsolo",-Z98&amp;"º subsolo"),IF(Z98=0,"térreo",Z98&amp;"º pav."))," (restam serviços no "&amp;IF(Z98&lt;0,IF(COUNTIF($E$5:$E$6004,"SUBSOLO*")&gt;0,"subsolo",-Z98&amp;"º subsolo"),IF(Z98=0,"térreo",Z98&amp;"º pav."))&amp;")"))))))</f>
        <v/>
      </c>
    </row>
    <row r="99">
      <c r="B99" s="4" t="n">
        <v>13584679</v>
      </c>
      <c r="C99" s="4" t="inlineStr">
        <is>
          <t>FUNDAÇÃO PROFUNDA</t>
        </is>
      </c>
      <c r="D99" s="4" t="inlineStr">
        <is>
          <t>Nucleo A-A</t>
        </is>
      </c>
      <c r="E99" s="4" t="inlineStr">
        <is>
          <t>SERVIÇOS INICIAIS</t>
        </is>
      </c>
      <c r="F99" s="126" t="n">
        <v>46056</v>
      </c>
      <c r="G99" s="126" t="n">
        <v>46056</v>
      </c>
      <c r="H99" s="126" t="n">
        <v>46289</v>
      </c>
      <c r="I99" s="4" t="n">
        <v>100</v>
      </c>
      <c r="J99" s="4" t="n">
        <v>100</v>
      </c>
      <c r="K99" s="4" t="n">
        <v>100</v>
      </c>
      <c r="M99" s="2">
        <f>IF(C99="","",IFERROR(INDEX($S$5:$S$304,MATCH(C99,$R$5:$R$304,0))&amp;"","?"))</f>
        <v/>
      </c>
      <c r="N99" s="2">
        <f>IF(E99="","",IF(ISNUMBER(SEARCH("SUBSOLO",E99)),IFERROR(-VALUE(LEFT(E99,FIND("º",SUBSTITUTE(E99,"°","º"))-1)),-1),IF(LEFT(E99,6)="TÉRREO",0,IFERROR(VALUE(LEFT(E99,FIND("º",SUBSTITUTE(E99,"°","º"))-1)),""))))</f>
        <v/>
      </c>
      <c r="O99" s="2">
        <f>IF(OR(F99="",G99=""),"",IF(G99&lt;='RETRATO 2027'!$K$5,"CONCLUÍDA",IF(F99&lt;='RETRATO 2027'!$K$5,"EM ANDAMENTO","A INICIAR")))</f>
        <v/>
      </c>
      <c r="R99" s="4" t="inlineStr">
        <is>
          <t>PINTURA 1º DEMÃO</t>
        </is>
      </c>
      <c r="S99" s="4" t="inlineStr">
        <is>
          <t>35</t>
        </is>
      </c>
      <c r="T99" s="4" t="inlineStr">
        <is>
          <t>Pintura 1ª demão</t>
        </is>
      </c>
      <c r="U99" s="4" t="inlineStr">
        <is>
          <t>SIM</t>
        </is>
      </c>
      <c r="V99" s="2">
        <f>IF(R99="","",COUNTIF($C$5:$C$6004,R99))</f>
        <v/>
      </c>
      <c r="W99" s="2">
        <f>IF(R99="","",COUNTIFS($C$5:$C$6004,R99,$O$5:$O$6004,"CONCLUÍDA"))</f>
        <v/>
      </c>
      <c r="X99" s="2">
        <f>IF(R99="","",COUNTIFS($C$5:$C$6004,R99,$O$5:$O$6004,"EM ANDAMENTO"))</f>
        <v/>
      </c>
      <c r="Y99" s="2">
        <f>IF(R99="","",IF(COUNTIFS($C$5:$C$6004,R99,$O$5:$O$6004,"CONCLUÍDA",$N$5:$N$6004,"&gt;=-99")=0,"",_xlfn.MAXIFS($N$5:$N$6004,$C$5:$C$6004,R99,$O$5:$O$6004,"CONCLUÍDA")))</f>
        <v/>
      </c>
      <c r="Z99" s="2">
        <f>IF(R99="","",IF(COUNTIFS($C$5:$C$6004,R99,$O$5:$O$6004,"EM ANDAMENTO",$N$5:$N$6004,"&gt;=-99")=0,"",_xlfn.MAXIFS($N$5:$N$6004,$C$5:$C$6004,R99,$O$5:$O$6004,"EM ANDAMENTO")))</f>
        <v/>
      </c>
      <c r="AA99" s="2">
        <f>IF(OR(R99="",S99="",U99&lt;&gt;"SIM",V99=0),"",IF(W99+X99=0,"",T99&amp;": "&amp;IF(W99=V99,"concluído",IF(W99=0,"em execução"&amp;IF(Z99&lt;&gt;""," ("&amp;IF(Z99&lt;0,IF(COUNTIF($E$5:$E$6004,"SUBSOLO*")&gt;0,"subsolo",-Z99&amp;"º subsolo"),IF(Z99=0,"térreo",Z99&amp;"º pav."))&amp;")",""),IF(Y99&lt;&gt;"","até "&amp;IF(Y99&lt;0,IF(COUNTIF($E$5:$E$6004,"SUBSOLO*")&gt;0,"subsolo",-Y99&amp;"º subsolo"),IF(Y99=0,"térreo",Y99&amp;"º pav.")),W99&amp;" de "&amp;V99&amp;" concluídas")&amp;IF(Z99="","",IF(OR(Y99="",Z99&gt;Y99),", executando "&amp;IF(Z99&lt;0,IF(COUNTIF($E$5:$E$6004,"SUBSOLO*")&gt;0,"subsolo",-Z99&amp;"º subsolo"),IF(Z99=0,"térreo",Z99&amp;"º pav."))," (restam serviços no "&amp;IF(Z99&lt;0,IF(COUNTIF($E$5:$E$6004,"SUBSOLO*")&gt;0,"subsolo",-Z99&amp;"º subsolo"),IF(Z99=0,"térreo",Z99&amp;"º pav."))&amp;")"))))))</f>
        <v/>
      </c>
    </row>
    <row r="100">
      <c r="B100" s="4" t="n">
        <v>13584680</v>
      </c>
      <c r="C100" s="4" t="inlineStr">
        <is>
          <t>FUNDAÇÃO PROFUNDA</t>
        </is>
      </c>
      <c r="D100" s="4" t="inlineStr">
        <is>
          <t>Nucleo V</t>
        </is>
      </c>
      <c r="E100" s="4" t="inlineStr">
        <is>
          <t>SERVIÇOS INICIAIS</t>
        </is>
      </c>
      <c r="F100" s="126" t="n">
        <v>46057</v>
      </c>
      <c r="G100" s="126" t="n">
        <v>46057</v>
      </c>
      <c r="H100" s="126" t="n">
        <v>46289</v>
      </c>
      <c r="I100" s="4" t="n">
        <v>100</v>
      </c>
      <c r="J100" s="4" t="n">
        <v>100</v>
      </c>
      <c r="K100" s="4" t="n">
        <v>100</v>
      </c>
      <c r="M100" s="2">
        <f>IF(C100="","",IFERROR(INDEX($S$5:$S$304,MATCH(C100,$R$5:$R$304,0))&amp;"","?"))</f>
        <v/>
      </c>
      <c r="N100" s="2">
        <f>IF(E100="","",IF(ISNUMBER(SEARCH("SUBSOLO",E100)),IFERROR(-VALUE(LEFT(E100,FIND("º",SUBSTITUTE(E100,"°","º"))-1)),-1),IF(LEFT(E100,6)="TÉRREO",0,IFERROR(VALUE(LEFT(E100,FIND("º",SUBSTITUTE(E100,"°","º"))-1)),""))))</f>
        <v/>
      </c>
      <c r="O100" s="2">
        <f>IF(OR(F100="",G100=""),"",IF(G100&lt;='RETRATO 2027'!$K$5,"CONCLUÍDA",IF(F100&lt;='RETRATO 2027'!$K$5,"EM ANDAMENTO","A INICIAR")))</f>
        <v/>
      </c>
      <c r="R100" s="4" t="inlineStr">
        <is>
          <t>FACHADA AERADA - F5 (1º ETAPA)</t>
        </is>
      </c>
      <c r="S100" s="4" t="inlineStr">
        <is>
          <t>32</t>
        </is>
      </c>
      <c r="T100" s="4" t="inlineStr">
        <is>
          <t>Fachada aerada - F5 (1º etapa)</t>
        </is>
      </c>
      <c r="U100" s="4" t="inlineStr">
        <is>
          <t>SIM</t>
        </is>
      </c>
      <c r="V100" s="2">
        <f>IF(R100="","",COUNTIF($C$5:$C$6004,R100))</f>
        <v/>
      </c>
      <c r="W100" s="2">
        <f>IF(R100="","",COUNTIFS($C$5:$C$6004,R100,$O$5:$O$6004,"CONCLUÍDA"))</f>
        <v/>
      </c>
      <c r="X100" s="2">
        <f>IF(R100="","",COUNTIFS($C$5:$C$6004,R100,$O$5:$O$6004,"EM ANDAMENTO"))</f>
        <v/>
      </c>
      <c r="Y100" s="2">
        <f>IF(R100="","",IF(COUNTIFS($C$5:$C$6004,R100,$O$5:$O$6004,"CONCLUÍDA",$N$5:$N$6004,"&gt;=-99")=0,"",_xlfn.MAXIFS($N$5:$N$6004,$C$5:$C$6004,R100,$O$5:$O$6004,"CONCLUÍDA")))</f>
        <v/>
      </c>
      <c r="Z100" s="2">
        <f>IF(R100="","",IF(COUNTIFS($C$5:$C$6004,R100,$O$5:$O$6004,"EM ANDAMENTO",$N$5:$N$6004,"&gt;=-99")=0,"",_xlfn.MAXIFS($N$5:$N$6004,$C$5:$C$6004,R100,$O$5:$O$6004,"EM ANDAMENTO")))</f>
        <v/>
      </c>
      <c r="AA100" s="2">
        <f>IF(OR(R100="",S100="",U100&lt;&gt;"SIM",V100=0),"",IF(W100+X100=0,"",T100&amp;": "&amp;IF(W100=V100,"concluído",IF(W100=0,"em execução"&amp;IF(Z100&lt;&gt;""," ("&amp;IF(Z100&lt;0,IF(COUNTIF($E$5:$E$6004,"SUBSOLO*")&gt;0,"subsolo",-Z100&amp;"º subsolo"),IF(Z100=0,"térreo",Z100&amp;"º pav."))&amp;")",""),IF(Y100&lt;&gt;"","até "&amp;IF(Y100&lt;0,IF(COUNTIF($E$5:$E$6004,"SUBSOLO*")&gt;0,"subsolo",-Y100&amp;"º subsolo"),IF(Y100=0,"térreo",Y100&amp;"º pav.")),W100&amp;" de "&amp;V100&amp;" concluídas")&amp;IF(Z100="","",IF(OR(Y100="",Z100&gt;Y100),", executando "&amp;IF(Z100&lt;0,IF(COUNTIF($E$5:$E$6004,"SUBSOLO*")&gt;0,"subsolo",-Z100&amp;"º subsolo"),IF(Z100=0,"térreo",Z100&amp;"º pav."))," (restam serviços no "&amp;IF(Z100&lt;0,IF(COUNTIF($E$5:$E$6004,"SUBSOLO*")&gt;0,"subsolo",-Z100&amp;"º subsolo"),IF(Z100=0,"térreo",Z100&amp;"º pav."))&amp;")"))))))</f>
        <v/>
      </c>
    </row>
    <row r="101">
      <c r="B101" s="4" t="n">
        <v>13584682</v>
      </c>
      <c r="C101" s="4" t="inlineStr">
        <is>
          <t>FUNDAÇÃO PROFUNDA</t>
        </is>
      </c>
      <c r="D101" s="4" t="inlineStr">
        <is>
          <t>Nucleo AB</t>
        </is>
      </c>
      <c r="E101" s="4" t="inlineStr">
        <is>
          <t>SERVIÇOS INICIAIS</t>
        </is>
      </c>
      <c r="F101" s="126" t="n">
        <v>46058</v>
      </c>
      <c r="G101" s="126" t="n">
        <v>46058</v>
      </c>
      <c r="H101" s="126" t="n">
        <v>46289</v>
      </c>
      <c r="I101" s="4" t="n">
        <v>100</v>
      </c>
      <c r="J101" s="4" t="n">
        <v>100</v>
      </c>
      <c r="K101" s="4" t="n">
        <v>100</v>
      </c>
      <c r="M101" s="2">
        <f>IF(C101="","",IFERROR(INDEX($S$5:$S$304,MATCH(C101,$R$5:$R$304,0))&amp;"","?"))</f>
        <v/>
      </c>
      <c r="N101" s="2">
        <f>IF(E101="","",IF(ISNUMBER(SEARCH("SUBSOLO",E101)),IFERROR(-VALUE(LEFT(E101,FIND("º",SUBSTITUTE(E101,"°","º"))-1)),-1),IF(LEFT(E101,6)="TÉRREO",0,IFERROR(VALUE(LEFT(E101,FIND("º",SUBSTITUTE(E101,"°","º"))-1)),""))))</f>
        <v/>
      </c>
      <c r="O101" s="2">
        <f>IF(OR(F101="",G101=""),"",IF(G101&lt;='RETRATO 2027'!$K$5,"CONCLUÍDA",IF(F101&lt;='RETRATO 2027'!$K$5,"EM ANDAMENTO","A INICIAR")))</f>
        <v/>
      </c>
      <c r="R101" s="4" t="inlineStr">
        <is>
          <t>GERADOR/TRANSFORMADOR</t>
        </is>
      </c>
      <c r="S101" s="4" t="inlineStr">
        <is>
          <t>20</t>
        </is>
      </c>
      <c r="T101" s="4" t="inlineStr">
        <is>
          <t>Gerador/transformador</t>
        </is>
      </c>
      <c r="U101" s="4" t="inlineStr">
        <is>
          <t>NÃO</t>
        </is>
      </c>
      <c r="V101" s="2">
        <f>IF(R101="","",COUNTIF($C$5:$C$6004,R101))</f>
        <v/>
      </c>
      <c r="W101" s="2">
        <f>IF(R101="","",COUNTIFS($C$5:$C$6004,R101,$O$5:$O$6004,"CONCLUÍDA"))</f>
        <v/>
      </c>
      <c r="X101" s="2">
        <f>IF(R101="","",COUNTIFS($C$5:$C$6004,R101,$O$5:$O$6004,"EM ANDAMENTO"))</f>
        <v/>
      </c>
      <c r="Y101" s="2">
        <f>IF(R101="","",IF(COUNTIFS($C$5:$C$6004,R101,$O$5:$O$6004,"CONCLUÍDA",$N$5:$N$6004,"&gt;=-99")=0,"",_xlfn.MAXIFS($N$5:$N$6004,$C$5:$C$6004,R101,$O$5:$O$6004,"CONCLUÍDA")))</f>
        <v/>
      </c>
      <c r="Z101" s="2">
        <f>IF(R101="","",IF(COUNTIFS($C$5:$C$6004,R101,$O$5:$O$6004,"EM ANDAMENTO",$N$5:$N$6004,"&gt;=-99")=0,"",_xlfn.MAXIFS($N$5:$N$6004,$C$5:$C$6004,R101,$O$5:$O$6004,"EM ANDAMENTO")))</f>
        <v/>
      </c>
      <c r="AA101" s="2">
        <f>IF(OR(R101="",S101="",U101&lt;&gt;"SIM",V101=0),"",IF(W101+X101=0,"",T101&amp;": "&amp;IF(W101=V101,"concluído",IF(W101=0,"em execução"&amp;IF(Z101&lt;&gt;""," ("&amp;IF(Z101&lt;0,IF(COUNTIF($E$5:$E$6004,"SUBSOLO*")&gt;0,"subsolo",-Z101&amp;"º subsolo"),IF(Z101=0,"térreo",Z101&amp;"º pav."))&amp;")",""),IF(Y101&lt;&gt;"","até "&amp;IF(Y101&lt;0,IF(COUNTIF($E$5:$E$6004,"SUBSOLO*")&gt;0,"subsolo",-Y101&amp;"º subsolo"),IF(Y101=0,"térreo",Y101&amp;"º pav.")),W101&amp;" de "&amp;V101&amp;" concluídas")&amp;IF(Z101="","",IF(OR(Y101="",Z101&gt;Y101),", executando "&amp;IF(Z101&lt;0,IF(COUNTIF($E$5:$E$6004,"SUBSOLO*")&gt;0,"subsolo",-Z101&amp;"º subsolo"),IF(Z101=0,"térreo",Z101&amp;"º pav."))," (restam serviços no "&amp;IF(Z101&lt;0,IF(COUNTIF($E$5:$E$6004,"SUBSOLO*")&gt;0,"subsolo",-Z101&amp;"º subsolo"),IF(Z101=0,"térreo",Z101&amp;"º pav."))&amp;")"))))))</f>
        <v/>
      </c>
    </row>
    <row r="102">
      <c r="B102" s="4" t="n">
        <v>14668329</v>
      </c>
      <c r="C102" s="4" t="inlineStr">
        <is>
          <t>FUNDAÇÃO PROFUNDA</t>
        </is>
      </c>
      <c r="D102" s="4" t="inlineStr">
        <is>
          <t>Nucleo W</t>
        </is>
      </c>
      <c r="E102" s="4" t="inlineStr">
        <is>
          <t>SERVIÇOS INICIAIS</t>
        </is>
      </c>
      <c r="F102" s="126" t="n">
        <v>46059</v>
      </c>
      <c r="G102" s="126" t="n">
        <v>46059</v>
      </c>
      <c r="H102" s="126" t="n">
        <v>46289</v>
      </c>
      <c r="I102" s="4" t="n">
        <v>100</v>
      </c>
      <c r="J102" s="4" t="n">
        <v>100</v>
      </c>
      <c r="K102" s="4" t="n">
        <v>100</v>
      </c>
      <c r="M102" s="2">
        <f>IF(C102="","",IFERROR(INDEX($S$5:$S$304,MATCH(C102,$R$5:$R$304,0))&amp;"","?"))</f>
        <v/>
      </c>
      <c r="N102" s="2">
        <f>IF(E102="","",IF(ISNUMBER(SEARCH("SUBSOLO",E102)),IFERROR(-VALUE(LEFT(E102,FIND("º",SUBSTITUTE(E102,"°","º"))-1)),-1),IF(LEFT(E102,6)="TÉRREO",0,IFERROR(VALUE(LEFT(E102,FIND("º",SUBSTITUTE(E102,"°","º"))-1)),""))))</f>
        <v/>
      </c>
      <c r="O102" s="2">
        <f>IF(OR(F102="",G102=""),"",IF(G102&lt;='RETRATO 2027'!$K$5,"CONCLUÍDA",IF(F102&lt;='RETRATO 2027'!$K$5,"EM ANDAMENTO","A INICIAR")))</f>
        <v/>
      </c>
      <c r="R102" s="4" t="inlineStr">
        <is>
          <t>DISJUNTORES / MIOLOS</t>
        </is>
      </c>
      <c r="S102" s="4" t="inlineStr">
        <is>
          <t>20</t>
        </is>
      </c>
      <c r="T102" s="4" t="inlineStr">
        <is>
          <t>Disjuntores / miolos</t>
        </is>
      </c>
      <c r="U102" s="4" t="inlineStr">
        <is>
          <t>SIM</t>
        </is>
      </c>
      <c r="V102" s="2">
        <f>IF(R102="","",COUNTIF($C$5:$C$6004,R102))</f>
        <v/>
      </c>
      <c r="W102" s="2">
        <f>IF(R102="","",COUNTIFS($C$5:$C$6004,R102,$O$5:$O$6004,"CONCLUÍDA"))</f>
        <v/>
      </c>
      <c r="X102" s="2">
        <f>IF(R102="","",COUNTIFS($C$5:$C$6004,R102,$O$5:$O$6004,"EM ANDAMENTO"))</f>
        <v/>
      </c>
      <c r="Y102" s="2">
        <f>IF(R102="","",IF(COUNTIFS($C$5:$C$6004,R102,$O$5:$O$6004,"CONCLUÍDA",$N$5:$N$6004,"&gt;=-99")=0,"",_xlfn.MAXIFS($N$5:$N$6004,$C$5:$C$6004,R102,$O$5:$O$6004,"CONCLUÍDA")))</f>
        <v/>
      </c>
      <c r="Z102" s="2">
        <f>IF(R102="","",IF(COUNTIFS($C$5:$C$6004,R102,$O$5:$O$6004,"EM ANDAMENTO",$N$5:$N$6004,"&gt;=-99")=0,"",_xlfn.MAXIFS($N$5:$N$6004,$C$5:$C$6004,R102,$O$5:$O$6004,"EM ANDAMENTO")))</f>
        <v/>
      </c>
      <c r="AA102" s="2">
        <f>IF(OR(R102="",S102="",U102&lt;&gt;"SIM",V102=0),"",IF(W102+X102=0,"",T102&amp;": "&amp;IF(W102=V102,"concluído",IF(W102=0,"em execução"&amp;IF(Z102&lt;&gt;""," ("&amp;IF(Z102&lt;0,IF(COUNTIF($E$5:$E$6004,"SUBSOLO*")&gt;0,"subsolo",-Z102&amp;"º subsolo"),IF(Z102=0,"térreo",Z102&amp;"º pav."))&amp;")",""),IF(Y102&lt;&gt;"","até "&amp;IF(Y102&lt;0,IF(COUNTIF($E$5:$E$6004,"SUBSOLO*")&gt;0,"subsolo",-Y102&amp;"º subsolo"),IF(Y102=0,"térreo",Y102&amp;"º pav.")),W102&amp;" de "&amp;V102&amp;" concluídas")&amp;IF(Z102="","",IF(OR(Y102="",Z102&gt;Y102),", executando "&amp;IF(Z102&lt;0,IF(COUNTIF($E$5:$E$6004,"SUBSOLO*")&gt;0,"subsolo",-Z102&amp;"º subsolo"),IF(Z102=0,"térreo",Z102&amp;"º pav."))," (restam serviços no "&amp;IF(Z102&lt;0,IF(COUNTIF($E$5:$E$6004,"SUBSOLO*")&gt;0,"subsolo",-Z102&amp;"º subsolo"),IF(Z102=0,"térreo",Z102&amp;"º pav."))&amp;")"))))))</f>
        <v/>
      </c>
    </row>
    <row r="103">
      <c r="B103" s="4" t="n">
        <v>14668330</v>
      </c>
      <c r="C103" s="4" t="inlineStr">
        <is>
          <t>FUNDAÇÃO PROFUNDA</t>
        </is>
      </c>
      <c r="D103" s="4" t="inlineStr">
        <is>
          <t>Nucleo AC e 101A</t>
        </is>
      </c>
      <c r="E103" s="4" t="inlineStr">
        <is>
          <t>SERVIÇOS INICIAIS</t>
        </is>
      </c>
      <c r="F103" s="126" t="n">
        <v>46062</v>
      </c>
      <c r="G103" s="126" t="n">
        <v>46062</v>
      </c>
      <c r="H103" s="126" t="n">
        <v>46289</v>
      </c>
      <c r="I103" s="4" t="n">
        <v>100</v>
      </c>
      <c r="J103" s="4" t="n">
        <v>100</v>
      </c>
      <c r="K103" s="4" t="n">
        <v>100</v>
      </c>
      <c r="M103" s="2">
        <f>IF(C103="","",IFERROR(INDEX($S$5:$S$304,MATCH(C103,$R$5:$R$304,0))&amp;"","?"))</f>
        <v/>
      </c>
      <c r="N103" s="2">
        <f>IF(E103="","",IF(ISNUMBER(SEARCH("SUBSOLO",E103)),IFERROR(-VALUE(LEFT(E103,FIND("º",SUBSTITUTE(E103,"°","º"))-1)),-1),IF(LEFT(E103,6)="TÉRREO",0,IFERROR(VALUE(LEFT(E103,FIND("º",SUBSTITUTE(E103,"°","º"))-1)),""))))</f>
        <v/>
      </c>
      <c r="O103" s="2">
        <f>IF(OR(F103="",G103=""),"",IF(G103&lt;='RETRATO 2027'!$K$5,"CONCLUÍDA",IF(F103&lt;='RETRATO 2027'!$K$5,"EM ANDAMENTO","A INICIAR")))</f>
        <v/>
      </c>
      <c r="R103" s="4" t="inlineStr">
        <is>
          <t>INSTALAÇÃO DE LUMINÁRIAS E SENSORES</t>
        </is>
      </c>
      <c r="S103" s="4" t="inlineStr">
        <is>
          <t>20</t>
        </is>
      </c>
      <c r="T103" s="4" t="inlineStr">
        <is>
          <t>Luminárias e sensores</t>
        </is>
      </c>
      <c r="U103" s="4" t="inlineStr">
        <is>
          <t>NÃO</t>
        </is>
      </c>
      <c r="V103" s="2">
        <f>IF(R103="","",COUNTIF($C$5:$C$6004,R103))</f>
        <v/>
      </c>
      <c r="W103" s="2">
        <f>IF(R103="","",COUNTIFS($C$5:$C$6004,R103,$O$5:$O$6004,"CONCLUÍDA"))</f>
        <v/>
      </c>
      <c r="X103" s="2">
        <f>IF(R103="","",COUNTIFS($C$5:$C$6004,R103,$O$5:$O$6004,"EM ANDAMENTO"))</f>
        <v/>
      </c>
      <c r="Y103" s="2">
        <f>IF(R103="","",IF(COUNTIFS($C$5:$C$6004,R103,$O$5:$O$6004,"CONCLUÍDA",$N$5:$N$6004,"&gt;=-99")=0,"",_xlfn.MAXIFS($N$5:$N$6004,$C$5:$C$6004,R103,$O$5:$O$6004,"CONCLUÍDA")))</f>
        <v/>
      </c>
      <c r="Z103" s="2">
        <f>IF(R103="","",IF(COUNTIFS($C$5:$C$6004,R103,$O$5:$O$6004,"EM ANDAMENTO",$N$5:$N$6004,"&gt;=-99")=0,"",_xlfn.MAXIFS($N$5:$N$6004,$C$5:$C$6004,R103,$O$5:$O$6004,"EM ANDAMENTO")))</f>
        <v/>
      </c>
      <c r="AA103" s="2">
        <f>IF(OR(R103="",S103="",U103&lt;&gt;"SIM",V103=0),"",IF(W103+X103=0,"",T103&amp;": "&amp;IF(W103=V103,"concluído",IF(W103=0,"em execução"&amp;IF(Z103&lt;&gt;""," ("&amp;IF(Z103&lt;0,IF(COUNTIF($E$5:$E$6004,"SUBSOLO*")&gt;0,"subsolo",-Z103&amp;"º subsolo"),IF(Z103=0,"térreo",Z103&amp;"º pav."))&amp;")",""),IF(Y103&lt;&gt;"","até "&amp;IF(Y103&lt;0,IF(COUNTIF($E$5:$E$6004,"SUBSOLO*")&gt;0,"subsolo",-Y103&amp;"º subsolo"),IF(Y103=0,"térreo",Y103&amp;"º pav.")),W103&amp;" de "&amp;V103&amp;" concluídas")&amp;IF(Z103="","",IF(OR(Y103="",Z103&gt;Y103),", executando "&amp;IF(Z103&lt;0,IF(COUNTIF($E$5:$E$6004,"SUBSOLO*")&gt;0,"subsolo",-Z103&amp;"º subsolo"),IF(Z103=0,"térreo",Z103&amp;"º pav."))," (restam serviços no "&amp;IF(Z103&lt;0,IF(COUNTIF($E$5:$E$6004,"SUBSOLO*")&gt;0,"subsolo",-Z103&amp;"º subsolo"),IF(Z103=0,"térreo",Z103&amp;"º pav."))&amp;")"))))))</f>
        <v/>
      </c>
    </row>
    <row r="104">
      <c r="B104" s="4" t="n">
        <v>14668331</v>
      </c>
      <c r="C104" s="4" t="inlineStr">
        <is>
          <t>FUNDAÇÃO PROFUNDA</t>
        </is>
      </c>
      <c r="D104" s="4" t="inlineStr">
        <is>
          <t>Nucleo H e 101B</t>
        </is>
      </c>
      <c r="E104" s="4" t="inlineStr">
        <is>
          <t>SERVIÇOS INICIAIS</t>
        </is>
      </c>
      <c r="F104" s="126" t="n">
        <v>46063</v>
      </c>
      <c r="G104" s="126" t="n">
        <v>46063</v>
      </c>
      <c r="H104" s="126" t="n">
        <v>46289</v>
      </c>
      <c r="I104" s="4" t="n">
        <v>100</v>
      </c>
      <c r="J104" s="4" t="n">
        <v>100</v>
      </c>
      <c r="K104" s="4" t="n">
        <v>100</v>
      </c>
      <c r="M104" s="2">
        <f>IF(C104="","",IFERROR(INDEX($S$5:$S$304,MATCH(C104,$R$5:$R$304,0))&amp;"","?"))</f>
        <v/>
      </c>
      <c r="N104" s="2">
        <f>IF(E104="","",IF(ISNUMBER(SEARCH("SUBSOLO",E104)),IFERROR(-VALUE(LEFT(E104,FIND("º",SUBSTITUTE(E104,"°","º"))-1)),-1),IF(LEFT(E104,6)="TÉRREO",0,IFERROR(VALUE(LEFT(E104,FIND("º",SUBSTITUTE(E104,"°","º"))-1)),""))))</f>
        <v/>
      </c>
      <c r="O104" s="2">
        <f>IF(OR(F104="",G104=""),"",IF(G104&lt;='RETRATO 2027'!$K$5,"CONCLUÍDA",IF(F104&lt;='RETRATO 2027'!$K$5,"EM ANDAMENTO","A INICIAR")))</f>
        <v/>
      </c>
      <c r="R104" s="4" t="inlineStr">
        <is>
          <t>PISO VINÍLICO / LAMINADO</t>
        </is>
      </c>
      <c r="S104" s="4" t="inlineStr">
        <is>
          <t>30</t>
        </is>
      </c>
      <c r="T104" s="4" t="inlineStr">
        <is>
          <t>Piso vinílico / laminado</t>
        </is>
      </c>
      <c r="U104" s="4" t="inlineStr">
        <is>
          <t>SIM</t>
        </is>
      </c>
      <c r="V104" s="2">
        <f>IF(R104="","",COUNTIF($C$5:$C$6004,R104))</f>
        <v/>
      </c>
      <c r="W104" s="2">
        <f>IF(R104="","",COUNTIFS($C$5:$C$6004,R104,$O$5:$O$6004,"CONCLUÍDA"))</f>
        <v/>
      </c>
      <c r="X104" s="2">
        <f>IF(R104="","",COUNTIFS($C$5:$C$6004,R104,$O$5:$O$6004,"EM ANDAMENTO"))</f>
        <v/>
      </c>
      <c r="Y104" s="2">
        <f>IF(R104="","",IF(COUNTIFS($C$5:$C$6004,R104,$O$5:$O$6004,"CONCLUÍDA",$N$5:$N$6004,"&gt;=-99")=0,"",_xlfn.MAXIFS($N$5:$N$6004,$C$5:$C$6004,R104,$O$5:$O$6004,"CONCLUÍDA")))</f>
        <v/>
      </c>
      <c r="Z104" s="2">
        <f>IF(R104="","",IF(COUNTIFS($C$5:$C$6004,R104,$O$5:$O$6004,"EM ANDAMENTO",$N$5:$N$6004,"&gt;=-99")=0,"",_xlfn.MAXIFS($N$5:$N$6004,$C$5:$C$6004,R104,$O$5:$O$6004,"EM ANDAMENTO")))</f>
        <v/>
      </c>
      <c r="AA104" s="2">
        <f>IF(OR(R104="",S104="",U104&lt;&gt;"SIM",V104=0),"",IF(W104+X104=0,"",T104&amp;": "&amp;IF(W104=V104,"concluído",IF(W104=0,"em execução"&amp;IF(Z104&lt;&gt;""," ("&amp;IF(Z104&lt;0,IF(COUNTIF($E$5:$E$6004,"SUBSOLO*")&gt;0,"subsolo",-Z104&amp;"º subsolo"),IF(Z104=0,"térreo",Z104&amp;"º pav."))&amp;")",""),IF(Y104&lt;&gt;"","até "&amp;IF(Y104&lt;0,IF(COUNTIF($E$5:$E$6004,"SUBSOLO*")&gt;0,"subsolo",-Y104&amp;"º subsolo"),IF(Y104=0,"térreo",Y104&amp;"º pav.")),W104&amp;" de "&amp;V104&amp;" concluídas")&amp;IF(Z104="","",IF(OR(Y104="",Z104&gt;Y104),", executando "&amp;IF(Z104&lt;0,IF(COUNTIF($E$5:$E$6004,"SUBSOLO*")&gt;0,"subsolo",-Z104&amp;"º subsolo"),IF(Z104=0,"térreo",Z104&amp;"º pav."))," (restam serviços no "&amp;IF(Z104&lt;0,IF(COUNTIF($E$5:$E$6004,"SUBSOLO*")&gt;0,"subsolo",-Z104&amp;"º subsolo"),IF(Z104=0,"térreo",Z104&amp;"º pav."))&amp;")"))))))</f>
        <v/>
      </c>
    </row>
    <row r="105">
      <c r="B105" s="4" t="n">
        <v>14668332</v>
      </c>
      <c r="C105" s="4" t="inlineStr">
        <is>
          <t>FUNDAÇÃO PROFUNDA</t>
        </is>
      </c>
      <c r="D105" s="4" t="inlineStr">
        <is>
          <t>Nucleo I e PF4</t>
        </is>
      </c>
      <c r="E105" s="4" t="inlineStr">
        <is>
          <t>SERVIÇOS INICIAIS</t>
        </is>
      </c>
      <c r="F105" s="126" t="n">
        <v>46064</v>
      </c>
      <c r="G105" s="126" t="n">
        <v>46064</v>
      </c>
      <c r="H105" s="126" t="n">
        <v>46289</v>
      </c>
      <c r="I105" s="4" t="n">
        <v>100</v>
      </c>
      <c r="J105" s="4" t="n">
        <v>100</v>
      </c>
      <c r="K105" s="4" t="n">
        <v>100</v>
      </c>
      <c r="M105" s="2">
        <f>IF(C105="","",IFERROR(INDEX($S$5:$S$304,MATCH(C105,$R$5:$R$304,0))&amp;"","?"))</f>
        <v/>
      </c>
      <c r="N105" s="2">
        <f>IF(E105="","",IF(ISNUMBER(SEARCH("SUBSOLO",E105)),IFERROR(-VALUE(LEFT(E105,FIND("º",SUBSTITUTE(E105,"°","º"))-1)),-1),IF(LEFT(E105,6)="TÉRREO",0,IFERROR(VALUE(LEFT(E105,FIND("º",SUBSTITUTE(E105,"°","º"))-1)),""))))</f>
        <v/>
      </c>
      <c r="O105" s="2">
        <f>IF(OR(F105="",G105=""),"",IF(G105&lt;='RETRATO 2027'!$K$5,"CONCLUÍDA",IF(F105&lt;='RETRATO 2027'!$K$5,"EM ANDAMENTO","A INICIAR")))</f>
        <v/>
      </c>
      <c r="R105" s="4" t="inlineStr">
        <is>
          <t>INSTALAÇÕES INCÊNDIO</t>
        </is>
      </c>
      <c r="S105" s="4" t="inlineStr">
        <is>
          <t>22</t>
        </is>
      </c>
      <c r="T105" s="4" t="inlineStr">
        <is>
          <t>Inst. incêndio</t>
        </is>
      </c>
      <c r="U105" s="4" t="inlineStr">
        <is>
          <t>NÃO</t>
        </is>
      </c>
      <c r="V105" s="2">
        <f>IF(R105="","",COUNTIF($C$5:$C$6004,R105))</f>
        <v/>
      </c>
      <c r="W105" s="2">
        <f>IF(R105="","",COUNTIFS($C$5:$C$6004,R105,$O$5:$O$6004,"CONCLUÍDA"))</f>
        <v/>
      </c>
      <c r="X105" s="2">
        <f>IF(R105="","",COUNTIFS($C$5:$C$6004,R105,$O$5:$O$6004,"EM ANDAMENTO"))</f>
        <v/>
      </c>
      <c r="Y105" s="2">
        <f>IF(R105="","",IF(COUNTIFS($C$5:$C$6004,R105,$O$5:$O$6004,"CONCLUÍDA",$N$5:$N$6004,"&gt;=-99")=0,"",_xlfn.MAXIFS($N$5:$N$6004,$C$5:$C$6004,R105,$O$5:$O$6004,"CONCLUÍDA")))</f>
        <v/>
      </c>
      <c r="Z105" s="2">
        <f>IF(R105="","",IF(COUNTIFS($C$5:$C$6004,R105,$O$5:$O$6004,"EM ANDAMENTO",$N$5:$N$6004,"&gt;=-99")=0,"",_xlfn.MAXIFS($N$5:$N$6004,$C$5:$C$6004,R105,$O$5:$O$6004,"EM ANDAMENTO")))</f>
        <v/>
      </c>
      <c r="AA105" s="2">
        <f>IF(OR(R105="",S105="",U105&lt;&gt;"SIM",V105=0),"",IF(W105+X105=0,"",T105&amp;": "&amp;IF(W105=V105,"concluído",IF(W105=0,"em execução"&amp;IF(Z105&lt;&gt;""," ("&amp;IF(Z105&lt;0,IF(COUNTIF($E$5:$E$6004,"SUBSOLO*")&gt;0,"subsolo",-Z105&amp;"º subsolo"),IF(Z105=0,"térreo",Z105&amp;"º pav."))&amp;")",""),IF(Y105&lt;&gt;"","até "&amp;IF(Y105&lt;0,IF(COUNTIF($E$5:$E$6004,"SUBSOLO*")&gt;0,"subsolo",-Y105&amp;"º subsolo"),IF(Y105=0,"térreo",Y105&amp;"º pav.")),W105&amp;" de "&amp;V105&amp;" concluídas")&amp;IF(Z105="","",IF(OR(Y105="",Z105&gt;Y105),", executando "&amp;IF(Z105&lt;0,IF(COUNTIF($E$5:$E$6004,"SUBSOLO*")&gt;0,"subsolo",-Z105&amp;"º subsolo"),IF(Z105=0,"térreo",Z105&amp;"º pav."))," (restam serviços no "&amp;IF(Z105&lt;0,IF(COUNTIF($E$5:$E$6004,"SUBSOLO*")&gt;0,"subsolo",-Z105&amp;"º subsolo"),IF(Z105=0,"térreo",Z105&amp;"º pav."))&amp;")"))))))</f>
        <v/>
      </c>
    </row>
    <row r="106">
      <c r="B106" s="4" t="n">
        <v>14668333</v>
      </c>
      <c r="C106" s="4" t="inlineStr">
        <is>
          <t>FUNDAÇÃO PROFUNDA</t>
        </is>
      </c>
      <c r="D106" s="4" t="inlineStr">
        <is>
          <t>Nucleo K e PF3</t>
        </is>
      </c>
      <c r="E106" s="4" t="inlineStr">
        <is>
          <t>SERVIÇOS INICIAIS</t>
        </is>
      </c>
      <c r="F106" s="126" t="n">
        <v>46065</v>
      </c>
      <c r="G106" s="126" t="n">
        <v>46065</v>
      </c>
      <c r="H106" s="126" t="n">
        <v>46289</v>
      </c>
      <c r="I106" s="4" t="n">
        <v>100</v>
      </c>
      <c r="J106" s="4" t="n">
        <v>100</v>
      </c>
      <c r="K106" s="4" t="n">
        <v>100</v>
      </c>
      <c r="M106" s="2">
        <f>IF(C106="","",IFERROR(INDEX($S$5:$S$304,MATCH(C106,$R$5:$R$304,0))&amp;"","?"))</f>
        <v/>
      </c>
      <c r="N106" s="2">
        <f>IF(E106="","",IF(ISNUMBER(SEARCH("SUBSOLO",E106)),IFERROR(-VALUE(LEFT(E106,FIND("º",SUBSTITUTE(E106,"°","º"))-1)),-1),IF(LEFT(E106,6)="TÉRREO",0,IFERROR(VALUE(LEFT(E106,FIND("º",SUBSTITUTE(E106,"°","º"))-1)),""))))</f>
        <v/>
      </c>
      <c r="O106" s="2">
        <f>IF(OR(F106="",G106=""),"",IF(G106&lt;='RETRATO 2027'!$K$5,"CONCLUÍDA",IF(F106&lt;='RETRATO 2027'!$K$5,"EM ANDAMENTO","A INICIAR")))</f>
        <v/>
      </c>
      <c r="R106" s="4" t="inlineStr">
        <is>
          <t>INST. MÓDULOS CHURRASQUEIRA</t>
        </is>
      </c>
      <c r="S106" s="4" t="inlineStr">
        <is>
          <t>23</t>
        </is>
      </c>
      <c r="T106" s="4" t="inlineStr">
        <is>
          <t>Inst. módulos churrasqueira</t>
        </is>
      </c>
      <c r="U106" s="4" t="inlineStr">
        <is>
          <t>NÃO</t>
        </is>
      </c>
      <c r="V106" s="2">
        <f>IF(R106="","",COUNTIF($C$5:$C$6004,R106))</f>
        <v/>
      </c>
      <c r="W106" s="2">
        <f>IF(R106="","",COUNTIFS($C$5:$C$6004,R106,$O$5:$O$6004,"CONCLUÍDA"))</f>
        <v/>
      </c>
      <c r="X106" s="2">
        <f>IF(R106="","",COUNTIFS($C$5:$C$6004,R106,$O$5:$O$6004,"EM ANDAMENTO"))</f>
        <v/>
      </c>
      <c r="Y106" s="2">
        <f>IF(R106="","",IF(COUNTIFS($C$5:$C$6004,R106,$O$5:$O$6004,"CONCLUÍDA",$N$5:$N$6004,"&gt;=-99")=0,"",_xlfn.MAXIFS($N$5:$N$6004,$C$5:$C$6004,R106,$O$5:$O$6004,"CONCLUÍDA")))</f>
        <v/>
      </c>
      <c r="Z106" s="2">
        <f>IF(R106="","",IF(COUNTIFS($C$5:$C$6004,R106,$O$5:$O$6004,"EM ANDAMENTO",$N$5:$N$6004,"&gt;=-99")=0,"",_xlfn.MAXIFS($N$5:$N$6004,$C$5:$C$6004,R106,$O$5:$O$6004,"EM ANDAMENTO")))</f>
        <v/>
      </c>
      <c r="AA106" s="2">
        <f>IF(OR(R106="",S106="",U106&lt;&gt;"SIM",V106=0),"",IF(W106+X106=0,"",T106&amp;": "&amp;IF(W106=V106,"concluído",IF(W106=0,"em execução"&amp;IF(Z106&lt;&gt;""," ("&amp;IF(Z106&lt;0,IF(COUNTIF($E$5:$E$6004,"SUBSOLO*")&gt;0,"subsolo",-Z106&amp;"º subsolo"),IF(Z106=0,"térreo",Z106&amp;"º pav."))&amp;")",""),IF(Y106&lt;&gt;"","até "&amp;IF(Y106&lt;0,IF(COUNTIF($E$5:$E$6004,"SUBSOLO*")&gt;0,"subsolo",-Y106&amp;"º subsolo"),IF(Y106=0,"térreo",Y106&amp;"º pav.")),W106&amp;" de "&amp;V106&amp;" concluídas")&amp;IF(Z106="","",IF(OR(Y106="",Z106&gt;Y106),", executando "&amp;IF(Z106&lt;0,IF(COUNTIF($E$5:$E$6004,"SUBSOLO*")&gt;0,"subsolo",-Z106&amp;"º subsolo"),IF(Z106=0,"térreo",Z106&amp;"º pav."))," (restam serviços no "&amp;IF(Z106&lt;0,IF(COUNTIF($E$5:$E$6004,"SUBSOLO*")&gt;0,"subsolo",-Z106&amp;"º subsolo"),IF(Z106=0,"térreo",Z106&amp;"º pav."))&amp;")"))))))</f>
        <v/>
      </c>
    </row>
    <row r="107">
      <c r="B107" s="4" t="n">
        <v>14668334</v>
      </c>
      <c r="C107" s="4" t="inlineStr">
        <is>
          <t>FUNDAÇÃO PROFUNDA</t>
        </is>
      </c>
      <c r="D107" s="4" t="inlineStr">
        <is>
          <t>7C e 109B</t>
        </is>
      </c>
      <c r="E107" s="4" t="inlineStr">
        <is>
          <t>SERVIÇOS INICIAIS</t>
        </is>
      </c>
      <c r="F107" s="126" t="n">
        <v>46066</v>
      </c>
      <c r="G107" s="126" t="n">
        <v>46066</v>
      </c>
      <c r="H107" s="126" t="n">
        <v>46289</v>
      </c>
      <c r="I107" s="4" t="n">
        <v>100</v>
      </c>
      <c r="J107" s="4" t="n">
        <v>100</v>
      </c>
      <c r="K107" s="4" t="n">
        <v>100</v>
      </c>
      <c r="M107" s="2">
        <f>IF(C107="","",IFERROR(INDEX($S$5:$S$304,MATCH(C107,$R$5:$R$304,0))&amp;"","?"))</f>
        <v/>
      </c>
      <c r="N107" s="2">
        <f>IF(E107="","",IF(ISNUMBER(SEARCH("SUBSOLO",E107)),IFERROR(-VALUE(LEFT(E107,FIND("º",SUBSTITUTE(E107,"°","º"))-1)),-1),IF(LEFT(E107,6)="TÉRREO",0,IFERROR(VALUE(LEFT(E107,FIND("º",SUBSTITUTE(E107,"°","º"))-1)),""))))</f>
        <v/>
      </c>
      <c r="O107" s="2">
        <f>IF(OR(F107="",G107=""),"",IF(G107&lt;='RETRATO 2027'!$K$5,"CONCLUÍDA",IF(F107&lt;='RETRATO 2027'!$K$5,"EM ANDAMENTO","A INICIAR")))</f>
        <v/>
      </c>
      <c r="R107" s="4" t="inlineStr">
        <is>
          <t>ESQUADRIA MADEIRA</t>
        </is>
      </c>
      <c r="S107" s="4" t="inlineStr">
        <is>
          <t>25</t>
        </is>
      </c>
      <c r="T107" s="4" t="inlineStr">
        <is>
          <t>Esquadria madeira</t>
        </is>
      </c>
      <c r="U107" s="4" t="inlineStr">
        <is>
          <t>SIM</t>
        </is>
      </c>
      <c r="V107" s="2">
        <f>IF(R107="","",COUNTIF($C$5:$C$6004,R107))</f>
        <v/>
      </c>
      <c r="W107" s="2">
        <f>IF(R107="","",COUNTIFS($C$5:$C$6004,R107,$O$5:$O$6004,"CONCLUÍDA"))</f>
        <v/>
      </c>
      <c r="X107" s="2">
        <f>IF(R107="","",COUNTIFS($C$5:$C$6004,R107,$O$5:$O$6004,"EM ANDAMENTO"))</f>
        <v/>
      </c>
      <c r="Y107" s="2">
        <f>IF(R107="","",IF(COUNTIFS($C$5:$C$6004,R107,$O$5:$O$6004,"CONCLUÍDA",$N$5:$N$6004,"&gt;=-99")=0,"",_xlfn.MAXIFS($N$5:$N$6004,$C$5:$C$6004,R107,$O$5:$O$6004,"CONCLUÍDA")))</f>
        <v/>
      </c>
      <c r="Z107" s="2">
        <f>IF(R107="","",IF(COUNTIFS($C$5:$C$6004,R107,$O$5:$O$6004,"EM ANDAMENTO",$N$5:$N$6004,"&gt;=-99")=0,"",_xlfn.MAXIFS($N$5:$N$6004,$C$5:$C$6004,R107,$O$5:$O$6004,"EM ANDAMENTO")))</f>
        <v/>
      </c>
      <c r="AA107" s="2">
        <f>IF(OR(R107="",S107="",U107&lt;&gt;"SIM",V107=0),"",IF(W107+X107=0,"",T107&amp;": "&amp;IF(W107=V107,"concluído",IF(W107=0,"em execução"&amp;IF(Z107&lt;&gt;""," ("&amp;IF(Z107&lt;0,IF(COUNTIF($E$5:$E$6004,"SUBSOLO*")&gt;0,"subsolo",-Z107&amp;"º subsolo"),IF(Z107=0,"térreo",Z107&amp;"º pav."))&amp;")",""),IF(Y107&lt;&gt;"","até "&amp;IF(Y107&lt;0,IF(COUNTIF($E$5:$E$6004,"SUBSOLO*")&gt;0,"subsolo",-Y107&amp;"º subsolo"),IF(Y107=0,"térreo",Y107&amp;"º pav.")),W107&amp;" de "&amp;V107&amp;" concluídas")&amp;IF(Z107="","",IF(OR(Y107="",Z107&gt;Y107),", executando "&amp;IF(Z107&lt;0,IF(COUNTIF($E$5:$E$6004,"SUBSOLO*")&gt;0,"subsolo",-Z107&amp;"º subsolo"),IF(Z107=0,"térreo",Z107&amp;"º pav."))," (restam serviços no "&amp;IF(Z107&lt;0,IF(COUNTIF($E$5:$E$6004,"SUBSOLO*")&gt;0,"subsolo",-Z107&amp;"º subsolo"),IF(Z107=0,"térreo",Z107&amp;"º pav."))&amp;")"))))))</f>
        <v/>
      </c>
    </row>
    <row r="108">
      <c r="B108" s="4" t="n">
        <v>14668335</v>
      </c>
      <c r="C108" s="4" t="inlineStr">
        <is>
          <t>FUNDAÇÃO PROFUNDA</t>
        </is>
      </c>
      <c r="D108" s="4" t="inlineStr">
        <is>
          <t>4A e 119B</t>
        </is>
      </c>
      <c r="E108" s="4" t="inlineStr">
        <is>
          <t>SERVIÇOS INICIAIS</t>
        </is>
      </c>
      <c r="F108" s="126" t="n">
        <v>46071</v>
      </c>
      <c r="G108" s="126" t="n">
        <v>46071</v>
      </c>
      <c r="H108" s="126" t="n">
        <v>46289</v>
      </c>
      <c r="I108" s="4" t="n">
        <v>100</v>
      </c>
      <c r="J108" s="4" t="n">
        <v>100</v>
      </c>
      <c r="K108" s="4" t="n">
        <v>100</v>
      </c>
      <c r="M108" s="2">
        <f>IF(C108="","",IFERROR(INDEX($S$5:$S$304,MATCH(C108,$R$5:$R$304,0))&amp;"","?"))</f>
        <v/>
      </c>
      <c r="N108" s="2">
        <f>IF(E108="","",IF(ISNUMBER(SEARCH("SUBSOLO",E108)),IFERROR(-VALUE(LEFT(E108,FIND("º",SUBSTITUTE(E108,"°","º"))-1)),-1),IF(LEFT(E108,6)="TÉRREO",0,IFERROR(VALUE(LEFT(E108,FIND("º",SUBSTITUTE(E108,"°","º"))-1)),""))))</f>
        <v/>
      </c>
      <c r="O108" s="2">
        <f>IF(OR(F108="",G108=""),"",IF(G108&lt;='RETRATO 2027'!$K$5,"CONCLUÍDA",IF(F108&lt;='RETRATO 2027'!$K$5,"EM ANDAMENTO","A INICIAR")))</f>
        <v/>
      </c>
      <c r="R108" s="4" t="inlineStr">
        <is>
          <t>PLACAS E IDEINTIFIC. VISUAIS</t>
        </is>
      </c>
      <c r="S108" s="4" t="n"/>
      <c r="T108" s="4" t="inlineStr">
        <is>
          <t>Placas e ideintific. visuais</t>
        </is>
      </c>
      <c r="U108" s="4" t="inlineStr">
        <is>
          <t>NÃO</t>
        </is>
      </c>
      <c r="V108" s="2">
        <f>IF(R108="","",COUNTIF($C$5:$C$6004,R108))</f>
        <v/>
      </c>
      <c r="W108" s="2">
        <f>IF(R108="","",COUNTIFS($C$5:$C$6004,R108,$O$5:$O$6004,"CONCLUÍDA"))</f>
        <v/>
      </c>
      <c r="X108" s="2">
        <f>IF(R108="","",COUNTIFS($C$5:$C$6004,R108,$O$5:$O$6004,"EM ANDAMENTO"))</f>
        <v/>
      </c>
      <c r="Y108" s="2">
        <f>IF(R108="","",IF(COUNTIFS($C$5:$C$6004,R108,$O$5:$O$6004,"CONCLUÍDA",$N$5:$N$6004,"&gt;=-99")=0,"",_xlfn.MAXIFS($N$5:$N$6004,$C$5:$C$6004,R108,$O$5:$O$6004,"CONCLUÍDA")))</f>
        <v/>
      </c>
      <c r="Z108" s="2">
        <f>IF(R108="","",IF(COUNTIFS($C$5:$C$6004,R108,$O$5:$O$6004,"EM ANDAMENTO",$N$5:$N$6004,"&gt;=-99")=0,"",_xlfn.MAXIFS($N$5:$N$6004,$C$5:$C$6004,R108,$O$5:$O$6004,"EM ANDAMENTO")))</f>
        <v/>
      </c>
      <c r="AA108" s="2">
        <f>IF(OR(R108="",S108="",U108&lt;&gt;"SIM",V108=0),"",IF(W108+X108=0,"",T108&amp;": "&amp;IF(W108=V108,"concluído",IF(W108=0,"em execução"&amp;IF(Z108&lt;&gt;""," ("&amp;IF(Z108&lt;0,IF(COUNTIF($E$5:$E$6004,"SUBSOLO*")&gt;0,"subsolo",-Z108&amp;"º subsolo"),IF(Z108=0,"térreo",Z108&amp;"º pav."))&amp;")",""),IF(Y108&lt;&gt;"","até "&amp;IF(Y108&lt;0,IF(COUNTIF($E$5:$E$6004,"SUBSOLO*")&gt;0,"subsolo",-Y108&amp;"º subsolo"),IF(Y108=0,"térreo",Y108&amp;"º pav.")),W108&amp;" de "&amp;V108&amp;" concluídas")&amp;IF(Z108="","",IF(OR(Y108="",Z108&gt;Y108),", executando "&amp;IF(Z108&lt;0,IF(COUNTIF($E$5:$E$6004,"SUBSOLO*")&gt;0,"subsolo",-Z108&amp;"º subsolo"),IF(Z108=0,"térreo",Z108&amp;"º pav."))," (restam serviços no "&amp;IF(Z108&lt;0,IF(COUNTIF($E$5:$E$6004,"SUBSOLO*")&gt;0,"subsolo",-Z108&amp;"º subsolo"),IF(Z108=0,"térreo",Z108&amp;"º pav."))&amp;")"))))))</f>
        <v/>
      </c>
    </row>
    <row r="109">
      <c r="B109" s="4" t="n">
        <v>14668336</v>
      </c>
      <c r="C109" s="4" t="inlineStr">
        <is>
          <t>FUNDAÇÃO PROFUNDA</t>
        </is>
      </c>
      <c r="D109" s="4" t="inlineStr">
        <is>
          <t>4B e 110</t>
        </is>
      </c>
      <c r="E109" s="4" t="inlineStr">
        <is>
          <t>SERVIÇOS INICIAIS</t>
        </is>
      </c>
      <c r="F109" s="126" t="n">
        <v>46072</v>
      </c>
      <c r="G109" s="126" t="n">
        <v>46072</v>
      </c>
      <c r="H109" s="126" t="n">
        <v>46289</v>
      </c>
      <c r="I109" s="4" t="n">
        <v>100</v>
      </c>
      <c r="J109" s="4" t="n">
        <v>100</v>
      </c>
      <c r="K109" s="4" t="n">
        <v>100</v>
      </c>
      <c r="M109" s="2">
        <f>IF(C109="","",IFERROR(INDEX($S$5:$S$304,MATCH(C109,$R$5:$R$304,0))&amp;"","?"))</f>
        <v/>
      </c>
      <c r="N109" s="2">
        <f>IF(E109="","",IF(ISNUMBER(SEARCH("SUBSOLO",E109)),IFERROR(-VALUE(LEFT(E109,FIND("º",SUBSTITUTE(E109,"°","º"))-1)),-1),IF(LEFT(E109,6)="TÉRREO",0,IFERROR(VALUE(LEFT(E109,FIND("º",SUBSTITUTE(E109,"°","º"))-1)),""))))</f>
        <v/>
      </c>
      <c r="O109" s="2">
        <f>IF(OR(F109="",G109=""),"",IF(G109&lt;='RETRATO 2027'!$K$5,"CONCLUÍDA",IF(F109&lt;='RETRATO 2027'!$K$5,"EM ANDAMENTO","A INICIAR")))</f>
        <v/>
      </c>
      <c r="R109" s="4" t="inlineStr">
        <is>
          <t>INSTALAÇÃO DE LUMINÁRIAS</t>
        </is>
      </c>
      <c r="S109" s="4" t="inlineStr">
        <is>
          <t>20</t>
        </is>
      </c>
      <c r="T109" s="4" t="inlineStr">
        <is>
          <t>Luminárias</t>
        </is>
      </c>
      <c r="U109" s="4" t="inlineStr">
        <is>
          <t>SIM</t>
        </is>
      </c>
      <c r="V109" s="2">
        <f>IF(R109="","",COUNTIF($C$5:$C$6004,R109))</f>
        <v/>
      </c>
      <c r="W109" s="2">
        <f>IF(R109="","",COUNTIFS($C$5:$C$6004,R109,$O$5:$O$6004,"CONCLUÍDA"))</f>
        <v/>
      </c>
      <c r="X109" s="2">
        <f>IF(R109="","",COUNTIFS($C$5:$C$6004,R109,$O$5:$O$6004,"EM ANDAMENTO"))</f>
        <v/>
      </c>
      <c r="Y109" s="2">
        <f>IF(R109="","",IF(COUNTIFS($C$5:$C$6004,R109,$O$5:$O$6004,"CONCLUÍDA",$N$5:$N$6004,"&gt;=-99")=0,"",_xlfn.MAXIFS($N$5:$N$6004,$C$5:$C$6004,R109,$O$5:$O$6004,"CONCLUÍDA")))</f>
        <v/>
      </c>
      <c r="Z109" s="2">
        <f>IF(R109="","",IF(COUNTIFS($C$5:$C$6004,R109,$O$5:$O$6004,"EM ANDAMENTO",$N$5:$N$6004,"&gt;=-99")=0,"",_xlfn.MAXIFS($N$5:$N$6004,$C$5:$C$6004,R109,$O$5:$O$6004,"EM ANDAMENTO")))</f>
        <v/>
      </c>
      <c r="AA109" s="2">
        <f>IF(OR(R109="",S109="",U109&lt;&gt;"SIM",V109=0),"",IF(W109+X109=0,"",T109&amp;": "&amp;IF(W109=V109,"concluído",IF(W109=0,"em execução"&amp;IF(Z109&lt;&gt;""," ("&amp;IF(Z109&lt;0,IF(COUNTIF($E$5:$E$6004,"SUBSOLO*")&gt;0,"subsolo",-Z109&amp;"º subsolo"),IF(Z109=0,"térreo",Z109&amp;"º pav."))&amp;")",""),IF(Y109&lt;&gt;"","até "&amp;IF(Y109&lt;0,IF(COUNTIF($E$5:$E$6004,"SUBSOLO*")&gt;0,"subsolo",-Y109&amp;"º subsolo"),IF(Y109=0,"térreo",Y109&amp;"º pav.")),W109&amp;" de "&amp;V109&amp;" concluídas")&amp;IF(Z109="","",IF(OR(Y109="",Z109&gt;Y109),", executando "&amp;IF(Z109&lt;0,IF(COUNTIF($E$5:$E$6004,"SUBSOLO*")&gt;0,"subsolo",-Z109&amp;"º subsolo"),IF(Z109=0,"térreo",Z109&amp;"º pav."))," (restam serviços no "&amp;IF(Z109&lt;0,IF(COUNTIF($E$5:$E$6004,"SUBSOLO*")&gt;0,"subsolo",-Z109&amp;"º subsolo"),IF(Z109=0,"térreo",Z109&amp;"º pav."))&amp;")"))))))</f>
        <v/>
      </c>
    </row>
    <row r="110">
      <c r="B110" s="4" t="n">
        <v>14668337</v>
      </c>
      <c r="C110" s="4" t="inlineStr">
        <is>
          <t>FUNDAÇÃO PROFUNDA</t>
        </is>
      </c>
      <c r="D110" s="4" t="inlineStr">
        <is>
          <t>4C e 118A</t>
        </is>
      </c>
      <c r="E110" s="4" t="inlineStr">
        <is>
          <t>SERVIÇOS INICIAIS</t>
        </is>
      </c>
      <c r="F110" s="126" t="n">
        <v>46073</v>
      </c>
      <c r="G110" s="126" t="n">
        <v>46073</v>
      </c>
      <c r="H110" s="126" t="n">
        <v>46289</v>
      </c>
      <c r="I110" s="4" t="n">
        <v>100</v>
      </c>
      <c r="J110" s="4" t="n">
        <v>100</v>
      </c>
      <c r="K110" s="4" t="n">
        <v>100</v>
      </c>
      <c r="M110" s="2">
        <f>IF(C110="","",IFERROR(INDEX($S$5:$S$304,MATCH(C110,$R$5:$R$304,0))&amp;"","?"))</f>
        <v/>
      </c>
      <c r="N110" s="2">
        <f>IF(E110="","",IF(ISNUMBER(SEARCH("SUBSOLO",E110)),IFERROR(-VALUE(LEFT(E110,FIND("º",SUBSTITUTE(E110,"°","º"))-1)),-1),IF(LEFT(E110,6)="TÉRREO",0,IFERROR(VALUE(LEFT(E110,FIND("º",SUBSTITUTE(E110,"°","º"))-1)),""))))</f>
        <v/>
      </c>
      <c r="O110" s="2">
        <f>IF(OR(F110="",G110=""),"",IF(G110&lt;='RETRATO 2027'!$K$5,"CONCLUÍDA",IF(F110&lt;='RETRATO 2027'!$K$5,"EM ANDAMENTO","A INICIAR")))</f>
        <v/>
      </c>
      <c r="R110" s="4" t="inlineStr">
        <is>
          <t>INSTALAÇÃO DE PCF (FOLHA)</t>
        </is>
      </c>
      <c r="S110" s="4" t="inlineStr">
        <is>
          <t>26</t>
        </is>
      </c>
      <c r="T110" s="4" t="inlineStr">
        <is>
          <t>PCF (folha)</t>
        </is>
      </c>
      <c r="U110" s="4" t="inlineStr">
        <is>
          <t>SIM</t>
        </is>
      </c>
      <c r="V110" s="2">
        <f>IF(R110="","",COUNTIF($C$5:$C$6004,R110))</f>
        <v/>
      </c>
      <c r="W110" s="2">
        <f>IF(R110="","",COUNTIFS($C$5:$C$6004,R110,$O$5:$O$6004,"CONCLUÍDA"))</f>
        <v/>
      </c>
      <c r="X110" s="2">
        <f>IF(R110="","",COUNTIFS($C$5:$C$6004,R110,$O$5:$O$6004,"EM ANDAMENTO"))</f>
        <v/>
      </c>
      <c r="Y110" s="2">
        <f>IF(R110="","",IF(COUNTIFS($C$5:$C$6004,R110,$O$5:$O$6004,"CONCLUÍDA",$N$5:$N$6004,"&gt;=-99")=0,"",_xlfn.MAXIFS($N$5:$N$6004,$C$5:$C$6004,R110,$O$5:$O$6004,"CONCLUÍDA")))</f>
        <v/>
      </c>
      <c r="Z110" s="2">
        <f>IF(R110="","",IF(COUNTIFS($C$5:$C$6004,R110,$O$5:$O$6004,"EM ANDAMENTO",$N$5:$N$6004,"&gt;=-99")=0,"",_xlfn.MAXIFS($N$5:$N$6004,$C$5:$C$6004,R110,$O$5:$O$6004,"EM ANDAMENTO")))</f>
        <v/>
      </c>
      <c r="AA110" s="2">
        <f>IF(OR(R110="",S110="",U110&lt;&gt;"SIM",V110=0),"",IF(W110+X110=0,"",T110&amp;": "&amp;IF(W110=V110,"concluído",IF(W110=0,"em execução"&amp;IF(Z110&lt;&gt;""," ("&amp;IF(Z110&lt;0,IF(COUNTIF($E$5:$E$6004,"SUBSOLO*")&gt;0,"subsolo",-Z110&amp;"º subsolo"),IF(Z110=0,"térreo",Z110&amp;"º pav."))&amp;")",""),IF(Y110&lt;&gt;"","até "&amp;IF(Y110&lt;0,IF(COUNTIF($E$5:$E$6004,"SUBSOLO*")&gt;0,"subsolo",-Y110&amp;"º subsolo"),IF(Y110=0,"térreo",Y110&amp;"º pav.")),W110&amp;" de "&amp;V110&amp;" concluídas")&amp;IF(Z110="","",IF(OR(Y110="",Z110&gt;Y110),", executando "&amp;IF(Z110&lt;0,IF(COUNTIF($E$5:$E$6004,"SUBSOLO*")&gt;0,"subsolo",-Z110&amp;"º subsolo"),IF(Z110=0,"térreo",Z110&amp;"º pav."))," (restam serviços no "&amp;IF(Z110&lt;0,IF(COUNTIF($E$5:$E$6004,"SUBSOLO*")&gt;0,"subsolo",-Z110&amp;"º subsolo"),IF(Z110=0,"térreo",Z110&amp;"º pav."))&amp;")"))))))</f>
        <v/>
      </c>
    </row>
    <row r="111">
      <c r="B111" s="4" t="n">
        <v>14668338</v>
      </c>
      <c r="C111" s="4" t="inlineStr">
        <is>
          <t>FUNDAÇÃO PROFUNDA</t>
        </is>
      </c>
      <c r="D111" s="4" t="inlineStr">
        <is>
          <t>1A e 118B</t>
        </is>
      </c>
      <c r="E111" s="4" t="inlineStr">
        <is>
          <t>SERVIÇOS INICIAIS</t>
        </is>
      </c>
      <c r="F111" s="126" t="n">
        <v>46076</v>
      </c>
      <c r="G111" s="126" t="n">
        <v>46076</v>
      </c>
      <c r="H111" s="126" t="n">
        <v>46289</v>
      </c>
      <c r="I111" s="4" t="n">
        <v>100</v>
      </c>
      <c r="J111" s="4" t="n">
        <v>100</v>
      </c>
      <c r="K111" s="4" t="n">
        <v>100</v>
      </c>
      <c r="M111" s="2">
        <f>IF(C111="","",IFERROR(INDEX($S$5:$S$304,MATCH(C111,$R$5:$R$304,0))&amp;"","?"))</f>
        <v/>
      </c>
      <c r="N111" s="2">
        <f>IF(E111="","",IF(ISNUMBER(SEARCH("SUBSOLO",E111)),IFERROR(-VALUE(LEFT(E111,FIND("º",SUBSTITUTE(E111,"°","º"))-1)),-1),IF(LEFT(E111,6)="TÉRREO",0,IFERROR(VALUE(LEFT(E111,FIND("º",SUBSTITUTE(E111,"°","º"))-1)),""))))</f>
        <v/>
      </c>
      <c r="O111" s="2">
        <f>IF(OR(F111="",G111=""),"",IF(G111&lt;='RETRATO 2027'!$K$5,"CONCLUÍDA",IF(F111&lt;='RETRATO 2027'!$K$5,"EM ANDAMENTO","A INICIAR")))</f>
        <v/>
      </c>
      <c r="R111" s="4" t="inlineStr">
        <is>
          <t>MARCENARIA - SHAFTS</t>
        </is>
      </c>
      <c r="S111" s="4" t="inlineStr">
        <is>
          <t>27</t>
        </is>
      </c>
      <c r="T111" s="4" t="inlineStr">
        <is>
          <t>Marcenaria - shafts</t>
        </is>
      </c>
      <c r="U111" s="4" t="inlineStr">
        <is>
          <t>SIM</t>
        </is>
      </c>
      <c r="V111" s="2">
        <f>IF(R111="","",COUNTIF($C$5:$C$6004,R111))</f>
        <v/>
      </c>
      <c r="W111" s="2">
        <f>IF(R111="","",COUNTIFS($C$5:$C$6004,R111,$O$5:$O$6004,"CONCLUÍDA"))</f>
        <v/>
      </c>
      <c r="X111" s="2">
        <f>IF(R111="","",COUNTIFS($C$5:$C$6004,R111,$O$5:$O$6004,"EM ANDAMENTO"))</f>
        <v/>
      </c>
      <c r="Y111" s="2">
        <f>IF(R111="","",IF(COUNTIFS($C$5:$C$6004,R111,$O$5:$O$6004,"CONCLUÍDA",$N$5:$N$6004,"&gt;=-99")=0,"",_xlfn.MAXIFS($N$5:$N$6004,$C$5:$C$6004,R111,$O$5:$O$6004,"CONCLUÍDA")))</f>
        <v/>
      </c>
      <c r="Z111" s="2">
        <f>IF(R111="","",IF(COUNTIFS($C$5:$C$6004,R111,$O$5:$O$6004,"EM ANDAMENTO",$N$5:$N$6004,"&gt;=-99")=0,"",_xlfn.MAXIFS($N$5:$N$6004,$C$5:$C$6004,R111,$O$5:$O$6004,"EM ANDAMENTO")))</f>
        <v/>
      </c>
      <c r="AA111" s="2">
        <f>IF(OR(R111="",S111="",U111&lt;&gt;"SIM",V111=0),"",IF(W111+X111=0,"",T111&amp;": "&amp;IF(W111=V111,"concluído",IF(W111=0,"em execução"&amp;IF(Z111&lt;&gt;""," ("&amp;IF(Z111&lt;0,IF(COUNTIF($E$5:$E$6004,"SUBSOLO*")&gt;0,"subsolo",-Z111&amp;"º subsolo"),IF(Z111=0,"térreo",Z111&amp;"º pav."))&amp;")",""),IF(Y111&lt;&gt;"","até "&amp;IF(Y111&lt;0,IF(COUNTIF($E$5:$E$6004,"SUBSOLO*")&gt;0,"subsolo",-Y111&amp;"º subsolo"),IF(Y111=0,"térreo",Y111&amp;"º pav.")),W111&amp;" de "&amp;V111&amp;" concluídas")&amp;IF(Z111="","",IF(OR(Y111="",Z111&gt;Y111),", executando "&amp;IF(Z111&lt;0,IF(COUNTIF($E$5:$E$6004,"SUBSOLO*")&gt;0,"subsolo",-Z111&amp;"º subsolo"),IF(Z111=0,"térreo",Z111&amp;"º pav."))," (restam serviços no "&amp;IF(Z111&lt;0,IF(COUNTIF($E$5:$E$6004,"SUBSOLO*")&gt;0,"subsolo",-Z111&amp;"º subsolo"),IF(Z111=0,"térreo",Z111&amp;"º pav."))&amp;")"))))))</f>
        <v/>
      </c>
    </row>
    <row r="112">
      <c r="B112" s="4" t="n">
        <v>14668339</v>
      </c>
      <c r="C112" s="4" t="inlineStr">
        <is>
          <t>FUNDAÇÃO PROFUNDA</t>
        </is>
      </c>
      <c r="D112" s="4" t="inlineStr">
        <is>
          <t>1B e 120A</t>
        </is>
      </c>
      <c r="E112" s="4" t="inlineStr">
        <is>
          <t>SERVIÇOS INICIAIS</t>
        </is>
      </c>
      <c r="F112" s="126" t="n">
        <v>46077</v>
      </c>
      <c r="G112" s="126" t="n">
        <v>46077</v>
      </c>
      <c r="H112" s="126" t="n">
        <v>46289</v>
      </c>
      <c r="I112" s="4" t="n">
        <v>100</v>
      </c>
      <c r="J112" s="4" t="n">
        <v>100</v>
      </c>
      <c r="K112" s="4" t="n">
        <v>100</v>
      </c>
      <c r="M112" s="2">
        <f>IF(C112="","",IFERROR(INDEX($S$5:$S$304,MATCH(C112,$R$5:$R$304,0))&amp;"","?"))</f>
        <v/>
      </c>
      <c r="N112" s="2">
        <f>IF(E112="","",IF(ISNUMBER(SEARCH("SUBSOLO",E112)),IFERROR(-VALUE(LEFT(E112,FIND("º",SUBSTITUTE(E112,"°","º"))-1)),-1),IF(LEFT(E112,6)="TÉRREO",0,IFERROR(VALUE(LEFT(E112,FIND("º",SUBSTITUTE(E112,"°","º"))-1)),""))))</f>
        <v/>
      </c>
      <c r="O112" s="2">
        <f>IF(OR(F112="",G112=""),"",IF(G112&lt;='RETRATO 2027'!$K$5,"CONCLUÍDA",IF(F112&lt;='RETRATO 2027'!$K$5,"EM ANDAMENTO","A INICIAR")))</f>
        <v/>
      </c>
      <c r="R112" s="4" t="inlineStr">
        <is>
          <t>PREPARAÇÃO - POÇO DE ELEVADOR</t>
        </is>
      </c>
      <c r="S112" s="4" t="inlineStr">
        <is>
          <t>24</t>
        </is>
      </c>
      <c r="T112" s="4" t="inlineStr">
        <is>
          <t>Preparação - poço de elevador</t>
        </is>
      </c>
      <c r="U112" s="4" t="inlineStr">
        <is>
          <t>SIM</t>
        </is>
      </c>
      <c r="V112" s="2">
        <f>IF(R112="","",COUNTIF($C$5:$C$6004,R112))</f>
        <v/>
      </c>
      <c r="W112" s="2">
        <f>IF(R112="","",COUNTIFS($C$5:$C$6004,R112,$O$5:$O$6004,"CONCLUÍDA"))</f>
        <v/>
      </c>
      <c r="X112" s="2">
        <f>IF(R112="","",COUNTIFS($C$5:$C$6004,R112,$O$5:$O$6004,"EM ANDAMENTO"))</f>
        <v/>
      </c>
      <c r="Y112" s="2">
        <f>IF(R112="","",IF(COUNTIFS($C$5:$C$6004,R112,$O$5:$O$6004,"CONCLUÍDA",$N$5:$N$6004,"&gt;=-99")=0,"",_xlfn.MAXIFS($N$5:$N$6004,$C$5:$C$6004,R112,$O$5:$O$6004,"CONCLUÍDA")))</f>
        <v/>
      </c>
      <c r="Z112" s="2">
        <f>IF(R112="","",IF(COUNTIFS($C$5:$C$6004,R112,$O$5:$O$6004,"EM ANDAMENTO",$N$5:$N$6004,"&gt;=-99")=0,"",_xlfn.MAXIFS($N$5:$N$6004,$C$5:$C$6004,R112,$O$5:$O$6004,"EM ANDAMENTO")))</f>
        <v/>
      </c>
      <c r="AA112" s="2">
        <f>IF(OR(R112="",S112="",U112&lt;&gt;"SIM",V112=0),"",IF(W112+X112=0,"",T112&amp;": "&amp;IF(W112=V112,"concluído",IF(W112=0,"em execução"&amp;IF(Z112&lt;&gt;""," ("&amp;IF(Z112&lt;0,IF(COUNTIF($E$5:$E$6004,"SUBSOLO*")&gt;0,"subsolo",-Z112&amp;"º subsolo"),IF(Z112=0,"térreo",Z112&amp;"º pav."))&amp;")",""),IF(Y112&lt;&gt;"","até "&amp;IF(Y112&lt;0,IF(COUNTIF($E$5:$E$6004,"SUBSOLO*")&gt;0,"subsolo",-Y112&amp;"º subsolo"),IF(Y112=0,"térreo",Y112&amp;"º pav.")),W112&amp;" de "&amp;V112&amp;" concluídas")&amp;IF(Z112="","",IF(OR(Y112="",Z112&gt;Y112),", executando "&amp;IF(Z112&lt;0,IF(COUNTIF($E$5:$E$6004,"SUBSOLO*")&gt;0,"subsolo",-Z112&amp;"º subsolo"),IF(Z112=0,"térreo",Z112&amp;"º pav."))," (restam serviços no "&amp;IF(Z112&lt;0,IF(COUNTIF($E$5:$E$6004,"SUBSOLO*")&gt;0,"subsolo",-Z112&amp;"º subsolo"),IF(Z112=0,"térreo",Z112&amp;"º pav."))&amp;")"))))))</f>
        <v/>
      </c>
    </row>
    <row r="113">
      <c r="B113" s="4" t="n">
        <v>14668340</v>
      </c>
      <c r="C113" s="4" t="inlineStr">
        <is>
          <t>FUNDAÇÃO PROFUNDA</t>
        </is>
      </c>
      <c r="D113" s="4" t="inlineStr">
        <is>
          <t>1C e 120B</t>
        </is>
      </c>
      <c r="E113" s="4" t="inlineStr">
        <is>
          <t>SERVIÇOS INICIAIS</t>
        </is>
      </c>
      <c r="F113" s="126" t="n">
        <v>46078</v>
      </c>
      <c r="G113" s="126" t="n">
        <v>46078</v>
      </c>
      <c r="H113" s="126" t="n">
        <v>46289</v>
      </c>
      <c r="I113" s="4" t="n">
        <v>100</v>
      </c>
      <c r="J113" s="4" t="n">
        <v>100</v>
      </c>
      <c r="K113" s="4" t="n">
        <v>100</v>
      </c>
      <c r="M113" s="2">
        <f>IF(C113="","",IFERROR(INDEX($S$5:$S$304,MATCH(C113,$R$5:$R$304,0))&amp;"","?"))</f>
        <v/>
      </c>
      <c r="N113" s="2">
        <f>IF(E113="","",IF(ISNUMBER(SEARCH("SUBSOLO",E113)),IFERROR(-VALUE(LEFT(E113,FIND("º",SUBSTITUTE(E113,"°","º"))-1)),-1),IF(LEFT(E113,6)="TÉRREO",0,IFERROR(VALUE(LEFT(E113,FIND("º",SUBSTITUTE(E113,"°","º"))-1)),""))))</f>
        <v/>
      </c>
      <c r="O113" s="2">
        <f>IF(OR(F113="",G113=""),"",IF(G113&lt;='RETRATO 2027'!$K$5,"CONCLUÍDA",IF(F113&lt;='RETRATO 2027'!$K$5,"EM ANDAMENTO","A INICIAR")))</f>
        <v/>
      </c>
      <c r="R113" s="4" t="inlineStr">
        <is>
          <t>PREPARAÇÃO PARA FACHADA AERADA - F1 + F2 (2º ETAPA)</t>
        </is>
      </c>
      <c r="S113" s="4" t="inlineStr">
        <is>
          <t>32</t>
        </is>
      </c>
      <c r="T113" s="4" t="inlineStr">
        <is>
          <t>Preparação para fachada aerada - F1 + F2 (2º etapa)</t>
        </is>
      </c>
      <c r="U113" s="4" t="inlineStr">
        <is>
          <t>SIM</t>
        </is>
      </c>
      <c r="V113" s="2">
        <f>IF(R113="","",COUNTIF($C$5:$C$6004,R113))</f>
        <v/>
      </c>
      <c r="W113" s="2">
        <f>IF(R113="","",COUNTIFS($C$5:$C$6004,R113,$O$5:$O$6004,"CONCLUÍDA"))</f>
        <v/>
      </c>
      <c r="X113" s="2">
        <f>IF(R113="","",COUNTIFS($C$5:$C$6004,R113,$O$5:$O$6004,"EM ANDAMENTO"))</f>
        <v/>
      </c>
      <c r="Y113" s="2">
        <f>IF(R113="","",IF(COUNTIFS($C$5:$C$6004,R113,$O$5:$O$6004,"CONCLUÍDA",$N$5:$N$6004,"&gt;=-99")=0,"",_xlfn.MAXIFS($N$5:$N$6004,$C$5:$C$6004,R113,$O$5:$O$6004,"CONCLUÍDA")))</f>
        <v/>
      </c>
      <c r="Z113" s="2">
        <f>IF(R113="","",IF(COUNTIFS($C$5:$C$6004,R113,$O$5:$O$6004,"EM ANDAMENTO",$N$5:$N$6004,"&gt;=-99")=0,"",_xlfn.MAXIFS($N$5:$N$6004,$C$5:$C$6004,R113,$O$5:$O$6004,"EM ANDAMENTO")))</f>
        <v/>
      </c>
      <c r="AA113" s="2">
        <f>IF(OR(R113="",S113="",U113&lt;&gt;"SIM",V113=0),"",IF(W113+X113=0,"",T113&amp;": "&amp;IF(W113=V113,"concluído",IF(W113=0,"em execução"&amp;IF(Z113&lt;&gt;""," ("&amp;IF(Z113&lt;0,IF(COUNTIF($E$5:$E$6004,"SUBSOLO*")&gt;0,"subsolo",-Z113&amp;"º subsolo"),IF(Z113=0,"térreo",Z113&amp;"º pav."))&amp;")",""),IF(Y113&lt;&gt;"","até "&amp;IF(Y113&lt;0,IF(COUNTIF($E$5:$E$6004,"SUBSOLO*")&gt;0,"subsolo",-Y113&amp;"º subsolo"),IF(Y113=0,"térreo",Y113&amp;"º pav.")),W113&amp;" de "&amp;V113&amp;" concluídas")&amp;IF(Z113="","",IF(OR(Y113="",Z113&gt;Y113),", executando "&amp;IF(Z113&lt;0,IF(COUNTIF($E$5:$E$6004,"SUBSOLO*")&gt;0,"subsolo",-Z113&amp;"º subsolo"),IF(Z113=0,"térreo",Z113&amp;"º pav."))," (restam serviços no "&amp;IF(Z113&lt;0,IF(COUNTIF($E$5:$E$6004,"SUBSOLO*")&gt;0,"subsolo",-Z113&amp;"º subsolo"),IF(Z113=0,"térreo",Z113&amp;"º pav."))&amp;")"))))))</f>
        <v/>
      </c>
    </row>
    <row r="114">
      <c r="B114" s="4" t="n">
        <v>14668341</v>
      </c>
      <c r="C114" s="4" t="inlineStr">
        <is>
          <t>FUNDAÇÃO PROFUNDA</t>
        </is>
      </c>
      <c r="D114" s="4" t="inlineStr">
        <is>
          <t>126A e 129</t>
        </is>
      </c>
      <c r="E114" s="4" t="inlineStr">
        <is>
          <t>SERVIÇOS INICIAIS</t>
        </is>
      </c>
      <c r="F114" s="126" t="n">
        <v>46079</v>
      </c>
      <c r="G114" s="126" t="n">
        <v>46079</v>
      </c>
      <c r="H114" s="126" t="n">
        <v>46289</v>
      </c>
      <c r="I114" s="4" t="n">
        <v>100</v>
      </c>
      <c r="J114" s="4" t="n">
        <v>100</v>
      </c>
      <c r="K114" s="4" t="n">
        <v>100</v>
      </c>
      <c r="M114" s="2">
        <f>IF(C114="","",IFERROR(INDEX($S$5:$S$304,MATCH(C114,$R$5:$R$304,0))&amp;"","?"))</f>
        <v/>
      </c>
      <c r="N114" s="2">
        <f>IF(E114="","",IF(ISNUMBER(SEARCH("SUBSOLO",E114)),IFERROR(-VALUE(LEFT(E114,FIND("º",SUBSTITUTE(E114,"°","º"))-1)),-1),IF(LEFT(E114,6)="TÉRREO",0,IFERROR(VALUE(LEFT(E114,FIND("º",SUBSTITUTE(E114,"°","º"))-1)),""))))</f>
        <v/>
      </c>
      <c r="O114" s="2">
        <f>IF(OR(F114="",G114=""),"",IF(G114&lt;='RETRATO 2027'!$K$5,"CONCLUÍDA",IF(F114&lt;='RETRATO 2027'!$K$5,"EM ANDAMENTO","A INICIAR")))</f>
        <v/>
      </c>
      <c r="R114" s="4" t="inlineStr">
        <is>
          <t>RODAPÉ MADEIRA / PVC</t>
        </is>
      </c>
      <c r="S114" s="4" t="inlineStr">
        <is>
          <t>30</t>
        </is>
      </c>
      <c r="T114" s="4" t="inlineStr">
        <is>
          <t>Rodapé madeira / pvc</t>
        </is>
      </c>
      <c r="U114" s="4" t="inlineStr">
        <is>
          <t>SIM</t>
        </is>
      </c>
      <c r="V114" s="2">
        <f>IF(R114="","",COUNTIF($C$5:$C$6004,R114))</f>
        <v/>
      </c>
      <c r="W114" s="2">
        <f>IF(R114="","",COUNTIFS($C$5:$C$6004,R114,$O$5:$O$6004,"CONCLUÍDA"))</f>
        <v/>
      </c>
      <c r="X114" s="2">
        <f>IF(R114="","",COUNTIFS($C$5:$C$6004,R114,$O$5:$O$6004,"EM ANDAMENTO"))</f>
        <v/>
      </c>
      <c r="Y114" s="2">
        <f>IF(R114="","",IF(COUNTIFS($C$5:$C$6004,R114,$O$5:$O$6004,"CONCLUÍDA",$N$5:$N$6004,"&gt;=-99")=0,"",_xlfn.MAXIFS($N$5:$N$6004,$C$5:$C$6004,R114,$O$5:$O$6004,"CONCLUÍDA")))</f>
        <v/>
      </c>
      <c r="Z114" s="2">
        <f>IF(R114="","",IF(COUNTIFS($C$5:$C$6004,R114,$O$5:$O$6004,"EM ANDAMENTO",$N$5:$N$6004,"&gt;=-99")=0,"",_xlfn.MAXIFS($N$5:$N$6004,$C$5:$C$6004,R114,$O$5:$O$6004,"EM ANDAMENTO")))</f>
        <v/>
      </c>
      <c r="AA114" s="2">
        <f>IF(OR(R114="",S114="",U114&lt;&gt;"SIM",V114=0),"",IF(W114+X114=0,"",T114&amp;": "&amp;IF(W114=V114,"concluído",IF(W114=0,"em execução"&amp;IF(Z114&lt;&gt;""," ("&amp;IF(Z114&lt;0,IF(COUNTIF($E$5:$E$6004,"SUBSOLO*")&gt;0,"subsolo",-Z114&amp;"º subsolo"),IF(Z114=0,"térreo",Z114&amp;"º pav."))&amp;")",""),IF(Y114&lt;&gt;"","até "&amp;IF(Y114&lt;0,IF(COUNTIF($E$5:$E$6004,"SUBSOLO*")&gt;0,"subsolo",-Y114&amp;"º subsolo"),IF(Y114=0,"térreo",Y114&amp;"º pav.")),W114&amp;" de "&amp;V114&amp;" concluídas")&amp;IF(Z114="","",IF(OR(Y114="",Z114&gt;Y114),", executando "&amp;IF(Z114&lt;0,IF(COUNTIF($E$5:$E$6004,"SUBSOLO*")&gt;0,"subsolo",-Z114&amp;"º subsolo"),IF(Z114=0,"térreo",Z114&amp;"º pav."))," (restam serviços no "&amp;IF(Z114&lt;0,IF(COUNTIF($E$5:$E$6004,"SUBSOLO*")&gt;0,"subsolo",-Z114&amp;"º subsolo"),IF(Z114=0,"térreo",Z114&amp;"º pav."))&amp;")"))))))</f>
        <v/>
      </c>
    </row>
    <row r="115">
      <c r="B115" s="4" t="n">
        <v>14668342</v>
      </c>
      <c r="C115" s="4" t="inlineStr">
        <is>
          <t>FUNDAÇÃO PROFUNDA</t>
        </is>
      </c>
      <c r="D115" s="4" t="inlineStr">
        <is>
          <t>126B e 121B</t>
        </is>
      </c>
      <c r="E115" s="4" t="inlineStr">
        <is>
          <t>SERVIÇOS INICIAIS</t>
        </is>
      </c>
      <c r="F115" s="126" t="n">
        <v>46080</v>
      </c>
      <c r="G115" s="126" t="n">
        <v>46080</v>
      </c>
      <c r="H115" s="126" t="n">
        <v>46289</v>
      </c>
      <c r="I115" s="4" t="n">
        <v>100</v>
      </c>
      <c r="J115" s="4" t="n">
        <v>100</v>
      </c>
      <c r="K115" s="4" t="n">
        <v>100</v>
      </c>
      <c r="M115" s="2">
        <f>IF(C115="","",IFERROR(INDEX($S$5:$S$304,MATCH(C115,$R$5:$R$304,0))&amp;"","?"))</f>
        <v/>
      </c>
      <c r="N115" s="2">
        <f>IF(E115="","",IF(ISNUMBER(SEARCH("SUBSOLO",E115)),IFERROR(-VALUE(LEFT(E115,FIND("º",SUBSTITUTE(E115,"°","º"))-1)),-1),IF(LEFT(E115,6)="TÉRREO",0,IFERROR(VALUE(LEFT(E115,FIND("º",SUBSTITUTE(E115,"°","º"))-1)),""))))</f>
        <v/>
      </c>
      <c r="O115" s="2">
        <f>IF(OR(F115="",G115=""),"",IF(G115&lt;='RETRATO 2027'!$K$5,"CONCLUÍDA",IF(F115&lt;='RETRATO 2027'!$K$5,"EM ANDAMENTO","A INICIAR")))</f>
        <v/>
      </c>
      <c r="R115" s="4" t="inlineStr">
        <is>
          <t>INSTALAÇÃO DE CORRIMÃO (SERRALHERIA)</t>
        </is>
      </c>
      <c r="S115" s="4" t="inlineStr">
        <is>
          <t>26</t>
        </is>
      </c>
      <c r="T115" s="4" t="inlineStr">
        <is>
          <t>Corrimão (serralheria)</t>
        </is>
      </c>
      <c r="U115" s="4" t="inlineStr">
        <is>
          <t>SIM</t>
        </is>
      </c>
      <c r="V115" s="2">
        <f>IF(R115="","",COUNTIF($C$5:$C$6004,R115))</f>
        <v/>
      </c>
      <c r="W115" s="2">
        <f>IF(R115="","",COUNTIFS($C$5:$C$6004,R115,$O$5:$O$6004,"CONCLUÍDA"))</f>
        <v/>
      </c>
      <c r="X115" s="2">
        <f>IF(R115="","",COUNTIFS($C$5:$C$6004,R115,$O$5:$O$6004,"EM ANDAMENTO"))</f>
        <v/>
      </c>
      <c r="Y115" s="2">
        <f>IF(R115="","",IF(COUNTIFS($C$5:$C$6004,R115,$O$5:$O$6004,"CONCLUÍDA",$N$5:$N$6004,"&gt;=-99")=0,"",_xlfn.MAXIFS($N$5:$N$6004,$C$5:$C$6004,R115,$O$5:$O$6004,"CONCLUÍDA")))</f>
        <v/>
      </c>
      <c r="Z115" s="2">
        <f>IF(R115="","",IF(COUNTIFS($C$5:$C$6004,R115,$O$5:$O$6004,"EM ANDAMENTO",$N$5:$N$6004,"&gt;=-99")=0,"",_xlfn.MAXIFS($N$5:$N$6004,$C$5:$C$6004,R115,$O$5:$O$6004,"EM ANDAMENTO")))</f>
        <v/>
      </c>
      <c r="AA115" s="2">
        <f>IF(OR(R115="",S115="",U115&lt;&gt;"SIM",V115=0),"",IF(W115+X115=0,"",T115&amp;": "&amp;IF(W115=V115,"concluído",IF(W115=0,"em execução"&amp;IF(Z115&lt;&gt;""," ("&amp;IF(Z115&lt;0,IF(COUNTIF($E$5:$E$6004,"SUBSOLO*")&gt;0,"subsolo",-Z115&amp;"º subsolo"),IF(Z115=0,"térreo",Z115&amp;"º pav."))&amp;")",""),IF(Y115&lt;&gt;"","até "&amp;IF(Y115&lt;0,IF(COUNTIF($E$5:$E$6004,"SUBSOLO*")&gt;0,"subsolo",-Y115&amp;"º subsolo"),IF(Y115=0,"térreo",Y115&amp;"º pav.")),W115&amp;" de "&amp;V115&amp;" concluídas")&amp;IF(Z115="","",IF(OR(Y115="",Z115&gt;Y115),", executando "&amp;IF(Z115&lt;0,IF(COUNTIF($E$5:$E$6004,"SUBSOLO*")&gt;0,"subsolo",-Z115&amp;"º subsolo"),IF(Z115=0,"térreo",Z115&amp;"º pav."))," (restam serviços no "&amp;IF(Z115&lt;0,IF(COUNTIF($E$5:$E$6004,"SUBSOLO*")&gt;0,"subsolo",-Z115&amp;"º subsolo"),IF(Z115=0,"térreo",Z115&amp;"º pav."))&amp;")"))))))</f>
        <v/>
      </c>
    </row>
    <row r="116">
      <c r="B116" s="4" t="n">
        <v>14668343</v>
      </c>
      <c r="C116" s="4" t="inlineStr">
        <is>
          <t>FUNDAÇÃO PROFUNDA</t>
        </is>
      </c>
      <c r="D116" s="4" t="inlineStr">
        <is>
          <t>121A</t>
        </is>
      </c>
      <c r="E116" s="4" t="inlineStr">
        <is>
          <t>SERVIÇOS INICIAIS</t>
        </is>
      </c>
      <c r="F116" s="126" t="n">
        <v>46083</v>
      </c>
      <c r="G116" s="126" t="n">
        <v>46083</v>
      </c>
      <c r="H116" s="126" t="n">
        <v>46289</v>
      </c>
      <c r="I116" s="4" t="n">
        <v>100</v>
      </c>
      <c r="J116" s="4" t="n">
        <v>100</v>
      </c>
      <c r="K116" s="4" t="n">
        <v>100</v>
      </c>
      <c r="M116" s="2">
        <f>IF(C116="","",IFERROR(INDEX($S$5:$S$304,MATCH(C116,$R$5:$R$304,0))&amp;"","?"))</f>
        <v/>
      </c>
      <c r="N116" s="2">
        <f>IF(E116="","",IF(ISNUMBER(SEARCH("SUBSOLO",E116)),IFERROR(-VALUE(LEFT(E116,FIND("º",SUBSTITUTE(E116,"°","º"))-1)),-1),IF(LEFT(E116,6)="TÉRREO",0,IFERROR(VALUE(LEFT(E116,FIND("º",SUBSTITUTE(E116,"°","º"))-1)),""))))</f>
        <v/>
      </c>
      <c r="O116" s="2">
        <f>IF(OR(F116="",G116=""),"",IF(G116&lt;='RETRATO 2027'!$K$5,"CONCLUÍDA",IF(F116&lt;='RETRATO 2027'!$K$5,"EM ANDAMENTO","A INICIAR")))</f>
        <v/>
      </c>
      <c r="R116" s="4" t="inlineStr">
        <is>
          <t>LOUÇAS</t>
        </is>
      </c>
      <c r="S116" s="4" t="inlineStr">
        <is>
          <t>34</t>
        </is>
      </c>
      <c r="T116" s="4" t="inlineStr">
        <is>
          <t>Louças</t>
        </is>
      </c>
      <c r="U116" s="4" t="inlineStr">
        <is>
          <t>SIM</t>
        </is>
      </c>
      <c r="V116" s="2">
        <f>IF(R116="","",COUNTIF($C$5:$C$6004,R116))</f>
        <v/>
      </c>
      <c r="W116" s="2">
        <f>IF(R116="","",COUNTIFS($C$5:$C$6004,R116,$O$5:$O$6004,"CONCLUÍDA"))</f>
        <v/>
      </c>
      <c r="X116" s="2">
        <f>IF(R116="","",COUNTIFS($C$5:$C$6004,R116,$O$5:$O$6004,"EM ANDAMENTO"))</f>
        <v/>
      </c>
      <c r="Y116" s="2">
        <f>IF(R116="","",IF(COUNTIFS($C$5:$C$6004,R116,$O$5:$O$6004,"CONCLUÍDA",$N$5:$N$6004,"&gt;=-99")=0,"",_xlfn.MAXIFS($N$5:$N$6004,$C$5:$C$6004,R116,$O$5:$O$6004,"CONCLUÍDA")))</f>
        <v/>
      </c>
      <c r="Z116" s="2">
        <f>IF(R116="","",IF(COUNTIFS($C$5:$C$6004,R116,$O$5:$O$6004,"EM ANDAMENTO",$N$5:$N$6004,"&gt;=-99")=0,"",_xlfn.MAXIFS($N$5:$N$6004,$C$5:$C$6004,R116,$O$5:$O$6004,"EM ANDAMENTO")))</f>
        <v/>
      </c>
      <c r="AA116" s="2">
        <f>IF(OR(R116="",S116="",U116&lt;&gt;"SIM",V116=0),"",IF(W116+X116=0,"",T116&amp;": "&amp;IF(W116=V116,"concluído",IF(W116=0,"em execução"&amp;IF(Z116&lt;&gt;""," ("&amp;IF(Z116&lt;0,IF(COUNTIF($E$5:$E$6004,"SUBSOLO*")&gt;0,"subsolo",-Z116&amp;"º subsolo"),IF(Z116=0,"térreo",Z116&amp;"º pav."))&amp;")",""),IF(Y116&lt;&gt;"","até "&amp;IF(Y116&lt;0,IF(COUNTIF($E$5:$E$6004,"SUBSOLO*")&gt;0,"subsolo",-Y116&amp;"º subsolo"),IF(Y116=0,"térreo",Y116&amp;"º pav.")),W116&amp;" de "&amp;V116&amp;" concluídas")&amp;IF(Z116="","",IF(OR(Y116="",Z116&gt;Y116),", executando "&amp;IF(Z116&lt;0,IF(COUNTIF($E$5:$E$6004,"SUBSOLO*")&gt;0,"subsolo",-Z116&amp;"º subsolo"),IF(Z116=0,"térreo",Z116&amp;"º pav."))," (restam serviços no "&amp;IF(Z116&lt;0,IF(COUNTIF($E$5:$E$6004,"SUBSOLO*")&gt;0,"subsolo",-Z116&amp;"º subsolo"),IF(Z116=0,"térreo",Z116&amp;"º pav."))&amp;")"))))))</f>
        <v/>
      </c>
    </row>
    <row r="117">
      <c r="B117" s="4" t="n">
        <v>33143226</v>
      </c>
      <c r="C117" s="4" t="inlineStr">
        <is>
          <t>VIGA DE COROAMENTO (TRECHO - RUA IPÊ 1º ETAPA)</t>
        </is>
      </c>
      <c r="D117" s="4" t="inlineStr">
        <is>
          <t>-</t>
        </is>
      </c>
      <c r="E117" s="4" t="inlineStr">
        <is>
          <t>SERVIÇOS INICIAIS</t>
        </is>
      </c>
      <c r="F117" s="126" t="n">
        <v>45922</v>
      </c>
      <c r="G117" s="126" t="n">
        <v>45943</v>
      </c>
      <c r="H117" s="126" t="n">
        <v>46289</v>
      </c>
      <c r="I117" s="4" t="n">
        <v>100</v>
      </c>
      <c r="J117" s="4" t="n">
        <v>100</v>
      </c>
      <c r="K117" s="4" t="n">
        <v>100</v>
      </c>
      <c r="M117" s="2">
        <f>IF(C117="","",IFERROR(INDEX($S$5:$S$304,MATCH(C117,$R$5:$R$304,0))&amp;"","?"))</f>
        <v/>
      </c>
      <c r="N117" s="2">
        <f>IF(E117="","",IF(ISNUMBER(SEARCH("SUBSOLO",E117)),IFERROR(-VALUE(LEFT(E117,FIND("º",SUBSTITUTE(E117,"°","º"))-1)),-1),IF(LEFT(E117,6)="TÉRREO",0,IFERROR(VALUE(LEFT(E117,FIND("º",SUBSTITUTE(E117,"°","º"))-1)),""))))</f>
        <v/>
      </c>
      <c r="O117" s="2">
        <f>IF(OR(F117="",G117=""),"",IF(G117&lt;='RETRATO 2027'!$K$5,"CONCLUÍDA",IF(F117&lt;='RETRATO 2027'!$K$5,"EM ANDAMENTO","A INICIAR")))</f>
        <v/>
      </c>
      <c r="R117" s="4" t="inlineStr">
        <is>
          <t>METAIS</t>
        </is>
      </c>
      <c r="S117" s="4" t="inlineStr">
        <is>
          <t>34</t>
        </is>
      </c>
      <c r="T117" s="4" t="inlineStr">
        <is>
          <t>Metais</t>
        </is>
      </c>
      <c r="U117" s="4" t="inlineStr">
        <is>
          <t>SIM</t>
        </is>
      </c>
      <c r="V117" s="2">
        <f>IF(R117="","",COUNTIF($C$5:$C$6004,R117))</f>
        <v/>
      </c>
      <c r="W117" s="2">
        <f>IF(R117="","",COUNTIFS($C$5:$C$6004,R117,$O$5:$O$6004,"CONCLUÍDA"))</f>
        <v/>
      </c>
      <c r="X117" s="2">
        <f>IF(R117="","",COUNTIFS($C$5:$C$6004,R117,$O$5:$O$6004,"EM ANDAMENTO"))</f>
        <v/>
      </c>
      <c r="Y117" s="2">
        <f>IF(R117="","",IF(COUNTIFS($C$5:$C$6004,R117,$O$5:$O$6004,"CONCLUÍDA",$N$5:$N$6004,"&gt;=-99")=0,"",_xlfn.MAXIFS($N$5:$N$6004,$C$5:$C$6004,R117,$O$5:$O$6004,"CONCLUÍDA")))</f>
        <v/>
      </c>
      <c r="Z117" s="2">
        <f>IF(R117="","",IF(COUNTIFS($C$5:$C$6004,R117,$O$5:$O$6004,"EM ANDAMENTO",$N$5:$N$6004,"&gt;=-99")=0,"",_xlfn.MAXIFS($N$5:$N$6004,$C$5:$C$6004,R117,$O$5:$O$6004,"EM ANDAMENTO")))</f>
        <v/>
      </c>
      <c r="AA117" s="2">
        <f>IF(OR(R117="",S117="",U117&lt;&gt;"SIM",V117=0),"",IF(W117+X117=0,"",T117&amp;": "&amp;IF(W117=V117,"concluído",IF(W117=0,"em execução"&amp;IF(Z117&lt;&gt;""," ("&amp;IF(Z117&lt;0,IF(COUNTIF($E$5:$E$6004,"SUBSOLO*")&gt;0,"subsolo",-Z117&amp;"º subsolo"),IF(Z117=0,"térreo",Z117&amp;"º pav."))&amp;")",""),IF(Y117&lt;&gt;"","até "&amp;IF(Y117&lt;0,IF(COUNTIF($E$5:$E$6004,"SUBSOLO*")&gt;0,"subsolo",-Y117&amp;"º subsolo"),IF(Y117=0,"térreo",Y117&amp;"º pav.")),W117&amp;" de "&amp;V117&amp;" concluídas")&amp;IF(Z117="","",IF(OR(Y117="",Z117&gt;Y117),", executando "&amp;IF(Z117&lt;0,IF(COUNTIF($E$5:$E$6004,"SUBSOLO*")&gt;0,"subsolo",-Z117&amp;"º subsolo"),IF(Z117=0,"térreo",Z117&amp;"º pav."))," (restam serviços no "&amp;IF(Z117&lt;0,IF(COUNTIF($E$5:$E$6004,"SUBSOLO*")&gt;0,"subsolo",-Z117&amp;"º subsolo"),IF(Z117=0,"térreo",Z117&amp;"º pav."))&amp;")"))))))</f>
        <v/>
      </c>
    </row>
    <row r="118">
      <c r="B118" s="4" t="n">
        <v>13543293</v>
      </c>
      <c r="C118" s="4" t="inlineStr">
        <is>
          <t>VIGA DE COROAMENTO (TRECHO - RUA IPÊ 1º ETAPA)</t>
        </is>
      </c>
      <c r="D118" s="4" t="inlineStr">
        <is>
          <t>Escavação e Arrasamento</t>
        </is>
      </c>
      <c r="E118" s="4" t="inlineStr">
        <is>
          <t>SERVIÇOS INICIAIS</t>
        </is>
      </c>
      <c r="F118" s="126" t="n">
        <v>45922</v>
      </c>
      <c r="G118" s="126" t="n">
        <v>45938</v>
      </c>
      <c r="H118" s="126" t="n">
        <v>46289</v>
      </c>
      <c r="I118" s="4" t="n">
        <v>100</v>
      </c>
      <c r="J118" s="4" t="n">
        <v>100</v>
      </c>
      <c r="K118" s="4" t="n">
        <v>100</v>
      </c>
      <c r="M118" s="2">
        <f>IF(C118="","",IFERROR(INDEX($S$5:$S$304,MATCH(C118,$R$5:$R$304,0))&amp;"","?"))</f>
        <v/>
      </c>
      <c r="N118" s="2">
        <f>IF(E118="","",IF(ISNUMBER(SEARCH("SUBSOLO",E118)),IFERROR(-VALUE(LEFT(E118,FIND("º",SUBSTITUTE(E118,"°","º"))-1)),-1),IF(LEFT(E118,6)="TÉRREO",0,IFERROR(VALUE(LEFT(E118,FIND("º",SUBSTITUTE(E118,"°","º"))-1)),""))))</f>
        <v/>
      </c>
      <c r="O118" s="2">
        <f>IF(OR(F118="",G118=""),"",IF(G118&lt;='RETRATO 2027'!$K$5,"CONCLUÍDA",IF(F118&lt;='RETRATO 2027'!$K$5,"EM ANDAMENTO","A INICIAR")))</f>
        <v/>
      </c>
      <c r="R118" s="4" t="inlineStr">
        <is>
          <t>COMUNICAÇÃO E ALARME</t>
        </is>
      </c>
      <c r="S118" s="4" t="inlineStr">
        <is>
          <t>23</t>
        </is>
      </c>
      <c r="T118" s="4" t="inlineStr">
        <is>
          <t>Comunicação e alarme</t>
        </is>
      </c>
      <c r="U118" s="4" t="inlineStr">
        <is>
          <t>SIM</t>
        </is>
      </c>
      <c r="V118" s="2">
        <f>IF(R118="","",COUNTIF($C$5:$C$6004,R118))</f>
        <v/>
      </c>
      <c r="W118" s="2">
        <f>IF(R118="","",COUNTIFS($C$5:$C$6004,R118,$O$5:$O$6004,"CONCLUÍDA"))</f>
        <v/>
      </c>
      <c r="X118" s="2">
        <f>IF(R118="","",COUNTIFS($C$5:$C$6004,R118,$O$5:$O$6004,"EM ANDAMENTO"))</f>
        <v/>
      </c>
      <c r="Y118" s="2">
        <f>IF(R118="","",IF(COUNTIFS($C$5:$C$6004,R118,$O$5:$O$6004,"CONCLUÍDA",$N$5:$N$6004,"&gt;=-99")=0,"",_xlfn.MAXIFS($N$5:$N$6004,$C$5:$C$6004,R118,$O$5:$O$6004,"CONCLUÍDA")))</f>
        <v/>
      </c>
      <c r="Z118" s="2">
        <f>IF(R118="","",IF(COUNTIFS($C$5:$C$6004,R118,$O$5:$O$6004,"EM ANDAMENTO",$N$5:$N$6004,"&gt;=-99")=0,"",_xlfn.MAXIFS($N$5:$N$6004,$C$5:$C$6004,R118,$O$5:$O$6004,"EM ANDAMENTO")))</f>
        <v/>
      </c>
      <c r="AA118" s="2">
        <f>IF(OR(R118="",S118="",U118&lt;&gt;"SIM",V118=0),"",IF(W118+X118=0,"",T118&amp;": "&amp;IF(W118=V118,"concluído",IF(W118=0,"em execução"&amp;IF(Z118&lt;&gt;""," ("&amp;IF(Z118&lt;0,IF(COUNTIF($E$5:$E$6004,"SUBSOLO*")&gt;0,"subsolo",-Z118&amp;"º subsolo"),IF(Z118=0,"térreo",Z118&amp;"º pav."))&amp;")",""),IF(Y118&lt;&gt;"","até "&amp;IF(Y118&lt;0,IF(COUNTIF($E$5:$E$6004,"SUBSOLO*")&gt;0,"subsolo",-Y118&amp;"º subsolo"),IF(Y118=0,"térreo",Y118&amp;"º pav.")),W118&amp;" de "&amp;V118&amp;" concluídas")&amp;IF(Z118="","",IF(OR(Y118="",Z118&gt;Y118),", executando "&amp;IF(Z118&lt;0,IF(COUNTIF($E$5:$E$6004,"SUBSOLO*")&gt;0,"subsolo",-Z118&amp;"º subsolo"),IF(Z118=0,"térreo",Z118&amp;"º pav."))," (restam serviços no "&amp;IF(Z118&lt;0,IF(COUNTIF($E$5:$E$6004,"SUBSOLO*")&gt;0,"subsolo",-Z118&amp;"º subsolo"),IF(Z118=0,"térreo",Z118&amp;"º pav."))&amp;")"))))))</f>
        <v/>
      </c>
    </row>
    <row r="119">
      <c r="B119" s="4" t="n">
        <v>13543294</v>
      </c>
      <c r="C119" s="4" t="inlineStr">
        <is>
          <t>VIGA DE COROAMENTO (TRECHO - RUA IPÊ 1º ETAPA)</t>
        </is>
      </c>
      <c r="D119" s="4" t="inlineStr">
        <is>
          <t>Armação</t>
        </is>
      </c>
      <c r="E119" s="4" t="inlineStr">
        <is>
          <t>SERVIÇOS INICIAIS</t>
        </is>
      </c>
      <c r="F119" s="126" t="n">
        <v>45926</v>
      </c>
      <c r="G119" s="126" t="n">
        <v>45936</v>
      </c>
      <c r="H119" s="126" t="n">
        <v>46289</v>
      </c>
      <c r="I119" s="4" t="n">
        <v>100</v>
      </c>
      <c r="J119" s="4" t="n">
        <v>100</v>
      </c>
      <c r="K119" s="4" t="n">
        <v>100</v>
      </c>
      <c r="M119" s="2">
        <f>IF(C119="","",IFERROR(INDEX($S$5:$S$304,MATCH(C119,$R$5:$R$304,0))&amp;"","?"))</f>
        <v/>
      </c>
      <c r="N119" s="2">
        <f>IF(E119="","",IF(ISNUMBER(SEARCH("SUBSOLO",E119)),IFERROR(-VALUE(LEFT(E119,FIND("º",SUBSTITUTE(E119,"°","º"))-1)),-1),IF(LEFT(E119,6)="TÉRREO",0,IFERROR(VALUE(LEFT(E119,FIND("º",SUBSTITUTE(E119,"°","º"))-1)),""))))</f>
        <v/>
      </c>
      <c r="O119" s="2">
        <f>IF(OR(F119="",G119=""),"",IF(G119&lt;='RETRATO 2027'!$K$5,"CONCLUÍDA",IF(F119&lt;='RETRATO 2027'!$K$5,"EM ANDAMENTO","A INICIAR")))</f>
        <v/>
      </c>
      <c r="R119" s="4" t="inlineStr">
        <is>
          <t>REBOCO EXTERNO</t>
        </is>
      </c>
      <c r="S119" s="4" t="inlineStr">
        <is>
          <t>32</t>
        </is>
      </c>
      <c r="T119" s="4" t="inlineStr">
        <is>
          <t>Reboco externo</t>
        </is>
      </c>
      <c r="U119" s="4" t="inlineStr">
        <is>
          <t>SIM</t>
        </is>
      </c>
      <c r="V119" s="2">
        <f>IF(R119="","",COUNTIF($C$5:$C$6004,R119))</f>
        <v/>
      </c>
      <c r="W119" s="2">
        <f>IF(R119="","",COUNTIFS($C$5:$C$6004,R119,$O$5:$O$6004,"CONCLUÍDA"))</f>
        <v/>
      </c>
      <c r="X119" s="2">
        <f>IF(R119="","",COUNTIFS($C$5:$C$6004,R119,$O$5:$O$6004,"EM ANDAMENTO"))</f>
        <v/>
      </c>
      <c r="Y119" s="2">
        <f>IF(R119="","",IF(COUNTIFS($C$5:$C$6004,R119,$O$5:$O$6004,"CONCLUÍDA",$N$5:$N$6004,"&gt;=-99")=0,"",_xlfn.MAXIFS($N$5:$N$6004,$C$5:$C$6004,R119,$O$5:$O$6004,"CONCLUÍDA")))</f>
        <v/>
      </c>
      <c r="Z119" s="2">
        <f>IF(R119="","",IF(COUNTIFS($C$5:$C$6004,R119,$O$5:$O$6004,"EM ANDAMENTO",$N$5:$N$6004,"&gt;=-99")=0,"",_xlfn.MAXIFS($N$5:$N$6004,$C$5:$C$6004,R119,$O$5:$O$6004,"EM ANDAMENTO")))</f>
        <v/>
      </c>
      <c r="AA119" s="2">
        <f>IF(OR(R119="",S119="",U119&lt;&gt;"SIM",V119=0),"",IF(W119+X119=0,"",T119&amp;": "&amp;IF(W119=V119,"concluído",IF(W119=0,"em execução"&amp;IF(Z119&lt;&gt;""," ("&amp;IF(Z119&lt;0,IF(COUNTIF($E$5:$E$6004,"SUBSOLO*")&gt;0,"subsolo",-Z119&amp;"º subsolo"),IF(Z119=0,"térreo",Z119&amp;"º pav."))&amp;")",""),IF(Y119&lt;&gt;"","até "&amp;IF(Y119&lt;0,IF(COUNTIF($E$5:$E$6004,"SUBSOLO*")&gt;0,"subsolo",-Y119&amp;"º subsolo"),IF(Y119=0,"térreo",Y119&amp;"º pav.")),W119&amp;" de "&amp;V119&amp;" concluídas")&amp;IF(Z119="","",IF(OR(Y119="",Z119&gt;Y119),", executando "&amp;IF(Z119&lt;0,IF(COUNTIF($E$5:$E$6004,"SUBSOLO*")&gt;0,"subsolo",-Z119&amp;"º subsolo"),IF(Z119=0,"térreo",Z119&amp;"º pav."))," (restam serviços no "&amp;IF(Z119&lt;0,IF(COUNTIF($E$5:$E$6004,"SUBSOLO*")&gt;0,"subsolo",-Z119&amp;"º subsolo"),IF(Z119=0,"térreo",Z119&amp;"º pav."))&amp;")"))))))</f>
        <v/>
      </c>
    </row>
    <row r="120">
      <c r="B120" s="4" t="n">
        <v>13543297</v>
      </c>
      <c r="C120" s="4" t="inlineStr">
        <is>
          <t>VIGA DE COROAMENTO (TRECHO - RUA IPÊ 1º ETAPA)</t>
        </is>
      </c>
      <c r="D120" s="4" t="inlineStr">
        <is>
          <t>Forma</t>
        </is>
      </c>
      <c r="E120" s="4" t="inlineStr">
        <is>
          <t>SERVIÇOS INICIAIS</t>
        </is>
      </c>
      <c r="F120" s="126" t="n">
        <v>45937</v>
      </c>
      <c r="G120" s="126" t="n">
        <v>45939</v>
      </c>
      <c r="H120" s="126" t="n">
        <v>46289</v>
      </c>
      <c r="I120" s="4" t="n">
        <v>100</v>
      </c>
      <c r="J120" s="4" t="n">
        <v>100</v>
      </c>
      <c r="K120" s="4" t="n">
        <v>100</v>
      </c>
      <c r="M120" s="2">
        <f>IF(C120="","",IFERROR(INDEX($S$5:$S$304,MATCH(C120,$R$5:$R$304,0))&amp;"","?"))</f>
        <v/>
      </c>
      <c r="N120" s="2">
        <f>IF(E120="","",IF(ISNUMBER(SEARCH("SUBSOLO",E120)),IFERROR(-VALUE(LEFT(E120,FIND("º",SUBSTITUTE(E120,"°","º"))-1)),-1),IF(LEFT(E120,6)="TÉRREO",0,IFERROR(VALUE(LEFT(E120,FIND("º",SUBSTITUTE(E120,"°","º"))-1)),""))))</f>
        <v/>
      </c>
      <c r="O120" s="2">
        <f>IF(OR(F120="",G120=""),"",IF(G120&lt;='RETRATO 2027'!$K$5,"CONCLUÍDA",IF(F120&lt;='RETRATO 2027'!$K$5,"EM ANDAMENTO","A INICIAR")))</f>
        <v/>
      </c>
      <c r="R120" s="4" t="inlineStr">
        <is>
          <t>FACHADA AERADA - F1 + F2 (2º ETAPA)</t>
        </is>
      </c>
      <c r="S120" s="4" t="inlineStr">
        <is>
          <t>32</t>
        </is>
      </c>
      <c r="T120" s="4" t="inlineStr">
        <is>
          <t>Fachada aerada - F1 + F2 (2º etapa)</t>
        </is>
      </c>
      <c r="U120" s="4" t="inlineStr">
        <is>
          <t>SIM</t>
        </is>
      </c>
      <c r="V120" s="2">
        <f>IF(R120="","",COUNTIF($C$5:$C$6004,R120))</f>
        <v/>
      </c>
      <c r="W120" s="2">
        <f>IF(R120="","",COUNTIFS($C$5:$C$6004,R120,$O$5:$O$6004,"CONCLUÍDA"))</f>
        <v/>
      </c>
      <c r="X120" s="2">
        <f>IF(R120="","",COUNTIFS($C$5:$C$6004,R120,$O$5:$O$6004,"EM ANDAMENTO"))</f>
        <v/>
      </c>
      <c r="Y120" s="2">
        <f>IF(R120="","",IF(COUNTIFS($C$5:$C$6004,R120,$O$5:$O$6004,"CONCLUÍDA",$N$5:$N$6004,"&gt;=-99")=0,"",_xlfn.MAXIFS($N$5:$N$6004,$C$5:$C$6004,R120,$O$5:$O$6004,"CONCLUÍDA")))</f>
        <v/>
      </c>
      <c r="Z120" s="2">
        <f>IF(R120="","",IF(COUNTIFS($C$5:$C$6004,R120,$O$5:$O$6004,"EM ANDAMENTO",$N$5:$N$6004,"&gt;=-99")=0,"",_xlfn.MAXIFS($N$5:$N$6004,$C$5:$C$6004,R120,$O$5:$O$6004,"EM ANDAMENTO")))</f>
        <v/>
      </c>
      <c r="AA120" s="2">
        <f>IF(OR(R120="",S120="",U120&lt;&gt;"SIM",V120=0),"",IF(W120+X120=0,"",T120&amp;": "&amp;IF(W120=V120,"concluído",IF(W120=0,"em execução"&amp;IF(Z120&lt;&gt;""," ("&amp;IF(Z120&lt;0,IF(COUNTIF($E$5:$E$6004,"SUBSOLO*")&gt;0,"subsolo",-Z120&amp;"º subsolo"),IF(Z120=0,"térreo",Z120&amp;"º pav."))&amp;")",""),IF(Y120&lt;&gt;"","até "&amp;IF(Y120&lt;0,IF(COUNTIF($E$5:$E$6004,"SUBSOLO*")&gt;0,"subsolo",-Y120&amp;"º subsolo"),IF(Y120=0,"térreo",Y120&amp;"º pav.")),W120&amp;" de "&amp;V120&amp;" concluídas")&amp;IF(Z120="","",IF(OR(Y120="",Z120&gt;Y120),", executando "&amp;IF(Z120&lt;0,IF(COUNTIF($E$5:$E$6004,"SUBSOLO*")&gt;0,"subsolo",-Z120&amp;"º subsolo"),IF(Z120=0,"térreo",Z120&amp;"º pav."))," (restam serviços no "&amp;IF(Z120&lt;0,IF(COUNTIF($E$5:$E$6004,"SUBSOLO*")&gt;0,"subsolo",-Z120&amp;"º subsolo"),IF(Z120=0,"térreo",Z120&amp;"º pav."))&amp;")"))))))</f>
        <v/>
      </c>
    </row>
    <row r="121">
      <c r="B121" s="4" t="n">
        <v>13543298</v>
      </c>
      <c r="C121" s="4" t="inlineStr">
        <is>
          <t>VIGA DE COROAMENTO (TRECHO - RUA IPÊ 1º ETAPA)</t>
        </is>
      </c>
      <c r="D121" s="4" t="inlineStr">
        <is>
          <t>Concretagem</t>
        </is>
      </c>
      <c r="E121" s="4" t="inlineStr">
        <is>
          <t>SERVIÇOS INICIAIS</t>
        </is>
      </c>
      <c r="F121" s="126" t="n">
        <v>45940</v>
      </c>
      <c r="G121" s="126" t="n">
        <v>45940</v>
      </c>
      <c r="H121" s="126" t="n">
        <v>46289</v>
      </c>
      <c r="I121" s="4" t="n">
        <v>100</v>
      </c>
      <c r="J121" s="4" t="n">
        <v>100</v>
      </c>
      <c r="K121" s="4" t="n">
        <v>100</v>
      </c>
      <c r="M121" s="2">
        <f>IF(C121="","",IFERROR(INDEX($S$5:$S$304,MATCH(C121,$R$5:$R$304,0))&amp;"","?"))</f>
        <v/>
      </c>
      <c r="N121" s="2">
        <f>IF(E121="","",IF(ISNUMBER(SEARCH("SUBSOLO",E121)),IFERROR(-VALUE(LEFT(E121,FIND("º",SUBSTITUTE(E121,"°","º"))-1)),-1),IF(LEFT(E121,6)="TÉRREO",0,IFERROR(VALUE(LEFT(E121,FIND("º",SUBSTITUTE(E121,"°","º"))-1)),""))))</f>
        <v/>
      </c>
      <c r="O121" s="2">
        <f>IF(OR(F121="",G121=""),"",IF(G121&lt;='RETRATO 2027'!$K$5,"CONCLUÍDA",IF(F121&lt;='RETRATO 2027'!$K$5,"EM ANDAMENTO","A INICIAR")))</f>
        <v/>
      </c>
      <c r="R121" s="4" t="inlineStr">
        <is>
          <t>LIMPEZA GROSSA</t>
        </is>
      </c>
      <c r="S121" s="4" t="inlineStr">
        <is>
          <t>37</t>
        </is>
      </c>
      <c r="T121" s="4" t="inlineStr">
        <is>
          <t>Limpeza grossa</t>
        </is>
      </c>
      <c r="U121" s="4" t="inlineStr">
        <is>
          <t>SIM</t>
        </is>
      </c>
      <c r="V121" s="2">
        <f>IF(R121="","",COUNTIF($C$5:$C$6004,R121))</f>
        <v/>
      </c>
      <c r="W121" s="2">
        <f>IF(R121="","",COUNTIFS($C$5:$C$6004,R121,$O$5:$O$6004,"CONCLUÍDA"))</f>
        <v/>
      </c>
      <c r="X121" s="2">
        <f>IF(R121="","",COUNTIFS($C$5:$C$6004,R121,$O$5:$O$6004,"EM ANDAMENTO"))</f>
        <v/>
      </c>
      <c r="Y121" s="2">
        <f>IF(R121="","",IF(COUNTIFS($C$5:$C$6004,R121,$O$5:$O$6004,"CONCLUÍDA",$N$5:$N$6004,"&gt;=-99")=0,"",_xlfn.MAXIFS($N$5:$N$6004,$C$5:$C$6004,R121,$O$5:$O$6004,"CONCLUÍDA")))</f>
        <v/>
      </c>
      <c r="Z121" s="2">
        <f>IF(R121="","",IF(COUNTIFS($C$5:$C$6004,R121,$O$5:$O$6004,"EM ANDAMENTO",$N$5:$N$6004,"&gt;=-99")=0,"",_xlfn.MAXIFS($N$5:$N$6004,$C$5:$C$6004,R121,$O$5:$O$6004,"EM ANDAMENTO")))</f>
        <v/>
      </c>
      <c r="AA121" s="2">
        <f>IF(OR(R121="",S121="",U121&lt;&gt;"SIM",V121=0),"",IF(W121+X121=0,"",T121&amp;": "&amp;IF(W121=V121,"concluído",IF(W121=0,"em execução"&amp;IF(Z121&lt;&gt;""," ("&amp;IF(Z121&lt;0,IF(COUNTIF($E$5:$E$6004,"SUBSOLO*")&gt;0,"subsolo",-Z121&amp;"º subsolo"),IF(Z121=0,"térreo",Z121&amp;"º pav."))&amp;")",""),IF(Y121&lt;&gt;"","até "&amp;IF(Y121&lt;0,IF(COUNTIF($E$5:$E$6004,"SUBSOLO*")&gt;0,"subsolo",-Y121&amp;"º subsolo"),IF(Y121=0,"térreo",Y121&amp;"º pav.")),W121&amp;" de "&amp;V121&amp;" concluídas")&amp;IF(Z121="","",IF(OR(Y121="",Z121&gt;Y121),", executando "&amp;IF(Z121&lt;0,IF(COUNTIF($E$5:$E$6004,"SUBSOLO*")&gt;0,"subsolo",-Z121&amp;"º subsolo"),IF(Z121=0,"térreo",Z121&amp;"º pav."))," (restam serviços no "&amp;IF(Z121&lt;0,IF(COUNTIF($E$5:$E$6004,"SUBSOLO*")&gt;0,"subsolo",-Z121&amp;"º subsolo"),IF(Z121=0,"térreo",Z121&amp;"º pav."))&amp;")"))))))</f>
        <v/>
      </c>
    </row>
    <row r="122">
      <c r="B122" s="4" t="n">
        <v>13543299</v>
      </c>
      <c r="C122" s="4" t="inlineStr">
        <is>
          <t>VIGA DE COROAMENTO (TRECHO - RUA IPÊ 1º ETAPA)</t>
        </is>
      </c>
      <c r="D122" s="4" t="inlineStr">
        <is>
          <t>Aterro</t>
        </is>
      </c>
      <c r="E122" s="4" t="inlineStr">
        <is>
          <t>SERVIÇOS INICIAIS</t>
        </is>
      </c>
      <c r="F122" s="126" t="n">
        <v>45943</v>
      </c>
      <c r="G122" s="126" t="n">
        <v>45943</v>
      </c>
      <c r="H122" s="126" t="n">
        <v>46289</v>
      </c>
      <c r="I122" s="4" t="n">
        <v>100</v>
      </c>
      <c r="J122" s="4" t="n">
        <v>100</v>
      </c>
      <c r="K122" s="4" t="n">
        <v>100</v>
      </c>
      <c r="M122" s="2">
        <f>IF(C122="","",IFERROR(INDEX($S$5:$S$304,MATCH(C122,$R$5:$R$304,0))&amp;"","?"))</f>
        <v/>
      </c>
      <c r="N122" s="2">
        <f>IF(E122="","",IF(ISNUMBER(SEARCH("SUBSOLO",E122)),IFERROR(-VALUE(LEFT(E122,FIND("º",SUBSTITUTE(E122,"°","º"))-1)),-1),IF(LEFT(E122,6)="TÉRREO",0,IFERROR(VALUE(LEFT(E122,FIND("º",SUBSTITUTE(E122,"°","º"))-1)),""))))</f>
        <v/>
      </c>
      <c r="O122" s="2">
        <f>IF(OR(F122="",G122=""),"",IF(G122&lt;='RETRATO 2027'!$K$5,"CONCLUÍDA",IF(F122&lt;='RETRATO 2027'!$K$5,"EM ANDAMENTO","A INICIAR")))</f>
        <v/>
      </c>
      <c r="R122" s="4" t="inlineStr">
        <is>
          <t>PEITORIS E REQUADROS DE FACHADA - F5 (1º ETAPA)</t>
        </is>
      </c>
      <c r="S122" s="4" t="inlineStr">
        <is>
          <t>32</t>
        </is>
      </c>
      <c r="T122" s="4" t="inlineStr">
        <is>
          <t>Peitoris e requadros de fachada - F5 (1º etapa)</t>
        </is>
      </c>
      <c r="U122" s="4" t="inlineStr">
        <is>
          <t>SIM</t>
        </is>
      </c>
      <c r="V122" s="2">
        <f>IF(R122="","",COUNTIF($C$5:$C$6004,R122))</f>
        <v/>
      </c>
      <c r="W122" s="2">
        <f>IF(R122="","",COUNTIFS($C$5:$C$6004,R122,$O$5:$O$6004,"CONCLUÍDA"))</f>
        <v/>
      </c>
      <c r="X122" s="2">
        <f>IF(R122="","",COUNTIFS($C$5:$C$6004,R122,$O$5:$O$6004,"EM ANDAMENTO"))</f>
        <v/>
      </c>
      <c r="Y122" s="2">
        <f>IF(R122="","",IF(COUNTIFS($C$5:$C$6004,R122,$O$5:$O$6004,"CONCLUÍDA",$N$5:$N$6004,"&gt;=-99")=0,"",_xlfn.MAXIFS($N$5:$N$6004,$C$5:$C$6004,R122,$O$5:$O$6004,"CONCLUÍDA")))</f>
        <v/>
      </c>
      <c r="Z122" s="2">
        <f>IF(R122="","",IF(COUNTIFS($C$5:$C$6004,R122,$O$5:$O$6004,"EM ANDAMENTO",$N$5:$N$6004,"&gt;=-99")=0,"",_xlfn.MAXIFS($N$5:$N$6004,$C$5:$C$6004,R122,$O$5:$O$6004,"EM ANDAMENTO")))</f>
        <v/>
      </c>
      <c r="AA122" s="2">
        <f>IF(OR(R122="",S122="",U122&lt;&gt;"SIM",V122=0),"",IF(W122+X122=0,"",T122&amp;": "&amp;IF(W122=V122,"concluído",IF(W122=0,"em execução"&amp;IF(Z122&lt;&gt;""," ("&amp;IF(Z122&lt;0,IF(COUNTIF($E$5:$E$6004,"SUBSOLO*")&gt;0,"subsolo",-Z122&amp;"º subsolo"),IF(Z122=0,"térreo",Z122&amp;"º pav."))&amp;")",""),IF(Y122&lt;&gt;"","até "&amp;IF(Y122&lt;0,IF(COUNTIF($E$5:$E$6004,"SUBSOLO*")&gt;0,"subsolo",-Y122&amp;"º subsolo"),IF(Y122=0,"térreo",Y122&amp;"º pav.")),W122&amp;" de "&amp;V122&amp;" concluídas")&amp;IF(Z122="","",IF(OR(Y122="",Z122&gt;Y122),", executando "&amp;IF(Z122&lt;0,IF(COUNTIF($E$5:$E$6004,"SUBSOLO*")&gt;0,"subsolo",-Z122&amp;"º subsolo"),IF(Z122=0,"térreo",Z122&amp;"º pav."))," (restam serviços no "&amp;IF(Z122&lt;0,IF(COUNTIF($E$5:$E$6004,"SUBSOLO*")&gt;0,"subsolo",-Z122&amp;"º subsolo"),IF(Z122=0,"térreo",Z122&amp;"º pav."))&amp;")"))))))</f>
        <v/>
      </c>
    </row>
    <row r="123">
      <c r="B123" s="4" t="n">
        <v>33143599</v>
      </c>
      <c r="C123" s="4" t="inlineStr">
        <is>
          <t>VIGA DE COROAMENTO (TRECHO - RUA IPÊ 2º ETAPA)</t>
        </is>
      </c>
      <c r="D123" s="4" t="inlineStr">
        <is>
          <t>-</t>
        </is>
      </c>
      <c r="E123" s="4" t="inlineStr">
        <is>
          <t>SERVIÇOS INICIAIS</t>
        </is>
      </c>
      <c r="F123" s="126" t="n">
        <v>45936</v>
      </c>
      <c r="G123" s="126" t="n">
        <v>45947</v>
      </c>
      <c r="H123" s="126" t="n">
        <v>46289</v>
      </c>
      <c r="I123" s="4" t="n">
        <v>100</v>
      </c>
      <c r="J123" s="4" t="n">
        <v>100</v>
      </c>
      <c r="K123" s="4" t="n">
        <v>100</v>
      </c>
      <c r="M123" s="2">
        <f>IF(C123="","",IFERROR(INDEX($S$5:$S$304,MATCH(C123,$R$5:$R$304,0))&amp;"","?"))</f>
        <v/>
      </c>
      <c r="N123" s="2">
        <f>IF(E123="","",IF(ISNUMBER(SEARCH("SUBSOLO",E123)),IFERROR(-VALUE(LEFT(E123,FIND("º",SUBSTITUTE(E123,"°","º"))-1)),-1),IF(LEFT(E123,6)="TÉRREO",0,IFERROR(VALUE(LEFT(E123,FIND("º",SUBSTITUTE(E123,"°","º"))-1)),""))))</f>
        <v/>
      </c>
      <c r="O123" s="2">
        <f>IF(OR(F123="",G123=""),"",IF(G123&lt;='RETRATO 2027'!$K$5,"CONCLUÍDA",IF(F123&lt;='RETRATO 2027'!$K$5,"EM ANDAMENTO","A INICIAR")))</f>
        <v/>
      </c>
      <c r="R123" s="4" t="inlineStr">
        <is>
          <t>POLIMENTO DE PISO</t>
        </is>
      </c>
      <c r="S123" s="4" t="inlineStr">
        <is>
          <t>30</t>
        </is>
      </c>
      <c r="T123" s="4" t="inlineStr">
        <is>
          <t>Polimento de piso</t>
        </is>
      </c>
      <c r="U123" s="4" t="inlineStr">
        <is>
          <t>NÃO</t>
        </is>
      </c>
      <c r="V123" s="2">
        <f>IF(R123="","",COUNTIF($C$5:$C$6004,R123))</f>
        <v/>
      </c>
      <c r="W123" s="2">
        <f>IF(R123="","",COUNTIFS($C$5:$C$6004,R123,$O$5:$O$6004,"CONCLUÍDA"))</f>
        <v/>
      </c>
      <c r="X123" s="2">
        <f>IF(R123="","",COUNTIFS($C$5:$C$6004,R123,$O$5:$O$6004,"EM ANDAMENTO"))</f>
        <v/>
      </c>
      <c r="Y123" s="2">
        <f>IF(R123="","",IF(COUNTIFS($C$5:$C$6004,R123,$O$5:$O$6004,"CONCLUÍDA",$N$5:$N$6004,"&gt;=-99")=0,"",_xlfn.MAXIFS($N$5:$N$6004,$C$5:$C$6004,R123,$O$5:$O$6004,"CONCLUÍDA")))</f>
        <v/>
      </c>
      <c r="Z123" s="2">
        <f>IF(R123="","",IF(COUNTIFS($C$5:$C$6004,R123,$O$5:$O$6004,"EM ANDAMENTO",$N$5:$N$6004,"&gt;=-99")=0,"",_xlfn.MAXIFS($N$5:$N$6004,$C$5:$C$6004,R123,$O$5:$O$6004,"EM ANDAMENTO")))</f>
        <v/>
      </c>
      <c r="AA123" s="2">
        <f>IF(OR(R123="",S123="",U123&lt;&gt;"SIM",V123=0),"",IF(W123+X123=0,"",T123&amp;": "&amp;IF(W123=V123,"concluído",IF(W123=0,"em execução"&amp;IF(Z123&lt;&gt;""," ("&amp;IF(Z123&lt;0,IF(COUNTIF($E$5:$E$6004,"SUBSOLO*")&gt;0,"subsolo",-Z123&amp;"º subsolo"),IF(Z123=0,"térreo",Z123&amp;"º pav."))&amp;")",""),IF(Y123&lt;&gt;"","até "&amp;IF(Y123&lt;0,IF(COUNTIF($E$5:$E$6004,"SUBSOLO*")&gt;0,"subsolo",-Y123&amp;"º subsolo"),IF(Y123=0,"térreo",Y123&amp;"º pav.")),W123&amp;" de "&amp;V123&amp;" concluídas")&amp;IF(Z123="","",IF(OR(Y123="",Z123&gt;Y123),", executando "&amp;IF(Z123&lt;0,IF(COUNTIF($E$5:$E$6004,"SUBSOLO*")&gt;0,"subsolo",-Z123&amp;"º subsolo"),IF(Z123=0,"térreo",Z123&amp;"º pav."))," (restam serviços no "&amp;IF(Z123&lt;0,IF(COUNTIF($E$5:$E$6004,"SUBSOLO*")&gt;0,"subsolo",-Z123&amp;"º subsolo"),IF(Z123=0,"térreo",Z123&amp;"º pav."))&amp;")"))))))</f>
        <v/>
      </c>
    </row>
    <row r="124">
      <c r="B124" s="4" t="n">
        <v>13543429</v>
      </c>
      <c r="C124" s="4" t="inlineStr">
        <is>
          <t>VIGA DE COROAMENTO (TRECHO - RUA IPÊ 2º ETAPA)</t>
        </is>
      </c>
      <c r="D124" s="4" t="inlineStr">
        <is>
          <t>Escavação e Arrasamento</t>
        </is>
      </c>
      <c r="E124" s="4" t="inlineStr">
        <is>
          <t>SERVIÇOS INICIAIS</t>
        </is>
      </c>
      <c r="F124" s="126" t="n">
        <v>45936</v>
      </c>
      <c r="G124" s="126" t="n">
        <v>45938</v>
      </c>
      <c r="H124" s="126" t="n">
        <v>46289</v>
      </c>
      <c r="I124" s="4" t="n">
        <v>100</v>
      </c>
      <c r="J124" s="4" t="n">
        <v>100</v>
      </c>
      <c r="K124" s="4" t="n">
        <v>100</v>
      </c>
      <c r="M124" s="2">
        <f>IF(C124="","",IFERROR(INDEX($S$5:$S$304,MATCH(C124,$R$5:$R$304,0))&amp;"","?"))</f>
        <v/>
      </c>
      <c r="N124" s="2">
        <f>IF(E124="","",IF(ISNUMBER(SEARCH("SUBSOLO",E124)),IFERROR(-VALUE(LEFT(E124,FIND("º",SUBSTITUTE(E124,"°","º"))-1)),-1),IF(LEFT(E124,6)="TÉRREO",0,IFERROR(VALUE(LEFT(E124,FIND("º",SUBSTITUTE(E124,"°","º"))-1)),""))))</f>
        <v/>
      </c>
      <c r="O124" s="2">
        <f>IF(OR(F124="",G124=""),"",IF(G124&lt;='RETRATO 2027'!$K$5,"CONCLUÍDA",IF(F124&lt;='RETRATO 2027'!$K$5,"EM ANDAMENTO","A INICIAR")))</f>
        <v/>
      </c>
      <c r="R124" s="4" t="inlineStr">
        <is>
          <t>PREPARAÇÃO PARA FACHADA AERADA - F3 + F4 (2º ETAPA)</t>
        </is>
      </c>
      <c r="S124" s="4" t="inlineStr">
        <is>
          <t>32</t>
        </is>
      </c>
      <c r="T124" s="4" t="inlineStr">
        <is>
          <t>Preparação para fachada aerada - F3 + F4 (2º etapa)</t>
        </is>
      </c>
      <c r="U124" s="4" t="inlineStr">
        <is>
          <t>SIM</t>
        </is>
      </c>
      <c r="V124" s="2">
        <f>IF(R124="","",COUNTIF($C$5:$C$6004,R124))</f>
        <v/>
      </c>
      <c r="W124" s="2">
        <f>IF(R124="","",COUNTIFS($C$5:$C$6004,R124,$O$5:$O$6004,"CONCLUÍDA"))</f>
        <v/>
      </c>
      <c r="X124" s="2">
        <f>IF(R124="","",COUNTIFS($C$5:$C$6004,R124,$O$5:$O$6004,"EM ANDAMENTO"))</f>
        <v/>
      </c>
      <c r="Y124" s="2">
        <f>IF(R124="","",IF(COUNTIFS($C$5:$C$6004,R124,$O$5:$O$6004,"CONCLUÍDA",$N$5:$N$6004,"&gt;=-99")=0,"",_xlfn.MAXIFS($N$5:$N$6004,$C$5:$C$6004,R124,$O$5:$O$6004,"CONCLUÍDA")))</f>
        <v/>
      </c>
      <c r="Z124" s="2">
        <f>IF(R124="","",IF(COUNTIFS($C$5:$C$6004,R124,$O$5:$O$6004,"EM ANDAMENTO",$N$5:$N$6004,"&gt;=-99")=0,"",_xlfn.MAXIFS($N$5:$N$6004,$C$5:$C$6004,R124,$O$5:$O$6004,"EM ANDAMENTO")))</f>
        <v/>
      </c>
      <c r="AA124" s="2">
        <f>IF(OR(R124="",S124="",U124&lt;&gt;"SIM",V124=0),"",IF(W124+X124=0,"",T124&amp;": "&amp;IF(W124=V124,"concluído",IF(W124=0,"em execução"&amp;IF(Z124&lt;&gt;""," ("&amp;IF(Z124&lt;0,IF(COUNTIF($E$5:$E$6004,"SUBSOLO*")&gt;0,"subsolo",-Z124&amp;"º subsolo"),IF(Z124=0,"térreo",Z124&amp;"º pav."))&amp;")",""),IF(Y124&lt;&gt;"","até "&amp;IF(Y124&lt;0,IF(COUNTIF($E$5:$E$6004,"SUBSOLO*")&gt;0,"subsolo",-Y124&amp;"º subsolo"),IF(Y124=0,"térreo",Y124&amp;"º pav.")),W124&amp;" de "&amp;V124&amp;" concluídas")&amp;IF(Z124="","",IF(OR(Y124="",Z124&gt;Y124),", executando "&amp;IF(Z124&lt;0,IF(COUNTIF($E$5:$E$6004,"SUBSOLO*")&gt;0,"subsolo",-Z124&amp;"º subsolo"),IF(Z124=0,"térreo",Z124&amp;"º pav."))," (restam serviços no "&amp;IF(Z124&lt;0,IF(COUNTIF($E$5:$E$6004,"SUBSOLO*")&gt;0,"subsolo",-Z124&amp;"º subsolo"),IF(Z124=0,"térreo",Z124&amp;"º pav."))&amp;")"))))))</f>
        <v/>
      </c>
    </row>
    <row r="125">
      <c r="B125" s="4" t="n">
        <v>13543430</v>
      </c>
      <c r="C125" s="4" t="inlineStr">
        <is>
          <t>VIGA DE COROAMENTO (TRECHO - RUA IPÊ 2º ETAPA)</t>
        </is>
      </c>
      <c r="D125" s="4" t="inlineStr">
        <is>
          <t>Armação</t>
        </is>
      </c>
      <c r="E125" s="4" t="inlineStr">
        <is>
          <t>SERVIÇOS INICIAIS</t>
        </is>
      </c>
      <c r="F125" s="126" t="n">
        <v>45939</v>
      </c>
      <c r="G125" s="126" t="n">
        <v>45944</v>
      </c>
      <c r="H125" s="126" t="n">
        <v>46289</v>
      </c>
      <c r="I125" s="4" t="n">
        <v>100</v>
      </c>
      <c r="J125" s="4" t="n">
        <v>100</v>
      </c>
      <c r="K125" s="4" t="n">
        <v>100</v>
      </c>
      <c r="M125" s="2">
        <f>IF(C125="","",IFERROR(INDEX($S$5:$S$304,MATCH(C125,$R$5:$R$304,0))&amp;"","?"))</f>
        <v/>
      </c>
      <c r="N125" s="2">
        <f>IF(E125="","",IF(ISNUMBER(SEARCH("SUBSOLO",E125)),IFERROR(-VALUE(LEFT(E125,FIND("º",SUBSTITUTE(E125,"°","º"))-1)),-1),IF(LEFT(E125,6)="TÉRREO",0,IFERROR(VALUE(LEFT(E125,FIND("º",SUBSTITUTE(E125,"°","º"))-1)),""))))</f>
        <v/>
      </c>
      <c r="O125" s="2">
        <f>IF(OR(F125="",G125=""),"",IF(G125&lt;='RETRATO 2027'!$K$5,"CONCLUÍDA",IF(F125&lt;='RETRATO 2027'!$K$5,"EM ANDAMENTO","A INICIAR")))</f>
        <v/>
      </c>
      <c r="R125" s="4" t="inlineStr">
        <is>
          <t>PINTURA 2º DEMÃO</t>
        </is>
      </c>
      <c r="S125" s="4" t="inlineStr">
        <is>
          <t>35</t>
        </is>
      </c>
      <c r="T125" s="4" t="inlineStr">
        <is>
          <t>Pintura 2ª demão</t>
        </is>
      </c>
      <c r="U125" s="4" t="inlineStr">
        <is>
          <t>SIM</t>
        </is>
      </c>
      <c r="V125" s="2">
        <f>IF(R125="","",COUNTIF($C$5:$C$6004,R125))</f>
        <v/>
      </c>
      <c r="W125" s="2">
        <f>IF(R125="","",COUNTIFS($C$5:$C$6004,R125,$O$5:$O$6004,"CONCLUÍDA"))</f>
        <v/>
      </c>
      <c r="X125" s="2">
        <f>IF(R125="","",COUNTIFS($C$5:$C$6004,R125,$O$5:$O$6004,"EM ANDAMENTO"))</f>
        <v/>
      </c>
      <c r="Y125" s="2">
        <f>IF(R125="","",IF(COUNTIFS($C$5:$C$6004,R125,$O$5:$O$6004,"CONCLUÍDA",$N$5:$N$6004,"&gt;=-99")=0,"",_xlfn.MAXIFS($N$5:$N$6004,$C$5:$C$6004,R125,$O$5:$O$6004,"CONCLUÍDA")))</f>
        <v/>
      </c>
      <c r="Z125" s="2">
        <f>IF(R125="","",IF(COUNTIFS($C$5:$C$6004,R125,$O$5:$O$6004,"EM ANDAMENTO",$N$5:$N$6004,"&gt;=-99")=0,"",_xlfn.MAXIFS($N$5:$N$6004,$C$5:$C$6004,R125,$O$5:$O$6004,"EM ANDAMENTO")))</f>
        <v/>
      </c>
      <c r="AA125" s="2">
        <f>IF(OR(R125="",S125="",U125&lt;&gt;"SIM",V125=0),"",IF(W125+X125=0,"",T125&amp;": "&amp;IF(W125=V125,"concluído",IF(W125=0,"em execução"&amp;IF(Z125&lt;&gt;""," ("&amp;IF(Z125&lt;0,IF(COUNTIF($E$5:$E$6004,"SUBSOLO*")&gt;0,"subsolo",-Z125&amp;"º subsolo"),IF(Z125=0,"térreo",Z125&amp;"º pav."))&amp;")",""),IF(Y125&lt;&gt;"","até "&amp;IF(Y125&lt;0,IF(COUNTIF($E$5:$E$6004,"SUBSOLO*")&gt;0,"subsolo",-Y125&amp;"º subsolo"),IF(Y125=0,"térreo",Y125&amp;"º pav.")),W125&amp;" de "&amp;V125&amp;" concluídas")&amp;IF(Z125="","",IF(OR(Y125="",Z125&gt;Y125),", executando "&amp;IF(Z125&lt;0,IF(COUNTIF($E$5:$E$6004,"SUBSOLO*")&gt;0,"subsolo",-Z125&amp;"º subsolo"),IF(Z125=0,"térreo",Z125&amp;"º pav."))," (restam serviços no "&amp;IF(Z125&lt;0,IF(COUNTIF($E$5:$E$6004,"SUBSOLO*")&gt;0,"subsolo",-Z125&amp;"º subsolo"),IF(Z125=0,"térreo",Z125&amp;"º pav."))&amp;")"))))))</f>
        <v/>
      </c>
    </row>
    <row r="126">
      <c r="B126" s="4" t="n">
        <v>13543451</v>
      </c>
      <c r="C126" s="4" t="inlineStr">
        <is>
          <t>VIGA DE COROAMENTO (TRECHO - RUA IPÊ 2º ETAPA)</t>
        </is>
      </c>
      <c r="D126" s="4" t="inlineStr">
        <is>
          <t>Forma</t>
        </is>
      </c>
      <c r="E126" s="4" t="inlineStr">
        <is>
          <t>SERVIÇOS INICIAIS</t>
        </is>
      </c>
      <c r="F126" s="126" t="n">
        <v>45943</v>
      </c>
      <c r="G126" s="126" t="n">
        <v>45945</v>
      </c>
      <c r="H126" s="126" t="n">
        <v>46289</v>
      </c>
      <c r="I126" s="4" t="n">
        <v>100</v>
      </c>
      <c r="J126" s="4" t="n">
        <v>100</v>
      </c>
      <c r="K126" s="4" t="n">
        <v>100</v>
      </c>
      <c r="M126" s="2">
        <f>IF(C126="","",IFERROR(INDEX($S$5:$S$304,MATCH(C126,$R$5:$R$304,0))&amp;"","?"))</f>
        <v/>
      </c>
      <c r="N126" s="2">
        <f>IF(E126="","",IF(ISNUMBER(SEARCH("SUBSOLO",E126)),IFERROR(-VALUE(LEFT(E126,FIND("º",SUBSTITUTE(E126,"°","º"))-1)),-1),IF(LEFT(E126,6)="TÉRREO",0,IFERROR(VALUE(LEFT(E126,FIND("º",SUBSTITUTE(E126,"°","º"))-1)),""))))</f>
        <v/>
      </c>
      <c r="O126" s="2">
        <f>IF(OR(F126="",G126=""),"",IF(G126&lt;='RETRATO 2027'!$K$5,"CONCLUÍDA",IF(F126&lt;='RETRATO 2027'!$K$5,"EM ANDAMENTO","A INICIAR")))</f>
        <v/>
      </c>
      <c r="R126" s="4" t="inlineStr">
        <is>
          <t>TEXTURA - EXTERNA</t>
        </is>
      </c>
      <c r="S126" s="4" t="inlineStr">
        <is>
          <t>32</t>
        </is>
      </c>
      <c r="T126" s="4" t="inlineStr">
        <is>
          <t>Textura - externa</t>
        </is>
      </c>
      <c r="U126" s="4" t="inlineStr">
        <is>
          <t>SIM</t>
        </is>
      </c>
      <c r="V126" s="2">
        <f>IF(R126="","",COUNTIF($C$5:$C$6004,R126))</f>
        <v/>
      </c>
      <c r="W126" s="2">
        <f>IF(R126="","",COUNTIFS($C$5:$C$6004,R126,$O$5:$O$6004,"CONCLUÍDA"))</f>
        <v/>
      </c>
      <c r="X126" s="2">
        <f>IF(R126="","",COUNTIFS($C$5:$C$6004,R126,$O$5:$O$6004,"EM ANDAMENTO"))</f>
        <v/>
      </c>
      <c r="Y126" s="2">
        <f>IF(R126="","",IF(COUNTIFS($C$5:$C$6004,R126,$O$5:$O$6004,"CONCLUÍDA",$N$5:$N$6004,"&gt;=-99")=0,"",_xlfn.MAXIFS($N$5:$N$6004,$C$5:$C$6004,R126,$O$5:$O$6004,"CONCLUÍDA")))</f>
        <v/>
      </c>
      <c r="Z126" s="2">
        <f>IF(R126="","",IF(COUNTIFS($C$5:$C$6004,R126,$O$5:$O$6004,"EM ANDAMENTO",$N$5:$N$6004,"&gt;=-99")=0,"",_xlfn.MAXIFS($N$5:$N$6004,$C$5:$C$6004,R126,$O$5:$O$6004,"EM ANDAMENTO")))</f>
        <v/>
      </c>
      <c r="AA126" s="2">
        <f>IF(OR(R126="",S126="",U126&lt;&gt;"SIM",V126=0),"",IF(W126+X126=0,"",T126&amp;": "&amp;IF(W126=V126,"concluído",IF(W126=0,"em execução"&amp;IF(Z126&lt;&gt;""," ("&amp;IF(Z126&lt;0,IF(COUNTIF($E$5:$E$6004,"SUBSOLO*")&gt;0,"subsolo",-Z126&amp;"º subsolo"),IF(Z126=0,"térreo",Z126&amp;"º pav."))&amp;")",""),IF(Y126&lt;&gt;"","até "&amp;IF(Y126&lt;0,IF(COUNTIF($E$5:$E$6004,"SUBSOLO*")&gt;0,"subsolo",-Y126&amp;"º subsolo"),IF(Y126=0,"térreo",Y126&amp;"º pav.")),W126&amp;" de "&amp;V126&amp;" concluídas")&amp;IF(Z126="","",IF(OR(Y126="",Z126&gt;Y126),", executando "&amp;IF(Z126&lt;0,IF(COUNTIF($E$5:$E$6004,"SUBSOLO*")&gt;0,"subsolo",-Z126&amp;"º subsolo"),IF(Z126=0,"térreo",Z126&amp;"º pav."))," (restam serviços no "&amp;IF(Z126&lt;0,IF(COUNTIF($E$5:$E$6004,"SUBSOLO*")&gt;0,"subsolo",-Z126&amp;"º subsolo"),IF(Z126=0,"térreo",Z126&amp;"º pav."))&amp;")"))))))</f>
        <v/>
      </c>
    </row>
    <row r="127">
      <c r="B127" s="4" t="n">
        <v>13543452</v>
      </c>
      <c r="C127" s="4" t="inlineStr">
        <is>
          <t>VIGA DE COROAMENTO (TRECHO - RUA IPÊ 2º ETAPA)</t>
        </is>
      </c>
      <c r="D127" s="4" t="inlineStr">
        <is>
          <t>Concretagem</t>
        </is>
      </c>
      <c r="E127" s="4" t="inlineStr">
        <is>
          <t>SERVIÇOS INICIAIS</t>
        </is>
      </c>
      <c r="F127" s="126" t="n">
        <v>45946</v>
      </c>
      <c r="G127" s="126" t="n">
        <v>45946</v>
      </c>
      <c r="H127" s="126" t="n">
        <v>46289</v>
      </c>
      <c r="I127" s="4" t="n">
        <v>100</v>
      </c>
      <c r="J127" s="4" t="n">
        <v>100</v>
      </c>
      <c r="K127" s="4" t="n">
        <v>100</v>
      </c>
      <c r="M127" s="2">
        <f>IF(C127="","",IFERROR(INDEX($S$5:$S$304,MATCH(C127,$R$5:$R$304,0))&amp;"","?"))</f>
        <v/>
      </c>
      <c r="N127" s="2">
        <f>IF(E127="","",IF(ISNUMBER(SEARCH("SUBSOLO",E127)),IFERROR(-VALUE(LEFT(E127,FIND("º",SUBSTITUTE(E127,"°","º"))-1)),-1),IF(LEFT(E127,6)="TÉRREO",0,IFERROR(VALUE(LEFT(E127,FIND("º",SUBSTITUTE(E127,"°","º"))-1)),""))))</f>
        <v/>
      </c>
      <c r="O127" s="2">
        <f>IF(OR(F127="",G127=""),"",IF(G127&lt;='RETRATO 2027'!$K$5,"CONCLUÍDA",IF(F127&lt;='RETRATO 2027'!$K$5,"EM ANDAMENTO","A INICIAR")))</f>
        <v/>
      </c>
      <c r="R127" s="4" t="inlineStr">
        <is>
          <t>PONTOS DE ANCORAGEM INOX</t>
        </is>
      </c>
      <c r="S127" s="4" t="inlineStr">
        <is>
          <t>26</t>
        </is>
      </c>
      <c r="T127" s="4" t="inlineStr">
        <is>
          <t>Pontos de ancoragem inox</t>
        </is>
      </c>
      <c r="U127" s="4" t="inlineStr">
        <is>
          <t>SIM</t>
        </is>
      </c>
      <c r="V127" s="2">
        <f>IF(R127="","",COUNTIF($C$5:$C$6004,R127))</f>
        <v/>
      </c>
      <c r="W127" s="2">
        <f>IF(R127="","",COUNTIFS($C$5:$C$6004,R127,$O$5:$O$6004,"CONCLUÍDA"))</f>
        <v/>
      </c>
      <c r="X127" s="2">
        <f>IF(R127="","",COUNTIFS($C$5:$C$6004,R127,$O$5:$O$6004,"EM ANDAMENTO"))</f>
        <v/>
      </c>
      <c r="Y127" s="2">
        <f>IF(R127="","",IF(COUNTIFS($C$5:$C$6004,R127,$O$5:$O$6004,"CONCLUÍDA",$N$5:$N$6004,"&gt;=-99")=0,"",_xlfn.MAXIFS($N$5:$N$6004,$C$5:$C$6004,R127,$O$5:$O$6004,"CONCLUÍDA")))</f>
        <v/>
      </c>
      <c r="Z127" s="2">
        <f>IF(R127="","",IF(COUNTIFS($C$5:$C$6004,R127,$O$5:$O$6004,"EM ANDAMENTO",$N$5:$N$6004,"&gt;=-99")=0,"",_xlfn.MAXIFS($N$5:$N$6004,$C$5:$C$6004,R127,$O$5:$O$6004,"EM ANDAMENTO")))</f>
        <v/>
      </c>
      <c r="AA127" s="2">
        <f>IF(OR(R127="",S127="",U127&lt;&gt;"SIM",V127=0),"",IF(W127+X127=0,"",T127&amp;": "&amp;IF(W127=V127,"concluído",IF(W127=0,"em execução"&amp;IF(Z127&lt;&gt;""," ("&amp;IF(Z127&lt;0,IF(COUNTIF($E$5:$E$6004,"SUBSOLO*")&gt;0,"subsolo",-Z127&amp;"º subsolo"),IF(Z127=0,"térreo",Z127&amp;"º pav."))&amp;")",""),IF(Y127&lt;&gt;"","até "&amp;IF(Y127&lt;0,IF(COUNTIF($E$5:$E$6004,"SUBSOLO*")&gt;0,"subsolo",-Y127&amp;"º subsolo"),IF(Y127=0,"térreo",Y127&amp;"º pav.")),W127&amp;" de "&amp;V127&amp;" concluídas")&amp;IF(Z127="","",IF(OR(Y127="",Z127&gt;Y127),", executando "&amp;IF(Z127&lt;0,IF(COUNTIF($E$5:$E$6004,"SUBSOLO*")&gt;0,"subsolo",-Z127&amp;"º subsolo"),IF(Z127=0,"térreo",Z127&amp;"º pav."))," (restam serviços no "&amp;IF(Z127&lt;0,IF(COUNTIF($E$5:$E$6004,"SUBSOLO*")&gt;0,"subsolo",-Z127&amp;"º subsolo"),IF(Z127=0,"térreo",Z127&amp;"º pav."))&amp;")"))))))</f>
        <v/>
      </c>
    </row>
    <row r="128">
      <c r="B128" s="4" t="n">
        <v>13543453</v>
      </c>
      <c r="C128" s="4" t="inlineStr">
        <is>
          <t>VIGA DE COROAMENTO (TRECHO - RUA IPÊ 2º ETAPA)</t>
        </is>
      </c>
      <c r="D128" s="4" t="inlineStr">
        <is>
          <t>Aterro</t>
        </is>
      </c>
      <c r="E128" s="4" t="inlineStr">
        <is>
          <t>SERVIÇOS INICIAIS</t>
        </is>
      </c>
      <c r="F128" s="126" t="n">
        <v>45947</v>
      </c>
      <c r="G128" s="126" t="n">
        <v>45947</v>
      </c>
      <c r="H128" s="126" t="n">
        <v>46289</v>
      </c>
      <c r="I128" s="4" t="n">
        <v>100</v>
      </c>
      <c r="J128" s="4" t="n">
        <v>100</v>
      </c>
      <c r="K128" s="4" t="n">
        <v>100</v>
      </c>
      <c r="M128" s="2">
        <f>IF(C128="","",IFERROR(INDEX($S$5:$S$304,MATCH(C128,$R$5:$R$304,0))&amp;"","?"))</f>
        <v/>
      </c>
      <c r="N128" s="2">
        <f>IF(E128="","",IF(ISNUMBER(SEARCH("SUBSOLO",E128)),IFERROR(-VALUE(LEFT(E128,FIND("º",SUBSTITUTE(E128,"°","º"))-1)),-1),IF(LEFT(E128,6)="TÉRREO",0,IFERROR(VALUE(LEFT(E128,FIND("º",SUBSTITUTE(E128,"°","º"))-1)),""))))</f>
        <v/>
      </c>
      <c r="O128" s="2">
        <f>IF(OR(F128="",G128=""),"",IF(G128&lt;='RETRATO 2027'!$K$5,"CONCLUÍDA",IF(F128&lt;='RETRATO 2027'!$K$5,"EM ANDAMENTO","A INICIAR")))</f>
        <v/>
      </c>
      <c r="R128" s="4" t="inlineStr">
        <is>
          <t>ACABAMENTOS ELÉTRICOS</t>
        </is>
      </c>
      <c r="S128" s="4" t="inlineStr">
        <is>
          <t>20</t>
        </is>
      </c>
      <c r="T128" s="4" t="inlineStr">
        <is>
          <t>Acabamentos elétricos</t>
        </is>
      </c>
      <c r="U128" s="4" t="inlineStr">
        <is>
          <t>SIM</t>
        </is>
      </c>
      <c r="V128" s="2">
        <f>IF(R128="","",COUNTIF($C$5:$C$6004,R128))</f>
        <v/>
      </c>
      <c r="W128" s="2">
        <f>IF(R128="","",COUNTIFS($C$5:$C$6004,R128,$O$5:$O$6004,"CONCLUÍDA"))</f>
        <v/>
      </c>
      <c r="X128" s="2">
        <f>IF(R128="","",COUNTIFS($C$5:$C$6004,R128,$O$5:$O$6004,"EM ANDAMENTO"))</f>
        <v/>
      </c>
      <c r="Y128" s="2">
        <f>IF(R128="","",IF(COUNTIFS($C$5:$C$6004,R128,$O$5:$O$6004,"CONCLUÍDA",$N$5:$N$6004,"&gt;=-99")=0,"",_xlfn.MAXIFS($N$5:$N$6004,$C$5:$C$6004,R128,$O$5:$O$6004,"CONCLUÍDA")))</f>
        <v/>
      </c>
      <c r="Z128" s="2">
        <f>IF(R128="","",IF(COUNTIFS($C$5:$C$6004,R128,$O$5:$O$6004,"EM ANDAMENTO",$N$5:$N$6004,"&gt;=-99")=0,"",_xlfn.MAXIFS($N$5:$N$6004,$C$5:$C$6004,R128,$O$5:$O$6004,"EM ANDAMENTO")))</f>
        <v/>
      </c>
      <c r="AA128" s="2">
        <f>IF(OR(R128="",S128="",U128&lt;&gt;"SIM",V128=0),"",IF(W128+X128=0,"",T128&amp;": "&amp;IF(W128=V128,"concluído",IF(W128=0,"em execução"&amp;IF(Z128&lt;&gt;""," ("&amp;IF(Z128&lt;0,IF(COUNTIF($E$5:$E$6004,"SUBSOLO*")&gt;0,"subsolo",-Z128&amp;"º subsolo"),IF(Z128=0,"térreo",Z128&amp;"º pav."))&amp;")",""),IF(Y128&lt;&gt;"","até "&amp;IF(Y128&lt;0,IF(COUNTIF($E$5:$E$6004,"SUBSOLO*")&gt;0,"subsolo",-Y128&amp;"º subsolo"),IF(Y128=0,"térreo",Y128&amp;"º pav.")),W128&amp;" de "&amp;V128&amp;" concluídas")&amp;IF(Z128="","",IF(OR(Y128="",Z128&gt;Y128),", executando "&amp;IF(Z128&lt;0,IF(COUNTIF($E$5:$E$6004,"SUBSOLO*")&gt;0,"subsolo",-Z128&amp;"º subsolo"),IF(Z128=0,"térreo",Z128&amp;"º pav."))," (restam serviços no "&amp;IF(Z128&lt;0,IF(COUNTIF($E$5:$E$6004,"SUBSOLO*")&gt;0,"subsolo",-Z128&amp;"º subsolo"),IF(Z128=0,"térreo",Z128&amp;"º pav."))&amp;")"))))))</f>
        <v/>
      </c>
    </row>
    <row r="129">
      <c r="B129" s="4" t="n">
        <v>33143640</v>
      </c>
      <c r="C129" s="4" t="inlineStr">
        <is>
          <t>VIGA DE COROAMENTO (TRECHO - RUA BOM JESUS)</t>
        </is>
      </c>
      <c r="D129" s="4" t="inlineStr">
        <is>
          <t>-</t>
        </is>
      </c>
      <c r="E129" s="4" t="inlineStr">
        <is>
          <t>SERVIÇOS INICIAIS</t>
        </is>
      </c>
      <c r="F129" s="126" t="n">
        <v>45943</v>
      </c>
      <c r="G129" s="126" t="n">
        <v>45957</v>
      </c>
      <c r="H129" s="126" t="n">
        <v>46289</v>
      </c>
      <c r="I129" s="4" t="n">
        <v>100</v>
      </c>
      <c r="J129" s="4" t="n">
        <v>100</v>
      </c>
      <c r="K129" s="4" t="n">
        <v>100</v>
      </c>
      <c r="M129" s="2">
        <f>IF(C129="","",IFERROR(INDEX($S$5:$S$304,MATCH(C129,$R$5:$R$304,0))&amp;"","?"))</f>
        <v/>
      </c>
      <c r="N129" s="2">
        <f>IF(E129="","",IF(ISNUMBER(SEARCH("SUBSOLO",E129)),IFERROR(-VALUE(LEFT(E129,FIND("º",SUBSTITUTE(E129,"°","º"))-1)),-1),IF(LEFT(E129,6)="TÉRREO",0,IFERROR(VALUE(LEFT(E129,FIND("º",SUBSTITUTE(E129,"°","º"))-1)),""))))</f>
        <v/>
      </c>
      <c r="O129" s="2">
        <f>IF(OR(F129="",G129=""),"",IF(G129&lt;='RETRATO 2027'!$K$5,"CONCLUÍDA",IF(F129&lt;='RETRATO 2027'!$K$5,"EM ANDAMENTO","A INICIAR")))</f>
        <v/>
      </c>
      <c r="R129" s="4" t="inlineStr">
        <is>
          <t>TEXTURA - 1º DEMÃO</t>
        </is>
      </c>
      <c r="S129" s="4" t="inlineStr">
        <is>
          <t>35</t>
        </is>
      </c>
      <c r="T129" s="4" t="inlineStr">
        <is>
          <t>Textura - 1ª demão</t>
        </is>
      </c>
      <c r="U129" s="4" t="inlineStr">
        <is>
          <t>NÃO</t>
        </is>
      </c>
      <c r="V129" s="2">
        <f>IF(R129="","",COUNTIF($C$5:$C$6004,R129))</f>
        <v/>
      </c>
      <c r="W129" s="2">
        <f>IF(R129="","",COUNTIFS($C$5:$C$6004,R129,$O$5:$O$6004,"CONCLUÍDA"))</f>
        <v/>
      </c>
      <c r="X129" s="2">
        <f>IF(R129="","",COUNTIFS($C$5:$C$6004,R129,$O$5:$O$6004,"EM ANDAMENTO"))</f>
        <v/>
      </c>
      <c r="Y129" s="2">
        <f>IF(R129="","",IF(COUNTIFS($C$5:$C$6004,R129,$O$5:$O$6004,"CONCLUÍDA",$N$5:$N$6004,"&gt;=-99")=0,"",_xlfn.MAXIFS($N$5:$N$6004,$C$5:$C$6004,R129,$O$5:$O$6004,"CONCLUÍDA")))</f>
        <v/>
      </c>
      <c r="Z129" s="2">
        <f>IF(R129="","",IF(COUNTIFS($C$5:$C$6004,R129,$O$5:$O$6004,"EM ANDAMENTO",$N$5:$N$6004,"&gt;=-99")=0,"",_xlfn.MAXIFS($N$5:$N$6004,$C$5:$C$6004,R129,$O$5:$O$6004,"EM ANDAMENTO")))</f>
        <v/>
      </c>
      <c r="AA129" s="2">
        <f>IF(OR(R129="",S129="",U129&lt;&gt;"SIM",V129=0),"",IF(W129+X129=0,"",T129&amp;": "&amp;IF(W129=V129,"concluído",IF(W129=0,"em execução"&amp;IF(Z129&lt;&gt;""," ("&amp;IF(Z129&lt;0,IF(COUNTIF($E$5:$E$6004,"SUBSOLO*")&gt;0,"subsolo",-Z129&amp;"º subsolo"),IF(Z129=0,"térreo",Z129&amp;"º pav."))&amp;")",""),IF(Y129&lt;&gt;"","até "&amp;IF(Y129&lt;0,IF(COUNTIF($E$5:$E$6004,"SUBSOLO*")&gt;0,"subsolo",-Y129&amp;"º subsolo"),IF(Y129=0,"térreo",Y129&amp;"º pav.")),W129&amp;" de "&amp;V129&amp;" concluídas")&amp;IF(Z129="","",IF(OR(Y129="",Z129&gt;Y129),", executando "&amp;IF(Z129&lt;0,IF(COUNTIF($E$5:$E$6004,"SUBSOLO*")&gt;0,"subsolo",-Z129&amp;"º subsolo"),IF(Z129=0,"térreo",Z129&amp;"º pav."))," (restam serviços no "&amp;IF(Z129&lt;0,IF(COUNTIF($E$5:$E$6004,"SUBSOLO*")&gt;0,"subsolo",-Z129&amp;"º subsolo"),IF(Z129=0,"térreo",Z129&amp;"º pav."))&amp;")"))))))</f>
        <v/>
      </c>
    </row>
    <row r="130">
      <c r="B130" s="4" t="n">
        <v>13543499</v>
      </c>
      <c r="C130" s="4" t="inlineStr">
        <is>
          <t>VIGA DE COROAMENTO (TRECHO - RUA BOM JESUS)</t>
        </is>
      </c>
      <c r="D130" s="4" t="inlineStr">
        <is>
          <t>Escavação e Arrasamento</t>
        </is>
      </c>
      <c r="E130" s="4" t="inlineStr">
        <is>
          <t>SERVIÇOS INICIAIS</t>
        </is>
      </c>
      <c r="F130" s="126" t="n">
        <v>45943</v>
      </c>
      <c r="G130" s="126" t="n">
        <v>45946</v>
      </c>
      <c r="H130" s="126" t="n">
        <v>46289</v>
      </c>
      <c r="I130" s="4" t="n">
        <v>100</v>
      </c>
      <c r="J130" s="4" t="n">
        <v>100</v>
      </c>
      <c r="K130" s="4" t="n">
        <v>100</v>
      </c>
      <c r="M130" s="2">
        <f>IF(C130="","",IFERROR(INDEX($S$5:$S$304,MATCH(C130,$R$5:$R$304,0))&amp;"","?"))</f>
        <v/>
      </c>
      <c r="N130" s="2">
        <f>IF(E130="","",IF(ISNUMBER(SEARCH("SUBSOLO",E130)),IFERROR(-VALUE(LEFT(E130,FIND("º",SUBSTITUTE(E130,"°","º"))-1)),-1),IF(LEFT(E130,6)="TÉRREO",0,IFERROR(VALUE(LEFT(E130,FIND("º",SUBSTITUTE(E130,"°","º"))-1)),""))))</f>
        <v/>
      </c>
      <c r="O130" s="2">
        <f>IF(OR(F130="",G130=""),"",IF(G130&lt;='RETRATO 2027'!$K$5,"CONCLUÍDA",IF(F130&lt;='RETRATO 2027'!$K$5,"EM ANDAMENTO","A INICIAR")))</f>
        <v/>
      </c>
      <c r="R130" s="4" t="inlineStr">
        <is>
          <t>PINTURA DE TUBULAÇÕES (PAREDE E TETO)</t>
        </is>
      </c>
      <c r="S130" s="4" t="inlineStr">
        <is>
          <t>35</t>
        </is>
      </c>
      <c r="T130" s="4" t="inlineStr">
        <is>
          <t>Pintura de tubulações (parede e teto)</t>
        </is>
      </c>
      <c r="U130" s="4" t="inlineStr">
        <is>
          <t>NÃO</t>
        </is>
      </c>
      <c r="V130" s="2">
        <f>IF(R130="","",COUNTIF($C$5:$C$6004,R130))</f>
        <v/>
      </c>
      <c r="W130" s="2">
        <f>IF(R130="","",COUNTIFS($C$5:$C$6004,R130,$O$5:$O$6004,"CONCLUÍDA"))</f>
        <v/>
      </c>
      <c r="X130" s="2">
        <f>IF(R130="","",COUNTIFS($C$5:$C$6004,R130,$O$5:$O$6004,"EM ANDAMENTO"))</f>
        <v/>
      </c>
      <c r="Y130" s="2">
        <f>IF(R130="","",IF(COUNTIFS($C$5:$C$6004,R130,$O$5:$O$6004,"CONCLUÍDA",$N$5:$N$6004,"&gt;=-99")=0,"",_xlfn.MAXIFS($N$5:$N$6004,$C$5:$C$6004,R130,$O$5:$O$6004,"CONCLUÍDA")))</f>
        <v/>
      </c>
      <c r="Z130" s="2">
        <f>IF(R130="","",IF(COUNTIFS($C$5:$C$6004,R130,$O$5:$O$6004,"EM ANDAMENTO",$N$5:$N$6004,"&gt;=-99")=0,"",_xlfn.MAXIFS($N$5:$N$6004,$C$5:$C$6004,R130,$O$5:$O$6004,"EM ANDAMENTO")))</f>
        <v/>
      </c>
      <c r="AA130" s="2">
        <f>IF(OR(R130="",S130="",U130&lt;&gt;"SIM",V130=0),"",IF(W130+X130=0,"",T130&amp;": "&amp;IF(W130=V130,"concluído",IF(W130=0,"em execução"&amp;IF(Z130&lt;&gt;""," ("&amp;IF(Z130&lt;0,IF(COUNTIF($E$5:$E$6004,"SUBSOLO*")&gt;0,"subsolo",-Z130&amp;"º subsolo"),IF(Z130=0,"térreo",Z130&amp;"º pav."))&amp;")",""),IF(Y130&lt;&gt;"","até "&amp;IF(Y130&lt;0,IF(COUNTIF($E$5:$E$6004,"SUBSOLO*")&gt;0,"subsolo",-Y130&amp;"º subsolo"),IF(Y130=0,"térreo",Y130&amp;"º pav.")),W130&amp;" de "&amp;V130&amp;" concluídas")&amp;IF(Z130="","",IF(OR(Y130="",Z130&gt;Y130),", executando "&amp;IF(Z130&lt;0,IF(COUNTIF($E$5:$E$6004,"SUBSOLO*")&gt;0,"subsolo",-Z130&amp;"º subsolo"),IF(Z130=0,"térreo",Z130&amp;"º pav."))," (restam serviços no "&amp;IF(Z130&lt;0,IF(COUNTIF($E$5:$E$6004,"SUBSOLO*")&gt;0,"subsolo",-Z130&amp;"º subsolo"),IF(Z130=0,"térreo",Z130&amp;"º pav."))&amp;")"))))))</f>
        <v/>
      </c>
    </row>
    <row r="131">
      <c r="B131" s="4" t="n">
        <v>13543500</v>
      </c>
      <c r="C131" s="4" t="inlineStr">
        <is>
          <t>VIGA DE COROAMENTO (TRECHO - RUA BOM JESUS)</t>
        </is>
      </c>
      <c r="D131" s="4" t="inlineStr">
        <is>
          <t>Armação</t>
        </is>
      </c>
      <c r="E131" s="4" t="inlineStr">
        <is>
          <t>SERVIÇOS INICIAIS</t>
        </is>
      </c>
      <c r="F131" s="126" t="n">
        <v>45950</v>
      </c>
      <c r="G131" s="126" t="n">
        <v>45953</v>
      </c>
      <c r="H131" s="126" t="n">
        <v>46289</v>
      </c>
      <c r="I131" s="4" t="n">
        <v>100</v>
      </c>
      <c r="J131" s="4" t="n">
        <v>100</v>
      </c>
      <c r="K131" s="4" t="n">
        <v>100</v>
      </c>
      <c r="M131" s="2">
        <f>IF(C131="","",IFERROR(INDEX($S$5:$S$304,MATCH(C131,$R$5:$R$304,0))&amp;"","?"))</f>
        <v/>
      </c>
      <c r="N131" s="2">
        <f>IF(E131="","",IF(ISNUMBER(SEARCH("SUBSOLO",E131)),IFERROR(-VALUE(LEFT(E131,FIND("º",SUBSTITUTE(E131,"°","º"))-1)),-1),IF(LEFT(E131,6)="TÉRREO",0,IFERROR(VALUE(LEFT(E131,FIND("º",SUBSTITUTE(E131,"°","º"))-1)),""))))</f>
        <v/>
      </c>
      <c r="O131" s="2">
        <f>IF(OR(F131="",G131=""),"",IF(G131&lt;='RETRATO 2027'!$K$5,"CONCLUÍDA",IF(F131&lt;='RETRATO 2027'!$K$5,"EM ANDAMENTO","A INICIAR")))</f>
        <v/>
      </c>
      <c r="R131" s="4" t="inlineStr">
        <is>
          <t>PEITORIS E REQUADROS DE FACHADA - F1 + F2 (2º ETAPA)</t>
        </is>
      </c>
      <c r="S131" s="4" t="inlineStr">
        <is>
          <t>32</t>
        </is>
      </c>
      <c r="T131" s="4" t="inlineStr">
        <is>
          <t>Peitoris e requadros de fachada - F1 + F2 (2º etapa)</t>
        </is>
      </c>
      <c r="U131" s="4" t="inlineStr">
        <is>
          <t>SIM</t>
        </is>
      </c>
      <c r="V131" s="2">
        <f>IF(R131="","",COUNTIF($C$5:$C$6004,R131))</f>
        <v/>
      </c>
      <c r="W131" s="2">
        <f>IF(R131="","",COUNTIFS($C$5:$C$6004,R131,$O$5:$O$6004,"CONCLUÍDA"))</f>
        <v/>
      </c>
      <c r="X131" s="2">
        <f>IF(R131="","",COUNTIFS($C$5:$C$6004,R131,$O$5:$O$6004,"EM ANDAMENTO"))</f>
        <v/>
      </c>
      <c r="Y131" s="2">
        <f>IF(R131="","",IF(COUNTIFS($C$5:$C$6004,R131,$O$5:$O$6004,"CONCLUÍDA",$N$5:$N$6004,"&gt;=-99")=0,"",_xlfn.MAXIFS($N$5:$N$6004,$C$5:$C$6004,R131,$O$5:$O$6004,"CONCLUÍDA")))</f>
        <v/>
      </c>
      <c r="Z131" s="2">
        <f>IF(R131="","",IF(COUNTIFS($C$5:$C$6004,R131,$O$5:$O$6004,"EM ANDAMENTO",$N$5:$N$6004,"&gt;=-99")=0,"",_xlfn.MAXIFS($N$5:$N$6004,$C$5:$C$6004,R131,$O$5:$O$6004,"EM ANDAMENTO")))</f>
        <v/>
      </c>
      <c r="AA131" s="2">
        <f>IF(OR(R131="",S131="",U131&lt;&gt;"SIM",V131=0),"",IF(W131+X131=0,"",T131&amp;": "&amp;IF(W131=V131,"concluído",IF(W131=0,"em execução"&amp;IF(Z131&lt;&gt;""," ("&amp;IF(Z131&lt;0,IF(COUNTIF($E$5:$E$6004,"SUBSOLO*")&gt;0,"subsolo",-Z131&amp;"º subsolo"),IF(Z131=0,"térreo",Z131&amp;"º pav."))&amp;")",""),IF(Y131&lt;&gt;"","até "&amp;IF(Y131&lt;0,IF(COUNTIF($E$5:$E$6004,"SUBSOLO*")&gt;0,"subsolo",-Y131&amp;"º subsolo"),IF(Y131=0,"térreo",Y131&amp;"º pav.")),W131&amp;" de "&amp;V131&amp;" concluídas")&amp;IF(Z131="","",IF(OR(Y131="",Z131&gt;Y131),", executando "&amp;IF(Z131&lt;0,IF(COUNTIF($E$5:$E$6004,"SUBSOLO*")&gt;0,"subsolo",-Z131&amp;"º subsolo"),IF(Z131=0,"térreo",Z131&amp;"º pav."))," (restam serviços no "&amp;IF(Z131&lt;0,IF(COUNTIF($E$5:$E$6004,"SUBSOLO*")&gt;0,"subsolo",-Z131&amp;"º subsolo"),IF(Z131=0,"térreo",Z131&amp;"º pav."))&amp;")"))))))</f>
        <v/>
      </c>
    </row>
    <row r="132">
      <c r="B132" s="4" t="n">
        <v>13543501</v>
      </c>
      <c r="C132" s="4" t="inlineStr">
        <is>
          <t>VIGA DE COROAMENTO (TRECHO - RUA BOM JESUS)</t>
        </is>
      </c>
      <c r="D132" s="4" t="inlineStr">
        <is>
          <t>Forma</t>
        </is>
      </c>
      <c r="E132" s="4" t="inlineStr">
        <is>
          <t>SERVIÇOS INICIAIS</t>
        </is>
      </c>
      <c r="F132" s="126" t="n">
        <v>45951</v>
      </c>
      <c r="G132" s="126" t="n">
        <v>45953</v>
      </c>
      <c r="H132" s="126" t="n">
        <v>46289</v>
      </c>
      <c r="I132" s="4" t="n">
        <v>100</v>
      </c>
      <c r="J132" s="4" t="n">
        <v>100</v>
      </c>
      <c r="K132" s="4" t="n">
        <v>100</v>
      </c>
      <c r="M132" s="2">
        <f>IF(C132="","",IFERROR(INDEX($S$5:$S$304,MATCH(C132,$R$5:$R$304,0))&amp;"","?"))</f>
        <v/>
      </c>
      <c r="N132" s="2">
        <f>IF(E132="","",IF(ISNUMBER(SEARCH("SUBSOLO",E132)),IFERROR(-VALUE(LEFT(E132,FIND("º",SUBSTITUTE(E132,"°","º"))-1)),-1),IF(LEFT(E132,6)="TÉRREO",0,IFERROR(VALUE(LEFT(E132,FIND("º",SUBSTITUTE(E132,"°","º"))-1)),""))))</f>
        <v/>
      </c>
      <c r="O132" s="2">
        <f>IF(OR(F132="",G132=""),"",IF(G132&lt;='RETRATO 2027'!$K$5,"CONCLUÍDA",IF(F132&lt;='RETRATO 2027'!$K$5,"EM ANDAMENTO","A INICIAR")))</f>
        <v/>
      </c>
      <c r="R132" s="4" t="inlineStr">
        <is>
          <t>CHECKLIST</t>
        </is>
      </c>
      <c r="S132" s="4" t="n"/>
      <c r="T132" s="4" t="inlineStr">
        <is>
          <t>Checklist</t>
        </is>
      </c>
      <c r="U132" s="4" t="inlineStr">
        <is>
          <t>SIM</t>
        </is>
      </c>
      <c r="V132" s="2">
        <f>IF(R132="","",COUNTIF($C$5:$C$6004,R132))</f>
        <v/>
      </c>
      <c r="W132" s="2">
        <f>IF(R132="","",COUNTIFS($C$5:$C$6004,R132,$O$5:$O$6004,"CONCLUÍDA"))</f>
        <v/>
      </c>
      <c r="X132" s="2">
        <f>IF(R132="","",COUNTIFS($C$5:$C$6004,R132,$O$5:$O$6004,"EM ANDAMENTO"))</f>
        <v/>
      </c>
      <c r="Y132" s="2">
        <f>IF(R132="","",IF(COUNTIFS($C$5:$C$6004,R132,$O$5:$O$6004,"CONCLUÍDA",$N$5:$N$6004,"&gt;=-99")=0,"",_xlfn.MAXIFS($N$5:$N$6004,$C$5:$C$6004,R132,$O$5:$O$6004,"CONCLUÍDA")))</f>
        <v/>
      </c>
      <c r="Z132" s="2">
        <f>IF(R132="","",IF(COUNTIFS($C$5:$C$6004,R132,$O$5:$O$6004,"EM ANDAMENTO",$N$5:$N$6004,"&gt;=-99")=0,"",_xlfn.MAXIFS($N$5:$N$6004,$C$5:$C$6004,R132,$O$5:$O$6004,"EM ANDAMENTO")))</f>
        <v/>
      </c>
      <c r="AA132" s="2">
        <f>IF(OR(R132="",S132="",U132&lt;&gt;"SIM",V132=0),"",IF(W132+X132=0,"",T132&amp;": "&amp;IF(W132=V132,"concluído",IF(W132=0,"em execução"&amp;IF(Z132&lt;&gt;""," ("&amp;IF(Z132&lt;0,IF(COUNTIF($E$5:$E$6004,"SUBSOLO*")&gt;0,"subsolo",-Z132&amp;"º subsolo"),IF(Z132=0,"térreo",Z132&amp;"º pav."))&amp;")",""),IF(Y132&lt;&gt;"","até "&amp;IF(Y132&lt;0,IF(COUNTIF($E$5:$E$6004,"SUBSOLO*")&gt;0,"subsolo",-Y132&amp;"º subsolo"),IF(Y132=0,"térreo",Y132&amp;"º pav.")),W132&amp;" de "&amp;V132&amp;" concluídas")&amp;IF(Z132="","",IF(OR(Y132="",Z132&gt;Y132),", executando "&amp;IF(Z132&lt;0,IF(COUNTIF($E$5:$E$6004,"SUBSOLO*")&gt;0,"subsolo",-Z132&amp;"º subsolo"),IF(Z132=0,"térreo",Z132&amp;"º pav."))," (restam serviços no "&amp;IF(Z132&lt;0,IF(COUNTIF($E$5:$E$6004,"SUBSOLO*")&gt;0,"subsolo",-Z132&amp;"º subsolo"),IF(Z132=0,"térreo",Z132&amp;"º pav."))&amp;")"))))))</f>
        <v/>
      </c>
    </row>
    <row r="133">
      <c r="B133" s="4" t="n">
        <v>13543502</v>
      </c>
      <c r="C133" s="4" t="inlineStr">
        <is>
          <t>VIGA DE COROAMENTO (TRECHO - RUA BOM JESUS)</t>
        </is>
      </c>
      <c r="D133" s="4" t="inlineStr">
        <is>
          <t>Concretagem</t>
        </is>
      </c>
      <c r="E133" s="4" t="inlineStr">
        <is>
          <t>SERVIÇOS INICIAIS</t>
        </is>
      </c>
      <c r="F133" s="126" t="n">
        <v>45954</v>
      </c>
      <c r="G133" s="126" t="n">
        <v>45954</v>
      </c>
      <c r="H133" s="126" t="n">
        <v>46289</v>
      </c>
      <c r="I133" s="4" t="n">
        <v>100</v>
      </c>
      <c r="J133" s="4" t="n">
        <v>100</v>
      </c>
      <c r="K133" s="4" t="n">
        <v>100</v>
      </c>
      <c r="M133" s="2">
        <f>IF(C133="","",IFERROR(INDEX($S$5:$S$304,MATCH(C133,$R$5:$R$304,0))&amp;"","?"))</f>
        <v/>
      </c>
      <c r="N133" s="2">
        <f>IF(E133="","",IF(ISNUMBER(SEARCH("SUBSOLO",E133)),IFERROR(-VALUE(LEFT(E133,FIND("º",SUBSTITUTE(E133,"°","º"))-1)),-1),IF(LEFT(E133,6)="TÉRREO",0,IFERROR(VALUE(LEFT(E133,FIND("º",SUBSTITUTE(E133,"°","º"))-1)),""))))</f>
        <v/>
      </c>
      <c r="O133" s="2">
        <f>IF(OR(F133="",G133=""),"",IF(G133&lt;='RETRATO 2027'!$K$5,"CONCLUÍDA",IF(F133&lt;='RETRATO 2027'!$K$5,"EM ANDAMENTO","A INICIAR")))</f>
        <v/>
      </c>
      <c r="R133" s="4" t="inlineStr">
        <is>
          <t>FACHADA AERADA - F3 + F4 (2º ETAPA)</t>
        </is>
      </c>
      <c r="S133" s="4" t="inlineStr">
        <is>
          <t>32</t>
        </is>
      </c>
      <c r="T133" s="4" t="inlineStr">
        <is>
          <t>Fachada aerada - F3 + F4 (2º etapa)</t>
        </is>
      </c>
      <c r="U133" s="4" t="inlineStr">
        <is>
          <t>SIM</t>
        </is>
      </c>
      <c r="V133" s="2">
        <f>IF(R133="","",COUNTIF($C$5:$C$6004,R133))</f>
        <v/>
      </c>
      <c r="W133" s="2">
        <f>IF(R133="","",COUNTIFS($C$5:$C$6004,R133,$O$5:$O$6004,"CONCLUÍDA"))</f>
        <v/>
      </c>
      <c r="X133" s="2">
        <f>IF(R133="","",COUNTIFS($C$5:$C$6004,R133,$O$5:$O$6004,"EM ANDAMENTO"))</f>
        <v/>
      </c>
      <c r="Y133" s="2">
        <f>IF(R133="","",IF(COUNTIFS($C$5:$C$6004,R133,$O$5:$O$6004,"CONCLUÍDA",$N$5:$N$6004,"&gt;=-99")=0,"",_xlfn.MAXIFS($N$5:$N$6004,$C$5:$C$6004,R133,$O$5:$O$6004,"CONCLUÍDA")))</f>
        <v/>
      </c>
      <c r="Z133" s="2">
        <f>IF(R133="","",IF(COUNTIFS($C$5:$C$6004,R133,$O$5:$O$6004,"EM ANDAMENTO",$N$5:$N$6004,"&gt;=-99")=0,"",_xlfn.MAXIFS($N$5:$N$6004,$C$5:$C$6004,R133,$O$5:$O$6004,"EM ANDAMENTO")))</f>
        <v/>
      </c>
      <c r="AA133" s="2">
        <f>IF(OR(R133="",S133="",U133&lt;&gt;"SIM",V133=0),"",IF(W133+X133=0,"",T133&amp;": "&amp;IF(W133=V133,"concluído",IF(W133=0,"em execução"&amp;IF(Z133&lt;&gt;""," ("&amp;IF(Z133&lt;0,IF(COUNTIF($E$5:$E$6004,"SUBSOLO*")&gt;0,"subsolo",-Z133&amp;"º subsolo"),IF(Z133=0,"térreo",Z133&amp;"º pav."))&amp;")",""),IF(Y133&lt;&gt;"","até "&amp;IF(Y133&lt;0,IF(COUNTIF($E$5:$E$6004,"SUBSOLO*")&gt;0,"subsolo",-Y133&amp;"º subsolo"),IF(Y133=0,"térreo",Y133&amp;"º pav.")),W133&amp;" de "&amp;V133&amp;" concluídas")&amp;IF(Z133="","",IF(OR(Y133="",Z133&gt;Y133),", executando "&amp;IF(Z133&lt;0,IF(COUNTIF($E$5:$E$6004,"SUBSOLO*")&gt;0,"subsolo",-Z133&amp;"º subsolo"),IF(Z133=0,"térreo",Z133&amp;"º pav."))," (restam serviços no "&amp;IF(Z133&lt;0,IF(COUNTIF($E$5:$E$6004,"SUBSOLO*")&gt;0,"subsolo",-Z133&amp;"º subsolo"),IF(Z133=0,"térreo",Z133&amp;"º pav."))&amp;")"))))))</f>
        <v/>
      </c>
    </row>
    <row r="134">
      <c r="B134" s="4" t="n">
        <v>13543503</v>
      </c>
      <c r="C134" s="4" t="inlineStr">
        <is>
          <t>VIGA DE COROAMENTO (TRECHO - RUA BOM JESUS)</t>
        </is>
      </c>
      <c r="D134" s="4" t="inlineStr">
        <is>
          <t>Aterro</t>
        </is>
      </c>
      <c r="E134" s="4" t="inlineStr">
        <is>
          <t>SERVIÇOS INICIAIS</t>
        </is>
      </c>
      <c r="F134" s="126" t="n">
        <v>45957</v>
      </c>
      <c r="G134" s="126" t="n">
        <v>45957</v>
      </c>
      <c r="H134" s="126" t="n">
        <v>46289</v>
      </c>
      <c r="I134" s="4" t="n">
        <v>100</v>
      </c>
      <c r="J134" s="4" t="n">
        <v>100</v>
      </c>
      <c r="K134" s="4" t="n">
        <v>100</v>
      </c>
      <c r="M134" s="2">
        <f>IF(C134="","",IFERROR(INDEX($S$5:$S$304,MATCH(C134,$R$5:$R$304,0))&amp;"","?"))</f>
        <v/>
      </c>
      <c r="N134" s="2">
        <f>IF(E134="","",IF(ISNUMBER(SEARCH("SUBSOLO",E134)),IFERROR(-VALUE(LEFT(E134,FIND("º",SUBSTITUTE(E134,"°","º"))-1)),-1),IF(LEFT(E134,6)="TÉRREO",0,IFERROR(VALUE(LEFT(E134,FIND("º",SUBSTITUTE(E134,"°","º"))-1)),""))))</f>
        <v/>
      </c>
      <c r="O134" s="2">
        <f>IF(OR(F134="",G134=""),"",IF(G134&lt;='RETRATO 2027'!$K$5,"CONCLUÍDA",IF(F134&lt;='RETRATO 2027'!$K$5,"EM ANDAMENTO","A INICIAR")))</f>
        <v/>
      </c>
      <c r="R134" s="4" t="inlineStr">
        <is>
          <t>PINTURA 3º DEMÃO</t>
        </is>
      </c>
      <c r="S134" s="4" t="inlineStr">
        <is>
          <t>35</t>
        </is>
      </c>
      <c r="T134" s="4" t="inlineStr">
        <is>
          <t>Pintura 3ª demão</t>
        </is>
      </c>
      <c r="U134" s="4" t="inlineStr">
        <is>
          <t>SIM</t>
        </is>
      </c>
      <c r="V134" s="2">
        <f>IF(R134="","",COUNTIF($C$5:$C$6004,R134))</f>
        <v/>
      </c>
      <c r="W134" s="2">
        <f>IF(R134="","",COUNTIFS($C$5:$C$6004,R134,$O$5:$O$6004,"CONCLUÍDA"))</f>
        <v/>
      </c>
      <c r="X134" s="2">
        <f>IF(R134="","",COUNTIFS($C$5:$C$6004,R134,$O$5:$O$6004,"EM ANDAMENTO"))</f>
        <v/>
      </c>
      <c r="Y134" s="2">
        <f>IF(R134="","",IF(COUNTIFS($C$5:$C$6004,R134,$O$5:$O$6004,"CONCLUÍDA",$N$5:$N$6004,"&gt;=-99")=0,"",_xlfn.MAXIFS($N$5:$N$6004,$C$5:$C$6004,R134,$O$5:$O$6004,"CONCLUÍDA")))</f>
        <v/>
      </c>
      <c r="Z134" s="2">
        <f>IF(R134="","",IF(COUNTIFS($C$5:$C$6004,R134,$O$5:$O$6004,"EM ANDAMENTO",$N$5:$N$6004,"&gt;=-99")=0,"",_xlfn.MAXIFS($N$5:$N$6004,$C$5:$C$6004,R134,$O$5:$O$6004,"EM ANDAMENTO")))</f>
        <v/>
      </c>
      <c r="AA134" s="2">
        <f>IF(OR(R134="",S134="",U134&lt;&gt;"SIM",V134=0),"",IF(W134+X134=0,"",T134&amp;": "&amp;IF(W134=V134,"concluído",IF(W134=0,"em execução"&amp;IF(Z134&lt;&gt;""," ("&amp;IF(Z134&lt;0,IF(COUNTIF($E$5:$E$6004,"SUBSOLO*")&gt;0,"subsolo",-Z134&amp;"º subsolo"),IF(Z134=0,"térreo",Z134&amp;"º pav."))&amp;")",""),IF(Y134&lt;&gt;"","até "&amp;IF(Y134&lt;0,IF(COUNTIF($E$5:$E$6004,"SUBSOLO*")&gt;0,"subsolo",-Y134&amp;"º subsolo"),IF(Y134=0,"térreo",Y134&amp;"º pav.")),W134&amp;" de "&amp;V134&amp;" concluídas")&amp;IF(Z134="","",IF(OR(Y134="",Z134&gt;Y134),", executando "&amp;IF(Z134&lt;0,IF(COUNTIF($E$5:$E$6004,"SUBSOLO*")&gt;0,"subsolo",-Z134&amp;"º subsolo"),IF(Z134=0,"térreo",Z134&amp;"º pav."))," (restam serviços no "&amp;IF(Z134&lt;0,IF(COUNTIF($E$5:$E$6004,"SUBSOLO*")&gt;0,"subsolo",-Z134&amp;"º subsolo"),IF(Z134=0,"térreo",Z134&amp;"º pav."))&amp;")"))))))</f>
        <v/>
      </c>
    </row>
    <row r="135">
      <c r="B135" s="4" t="n">
        <v>35364375</v>
      </c>
      <c r="C135" s="4" t="inlineStr">
        <is>
          <t>FUNDAÇÃO PROFUNDA - MEDIÇÃO</t>
        </is>
      </c>
      <c r="D135" s="4" t="inlineStr">
        <is>
          <t>-</t>
        </is>
      </c>
      <c r="E135" s="4" t="inlineStr">
        <is>
          <t>SERVIÇOS INICIAIS</t>
        </is>
      </c>
      <c r="F135" s="126" t="n">
        <v>45943</v>
      </c>
      <c r="G135" s="126" t="n">
        <v>46084</v>
      </c>
      <c r="H135" s="126" t="n">
        <v>46289</v>
      </c>
      <c r="I135" s="4" t="n">
        <v>100</v>
      </c>
      <c r="J135" s="4" t="n">
        <v>100</v>
      </c>
      <c r="K135" s="4" t="n">
        <v>99.53</v>
      </c>
      <c r="M135" s="2">
        <f>IF(C135="","",IFERROR(INDEX($S$5:$S$304,MATCH(C135,$R$5:$R$304,0))&amp;"","?"))</f>
        <v/>
      </c>
      <c r="N135" s="2">
        <f>IF(E135="","",IF(ISNUMBER(SEARCH("SUBSOLO",E135)),IFERROR(-VALUE(LEFT(E135,FIND("º",SUBSTITUTE(E135,"°","º"))-1)),-1),IF(LEFT(E135,6)="TÉRREO",0,IFERROR(VALUE(LEFT(E135,FIND("º",SUBSTITUTE(E135,"°","º"))-1)),""))))</f>
        <v/>
      </c>
      <c r="O135" s="2">
        <f>IF(OR(F135="",G135=""),"",IF(G135&lt;='RETRATO 2027'!$K$5,"CONCLUÍDA",IF(F135&lt;='RETRATO 2027'!$K$5,"EM ANDAMENTO","A INICIAR")))</f>
        <v/>
      </c>
      <c r="R135" s="4" t="inlineStr">
        <is>
          <t>PINTURA - CORRIMÃO</t>
        </is>
      </c>
      <c r="S135" s="4" t="inlineStr">
        <is>
          <t>35</t>
        </is>
      </c>
      <c r="T135" s="4" t="inlineStr">
        <is>
          <t>Pintura - corrimão</t>
        </is>
      </c>
      <c r="U135" s="4" t="inlineStr">
        <is>
          <t>NÃO</t>
        </is>
      </c>
      <c r="V135" s="2">
        <f>IF(R135="","",COUNTIF($C$5:$C$6004,R135))</f>
        <v/>
      </c>
      <c r="W135" s="2">
        <f>IF(R135="","",COUNTIFS($C$5:$C$6004,R135,$O$5:$O$6004,"CONCLUÍDA"))</f>
        <v/>
      </c>
      <c r="X135" s="2">
        <f>IF(R135="","",COUNTIFS($C$5:$C$6004,R135,$O$5:$O$6004,"EM ANDAMENTO"))</f>
        <v/>
      </c>
      <c r="Y135" s="2">
        <f>IF(R135="","",IF(COUNTIFS($C$5:$C$6004,R135,$O$5:$O$6004,"CONCLUÍDA",$N$5:$N$6004,"&gt;=-99")=0,"",_xlfn.MAXIFS($N$5:$N$6004,$C$5:$C$6004,R135,$O$5:$O$6004,"CONCLUÍDA")))</f>
        <v/>
      </c>
      <c r="Z135" s="2">
        <f>IF(R135="","",IF(COUNTIFS($C$5:$C$6004,R135,$O$5:$O$6004,"EM ANDAMENTO",$N$5:$N$6004,"&gt;=-99")=0,"",_xlfn.MAXIFS($N$5:$N$6004,$C$5:$C$6004,R135,$O$5:$O$6004,"EM ANDAMENTO")))</f>
        <v/>
      </c>
      <c r="AA135" s="2">
        <f>IF(OR(R135="",S135="",U135&lt;&gt;"SIM",V135=0),"",IF(W135+X135=0,"",T135&amp;": "&amp;IF(W135=V135,"concluído",IF(W135=0,"em execução"&amp;IF(Z135&lt;&gt;""," ("&amp;IF(Z135&lt;0,IF(COUNTIF($E$5:$E$6004,"SUBSOLO*")&gt;0,"subsolo",-Z135&amp;"º subsolo"),IF(Z135=0,"térreo",Z135&amp;"º pav."))&amp;")",""),IF(Y135&lt;&gt;"","até "&amp;IF(Y135&lt;0,IF(COUNTIF($E$5:$E$6004,"SUBSOLO*")&gt;0,"subsolo",-Y135&amp;"º subsolo"),IF(Y135=0,"térreo",Y135&amp;"º pav.")),W135&amp;" de "&amp;V135&amp;" concluídas")&amp;IF(Z135="","",IF(OR(Y135="",Z135&gt;Y135),", executando "&amp;IF(Z135&lt;0,IF(COUNTIF($E$5:$E$6004,"SUBSOLO*")&gt;0,"subsolo",-Z135&amp;"º subsolo"),IF(Z135=0,"térreo",Z135&amp;"º pav."))," (restam serviços no "&amp;IF(Z135&lt;0,IF(COUNTIF($E$5:$E$6004,"SUBSOLO*")&gt;0,"subsolo",-Z135&amp;"º subsolo"),IF(Z135=0,"térreo",Z135&amp;"º pav."))&amp;")"))))))</f>
        <v/>
      </c>
    </row>
    <row r="136">
      <c r="B136" s="4" t="n">
        <v>35051204</v>
      </c>
      <c r="C136" s="4" t="inlineStr">
        <is>
          <t>VIGA DE COROAMENTO (TRECHO - RUA IPÊ 3º ETAPA)</t>
        </is>
      </c>
      <c r="D136" s="4" t="inlineStr">
        <is>
          <t>-</t>
        </is>
      </c>
      <c r="E136" s="4" t="inlineStr">
        <is>
          <t>SERVIÇOS INICIAIS</t>
        </is>
      </c>
      <c r="F136" s="126" t="n">
        <v>45951</v>
      </c>
      <c r="G136" s="126" t="n">
        <v>45964</v>
      </c>
      <c r="H136" s="126" t="n">
        <v>46289</v>
      </c>
      <c r="I136" s="4" t="n">
        <v>100</v>
      </c>
      <c r="J136" s="4" t="n">
        <v>100</v>
      </c>
      <c r="K136" s="4" t="n">
        <v>100</v>
      </c>
      <c r="M136" s="2">
        <f>IF(C136="","",IFERROR(INDEX($S$5:$S$304,MATCH(C136,$R$5:$R$304,0))&amp;"","?"))</f>
        <v/>
      </c>
      <c r="N136" s="2">
        <f>IF(E136="","",IF(ISNUMBER(SEARCH("SUBSOLO",E136)),IFERROR(-VALUE(LEFT(E136,FIND("º",SUBSTITUTE(E136,"°","º"))-1)),-1),IF(LEFT(E136,6)="TÉRREO",0,IFERROR(VALUE(LEFT(E136,FIND("º",SUBSTITUTE(E136,"°","º"))-1)),""))))</f>
        <v/>
      </c>
      <c r="O136" s="2">
        <f>IF(OR(F136="",G136=""),"",IF(G136&lt;='RETRATO 2027'!$K$5,"CONCLUÍDA",IF(F136&lt;='RETRATO 2027'!$K$5,"EM ANDAMENTO","A INICIAR")))</f>
        <v/>
      </c>
      <c r="R136" s="4" t="inlineStr">
        <is>
          <t>PREPARAÇÃO PARA FACHADA AERADA - F5 (2º ETAPA)</t>
        </is>
      </c>
      <c r="S136" s="4" t="inlineStr">
        <is>
          <t>32</t>
        </is>
      </c>
      <c r="T136" s="4" t="inlineStr">
        <is>
          <t>Preparação para fachada aerada - F5 (2º etapa)</t>
        </is>
      </c>
      <c r="U136" s="4" t="inlineStr">
        <is>
          <t>SIM</t>
        </is>
      </c>
      <c r="V136" s="2">
        <f>IF(R136="","",COUNTIF($C$5:$C$6004,R136))</f>
        <v/>
      </c>
      <c r="W136" s="2">
        <f>IF(R136="","",COUNTIFS($C$5:$C$6004,R136,$O$5:$O$6004,"CONCLUÍDA"))</f>
        <v/>
      </c>
      <c r="X136" s="2">
        <f>IF(R136="","",COUNTIFS($C$5:$C$6004,R136,$O$5:$O$6004,"EM ANDAMENTO"))</f>
        <v/>
      </c>
      <c r="Y136" s="2">
        <f>IF(R136="","",IF(COUNTIFS($C$5:$C$6004,R136,$O$5:$O$6004,"CONCLUÍDA",$N$5:$N$6004,"&gt;=-99")=0,"",_xlfn.MAXIFS($N$5:$N$6004,$C$5:$C$6004,R136,$O$5:$O$6004,"CONCLUÍDA")))</f>
        <v/>
      </c>
      <c r="Z136" s="2">
        <f>IF(R136="","",IF(COUNTIFS($C$5:$C$6004,R136,$O$5:$O$6004,"EM ANDAMENTO",$N$5:$N$6004,"&gt;=-99")=0,"",_xlfn.MAXIFS($N$5:$N$6004,$C$5:$C$6004,R136,$O$5:$O$6004,"EM ANDAMENTO")))</f>
        <v/>
      </c>
      <c r="AA136" s="2">
        <f>IF(OR(R136="",S136="",U136&lt;&gt;"SIM",V136=0),"",IF(W136+X136=0,"",T136&amp;": "&amp;IF(W136=V136,"concluído",IF(W136=0,"em execução"&amp;IF(Z136&lt;&gt;""," ("&amp;IF(Z136&lt;0,IF(COUNTIF($E$5:$E$6004,"SUBSOLO*")&gt;0,"subsolo",-Z136&amp;"º subsolo"),IF(Z136=0,"térreo",Z136&amp;"º pav."))&amp;")",""),IF(Y136&lt;&gt;"","até "&amp;IF(Y136&lt;0,IF(COUNTIF($E$5:$E$6004,"SUBSOLO*")&gt;0,"subsolo",-Y136&amp;"º subsolo"),IF(Y136=0,"térreo",Y136&amp;"º pav.")),W136&amp;" de "&amp;V136&amp;" concluídas")&amp;IF(Z136="","",IF(OR(Y136="",Z136&gt;Y136),", executando "&amp;IF(Z136&lt;0,IF(COUNTIF($E$5:$E$6004,"SUBSOLO*")&gt;0,"subsolo",-Z136&amp;"º subsolo"),IF(Z136=0,"térreo",Z136&amp;"º pav."))," (restam serviços no "&amp;IF(Z136&lt;0,IF(COUNTIF($E$5:$E$6004,"SUBSOLO*")&gt;0,"subsolo",-Z136&amp;"º subsolo"),IF(Z136=0,"térreo",Z136&amp;"º pav."))&amp;")"))))))</f>
        <v/>
      </c>
    </row>
    <row r="137">
      <c r="B137" s="4" t="n">
        <v>14338681</v>
      </c>
      <c r="C137" s="4" t="inlineStr">
        <is>
          <t>VIGA DE COROAMENTO (TRECHO - RUA IPÊ 3º ETAPA)</t>
        </is>
      </c>
      <c r="D137" s="4" t="inlineStr">
        <is>
          <t>Escavação e Arrasamento</t>
        </is>
      </c>
      <c r="E137" s="4" t="inlineStr">
        <is>
          <t>SERVIÇOS INICIAIS</t>
        </is>
      </c>
      <c r="F137" s="126" t="n">
        <v>45951</v>
      </c>
      <c r="G137" s="126" t="n">
        <v>45957</v>
      </c>
      <c r="H137" s="126" t="n">
        <v>46289</v>
      </c>
      <c r="I137" s="4" t="n">
        <v>100</v>
      </c>
      <c r="J137" s="4" t="n">
        <v>100</v>
      </c>
      <c r="K137" s="4" t="n">
        <v>100</v>
      </c>
      <c r="M137" s="2">
        <f>IF(C137="","",IFERROR(INDEX($S$5:$S$304,MATCH(C137,$R$5:$R$304,0))&amp;"","?"))</f>
        <v/>
      </c>
      <c r="N137" s="2">
        <f>IF(E137="","",IF(ISNUMBER(SEARCH("SUBSOLO",E137)),IFERROR(-VALUE(LEFT(E137,FIND("º",SUBSTITUTE(E137,"°","º"))-1)),-1),IF(LEFT(E137,6)="TÉRREO",0,IFERROR(VALUE(LEFT(E137,FIND("º",SUBSTITUTE(E137,"°","º"))-1)),""))))</f>
        <v/>
      </c>
      <c r="O137" s="2">
        <f>IF(OR(F137="",G137=""),"",IF(G137&lt;='RETRATO 2027'!$K$5,"CONCLUÍDA",IF(F137&lt;='RETRATO 2027'!$K$5,"EM ANDAMENTO","A INICIAR")))</f>
        <v/>
      </c>
      <c r="R137" s="4" t="inlineStr">
        <is>
          <t>INSTALAÇÃO DE SHADOWBOX E BRISE - F1 + F2</t>
        </is>
      </c>
      <c r="S137" s="4" t="inlineStr">
        <is>
          <t>25</t>
        </is>
      </c>
      <c r="T137" s="4" t="inlineStr">
        <is>
          <t>Shadowbox e brise - F1 + F2</t>
        </is>
      </c>
      <c r="U137" s="4" t="inlineStr">
        <is>
          <t>NÃO</t>
        </is>
      </c>
      <c r="V137" s="2">
        <f>IF(R137="","",COUNTIF($C$5:$C$6004,R137))</f>
        <v/>
      </c>
      <c r="W137" s="2">
        <f>IF(R137="","",COUNTIFS($C$5:$C$6004,R137,$O$5:$O$6004,"CONCLUÍDA"))</f>
        <v/>
      </c>
      <c r="X137" s="2">
        <f>IF(R137="","",COUNTIFS($C$5:$C$6004,R137,$O$5:$O$6004,"EM ANDAMENTO"))</f>
        <v/>
      </c>
      <c r="Y137" s="2">
        <f>IF(R137="","",IF(COUNTIFS($C$5:$C$6004,R137,$O$5:$O$6004,"CONCLUÍDA",$N$5:$N$6004,"&gt;=-99")=0,"",_xlfn.MAXIFS($N$5:$N$6004,$C$5:$C$6004,R137,$O$5:$O$6004,"CONCLUÍDA")))</f>
        <v/>
      </c>
      <c r="Z137" s="2">
        <f>IF(R137="","",IF(COUNTIFS($C$5:$C$6004,R137,$O$5:$O$6004,"EM ANDAMENTO",$N$5:$N$6004,"&gt;=-99")=0,"",_xlfn.MAXIFS($N$5:$N$6004,$C$5:$C$6004,R137,$O$5:$O$6004,"EM ANDAMENTO")))</f>
        <v/>
      </c>
      <c r="AA137" s="2">
        <f>IF(OR(R137="",S137="",U137&lt;&gt;"SIM",V137=0),"",IF(W137+X137=0,"",T137&amp;": "&amp;IF(W137=V137,"concluído",IF(W137=0,"em execução"&amp;IF(Z137&lt;&gt;""," ("&amp;IF(Z137&lt;0,IF(COUNTIF($E$5:$E$6004,"SUBSOLO*")&gt;0,"subsolo",-Z137&amp;"º subsolo"),IF(Z137=0,"térreo",Z137&amp;"º pav."))&amp;")",""),IF(Y137&lt;&gt;"","até "&amp;IF(Y137&lt;0,IF(COUNTIF($E$5:$E$6004,"SUBSOLO*")&gt;0,"subsolo",-Y137&amp;"º subsolo"),IF(Y137=0,"térreo",Y137&amp;"º pav.")),W137&amp;" de "&amp;V137&amp;" concluídas")&amp;IF(Z137="","",IF(OR(Y137="",Z137&gt;Y137),", executando "&amp;IF(Z137&lt;0,IF(COUNTIF($E$5:$E$6004,"SUBSOLO*")&gt;0,"subsolo",-Z137&amp;"º subsolo"),IF(Z137=0,"térreo",Z137&amp;"º pav."))," (restam serviços no "&amp;IF(Z137&lt;0,IF(COUNTIF($E$5:$E$6004,"SUBSOLO*")&gt;0,"subsolo",-Z137&amp;"º subsolo"),IF(Z137=0,"térreo",Z137&amp;"º pav."))&amp;")"))))))</f>
        <v/>
      </c>
    </row>
    <row r="138">
      <c r="B138" s="4" t="n">
        <v>14338682</v>
      </c>
      <c r="C138" s="4" t="inlineStr">
        <is>
          <t>VIGA DE COROAMENTO (TRECHO - RUA IPÊ 3º ETAPA)</t>
        </is>
      </c>
      <c r="D138" s="4" t="inlineStr">
        <is>
          <t>Armação</t>
        </is>
      </c>
      <c r="E138" s="4" t="inlineStr">
        <is>
          <t>SERVIÇOS INICIAIS</t>
        </is>
      </c>
      <c r="F138" s="126" t="n">
        <v>45958</v>
      </c>
      <c r="G138" s="126" t="n">
        <v>45959</v>
      </c>
      <c r="H138" s="126" t="n">
        <v>46289</v>
      </c>
      <c r="I138" s="4" t="n">
        <v>100</v>
      </c>
      <c r="J138" s="4" t="n">
        <v>100</v>
      </c>
      <c r="K138" s="4" t="n">
        <v>100</v>
      </c>
      <c r="M138" s="2">
        <f>IF(C138="","",IFERROR(INDEX($S$5:$S$304,MATCH(C138,$R$5:$R$304,0))&amp;"","?"))</f>
        <v/>
      </c>
      <c r="N138" s="2">
        <f>IF(E138="","",IF(ISNUMBER(SEARCH("SUBSOLO",E138)),IFERROR(-VALUE(LEFT(E138,FIND("º",SUBSTITUTE(E138,"°","º"))-1)),-1),IF(LEFT(E138,6)="TÉRREO",0,IFERROR(VALUE(LEFT(E138,FIND("º",SUBSTITUTE(E138,"°","º"))-1)),""))))</f>
        <v/>
      </c>
      <c r="O138" s="2">
        <f>IF(OR(F138="",G138=""),"",IF(G138&lt;='RETRATO 2027'!$K$5,"CONCLUÍDA",IF(F138&lt;='RETRATO 2027'!$K$5,"EM ANDAMENTO","A INICIAR")))</f>
        <v/>
      </c>
      <c r="R138" s="4" t="inlineStr">
        <is>
          <t>LIMPEZA FINA</t>
        </is>
      </c>
      <c r="S138" s="4" t="inlineStr">
        <is>
          <t>37</t>
        </is>
      </c>
      <c r="T138" s="4" t="inlineStr">
        <is>
          <t>Limpeza fina</t>
        </is>
      </c>
      <c r="U138" s="4" t="inlineStr">
        <is>
          <t>SIM</t>
        </is>
      </c>
      <c r="V138" s="2">
        <f>IF(R138="","",COUNTIF($C$5:$C$6004,R138))</f>
        <v/>
      </c>
      <c r="W138" s="2">
        <f>IF(R138="","",COUNTIFS($C$5:$C$6004,R138,$O$5:$O$6004,"CONCLUÍDA"))</f>
        <v/>
      </c>
      <c r="X138" s="2">
        <f>IF(R138="","",COUNTIFS($C$5:$C$6004,R138,$O$5:$O$6004,"EM ANDAMENTO"))</f>
        <v/>
      </c>
      <c r="Y138" s="2">
        <f>IF(R138="","",IF(COUNTIFS($C$5:$C$6004,R138,$O$5:$O$6004,"CONCLUÍDA",$N$5:$N$6004,"&gt;=-99")=0,"",_xlfn.MAXIFS($N$5:$N$6004,$C$5:$C$6004,R138,$O$5:$O$6004,"CONCLUÍDA")))</f>
        <v/>
      </c>
      <c r="Z138" s="2">
        <f>IF(R138="","",IF(COUNTIFS($C$5:$C$6004,R138,$O$5:$O$6004,"EM ANDAMENTO",$N$5:$N$6004,"&gt;=-99")=0,"",_xlfn.MAXIFS($N$5:$N$6004,$C$5:$C$6004,R138,$O$5:$O$6004,"EM ANDAMENTO")))</f>
        <v/>
      </c>
      <c r="AA138" s="2">
        <f>IF(OR(R138="",S138="",U138&lt;&gt;"SIM",V138=0),"",IF(W138+X138=0,"",T138&amp;": "&amp;IF(W138=V138,"concluído",IF(W138=0,"em execução"&amp;IF(Z138&lt;&gt;""," ("&amp;IF(Z138&lt;0,IF(COUNTIF($E$5:$E$6004,"SUBSOLO*")&gt;0,"subsolo",-Z138&amp;"º subsolo"),IF(Z138=0,"térreo",Z138&amp;"º pav."))&amp;")",""),IF(Y138&lt;&gt;"","até "&amp;IF(Y138&lt;0,IF(COUNTIF($E$5:$E$6004,"SUBSOLO*")&gt;0,"subsolo",-Y138&amp;"º subsolo"),IF(Y138=0,"térreo",Y138&amp;"º pav.")),W138&amp;" de "&amp;V138&amp;" concluídas")&amp;IF(Z138="","",IF(OR(Y138="",Z138&gt;Y138),", executando "&amp;IF(Z138&lt;0,IF(COUNTIF($E$5:$E$6004,"SUBSOLO*")&gt;0,"subsolo",-Z138&amp;"º subsolo"),IF(Z138=0,"térreo",Z138&amp;"º pav."))," (restam serviços no "&amp;IF(Z138&lt;0,IF(COUNTIF($E$5:$E$6004,"SUBSOLO*")&gt;0,"subsolo",-Z138&amp;"º subsolo"),IF(Z138=0,"térreo",Z138&amp;"º pav."))&amp;")"))))))</f>
        <v/>
      </c>
    </row>
    <row r="139">
      <c r="B139" s="4" t="n">
        <v>14338683</v>
      </c>
      <c r="C139" s="4" t="inlineStr">
        <is>
          <t>VIGA DE COROAMENTO (TRECHO - RUA IPÊ 3º ETAPA)</t>
        </is>
      </c>
      <c r="D139" s="4" t="inlineStr">
        <is>
          <t>Forma</t>
        </is>
      </c>
      <c r="E139" s="4" t="inlineStr">
        <is>
          <t>SERVIÇOS INICIAIS</t>
        </is>
      </c>
      <c r="F139" s="126" t="n">
        <v>45960</v>
      </c>
      <c r="G139" s="126" t="n">
        <v>45961</v>
      </c>
      <c r="H139" s="126" t="n">
        <v>46289</v>
      </c>
      <c r="I139" s="4" t="n">
        <v>100</v>
      </c>
      <c r="J139" s="4" t="n">
        <v>100</v>
      </c>
      <c r="K139" s="4" t="n">
        <v>100</v>
      </c>
      <c r="M139" s="2">
        <f>IF(C139="","",IFERROR(INDEX($S$5:$S$304,MATCH(C139,$R$5:$R$304,0))&amp;"","?"))</f>
        <v/>
      </c>
      <c r="N139" s="2">
        <f>IF(E139="","",IF(ISNUMBER(SEARCH("SUBSOLO",E139)),IFERROR(-VALUE(LEFT(E139,FIND("º",SUBSTITUTE(E139,"°","º"))-1)),-1),IF(LEFT(E139,6)="TÉRREO",0,IFERROR(VALUE(LEFT(E139,FIND("º",SUBSTITUTE(E139,"°","º"))-1)),""))))</f>
        <v/>
      </c>
      <c r="O139" s="2">
        <f>IF(OR(F139="",G139=""),"",IF(G139&lt;='RETRATO 2027'!$K$5,"CONCLUÍDA",IF(F139&lt;='RETRATO 2027'!$K$5,"EM ANDAMENTO","A INICIAR")))</f>
        <v/>
      </c>
      <c r="R139" s="4" t="inlineStr">
        <is>
          <t>PISO EMBORRACHADO</t>
        </is>
      </c>
      <c r="S139" s="4" t="inlineStr">
        <is>
          <t>30</t>
        </is>
      </c>
      <c r="T139" s="4" t="inlineStr">
        <is>
          <t>Piso emborrachado</t>
        </is>
      </c>
      <c r="U139" s="4" t="inlineStr">
        <is>
          <t>NÃO</t>
        </is>
      </c>
      <c r="V139" s="2">
        <f>IF(R139="","",COUNTIF($C$5:$C$6004,R139))</f>
        <v/>
      </c>
      <c r="W139" s="2">
        <f>IF(R139="","",COUNTIFS($C$5:$C$6004,R139,$O$5:$O$6004,"CONCLUÍDA"))</f>
        <v/>
      </c>
      <c r="X139" s="2">
        <f>IF(R139="","",COUNTIFS($C$5:$C$6004,R139,$O$5:$O$6004,"EM ANDAMENTO"))</f>
        <v/>
      </c>
      <c r="Y139" s="2">
        <f>IF(R139="","",IF(COUNTIFS($C$5:$C$6004,R139,$O$5:$O$6004,"CONCLUÍDA",$N$5:$N$6004,"&gt;=-99")=0,"",_xlfn.MAXIFS($N$5:$N$6004,$C$5:$C$6004,R139,$O$5:$O$6004,"CONCLUÍDA")))</f>
        <v/>
      </c>
      <c r="Z139" s="2">
        <f>IF(R139="","",IF(COUNTIFS($C$5:$C$6004,R139,$O$5:$O$6004,"EM ANDAMENTO",$N$5:$N$6004,"&gt;=-99")=0,"",_xlfn.MAXIFS($N$5:$N$6004,$C$5:$C$6004,R139,$O$5:$O$6004,"EM ANDAMENTO")))</f>
        <v/>
      </c>
      <c r="AA139" s="2">
        <f>IF(OR(R139="",S139="",U139&lt;&gt;"SIM",V139=0),"",IF(W139+X139=0,"",T139&amp;": "&amp;IF(W139=V139,"concluído",IF(W139=0,"em execução"&amp;IF(Z139&lt;&gt;""," ("&amp;IF(Z139&lt;0,IF(COUNTIF($E$5:$E$6004,"SUBSOLO*")&gt;0,"subsolo",-Z139&amp;"º subsolo"),IF(Z139=0,"térreo",Z139&amp;"º pav."))&amp;")",""),IF(Y139&lt;&gt;"","até "&amp;IF(Y139&lt;0,IF(COUNTIF($E$5:$E$6004,"SUBSOLO*")&gt;0,"subsolo",-Y139&amp;"º subsolo"),IF(Y139=0,"térreo",Y139&amp;"º pav.")),W139&amp;" de "&amp;V139&amp;" concluídas")&amp;IF(Z139="","",IF(OR(Y139="",Z139&gt;Y139),", executando "&amp;IF(Z139&lt;0,IF(COUNTIF($E$5:$E$6004,"SUBSOLO*")&gt;0,"subsolo",-Z139&amp;"º subsolo"),IF(Z139=0,"térreo",Z139&amp;"º pav."))," (restam serviços no "&amp;IF(Z139&lt;0,IF(COUNTIF($E$5:$E$6004,"SUBSOLO*")&gt;0,"subsolo",-Z139&amp;"º subsolo"),IF(Z139=0,"térreo",Z139&amp;"º pav."))&amp;")"))))))</f>
        <v/>
      </c>
    </row>
    <row r="140">
      <c r="B140" s="4" t="n">
        <v>14338684</v>
      </c>
      <c r="C140" s="4" t="inlineStr">
        <is>
          <t>VIGA DE COROAMENTO (TRECHO - RUA IPÊ 3º ETAPA)</t>
        </is>
      </c>
      <c r="D140" s="4" t="inlineStr">
        <is>
          <t>Concretagem</t>
        </is>
      </c>
      <c r="E140" s="4" t="inlineStr">
        <is>
          <t>SERVIÇOS INICIAIS</t>
        </is>
      </c>
      <c r="F140" s="126" t="n">
        <v>45964</v>
      </c>
      <c r="G140" s="126" t="n">
        <v>45964</v>
      </c>
      <c r="H140" s="126" t="n">
        <v>46289</v>
      </c>
      <c r="I140" s="4" t="n">
        <v>100</v>
      </c>
      <c r="J140" s="4" t="n">
        <v>100</v>
      </c>
      <c r="K140" s="4" t="n">
        <v>100</v>
      </c>
      <c r="M140" s="2">
        <f>IF(C140="","",IFERROR(INDEX($S$5:$S$304,MATCH(C140,$R$5:$R$304,0))&amp;"","?"))</f>
        <v/>
      </c>
      <c r="N140" s="2">
        <f>IF(E140="","",IF(ISNUMBER(SEARCH("SUBSOLO",E140)),IFERROR(-VALUE(LEFT(E140,FIND("º",SUBSTITUTE(E140,"°","º"))-1)),-1),IF(LEFT(E140,6)="TÉRREO",0,IFERROR(VALUE(LEFT(E140,FIND("º",SUBSTITUTE(E140,"°","º"))-1)),""))))</f>
        <v/>
      </c>
      <c r="O140" s="2">
        <f>IF(OR(F140="",G140=""),"",IF(G140&lt;='RETRATO 2027'!$K$5,"CONCLUÍDA",IF(F140&lt;='RETRATO 2027'!$K$5,"EM ANDAMENTO","A INICIAR")))</f>
        <v/>
      </c>
      <c r="R140" s="4" t="inlineStr">
        <is>
          <t>DEMARCAÇÃO DE VAGAS</t>
        </is>
      </c>
      <c r="S140" s="4" t="inlineStr">
        <is>
          <t>31</t>
        </is>
      </c>
      <c r="T140" s="4" t="inlineStr">
        <is>
          <t>Demarcação de vagas</t>
        </is>
      </c>
      <c r="U140" s="4" t="inlineStr">
        <is>
          <t>SIM</t>
        </is>
      </c>
      <c r="V140" s="2">
        <f>IF(R140="","",COUNTIF($C$5:$C$6004,R140))</f>
        <v/>
      </c>
      <c r="W140" s="2">
        <f>IF(R140="","",COUNTIFS($C$5:$C$6004,R140,$O$5:$O$6004,"CONCLUÍDA"))</f>
        <v/>
      </c>
      <c r="X140" s="2">
        <f>IF(R140="","",COUNTIFS($C$5:$C$6004,R140,$O$5:$O$6004,"EM ANDAMENTO"))</f>
        <v/>
      </c>
      <c r="Y140" s="2">
        <f>IF(R140="","",IF(COUNTIFS($C$5:$C$6004,R140,$O$5:$O$6004,"CONCLUÍDA",$N$5:$N$6004,"&gt;=-99")=0,"",_xlfn.MAXIFS($N$5:$N$6004,$C$5:$C$6004,R140,$O$5:$O$6004,"CONCLUÍDA")))</f>
        <v/>
      </c>
      <c r="Z140" s="2">
        <f>IF(R140="","",IF(COUNTIFS($C$5:$C$6004,R140,$O$5:$O$6004,"EM ANDAMENTO",$N$5:$N$6004,"&gt;=-99")=0,"",_xlfn.MAXIFS($N$5:$N$6004,$C$5:$C$6004,R140,$O$5:$O$6004,"EM ANDAMENTO")))</f>
        <v/>
      </c>
      <c r="AA140" s="2">
        <f>IF(OR(R140="",S140="",U140&lt;&gt;"SIM",V140=0),"",IF(W140+X140=0,"",T140&amp;": "&amp;IF(W140=V140,"concluído",IF(W140=0,"em execução"&amp;IF(Z140&lt;&gt;""," ("&amp;IF(Z140&lt;0,IF(COUNTIF($E$5:$E$6004,"SUBSOLO*")&gt;0,"subsolo",-Z140&amp;"º subsolo"),IF(Z140=0,"térreo",Z140&amp;"º pav."))&amp;")",""),IF(Y140&lt;&gt;"","até "&amp;IF(Y140&lt;0,IF(COUNTIF($E$5:$E$6004,"SUBSOLO*")&gt;0,"subsolo",-Y140&amp;"º subsolo"),IF(Y140=0,"térreo",Y140&amp;"º pav.")),W140&amp;" de "&amp;V140&amp;" concluídas")&amp;IF(Z140="","",IF(OR(Y140="",Z140&gt;Y140),", executando "&amp;IF(Z140&lt;0,IF(COUNTIF($E$5:$E$6004,"SUBSOLO*")&gt;0,"subsolo",-Z140&amp;"º subsolo"),IF(Z140=0,"térreo",Z140&amp;"º pav."))," (restam serviços no "&amp;IF(Z140&lt;0,IF(COUNTIF($E$5:$E$6004,"SUBSOLO*")&gt;0,"subsolo",-Z140&amp;"º subsolo"),IF(Z140=0,"térreo",Z140&amp;"º pav."))&amp;")"))))))</f>
        <v/>
      </c>
    </row>
    <row r="141">
      <c r="B141" s="4" t="n">
        <v>30203719</v>
      </c>
      <c r="C141" s="4" t="inlineStr">
        <is>
          <t>TERRAPLENAGEM (FASE 1)</t>
        </is>
      </c>
      <c r="D141" s="4" t="inlineStr">
        <is>
          <t>-</t>
        </is>
      </c>
      <c r="E141" s="4" t="inlineStr">
        <is>
          <t>SERVIÇOS INICIAIS</t>
        </is>
      </c>
      <c r="F141" s="126" t="n">
        <v>46084</v>
      </c>
      <c r="G141" s="126" t="n">
        <v>46139</v>
      </c>
      <c r="H141" s="126" t="n">
        <v>46289</v>
      </c>
      <c r="I141" s="4" t="n">
        <v>100</v>
      </c>
      <c r="J141" s="4" t="n">
        <v>100</v>
      </c>
      <c r="K141" s="4" t="n">
        <v>100</v>
      </c>
      <c r="M141" s="2">
        <f>IF(C141="","",IFERROR(INDEX($S$5:$S$304,MATCH(C141,$R$5:$R$304,0))&amp;"","?"))</f>
        <v/>
      </c>
      <c r="N141" s="2">
        <f>IF(E141="","",IF(ISNUMBER(SEARCH("SUBSOLO",E141)),IFERROR(-VALUE(LEFT(E141,FIND("º",SUBSTITUTE(E141,"°","º"))-1)),-1),IF(LEFT(E141,6)="TÉRREO",0,IFERROR(VALUE(LEFT(E141,FIND("º",SUBSTITUTE(E141,"°","º"))-1)),""))))</f>
        <v/>
      </c>
      <c r="O141" s="2">
        <f>IF(OR(F141="",G141=""),"",IF(G141&lt;='RETRATO 2027'!$K$5,"CONCLUÍDA",IF(F141&lt;='RETRATO 2027'!$K$5,"EM ANDAMENTO","A INICIAR")))</f>
        <v/>
      </c>
      <c r="R141" s="4" t="inlineStr">
        <is>
          <t>INSTALAÇÃO DE METAIS</t>
        </is>
      </c>
      <c r="S141" s="4" t="inlineStr">
        <is>
          <t>34</t>
        </is>
      </c>
      <c r="T141" s="4" t="inlineStr">
        <is>
          <t>Metais</t>
        </is>
      </c>
      <c r="U141" s="4" t="inlineStr">
        <is>
          <t>NÃO</t>
        </is>
      </c>
      <c r="V141" s="2">
        <f>IF(R141="","",COUNTIF($C$5:$C$6004,R141))</f>
        <v/>
      </c>
      <c r="W141" s="2">
        <f>IF(R141="","",COUNTIFS($C$5:$C$6004,R141,$O$5:$O$6004,"CONCLUÍDA"))</f>
        <v/>
      </c>
      <c r="X141" s="2">
        <f>IF(R141="","",COUNTIFS($C$5:$C$6004,R141,$O$5:$O$6004,"EM ANDAMENTO"))</f>
        <v/>
      </c>
      <c r="Y141" s="2">
        <f>IF(R141="","",IF(COUNTIFS($C$5:$C$6004,R141,$O$5:$O$6004,"CONCLUÍDA",$N$5:$N$6004,"&gt;=-99")=0,"",_xlfn.MAXIFS($N$5:$N$6004,$C$5:$C$6004,R141,$O$5:$O$6004,"CONCLUÍDA")))</f>
        <v/>
      </c>
      <c r="Z141" s="2">
        <f>IF(R141="","",IF(COUNTIFS($C$5:$C$6004,R141,$O$5:$O$6004,"EM ANDAMENTO",$N$5:$N$6004,"&gt;=-99")=0,"",_xlfn.MAXIFS($N$5:$N$6004,$C$5:$C$6004,R141,$O$5:$O$6004,"EM ANDAMENTO")))</f>
        <v/>
      </c>
      <c r="AA141" s="2">
        <f>IF(OR(R141="",S141="",U141&lt;&gt;"SIM",V141=0),"",IF(W141+X141=0,"",T141&amp;": "&amp;IF(W141=V141,"concluído",IF(W141=0,"em execução"&amp;IF(Z141&lt;&gt;""," ("&amp;IF(Z141&lt;0,IF(COUNTIF($E$5:$E$6004,"SUBSOLO*")&gt;0,"subsolo",-Z141&amp;"º subsolo"),IF(Z141=0,"térreo",Z141&amp;"º pav."))&amp;")",""),IF(Y141&lt;&gt;"","até "&amp;IF(Y141&lt;0,IF(COUNTIF($E$5:$E$6004,"SUBSOLO*")&gt;0,"subsolo",-Y141&amp;"º subsolo"),IF(Y141=0,"térreo",Y141&amp;"º pav.")),W141&amp;" de "&amp;V141&amp;" concluídas")&amp;IF(Z141="","",IF(OR(Y141="",Z141&gt;Y141),", executando "&amp;IF(Z141&lt;0,IF(COUNTIF($E$5:$E$6004,"SUBSOLO*")&gt;0,"subsolo",-Z141&amp;"º subsolo"),IF(Z141=0,"térreo",Z141&amp;"º pav."))," (restam serviços no "&amp;IF(Z141&lt;0,IF(COUNTIF($E$5:$E$6004,"SUBSOLO*")&gt;0,"subsolo",-Z141&amp;"º subsolo"),IF(Z141=0,"térreo",Z141&amp;"º pav."))&amp;")"))))))</f>
        <v/>
      </c>
    </row>
    <row r="142">
      <c r="B142" s="4" t="n">
        <v>29933217</v>
      </c>
      <c r="C142" s="4" t="inlineStr">
        <is>
          <t>FUNDAÇÃO SUPERFICIAL</t>
        </is>
      </c>
      <c r="D142" s="4" t="inlineStr">
        <is>
          <t>-</t>
        </is>
      </c>
      <c r="E142" s="4" t="inlineStr">
        <is>
          <t>SERVIÇOS INICIAIS</t>
        </is>
      </c>
      <c r="F142" s="126" t="n">
        <v>46125</v>
      </c>
      <c r="G142" s="126" t="n">
        <v>46241</v>
      </c>
      <c r="H142" s="126" t="n">
        <v>46289</v>
      </c>
      <c r="I142" s="4" t="n">
        <v>100</v>
      </c>
      <c r="J142" s="4" t="n">
        <v>100</v>
      </c>
      <c r="K142" s="4" t="n">
        <v>99</v>
      </c>
      <c r="M142" s="2">
        <f>IF(C142="","",IFERROR(INDEX($S$5:$S$304,MATCH(C142,$R$5:$R$304,0))&amp;"","?"))</f>
        <v/>
      </c>
      <c r="N142" s="2">
        <f>IF(E142="","",IF(ISNUMBER(SEARCH("SUBSOLO",E142)),IFERROR(-VALUE(LEFT(E142,FIND("º",SUBSTITUTE(E142,"°","º"))-1)),-1),IF(LEFT(E142,6)="TÉRREO",0,IFERROR(VALUE(LEFT(E142,FIND("º",SUBSTITUTE(E142,"°","º"))-1)),""))))</f>
        <v/>
      </c>
      <c r="O142" s="2">
        <f>IF(OR(F142="",G142=""),"",IF(G142&lt;='RETRATO 2027'!$K$5,"CONCLUÍDA",IF(F142&lt;='RETRATO 2027'!$K$5,"EM ANDAMENTO","A INICIAR")))</f>
        <v/>
      </c>
      <c r="R142" s="4" t="inlineStr">
        <is>
          <t>INST. CARREGADOR DE VEÍCULOS</t>
        </is>
      </c>
      <c r="S142" s="4" t="inlineStr">
        <is>
          <t>20</t>
        </is>
      </c>
      <c r="T142" s="4" t="inlineStr">
        <is>
          <t>Inst. carregador de veículos</t>
        </is>
      </c>
      <c r="U142" s="4" t="inlineStr">
        <is>
          <t>NÃO</t>
        </is>
      </c>
      <c r="V142" s="2">
        <f>IF(R142="","",COUNTIF($C$5:$C$6004,R142))</f>
        <v/>
      </c>
      <c r="W142" s="2">
        <f>IF(R142="","",COUNTIFS($C$5:$C$6004,R142,$O$5:$O$6004,"CONCLUÍDA"))</f>
        <v/>
      </c>
      <c r="X142" s="2">
        <f>IF(R142="","",COUNTIFS($C$5:$C$6004,R142,$O$5:$O$6004,"EM ANDAMENTO"))</f>
        <v/>
      </c>
      <c r="Y142" s="2">
        <f>IF(R142="","",IF(COUNTIFS($C$5:$C$6004,R142,$O$5:$O$6004,"CONCLUÍDA",$N$5:$N$6004,"&gt;=-99")=0,"",_xlfn.MAXIFS($N$5:$N$6004,$C$5:$C$6004,R142,$O$5:$O$6004,"CONCLUÍDA")))</f>
        <v/>
      </c>
      <c r="Z142" s="2">
        <f>IF(R142="","",IF(COUNTIFS($C$5:$C$6004,R142,$O$5:$O$6004,"EM ANDAMENTO",$N$5:$N$6004,"&gt;=-99")=0,"",_xlfn.MAXIFS($N$5:$N$6004,$C$5:$C$6004,R142,$O$5:$O$6004,"EM ANDAMENTO")))</f>
        <v/>
      </c>
      <c r="AA142" s="2">
        <f>IF(OR(R142="",S142="",U142&lt;&gt;"SIM",V142=0),"",IF(W142+X142=0,"",T142&amp;": "&amp;IF(W142=V142,"concluído",IF(W142=0,"em execução"&amp;IF(Z142&lt;&gt;""," ("&amp;IF(Z142&lt;0,IF(COUNTIF($E$5:$E$6004,"SUBSOLO*")&gt;0,"subsolo",-Z142&amp;"º subsolo"),IF(Z142=0,"térreo",Z142&amp;"º pav."))&amp;")",""),IF(Y142&lt;&gt;"","até "&amp;IF(Y142&lt;0,IF(COUNTIF($E$5:$E$6004,"SUBSOLO*")&gt;0,"subsolo",-Y142&amp;"º subsolo"),IF(Y142=0,"térreo",Y142&amp;"º pav.")),W142&amp;" de "&amp;V142&amp;" concluídas")&amp;IF(Z142="","",IF(OR(Y142="",Z142&gt;Y142),", executando "&amp;IF(Z142&lt;0,IF(COUNTIF($E$5:$E$6004,"SUBSOLO*")&gt;0,"subsolo",-Z142&amp;"º subsolo"),IF(Z142=0,"térreo",Z142&amp;"º pav."))," (restam serviços no "&amp;IF(Z142&lt;0,IF(COUNTIF($E$5:$E$6004,"SUBSOLO*")&gt;0,"subsolo",-Z142&amp;"º subsolo"),IF(Z142=0,"térreo",Z142&amp;"º pav."))&amp;")"))))))</f>
        <v/>
      </c>
    </row>
    <row r="143">
      <c r="B143" s="4" t="n">
        <v>44503348</v>
      </c>
      <c r="C143" s="4" t="inlineStr">
        <is>
          <t>FUNDAÇÃO SUPERFICIAL - FASE 1</t>
        </is>
      </c>
      <c r="D143" s="4" t="inlineStr">
        <is>
          <t>-</t>
        </is>
      </c>
      <c r="E143" s="4" t="inlineStr">
        <is>
          <t>SERVIÇOS INICIAIS</t>
        </is>
      </c>
      <c r="F143" s="126" t="n">
        <v>46125</v>
      </c>
      <c r="G143" s="126" t="n">
        <v>46139</v>
      </c>
      <c r="H143" s="126" t="n">
        <v>46289</v>
      </c>
      <c r="I143" s="4" t="n">
        <v>0</v>
      </c>
      <c r="J143" s="4" t="n">
        <v>100</v>
      </c>
      <c r="K143" s="4" t="n">
        <v>100</v>
      </c>
      <c r="M143" s="2">
        <f>IF(C143="","",IFERROR(INDEX($S$5:$S$304,MATCH(C143,$R$5:$R$304,0))&amp;"","?"))</f>
        <v/>
      </c>
      <c r="N143" s="2">
        <f>IF(E143="","",IF(ISNUMBER(SEARCH("SUBSOLO",E143)),IFERROR(-VALUE(LEFT(E143,FIND("º",SUBSTITUTE(E143,"°","º"))-1)),-1),IF(LEFT(E143,6)="TÉRREO",0,IFERROR(VALUE(LEFT(E143,FIND("º",SUBSTITUTE(E143,"°","º"))-1)),""))))</f>
        <v/>
      </c>
      <c r="O143" s="2">
        <f>IF(OR(F143="",G143=""),"",IF(G143&lt;='RETRATO 2027'!$K$5,"CONCLUÍDA",IF(F143&lt;='RETRATO 2027'!$K$5,"EM ANDAMENTO","A INICIAR")))</f>
        <v/>
      </c>
      <c r="R143" s="4" t="inlineStr">
        <is>
          <t>MONTAGEM - ELEVADOR 1</t>
        </is>
      </c>
      <c r="S143" s="4" t="inlineStr">
        <is>
          <t>24</t>
        </is>
      </c>
      <c r="T143" s="4" t="inlineStr">
        <is>
          <t>Montagem - elevador 1</t>
        </is>
      </c>
      <c r="U143" s="4" t="inlineStr">
        <is>
          <t>SIM</t>
        </is>
      </c>
      <c r="V143" s="2">
        <f>IF(R143="","",COUNTIF($C$5:$C$6004,R143))</f>
        <v/>
      </c>
      <c r="W143" s="2">
        <f>IF(R143="","",COUNTIFS($C$5:$C$6004,R143,$O$5:$O$6004,"CONCLUÍDA"))</f>
        <v/>
      </c>
      <c r="X143" s="2">
        <f>IF(R143="","",COUNTIFS($C$5:$C$6004,R143,$O$5:$O$6004,"EM ANDAMENTO"))</f>
        <v/>
      </c>
      <c r="Y143" s="2">
        <f>IF(R143="","",IF(COUNTIFS($C$5:$C$6004,R143,$O$5:$O$6004,"CONCLUÍDA",$N$5:$N$6004,"&gt;=-99")=0,"",_xlfn.MAXIFS($N$5:$N$6004,$C$5:$C$6004,R143,$O$5:$O$6004,"CONCLUÍDA")))</f>
        <v/>
      </c>
      <c r="Z143" s="2">
        <f>IF(R143="","",IF(COUNTIFS($C$5:$C$6004,R143,$O$5:$O$6004,"EM ANDAMENTO",$N$5:$N$6004,"&gt;=-99")=0,"",_xlfn.MAXIFS($N$5:$N$6004,$C$5:$C$6004,R143,$O$5:$O$6004,"EM ANDAMENTO")))</f>
        <v/>
      </c>
      <c r="AA143" s="2">
        <f>IF(OR(R143="",S143="",U143&lt;&gt;"SIM",V143=0),"",IF(W143+X143=0,"",T143&amp;": "&amp;IF(W143=V143,"concluído",IF(W143=0,"em execução"&amp;IF(Z143&lt;&gt;""," ("&amp;IF(Z143&lt;0,IF(COUNTIF($E$5:$E$6004,"SUBSOLO*")&gt;0,"subsolo",-Z143&amp;"º subsolo"),IF(Z143=0,"térreo",Z143&amp;"º pav."))&amp;")",""),IF(Y143&lt;&gt;"","até "&amp;IF(Y143&lt;0,IF(COUNTIF($E$5:$E$6004,"SUBSOLO*")&gt;0,"subsolo",-Y143&amp;"º subsolo"),IF(Y143=0,"térreo",Y143&amp;"º pav.")),W143&amp;" de "&amp;V143&amp;" concluídas")&amp;IF(Z143="","",IF(OR(Y143="",Z143&gt;Y143),", executando "&amp;IF(Z143&lt;0,IF(COUNTIF($E$5:$E$6004,"SUBSOLO*")&gt;0,"subsolo",-Z143&amp;"º subsolo"),IF(Z143=0,"térreo",Z143&amp;"º pav."))," (restam serviços no "&amp;IF(Z143&lt;0,IF(COUNTIF($E$5:$E$6004,"SUBSOLO*")&gt;0,"subsolo",-Z143&amp;"º subsolo"),IF(Z143=0,"térreo",Z143&amp;"º pav."))&amp;")"))))))</f>
        <v/>
      </c>
    </row>
    <row r="144">
      <c r="B144" s="4" t="n">
        <v>28389396</v>
      </c>
      <c r="C144" s="4" t="inlineStr">
        <is>
          <t>FUNDAÇÃO SUPERFICIAL - FASE 1</t>
        </is>
      </c>
      <c r="D144" s="4" t="inlineStr">
        <is>
          <t xml:space="preserve">Escavação - F3 - F4 / 101 -108 / 110 - 112 - 118 </t>
        </is>
      </c>
      <c r="E144" s="4" t="inlineStr">
        <is>
          <t>SERVIÇOS INICIAIS</t>
        </is>
      </c>
      <c r="F144" s="126" t="n">
        <v>46125</v>
      </c>
      <c r="G144" s="126" t="n">
        <v>46129</v>
      </c>
      <c r="H144" s="126" t="n">
        <v>46289</v>
      </c>
      <c r="I144" s="4" t="n">
        <v>0</v>
      </c>
      <c r="J144" s="4" t="n">
        <v>100</v>
      </c>
      <c r="K144" s="4" t="n">
        <v>100</v>
      </c>
      <c r="M144" s="2">
        <f>IF(C144="","",IFERROR(INDEX($S$5:$S$304,MATCH(C144,$R$5:$R$304,0))&amp;"","?"))</f>
        <v/>
      </c>
      <c r="N144" s="2">
        <f>IF(E144="","",IF(ISNUMBER(SEARCH("SUBSOLO",E144)),IFERROR(-VALUE(LEFT(E144,FIND("º",SUBSTITUTE(E144,"°","º"))-1)),-1),IF(LEFT(E144,6)="TÉRREO",0,IFERROR(VALUE(LEFT(E144,FIND("º",SUBSTITUTE(E144,"°","º"))-1)),""))))</f>
        <v/>
      </c>
      <c r="O144" s="2">
        <f>IF(OR(F144="",G144=""),"",IF(G144&lt;='RETRATO 2027'!$K$5,"CONCLUÍDA",IF(F144&lt;='RETRATO 2027'!$K$5,"EM ANDAMENTO","A INICIAR")))</f>
        <v/>
      </c>
      <c r="R144" s="4" t="inlineStr">
        <is>
          <t>REVESTIMENTO ACABAMENTO</t>
        </is>
      </c>
      <c r="S144" s="4" t="inlineStr">
        <is>
          <t>30</t>
        </is>
      </c>
      <c r="T144" s="4" t="inlineStr">
        <is>
          <t>Revestimento acabamento</t>
        </is>
      </c>
      <c r="U144" s="4" t="inlineStr">
        <is>
          <t>NÃO</t>
        </is>
      </c>
      <c r="V144" s="2">
        <f>IF(R144="","",COUNTIF($C$5:$C$6004,R144))</f>
        <v/>
      </c>
      <c r="W144" s="2">
        <f>IF(R144="","",COUNTIFS($C$5:$C$6004,R144,$O$5:$O$6004,"CONCLUÍDA"))</f>
        <v/>
      </c>
      <c r="X144" s="2">
        <f>IF(R144="","",COUNTIFS($C$5:$C$6004,R144,$O$5:$O$6004,"EM ANDAMENTO"))</f>
        <v/>
      </c>
      <c r="Y144" s="2">
        <f>IF(R144="","",IF(COUNTIFS($C$5:$C$6004,R144,$O$5:$O$6004,"CONCLUÍDA",$N$5:$N$6004,"&gt;=-99")=0,"",_xlfn.MAXIFS($N$5:$N$6004,$C$5:$C$6004,R144,$O$5:$O$6004,"CONCLUÍDA")))</f>
        <v/>
      </c>
      <c r="Z144" s="2">
        <f>IF(R144="","",IF(COUNTIFS($C$5:$C$6004,R144,$O$5:$O$6004,"EM ANDAMENTO",$N$5:$N$6004,"&gt;=-99")=0,"",_xlfn.MAXIFS($N$5:$N$6004,$C$5:$C$6004,R144,$O$5:$O$6004,"EM ANDAMENTO")))</f>
        <v/>
      </c>
      <c r="AA144" s="2">
        <f>IF(OR(R144="",S144="",U144&lt;&gt;"SIM",V144=0),"",IF(W144+X144=0,"",T144&amp;": "&amp;IF(W144=V144,"concluído",IF(W144=0,"em execução"&amp;IF(Z144&lt;&gt;""," ("&amp;IF(Z144&lt;0,IF(COUNTIF($E$5:$E$6004,"SUBSOLO*")&gt;0,"subsolo",-Z144&amp;"º subsolo"),IF(Z144=0,"térreo",Z144&amp;"º pav."))&amp;")",""),IF(Y144&lt;&gt;"","até "&amp;IF(Y144&lt;0,IF(COUNTIF($E$5:$E$6004,"SUBSOLO*")&gt;0,"subsolo",-Y144&amp;"º subsolo"),IF(Y144=0,"térreo",Y144&amp;"º pav.")),W144&amp;" de "&amp;V144&amp;" concluídas")&amp;IF(Z144="","",IF(OR(Y144="",Z144&gt;Y144),", executando "&amp;IF(Z144&lt;0,IF(COUNTIF($E$5:$E$6004,"SUBSOLO*")&gt;0,"subsolo",-Z144&amp;"º subsolo"),IF(Z144=0,"térreo",Z144&amp;"º pav."))," (restam serviços no "&amp;IF(Z144&lt;0,IF(COUNTIF($E$5:$E$6004,"SUBSOLO*")&gt;0,"subsolo",-Z144&amp;"º subsolo"),IF(Z144=0,"térreo",Z144&amp;"º pav."))&amp;")"))))))</f>
        <v/>
      </c>
    </row>
    <row r="145">
      <c r="B145" s="4" t="n">
        <v>28389397</v>
      </c>
      <c r="C145" s="4" t="inlineStr">
        <is>
          <t>FUNDAÇÃO SUPERFICIAL - FASE 1</t>
        </is>
      </c>
      <c r="D145" s="4" t="inlineStr">
        <is>
          <t>Arrasamento - F3 - F4 / 101 -108 / 110 - 112 - 118 / 2</t>
        </is>
      </c>
      <c r="E145" s="4" t="inlineStr">
        <is>
          <t>SERVIÇOS INICIAIS</t>
        </is>
      </c>
      <c r="F145" s="126" t="n">
        <v>46125</v>
      </c>
      <c r="G145" s="126" t="n">
        <v>46129</v>
      </c>
      <c r="H145" s="126" t="n">
        <v>46289</v>
      </c>
      <c r="I145" s="4" t="n">
        <v>0</v>
      </c>
      <c r="J145" s="4" t="n">
        <v>100</v>
      </c>
      <c r="K145" s="4" t="n">
        <v>100</v>
      </c>
      <c r="M145" s="2">
        <f>IF(C145="","",IFERROR(INDEX($S$5:$S$304,MATCH(C145,$R$5:$R$304,0))&amp;"","?"))</f>
        <v/>
      </c>
      <c r="N145" s="2">
        <f>IF(E145="","",IF(ISNUMBER(SEARCH("SUBSOLO",E145)),IFERROR(-VALUE(LEFT(E145,FIND("º",SUBSTITUTE(E145,"°","º"))-1)),-1),IF(LEFT(E145,6)="TÉRREO",0,IFERROR(VALUE(LEFT(E145,FIND("º",SUBSTITUTE(E145,"°","º"))-1)),""))))</f>
        <v/>
      </c>
      <c r="O145" s="2">
        <f>IF(OR(F145="",G145=""),"",IF(G145&lt;='RETRATO 2027'!$K$5,"CONCLUÍDA",IF(F145&lt;='RETRATO 2027'!$K$5,"EM ANDAMENTO","A INICIAR")))</f>
        <v/>
      </c>
      <c r="R145" s="4" t="inlineStr">
        <is>
          <t>PEITORIS E REQUADROS DE FACHADA - F3 + F4 (2º ETAPA)</t>
        </is>
      </c>
      <c r="S145" s="4" t="inlineStr">
        <is>
          <t>32</t>
        </is>
      </c>
      <c r="T145" s="4" t="inlineStr">
        <is>
          <t>Peitoris e requadros de fachada - F3 + F4 (2º etapa)</t>
        </is>
      </c>
      <c r="U145" s="4" t="inlineStr">
        <is>
          <t>SIM</t>
        </is>
      </c>
      <c r="V145" s="2">
        <f>IF(R145="","",COUNTIF($C$5:$C$6004,R145))</f>
        <v/>
      </c>
      <c r="W145" s="2">
        <f>IF(R145="","",COUNTIFS($C$5:$C$6004,R145,$O$5:$O$6004,"CONCLUÍDA"))</f>
        <v/>
      </c>
      <c r="X145" s="2">
        <f>IF(R145="","",COUNTIFS($C$5:$C$6004,R145,$O$5:$O$6004,"EM ANDAMENTO"))</f>
        <v/>
      </c>
      <c r="Y145" s="2">
        <f>IF(R145="","",IF(COUNTIFS($C$5:$C$6004,R145,$O$5:$O$6004,"CONCLUÍDA",$N$5:$N$6004,"&gt;=-99")=0,"",_xlfn.MAXIFS($N$5:$N$6004,$C$5:$C$6004,R145,$O$5:$O$6004,"CONCLUÍDA")))</f>
        <v/>
      </c>
      <c r="Z145" s="2">
        <f>IF(R145="","",IF(COUNTIFS($C$5:$C$6004,R145,$O$5:$O$6004,"EM ANDAMENTO",$N$5:$N$6004,"&gt;=-99")=0,"",_xlfn.MAXIFS($N$5:$N$6004,$C$5:$C$6004,R145,$O$5:$O$6004,"EM ANDAMENTO")))</f>
        <v/>
      </c>
      <c r="AA145" s="2">
        <f>IF(OR(R145="",S145="",U145&lt;&gt;"SIM",V145=0),"",IF(W145+X145=0,"",T145&amp;": "&amp;IF(W145=V145,"concluído",IF(W145=0,"em execução"&amp;IF(Z145&lt;&gt;""," ("&amp;IF(Z145&lt;0,IF(COUNTIF($E$5:$E$6004,"SUBSOLO*")&gt;0,"subsolo",-Z145&amp;"º subsolo"),IF(Z145=0,"térreo",Z145&amp;"º pav."))&amp;")",""),IF(Y145&lt;&gt;"","até "&amp;IF(Y145&lt;0,IF(COUNTIF($E$5:$E$6004,"SUBSOLO*")&gt;0,"subsolo",-Y145&amp;"º subsolo"),IF(Y145=0,"térreo",Y145&amp;"º pav.")),W145&amp;" de "&amp;V145&amp;" concluídas")&amp;IF(Z145="","",IF(OR(Y145="",Z145&gt;Y145),", executando "&amp;IF(Z145&lt;0,IF(COUNTIF($E$5:$E$6004,"SUBSOLO*")&gt;0,"subsolo",-Z145&amp;"º subsolo"),IF(Z145=0,"térreo",Z145&amp;"º pav."))," (restam serviços no "&amp;IF(Z145&lt;0,IF(COUNTIF($E$5:$E$6004,"SUBSOLO*")&gt;0,"subsolo",-Z145&amp;"º subsolo"),IF(Z145=0,"térreo",Z145&amp;"º pav."))&amp;")"))))))</f>
        <v/>
      </c>
    </row>
    <row r="146">
      <c r="B146" s="4" t="n">
        <v>28389398</v>
      </c>
      <c r="C146" s="4" t="inlineStr">
        <is>
          <t>FUNDAÇÃO SUPERFICIAL - FASE 1</t>
        </is>
      </c>
      <c r="D146" s="4" t="inlineStr">
        <is>
          <t>Armação - F3 - F4 / 101 -108 / 110 - 112 - 118 / 2</t>
        </is>
      </c>
      <c r="E146" s="4" t="inlineStr">
        <is>
          <t>SERVIÇOS INICIAIS</t>
        </is>
      </c>
      <c r="F146" s="126" t="n">
        <v>46132</v>
      </c>
      <c r="G146" s="126" t="n">
        <v>46134</v>
      </c>
      <c r="H146" s="126" t="n">
        <v>46289</v>
      </c>
      <c r="I146" s="4" t="n">
        <v>0</v>
      </c>
      <c r="J146" s="4" t="n">
        <v>100</v>
      </c>
      <c r="K146" s="4" t="n">
        <v>100</v>
      </c>
      <c r="M146" s="2">
        <f>IF(C146="","",IFERROR(INDEX($S$5:$S$304,MATCH(C146,$R$5:$R$304,0))&amp;"","?"))</f>
        <v/>
      </c>
      <c r="N146" s="2">
        <f>IF(E146="","",IF(ISNUMBER(SEARCH("SUBSOLO",E146)),IFERROR(-VALUE(LEFT(E146,FIND("º",SUBSTITUTE(E146,"°","º"))-1)),-1),IF(LEFT(E146,6)="TÉRREO",0,IFERROR(VALUE(LEFT(E146,FIND("º",SUBSTITUTE(E146,"°","º"))-1)),""))))</f>
        <v/>
      </c>
      <c r="O146" s="2">
        <f>IF(OR(F146="",G146=""),"",IF(G146&lt;='RETRATO 2027'!$K$5,"CONCLUÍDA",IF(F146&lt;='RETRATO 2027'!$K$5,"EM ANDAMENTO","A INICIAR")))</f>
        <v/>
      </c>
      <c r="R146" s="4" t="inlineStr">
        <is>
          <t>AQUECEDOR (SAUNA)</t>
        </is>
      </c>
      <c r="S146" s="4" t="inlineStr">
        <is>
          <t>23</t>
        </is>
      </c>
      <c r="T146" s="4" t="inlineStr">
        <is>
          <t>Aquecedor (sauna)</t>
        </is>
      </c>
      <c r="U146" s="4" t="inlineStr">
        <is>
          <t>NÃO</t>
        </is>
      </c>
      <c r="V146" s="2">
        <f>IF(R146="","",COUNTIF($C$5:$C$6004,R146))</f>
        <v/>
      </c>
      <c r="W146" s="2">
        <f>IF(R146="","",COUNTIFS($C$5:$C$6004,R146,$O$5:$O$6004,"CONCLUÍDA"))</f>
        <v/>
      </c>
      <c r="X146" s="2">
        <f>IF(R146="","",COUNTIFS($C$5:$C$6004,R146,$O$5:$O$6004,"EM ANDAMENTO"))</f>
        <v/>
      </c>
      <c r="Y146" s="2">
        <f>IF(R146="","",IF(COUNTIFS($C$5:$C$6004,R146,$O$5:$O$6004,"CONCLUÍDA",$N$5:$N$6004,"&gt;=-99")=0,"",_xlfn.MAXIFS($N$5:$N$6004,$C$5:$C$6004,R146,$O$5:$O$6004,"CONCLUÍDA")))</f>
        <v/>
      </c>
      <c r="Z146" s="2">
        <f>IF(R146="","",IF(COUNTIFS($C$5:$C$6004,R146,$O$5:$O$6004,"EM ANDAMENTO",$N$5:$N$6004,"&gt;=-99")=0,"",_xlfn.MAXIFS($N$5:$N$6004,$C$5:$C$6004,R146,$O$5:$O$6004,"EM ANDAMENTO")))</f>
        <v/>
      </c>
      <c r="AA146" s="2">
        <f>IF(OR(R146="",S146="",U146&lt;&gt;"SIM",V146=0),"",IF(W146+X146=0,"",T146&amp;": "&amp;IF(W146=V146,"concluído",IF(W146=0,"em execução"&amp;IF(Z146&lt;&gt;""," ("&amp;IF(Z146&lt;0,IF(COUNTIF($E$5:$E$6004,"SUBSOLO*")&gt;0,"subsolo",-Z146&amp;"º subsolo"),IF(Z146=0,"térreo",Z146&amp;"º pav."))&amp;")",""),IF(Y146&lt;&gt;"","até "&amp;IF(Y146&lt;0,IF(COUNTIF($E$5:$E$6004,"SUBSOLO*")&gt;0,"subsolo",-Y146&amp;"º subsolo"),IF(Y146=0,"térreo",Y146&amp;"º pav.")),W146&amp;" de "&amp;V146&amp;" concluídas")&amp;IF(Z146="","",IF(OR(Y146="",Z146&gt;Y146),", executando "&amp;IF(Z146&lt;0,IF(COUNTIF($E$5:$E$6004,"SUBSOLO*")&gt;0,"subsolo",-Z146&amp;"º subsolo"),IF(Z146=0,"térreo",Z146&amp;"º pav."))," (restam serviços no "&amp;IF(Z146&lt;0,IF(COUNTIF($E$5:$E$6004,"SUBSOLO*")&gt;0,"subsolo",-Z146&amp;"º subsolo"),IF(Z146=0,"térreo",Z146&amp;"º pav."))&amp;")"))))))</f>
        <v/>
      </c>
    </row>
    <row r="147">
      <c r="B147" s="4" t="n">
        <v>28389399</v>
      </c>
      <c r="C147" s="4" t="inlineStr">
        <is>
          <t>FUNDAÇÃO SUPERFICIAL - FASE 1</t>
        </is>
      </c>
      <c r="D147" s="4" t="inlineStr">
        <is>
          <t>Forma - F3 - F4 / 101 -108 / 110 - 112 - 118 / 2</t>
        </is>
      </c>
      <c r="E147" s="4" t="inlineStr">
        <is>
          <t>SERVIÇOS INICIAIS</t>
        </is>
      </c>
      <c r="F147" s="126" t="n">
        <v>46135</v>
      </c>
      <c r="G147" s="126" t="n">
        <v>46135</v>
      </c>
      <c r="H147" s="126" t="n">
        <v>46289</v>
      </c>
      <c r="I147" s="4" t="n">
        <v>0</v>
      </c>
      <c r="J147" s="4" t="n">
        <v>100</v>
      </c>
      <c r="K147" s="4" t="n">
        <v>100</v>
      </c>
      <c r="M147" s="2">
        <f>IF(C147="","",IFERROR(INDEX($S$5:$S$304,MATCH(C147,$R$5:$R$304,0))&amp;"","?"))</f>
        <v/>
      </c>
      <c r="N147" s="2">
        <f>IF(E147="","",IF(ISNUMBER(SEARCH("SUBSOLO",E147)),IFERROR(-VALUE(LEFT(E147,FIND("º",SUBSTITUTE(E147,"°","º"))-1)),-1),IF(LEFT(E147,6)="TÉRREO",0,IFERROR(VALUE(LEFT(E147,FIND("º",SUBSTITUTE(E147,"°","º"))-1)),""))))</f>
        <v/>
      </c>
      <c r="O147" s="2">
        <f>IF(OR(F147="",G147=""),"",IF(G147&lt;='RETRATO 2027'!$K$5,"CONCLUÍDA",IF(F147&lt;='RETRATO 2027'!$K$5,"EM ANDAMENTO","A INICIAR")))</f>
        <v/>
      </c>
      <c r="R147" s="4" t="inlineStr">
        <is>
          <t>IRRIGAÇÃO</t>
        </is>
      </c>
      <c r="S147" s="4" t="inlineStr">
        <is>
          <t>36</t>
        </is>
      </c>
      <c r="T147" s="4" t="inlineStr">
        <is>
          <t>Irrigação</t>
        </is>
      </c>
      <c r="U147" s="4" t="inlineStr">
        <is>
          <t>SIM</t>
        </is>
      </c>
      <c r="V147" s="2">
        <f>IF(R147="","",COUNTIF($C$5:$C$6004,R147))</f>
        <v/>
      </c>
      <c r="W147" s="2">
        <f>IF(R147="","",COUNTIFS($C$5:$C$6004,R147,$O$5:$O$6004,"CONCLUÍDA"))</f>
        <v/>
      </c>
      <c r="X147" s="2">
        <f>IF(R147="","",COUNTIFS($C$5:$C$6004,R147,$O$5:$O$6004,"EM ANDAMENTO"))</f>
        <v/>
      </c>
      <c r="Y147" s="2">
        <f>IF(R147="","",IF(COUNTIFS($C$5:$C$6004,R147,$O$5:$O$6004,"CONCLUÍDA",$N$5:$N$6004,"&gt;=-99")=0,"",_xlfn.MAXIFS($N$5:$N$6004,$C$5:$C$6004,R147,$O$5:$O$6004,"CONCLUÍDA")))</f>
        <v/>
      </c>
      <c r="Z147" s="2">
        <f>IF(R147="","",IF(COUNTIFS($C$5:$C$6004,R147,$O$5:$O$6004,"EM ANDAMENTO",$N$5:$N$6004,"&gt;=-99")=0,"",_xlfn.MAXIFS($N$5:$N$6004,$C$5:$C$6004,R147,$O$5:$O$6004,"EM ANDAMENTO")))</f>
        <v/>
      </c>
      <c r="AA147" s="2">
        <f>IF(OR(R147="",S147="",U147&lt;&gt;"SIM",V147=0),"",IF(W147+X147=0,"",T147&amp;": "&amp;IF(W147=V147,"concluído",IF(W147=0,"em execução"&amp;IF(Z147&lt;&gt;""," ("&amp;IF(Z147&lt;0,IF(COUNTIF($E$5:$E$6004,"SUBSOLO*")&gt;0,"subsolo",-Z147&amp;"º subsolo"),IF(Z147=0,"térreo",Z147&amp;"º pav."))&amp;")",""),IF(Y147&lt;&gt;"","até "&amp;IF(Y147&lt;0,IF(COUNTIF($E$5:$E$6004,"SUBSOLO*")&gt;0,"subsolo",-Y147&amp;"º subsolo"),IF(Y147=0,"térreo",Y147&amp;"º pav.")),W147&amp;" de "&amp;V147&amp;" concluídas")&amp;IF(Z147="","",IF(OR(Y147="",Z147&gt;Y147),", executando "&amp;IF(Z147&lt;0,IF(COUNTIF($E$5:$E$6004,"SUBSOLO*")&gt;0,"subsolo",-Z147&amp;"º subsolo"),IF(Z147=0,"térreo",Z147&amp;"º pav."))," (restam serviços no "&amp;IF(Z147&lt;0,IF(COUNTIF($E$5:$E$6004,"SUBSOLO*")&gt;0,"subsolo",-Z147&amp;"º subsolo"),IF(Z147=0,"térreo",Z147&amp;"º pav."))&amp;")"))))))</f>
        <v/>
      </c>
    </row>
    <row r="148">
      <c r="B148" s="4" t="n">
        <v>28389400</v>
      </c>
      <c r="C148" s="4" t="inlineStr">
        <is>
          <t>FUNDAÇÃO SUPERFICIAL - FASE 1</t>
        </is>
      </c>
      <c r="D148" s="4" t="inlineStr">
        <is>
          <t>Concreto - F3 - F4 / 101 -108 / 110 - 112 - 118 / 2</t>
        </is>
      </c>
      <c r="E148" s="4" t="inlineStr">
        <is>
          <t>SERVIÇOS INICIAIS</t>
        </is>
      </c>
      <c r="F148" s="126" t="n">
        <v>46136</v>
      </c>
      <c r="G148" s="126" t="n">
        <v>46139</v>
      </c>
      <c r="H148" s="126" t="n">
        <v>46289</v>
      </c>
      <c r="I148" s="4" t="n">
        <v>0</v>
      </c>
      <c r="J148" s="4" t="n">
        <v>100</v>
      </c>
      <c r="K148" s="4" t="n">
        <v>100</v>
      </c>
      <c r="M148" s="2">
        <f>IF(C148="","",IFERROR(INDEX($S$5:$S$304,MATCH(C148,$R$5:$R$304,0))&amp;"","?"))</f>
        <v/>
      </c>
      <c r="N148" s="2">
        <f>IF(E148="","",IF(ISNUMBER(SEARCH("SUBSOLO",E148)),IFERROR(-VALUE(LEFT(E148,FIND("º",SUBSTITUTE(E148,"°","º"))-1)),-1),IF(LEFT(E148,6)="TÉRREO",0,IFERROR(VALUE(LEFT(E148,FIND("º",SUBSTITUTE(E148,"°","º"))-1)),""))))</f>
        <v/>
      </c>
      <c r="O148" s="2">
        <f>IF(OR(F148="",G148=""),"",IF(G148&lt;='RETRATO 2027'!$K$5,"CONCLUÍDA",IF(F148&lt;='RETRATO 2027'!$K$5,"EM ANDAMENTO","A INICIAR")))</f>
        <v/>
      </c>
      <c r="R148" s="4" t="inlineStr">
        <is>
          <t>FACHADA AERADA - F5 (2º ETAPA)</t>
        </is>
      </c>
      <c r="S148" s="4" t="inlineStr">
        <is>
          <t>32</t>
        </is>
      </c>
      <c r="T148" s="4" t="inlineStr">
        <is>
          <t>Fachada aerada - F5 (2º etapa)</t>
        </is>
      </c>
      <c r="U148" s="4" t="inlineStr">
        <is>
          <t>SIM</t>
        </is>
      </c>
      <c r="V148" s="2">
        <f>IF(R148="","",COUNTIF($C$5:$C$6004,R148))</f>
        <v/>
      </c>
      <c r="W148" s="2">
        <f>IF(R148="","",COUNTIFS($C$5:$C$6004,R148,$O$5:$O$6004,"CONCLUÍDA"))</f>
        <v/>
      </c>
      <c r="X148" s="2">
        <f>IF(R148="","",COUNTIFS($C$5:$C$6004,R148,$O$5:$O$6004,"EM ANDAMENTO"))</f>
        <v/>
      </c>
      <c r="Y148" s="2">
        <f>IF(R148="","",IF(COUNTIFS($C$5:$C$6004,R148,$O$5:$O$6004,"CONCLUÍDA",$N$5:$N$6004,"&gt;=-99")=0,"",_xlfn.MAXIFS($N$5:$N$6004,$C$5:$C$6004,R148,$O$5:$O$6004,"CONCLUÍDA")))</f>
        <v/>
      </c>
      <c r="Z148" s="2">
        <f>IF(R148="","",IF(COUNTIFS($C$5:$C$6004,R148,$O$5:$O$6004,"EM ANDAMENTO",$N$5:$N$6004,"&gt;=-99")=0,"",_xlfn.MAXIFS($N$5:$N$6004,$C$5:$C$6004,R148,$O$5:$O$6004,"EM ANDAMENTO")))</f>
        <v/>
      </c>
      <c r="AA148" s="2">
        <f>IF(OR(R148="",S148="",U148&lt;&gt;"SIM",V148=0),"",IF(W148+X148=0,"",T148&amp;": "&amp;IF(W148=V148,"concluído",IF(W148=0,"em execução"&amp;IF(Z148&lt;&gt;""," ("&amp;IF(Z148&lt;0,IF(COUNTIF($E$5:$E$6004,"SUBSOLO*")&gt;0,"subsolo",-Z148&amp;"º subsolo"),IF(Z148=0,"térreo",Z148&amp;"º pav."))&amp;")",""),IF(Y148&lt;&gt;"","até "&amp;IF(Y148&lt;0,IF(COUNTIF($E$5:$E$6004,"SUBSOLO*")&gt;0,"subsolo",-Y148&amp;"º subsolo"),IF(Y148=0,"térreo",Y148&amp;"º pav.")),W148&amp;" de "&amp;V148&amp;" concluídas")&amp;IF(Z148="","",IF(OR(Y148="",Z148&gt;Y148),", executando "&amp;IF(Z148&lt;0,IF(COUNTIF($E$5:$E$6004,"SUBSOLO*")&gt;0,"subsolo",-Z148&amp;"º subsolo"),IF(Z148=0,"térreo",Z148&amp;"º pav."))," (restam serviços no "&amp;IF(Z148&lt;0,IF(COUNTIF($E$5:$E$6004,"SUBSOLO*")&gt;0,"subsolo",-Z148&amp;"º subsolo"),IF(Z148=0,"térreo",Z148&amp;"º pav."))&amp;")"))))))</f>
        <v/>
      </c>
    </row>
    <row r="149">
      <c r="B149" s="4" t="n">
        <v>44503801</v>
      </c>
      <c r="C149" s="4" t="inlineStr">
        <is>
          <t>FUNDAÇÃO SUPERFICIAL - FASE 2</t>
        </is>
      </c>
      <c r="D149" s="4" t="inlineStr">
        <is>
          <t>-</t>
        </is>
      </c>
      <c r="E149" s="4" t="inlineStr">
        <is>
          <t>SERVIÇOS INICIAIS</t>
        </is>
      </c>
      <c r="F149" s="126" t="n">
        <v>46134</v>
      </c>
      <c r="G149" s="126" t="n">
        <v>46157</v>
      </c>
      <c r="H149" s="126" t="n">
        <v>46289</v>
      </c>
      <c r="I149" s="4" t="n">
        <v>0</v>
      </c>
      <c r="J149" s="4" t="n">
        <v>100</v>
      </c>
      <c r="K149" s="4" t="n">
        <v>100</v>
      </c>
      <c r="M149" s="2">
        <f>IF(C149="","",IFERROR(INDEX($S$5:$S$304,MATCH(C149,$R$5:$R$304,0))&amp;"","?"))</f>
        <v/>
      </c>
      <c r="N149" s="2">
        <f>IF(E149="","",IF(ISNUMBER(SEARCH("SUBSOLO",E149)),IFERROR(-VALUE(LEFT(E149,FIND("º",SUBSTITUTE(E149,"°","º"))-1)),-1),IF(LEFT(E149,6)="TÉRREO",0,IFERROR(VALUE(LEFT(E149,FIND("º",SUBSTITUTE(E149,"°","º"))-1)),""))))</f>
        <v/>
      </c>
      <c r="O149" s="2">
        <f>IF(OR(F149="",G149=""),"",IF(G149&lt;='RETRATO 2027'!$K$5,"CONCLUÍDA",IF(F149&lt;='RETRATO 2027'!$K$5,"EM ANDAMENTO","A INICIAR")))</f>
        <v/>
      </c>
      <c r="R149" s="4" t="inlineStr">
        <is>
          <t>TEXTURA - 2º E 3º DEMÃO</t>
        </is>
      </c>
      <c r="S149" s="4" t="inlineStr">
        <is>
          <t>35</t>
        </is>
      </c>
      <c r="T149" s="4" t="inlineStr">
        <is>
          <t>Textura - 2ª e 3ª demão</t>
        </is>
      </c>
      <c r="U149" s="4" t="inlineStr">
        <is>
          <t>NÃO</t>
        </is>
      </c>
      <c r="V149" s="2">
        <f>IF(R149="","",COUNTIF($C$5:$C$6004,R149))</f>
        <v/>
      </c>
      <c r="W149" s="2">
        <f>IF(R149="","",COUNTIFS($C$5:$C$6004,R149,$O$5:$O$6004,"CONCLUÍDA"))</f>
        <v/>
      </c>
      <c r="X149" s="2">
        <f>IF(R149="","",COUNTIFS($C$5:$C$6004,R149,$O$5:$O$6004,"EM ANDAMENTO"))</f>
        <v/>
      </c>
      <c r="Y149" s="2">
        <f>IF(R149="","",IF(COUNTIFS($C$5:$C$6004,R149,$O$5:$O$6004,"CONCLUÍDA",$N$5:$N$6004,"&gt;=-99")=0,"",_xlfn.MAXIFS($N$5:$N$6004,$C$5:$C$6004,R149,$O$5:$O$6004,"CONCLUÍDA")))</f>
        <v/>
      </c>
      <c r="Z149" s="2">
        <f>IF(R149="","",IF(COUNTIFS($C$5:$C$6004,R149,$O$5:$O$6004,"EM ANDAMENTO",$N$5:$N$6004,"&gt;=-99")=0,"",_xlfn.MAXIFS($N$5:$N$6004,$C$5:$C$6004,R149,$O$5:$O$6004,"EM ANDAMENTO")))</f>
        <v/>
      </c>
      <c r="AA149" s="2">
        <f>IF(OR(R149="",S149="",U149&lt;&gt;"SIM",V149=0),"",IF(W149+X149=0,"",T149&amp;": "&amp;IF(W149=V149,"concluído",IF(W149=0,"em execução"&amp;IF(Z149&lt;&gt;""," ("&amp;IF(Z149&lt;0,IF(COUNTIF($E$5:$E$6004,"SUBSOLO*")&gt;0,"subsolo",-Z149&amp;"º subsolo"),IF(Z149=0,"térreo",Z149&amp;"º pav."))&amp;")",""),IF(Y149&lt;&gt;"","até "&amp;IF(Y149&lt;0,IF(COUNTIF($E$5:$E$6004,"SUBSOLO*")&gt;0,"subsolo",-Y149&amp;"º subsolo"),IF(Y149=0,"térreo",Y149&amp;"º pav.")),W149&amp;" de "&amp;V149&amp;" concluídas")&amp;IF(Z149="","",IF(OR(Y149="",Z149&gt;Y149),", executando "&amp;IF(Z149&lt;0,IF(COUNTIF($E$5:$E$6004,"SUBSOLO*")&gt;0,"subsolo",-Z149&amp;"º subsolo"),IF(Z149=0,"térreo",Z149&amp;"º pav."))," (restam serviços no "&amp;IF(Z149&lt;0,IF(COUNTIF($E$5:$E$6004,"SUBSOLO*")&gt;0,"subsolo",-Z149&amp;"º subsolo"),IF(Z149=0,"térreo",Z149&amp;"º pav."))&amp;")"))))))</f>
        <v/>
      </c>
    </row>
    <row r="150">
      <c r="B150" s="4" t="n">
        <v>28389424</v>
      </c>
      <c r="C150" s="4" t="inlineStr">
        <is>
          <t>FUNDAÇÃO SUPERFICIAL - FASE 2</t>
        </is>
      </c>
      <c r="D150" s="4" t="inlineStr">
        <is>
          <t>Escavação - BL 1 / 3 / 5</t>
        </is>
      </c>
      <c r="E150" s="4" t="inlineStr">
        <is>
          <t>SERVIÇOS INICIAIS</t>
        </is>
      </c>
      <c r="F150" s="126" t="n">
        <v>46134</v>
      </c>
      <c r="G150" s="126" t="n">
        <v>46142</v>
      </c>
      <c r="H150" s="126" t="n">
        <v>46289</v>
      </c>
      <c r="I150" s="4" t="n">
        <v>0</v>
      </c>
      <c r="J150" s="4" t="n">
        <v>100</v>
      </c>
      <c r="K150" s="4" t="n">
        <v>100</v>
      </c>
      <c r="M150" s="2">
        <f>IF(C150="","",IFERROR(INDEX($S$5:$S$304,MATCH(C150,$R$5:$R$304,0))&amp;"","?"))</f>
        <v/>
      </c>
      <c r="N150" s="2">
        <f>IF(E150="","",IF(ISNUMBER(SEARCH("SUBSOLO",E150)),IFERROR(-VALUE(LEFT(E150,FIND("º",SUBSTITUTE(E150,"°","º"))-1)),-1),IF(LEFT(E150,6)="TÉRREO",0,IFERROR(VALUE(LEFT(E150,FIND("º",SUBSTITUTE(E150,"°","º"))-1)),""))))</f>
        <v/>
      </c>
      <c r="O150" s="2">
        <f>IF(OR(F150="",G150=""),"",IF(G150&lt;='RETRATO 2027'!$K$5,"CONCLUÍDA",IF(F150&lt;='RETRATO 2027'!$K$5,"EM ANDAMENTO","A INICIAR")))</f>
        <v/>
      </c>
      <c r="R150" s="4" t="inlineStr">
        <is>
          <t>PAISAGISMO</t>
        </is>
      </c>
      <c r="S150" s="4" t="inlineStr">
        <is>
          <t>36</t>
        </is>
      </c>
      <c r="T150" s="4" t="inlineStr">
        <is>
          <t>Paisagismo</t>
        </is>
      </c>
      <c r="U150" s="4" t="inlineStr">
        <is>
          <t>SIM</t>
        </is>
      </c>
      <c r="V150" s="2">
        <f>IF(R150="","",COUNTIF($C$5:$C$6004,R150))</f>
        <v/>
      </c>
      <c r="W150" s="2">
        <f>IF(R150="","",COUNTIFS($C$5:$C$6004,R150,$O$5:$O$6004,"CONCLUÍDA"))</f>
        <v/>
      </c>
      <c r="X150" s="2">
        <f>IF(R150="","",COUNTIFS($C$5:$C$6004,R150,$O$5:$O$6004,"EM ANDAMENTO"))</f>
        <v/>
      </c>
      <c r="Y150" s="2">
        <f>IF(R150="","",IF(COUNTIFS($C$5:$C$6004,R150,$O$5:$O$6004,"CONCLUÍDA",$N$5:$N$6004,"&gt;=-99")=0,"",_xlfn.MAXIFS($N$5:$N$6004,$C$5:$C$6004,R150,$O$5:$O$6004,"CONCLUÍDA")))</f>
        <v/>
      </c>
      <c r="Z150" s="2">
        <f>IF(R150="","",IF(COUNTIFS($C$5:$C$6004,R150,$O$5:$O$6004,"EM ANDAMENTO",$N$5:$N$6004,"&gt;=-99")=0,"",_xlfn.MAXIFS($N$5:$N$6004,$C$5:$C$6004,R150,$O$5:$O$6004,"EM ANDAMENTO")))</f>
        <v/>
      </c>
      <c r="AA150" s="2">
        <f>IF(OR(R150="",S150="",U150&lt;&gt;"SIM",V150=0),"",IF(W150+X150=0,"",T150&amp;": "&amp;IF(W150=V150,"concluído",IF(W150=0,"em execução"&amp;IF(Z150&lt;&gt;""," ("&amp;IF(Z150&lt;0,IF(COUNTIF($E$5:$E$6004,"SUBSOLO*")&gt;0,"subsolo",-Z150&amp;"º subsolo"),IF(Z150=0,"térreo",Z150&amp;"º pav."))&amp;")",""),IF(Y150&lt;&gt;"","até "&amp;IF(Y150&lt;0,IF(COUNTIF($E$5:$E$6004,"SUBSOLO*")&gt;0,"subsolo",-Y150&amp;"º subsolo"),IF(Y150=0,"térreo",Y150&amp;"º pav.")),W150&amp;" de "&amp;V150&amp;" concluídas")&amp;IF(Z150="","",IF(OR(Y150="",Z150&gt;Y150),", executando "&amp;IF(Z150&lt;0,IF(COUNTIF($E$5:$E$6004,"SUBSOLO*")&gt;0,"subsolo",-Z150&amp;"º subsolo"),IF(Z150=0,"térreo",Z150&amp;"º pav."))," (restam serviços no "&amp;IF(Z150&lt;0,IF(COUNTIF($E$5:$E$6004,"SUBSOLO*")&gt;0,"subsolo",-Z150&amp;"º subsolo"),IF(Z150=0,"térreo",Z150&amp;"º pav."))&amp;")"))))))</f>
        <v/>
      </c>
    </row>
    <row r="151">
      <c r="B151" s="4" t="n">
        <v>28389425</v>
      </c>
      <c r="C151" s="4" t="inlineStr">
        <is>
          <t>FUNDAÇÃO SUPERFICIAL - FASE 2</t>
        </is>
      </c>
      <c r="D151" s="4" t="inlineStr">
        <is>
          <t>Arrasamento - BL 1 / 3 / 5</t>
        </is>
      </c>
      <c r="E151" s="4" t="inlineStr">
        <is>
          <t>SERVIÇOS INICIAIS</t>
        </is>
      </c>
      <c r="F151" s="126" t="n">
        <v>46134</v>
      </c>
      <c r="G151" s="126" t="n">
        <v>46142</v>
      </c>
      <c r="H151" s="126" t="n">
        <v>46289</v>
      </c>
      <c r="I151" s="4" t="n">
        <v>0</v>
      </c>
      <c r="J151" s="4" t="n">
        <v>100</v>
      </c>
      <c r="K151" s="4" t="n">
        <v>100</v>
      </c>
      <c r="M151" s="2">
        <f>IF(C151="","",IFERROR(INDEX($S$5:$S$304,MATCH(C151,$R$5:$R$304,0))&amp;"","?"))</f>
        <v/>
      </c>
      <c r="N151" s="2">
        <f>IF(E151="","",IF(ISNUMBER(SEARCH("SUBSOLO",E151)),IFERROR(-VALUE(LEFT(E151,FIND("º",SUBSTITUTE(E151,"°","º"))-1)),-1),IF(LEFT(E151,6)="TÉRREO",0,IFERROR(VALUE(LEFT(E151,FIND("º",SUBSTITUTE(E151,"°","º"))-1)),""))))</f>
        <v/>
      </c>
      <c r="O151" s="2">
        <f>IF(OR(F151="",G151=""),"",IF(G151&lt;='RETRATO 2027'!$K$5,"CONCLUÍDA",IF(F151&lt;='RETRATO 2027'!$K$5,"EM ANDAMENTO","A INICIAR")))</f>
        <v/>
      </c>
      <c r="R151" s="4" t="inlineStr">
        <is>
          <t>FACHADA</t>
        </is>
      </c>
      <c r="S151" s="4" t="inlineStr">
        <is>
          <t>32</t>
        </is>
      </c>
      <c r="T151" s="4" t="inlineStr">
        <is>
          <t>Fachada</t>
        </is>
      </c>
      <c r="U151" s="4" t="inlineStr">
        <is>
          <t>SIM</t>
        </is>
      </c>
      <c r="V151" s="2">
        <f>IF(R151="","",COUNTIF($C$5:$C$6004,R151))</f>
        <v/>
      </c>
      <c r="W151" s="2">
        <f>IF(R151="","",COUNTIFS($C$5:$C$6004,R151,$O$5:$O$6004,"CONCLUÍDA"))</f>
        <v/>
      </c>
      <c r="X151" s="2">
        <f>IF(R151="","",COUNTIFS($C$5:$C$6004,R151,$O$5:$O$6004,"EM ANDAMENTO"))</f>
        <v/>
      </c>
      <c r="Y151" s="2">
        <f>IF(R151="","",IF(COUNTIFS($C$5:$C$6004,R151,$O$5:$O$6004,"CONCLUÍDA",$N$5:$N$6004,"&gt;=-99")=0,"",_xlfn.MAXIFS($N$5:$N$6004,$C$5:$C$6004,R151,$O$5:$O$6004,"CONCLUÍDA")))</f>
        <v/>
      </c>
      <c r="Z151" s="2">
        <f>IF(R151="","",IF(COUNTIFS($C$5:$C$6004,R151,$O$5:$O$6004,"EM ANDAMENTO",$N$5:$N$6004,"&gt;=-99")=0,"",_xlfn.MAXIFS($N$5:$N$6004,$C$5:$C$6004,R151,$O$5:$O$6004,"EM ANDAMENTO")))</f>
        <v/>
      </c>
      <c r="AA151" s="2">
        <f>IF(OR(R151="",S151="",U151&lt;&gt;"SIM",V151=0),"",IF(W151+X151=0,"",T151&amp;": "&amp;IF(W151=V151,"concluído",IF(W151=0,"em execução"&amp;IF(Z151&lt;&gt;""," ("&amp;IF(Z151&lt;0,IF(COUNTIF($E$5:$E$6004,"SUBSOLO*")&gt;0,"subsolo",-Z151&amp;"º subsolo"),IF(Z151=0,"térreo",Z151&amp;"º pav."))&amp;")",""),IF(Y151&lt;&gt;"","até "&amp;IF(Y151&lt;0,IF(COUNTIF($E$5:$E$6004,"SUBSOLO*")&gt;0,"subsolo",-Y151&amp;"º subsolo"),IF(Y151=0,"térreo",Y151&amp;"º pav.")),W151&amp;" de "&amp;V151&amp;" concluídas")&amp;IF(Z151="","",IF(OR(Y151="",Z151&gt;Y151),", executando "&amp;IF(Z151&lt;0,IF(COUNTIF($E$5:$E$6004,"SUBSOLO*")&gt;0,"subsolo",-Z151&amp;"º subsolo"),IF(Z151=0,"térreo",Z151&amp;"º pav."))," (restam serviços no "&amp;IF(Z151&lt;0,IF(COUNTIF($E$5:$E$6004,"SUBSOLO*")&gt;0,"subsolo",-Z151&amp;"º subsolo"),IF(Z151=0,"térreo",Z151&amp;"º pav."))&amp;")"))))))</f>
        <v/>
      </c>
    </row>
    <row r="152">
      <c r="B152" s="4" t="n">
        <v>28389426</v>
      </c>
      <c r="C152" s="4" t="inlineStr">
        <is>
          <t>FUNDAÇÃO SUPERFICIAL - FASE 2</t>
        </is>
      </c>
      <c r="D152" s="4" t="inlineStr">
        <is>
          <t>Armação - BL 1 / 3</t>
        </is>
      </c>
      <c r="E152" s="4" t="inlineStr">
        <is>
          <t>SERVIÇOS INICIAIS</t>
        </is>
      </c>
      <c r="F152" s="126" t="n">
        <v>46134</v>
      </c>
      <c r="G152" s="126" t="n">
        <v>46141</v>
      </c>
      <c r="H152" s="126" t="n">
        <v>46289</v>
      </c>
      <c r="I152" s="4" t="n">
        <v>0</v>
      </c>
      <c r="J152" s="4" t="n">
        <v>100</v>
      </c>
      <c r="K152" s="4" t="n">
        <v>100</v>
      </c>
      <c r="M152" s="2">
        <f>IF(C152="","",IFERROR(INDEX($S$5:$S$304,MATCH(C152,$R$5:$R$304,0))&amp;"","?"))</f>
        <v/>
      </c>
      <c r="N152" s="2">
        <f>IF(E152="","",IF(ISNUMBER(SEARCH("SUBSOLO",E152)),IFERROR(-VALUE(LEFT(E152,FIND("º",SUBSTITUTE(E152,"°","º"))-1)),-1),IF(LEFT(E152,6)="TÉRREO",0,IFERROR(VALUE(LEFT(E152,FIND("º",SUBSTITUTE(E152,"°","º"))-1)),""))))</f>
        <v/>
      </c>
      <c r="O152" s="2">
        <f>IF(OR(F152="",G152=""),"",IF(G152&lt;='RETRATO 2027'!$K$5,"CONCLUÍDA",IF(F152&lt;='RETRATO 2027'!$K$5,"EM ANDAMENTO","A INICIAR")))</f>
        <v/>
      </c>
      <c r="R152" s="4" t="inlineStr">
        <is>
          <t>PRESSURIZAÇÃO (HIDRÁULICA)</t>
        </is>
      </c>
      <c r="S152" s="4" t="inlineStr">
        <is>
          <t>21</t>
        </is>
      </c>
      <c r="T152" s="4" t="inlineStr">
        <is>
          <t>Pressurização (hidráulica)</t>
        </is>
      </c>
      <c r="U152" s="4" t="inlineStr">
        <is>
          <t>NÃO</t>
        </is>
      </c>
      <c r="V152" s="2">
        <f>IF(R152="","",COUNTIF($C$5:$C$6004,R152))</f>
        <v/>
      </c>
      <c r="W152" s="2">
        <f>IF(R152="","",COUNTIFS($C$5:$C$6004,R152,$O$5:$O$6004,"CONCLUÍDA"))</f>
        <v/>
      </c>
      <c r="X152" s="2">
        <f>IF(R152="","",COUNTIFS($C$5:$C$6004,R152,$O$5:$O$6004,"EM ANDAMENTO"))</f>
        <v/>
      </c>
      <c r="Y152" s="2">
        <f>IF(R152="","",IF(COUNTIFS($C$5:$C$6004,R152,$O$5:$O$6004,"CONCLUÍDA",$N$5:$N$6004,"&gt;=-99")=0,"",_xlfn.MAXIFS($N$5:$N$6004,$C$5:$C$6004,R152,$O$5:$O$6004,"CONCLUÍDA")))</f>
        <v/>
      </c>
      <c r="Z152" s="2">
        <f>IF(R152="","",IF(COUNTIFS($C$5:$C$6004,R152,$O$5:$O$6004,"EM ANDAMENTO",$N$5:$N$6004,"&gt;=-99")=0,"",_xlfn.MAXIFS($N$5:$N$6004,$C$5:$C$6004,R152,$O$5:$O$6004,"EM ANDAMENTO")))</f>
        <v/>
      </c>
      <c r="AA152" s="2">
        <f>IF(OR(R152="",S152="",U152&lt;&gt;"SIM",V152=0),"",IF(W152+X152=0,"",T152&amp;": "&amp;IF(W152=V152,"concluído",IF(W152=0,"em execução"&amp;IF(Z152&lt;&gt;""," ("&amp;IF(Z152&lt;0,IF(COUNTIF($E$5:$E$6004,"SUBSOLO*")&gt;0,"subsolo",-Z152&amp;"º subsolo"),IF(Z152=0,"térreo",Z152&amp;"º pav."))&amp;")",""),IF(Y152&lt;&gt;"","até "&amp;IF(Y152&lt;0,IF(COUNTIF($E$5:$E$6004,"SUBSOLO*")&gt;0,"subsolo",-Y152&amp;"º subsolo"),IF(Y152=0,"térreo",Y152&amp;"º pav.")),W152&amp;" de "&amp;V152&amp;" concluídas")&amp;IF(Z152="","",IF(OR(Y152="",Z152&gt;Y152),", executando "&amp;IF(Z152&lt;0,IF(COUNTIF($E$5:$E$6004,"SUBSOLO*")&gt;0,"subsolo",-Z152&amp;"º subsolo"),IF(Z152=0,"térreo",Z152&amp;"º pav."))," (restam serviços no "&amp;IF(Z152&lt;0,IF(COUNTIF($E$5:$E$6004,"SUBSOLO*")&gt;0,"subsolo",-Z152&amp;"º subsolo"),IF(Z152=0,"térreo",Z152&amp;"º pav."))&amp;")"))))))</f>
        <v/>
      </c>
    </row>
    <row r="153">
      <c r="B153" s="4" t="n">
        <v>28389427</v>
      </c>
      <c r="C153" s="4" t="inlineStr">
        <is>
          <t>FUNDAÇÃO SUPERFICIAL - FASE 2</t>
        </is>
      </c>
      <c r="D153" s="4" t="inlineStr">
        <is>
          <t>Forma / Concreto - BL 1</t>
        </is>
      </c>
      <c r="E153" s="4" t="inlineStr">
        <is>
          <t>SERVIÇOS INICIAIS</t>
        </is>
      </c>
      <c r="F153" s="126" t="n">
        <v>46142</v>
      </c>
      <c r="G153" s="126" t="n">
        <v>46142</v>
      </c>
      <c r="H153" s="126" t="n">
        <v>46289</v>
      </c>
      <c r="I153" s="4" t="n">
        <v>0</v>
      </c>
      <c r="J153" s="4" t="n">
        <v>100</v>
      </c>
      <c r="K153" s="4" t="n">
        <v>100</v>
      </c>
      <c r="M153" s="2">
        <f>IF(C153="","",IFERROR(INDEX($S$5:$S$304,MATCH(C153,$R$5:$R$304,0))&amp;"","?"))</f>
        <v/>
      </c>
      <c r="N153" s="2">
        <f>IF(E153="","",IF(ISNUMBER(SEARCH("SUBSOLO",E153)),IFERROR(-VALUE(LEFT(E153,FIND("º",SUBSTITUTE(E153,"°","º"))-1)),-1),IF(LEFT(E153,6)="TÉRREO",0,IFERROR(VALUE(LEFT(E153,FIND("º",SUBSTITUTE(E153,"°","º"))-1)),""))))</f>
        <v/>
      </c>
      <c r="O153" s="2">
        <f>IF(OR(F153="",G153=""),"",IF(G153&lt;='RETRATO 2027'!$K$5,"CONCLUÍDA",IF(F153&lt;='RETRATO 2027'!$K$5,"EM ANDAMENTO","A INICIAR")))</f>
        <v/>
      </c>
      <c r="R153" s="4" t="inlineStr">
        <is>
          <t>INSTALAÇÃO DE SHADOWBOX E BRISES - F3 + F4</t>
        </is>
      </c>
      <c r="S153" s="4" t="inlineStr">
        <is>
          <t>25</t>
        </is>
      </c>
      <c r="T153" s="4" t="inlineStr">
        <is>
          <t>Shadowbox e brises - F3 + F4</t>
        </is>
      </c>
      <c r="U153" s="4" t="inlineStr">
        <is>
          <t>NÃO</t>
        </is>
      </c>
      <c r="V153" s="2">
        <f>IF(R153="","",COUNTIF($C$5:$C$6004,R153))</f>
        <v/>
      </c>
      <c r="W153" s="2">
        <f>IF(R153="","",COUNTIFS($C$5:$C$6004,R153,$O$5:$O$6004,"CONCLUÍDA"))</f>
        <v/>
      </c>
      <c r="X153" s="2">
        <f>IF(R153="","",COUNTIFS($C$5:$C$6004,R153,$O$5:$O$6004,"EM ANDAMENTO"))</f>
        <v/>
      </c>
      <c r="Y153" s="2">
        <f>IF(R153="","",IF(COUNTIFS($C$5:$C$6004,R153,$O$5:$O$6004,"CONCLUÍDA",$N$5:$N$6004,"&gt;=-99")=0,"",_xlfn.MAXIFS($N$5:$N$6004,$C$5:$C$6004,R153,$O$5:$O$6004,"CONCLUÍDA")))</f>
        <v/>
      </c>
      <c r="Z153" s="2">
        <f>IF(R153="","",IF(COUNTIFS($C$5:$C$6004,R153,$O$5:$O$6004,"EM ANDAMENTO",$N$5:$N$6004,"&gt;=-99")=0,"",_xlfn.MAXIFS($N$5:$N$6004,$C$5:$C$6004,R153,$O$5:$O$6004,"EM ANDAMENTO")))</f>
        <v/>
      </c>
      <c r="AA153" s="2">
        <f>IF(OR(R153="",S153="",U153&lt;&gt;"SIM",V153=0),"",IF(W153+X153=0,"",T153&amp;": "&amp;IF(W153=V153,"concluído",IF(W153=0,"em execução"&amp;IF(Z153&lt;&gt;""," ("&amp;IF(Z153&lt;0,IF(COUNTIF($E$5:$E$6004,"SUBSOLO*")&gt;0,"subsolo",-Z153&amp;"º subsolo"),IF(Z153=0,"térreo",Z153&amp;"º pav."))&amp;")",""),IF(Y153&lt;&gt;"","até "&amp;IF(Y153&lt;0,IF(COUNTIF($E$5:$E$6004,"SUBSOLO*")&gt;0,"subsolo",-Y153&amp;"º subsolo"),IF(Y153=0,"térreo",Y153&amp;"º pav.")),W153&amp;" de "&amp;V153&amp;" concluídas")&amp;IF(Z153="","",IF(OR(Y153="",Z153&gt;Y153),", executando "&amp;IF(Z153&lt;0,IF(COUNTIF($E$5:$E$6004,"SUBSOLO*")&gt;0,"subsolo",-Z153&amp;"º subsolo"),IF(Z153=0,"térreo",Z153&amp;"º pav."))," (restam serviços no "&amp;IF(Z153&lt;0,IF(COUNTIF($E$5:$E$6004,"SUBSOLO*")&gt;0,"subsolo",-Z153&amp;"º subsolo"),IF(Z153=0,"térreo",Z153&amp;"º pav."))&amp;")"))))))</f>
        <v/>
      </c>
    </row>
    <row r="154">
      <c r="B154" s="4" t="n">
        <v>28389428</v>
      </c>
      <c r="C154" s="4" t="inlineStr">
        <is>
          <t>FUNDAÇÃO SUPERFICIAL - FASE 2</t>
        </is>
      </c>
      <c r="D154" s="4" t="inlineStr">
        <is>
          <t xml:space="preserve">Escavação/Arrasamento - BL 7 </t>
        </is>
      </c>
      <c r="E154" s="4" t="inlineStr">
        <is>
          <t>SERVIÇOS INICIAIS</t>
        </is>
      </c>
      <c r="F154" s="126" t="n">
        <v>46146</v>
      </c>
      <c r="G154" s="126" t="n">
        <v>46150</v>
      </c>
      <c r="H154" s="126" t="n">
        <v>46289</v>
      </c>
      <c r="I154" s="4" t="n">
        <v>0</v>
      </c>
      <c r="J154" s="4" t="n">
        <v>100</v>
      </c>
      <c r="K154" s="4" t="n">
        <v>100</v>
      </c>
      <c r="M154" s="2">
        <f>IF(C154="","",IFERROR(INDEX($S$5:$S$304,MATCH(C154,$R$5:$R$304,0))&amp;"","?"))</f>
        <v/>
      </c>
      <c r="N154" s="2">
        <f>IF(E154="","",IF(ISNUMBER(SEARCH("SUBSOLO",E154)),IFERROR(-VALUE(LEFT(E154,FIND("º",SUBSTITUTE(E154,"°","º"))-1)),-1),IF(LEFT(E154,6)="TÉRREO",0,IFERROR(VALUE(LEFT(E154,FIND("º",SUBSTITUTE(E154,"°","º"))-1)),""))))</f>
        <v/>
      </c>
      <c r="O154" s="2">
        <f>IF(OR(F154="",G154=""),"",IF(G154&lt;='RETRATO 2027'!$K$5,"CONCLUÍDA",IF(F154&lt;='RETRATO 2027'!$K$5,"EM ANDAMENTO","A INICIAR")))</f>
        <v/>
      </c>
      <c r="R154" s="4" t="inlineStr">
        <is>
          <t>TRATAMENTO DE CONCRETO APARENTE - F1 + F2</t>
        </is>
      </c>
      <c r="S154" s="4" t="inlineStr">
        <is>
          <t>35</t>
        </is>
      </c>
      <c r="T154" s="4" t="inlineStr">
        <is>
          <t>Tratamento de concreto aparente - F1 + F2</t>
        </is>
      </c>
      <c r="U154" s="4" t="inlineStr">
        <is>
          <t>NÃO</t>
        </is>
      </c>
      <c r="V154" s="2">
        <f>IF(R154="","",COUNTIF($C$5:$C$6004,R154))</f>
        <v/>
      </c>
      <c r="W154" s="2">
        <f>IF(R154="","",COUNTIFS($C$5:$C$6004,R154,$O$5:$O$6004,"CONCLUÍDA"))</f>
        <v/>
      </c>
      <c r="X154" s="2">
        <f>IF(R154="","",COUNTIFS($C$5:$C$6004,R154,$O$5:$O$6004,"EM ANDAMENTO"))</f>
        <v/>
      </c>
      <c r="Y154" s="2">
        <f>IF(R154="","",IF(COUNTIFS($C$5:$C$6004,R154,$O$5:$O$6004,"CONCLUÍDA",$N$5:$N$6004,"&gt;=-99")=0,"",_xlfn.MAXIFS($N$5:$N$6004,$C$5:$C$6004,R154,$O$5:$O$6004,"CONCLUÍDA")))</f>
        <v/>
      </c>
      <c r="Z154" s="2">
        <f>IF(R154="","",IF(COUNTIFS($C$5:$C$6004,R154,$O$5:$O$6004,"EM ANDAMENTO",$N$5:$N$6004,"&gt;=-99")=0,"",_xlfn.MAXIFS($N$5:$N$6004,$C$5:$C$6004,R154,$O$5:$O$6004,"EM ANDAMENTO")))</f>
        <v/>
      </c>
      <c r="AA154" s="2">
        <f>IF(OR(R154="",S154="",U154&lt;&gt;"SIM",V154=0),"",IF(W154+X154=0,"",T154&amp;": "&amp;IF(W154=V154,"concluído",IF(W154=0,"em execução"&amp;IF(Z154&lt;&gt;""," ("&amp;IF(Z154&lt;0,IF(COUNTIF($E$5:$E$6004,"SUBSOLO*")&gt;0,"subsolo",-Z154&amp;"º subsolo"),IF(Z154=0,"térreo",Z154&amp;"º pav."))&amp;")",""),IF(Y154&lt;&gt;"","até "&amp;IF(Y154&lt;0,IF(COUNTIF($E$5:$E$6004,"SUBSOLO*")&gt;0,"subsolo",-Y154&amp;"º subsolo"),IF(Y154=0,"térreo",Y154&amp;"º pav.")),W154&amp;" de "&amp;V154&amp;" concluídas")&amp;IF(Z154="","",IF(OR(Y154="",Z154&gt;Y154),", executando "&amp;IF(Z154&lt;0,IF(COUNTIF($E$5:$E$6004,"SUBSOLO*")&gt;0,"subsolo",-Z154&amp;"º subsolo"),IF(Z154=0,"térreo",Z154&amp;"º pav."))," (restam serviços no "&amp;IF(Z154&lt;0,IF(COUNTIF($E$5:$E$6004,"SUBSOLO*")&gt;0,"subsolo",-Z154&amp;"º subsolo"),IF(Z154=0,"térreo",Z154&amp;"º pav."))&amp;")"))))))</f>
        <v/>
      </c>
    </row>
    <row r="155">
      <c r="B155" s="4" t="n">
        <v>28645952</v>
      </c>
      <c r="C155" s="4" t="inlineStr">
        <is>
          <t>FUNDAÇÃO SUPERFICIAL - FASE 2</t>
        </is>
      </c>
      <c r="D155" s="4" t="inlineStr">
        <is>
          <t>Armação - BL 5 / 7</t>
        </is>
      </c>
      <c r="E155" s="4" t="inlineStr">
        <is>
          <t>SERVIÇOS INICIAIS</t>
        </is>
      </c>
      <c r="F155" s="126" t="n">
        <v>46142</v>
      </c>
      <c r="G155" s="126" t="n">
        <v>46150</v>
      </c>
      <c r="H155" s="126" t="n">
        <v>46289</v>
      </c>
      <c r="I155" s="4" t="n">
        <v>0</v>
      </c>
      <c r="J155" s="4" t="n">
        <v>100</v>
      </c>
      <c r="K155" s="4" t="n">
        <v>100</v>
      </c>
      <c r="M155" s="2">
        <f>IF(C155="","",IFERROR(INDEX($S$5:$S$304,MATCH(C155,$R$5:$R$304,0))&amp;"","?"))</f>
        <v/>
      </c>
      <c r="N155" s="2">
        <f>IF(E155="","",IF(ISNUMBER(SEARCH("SUBSOLO",E155)),IFERROR(-VALUE(LEFT(E155,FIND("º",SUBSTITUTE(E155,"°","º"))-1)),-1),IF(LEFT(E155,6)="TÉRREO",0,IFERROR(VALUE(LEFT(E155,FIND("º",SUBSTITUTE(E155,"°","º"))-1)),""))))</f>
        <v/>
      </c>
      <c r="O155" s="2">
        <f>IF(OR(F155="",G155=""),"",IF(G155&lt;='RETRATO 2027'!$K$5,"CONCLUÍDA",IF(F155&lt;='RETRATO 2027'!$K$5,"EM ANDAMENTO","A INICIAR")))</f>
        <v/>
      </c>
      <c r="R155" s="4" t="inlineStr">
        <is>
          <t>LIMPEZA</t>
        </is>
      </c>
      <c r="S155" s="4" t="inlineStr">
        <is>
          <t>37</t>
        </is>
      </c>
      <c r="T155" s="4" t="inlineStr">
        <is>
          <t>Limpeza</t>
        </is>
      </c>
      <c r="U155" s="4" t="inlineStr">
        <is>
          <t>SIM</t>
        </is>
      </c>
      <c r="V155" s="2">
        <f>IF(R155="","",COUNTIF($C$5:$C$6004,R155))</f>
        <v/>
      </c>
      <c r="W155" s="2">
        <f>IF(R155="","",COUNTIFS($C$5:$C$6004,R155,$O$5:$O$6004,"CONCLUÍDA"))</f>
        <v/>
      </c>
      <c r="X155" s="2">
        <f>IF(R155="","",COUNTIFS($C$5:$C$6004,R155,$O$5:$O$6004,"EM ANDAMENTO"))</f>
        <v/>
      </c>
      <c r="Y155" s="2">
        <f>IF(R155="","",IF(COUNTIFS($C$5:$C$6004,R155,$O$5:$O$6004,"CONCLUÍDA",$N$5:$N$6004,"&gt;=-99")=0,"",_xlfn.MAXIFS($N$5:$N$6004,$C$5:$C$6004,R155,$O$5:$O$6004,"CONCLUÍDA")))</f>
        <v/>
      </c>
      <c r="Z155" s="2">
        <f>IF(R155="","",IF(COUNTIFS($C$5:$C$6004,R155,$O$5:$O$6004,"EM ANDAMENTO",$N$5:$N$6004,"&gt;=-99")=0,"",_xlfn.MAXIFS($N$5:$N$6004,$C$5:$C$6004,R155,$O$5:$O$6004,"EM ANDAMENTO")))</f>
        <v/>
      </c>
      <c r="AA155" s="2">
        <f>IF(OR(R155="",S155="",U155&lt;&gt;"SIM",V155=0),"",IF(W155+X155=0,"",T155&amp;": "&amp;IF(W155=V155,"concluído",IF(W155=0,"em execução"&amp;IF(Z155&lt;&gt;""," ("&amp;IF(Z155&lt;0,IF(COUNTIF($E$5:$E$6004,"SUBSOLO*")&gt;0,"subsolo",-Z155&amp;"º subsolo"),IF(Z155=0,"térreo",Z155&amp;"º pav."))&amp;")",""),IF(Y155&lt;&gt;"","até "&amp;IF(Y155&lt;0,IF(COUNTIF($E$5:$E$6004,"SUBSOLO*")&gt;0,"subsolo",-Y155&amp;"º subsolo"),IF(Y155=0,"térreo",Y155&amp;"º pav.")),W155&amp;" de "&amp;V155&amp;" concluídas")&amp;IF(Z155="","",IF(OR(Y155="",Z155&gt;Y155),", executando "&amp;IF(Z155&lt;0,IF(COUNTIF($E$5:$E$6004,"SUBSOLO*")&gt;0,"subsolo",-Z155&amp;"º subsolo"),IF(Z155=0,"térreo",Z155&amp;"º pav."))," (restam serviços no "&amp;IF(Z155&lt;0,IF(COUNTIF($E$5:$E$6004,"SUBSOLO*")&gt;0,"subsolo",-Z155&amp;"º subsolo"),IF(Z155=0,"térreo",Z155&amp;"º pav."))&amp;")"))))))</f>
        <v/>
      </c>
    </row>
    <row r="156">
      <c r="B156" s="4" t="n">
        <v>28645953</v>
      </c>
      <c r="C156" s="4" t="inlineStr">
        <is>
          <t>FUNDAÇÃO SUPERFICIAL - FASE 2</t>
        </is>
      </c>
      <c r="D156" s="4" t="inlineStr">
        <is>
          <t>Forma - BL 5</t>
        </is>
      </c>
      <c r="E156" s="4" t="inlineStr">
        <is>
          <t>SERVIÇOS INICIAIS</t>
        </is>
      </c>
      <c r="F156" s="126" t="n">
        <v>46146</v>
      </c>
      <c r="G156" s="126" t="n">
        <v>46150</v>
      </c>
      <c r="H156" s="126" t="n">
        <v>46289</v>
      </c>
      <c r="I156" s="4" t="n">
        <v>0</v>
      </c>
      <c r="J156" s="4" t="n">
        <v>100</v>
      </c>
      <c r="K156" s="4" t="n">
        <v>100</v>
      </c>
      <c r="M156" s="2">
        <f>IF(C156="","",IFERROR(INDEX($S$5:$S$304,MATCH(C156,$R$5:$R$304,0))&amp;"","?"))</f>
        <v/>
      </c>
      <c r="N156" s="2">
        <f>IF(E156="","",IF(ISNUMBER(SEARCH("SUBSOLO",E156)),IFERROR(-VALUE(LEFT(E156,FIND("º",SUBSTITUTE(E156,"°","º"))-1)),-1),IF(LEFT(E156,6)="TÉRREO",0,IFERROR(VALUE(LEFT(E156,FIND("º",SUBSTITUTE(E156,"°","º"))-1)),""))))</f>
        <v/>
      </c>
      <c r="O156" s="2">
        <f>IF(OR(F156="",G156=""),"",IF(G156&lt;='RETRATO 2027'!$K$5,"CONCLUÍDA",IF(F156&lt;='RETRATO 2027'!$K$5,"EM ANDAMENTO","A INICIAR")))</f>
        <v/>
      </c>
      <c r="R156" s="4" t="inlineStr">
        <is>
          <t>MONTAGEM - ELEVADOR 2</t>
        </is>
      </c>
      <c r="S156" s="4" t="inlineStr">
        <is>
          <t>24</t>
        </is>
      </c>
      <c r="T156" s="4" t="inlineStr">
        <is>
          <t>Montagem - elevador 2</t>
        </is>
      </c>
      <c r="U156" s="4" t="inlineStr">
        <is>
          <t>SIM</t>
        </is>
      </c>
      <c r="V156" s="2">
        <f>IF(R156="","",COUNTIF($C$5:$C$6004,R156))</f>
        <v/>
      </c>
      <c r="W156" s="2">
        <f>IF(R156="","",COUNTIFS($C$5:$C$6004,R156,$O$5:$O$6004,"CONCLUÍDA"))</f>
        <v/>
      </c>
      <c r="X156" s="2">
        <f>IF(R156="","",COUNTIFS($C$5:$C$6004,R156,$O$5:$O$6004,"EM ANDAMENTO"))</f>
        <v/>
      </c>
      <c r="Y156" s="2">
        <f>IF(R156="","",IF(COUNTIFS($C$5:$C$6004,R156,$O$5:$O$6004,"CONCLUÍDA",$N$5:$N$6004,"&gt;=-99")=0,"",_xlfn.MAXIFS($N$5:$N$6004,$C$5:$C$6004,R156,$O$5:$O$6004,"CONCLUÍDA")))</f>
        <v/>
      </c>
      <c r="Z156" s="2">
        <f>IF(R156="","",IF(COUNTIFS($C$5:$C$6004,R156,$O$5:$O$6004,"EM ANDAMENTO",$N$5:$N$6004,"&gt;=-99")=0,"",_xlfn.MAXIFS($N$5:$N$6004,$C$5:$C$6004,R156,$O$5:$O$6004,"EM ANDAMENTO")))</f>
        <v/>
      </c>
      <c r="AA156" s="2">
        <f>IF(OR(R156="",S156="",U156&lt;&gt;"SIM",V156=0),"",IF(W156+X156=0,"",T156&amp;": "&amp;IF(W156=V156,"concluído",IF(W156=0,"em execução"&amp;IF(Z156&lt;&gt;""," ("&amp;IF(Z156&lt;0,IF(COUNTIF($E$5:$E$6004,"SUBSOLO*")&gt;0,"subsolo",-Z156&amp;"º subsolo"),IF(Z156=0,"térreo",Z156&amp;"º pav."))&amp;")",""),IF(Y156&lt;&gt;"","até "&amp;IF(Y156&lt;0,IF(COUNTIF($E$5:$E$6004,"SUBSOLO*")&gt;0,"subsolo",-Y156&amp;"º subsolo"),IF(Y156=0,"térreo",Y156&amp;"º pav.")),W156&amp;" de "&amp;V156&amp;" concluídas")&amp;IF(Z156="","",IF(OR(Y156="",Z156&gt;Y156),", executando "&amp;IF(Z156&lt;0,IF(COUNTIF($E$5:$E$6004,"SUBSOLO*")&gt;0,"subsolo",-Z156&amp;"º subsolo"),IF(Z156=0,"térreo",Z156&amp;"º pav."))," (restam serviços no "&amp;IF(Z156&lt;0,IF(COUNTIF($E$5:$E$6004,"SUBSOLO*")&gt;0,"subsolo",-Z156&amp;"º subsolo"),IF(Z156=0,"térreo",Z156&amp;"º pav."))&amp;")"))))))</f>
        <v/>
      </c>
    </row>
    <row r="157">
      <c r="B157" s="4" t="n">
        <v>28645954</v>
      </c>
      <c r="C157" s="4" t="inlineStr">
        <is>
          <t>FUNDAÇÃO SUPERFICIAL - FASE 2</t>
        </is>
      </c>
      <c r="D157" s="4" t="inlineStr">
        <is>
          <t>Concreto - BL 3</t>
        </is>
      </c>
      <c r="E157" s="4" t="inlineStr">
        <is>
          <t>SERVIÇOS INICIAIS</t>
        </is>
      </c>
      <c r="F157" s="126" t="n">
        <v>46150</v>
      </c>
      <c r="G157" s="126" t="n">
        <v>46150</v>
      </c>
      <c r="H157" s="126" t="n">
        <v>46289</v>
      </c>
      <c r="I157" s="4" t="n">
        <v>0</v>
      </c>
      <c r="J157" s="4" t="n">
        <v>100</v>
      </c>
      <c r="K157" s="4" t="n">
        <v>100</v>
      </c>
      <c r="M157" s="2">
        <f>IF(C157="","",IFERROR(INDEX($S$5:$S$304,MATCH(C157,$R$5:$R$304,0))&amp;"","?"))</f>
        <v/>
      </c>
      <c r="N157" s="2">
        <f>IF(E157="","",IF(ISNUMBER(SEARCH("SUBSOLO",E157)),IFERROR(-VALUE(LEFT(E157,FIND("º",SUBSTITUTE(E157,"°","º"))-1)),-1),IF(LEFT(E157,6)="TÉRREO",0,IFERROR(VALUE(LEFT(E157,FIND("º",SUBSTITUTE(E157,"°","º"))-1)),""))))</f>
        <v/>
      </c>
      <c r="O157" s="2">
        <f>IF(OR(F157="",G157=""),"",IF(G157&lt;='RETRATO 2027'!$K$5,"CONCLUÍDA",IF(F157&lt;='RETRATO 2027'!$K$5,"EM ANDAMENTO","A INICIAR")))</f>
        <v/>
      </c>
      <c r="R157" s="4" t="inlineStr">
        <is>
          <t>PEITORIS E REQUADROS DE FACHADA - F5 (2º ETAPA)</t>
        </is>
      </c>
      <c r="S157" s="4" t="inlineStr">
        <is>
          <t>32</t>
        </is>
      </c>
      <c r="T157" s="4" t="inlineStr">
        <is>
          <t>Peitoris e requadros de fachada - F5 (2º etapa)</t>
        </is>
      </c>
      <c r="U157" s="4" t="inlineStr">
        <is>
          <t>SIM</t>
        </is>
      </c>
      <c r="V157" s="2">
        <f>IF(R157="","",COUNTIF($C$5:$C$6004,R157))</f>
        <v/>
      </c>
      <c r="W157" s="2">
        <f>IF(R157="","",COUNTIFS($C$5:$C$6004,R157,$O$5:$O$6004,"CONCLUÍDA"))</f>
        <v/>
      </c>
      <c r="X157" s="2">
        <f>IF(R157="","",COUNTIFS($C$5:$C$6004,R157,$O$5:$O$6004,"EM ANDAMENTO"))</f>
        <v/>
      </c>
      <c r="Y157" s="2">
        <f>IF(R157="","",IF(COUNTIFS($C$5:$C$6004,R157,$O$5:$O$6004,"CONCLUÍDA",$N$5:$N$6004,"&gt;=-99")=0,"",_xlfn.MAXIFS($N$5:$N$6004,$C$5:$C$6004,R157,$O$5:$O$6004,"CONCLUÍDA")))</f>
        <v/>
      </c>
      <c r="Z157" s="2">
        <f>IF(R157="","",IF(COUNTIFS($C$5:$C$6004,R157,$O$5:$O$6004,"EM ANDAMENTO",$N$5:$N$6004,"&gt;=-99")=0,"",_xlfn.MAXIFS($N$5:$N$6004,$C$5:$C$6004,R157,$O$5:$O$6004,"EM ANDAMENTO")))</f>
        <v/>
      </c>
      <c r="AA157" s="2">
        <f>IF(OR(R157="",S157="",U157&lt;&gt;"SIM",V157=0),"",IF(W157+X157=0,"",T157&amp;": "&amp;IF(W157=V157,"concluído",IF(W157=0,"em execução"&amp;IF(Z157&lt;&gt;""," ("&amp;IF(Z157&lt;0,IF(COUNTIF($E$5:$E$6004,"SUBSOLO*")&gt;0,"subsolo",-Z157&amp;"º subsolo"),IF(Z157=0,"térreo",Z157&amp;"º pav."))&amp;")",""),IF(Y157&lt;&gt;"","até "&amp;IF(Y157&lt;0,IF(COUNTIF($E$5:$E$6004,"SUBSOLO*")&gt;0,"subsolo",-Y157&amp;"º subsolo"),IF(Y157=0,"térreo",Y157&amp;"º pav.")),W157&amp;" de "&amp;V157&amp;" concluídas")&amp;IF(Z157="","",IF(OR(Y157="",Z157&gt;Y157),", executando "&amp;IF(Z157&lt;0,IF(COUNTIF($E$5:$E$6004,"SUBSOLO*")&gt;0,"subsolo",-Z157&amp;"º subsolo"),IF(Z157=0,"térreo",Z157&amp;"º pav."))," (restam serviços no "&amp;IF(Z157&lt;0,IF(COUNTIF($E$5:$E$6004,"SUBSOLO*")&gt;0,"subsolo",-Z157&amp;"º subsolo"),IF(Z157=0,"térreo",Z157&amp;"º pav."))&amp;")"))))))</f>
        <v/>
      </c>
    </row>
    <row r="158">
      <c r="B158" s="4" t="n">
        <v>28645965</v>
      </c>
      <c r="C158" s="4" t="inlineStr">
        <is>
          <t>FUNDAÇÃO SUPERFICIAL - FASE 2</t>
        </is>
      </c>
      <c r="D158" s="4" t="inlineStr">
        <is>
          <t>Armação - BL 5</t>
        </is>
      </c>
      <c r="E158" s="4" t="inlineStr">
        <is>
          <t>SERVIÇOS INICIAIS</t>
        </is>
      </c>
      <c r="F158" s="126" t="n">
        <v>46153</v>
      </c>
      <c r="G158" s="126" t="n">
        <v>46157</v>
      </c>
      <c r="H158" s="126" t="n">
        <v>46289</v>
      </c>
      <c r="I158" s="4" t="n">
        <v>0</v>
      </c>
      <c r="J158" s="4" t="n">
        <v>100</v>
      </c>
      <c r="K158" s="4" t="n">
        <v>100</v>
      </c>
      <c r="M158" s="2">
        <f>IF(C158="","",IFERROR(INDEX($S$5:$S$304,MATCH(C158,$R$5:$R$304,0))&amp;"","?"))</f>
        <v/>
      </c>
      <c r="N158" s="2">
        <f>IF(E158="","",IF(ISNUMBER(SEARCH("SUBSOLO",E158)),IFERROR(-VALUE(LEFT(E158,FIND("º",SUBSTITUTE(E158,"°","º"))-1)),-1),IF(LEFT(E158,6)="TÉRREO",0,IFERROR(VALUE(LEFT(E158,FIND("º",SUBSTITUTE(E158,"°","º"))-1)),""))))</f>
        <v/>
      </c>
      <c r="O158" s="2">
        <f>IF(OR(F158="",G158=""),"",IF(G158&lt;='RETRATO 2027'!$K$5,"CONCLUÍDA",IF(F158&lt;='RETRATO 2027'!$K$5,"EM ANDAMENTO","A INICIAR")))</f>
        <v/>
      </c>
      <c r="R158" s="4" t="inlineStr">
        <is>
          <t>MONTAGEM - BOILERS E AQUECEDORES</t>
        </is>
      </c>
      <c r="S158" s="4" t="inlineStr">
        <is>
          <t>21</t>
        </is>
      </c>
      <c r="T158" s="4" t="inlineStr">
        <is>
          <t>Montagem - boilers e aquecedores</t>
        </is>
      </c>
      <c r="U158" s="4" t="inlineStr">
        <is>
          <t>NÃO</t>
        </is>
      </c>
      <c r="V158" s="2">
        <f>IF(R158="","",COUNTIF($C$5:$C$6004,R158))</f>
        <v/>
      </c>
      <c r="W158" s="2">
        <f>IF(R158="","",COUNTIFS($C$5:$C$6004,R158,$O$5:$O$6004,"CONCLUÍDA"))</f>
        <v/>
      </c>
      <c r="X158" s="2">
        <f>IF(R158="","",COUNTIFS($C$5:$C$6004,R158,$O$5:$O$6004,"EM ANDAMENTO"))</f>
        <v/>
      </c>
      <c r="Y158" s="2">
        <f>IF(R158="","",IF(COUNTIFS($C$5:$C$6004,R158,$O$5:$O$6004,"CONCLUÍDA",$N$5:$N$6004,"&gt;=-99")=0,"",_xlfn.MAXIFS($N$5:$N$6004,$C$5:$C$6004,R158,$O$5:$O$6004,"CONCLUÍDA")))</f>
        <v/>
      </c>
      <c r="Z158" s="2">
        <f>IF(R158="","",IF(COUNTIFS($C$5:$C$6004,R158,$O$5:$O$6004,"EM ANDAMENTO",$N$5:$N$6004,"&gt;=-99")=0,"",_xlfn.MAXIFS($N$5:$N$6004,$C$5:$C$6004,R158,$O$5:$O$6004,"EM ANDAMENTO")))</f>
        <v/>
      </c>
      <c r="AA158" s="2">
        <f>IF(OR(R158="",S158="",U158&lt;&gt;"SIM",V158=0),"",IF(W158+X158=0,"",T158&amp;": "&amp;IF(W158=V158,"concluído",IF(W158=0,"em execução"&amp;IF(Z158&lt;&gt;""," ("&amp;IF(Z158&lt;0,IF(COUNTIF($E$5:$E$6004,"SUBSOLO*")&gt;0,"subsolo",-Z158&amp;"º subsolo"),IF(Z158=0,"térreo",Z158&amp;"º pav."))&amp;")",""),IF(Y158&lt;&gt;"","até "&amp;IF(Y158&lt;0,IF(COUNTIF($E$5:$E$6004,"SUBSOLO*")&gt;0,"subsolo",-Y158&amp;"º subsolo"),IF(Y158=0,"térreo",Y158&amp;"º pav.")),W158&amp;" de "&amp;V158&amp;" concluídas")&amp;IF(Z158="","",IF(OR(Y158="",Z158&gt;Y158),", executando "&amp;IF(Z158&lt;0,IF(COUNTIF($E$5:$E$6004,"SUBSOLO*")&gt;0,"subsolo",-Z158&amp;"º subsolo"),IF(Z158=0,"térreo",Z158&amp;"º pav."))," (restam serviços no "&amp;IF(Z158&lt;0,IF(COUNTIF($E$5:$E$6004,"SUBSOLO*")&gt;0,"subsolo",-Z158&amp;"º subsolo"),IF(Z158=0,"térreo",Z158&amp;"º pav."))&amp;")"))))))</f>
        <v/>
      </c>
    </row>
    <row r="159">
      <c r="B159" s="4" t="n">
        <v>28645966</v>
      </c>
      <c r="C159" s="4" t="inlineStr">
        <is>
          <t>FUNDAÇÃO SUPERFICIAL - FASE 2</t>
        </is>
      </c>
      <c r="D159" s="4" t="inlineStr">
        <is>
          <t xml:space="preserve">Forma - BL 7 / </t>
        </is>
      </c>
      <c r="E159" s="4" t="inlineStr">
        <is>
          <t>SERVIÇOS INICIAIS</t>
        </is>
      </c>
      <c r="F159" s="126" t="n">
        <v>46153</v>
      </c>
      <c r="G159" s="126" t="n">
        <v>46157</v>
      </c>
      <c r="H159" s="126" t="n">
        <v>46289</v>
      </c>
      <c r="I159" s="4" t="n">
        <v>0</v>
      </c>
      <c r="J159" s="4" t="n">
        <v>100</v>
      </c>
      <c r="K159" s="4" t="n">
        <v>100</v>
      </c>
      <c r="M159" s="2">
        <f>IF(C159="","",IFERROR(INDEX($S$5:$S$304,MATCH(C159,$R$5:$R$304,0))&amp;"","?"))</f>
        <v/>
      </c>
      <c r="N159" s="2">
        <f>IF(E159="","",IF(ISNUMBER(SEARCH("SUBSOLO",E159)),IFERROR(-VALUE(LEFT(E159,FIND("º",SUBSTITUTE(E159,"°","º"))-1)),-1),IF(LEFT(E159,6)="TÉRREO",0,IFERROR(VALUE(LEFT(E159,FIND("º",SUBSTITUTE(E159,"°","º"))-1)),""))))</f>
        <v/>
      </c>
      <c r="O159" s="2">
        <f>IF(OR(F159="",G159=""),"",IF(G159&lt;='RETRATO 2027'!$K$5,"CONCLUÍDA",IF(F159&lt;='RETRATO 2027'!$K$5,"EM ANDAMENTO","A INICIAR")))</f>
        <v/>
      </c>
      <c r="R159" s="4" t="inlineStr">
        <is>
          <t>BRISE</t>
        </is>
      </c>
      <c r="S159" s="4" t="inlineStr">
        <is>
          <t>25</t>
        </is>
      </c>
      <c r="T159" s="4" t="inlineStr">
        <is>
          <t>Brise</t>
        </is>
      </c>
      <c r="U159" s="4" t="inlineStr">
        <is>
          <t>NÃO</t>
        </is>
      </c>
      <c r="V159" s="2">
        <f>IF(R159="","",COUNTIF($C$5:$C$6004,R159))</f>
        <v/>
      </c>
      <c r="W159" s="2">
        <f>IF(R159="","",COUNTIFS($C$5:$C$6004,R159,$O$5:$O$6004,"CONCLUÍDA"))</f>
        <v/>
      </c>
      <c r="X159" s="2">
        <f>IF(R159="","",COUNTIFS($C$5:$C$6004,R159,$O$5:$O$6004,"EM ANDAMENTO"))</f>
        <v/>
      </c>
      <c r="Y159" s="2">
        <f>IF(R159="","",IF(COUNTIFS($C$5:$C$6004,R159,$O$5:$O$6004,"CONCLUÍDA",$N$5:$N$6004,"&gt;=-99")=0,"",_xlfn.MAXIFS($N$5:$N$6004,$C$5:$C$6004,R159,$O$5:$O$6004,"CONCLUÍDA")))</f>
        <v/>
      </c>
      <c r="Z159" s="2">
        <f>IF(R159="","",IF(COUNTIFS($C$5:$C$6004,R159,$O$5:$O$6004,"EM ANDAMENTO",$N$5:$N$6004,"&gt;=-99")=0,"",_xlfn.MAXIFS($N$5:$N$6004,$C$5:$C$6004,R159,$O$5:$O$6004,"EM ANDAMENTO")))</f>
        <v/>
      </c>
      <c r="AA159" s="2">
        <f>IF(OR(R159="",S159="",U159&lt;&gt;"SIM",V159=0),"",IF(W159+X159=0,"",T159&amp;": "&amp;IF(W159=V159,"concluído",IF(W159=0,"em execução"&amp;IF(Z159&lt;&gt;""," ("&amp;IF(Z159&lt;0,IF(COUNTIF($E$5:$E$6004,"SUBSOLO*")&gt;0,"subsolo",-Z159&amp;"º subsolo"),IF(Z159=0,"térreo",Z159&amp;"º pav."))&amp;")",""),IF(Y159&lt;&gt;"","até "&amp;IF(Y159&lt;0,IF(COUNTIF($E$5:$E$6004,"SUBSOLO*")&gt;0,"subsolo",-Y159&amp;"º subsolo"),IF(Y159=0,"térreo",Y159&amp;"º pav.")),W159&amp;" de "&amp;V159&amp;" concluídas")&amp;IF(Z159="","",IF(OR(Y159="",Z159&gt;Y159),", executando "&amp;IF(Z159&lt;0,IF(COUNTIF($E$5:$E$6004,"SUBSOLO*")&gt;0,"subsolo",-Z159&amp;"º subsolo"),IF(Z159=0,"térreo",Z159&amp;"º pav."))," (restam serviços no "&amp;IF(Z159&lt;0,IF(COUNTIF($E$5:$E$6004,"SUBSOLO*")&gt;0,"subsolo",-Z159&amp;"º subsolo"),IF(Z159=0,"térreo",Z159&amp;"º pav."))&amp;")"))))))</f>
        <v/>
      </c>
    </row>
    <row r="160">
      <c r="B160" s="4" t="n">
        <v>28645967</v>
      </c>
      <c r="C160" s="4" t="inlineStr">
        <is>
          <t>FUNDAÇÃO SUPERFICIAL - FASE 2</t>
        </is>
      </c>
      <c r="D160" s="4" t="inlineStr">
        <is>
          <t xml:space="preserve">Concreto - BL 5 / 7 / </t>
        </is>
      </c>
      <c r="E160" s="4" t="inlineStr">
        <is>
          <t>SERVIÇOS INICIAIS</t>
        </is>
      </c>
      <c r="F160" s="126" t="n">
        <v>46157</v>
      </c>
      <c r="G160" s="126" t="n">
        <v>46157</v>
      </c>
      <c r="H160" s="126" t="n">
        <v>46289</v>
      </c>
      <c r="I160" s="4" t="n">
        <v>0</v>
      </c>
      <c r="J160" s="4" t="n">
        <v>100</v>
      </c>
      <c r="K160" s="4" t="n">
        <v>100</v>
      </c>
      <c r="M160" s="2">
        <f>IF(C160="","",IFERROR(INDEX($S$5:$S$304,MATCH(C160,$R$5:$R$304,0))&amp;"","?"))</f>
        <v/>
      </c>
      <c r="N160" s="2">
        <f>IF(E160="","",IF(ISNUMBER(SEARCH("SUBSOLO",E160)),IFERROR(-VALUE(LEFT(E160,FIND("º",SUBSTITUTE(E160,"°","º"))-1)),-1),IF(LEFT(E160,6)="TÉRREO",0,IFERROR(VALUE(LEFT(E160,FIND("º",SUBSTITUTE(E160,"°","º"))-1)),""))))</f>
        <v/>
      </c>
      <c r="O160" s="2">
        <f>IF(OR(F160="",G160=""),"",IF(G160&lt;='RETRATO 2027'!$K$5,"CONCLUÍDA",IF(F160&lt;='RETRATO 2027'!$K$5,"EM ANDAMENTO","A INICIAR")))</f>
        <v/>
      </c>
      <c r="R160" s="4" t="inlineStr">
        <is>
          <t>EQUIPAMENTOS - PISCINA</t>
        </is>
      </c>
      <c r="S160" s="4" t="inlineStr">
        <is>
          <t>23</t>
        </is>
      </c>
      <c r="T160" s="4" t="inlineStr">
        <is>
          <t>Equipamentos - piscina</t>
        </is>
      </c>
      <c r="U160" s="4" t="inlineStr">
        <is>
          <t>NÃO</t>
        </is>
      </c>
      <c r="V160" s="2">
        <f>IF(R160="","",COUNTIF($C$5:$C$6004,R160))</f>
        <v/>
      </c>
      <c r="W160" s="2">
        <f>IF(R160="","",COUNTIFS($C$5:$C$6004,R160,$O$5:$O$6004,"CONCLUÍDA"))</f>
        <v/>
      </c>
      <c r="X160" s="2">
        <f>IF(R160="","",COUNTIFS($C$5:$C$6004,R160,$O$5:$O$6004,"EM ANDAMENTO"))</f>
        <v/>
      </c>
      <c r="Y160" s="2">
        <f>IF(R160="","",IF(COUNTIFS($C$5:$C$6004,R160,$O$5:$O$6004,"CONCLUÍDA",$N$5:$N$6004,"&gt;=-99")=0,"",_xlfn.MAXIFS($N$5:$N$6004,$C$5:$C$6004,R160,$O$5:$O$6004,"CONCLUÍDA")))</f>
        <v/>
      </c>
      <c r="Z160" s="2">
        <f>IF(R160="","",IF(COUNTIFS($C$5:$C$6004,R160,$O$5:$O$6004,"EM ANDAMENTO",$N$5:$N$6004,"&gt;=-99")=0,"",_xlfn.MAXIFS($N$5:$N$6004,$C$5:$C$6004,R160,$O$5:$O$6004,"EM ANDAMENTO")))</f>
        <v/>
      </c>
      <c r="AA160" s="2">
        <f>IF(OR(R160="",S160="",U160&lt;&gt;"SIM",V160=0),"",IF(W160+X160=0,"",T160&amp;": "&amp;IF(W160=V160,"concluído",IF(W160=0,"em execução"&amp;IF(Z160&lt;&gt;""," ("&amp;IF(Z160&lt;0,IF(COUNTIF($E$5:$E$6004,"SUBSOLO*")&gt;0,"subsolo",-Z160&amp;"º subsolo"),IF(Z160=0,"térreo",Z160&amp;"º pav."))&amp;")",""),IF(Y160&lt;&gt;"","até "&amp;IF(Y160&lt;0,IF(COUNTIF($E$5:$E$6004,"SUBSOLO*")&gt;0,"subsolo",-Y160&amp;"º subsolo"),IF(Y160=0,"térreo",Y160&amp;"º pav.")),W160&amp;" de "&amp;V160&amp;" concluídas")&amp;IF(Z160="","",IF(OR(Y160="",Z160&gt;Y160),", executando "&amp;IF(Z160&lt;0,IF(COUNTIF($E$5:$E$6004,"SUBSOLO*")&gt;0,"subsolo",-Z160&amp;"º subsolo"),IF(Z160=0,"térreo",Z160&amp;"º pav."))," (restam serviços no "&amp;IF(Z160&lt;0,IF(COUNTIF($E$5:$E$6004,"SUBSOLO*")&gt;0,"subsolo",-Z160&amp;"º subsolo"),IF(Z160=0,"térreo",Z160&amp;"º pav."))&amp;")"))))))</f>
        <v/>
      </c>
    </row>
    <row r="161">
      <c r="B161" s="4" t="n">
        <v>37080794</v>
      </c>
      <c r="C161" s="4" t="inlineStr">
        <is>
          <t>CONTENÇÃO - BLOCO DO ELEVADOR</t>
        </is>
      </c>
      <c r="D161" s="4" t="inlineStr">
        <is>
          <t>-</t>
        </is>
      </c>
      <c r="E161" s="4" t="inlineStr">
        <is>
          <t>SERVIÇOS INICIAIS</t>
        </is>
      </c>
      <c r="F161" s="126" t="n">
        <v>46139</v>
      </c>
      <c r="G161" s="126" t="n">
        <v>46199</v>
      </c>
      <c r="H161" s="126" t="n">
        <v>46289</v>
      </c>
      <c r="I161" s="4" t="n">
        <v>100</v>
      </c>
      <c r="J161" s="4" t="n">
        <v>100</v>
      </c>
      <c r="K161" s="4" t="n">
        <v>100</v>
      </c>
      <c r="M161" s="2">
        <f>IF(C161="","",IFERROR(INDEX($S$5:$S$304,MATCH(C161,$R$5:$R$304,0))&amp;"","?"))</f>
        <v/>
      </c>
      <c r="N161" s="2">
        <f>IF(E161="","",IF(ISNUMBER(SEARCH("SUBSOLO",E161)),IFERROR(-VALUE(LEFT(E161,FIND("º",SUBSTITUTE(E161,"°","º"))-1)),-1),IF(LEFT(E161,6)="TÉRREO",0,IFERROR(VALUE(LEFT(E161,FIND("º",SUBSTITUTE(E161,"°","º"))-1)),""))))</f>
        <v/>
      </c>
      <c r="O161" s="2">
        <f>IF(OR(F161="",G161=""),"",IF(G161&lt;='RETRATO 2027'!$K$5,"CONCLUÍDA",IF(F161&lt;='RETRATO 2027'!$K$5,"EM ANDAMENTO","A INICIAR")))</f>
        <v/>
      </c>
      <c r="R161" s="4" t="inlineStr">
        <is>
          <t>SPDA</t>
        </is>
      </c>
      <c r="S161" s="4" t="inlineStr">
        <is>
          <t>20</t>
        </is>
      </c>
      <c r="T161" s="4" t="inlineStr">
        <is>
          <t>Spda</t>
        </is>
      </c>
      <c r="U161" s="4" t="inlineStr">
        <is>
          <t>NÃO</t>
        </is>
      </c>
      <c r="V161" s="2">
        <f>IF(R161="","",COUNTIF($C$5:$C$6004,R161))</f>
        <v/>
      </c>
      <c r="W161" s="2">
        <f>IF(R161="","",COUNTIFS($C$5:$C$6004,R161,$O$5:$O$6004,"CONCLUÍDA"))</f>
        <v/>
      </c>
      <c r="X161" s="2">
        <f>IF(R161="","",COUNTIFS($C$5:$C$6004,R161,$O$5:$O$6004,"EM ANDAMENTO"))</f>
        <v/>
      </c>
      <c r="Y161" s="2">
        <f>IF(R161="","",IF(COUNTIFS($C$5:$C$6004,R161,$O$5:$O$6004,"CONCLUÍDA",$N$5:$N$6004,"&gt;=-99")=0,"",_xlfn.MAXIFS($N$5:$N$6004,$C$5:$C$6004,R161,$O$5:$O$6004,"CONCLUÍDA")))</f>
        <v/>
      </c>
      <c r="Z161" s="2">
        <f>IF(R161="","",IF(COUNTIFS($C$5:$C$6004,R161,$O$5:$O$6004,"EM ANDAMENTO",$N$5:$N$6004,"&gt;=-99")=0,"",_xlfn.MAXIFS($N$5:$N$6004,$C$5:$C$6004,R161,$O$5:$O$6004,"EM ANDAMENTO")))</f>
        <v/>
      </c>
      <c r="AA161" s="2">
        <f>IF(OR(R161="",S161="",U161&lt;&gt;"SIM",V161=0),"",IF(W161+X161=0,"",T161&amp;": "&amp;IF(W161=V161,"concluído",IF(W161=0,"em execução"&amp;IF(Z161&lt;&gt;""," ("&amp;IF(Z161&lt;0,IF(COUNTIF($E$5:$E$6004,"SUBSOLO*")&gt;0,"subsolo",-Z161&amp;"º subsolo"),IF(Z161=0,"térreo",Z161&amp;"º pav."))&amp;")",""),IF(Y161&lt;&gt;"","até "&amp;IF(Y161&lt;0,IF(COUNTIF($E$5:$E$6004,"SUBSOLO*")&gt;0,"subsolo",-Y161&amp;"º subsolo"),IF(Y161=0,"térreo",Y161&amp;"º pav.")),W161&amp;" de "&amp;V161&amp;" concluídas")&amp;IF(Z161="","",IF(OR(Y161="",Z161&gt;Y161),", executando "&amp;IF(Z161&lt;0,IF(COUNTIF($E$5:$E$6004,"SUBSOLO*")&gt;0,"subsolo",-Z161&amp;"º subsolo"),IF(Z161=0,"térreo",Z161&amp;"º pav."))," (restam serviços no "&amp;IF(Z161&lt;0,IF(COUNTIF($E$5:$E$6004,"SUBSOLO*")&gt;0,"subsolo",-Z161&amp;"º subsolo"),IF(Z161=0,"térreo",Z161&amp;"º pav."))&amp;")"))))))</f>
        <v/>
      </c>
    </row>
    <row r="162">
      <c r="B162" s="4" t="n">
        <v>44503962</v>
      </c>
      <c r="C162" s="4" t="inlineStr">
        <is>
          <t>FUNDAÇÃO SUPERFICIAL - FASE 3</t>
        </is>
      </c>
      <c r="D162" s="4" t="inlineStr">
        <is>
          <t>-</t>
        </is>
      </c>
      <c r="E162" s="4" t="inlineStr">
        <is>
          <t>SERVIÇOS INICIAIS</t>
        </is>
      </c>
      <c r="F162" s="126" t="n">
        <v>46150</v>
      </c>
      <c r="G162" s="126" t="n">
        <v>46213</v>
      </c>
      <c r="H162" s="126" t="n">
        <v>46289</v>
      </c>
      <c r="I162" s="4" t="n">
        <v>0</v>
      </c>
      <c r="J162" s="4" t="n">
        <v>100</v>
      </c>
      <c r="K162" s="4" t="n">
        <v>100</v>
      </c>
      <c r="M162" s="2">
        <f>IF(C162="","",IFERROR(INDEX($S$5:$S$304,MATCH(C162,$R$5:$R$304,0))&amp;"","?"))</f>
        <v/>
      </c>
      <c r="N162" s="2">
        <f>IF(E162="","",IF(ISNUMBER(SEARCH("SUBSOLO",E162)),IFERROR(-VALUE(LEFT(E162,FIND("º",SUBSTITUTE(E162,"°","º"))-1)),-1),IF(LEFT(E162,6)="TÉRREO",0,IFERROR(VALUE(LEFT(E162,FIND("º",SUBSTITUTE(E162,"°","º"))-1)),""))))</f>
        <v/>
      </c>
      <c r="O162" s="2">
        <f>IF(OR(F162="",G162=""),"",IF(G162&lt;='RETRATO 2027'!$K$5,"CONCLUÍDA",IF(F162&lt;='RETRATO 2027'!$K$5,"EM ANDAMENTO","A INICIAR")))</f>
        <v/>
      </c>
      <c r="R162" s="4" t="inlineStr">
        <is>
          <t>TRATAMENTO DE CONCRETO APARENTE - F3 + F4</t>
        </is>
      </c>
      <c r="S162" s="4" t="inlineStr">
        <is>
          <t>35</t>
        </is>
      </c>
      <c r="T162" s="4" t="inlineStr">
        <is>
          <t>Tratamento de concreto aparente - F3 + F4</t>
        </is>
      </c>
      <c r="U162" s="4" t="inlineStr">
        <is>
          <t>NÃO</t>
        </is>
      </c>
      <c r="V162" s="2">
        <f>IF(R162="","",COUNTIF($C$5:$C$6004,R162))</f>
        <v/>
      </c>
      <c r="W162" s="2">
        <f>IF(R162="","",COUNTIFS($C$5:$C$6004,R162,$O$5:$O$6004,"CONCLUÍDA"))</f>
        <v/>
      </c>
      <c r="X162" s="2">
        <f>IF(R162="","",COUNTIFS($C$5:$C$6004,R162,$O$5:$O$6004,"EM ANDAMENTO"))</f>
        <v/>
      </c>
      <c r="Y162" s="2">
        <f>IF(R162="","",IF(COUNTIFS($C$5:$C$6004,R162,$O$5:$O$6004,"CONCLUÍDA",$N$5:$N$6004,"&gt;=-99")=0,"",_xlfn.MAXIFS($N$5:$N$6004,$C$5:$C$6004,R162,$O$5:$O$6004,"CONCLUÍDA")))</f>
        <v/>
      </c>
      <c r="Z162" s="2">
        <f>IF(R162="","",IF(COUNTIFS($C$5:$C$6004,R162,$O$5:$O$6004,"EM ANDAMENTO",$N$5:$N$6004,"&gt;=-99")=0,"",_xlfn.MAXIFS($N$5:$N$6004,$C$5:$C$6004,R162,$O$5:$O$6004,"EM ANDAMENTO")))</f>
        <v/>
      </c>
      <c r="AA162" s="2">
        <f>IF(OR(R162="",S162="",U162&lt;&gt;"SIM",V162=0),"",IF(W162+X162=0,"",T162&amp;": "&amp;IF(W162=V162,"concluído",IF(W162=0,"em execução"&amp;IF(Z162&lt;&gt;""," ("&amp;IF(Z162&lt;0,IF(COUNTIF($E$5:$E$6004,"SUBSOLO*")&gt;0,"subsolo",-Z162&amp;"º subsolo"),IF(Z162=0,"térreo",Z162&amp;"º pav."))&amp;")",""),IF(Y162&lt;&gt;"","até "&amp;IF(Y162&lt;0,IF(COUNTIF($E$5:$E$6004,"SUBSOLO*")&gt;0,"subsolo",-Y162&amp;"º subsolo"),IF(Y162=0,"térreo",Y162&amp;"º pav.")),W162&amp;" de "&amp;V162&amp;" concluídas")&amp;IF(Z162="","",IF(OR(Y162="",Z162&gt;Y162),", executando "&amp;IF(Z162&lt;0,IF(COUNTIF($E$5:$E$6004,"SUBSOLO*")&gt;0,"subsolo",-Z162&amp;"º subsolo"),IF(Z162=0,"térreo",Z162&amp;"º pav."))," (restam serviços no "&amp;IF(Z162&lt;0,IF(COUNTIF($E$5:$E$6004,"SUBSOLO*")&gt;0,"subsolo",-Z162&amp;"º subsolo"),IF(Z162=0,"térreo",Z162&amp;"º pav."))&amp;")"))))))</f>
        <v/>
      </c>
    </row>
    <row r="163">
      <c r="B163" s="4" t="n">
        <v>28389429</v>
      </c>
      <c r="C163" s="4" t="inlineStr">
        <is>
          <t>FUNDAÇÃO SUPERFICIAL - FASE 3</t>
        </is>
      </c>
      <c r="D163" s="4" t="inlineStr">
        <is>
          <t xml:space="preserve">Escavação / Arrasamento - BL 4 / 6 </t>
        </is>
      </c>
      <c r="E163" s="4" t="inlineStr">
        <is>
          <t>SERVIÇOS INICIAIS</t>
        </is>
      </c>
      <c r="F163" s="126" t="n">
        <v>46150</v>
      </c>
      <c r="G163" s="126" t="n">
        <v>46157</v>
      </c>
      <c r="H163" s="126" t="n">
        <v>46289</v>
      </c>
      <c r="I163" s="4" t="n">
        <v>0</v>
      </c>
      <c r="J163" s="4" t="n">
        <v>100</v>
      </c>
      <c r="K163" s="4" t="n">
        <v>100</v>
      </c>
      <c r="M163" s="2">
        <f>IF(C163="","",IFERROR(INDEX($S$5:$S$304,MATCH(C163,$R$5:$R$304,0))&amp;"","?"))</f>
        <v/>
      </c>
      <c r="N163" s="2">
        <f>IF(E163="","",IF(ISNUMBER(SEARCH("SUBSOLO",E163)),IFERROR(-VALUE(LEFT(E163,FIND("º",SUBSTITUTE(E163,"°","º"))-1)),-1),IF(LEFT(E163,6)="TÉRREO",0,IFERROR(VALUE(LEFT(E163,FIND("º",SUBSTITUTE(E163,"°","º"))-1)),""))))</f>
        <v/>
      </c>
      <c r="O163" s="2">
        <f>IF(OR(F163="",G163=""),"",IF(G163&lt;='RETRATO 2027'!$K$5,"CONCLUÍDA",IF(F163&lt;='RETRATO 2027'!$K$5,"EM ANDAMENTO","A INICIAR")))</f>
        <v/>
      </c>
      <c r="R163" s="4" t="inlineStr">
        <is>
          <t>QUADRA DE RECREAÇÃO</t>
        </is>
      </c>
      <c r="S163" s="4" t="inlineStr">
        <is>
          <t>31</t>
        </is>
      </c>
      <c r="T163" s="4" t="inlineStr">
        <is>
          <t>Quadra de recreação</t>
        </is>
      </c>
      <c r="U163" s="4" t="inlineStr">
        <is>
          <t>SIM</t>
        </is>
      </c>
      <c r="V163" s="2">
        <f>IF(R163="","",COUNTIF($C$5:$C$6004,R163))</f>
        <v/>
      </c>
      <c r="W163" s="2">
        <f>IF(R163="","",COUNTIFS($C$5:$C$6004,R163,$O$5:$O$6004,"CONCLUÍDA"))</f>
        <v/>
      </c>
      <c r="X163" s="2">
        <f>IF(R163="","",COUNTIFS($C$5:$C$6004,R163,$O$5:$O$6004,"EM ANDAMENTO"))</f>
        <v/>
      </c>
      <c r="Y163" s="2">
        <f>IF(R163="","",IF(COUNTIFS($C$5:$C$6004,R163,$O$5:$O$6004,"CONCLUÍDA",$N$5:$N$6004,"&gt;=-99")=0,"",_xlfn.MAXIFS($N$5:$N$6004,$C$5:$C$6004,R163,$O$5:$O$6004,"CONCLUÍDA")))</f>
        <v/>
      </c>
      <c r="Z163" s="2">
        <f>IF(R163="","",IF(COUNTIFS($C$5:$C$6004,R163,$O$5:$O$6004,"EM ANDAMENTO",$N$5:$N$6004,"&gt;=-99")=0,"",_xlfn.MAXIFS($N$5:$N$6004,$C$5:$C$6004,R163,$O$5:$O$6004,"EM ANDAMENTO")))</f>
        <v/>
      </c>
      <c r="AA163" s="2">
        <f>IF(OR(R163="",S163="",U163&lt;&gt;"SIM",V163=0),"",IF(W163+X163=0,"",T163&amp;": "&amp;IF(W163=V163,"concluído",IF(W163=0,"em execução"&amp;IF(Z163&lt;&gt;""," ("&amp;IF(Z163&lt;0,IF(COUNTIF($E$5:$E$6004,"SUBSOLO*")&gt;0,"subsolo",-Z163&amp;"º subsolo"),IF(Z163=0,"térreo",Z163&amp;"º pav."))&amp;")",""),IF(Y163&lt;&gt;"","até "&amp;IF(Y163&lt;0,IF(COUNTIF($E$5:$E$6004,"SUBSOLO*")&gt;0,"subsolo",-Y163&amp;"º subsolo"),IF(Y163=0,"térreo",Y163&amp;"º pav.")),W163&amp;" de "&amp;V163&amp;" concluídas")&amp;IF(Z163="","",IF(OR(Y163="",Z163&gt;Y163),", executando "&amp;IF(Z163&lt;0,IF(COUNTIF($E$5:$E$6004,"SUBSOLO*")&gt;0,"subsolo",-Z163&amp;"º subsolo"),IF(Z163=0,"térreo",Z163&amp;"º pav."))," (restam serviços no "&amp;IF(Z163&lt;0,IF(COUNTIF($E$5:$E$6004,"SUBSOLO*")&gt;0,"subsolo",-Z163&amp;"º subsolo"),IF(Z163=0,"térreo",Z163&amp;"º pav."))&amp;")"))))))</f>
        <v/>
      </c>
    </row>
    <row r="164">
      <c r="B164" s="4" t="n">
        <v>28389430</v>
      </c>
      <c r="C164" s="4" t="inlineStr">
        <is>
          <t>FUNDAÇÃO SUPERFICIAL - FASE 3</t>
        </is>
      </c>
      <c r="D164" s="4" t="inlineStr">
        <is>
          <t>Armação - BL 4 / 6</t>
        </is>
      </c>
      <c r="E164" s="4" t="inlineStr">
        <is>
          <t>SERVIÇOS INICIAIS</t>
        </is>
      </c>
      <c r="F164" s="126" t="n">
        <v>46150</v>
      </c>
      <c r="G164" s="126" t="n">
        <v>46157</v>
      </c>
      <c r="H164" s="126" t="n">
        <v>46289</v>
      </c>
      <c r="I164" s="4" t="n">
        <v>0</v>
      </c>
      <c r="J164" s="4" t="n">
        <v>100</v>
      </c>
      <c r="K164" s="4" t="n">
        <v>100</v>
      </c>
      <c r="M164" s="2">
        <f>IF(C164="","",IFERROR(INDEX($S$5:$S$304,MATCH(C164,$R$5:$R$304,0))&amp;"","?"))</f>
        <v/>
      </c>
      <c r="N164" s="2">
        <f>IF(E164="","",IF(ISNUMBER(SEARCH("SUBSOLO",E164)),IFERROR(-VALUE(LEFT(E164,FIND("º",SUBSTITUTE(E164,"°","º"))-1)),-1),IF(LEFT(E164,6)="TÉRREO",0,IFERROR(VALUE(LEFT(E164,FIND("º",SUBSTITUTE(E164,"°","º"))-1)),""))))</f>
        <v/>
      </c>
      <c r="O164" s="2">
        <f>IF(OR(F164="",G164=""),"",IF(G164&lt;='RETRATO 2027'!$K$5,"CONCLUÍDA",IF(F164&lt;='RETRATO 2027'!$K$5,"EM ANDAMENTO","A INICIAR")))</f>
        <v/>
      </c>
      <c r="R164" s="4" t="inlineStr">
        <is>
          <t>INSTALAÇÃO DE SHADOWBOX E BRISES - F5</t>
        </is>
      </c>
      <c r="S164" s="4" t="inlineStr">
        <is>
          <t>25</t>
        </is>
      </c>
      <c r="T164" s="4" t="inlineStr">
        <is>
          <t>Shadowbox e brises - F5</t>
        </is>
      </c>
      <c r="U164" s="4" t="inlineStr">
        <is>
          <t>NÃO</t>
        </is>
      </c>
      <c r="V164" s="2">
        <f>IF(R164="","",COUNTIF($C$5:$C$6004,R164))</f>
        <v/>
      </c>
      <c r="W164" s="2">
        <f>IF(R164="","",COUNTIFS($C$5:$C$6004,R164,$O$5:$O$6004,"CONCLUÍDA"))</f>
        <v/>
      </c>
      <c r="X164" s="2">
        <f>IF(R164="","",COUNTIFS($C$5:$C$6004,R164,$O$5:$O$6004,"EM ANDAMENTO"))</f>
        <v/>
      </c>
      <c r="Y164" s="2">
        <f>IF(R164="","",IF(COUNTIFS($C$5:$C$6004,R164,$O$5:$O$6004,"CONCLUÍDA",$N$5:$N$6004,"&gt;=-99")=0,"",_xlfn.MAXIFS($N$5:$N$6004,$C$5:$C$6004,R164,$O$5:$O$6004,"CONCLUÍDA")))</f>
        <v/>
      </c>
      <c r="Z164" s="2">
        <f>IF(R164="","",IF(COUNTIFS($C$5:$C$6004,R164,$O$5:$O$6004,"EM ANDAMENTO",$N$5:$N$6004,"&gt;=-99")=0,"",_xlfn.MAXIFS($N$5:$N$6004,$C$5:$C$6004,R164,$O$5:$O$6004,"EM ANDAMENTO")))</f>
        <v/>
      </c>
      <c r="AA164" s="2">
        <f>IF(OR(R164="",S164="",U164&lt;&gt;"SIM",V164=0),"",IF(W164+X164=0,"",T164&amp;": "&amp;IF(W164=V164,"concluído",IF(W164=0,"em execução"&amp;IF(Z164&lt;&gt;""," ("&amp;IF(Z164&lt;0,IF(COUNTIF($E$5:$E$6004,"SUBSOLO*")&gt;0,"subsolo",-Z164&amp;"º subsolo"),IF(Z164=0,"térreo",Z164&amp;"º pav."))&amp;")",""),IF(Y164&lt;&gt;"","até "&amp;IF(Y164&lt;0,IF(COUNTIF($E$5:$E$6004,"SUBSOLO*")&gt;0,"subsolo",-Y164&amp;"º subsolo"),IF(Y164=0,"térreo",Y164&amp;"º pav.")),W164&amp;" de "&amp;V164&amp;" concluídas")&amp;IF(Z164="","",IF(OR(Y164="",Z164&gt;Y164),", executando "&amp;IF(Z164&lt;0,IF(COUNTIF($E$5:$E$6004,"SUBSOLO*")&gt;0,"subsolo",-Z164&amp;"º subsolo"),IF(Z164=0,"térreo",Z164&amp;"º pav."))," (restam serviços no "&amp;IF(Z164&lt;0,IF(COUNTIF($E$5:$E$6004,"SUBSOLO*")&gt;0,"subsolo",-Z164&amp;"º subsolo"),IF(Z164=0,"térreo",Z164&amp;"º pav."))&amp;")"))))))</f>
        <v/>
      </c>
    </row>
    <row r="165">
      <c r="B165" s="4" t="n">
        <v>28389431</v>
      </c>
      <c r="C165" s="4" t="inlineStr">
        <is>
          <t>FUNDAÇÃO SUPERFICIAL - FASE 3</t>
        </is>
      </c>
      <c r="D165" s="4" t="inlineStr">
        <is>
          <t>Escavação / Arrasamento - BL  134</t>
        </is>
      </c>
      <c r="E165" s="4" t="inlineStr">
        <is>
          <t>SERVIÇOS INICIAIS</t>
        </is>
      </c>
      <c r="F165" s="126" t="n">
        <v>46160</v>
      </c>
      <c r="G165" s="126" t="n">
        <v>46164</v>
      </c>
      <c r="H165" s="126" t="n">
        <v>46289</v>
      </c>
      <c r="I165" s="4" t="n">
        <v>0</v>
      </c>
      <c r="J165" s="4" t="n">
        <v>100</v>
      </c>
      <c r="K165" s="4" t="n">
        <v>100</v>
      </c>
      <c r="M165" s="2">
        <f>IF(C165="","",IFERROR(INDEX($S$5:$S$304,MATCH(C165,$R$5:$R$304,0))&amp;"","?"))</f>
        <v/>
      </c>
      <c r="N165" s="2">
        <f>IF(E165="","",IF(ISNUMBER(SEARCH("SUBSOLO",E165)),IFERROR(-VALUE(LEFT(E165,FIND("º",SUBSTITUTE(E165,"°","º"))-1)),-1),IF(LEFT(E165,6)="TÉRREO",0,IFERROR(VALUE(LEFT(E165,FIND("º",SUBSTITUTE(E165,"°","º"))-1)),""))))</f>
        <v/>
      </c>
      <c r="O165" s="2">
        <f>IF(OR(F165="",G165=""),"",IF(G165&lt;='RETRATO 2027'!$K$5,"CONCLUÍDA",IF(F165&lt;='RETRATO 2027'!$K$5,"EM ANDAMENTO","A INICIAR")))</f>
        <v/>
      </c>
      <c r="R165" s="4" t="inlineStr">
        <is>
          <t>FACHADA EMBASAMENTO</t>
        </is>
      </c>
      <c r="S165" s="4" t="inlineStr">
        <is>
          <t>32</t>
        </is>
      </c>
      <c r="T165" s="4" t="inlineStr">
        <is>
          <t>Fachada embasamento</t>
        </is>
      </c>
      <c r="U165" s="4" t="inlineStr">
        <is>
          <t>SIM</t>
        </is>
      </c>
      <c r="V165" s="2">
        <f>IF(R165="","",COUNTIF($C$5:$C$6004,R165))</f>
        <v/>
      </c>
      <c r="W165" s="2">
        <f>IF(R165="","",COUNTIFS($C$5:$C$6004,R165,$O$5:$O$6004,"CONCLUÍDA"))</f>
        <v/>
      </c>
      <c r="X165" s="2">
        <f>IF(R165="","",COUNTIFS($C$5:$C$6004,R165,$O$5:$O$6004,"EM ANDAMENTO"))</f>
        <v/>
      </c>
      <c r="Y165" s="2">
        <f>IF(R165="","",IF(COUNTIFS($C$5:$C$6004,R165,$O$5:$O$6004,"CONCLUÍDA",$N$5:$N$6004,"&gt;=-99")=0,"",_xlfn.MAXIFS($N$5:$N$6004,$C$5:$C$6004,R165,$O$5:$O$6004,"CONCLUÍDA")))</f>
        <v/>
      </c>
      <c r="Z165" s="2">
        <f>IF(R165="","",IF(COUNTIFS($C$5:$C$6004,R165,$O$5:$O$6004,"EM ANDAMENTO",$N$5:$N$6004,"&gt;=-99")=0,"",_xlfn.MAXIFS($N$5:$N$6004,$C$5:$C$6004,R165,$O$5:$O$6004,"EM ANDAMENTO")))</f>
        <v/>
      </c>
      <c r="AA165" s="2">
        <f>IF(OR(R165="",S165="",U165&lt;&gt;"SIM",V165=0),"",IF(W165+X165=0,"",T165&amp;": "&amp;IF(W165=V165,"concluído",IF(W165=0,"em execução"&amp;IF(Z165&lt;&gt;""," ("&amp;IF(Z165&lt;0,IF(COUNTIF($E$5:$E$6004,"SUBSOLO*")&gt;0,"subsolo",-Z165&amp;"º subsolo"),IF(Z165=0,"térreo",Z165&amp;"º pav."))&amp;")",""),IF(Y165&lt;&gt;"","até "&amp;IF(Y165&lt;0,IF(COUNTIF($E$5:$E$6004,"SUBSOLO*")&gt;0,"subsolo",-Y165&amp;"º subsolo"),IF(Y165=0,"térreo",Y165&amp;"º pav.")),W165&amp;" de "&amp;V165&amp;" concluídas")&amp;IF(Z165="","",IF(OR(Y165="",Z165&gt;Y165),", executando "&amp;IF(Z165&lt;0,IF(COUNTIF($E$5:$E$6004,"SUBSOLO*")&gt;0,"subsolo",-Z165&amp;"º subsolo"),IF(Z165=0,"térreo",Z165&amp;"º pav."))," (restam serviços no "&amp;IF(Z165&lt;0,IF(COUNTIF($E$5:$E$6004,"SUBSOLO*")&gt;0,"subsolo",-Z165&amp;"º subsolo"),IF(Z165=0,"térreo",Z165&amp;"º pav."))&amp;")"))))))</f>
        <v/>
      </c>
    </row>
    <row r="166">
      <c r="B166" s="4" t="n">
        <v>28389432</v>
      </c>
      <c r="C166" s="4" t="inlineStr">
        <is>
          <t>FUNDAÇÃO SUPERFICIAL - FASE 3</t>
        </is>
      </c>
      <c r="D166" s="4" t="inlineStr">
        <is>
          <t>Armação - BL 4</t>
        </is>
      </c>
      <c r="E166" s="4" t="inlineStr">
        <is>
          <t>SERVIÇOS INICIAIS</t>
        </is>
      </c>
      <c r="F166" s="126" t="n">
        <v>46160</v>
      </c>
      <c r="G166" s="126" t="n">
        <v>46164</v>
      </c>
      <c r="H166" s="126" t="n">
        <v>46289</v>
      </c>
      <c r="I166" s="4" t="n">
        <v>0</v>
      </c>
      <c r="J166" s="4" t="n">
        <v>100</v>
      </c>
      <c r="K166" s="4" t="n">
        <v>100</v>
      </c>
      <c r="M166" s="2">
        <f>IF(C166="","",IFERROR(INDEX($S$5:$S$304,MATCH(C166,$R$5:$R$304,0))&amp;"","?"))</f>
        <v/>
      </c>
      <c r="N166" s="2">
        <f>IF(E166="","",IF(ISNUMBER(SEARCH("SUBSOLO",E166)),IFERROR(-VALUE(LEFT(E166,FIND("º",SUBSTITUTE(E166,"°","º"))-1)),-1),IF(LEFT(E166,6)="TÉRREO",0,IFERROR(VALUE(LEFT(E166,FIND("º",SUBSTITUTE(E166,"°","º"))-1)),""))))</f>
        <v/>
      </c>
      <c r="O166" s="2">
        <f>IF(OR(F166="",G166=""),"",IF(G166&lt;='RETRATO 2027'!$K$5,"CONCLUÍDA",IF(F166&lt;='RETRATO 2027'!$K$5,"EM ANDAMENTO","A INICIAR")))</f>
        <v/>
      </c>
      <c r="R166" s="4" t="inlineStr">
        <is>
          <t>MONTAGEM - ELEVADOR 3</t>
        </is>
      </c>
      <c r="S166" s="4" t="inlineStr">
        <is>
          <t>24</t>
        </is>
      </c>
      <c r="T166" s="4" t="inlineStr">
        <is>
          <t>Montagem - elevador 3</t>
        </is>
      </c>
      <c r="U166" s="4" t="inlineStr">
        <is>
          <t>SIM</t>
        </is>
      </c>
      <c r="V166" s="2">
        <f>IF(R166="","",COUNTIF($C$5:$C$6004,R166))</f>
        <v/>
      </c>
      <c r="W166" s="2">
        <f>IF(R166="","",COUNTIFS($C$5:$C$6004,R166,$O$5:$O$6004,"CONCLUÍDA"))</f>
        <v/>
      </c>
      <c r="X166" s="2">
        <f>IF(R166="","",COUNTIFS($C$5:$C$6004,R166,$O$5:$O$6004,"EM ANDAMENTO"))</f>
        <v/>
      </c>
      <c r="Y166" s="2">
        <f>IF(R166="","",IF(COUNTIFS($C$5:$C$6004,R166,$O$5:$O$6004,"CONCLUÍDA",$N$5:$N$6004,"&gt;=-99")=0,"",_xlfn.MAXIFS($N$5:$N$6004,$C$5:$C$6004,R166,$O$5:$O$6004,"CONCLUÍDA")))</f>
        <v/>
      </c>
      <c r="Z166" s="2">
        <f>IF(R166="","",IF(COUNTIFS($C$5:$C$6004,R166,$O$5:$O$6004,"EM ANDAMENTO",$N$5:$N$6004,"&gt;=-99")=0,"",_xlfn.MAXIFS($N$5:$N$6004,$C$5:$C$6004,R166,$O$5:$O$6004,"EM ANDAMENTO")))</f>
        <v/>
      </c>
      <c r="AA166" s="2">
        <f>IF(OR(R166="",S166="",U166&lt;&gt;"SIM",V166=0),"",IF(W166+X166=0,"",T166&amp;": "&amp;IF(W166=V166,"concluído",IF(W166=0,"em execução"&amp;IF(Z166&lt;&gt;""," ("&amp;IF(Z166&lt;0,IF(COUNTIF($E$5:$E$6004,"SUBSOLO*")&gt;0,"subsolo",-Z166&amp;"º subsolo"),IF(Z166=0,"térreo",Z166&amp;"º pav."))&amp;")",""),IF(Y166&lt;&gt;"","até "&amp;IF(Y166&lt;0,IF(COUNTIF($E$5:$E$6004,"SUBSOLO*")&gt;0,"subsolo",-Y166&amp;"º subsolo"),IF(Y166=0,"térreo",Y166&amp;"º pav.")),W166&amp;" de "&amp;V166&amp;" concluídas")&amp;IF(Z166="","",IF(OR(Y166="",Z166&gt;Y166),", executando "&amp;IF(Z166&lt;0,IF(COUNTIF($E$5:$E$6004,"SUBSOLO*")&gt;0,"subsolo",-Z166&amp;"º subsolo"),IF(Z166=0,"térreo",Z166&amp;"º pav."))," (restam serviços no "&amp;IF(Z166&lt;0,IF(COUNTIF($E$5:$E$6004,"SUBSOLO*")&gt;0,"subsolo",-Z166&amp;"º subsolo"),IF(Z166=0,"térreo",Z166&amp;"º pav."))&amp;")"))))))</f>
        <v/>
      </c>
    </row>
    <row r="167">
      <c r="B167" s="4" t="n">
        <v>28389433</v>
      </c>
      <c r="C167" s="4" t="inlineStr">
        <is>
          <t>FUNDAÇÃO SUPERFICIAL - FASE 3</t>
        </is>
      </c>
      <c r="D167" s="4" t="inlineStr">
        <is>
          <t xml:space="preserve">Forma - BL 4 / 6 </t>
        </is>
      </c>
      <c r="E167" s="4" t="inlineStr">
        <is>
          <t>SERVIÇOS INICIAIS</t>
        </is>
      </c>
      <c r="F167" s="126" t="n">
        <v>46160</v>
      </c>
      <c r="G167" s="126" t="n">
        <v>46164</v>
      </c>
      <c r="H167" s="126" t="n">
        <v>46289</v>
      </c>
      <c r="I167" s="4" t="n">
        <v>0</v>
      </c>
      <c r="J167" s="4" t="n">
        <v>100</v>
      </c>
      <c r="K167" s="4" t="n">
        <v>100</v>
      </c>
      <c r="M167" s="2">
        <f>IF(C167="","",IFERROR(INDEX($S$5:$S$304,MATCH(C167,$R$5:$R$304,0))&amp;"","?"))</f>
        <v/>
      </c>
      <c r="N167" s="2">
        <f>IF(E167="","",IF(ISNUMBER(SEARCH("SUBSOLO",E167)),IFERROR(-VALUE(LEFT(E167,FIND("º",SUBSTITUTE(E167,"°","º"))-1)),-1),IF(LEFT(E167,6)="TÉRREO",0,IFERROR(VALUE(LEFT(E167,FIND("º",SUBSTITUTE(E167,"°","º"))-1)),""))))</f>
        <v/>
      </c>
      <c r="O167" s="2">
        <f>IF(OR(F167="",G167=""),"",IF(G167&lt;='RETRATO 2027'!$K$5,"CONCLUÍDA",IF(F167&lt;='RETRATO 2027'!$K$5,"EM ANDAMENTO","A INICIAR")))</f>
        <v/>
      </c>
      <c r="R167" s="4" t="inlineStr">
        <is>
          <t>PRESSURIZAÇÃO (INCÊNDIO)</t>
        </is>
      </c>
      <c r="S167" s="4" t="inlineStr">
        <is>
          <t>22</t>
        </is>
      </c>
      <c r="T167" s="4" t="inlineStr">
        <is>
          <t>Pressurização (incêndio)</t>
        </is>
      </c>
      <c r="U167" s="4" t="inlineStr">
        <is>
          <t>NÃO</t>
        </is>
      </c>
      <c r="V167" s="2">
        <f>IF(R167="","",COUNTIF($C$5:$C$6004,R167))</f>
        <v/>
      </c>
      <c r="W167" s="2">
        <f>IF(R167="","",COUNTIFS($C$5:$C$6004,R167,$O$5:$O$6004,"CONCLUÍDA"))</f>
        <v/>
      </c>
      <c r="X167" s="2">
        <f>IF(R167="","",COUNTIFS($C$5:$C$6004,R167,$O$5:$O$6004,"EM ANDAMENTO"))</f>
        <v/>
      </c>
      <c r="Y167" s="2">
        <f>IF(R167="","",IF(COUNTIFS($C$5:$C$6004,R167,$O$5:$O$6004,"CONCLUÍDA",$N$5:$N$6004,"&gt;=-99")=0,"",_xlfn.MAXIFS($N$5:$N$6004,$C$5:$C$6004,R167,$O$5:$O$6004,"CONCLUÍDA")))</f>
        <v/>
      </c>
      <c r="Z167" s="2">
        <f>IF(R167="","",IF(COUNTIFS($C$5:$C$6004,R167,$O$5:$O$6004,"EM ANDAMENTO",$N$5:$N$6004,"&gt;=-99")=0,"",_xlfn.MAXIFS($N$5:$N$6004,$C$5:$C$6004,R167,$O$5:$O$6004,"EM ANDAMENTO")))</f>
        <v/>
      </c>
      <c r="AA167" s="2">
        <f>IF(OR(R167="",S167="",U167&lt;&gt;"SIM",V167=0),"",IF(W167+X167=0,"",T167&amp;": "&amp;IF(W167=V167,"concluído",IF(W167=0,"em execução"&amp;IF(Z167&lt;&gt;""," ("&amp;IF(Z167&lt;0,IF(COUNTIF($E$5:$E$6004,"SUBSOLO*")&gt;0,"subsolo",-Z167&amp;"º subsolo"),IF(Z167=0,"térreo",Z167&amp;"º pav."))&amp;")",""),IF(Y167&lt;&gt;"","até "&amp;IF(Y167&lt;0,IF(COUNTIF($E$5:$E$6004,"SUBSOLO*")&gt;0,"subsolo",-Y167&amp;"º subsolo"),IF(Y167=0,"térreo",Y167&amp;"º pav.")),W167&amp;" de "&amp;V167&amp;" concluídas")&amp;IF(Z167="","",IF(OR(Y167="",Z167&gt;Y167),", executando "&amp;IF(Z167&lt;0,IF(COUNTIF($E$5:$E$6004,"SUBSOLO*")&gt;0,"subsolo",-Z167&amp;"º subsolo"),IF(Z167=0,"térreo",Z167&amp;"º pav."))," (restam serviços no "&amp;IF(Z167&lt;0,IF(COUNTIF($E$5:$E$6004,"SUBSOLO*")&gt;0,"subsolo",-Z167&amp;"º subsolo"),IF(Z167=0,"térreo",Z167&amp;"º pav."))&amp;")"))))))</f>
        <v/>
      </c>
    </row>
    <row r="168">
      <c r="B168" s="4" t="n">
        <v>28645974</v>
      </c>
      <c r="C168" s="4" t="inlineStr">
        <is>
          <t>FUNDAÇÃO SUPERFICIAL - FASE 3</t>
        </is>
      </c>
      <c r="D168" s="4" t="inlineStr">
        <is>
          <t>Concreto - BL 4 / 6</t>
        </is>
      </c>
      <c r="E168" s="4" t="inlineStr">
        <is>
          <t>SERVIÇOS INICIAIS</t>
        </is>
      </c>
      <c r="F168" s="126" t="n">
        <v>46164</v>
      </c>
      <c r="G168" s="126" t="n">
        <v>46164</v>
      </c>
      <c r="H168" s="126" t="n">
        <v>46289</v>
      </c>
      <c r="I168" s="4" t="n">
        <v>0</v>
      </c>
      <c r="J168" s="4" t="n">
        <v>100</v>
      </c>
      <c r="K168" s="4" t="n">
        <v>100</v>
      </c>
      <c r="M168" s="2">
        <f>IF(C168="","",IFERROR(INDEX($S$5:$S$304,MATCH(C168,$R$5:$R$304,0))&amp;"","?"))</f>
        <v/>
      </c>
      <c r="N168" s="2">
        <f>IF(E168="","",IF(ISNUMBER(SEARCH("SUBSOLO",E168)),IFERROR(-VALUE(LEFT(E168,FIND("º",SUBSTITUTE(E168,"°","º"))-1)),-1),IF(LEFT(E168,6)="TÉRREO",0,IFERROR(VALUE(LEFT(E168,FIND("º",SUBSTITUTE(E168,"°","º"))-1)),""))))</f>
        <v/>
      </c>
      <c r="O168" s="2">
        <f>IF(OR(F168="",G168=""),"",IF(G168&lt;='RETRATO 2027'!$K$5,"CONCLUÍDA",IF(F168&lt;='RETRATO 2027'!$K$5,"EM ANDAMENTO","A INICIAR")))</f>
        <v/>
      </c>
      <c r="R168" s="4" t="inlineStr">
        <is>
          <t>PISO ELEVADO</t>
        </is>
      </c>
      <c r="S168" s="4" t="inlineStr">
        <is>
          <t>30</t>
        </is>
      </c>
      <c r="T168" s="4" t="inlineStr">
        <is>
          <t>Piso elevado</t>
        </is>
      </c>
      <c r="U168" s="4" t="inlineStr">
        <is>
          <t>NÃO</t>
        </is>
      </c>
      <c r="V168" s="2">
        <f>IF(R168="","",COUNTIF($C$5:$C$6004,R168))</f>
        <v/>
      </c>
      <c r="W168" s="2">
        <f>IF(R168="","",COUNTIFS($C$5:$C$6004,R168,$O$5:$O$6004,"CONCLUÍDA"))</f>
        <v/>
      </c>
      <c r="X168" s="2">
        <f>IF(R168="","",COUNTIFS($C$5:$C$6004,R168,$O$5:$O$6004,"EM ANDAMENTO"))</f>
        <v/>
      </c>
      <c r="Y168" s="2">
        <f>IF(R168="","",IF(COUNTIFS($C$5:$C$6004,R168,$O$5:$O$6004,"CONCLUÍDA",$N$5:$N$6004,"&gt;=-99")=0,"",_xlfn.MAXIFS($N$5:$N$6004,$C$5:$C$6004,R168,$O$5:$O$6004,"CONCLUÍDA")))</f>
        <v/>
      </c>
      <c r="Z168" s="2">
        <f>IF(R168="","",IF(COUNTIFS($C$5:$C$6004,R168,$O$5:$O$6004,"EM ANDAMENTO",$N$5:$N$6004,"&gt;=-99")=0,"",_xlfn.MAXIFS($N$5:$N$6004,$C$5:$C$6004,R168,$O$5:$O$6004,"EM ANDAMENTO")))</f>
        <v/>
      </c>
      <c r="AA168" s="2">
        <f>IF(OR(R168="",S168="",U168&lt;&gt;"SIM",V168=0),"",IF(W168+X168=0,"",T168&amp;": "&amp;IF(W168=V168,"concluído",IF(W168=0,"em execução"&amp;IF(Z168&lt;&gt;""," ("&amp;IF(Z168&lt;0,IF(COUNTIF($E$5:$E$6004,"SUBSOLO*")&gt;0,"subsolo",-Z168&amp;"º subsolo"),IF(Z168=0,"térreo",Z168&amp;"º pav."))&amp;")",""),IF(Y168&lt;&gt;"","até "&amp;IF(Y168&lt;0,IF(COUNTIF($E$5:$E$6004,"SUBSOLO*")&gt;0,"subsolo",-Y168&amp;"º subsolo"),IF(Y168=0,"térreo",Y168&amp;"º pav.")),W168&amp;" de "&amp;V168&amp;" concluídas")&amp;IF(Z168="","",IF(OR(Y168="",Z168&gt;Y168),", executando "&amp;IF(Z168&lt;0,IF(COUNTIF($E$5:$E$6004,"SUBSOLO*")&gt;0,"subsolo",-Z168&amp;"º subsolo"),IF(Z168=0,"térreo",Z168&amp;"º pav."))," (restam serviços no "&amp;IF(Z168&lt;0,IF(COUNTIF($E$5:$E$6004,"SUBSOLO*")&gt;0,"subsolo",-Z168&amp;"º subsolo"),IF(Z168=0,"térreo",Z168&amp;"º pav."))&amp;")"))))))</f>
        <v/>
      </c>
    </row>
    <row r="169">
      <c r="B169" s="4" t="n">
        <v>28645975</v>
      </c>
      <c r="C169" s="4" t="inlineStr">
        <is>
          <t>FUNDAÇÃO SUPERFICIAL - FASE 3</t>
        </is>
      </c>
      <c r="D169" s="4" t="inlineStr">
        <is>
          <t xml:space="preserve">Escavação / Arrasamento </t>
        </is>
      </c>
      <c r="E169" s="4" t="inlineStr">
        <is>
          <t>SERVIÇOS INICIAIS</t>
        </is>
      </c>
      <c r="F169" s="126" t="n">
        <v>46167</v>
      </c>
      <c r="G169" s="126" t="n">
        <v>46171</v>
      </c>
      <c r="H169" s="126" t="n">
        <v>46289</v>
      </c>
      <c r="I169" s="4" t="n">
        <v>0</v>
      </c>
      <c r="J169" s="4" t="n">
        <v>100</v>
      </c>
      <c r="K169" s="4" t="n">
        <v>100</v>
      </c>
      <c r="M169" s="2">
        <f>IF(C169="","",IFERROR(INDEX($S$5:$S$304,MATCH(C169,$R$5:$R$304,0))&amp;"","?"))</f>
        <v/>
      </c>
      <c r="N169" s="2">
        <f>IF(E169="","",IF(ISNUMBER(SEARCH("SUBSOLO",E169)),IFERROR(-VALUE(LEFT(E169,FIND("º",SUBSTITUTE(E169,"°","º"))-1)),-1),IF(LEFT(E169,6)="TÉRREO",0,IFERROR(VALUE(LEFT(E169,FIND("º",SUBSTITUTE(E169,"°","º"))-1)),""))))</f>
        <v/>
      </c>
      <c r="O169" s="2">
        <f>IF(OR(F169="",G169=""),"",IF(G169&lt;='RETRATO 2027'!$K$5,"CONCLUÍDA",IF(F169&lt;='RETRATO 2027'!$K$5,"EM ANDAMENTO","A INICIAR")))</f>
        <v/>
      </c>
      <c r="R169" s="4" t="inlineStr">
        <is>
          <t>TRATAMENTO DE CONCRETO APARENTE - F5</t>
        </is>
      </c>
      <c r="S169" s="4" t="inlineStr">
        <is>
          <t>35</t>
        </is>
      </c>
      <c r="T169" s="4" t="inlineStr">
        <is>
          <t>Tratamento de concreto aparente - F5</t>
        </is>
      </c>
      <c r="U169" s="4" t="inlineStr">
        <is>
          <t>NÃO</t>
        </is>
      </c>
      <c r="V169" s="2">
        <f>IF(R169="","",COUNTIF($C$5:$C$6004,R169))</f>
        <v/>
      </c>
      <c r="W169" s="2">
        <f>IF(R169="","",COUNTIFS($C$5:$C$6004,R169,$O$5:$O$6004,"CONCLUÍDA"))</f>
        <v/>
      </c>
      <c r="X169" s="2">
        <f>IF(R169="","",COUNTIFS($C$5:$C$6004,R169,$O$5:$O$6004,"EM ANDAMENTO"))</f>
        <v/>
      </c>
      <c r="Y169" s="2">
        <f>IF(R169="","",IF(COUNTIFS($C$5:$C$6004,R169,$O$5:$O$6004,"CONCLUÍDA",$N$5:$N$6004,"&gt;=-99")=0,"",_xlfn.MAXIFS($N$5:$N$6004,$C$5:$C$6004,R169,$O$5:$O$6004,"CONCLUÍDA")))</f>
        <v/>
      </c>
      <c r="Z169" s="2">
        <f>IF(R169="","",IF(COUNTIFS($C$5:$C$6004,R169,$O$5:$O$6004,"EM ANDAMENTO",$N$5:$N$6004,"&gt;=-99")=0,"",_xlfn.MAXIFS($N$5:$N$6004,$C$5:$C$6004,R169,$O$5:$O$6004,"EM ANDAMENTO")))</f>
        <v/>
      </c>
      <c r="AA169" s="2">
        <f>IF(OR(R169="",S169="",U169&lt;&gt;"SIM",V169=0),"",IF(W169+X169=0,"",T169&amp;": "&amp;IF(W169=V169,"concluído",IF(W169=0,"em execução"&amp;IF(Z169&lt;&gt;""," ("&amp;IF(Z169&lt;0,IF(COUNTIF($E$5:$E$6004,"SUBSOLO*")&gt;0,"subsolo",-Z169&amp;"º subsolo"),IF(Z169=0,"térreo",Z169&amp;"º pav."))&amp;")",""),IF(Y169&lt;&gt;"","até "&amp;IF(Y169&lt;0,IF(COUNTIF($E$5:$E$6004,"SUBSOLO*")&gt;0,"subsolo",-Y169&amp;"º subsolo"),IF(Y169=0,"térreo",Y169&amp;"º pav.")),W169&amp;" de "&amp;V169&amp;" concluídas")&amp;IF(Z169="","",IF(OR(Y169="",Z169&gt;Y169),", executando "&amp;IF(Z169&lt;0,IF(COUNTIF($E$5:$E$6004,"SUBSOLO*")&gt;0,"subsolo",-Z169&amp;"º subsolo"),IF(Z169=0,"térreo",Z169&amp;"º pav."))," (restam serviços no "&amp;IF(Z169&lt;0,IF(COUNTIF($E$5:$E$6004,"SUBSOLO*")&gt;0,"subsolo",-Z169&amp;"º subsolo"),IF(Z169=0,"térreo",Z169&amp;"º pav."))&amp;")"))))))</f>
        <v/>
      </c>
    </row>
    <row r="170">
      <c r="B170" s="4" t="n">
        <v>28645976</v>
      </c>
      <c r="C170" s="4" t="inlineStr">
        <is>
          <t>FUNDAÇÃO SUPERFICIAL - FASE 3</t>
        </is>
      </c>
      <c r="D170" s="4" t="inlineStr">
        <is>
          <t>Escavação / Armação - BL 135</t>
        </is>
      </c>
      <c r="E170" s="4" t="inlineStr">
        <is>
          <t>SERVIÇOS INICIAIS</t>
        </is>
      </c>
      <c r="F170" s="126" t="n">
        <v>46167</v>
      </c>
      <c r="G170" s="126" t="n">
        <v>46188</v>
      </c>
      <c r="H170" s="126" t="n">
        <v>46289</v>
      </c>
      <c r="I170" s="4" t="n">
        <v>0</v>
      </c>
      <c r="J170" s="4" t="n">
        <v>100</v>
      </c>
      <c r="K170" s="4" t="n">
        <v>100</v>
      </c>
      <c r="M170" s="2">
        <f>IF(C170="","",IFERROR(INDEX($S$5:$S$304,MATCH(C170,$R$5:$R$304,0))&amp;"","?"))</f>
        <v/>
      </c>
      <c r="N170" s="2">
        <f>IF(E170="","",IF(ISNUMBER(SEARCH("SUBSOLO",E170)),IFERROR(-VALUE(LEFT(E170,FIND("º",SUBSTITUTE(E170,"°","º"))-1)),-1),IF(LEFT(E170,6)="TÉRREO",0,IFERROR(VALUE(LEFT(E170,FIND("º",SUBSTITUTE(E170,"°","º"))-1)),""))))</f>
        <v/>
      </c>
      <c r="O170" s="2">
        <f>IF(OR(F170="",G170=""),"",IF(G170&lt;='RETRATO 2027'!$K$5,"CONCLUÍDA",IF(F170&lt;='RETRATO 2027'!$K$5,"EM ANDAMENTO","A INICIAR")))</f>
        <v/>
      </c>
      <c r="R170" s="4" t="inlineStr">
        <is>
          <t>CHECKLIST FINAL</t>
        </is>
      </c>
      <c r="S170" s="4" t="n"/>
      <c r="T170" s="4" t="inlineStr">
        <is>
          <t>Checklist final</t>
        </is>
      </c>
      <c r="U170" s="4" t="inlineStr">
        <is>
          <t>SIM</t>
        </is>
      </c>
      <c r="V170" s="2">
        <f>IF(R170="","",COUNTIF($C$5:$C$6004,R170))</f>
        <v/>
      </c>
      <c r="W170" s="2">
        <f>IF(R170="","",COUNTIFS($C$5:$C$6004,R170,$O$5:$O$6004,"CONCLUÍDA"))</f>
        <v/>
      </c>
      <c r="X170" s="2">
        <f>IF(R170="","",COUNTIFS($C$5:$C$6004,R170,$O$5:$O$6004,"EM ANDAMENTO"))</f>
        <v/>
      </c>
      <c r="Y170" s="2">
        <f>IF(R170="","",IF(COUNTIFS($C$5:$C$6004,R170,$O$5:$O$6004,"CONCLUÍDA",$N$5:$N$6004,"&gt;=-99")=0,"",_xlfn.MAXIFS($N$5:$N$6004,$C$5:$C$6004,R170,$O$5:$O$6004,"CONCLUÍDA")))</f>
        <v/>
      </c>
      <c r="Z170" s="2">
        <f>IF(R170="","",IF(COUNTIFS($C$5:$C$6004,R170,$O$5:$O$6004,"EM ANDAMENTO",$N$5:$N$6004,"&gt;=-99")=0,"",_xlfn.MAXIFS($N$5:$N$6004,$C$5:$C$6004,R170,$O$5:$O$6004,"EM ANDAMENTO")))</f>
        <v/>
      </c>
      <c r="AA170" s="2">
        <f>IF(OR(R170="",S170="",U170&lt;&gt;"SIM",V170=0),"",IF(W170+X170=0,"",T170&amp;": "&amp;IF(W170=V170,"concluído",IF(W170=0,"em execução"&amp;IF(Z170&lt;&gt;""," ("&amp;IF(Z170&lt;0,IF(COUNTIF($E$5:$E$6004,"SUBSOLO*")&gt;0,"subsolo",-Z170&amp;"º subsolo"),IF(Z170=0,"térreo",Z170&amp;"º pav."))&amp;")",""),IF(Y170&lt;&gt;"","até "&amp;IF(Y170&lt;0,IF(COUNTIF($E$5:$E$6004,"SUBSOLO*")&gt;0,"subsolo",-Y170&amp;"º subsolo"),IF(Y170=0,"térreo",Y170&amp;"º pav.")),W170&amp;" de "&amp;V170&amp;" concluídas")&amp;IF(Z170="","",IF(OR(Y170="",Z170&gt;Y170),", executando "&amp;IF(Z170&lt;0,IF(COUNTIF($E$5:$E$6004,"SUBSOLO*")&gt;0,"subsolo",-Z170&amp;"º subsolo"),IF(Z170=0,"térreo",Z170&amp;"º pav."))," (restam serviços no "&amp;IF(Z170&lt;0,IF(COUNTIF($E$5:$E$6004,"SUBSOLO*")&gt;0,"subsolo",-Z170&amp;"º subsolo"),IF(Z170=0,"térreo",Z170&amp;"º pav."))&amp;")"))))))</f>
        <v/>
      </c>
    </row>
    <row r="171">
      <c r="B171" s="4" t="n">
        <v>28645977</v>
      </c>
      <c r="C171" s="4" t="inlineStr">
        <is>
          <t>FUNDAÇÃO SUPERFICIAL - FASE 3</t>
        </is>
      </c>
      <c r="D171" s="4" t="inlineStr">
        <is>
          <t>Forma - BL  134 / 135</t>
        </is>
      </c>
      <c r="E171" s="4" t="inlineStr">
        <is>
          <t>SERVIÇOS INICIAIS</t>
        </is>
      </c>
      <c r="F171" s="126" t="n">
        <v>46167</v>
      </c>
      <c r="G171" s="126" t="n">
        <v>46213</v>
      </c>
      <c r="H171" s="126" t="n">
        <v>46289</v>
      </c>
      <c r="I171" s="4" t="n">
        <v>0</v>
      </c>
      <c r="J171" s="4" t="n">
        <v>100</v>
      </c>
      <c r="K171" s="4" t="n">
        <v>100</v>
      </c>
      <c r="M171" s="2">
        <f>IF(C171="","",IFERROR(INDEX($S$5:$S$304,MATCH(C171,$R$5:$R$304,0))&amp;"","?"))</f>
        <v/>
      </c>
      <c r="N171" s="2">
        <f>IF(E171="","",IF(ISNUMBER(SEARCH("SUBSOLO",E171)),IFERROR(-VALUE(LEFT(E171,FIND("º",SUBSTITUTE(E171,"°","º"))-1)),-1),IF(LEFT(E171,6)="TÉRREO",0,IFERROR(VALUE(LEFT(E171,FIND("º",SUBSTITUTE(E171,"°","º"))-1)),""))))</f>
        <v/>
      </c>
      <c r="O171" s="2">
        <f>IF(OR(F171="",G171=""),"",IF(G171&lt;='RETRATO 2027'!$K$5,"CONCLUÍDA",IF(F171&lt;='RETRATO 2027'!$K$5,"EM ANDAMENTO","A INICIAR")))</f>
        <v/>
      </c>
      <c r="R171" s="4" t="inlineStr">
        <is>
          <t>ENXOVAL</t>
        </is>
      </c>
      <c r="S171" s="4" t="n"/>
      <c r="T171" s="4" t="inlineStr">
        <is>
          <t>Enxoval</t>
        </is>
      </c>
      <c r="U171" s="4" t="inlineStr">
        <is>
          <t>NÃO</t>
        </is>
      </c>
      <c r="V171" s="2">
        <f>IF(R171="","",COUNTIF($C$5:$C$6004,R171))</f>
        <v/>
      </c>
      <c r="W171" s="2">
        <f>IF(R171="","",COUNTIFS($C$5:$C$6004,R171,$O$5:$O$6004,"CONCLUÍDA"))</f>
        <v/>
      </c>
      <c r="X171" s="2">
        <f>IF(R171="","",COUNTIFS($C$5:$C$6004,R171,$O$5:$O$6004,"EM ANDAMENTO"))</f>
        <v/>
      </c>
      <c r="Y171" s="2">
        <f>IF(R171="","",IF(COUNTIFS($C$5:$C$6004,R171,$O$5:$O$6004,"CONCLUÍDA",$N$5:$N$6004,"&gt;=-99")=0,"",_xlfn.MAXIFS($N$5:$N$6004,$C$5:$C$6004,R171,$O$5:$O$6004,"CONCLUÍDA")))</f>
        <v/>
      </c>
      <c r="Z171" s="2">
        <f>IF(R171="","",IF(COUNTIFS($C$5:$C$6004,R171,$O$5:$O$6004,"EM ANDAMENTO",$N$5:$N$6004,"&gt;=-99")=0,"",_xlfn.MAXIFS($N$5:$N$6004,$C$5:$C$6004,R171,$O$5:$O$6004,"EM ANDAMENTO")))</f>
        <v/>
      </c>
      <c r="AA171" s="2">
        <f>IF(OR(R171="",S171="",U171&lt;&gt;"SIM",V171=0),"",IF(W171+X171=0,"",T171&amp;": "&amp;IF(W171=V171,"concluído",IF(W171=0,"em execução"&amp;IF(Z171&lt;&gt;""," ("&amp;IF(Z171&lt;0,IF(COUNTIF($E$5:$E$6004,"SUBSOLO*")&gt;0,"subsolo",-Z171&amp;"º subsolo"),IF(Z171=0,"térreo",Z171&amp;"º pav."))&amp;")",""),IF(Y171&lt;&gt;"","até "&amp;IF(Y171&lt;0,IF(COUNTIF($E$5:$E$6004,"SUBSOLO*")&gt;0,"subsolo",-Y171&amp;"º subsolo"),IF(Y171=0,"térreo",Y171&amp;"º pav.")),W171&amp;" de "&amp;V171&amp;" concluídas")&amp;IF(Z171="","",IF(OR(Y171="",Z171&gt;Y171),", executando "&amp;IF(Z171&lt;0,IF(COUNTIF($E$5:$E$6004,"SUBSOLO*")&gt;0,"subsolo",-Z171&amp;"º subsolo"),IF(Z171=0,"térreo",Z171&amp;"º pav."))," (restam serviços no "&amp;IF(Z171&lt;0,IF(COUNTIF($E$5:$E$6004,"SUBSOLO*")&gt;0,"subsolo",-Z171&amp;"º subsolo"),IF(Z171=0,"térreo",Z171&amp;"º pav."))&amp;")"))))))</f>
        <v/>
      </c>
    </row>
    <row r="172">
      <c r="B172" s="4" t="n">
        <v>28645978</v>
      </c>
      <c r="C172" s="4" t="inlineStr">
        <is>
          <t>FUNDAÇÃO SUPERFICIAL - FASE 3</t>
        </is>
      </c>
      <c r="D172" s="4" t="inlineStr">
        <is>
          <t>Concreto - BL 134 / 135</t>
        </is>
      </c>
      <c r="E172" s="4" t="inlineStr">
        <is>
          <t>SERVIÇOS INICIAIS</t>
        </is>
      </c>
      <c r="F172" s="126" t="n">
        <v>46213</v>
      </c>
      <c r="G172" s="126" t="n">
        <v>46213</v>
      </c>
      <c r="H172" s="126" t="n">
        <v>46289</v>
      </c>
      <c r="I172" s="4" t="n">
        <v>0</v>
      </c>
      <c r="J172" s="4" t="n">
        <v>100</v>
      </c>
      <c r="K172" s="4" t="n">
        <v>100</v>
      </c>
      <c r="M172" s="2">
        <f>IF(C172="","",IFERROR(INDEX($S$5:$S$304,MATCH(C172,$R$5:$R$304,0))&amp;"","?"))</f>
        <v/>
      </c>
      <c r="N172" s="2">
        <f>IF(E172="","",IF(ISNUMBER(SEARCH("SUBSOLO",E172)),IFERROR(-VALUE(LEFT(E172,FIND("º",SUBSTITUTE(E172,"°","º"))-1)),-1),IF(LEFT(E172,6)="TÉRREO",0,IFERROR(VALUE(LEFT(E172,FIND("º",SUBSTITUTE(E172,"°","º"))-1)),""))))</f>
        <v/>
      </c>
      <c r="O172" s="2">
        <f>IF(OR(F172="",G172=""),"",IF(G172&lt;='RETRATO 2027'!$K$5,"CONCLUÍDA",IF(F172&lt;='RETRATO 2027'!$K$5,"EM ANDAMENTO","A INICIAR")))</f>
        <v/>
      </c>
      <c r="R172" s="4" t="inlineStr">
        <is>
          <t>VISTORIA APTOS</t>
        </is>
      </c>
      <c r="S172" s="4" t="n"/>
      <c r="T172" s="4" t="inlineStr">
        <is>
          <t>Vistoria aptos</t>
        </is>
      </c>
      <c r="U172" s="4" t="inlineStr">
        <is>
          <t>SIM</t>
        </is>
      </c>
      <c r="V172" s="2">
        <f>IF(R172="","",COUNTIF($C$5:$C$6004,R172))</f>
        <v/>
      </c>
      <c r="W172" s="2">
        <f>IF(R172="","",COUNTIFS($C$5:$C$6004,R172,$O$5:$O$6004,"CONCLUÍDA"))</f>
        <v/>
      </c>
      <c r="X172" s="2">
        <f>IF(R172="","",COUNTIFS($C$5:$C$6004,R172,$O$5:$O$6004,"EM ANDAMENTO"))</f>
        <v/>
      </c>
      <c r="Y172" s="2">
        <f>IF(R172="","",IF(COUNTIFS($C$5:$C$6004,R172,$O$5:$O$6004,"CONCLUÍDA",$N$5:$N$6004,"&gt;=-99")=0,"",_xlfn.MAXIFS($N$5:$N$6004,$C$5:$C$6004,R172,$O$5:$O$6004,"CONCLUÍDA")))</f>
        <v/>
      </c>
      <c r="Z172" s="2">
        <f>IF(R172="","",IF(COUNTIFS($C$5:$C$6004,R172,$O$5:$O$6004,"EM ANDAMENTO",$N$5:$N$6004,"&gt;=-99")=0,"",_xlfn.MAXIFS($N$5:$N$6004,$C$5:$C$6004,R172,$O$5:$O$6004,"EM ANDAMENTO")))</f>
        <v/>
      </c>
      <c r="AA172" s="2">
        <f>IF(OR(R172="",S172="",U172&lt;&gt;"SIM",V172=0),"",IF(W172+X172=0,"",T172&amp;": "&amp;IF(W172=V172,"concluído",IF(W172=0,"em execução"&amp;IF(Z172&lt;&gt;""," ("&amp;IF(Z172&lt;0,IF(COUNTIF($E$5:$E$6004,"SUBSOLO*")&gt;0,"subsolo",-Z172&amp;"º subsolo"),IF(Z172=0,"térreo",Z172&amp;"º pav."))&amp;")",""),IF(Y172&lt;&gt;"","até "&amp;IF(Y172&lt;0,IF(COUNTIF($E$5:$E$6004,"SUBSOLO*")&gt;0,"subsolo",-Y172&amp;"º subsolo"),IF(Y172=0,"térreo",Y172&amp;"º pav.")),W172&amp;" de "&amp;V172&amp;" concluídas")&amp;IF(Z172="","",IF(OR(Y172="",Z172&gt;Y172),", executando "&amp;IF(Z172&lt;0,IF(COUNTIF($E$5:$E$6004,"SUBSOLO*")&gt;0,"subsolo",-Z172&amp;"º subsolo"),IF(Z172=0,"térreo",Z172&amp;"º pav."))," (restam serviços no "&amp;IF(Z172&lt;0,IF(COUNTIF($E$5:$E$6004,"SUBSOLO*")&gt;0,"subsolo",-Z172&amp;"º subsolo"),IF(Z172=0,"térreo",Z172&amp;"º pav."))&amp;")"))))))</f>
        <v/>
      </c>
    </row>
    <row r="173">
      <c r="B173" s="4" t="n">
        <v>45337789</v>
      </c>
      <c r="C173" s="4" t="inlineStr">
        <is>
          <t>FUNDAÇÃO SUPERFICIAL - NUCLEO</t>
        </is>
      </c>
      <c r="D173" s="4" t="inlineStr">
        <is>
          <t>-</t>
        </is>
      </c>
      <c r="E173" s="4" t="inlineStr">
        <is>
          <t>SUBSOLO</t>
        </is>
      </c>
      <c r="F173" s="126" t="n">
        <v>46167</v>
      </c>
      <c r="G173" s="126" t="n">
        <v>46206</v>
      </c>
      <c r="H173" s="126" t="n">
        <v>46289</v>
      </c>
      <c r="I173" s="4" t="n">
        <v>0</v>
      </c>
      <c r="J173" s="4" t="n">
        <v>100</v>
      </c>
      <c r="K173" s="4" t="n">
        <v>100</v>
      </c>
      <c r="M173" s="2">
        <f>IF(C173="","",IFERROR(INDEX($S$5:$S$304,MATCH(C173,$R$5:$R$304,0))&amp;"","?"))</f>
        <v/>
      </c>
      <c r="N173" s="2">
        <f>IF(E173="","",IF(ISNUMBER(SEARCH("SUBSOLO",E173)),IFERROR(-VALUE(LEFT(E173,FIND("º",SUBSTITUTE(E173,"°","º"))-1)),-1),IF(LEFT(E173,6)="TÉRREO",0,IFERROR(VALUE(LEFT(E173,FIND("º",SUBSTITUTE(E173,"°","º"))-1)),""))))</f>
        <v/>
      </c>
      <c r="O173" s="2">
        <f>IF(OR(F173="",G173=""),"",IF(G173&lt;='RETRATO 2027'!$K$5,"CONCLUÍDA",IF(F173&lt;='RETRATO 2027'!$K$5,"EM ANDAMENTO","A INICIAR")))</f>
        <v/>
      </c>
      <c r="R173" s="4" t="inlineStr">
        <is>
          <t>HABITE-SE</t>
        </is>
      </c>
      <c r="S173" s="4" t="n"/>
      <c r="T173" s="4" t="inlineStr">
        <is>
          <t>Habite-se</t>
        </is>
      </c>
      <c r="U173" s="4" t="inlineStr">
        <is>
          <t>NÃO</t>
        </is>
      </c>
      <c r="V173" s="2">
        <f>IF(R173="","",COUNTIF($C$5:$C$6004,R173))</f>
        <v/>
      </c>
      <c r="W173" s="2">
        <f>IF(R173="","",COUNTIFS($C$5:$C$6004,R173,$O$5:$O$6004,"CONCLUÍDA"))</f>
        <v/>
      </c>
      <c r="X173" s="2">
        <f>IF(R173="","",COUNTIFS($C$5:$C$6004,R173,$O$5:$O$6004,"EM ANDAMENTO"))</f>
        <v/>
      </c>
      <c r="Y173" s="2">
        <f>IF(R173="","",IF(COUNTIFS($C$5:$C$6004,R173,$O$5:$O$6004,"CONCLUÍDA",$N$5:$N$6004,"&gt;=-99")=0,"",_xlfn.MAXIFS($N$5:$N$6004,$C$5:$C$6004,R173,$O$5:$O$6004,"CONCLUÍDA")))</f>
        <v/>
      </c>
      <c r="Z173" s="2">
        <f>IF(R173="","",IF(COUNTIFS($C$5:$C$6004,R173,$O$5:$O$6004,"EM ANDAMENTO",$N$5:$N$6004,"&gt;=-99")=0,"",_xlfn.MAXIFS($N$5:$N$6004,$C$5:$C$6004,R173,$O$5:$O$6004,"EM ANDAMENTO")))</f>
        <v/>
      </c>
      <c r="AA173" s="2">
        <f>IF(OR(R173="",S173="",U173&lt;&gt;"SIM",V173=0),"",IF(W173+X173=0,"",T173&amp;": "&amp;IF(W173=V173,"concluído",IF(W173=0,"em execução"&amp;IF(Z173&lt;&gt;""," ("&amp;IF(Z173&lt;0,IF(COUNTIF($E$5:$E$6004,"SUBSOLO*")&gt;0,"subsolo",-Z173&amp;"º subsolo"),IF(Z173=0,"térreo",Z173&amp;"º pav."))&amp;")",""),IF(Y173&lt;&gt;"","até "&amp;IF(Y173&lt;0,IF(COUNTIF($E$5:$E$6004,"SUBSOLO*")&gt;0,"subsolo",-Y173&amp;"º subsolo"),IF(Y173=0,"térreo",Y173&amp;"º pav.")),W173&amp;" de "&amp;V173&amp;" concluídas")&amp;IF(Z173="","",IF(OR(Y173="",Z173&gt;Y173),", executando "&amp;IF(Z173&lt;0,IF(COUNTIF($E$5:$E$6004,"SUBSOLO*")&gt;0,"subsolo",-Z173&amp;"º subsolo"),IF(Z173=0,"térreo",Z173&amp;"º pav."))," (restam serviços no "&amp;IF(Z173&lt;0,IF(COUNTIF($E$5:$E$6004,"SUBSOLO*")&gt;0,"subsolo",-Z173&amp;"º subsolo"),IF(Z173=0,"térreo",Z173&amp;"º pav."))&amp;")"))))))</f>
        <v/>
      </c>
    </row>
    <row r="174">
      <c r="B174" s="4" t="n">
        <v>30973779</v>
      </c>
      <c r="C174" s="4" t="inlineStr">
        <is>
          <t>FUNDAÇÃO SUPERFICIAL - NUCLEO</t>
        </is>
      </c>
      <c r="D174" s="4" t="inlineStr">
        <is>
          <t>Escavação</t>
        </is>
      </c>
      <c r="E174" s="4" t="inlineStr">
        <is>
          <t>SUBSOLO</t>
        </is>
      </c>
      <c r="F174" s="126" t="n">
        <v>46167</v>
      </c>
      <c r="G174" s="126" t="n">
        <v>46171</v>
      </c>
      <c r="H174" s="126" t="n">
        <v>46289</v>
      </c>
      <c r="I174" s="4" t="n">
        <v>0</v>
      </c>
      <c r="J174" s="4" t="n">
        <v>100</v>
      </c>
      <c r="K174" s="4" t="n">
        <v>100</v>
      </c>
      <c r="M174" s="2">
        <f>IF(C174="","",IFERROR(INDEX($S$5:$S$304,MATCH(C174,$R$5:$R$304,0))&amp;"","?"))</f>
        <v/>
      </c>
      <c r="N174" s="2">
        <f>IF(E174="","",IF(ISNUMBER(SEARCH("SUBSOLO",E174)),IFERROR(-VALUE(LEFT(E174,FIND("º",SUBSTITUTE(E174,"°","º"))-1)),-1),IF(LEFT(E174,6)="TÉRREO",0,IFERROR(VALUE(LEFT(E174,FIND("º",SUBSTITUTE(E174,"°","º"))-1)),""))))</f>
        <v/>
      </c>
      <c r="O174" s="2">
        <f>IF(OR(F174="",G174=""),"",IF(G174&lt;='RETRATO 2027'!$K$5,"CONCLUÍDA",IF(F174&lt;='RETRATO 2027'!$K$5,"EM ANDAMENTO","A INICIAR")))</f>
        <v/>
      </c>
      <c r="R174" s="4" t="inlineStr">
        <is>
          <t>ENTREGA SÍNDICO</t>
        </is>
      </c>
      <c r="S174" s="4" t="n"/>
      <c r="T174" s="4" t="inlineStr">
        <is>
          <t>Entrega síndico</t>
        </is>
      </c>
      <c r="U174" s="4" t="inlineStr">
        <is>
          <t>NÃO</t>
        </is>
      </c>
      <c r="V174" s="2">
        <f>IF(R174="","",COUNTIF($C$5:$C$6004,R174))</f>
        <v/>
      </c>
      <c r="W174" s="2">
        <f>IF(R174="","",COUNTIFS($C$5:$C$6004,R174,$O$5:$O$6004,"CONCLUÍDA"))</f>
        <v/>
      </c>
      <c r="X174" s="2">
        <f>IF(R174="","",COUNTIFS($C$5:$C$6004,R174,$O$5:$O$6004,"EM ANDAMENTO"))</f>
        <v/>
      </c>
      <c r="Y174" s="2">
        <f>IF(R174="","",IF(COUNTIFS($C$5:$C$6004,R174,$O$5:$O$6004,"CONCLUÍDA",$N$5:$N$6004,"&gt;=-99")=0,"",_xlfn.MAXIFS($N$5:$N$6004,$C$5:$C$6004,R174,$O$5:$O$6004,"CONCLUÍDA")))</f>
        <v/>
      </c>
      <c r="Z174" s="2">
        <f>IF(R174="","",IF(COUNTIFS($C$5:$C$6004,R174,$O$5:$O$6004,"EM ANDAMENTO",$N$5:$N$6004,"&gt;=-99")=0,"",_xlfn.MAXIFS($N$5:$N$6004,$C$5:$C$6004,R174,$O$5:$O$6004,"EM ANDAMENTO")))</f>
        <v/>
      </c>
      <c r="AA174" s="2">
        <f>IF(OR(R174="",S174="",U174&lt;&gt;"SIM",V174=0),"",IF(W174+X174=0,"",T174&amp;": "&amp;IF(W174=V174,"concluído",IF(W174=0,"em execução"&amp;IF(Z174&lt;&gt;""," ("&amp;IF(Z174&lt;0,IF(COUNTIF($E$5:$E$6004,"SUBSOLO*")&gt;0,"subsolo",-Z174&amp;"º subsolo"),IF(Z174=0,"térreo",Z174&amp;"º pav."))&amp;")",""),IF(Y174&lt;&gt;"","até "&amp;IF(Y174&lt;0,IF(COUNTIF($E$5:$E$6004,"SUBSOLO*")&gt;0,"subsolo",-Y174&amp;"º subsolo"),IF(Y174=0,"térreo",Y174&amp;"º pav.")),W174&amp;" de "&amp;V174&amp;" concluídas")&amp;IF(Z174="","",IF(OR(Y174="",Z174&gt;Y174),", executando "&amp;IF(Z174&lt;0,IF(COUNTIF($E$5:$E$6004,"SUBSOLO*")&gt;0,"subsolo",-Z174&amp;"º subsolo"),IF(Z174=0,"térreo",Z174&amp;"º pav."))," (restam serviços no "&amp;IF(Z174&lt;0,IF(COUNTIF($E$5:$E$6004,"SUBSOLO*")&gt;0,"subsolo",-Z174&amp;"º subsolo"),IF(Z174=0,"térreo",Z174&amp;"º pav."))&amp;")"))))))</f>
        <v/>
      </c>
    </row>
    <row r="175">
      <c r="B175" s="4" t="n">
        <v>30973780</v>
      </c>
      <c r="C175" s="4" t="inlineStr">
        <is>
          <t>FUNDAÇÃO SUPERFICIAL - NUCLEO</t>
        </is>
      </c>
      <c r="D175" s="4" t="inlineStr">
        <is>
          <t>Arrasamento</t>
        </is>
      </c>
      <c r="E175" s="4" t="inlineStr">
        <is>
          <t>SUBSOLO</t>
        </is>
      </c>
      <c r="F175" s="126" t="n">
        <v>46174</v>
      </c>
      <c r="G175" s="126" t="n">
        <v>46181</v>
      </c>
      <c r="H175" s="126" t="n">
        <v>46289</v>
      </c>
      <c r="I175" s="4" t="n">
        <v>0</v>
      </c>
      <c r="J175" s="4" t="n">
        <v>100</v>
      </c>
      <c r="K175" s="4" t="n">
        <v>100</v>
      </c>
      <c r="M175" s="2">
        <f>IF(C175="","",IFERROR(INDEX($S$5:$S$304,MATCH(C175,$R$5:$R$304,0))&amp;"","?"))</f>
        <v/>
      </c>
      <c r="N175" s="2">
        <f>IF(E175="","",IF(ISNUMBER(SEARCH("SUBSOLO",E175)),IFERROR(-VALUE(LEFT(E175,FIND("º",SUBSTITUTE(E175,"°","º"))-1)),-1),IF(LEFT(E175,6)="TÉRREO",0,IFERROR(VALUE(LEFT(E175,FIND("º",SUBSTITUTE(E175,"°","º"))-1)),""))))</f>
        <v/>
      </c>
      <c r="O175" s="2">
        <f>IF(OR(F175="",G175=""),"",IF(G175&lt;='RETRATO 2027'!$K$5,"CONCLUÍDA",IF(F175&lt;='RETRATO 2027'!$K$5,"EM ANDAMENTO","A INICIAR")))</f>
        <v/>
      </c>
      <c r="R175" s="4" t="n"/>
      <c r="S175" s="4" t="n"/>
      <c r="T175" s="4" t="n"/>
      <c r="U175" s="4" t="n"/>
      <c r="V175" s="2">
        <f>IF(R175="","",COUNTIF($C$5:$C$6004,R175))</f>
        <v/>
      </c>
      <c r="W175" s="2">
        <f>IF(R175="","",COUNTIFS($C$5:$C$6004,R175,$O$5:$O$6004,"CONCLUÍDA"))</f>
        <v/>
      </c>
      <c r="X175" s="2">
        <f>IF(R175="","",COUNTIFS($C$5:$C$6004,R175,$O$5:$O$6004,"EM ANDAMENTO"))</f>
        <v/>
      </c>
      <c r="Y175" s="2">
        <f>IF(R175="","",IF(COUNTIFS($C$5:$C$6004,R175,$O$5:$O$6004,"CONCLUÍDA",$N$5:$N$6004,"&gt;=-99")=0,"",_xlfn.MAXIFS($N$5:$N$6004,$C$5:$C$6004,R175,$O$5:$O$6004,"CONCLUÍDA")))</f>
        <v/>
      </c>
      <c r="Z175" s="2">
        <f>IF(R175="","",IF(COUNTIFS($C$5:$C$6004,R175,$O$5:$O$6004,"EM ANDAMENTO",$N$5:$N$6004,"&gt;=-99")=0,"",_xlfn.MAXIFS($N$5:$N$6004,$C$5:$C$6004,R175,$O$5:$O$6004,"EM ANDAMENTO")))</f>
        <v/>
      </c>
      <c r="AA175" s="2">
        <f>IF(OR(R175="",S175="",U175&lt;&gt;"SIM",V175=0),"",IF(W175+X175=0,"",T175&amp;": "&amp;IF(W175=V175,"concluído",IF(W175=0,"em execução"&amp;IF(Z175&lt;&gt;""," ("&amp;IF(Z175&lt;0,IF(COUNTIF($E$5:$E$6004,"SUBSOLO*")&gt;0,"subsolo",-Z175&amp;"º subsolo"),IF(Z175=0,"térreo",Z175&amp;"º pav."))&amp;")",""),IF(Y175&lt;&gt;"","até "&amp;IF(Y175&lt;0,IF(COUNTIF($E$5:$E$6004,"SUBSOLO*")&gt;0,"subsolo",-Y175&amp;"º subsolo"),IF(Y175=0,"térreo",Y175&amp;"º pav.")),W175&amp;" de "&amp;V175&amp;" concluídas")&amp;IF(Z175="","",IF(OR(Y175="",Z175&gt;Y175),", executando "&amp;IF(Z175&lt;0,IF(COUNTIF($E$5:$E$6004,"SUBSOLO*")&gt;0,"subsolo",-Z175&amp;"º subsolo"),IF(Z175=0,"térreo",Z175&amp;"º pav."))," (restam serviços no "&amp;IF(Z175&lt;0,IF(COUNTIF($E$5:$E$6004,"SUBSOLO*")&gt;0,"subsolo",-Z175&amp;"º subsolo"),IF(Z175=0,"térreo",Z175&amp;"º pav."))&amp;")"))))))</f>
        <v/>
      </c>
    </row>
    <row r="176">
      <c r="B176" s="4" t="n">
        <v>30973781</v>
      </c>
      <c r="C176" s="4" t="inlineStr">
        <is>
          <t>FUNDAÇÃO SUPERFICIAL - NUCLEO</t>
        </is>
      </c>
      <c r="D176" s="4" t="inlineStr">
        <is>
          <t>Forma e Armação</t>
        </is>
      </c>
      <c r="E176" s="4" t="inlineStr">
        <is>
          <t>SUBSOLO</t>
        </is>
      </c>
      <c r="F176" s="126" t="n">
        <v>46182</v>
      </c>
      <c r="G176" s="126" t="n">
        <v>46195</v>
      </c>
      <c r="H176" s="126" t="n">
        <v>46289</v>
      </c>
      <c r="I176" s="4" t="n">
        <v>0</v>
      </c>
      <c r="J176" s="4" t="n">
        <v>100</v>
      </c>
      <c r="K176" s="4" t="n">
        <v>100</v>
      </c>
      <c r="M176" s="2">
        <f>IF(C176="","",IFERROR(INDEX($S$5:$S$304,MATCH(C176,$R$5:$R$304,0))&amp;"","?"))</f>
        <v/>
      </c>
      <c r="N176" s="2">
        <f>IF(E176="","",IF(ISNUMBER(SEARCH("SUBSOLO",E176)),IFERROR(-VALUE(LEFT(E176,FIND("º",SUBSTITUTE(E176,"°","º"))-1)),-1),IF(LEFT(E176,6)="TÉRREO",0,IFERROR(VALUE(LEFT(E176,FIND("º",SUBSTITUTE(E176,"°","º"))-1)),""))))</f>
        <v/>
      </c>
      <c r="O176" s="2">
        <f>IF(OR(F176="",G176=""),"",IF(G176&lt;='RETRATO 2027'!$K$5,"CONCLUÍDA",IF(F176&lt;='RETRATO 2027'!$K$5,"EM ANDAMENTO","A INICIAR")))</f>
        <v/>
      </c>
      <c r="R176" s="4" t="n"/>
      <c r="S176" s="4" t="n"/>
      <c r="T176" s="4" t="n"/>
      <c r="U176" s="4" t="n"/>
      <c r="V176" s="2">
        <f>IF(R176="","",COUNTIF($C$5:$C$6004,R176))</f>
        <v/>
      </c>
      <c r="W176" s="2">
        <f>IF(R176="","",COUNTIFS($C$5:$C$6004,R176,$O$5:$O$6004,"CONCLUÍDA"))</f>
        <v/>
      </c>
      <c r="X176" s="2">
        <f>IF(R176="","",COUNTIFS($C$5:$C$6004,R176,$O$5:$O$6004,"EM ANDAMENTO"))</f>
        <v/>
      </c>
      <c r="Y176" s="2">
        <f>IF(R176="","",IF(COUNTIFS($C$5:$C$6004,R176,$O$5:$O$6004,"CONCLUÍDA",$N$5:$N$6004,"&gt;=-99")=0,"",_xlfn.MAXIFS($N$5:$N$6004,$C$5:$C$6004,R176,$O$5:$O$6004,"CONCLUÍDA")))</f>
        <v/>
      </c>
      <c r="Z176" s="2">
        <f>IF(R176="","",IF(COUNTIFS($C$5:$C$6004,R176,$O$5:$O$6004,"EM ANDAMENTO",$N$5:$N$6004,"&gt;=-99")=0,"",_xlfn.MAXIFS($N$5:$N$6004,$C$5:$C$6004,R176,$O$5:$O$6004,"EM ANDAMENTO")))</f>
        <v/>
      </c>
      <c r="AA176" s="2">
        <f>IF(OR(R176="",S176="",U176&lt;&gt;"SIM",V176=0),"",IF(W176+X176=0,"",T176&amp;": "&amp;IF(W176=V176,"concluído",IF(W176=0,"em execução"&amp;IF(Z176&lt;&gt;""," ("&amp;IF(Z176&lt;0,IF(COUNTIF($E$5:$E$6004,"SUBSOLO*")&gt;0,"subsolo",-Z176&amp;"º subsolo"),IF(Z176=0,"térreo",Z176&amp;"º pav."))&amp;")",""),IF(Y176&lt;&gt;"","até "&amp;IF(Y176&lt;0,IF(COUNTIF($E$5:$E$6004,"SUBSOLO*")&gt;0,"subsolo",-Y176&amp;"º subsolo"),IF(Y176=0,"térreo",Y176&amp;"º pav.")),W176&amp;" de "&amp;V176&amp;" concluídas")&amp;IF(Z176="","",IF(OR(Y176="",Z176&gt;Y176),", executando "&amp;IF(Z176&lt;0,IF(COUNTIF($E$5:$E$6004,"SUBSOLO*")&gt;0,"subsolo",-Z176&amp;"º subsolo"),IF(Z176=0,"térreo",Z176&amp;"º pav."))," (restam serviços no "&amp;IF(Z176&lt;0,IF(COUNTIF($E$5:$E$6004,"SUBSOLO*")&gt;0,"subsolo",-Z176&amp;"º subsolo"),IF(Z176=0,"térreo",Z176&amp;"º pav."))&amp;")"))))))</f>
        <v/>
      </c>
    </row>
    <row r="177">
      <c r="B177" s="4" t="n">
        <v>30973782</v>
      </c>
      <c r="C177" s="4" t="inlineStr">
        <is>
          <t>FUNDAÇÃO SUPERFICIAL - NUCLEO</t>
        </is>
      </c>
      <c r="D177" s="4" t="inlineStr">
        <is>
          <t>Concreto</t>
        </is>
      </c>
      <c r="E177" s="4" t="inlineStr">
        <is>
          <t>SUBSOLO</t>
        </is>
      </c>
      <c r="F177" s="126" t="n">
        <v>46196</v>
      </c>
      <c r="G177" s="126" t="n">
        <v>46199</v>
      </c>
      <c r="H177" s="126" t="n">
        <v>46289</v>
      </c>
      <c r="I177" s="4" t="n">
        <v>0</v>
      </c>
      <c r="J177" s="4" t="n">
        <v>100</v>
      </c>
      <c r="K177" s="4" t="n">
        <v>100</v>
      </c>
      <c r="M177" s="2">
        <f>IF(C177="","",IFERROR(INDEX($S$5:$S$304,MATCH(C177,$R$5:$R$304,0))&amp;"","?"))</f>
        <v/>
      </c>
      <c r="N177" s="2">
        <f>IF(E177="","",IF(ISNUMBER(SEARCH("SUBSOLO",E177)),IFERROR(-VALUE(LEFT(E177,FIND("º",SUBSTITUTE(E177,"°","º"))-1)),-1),IF(LEFT(E177,6)="TÉRREO",0,IFERROR(VALUE(LEFT(E177,FIND("º",SUBSTITUTE(E177,"°","º"))-1)),""))))</f>
        <v/>
      </c>
      <c r="O177" s="2">
        <f>IF(OR(F177="",G177=""),"",IF(G177&lt;='RETRATO 2027'!$K$5,"CONCLUÍDA",IF(F177&lt;='RETRATO 2027'!$K$5,"EM ANDAMENTO","A INICIAR")))</f>
        <v/>
      </c>
      <c r="R177" s="4" t="n"/>
      <c r="S177" s="4" t="n"/>
      <c r="T177" s="4" t="n"/>
      <c r="U177" s="4" t="n"/>
      <c r="V177" s="2">
        <f>IF(R177="","",COUNTIF($C$5:$C$6004,R177))</f>
        <v/>
      </c>
      <c r="W177" s="2">
        <f>IF(R177="","",COUNTIFS($C$5:$C$6004,R177,$O$5:$O$6004,"CONCLUÍDA"))</f>
        <v/>
      </c>
      <c r="X177" s="2">
        <f>IF(R177="","",COUNTIFS($C$5:$C$6004,R177,$O$5:$O$6004,"EM ANDAMENTO"))</f>
        <v/>
      </c>
      <c r="Y177" s="2">
        <f>IF(R177="","",IF(COUNTIFS($C$5:$C$6004,R177,$O$5:$O$6004,"CONCLUÍDA",$N$5:$N$6004,"&gt;=-99")=0,"",_xlfn.MAXIFS($N$5:$N$6004,$C$5:$C$6004,R177,$O$5:$O$6004,"CONCLUÍDA")))</f>
        <v/>
      </c>
      <c r="Z177" s="2">
        <f>IF(R177="","",IF(COUNTIFS($C$5:$C$6004,R177,$O$5:$O$6004,"EM ANDAMENTO",$N$5:$N$6004,"&gt;=-99")=0,"",_xlfn.MAXIFS($N$5:$N$6004,$C$5:$C$6004,R177,$O$5:$O$6004,"EM ANDAMENTO")))</f>
        <v/>
      </c>
      <c r="AA177" s="2">
        <f>IF(OR(R177="",S177="",U177&lt;&gt;"SIM",V177=0),"",IF(W177+X177=0,"",T177&amp;": "&amp;IF(W177=V177,"concluído",IF(W177=0,"em execução"&amp;IF(Z177&lt;&gt;""," ("&amp;IF(Z177&lt;0,IF(COUNTIF($E$5:$E$6004,"SUBSOLO*")&gt;0,"subsolo",-Z177&amp;"º subsolo"),IF(Z177=0,"térreo",Z177&amp;"º pav."))&amp;")",""),IF(Y177&lt;&gt;"","até "&amp;IF(Y177&lt;0,IF(COUNTIF($E$5:$E$6004,"SUBSOLO*")&gt;0,"subsolo",-Y177&amp;"º subsolo"),IF(Y177=0,"térreo",Y177&amp;"º pav.")),W177&amp;" de "&amp;V177&amp;" concluídas")&amp;IF(Z177="","",IF(OR(Y177="",Z177&gt;Y177),", executando "&amp;IF(Z177&lt;0,IF(COUNTIF($E$5:$E$6004,"SUBSOLO*")&gt;0,"subsolo",-Z177&amp;"º subsolo"),IF(Z177=0,"térreo",Z177&amp;"º pav."))," (restam serviços no "&amp;IF(Z177&lt;0,IF(COUNTIF($E$5:$E$6004,"SUBSOLO*")&gt;0,"subsolo",-Z177&amp;"º subsolo"),IF(Z177=0,"térreo",Z177&amp;"º pav."))&amp;")"))))))</f>
        <v/>
      </c>
    </row>
    <row r="178">
      <c r="B178" s="4" t="n">
        <v>30973791</v>
      </c>
      <c r="C178" s="4" t="inlineStr">
        <is>
          <t>FUNDAÇÃO SUPERFICIAL - NUCLEO</t>
        </is>
      </c>
      <c r="D178" s="4" t="inlineStr">
        <is>
          <t>Desforma e Aterramento</t>
        </is>
      </c>
      <c r="E178" s="4" t="inlineStr">
        <is>
          <t>SUBSOLO</t>
        </is>
      </c>
      <c r="F178" s="126" t="n">
        <v>46202</v>
      </c>
      <c r="G178" s="126" t="n">
        <v>46206</v>
      </c>
      <c r="H178" s="126" t="n">
        <v>46289</v>
      </c>
      <c r="I178" s="4" t="n">
        <v>0</v>
      </c>
      <c r="J178" s="4" t="n">
        <v>100</v>
      </c>
      <c r="K178" s="4" t="n">
        <v>100</v>
      </c>
      <c r="M178" s="2">
        <f>IF(C178="","",IFERROR(INDEX($S$5:$S$304,MATCH(C178,$R$5:$R$304,0))&amp;"","?"))</f>
        <v/>
      </c>
      <c r="N178" s="2">
        <f>IF(E178="","",IF(ISNUMBER(SEARCH("SUBSOLO",E178)),IFERROR(-VALUE(LEFT(E178,FIND("º",SUBSTITUTE(E178,"°","º"))-1)),-1),IF(LEFT(E178,6)="TÉRREO",0,IFERROR(VALUE(LEFT(E178,FIND("º",SUBSTITUTE(E178,"°","º"))-1)),""))))</f>
        <v/>
      </c>
      <c r="O178" s="2">
        <f>IF(OR(F178="",G178=""),"",IF(G178&lt;='RETRATO 2027'!$K$5,"CONCLUÍDA",IF(F178&lt;='RETRATO 2027'!$K$5,"EM ANDAMENTO","A INICIAR")))</f>
        <v/>
      </c>
      <c r="R178" s="4" t="n"/>
      <c r="S178" s="4" t="n"/>
      <c r="T178" s="4" t="n"/>
      <c r="U178" s="4" t="n"/>
      <c r="V178" s="2">
        <f>IF(R178="","",COUNTIF($C$5:$C$6004,R178))</f>
        <v/>
      </c>
      <c r="W178" s="2">
        <f>IF(R178="","",COUNTIFS($C$5:$C$6004,R178,$O$5:$O$6004,"CONCLUÍDA"))</f>
        <v/>
      </c>
      <c r="X178" s="2">
        <f>IF(R178="","",COUNTIFS($C$5:$C$6004,R178,$O$5:$O$6004,"EM ANDAMENTO"))</f>
        <v/>
      </c>
      <c r="Y178" s="2">
        <f>IF(R178="","",IF(COUNTIFS($C$5:$C$6004,R178,$O$5:$O$6004,"CONCLUÍDA",$N$5:$N$6004,"&gt;=-99")=0,"",_xlfn.MAXIFS($N$5:$N$6004,$C$5:$C$6004,R178,$O$5:$O$6004,"CONCLUÍDA")))</f>
        <v/>
      </c>
      <c r="Z178" s="2">
        <f>IF(R178="","",IF(COUNTIFS($C$5:$C$6004,R178,$O$5:$O$6004,"EM ANDAMENTO",$N$5:$N$6004,"&gt;=-99")=0,"",_xlfn.MAXIFS($N$5:$N$6004,$C$5:$C$6004,R178,$O$5:$O$6004,"EM ANDAMENTO")))</f>
        <v/>
      </c>
      <c r="AA178" s="2">
        <f>IF(OR(R178="",S178="",U178&lt;&gt;"SIM",V178=0),"",IF(W178+X178=0,"",T178&amp;": "&amp;IF(W178=V178,"concluído",IF(W178=0,"em execução"&amp;IF(Z178&lt;&gt;""," ("&amp;IF(Z178&lt;0,IF(COUNTIF($E$5:$E$6004,"SUBSOLO*")&gt;0,"subsolo",-Z178&amp;"º subsolo"),IF(Z178=0,"térreo",Z178&amp;"º pav."))&amp;")",""),IF(Y178&lt;&gt;"","até "&amp;IF(Y178&lt;0,IF(COUNTIF($E$5:$E$6004,"SUBSOLO*")&gt;0,"subsolo",-Y178&amp;"º subsolo"),IF(Y178=0,"térreo",Y178&amp;"º pav.")),W178&amp;" de "&amp;V178&amp;" concluídas")&amp;IF(Z178="","",IF(OR(Y178="",Z178&gt;Y178),", executando "&amp;IF(Z178&lt;0,IF(COUNTIF($E$5:$E$6004,"SUBSOLO*")&gt;0,"subsolo",-Z178&amp;"º subsolo"),IF(Z178=0,"térreo",Z178&amp;"º pav."))," (restam serviços no "&amp;IF(Z178&lt;0,IF(COUNTIF($E$5:$E$6004,"SUBSOLO*")&gt;0,"subsolo",-Z178&amp;"º subsolo"),IF(Z178=0,"térreo",Z178&amp;"º pav."))&amp;")"))))))</f>
        <v/>
      </c>
    </row>
    <row r="179">
      <c r="B179" s="4" t="n">
        <v>44503963</v>
      </c>
      <c r="C179" s="4" t="inlineStr">
        <is>
          <t>FUNDAÇÃO SUPERFICIAL - FASE 4</t>
        </is>
      </c>
      <c r="D179" s="4" t="inlineStr">
        <is>
          <t>-</t>
        </is>
      </c>
      <c r="E179" s="4" t="inlineStr">
        <is>
          <t>SERVIÇOS INICIAIS</t>
        </is>
      </c>
      <c r="F179" s="126" t="n">
        <v>46174</v>
      </c>
      <c r="G179" s="126" t="n">
        <v>46213</v>
      </c>
      <c r="H179" s="126" t="n">
        <v>46289</v>
      </c>
      <c r="I179" s="4" t="n">
        <v>0</v>
      </c>
      <c r="J179" s="4" t="n">
        <v>100</v>
      </c>
      <c r="K179" s="4" t="n">
        <v>100</v>
      </c>
      <c r="M179" s="2">
        <f>IF(C179="","",IFERROR(INDEX($S$5:$S$304,MATCH(C179,$R$5:$R$304,0))&amp;"","?"))</f>
        <v/>
      </c>
      <c r="N179" s="2">
        <f>IF(E179="","",IF(ISNUMBER(SEARCH("SUBSOLO",E179)),IFERROR(-VALUE(LEFT(E179,FIND("º",SUBSTITUTE(E179,"°","º"))-1)),-1),IF(LEFT(E179,6)="TÉRREO",0,IFERROR(VALUE(LEFT(E179,FIND("º",SUBSTITUTE(E179,"°","º"))-1)),""))))</f>
        <v/>
      </c>
      <c r="O179" s="2">
        <f>IF(OR(F179="",G179=""),"",IF(G179&lt;='RETRATO 2027'!$K$5,"CONCLUÍDA",IF(F179&lt;='RETRATO 2027'!$K$5,"EM ANDAMENTO","A INICIAR")))</f>
        <v/>
      </c>
      <c r="R179" s="4" t="n"/>
      <c r="S179" s="4" t="n"/>
      <c r="T179" s="4" t="n"/>
      <c r="U179" s="4" t="n"/>
      <c r="V179" s="2">
        <f>IF(R179="","",COUNTIF($C$5:$C$6004,R179))</f>
        <v/>
      </c>
      <c r="W179" s="2">
        <f>IF(R179="","",COUNTIFS($C$5:$C$6004,R179,$O$5:$O$6004,"CONCLUÍDA"))</f>
        <v/>
      </c>
      <c r="X179" s="2">
        <f>IF(R179="","",COUNTIFS($C$5:$C$6004,R179,$O$5:$O$6004,"EM ANDAMENTO"))</f>
        <v/>
      </c>
      <c r="Y179" s="2">
        <f>IF(R179="","",IF(COUNTIFS($C$5:$C$6004,R179,$O$5:$O$6004,"CONCLUÍDA",$N$5:$N$6004,"&gt;=-99")=0,"",_xlfn.MAXIFS($N$5:$N$6004,$C$5:$C$6004,R179,$O$5:$O$6004,"CONCLUÍDA")))</f>
        <v/>
      </c>
      <c r="Z179" s="2">
        <f>IF(R179="","",IF(COUNTIFS($C$5:$C$6004,R179,$O$5:$O$6004,"EM ANDAMENTO",$N$5:$N$6004,"&gt;=-99")=0,"",_xlfn.MAXIFS($N$5:$N$6004,$C$5:$C$6004,R179,$O$5:$O$6004,"EM ANDAMENTO")))</f>
        <v/>
      </c>
      <c r="AA179" s="2">
        <f>IF(OR(R179="",S179="",U179&lt;&gt;"SIM",V179=0),"",IF(W179+X179=0,"",T179&amp;": "&amp;IF(W179=V179,"concluído",IF(W179=0,"em execução"&amp;IF(Z179&lt;&gt;""," ("&amp;IF(Z179&lt;0,IF(COUNTIF($E$5:$E$6004,"SUBSOLO*")&gt;0,"subsolo",-Z179&amp;"º subsolo"),IF(Z179=0,"térreo",Z179&amp;"º pav."))&amp;")",""),IF(Y179&lt;&gt;"","até "&amp;IF(Y179&lt;0,IF(COUNTIF($E$5:$E$6004,"SUBSOLO*")&gt;0,"subsolo",-Y179&amp;"º subsolo"),IF(Y179=0,"térreo",Y179&amp;"º pav.")),W179&amp;" de "&amp;V179&amp;" concluídas")&amp;IF(Z179="","",IF(OR(Y179="",Z179&gt;Y179),", executando "&amp;IF(Z179&lt;0,IF(COUNTIF($E$5:$E$6004,"SUBSOLO*")&gt;0,"subsolo",-Z179&amp;"º subsolo"),IF(Z179=0,"térreo",Z179&amp;"º pav."))," (restam serviços no "&amp;IF(Z179&lt;0,IF(COUNTIF($E$5:$E$6004,"SUBSOLO*")&gt;0,"subsolo",-Z179&amp;"º subsolo"),IF(Z179=0,"térreo",Z179&amp;"º pav."))&amp;")"))))))</f>
        <v/>
      </c>
    </row>
    <row r="180">
      <c r="B180" s="4" t="n">
        <v>28389436</v>
      </c>
      <c r="C180" s="4" t="inlineStr">
        <is>
          <t>FUNDAÇÃO SUPERFICIAL - FASE 4</t>
        </is>
      </c>
      <c r="D180" s="4" t="inlineStr">
        <is>
          <t>Escavação / Arrasamento - BL 14 / 122</t>
        </is>
      </c>
      <c r="E180" s="4" t="inlineStr">
        <is>
          <t>SERVIÇOS INICIAIS</t>
        </is>
      </c>
      <c r="F180" s="126" t="n">
        <v>46174</v>
      </c>
      <c r="G180" s="126" t="n">
        <v>46184</v>
      </c>
      <c r="H180" s="126" t="n">
        <v>46289</v>
      </c>
      <c r="I180" s="4" t="n">
        <v>0</v>
      </c>
      <c r="J180" s="4" t="n">
        <v>100</v>
      </c>
      <c r="K180" s="4" t="n">
        <v>100</v>
      </c>
      <c r="M180" s="2">
        <f>IF(C180="","",IFERROR(INDEX($S$5:$S$304,MATCH(C180,$R$5:$R$304,0))&amp;"","?"))</f>
        <v/>
      </c>
      <c r="N180" s="2">
        <f>IF(E180="","",IF(ISNUMBER(SEARCH("SUBSOLO",E180)),IFERROR(-VALUE(LEFT(E180,FIND("º",SUBSTITUTE(E180,"°","º"))-1)),-1),IF(LEFT(E180,6)="TÉRREO",0,IFERROR(VALUE(LEFT(E180,FIND("º",SUBSTITUTE(E180,"°","º"))-1)),""))))</f>
        <v/>
      </c>
      <c r="O180" s="2">
        <f>IF(OR(F180="",G180=""),"",IF(G180&lt;='RETRATO 2027'!$K$5,"CONCLUÍDA",IF(F180&lt;='RETRATO 2027'!$K$5,"EM ANDAMENTO","A INICIAR")))</f>
        <v/>
      </c>
      <c r="R180" s="4" t="n"/>
      <c r="S180" s="4" t="n"/>
      <c r="T180" s="4" t="n"/>
      <c r="U180" s="4" t="n"/>
      <c r="V180" s="2">
        <f>IF(R180="","",COUNTIF($C$5:$C$6004,R180))</f>
        <v/>
      </c>
      <c r="W180" s="2">
        <f>IF(R180="","",COUNTIFS($C$5:$C$6004,R180,$O$5:$O$6004,"CONCLUÍDA"))</f>
        <v/>
      </c>
      <c r="X180" s="2">
        <f>IF(R180="","",COUNTIFS($C$5:$C$6004,R180,$O$5:$O$6004,"EM ANDAMENTO"))</f>
        <v/>
      </c>
      <c r="Y180" s="2">
        <f>IF(R180="","",IF(COUNTIFS($C$5:$C$6004,R180,$O$5:$O$6004,"CONCLUÍDA",$N$5:$N$6004,"&gt;=-99")=0,"",_xlfn.MAXIFS($N$5:$N$6004,$C$5:$C$6004,R180,$O$5:$O$6004,"CONCLUÍDA")))</f>
        <v/>
      </c>
      <c r="Z180" s="2">
        <f>IF(R180="","",IF(COUNTIFS($C$5:$C$6004,R180,$O$5:$O$6004,"EM ANDAMENTO",$N$5:$N$6004,"&gt;=-99")=0,"",_xlfn.MAXIFS($N$5:$N$6004,$C$5:$C$6004,R180,$O$5:$O$6004,"EM ANDAMENTO")))</f>
        <v/>
      </c>
      <c r="AA180" s="2">
        <f>IF(OR(R180="",S180="",U180&lt;&gt;"SIM",V180=0),"",IF(W180+X180=0,"",T180&amp;": "&amp;IF(W180=V180,"concluído",IF(W180=0,"em execução"&amp;IF(Z180&lt;&gt;""," ("&amp;IF(Z180&lt;0,IF(COUNTIF($E$5:$E$6004,"SUBSOLO*")&gt;0,"subsolo",-Z180&amp;"º subsolo"),IF(Z180=0,"térreo",Z180&amp;"º pav."))&amp;")",""),IF(Y180&lt;&gt;"","até "&amp;IF(Y180&lt;0,IF(COUNTIF($E$5:$E$6004,"SUBSOLO*")&gt;0,"subsolo",-Y180&amp;"º subsolo"),IF(Y180=0,"térreo",Y180&amp;"º pav.")),W180&amp;" de "&amp;V180&amp;" concluídas")&amp;IF(Z180="","",IF(OR(Y180="",Z180&gt;Y180),", executando "&amp;IF(Z180&lt;0,IF(COUNTIF($E$5:$E$6004,"SUBSOLO*")&gt;0,"subsolo",-Z180&amp;"º subsolo"),IF(Z180=0,"térreo",Z180&amp;"º pav."))," (restam serviços no "&amp;IF(Z180&lt;0,IF(COUNTIF($E$5:$E$6004,"SUBSOLO*")&gt;0,"subsolo",-Z180&amp;"º subsolo"),IF(Z180=0,"térreo",Z180&amp;"º pav."))&amp;")"))))))</f>
        <v/>
      </c>
    </row>
    <row r="181">
      <c r="B181" s="4" t="n">
        <v>28389437</v>
      </c>
      <c r="C181" s="4" t="inlineStr">
        <is>
          <t>FUNDAÇÃO SUPERFICIAL - FASE 4</t>
        </is>
      </c>
      <c r="D181" s="4" t="inlineStr">
        <is>
          <t>Escavação / Arrasamento - BL 10 / 19 / 124 / 127</t>
        </is>
      </c>
      <c r="E181" s="4" t="inlineStr">
        <is>
          <t>SERVIÇOS INICIAIS</t>
        </is>
      </c>
      <c r="F181" s="126" t="n">
        <v>46185</v>
      </c>
      <c r="G181" s="126" t="n">
        <v>46192</v>
      </c>
      <c r="H181" s="126" t="n">
        <v>46289</v>
      </c>
      <c r="I181" s="4" t="n">
        <v>0</v>
      </c>
      <c r="J181" s="4" t="n">
        <v>100</v>
      </c>
      <c r="K181" s="4" t="n">
        <v>100</v>
      </c>
      <c r="M181" s="2">
        <f>IF(C181="","",IFERROR(INDEX($S$5:$S$304,MATCH(C181,$R$5:$R$304,0))&amp;"","?"))</f>
        <v/>
      </c>
      <c r="N181" s="2">
        <f>IF(E181="","",IF(ISNUMBER(SEARCH("SUBSOLO",E181)),IFERROR(-VALUE(LEFT(E181,FIND("º",SUBSTITUTE(E181,"°","º"))-1)),-1),IF(LEFT(E181,6)="TÉRREO",0,IFERROR(VALUE(LEFT(E181,FIND("º",SUBSTITUTE(E181,"°","º"))-1)),""))))</f>
        <v/>
      </c>
      <c r="O181" s="2">
        <f>IF(OR(F181="",G181=""),"",IF(G181&lt;='RETRATO 2027'!$K$5,"CONCLUÍDA",IF(F181&lt;='RETRATO 2027'!$K$5,"EM ANDAMENTO","A INICIAR")))</f>
        <v/>
      </c>
      <c r="R181" s="4" t="n"/>
      <c r="S181" s="4" t="n"/>
      <c r="T181" s="4" t="n"/>
      <c r="U181" s="4" t="n"/>
      <c r="V181" s="2">
        <f>IF(R181="","",COUNTIF($C$5:$C$6004,R181))</f>
        <v/>
      </c>
      <c r="W181" s="2">
        <f>IF(R181="","",COUNTIFS($C$5:$C$6004,R181,$O$5:$O$6004,"CONCLUÍDA"))</f>
        <v/>
      </c>
      <c r="X181" s="2">
        <f>IF(R181="","",COUNTIFS($C$5:$C$6004,R181,$O$5:$O$6004,"EM ANDAMENTO"))</f>
        <v/>
      </c>
      <c r="Y181" s="2">
        <f>IF(R181="","",IF(COUNTIFS($C$5:$C$6004,R181,$O$5:$O$6004,"CONCLUÍDA",$N$5:$N$6004,"&gt;=-99")=0,"",_xlfn.MAXIFS($N$5:$N$6004,$C$5:$C$6004,R181,$O$5:$O$6004,"CONCLUÍDA")))</f>
        <v/>
      </c>
      <c r="Z181" s="2">
        <f>IF(R181="","",IF(COUNTIFS($C$5:$C$6004,R181,$O$5:$O$6004,"EM ANDAMENTO",$N$5:$N$6004,"&gt;=-99")=0,"",_xlfn.MAXIFS($N$5:$N$6004,$C$5:$C$6004,R181,$O$5:$O$6004,"EM ANDAMENTO")))</f>
        <v/>
      </c>
      <c r="AA181" s="2">
        <f>IF(OR(R181="",S181="",U181&lt;&gt;"SIM",V181=0),"",IF(W181+X181=0,"",T181&amp;": "&amp;IF(W181=V181,"concluído",IF(W181=0,"em execução"&amp;IF(Z181&lt;&gt;""," ("&amp;IF(Z181&lt;0,IF(COUNTIF($E$5:$E$6004,"SUBSOLO*")&gt;0,"subsolo",-Z181&amp;"º subsolo"),IF(Z181=0,"térreo",Z181&amp;"º pav."))&amp;")",""),IF(Y181&lt;&gt;"","até "&amp;IF(Y181&lt;0,IF(COUNTIF($E$5:$E$6004,"SUBSOLO*")&gt;0,"subsolo",-Y181&amp;"º subsolo"),IF(Y181=0,"térreo",Y181&amp;"º pav.")),W181&amp;" de "&amp;V181&amp;" concluídas")&amp;IF(Z181="","",IF(OR(Y181="",Z181&gt;Y181),", executando "&amp;IF(Z181&lt;0,IF(COUNTIF($E$5:$E$6004,"SUBSOLO*")&gt;0,"subsolo",-Z181&amp;"º subsolo"),IF(Z181=0,"térreo",Z181&amp;"º pav."))," (restam serviços no "&amp;IF(Z181&lt;0,IF(COUNTIF($E$5:$E$6004,"SUBSOLO*")&gt;0,"subsolo",-Z181&amp;"º subsolo"),IF(Z181=0,"térreo",Z181&amp;"º pav."))&amp;")"))))))</f>
        <v/>
      </c>
    </row>
    <row r="182">
      <c r="B182" s="4" t="n">
        <v>28389438</v>
      </c>
      <c r="C182" s="4" t="inlineStr">
        <is>
          <t>FUNDAÇÃO SUPERFICIAL - FASE 4</t>
        </is>
      </c>
      <c r="D182" s="4" t="inlineStr">
        <is>
          <t xml:space="preserve">Armação - BL 14 / 122 </t>
        </is>
      </c>
      <c r="E182" s="4" t="inlineStr">
        <is>
          <t>SERVIÇOS INICIAIS</t>
        </is>
      </c>
      <c r="F182" s="126" t="n">
        <v>46185</v>
      </c>
      <c r="G182" s="126" t="n">
        <v>46188</v>
      </c>
      <c r="H182" s="126" t="n">
        <v>46289</v>
      </c>
      <c r="I182" s="4" t="n">
        <v>0</v>
      </c>
      <c r="J182" s="4" t="n">
        <v>100</v>
      </c>
      <c r="K182" s="4" t="n">
        <v>100</v>
      </c>
      <c r="M182" s="2">
        <f>IF(C182="","",IFERROR(INDEX($S$5:$S$304,MATCH(C182,$R$5:$R$304,0))&amp;"","?"))</f>
        <v/>
      </c>
      <c r="N182" s="2">
        <f>IF(E182="","",IF(ISNUMBER(SEARCH("SUBSOLO",E182)),IFERROR(-VALUE(LEFT(E182,FIND("º",SUBSTITUTE(E182,"°","º"))-1)),-1),IF(LEFT(E182,6)="TÉRREO",0,IFERROR(VALUE(LEFT(E182,FIND("º",SUBSTITUTE(E182,"°","º"))-1)),""))))</f>
        <v/>
      </c>
      <c r="O182" s="2">
        <f>IF(OR(F182="",G182=""),"",IF(G182&lt;='RETRATO 2027'!$K$5,"CONCLUÍDA",IF(F182&lt;='RETRATO 2027'!$K$5,"EM ANDAMENTO","A INICIAR")))</f>
        <v/>
      </c>
      <c r="R182" s="4" t="n"/>
      <c r="S182" s="4" t="n"/>
      <c r="T182" s="4" t="n"/>
      <c r="U182" s="4" t="n"/>
      <c r="V182" s="2">
        <f>IF(R182="","",COUNTIF($C$5:$C$6004,R182))</f>
        <v/>
      </c>
      <c r="W182" s="2">
        <f>IF(R182="","",COUNTIFS($C$5:$C$6004,R182,$O$5:$O$6004,"CONCLUÍDA"))</f>
        <v/>
      </c>
      <c r="X182" s="2">
        <f>IF(R182="","",COUNTIFS($C$5:$C$6004,R182,$O$5:$O$6004,"EM ANDAMENTO"))</f>
        <v/>
      </c>
      <c r="Y182" s="2">
        <f>IF(R182="","",IF(COUNTIFS($C$5:$C$6004,R182,$O$5:$O$6004,"CONCLUÍDA",$N$5:$N$6004,"&gt;=-99")=0,"",_xlfn.MAXIFS($N$5:$N$6004,$C$5:$C$6004,R182,$O$5:$O$6004,"CONCLUÍDA")))</f>
        <v/>
      </c>
      <c r="Z182" s="2">
        <f>IF(R182="","",IF(COUNTIFS($C$5:$C$6004,R182,$O$5:$O$6004,"EM ANDAMENTO",$N$5:$N$6004,"&gt;=-99")=0,"",_xlfn.MAXIFS($N$5:$N$6004,$C$5:$C$6004,R182,$O$5:$O$6004,"EM ANDAMENTO")))</f>
        <v/>
      </c>
      <c r="AA182" s="2">
        <f>IF(OR(R182="",S182="",U182&lt;&gt;"SIM",V182=0),"",IF(W182+X182=0,"",T182&amp;": "&amp;IF(W182=V182,"concluído",IF(W182=0,"em execução"&amp;IF(Z182&lt;&gt;""," ("&amp;IF(Z182&lt;0,IF(COUNTIF($E$5:$E$6004,"SUBSOLO*")&gt;0,"subsolo",-Z182&amp;"º subsolo"),IF(Z182=0,"térreo",Z182&amp;"º pav."))&amp;")",""),IF(Y182&lt;&gt;"","até "&amp;IF(Y182&lt;0,IF(COUNTIF($E$5:$E$6004,"SUBSOLO*")&gt;0,"subsolo",-Y182&amp;"º subsolo"),IF(Y182=0,"térreo",Y182&amp;"º pav.")),W182&amp;" de "&amp;V182&amp;" concluídas")&amp;IF(Z182="","",IF(OR(Y182="",Z182&gt;Y182),", executando "&amp;IF(Z182&lt;0,IF(COUNTIF($E$5:$E$6004,"SUBSOLO*")&gt;0,"subsolo",-Z182&amp;"º subsolo"),IF(Z182=0,"térreo",Z182&amp;"º pav."))," (restam serviços no "&amp;IF(Z182&lt;0,IF(COUNTIF($E$5:$E$6004,"SUBSOLO*")&gt;0,"subsolo",-Z182&amp;"º subsolo"),IF(Z182=0,"térreo",Z182&amp;"º pav."))&amp;")"))))))</f>
        <v/>
      </c>
    </row>
    <row r="183">
      <c r="B183" s="4" t="n">
        <v>28389439</v>
      </c>
      <c r="C183" s="4" t="inlineStr">
        <is>
          <t>FUNDAÇÃO SUPERFICIAL - FASE 4</t>
        </is>
      </c>
      <c r="D183" s="4" t="inlineStr">
        <is>
          <t xml:space="preserve">Forma - BL 14 / 122 </t>
        </is>
      </c>
      <c r="E183" s="4" t="inlineStr">
        <is>
          <t>SERVIÇOS INICIAIS</t>
        </is>
      </c>
      <c r="F183" s="126" t="n">
        <v>46189</v>
      </c>
      <c r="G183" s="126" t="n">
        <v>46192</v>
      </c>
      <c r="H183" s="126" t="n">
        <v>46289</v>
      </c>
      <c r="I183" s="4" t="n">
        <v>0</v>
      </c>
      <c r="J183" s="4" t="n">
        <v>100</v>
      </c>
      <c r="K183" s="4" t="n">
        <v>100</v>
      </c>
      <c r="M183" s="2">
        <f>IF(C183="","",IFERROR(INDEX($S$5:$S$304,MATCH(C183,$R$5:$R$304,0))&amp;"","?"))</f>
        <v/>
      </c>
      <c r="N183" s="2">
        <f>IF(E183="","",IF(ISNUMBER(SEARCH("SUBSOLO",E183)),IFERROR(-VALUE(LEFT(E183,FIND("º",SUBSTITUTE(E183,"°","º"))-1)),-1),IF(LEFT(E183,6)="TÉRREO",0,IFERROR(VALUE(LEFT(E183,FIND("º",SUBSTITUTE(E183,"°","º"))-1)),""))))</f>
        <v/>
      </c>
      <c r="O183" s="2">
        <f>IF(OR(F183="",G183=""),"",IF(G183&lt;='RETRATO 2027'!$K$5,"CONCLUÍDA",IF(F183&lt;='RETRATO 2027'!$K$5,"EM ANDAMENTO","A INICIAR")))</f>
        <v/>
      </c>
      <c r="R183" s="4" t="n"/>
      <c r="S183" s="4" t="n"/>
      <c r="T183" s="4" t="n"/>
      <c r="U183" s="4" t="n"/>
      <c r="V183" s="2">
        <f>IF(R183="","",COUNTIF($C$5:$C$6004,R183))</f>
        <v/>
      </c>
      <c r="W183" s="2">
        <f>IF(R183="","",COUNTIFS($C$5:$C$6004,R183,$O$5:$O$6004,"CONCLUÍDA"))</f>
        <v/>
      </c>
      <c r="X183" s="2">
        <f>IF(R183="","",COUNTIFS($C$5:$C$6004,R183,$O$5:$O$6004,"EM ANDAMENTO"))</f>
        <v/>
      </c>
      <c r="Y183" s="2">
        <f>IF(R183="","",IF(COUNTIFS($C$5:$C$6004,R183,$O$5:$O$6004,"CONCLUÍDA",$N$5:$N$6004,"&gt;=-99")=0,"",_xlfn.MAXIFS($N$5:$N$6004,$C$5:$C$6004,R183,$O$5:$O$6004,"CONCLUÍDA")))</f>
        <v/>
      </c>
      <c r="Z183" s="2">
        <f>IF(R183="","",IF(COUNTIFS($C$5:$C$6004,R183,$O$5:$O$6004,"EM ANDAMENTO",$N$5:$N$6004,"&gt;=-99")=0,"",_xlfn.MAXIFS($N$5:$N$6004,$C$5:$C$6004,R183,$O$5:$O$6004,"EM ANDAMENTO")))</f>
        <v/>
      </c>
      <c r="AA183" s="2">
        <f>IF(OR(R183="",S183="",U183&lt;&gt;"SIM",V183=0),"",IF(W183+X183=0,"",T183&amp;": "&amp;IF(W183=V183,"concluído",IF(W183=0,"em execução"&amp;IF(Z183&lt;&gt;""," ("&amp;IF(Z183&lt;0,IF(COUNTIF($E$5:$E$6004,"SUBSOLO*")&gt;0,"subsolo",-Z183&amp;"º subsolo"),IF(Z183=0,"térreo",Z183&amp;"º pav."))&amp;")",""),IF(Y183&lt;&gt;"","até "&amp;IF(Y183&lt;0,IF(COUNTIF($E$5:$E$6004,"SUBSOLO*")&gt;0,"subsolo",-Y183&amp;"º subsolo"),IF(Y183=0,"térreo",Y183&amp;"º pav.")),W183&amp;" de "&amp;V183&amp;" concluídas")&amp;IF(Z183="","",IF(OR(Y183="",Z183&gt;Y183),", executando "&amp;IF(Z183&lt;0,IF(COUNTIF($E$5:$E$6004,"SUBSOLO*")&gt;0,"subsolo",-Z183&amp;"º subsolo"),IF(Z183=0,"térreo",Z183&amp;"º pav."))," (restam serviços no "&amp;IF(Z183&lt;0,IF(COUNTIF($E$5:$E$6004,"SUBSOLO*")&gt;0,"subsolo",-Z183&amp;"º subsolo"),IF(Z183=0,"térreo",Z183&amp;"º pav."))&amp;")"))))))</f>
        <v/>
      </c>
    </row>
    <row r="184">
      <c r="B184" s="4" t="n">
        <v>28389440</v>
      </c>
      <c r="C184" s="4" t="inlineStr">
        <is>
          <t>FUNDAÇÃO SUPERFICIAL - FASE 4</t>
        </is>
      </c>
      <c r="D184" s="4" t="inlineStr">
        <is>
          <t>Concreto - BL 14 / 122</t>
        </is>
      </c>
      <c r="E184" s="4" t="inlineStr">
        <is>
          <t>SERVIÇOS INICIAIS</t>
        </is>
      </c>
      <c r="F184" s="126" t="n">
        <v>46192</v>
      </c>
      <c r="G184" s="126" t="n">
        <v>46192</v>
      </c>
      <c r="H184" s="126" t="n">
        <v>46289</v>
      </c>
      <c r="I184" s="4" t="n">
        <v>0</v>
      </c>
      <c r="J184" s="4" t="n">
        <v>100</v>
      </c>
      <c r="K184" s="4" t="n">
        <v>100</v>
      </c>
      <c r="M184" s="2">
        <f>IF(C184="","",IFERROR(INDEX($S$5:$S$304,MATCH(C184,$R$5:$R$304,0))&amp;"","?"))</f>
        <v/>
      </c>
      <c r="N184" s="2">
        <f>IF(E184="","",IF(ISNUMBER(SEARCH("SUBSOLO",E184)),IFERROR(-VALUE(LEFT(E184,FIND("º",SUBSTITUTE(E184,"°","º"))-1)),-1),IF(LEFT(E184,6)="TÉRREO",0,IFERROR(VALUE(LEFT(E184,FIND("º",SUBSTITUTE(E184,"°","º"))-1)),""))))</f>
        <v/>
      </c>
      <c r="O184" s="2">
        <f>IF(OR(F184="",G184=""),"",IF(G184&lt;='RETRATO 2027'!$K$5,"CONCLUÍDA",IF(F184&lt;='RETRATO 2027'!$K$5,"EM ANDAMENTO","A INICIAR")))</f>
        <v/>
      </c>
      <c r="R184" s="4" t="n"/>
      <c r="S184" s="4" t="n"/>
      <c r="T184" s="4" t="n"/>
      <c r="U184" s="4" t="n"/>
      <c r="V184" s="2">
        <f>IF(R184="","",COUNTIF($C$5:$C$6004,R184))</f>
        <v/>
      </c>
      <c r="W184" s="2">
        <f>IF(R184="","",COUNTIFS($C$5:$C$6004,R184,$O$5:$O$6004,"CONCLUÍDA"))</f>
        <v/>
      </c>
      <c r="X184" s="2">
        <f>IF(R184="","",COUNTIFS($C$5:$C$6004,R184,$O$5:$O$6004,"EM ANDAMENTO"))</f>
        <v/>
      </c>
      <c r="Y184" s="2">
        <f>IF(R184="","",IF(COUNTIFS($C$5:$C$6004,R184,$O$5:$O$6004,"CONCLUÍDA",$N$5:$N$6004,"&gt;=-99")=0,"",_xlfn.MAXIFS($N$5:$N$6004,$C$5:$C$6004,R184,$O$5:$O$6004,"CONCLUÍDA")))</f>
        <v/>
      </c>
      <c r="Z184" s="2">
        <f>IF(R184="","",IF(COUNTIFS($C$5:$C$6004,R184,$O$5:$O$6004,"EM ANDAMENTO",$N$5:$N$6004,"&gt;=-99")=0,"",_xlfn.MAXIFS($N$5:$N$6004,$C$5:$C$6004,R184,$O$5:$O$6004,"EM ANDAMENTO")))</f>
        <v/>
      </c>
      <c r="AA184" s="2">
        <f>IF(OR(R184="",S184="",U184&lt;&gt;"SIM",V184=0),"",IF(W184+X184=0,"",T184&amp;": "&amp;IF(W184=V184,"concluído",IF(W184=0,"em execução"&amp;IF(Z184&lt;&gt;""," ("&amp;IF(Z184&lt;0,IF(COUNTIF($E$5:$E$6004,"SUBSOLO*")&gt;0,"subsolo",-Z184&amp;"º subsolo"),IF(Z184=0,"térreo",Z184&amp;"º pav."))&amp;")",""),IF(Y184&lt;&gt;"","até "&amp;IF(Y184&lt;0,IF(COUNTIF($E$5:$E$6004,"SUBSOLO*")&gt;0,"subsolo",-Y184&amp;"º subsolo"),IF(Y184=0,"térreo",Y184&amp;"º pav.")),W184&amp;" de "&amp;V184&amp;" concluídas")&amp;IF(Z184="","",IF(OR(Y184="",Z184&gt;Y184),", executando "&amp;IF(Z184&lt;0,IF(COUNTIF($E$5:$E$6004,"SUBSOLO*")&gt;0,"subsolo",-Z184&amp;"º subsolo"),IF(Z184=0,"térreo",Z184&amp;"º pav."))," (restam serviços no "&amp;IF(Z184&lt;0,IF(COUNTIF($E$5:$E$6004,"SUBSOLO*")&gt;0,"subsolo",-Z184&amp;"º subsolo"),IF(Z184=0,"térreo",Z184&amp;"º pav."))&amp;")"))))))</f>
        <v/>
      </c>
    </row>
    <row r="185">
      <c r="B185" s="4" t="n">
        <v>28645979</v>
      </c>
      <c r="C185" s="4" t="inlineStr">
        <is>
          <t>FUNDAÇÃO SUPERFICIAL - FASE 4</t>
        </is>
      </c>
      <c r="D185" s="4" t="inlineStr">
        <is>
          <t>Armação - BL 10 / 19 / 124 / 127</t>
        </is>
      </c>
      <c r="E185" s="4" t="inlineStr">
        <is>
          <t>SERVIÇOS INICIAIS</t>
        </is>
      </c>
      <c r="F185" s="126" t="n">
        <v>46195</v>
      </c>
      <c r="G185" s="126" t="n">
        <v>46206</v>
      </c>
      <c r="H185" s="126" t="n">
        <v>46289</v>
      </c>
      <c r="I185" s="4" t="n">
        <v>0</v>
      </c>
      <c r="J185" s="4" t="n">
        <v>100</v>
      </c>
      <c r="K185" s="4" t="n">
        <v>100</v>
      </c>
      <c r="M185" s="2">
        <f>IF(C185="","",IFERROR(INDEX($S$5:$S$304,MATCH(C185,$R$5:$R$304,0))&amp;"","?"))</f>
        <v/>
      </c>
      <c r="N185" s="2">
        <f>IF(E185="","",IF(ISNUMBER(SEARCH("SUBSOLO",E185)),IFERROR(-VALUE(LEFT(E185,FIND("º",SUBSTITUTE(E185,"°","º"))-1)),-1),IF(LEFT(E185,6)="TÉRREO",0,IFERROR(VALUE(LEFT(E185,FIND("º",SUBSTITUTE(E185,"°","º"))-1)),""))))</f>
        <v/>
      </c>
      <c r="O185" s="2">
        <f>IF(OR(F185="",G185=""),"",IF(G185&lt;='RETRATO 2027'!$K$5,"CONCLUÍDA",IF(F185&lt;='RETRATO 2027'!$K$5,"EM ANDAMENTO","A INICIAR")))</f>
        <v/>
      </c>
      <c r="R185" s="4" t="n"/>
      <c r="S185" s="4" t="n"/>
      <c r="T185" s="4" t="n"/>
      <c r="U185" s="4" t="n"/>
      <c r="V185" s="2">
        <f>IF(R185="","",COUNTIF($C$5:$C$6004,R185))</f>
        <v/>
      </c>
      <c r="W185" s="2">
        <f>IF(R185="","",COUNTIFS($C$5:$C$6004,R185,$O$5:$O$6004,"CONCLUÍDA"))</f>
        <v/>
      </c>
      <c r="X185" s="2">
        <f>IF(R185="","",COUNTIFS($C$5:$C$6004,R185,$O$5:$O$6004,"EM ANDAMENTO"))</f>
        <v/>
      </c>
      <c r="Y185" s="2">
        <f>IF(R185="","",IF(COUNTIFS($C$5:$C$6004,R185,$O$5:$O$6004,"CONCLUÍDA",$N$5:$N$6004,"&gt;=-99")=0,"",_xlfn.MAXIFS($N$5:$N$6004,$C$5:$C$6004,R185,$O$5:$O$6004,"CONCLUÍDA")))</f>
        <v/>
      </c>
      <c r="Z185" s="2">
        <f>IF(R185="","",IF(COUNTIFS($C$5:$C$6004,R185,$O$5:$O$6004,"EM ANDAMENTO",$N$5:$N$6004,"&gt;=-99")=0,"",_xlfn.MAXIFS($N$5:$N$6004,$C$5:$C$6004,R185,$O$5:$O$6004,"EM ANDAMENTO")))</f>
        <v/>
      </c>
      <c r="AA185" s="2">
        <f>IF(OR(R185="",S185="",U185&lt;&gt;"SIM",V185=0),"",IF(W185+X185=0,"",T185&amp;": "&amp;IF(W185=V185,"concluído",IF(W185=0,"em execução"&amp;IF(Z185&lt;&gt;""," ("&amp;IF(Z185&lt;0,IF(COUNTIF($E$5:$E$6004,"SUBSOLO*")&gt;0,"subsolo",-Z185&amp;"º subsolo"),IF(Z185=0,"térreo",Z185&amp;"º pav."))&amp;")",""),IF(Y185&lt;&gt;"","até "&amp;IF(Y185&lt;0,IF(COUNTIF($E$5:$E$6004,"SUBSOLO*")&gt;0,"subsolo",-Y185&amp;"º subsolo"),IF(Y185=0,"térreo",Y185&amp;"º pav.")),W185&amp;" de "&amp;V185&amp;" concluídas")&amp;IF(Z185="","",IF(OR(Y185="",Z185&gt;Y185),", executando "&amp;IF(Z185&lt;0,IF(COUNTIF($E$5:$E$6004,"SUBSOLO*")&gt;0,"subsolo",-Z185&amp;"º subsolo"),IF(Z185=0,"térreo",Z185&amp;"º pav."))," (restam serviços no "&amp;IF(Z185&lt;0,IF(COUNTIF($E$5:$E$6004,"SUBSOLO*")&gt;0,"subsolo",-Z185&amp;"º subsolo"),IF(Z185=0,"térreo",Z185&amp;"º pav."))&amp;")"))))))</f>
        <v/>
      </c>
    </row>
    <row r="186">
      <c r="B186" s="4" t="n">
        <v>28645980</v>
      </c>
      <c r="C186" s="4" t="inlineStr">
        <is>
          <t>FUNDAÇÃO SUPERFICIAL - FASE 4</t>
        </is>
      </c>
      <c r="D186" s="4" t="inlineStr">
        <is>
          <t>Forma - BL 10 / 19 / 124 / 127</t>
        </is>
      </c>
      <c r="E186" s="4" t="inlineStr">
        <is>
          <t>SERVIÇOS INICIAIS</t>
        </is>
      </c>
      <c r="F186" s="126" t="n">
        <v>46209</v>
      </c>
      <c r="G186" s="126" t="n">
        <v>46213</v>
      </c>
      <c r="H186" s="126" t="n">
        <v>46289</v>
      </c>
      <c r="I186" s="4" t="n">
        <v>0</v>
      </c>
      <c r="J186" s="4" t="n">
        <v>100</v>
      </c>
      <c r="K186" s="4" t="n">
        <v>100</v>
      </c>
      <c r="M186" s="2">
        <f>IF(C186="","",IFERROR(INDEX($S$5:$S$304,MATCH(C186,$R$5:$R$304,0))&amp;"","?"))</f>
        <v/>
      </c>
      <c r="N186" s="2">
        <f>IF(E186="","",IF(ISNUMBER(SEARCH("SUBSOLO",E186)),IFERROR(-VALUE(LEFT(E186,FIND("º",SUBSTITUTE(E186,"°","º"))-1)),-1),IF(LEFT(E186,6)="TÉRREO",0,IFERROR(VALUE(LEFT(E186,FIND("º",SUBSTITUTE(E186,"°","º"))-1)),""))))</f>
        <v/>
      </c>
      <c r="O186" s="2">
        <f>IF(OR(F186="",G186=""),"",IF(G186&lt;='RETRATO 2027'!$K$5,"CONCLUÍDA",IF(F186&lt;='RETRATO 2027'!$K$5,"EM ANDAMENTO","A INICIAR")))</f>
        <v/>
      </c>
      <c r="R186" s="4" t="n"/>
      <c r="S186" s="4" t="n"/>
      <c r="T186" s="4" t="n"/>
      <c r="U186" s="4" t="n"/>
      <c r="V186" s="2">
        <f>IF(R186="","",COUNTIF($C$5:$C$6004,R186))</f>
        <v/>
      </c>
      <c r="W186" s="2">
        <f>IF(R186="","",COUNTIFS($C$5:$C$6004,R186,$O$5:$O$6004,"CONCLUÍDA"))</f>
        <v/>
      </c>
      <c r="X186" s="2">
        <f>IF(R186="","",COUNTIFS($C$5:$C$6004,R186,$O$5:$O$6004,"EM ANDAMENTO"))</f>
        <v/>
      </c>
      <c r="Y186" s="2">
        <f>IF(R186="","",IF(COUNTIFS($C$5:$C$6004,R186,$O$5:$O$6004,"CONCLUÍDA",$N$5:$N$6004,"&gt;=-99")=0,"",_xlfn.MAXIFS($N$5:$N$6004,$C$5:$C$6004,R186,$O$5:$O$6004,"CONCLUÍDA")))</f>
        <v/>
      </c>
      <c r="Z186" s="2">
        <f>IF(R186="","",IF(COUNTIFS($C$5:$C$6004,R186,$O$5:$O$6004,"EM ANDAMENTO",$N$5:$N$6004,"&gt;=-99")=0,"",_xlfn.MAXIFS($N$5:$N$6004,$C$5:$C$6004,R186,$O$5:$O$6004,"EM ANDAMENTO")))</f>
        <v/>
      </c>
      <c r="AA186" s="2">
        <f>IF(OR(R186="",S186="",U186&lt;&gt;"SIM",V186=0),"",IF(W186+X186=0,"",T186&amp;": "&amp;IF(W186=V186,"concluído",IF(W186=0,"em execução"&amp;IF(Z186&lt;&gt;""," ("&amp;IF(Z186&lt;0,IF(COUNTIF($E$5:$E$6004,"SUBSOLO*")&gt;0,"subsolo",-Z186&amp;"º subsolo"),IF(Z186=0,"térreo",Z186&amp;"º pav."))&amp;")",""),IF(Y186&lt;&gt;"","até "&amp;IF(Y186&lt;0,IF(COUNTIF($E$5:$E$6004,"SUBSOLO*")&gt;0,"subsolo",-Y186&amp;"º subsolo"),IF(Y186=0,"térreo",Y186&amp;"º pav.")),W186&amp;" de "&amp;V186&amp;" concluídas")&amp;IF(Z186="","",IF(OR(Y186="",Z186&gt;Y186),", executando "&amp;IF(Z186&lt;0,IF(COUNTIF($E$5:$E$6004,"SUBSOLO*")&gt;0,"subsolo",-Z186&amp;"º subsolo"),IF(Z186=0,"térreo",Z186&amp;"º pav."))," (restam serviços no "&amp;IF(Z186&lt;0,IF(COUNTIF($E$5:$E$6004,"SUBSOLO*")&gt;0,"subsolo",-Z186&amp;"º subsolo"),IF(Z186=0,"térreo",Z186&amp;"º pav."))&amp;")"))))))</f>
        <v/>
      </c>
    </row>
    <row r="187">
      <c r="B187" s="4" t="n">
        <v>29933276</v>
      </c>
      <c r="C187" s="4" t="inlineStr">
        <is>
          <t>ESTRUTURA</t>
        </is>
      </c>
      <c r="D187" s="4" t="inlineStr">
        <is>
          <t>-</t>
        </is>
      </c>
      <c r="E187" s="4" t="inlineStr">
        <is>
          <t>TÉRREO - GERAL</t>
        </is>
      </c>
      <c r="F187" s="126" t="n">
        <v>46188</v>
      </c>
      <c r="G187" s="126" t="n">
        <v>46260</v>
      </c>
      <c r="H187" s="126" t="n">
        <v>46289</v>
      </c>
      <c r="I187" s="4" t="n">
        <v>100</v>
      </c>
      <c r="J187" s="4" t="n">
        <v>100</v>
      </c>
      <c r="K187" s="4" t="n">
        <v>82.73</v>
      </c>
      <c r="M187" s="2">
        <f>IF(C187="","",IFERROR(INDEX($S$5:$S$304,MATCH(C187,$R$5:$R$304,0))&amp;"","?"))</f>
        <v/>
      </c>
      <c r="N187" s="2">
        <f>IF(E187="","",IF(ISNUMBER(SEARCH("SUBSOLO",E187)),IFERROR(-VALUE(LEFT(E187,FIND("º",SUBSTITUTE(E187,"°","º"))-1)),-1),IF(LEFT(E187,6)="TÉRREO",0,IFERROR(VALUE(LEFT(E187,FIND("º",SUBSTITUTE(E187,"°","º"))-1)),""))))</f>
        <v/>
      </c>
      <c r="O187" s="2">
        <f>IF(OR(F187="",G187=""),"",IF(G187&lt;='RETRATO 2027'!$K$5,"CONCLUÍDA",IF(F187&lt;='RETRATO 2027'!$K$5,"EM ANDAMENTO","A INICIAR")))</f>
        <v/>
      </c>
      <c r="R187" s="4" t="n"/>
      <c r="S187" s="4" t="n"/>
      <c r="T187" s="4" t="n"/>
      <c r="U187" s="4" t="n"/>
      <c r="V187" s="2">
        <f>IF(R187="","",COUNTIF($C$5:$C$6004,R187))</f>
        <v/>
      </c>
      <c r="W187" s="2">
        <f>IF(R187="","",COUNTIFS($C$5:$C$6004,R187,$O$5:$O$6004,"CONCLUÍDA"))</f>
        <v/>
      </c>
      <c r="X187" s="2">
        <f>IF(R187="","",COUNTIFS($C$5:$C$6004,R187,$O$5:$O$6004,"EM ANDAMENTO"))</f>
        <v/>
      </c>
      <c r="Y187" s="2">
        <f>IF(R187="","",IF(COUNTIFS($C$5:$C$6004,R187,$O$5:$O$6004,"CONCLUÍDA",$N$5:$N$6004,"&gt;=-99")=0,"",_xlfn.MAXIFS($N$5:$N$6004,$C$5:$C$6004,R187,$O$5:$O$6004,"CONCLUÍDA")))</f>
        <v/>
      </c>
      <c r="Z187" s="2">
        <f>IF(R187="","",IF(COUNTIFS($C$5:$C$6004,R187,$O$5:$O$6004,"EM ANDAMENTO",$N$5:$N$6004,"&gt;=-99")=0,"",_xlfn.MAXIFS($N$5:$N$6004,$C$5:$C$6004,R187,$O$5:$O$6004,"EM ANDAMENTO")))</f>
        <v/>
      </c>
      <c r="AA187" s="2">
        <f>IF(OR(R187="",S187="",U187&lt;&gt;"SIM",V187=0),"",IF(W187+X187=0,"",T187&amp;": "&amp;IF(W187=V187,"concluído",IF(W187=0,"em execução"&amp;IF(Z187&lt;&gt;""," ("&amp;IF(Z187&lt;0,IF(COUNTIF($E$5:$E$6004,"SUBSOLO*")&gt;0,"subsolo",-Z187&amp;"º subsolo"),IF(Z187=0,"térreo",Z187&amp;"º pav."))&amp;")",""),IF(Y187&lt;&gt;"","até "&amp;IF(Y187&lt;0,IF(COUNTIF($E$5:$E$6004,"SUBSOLO*")&gt;0,"subsolo",-Y187&amp;"º subsolo"),IF(Y187=0,"térreo",Y187&amp;"º pav.")),W187&amp;" de "&amp;V187&amp;" concluídas")&amp;IF(Z187="","",IF(OR(Y187="",Z187&gt;Y187),", executando "&amp;IF(Z187&lt;0,IF(COUNTIF($E$5:$E$6004,"SUBSOLO*")&gt;0,"subsolo",-Z187&amp;"º subsolo"),IF(Z187=0,"térreo",Z187&amp;"º pav."))," (restam serviços no "&amp;IF(Z187&lt;0,IF(COUNTIF($E$5:$E$6004,"SUBSOLO*")&gt;0,"subsolo",-Z187&amp;"º subsolo"),IF(Z187=0,"térreo",Z187&amp;"º pav."))&amp;")"))))))</f>
        <v/>
      </c>
    </row>
    <row r="188">
      <c r="B188" s="4" t="n">
        <v>31529120</v>
      </c>
      <c r="C188" s="4" t="inlineStr">
        <is>
          <t>ESTRUTURA</t>
        </is>
      </c>
      <c r="D188" s="4" t="inlineStr">
        <is>
          <t>Forma</t>
        </is>
      </c>
      <c r="E188" s="4" t="inlineStr">
        <is>
          <t>TÉRREO - GERAL</t>
        </is>
      </c>
      <c r="F188" s="126" t="n">
        <v>46188</v>
      </c>
      <c r="G188" s="126" t="n">
        <v>46234</v>
      </c>
      <c r="H188" s="126" t="n">
        <v>46289</v>
      </c>
      <c r="I188" s="4" t="n">
        <v>0</v>
      </c>
      <c r="J188" s="4" t="n">
        <v>100</v>
      </c>
      <c r="K188" s="4" t="n">
        <v>82.73</v>
      </c>
      <c r="M188" s="2">
        <f>IF(C188="","",IFERROR(INDEX($S$5:$S$304,MATCH(C188,$R$5:$R$304,0))&amp;"","?"))</f>
        <v/>
      </c>
      <c r="N188" s="2">
        <f>IF(E188="","",IF(ISNUMBER(SEARCH("SUBSOLO",E188)),IFERROR(-VALUE(LEFT(E188,FIND("º",SUBSTITUTE(E188,"°","º"))-1)),-1),IF(LEFT(E188,6)="TÉRREO",0,IFERROR(VALUE(LEFT(E188,FIND("º",SUBSTITUTE(E188,"°","º"))-1)),""))))</f>
        <v/>
      </c>
      <c r="O188" s="2">
        <f>IF(OR(F188="",G188=""),"",IF(G188&lt;='RETRATO 2027'!$K$5,"CONCLUÍDA",IF(F188&lt;='RETRATO 2027'!$K$5,"EM ANDAMENTO","A INICIAR")))</f>
        <v/>
      </c>
      <c r="R188" s="4" t="n"/>
      <c r="S188" s="4" t="n"/>
      <c r="T188" s="4" t="n"/>
      <c r="U188" s="4" t="n"/>
      <c r="V188" s="2">
        <f>IF(R188="","",COUNTIF($C$5:$C$6004,R188))</f>
        <v/>
      </c>
      <c r="W188" s="2">
        <f>IF(R188="","",COUNTIFS($C$5:$C$6004,R188,$O$5:$O$6004,"CONCLUÍDA"))</f>
        <v/>
      </c>
      <c r="X188" s="2">
        <f>IF(R188="","",COUNTIFS($C$5:$C$6004,R188,$O$5:$O$6004,"EM ANDAMENTO"))</f>
        <v/>
      </c>
      <c r="Y188" s="2">
        <f>IF(R188="","",IF(COUNTIFS($C$5:$C$6004,R188,$O$5:$O$6004,"CONCLUÍDA",$N$5:$N$6004,"&gt;=-99")=0,"",_xlfn.MAXIFS($N$5:$N$6004,$C$5:$C$6004,R188,$O$5:$O$6004,"CONCLUÍDA")))</f>
        <v/>
      </c>
      <c r="Z188" s="2">
        <f>IF(R188="","",IF(COUNTIFS($C$5:$C$6004,R188,$O$5:$O$6004,"EM ANDAMENTO",$N$5:$N$6004,"&gt;=-99")=0,"",_xlfn.MAXIFS($N$5:$N$6004,$C$5:$C$6004,R188,$O$5:$O$6004,"EM ANDAMENTO")))</f>
        <v/>
      </c>
      <c r="AA188" s="2">
        <f>IF(OR(R188="",S188="",U188&lt;&gt;"SIM",V188=0),"",IF(W188+X188=0,"",T188&amp;": "&amp;IF(W188=V188,"concluído",IF(W188=0,"em execução"&amp;IF(Z188&lt;&gt;""," ("&amp;IF(Z188&lt;0,IF(COUNTIF($E$5:$E$6004,"SUBSOLO*")&gt;0,"subsolo",-Z188&amp;"º subsolo"),IF(Z188=0,"térreo",Z188&amp;"º pav."))&amp;")",""),IF(Y188&lt;&gt;"","até "&amp;IF(Y188&lt;0,IF(COUNTIF($E$5:$E$6004,"SUBSOLO*")&gt;0,"subsolo",-Y188&amp;"º subsolo"),IF(Y188=0,"térreo",Y188&amp;"º pav.")),W188&amp;" de "&amp;V188&amp;" concluídas")&amp;IF(Z188="","",IF(OR(Y188="",Z188&gt;Y188),", executando "&amp;IF(Z188&lt;0,IF(COUNTIF($E$5:$E$6004,"SUBSOLO*")&gt;0,"subsolo",-Z188&amp;"º subsolo"),IF(Z188=0,"térreo",Z188&amp;"º pav."))," (restam serviços no "&amp;IF(Z188&lt;0,IF(COUNTIF($E$5:$E$6004,"SUBSOLO*")&gt;0,"subsolo",-Z188&amp;"º subsolo"),IF(Z188=0,"térreo",Z188&amp;"º pav."))&amp;")"))))))</f>
        <v/>
      </c>
    </row>
    <row r="189">
      <c r="B189" s="4" t="n">
        <v>31529121</v>
      </c>
      <c r="C189" s="4" t="inlineStr">
        <is>
          <t>ESTRUTURA</t>
        </is>
      </c>
      <c r="D189" s="4" t="inlineStr">
        <is>
          <t>Armação</t>
        </is>
      </c>
      <c r="E189" s="4" t="inlineStr">
        <is>
          <t>TÉRREO - GERAL</t>
        </is>
      </c>
      <c r="F189" s="126" t="n">
        <v>46237</v>
      </c>
      <c r="G189" s="126" t="n">
        <v>46255</v>
      </c>
      <c r="H189" s="126" t="n">
        <v>46289</v>
      </c>
      <c r="I189" s="4" t="n">
        <v>0</v>
      </c>
      <c r="J189" s="4" t="n">
        <v>100</v>
      </c>
      <c r="K189" s="4" t="n">
        <v>82.73</v>
      </c>
      <c r="M189" s="2">
        <f>IF(C189="","",IFERROR(INDEX($S$5:$S$304,MATCH(C189,$R$5:$R$304,0))&amp;"","?"))</f>
        <v/>
      </c>
      <c r="N189" s="2">
        <f>IF(E189="","",IF(ISNUMBER(SEARCH("SUBSOLO",E189)),IFERROR(-VALUE(LEFT(E189,FIND("º",SUBSTITUTE(E189,"°","º"))-1)),-1),IF(LEFT(E189,6)="TÉRREO",0,IFERROR(VALUE(LEFT(E189,FIND("º",SUBSTITUTE(E189,"°","º"))-1)),""))))</f>
        <v/>
      </c>
      <c r="O189" s="2">
        <f>IF(OR(F189="",G189=""),"",IF(G189&lt;='RETRATO 2027'!$K$5,"CONCLUÍDA",IF(F189&lt;='RETRATO 2027'!$K$5,"EM ANDAMENTO","A INICIAR")))</f>
        <v/>
      </c>
      <c r="R189" s="4" t="n"/>
      <c r="S189" s="4" t="n"/>
      <c r="T189" s="4" t="n"/>
      <c r="U189" s="4" t="n"/>
      <c r="V189" s="2">
        <f>IF(R189="","",COUNTIF($C$5:$C$6004,R189))</f>
        <v/>
      </c>
      <c r="W189" s="2">
        <f>IF(R189="","",COUNTIFS($C$5:$C$6004,R189,$O$5:$O$6004,"CONCLUÍDA"))</f>
        <v/>
      </c>
      <c r="X189" s="2">
        <f>IF(R189="","",COUNTIFS($C$5:$C$6004,R189,$O$5:$O$6004,"EM ANDAMENTO"))</f>
        <v/>
      </c>
      <c r="Y189" s="2">
        <f>IF(R189="","",IF(COUNTIFS($C$5:$C$6004,R189,$O$5:$O$6004,"CONCLUÍDA",$N$5:$N$6004,"&gt;=-99")=0,"",_xlfn.MAXIFS($N$5:$N$6004,$C$5:$C$6004,R189,$O$5:$O$6004,"CONCLUÍDA")))</f>
        <v/>
      </c>
      <c r="Z189" s="2">
        <f>IF(R189="","",IF(COUNTIFS($C$5:$C$6004,R189,$O$5:$O$6004,"EM ANDAMENTO",$N$5:$N$6004,"&gt;=-99")=0,"",_xlfn.MAXIFS($N$5:$N$6004,$C$5:$C$6004,R189,$O$5:$O$6004,"EM ANDAMENTO")))</f>
        <v/>
      </c>
      <c r="AA189" s="2">
        <f>IF(OR(R189="",S189="",U189&lt;&gt;"SIM",V189=0),"",IF(W189+X189=0,"",T189&amp;": "&amp;IF(W189=V189,"concluído",IF(W189=0,"em execução"&amp;IF(Z189&lt;&gt;""," ("&amp;IF(Z189&lt;0,IF(COUNTIF($E$5:$E$6004,"SUBSOLO*")&gt;0,"subsolo",-Z189&amp;"º subsolo"),IF(Z189=0,"térreo",Z189&amp;"º pav."))&amp;")",""),IF(Y189&lt;&gt;"","até "&amp;IF(Y189&lt;0,IF(COUNTIF($E$5:$E$6004,"SUBSOLO*")&gt;0,"subsolo",-Y189&amp;"º subsolo"),IF(Y189=0,"térreo",Y189&amp;"º pav.")),W189&amp;" de "&amp;V189&amp;" concluídas")&amp;IF(Z189="","",IF(OR(Y189="",Z189&gt;Y189),", executando "&amp;IF(Z189&lt;0,IF(COUNTIF($E$5:$E$6004,"SUBSOLO*")&gt;0,"subsolo",-Z189&amp;"º subsolo"),IF(Z189=0,"térreo",Z189&amp;"º pav."))," (restam serviços no "&amp;IF(Z189&lt;0,IF(COUNTIF($E$5:$E$6004,"SUBSOLO*")&gt;0,"subsolo",-Z189&amp;"º subsolo"),IF(Z189=0,"térreo",Z189&amp;"º pav."))&amp;")"))))))</f>
        <v/>
      </c>
    </row>
    <row r="190">
      <c r="B190" s="4" t="n">
        <v>31529122</v>
      </c>
      <c r="C190" s="4" t="inlineStr">
        <is>
          <t>ESTRUTURA</t>
        </is>
      </c>
      <c r="D190" s="4" t="inlineStr">
        <is>
          <t>Concretagem</t>
        </is>
      </c>
      <c r="E190" s="4" t="inlineStr">
        <is>
          <t>TÉRREO - GERAL</t>
        </is>
      </c>
      <c r="F190" s="126" t="n">
        <v>46258</v>
      </c>
      <c r="G190" s="126" t="n">
        <v>46260</v>
      </c>
      <c r="H190" s="126" t="n">
        <v>46289</v>
      </c>
      <c r="I190" s="4" t="n">
        <v>0</v>
      </c>
      <c r="J190" s="4" t="n">
        <v>100</v>
      </c>
      <c r="K190" s="4" t="n">
        <v>82.73</v>
      </c>
      <c r="M190" s="2">
        <f>IF(C190="","",IFERROR(INDEX($S$5:$S$304,MATCH(C190,$R$5:$R$304,0))&amp;"","?"))</f>
        <v/>
      </c>
      <c r="N190" s="2">
        <f>IF(E190="","",IF(ISNUMBER(SEARCH("SUBSOLO",E190)),IFERROR(-VALUE(LEFT(E190,FIND("º",SUBSTITUTE(E190,"°","º"))-1)),-1),IF(LEFT(E190,6)="TÉRREO",0,IFERROR(VALUE(LEFT(E190,FIND("º",SUBSTITUTE(E190,"°","º"))-1)),""))))</f>
        <v/>
      </c>
      <c r="O190" s="2">
        <f>IF(OR(F190="",G190=""),"",IF(G190&lt;='RETRATO 2027'!$K$5,"CONCLUÍDA",IF(F190&lt;='RETRATO 2027'!$K$5,"EM ANDAMENTO","A INICIAR")))</f>
        <v/>
      </c>
      <c r="R190" s="4" t="n"/>
      <c r="S190" s="4" t="n"/>
      <c r="T190" s="4" t="n"/>
      <c r="U190" s="4" t="n"/>
      <c r="V190" s="2">
        <f>IF(R190="","",COUNTIF($C$5:$C$6004,R190))</f>
        <v/>
      </c>
      <c r="W190" s="2">
        <f>IF(R190="","",COUNTIFS($C$5:$C$6004,R190,$O$5:$O$6004,"CONCLUÍDA"))</f>
        <v/>
      </c>
      <c r="X190" s="2">
        <f>IF(R190="","",COUNTIFS($C$5:$C$6004,R190,$O$5:$O$6004,"EM ANDAMENTO"))</f>
        <v/>
      </c>
      <c r="Y190" s="2">
        <f>IF(R190="","",IF(COUNTIFS($C$5:$C$6004,R190,$O$5:$O$6004,"CONCLUÍDA",$N$5:$N$6004,"&gt;=-99")=0,"",_xlfn.MAXIFS($N$5:$N$6004,$C$5:$C$6004,R190,$O$5:$O$6004,"CONCLUÍDA")))</f>
        <v/>
      </c>
      <c r="Z190" s="2">
        <f>IF(R190="","",IF(COUNTIFS($C$5:$C$6004,R190,$O$5:$O$6004,"EM ANDAMENTO",$N$5:$N$6004,"&gt;=-99")=0,"",_xlfn.MAXIFS($N$5:$N$6004,$C$5:$C$6004,R190,$O$5:$O$6004,"EM ANDAMENTO")))</f>
        <v/>
      </c>
      <c r="AA190" s="2">
        <f>IF(OR(R190="",S190="",U190&lt;&gt;"SIM",V190=0),"",IF(W190+X190=0,"",T190&amp;": "&amp;IF(W190=V190,"concluído",IF(W190=0,"em execução"&amp;IF(Z190&lt;&gt;""," ("&amp;IF(Z190&lt;0,IF(COUNTIF($E$5:$E$6004,"SUBSOLO*")&gt;0,"subsolo",-Z190&amp;"º subsolo"),IF(Z190=0,"térreo",Z190&amp;"º pav."))&amp;")",""),IF(Y190&lt;&gt;"","até "&amp;IF(Y190&lt;0,IF(COUNTIF($E$5:$E$6004,"SUBSOLO*")&gt;0,"subsolo",-Y190&amp;"º subsolo"),IF(Y190=0,"térreo",Y190&amp;"º pav.")),W190&amp;" de "&amp;V190&amp;" concluídas")&amp;IF(Z190="","",IF(OR(Y190="",Z190&gt;Y190),", executando "&amp;IF(Z190&lt;0,IF(COUNTIF($E$5:$E$6004,"SUBSOLO*")&gt;0,"subsolo",-Z190&amp;"º subsolo"),IF(Z190=0,"térreo",Z190&amp;"º pav."))," (restam serviços no "&amp;IF(Z190&lt;0,IF(COUNTIF($E$5:$E$6004,"SUBSOLO*")&gt;0,"subsolo",-Z190&amp;"º subsolo"),IF(Z190=0,"térreo",Z190&amp;"º pav."))&amp;")"))))))</f>
        <v/>
      </c>
    </row>
    <row r="191">
      <c r="B191" s="4" t="n">
        <v>31529123</v>
      </c>
      <c r="C191" s="4" t="inlineStr">
        <is>
          <t>ESTRUTURA</t>
        </is>
      </c>
      <c r="D191" s="4" t="inlineStr">
        <is>
          <t>Polimento</t>
        </is>
      </c>
      <c r="E191" s="4" t="inlineStr">
        <is>
          <t>TÉRREO - GERAL</t>
        </is>
      </c>
      <c r="F191" s="126" t="n">
        <v>46258</v>
      </c>
      <c r="G191" s="126" t="n">
        <v>46260</v>
      </c>
      <c r="H191" s="126" t="n">
        <v>46289</v>
      </c>
      <c r="I191" s="4" t="n">
        <v>0</v>
      </c>
      <c r="J191" s="4" t="n">
        <v>100</v>
      </c>
      <c r="K191" s="4" t="n">
        <v>82.73</v>
      </c>
      <c r="M191" s="2">
        <f>IF(C191="","",IFERROR(INDEX($S$5:$S$304,MATCH(C191,$R$5:$R$304,0))&amp;"","?"))</f>
        <v/>
      </c>
      <c r="N191" s="2">
        <f>IF(E191="","",IF(ISNUMBER(SEARCH("SUBSOLO",E191)),IFERROR(-VALUE(LEFT(E191,FIND("º",SUBSTITUTE(E191,"°","º"))-1)),-1),IF(LEFT(E191,6)="TÉRREO",0,IFERROR(VALUE(LEFT(E191,FIND("º",SUBSTITUTE(E191,"°","º"))-1)),""))))</f>
        <v/>
      </c>
      <c r="O191" s="2">
        <f>IF(OR(F191="",G191=""),"",IF(G191&lt;='RETRATO 2027'!$K$5,"CONCLUÍDA",IF(F191&lt;='RETRATO 2027'!$K$5,"EM ANDAMENTO","A INICIAR")))</f>
        <v/>
      </c>
      <c r="R191" s="4" t="n"/>
      <c r="S191" s="4" t="n"/>
      <c r="T191" s="4" t="n"/>
      <c r="U191" s="4" t="n"/>
      <c r="V191" s="2">
        <f>IF(R191="","",COUNTIF($C$5:$C$6004,R191))</f>
        <v/>
      </c>
      <c r="W191" s="2">
        <f>IF(R191="","",COUNTIFS($C$5:$C$6004,R191,$O$5:$O$6004,"CONCLUÍDA"))</f>
        <v/>
      </c>
      <c r="X191" s="2">
        <f>IF(R191="","",COUNTIFS($C$5:$C$6004,R191,$O$5:$O$6004,"EM ANDAMENTO"))</f>
        <v/>
      </c>
      <c r="Y191" s="2">
        <f>IF(R191="","",IF(COUNTIFS($C$5:$C$6004,R191,$O$5:$O$6004,"CONCLUÍDA",$N$5:$N$6004,"&gt;=-99")=0,"",_xlfn.MAXIFS($N$5:$N$6004,$C$5:$C$6004,R191,$O$5:$O$6004,"CONCLUÍDA")))</f>
        <v/>
      </c>
      <c r="Z191" s="2">
        <f>IF(R191="","",IF(COUNTIFS($C$5:$C$6004,R191,$O$5:$O$6004,"EM ANDAMENTO",$N$5:$N$6004,"&gt;=-99")=0,"",_xlfn.MAXIFS($N$5:$N$6004,$C$5:$C$6004,R191,$O$5:$O$6004,"EM ANDAMENTO")))</f>
        <v/>
      </c>
      <c r="AA191" s="2">
        <f>IF(OR(R191="",S191="",U191&lt;&gt;"SIM",V191=0),"",IF(W191+X191=0,"",T191&amp;": "&amp;IF(W191=V191,"concluído",IF(W191=0,"em execução"&amp;IF(Z191&lt;&gt;""," ("&amp;IF(Z191&lt;0,IF(COUNTIF($E$5:$E$6004,"SUBSOLO*")&gt;0,"subsolo",-Z191&amp;"º subsolo"),IF(Z191=0,"térreo",Z191&amp;"º pav."))&amp;")",""),IF(Y191&lt;&gt;"","até "&amp;IF(Y191&lt;0,IF(COUNTIF($E$5:$E$6004,"SUBSOLO*")&gt;0,"subsolo",-Y191&amp;"º subsolo"),IF(Y191=0,"térreo",Y191&amp;"º pav.")),W191&amp;" de "&amp;V191&amp;" concluídas")&amp;IF(Z191="","",IF(OR(Y191="",Z191&gt;Y191),", executando "&amp;IF(Z191&lt;0,IF(COUNTIF($E$5:$E$6004,"SUBSOLO*")&gt;0,"subsolo",-Z191&amp;"º subsolo"),IF(Z191=0,"térreo",Z191&amp;"º pav."))," (restam serviços no "&amp;IF(Z191&lt;0,IF(COUNTIF($E$5:$E$6004,"SUBSOLO*")&gt;0,"subsolo",-Z191&amp;"º subsolo"),IF(Z191=0,"térreo",Z191&amp;"º pav."))&amp;")"))))))</f>
        <v/>
      </c>
    </row>
    <row r="192">
      <c r="B192" s="4" t="n">
        <v>44503964</v>
      </c>
      <c r="C192" s="4" t="inlineStr">
        <is>
          <t>FUNDAÇÃO SUPERFICIAL - FASE 5</t>
        </is>
      </c>
      <c r="D192" s="4" t="inlineStr">
        <is>
          <t>-</t>
        </is>
      </c>
      <c r="E192" s="4" t="inlineStr">
        <is>
          <t>SERVIÇOS INICIAIS</t>
        </is>
      </c>
      <c r="F192" s="126" t="n">
        <v>46189</v>
      </c>
      <c r="G192" s="126" t="n">
        <v>46220</v>
      </c>
      <c r="H192" s="126" t="n">
        <v>46289</v>
      </c>
      <c r="I192" s="4" t="n">
        <v>0</v>
      </c>
      <c r="J192" s="4" t="n">
        <v>100</v>
      </c>
      <c r="K192" s="4" t="n">
        <v>100</v>
      </c>
      <c r="M192" s="2">
        <f>IF(C192="","",IFERROR(INDEX($S$5:$S$304,MATCH(C192,$R$5:$R$304,0))&amp;"","?"))</f>
        <v/>
      </c>
      <c r="N192" s="2">
        <f>IF(E192="","",IF(ISNUMBER(SEARCH("SUBSOLO",E192)),IFERROR(-VALUE(LEFT(E192,FIND("º",SUBSTITUTE(E192,"°","º"))-1)),-1),IF(LEFT(E192,6)="TÉRREO",0,IFERROR(VALUE(LEFT(E192,FIND("º",SUBSTITUTE(E192,"°","º"))-1)),""))))</f>
        <v/>
      </c>
      <c r="O192" s="2">
        <f>IF(OR(F192="",G192=""),"",IF(G192&lt;='RETRATO 2027'!$K$5,"CONCLUÍDA",IF(F192&lt;='RETRATO 2027'!$K$5,"EM ANDAMENTO","A INICIAR")))</f>
        <v/>
      </c>
      <c r="R192" s="4" t="n"/>
      <c r="S192" s="4" t="n"/>
      <c r="T192" s="4" t="n"/>
      <c r="U192" s="4" t="n"/>
      <c r="V192" s="2">
        <f>IF(R192="","",COUNTIF($C$5:$C$6004,R192))</f>
        <v/>
      </c>
      <c r="W192" s="2">
        <f>IF(R192="","",COUNTIFS($C$5:$C$6004,R192,$O$5:$O$6004,"CONCLUÍDA"))</f>
        <v/>
      </c>
      <c r="X192" s="2">
        <f>IF(R192="","",COUNTIFS($C$5:$C$6004,R192,$O$5:$O$6004,"EM ANDAMENTO"))</f>
        <v/>
      </c>
      <c r="Y192" s="2">
        <f>IF(R192="","",IF(COUNTIFS($C$5:$C$6004,R192,$O$5:$O$6004,"CONCLUÍDA",$N$5:$N$6004,"&gt;=-99")=0,"",_xlfn.MAXIFS($N$5:$N$6004,$C$5:$C$6004,R192,$O$5:$O$6004,"CONCLUÍDA")))</f>
        <v/>
      </c>
      <c r="Z192" s="2">
        <f>IF(R192="","",IF(COUNTIFS($C$5:$C$6004,R192,$O$5:$O$6004,"EM ANDAMENTO",$N$5:$N$6004,"&gt;=-99")=0,"",_xlfn.MAXIFS($N$5:$N$6004,$C$5:$C$6004,R192,$O$5:$O$6004,"EM ANDAMENTO")))</f>
        <v/>
      </c>
      <c r="AA192" s="2">
        <f>IF(OR(R192="",S192="",U192&lt;&gt;"SIM",V192=0),"",IF(W192+X192=0,"",T192&amp;": "&amp;IF(W192=V192,"concluído",IF(W192=0,"em execução"&amp;IF(Z192&lt;&gt;""," ("&amp;IF(Z192&lt;0,IF(COUNTIF($E$5:$E$6004,"SUBSOLO*")&gt;0,"subsolo",-Z192&amp;"º subsolo"),IF(Z192=0,"térreo",Z192&amp;"º pav."))&amp;")",""),IF(Y192&lt;&gt;"","até "&amp;IF(Y192&lt;0,IF(COUNTIF($E$5:$E$6004,"SUBSOLO*")&gt;0,"subsolo",-Y192&amp;"º subsolo"),IF(Y192=0,"térreo",Y192&amp;"º pav.")),W192&amp;" de "&amp;V192&amp;" concluídas")&amp;IF(Z192="","",IF(OR(Y192="",Z192&gt;Y192),", executando "&amp;IF(Z192&lt;0,IF(COUNTIF($E$5:$E$6004,"SUBSOLO*")&gt;0,"subsolo",-Z192&amp;"º subsolo"),IF(Z192=0,"térreo",Z192&amp;"º pav."))," (restam serviços no "&amp;IF(Z192&lt;0,IF(COUNTIF($E$5:$E$6004,"SUBSOLO*")&gt;0,"subsolo",-Z192&amp;"º subsolo"),IF(Z192=0,"térreo",Z192&amp;"º pav."))&amp;")"))))))</f>
        <v/>
      </c>
    </row>
    <row r="193">
      <c r="B193" s="4" t="n">
        <v>28389441</v>
      </c>
      <c r="C193" s="4" t="inlineStr">
        <is>
          <t>FUNDAÇÃO SUPERFICIAL - FASE 5</t>
        </is>
      </c>
      <c r="D193" s="4" t="inlineStr">
        <is>
          <t>Escavação / Arrasamento - BL 11 / F1 / F2</t>
        </is>
      </c>
      <c r="E193" s="4" t="inlineStr">
        <is>
          <t>SERVIÇOS INICIAIS</t>
        </is>
      </c>
      <c r="F193" s="126" t="n">
        <v>46189</v>
      </c>
      <c r="G193" s="126" t="n">
        <v>46195</v>
      </c>
      <c r="H193" s="126" t="n">
        <v>46289</v>
      </c>
      <c r="I193" s="4" t="n">
        <v>0</v>
      </c>
      <c r="J193" s="4" t="n">
        <v>100</v>
      </c>
      <c r="K193" s="4" t="n">
        <v>100</v>
      </c>
      <c r="M193" s="2">
        <f>IF(C193="","",IFERROR(INDEX($S$5:$S$304,MATCH(C193,$R$5:$R$304,0))&amp;"","?"))</f>
        <v/>
      </c>
      <c r="N193" s="2">
        <f>IF(E193="","",IF(ISNUMBER(SEARCH("SUBSOLO",E193)),IFERROR(-VALUE(LEFT(E193,FIND("º",SUBSTITUTE(E193,"°","º"))-1)),-1),IF(LEFT(E193,6)="TÉRREO",0,IFERROR(VALUE(LEFT(E193,FIND("º",SUBSTITUTE(E193,"°","º"))-1)),""))))</f>
        <v/>
      </c>
      <c r="O193" s="2">
        <f>IF(OR(F193="",G193=""),"",IF(G193&lt;='RETRATO 2027'!$K$5,"CONCLUÍDA",IF(F193&lt;='RETRATO 2027'!$K$5,"EM ANDAMENTO","A INICIAR")))</f>
        <v/>
      </c>
      <c r="R193" s="4" t="n"/>
      <c r="S193" s="4" t="n"/>
      <c r="T193" s="4" t="n"/>
      <c r="U193" s="4" t="n"/>
      <c r="V193" s="2">
        <f>IF(R193="","",COUNTIF($C$5:$C$6004,R193))</f>
        <v/>
      </c>
      <c r="W193" s="2">
        <f>IF(R193="","",COUNTIFS($C$5:$C$6004,R193,$O$5:$O$6004,"CONCLUÍDA"))</f>
        <v/>
      </c>
      <c r="X193" s="2">
        <f>IF(R193="","",COUNTIFS($C$5:$C$6004,R193,$O$5:$O$6004,"EM ANDAMENTO"))</f>
        <v/>
      </c>
      <c r="Y193" s="2">
        <f>IF(R193="","",IF(COUNTIFS($C$5:$C$6004,R193,$O$5:$O$6004,"CONCLUÍDA",$N$5:$N$6004,"&gt;=-99")=0,"",_xlfn.MAXIFS($N$5:$N$6004,$C$5:$C$6004,R193,$O$5:$O$6004,"CONCLUÍDA")))</f>
        <v/>
      </c>
      <c r="Z193" s="2">
        <f>IF(R193="","",IF(COUNTIFS($C$5:$C$6004,R193,$O$5:$O$6004,"EM ANDAMENTO",$N$5:$N$6004,"&gt;=-99")=0,"",_xlfn.MAXIFS($N$5:$N$6004,$C$5:$C$6004,R193,$O$5:$O$6004,"EM ANDAMENTO")))</f>
        <v/>
      </c>
      <c r="AA193" s="2">
        <f>IF(OR(R193="",S193="",U193&lt;&gt;"SIM",V193=0),"",IF(W193+X193=0,"",T193&amp;": "&amp;IF(W193=V193,"concluído",IF(W193=0,"em execução"&amp;IF(Z193&lt;&gt;""," ("&amp;IF(Z193&lt;0,IF(COUNTIF($E$5:$E$6004,"SUBSOLO*")&gt;0,"subsolo",-Z193&amp;"º subsolo"),IF(Z193=0,"térreo",Z193&amp;"º pav."))&amp;")",""),IF(Y193&lt;&gt;"","até "&amp;IF(Y193&lt;0,IF(COUNTIF($E$5:$E$6004,"SUBSOLO*")&gt;0,"subsolo",-Y193&amp;"º subsolo"),IF(Y193=0,"térreo",Y193&amp;"º pav.")),W193&amp;" de "&amp;V193&amp;" concluídas")&amp;IF(Z193="","",IF(OR(Y193="",Z193&gt;Y193),", executando "&amp;IF(Z193&lt;0,IF(COUNTIF($E$5:$E$6004,"SUBSOLO*")&gt;0,"subsolo",-Z193&amp;"º subsolo"),IF(Z193=0,"térreo",Z193&amp;"º pav."))," (restam serviços no "&amp;IF(Z193&lt;0,IF(COUNTIF($E$5:$E$6004,"SUBSOLO*")&gt;0,"subsolo",-Z193&amp;"º subsolo"),IF(Z193=0,"térreo",Z193&amp;"º pav."))&amp;")"))))))</f>
        <v/>
      </c>
    </row>
    <row r="194">
      <c r="B194" s="4" t="n">
        <v>28389442</v>
      </c>
      <c r="C194" s="4" t="inlineStr">
        <is>
          <t>FUNDAÇÃO SUPERFICIAL - FASE 5</t>
        </is>
      </c>
      <c r="D194" s="4" t="inlineStr">
        <is>
          <t xml:space="preserve">Escavação / Arrasamento - BL 20 </t>
        </is>
      </c>
      <c r="E194" s="4" t="inlineStr">
        <is>
          <t>SERVIÇOS INICIAIS</t>
        </is>
      </c>
      <c r="F194" s="126" t="n">
        <v>46196</v>
      </c>
      <c r="G194" s="126" t="n">
        <v>46202</v>
      </c>
      <c r="H194" s="126" t="n">
        <v>46289</v>
      </c>
      <c r="I194" s="4" t="n">
        <v>0</v>
      </c>
      <c r="J194" s="4" t="n">
        <v>100</v>
      </c>
      <c r="K194" s="4" t="n">
        <v>100</v>
      </c>
      <c r="M194" s="2">
        <f>IF(C194="","",IFERROR(INDEX($S$5:$S$304,MATCH(C194,$R$5:$R$304,0))&amp;"","?"))</f>
        <v/>
      </c>
      <c r="N194" s="2">
        <f>IF(E194="","",IF(ISNUMBER(SEARCH("SUBSOLO",E194)),IFERROR(-VALUE(LEFT(E194,FIND("º",SUBSTITUTE(E194,"°","º"))-1)),-1),IF(LEFT(E194,6)="TÉRREO",0,IFERROR(VALUE(LEFT(E194,FIND("º",SUBSTITUTE(E194,"°","º"))-1)),""))))</f>
        <v/>
      </c>
      <c r="O194" s="2">
        <f>IF(OR(F194="",G194=""),"",IF(G194&lt;='RETRATO 2027'!$K$5,"CONCLUÍDA",IF(F194&lt;='RETRATO 2027'!$K$5,"EM ANDAMENTO","A INICIAR")))</f>
        <v/>
      </c>
      <c r="R194" s="4" t="n"/>
      <c r="S194" s="4" t="n"/>
      <c r="T194" s="4" t="n"/>
      <c r="U194" s="4" t="n"/>
      <c r="V194" s="2">
        <f>IF(R194="","",COUNTIF($C$5:$C$6004,R194))</f>
        <v/>
      </c>
      <c r="W194" s="2">
        <f>IF(R194="","",COUNTIFS($C$5:$C$6004,R194,$O$5:$O$6004,"CONCLUÍDA"))</f>
        <v/>
      </c>
      <c r="X194" s="2">
        <f>IF(R194="","",COUNTIFS($C$5:$C$6004,R194,$O$5:$O$6004,"EM ANDAMENTO"))</f>
        <v/>
      </c>
      <c r="Y194" s="2">
        <f>IF(R194="","",IF(COUNTIFS($C$5:$C$6004,R194,$O$5:$O$6004,"CONCLUÍDA",$N$5:$N$6004,"&gt;=-99")=0,"",_xlfn.MAXIFS($N$5:$N$6004,$C$5:$C$6004,R194,$O$5:$O$6004,"CONCLUÍDA")))</f>
        <v/>
      </c>
      <c r="Z194" s="2">
        <f>IF(R194="","",IF(COUNTIFS($C$5:$C$6004,R194,$O$5:$O$6004,"EM ANDAMENTO",$N$5:$N$6004,"&gt;=-99")=0,"",_xlfn.MAXIFS($N$5:$N$6004,$C$5:$C$6004,R194,$O$5:$O$6004,"EM ANDAMENTO")))</f>
        <v/>
      </c>
      <c r="AA194" s="2">
        <f>IF(OR(R194="",S194="",U194&lt;&gt;"SIM",V194=0),"",IF(W194+X194=0,"",T194&amp;": "&amp;IF(W194=V194,"concluído",IF(W194=0,"em execução"&amp;IF(Z194&lt;&gt;""," ("&amp;IF(Z194&lt;0,IF(COUNTIF($E$5:$E$6004,"SUBSOLO*")&gt;0,"subsolo",-Z194&amp;"º subsolo"),IF(Z194=0,"térreo",Z194&amp;"º pav."))&amp;")",""),IF(Y194&lt;&gt;"","até "&amp;IF(Y194&lt;0,IF(COUNTIF($E$5:$E$6004,"SUBSOLO*")&gt;0,"subsolo",-Y194&amp;"º subsolo"),IF(Y194=0,"térreo",Y194&amp;"º pav.")),W194&amp;" de "&amp;V194&amp;" concluídas")&amp;IF(Z194="","",IF(OR(Y194="",Z194&gt;Y194),", executando "&amp;IF(Z194&lt;0,IF(COUNTIF($E$5:$E$6004,"SUBSOLO*")&gt;0,"subsolo",-Z194&amp;"º subsolo"),IF(Z194=0,"térreo",Z194&amp;"º pav."))," (restam serviços no "&amp;IF(Z194&lt;0,IF(COUNTIF($E$5:$E$6004,"SUBSOLO*")&gt;0,"subsolo",-Z194&amp;"º subsolo"),IF(Z194=0,"térreo",Z194&amp;"º pav."))&amp;")"))))))</f>
        <v/>
      </c>
    </row>
    <row r="195">
      <c r="B195" s="4" t="n">
        <v>28389443</v>
      </c>
      <c r="C195" s="4" t="inlineStr">
        <is>
          <t>FUNDAÇÃO SUPERFICIAL - FASE 5</t>
        </is>
      </c>
      <c r="D195" s="4" t="inlineStr">
        <is>
          <t>Armação - BL 11 / F1 / F2</t>
        </is>
      </c>
      <c r="E195" s="4" t="inlineStr">
        <is>
          <t>SERVIÇOS INICIAIS</t>
        </is>
      </c>
      <c r="F195" s="126" t="n">
        <v>46196</v>
      </c>
      <c r="G195" s="126" t="n">
        <v>46202</v>
      </c>
      <c r="H195" s="126" t="n">
        <v>46289</v>
      </c>
      <c r="I195" s="4" t="n">
        <v>0</v>
      </c>
      <c r="J195" s="4" t="n">
        <v>100</v>
      </c>
      <c r="K195" s="4" t="n">
        <v>100</v>
      </c>
      <c r="M195" s="2">
        <f>IF(C195="","",IFERROR(INDEX($S$5:$S$304,MATCH(C195,$R$5:$R$304,0))&amp;"","?"))</f>
        <v/>
      </c>
      <c r="N195" s="2">
        <f>IF(E195="","",IF(ISNUMBER(SEARCH("SUBSOLO",E195)),IFERROR(-VALUE(LEFT(E195,FIND("º",SUBSTITUTE(E195,"°","º"))-1)),-1),IF(LEFT(E195,6)="TÉRREO",0,IFERROR(VALUE(LEFT(E195,FIND("º",SUBSTITUTE(E195,"°","º"))-1)),""))))</f>
        <v/>
      </c>
      <c r="O195" s="2">
        <f>IF(OR(F195="",G195=""),"",IF(G195&lt;='RETRATO 2027'!$K$5,"CONCLUÍDA",IF(F195&lt;='RETRATO 2027'!$K$5,"EM ANDAMENTO","A INICIAR")))</f>
        <v/>
      </c>
      <c r="R195" s="4" t="n"/>
      <c r="S195" s="4" t="n"/>
      <c r="T195" s="4" t="n"/>
      <c r="U195" s="4" t="n"/>
      <c r="V195" s="2">
        <f>IF(R195="","",COUNTIF($C$5:$C$6004,R195))</f>
        <v/>
      </c>
      <c r="W195" s="2">
        <f>IF(R195="","",COUNTIFS($C$5:$C$6004,R195,$O$5:$O$6004,"CONCLUÍDA"))</f>
        <v/>
      </c>
      <c r="X195" s="2">
        <f>IF(R195="","",COUNTIFS($C$5:$C$6004,R195,$O$5:$O$6004,"EM ANDAMENTO"))</f>
        <v/>
      </c>
      <c r="Y195" s="2">
        <f>IF(R195="","",IF(COUNTIFS($C$5:$C$6004,R195,$O$5:$O$6004,"CONCLUÍDA",$N$5:$N$6004,"&gt;=-99")=0,"",_xlfn.MAXIFS($N$5:$N$6004,$C$5:$C$6004,R195,$O$5:$O$6004,"CONCLUÍDA")))</f>
        <v/>
      </c>
      <c r="Z195" s="2">
        <f>IF(R195="","",IF(COUNTIFS($C$5:$C$6004,R195,$O$5:$O$6004,"EM ANDAMENTO",$N$5:$N$6004,"&gt;=-99")=0,"",_xlfn.MAXIFS($N$5:$N$6004,$C$5:$C$6004,R195,$O$5:$O$6004,"EM ANDAMENTO")))</f>
        <v/>
      </c>
      <c r="AA195" s="2">
        <f>IF(OR(R195="",S195="",U195&lt;&gt;"SIM",V195=0),"",IF(W195+X195=0,"",T195&amp;": "&amp;IF(W195=V195,"concluído",IF(W195=0,"em execução"&amp;IF(Z195&lt;&gt;""," ("&amp;IF(Z195&lt;0,IF(COUNTIF($E$5:$E$6004,"SUBSOLO*")&gt;0,"subsolo",-Z195&amp;"º subsolo"),IF(Z195=0,"térreo",Z195&amp;"º pav."))&amp;")",""),IF(Y195&lt;&gt;"","até "&amp;IF(Y195&lt;0,IF(COUNTIF($E$5:$E$6004,"SUBSOLO*")&gt;0,"subsolo",-Y195&amp;"º subsolo"),IF(Y195=0,"térreo",Y195&amp;"º pav.")),W195&amp;" de "&amp;V195&amp;" concluídas")&amp;IF(Z195="","",IF(OR(Y195="",Z195&gt;Y195),", executando "&amp;IF(Z195&lt;0,IF(COUNTIF($E$5:$E$6004,"SUBSOLO*")&gt;0,"subsolo",-Z195&amp;"º subsolo"),IF(Z195=0,"térreo",Z195&amp;"º pav."))," (restam serviços no "&amp;IF(Z195&lt;0,IF(COUNTIF($E$5:$E$6004,"SUBSOLO*")&gt;0,"subsolo",-Z195&amp;"º subsolo"),IF(Z195=0,"térreo",Z195&amp;"º pav."))&amp;")"))))))</f>
        <v/>
      </c>
    </row>
    <row r="196">
      <c r="B196" s="4" t="n">
        <v>28389444</v>
      </c>
      <c r="C196" s="4" t="inlineStr">
        <is>
          <t>FUNDAÇÃO SUPERFICIAL - FASE 5</t>
        </is>
      </c>
      <c r="D196" s="4" t="inlineStr">
        <is>
          <t xml:space="preserve">Escavação / Arrasamento - BL  142 - 144 / 151 - 153 / 137 </t>
        </is>
      </c>
      <c r="E196" s="4" t="inlineStr">
        <is>
          <t>SERVIÇOS INICIAIS</t>
        </is>
      </c>
      <c r="F196" s="126" t="n">
        <v>46203</v>
      </c>
      <c r="G196" s="126" t="n">
        <v>46209</v>
      </c>
      <c r="H196" s="126" t="n">
        <v>46289</v>
      </c>
      <c r="I196" s="4" t="n">
        <v>0</v>
      </c>
      <c r="J196" s="4" t="n">
        <v>100</v>
      </c>
      <c r="K196" s="4" t="n">
        <v>100</v>
      </c>
      <c r="M196" s="2">
        <f>IF(C196="","",IFERROR(INDEX($S$5:$S$304,MATCH(C196,$R$5:$R$304,0))&amp;"","?"))</f>
        <v/>
      </c>
      <c r="N196" s="2">
        <f>IF(E196="","",IF(ISNUMBER(SEARCH("SUBSOLO",E196)),IFERROR(-VALUE(LEFT(E196,FIND("º",SUBSTITUTE(E196,"°","º"))-1)),-1),IF(LEFT(E196,6)="TÉRREO",0,IFERROR(VALUE(LEFT(E196,FIND("º",SUBSTITUTE(E196,"°","º"))-1)),""))))</f>
        <v/>
      </c>
      <c r="O196" s="2">
        <f>IF(OR(F196="",G196=""),"",IF(G196&lt;='RETRATO 2027'!$K$5,"CONCLUÍDA",IF(F196&lt;='RETRATO 2027'!$K$5,"EM ANDAMENTO","A INICIAR")))</f>
        <v/>
      </c>
      <c r="R196" s="4" t="n"/>
      <c r="S196" s="4" t="n"/>
      <c r="T196" s="4" t="n"/>
      <c r="U196" s="4" t="n"/>
      <c r="V196" s="2">
        <f>IF(R196="","",COUNTIF($C$5:$C$6004,R196))</f>
        <v/>
      </c>
      <c r="W196" s="2">
        <f>IF(R196="","",COUNTIFS($C$5:$C$6004,R196,$O$5:$O$6004,"CONCLUÍDA"))</f>
        <v/>
      </c>
      <c r="X196" s="2">
        <f>IF(R196="","",COUNTIFS($C$5:$C$6004,R196,$O$5:$O$6004,"EM ANDAMENTO"))</f>
        <v/>
      </c>
      <c r="Y196" s="2">
        <f>IF(R196="","",IF(COUNTIFS($C$5:$C$6004,R196,$O$5:$O$6004,"CONCLUÍDA",$N$5:$N$6004,"&gt;=-99")=0,"",_xlfn.MAXIFS($N$5:$N$6004,$C$5:$C$6004,R196,$O$5:$O$6004,"CONCLUÍDA")))</f>
        <v/>
      </c>
      <c r="Z196" s="2">
        <f>IF(R196="","",IF(COUNTIFS($C$5:$C$6004,R196,$O$5:$O$6004,"EM ANDAMENTO",$N$5:$N$6004,"&gt;=-99")=0,"",_xlfn.MAXIFS($N$5:$N$6004,$C$5:$C$6004,R196,$O$5:$O$6004,"EM ANDAMENTO")))</f>
        <v/>
      </c>
      <c r="AA196" s="2">
        <f>IF(OR(R196="",S196="",U196&lt;&gt;"SIM",V196=0),"",IF(W196+X196=0,"",T196&amp;": "&amp;IF(W196=V196,"concluído",IF(W196=0,"em execução"&amp;IF(Z196&lt;&gt;""," ("&amp;IF(Z196&lt;0,IF(COUNTIF($E$5:$E$6004,"SUBSOLO*")&gt;0,"subsolo",-Z196&amp;"º subsolo"),IF(Z196=0,"térreo",Z196&amp;"º pav."))&amp;")",""),IF(Y196&lt;&gt;"","até "&amp;IF(Y196&lt;0,IF(COUNTIF($E$5:$E$6004,"SUBSOLO*")&gt;0,"subsolo",-Y196&amp;"º subsolo"),IF(Y196=0,"térreo",Y196&amp;"º pav.")),W196&amp;" de "&amp;V196&amp;" concluídas")&amp;IF(Z196="","",IF(OR(Y196="",Z196&gt;Y196),", executando "&amp;IF(Z196&lt;0,IF(COUNTIF($E$5:$E$6004,"SUBSOLO*")&gt;0,"subsolo",-Z196&amp;"º subsolo"),IF(Z196=0,"térreo",Z196&amp;"º pav."))," (restam serviços no "&amp;IF(Z196&lt;0,IF(COUNTIF($E$5:$E$6004,"SUBSOLO*")&gt;0,"subsolo",-Z196&amp;"º subsolo"),IF(Z196=0,"térreo",Z196&amp;"º pav."))&amp;")"))))))</f>
        <v/>
      </c>
    </row>
    <row r="197">
      <c r="B197" s="4" t="n">
        <v>28389445</v>
      </c>
      <c r="C197" s="4" t="inlineStr">
        <is>
          <t>FUNDAÇÃO SUPERFICIAL - FASE 5</t>
        </is>
      </c>
      <c r="D197" s="4" t="inlineStr">
        <is>
          <t>Armação - BL 20</t>
        </is>
      </c>
      <c r="E197" s="4" t="inlineStr">
        <is>
          <t>SERVIÇOS INICIAIS</t>
        </is>
      </c>
      <c r="F197" s="126" t="n">
        <v>46203</v>
      </c>
      <c r="G197" s="126" t="n">
        <v>46209</v>
      </c>
      <c r="H197" s="126" t="n">
        <v>46289</v>
      </c>
      <c r="I197" s="4" t="n">
        <v>0</v>
      </c>
      <c r="J197" s="4" t="n">
        <v>100</v>
      </c>
      <c r="K197" s="4" t="n">
        <v>100</v>
      </c>
      <c r="M197" s="2">
        <f>IF(C197="","",IFERROR(INDEX($S$5:$S$304,MATCH(C197,$R$5:$R$304,0))&amp;"","?"))</f>
        <v/>
      </c>
      <c r="N197" s="2">
        <f>IF(E197="","",IF(ISNUMBER(SEARCH("SUBSOLO",E197)),IFERROR(-VALUE(LEFT(E197,FIND("º",SUBSTITUTE(E197,"°","º"))-1)),-1),IF(LEFT(E197,6)="TÉRREO",0,IFERROR(VALUE(LEFT(E197,FIND("º",SUBSTITUTE(E197,"°","º"))-1)),""))))</f>
        <v/>
      </c>
      <c r="O197" s="2">
        <f>IF(OR(F197="",G197=""),"",IF(G197&lt;='RETRATO 2027'!$K$5,"CONCLUÍDA",IF(F197&lt;='RETRATO 2027'!$K$5,"EM ANDAMENTO","A INICIAR")))</f>
        <v/>
      </c>
      <c r="R197" s="4" t="n"/>
      <c r="S197" s="4" t="n"/>
      <c r="T197" s="4" t="n"/>
      <c r="U197" s="4" t="n"/>
      <c r="V197" s="2">
        <f>IF(R197="","",COUNTIF($C$5:$C$6004,R197))</f>
        <v/>
      </c>
      <c r="W197" s="2">
        <f>IF(R197="","",COUNTIFS($C$5:$C$6004,R197,$O$5:$O$6004,"CONCLUÍDA"))</f>
        <v/>
      </c>
      <c r="X197" s="2">
        <f>IF(R197="","",COUNTIFS($C$5:$C$6004,R197,$O$5:$O$6004,"EM ANDAMENTO"))</f>
        <v/>
      </c>
      <c r="Y197" s="2">
        <f>IF(R197="","",IF(COUNTIFS($C$5:$C$6004,R197,$O$5:$O$6004,"CONCLUÍDA",$N$5:$N$6004,"&gt;=-99")=0,"",_xlfn.MAXIFS($N$5:$N$6004,$C$5:$C$6004,R197,$O$5:$O$6004,"CONCLUÍDA")))</f>
        <v/>
      </c>
      <c r="Z197" s="2">
        <f>IF(R197="","",IF(COUNTIFS($C$5:$C$6004,R197,$O$5:$O$6004,"EM ANDAMENTO",$N$5:$N$6004,"&gt;=-99")=0,"",_xlfn.MAXIFS($N$5:$N$6004,$C$5:$C$6004,R197,$O$5:$O$6004,"EM ANDAMENTO")))</f>
        <v/>
      </c>
      <c r="AA197" s="2">
        <f>IF(OR(R197="",S197="",U197&lt;&gt;"SIM",V197=0),"",IF(W197+X197=0,"",T197&amp;": "&amp;IF(W197=V197,"concluído",IF(W197=0,"em execução"&amp;IF(Z197&lt;&gt;""," ("&amp;IF(Z197&lt;0,IF(COUNTIF($E$5:$E$6004,"SUBSOLO*")&gt;0,"subsolo",-Z197&amp;"º subsolo"),IF(Z197=0,"térreo",Z197&amp;"º pav."))&amp;")",""),IF(Y197&lt;&gt;"","até "&amp;IF(Y197&lt;0,IF(COUNTIF($E$5:$E$6004,"SUBSOLO*")&gt;0,"subsolo",-Y197&amp;"º subsolo"),IF(Y197=0,"térreo",Y197&amp;"º pav.")),W197&amp;" de "&amp;V197&amp;" concluídas")&amp;IF(Z197="","",IF(OR(Y197="",Z197&gt;Y197),", executando "&amp;IF(Z197&lt;0,IF(COUNTIF($E$5:$E$6004,"SUBSOLO*")&gt;0,"subsolo",-Z197&amp;"º subsolo"),IF(Z197=0,"térreo",Z197&amp;"º pav."))," (restam serviços no "&amp;IF(Z197&lt;0,IF(COUNTIF($E$5:$E$6004,"SUBSOLO*")&gt;0,"subsolo",-Z197&amp;"º subsolo"),IF(Z197=0,"térreo",Z197&amp;"º pav."))&amp;")"))))))</f>
        <v/>
      </c>
    </row>
    <row r="198">
      <c r="B198" s="4" t="n">
        <v>28645982</v>
      </c>
      <c r="C198" s="4" t="inlineStr">
        <is>
          <t>FUNDAÇÃO SUPERFICIAL - FASE 5</t>
        </is>
      </c>
      <c r="D198" s="4" t="inlineStr">
        <is>
          <t>Forma - BL 11 / F1 / F2</t>
        </is>
      </c>
      <c r="E198" s="4" t="inlineStr">
        <is>
          <t>SERVIÇOS INICIAIS</t>
        </is>
      </c>
      <c r="F198" s="126" t="n">
        <v>46203</v>
      </c>
      <c r="G198" s="126" t="n">
        <v>46209</v>
      </c>
      <c r="H198" s="126" t="n">
        <v>46289</v>
      </c>
      <c r="I198" s="4" t="n">
        <v>0</v>
      </c>
      <c r="J198" s="4" t="n">
        <v>100</v>
      </c>
      <c r="K198" s="4" t="n">
        <v>100</v>
      </c>
      <c r="M198" s="2">
        <f>IF(C198="","",IFERROR(INDEX($S$5:$S$304,MATCH(C198,$R$5:$R$304,0))&amp;"","?"))</f>
        <v/>
      </c>
      <c r="N198" s="2">
        <f>IF(E198="","",IF(ISNUMBER(SEARCH("SUBSOLO",E198)),IFERROR(-VALUE(LEFT(E198,FIND("º",SUBSTITUTE(E198,"°","º"))-1)),-1),IF(LEFT(E198,6)="TÉRREO",0,IFERROR(VALUE(LEFT(E198,FIND("º",SUBSTITUTE(E198,"°","º"))-1)),""))))</f>
        <v/>
      </c>
      <c r="O198" s="2">
        <f>IF(OR(F198="",G198=""),"",IF(G198&lt;='RETRATO 2027'!$K$5,"CONCLUÍDA",IF(F198&lt;='RETRATO 2027'!$K$5,"EM ANDAMENTO","A INICIAR")))</f>
        <v/>
      </c>
      <c r="R198" s="4" t="n"/>
      <c r="S198" s="4" t="n"/>
      <c r="T198" s="4" t="n"/>
      <c r="U198" s="4" t="n"/>
      <c r="V198" s="2">
        <f>IF(R198="","",COUNTIF($C$5:$C$6004,R198))</f>
        <v/>
      </c>
      <c r="W198" s="2">
        <f>IF(R198="","",COUNTIFS($C$5:$C$6004,R198,$O$5:$O$6004,"CONCLUÍDA"))</f>
        <v/>
      </c>
      <c r="X198" s="2">
        <f>IF(R198="","",COUNTIFS($C$5:$C$6004,R198,$O$5:$O$6004,"EM ANDAMENTO"))</f>
        <v/>
      </c>
      <c r="Y198" s="2">
        <f>IF(R198="","",IF(COUNTIFS($C$5:$C$6004,R198,$O$5:$O$6004,"CONCLUÍDA",$N$5:$N$6004,"&gt;=-99")=0,"",_xlfn.MAXIFS($N$5:$N$6004,$C$5:$C$6004,R198,$O$5:$O$6004,"CONCLUÍDA")))</f>
        <v/>
      </c>
      <c r="Z198" s="2">
        <f>IF(R198="","",IF(COUNTIFS($C$5:$C$6004,R198,$O$5:$O$6004,"EM ANDAMENTO",$N$5:$N$6004,"&gt;=-99")=0,"",_xlfn.MAXIFS($N$5:$N$6004,$C$5:$C$6004,R198,$O$5:$O$6004,"EM ANDAMENTO")))</f>
        <v/>
      </c>
      <c r="AA198" s="2">
        <f>IF(OR(R198="",S198="",U198&lt;&gt;"SIM",V198=0),"",IF(W198+X198=0,"",T198&amp;": "&amp;IF(W198=V198,"concluído",IF(W198=0,"em execução"&amp;IF(Z198&lt;&gt;""," ("&amp;IF(Z198&lt;0,IF(COUNTIF($E$5:$E$6004,"SUBSOLO*")&gt;0,"subsolo",-Z198&amp;"º subsolo"),IF(Z198=0,"térreo",Z198&amp;"º pav."))&amp;")",""),IF(Y198&lt;&gt;"","até "&amp;IF(Y198&lt;0,IF(COUNTIF($E$5:$E$6004,"SUBSOLO*")&gt;0,"subsolo",-Y198&amp;"º subsolo"),IF(Y198=0,"térreo",Y198&amp;"º pav.")),W198&amp;" de "&amp;V198&amp;" concluídas")&amp;IF(Z198="","",IF(OR(Y198="",Z198&gt;Y198),", executando "&amp;IF(Z198&lt;0,IF(COUNTIF($E$5:$E$6004,"SUBSOLO*")&gt;0,"subsolo",-Z198&amp;"º subsolo"),IF(Z198=0,"térreo",Z198&amp;"º pav."))," (restam serviços no "&amp;IF(Z198&lt;0,IF(COUNTIF($E$5:$E$6004,"SUBSOLO*")&gt;0,"subsolo",-Z198&amp;"º subsolo"),IF(Z198=0,"térreo",Z198&amp;"º pav."))&amp;")"))))))</f>
        <v/>
      </c>
    </row>
    <row r="199">
      <c r="B199" s="4" t="n">
        <v>28645983</v>
      </c>
      <c r="C199" s="4" t="inlineStr">
        <is>
          <t>FUNDAÇÃO SUPERFICIAL - FASE 5</t>
        </is>
      </c>
      <c r="D199" s="4" t="inlineStr">
        <is>
          <t>Concreto - BL 11 / F1 / F2</t>
        </is>
      </c>
      <c r="E199" s="4" t="inlineStr">
        <is>
          <t>SERVIÇOS INICIAIS</t>
        </is>
      </c>
      <c r="F199" s="126" t="n">
        <v>46209</v>
      </c>
      <c r="G199" s="126" t="n">
        <v>46209</v>
      </c>
      <c r="H199" s="126" t="n">
        <v>46289</v>
      </c>
      <c r="I199" s="4" t="n">
        <v>0</v>
      </c>
      <c r="J199" s="4" t="n">
        <v>100</v>
      </c>
      <c r="K199" s="4" t="n">
        <v>100</v>
      </c>
      <c r="M199" s="2">
        <f>IF(C199="","",IFERROR(INDEX($S$5:$S$304,MATCH(C199,$R$5:$R$304,0))&amp;"","?"))</f>
        <v/>
      </c>
      <c r="N199" s="2">
        <f>IF(E199="","",IF(ISNUMBER(SEARCH("SUBSOLO",E199)),IFERROR(-VALUE(LEFT(E199,FIND("º",SUBSTITUTE(E199,"°","º"))-1)),-1),IF(LEFT(E199,6)="TÉRREO",0,IFERROR(VALUE(LEFT(E199,FIND("º",SUBSTITUTE(E199,"°","º"))-1)),""))))</f>
        <v/>
      </c>
      <c r="O199" s="2">
        <f>IF(OR(F199="",G199=""),"",IF(G199&lt;='RETRATO 2027'!$K$5,"CONCLUÍDA",IF(F199&lt;='RETRATO 2027'!$K$5,"EM ANDAMENTO","A INICIAR")))</f>
        <v/>
      </c>
      <c r="R199" s="4" t="n"/>
      <c r="S199" s="4" t="n"/>
      <c r="T199" s="4" t="n"/>
      <c r="U199" s="4" t="n"/>
      <c r="V199" s="2">
        <f>IF(R199="","",COUNTIF($C$5:$C$6004,R199))</f>
        <v/>
      </c>
      <c r="W199" s="2">
        <f>IF(R199="","",COUNTIFS($C$5:$C$6004,R199,$O$5:$O$6004,"CONCLUÍDA"))</f>
        <v/>
      </c>
      <c r="X199" s="2">
        <f>IF(R199="","",COUNTIFS($C$5:$C$6004,R199,$O$5:$O$6004,"EM ANDAMENTO"))</f>
        <v/>
      </c>
      <c r="Y199" s="2">
        <f>IF(R199="","",IF(COUNTIFS($C$5:$C$6004,R199,$O$5:$O$6004,"CONCLUÍDA",$N$5:$N$6004,"&gt;=-99")=0,"",_xlfn.MAXIFS($N$5:$N$6004,$C$5:$C$6004,R199,$O$5:$O$6004,"CONCLUÍDA")))</f>
        <v/>
      </c>
      <c r="Z199" s="2">
        <f>IF(R199="","",IF(COUNTIFS($C$5:$C$6004,R199,$O$5:$O$6004,"EM ANDAMENTO",$N$5:$N$6004,"&gt;=-99")=0,"",_xlfn.MAXIFS($N$5:$N$6004,$C$5:$C$6004,R199,$O$5:$O$6004,"EM ANDAMENTO")))</f>
        <v/>
      </c>
      <c r="AA199" s="2">
        <f>IF(OR(R199="",S199="",U199&lt;&gt;"SIM",V199=0),"",IF(W199+X199=0,"",T199&amp;": "&amp;IF(W199=V199,"concluído",IF(W199=0,"em execução"&amp;IF(Z199&lt;&gt;""," ("&amp;IF(Z199&lt;0,IF(COUNTIF($E$5:$E$6004,"SUBSOLO*")&gt;0,"subsolo",-Z199&amp;"º subsolo"),IF(Z199=0,"térreo",Z199&amp;"º pav."))&amp;")",""),IF(Y199&lt;&gt;"","até "&amp;IF(Y199&lt;0,IF(COUNTIF($E$5:$E$6004,"SUBSOLO*")&gt;0,"subsolo",-Y199&amp;"º subsolo"),IF(Y199=0,"térreo",Y199&amp;"º pav.")),W199&amp;" de "&amp;V199&amp;" concluídas")&amp;IF(Z199="","",IF(OR(Y199="",Z199&gt;Y199),", executando "&amp;IF(Z199&lt;0,IF(COUNTIF($E$5:$E$6004,"SUBSOLO*")&gt;0,"subsolo",-Z199&amp;"º subsolo"),IF(Z199=0,"térreo",Z199&amp;"º pav."))," (restam serviços no "&amp;IF(Z199&lt;0,IF(COUNTIF($E$5:$E$6004,"SUBSOLO*")&gt;0,"subsolo",-Z199&amp;"º subsolo"),IF(Z199=0,"térreo",Z199&amp;"º pav."))&amp;")"))))))</f>
        <v/>
      </c>
    </row>
    <row r="200">
      <c r="B200" s="4" t="n">
        <v>28645984</v>
      </c>
      <c r="C200" s="4" t="inlineStr">
        <is>
          <t>FUNDAÇÃO SUPERFICIAL - FASE 5</t>
        </is>
      </c>
      <c r="D200" s="4" t="inlineStr">
        <is>
          <t xml:space="preserve">Armação - BL 142 - 144 / 151 - 153 / 137 </t>
        </is>
      </c>
      <c r="E200" s="4" t="inlineStr">
        <is>
          <t>SERVIÇOS INICIAIS</t>
        </is>
      </c>
      <c r="F200" s="126" t="n">
        <v>46210</v>
      </c>
      <c r="G200" s="126" t="n">
        <v>46216</v>
      </c>
      <c r="H200" s="126" t="n">
        <v>46289</v>
      </c>
      <c r="I200" s="4" t="n">
        <v>0</v>
      </c>
      <c r="J200" s="4" t="n">
        <v>100</v>
      </c>
      <c r="K200" s="4" t="n">
        <v>100</v>
      </c>
      <c r="M200" s="2">
        <f>IF(C200="","",IFERROR(INDEX($S$5:$S$304,MATCH(C200,$R$5:$R$304,0))&amp;"","?"))</f>
        <v/>
      </c>
      <c r="N200" s="2">
        <f>IF(E200="","",IF(ISNUMBER(SEARCH("SUBSOLO",E200)),IFERROR(-VALUE(LEFT(E200,FIND("º",SUBSTITUTE(E200,"°","º"))-1)),-1),IF(LEFT(E200,6)="TÉRREO",0,IFERROR(VALUE(LEFT(E200,FIND("º",SUBSTITUTE(E200,"°","º"))-1)),""))))</f>
        <v/>
      </c>
      <c r="O200" s="2">
        <f>IF(OR(F200="",G200=""),"",IF(G200&lt;='RETRATO 2027'!$K$5,"CONCLUÍDA",IF(F200&lt;='RETRATO 2027'!$K$5,"EM ANDAMENTO","A INICIAR")))</f>
        <v/>
      </c>
      <c r="R200" s="4" t="n"/>
      <c r="S200" s="4" t="n"/>
      <c r="T200" s="4" t="n"/>
      <c r="U200" s="4" t="n"/>
      <c r="V200" s="2">
        <f>IF(R200="","",COUNTIF($C$5:$C$6004,R200))</f>
        <v/>
      </c>
      <c r="W200" s="2">
        <f>IF(R200="","",COUNTIFS($C$5:$C$6004,R200,$O$5:$O$6004,"CONCLUÍDA"))</f>
        <v/>
      </c>
      <c r="X200" s="2">
        <f>IF(R200="","",COUNTIFS($C$5:$C$6004,R200,$O$5:$O$6004,"EM ANDAMENTO"))</f>
        <v/>
      </c>
      <c r="Y200" s="2">
        <f>IF(R200="","",IF(COUNTIFS($C$5:$C$6004,R200,$O$5:$O$6004,"CONCLUÍDA",$N$5:$N$6004,"&gt;=-99")=0,"",_xlfn.MAXIFS($N$5:$N$6004,$C$5:$C$6004,R200,$O$5:$O$6004,"CONCLUÍDA")))</f>
        <v/>
      </c>
      <c r="Z200" s="2">
        <f>IF(R200="","",IF(COUNTIFS($C$5:$C$6004,R200,$O$5:$O$6004,"EM ANDAMENTO",$N$5:$N$6004,"&gt;=-99")=0,"",_xlfn.MAXIFS($N$5:$N$6004,$C$5:$C$6004,R200,$O$5:$O$6004,"EM ANDAMENTO")))</f>
        <v/>
      </c>
      <c r="AA200" s="2">
        <f>IF(OR(R200="",S200="",U200&lt;&gt;"SIM",V200=0),"",IF(W200+X200=0,"",T200&amp;": "&amp;IF(W200=V200,"concluído",IF(W200=0,"em execução"&amp;IF(Z200&lt;&gt;""," ("&amp;IF(Z200&lt;0,IF(COUNTIF($E$5:$E$6004,"SUBSOLO*")&gt;0,"subsolo",-Z200&amp;"º subsolo"),IF(Z200=0,"térreo",Z200&amp;"º pav."))&amp;")",""),IF(Y200&lt;&gt;"","até "&amp;IF(Y200&lt;0,IF(COUNTIF($E$5:$E$6004,"SUBSOLO*")&gt;0,"subsolo",-Y200&amp;"º subsolo"),IF(Y200=0,"térreo",Y200&amp;"º pav.")),W200&amp;" de "&amp;V200&amp;" concluídas")&amp;IF(Z200="","",IF(OR(Y200="",Z200&gt;Y200),", executando "&amp;IF(Z200&lt;0,IF(COUNTIF($E$5:$E$6004,"SUBSOLO*")&gt;0,"subsolo",-Z200&amp;"º subsolo"),IF(Z200=0,"térreo",Z200&amp;"º pav."))," (restam serviços no "&amp;IF(Z200&lt;0,IF(COUNTIF($E$5:$E$6004,"SUBSOLO*")&gt;0,"subsolo",-Z200&amp;"º subsolo"),IF(Z200=0,"térreo",Z200&amp;"º pav."))&amp;")"))))))</f>
        <v/>
      </c>
    </row>
    <row r="201">
      <c r="B201" s="4" t="n">
        <v>28645985</v>
      </c>
      <c r="C201" s="4" t="inlineStr">
        <is>
          <t>FUNDAÇÃO SUPERFICIAL - FASE 5</t>
        </is>
      </c>
      <c r="D201" s="4" t="inlineStr">
        <is>
          <t>Forma - BL 20 / 142 - 144 / 151 - 153 / 137</t>
        </is>
      </c>
      <c r="E201" s="4" t="inlineStr">
        <is>
          <t>SERVIÇOS INICIAIS</t>
        </is>
      </c>
      <c r="F201" s="126" t="n">
        <v>46210</v>
      </c>
      <c r="G201" s="126" t="n">
        <v>46220</v>
      </c>
      <c r="H201" s="126" t="n">
        <v>46289</v>
      </c>
      <c r="I201" s="4" t="n">
        <v>0</v>
      </c>
      <c r="J201" s="4" t="n">
        <v>100</v>
      </c>
      <c r="K201" s="4" t="n">
        <v>100</v>
      </c>
      <c r="M201" s="2">
        <f>IF(C201="","",IFERROR(INDEX($S$5:$S$304,MATCH(C201,$R$5:$R$304,0))&amp;"","?"))</f>
        <v/>
      </c>
      <c r="N201" s="2">
        <f>IF(E201="","",IF(ISNUMBER(SEARCH("SUBSOLO",E201)),IFERROR(-VALUE(LEFT(E201,FIND("º",SUBSTITUTE(E201,"°","º"))-1)),-1),IF(LEFT(E201,6)="TÉRREO",0,IFERROR(VALUE(LEFT(E201,FIND("º",SUBSTITUTE(E201,"°","º"))-1)),""))))</f>
        <v/>
      </c>
      <c r="O201" s="2">
        <f>IF(OR(F201="",G201=""),"",IF(G201&lt;='RETRATO 2027'!$K$5,"CONCLUÍDA",IF(F201&lt;='RETRATO 2027'!$K$5,"EM ANDAMENTO","A INICIAR")))</f>
        <v/>
      </c>
      <c r="R201" s="4" t="n"/>
      <c r="S201" s="4" t="n"/>
      <c r="T201" s="4" t="n"/>
      <c r="U201" s="4" t="n"/>
      <c r="V201" s="2">
        <f>IF(R201="","",COUNTIF($C$5:$C$6004,R201))</f>
        <v/>
      </c>
      <c r="W201" s="2">
        <f>IF(R201="","",COUNTIFS($C$5:$C$6004,R201,$O$5:$O$6004,"CONCLUÍDA"))</f>
        <v/>
      </c>
      <c r="X201" s="2">
        <f>IF(R201="","",COUNTIFS($C$5:$C$6004,R201,$O$5:$O$6004,"EM ANDAMENTO"))</f>
        <v/>
      </c>
      <c r="Y201" s="2">
        <f>IF(R201="","",IF(COUNTIFS($C$5:$C$6004,R201,$O$5:$O$6004,"CONCLUÍDA",$N$5:$N$6004,"&gt;=-99")=0,"",_xlfn.MAXIFS($N$5:$N$6004,$C$5:$C$6004,R201,$O$5:$O$6004,"CONCLUÍDA")))</f>
        <v/>
      </c>
      <c r="Z201" s="2">
        <f>IF(R201="","",IF(COUNTIFS($C$5:$C$6004,R201,$O$5:$O$6004,"EM ANDAMENTO",$N$5:$N$6004,"&gt;=-99")=0,"",_xlfn.MAXIFS($N$5:$N$6004,$C$5:$C$6004,R201,$O$5:$O$6004,"EM ANDAMENTO")))</f>
        <v/>
      </c>
      <c r="AA201" s="2">
        <f>IF(OR(R201="",S201="",U201&lt;&gt;"SIM",V201=0),"",IF(W201+X201=0,"",T201&amp;": "&amp;IF(W201=V201,"concluído",IF(W201=0,"em execução"&amp;IF(Z201&lt;&gt;""," ("&amp;IF(Z201&lt;0,IF(COUNTIF($E$5:$E$6004,"SUBSOLO*")&gt;0,"subsolo",-Z201&amp;"º subsolo"),IF(Z201=0,"térreo",Z201&amp;"º pav."))&amp;")",""),IF(Y201&lt;&gt;"","até "&amp;IF(Y201&lt;0,IF(COUNTIF($E$5:$E$6004,"SUBSOLO*")&gt;0,"subsolo",-Y201&amp;"º subsolo"),IF(Y201=0,"térreo",Y201&amp;"º pav.")),W201&amp;" de "&amp;V201&amp;" concluídas")&amp;IF(Z201="","",IF(OR(Y201="",Z201&gt;Y201),", executando "&amp;IF(Z201&lt;0,IF(COUNTIF($E$5:$E$6004,"SUBSOLO*")&gt;0,"subsolo",-Z201&amp;"º subsolo"),IF(Z201=0,"térreo",Z201&amp;"º pav."))," (restam serviços no "&amp;IF(Z201&lt;0,IF(COUNTIF($E$5:$E$6004,"SUBSOLO*")&gt;0,"subsolo",-Z201&amp;"º subsolo"),IF(Z201=0,"térreo",Z201&amp;"º pav."))&amp;")"))))))</f>
        <v/>
      </c>
    </row>
    <row r="202">
      <c r="B202" s="4" t="n">
        <v>28645986</v>
      </c>
      <c r="C202" s="4" t="inlineStr">
        <is>
          <t>FUNDAÇÃO SUPERFICIAL - FASE 5</t>
        </is>
      </c>
      <c r="D202" s="4" t="inlineStr">
        <is>
          <t>Concreto - BL 20 / 142 - 144 / 151 - 153 / 137</t>
        </is>
      </c>
      <c r="E202" s="4" t="inlineStr">
        <is>
          <t>SERVIÇOS INICIAIS</t>
        </is>
      </c>
      <c r="F202" s="126" t="n">
        <v>46220</v>
      </c>
      <c r="G202" s="126" t="n">
        <v>46220</v>
      </c>
      <c r="H202" s="126" t="n">
        <v>46289</v>
      </c>
      <c r="I202" s="4" t="n">
        <v>0</v>
      </c>
      <c r="J202" s="4" t="n">
        <v>100</v>
      </c>
      <c r="K202" s="4" t="n">
        <v>100</v>
      </c>
      <c r="M202" s="2">
        <f>IF(C202="","",IFERROR(INDEX($S$5:$S$304,MATCH(C202,$R$5:$R$304,0))&amp;"","?"))</f>
        <v/>
      </c>
      <c r="N202" s="2">
        <f>IF(E202="","",IF(ISNUMBER(SEARCH("SUBSOLO",E202)),IFERROR(-VALUE(LEFT(E202,FIND("º",SUBSTITUTE(E202,"°","º"))-1)),-1),IF(LEFT(E202,6)="TÉRREO",0,IFERROR(VALUE(LEFT(E202,FIND("º",SUBSTITUTE(E202,"°","º"))-1)),""))))</f>
        <v/>
      </c>
      <c r="O202" s="2">
        <f>IF(OR(F202="",G202=""),"",IF(G202&lt;='RETRATO 2027'!$K$5,"CONCLUÍDA",IF(F202&lt;='RETRATO 2027'!$K$5,"EM ANDAMENTO","A INICIAR")))</f>
        <v/>
      </c>
      <c r="R202" s="4" t="n"/>
      <c r="S202" s="4" t="n"/>
      <c r="T202" s="4" t="n"/>
      <c r="U202" s="4" t="n"/>
      <c r="V202" s="2">
        <f>IF(R202="","",COUNTIF($C$5:$C$6004,R202))</f>
        <v/>
      </c>
      <c r="W202" s="2">
        <f>IF(R202="","",COUNTIFS($C$5:$C$6004,R202,$O$5:$O$6004,"CONCLUÍDA"))</f>
        <v/>
      </c>
      <c r="X202" s="2">
        <f>IF(R202="","",COUNTIFS($C$5:$C$6004,R202,$O$5:$O$6004,"EM ANDAMENTO"))</f>
        <v/>
      </c>
      <c r="Y202" s="2">
        <f>IF(R202="","",IF(COUNTIFS($C$5:$C$6004,R202,$O$5:$O$6004,"CONCLUÍDA",$N$5:$N$6004,"&gt;=-99")=0,"",_xlfn.MAXIFS($N$5:$N$6004,$C$5:$C$6004,R202,$O$5:$O$6004,"CONCLUÍDA")))</f>
        <v/>
      </c>
      <c r="Z202" s="2">
        <f>IF(R202="","",IF(COUNTIFS($C$5:$C$6004,R202,$O$5:$O$6004,"EM ANDAMENTO",$N$5:$N$6004,"&gt;=-99")=0,"",_xlfn.MAXIFS($N$5:$N$6004,$C$5:$C$6004,R202,$O$5:$O$6004,"EM ANDAMENTO")))</f>
        <v/>
      </c>
      <c r="AA202" s="2">
        <f>IF(OR(R202="",S202="",U202&lt;&gt;"SIM",V202=0),"",IF(W202+X202=0,"",T202&amp;": "&amp;IF(W202=V202,"concluído",IF(W202=0,"em execução"&amp;IF(Z202&lt;&gt;""," ("&amp;IF(Z202&lt;0,IF(COUNTIF($E$5:$E$6004,"SUBSOLO*")&gt;0,"subsolo",-Z202&amp;"º subsolo"),IF(Z202=0,"térreo",Z202&amp;"º pav."))&amp;")",""),IF(Y202&lt;&gt;"","até "&amp;IF(Y202&lt;0,IF(COUNTIF($E$5:$E$6004,"SUBSOLO*")&gt;0,"subsolo",-Y202&amp;"º subsolo"),IF(Y202=0,"térreo",Y202&amp;"º pav.")),W202&amp;" de "&amp;V202&amp;" concluídas")&amp;IF(Z202="","",IF(OR(Y202="",Z202&gt;Y202),", executando "&amp;IF(Z202&lt;0,IF(COUNTIF($E$5:$E$6004,"SUBSOLO*")&gt;0,"subsolo",-Z202&amp;"º subsolo"),IF(Z202=0,"térreo",Z202&amp;"º pav."))," (restam serviços no "&amp;IF(Z202&lt;0,IF(COUNTIF($E$5:$E$6004,"SUBSOLO*")&gt;0,"subsolo",-Z202&amp;"º subsolo"),IF(Z202=0,"térreo",Z202&amp;"º pav."))&amp;")"))))))</f>
        <v/>
      </c>
    </row>
    <row r="203">
      <c r="B203" s="4" t="n">
        <v>44503965</v>
      </c>
      <c r="C203" s="4" t="inlineStr">
        <is>
          <t>FUNDAÇÃO SUPERFICIAL - FASE 6</t>
        </is>
      </c>
      <c r="D203" s="4" t="inlineStr">
        <is>
          <t>-</t>
        </is>
      </c>
      <c r="E203" s="4" t="inlineStr">
        <is>
          <t>SERVIÇOS INICIAIS</t>
        </is>
      </c>
      <c r="F203" s="126" t="n">
        <v>46206</v>
      </c>
      <c r="G203" s="126" t="n">
        <v>46220</v>
      </c>
      <c r="H203" s="126" t="n">
        <v>46289</v>
      </c>
      <c r="I203" s="4" t="n">
        <v>0</v>
      </c>
      <c r="J203" s="4" t="n">
        <v>100</v>
      </c>
      <c r="K203" s="4" t="n">
        <v>100</v>
      </c>
      <c r="M203" s="2">
        <f>IF(C203="","",IFERROR(INDEX($S$5:$S$304,MATCH(C203,$R$5:$R$304,0))&amp;"","?"))</f>
        <v/>
      </c>
      <c r="N203" s="2">
        <f>IF(E203="","",IF(ISNUMBER(SEARCH("SUBSOLO",E203)),IFERROR(-VALUE(LEFT(E203,FIND("º",SUBSTITUTE(E203,"°","º"))-1)),-1),IF(LEFT(E203,6)="TÉRREO",0,IFERROR(VALUE(LEFT(E203,FIND("º",SUBSTITUTE(E203,"°","º"))-1)),""))))</f>
        <v/>
      </c>
      <c r="O203" s="2">
        <f>IF(OR(F203="",G203=""),"",IF(G203&lt;='RETRATO 2027'!$K$5,"CONCLUÍDA",IF(F203&lt;='RETRATO 2027'!$K$5,"EM ANDAMENTO","A INICIAR")))</f>
        <v/>
      </c>
      <c r="R203" s="4" t="n"/>
      <c r="S203" s="4" t="n"/>
      <c r="T203" s="4" t="n"/>
      <c r="U203" s="4" t="n"/>
      <c r="V203" s="2">
        <f>IF(R203="","",COUNTIF($C$5:$C$6004,R203))</f>
        <v/>
      </c>
      <c r="W203" s="2">
        <f>IF(R203="","",COUNTIFS($C$5:$C$6004,R203,$O$5:$O$6004,"CONCLUÍDA"))</f>
        <v/>
      </c>
      <c r="X203" s="2">
        <f>IF(R203="","",COUNTIFS($C$5:$C$6004,R203,$O$5:$O$6004,"EM ANDAMENTO"))</f>
        <v/>
      </c>
      <c r="Y203" s="2">
        <f>IF(R203="","",IF(COUNTIFS($C$5:$C$6004,R203,$O$5:$O$6004,"CONCLUÍDA",$N$5:$N$6004,"&gt;=-99")=0,"",_xlfn.MAXIFS($N$5:$N$6004,$C$5:$C$6004,R203,$O$5:$O$6004,"CONCLUÍDA")))</f>
        <v/>
      </c>
      <c r="Z203" s="2">
        <f>IF(R203="","",IF(COUNTIFS($C$5:$C$6004,R203,$O$5:$O$6004,"EM ANDAMENTO",$N$5:$N$6004,"&gt;=-99")=0,"",_xlfn.MAXIFS($N$5:$N$6004,$C$5:$C$6004,R203,$O$5:$O$6004,"EM ANDAMENTO")))</f>
        <v/>
      </c>
      <c r="AA203" s="2">
        <f>IF(OR(R203="",S203="",U203&lt;&gt;"SIM",V203=0),"",IF(W203+X203=0,"",T203&amp;": "&amp;IF(W203=V203,"concluído",IF(W203=0,"em execução"&amp;IF(Z203&lt;&gt;""," ("&amp;IF(Z203&lt;0,IF(COUNTIF($E$5:$E$6004,"SUBSOLO*")&gt;0,"subsolo",-Z203&amp;"º subsolo"),IF(Z203=0,"térreo",Z203&amp;"º pav."))&amp;")",""),IF(Y203&lt;&gt;"","até "&amp;IF(Y203&lt;0,IF(COUNTIF($E$5:$E$6004,"SUBSOLO*")&gt;0,"subsolo",-Y203&amp;"º subsolo"),IF(Y203=0,"térreo",Y203&amp;"º pav.")),W203&amp;" de "&amp;V203&amp;" concluídas")&amp;IF(Z203="","",IF(OR(Y203="",Z203&gt;Y203),", executando "&amp;IF(Z203&lt;0,IF(COUNTIF($E$5:$E$6004,"SUBSOLO*")&gt;0,"subsolo",-Z203&amp;"º subsolo"),IF(Z203=0,"térreo",Z203&amp;"º pav."))," (restam serviços no "&amp;IF(Z203&lt;0,IF(COUNTIF($E$5:$E$6004,"SUBSOLO*")&gt;0,"subsolo",-Z203&amp;"º subsolo"),IF(Z203=0,"térreo",Z203&amp;"º pav."))&amp;")"))))))</f>
        <v/>
      </c>
    </row>
    <row r="204">
      <c r="B204" s="4" t="n">
        <v>28389446</v>
      </c>
      <c r="C204" s="4" t="inlineStr">
        <is>
          <t>FUNDAÇÃO SUPERFICIAL - FASE 6</t>
        </is>
      </c>
      <c r="D204" s="4" t="inlineStr">
        <is>
          <t>Escavação / Arrasamento - BL 136 - 145 - 154 / 24 - 25</t>
        </is>
      </c>
      <c r="E204" s="4" t="inlineStr">
        <is>
          <t>SERVIÇOS INICIAIS</t>
        </is>
      </c>
      <c r="F204" s="126" t="n">
        <v>46206</v>
      </c>
      <c r="G204" s="126" t="n">
        <v>46212</v>
      </c>
      <c r="H204" s="126" t="n">
        <v>46289</v>
      </c>
      <c r="I204" s="4" t="n">
        <v>0</v>
      </c>
      <c r="J204" s="4" t="n">
        <v>100</v>
      </c>
      <c r="K204" s="4" t="n">
        <v>100</v>
      </c>
      <c r="M204" s="2">
        <f>IF(C204="","",IFERROR(INDEX($S$5:$S$304,MATCH(C204,$R$5:$R$304,0))&amp;"","?"))</f>
        <v/>
      </c>
      <c r="N204" s="2">
        <f>IF(E204="","",IF(ISNUMBER(SEARCH("SUBSOLO",E204)),IFERROR(-VALUE(LEFT(E204,FIND("º",SUBSTITUTE(E204,"°","º"))-1)),-1),IF(LEFT(E204,6)="TÉRREO",0,IFERROR(VALUE(LEFT(E204,FIND("º",SUBSTITUTE(E204,"°","º"))-1)),""))))</f>
        <v/>
      </c>
      <c r="O204" s="2">
        <f>IF(OR(F204="",G204=""),"",IF(G204&lt;='RETRATO 2027'!$K$5,"CONCLUÍDA",IF(F204&lt;='RETRATO 2027'!$K$5,"EM ANDAMENTO","A INICIAR")))</f>
        <v/>
      </c>
      <c r="R204" s="4" t="n"/>
      <c r="S204" s="4" t="n"/>
      <c r="T204" s="4" t="n"/>
      <c r="U204" s="4" t="n"/>
      <c r="V204" s="2">
        <f>IF(R204="","",COUNTIF($C$5:$C$6004,R204))</f>
        <v/>
      </c>
      <c r="W204" s="2">
        <f>IF(R204="","",COUNTIFS($C$5:$C$6004,R204,$O$5:$O$6004,"CONCLUÍDA"))</f>
        <v/>
      </c>
      <c r="X204" s="2">
        <f>IF(R204="","",COUNTIFS($C$5:$C$6004,R204,$O$5:$O$6004,"EM ANDAMENTO"))</f>
        <v/>
      </c>
      <c r="Y204" s="2">
        <f>IF(R204="","",IF(COUNTIFS($C$5:$C$6004,R204,$O$5:$O$6004,"CONCLUÍDA",$N$5:$N$6004,"&gt;=-99")=0,"",_xlfn.MAXIFS($N$5:$N$6004,$C$5:$C$6004,R204,$O$5:$O$6004,"CONCLUÍDA")))</f>
        <v/>
      </c>
      <c r="Z204" s="2">
        <f>IF(R204="","",IF(COUNTIFS($C$5:$C$6004,R204,$O$5:$O$6004,"EM ANDAMENTO",$N$5:$N$6004,"&gt;=-99")=0,"",_xlfn.MAXIFS($N$5:$N$6004,$C$5:$C$6004,R204,$O$5:$O$6004,"EM ANDAMENTO")))</f>
        <v/>
      </c>
      <c r="AA204" s="2">
        <f>IF(OR(R204="",S204="",U204&lt;&gt;"SIM",V204=0),"",IF(W204+X204=0,"",T204&amp;": "&amp;IF(W204=V204,"concluído",IF(W204=0,"em execução"&amp;IF(Z204&lt;&gt;""," ("&amp;IF(Z204&lt;0,IF(COUNTIF($E$5:$E$6004,"SUBSOLO*")&gt;0,"subsolo",-Z204&amp;"º subsolo"),IF(Z204=0,"térreo",Z204&amp;"º pav."))&amp;")",""),IF(Y204&lt;&gt;"","até "&amp;IF(Y204&lt;0,IF(COUNTIF($E$5:$E$6004,"SUBSOLO*")&gt;0,"subsolo",-Y204&amp;"º subsolo"),IF(Y204=0,"térreo",Y204&amp;"º pav.")),W204&amp;" de "&amp;V204&amp;" concluídas")&amp;IF(Z204="","",IF(OR(Y204="",Z204&gt;Y204),", executando "&amp;IF(Z204&lt;0,IF(COUNTIF($E$5:$E$6004,"SUBSOLO*")&gt;0,"subsolo",-Z204&amp;"º subsolo"),IF(Z204=0,"térreo",Z204&amp;"º pav."))," (restam serviços no "&amp;IF(Z204&lt;0,IF(COUNTIF($E$5:$E$6004,"SUBSOLO*")&gt;0,"subsolo",-Z204&amp;"º subsolo"),IF(Z204=0,"térreo",Z204&amp;"º pav."))&amp;")"))))))</f>
        <v/>
      </c>
    </row>
    <row r="205">
      <c r="B205" s="4" t="n">
        <v>28389447</v>
      </c>
      <c r="C205" s="4" t="inlineStr">
        <is>
          <t>FUNDAÇÃO SUPERFICIAL - FASE 6</t>
        </is>
      </c>
      <c r="D205" s="4" t="inlineStr">
        <is>
          <t>Escavação / Arrasamento - BL 138 - 140 / 146 - 149 / 155 - 156</t>
        </is>
      </c>
      <c r="E205" s="4" t="inlineStr">
        <is>
          <t>SERVIÇOS INICIAIS</t>
        </is>
      </c>
      <c r="F205" s="126" t="n">
        <v>46213</v>
      </c>
      <c r="G205" s="126" t="n">
        <v>46219</v>
      </c>
      <c r="H205" s="126" t="n">
        <v>46289</v>
      </c>
      <c r="I205" s="4" t="n">
        <v>0</v>
      </c>
      <c r="J205" s="4" t="n">
        <v>100</v>
      </c>
      <c r="K205" s="4" t="n">
        <v>100</v>
      </c>
      <c r="M205" s="2">
        <f>IF(C205="","",IFERROR(INDEX($S$5:$S$304,MATCH(C205,$R$5:$R$304,0))&amp;"","?"))</f>
        <v/>
      </c>
      <c r="N205" s="2">
        <f>IF(E205="","",IF(ISNUMBER(SEARCH("SUBSOLO",E205)),IFERROR(-VALUE(LEFT(E205,FIND("º",SUBSTITUTE(E205,"°","º"))-1)),-1),IF(LEFT(E205,6)="TÉRREO",0,IFERROR(VALUE(LEFT(E205,FIND("º",SUBSTITUTE(E205,"°","º"))-1)),""))))</f>
        <v/>
      </c>
      <c r="O205" s="2">
        <f>IF(OR(F205="",G205=""),"",IF(G205&lt;='RETRATO 2027'!$K$5,"CONCLUÍDA",IF(F205&lt;='RETRATO 2027'!$K$5,"EM ANDAMENTO","A INICIAR")))</f>
        <v/>
      </c>
      <c r="R205" s="4" t="n"/>
      <c r="S205" s="4" t="n"/>
      <c r="T205" s="4" t="n"/>
      <c r="U205" s="4" t="n"/>
      <c r="V205" s="2">
        <f>IF(R205="","",COUNTIF($C$5:$C$6004,R205))</f>
        <v/>
      </c>
      <c r="W205" s="2">
        <f>IF(R205="","",COUNTIFS($C$5:$C$6004,R205,$O$5:$O$6004,"CONCLUÍDA"))</f>
        <v/>
      </c>
      <c r="X205" s="2">
        <f>IF(R205="","",COUNTIFS($C$5:$C$6004,R205,$O$5:$O$6004,"EM ANDAMENTO"))</f>
        <v/>
      </c>
      <c r="Y205" s="2">
        <f>IF(R205="","",IF(COUNTIFS($C$5:$C$6004,R205,$O$5:$O$6004,"CONCLUÍDA",$N$5:$N$6004,"&gt;=-99")=0,"",_xlfn.MAXIFS($N$5:$N$6004,$C$5:$C$6004,R205,$O$5:$O$6004,"CONCLUÍDA")))</f>
        <v/>
      </c>
      <c r="Z205" s="2">
        <f>IF(R205="","",IF(COUNTIFS($C$5:$C$6004,R205,$O$5:$O$6004,"EM ANDAMENTO",$N$5:$N$6004,"&gt;=-99")=0,"",_xlfn.MAXIFS($N$5:$N$6004,$C$5:$C$6004,R205,$O$5:$O$6004,"EM ANDAMENTO")))</f>
        <v/>
      </c>
      <c r="AA205" s="2">
        <f>IF(OR(R205="",S205="",U205&lt;&gt;"SIM",V205=0),"",IF(W205+X205=0,"",T205&amp;": "&amp;IF(W205=V205,"concluído",IF(W205=0,"em execução"&amp;IF(Z205&lt;&gt;""," ("&amp;IF(Z205&lt;0,IF(COUNTIF($E$5:$E$6004,"SUBSOLO*")&gt;0,"subsolo",-Z205&amp;"º subsolo"),IF(Z205=0,"térreo",Z205&amp;"º pav."))&amp;")",""),IF(Y205&lt;&gt;"","até "&amp;IF(Y205&lt;0,IF(COUNTIF($E$5:$E$6004,"SUBSOLO*")&gt;0,"subsolo",-Y205&amp;"º subsolo"),IF(Y205=0,"térreo",Y205&amp;"º pav.")),W205&amp;" de "&amp;V205&amp;" concluídas")&amp;IF(Z205="","",IF(OR(Y205="",Z205&gt;Y205),", executando "&amp;IF(Z205&lt;0,IF(COUNTIF($E$5:$E$6004,"SUBSOLO*")&gt;0,"subsolo",-Z205&amp;"º subsolo"),IF(Z205=0,"térreo",Z205&amp;"º pav."))," (restam serviços no "&amp;IF(Z205&lt;0,IF(COUNTIF($E$5:$E$6004,"SUBSOLO*")&gt;0,"subsolo",-Z205&amp;"º subsolo"),IF(Z205=0,"térreo",Z205&amp;"º pav."))&amp;")"))))))</f>
        <v/>
      </c>
    </row>
    <row r="206">
      <c r="B206" s="4" t="n">
        <v>28389448</v>
      </c>
      <c r="C206" s="4" t="inlineStr">
        <is>
          <t>FUNDAÇÃO SUPERFICIAL - FASE 6</t>
        </is>
      </c>
      <c r="D206" s="4" t="inlineStr">
        <is>
          <t>Armação - BL 136 - 138 - 140 / 145 - 149 / 154 - 156 / 24 - 25</t>
        </is>
      </c>
      <c r="E206" s="4" t="inlineStr">
        <is>
          <t>SERVIÇOS INICIAIS</t>
        </is>
      </c>
      <c r="F206" s="126" t="n">
        <v>46213</v>
      </c>
      <c r="G206" s="126" t="n">
        <v>46219</v>
      </c>
      <c r="H206" s="126" t="n">
        <v>46289</v>
      </c>
      <c r="I206" s="4" t="n">
        <v>0</v>
      </c>
      <c r="J206" s="4" t="n">
        <v>100</v>
      </c>
      <c r="K206" s="4" t="n">
        <v>100</v>
      </c>
      <c r="M206" s="2">
        <f>IF(C206="","",IFERROR(INDEX($S$5:$S$304,MATCH(C206,$R$5:$R$304,0))&amp;"","?"))</f>
        <v/>
      </c>
      <c r="N206" s="2">
        <f>IF(E206="","",IF(ISNUMBER(SEARCH("SUBSOLO",E206)),IFERROR(-VALUE(LEFT(E206,FIND("º",SUBSTITUTE(E206,"°","º"))-1)),-1),IF(LEFT(E206,6)="TÉRREO",0,IFERROR(VALUE(LEFT(E206,FIND("º",SUBSTITUTE(E206,"°","º"))-1)),""))))</f>
        <v/>
      </c>
      <c r="O206" s="2">
        <f>IF(OR(F206="",G206=""),"",IF(G206&lt;='RETRATO 2027'!$K$5,"CONCLUÍDA",IF(F206&lt;='RETRATO 2027'!$K$5,"EM ANDAMENTO","A INICIAR")))</f>
        <v/>
      </c>
      <c r="R206" s="4" t="n"/>
      <c r="S206" s="4" t="n"/>
      <c r="T206" s="4" t="n"/>
      <c r="U206" s="4" t="n"/>
      <c r="V206" s="2">
        <f>IF(R206="","",COUNTIF($C$5:$C$6004,R206))</f>
        <v/>
      </c>
      <c r="W206" s="2">
        <f>IF(R206="","",COUNTIFS($C$5:$C$6004,R206,$O$5:$O$6004,"CONCLUÍDA"))</f>
        <v/>
      </c>
      <c r="X206" s="2">
        <f>IF(R206="","",COUNTIFS($C$5:$C$6004,R206,$O$5:$O$6004,"EM ANDAMENTO"))</f>
        <v/>
      </c>
      <c r="Y206" s="2">
        <f>IF(R206="","",IF(COUNTIFS($C$5:$C$6004,R206,$O$5:$O$6004,"CONCLUÍDA",$N$5:$N$6004,"&gt;=-99")=0,"",_xlfn.MAXIFS($N$5:$N$6004,$C$5:$C$6004,R206,$O$5:$O$6004,"CONCLUÍDA")))</f>
        <v/>
      </c>
      <c r="Z206" s="2">
        <f>IF(R206="","",IF(COUNTIFS($C$5:$C$6004,R206,$O$5:$O$6004,"EM ANDAMENTO",$N$5:$N$6004,"&gt;=-99")=0,"",_xlfn.MAXIFS($N$5:$N$6004,$C$5:$C$6004,R206,$O$5:$O$6004,"EM ANDAMENTO")))</f>
        <v/>
      </c>
      <c r="AA206" s="2">
        <f>IF(OR(R206="",S206="",U206&lt;&gt;"SIM",V206=0),"",IF(W206+X206=0,"",T206&amp;": "&amp;IF(W206=V206,"concluído",IF(W206=0,"em execução"&amp;IF(Z206&lt;&gt;""," ("&amp;IF(Z206&lt;0,IF(COUNTIF($E$5:$E$6004,"SUBSOLO*")&gt;0,"subsolo",-Z206&amp;"º subsolo"),IF(Z206=0,"térreo",Z206&amp;"º pav."))&amp;")",""),IF(Y206&lt;&gt;"","até "&amp;IF(Y206&lt;0,IF(COUNTIF($E$5:$E$6004,"SUBSOLO*")&gt;0,"subsolo",-Y206&amp;"º subsolo"),IF(Y206=0,"térreo",Y206&amp;"º pav.")),W206&amp;" de "&amp;V206&amp;" concluídas")&amp;IF(Z206="","",IF(OR(Y206="",Z206&gt;Y206),", executando "&amp;IF(Z206&lt;0,IF(COUNTIF($E$5:$E$6004,"SUBSOLO*")&gt;0,"subsolo",-Z206&amp;"º subsolo"),IF(Z206=0,"térreo",Z206&amp;"º pav."))," (restam serviços no "&amp;IF(Z206&lt;0,IF(COUNTIF($E$5:$E$6004,"SUBSOLO*")&gt;0,"subsolo",-Z206&amp;"º subsolo"),IF(Z206=0,"térreo",Z206&amp;"º pav."))&amp;")"))))))</f>
        <v/>
      </c>
    </row>
    <row r="207">
      <c r="B207" s="4" t="n">
        <v>28389449</v>
      </c>
      <c r="C207" s="4" t="inlineStr">
        <is>
          <t>FUNDAÇÃO SUPERFICIAL - FASE 6</t>
        </is>
      </c>
      <c r="D207" s="4" t="inlineStr">
        <is>
          <t>Forma - BL 136 - 138 - 140 / 145 - 149 / 154 - 156 / 24 - 25</t>
        </is>
      </c>
      <c r="E207" s="4" t="inlineStr">
        <is>
          <t>SERVIÇOS INICIAIS</t>
        </is>
      </c>
      <c r="F207" s="126" t="n">
        <v>46213</v>
      </c>
      <c r="G207" s="126" t="n">
        <v>46219</v>
      </c>
      <c r="H207" s="126" t="n">
        <v>46289</v>
      </c>
      <c r="I207" s="4" t="n">
        <v>0</v>
      </c>
      <c r="J207" s="4" t="n">
        <v>100</v>
      </c>
      <c r="K207" s="4" t="n">
        <v>100</v>
      </c>
      <c r="M207" s="2">
        <f>IF(C207="","",IFERROR(INDEX($S$5:$S$304,MATCH(C207,$R$5:$R$304,0))&amp;"","?"))</f>
        <v/>
      </c>
      <c r="N207" s="2">
        <f>IF(E207="","",IF(ISNUMBER(SEARCH("SUBSOLO",E207)),IFERROR(-VALUE(LEFT(E207,FIND("º",SUBSTITUTE(E207,"°","º"))-1)),-1),IF(LEFT(E207,6)="TÉRREO",0,IFERROR(VALUE(LEFT(E207,FIND("º",SUBSTITUTE(E207,"°","º"))-1)),""))))</f>
        <v/>
      </c>
      <c r="O207" s="2">
        <f>IF(OR(F207="",G207=""),"",IF(G207&lt;='RETRATO 2027'!$K$5,"CONCLUÍDA",IF(F207&lt;='RETRATO 2027'!$K$5,"EM ANDAMENTO","A INICIAR")))</f>
        <v/>
      </c>
      <c r="R207" s="4" t="n"/>
      <c r="S207" s="4" t="n"/>
      <c r="T207" s="4" t="n"/>
      <c r="U207" s="4" t="n"/>
      <c r="V207" s="2">
        <f>IF(R207="","",COUNTIF($C$5:$C$6004,R207))</f>
        <v/>
      </c>
      <c r="W207" s="2">
        <f>IF(R207="","",COUNTIFS($C$5:$C$6004,R207,$O$5:$O$6004,"CONCLUÍDA"))</f>
        <v/>
      </c>
      <c r="X207" s="2">
        <f>IF(R207="","",COUNTIFS($C$5:$C$6004,R207,$O$5:$O$6004,"EM ANDAMENTO"))</f>
        <v/>
      </c>
      <c r="Y207" s="2">
        <f>IF(R207="","",IF(COUNTIFS($C$5:$C$6004,R207,$O$5:$O$6004,"CONCLUÍDA",$N$5:$N$6004,"&gt;=-99")=0,"",_xlfn.MAXIFS($N$5:$N$6004,$C$5:$C$6004,R207,$O$5:$O$6004,"CONCLUÍDA")))</f>
        <v/>
      </c>
      <c r="Z207" s="2">
        <f>IF(R207="","",IF(COUNTIFS($C$5:$C$6004,R207,$O$5:$O$6004,"EM ANDAMENTO",$N$5:$N$6004,"&gt;=-99")=0,"",_xlfn.MAXIFS($N$5:$N$6004,$C$5:$C$6004,R207,$O$5:$O$6004,"EM ANDAMENTO")))</f>
        <v/>
      </c>
      <c r="AA207" s="2">
        <f>IF(OR(R207="",S207="",U207&lt;&gt;"SIM",V207=0),"",IF(W207+X207=0,"",T207&amp;": "&amp;IF(W207=V207,"concluído",IF(W207=0,"em execução"&amp;IF(Z207&lt;&gt;""," ("&amp;IF(Z207&lt;0,IF(COUNTIF($E$5:$E$6004,"SUBSOLO*")&gt;0,"subsolo",-Z207&amp;"º subsolo"),IF(Z207=0,"térreo",Z207&amp;"º pav."))&amp;")",""),IF(Y207&lt;&gt;"","até "&amp;IF(Y207&lt;0,IF(COUNTIF($E$5:$E$6004,"SUBSOLO*")&gt;0,"subsolo",-Y207&amp;"º subsolo"),IF(Y207=0,"térreo",Y207&amp;"º pav.")),W207&amp;" de "&amp;V207&amp;" concluídas")&amp;IF(Z207="","",IF(OR(Y207="",Z207&gt;Y207),", executando "&amp;IF(Z207&lt;0,IF(COUNTIF($E$5:$E$6004,"SUBSOLO*")&gt;0,"subsolo",-Z207&amp;"º subsolo"),IF(Z207=0,"térreo",Z207&amp;"º pav."))," (restam serviços no "&amp;IF(Z207&lt;0,IF(COUNTIF($E$5:$E$6004,"SUBSOLO*")&gt;0,"subsolo",-Z207&amp;"º subsolo"),IF(Z207=0,"térreo",Z207&amp;"º pav."))&amp;")"))))))</f>
        <v/>
      </c>
    </row>
    <row r="208">
      <c r="B208" s="4" t="n">
        <v>28389450</v>
      </c>
      <c r="C208" s="4" t="inlineStr">
        <is>
          <t>FUNDAÇÃO SUPERFICIAL - FASE 6</t>
        </is>
      </c>
      <c r="D208" s="4" t="inlineStr">
        <is>
          <t>Concreto - BL 136 - 138 - 140 / 145 - 149 / 154 - 156 / 24 - 25</t>
        </is>
      </c>
      <c r="E208" s="4" t="inlineStr">
        <is>
          <t>SERVIÇOS INICIAIS</t>
        </is>
      </c>
      <c r="F208" s="126" t="n">
        <v>46220</v>
      </c>
      <c r="G208" s="126" t="n">
        <v>46220</v>
      </c>
      <c r="H208" s="126" t="n">
        <v>46289</v>
      </c>
      <c r="I208" s="4" t="n">
        <v>0</v>
      </c>
      <c r="J208" s="4" t="n">
        <v>100</v>
      </c>
      <c r="K208" s="4" t="n">
        <v>100</v>
      </c>
      <c r="M208" s="2">
        <f>IF(C208="","",IFERROR(INDEX($S$5:$S$304,MATCH(C208,$R$5:$R$304,0))&amp;"","?"))</f>
        <v/>
      </c>
      <c r="N208" s="2">
        <f>IF(E208="","",IF(ISNUMBER(SEARCH("SUBSOLO",E208)),IFERROR(-VALUE(LEFT(E208,FIND("º",SUBSTITUTE(E208,"°","º"))-1)),-1),IF(LEFT(E208,6)="TÉRREO",0,IFERROR(VALUE(LEFT(E208,FIND("º",SUBSTITUTE(E208,"°","º"))-1)),""))))</f>
        <v/>
      </c>
      <c r="O208" s="2">
        <f>IF(OR(F208="",G208=""),"",IF(G208&lt;='RETRATO 2027'!$K$5,"CONCLUÍDA",IF(F208&lt;='RETRATO 2027'!$K$5,"EM ANDAMENTO","A INICIAR")))</f>
        <v/>
      </c>
      <c r="R208" s="4" t="n"/>
      <c r="S208" s="4" t="n"/>
      <c r="T208" s="4" t="n"/>
      <c r="U208" s="4" t="n"/>
      <c r="V208" s="2">
        <f>IF(R208="","",COUNTIF($C$5:$C$6004,R208))</f>
        <v/>
      </c>
      <c r="W208" s="2">
        <f>IF(R208="","",COUNTIFS($C$5:$C$6004,R208,$O$5:$O$6004,"CONCLUÍDA"))</f>
        <v/>
      </c>
      <c r="X208" s="2">
        <f>IF(R208="","",COUNTIFS($C$5:$C$6004,R208,$O$5:$O$6004,"EM ANDAMENTO"))</f>
        <v/>
      </c>
      <c r="Y208" s="2">
        <f>IF(R208="","",IF(COUNTIFS($C$5:$C$6004,R208,$O$5:$O$6004,"CONCLUÍDA",$N$5:$N$6004,"&gt;=-99")=0,"",_xlfn.MAXIFS($N$5:$N$6004,$C$5:$C$6004,R208,$O$5:$O$6004,"CONCLUÍDA")))</f>
        <v/>
      </c>
      <c r="Z208" s="2">
        <f>IF(R208="","",IF(COUNTIFS($C$5:$C$6004,R208,$O$5:$O$6004,"EM ANDAMENTO",$N$5:$N$6004,"&gt;=-99")=0,"",_xlfn.MAXIFS($N$5:$N$6004,$C$5:$C$6004,R208,$O$5:$O$6004,"EM ANDAMENTO")))</f>
        <v/>
      </c>
      <c r="AA208" s="2">
        <f>IF(OR(R208="",S208="",U208&lt;&gt;"SIM",V208=0),"",IF(W208+X208=0,"",T208&amp;": "&amp;IF(W208=V208,"concluído",IF(W208=0,"em execução"&amp;IF(Z208&lt;&gt;""," ("&amp;IF(Z208&lt;0,IF(COUNTIF($E$5:$E$6004,"SUBSOLO*")&gt;0,"subsolo",-Z208&amp;"º subsolo"),IF(Z208=0,"térreo",Z208&amp;"º pav."))&amp;")",""),IF(Y208&lt;&gt;"","até "&amp;IF(Y208&lt;0,IF(COUNTIF($E$5:$E$6004,"SUBSOLO*")&gt;0,"subsolo",-Y208&amp;"º subsolo"),IF(Y208=0,"térreo",Y208&amp;"º pav.")),W208&amp;" de "&amp;V208&amp;" concluídas")&amp;IF(Z208="","",IF(OR(Y208="",Z208&gt;Y208),", executando "&amp;IF(Z208&lt;0,IF(COUNTIF($E$5:$E$6004,"SUBSOLO*")&gt;0,"subsolo",-Z208&amp;"º subsolo"),IF(Z208=0,"térreo",Z208&amp;"º pav."))," (restam serviços no "&amp;IF(Z208&lt;0,IF(COUNTIF($E$5:$E$6004,"SUBSOLO*")&gt;0,"subsolo",-Z208&amp;"º subsolo"),IF(Z208=0,"térreo",Z208&amp;"º pav."))&amp;")"))))))</f>
        <v/>
      </c>
    </row>
    <row r="209">
      <c r="B209" s="4" t="n">
        <v>48913812</v>
      </c>
      <c r="C209" s="4" t="inlineStr">
        <is>
          <t>Estrutura Térreo - Fase 2</t>
        </is>
      </c>
      <c r="D209" s="4" t="inlineStr">
        <is>
          <t>-</t>
        </is>
      </c>
      <c r="E209" s="4" t="inlineStr">
        <is>
          <t>TÉRREO - GERAL</t>
        </is>
      </c>
      <c r="F209" s="126" t="n">
        <v>46216</v>
      </c>
      <c r="G209" s="126" t="n">
        <v>46251</v>
      </c>
      <c r="H209" s="126" t="n">
        <v>46289</v>
      </c>
      <c r="I209" s="4" t="n">
        <v>0</v>
      </c>
      <c r="J209" s="4" t="n">
        <v>100</v>
      </c>
      <c r="K209" s="4" t="n">
        <v>100</v>
      </c>
      <c r="M209" s="2">
        <f>IF(C209="","",IFERROR(INDEX($S$5:$S$304,MATCH(C209,$R$5:$R$304,0))&amp;"","?"))</f>
        <v/>
      </c>
      <c r="N209" s="2">
        <f>IF(E209="","",IF(ISNUMBER(SEARCH("SUBSOLO",E209)),IFERROR(-VALUE(LEFT(E209,FIND("º",SUBSTITUTE(E209,"°","º"))-1)),-1),IF(LEFT(E209,6)="TÉRREO",0,IFERROR(VALUE(LEFT(E209,FIND("º",SUBSTITUTE(E209,"°","º"))-1)),""))))</f>
        <v/>
      </c>
      <c r="O209" s="2">
        <f>IF(OR(F209="",G209=""),"",IF(G209&lt;='RETRATO 2027'!$K$5,"CONCLUÍDA",IF(F209&lt;='RETRATO 2027'!$K$5,"EM ANDAMENTO","A INICIAR")))</f>
        <v/>
      </c>
      <c r="R209" s="4" t="n"/>
      <c r="S209" s="4" t="n"/>
      <c r="T209" s="4" t="n"/>
      <c r="U209" s="4" t="n"/>
      <c r="V209" s="2">
        <f>IF(R209="","",COUNTIF($C$5:$C$6004,R209))</f>
        <v/>
      </c>
      <c r="W209" s="2">
        <f>IF(R209="","",COUNTIFS($C$5:$C$6004,R209,$O$5:$O$6004,"CONCLUÍDA"))</f>
        <v/>
      </c>
      <c r="X209" s="2">
        <f>IF(R209="","",COUNTIFS($C$5:$C$6004,R209,$O$5:$O$6004,"EM ANDAMENTO"))</f>
        <v/>
      </c>
      <c r="Y209" s="2">
        <f>IF(R209="","",IF(COUNTIFS($C$5:$C$6004,R209,$O$5:$O$6004,"CONCLUÍDA",$N$5:$N$6004,"&gt;=-99")=0,"",_xlfn.MAXIFS($N$5:$N$6004,$C$5:$C$6004,R209,$O$5:$O$6004,"CONCLUÍDA")))</f>
        <v/>
      </c>
      <c r="Z209" s="2">
        <f>IF(R209="","",IF(COUNTIFS($C$5:$C$6004,R209,$O$5:$O$6004,"EM ANDAMENTO",$N$5:$N$6004,"&gt;=-99")=0,"",_xlfn.MAXIFS($N$5:$N$6004,$C$5:$C$6004,R209,$O$5:$O$6004,"EM ANDAMENTO")))</f>
        <v/>
      </c>
      <c r="AA209" s="2">
        <f>IF(OR(R209="",S209="",U209&lt;&gt;"SIM",V209=0),"",IF(W209+X209=0,"",T209&amp;": "&amp;IF(W209=V209,"concluído",IF(W209=0,"em execução"&amp;IF(Z209&lt;&gt;""," ("&amp;IF(Z209&lt;0,IF(COUNTIF($E$5:$E$6004,"SUBSOLO*")&gt;0,"subsolo",-Z209&amp;"º subsolo"),IF(Z209=0,"térreo",Z209&amp;"º pav."))&amp;")",""),IF(Y209&lt;&gt;"","até "&amp;IF(Y209&lt;0,IF(COUNTIF($E$5:$E$6004,"SUBSOLO*")&gt;0,"subsolo",-Y209&amp;"º subsolo"),IF(Y209=0,"térreo",Y209&amp;"º pav.")),W209&amp;" de "&amp;V209&amp;" concluídas")&amp;IF(Z209="","",IF(OR(Y209="",Z209&gt;Y209),", executando "&amp;IF(Z209&lt;0,IF(COUNTIF($E$5:$E$6004,"SUBSOLO*")&gt;0,"subsolo",-Z209&amp;"º subsolo"),IF(Z209=0,"térreo",Z209&amp;"º pav."))," (restam serviços no "&amp;IF(Z209&lt;0,IF(COUNTIF($E$5:$E$6004,"SUBSOLO*")&gt;0,"subsolo",-Z209&amp;"º subsolo"),IF(Z209=0,"térreo",Z209&amp;"º pav."))&amp;")"))))))</f>
        <v/>
      </c>
    </row>
    <row r="210">
      <c r="B210" s="4" t="n">
        <v>31924965</v>
      </c>
      <c r="C210" s="4" t="inlineStr">
        <is>
          <t>Estrutura Térreo - Fase 2</t>
        </is>
      </c>
      <c r="D210" s="4" t="inlineStr">
        <is>
          <t>Escoramento Laje/ Vigas</t>
        </is>
      </c>
      <c r="E210" s="4" t="inlineStr">
        <is>
          <t>TÉRREO - GERAL</t>
        </is>
      </c>
      <c r="F210" s="126" t="n">
        <v>46216</v>
      </c>
      <c r="G210" s="126" t="n">
        <v>46219</v>
      </c>
      <c r="H210" s="126" t="n">
        <v>46289</v>
      </c>
      <c r="I210" s="4" t="n">
        <v>0</v>
      </c>
      <c r="J210" s="4" t="n">
        <v>100</v>
      </c>
      <c r="K210" s="4" t="n">
        <v>100</v>
      </c>
      <c r="M210" s="2">
        <f>IF(C210="","",IFERROR(INDEX($S$5:$S$304,MATCH(C210,$R$5:$R$304,0))&amp;"","?"))</f>
        <v/>
      </c>
      <c r="N210" s="2">
        <f>IF(E210="","",IF(ISNUMBER(SEARCH("SUBSOLO",E210)),IFERROR(-VALUE(LEFT(E210,FIND("º",SUBSTITUTE(E210,"°","º"))-1)),-1),IF(LEFT(E210,6)="TÉRREO",0,IFERROR(VALUE(LEFT(E210,FIND("º",SUBSTITUTE(E210,"°","º"))-1)),""))))</f>
        <v/>
      </c>
      <c r="O210" s="2">
        <f>IF(OR(F210="",G210=""),"",IF(G210&lt;='RETRATO 2027'!$K$5,"CONCLUÍDA",IF(F210&lt;='RETRATO 2027'!$K$5,"EM ANDAMENTO","A INICIAR")))</f>
        <v/>
      </c>
      <c r="R210" s="4" t="n"/>
      <c r="S210" s="4" t="n"/>
      <c r="T210" s="4" t="n"/>
      <c r="U210" s="4" t="n"/>
      <c r="V210" s="2">
        <f>IF(R210="","",COUNTIF($C$5:$C$6004,R210))</f>
        <v/>
      </c>
      <c r="W210" s="2">
        <f>IF(R210="","",COUNTIFS($C$5:$C$6004,R210,$O$5:$O$6004,"CONCLUÍDA"))</f>
        <v/>
      </c>
      <c r="X210" s="2">
        <f>IF(R210="","",COUNTIFS($C$5:$C$6004,R210,$O$5:$O$6004,"EM ANDAMENTO"))</f>
        <v/>
      </c>
      <c r="Y210" s="2">
        <f>IF(R210="","",IF(COUNTIFS($C$5:$C$6004,R210,$O$5:$O$6004,"CONCLUÍDA",$N$5:$N$6004,"&gt;=-99")=0,"",_xlfn.MAXIFS($N$5:$N$6004,$C$5:$C$6004,R210,$O$5:$O$6004,"CONCLUÍDA")))</f>
        <v/>
      </c>
      <c r="Z210" s="2">
        <f>IF(R210="","",IF(COUNTIFS($C$5:$C$6004,R210,$O$5:$O$6004,"EM ANDAMENTO",$N$5:$N$6004,"&gt;=-99")=0,"",_xlfn.MAXIFS($N$5:$N$6004,$C$5:$C$6004,R210,$O$5:$O$6004,"EM ANDAMENTO")))</f>
        <v/>
      </c>
      <c r="AA210" s="2">
        <f>IF(OR(R210="",S210="",U210&lt;&gt;"SIM",V210=0),"",IF(W210+X210=0,"",T210&amp;": "&amp;IF(W210=V210,"concluído",IF(W210=0,"em execução"&amp;IF(Z210&lt;&gt;""," ("&amp;IF(Z210&lt;0,IF(COUNTIF($E$5:$E$6004,"SUBSOLO*")&gt;0,"subsolo",-Z210&amp;"º subsolo"),IF(Z210=0,"térreo",Z210&amp;"º pav."))&amp;")",""),IF(Y210&lt;&gt;"","até "&amp;IF(Y210&lt;0,IF(COUNTIF($E$5:$E$6004,"SUBSOLO*")&gt;0,"subsolo",-Y210&amp;"º subsolo"),IF(Y210=0,"térreo",Y210&amp;"º pav.")),W210&amp;" de "&amp;V210&amp;" concluídas")&amp;IF(Z210="","",IF(OR(Y210="",Z210&gt;Y210),", executando "&amp;IF(Z210&lt;0,IF(COUNTIF($E$5:$E$6004,"SUBSOLO*")&gt;0,"subsolo",-Z210&amp;"º subsolo"),IF(Z210=0,"térreo",Z210&amp;"º pav."))," (restam serviços no "&amp;IF(Z210&lt;0,IF(COUNTIF($E$5:$E$6004,"SUBSOLO*")&gt;0,"subsolo",-Z210&amp;"º subsolo"),IF(Z210=0,"térreo",Z210&amp;"º pav."))&amp;")"))))))</f>
        <v/>
      </c>
    </row>
    <row r="211">
      <c r="B211" s="4" t="n">
        <v>31924966</v>
      </c>
      <c r="C211" s="4" t="inlineStr">
        <is>
          <t>Estrutura Térreo - Fase 2</t>
        </is>
      </c>
      <c r="D211" s="4" t="inlineStr">
        <is>
          <t>Forro Laje</t>
        </is>
      </c>
      <c r="E211" s="4" t="inlineStr">
        <is>
          <t>TÉRREO - GERAL</t>
        </is>
      </c>
      <c r="F211" s="126" t="n">
        <v>46220</v>
      </c>
      <c r="G211" s="126" t="n">
        <v>46245</v>
      </c>
      <c r="H211" s="126" t="n">
        <v>46289</v>
      </c>
      <c r="I211" s="4" t="n">
        <v>0</v>
      </c>
      <c r="J211" s="4" t="n">
        <v>100</v>
      </c>
      <c r="K211" s="4" t="n">
        <v>100</v>
      </c>
      <c r="M211" s="2">
        <f>IF(C211="","",IFERROR(INDEX($S$5:$S$304,MATCH(C211,$R$5:$R$304,0))&amp;"","?"))</f>
        <v/>
      </c>
      <c r="N211" s="2">
        <f>IF(E211="","",IF(ISNUMBER(SEARCH("SUBSOLO",E211)),IFERROR(-VALUE(LEFT(E211,FIND("º",SUBSTITUTE(E211,"°","º"))-1)),-1),IF(LEFT(E211,6)="TÉRREO",0,IFERROR(VALUE(LEFT(E211,FIND("º",SUBSTITUTE(E211,"°","º"))-1)),""))))</f>
        <v/>
      </c>
      <c r="O211" s="2">
        <f>IF(OR(F211="",G211=""),"",IF(G211&lt;='RETRATO 2027'!$K$5,"CONCLUÍDA",IF(F211&lt;='RETRATO 2027'!$K$5,"EM ANDAMENTO","A INICIAR")))</f>
        <v/>
      </c>
      <c r="R211" s="4" t="n"/>
      <c r="S211" s="4" t="n"/>
      <c r="T211" s="4" t="n"/>
      <c r="U211" s="4" t="n"/>
      <c r="V211" s="2">
        <f>IF(R211="","",COUNTIF($C$5:$C$6004,R211))</f>
        <v/>
      </c>
      <c r="W211" s="2">
        <f>IF(R211="","",COUNTIFS($C$5:$C$6004,R211,$O$5:$O$6004,"CONCLUÍDA"))</f>
        <v/>
      </c>
      <c r="X211" s="2">
        <f>IF(R211="","",COUNTIFS($C$5:$C$6004,R211,$O$5:$O$6004,"EM ANDAMENTO"))</f>
        <v/>
      </c>
      <c r="Y211" s="2">
        <f>IF(R211="","",IF(COUNTIFS($C$5:$C$6004,R211,$O$5:$O$6004,"CONCLUÍDA",$N$5:$N$6004,"&gt;=-99")=0,"",_xlfn.MAXIFS($N$5:$N$6004,$C$5:$C$6004,R211,$O$5:$O$6004,"CONCLUÍDA")))</f>
        <v/>
      </c>
      <c r="Z211" s="2">
        <f>IF(R211="","",IF(COUNTIFS($C$5:$C$6004,R211,$O$5:$O$6004,"EM ANDAMENTO",$N$5:$N$6004,"&gt;=-99")=0,"",_xlfn.MAXIFS($N$5:$N$6004,$C$5:$C$6004,R211,$O$5:$O$6004,"EM ANDAMENTO")))</f>
        <v/>
      </c>
      <c r="AA211" s="2">
        <f>IF(OR(R211="",S211="",U211&lt;&gt;"SIM",V211=0),"",IF(W211+X211=0,"",T211&amp;": "&amp;IF(W211=V211,"concluído",IF(W211=0,"em execução"&amp;IF(Z211&lt;&gt;""," ("&amp;IF(Z211&lt;0,IF(COUNTIF($E$5:$E$6004,"SUBSOLO*")&gt;0,"subsolo",-Z211&amp;"º subsolo"),IF(Z211=0,"térreo",Z211&amp;"º pav."))&amp;")",""),IF(Y211&lt;&gt;"","até "&amp;IF(Y211&lt;0,IF(COUNTIF($E$5:$E$6004,"SUBSOLO*")&gt;0,"subsolo",-Y211&amp;"º subsolo"),IF(Y211=0,"térreo",Y211&amp;"º pav.")),W211&amp;" de "&amp;V211&amp;" concluídas")&amp;IF(Z211="","",IF(OR(Y211="",Z211&gt;Y211),", executando "&amp;IF(Z211&lt;0,IF(COUNTIF($E$5:$E$6004,"SUBSOLO*")&gt;0,"subsolo",-Z211&amp;"º subsolo"),IF(Z211=0,"térreo",Z211&amp;"º pav."))," (restam serviços no "&amp;IF(Z211&lt;0,IF(COUNTIF($E$5:$E$6004,"SUBSOLO*")&gt;0,"subsolo",-Z211&amp;"º subsolo"),IF(Z211=0,"térreo",Z211&amp;"º pav."))&amp;")"))))))</f>
        <v/>
      </c>
    </row>
    <row r="212">
      <c r="B212" s="4" t="n">
        <v>31924967</v>
      </c>
      <c r="C212" s="4" t="inlineStr">
        <is>
          <t>Estrutura Térreo - Fase 2</t>
        </is>
      </c>
      <c r="D212" s="4" t="inlineStr">
        <is>
          <t>Montagem Vigas - Armação</t>
        </is>
      </c>
      <c r="E212" s="4" t="inlineStr">
        <is>
          <t>TÉRREO - GERAL</t>
        </is>
      </c>
      <c r="F212" s="126" t="n">
        <v>46225</v>
      </c>
      <c r="G212" s="126" t="n">
        <v>46231</v>
      </c>
      <c r="H212" s="126" t="n">
        <v>46289</v>
      </c>
      <c r="I212" s="4" t="n">
        <v>0</v>
      </c>
      <c r="J212" s="4" t="n">
        <v>100</v>
      </c>
      <c r="K212" s="4" t="n">
        <v>100</v>
      </c>
      <c r="M212" s="2">
        <f>IF(C212="","",IFERROR(INDEX($S$5:$S$304,MATCH(C212,$R$5:$R$304,0))&amp;"","?"))</f>
        <v/>
      </c>
      <c r="N212" s="2">
        <f>IF(E212="","",IF(ISNUMBER(SEARCH("SUBSOLO",E212)),IFERROR(-VALUE(LEFT(E212,FIND("º",SUBSTITUTE(E212,"°","º"))-1)),-1),IF(LEFT(E212,6)="TÉRREO",0,IFERROR(VALUE(LEFT(E212,FIND("º",SUBSTITUTE(E212,"°","º"))-1)),""))))</f>
        <v/>
      </c>
      <c r="O212" s="2">
        <f>IF(OR(F212="",G212=""),"",IF(G212&lt;='RETRATO 2027'!$K$5,"CONCLUÍDA",IF(F212&lt;='RETRATO 2027'!$K$5,"EM ANDAMENTO","A INICIAR")))</f>
        <v/>
      </c>
      <c r="R212" s="4" t="n"/>
      <c r="S212" s="4" t="n"/>
      <c r="T212" s="4" t="n"/>
      <c r="U212" s="4" t="n"/>
      <c r="V212" s="2">
        <f>IF(R212="","",COUNTIF($C$5:$C$6004,R212))</f>
        <v/>
      </c>
      <c r="W212" s="2">
        <f>IF(R212="","",COUNTIFS($C$5:$C$6004,R212,$O$5:$O$6004,"CONCLUÍDA"))</f>
        <v/>
      </c>
      <c r="X212" s="2">
        <f>IF(R212="","",COUNTIFS($C$5:$C$6004,R212,$O$5:$O$6004,"EM ANDAMENTO"))</f>
        <v/>
      </c>
      <c r="Y212" s="2">
        <f>IF(R212="","",IF(COUNTIFS($C$5:$C$6004,R212,$O$5:$O$6004,"CONCLUÍDA",$N$5:$N$6004,"&gt;=-99")=0,"",_xlfn.MAXIFS($N$5:$N$6004,$C$5:$C$6004,R212,$O$5:$O$6004,"CONCLUÍDA")))</f>
        <v/>
      </c>
      <c r="Z212" s="2">
        <f>IF(R212="","",IF(COUNTIFS($C$5:$C$6004,R212,$O$5:$O$6004,"EM ANDAMENTO",$N$5:$N$6004,"&gt;=-99")=0,"",_xlfn.MAXIFS($N$5:$N$6004,$C$5:$C$6004,R212,$O$5:$O$6004,"EM ANDAMENTO")))</f>
        <v/>
      </c>
      <c r="AA212" s="2">
        <f>IF(OR(R212="",S212="",U212&lt;&gt;"SIM",V212=0),"",IF(W212+X212=0,"",T212&amp;": "&amp;IF(W212=V212,"concluído",IF(W212=0,"em execução"&amp;IF(Z212&lt;&gt;""," ("&amp;IF(Z212&lt;0,IF(COUNTIF($E$5:$E$6004,"SUBSOLO*")&gt;0,"subsolo",-Z212&amp;"º subsolo"),IF(Z212=0,"térreo",Z212&amp;"º pav."))&amp;")",""),IF(Y212&lt;&gt;"","até "&amp;IF(Y212&lt;0,IF(COUNTIF($E$5:$E$6004,"SUBSOLO*")&gt;0,"subsolo",-Y212&amp;"º subsolo"),IF(Y212=0,"térreo",Y212&amp;"º pav.")),W212&amp;" de "&amp;V212&amp;" concluídas")&amp;IF(Z212="","",IF(OR(Y212="",Z212&gt;Y212),", executando "&amp;IF(Z212&lt;0,IF(COUNTIF($E$5:$E$6004,"SUBSOLO*")&gt;0,"subsolo",-Z212&amp;"º subsolo"),IF(Z212=0,"térreo",Z212&amp;"º pav."))," (restam serviços no "&amp;IF(Z212&lt;0,IF(COUNTIF($E$5:$E$6004,"SUBSOLO*")&gt;0,"subsolo",-Z212&amp;"º subsolo"),IF(Z212=0,"térreo",Z212&amp;"º pav."))&amp;")"))))))</f>
        <v/>
      </c>
    </row>
    <row r="213">
      <c r="B213" s="4" t="n">
        <v>31924968</v>
      </c>
      <c r="C213" s="4" t="inlineStr">
        <is>
          <t>Estrutura Térreo - Fase 2</t>
        </is>
      </c>
      <c r="D213" s="4" t="inlineStr">
        <is>
          <t>Armação Laje</t>
        </is>
      </c>
      <c r="E213" s="4" t="inlineStr">
        <is>
          <t>TÉRREO - GERAL</t>
        </is>
      </c>
      <c r="F213" s="126" t="n">
        <v>46240</v>
      </c>
      <c r="G213" s="126" t="n">
        <v>46248</v>
      </c>
      <c r="H213" s="126" t="n">
        <v>46289</v>
      </c>
      <c r="I213" s="4" t="n">
        <v>0</v>
      </c>
      <c r="J213" s="4" t="n">
        <v>100</v>
      </c>
      <c r="K213" s="4" t="n">
        <v>100</v>
      </c>
      <c r="M213" s="2">
        <f>IF(C213="","",IFERROR(INDEX($S$5:$S$304,MATCH(C213,$R$5:$R$304,0))&amp;"","?"))</f>
        <v/>
      </c>
      <c r="N213" s="2">
        <f>IF(E213="","",IF(ISNUMBER(SEARCH("SUBSOLO",E213)),IFERROR(-VALUE(LEFT(E213,FIND("º",SUBSTITUTE(E213,"°","º"))-1)),-1),IF(LEFT(E213,6)="TÉRREO",0,IFERROR(VALUE(LEFT(E213,FIND("º",SUBSTITUTE(E213,"°","º"))-1)),""))))</f>
        <v/>
      </c>
      <c r="O213" s="2">
        <f>IF(OR(F213="",G213=""),"",IF(G213&lt;='RETRATO 2027'!$K$5,"CONCLUÍDA",IF(F213&lt;='RETRATO 2027'!$K$5,"EM ANDAMENTO","A INICIAR")))</f>
        <v/>
      </c>
      <c r="R213" s="4" t="n"/>
      <c r="S213" s="4" t="n"/>
      <c r="T213" s="4" t="n"/>
      <c r="U213" s="4" t="n"/>
      <c r="V213" s="2">
        <f>IF(R213="","",COUNTIF($C$5:$C$6004,R213))</f>
        <v/>
      </c>
      <c r="W213" s="2">
        <f>IF(R213="","",COUNTIFS($C$5:$C$6004,R213,$O$5:$O$6004,"CONCLUÍDA"))</f>
        <v/>
      </c>
      <c r="X213" s="2">
        <f>IF(R213="","",COUNTIFS($C$5:$C$6004,R213,$O$5:$O$6004,"EM ANDAMENTO"))</f>
        <v/>
      </c>
      <c r="Y213" s="2">
        <f>IF(R213="","",IF(COUNTIFS($C$5:$C$6004,R213,$O$5:$O$6004,"CONCLUÍDA",$N$5:$N$6004,"&gt;=-99")=0,"",_xlfn.MAXIFS($N$5:$N$6004,$C$5:$C$6004,R213,$O$5:$O$6004,"CONCLUÍDA")))</f>
        <v/>
      </c>
      <c r="Z213" s="2">
        <f>IF(R213="","",IF(COUNTIFS($C$5:$C$6004,R213,$O$5:$O$6004,"EM ANDAMENTO",$N$5:$N$6004,"&gt;=-99")=0,"",_xlfn.MAXIFS($N$5:$N$6004,$C$5:$C$6004,R213,$O$5:$O$6004,"EM ANDAMENTO")))</f>
        <v/>
      </c>
      <c r="AA213" s="2">
        <f>IF(OR(R213="",S213="",U213&lt;&gt;"SIM",V213=0),"",IF(W213+X213=0,"",T213&amp;": "&amp;IF(W213=V213,"concluído",IF(W213=0,"em execução"&amp;IF(Z213&lt;&gt;""," ("&amp;IF(Z213&lt;0,IF(COUNTIF($E$5:$E$6004,"SUBSOLO*")&gt;0,"subsolo",-Z213&amp;"º subsolo"),IF(Z213=0,"térreo",Z213&amp;"º pav."))&amp;")",""),IF(Y213&lt;&gt;"","até "&amp;IF(Y213&lt;0,IF(COUNTIF($E$5:$E$6004,"SUBSOLO*")&gt;0,"subsolo",-Y213&amp;"º subsolo"),IF(Y213=0,"térreo",Y213&amp;"º pav.")),W213&amp;" de "&amp;V213&amp;" concluídas")&amp;IF(Z213="","",IF(OR(Y213="",Z213&gt;Y213),", executando "&amp;IF(Z213&lt;0,IF(COUNTIF($E$5:$E$6004,"SUBSOLO*")&gt;0,"subsolo",-Z213&amp;"º subsolo"),IF(Z213=0,"térreo",Z213&amp;"º pav."))," (restam serviços no "&amp;IF(Z213&lt;0,IF(COUNTIF($E$5:$E$6004,"SUBSOLO*")&gt;0,"subsolo",-Z213&amp;"º subsolo"),IF(Z213=0,"térreo",Z213&amp;"º pav."))&amp;")"))))))</f>
        <v/>
      </c>
    </row>
    <row r="214">
      <c r="B214" s="4" t="n">
        <v>31924976</v>
      </c>
      <c r="C214" s="4" t="inlineStr">
        <is>
          <t>Estrutura Térreo - Fase 2</t>
        </is>
      </c>
      <c r="D214" s="4" t="inlineStr">
        <is>
          <t>Concretagem Laje</t>
        </is>
      </c>
      <c r="E214" s="4" t="inlineStr">
        <is>
          <t>TÉRREO - GERAL</t>
        </is>
      </c>
      <c r="F214" s="126" t="n">
        <v>46251</v>
      </c>
      <c r="G214" s="126" t="n">
        <v>46251</v>
      </c>
      <c r="H214" s="126" t="n">
        <v>46289</v>
      </c>
      <c r="I214" s="4" t="n">
        <v>0</v>
      </c>
      <c r="J214" s="4" t="n">
        <v>100</v>
      </c>
      <c r="K214" s="4" t="n">
        <v>100</v>
      </c>
      <c r="M214" s="2">
        <f>IF(C214="","",IFERROR(INDEX($S$5:$S$304,MATCH(C214,$R$5:$R$304,0))&amp;"","?"))</f>
        <v/>
      </c>
      <c r="N214" s="2">
        <f>IF(E214="","",IF(ISNUMBER(SEARCH("SUBSOLO",E214)),IFERROR(-VALUE(LEFT(E214,FIND("º",SUBSTITUTE(E214,"°","º"))-1)),-1),IF(LEFT(E214,6)="TÉRREO",0,IFERROR(VALUE(LEFT(E214,FIND("º",SUBSTITUTE(E214,"°","º"))-1)),""))))</f>
        <v/>
      </c>
      <c r="O214" s="2">
        <f>IF(OR(F214="",G214=""),"",IF(G214&lt;='RETRATO 2027'!$K$5,"CONCLUÍDA",IF(F214&lt;='RETRATO 2027'!$K$5,"EM ANDAMENTO","A INICIAR")))</f>
        <v/>
      </c>
      <c r="R214" s="4" t="n"/>
      <c r="S214" s="4" t="n"/>
      <c r="T214" s="4" t="n"/>
      <c r="U214" s="4" t="n"/>
      <c r="V214" s="2">
        <f>IF(R214="","",COUNTIF($C$5:$C$6004,R214))</f>
        <v/>
      </c>
      <c r="W214" s="2">
        <f>IF(R214="","",COUNTIFS($C$5:$C$6004,R214,$O$5:$O$6004,"CONCLUÍDA"))</f>
        <v/>
      </c>
      <c r="X214" s="2">
        <f>IF(R214="","",COUNTIFS($C$5:$C$6004,R214,$O$5:$O$6004,"EM ANDAMENTO"))</f>
        <v/>
      </c>
      <c r="Y214" s="2">
        <f>IF(R214="","",IF(COUNTIFS($C$5:$C$6004,R214,$O$5:$O$6004,"CONCLUÍDA",$N$5:$N$6004,"&gt;=-99")=0,"",_xlfn.MAXIFS($N$5:$N$6004,$C$5:$C$6004,R214,$O$5:$O$6004,"CONCLUÍDA")))</f>
        <v/>
      </c>
      <c r="Z214" s="2">
        <f>IF(R214="","",IF(COUNTIFS($C$5:$C$6004,R214,$O$5:$O$6004,"EM ANDAMENTO",$N$5:$N$6004,"&gt;=-99")=0,"",_xlfn.MAXIFS($N$5:$N$6004,$C$5:$C$6004,R214,$O$5:$O$6004,"EM ANDAMENTO")))</f>
        <v/>
      </c>
      <c r="AA214" s="2">
        <f>IF(OR(R214="",S214="",U214&lt;&gt;"SIM",V214=0),"",IF(W214+X214=0,"",T214&amp;": "&amp;IF(W214=V214,"concluído",IF(W214=0,"em execução"&amp;IF(Z214&lt;&gt;""," ("&amp;IF(Z214&lt;0,IF(COUNTIF($E$5:$E$6004,"SUBSOLO*")&gt;0,"subsolo",-Z214&amp;"º subsolo"),IF(Z214=0,"térreo",Z214&amp;"º pav."))&amp;")",""),IF(Y214&lt;&gt;"","até "&amp;IF(Y214&lt;0,IF(COUNTIF($E$5:$E$6004,"SUBSOLO*")&gt;0,"subsolo",-Y214&amp;"º subsolo"),IF(Y214=0,"térreo",Y214&amp;"º pav.")),W214&amp;" de "&amp;V214&amp;" concluídas")&amp;IF(Z214="","",IF(OR(Y214="",Z214&gt;Y214),", executando "&amp;IF(Z214&lt;0,IF(COUNTIF($E$5:$E$6004,"SUBSOLO*")&gt;0,"subsolo",-Z214&amp;"º subsolo"),IF(Z214=0,"térreo",Z214&amp;"º pav."))," (restam serviços no "&amp;IF(Z214&lt;0,IF(COUNTIF($E$5:$E$6004,"SUBSOLO*")&gt;0,"subsolo",-Z214&amp;"º subsolo"),IF(Z214=0,"térreo",Z214&amp;"º pav."))&amp;")"))))))</f>
        <v/>
      </c>
    </row>
    <row r="215">
      <c r="B215" s="4" t="n">
        <v>48913806</v>
      </c>
      <c r="C215" s="4" t="inlineStr">
        <is>
          <t>Estrutura Térreo - Fase 3</t>
        </is>
      </c>
      <c r="D215" s="4" t="inlineStr">
        <is>
          <t>-</t>
        </is>
      </c>
      <c r="E215" s="4" t="inlineStr">
        <is>
          <t>TÉRREO - GERAL</t>
        </is>
      </c>
      <c r="F215" s="126" t="n">
        <v>46224</v>
      </c>
      <c r="G215" s="126" t="n">
        <v>46241</v>
      </c>
      <c r="H215" s="126" t="n">
        <v>46289</v>
      </c>
      <c r="I215" s="4" t="n">
        <v>0</v>
      </c>
      <c r="J215" s="4" t="n">
        <v>100</v>
      </c>
      <c r="K215" s="4" t="n">
        <v>100</v>
      </c>
      <c r="M215" s="2">
        <f>IF(C215="","",IFERROR(INDEX($S$5:$S$304,MATCH(C215,$R$5:$R$304,0))&amp;"","?"))</f>
        <v/>
      </c>
      <c r="N215" s="2">
        <f>IF(E215="","",IF(ISNUMBER(SEARCH("SUBSOLO",E215)),IFERROR(-VALUE(LEFT(E215,FIND("º",SUBSTITUTE(E215,"°","º"))-1)),-1),IF(LEFT(E215,6)="TÉRREO",0,IFERROR(VALUE(LEFT(E215,FIND("º",SUBSTITUTE(E215,"°","º"))-1)),""))))</f>
        <v/>
      </c>
      <c r="O215" s="2">
        <f>IF(OR(F215="",G215=""),"",IF(G215&lt;='RETRATO 2027'!$K$5,"CONCLUÍDA",IF(F215&lt;='RETRATO 2027'!$K$5,"EM ANDAMENTO","A INICIAR")))</f>
        <v/>
      </c>
      <c r="R215" s="4" t="n"/>
      <c r="S215" s="4" t="n"/>
      <c r="T215" s="4" t="n"/>
      <c r="U215" s="4" t="n"/>
      <c r="V215" s="2">
        <f>IF(R215="","",COUNTIF($C$5:$C$6004,R215))</f>
        <v/>
      </c>
      <c r="W215" s="2">
        <f>IF(R215="","",COUNTIFS($C$5:$C$6004,R215,$O$5:$O$6004,"CONCLUÍDA"))</f>
        <v/>
      </c>
      <c r="X215" s="2">
        <f>IF(R215="","",COUNTIFS($C$5:$C$6004,R215,$O$5:$O$6004,"EM ANDAMENTO"))</f>
        <v/>
      </c>
      <c r="Y215" s="2">
        <f>IF(R215="","",IF(COUNTIFS($C$5:$C$6004,R215,$O$5:$O$6004,"CONCLUÍDA",$N$5:$N$6004,"&gt;=-99")=0,"",_xlfn.MAXIFS($N$5:$N$6004,$C$5:$C$6004,R215,$O$5:$O$6004,"CONCLUÍDA")))</f>
        <v/>
      </c>
      <c r="Z215" s="2">
        <f>IF(R215="","",IF(COUNTIFS($C$5:$C$6004,R215,$O$5:$O$6004,"EM ANDAMENTO",$N$5:$N$6004,"&gt;=-99")=0,"",_xlfn.MAXIFS($N$5:$N$6004,$C$5:$C$6004,R215,$O$5:$O$6004,"EM ANDAMENTO")))</f>
        <v/>
      </c>
      <c r="AA215" s="2">
        <f>IF(OR(R215="",S215="",U215&lt;&gt;"SIM",V215=0),"",IF(W215+X215=0,"",T215&amp;": "&amp;IF(W215=V215,"concluído",IF(W215=0,"em execução"&amp;IF(Z215&lt;&gt;""," ("&amp;IF(Z215&lt;0,IF(COUNTIF($E$5:$E$6004,"SUBSOLO*")&gt;0,"subsolo",-Z215&amp;"º subsolo"),IF(Z215=0,"térreo",Z215&amp;"º pav."))&amp;")",""),IF(Y215&lt;&gt;"","até "&amp;IF(Y215&lt;0,IF(COUNTIF($E$5:$E$6004,"SUBSOLO*")&gt;0,"subsolo",-Y215&amp;"º subsolo"),IF(Y215=0,"térreo",Y215&amp;"º pav.")),W215&amp;" de "&amp;V215&amp;" concluídas")&amp;IF(Z215="","",IF(OR(Y215="",Z215&gt;Y215),", executando "&amp;IF(Z215&lt;0,IF(COUNTIF($E$5:$E$6004,"SUBSOLO*")&gt;0,"subsolo",-Z215&amp;"º subsolo"),IF(Z215=0,"térreo",Z215&amp;"º pav."))," (restam serviços no "&amp;IF(Z215&lt;0,IF(COUNTIF($E$5:$E$6004,"SUBSOLO*")&gt;0,"subsolo",-Z215&amp;"º subsolo"),IF(Z215=0,"térreo",Z215&amp;"º pav."))&amp;")"))))))</f>
        <v/>
      </c>
    </row>
    <row r="216">
      <c r="B216" s="4" t="n">
        <v>31924960</v>
      </c>
      <c r="C216" s="4" t="inlineStr">
        <is>
          <t>Estrutura Térreo - Fase 3</t>
        </is>
      </c>
      <c r="D216" s="4" t="inlineStr">
        <is>
          <t>Escoramento Lajes/ Vigas</t>
        </is>
      </c>
      <c r="E216" s="4" t="inlineStr">
        <is>
          <t>TÉRREO - GERAL</t>
        </is>
      </c>
      <c r="F216" s="126" t="n">
        <v>46224</v>
      </c>
      <c r="G216" s="126" t="n">
        <v>46230</v>
      </c>
      <c r="H216" s="126" t="n">
        <v>46289</v>
      </c>
      <c r="I216" s="4" t="n">
        <v>0</v>
      </c>
      <c r="J216" s="4" t="n">
        <v>100</v>
      </c>
      <c r="K216" s="4" t="n">
        <v>100</v>
      </c>
      <c r="M216" s="2">
        <f>IF(C216="","",IFERROR(INDEX($S$5:$S$304,MATCH(C216,$R$5:$R$304,0))&amp;"","?"))</f>
        <v/>
      </c>
      <c r="N216" s="2">
        <f>IF(E216="","",IF(ISNUMBER(SEARCH("SUBSOLO",E216)),IFERROR(-VALUE(LEFT(E216,FIND("º",SUBSTITUTE(E216,"°","º"))-1)),-1),IF(LEFT(E216,6)="TÉRREO",0,IFERROR(VALUE(LEFT(E216,FIND("º",SUBSTITUTE(E216,"°","º"))-1)),""))))</f>
        <v/>
      </c>
      <c r="O216" s="2">
        <f>IF(OR(F216="",G216=""),"",IF(G216&lt;='RETRATO 2027'!$K$5,"CONCLUÍDA",IF(F216&lt;='RETRATO 2027'!$K$5,"EM ANDAMENTO","A INICIAR")))</f>
        <v/>
      </c>
      <c r="R216" s="4" t="n"/>
      <c r="S216" s="4" t="n"/>
      <c r="T216" s="4" t="n"/>
      <c r="U216" s="4" t="n"/>
      <c r="V216" s="2">
        <f>IF(R216="","",COUNTIF($C$5:$C$6004,R216))</f>
        <v/>
      </c>
      <c r="W216" s="2">
        <f>IF(R216="","",COUNTIFS($C$5:$C$6004,R216,$O$5:$O$6004,"CONCLUÍDA"))</f>
        <v/>
      </c>
      <c r="X216" s="2">
        <f>IF(R216="","",COUNTIFS($C$5:$C$6004,R216,$O$5:$O$6004,"EM ANDAMENTO"))</f>
        <v/>
      </c>
      <c r="Y216" s="2">
        <f>IF(R216="","",IF(COUNTIFS($C$5:$C$6004,R216,$O$5:$O$6004,"CONCLUÍDA",$N$5:$N$6004,"&gt;=-99")=0,"",_xlfn.MAXIFS($N$5:$N$6004,$C$5:$C$6004,R216,$O$5:$O$6004,"CONCLUÍDA")))</f>
        <v/>
      </c>
      <c r="Z216" s="2">
        <f>IF(R216="","",IF(COUNTIFS($C$5:$C$6004,R216,$O$5:$O$6004,"EM ANDAMENTO",$N$5:$N$6004,"&gt;=-99")=0,"",_xlfn.MAXIFS($N$5:$N$6004,$C$5:$C$6004,R216,$O$5:$O$6004,"EM ANDAMENTO")))</f>
        <v/>
      </c>
      <c r="AA216" s="2">
        <f>IF(OR(R216="",S216="",U216&lt;&gt;"SIM",V216=0),"",IF(W216+X216=0,"",T216&amp;": "&amp;IF(W216=V216,"concluído",IF(W216=0,"em execução"&amp;IF(Z216&lt;&gt;""," ("&amp;IF(Z216&lt;0,IF(COUNTIF($E$5:$E$6004,"SUBSOLO*")&gt;0,"subsolo",-Z216&amp;"º subsolo"),IF(Z216=0,"térreo",Z216&amp;"º pav."))&amp;")",""),IF(Y216&lt;&gt;"","até "&amp;IF(Y216&lt;0,IF(COUNTIF($E$5:$E$6004,"SUBSOLO*")&gt;0,"subsolo",-Y216&amp;"º subsolo"),IF(Y216=0,"térreo",Y216&amp;"º pav.")),W216&amp;" de "&amp;V216&amp;" concluídas")&amp;IF(Z216="","",IF(OR(Y216="",Z216&gt;Y216),", executando "&amp;IF(Z216&lt;0,IF(COUNTIF($E$5:$E$6004,"SUBSOLO*")&gt;0,"subsolo",-Z216&amp;"º subsolo"),IF(Z216=0,"térreo",Z216&amp;"º pav."))," (restam serviços no "&amp;IF(Z216&lt;0,IF(COUNTIF($E$5:$E$6004,"SUBSOLO*")&gt;0,"subsolo",-Z216&amp;"º subsolo"),IF(Z216=0,"térreo",Z216&amp;"º pav."))&amp;")"))))))</f>
        <v/>
      </c>
    </row>
    <row r="217">
      <c r="B217" s="4" t="n">
        <v>31924961</v>
      </c>
      <c r="C217" s="4" t="inlineStr">
        <is>
          <t>Estrutura Térreo - Fase 3</t>
        </is>
      </c>
      <c r="D217" s="4" t="inlineStr">
        <is>
          <t>Forro Laje</t>
        </is>
      </c>
      <c r="E217" s="4" t="inlineStr">
        <is>
          <t>TÉRREO - GERAL</t>
        </is>
      </c>
      <c r="F217" s="126" t="n">
        <v>46231</v>
      </c>
      <c r="G217" s="126" t="n">
        <v>46237</v>
      </c>
      <c r="H217" s="126" t="n">
        <v>46289</v>
      </c>
      <c r="I217" s="4" t="n">
        <v>0</v>
      </c>
      <c r="J217" s="4" t="n">
        <v>100</v>
      </c>
      <c r="K217" s="4" t="n">
        <v>100</v>
      </c>
      <c r="M217" s="2">
        <f>IF(C217="","",IFERROR(INDEX($S$5:$S$304,MATCH(C217,$R$5:$R$304,0))&amp;"","?"))</f>
        <v/>
      </c>
      <c r="N217" s="2">
        <f>IF(E217="","",IF(ISNUMBER(SEARCH("SUBSOLO",E217)),IFERROR(-VALUE(LEFT(E217,FIND("º",SUBSTITUTE(E217,"°","º"))-1)),-1),IF(LEFT(E217,6)="TÉRREO",0,IFERROR(VALUE(LEFT(E217,FIND("º",SUBSTITUTE(E217,"°","º"))-1)),""))))</f>
        <v/>
      </c>
      <c r="O217" s="2">
        <f>IF(OR(F217="",G217=""),"",IF(G217&lt;='RETRATO 2027'!$K$5,"CONCLUÍDA",IF(F217&lt;='RETRATO 2027'!$K$5,"EM ANDAMENTO","A INICIAR")))</f>
        <v/>
      </c>
      <c r="R217" s="4" t="n"/>
      <c r="S217" s="4" t="n"/>
      <c r="T217" s="4" t="n"/>
      <c r="U217" s="4" t="n"/>
      <c r="V217" s="2">
        <f>IF(R217="","",COUNTIF($C$5:$C$6004,R217))</f>
        <v/>
      </c>
      <c r="W217" s="2">
        <f>IF(R217="","",COUNTIFS($C$5:$C$6004,R217,$O$5:$O$6004,"CONCLUÍDA"))</f>
        <v/>
      </c>
      <c r="X217" s="2">
        <f>IF(R217="","",COUNTIFS($C$5:$C$6004,R217,$O$5:$O$6004,"EM ANDAMENTO"))</f>
        <v/>
      </c>
      <c r="Y217" s="2">
        <f>IF(R217="","",IF(COUNTIFS($C$5:$C$6004,R217,$O$5:$O$6004,"CONCLUÍDA",$N$5:$N$6004,"&gt;=-99")=0,"",_xlfn.MAXIFS($N$5:$N$6004,$C$5:$C$6004,R217,$O$5:$O$6004,"CONCLUÍDA")))</f>
        <v/>
      </c>
      <c r="Z217" s="2">
        <f>IF(R217="","",IF(COUNTIFS($C$5:$C$6004,R217,$O$5:$O$6004,"EM ANDAMENTO",$N$5:$N$6004,"&gt;=-99")=0,"",_xlfn.MAXIFS($N$5:$N$6004,$C$5:$C$6004,R217,$O$5:$O$6004,"EM ANDAMENTO")))</f>
        <v/>
      </c>
      <c r="AA217" s="2">
        <f>IF(OR(R217="",S217="",U217&lt;&gt;"SIM",V217=0),"",IF(W217+X217=0,"",T217&amp;": "&amp;IF(W217=V217,"concluído",IF(W217=0,"em execução"&amp;IF(Z217&lt;&gt;""," ("&amp;IF(Z217&lt;0,IF(COUNTIF($E$5:$E$6004,"SUBSOLO*")&gt;0,"subsolo",-Z217&amp;"º subsolo"),IF(Z217=0,"térreo",Z217&amp;"º pav."))&amp;")",""),IF(Y217&lt;&gt;"","até "&amp;IF(Y217&lt;0,IF(COUNTIF($E$5:$E$6004,"SUBSOLO*")&gt;0,"subsolo",-Y217&amp;"º subsolo"),IF(Y217=0,"térreo",Y217&amp;"º pav.")),W217&amp;" de "&amp;V217&amp;" concluídas")&amp;IF(Z217="","",IF(OR(Y217="",Z217&gt;Y217),", executando "&amp;IF(Z217&lt;0,IF(COUNTIF($E$5:$E$6004,"SUBSOLO*")&gt;0,"subsolo",-Z217&amp;"º subsolo"),IF(Z217=0,"térreo",Z217&amp;"º pav."))," (restam serviços no "&amp;IF(Z217&lt;0,IF(COUNTIF($E$5:$E$6004,"SUBSOLO*")&gt;0,"subsolo",-Z217&amp;"º subsolo"),IF(Z217=0,"térreo",Z217&amp;"º pav."))&amp;")"))))))</f>
        <v/>
      </c>
    </row>
    <row r="218">
      <c r="B218" s="4" t="n">
        <v>31924962</v>
      </c>
      <c r="C218" s="4" t="inlineStr">
        <is>
          <t>Estrutura Térreo - Fase 3</t>
        </is>
      </c>
      <c r="D218" s="4" t="inlineStr">
        <is>
          <t>Montagem Vigas - Armação</t>
        </is>
      </c>
      <c r="E218" s="4" t="inlineStr">
        <is>
          <t>TÉRREO - GERAL</t>
        </is>
      </c>
      <c r="F218" s="126" t="n">
        <v>46231</v>
      </c>
      <c r="G218" s="126" t="n">
        <v>46233</v>
      </c>
      <c r="H218" s="126" t="n">
        <v>46289</v>
      </c>
      <c r="I218" s="4" t="n">
        <v>0</v>
      </c>
      <c r="J218" s="4" t="n">
        <v>100</v>
      </c>
      <c r="K218" s="4" t="n">
        <v>100</v>
      </c>
      <c r="M218" s="2">
        <f>IF(C218="","",IFERROR(INDEX($S$5:$S$304,MATCH(C218,$R$5:$R$304,0))&amp;"","?"))</f>
        <v/>
      </c>
      <c r="N218" s="2">
        <f>IF(E218="","",IF(ISNUMBER(SEARCH("SUBSOLO",E218)),IFERROR(-VALUE(LEFT(E218,FIND("º",SUBSTITUTE(E218,"°","º"))-1)),-1),IF(LEFT(E218,6)="TÉRREO",0,IFERROR(VALUE(LEFT(E218,FIND("º",SUBSTITUTE(E218,"°","º"))-1)),""))))</f>
        <v/>
      </c>
      <c r="O218" s="2">
        <f>IF(OR(F218="",G218=""),"",IF(G218&lt;='RETRATO 2027'!$K$5,"CONCLUÍDA",IF(F218&lt;='RETRATO 2027'!$K$5,"EM ANDAMENTO","A INICIAR")))</f>
        <v/>
      </c>
      <c r="R218" s="4" t="n"/>
      <c r="S218" s="4" t="n"/>
      <c r="T218" s="4" t="n"/>
      <c r="U218" s="4" t="n"/>
      <c r="V218" s="2">
        <f>IF(R218="","",COUNTIF($C$5:$C$6004,R218))</f>
        <v/>
      </c>
      <c r="W218" s="2">
        <f>IF(R218="","",COUNTIFS($C$5:$C$6004,R218,$O$5:$O$6004,"CONCLUÍDA"))</f>
        <v/>
      </c>
      <c r="X218" s="2">
        <f>IF(R218="","",COUNTIFS($C$5:$C$6004,R218,$O$5:$O$6004,"EM ANDAMENTO"))</f>
        <v/>
      </c>
      <c r="Y218" s="2">
        <f>IF(R218="","",IF(COUNTIFS($C$5:$C$6004,R218,$O$5:$O$6004,"CONCLUÍDA",$N$5:$N$6004,"&gt;=-99")=0,"",_xlfn.MAXIFS($N$5:$N$6004,$C$5:$C$6004,R218,$O$5:$O$6004,"CONCLUÍDA")))</f>
        <v/>
      </c>
      <c r="Z218" s="2">
        <f>IF(R218="","",IF(COUNTIFS($C$5:$C$6004,R218,$O$5:$O$6004,"EM ANDAMENTO",$N$5:$N$6004,"&gt;=-99")=0,"",_xlfn.MAXIFS($N$5:$N$6004,$C$5:$C$6004,R218,$O$5:$O$6004,"EM ANDAMENTO")))</f>
        <v/>
      </c>
      <c r="AA218" s="2">
        <f>IF(OR(R218="",S218="",U218&lt;&gt;"SIM",V218=0),"",IF(W218+X218=0,"",T218&amp;": "&amp;IF(W218=V218,"concluído",IF(W218=0,"em execução"&amp;IF(Z218&lt;&gt;""," ("&amp;IF(Z218&lt;0,IF(COUNTIF($E$5:$E$6004,"SUBSOLO*")&gt;0,"subsolo",-Z218&amp;"º subsolo"),IF(Z218=0,"térreo",Z218&amp;"º pav."))&amp;")",""),IF(Y218&lt;&gt;"","até "&amp;IF(Y218&lt;0,IF(COUNTIF($E$5:$E$6004,"SUBSOLO*")&gt;0,"subsolo",-Y218&amp;"º subsolo"),IF(Y218=0,"térreo",Y218&amp;"º pav.")),W218&amp;" de "&amp;V218&amp;" concluídas")&amp;IF(Z218="","",IF(OR(Y218="",Z218&gt;Y218),", executando "&amp;IF(Z218&lt;0,IF(COUNTIF($E$5:$E$6004,"SUBSOLO*")&gt;0,"subsolo",-Z218&amp;"º subsolo"),IF(Z218=0,"térreo",Z218&amp;"º pav."))," (restam serviços no "&amp;IF(Z218&lt;0,IF(COUNTIF($E$5:$E$6004,"SUBSOLO*")&gt;0,"subsolo",-Z218&amp;"º subsolo"),IF(Z218=0,"térreo",Z218&amp;"º pav."))&amp;")"))))))</f>
        <v/>
      </c>
    </row>
    <row r="219">
      <c r="B219" s="4" t="n">
        <v>31924963</v>
      </c>
      <c r="C219" s="4" t="inlineStr">
        <is>
          <t>Estrutura Térreo - Fase 3</t>
        </is>
      </c>
      <c r="D219" s="4" t="inlineStr">
        <is>
          <t>Armação Laje</t>
        </is>
      </c>
      <c r="E219" s="4" t="inlineStr">
        <is>
          <t>TÉRREO - GERAL</t>
        </is>
      </c>
      <c r="F219" s="126" t="n">
        <v>46234</v>
      </c>
      <c r="G219" s="126" t="n">
        <v>46240</v>
      </c>
      <c r="H219" s="126" t="n">
        <v>46289</v>
      </c>
      <c r="I219" s="4" t="n">
        <v>0</v>
      </c>
      <c r="J219" s="4" t="n">
        <v>100</v>
      </c>
      <c r="K219" s="4" t="n">
        <v>100</v>
      </c>
      <c r="M219" s="2">
        <f>IF(C219="","",IFERROR(INDEX($S$5:$S$304,MATCH(C219,$R$5:$R$304,0))&amp;"","?"))</f>
        <v/>
      </c>
      <c r="N219" s="2">
        <f>IF(E219="","",IF(ISNUMBER(SEARCH("SUBSOLO",E219)),IFERROR(-VALUE(LEFT(E219,FIND("º",SUBSTITUTE(E219,"°","º"))-1)),-1),IF(LEFT(E219,6)="TÉRREO",0,IFERROR(VALUE(LEFT(E219,FIND("º",SUBSTITUTE(E219,"°","º"))-1)),""))))</f>
        <v/>
      </c>
      <c r="O219" s="2">
        <f>IF(OR(F219="",G219=""),"",IF(G219&lt;='RETRATO 2027'!$K$5,"CONCLUÍDA",IF(F219&lt;='RETRATO 2027'!$K$5,"EM ANDAMENTO","A INICIAR")))</f>
        <v/>
      </c>
      <c r="R219" s="4" t="n"/>
      <c r="S219" s="4" t="n"/>
      <c r="T219" s="4" t="n"/>
      <c r="U219" s="4" t="n"/>
      <c r="V219" s="2">
        <f>IF(R219="","",COUNTIF($C$5:$C$6004,R219))</f>
        <v/>
      </c>
      <c r="W219" s="2">
        <f>IF(R219="","",COUNTIFS($C$5:$C$6004,R219,$O$5:$O$6004,"CONCLUÍDA"))</f>
        <v/>
      </c>
      <c r="X219" s="2">
        <f>IF(R219="","",COUNTIFS($C$5:$C$6004,R219,$O$5:$O$6004,"EM ANDAMENTO"))</f>
        <v/>
      </c>
      <c r="Y219" s="2">
        <f>IF(R219="","",IF(COUNTIFS($C$5:$C$6004,R219,$O$5:$O$6004,"CONCLUÍDA",$N$5:$N$6004,"&gt;=-99")=0,"",_xlfn.MAXIFS($N$5:$N$6004,$C$5:$C$6004,R219,$O$5:$O$6004,"CONCLUÍDA")))</f>
        <v/>
      </c>
      <c r="Z219" s="2">
        <f>IF(R219="","",IF(COUNTIFS($C$5:$C$6004,R219,$O$5:$O$6004,"EM ANDAMENTO",$N$5:$N$6004,"&gt;=-99")=0,"",_xlfn.MAXIFS($N$5:$N$6004,$C$5:$C$6004,R219,$O$5:$O$6004,"EM ANDAMENTO")))</f>
        <v/>
      </c>
      <c r="AA219" s="2">
        <f>IF(OR(R219="",S219="",U219&lt;&gt;"SIM",V219=0),"",IF(W219+X219=0,"",T219&amp;": "&amp;IF(W219=V219,"concluído",IF(W219=0,"em execução"&amp;IF(Z219&lt;&gt;""," ("&amp;IF(Z219&lt;0,IF(COUNTIF($E$5:$E$6004,"SUBSOLO*")&gt;0,"subsolo",-Z219&amp;"º subsolo"),IF(Z219=0,"térreo",Z219&amp;"º pav."))&amp;")",""),IF(Y219&lt;&gt;"","até "&amp;IF(Y219&lt;0,IF(COUNTIF($E$5:$E$6004,"SUBSOLO*")&gt;0,"subsolo",-Y219&amp;"º subsolo"),IF(Y219=0,"térreo",Y219&amp;"º pav.")),W219&amp;" de "&amp;V219&amp;" concluídas")&amp;IF(Z219="","",IF(OR(Y219="",Z219&gt;Y219),", executando "&amp;IF(Z219&lt;0,IF(COUNTIF($E$5:$E$6004,"SUBSOLO*")&gt;0,"subsolo",-Z219&amp;"º subsolo"),IF(Z219=0,"térreo",Z219&amp;"º pav."))," (restam serviços no "&amp;IF(Z219&lt;0,IF(COUNTIF($E$5:$E$6004,"SUBSOLO*")&gt;0,"subsolo",-Z219&amp;"º subsolo"),IF(Z219=0,"térreo",Z219&amp;"º pav."))&amp;")"))))))</f>
        <v/>
      </c>
    </row>
    <row r="220">
      <c r="B220" s="4" t="n">
        <v>31924964</v>
      </c>
      <c r="C220" s="4" t="inlineStr">
        <is>
          <t>Estrutura Térreo - Fase 3</t>
        </is>
      </c>
      <c r="D220" s="4" t="inlineStr">
        <is>
          <t>Concretagem Laje</t>
        </is>
      </c>
      <c r="E220" s="4" t="inlineStr">
        <is>
          <t>TÉRREO - GERAL</t>
        </is>
      </c>
      <c r="F220" s="126" t="n">
        <v>46241</v>
      </c>
      <c r="G220" s="126" t="n">
        <v>46241</v>
      </c>
      <c r="H220" s="126" t="n">
        <v>46289</v>
      </c>
      <c r="I220" s="4" t="n">
        <v>0</v>
      </c>
      <c r="J220" s="4" t="n">
        <v>100</v>
      </c>
      <c r="K220" s="4" t="n">
        <v>100</v>
      </c>
      <c r="M220" s="2">
        <f>IF(C220="","",IFERROR(INDEX($S$5:$S$304,MATCH(C220,$R$5:$R$304,0))&amp;"","?"))</f>
        <v/>
      </c>
      <c r="N220" s="2">
        <f>IF(E220="","",IF(ISNUMBER(SEARCH("SUBSOLO",E220)),IFERROR(-VALUE(LEFT(E220,FIND("º",SUBSTITUTE(E220,"°","º"))-1)),-1),IF(LEFT(E220,6)="TÉRREO",0,IFERROR(VALUE(LEFT(E220,FIND("º",SUBSTITUTE(E220,"°","º"))-1)),""))))</f>
        <v/>
      </c>
      <c r="O220" s="2">
        <f>IF(OR(F220="",G220=""),"",IF(G220&lt;='RETRATO 2027'!$K$5,"CONCLUÍDA",IF(F220&lt;='RETRATO 2027'!$K$5,"EM ANDAMENTO","A INICIAR")))</f>
        <v/>
      </c>
      <c r="R220" s="4" t="n"/>
      <c r="S220" s="4" t="n"/>
      <c r="T220" s="4" t="n"/>
      <c r="U220" s="4" t="n"/>
      <c r="V220" s="2">
        <f>IF(R220="","",COUNTIF($C$5:$C$6004,R220))</f>
        <v/>
      </c>
      <c r="W220" s="2">
        <f>IF(R220="","",COUNTIFS($C$5:$C$6004,R220,$O$5:$O$6004,"CONCLUÍDA"))</f>
        <v/>
      </c>
      <c r="X220" s="2">
        <f>IF(R220="","",COUNTIFS($C$5:$C$6004,R220,$O$5:$O$6004,"EM ANDAMENTO"))</f>
        <v/>
      </c>
      <c r="Y220" s="2">
        <f>IF(R220="","",IF(COUNTIFS($C$5:$C$6004,R220,$O$5:$O$6004,"CONCLUÍDA",$N$5:$N$6004,"&gt;=-99")=0,"",_xlfn.MAXIFS($N$5:$N$6004,$C$5:$C$6004,R220,$O$5:$O$6004,"CONCLUÍDA")))</f>
        <v/>
      </c>
      <c r="Z220" s="2">
        <f>IF(R220="","",IF(COUNTIFS($C$5:$C$6004,R220,$O$5:$O$6004,"EM ANDAMENTO",$N$5:$N$6004,"&gt;=-99")=0,"",_xlfn.MAXIFS($N$5:$N$6004,$C$5:$C$6004,R220,$O$5:$O$6004,"EM ANDAMENTO")))</f>
        <v/>
      </c>
      <c r="AA220" s="2">
        <f>IF(OR(R220="",S220="",U220&lt;&gt;"SIM",V220=0),"",IF(W220+X220=0,"",T220&amp;": "&amp;IF(W220=V220,"concluído",IF(W220=0,"em execução"&amp;IF(Z220&lt;&gt;""," ("&amp;IF(Z220&lt;0,IF(COUNTIF($E$5:$E$6004,"SUBSOLO*")&gt;0,"subsolo",-Z220&amp;"º subsolo"),IF(Z220=0,"térreo",Z220&amp;"º pav."))&amp;")",""),IF(Y220&lt;&gt;"","até "&amp;IF(Y220&lt;0,IF(COUNTIF($E$5:$E$6004,"SUBSOLO*")&gt;0,"subsolo",-Y220&amp;"º subsolo"),IF(Y220=0,"térreo",Y220&amp;"º pav.")),W220&amp;" de "&amp;V220&amp;" concluídas")&amp;IF(Z220="","",IF(OR(Y220="",Z220&gt;Y220),", executando "&amp;IF(Z220&lt;0,IF(COUNTIF($E$5:$E$6004,"SUBSOLO*")&gt;0,"subsolo",-Z220&amp;"º subsolo"),IF(Z220=0,"térreo",Z220&amp;"º pav."))," (restam serviços no "&amp;IF(Z220&lt;0,IF(COUNTIF($E$5:$E$6004,"SUBSOLO*")&gt;0,"subsolo",-Z220&amp;"º subsolo"),IF(Z220=0,"térreo",Z220&amp;"º pav."))&amp;")"))))))</f>
        <v/>
      </c>
    </row>
    <row r="221">
      <c r="B221" s="4" t="n">
        <v>48916741</v>
      </c>
      <c r="C221" s="4" t="inlineStr">
        <is>
          <t>Estrutura Térreo - Fase 4</t>
        </is>
      </c>
      <c r="D221" s="4" t="inlineStr">
        <is>
          <t>-</t>
        </is>
      </c>
      <c r="E221" s="4" t="inlineStr">
        <is>
          <t>TÉRREO - GERAL</t>
        </is>
      </c>
      <c r="F221" s="126" t="n">
        <v>46238</v>
      </c>
      <c r="G221" s="126" t="n">
        <v>46260</v>
      </c>
      <c r="H221" s="126" t="n">
        <v>46289</v>
      </c>
      <c r="I221" s="4" t="n">
        <v>0</v>
      </c>
      <c r="J221" s="4" t="n">
        <v>100</v>
      </c>
      <c r="K221" s="4" t="n">
        <v>100</v>
      </c>
      <c r="M221" s="2">
        <f>IF(C221="","",IFERROR(INDEX($S$5:$S$304,MATCH(C221,$R$5:$R$304,0))&amp;"","?"))</f>
        <v/>
      </c>
      <c r="N221" s="2">
        <f>IF(E221="","",IF(ISNUMBER(SEARCH("SUBSOLO",E221)),IFERROR(-VALUE(LEFT(E221,FIND("º",SUBSTITUTE(E221,"°","º"))-1)),-1),IF(LEFT(E221,6)="TÉRREO",0,IFERROR(VALUE(LEFT(E221,FIND("º",SUBSTITUTE(E221,"°","º"))-1)),""))))</f>
        <v/>
      </c>
      <c r="O221" s="2">
        <f>IF(OR(F221="",G221=""),"",IF(G221&lt;='RETRATO 2027'!$K$5,"CONCLUÍDA",IF(F221&lt;='RETRATO 2027'!$K$5,"EM ANDAMENTO","A INICIAR")))</f>
        <v/>
      </c>
      <c r="R221" s="4" t="n"/>
      <c r="S221" s="4" t="n"/>
      <c r="T221" s="4" t="n"/>
      <c r="U221" s="4" t="n"/>
      <c r="V221" s="2">
        <f>IF(R221="","",COUNTIF($C$5:$C$6004,R221))</f>
        <v/>
      </c>
      <c r="W221" s="2">
        <f>IF(R221="","",COUNTIFS($C$5:$C$6004,R221,$O$5:$O$6004,"CONCLUÍDA"))</f>
        <v/>
      </c>
      <c r="X221" s="2">
        <f>IF(R221="","",COUNTIFS($C$5:$C$6004,R221,$O$5:$O$6004,"EM ANDAMENTO"))</f>
        <v/>
      </c>
      <c r="Y221" s="2">
        <f>IF(R221="","",IF(COUNTIFS($C$5:$C$6004,R221,$O$5:$O$6004,"CONCLUÍDA",$N$5:$N$6004,"&gt;=-99")=0,"",_xlfn.MAXIFS($N$5:$N$6004,$C$5:$C$6004,R221,$O$5:$O$6004,"CONCLUÍDA")))</f>
        <v/>
      </c>
      <c r="Z221" s="2">
        <f>IF(R221="","",IF(COUNTIFS($C$5:$C$6004,R221,$O$5:$O$6004,"EM ANDAMENTO",$N$5:$N$6004,"&gt;=-99")=0,"",_xlfn.MAXIFS($N$5:$N$6004,$C$5:$C$6004,R221,$O$5:$O$6004,"EM ANDAMENTO")))</f>
        <v/>
      </c>
      <c r="AA221" s="2">
        <f>IF(OR(R221="",S221="",U221&lt;&gt;"SIM",V221=0),"",IF(W221+X221=0,"",T221&amp;": "&amp;IF(W221=V221,"concluído",IF(W221=0,"em execução"&amp;IF(Z221&lt;&gt;""," ("&amp;IF(Z221&lt;0,IF(COUNTIF($E$5:$E$6004,"SUBSOLO*")&gt;0,"subsolo",-Z221&amp;"º subsolo"),IF(Z221=0,"térreo",Z221&amp;"º pav."))&amp;")",""),IF(Y221&lt;&gt;"","até "&amp;IF(Y221&lt;0,IF(COUNTIF($E$5:$E$6004,"SUBSOLO*")&gt;0,"subsolo",-Y221&amp;"º subsolo"),IF(Y221=0,"térreo",Y221&amp;"º pav.")),W221&amp;" de "&amp;V221&amp;" concluídas")&amp;IF(Z221="","",IF(OR(Y221="",Z221&gt;Y221),", executando "&amp;IF(Z221&lt;0,IF(COUNTIF($E$5:$E$6004,"SUBSOLO*")&gt;0,"subsolo",-Z221&amp;"º subsolo"),IF(Z221=0,"térreo",Z221&amp;"º pav."))," (restam serviços no "&amp;IF(Z221&lt;0,IF(COUNTIF($E$5:$E$6004,"SUBSOLO*")&gt;0,"subsolo",-Z221&amp;"º subsolo"),IF(Z221=0,"térreo",Z221&amp;"º pav."))&amp;")"))))))</f>
        <v/>
      </c>
    </row>
    <row r="222">
      <c r="B222" s="4" t="n">
        <v>31924969</v>
      </c>
      <c r="C222" s="4" t="inlineStr">
        <is>
          <t>Estrutura Térreo - Fase 4</t>
        </is>
      </c>
      <c r="D222" s="4" t="inlineStr">
        <is>
          <t>Montagem de Pilares</t>
        </is>
      </c>
      <c r="E222" s="4" t="inlineStr">
        <is>
          <t>TÉRREO - GERAL</t>
        </is>
      </c>
      <c r="F222" s="126" t="n">
        <v>46238</v>
      </c>
      <c r="G222" s="126" t="n">
        <v>46241</v>
      </c>
      <c r="H222" s="126" t="n">
        <v>46289</v>
      </c>
      <c r="I222" s="4" t="n">
        <v>0</v>
      </c>
      <c r="J222" s="4" t="n">
        <v>100</v>
      </c>
      <c r="K222" s="4" t="n">
        <v>100</v>
      </c>
      <c r="M222" s="2">
        <f>IF(C222="","",IFERROR(INDEX($S$5:$S$304,MATCH(C222,$R$5:$R$304,0))&amp;"","?"))</f>
        <v/>
      </c>
      <c r="N222" s="2">
        <f>IF(E222="","",IF(ISNUMBER(SEARCH("SUBSOLO",E222)),IFERROR(-VALUE(LEFT(E222,FIND("º",SUBSTITUTE(E222,"°","º"))-1)),-1),IF(LEFT(E222,6)="TÉRREO",0,IFERROR(VALUE(LEFT(E222,FIND("º",SUBSTITUTE(E222,"°","º"))-1)),""))))</f>
        <v/>
      </c>
      <c r="O222" s="2">
        <f>IF(OR(F222="",G222=""),"",IF(G222&lt;='RETRATO 2027'!$K$5,"CONCLUÍDA",IF(F222&lt;='RETRATO 2027'!$K$5,"EM ANDAMENTO","A INICIAR")))</f>
        <v/>
      </c>
      <c r="R222" s="4" t="n"/>
      <c r="S222" s="4" t="n"/>
      <c r="T222" s="4" t="n"/>
      <c r="U222" s="4" t="n"/>
      <c r="V222" s="2">
        <f>IF(R222="","",COUNTIF($C$5:$C$6004,R222))</f>
        <v/>
      </c>
      <c r="W222" s="2">
        <f>IF(R222="","",COUNTIFS($C$5:$C$6004,R222,$O$5:$O$6004,"CONCLUÍDA"))</f>
        <v/>
      </c>
      <c r="X222" s="2">
        <f>IF(R222="","",COUNTIFS($C$5:$C$6004,R222,$O$5:$O$6004,"EM ANDAMENTO"))</f>
        <v/>
      </c>
      <c r="Y222" s="2">
        <f>IF(R222="","",IF(COUNTIFS($C$5:$C$6004,R222,$O$5:$O$6004,"CONCLUÍDA",$N$5:$N$6004,"&gt;=-99")=0,"",_xlfn.MAXIFS($N$5:$N$6004,$C$5:$C$6004,R222,$O$5:$O$6004,"CONCLUÍDA")))</f>
        <v/>
      </c>
      <c r="Z222" s="2">
        <f>IF(R222="","",IF(COUNTIFS($C$5:$C$6004,R222,$O$5:$O$6004,"EM ANDAMENTO",$N$5:$N$6004,"&gt;=-99")=0,"",_xlfn.MAXIFS($N$5:$N$6004,$C$5:$C$6004,R222,$O$5:$O$6004,"EM ANDAMENTO")))</f>
        <v/>
      </c>
      <c r="AA222" s="2">
        <f>IF(OR(R222="",S222="",U222&lt;&gt;"SIM",V222=0),"",IF(W222+X222=0,"",T222&amp;": "&amp;IF(W222=V222,"concluído",IF(W222=0,"em execução"&amp;IF(Z222&lt;&gt;""," ("&amp;IF(Z222&lt;0,IF(COUNTIF($E$5:$E$6004,"SUBSOLO*")&gt;0,"subsolo",-Z222&amp;"º subsolo"),IF(Z222=0,"térreo",Z222&amp;"º pav."))&amp;")",""),IF(Y222&lt;&gt;"","até "&amp;IF(Y222&lt;0,IF(COUNTIF($E$5:$E$6004,"SUBSOLO*")&gt;0,"subsolo",-Y222&amp;"º subsolo"),IF(Y222=0,"térreo",Y222&amp;"º pav.")),W222&amp;" de "&amp;V222&amp;" concluídas")&amp;IF(Z222="","",IF(OR(Y222="",Z222&gt;Y222),", executando "&amp;IF(Z222&lt;0,IF(COUNTIF($E$5:$E$6004,"SUBSOLO*")&gt;0,"subsolo",-Z222&amp;"º subsolo"),IF(Z222=0,"térreo",Z222&amp;"º pav."))," (restam serviços no "&amp;IF(Z222&lt;0,IF(COUNTIF($E$5:$E$6004,"SUBSOLO*")&gt;0,"subsolo",-Z222&amp;"º subsolo"),IF(Z222=0,"térreo",Z222&amp;"º pav."))&amp;")"))))))</f>
        <v/>
      </c>
    </row>
    <row r="223">
      <c r="B223" s="4" t="n">
        <v>31924970</v>
      </c>
      <c r="C223" s="4" t="inlineStr">
        <is>
          <t>Estrutura Térreo - Fase 4</t>
        </is>
      </c>
      <c r="D223" s="4" t="inlineStr">
        <is>
          <t>Forma Pilares</t>
        </is>
      </c>
      <c r="E223" s="4" t="inlineStr">
        <is>
          <t>TÉRREO - GERAL</t>
        </is>
      </c>
      <c r="F223" s="126" t="n">
        <v>46244</v>
      </c>
      <c r="G223" s="126" t="n">
        <v>46246</v>
      </c>
      <c r="H223" s="126" t="n">
        <v>46289</v>
      </c>
      <c r="I223" s="4" t="n">
        <v>0</v>
      </c>
      <c r="J223" s="4" t="n">
        <v>100</v>
      </c>
      <c r="K223" s="4" t="n">
        <v>100</v>
      </c>
      <c r="M223" s="2">
        <f>IF(C223="","",IFERROR(INDEX($S$5:$S$304,MATCH(C223,$R$5:$R$304,0))&amp;"","?"))</f>
        <v/>
      </c>
      <c r="N223" s="2">
        <f>IF(E223="","",IF(ISNUMBER(SEARCH("SUBSOLO",E223)),IFERROR(-VALUE(LEFT(E223,FIND("º",SUBSTITUTE(E223,"°","º"))-1)),-1),IF(LEFT(E223,6)="TÉRREO",0,IFERROR(VALUE(LEFT(E223,FIND("º",SUBSTITUTE(E223,"°","º"))-1)),""))))</f>
        <v/>
      </c>
      <c r="O223" s="2">
        <f>IF(OR(F223="",G223=""),"",IF(G223&lt;='RETRATO 2027'!$K$5,"CONCLUÍDA",IF(F223&lt;='RETRATO 2027'!$K$5,"EM ANDAMENTO","A INICIAR")))</f>
        <v/>
      </c>
      <c r="R223" s="4" t="n"/>
      <c r="S223" s="4" t="n"/>
      <c r="T223" s="4" t="n"/>
      <c r="U223" s="4" t="n"/>
      <c r="V223" s="2">
        <f>IF(R223="","",COUNTIF($C$5:$C$6004,R223))</f>
        <v/>
      </c>
      <c r="W223" s="2">
        <f>IF(R223="","",COUNTIFS($C$5:$C$6004,R223,$O$5:$O$6004,"CONCLUÍDA"))</f>
        <v/>
      </c>
      <c r="X223" s="2">
        <f>IF(R223="","",COUNTIFS($C$5:$C$6004,R223,$O$5:$O$6004,"EM ANDAMENTO"))</f>
        <v/>
      </c>
      <c r="Y223" s="2">
        <f>IF(R223="","",IF(COUNTIFS($C$5:$C$6004,R223,$O$5:$O$6004,"CONCLUÍDA",$N$5:$N$6004,"&gt;=-99")=0,"",_xlfn.MAXIFS($N$5:$N$6004,$C$5:$C$6004,R223,$O$5:$O$6004,"CONCLUÍDA")))</f>
        <v/>
      </c>
      <c r="Z223" s="2">
        <f>IF(R223="","",IF(COUNTIFS($C$5:$C$6004,R223,$O$5:$O$6004,"EM ANDAMENTO",$N$5:$N$6004,"&gt;=-99")=0,"",_xlfn.MAXIFS($N$5:$N$6004,$C$5:$C$6004,R223,$O$5:$O$6004,"EM ANDAMENTO")))</f>
        <v/>
      </c>
      <c r="AA223" s="2">
        <f>IF(OR(R223="",S223="",U223&lt;&gt;"SIM",V223=0),"",IF(W223+X223=0,"",T223&amp;": "&amp;IF(W223=V223,"concluído",IF(W223=0,"em execução"&amp;IF(Z223&lt;&gt;""," ("&amp;IF(Z223&lt;0,IF(COUNTIF($E$5:$E$6004,"SUBSOLO*")&gt;0,"subsolo",-Z223&amp;"º subsolo"),IF(Z223=0,"térreo",Z223&amp;"º pav."))&amp;")",""),IF(Y223&lt;&gt;"","até "&amp;IF(Y223&lt;0,IF(COUNTIF($E$5:$E$6004,"SUBSOLO*")&gt;0,"subsolo",-Y223&amp;"º subsolo"),IF(Y223=0,"térreo",Y223&amp;"º pav.")),W223&amp;" de "&amp;V223&amp;" concluídas")&amp;IF(Z223="","",IF(OR(Y223="",Z223&gt;Y223),", executando "&amp;IF(Z223&lt;0,IF(COUNTIF($E$5:$E$6004,"SUBSOLO*")&gt;0,"subsolo",-Z223&amp;"º subsolo"),IF(Z223=0,"térreo",Z223&amp;"º pav."))," (restam serviços no "&amp;IF(Z223&lt;0,IF(COUNTIF($E$5:$E$6004,"SUBSOLO*")&gt;0,"subsolo",-Z223&amp;"º subsolo"),IF(Z223=0,"térreo",Z223&amp;"º pav."))&amp;")"))))))</f>
        <v/>
      </c>
    </row>
    <row r="224">
      <c r="B224" s="4" t="n">
        <v>31924971</v>
      </c>
      <c r="C224" s="4" t="inlineStr">
        <is>
          <t>Estrutura Térreo - Fase 4</t>
        </is>
      </c>
      <c r="D224" s="4" t="inlineStr">
        <is>
          <t>Escoramento Laje/ Vigas</t>
        </is>
      </c>
      <c r="E224" s="4" t="inlineStr">
        <is>
          <t>TÉRREO - GERAL</t>
        </is>
      </c>
      <c r="F224" s="126" t="n">
        <v>46247</v>
      </c>
      <c r="G224" s="126" t="n">
        <v>46251</v>
      </c>
      <c r="H224" s="126" t="n">
        <v>46289</v>
      </c>
      <c r="I224" s="4" t="n">
        <v>0</v>
      </c>
      <c r="J224" s="4" t="n">
        <v>100</v>
      </c>
      <c r="K224" s="4" t="n">
        <v>100</v>
      </c>
      <c r="M224" s="2">
        <f>IF(C224="","",IFERROR(INDEX($S$5:$S$304,MATCH(C224,$R$5:$R$304,0))&amp;"","?"))</f>
        <v/>
      </c>
      <c r="N224" s="2">
        <f>IF(E224="","",IF(ISNUMBER(SEARCH("SUBSOLO",E224)),IFERROR(-VALUE(LEFT(E224,FIND("º",SUBSTITUTE(E224,"°","º"))-1)),-1),IF(LEFT(E224,6)="TÉRREO",0,IFERROR(VALUE(LEFT(E224,FIND("º",SUBSTITUTE(E224,"°","º"))-1)),""))))</f>
        <v/>
      </c>
      <c r="O224" s="2">
        <f>IF(OR(F224="",G224=""),"",IF(G224&lt;='RETRATO 2027'!$K$5,"CONCLUÍDA",IF(F224&lt;='RETRATO 2027'!$K$5,"EM ANDAMENTO","A INICIAR")))</f>
        <v/>
      </c>
      <c r="R224" s="4" t="n"/>
      <c r="S224" s="4" t="n"/>
      <c r="T224" s="4" t="n"/>
      <c r="U224" s="4" t="n"/>
      <c r="V224" s="2">
        <f>IF(R224="","",COUNTIF($C$5:$C$6004,R224))</f>
        <v/>
      </c>
      <c r="W224" s="2">
        <f>IF(R224="","",COUNTIFS($C$5:$C$6004,R224,$O$5:$O$6004,"CONCLUÍDA"))</f>
        <v/>
      </c>
      <c r="X224" s="2">
        <f>IF(R224="","",COUNTIFS($C$5:$C$6004,R224,$O$5:$O$6004,"EM ANDAMENTO"))</f>
        <v/>
      </c>
      <c r="Y224" s="2">
        <f>IF(R224="","",IF(COUNTIFS($C$5:$C$6004,R224,$O$5:$O$6004,"CONCLUÍDA",$N$5:$N$6004,"&gt;=-99")=0,"",_xlfn.MAXIFS($N$5:$N$6004,$C$5:$C$6004,R224,$O$5:$O$6004,"CONCLUÍDA")))</f>
        <v/>
      </c>
      <c r="Z224" s="2">
        <f>IF(R224="","",IF(COUNTIFS($C$5:$C$6004,R224,$O$5:$O$6004,"EM ANDAMENTO",$N$5:$N$6004,"&gt;=-99")=0,"",_xlfn.MAXIFS($N$5:$N$6004,$C$5:$C$6004,R224,$O$5:$O$6004,"EM ANDAMENTO")))</f>
        <v/>
      </c>
      <c r="AA224" s="2">
        <f>IF(OR(R224="",S224="",U224&lt;&gt;"SIM",V224=0),"",IF(W224+X224=0,"",T224&amp;": "&amp;IF(W224=V224,"concluído",IF(W224=0,"em execução"&amp;IF(Z224&lt;&gt;""," ("&amp;IF(Z224&lt;0,IF(COUNTIF($E$5:$E$6004,"SUBSOLO*")&gt;0,"subsolo",-Z224&amp;"º subsolo"),IF(Z224=0,"térreo",Z224&amp;"º pav."))&amp;")",""),IF(Y224&lt;&gt;"","até "&amp;IF(Y224&lt;0,IF(COUNTIF($E$5:$E$6004,"SUBSOLO*")&gt;0,"subsolo",-Y224&amp;"º subsolo"),IF(Y224=0,"térreo",Y224&amp;"º pav.")),W224&amp;" de "&amp;V224&amp;" concluídas")&amp;IF(Z224="","",IF(OR(Y224="",Z224&gt;Y224),", executando "&amp;IF(Z224&lt;0,IF(COUNTIF($E$5:$E$6004,"SUBSOLO*")&gt;0,"subsolo",-Z224&amp;"º subsolo"),IF(Z224=0,"térreo",Z224&amp;"º pav."))," (restam serviços no "&amp;IF(Z224&lt;0,IF(COUNTIF($E$5:$E$6004,"SUBSOLO*")&gt;0,"subsolo",-Z224&amp;"º subsolo"),IF(Z224=0,"térreo",Z224&amp;"º pav."))&amp;")"))))))</f>
        <v/>
      </c>
    </row>
    <row r="225">
      <c r="B225" s="4" t="n">
        <v>31924972</v>
      </c>
      <c r="C225" s="4" t="inlineStr">
        <is>
          <t>Estrutura Térreo - Fase 4</t>
        </is>
      </c>
      <c r="D225" s="4" t="inlineStr">
        <is>
          <t>Montagem Vigas - Armação</t>
        </is>
      </c>
      <c r="E225" s="4" t="inlineStr">
        <is>
          <t>TÉRREO - GERAL</t>
        </is>
      </c>
      <c r="F225" s="126" t="n">
        <v>46247</v>
      </c>
      <c r="G225" s="126" t="n">
        <v>46252</v>
      </c>
      <c r="H225" s="126" t="n">
        <v>46289</v>
      </c>
      <c r="I225" s="4" t="n">
        <v>0</v>
      </c>
      <c r="J225" s="4" t="n">
        <v>100</v>
      </c>
      <c r="K225" s="4" t="n">
        <v>100</v>
      </c>
      <c r="M225" s="2">
        <f>IF(C225="","",IFERROR(INDEX($S$5:$S$304,MATCH(C225,$R$5:$R$304,0))&amp;"","?"))</f>
        <v/>
      </c>
      <c r="N225" s="2">
        <f>IF(E225="","",IF(ISNUMBER(SEARCH("SUBSOLO",E225)),IFERROR(-VALUE(LEFT(E225,FIND("º",SUBSTITUTE(E225,"°","º"))-1)),-1),IF(LEFT(E225,6)="TÉRREO",0,IFERROR(VALUE(LEFT(E225,FIND("º",SUBSTITUTE(E225,"°","º"))-1)),""))))</f>
        <v/>
      </c>
      <c r="O225" s="2">
        <f>IF(OR(F225="",G225=""),"",IF(G225&lt;='RETRATO 2027'!$K$5,"CONCLUÍDA",IF(F225&lt;='RETRATO 2027'!$K$5,"EM ANDAMENTO","A INICIAR")))</f>
        <v/>
      </c>
      <c r="R225" s="4" t="n"/>
      <c r="S225" s="4" t="n"/>
      <c r="T225" s="4" t="n"/>
      <c r="U225" s="4" t="n"/>
      <c r="V225" s="2">
        <f>IF(R225="","",COUNTIF($C$5:$C$6004,R225))</f>
        <v/>
      </c>
      <c r="W225" s="2">
        <f>IF(R225="","",COUNTIFS($C$5:$C$6004,R225,$O$5:$O$6004,"CONCLUÍDA"))</f>
        <v/>
      </c>
      <c r="X225" s="2">
        <f>IF(R225="","",COUNTIFS($C$5:$C$6004,R225,$O$5:$O$6004,"EM ANDAMENTO"))</f>
        <v/>
      </c>
      <c r="Y225" s="2">
        <f>IF(R225="","",IF(COUNTIFS($C$5:$C$6004,R225,$O$5:$O$6004,"CONCLUÍDA",$N$5:$N$6004,"&gt;=-99")=0,"",_xlfn.MAXIFS($N$5:$N$6004,$C$5:$C$6004,R225,$O$5:$O$6004,"CONCLUÍDA")))</f>
        <v/>
      </c>
      <c r="Z225" s="2">
        <f>IF(R225="","",IF(COUNTIFS($C$5:$C$6004,R225,$O$5:$O$6004,"EM ANDAMENTO",$N$5:$N$6004,"&gt;=-99")=0,"",_xlfn.MAXIFS($N$5:$N$6004,$C$5:$C$6004,R225,$O$5:$O$6004,"EM ANDAMENTO")))</f>
        <v/>
      </c>
      <c r="AA225" s="2">
        <f>IF(OR(R225="",S225="",U225&lt;&gt;"SIM",V225=0),"",IF(W225+X225=0,"",T225&amp;": "&amp;IF(W225=V225,"concluído",IF(W225=0,"em execução"&amp;IF(Z225&lt;&gt;""," ("&amp;IF(Z225&lt;0,IF(COUNTIF($E$5:$E$6004,"SUBSOLO*")&gt;0,"subsolo",-Z225&amp;"º subsolo"),IF(Z225=0,"térreo",Z225&amp;"º pav."))&amp;")",""),IF(Y225&lt;&gt;"","até "&amp;IF(Y225&lt;0,IF(COUNTIF($E$5:$E$6004,"SUBSOLO*")&gt;0,"subsolo",-Y225&amp;"º subsolo"),IF(Y225=0,"térreo",Y225&amp;"º pav.")),W225&amp;" de "&amp;V225&amp;" concluídas")&amp;IF(Z225="","",IF(OR(Y225="",Z225&gt;Y225),", executando "&amp;IF(Z225&lt;0,IF(COUNTIF($E$5:$E$6004,"SUBSOLO*")&gt;0,"subsolo",-Z225&amp;"º subsolo"),IF(Z225=0,"térreo",Z225&amp;"º pav."))," (restam serviços no "&amp;IF(Z225&lt;0,IF(COUNTIF($E$5:$E$6004,"SUBSOLO*")&gt;0,"subsolo",-Z225&amp;"º subsolo"),IF(Z225=0,"térreo",Z225&amp;"º pav."))&amp;")"))))))</f>
        <v/>
      </c>
    </row>
    <row r="226">
      <c r="B226" s="4" t="n">
        <v>31924973</v>
      </c>
      <c r="C226" s="4" t="inlineStr">
        <is>
          <t>Estrutura Térreo - Fase 4</t>
        </is>
      </c>
      <c r="D226" s="4" t="inlineStr">
        <is>
          <t>Forro Laje</t>
        </is>
      </c>
      <c r="E226" s="4" t="inlineStr">
        <is>
          <t>TÉRREO - GERAL</t>
        </is>
      </c>
      <c r="F226" s="126" t="n">
        <v>46252</v>
      </c>
      <c r="G226" s="126" t="n">
        <v>46259</v>
      </c>
      <c r="H226" s="126" t="n">
        <v>46289</v>
      </c>
      <c r="I226" s="4" t="n">
        <v>0</v>
      </c>
      <c r="J226" s="4" t="n">
        <v>100</v>
      </c>
      <c r="K226" s="4" t="n">
        <v>100</v>
      </c>
      <c r="M226" s="2">
        <f>IF(C226="","",IFERROR(INDEX($S$5:$S$304,MATCH(C226,$R$5:$R$304,0))&amp;"","?"))</f>
        <v/>
      </c>
      <c r="N226" s="2">
        <f>IF(E226="","",IF(ISNUMBER(SEARCH("SUBSOLO",E226)),IFERROR(-VALUE(LEFT(E226,FIND("º",SUBSTITUTE(E226,"°","º"))-1)),-1),IF(LEFT(E226,6)="TÉRREO",0,IFERROR(VALUE(LEFT(E226,FIND("º",SUBSTITUTE(E226,"°","º"))-1)),""))))</f>
        <v/>
      </c>
      <c r="O226" s="2">
        <f>IF(OR(F226="",G226=""),"",IF(G226&lt;='RETRATO 2027'!$K$5,"CONCLUÍDA",IF(F226&lt;='RETRATO 2027'!$K$5,"EM ANDAMENTO","A INICIAR")))</f>
        <v/>
      </c>
      <c r="R226" s="4" t="n"/>
      <c r="S226" s="4" t="n"/>
      <c r="T226" s="4" t="n"/>
      <c r="U226" s="4" t="n"/>
      <c r="V226" s="2">
        <f>IF(R226="","",COUNTIF($C$5:$C$6004,R226))</f>
        <v/>
      </c>
      <c r="W226" s="2">
        <f>IF(R226="","",COUNTIFS($C$5:$C$6004,R226,$O$5:$O$6004,"CONCLUÍDA"))</f>
        <v/>
      </c>
      <c r="X226" s="2">
        <f>IF(R226="","",COUNTIFS($C$5:$C$6004,R226,$O$5:$O$6004,"EM ANDAMENTO"))</f>
        <v/>
      </c>
      <c r="Y226" s="2">
        <f>IF(R226="","",IF(COUNTIFS($C$5:$C$6004,R226,$O$5:$O$6004,"CONCLUÍDA",$N$5:$N$6004,"&gt;=-99")=0,"",_xlfn.MAXIFS($N$5:$N$6004,$C$5:$C$6004,R226,$O$5:$O$6004,"CONCLUÍDA")))</f>
        <v/>
      </c>
      <c r="Z226" s="2">
        <f>IF(R226="","",IF(COUNTIFS($C$5:$C$6004,R226,$O$5:$O$6004,"EM ANDAMENTO",$N$5:$N$6004,"&gt;=-99")=0,"",_xlfn.MAXIFS($N$5:$N$6004,$C$5:$C$6004,R226,$O$5:$O$6004,"EM ANDAMENTO")))</f>
        <v/>
      </c>
      <c r="AA226" s="2">
        <f>IF(OR(R226="",S226="",U226&lt;&gt;"SIM",V226=0),"",IF(W226+X226=0,"",T226&amp;": "&amp;IF(W226=V226,"concluído",IF(W226=0,"em execução"&amp;IF(Z226&lt;&gt;""," ("&amp;IF(Z226&lt;0,IF(COUNTIF($E$5:$E$6004,"SUBSOLO*")&gt;0,"subsolo",-Z226&amp;"º subsolo"),IF(Z226=0,"térreo",Z226&amp;"º pav."))&amp;")",""),IF(Y226&lt;&gt;"","até "&amp;IF(Y226&lt;0,IF(COUNTIF($E$5:$E$6004,"SUBSOLO*")&gt;0,"subsolo",-Y226&amp;"º subsolo"),IF(Y226=0,"térreo",Y226&amp;"º pav.")),W226&amp;" de "&amp;V226&amp;" concluídas")&amp;IF(Z226="","",IF(OR(Y226="",Z226&gt;Y226),", executando "&amp;IF(Z226&lt;0,IF(COUNTIF($E$5:$E$6004,"SUBSOLO*")&gt;0,"subsolo",-Z226&amp;"º subsolo"),IF(Z226=0,"térreo",Z226&amp;"º pav."))," (restam serviços no "&amp;IF(Z226&lt;0,IF(COUNTIF($E$5:$E$6004,"SUBSOLO*")&gt;0,"subsolo",-Z226&amp;"º subsolo"),IF(Z226=0,"térreo",Z226&amp;"º pav."))&amp;")"))))))</f>
        <v/>
      </c>
    </row>
    <row r="227">
      <c r="B227" s="4" t="n">
        <v>31924974</v>
      </c>
      <c r="C227" s="4" t="inlineStr">
        <is>
          <t>Estrutura Térreo - Fase 4</t>
        </is>
      </c>
      <c r="D227" s="4" t="inlineStr">
        <is>
          <t>Armação Laje</t>
        </is>
      </c>
      <c r="E227" s="4" t="inlineStr">
        <is>
          <t>TÉRREO - GERAL</t>
        </is>
      </c>
      <c r="F227" s="126" t="n">
        <v>46253</v>
      </c>
      <c r="G227" s="126" t="n">
        <v>46259</v>
      </c>
      <c r="H227" s="126" t="n">
        <v>46289</v>
      </c>
      <c r="I227" s="4" t="n">
        <v>0</v>
      </c>
      <c r="J227" s="4" t="n">
        <v>100</v>
      </c>
      <c r="K227" s="4" t="n">
        <v>100</v>
      </c>
      <c r="M227" s="2">
        <f>IF(C227="","",IFERROR(INDEX($S$5:$S$304,MATCH(C227,$R$5:$R$304,0))&amp;"","?"))</f>
        <v/>
      </c>
      <c r="N227" s="2">
        <f>IF(E227="","",IF(ISNUMBER(SEARCH("SUBSOLO",E227)),IFERROR(-VALUE(LEFT(E227,FIND("º",SUBSTITUTE(E227,"°","º"))-1)),-1),IF(LEFT(E227,6)="TÉRREO",0,IFERROR(VALUE(LEFT(E227,FIND("º",SUBSTITUTE(E227,"°","º"))-1)),""))))</f>
        <v/>
      </c>
      <c r="O227" s="2">
        <f>IF(OR(F227="",G227=""),"",IF(G227&lt;='RETRATO 2027'!$K$5,"CONCLUÍDA",IF(F227&lt;='RETRATO 2027'!$K$5,"EM ANDAMENTO","A INICIAR")))</f>
        <v/>
      </c>
      <c r="R227" s="4" t="n"/>
      <c r="S227" s="4" t="n"/>
      <c r="T227" s="4" t="n"/>
      <c r="U227" s="4" t="n"/>
      <c r="V227" s="2">
        <f>IF(R227="","",COUNTIF($C$5:$C$6004,R227))</f>
        <v/>
      </c>
      <c r="W227" s="2">
        <f>IF(R227="","",COUNTIFS($C$5:$C$6004,R227,$O$5:$O$6004,"CONCLUÍDA"))</f>
        <v/>
      </c>
      <c r="X227" s="2">
        <f>IF(R227="","",COUNTIFS($C$5:$C$6004,R227,$O$5:$O$6004,"EM ANDAMENTO"))</f>
        <v/>
      </c>
      <c r="Y227" s="2">
        <f>IF(R227="","",IF(COUNTIFS($C$5:$C$6004,R227,$O$5:$O$6004,"CONCLUÍDA",$N$5:$N$6004,"&gt;=-99")=0,"",_xlfn.MAXIFS($N$5:$N$6004,$C$5:$C$6004,R227,$O$5:$O$6004,"CONCLUÍDA")))</f>
        <v/>
      </c>
      <c r="Z227" s="2">
        <f>IF(R227="","",IF(COUNTIFS($C$5:$C$6004,R227,$O$5:$O$6004,"EM ANDAMENTO",$N$5:$N$6004,"&gt;=-99")=0,"",_xlfn.MAXIFS($N$5:$N$6004,$C$5:$C$6004,R227,$O$5:$O$6004,"EM ANDAMENTO")))</f>
        <v/>
      </c>
      <c r="AA227" s="2">
        <f>IF(OR(R227="",S227="",U227&lt;&gt;"SIM",V227=0),"",IF(W227+X227=0,"",T227&amp;": "&amp;IF(W227=V227,"concluído",IF(W227=0,"em execução"&amp;IF(Z227&lt;&gt;""," ("&amp;IF(Z227&lt;0,IF(COUNTIF($E$5:$E$6004,"SUBSOLO*")&gt;0,"subsolo",-Z227&amp;"º subsolo"),IF(Z227=0,"térreo",Z227&amp;"º pav."))&amp;")",""),IF(Y227&lt;&gt;"","até "&amp;IF(Y227&lt;0,IF(COUNTIF($E$5:$E$6004,"SUBSOLO*")&gt;0,"subsolo",-Y227&amp;"º subsolo"),IF(Y227=0,"térreo",Y227&amp;"º pav.")),W227&amp;" de "&amp;V227&amp;" concluídas")&amp;IF(Z227="","",IF(OR(Y227="",Z227&gt;Y227),", executando "&amp;IF(Z227&lt;0,IF(COUNTIF($E$5:$E$6004,"SUBSOLO*")&gt;0,"subsolo",-Z227&amp;"º subsolo"),IF(Z227=0,"térreo",Z227&amp;"º pav."))," (restam serviços no "&amp;IF(Z227&lt;0,IF(COUNTIF($E$5:$E$6004,"SUBSOLO*")&gt;0,"subsolo",-Z227&amp;"º subsolo"),IF(Z227=0,"térreo",Z227&amp;"º pav."))&amp;")"))))))</f>
        <v/>
      </c>
    </row>
    <row r="228">
      <c r="B228" s="4" t="n">
        <v>31924975</v>
      </c>
      <c r="C228" s="4" t="inlineStr">
        <is>
          <t>Estrutura Térreo - Fase 4</t>
        </is>
      </c>
      <c r="D228" s="4" t="inlineStr">
        <is>
          <t>Concretagem Laje</t>
        </is>
      </c>
      <c r="E228" s="4" t="inlineStr">
        <is>
          <t>TÉRREO - GERAL</t>
        </is>
      </c>
      <c r="F228" s="126" t="n">
        <v>46260</v>
      </c>
      <c r="G228" s="126" t="n">
        <v>46260</v>
      </c>
      <c r="H228" s="126" t="n">
        <v>46289</v>
      </c>
      <c r="I228" s="4" t="n">
        <v>0</v>
      </c>
      <c r="J228" s="4" t="n">
        <v>100</v>
      </c>
      <c r="K228" s="4" t="n">
        <v>100</v>
      </c>
      <c r="M228" s="2">
        <f>IF(C228="","",IFERROR(INDEX($S$5:$S$304,MATCH(C228,$R$5:$R$304,0))&amp;"","?"))</f>
        <v/>
      </c>
      <c r="N228" s="2">
        <f>IF(E228="","",IF(ISNUMBER(SEARCH("SUBSOLO",E228)),IFERROR(-VALUE(LEFT(E228,FIND("º",SUBSTITUTE(E228,"°","º"))-1)),-1),IF(LEFT(E228,6)="TÉRREO",0,IFERROR(VALUE(LEFT(E228,FIND("º",SUBSTITUTE(E228,"°","º"))-1)),""))))</f>
        <v/>
      </c>
      <c r="O228" s="2">
        <f>IF(OR(F228="",G228=""),"",IF(G228&lt;='RETRATO 2027'!$K$5,"CONCLUÍDA",IF(F228&lt;='RETRATO 2027'!$K$5,"EM ANDAMENTO","A INICIAR")))</f>
        <v/>
      </c>
      <c r="R228" s="4" t="n"/>
      <c r="S228" s="4" t="n"/>
      <c r="T228" s="4" t="n"/>
      <c r="U228" s="4" t="n"/>
      <c r="V228" s="2">
        <f>IF(R228="","",COUNTIF($C$5:$C$6004,R228))</f>
        <v/>
      </c>
      <c r="W228" s="2">
        <f>IF(R228="","",COUNTIFS($C$5:$C$6004,R228,$O$5:$O$6004,"CONCLUÍDA"))</f>
        <v/>
      </c>
      <c r="X228" s="2">
        <f>IF(R228="","",COUNTIFS($C$5:$C$6004,R228,$O$5:$O$6004,"EM ANDAMENTO"))</f>
        <v/>
      </c>
      <c r="Y228" s="2">
        <f>IF(R228="","",IF(COUNTIFS($C$5:$C$6004,R228,$O$5:$O$6004,"CONCLUÍDA",$N$5:$N$6004,"&gt;=-99")=0,"",_xlfn.MAXIFS($N$5:$N$6004,$C$5:$C$6004,R228,$O$5:$O$6004,"CONCLUÍDA")))</f>
        <v/>
      </c>
      <c r="Z228" s="2">
        <f>IF(R228="","",IF(COUNTIFS($C$5:$C$6004,R228,$O$5:$O$6004,"EM ANDAMENTO",$N$5:$N$6004,"&gt;=-99")=0,"",_xlfn.MAXIFS($N$5:$N$6004,$C$5:$C$6004,R228,$O$5:$O$6004,"EM ANDAMENTO")))</f>
        <v/>
      </c>
      <c r="AA228" s="2">
        <f>IF(OR(R228="",S228="",U228&lt;&gt;"SIM",V228=0),"",IF(W228+X228=0,"",T228&amp;": "&amp;IF(W228=V228,"concluído",IF(W228=0,"em execução"&amp;IF(Z228&lt;&gt;""," ("&amp;IF(Z228&lt;0,IF(COUNTIF($E$5:$E$6004,"SUBSOLO*")&gt;0,"subsolo",-Z228&amp;"º subsolo"),IF(Z228=0,"térreo",Z228&amp;"º pav."))&amp;")",""),IF(Y228&lt;&gt;"","até "&amp;IF(Y228&lt;0,IF(COUNTIF($E$5:$E$6004,"SUBSOLO*")&gt;0,"subsolo",-Y228&amp;"º subsolo"),IF(Y228=0,"térreo",Y228&amp;"º pav.")),W228&amp;" de "&amp;V228&amp;" concluídas")&amp;IF(Z228="","",IF(OR(Y228="",Z228&gt;Y228),", executando "&amp;IF(Z228&lt;0,IF(COUNTIF($E$5:$E$6004,"SUBSOLO*")&gt;0,"subsolo",-Z228&amp;"º subsolo"),IF(Z228=0,"térreo",Z228&amp;"º pav."))," (restam serviços no "&amp;IF(Z228&lt;0,IF(COUNTIF($E$5:$E$6004,"SUBSOLO*")&gt;0,"subsolo",-Z228&amp;"º subsolo"),IF(Z228=0,"térreo",Z228&amp;"º pav."))&amp;")"))))))</f>
        <v/>
      </c>
    </row>
    <row r="229">
      <c r="B229" s="4" t="n">
        <v>48916745</v>
      </c>
      <c r="C229" s="4" t="inlineStr">
        <is>
          <t>Estrutura Mezanino</t>
        </is>
      </c>
      <c r="D229" s="4" t="inlineStr">
        <is>
          <t>-</t>
        </is>
      </c>
      <c r="E229" s="4" t="inlineStr">
        <is>
          <t>1º PAV. (INTERMEDIÁRIO)</t>
        </is>
      </c>
      <c r="F229" s="126" t="n">
        <v>46238</v>
      </c>
      <c r="G229" s="126" t="n">
        <v>46262</v>
      </c>
      <c r="H229" s="126" t="n">
        <v>46289</v>
      </c>
      <c r="I229" s="4" t="n">
        <v>0</v>
      </c>
      <c r="J229" s="4" t="n">
        <v>100</v>
      </c>
      <c r="K229" s="4" t="n">
        <v>100</v>
      </c>
      <c r="M229" s="2">
        <f>IF(C229="","",IFERROR(INDEX($S$5:$S$304,MATCH(C229,$R$5:$R$304,0))&amp;"","?"))</f>
        <v/>
      </c>
      <c r="N229" s="2">
        <f>IF(E229="","",IF(ISNUMBER(SEARCH("SUBSOLO",E229)),IFERROR(-VALUE(LEFT(E229,FIND("º",SUBSTITUTE(E229,"°","º"))-1)),-1),IF(LEFT(E229,6)="TÉRREO",0,IFERROR(VALUE(LEFT(E229,FIND("º",SUBSTITUTE(E229,"°","º"))-1)),""))))</f>
        <v/>
      </c>
      <c r="O229" s="2">
        <f>IF(OR(F229="",G229=""),"",IF(G229&lt;='RETRATO 2027'!$K$5,"CONCLUÍDA",IF(F229&lt;='RETRATO 2027'!$K$5,"EM ANDAMENTO","A INICIAR")))</f>
        <v/>
      </c>
      <c r="R229" s="4" t="n"/>
      <c r="S229" s="4" t="n"/>
      <c r="T229" s="4" t="n"/>
      <c r="U229" s="4" t="n"/>
      <c r="V229" s="2">
        <f>IF(R229="","",COUNTIF($C$5:$C$6004,R229))</f>
        <v/>
      </c>
      <c r="W229" s="2">
        <f>IF(R229="","",COUNTIFS($C$5:$C$6004,R229,$O$5:$O$6004,"CONCLUÍDA"))</f>
        <v/>
      </c>
      <c r="X229" s="2">
        <f>IF(R229="","",COUNTIFS($C$5:$C$6004,R229,$O$5:$O$6004,"EM ANDAMENTO"))</f>
        <v/>
      </c>
      <c r="Y229" s="2">
        <f>IF(R229="","",IF(COUNTIFS($C$5:$C$6004,R229,$O$5:$O$6004,"CONCLUÍDA",$N$5:$N$6004,"&gt;=-99")=0,"",_xlfn.MAXIFS($N$5:$N$6004,$C$5:$C$6004,R229,$O$5:$O$6004,"CONCLUÍDA")))</f>
        <v/>
      </c>
      <c r="Z229" s="2">
        <f>IF(R229="","",IF(COUNTIFS($C$5:$C$6004,R229,$O$5:$O$6004,"EM ANDAMENTO",$N$5:$N$6004,"&gt;=-99")=0,"",_xlfn.MAXIFS($N$5:$N$6004,$C$5:$C$6004,R229,$O$5:$O$6004,"EM ANDAMENTO")))</f>
        <v/>
      </c>
      <c r="AA229" s="2">
        <f>IF(OR(R229="",S229="",U229&lt;&gt;"SIM",V229=0),"",IF(W229+X229=0,"",T229&amp;": "&amp;IF(W229=V229,"concluído",IF(W229=0,"em execução"&amp;IF(Z229&lt;&gt;""," ("&amp;IF(Z229&lt;0,IF(COUNTIF($E$5:$E$6004,"SUBSOLO*")&gt;0,"subsolo",-Z229&amp;"º subsolo"),IF(Z229=0,"térreo",Z229&amp;"º pav."))&amp;")",""),IF(Y229&lt;&gt;"","até "&amp;IF(Y229&lt;0,IF(COUNTIF($E$5:$E$6004,"SUBSOLO*")&gt;0,"subsolo",-Y229&amp;"º subsolo"),IF(Y229=0,"térreo",Y229&amp;"º pav.")),W229&amp;" de "&amp;V229&amp;" concluídas")&amp;IF(Z229="","",IF(OR(Y229="",Z229&gt;Y229),", executando "&amp;IF(Z229&lt;0,IF(COUNTIF($E$5:$E$6004,"SUBSOLO*")&gt;0,"subsolo",-Z229&amp;"º subsolo"),IF(Z229=0,"térreo",Z229&amp;"º pav."))," (restam serviços no "&amp;IF(Z229&lt;0,IF(COUNTIF($E$5:$E$6004,"SUBSOLO*")&gt;0,"subsolo",-Z229&amp;"º subsolo"),IF(Z229=0,"térreo",Z229&amp;"º pav."))&amp;")"))))))</f>
        <v/>
      </c>
    </row>
    <row r="230">
      <c r="B230" s="4" t="n">
        <v>31924977</v>
      </c>
      <c r="C230" s="4" t="inlineStr">
        <is>
          <t>Estrutura Mezanino</t>
        </is>
      </c>
      <c r="D230" s="4" t="inlineStr">
        <is>
          <t>Montagem Pilares - Armação</t>
        </is>
      </c>
      <c r="E230" s="4" t="inlineStr">
        <is>
          <t>1º PAV. (INTERMEDIÁRIO)</t>
        </is>
      </c>
      <c r="F230" s="126" t="n">
        <v>46238</v>
      </c>
      <c r="G230" s="126" t="n">
        <v>46245</v>
      </c>
      <c r="H230" s="126" t="n">
        <v>46289</v>
      </c>
      <c r="I230" s="4" t="n">
        <v>0</v>
      </c>
      <c r="J230" s="4" t="n">
        <v>100</v>
      </c>
      <c r="K230" s="4" t="n">
        <v>100</v>
      </c>
      <c r="M230" s="2">
        <f>IF(C230="","",IFERROR(INDEX($S$5:$S$304,MATCH(C230,$R$5:$R$304,0))&amp;"","?"))</f>
        <v/>
      </c>
      <c r="N230" s="2">
        <f>IF(E230="","",IF(ISNUMBER(SEARCH("SUBSOLO",E230)),IFERROR(-VALUE(LEFT(E230,FIND("º",SUBSTITUTE(E230,"°","º"))-1)),-1),IF(LEFT(E230,6)="TÉRREO",0,IFERROR(VALUE(LEFT(E230,FIND("º",SUBSTITUTE(E230,"°","º"))-1)),""))))</f>
        <v/>
      </c>
      <c r="O230" s="2">
        <f>IF(OR(F230="",G230=""),"",IF(G230&lt;='RETRATO 2027'!$K$5,"CONCLUÍDA",IF(F230&lt;='RETRATO 2027'!$K$5,"EM ANDAMENTO","A INICIAR")))</f>
        <v/>
      </c>
      <c r="R230" s="4" t="n"/>
      <c r="S230" s="4" t="n"/>
      <c r="T230" s="4" t="n"/>
      <c r="U230" s="4" t="n"/>
      <c r="V230" s="2">
        <f>IF(R230="","",COUNTIF($C$5:$C$6004,R230))</f>
        <v/>
      </c>
      <c r="W230" s="2">
        <f>IF(R230="","",COUNTIFS($C$5:$C$6004,R230,$O$5:$O$6004,"CONCLUÍDA"))</f>
        <v/>
      </c>
      <c r="X230" s="2">
        <f>IF(R230="","",COUNTIFS($C$5:$C$6004,R230,$O$5:$O$6004,"EM ANDAMENTO"))</f>
        <v/>
      </c>
      <c r="Y230" s="2">
        <f>IF(R230="","",IF(COUNTIFS($C$5:$C$6004,R230,$O$5:$O$6004,"CONCLUÍDA",$N$5:$N$6004,"&gt;=-99")=0,"",_xlfn.MAXIFS($N$5:$N$6004,$C$5:$C$6004,R230,$O$5:$O$6004,"CONCLUÍDA")))</f>
        <v/>
      </c>
      <c r="Z230" s="2">
        <f>IF(R230="","",IF(COUNTIFS($C$5:$C$6004,R230,$O$5:$O$6004,"EM ANDAMENTO",$N$5:$N$6004,"&gt;=-99")=0,"",_xlfn.MAXIFS($N$5:$N$6004,$C$5:$C$6004,R230,$O$5:$O$6004,"EM ANDAMENTO")))</f>
        <v/>
      </c>
      <c r="AA230" s="2">
        <f>IF(OR(R230="",S230="",U230&lt;&gt;"SIM",V230=0),"",IF(W230+X230=0,"",T230&amp;": "&amp;IF(W230=V230,"concluído",IF(W230=0,"em execução"&amp;IF(Z230&lt;&gt;""," ("&amp;IF(Z230&lt;0,IF(COUNTIF($E$5:$E$6004,"SUBSOLO*")&gt;0,"subsolo",-Z230&amp;"º subsolo"),IF(Z230=0,"térreo",Z230&amp;"º pav."))&amp;")",""),IF(Y230&lt;&gt;"","até "&amp;IF(Y230&lt;0,IF(COUNTIF($E$5:$E$6004,"SUBSOLO*")&gt;0,"subsolo",-Y230&amp;"º subsolo"),IF(Y230=0,"térreo",Y230&amp;"º pav.")),W230&amp;" de "&amp;V230&amp;" concluídas")&amp;IF(Z230="","",IF(OR(Y230="",Z230&gt;Y230),", executando "&amp;IF(Z230&lt;0,IF(COUNTIF($E$5:$E$6004,"SUBSOLO*")&gt;0,"subsolo",-Z230&amp;"º subsolo"),IF(Z230=0,"térreo",Z230&amp;"º pav."))," (restam serviços no "&amp;IF(Z230&lt;0,IF(COUNTIF($E$5:$E$6004,"SUBSOLO*")&gt;0,"subsolo",-Z230&amp;"º subsolo"),IF(Z230=0,"térreo",Z230&amp;"º pav."))&amp;")"))))))</f>
        <v/>
      </c>
    </row>
    <row r="231">
      <c r="B231" s="4" t="n">
        <v>31924978</v>
      </c>
      <c r="C231" s="4" t="inlineStr">
        <is>
          <t>Estrutura Mezanino</t>
        </is>
      </c>
      <c r="D231" s="4" t="inlineStr">
        <is>
          <t>Forma Pilares</t>
        </is>
      </c>
      <c r="E231" s="4" t="inlineStr">
        <is>
          <t>1º PAV. (INTERMEDIÁRIO)</t>
        </is>
      </c>
      <c r="F231" s="126" t="n">
        <v>46246</v>
      </c>
      <c r="G231" s="126" t="n">
        <v>46248</v>
      </c>
      <c r="H231" s="126" t="n">
        <v>46289</v>
      </c>
      <c r="I231" s="4" t="n">
        <v>0</v>
      </c>
      <c r="J231" s="4" t="n">
        <v>100</v>
      </c>
      <c r="K231" s="4" t="n">
        <v>100</v>
      </c>
      <c r="M231" s="2">
        <f>IF(C231="","",IFERROR(INDEX($S$5:$S$304,MATCH(C231,$R$5:$R$304,0))&amp;"","?"))</f>
        <v/>
      </c>
      <c r="N231" s="2">
        <f>IF(E231="","",IF(ISNUMBER(SEARCH("SUBSOLO",E231)),IFERROR(-VALUE(LEFT(E231,FIND("º",SUBSTITUTE(E231,"°","º"))-1)),-1),IF(LEFT(E231,6)="TÉRREO",0,IFERROR(VALUE(LEFT(E231,FIND("º",SUBSTITUTE(E231,"°","º"))-1)),""))))</f>
        <v/>
      </c>
      <c r="O231" s="2">
        <f>IF(OR(F231="",G231=""),"",IF(G231&lt;='RETRATO 2027'!$K$5,"CONCLUÍDA",IF(F231&lt;='RETRATO 2027'!$K$5,"EM ANDAMENTO","A INICIAR")))</f>
        <v/>
      </c>
      <c r="R231" s="4" t="n"/>
      <c r="S231" s="4" t="n"/>
      <c r="T231" s="4" t="n"/>
      <c r="U231" s="4" t="n"/>
      <c r="V231" s="2">
        <f>IF(R231="","",COUNTIF($C$5:$C$6004,R231))</f>
        <v/>
      </c>
      <c r="W231" s="2">
        <f>IF(R231="","",COUNTIFS($C$5:$C$6004,R231,$O$5:$O$6004,"CONCLUÍDA"))</f>
        <v/>
      </c>
      <c r="X231" s="2">
        <f>IF(R231="","",COUNTIFS($C$5:$C$6004,R231,$O$5:$O$6004,"EM ANDAMENTO"))</f>
        <v/>
      </c>
      <c r="Y231" s="2">
        <f>IF(R231="","",IF(COUNTIFS($C$5:$C$6004,R231,$O$5:$O$6004,"CONCLUÍDA",$N$5:$N$6004,"&gt;=-99")=0,"",_xlfn.MAXIFS($N$5:$N$6004,$C$5:$C$6004,R231,$O$5:$O$6004,"CONCLUÍDA")))</f>
        <v/>
      </c>
      <c r="Z231" s="2">
        <f>IF(R231="","",IF(COUNTIFS($C$5:$C$6004,R231,$O$5:$O$6004,"EM ANDAMENTO",$N$5:$N$6004,"&gt;=-99")=0,"",_xlfn.MAXIFS($N$5:$N$6004,$C$5:$C$6004,R231,$O$5:$O$6004,"EM ANDAMENTO")))</f>
        <v/>
      </c>
      <c r="AA231" s="2">
        <f>IF(OR(R231="",S231="",U231&lt;&gt;"SIM",V231=0),"",IF(W231+X231=0,"",T231&amp;": "&amp;IF(W231=V231,"concluído",IF(W231=0,"em execução"&amp;IF(Z231&lt;&gt;""," ("&amp;IF(Z231&lt;0,IF(COUNTIF($E$5:$E$6004,"SUBSOLO*")&gt;0,"subsolo",-Z231&amp;"º subsolo"),IF(Z231=0,"térreo",Z231&amp;"º pav."))&amp;")",""),IF(Y231&lt;&gt;"","até "&amp;IF(Y231&lt;0,IF(COUNTIF($E$5:$E$6004,"SUBSOLO*")&gt;0,"subsolo",-Y231&amp;"º subsolo"),IF(Y231=0,"térreo",Y231&amp;"º pav.")),W231&amp;" de "&amp;V231&amp;" concluídas")&amp;IF(Z231="","",IF(OR(Y231="",Z231&gt;Y231),", executando "&amp;IF(Z231&lt;0,IF(COUNTIF($E$5:$E$6004,"SUBSOLO*")&gt;0,"subsolo",-Z231&amp;"º subsolo"),IF(Z231=0,"térreo",Z231&amp;"º pav."))," (restam serviços no "&amp;IF(Z231&lt;0,IF(COUNTIF($E$5:$E$6004,"SUBSOLO*")&gt;0,"subsolo",-Z231&amp;"º subsolo"),IF(Z231=0,"térreo",Z231&amp;"º pav."))&amp;")"))))))</f>
        <v/>
      </c>
    </row>
    <row r="232">
      <c r="B232" s="4" t="n">
        <v>31924979</v>
      </c>
      <c r="C232" s="4" t="inlineStr">
        <is>
          <t>Estrutura Mezanino</t>
        </is>
      </c>
      <c r="D232" s="4" t="inlineStr">
        <is>
          <t>Escoramento Laje/ Vigas</t>
        </is>
      </c>
      <c r="E232" s="4" t="inlineStr">
        <is>
          <t>1º PAV. (INTERMEDIÁRIO)</t>
        </is>
      </c>
      <c r="F232" s="126" t="n">
        <v>46251</v>
      </c>
      <c r="G232" s="126" t="n">
        <v>46254</v>
      </c>
      <c r="H232" s="126" t="n">
        <v>46289</v>
      </c>
      <c r="I232" s="4" t="n">
        <v>0</v>
      </c>
      <c r="J232" s="4" t="n">
        <v>100</v>
      </c>
      <c r="K232" s="4" t="n">
        <v>100</v>
      </c>
      <c r="M232" s="2">
        <f>IF(C232="","",IFERROR(INDEX($S$5:$S$304,MATCH(C232,$R$5:$R$304,0))&amp;"","?"))</f>
        <v/>
      </c>
      <c r="N232" s="2">
        <f>IF(E232="","",IF(ISNUMBER(SEARCH("SUBSOLO",E232)),IFERROR(-VALUE(LEFT(E232,FIND("º",SUBSTITUTE(E232,"°","º"))-1)),-1),IF(LEFT(E232,6)="TÉRREO",0,IFERROR(VALUE(LEFT(E232,FIND("º",SUBSTITUTE(E232,"°","º"))-1)),""))))</f>
        <v/>
      </c>
      <c r="O232" s="2">
        <f>IF(OR(F232="",G232=""),"",IF(G232&lt;='RETRATO 2027'!$K$5,"CONCLUÍDA",IF(F232&lt;='RETRATO 2027'!$K$5,"EM ANDAMENTO","A INICIAR")))</f>
        <v/>
      </c>
      <c r="R232" s="4" t="n"/>
      <c r="S232" s="4" t="n"/>
      <c r="T232" s="4" t="n"/>
      <c r="U232" s="4" t="n"/>
      <c r="V232" s="2">
        <f>IF(R232="","",COUNTIF($C$5:$C$6004,R232))</f>
        <v/>
      </c>
      <c r="W232" s="2">
        <f>IF(R232="","",COUNTIFS($C$5:$C$6004,R232,$O$5:$O$6004,"CONCLUÍDA"))</f>
        <v/>
      </c>
      <c r="X232" s="2">
        <f>IF(R232="","",COUNTIFS($C$5:$C$6004,R232,$O$5:$O$6004,"EM ANDAMENTO"))</f>
        <v/>
      </c>
      <c r="Y232" s="2">
        <f>IF(R232="","",IF(COUNTIFS($C$5:$C$6004,R232,$O$5:$O$6004,"CONCLUÍDA",$N$5:$N$6004,"&gt;=-99")=0,"",_xlfn.MAXIFS($N$5:$N$6004,$C$5:$C$6004,R232,$O$5:$O$6004,"CONCLUÍDA")))</f>
        <v/>
      </c>
      <c r="Z232" s="2">
        <f>IF(R232="","",IF(COUNTIFS($C$5:$C$6004,R232,$O$5:$O$6004,"EM ANDAMENTO",$N$5:$N$6004,"&gt;=-99")=0,"",_xlfn.MAXIFS($N$5:$N$6004,$C$5:$C$6004,R232,$O$5:$O$6004,"EM ANDAMENTO")))</f>
        <v/>
      </c>
      <c r="AA232" s="2">
        <f>IF(OR(R232="",S232="",U232&lt;&gt;"SIM",V232=0),"",IF(W232+X232=0,"",T232&amp;": "&amp;IF(W232=V232,"concluído",IF(W232=0,"em execução"&amp;IF(Z232&lt;&gt;""," ("&amp;IF(Z232&lt;0,IF(COUNTIF($E$5:$E$6004,"SUBSOLO*")&gt;0,"subsolo",-Z232&amp;"º subsolo"),IF(Z232=0,"térreo",Z232&amp;"º pav."))&amp;")",""),IF(Y232&lt;&gt;"","até "&amp;IF(Y232&lt;0,IF(COUNTIF($E$5:$E$6004,"SUBSOLO*")&gt;0,"subsolo",-Y232&amp;"º subsolo"),IF(Y232=0,"térreo",Y232&amp;"º pav.")),W232&amp;" de "&amp;V232&amp;" concluídas")&amp;IF(Z232="","",IF(OR(Y232="",Z232&gt;Y232),", executando "&amp;IF(Z232&lt;0,IF(COUNTIF($E$5:$E$6004,"SUBSOLO*")&gt;0,"subsolo",-Z232&amp;"º subsolo"),IF(Z232=0,"térreo",Z232&amp;"º pav."))," (restam serviços no "&amp;IF(Z232&lt;0,IF(COUNTIF($E$5:$E$6004,"SUBSOLO*")&gt;0,"subsolo",-Z232&amp;"º subsolo"),IF(Z232=0,"térreo",Z232&amp;"º pav."))&amp;")"))))))</f>
        <v/>
      </c>
    </row>
    <row r="233">
      <c r="B233" s="4" t="n">
        <v>31924980</v>
      </c>
      <c r="C233" s="4" t="inlineStr">
        <is>
          <t>Estrutura Mezanino</t>
        </is>
      </c>
      <c r="D233" s="4" t="inlineStr">
        <is>
          <t>Forro Laje</t>
        </is>
      </c>
      <c r="E233" s="4" t="inlineStr">
        <is>
          <t>1º PAV. (INTERMEDIÁRIO)</t>
        </is>
      </c>
      <c r="F233" s="126" t="n">
        <v>46255</v>
      </c>
      <c r="G233" s="126" t="n">
        <v>46261</v>
      </c>
      <c r="H233" s="126" t="n">
        <v>46289</v>
      </c>
      <c r="I233" s="4" t="n">
        <v>0</v>
      </c>
      <c r="J233" s="4" t="n">
        <v>100</v>
      </c>
      <c r="K233" s="4" t="n">
        <v>100</v>
      </c>
      <c r="M233" s="2">
        <f>IF(C233="","",IFERROR(INDEX($S$5:$S$304,MATCH(C233,$R$5:$R$304,0))&amp;"","?"))</f>
        <v/>
      </c>
      <c r="N233" s="2">
        <f>IF(E233="","",IF(ISNUMBER(SEARCH("SUBSOLO",E233)),IFERROR(-VALUE(LEFT(E233,FIND("º",SUBSTITUTE(E233,"°","º"))-1)),-1),IF(LEFT(E233,6)="TÉRREO",0,IFERROR(VALUE(LEFT(E233,FIND("º",SUBSTITUTE(E233,"°","º"))-1)),""))))</f>
        <v/>
      </c>
      <c r="O233" s="2">
        <f>IF(OR(F233="",G233=""),"",IF(G233&lt;='RETRATO 2027'!$K$5,"CONCLUÍDA",IF(F233&lt;='RETRATO 2027'!$K$5,"EM ANDAMENTO","A INICIAR")))</f>
        <v/>
      </c>
      <c r="R233" s="4" t="n"/>
      <c r="S233" s="4" t="n"/>
      <c r="T233" s="4" t="n"/>
      <c r="U233" s="4" t="n"/>
      <c r="V233" s="2">
        <f>IF(R233="","",COUNTIF($C$5:$C$6004,R233))</f>
        <v/>
      </c>
      <c r="W233" s="2">
        <f>IF(R233="","",COUNTIFS($C$5:$C$6004,R233,$O$5:$O$6004,"CONCLUÍDA"))</f>
        <v/>
      </c>
      <c r="X233" s="2">
        <f>IF(R233="","",COUNTIFS($C$5:$C$6004,R233,$O$5:$O$6004,"EM ANDAMENTO"))</f>
        <v/>
      </c>
      <c r="Y233" s="2">
        <f>IF(R233="","",IF(COUNTIFS($C$5:$C$6004,R233,$O$5:$O$6004,"CONCLUÍDA",$N$5:$N$6004,"&gt;=-99")=0,"",_xlfn.MAXIFS($N$5:$N$6004,$C$5:$C$6004,R233,$O$5:$O$6004,"CONCLUÍDA")))</f>
        <v/>
      </c>
      <c r="Z233" s="2">
        <f>IF(R233="","",IF(COUNTIFS($C$5:$C$6004,R233,$O$5:$O$6004,"EM ANDAMENTO",$N$5:$N$6004,"&gt;=-99")=0,"",_xlfn.MAXIFS($N$5:$N$6004,$C$5:$C$6004,R233,$O$5:$O$6004,"EM ANDAMENTO")))</f>
        <v/>
      </c>
      <c r="AA233" s="2">
        <f>IF(OR(R233="",S233="",U233&lt;&gt;"SIM",V233=0),"",IF(W233+X233=0,"",T233&amp;": "&amp;IF(W233=V233,"concluído",IF(W233=0,"em execução"&amp;IF(Z233&lt;&gt;""," ("&amp;IF(Z233&lt;0,IF(COUNTIF($E$5:$E$6004,"SUBSOLO*")&gt;0,"subsolo",-Z233&amp;"º subsolo"),IF(Z233=0,"térreo",Z233&amp;"º pav."))&amp;")",""),IF(Y233&lt;&gt;"","até "&amp;IF(Y233&lt;0,IF(COUNTIF($E$5:$E$6004,"SUBSOLO*")&gt;0,"subsolo",-Y233&amp;"º subsolo"),IF(Y233=0,"térreo",Y233&amp;"º pav.")),W233&amp;" de "&amp;V233&amp;" concluídas")&amp;IF(Z233="","",IF(OR(Y233="",Z233&gt;Y233),", executando "&amp;IF(Z233&lt;0,IF(COUNTIF($E$5:$E$6004,"SUBSOLO*")&gt;0,"subsolo",-Z233&amp;"º subsolo"),IF(Z233=0,"térreo",Z233&amp;"º pav."))," (restam serviços no "&amp;IF(Z233&lt;0,IF(COUNTIF($E$5:$E$6004,"SUBSOLO*")&gt;0,"subsolo",-Z233&amp;"º subsolo"),IF(Z233=0,"térreo",Z233&amp;"º pav."))&amp;")"))))))</f>
        <v/>
      </c>
    </row>
    <row r="234">
      <c r="B234" s="4" t="n">
        <v>31924981</v>
      </c>
      <c r="C234" s="4" t="inlineStr">
        <is>
          <t>Estrutura Mezanino</t>
        </is>
      </c>
      <c r="D234" s="4" t="inlineStr">
        <is>
          <t>Montagem Vigas - Armação</t>
        </is>
      </c>
      <c r="E234" s="4" t="inlineStr">
        <is>
          <t>1º PAV. (INTERMEDIÁRIO)</t>
        </is>
      </c>
      <c r="F234" s="126" t="n">
        <v>46253</v>
      </c>
      <c r="G234" s="126" t="n">
        <v>46255</v>
      </c>
      <c r="H234" s="126" t="n">
        <v>46289</v>
      </c>
      <c r="I234" s="4" t="n">
        <v>0</v>
      </c>
      <c r="J234" s="4" t="n">
        <v>100</v>
      </c>
      <c r="K234" s="4" t="n">
        <v>100</v>
      </c>
      <c r="M234" s="2">
        <f>IF(C234="","",IFERROR(INDEX($S$5:$S$304,MATCH(C234,$R$5:$R$304,0))&amp;"","?"))</f>
        <v/>
      </c>
      <c r="N234" s="2">
        <f>IF(E234="","",IF(ISNUMBER(SEARCH("SUBSOLO",E234)),IFERROR(-VALUE(LEFT(E234,FIND("º",SUBSTITUTE(E234,"°","º"))-1)),-1),IF(LEFT(E234,6)="TÉRREO",0,IFERROR(VALUE(LEFT(E234,FIND("º",SUBSTITUTE(E234,"°","º"))-1)),""))))</f>
        <v/>
      </c>
      <c r="O234" s="2">
        <f>IF(OR(F234="",G234=""),"",IF(G234&lt;='RETRATO 2027'!$K$5,"CONCLUÍDA",IF(F234&lt;='RETRATO 2027'!$K$5,"EM ANDAMENTO","A INICIAR")))</f>
        <v/>
      </c>
      <c r="R234" s="4" t="n"/>
      <c r="S234" s="4" t="n"/>
      <c r="T234" s="4" t="n"/>
      <c r="U234" s="4" t="n"/>
      <c r="V234" s="2">
        <f>IF(R234="","",COUNTIF($C$5:$C$6004,R234))</f>
        <v/>
      </c>
      <c r="W234" s="2">
        <f>IF(R234="","",COUNTIFS($C$5:$C$6004,R234,$O$5:$O$6004,"CONCLUÍDA"))</f>
        <v/>
      </c>
      <c r="X234" s="2">
        <f>IF(R234="","",COUNTIFS($C$5:$C$6004,R234,$O$5:$O$6004,"EM ANDAMENTO"))</f>
        <v/>
      </c>
      <c r="Y234" s="2">
        <f>IF(R234="","",IF(COUNTIFS($C$5:$C$6004,R234,$O$5:$O$6004,"CONCLUÍDA",$N$5:$N$6004,"&gt;=-99")=0,"",_xlfn.MAXIFS($N$5:$N$6004,$C$5:$C$6004,R234,$O$5:$O$6004,"CONCLUÍDA")))</f>
        <v/>
      </c>
      <c r="Z234" s="2">
        <f>IF(R234="","",IF(COUNTIFS($C$5:$C$6004,R234,$O$5:$O$6004,"EM ANDAMENTO",$N$5:$N$6004,"&gt;=-99")=0,"",_xlfn.MAXIFS($N$5:$N$6004,$C$5:$C$6004,R234,$O$5:$O$6004,"EM ANDAMENTO")))</f>
        <v/>
      </c>
      <c r="AA234" s="2">
        <f>IF(OR(R234="",S234="",U234&lt;&gt;"SIM",V234=0),"",IF(W234+X234=0,"",T234&amp;": "&amp;IF(W234=V234,"concluído",IF(W234=0,"em execução"&amp;IF(Z234&lt;&gt;""," ("&amp;IF(Z234&lt;0,IF(COUNTIF($E$5:$E$6004,"SUBSOLO*")&gt;0,"subsolo",-Z234&amp;"º subsolo"),IF(Z234=0,"térreo",Z234&amp;"º pav."))&amp;")",""),IF(Y234&lt;&gt;"","até "&amp;IF(Y234&lt;0,IF(COUNTIF($E$5:$E$6004,"SUBSOLO*")&gt;0,"subsolo",-Y234&amp;"º subsolo"),IF(Y234=0,"térreo",Y234&amp;"º pav.")),W234&amp;" de "&amp;V234&amp;" concluídas")&amp;IF(Z234="","",IF(OR(Y234="",Z234&gt;Y234),", executando "&amp;IF(Z234&lt;0,IF(COUNTIF($E$5:$E$6004,"SUBSOLO*")&gt;0,"subsolo",-Z234&amp;"º subsolo"),IF(Z234=0,"térreo",Z234&amp;"º pav."))," (restam serviços no "&amp;IF(Z234&lt;0,IF(COUNTIF($E$5:$E$6004,"SUBSOLO*")&gt;0,"subsolo",-Z234&amp;"º subsolo"),IF(Z234=0,"térreo",Z234&amp;"º pav."))&amp;")"))))))</f>
        <v/>
      </c>
    </row>
    <row r="235">
      <c r="B235" s="4" t="n">
        <v>31924982</v>
      </c>
      <c r="C235" s="4" t="inlineStr">
        <is>
          <t>Estrutura Mezanino</t>
        </is>
      </c>
      <c r="D235" s="4" t="inlineStr">
        <is>
          <t>Armação Laje</t>
        </is>
      </c>
      <c r="E235" s="4" t="inlineStr">
        <is>
          <t>1º PAV. (INTERMEDIÁRIO)</t>
        </is>
      </c>
      <c r="F235" s="126" t="n">
        <v>46258</v>
      </c>
      <c r="G235" s="126" t="n">
        <v>46261</v>
      </c>
      <c r="H235" s="126" t="n">
        <v>46289</v>
      </c>
      <c r="I235" s="4" t="n">
        <v>0</v>
      </c>
      <c r="J235" s="4" t="n">
        <v>100</v>
      </c>
      <c r="K235" s="4" t="n">
        <v>100</v>
      </c>
      <c r="M235" s="2">
        <f>IF(C235="","",IFERROR(INDEX($S$5:$S$304,MATCH(C235,$R$5:$R$304,0))&amp;"","?"))</f>
        <v/>
      </c>
      <c r="N235" s="2">
        <f>IF(E235="","",IF(ISNUMBER(SEARCH("SUBSOLO",E235)),IFERROR(-VALUE(LEFT(E235,FIND("º",SUBSTITUTE(E235,"°","º"))-1)),-1),IF(LEFT(E235,6)="TÉRREO",0,IFERROR(VALUE(LEFT(E235,FIND("º",SUBSTITUTE(E235,"°","º"))-1)),""))))</f>
        <v/>
      </c>
      <c r="O235" s="2">
        <f>IF(OR(F235="",G235=""),"",IF(G235&lt;='RETRATO 2027'!$K$5,"CONCLUÍDA",IF(F235&lt;='RETRATO 2027'!$K$5,"EM ANDAMENTO","A INICIAR")))</f>
        <v/>
      </c>
      <c r="R235" s="4" t="n"/>
      <c r="S235" s="4" t="n"/>
      <c r="T235" s="4" t="n"/>
      <c r="U235" s="4" t="n"/>
      <c r="V235" s="2">
        <f>IF(R235="","",COUNTIF($C$5:$C$6004,R235))</f>
        <v/>
      </c>
      <c r="W235" s="2">
        <f>IF(R235="","",COUNTIFS($C$5:$C$6004,R235,$O$5:$O$6004,"CONCLUÍDA"))</f>
        <v/>
      </c>
      <c r="X235" s="2">
        <f>IF(R235="","",COUNTIFS($C$5:$C$6004,R235,$O$5:$O$6004,"EM ANDAMENTO"))</f>
        <v/>
      </c>
      <c r="Y235" s="2">
        <f>IF(R235="","",IF(COUNTIFS($C$5:$C$6004,R235,$O$5:$O$6004,"CONCLUÍDA",$N$5:$N$6004,"&gt;=-99")=0,"",_xlfn.MAXIFS($N$5:$N$6004,$C$5:$C$6004,R235,$O$5:$O$6004,"CONCLUÍDA")))</f>
        <v/>
      </c>
      <c r="Z235" s="2">
        <f>IF(R235="","",IF(COUNTIFS($C$5:$C$6004,R235,$O$5:$O$6004,"EM ANDAMENTO",$N$5:$N$6004,"&gt;=-99")=0,"",_xlfn.MAXIFS($N$5:$N$6004,$C$5:$C$6004,R235,$O$5:$O$6004,"EM ANDAMENTO")))</f>
        <v/>
      </c>
      <c r="AA235" s="2">
        <f>IF(OR(R235="",S235="",U235&lt;&gt;"SIM",V235=0),"",IF(W235+X235=0,"",T235&amp;": "&amp;IF(W235=V235,"concluído",IF(W235=0,"em execução"&amp;IF(Z235&lt;&gt;""," ("&amp;IF(Z235&lt;0,IF(COUNTIF($E$5:$E$6004,"SUBSOLO*")&gt;0,"subsolo",-Z235&amp;"º subsolo"),IF(Z235=0,"térreo",Z235&amp;"º pav."))&amp;")",""),IF(Y235&lt;&gt;"","até "&amp;IF(Y235&lt;0,IF(COUNTIF($E$5:$E$6004,"SUBSOLO*")&gt;0,"subsolo",-Y235&amp;"º subsolo"),IF(Y235=0,"térreo",Y235&amp;"º pav.")),W235&amp;" de "&amp;V235&amp;" concluídas")&amp;IF(Z235="","",IF(OR(Y235="",Z235&gt;Y235),", executando "&amp;IF(Z235&lt;0,IF(COUNTIF($E$5:$E$6004,"SUBSOLO*")&gt;0,"subsolo",-Z235&amp;"º subsolo"),IF(Z235=0,"térreo",Z235&amp;"º pav."))," (restam serviços no "&amp;IF(Z235&lt;0,IF(COUNTIF($E$5:$E$6004,"SUBSOLO*")&gt;0,"subsolo",-Z235&amp;"º subsolo"),IF(Z235=0,"térreo",Z235&amp;"º pav."))&amp;")"))))))</f>
        <v/>
      </c>
    </row>
    <row r="236">
      <c r="B236" s="4" t="n">
        <v>31924983</v>
      </c>
      <c r="C236" s="4" t="inlineStr">
        <is>
          <t>Estrutura Mezanino</t>
        </is>
      </c>
      <c r="D236" s="4" t="inlineStr">
        <is>
          <t>Concretagem Laje</t>
        </is>
      </c>
      <c r="E236" s="4" t="inlineStr">
        <is>
          <t>1º PAV. (INTERMEDIÁRIO)</t>
        </is>
      </c>
      <c r="F236" s="126" t="n">
        <v>46262</v>
      </c>
      <c r="G236" s="126" t="n">
        <v>46262</v>
      </c>
      <c r="H236" s="126" t="n">
        <v>46289</v>
      </c>
      <c r="I236" s="4" t="n">
        <v>0</v>
      </c>
      <c r="J236" s="4" t="n">
        <v>100</v>
      </c>
      <c r="K236" s="4" t="n">
        <v>100</v>
      </c>
      <c r="M236" s="2">
        <f>IF(C236="","",IFERROR(INDEX($S$5:$S$304,MATCH(C236,$R$5:$R$304,0))&amp;"","?"))</f>
        <v/>
      </c>
      <c r="N236" s="2">
        <f>IF(E236="","",IF(ISNUMBER(SEARCH("SUBSOLO",E236)),IFERROR(-VALUE(LEFT(E236,FIND("º",SUBSTITUTE(E236,"°","º"))-1)),-1),IF(LEFT(E236,6)="TÉRREO",0,IFERROR(VALUE(LEFT(E236,FIND("º",SUBSTITUTE(E236,"°","º"))-1)),""))))</f>
        <v/>
      </c>
      <c r="O236" s="2">
        <f>IF(OR(F236="",G236=""),"",IF(G236&lt;='RETRATO 2027'!$K$5,"CONCLUÍDA",IF(F236&lt;='RETRATO 2027'!$K$5,"EM ANDAMENTO","A INICIAR")))</f>
        <v/>
      </c>
      <c r="R236" s="4" t="n"/>
      <c r="S236" s="4" t="n"/>
      <c r="T236" s="4" t="n"/>
      <c r="U236" s="4" t="n"/>
      <c r="V236" s="2">
        <f>IF(R236="","",COUNTIF($C$5:$C$6004,R236))</f>
        <v/>
      </c>
      <c r="W236" s="2">
        <f>IF(R236="","",COUNTIFS($C$5:$C$6004,R236,$O$5:$O$6004,"CONCLUÍDA"))</f>
        <v/>
      </c>
      <c r="X236" s="2">
        <f>IF(R236="","",COUNTIFS($C$5:$C$6004,R236,$O$5:$O$6004,"EM ANDAMENTO"))</f>
        <v/>
      </c>
      <c r="Y236" s="2">
        <f>IF(R236="","",IF(COUNTIFS($C$5:$C$6004,R236,$O$5:$O$6004,"CONCLUÍDA",$N$5:$N$6004,"&gt;=-99")=0,"",_xlfn.MAXIFS($N$5:$N$6004,$C$5:$C$6004,R236,$O$5:$O$6004,"CONCLUÍDA")))</f>
        <v/>
      </c>
      <c r="Z236" s="2">
        <f>IF(R236="","",IF(COUNTIFS($C$5:$C$6004,R236,$O$5:$O$6004,"EM ANDAMENTO",$N$5:$N$6004,"&gt;=-99")=0,"",_xlfn.MAXIFS($N$5:$N$6004,$C$5:$C$6004,R236,$O$5:$O$6004,"EM ANDAMENTO")))</f>
        <v/>
      </c>
      <c r="AA236" s="2">
        <f>IF(OR(R236="",S236="",U236&lt;&gt;"SIM",V236=0),"",IF(W236+X236=0,"",T236&amp;": "&amp;IF(W236=V236,"concluído",IF(W236=0,"em execução"&amp;IF(Z236&lt;&gt;""," ("&amp;IF(Z236&lt;0,IF(COUNTIF($E$5:$E$6004,"SUBSOLO*")&gt;0,"subsolo",-Z236&amp;"º subsolo"),IF(Z236=0,"térreo",Z236&amp;"º pav."))&amp;")",""),IF(Y236&lt;&gt;"","até "&amp;IF(Y236&lt;0,IF(COUNTIF($E$5:$E$6004,"SUBSOLO*")&gt;0,"subsolo",-Y236&amp;"º subsolo"),IF(Y236=0,"térreo",Y236&amp;"º pav.")),W236&amp;" de "&amp;V236&amp;" concluídas")&amp;IF(Z236="","",IF(OR(Y236="",Z236&gt;Y236),", executando "&amp;IF(Z236&lt;0,IF(COUNTIF($E$5:$E$6004,"SUBSOLO*")&gt;0,"subsolo",-Z236&amp;"º subsolo"),IF(Z236=0,"térreo",Z236&amp;"º pav."))," (restam serviços no "&amp;IF(Z236&lt;0,IF(COUNTIF($E$5:$E$6004,"SUBSOLO*")&gt;0,"subsolo",-Z236&amp;"º subsolo"),IF(Z236=0,"térreo",Z236&amp;"º pav."))&amp;")"))))))</f>
        <v/>
      </c>
    </row>
    <row r="237">
      <c r="B237" s="4" t="n">
        <v>29940596</v>
      </c>
      <c r="C237" s="4" t="inlineStr">
        <is>
          <t>ESTRUTURA</t>
        </is>
      </c>
      <c r="D237" s="4" t="inlineStr">
        <is>
          <t>-</t>
        </is>
      </c>
      <c r="E237" s="4" t="inlineStr">
        <is>
          <t>1º PAV. (INTERMEDIÁRIO)</t>
        </is>
      </c>
      <c r="F237" s="126" t="n">
        <v>46246</v>
      </c>
      <c r="G237" s="126" t="n">
        <v>46262</v>
      </c>
      <c r="H237" s="126" t="n">
        <v>46289</v>
      </c>
      <c r="I237" s="4" t="n">
        <v>100</v>
      </c>
      <c r="J237" s="4" t="n">
        <v>100</v>
      </c>
      <c r="K237" s="4" t="n">
        <v>90</v>
      </c>
      <c r="M237" s="2">
        <f>IF(C237="","",IFERROR(INDEX($S$5:$S$304,MATCH(C237,$R$5:$R$304,0))&amp;"","?"))</f>
        <v/>
      </c>
      <c r="N237" s="2">
        <f>IF(E237="","",IF(ISNUMBER(SEARCH("SUBSOLO",E237)),IFERROR(-VALUE(LEFT(E237,FIND("º",SUBSTITUTE(E237,"°","º"))-1)),-1),IF(LEFT(E237,6)="TÉRREO",0,IFERROR(VALUE(LEFT(E237,FIND("º",SUBSTITUTE(E237,"°","º"))-1)),""))))</f>
        <v/>
      </c>
      <c r="O237" s="2">
        <f>IF(OR(F237="",G237=""),"",IF(G237&lt;='RETRATO 2027'!$K$5,"CONCLUÍDA",IF(F237&lt;='RETRATO 2027'!$K$5,"EM ANDAMENTO","A INICIAR")))</f>
        <v/>
      </c>
      <c r="R237" s="4" t="n"/>
      <c r="S237" s="4" t="n"/>
      <c r="T237" s="4" t="n"/>
      <c r="U237" s="4" t="n"/>
      <c r="V237" s="2">
        <f>IF(R237="","",COUNTIF($C$5:$C$6004,R237))</f>
        <v/>
      </c>
      <c r="W237" s="2">
        <f>IF(R237="","",COUNTIFS($C$5:$C$6004,R237,$O$5:$O$6004,"CONCLUÍDA"))</f>
        <v/>
      </c>
      <c r="X237" s="2">
        <f>IF(R237="","",COUNTIFS($C$5:$C$6004,R237,$O$5:$O$6004,"EM ANDAMENTO"))</f>
        <v/>
      </c>
      <c r="Y237" s="2">
        <f>IF(R237="","",IF(COUNTIFS($C$5:$C$6004,R237,$O$5:$O$6004,"CONCLUÍDA",$N$5:$N$6004,"&gt;=-99")=0,"",_xlfn.MAXIFS($N$5:$N$6004,$C$5:$C$6004,R237,$O$5:$O$6004,"CONCLUÍDA")))</f>
        <v/>
      </c>
      <c r="Z237" s="2">
        <f>IF(R237="","",IF(COUNTIFS($C$5:$C$6004,R237,$O$5:$O$6004,"EM ANDAMENTO",$N$5:$N$6004,"&gt;=-99")=0,"",_xlfn.MAXIFS($N$5:$N$6004,$C$5:$C$6004,R237,$O$5:$O$6004,"EM ANDAMENTO")))</f>
        <v/>
      </c>
      <c r="AA237" s="2">
        <f>IF(OR(R237="",S237="",U237&lt;&gt;"SIM",V237=0),"",IF(W237+X237=0,"",T237&amp;": "&amp;IF(W237=V237,"concluído",IF(W237=0,"em execução"&amp;IF(Z237&lt;&gt;""," ("&amp;IF(Z237&lt;0,IF(COUNTIF($E$5:$E$6004,"SUBSOLO*")&gt;0,"subsolo",-Z237&amp;"º subsolo"),IF(Z237=0,"térreo",Z237&amp;"º pav."))&amp;")",""),IF(Y237&lt;&gt;"","até "&amp;IF(Y237&lt;0,IF(COUNTIF($E$5:$E$6004,"SUBSOLO*")&gt;0,"subsolo",-Y237&amp;"º subsolo"),IF(Y237=0,"térreo",Y237&amp;"º pav.")),W237&amp;" de "&amp;V237&amp;" concluídas")&amp;IF(Z237="","",IF(OR(Y237="",Z237&gt;Y237),", executando "&amp;IF(Z237&lt;0,IF(COUNTIF($E$5:$E$6004,"SUBSOLO*")&gt;0,"subsolo",-Z237&amp;"º subsolo"),IF(Z237=0,"térreo",Z237&amp;"º pav."))," (restam serviços no "&amp;IF(Z237&lt;0,IF(COUNTIF($E$5:$E$6004,"SUBSOLO*")&gt;0,"subsolo",-Z237&amp;"º subsolo"),IF(Z237=0,"térreo",Z237&amp;"º pav."))&amp;")"))))))</f>
        <v/>
      </c>
    </row>
    <row r="238">
      <c r="B238" s="4" t="n">
        <v>31529154</v>
      </c>
      <c r="C238" s="4" t="inlineStr">
        <is>
          <t>ESTRUTURA</t>
        </is>
      </c>
      <c r="D238" s="4" t="inlineStr">
        <is>
          <t>Forma</t>
        </is>
      </c>
      <c r="E238" s="4" t="inlineStr">
        <is>
          <t>1º PAV. (INTERMEDIÁRIO)</t>
        </is>
      </c>
      <c r="F238" s="126" t="n">
        <v>46246</v>
      </c>
      <c r="G238" s="126" t="n">
        <v>46254</v>
      </c>
      <c r="H238" s="126" t="n">
        <v>46289</v>
      </c>
      <c r="I238" s="4" t="n">
        <v>0</v>
      </c>
      <c r="J238" s="4" t="n">
        <v>100</v>
      </c>
      <c r="K238" s="4" t="n">
        <v>100</v>
      </c>
      <c r="M238" s="2">
        <f>IF(C238="","",IFERROR(INDEX($S$5:$S$304,MATCH(C238,$R$5:$R$304,0))&amp;"","?"))</f>
        <v/>
      </c>
      <c r="N238" s="2">
        <f>IF(E238="","",IF(ISNUMBER(SEARCH("SUBSOLO",E238)),IFERROR(-VALUE(LEFT(E238,FIND("º",SUBSTITUTE(E238,"°","º"))-1)),-1),IF(LEFT(E238,6)="TÉRREO",0,IFERROR(VALUE(LEFT(E238,FIND("º",SUBSTITUTE(E238,"°","º"))-1)),""))))</f>
        <v/>
      </c>
      <c r="O238" s="2">
        <f>IF(OR(F238="",G238=""),"",IF(G238&lt;='RETRATO 2027'!$K$5,"CONCLUÍDA",IF(F238&lt;='RETRATO 2027'!$K$5,"EM ANDAMENTO","A INICIAR")))</f>
        <v/>
      </c>
      <c r="R238" s="4" t="n"/>
      <c r="S238" s="4" t="n"/>
      <c r="T238" s="4" t="n"/>
      <c r="U238" s="4" t="n"/>
      <c r="V238" s="2">
        <f>IF(R238="","",COUNTIF($C$5:$C$6004,R238))</f>
        <v/>
      </c>
      <c r="W238" s="2">
        <f>IF(R238="","",COUNTIFS($C$5:$C$6004,R238,$O$5:$O$6004,"CONCLUÍDA"))</f>
        <v/>
      </c>
      <c r="X238" s="2">
        <f>IF(R238="","",COUNTIFS($C$5:$C$6004,R238,$O$5:$O$6004,"EM ANDAMENTO"))</f>
        <v/>
      </c>
      <c r="Y238" s="2">
        <f>IF(R238="","",IF(COUNTIFS($C$5:$C$6004,R238,$O$5:$O$6004,"CONCLUÍDA",$N$5:$N$6004,"&gt;=-99")=0,"",_xlfn.MAXIFS($N$5:$N$6004,$C$5:$C$6004,R238,$O$5:$O$6004,"CONCLUÍDA")))</f>
        <v/>
      </c>
      <c r="Z238" s="2">
        <f>IF(R238="","",IF(COUNTIFS($C$5:$C$6004,R238,$O$5:$O$6004,"EM ANDAMENTO",$N$5:$N$6004,"&gt;=-99")=0,"",_xlfn.MAXIFS($N$5:$N$6004,$C$5:$C$6004,R238,$O$5:$O$6004,"EM ANDAMENTO")))</f>
        <v/>
      </c>
      <c r="AA238" s="2">
        <f>IF(OR(R238="",S238="",U238&lt;&gt;"SIM",V238=0),"",IF(W238+X238=0,"",T238&amp;": "&amp;IF(W238=V238,"concluído",IF(W238=0,"em execução"&amp;IF(Z238&lt;&gt;""," ("&amp;IF(Z238&lt;0,IF(COUNTIF($E$5:$E$6004,"SUBSOLO*")&gt;0,"subsolo",-Z238&amp;"º subsolo"),IF(Z238=0,"térreo",Z238&amp;"º pav."))&amp;")",""),IF(Y238&lt;&gt;"","até "&amp;IF(Y238&lt;0,IF(COUNTIF($E$5:$E$6004,"SUBSOLO*")&gt;0,"subsolo",-Y238&amp;"º subsolo"),IF(Y238=0,"térreo",Y238&amp;"º pav.")),W238&amp;" de "&amp;V238&amp;" concluídas")&amp;IF(Z238="","",IF(OR(Y238="",Z238&gt;Y238),", executando "&amp;IF(Z238&lt;0,IF(COUNTIF($E$5:$E$6004,"SUBSOLO*")&gt;0,"subsolo",-Z238&amp;"º subsolo"),IF(Z238=0,"térreo",Z238&amp;"º pav."))," (restam serviços no "&amp;IF(Z238&lt;0,IF(COUNTIF($E$5:$E$6004,"SUBSOLO*")&gt;0,"subsolo",-Z238&amp;"º subsolo"),IF(Z238=0,"térreo",Z238&amp;"º pav."))&amp;")"))))))</f>
        <v/>
      </c>
    </row>
    <row r="239">
      <c r="B239" s="4" t="n">
        <v>31529155</v>
      </c>
      <c r="C239" s="4" t="inlineStr">
        <is>
          <t>ESTRUTURA</t>
        </is>
      </c>
      <c r="D239" s="4" t="inlineStr">
        <is>
          <t>Armação</t>
        </is>
      </c>
      <c r="E239" s="4" t="inlineStr">
        <is>
          <t>1º PAV. (INTERMEDIÁRIO)</t>
        </is>
      </c>
      <c r="F239" s="126" t="n">
        <v>46255</v>
      </c>
      <c r="G239" s="126" t="n">
        <v>46261</v>
      </c>
      <c r="H239" s="126" t="n">
        <v>46289</v>
      </c>
      <c r="I239" s="4" t="n">
        <v>0</v>
      </c>
      <c r="J239" s="4" t="n">
        <v>100</v>
      </c>
      <c r="K239" s="4" t="n">
        <v>100</v>
      </c>
      <c r="M239" s="2">
        <f>IF(C239="","",IFERROR(INDEX($S$5:$S$304,MATCH(C239,$R$5:$R$304,0))&amp;"","?"))</f>
        <v/>
      </c>
      <c r="N239" s="2">
        <f>IF(E239="","",IF(ISNUMBER(SEARCH("SUBSOLO",E239)),IFERROR(-VALUE(LEFT(E239,FIND("º",SUBSTITUTE(E239,"°","º"))-1)),-1),IF(LEFT(E239,6)="TÉRREO",0,IFERROR(VALUE(LEFT(E239,FIND("º",SUBSTITUTE(E239,"°","º"))-1)),""))))</f>
        <v/>
      </c>
      <c r="O239" s="2">
        <f>IF(OR(F239="",G239=""),"",IF(G239&lt;='RETRATO 2027'!$K$5,"CONCLUÍDA",IF(F239&lt;='RETRATO 2027'!$K$5,"EM ANDAMENTO","A INICIAR")))</f>
        <v/>
      </c>
      <c r="R239" s="4" t="n"/>
      <c r="S239" s="4" t="n"/>
      <c r="T239" s="4" t="n"/>
      <c r="U239" s="4" t="n"/>
      <c r="V239" s="2">
        <f>IF(R239="","",COUNTIF($C$5:$C$6004,R239))</f>
        <v/>
      </c>
      <c r="W239" s="2">
        <f>IF(R239="","",COUNTIFS($C$5:$C$6004,R239,$O$5:$O$6004,"CONCLUÍDA"))</f>
        <v/>
      </c>
      <c r="X239" s="2">
        <f>IF(R239="","",COUNTIFS($C$5:$C$6004,R239,$O$5:$O$6004,"EM ANDAMENTO"))</f>
        <v/>
      </c>
      <c r="Y239" s="2">
        <f>IF(R239="","",IF(COUNTIFS($C$5:$C$6004,R239,$O$5:$O$6004,"CONCLUÍDA",$N$5:$N$6004,"&gt;=-99")=0,"",_xlfn.MAXIFS($N$5:$N$6004,$C$5:$C$6004,R239,$O$5:$O$6004,"CONCLUÍDA")))</f>
        <v/>
      </c>
      <c r="Z239" s="2">
        <f>IF(R239="","",IF(COUNTIFS($C$5:$C$6004,R239,$O$5:$O$6004,"EM ANDAMENTO",$N$5:$N$6004,"&gt;=-99")=0,"",_xlfn.MAXIFS($N$5:$N$6004,$C$5:$C$6004,R239,$O$5:$O$6004,"EM ANDAMENTO")))</f>
        <v/>
      </c>
      <c r="AA239" s="2">
        <f>IF(OR(R239="",S239="",U239&lt;&gt;"SIM",V239=0),"",IF(W239+X239=0,"",T239&amp;": "&amp;IF(W239=V239,"concluído",IF(W239=0,"em execução"&amp;IF(Z239&lt;&gt;""," ("&amp;IF(Z239&lt;0,IF(COUNTIF($E$5:$E$6004,"SUBSOLO*")&gt;0,"subsolo",-Z239&amp;"º subsolo"),IF(Z239=0,"térreo",Z239&amp;"º pav."))&amp;")",""),IF(Y239&lt;&gt;"","até "&amp;IF(Y239&lt;0,IF(COUNTIF($E$5:$E$6004,"SUBSOLO*")&gt;0,"subsolo",-Y239&amp;"º subsolo"),IF(Y239=0,"térreo",Y239&amp;"º pav.")),W239&amp;" de "&amp;V239&amp;" concluídas")&amp;IF(Z239="","",IF(OR(Y239="",Z239&gt;Y239),", executando "&amp;IF(Z239&lt;0,IF(COUNTIF($E$5:$E$6004,"SUBSOLO*")&gt;0,"subsolo",-Z239&amp;"º subsolo"),IF(Z239=0,"térreo",Z239&amp;"º pav."))," (restam serviços no "&amp;IF(Z239&lt;0,IF(COUNTIF($E$5:$E$6004,"SUBSOLO*")&gt;0,"subsolo",-Z239&amp;"º subsolo"),IF(Z239=0,"térreo",Z239&amp;"º pav."))&amp;")"))))))</f>
        <v/>
      </c>
    </row>
    <row r="240">
      <c r="B240" s="4" t="n">
        <v>31529156</v>
      </c>
      <c r="C240" s="4" t="inlineStr">
        <is>
          <t>ESTRUTURA</t>
        </is>
      </c>
      <c r="D240" s="4" t="inlineStr">
        <is>
          <t>Concretagem</t>
        </is>
      </c>
      <c r="E240" s="4" t="inlineStr">
        <is>
          <t>1º PAV. (INTERMEDIÁRIO)</t>
        </is>
      </c>
      <c r="F240" s="126" t="n">
        <v>46262</v>
      </c>
      <c r="G240" s="126" t="n">
        <v>46262</v>
      </c>
      <c r="H240" s="126" t="n">
        <v>46289</v>
      </c>
      <c r="I240" s="4" t="n">
        <v>0</v>
      </c>
      <c r="J240" s="4" t="n">
        <v>100</v>
      </c>
      <c r="K240" s="4" t="n">
        <v>30</v>
      </c>
      <c r="M240" s="2">
        <f>IF(C240="","",IFERROR(INDEX($S$5:$S$304,MATCH(C240,$R$5:$R$304,0))&amp;"","?"))</f>
        <v/>
      </c>
      <c r="N240" s="2">
        <f>IF(E240="","",IF(ISNUMBER(SEARCH("SUBSOLO",E240)),IFERROR(-VALUE(LEFT(E240,FIND("º",SUBSTITUTE(E240,"°","º"))-1)),-1),IF(LEFT(E240,6)="TÉRREO",0,IFERROR(VALUE(LEFT(E240,FIND("º",SUBSTITUTE(E240,"°","º"))-1)),""))))</f>
        <v/>
      </c>
      <c r="O240" s="2">
        <f>IF(OR(F240="",G240=""),"",IF(G240&lt;='RETRATO 2027'!$K$5,"CONCLUÍDA",IF(F240&lt;='RETRATO 2027'!$K$5,"EM ANDAMENTO","A INICIAR")))</f>
        <v/>
      </c>
      <c r="R240" s="4" t="n"/>
      <c r="S240" s="4" t="n"/>
      <c r="T240" s="4" t="n"/>
      <c r="U240" s="4" t="n"/>
      <c r="V240" s="2">
        <f>IF(R240="","",COUNTIF($C$5:$C$6004,R240))</f>
        <v/>
      </c>
      <c r="W240" s="2">
        <f>IF(R240="","",COUNTIFS($C$5:$C$6004,R240,$O$5:$O$6004,"CONCLUÍDA"))</f>
        <v/>
      </c>
      <c r="X240" s="2">
        <f>IF(R240="","",COUNTIFS($C$5:$C$6004,R240,$O$5:$O$6004,"EM ANDAMENTO"))</f>
        <v/>
      </c>
      <c r="Y240" s="2">
        <f>IF(R240="","",IF(COUNTIFS($C$5:$C$6004,R240,$O$5:$O$6004,"CONCLUÍDA",$N$5:$N$6004,"&gt;=-99")=0,"",_xlfn.MAXIFS($N$5:$N$6004,$C$5:$C$6004,R240,$O$5:$O$6004,"CONCLUÍDA")))</f>
        <v/>
      </c>
      <c r="Z240" s="2">
        <f>IF(R240="","",IF(COUNTIFS($C$5:$C$6004,R240,$O$5:$O$6004,"EM ANDAMENTO",$N$5:$N$6004,"&gt;=-99")=0,"",_xlfn.MAXIFS($N$5:$N$6004,$C$5:$C$6004,R240,$O$5:$O$6004,"EM ANDAMENTO")))</f>
        <v/>
      </c>
      <c r="AA240" s="2">
        <f>IF(OR(R240="",S240="",U240&lt;&gt;"SIM",V240=0),"",IF(W240+X240=0,"",T240&amp;": "&amp;IF(W240=V240,"concluído",IF(W240=0,"em execução"&amp;IF(Z240&lt;&gt;""," ("&amp;IF(Z240&lt;0,IF(COUNTIF($E$5:$E$6004,"SUBSOLO*")&gt;0,"subsolo",-Z240&amp;"º subsolo"),IF(Z240=0,"térreo",Z240&amp;"º pav."))&amp;")",""),IF(Y240&lt;&gt;"","até "&amp;IF(Y240&lt;0,IF(COUNTIF($E$5:$E$6004,"SUBSOLO*")&gt;0,"subsolo",-Y240&amp;"º subsolo"),IF(Y240=0,"térreo",Y240&amp;"º pav.")),W240&amp;" de "&amp;V240&amp;" concluídas")&amp;IF(Z240="","",IF(OR(Y240="",Z240&gt;Y240),", executando "&amp;IF(Z240&lt;0,IF(COUNTIF($E$5:$E$6004,"SUBSOLO*")&gt;0,"subsolo",-Z240&amp;"º subsolo"),IF(Z240=0,"térreo",Z240&amp;"º pav."))," (restam serviços no "&amp;IF(Z240&lt;0,IF(COUNTIF($E$5:$E$6004,"SUBSOLO*")&gt;0,"subsolo",-Z240&amp;"º subsolo"),IF(Z240=0,"térreo",Z240&amp;"º pav."))&amp;")"))))))</f>
        <v/>
      </c>
    </row>
    <row r="241">
      <c r="B241" s="4" t="n">
        <v>31529157</v>
      </c>
      <c r="C241" s="4" t="inlineStr">
        <is>
          <t>ESTRUTURA</t>
        </is>
      </c>
      <c r="D241" s="4" t="inlineStr">
        <is>
          <t>Polimento</t>
        </is>
      </c>
      <c r="E241" s="4" t="inlineStr">
        <is>
          <t>1º PAV. (INTERMEDIÁRIO)</t>
        </is>
      </c>
      <c r="F241" s="126" t="n">
        <v>46262</v>
      </c>
      <c r="G241" s="126" t="n">
        <v>46262</v>
      </c>
      <c r="H241" s="126" t="n">
        <v>46289</v>
      </c>
      <c r="I241" s="4" t="n">
        <v>0</v>
      </c>
      <c r="J241" s="4" t="n">
        <v>100</v>
      </c>
      <c r="K241" s="4" t="n">
        <v>30</v>
      </c>
      <c r="M241" s="2">
        <f>IF(C241="","",IFERROR(INDEX($S$5:$S$304,MATCH(C241,$R$5:$R$304,0))&amp;"","?"))</f>
        <v/>
      </c>
      <c r="N241" s="2">
        <f>IF(E241="","",IF(ISNUMBER(SEARCH("SUBSOLO",E241)),IFERROR(-VALUE(LEFT(E241,FIND("º",SUBSTITUTE(E241,"°","º"))-1)),-1),IF(LEFT(E241,6)="TÉRREO",0,IFERROR(VALUE(LEFT(E241,FIND("º",SUBSTITUTE(E241,"°","º"))-1)),""))))</f>
        <v/>
      </c>
      <c r="O241" s="2">
        <f>IF(OR(F241="",G241=""),"",IF(G241&lt;='RETRATO 2027'!$K$5,"CONCLUÍDA",IF(F241&lt;='RETRATO 2027'!$K$5,"EM ANDAMENTO","A INICIAR")))</f>
        <v/>
      </c>
      <c r="R241" s="4" t="n"/>
      <c r="S241" s="4" t="n"/>
      <c r="T241" s="4" t="n"/>
      <c r="U241" s="4" t="n"/>
      <c r="V241" s="2">
        <f>IF(R241="","",COUNTIF($C$5:$C$6004,R241))</f>
        <v/>
      </c>
      <c r="W241" s="2">
        <f>IF(R241="","",COUNTIFS($C$5:$C$6004,R241,$O$5:$O$6004,"CONCLUÍDA"))</f>
        <v/>
      </c>
      <c r="X241" s="2">
        <f>IF(R241="","",COUNTIFS($C$5:$C$6004,R241,$O$5:$O$6004,"EM ANDAMENTO"))</f>
        <v/>
      </c>
      <c r="Y241" s="2">
        <f>IF(R241="","",IF(COUNTIFS($C$5:$C$6004,R241,$O$5:$O$6004,"CONCLUÍDA",$N$5:$N$6004,"&gt;=-99")=0,"",_xlfn.MAXIFS($N$5:$N$6004,$C$5:$C$6004,R241,$O$5:$O$6004,"CONCLUÍDA")))</f>
        <v/>
      </c>
      <c r="Z241" s="2">
        <f>IF(R241="","",IF(COUNTIFS($C$5:$C$6004,R241,$O$5:$O$6004,"EM ANDAMENTO",$N$5:$N$6004,"&gt;=-99")=0,"",_xlfn.MAXIFS($N$5:$N$6004,$C$5:$C$6004,R241,$O$5:$O$6004,"EM ANDAMENTO")))</f>
        <v/>
      </c>
      <c r="AA241" s="2">
        <f>IF(OR(R241="",S241="",U241&lt;&gt;"SIM",V241=0),"",IF(W241+X241=0,"",T241&amp;": "&amp;IF(W241=V241,"concluído",IF(W241=0,"em execução"&amp;IF(Z241&lt;&gt;""," ("&amp;IF(Z241&lt;0,IF(COUNTIF($E$5:$E$6004,"SUBSOLO*")&gt;0,"subsolo",-Z241&amp;"º subsolo"),IF(Z241=0,"térreo",Z241&amp;"º pav."))&amp;")",""),IF(Y241&lt;&gt;"","até "&amp;IF(Y241&lt;0,IF(COUNTIF($E$5:$E$6004,"SUBSOLO*")&gt;0,"subsolo",-Y241&amp;"º subsolo"),IF(Y241=0,"térreo",Y241&amp;"º pav.")),W241&amp;" de "&amp;V241&amp;" concluídas")&amp;IF(Z241="","",IF(OR(Y241="",Z241&gt;Y241),", executando "&amp;IF(Z241&lt;0,IF(COUNTIF($E$5:$E$6004,"SUBSOLO*")&gt;0,"subsolo",-Z241&amp;"º subsolo"),IF(Z241=0,"térreo",Z241&amp;"º pav."))," (restam serviços no "&amp;IF(Z241&lt;0,IF(COUNTIF($E$5:$E$6004,"SUBSOLO*")&gt;0,"subsolo",-Z241&amp;"º subsolo"),IF(Z241=0,"térreo",Z241&amp;"º pav."))&amp;")"))))))</f>
        <v/>
      </c>
    </row>
    <row r="242">
      <c r="B242" s="4" t="n">
        <v>48917125</v>
      </c>
      <c r="C242" s="4" t="inlineStr">
        <is>
          <t>Estrutura 2º Pav - Fase 1</t>
        </is>
      </c>
      <c r="D242" s="4" t="inlineStr">
        <is>
          <t>-</t>
        </is>
      </c>
      <c r="E242" s="4" t="inlineStr">
        <is>
          <t>2º PAV - GARAGEM</t>
        </is>
      </c>
      <c r="F242" s="126" t="n">
        <v>46251</v>
      </c>
      <c r="G242" s="126" t="n">
        <v>46293</v>
      </c>
      <c r="H242" s="126" t="n">
        <v>46289</v>
      </c>
      <c r="I242" s="4" t="n">
        <v>0</v>
      </c>
      <c r="J242" s="4" t="n">
        <v>89.99997500000001</v>
      </c>
      <c r="K242" s="4" t="n">
        <v>59.625</v>
      </c>
      <c r="M242" s="2">
        <f>IF(C242="","",IFERROR(INDEX($S$5:$S$304,MATCH(C242,$R$5:$R$304,0))&amp;"","?"))</f>
        <v/>
      </c>
      <c r="N242" s="2">
        <f>IF(E242="","",IF(ISNUMBER(SEARCH("SUBSOLO",E242)),IFERROR(-VALUE(LEFT(E242,FIND("º",SUBSTITUTE(E242,"°","º"))-1)),-1),IF(LEFT(E242,6)="TÉRREO",0,IFERROR(VALUE(LEFT(E242,FIND("º",SUBSTITUTE(E242,"°","º"))-1)),""))))</f>
        <v/>
      </c>
      <c r="O242" s="2">
        <f>IF(OR(F242="",G242=""),"",IF(G242&lt;='RETRATO 2027'!$K$5,"CONCLUÍDA",IF(F242&lt;='RETRATO 2027'!$K$5,"EM ANDAMENTO","A INICIAR")))</f>
        <v/>
      </c>
      <c r="R242" s="4" t="n"/>
      <c r="S242" s="4" t="n"/>
      <c r="T242" s="4" t="n"/>
      <c r="U242" s="4" t="n"/>
      <c r="V242" s="2">
        <f>IF(R242="","",COUNTIF($C$5:$C$6004,R242))</f>
        <v/>
      </c>
      <c r="W242" s="2">
        <f>IF(R242="","",COUNTIFS($C$5:$C$6004,R242,$O$5:$O$6004,"CONCLUÍDA"))</f>
        <v/>
      </c>
      <c r="X242" s="2">
        <f>IF(R242="","",COUNTIFS($C$5:$C$6004,R242,$O$5:$O$6004,"EM ANDAMENTO"))</f>
        <v/>
      </c>
      <c r="Y242" s="2">
        <f>IF(R242="","",IF(COUNTIFS($C$5:$C$6004,R242,$O$5:$O$6004,"CONCLUÍDA",$N$5:$N$6004,"&gt;=-99")=0,"",_xlfn.MAXIFS($N$5:$N$6004,$C$5:$C$6004,R242,$O$5:$O$6004,"CONCLUÍDA")))</f>
        <v/>
      </c>
      <c r="Z242" s="2">
        <f>IF(R242="","",IF(COUNTIFS($C$5:$C$6004,R242,$O$5:$O$6004,"EM ANDAMENTO",$N$5:$N$6004,"&gt;=-99")=0,"",_xlfn.MAXIFS($N$5:$N$6004,$C$5:$C$6004,R242,$O$5:$O$6004,"EM ANDAMENTO")))</f>
        <v/>
      </c>
      <c r="AA242" s="2">
        <f>IF(OR(R242="",S242="",U242&lt;&gt;"SIM",V242=0),"",IF(W242+X242=0,"",T242&amp;": "&amp;IF(W242=V242,"concluído",IF(W242=0,"em execução"&amp;IF(Z242&lt;&gt;""," ("&amp;IF(Z242&lt;0,IF(COUNTIF($E$5:$E$6004,"SUBSOLO*")&gt;0,"subsolo",-Z242&amp;"º subsolo"),IF(Z242=0,"térreo",Z242&amp;"º pav."))&amp;")",""),IF(Y242&lt;&gt;"","até "&amp;IF(Y242&lt;0,IF(COUNTIF($E$5:$E$6004,"SUBSOLO*")&gt;0,"subsolo",-Y242&amp;"º subsolo"),IF(Y242=0,"térreo",Y242&amp;"º pav.")),W242&amp;" de "&amp;V242&amp;" concluídas")&amp;IF(Z242="","",IF(OR(Y242="",Z242&gt;Y242),", executando "&amp;IF(Z242&lt;0,IF(COUNTIF($E$5:$E$6004,"SUBSOLO*")&gt;0,"subsolo",-Z242&amp;"º subsolo"),IF(Z242=0,"térreo",Z242&amp;"º pav."))," (restam serviços no "&amp;IF(Z242&lt;0,IF(COUNTIF($E$5:$E$6004,"SUBSOLO*")&gt;0,"subsolo",-Z242&amp;"º subsolo"),IF(Z242=0,"térreo",Z242&amp;"º pav."))&amp;")"))))))</f>
        <v/>
      </c>
    </row>
    <row r="243">
      <c r="B243" s="4" t="n">
        <v>31924984</v>
      </c>
      <c r="C243" s="4" t="inlineStr">
        <is>
          <t>Estrutura 2º Pav - Fase 1</t>
        </is>
      </c>
      <c r="D243" s="4" t="inlineStr">
        <is>
          <t>Montagem de Pilares</t>
        </is>
      </c>
      <c r="E243" s="4" t="inlineStr">
        <is>
          <t>2º PAV - GARAGEM</t>
        </is>
      </c>
      <c r="F243" s="126" t="n">
        <v>46251</v>
      </c>
      <c r="G243" s="126" t="n">
        <v>46259</v>
      </c>
      <c r="H243" s="126" t="n">
        <v>46289</v>
      </c>
      <c r="I243" s="4" t="n">
        <v>0</v>
      </c>
      <c r="J243" s="4" t="n">
        <v>100</v>
      </c>
      <c r="K243" s="4" t="n">
        <v>90</v>
      </c>
      <c r="M243" s="2">
        <f>IF(C243="","",IFERROR(INDEX($S$5:$S$304,MATCH(C243,$R$5:$R$304,0))&amp;"","?"))</f>
        <v/>
      </c>
      <c r="N243" s="2">
        <f>IF(E243="","",IF(ISNUMBER(SEARCH("SUBSOLO",E243)),IFERROR(-VALUE(LEFT(E243,FIND("º",SUBSTITUTE(E243,"°","º"))-1)),-1),IF(LEFT(E243,6)="TÉRREO",0,IFERROR(VALUE(LEFT(E243,FIND("º",SUBSTITUTE(E243,"°","º"))-1)),""))))</f>
        <v/>
      </c>
      <c r="O243" s="2">
        <f>IF(OR(F243="",G243=""),"",IF(G243&lt;='RETRATO 2027'!$K$5,"CONCLUÍDA",IF(F243&lt;='RETRATO 2027'!$K$5,"EM ANDAMENTO","A INICIAR")))</f>
        <v/>
      </c>
      <c r="R243" s="4" t="n"/>
      <c r="S243" s="4" t="n"/>
      <c r="T243" s="4" t="n"/>
      <c r="U243" s="4" t="n"/>
      <c r="V243" s="2">
        <f>IF(R243="","",COUNTIF($C$5:$C$6004,R243))</f>
        <v/>
      </c>
      <c r="W243" s="2">
        <f>IF(R243="","",COUNTIFS($C$5:$C$6004,R243,$O$5:$O$6004,"CONCLUÍDA"))</f>
        <v/>
      </c>
      <c r="X243" s="2">
        <f>IF(R243="","",COUNTIFS($C$5:$C$6004,R243,$O$5:$O$6004,"EM ANDAMENTO"))</f>
        <v/>
      </c>
      <c r="Y243" s="2">
        <f>IF(R243="","",IF(COUNTIFS($C$5:$C$6004,R243,$O$5:$O$6004,"CONCLUÍDA",$N$5:$N$6004,"&gt;=-99")=0,"",_xlfn.MAXIFS($N$5:$N$6004,$C$5:$C$6004,R243,$O$5:$O$6004,"CONCLUÍDA")))</f>
        <v/>
      </c>
      <c r="Z243" s="2">
        <f>IF(R243="","",IF(COUNTIFS($C$5:$C$6004,R243,$O$5:$O$6004,"EM ANDAMENTO",$N$5:$N$6004,"&gt;=-99")=0,"",_xlfn.MAXIFS($N$5:$N$6004,$C$5:$C$6004,R243,$O$5:$O$6004,"EM ANDAMENTO")))</f>
        <v/>
      </c>
      <c r="AA243" s="2">
        <f>IF(OR(R243="",S243="",U243&lt;&gt;"SIM",V243=0),"",IF(W243+X243=0,"",T243&amp;": "&amp;IF(W243=V243,"concluído",IF(W243=0,"em execução"&amp;IF(Z243&lt;&gt;""," ("&amp;IF(Z243&lt;0,IF(COUNTIF($E$5:$E$6004,"SUBSOLO*")&gt;0,"subsolo",-Z243&amp;"º subsolo"),IF(Z243=0,"térreo",Z243&amp;"º pav."))&amp;")",""),IF(Y243&lt;&gt;"","até "&amp;IF(Y243&lt;0,IF(COUNTIF($E$5:$E$6004,"SUBSOLO*")&gt;0,"subsolo",-Y243&amp;"º subsolo"),IF(Y243=0,"térreo",Y243&amp;"º pav.")),W243&amp;" de "&amp;V243&amp;" concluídas")&amp;IF(Z243="","",IF(OR(Y243="",Z243&gt;Y243),", executando "&amp;IF(Z243&lt;0,IF(COUNTIF($E$5:$E$6004,"SUBSOLO*")&gt;0,"subsolo",-Z243&amp;"º subsolo"),IF(Z243=0,"térreo",Z243&amp;"º pav."))," (restam serviços no "&amp;IF(Z243&lt;0,IF(COUNTIF($E$5:$E$6004,"SUBSOLO*")&gt;0,"subsolo",-Z243&amp;"º subsolo"),IF(Z243=0,"térreo",Z243&amp;"º pav."))&amp;")"))))))</f>
        <v/>
      </c>
    </row>
    <row r="244">
      <c r="B244" s="4" t="n">
        <v>31924985</v>
      </c>
      <c r="C244" s="4" t="inlineStr">
        <is>
          <t>Estrutura 2º Pav - Fase 1</t>
        </is>
      </c>
      <c r="D244" s="4" t="inlineStr">
        <is>
          <t>Forma Pilares</t>
        </is>
      </c>
      <c r="E244" s="4" t="inlineStr">
        <is>
          <t>2º PAV - GARAGEM</t>
        </is>
      </c>
      <c r="F244" s="126" t="n">
        <v>46260</v>
      </c>
      <c r="G244" s="126" t="n">
        <v>46265</v>
      </c>
      <c r="H244" s="126" t="n">
        <v>46289</v>
      </c>
      <c r="I244" s="4" t="n">
        <v>0</v>
      </c>
      <c r="J244" s="4" t="n">
        <v>100</v>
      </c>
      <c r="K244" s="4" t="n">
        <v>90</v>
      </c>
      <c r="M244" s="2">
        <f>IF(C244="","",IFERROR(INDEX($S$5:$S$304,MATCH(C244,$R$5:$R$304,0))&amp;"","?"))</f>
        <v/>
      </c>
      <c r="N244" s="2">
        <f>IF(E244="","",IF(ISNUMBER(SEARCH("SUBSOLO",E244)),IFERROR(-VALUE(LEFT(E244,FIND("º",SUBSTITUTE(E244,"°","º"))-1)),-1),IF(LEFT(E244,6)="TÉRREO",0,IFERROR(VALUE(LEFT(E244,FIND("º",SUBSTITUTE(E244,"°","º"))-1)),""))))</f>
        <v/>
      </c>
      <c r="O244" s="2">
        <f>IF(OR(F244="",G244=""),"",IF(G244&lt;='RETRATO 2027'!$K$5,"CONCLUÍDA",IF(F244&lt;='RETRATO 2027'!$K$5,"EM ANDAMENTO","A INICIAR")))</f>
        <v/>
      </c>
      <c r="R244" s="4" t="n"/>
      <c r="S244" s="4" t="n"/>
      <c r="T244" s="4" t="n"/>
      <c r="U244" s="4" t="n"/>
      <c r="V244" s="2">
        <f>IF(R244="","",COUNTIF($C$5:$C$6004,R244))</f>
        <v/>
      </c>
      <c r="W244" s="2">
        <f>IF(R244="","",COUNTIFS($C$5:$C$6004,R244,$O$5:$O$6004,"CONCLUÍDA"))</f>
        <v/>
      </c>
      <c r="X244" s="2">
        <f>IF(R244="","",COUNTIFS($C$5:$C$6004,R244,$O$5:$O$6004,"EM ANDAMENTO"))</f>
        <v/>
      </c>
      <c r="Y244" s="2">
        <f>IF(R244="","",IF(COUNTIFS($C$5:$C$6004,R244,$O$5:$O$6004,"CONCLUÍDA",$N$5:$N$6004,"&gt;=-99")=0,"",_xlfn.MAXIFS($N$5:$N$6004,$C$5:$C$6004,R244,$O$5:$O$6004,"CONCLUÍDA")))</f>
        <v/>
      </c>
      <c r="Z244" s="2">
        <f>IF(R244="","",IF(COUNTIFS($C$5:$C$6004,R244,$O$5:$O$6004,"EM ANDAMENTO",$N$5:$N$6004,"&gt;=-99")=0,"",_xlfn.MAXIFS($N$5:$N$6004,$C$5:$C$6004,R244,$O$5:$O$6004,"EM ANDAMENTO")))</f>
        <v/>
      </c>
      <c r="AA244" s="2">
        <f>IF(OR(R244="",S244="",U244&lt;&gt;"SIM",V244=0),"",IF(W244+X244=0,"",T244&amp;": "&amp;IF(W244=V244,"concluído",IF(W244=0,"em execução"&amp;IF(Z244&lt;&gt;""," ("&amp;IF(Z244&lt;0,IF(COUNTIF($E$5:$E$6004,"SUBSOLO*")&gt;0,"subsolo",-Z244&amp;"º subsolo"),IF(Z244=0,"térreo",Z244&amp;"º pav."))&amp;")",""),IF(Y244&lt;&gt;"","até "&amp;IF(Y244&lt;0,IF(COUNTIF($E$5:$E$6004,"SUBSOLO*")&gt;0,"subsolo",-Y244&amp;"º subsolo"),IF(Y244=0,"térreo",Y244&amp;"º pav.")),W244&amp;" de "&amp;V244&amp;" concluídas")&amp;IF(Z244="","",IF(OR(Y244="",Z244&gt;Y244),", executando "&amp;IF(Z244&lt;0,IF(COUNTIF($E$5:$E$6004,"SUBSOLO*")&gt;0,"subsolo",-Z244&amp;"º subsolo"),IF(Z244=0,"térreo",Z244&amp;"º pav."))," (restam serviços no "&amp;IF(Z244&lt;0,IF(COUNTIF($E$5:$E$6004,"SUBSOLO*")&gt;0,"subsolo",-Z244&amp;"º subsolo"),IF(Z244=0,"térreo",Z244&amp;"º pav."))&amp;")"))))))</f>
        <v/>
      </c>
    </row>
    <row r="245">
      <c r="B245" s="4" t="n">
        <v>31924986</v>
      </c>
      <c r="C245" s="4" t="inlineStr">
        <is>
          <t>Estrutura 2º Pav - Fase 1</t>
        </is>
      </c>
      <c r="D245" s="4" t="inlineStr">
        <is>
          <t>Escoramento Laje/Vigas</t>
        </is>
      </c>
      <c r="E245" s="4" t="inlineStr">
        <is>
          <t>2º PAV - GARAGEM</t>
        </is>
      </c>
      <c r="F245" s="126" t="n">
        <v>46266</v>
      </c>
      <c r="G245" s="126" t="n">
        <v>46276</v>
      </c>
      <c r="H245" s="126" t="n">
        <v>46289</v>
      </c>
      <c r="I245" s="4" t="n">
        <v>0</v>
      </c>
      <c r="J245" s="4" t="n">
        <v>100</v>
      </c>
      <c r="K245" s="4" t="n">
        <v>80</v>
      </c>
      <c r="M245" s="2">
        <f>IF(C245="","",IFERROR(INDEX($S$5:$S$304,MATCH(C245,$R$5:$R$304,0))&amp;"","?"))</f>
        <v/>
      </c>
      <c r="N245" s="2">
        <f>IF(E245="","",IF(ISNUMBER(SEARCH("SUBSOLO",E245)),IFERROR(-VALUE(LEFT(E245,FIND("º",SUBSTITUTE(E245,"°","º"))-1)),-1),IF(LEFT(E245,6)="TÉRREO",0,IFERROR(VALUE(LEFT(E245,FIND("º",SUBSTITUTE(E245,"°","º"))-1)),""))))</f>
        <v/>
      </c>
      <c r="O245" s="2">
        <f>IF(OR(F245="",G245=""),"",IF(G245&lt;='RETRATO 2027'!$K$5,"CONCLUÍDA",IF(F245&lt;='RETRATO 2027'!$K$5,"EM ANDAMENTO","A INICIAR")))</f>
        <v/>
      </c>
      <c r="R245" s="4" t="n"/>
      <c r="S245" s="4" t="n"/>
      <c r="T245" s="4" t="n"/>
      <c r="U245" s="4" t="n"/>
      <c r="V245" s="2">
        <f>IF(R245="","",COUNTIF($C$5:$C$6004,R245))</f>
        <v/>
      </c>
      <c r="W245" s="2">
        <f>IF(R245="","",COUNTIFS($C$5:$C$6004,R245,$O$5:$O$6004,"CONCLUÍDA"))</f>
        <v/>
      </c>
      <c r="X245" s="2">
        <f>IF(R245="","",COUNTIFS($C$5:$C$6004,R245,$O$5:$O$6004,"EM ANDAMENTO"))</f>
        <v/>
      </c>
      <c r="Y245" s="2">
        <f>IF(R245="","",IF(COUNTIFS($C$5:$C$6004,R245,$O$5:$O$6004,"CONCLUÍDA",$N$5:$N$6004,"&gt;=-99")=0,"",_xlfn.MAXIFS($N$5:$N$6004,$C$5:$C$6004,R245,$O$5:$O$6004,"CONCLUÍDA")))</f>
        <v/>
      </c>
      <c r="Z245" s="2">
        <f>IF(R245="","",IF(COUNTIFS($C$5:$C$6004,R245,$O$5:$O$6004,"EM ANDAMENTO",$N$5:$N$6004,"&gt;=-99")=0,"",_xlfn.MAXIFS($N$5:$N$6004,$C$5:$C$6004,R245,$O$5:$O$6004,"EM ANDAMENTO")))</f>
        <v/>
      </c>
      <c r="AA245" s="2">
        <f>IF(OR(R245="",S245="",U245&lt;&gt;"SIM",V245=0),"",IF(W245+X245=0,"",T245&amp;": "&amp;IF(W245=V245,"concluído",IF(W245=0,"em execução"&amp;IF(Z245&lt;&gt;""," ("&amp;IF(Z245&lt;0,IF(COUNTIF($E$5:$E$6004,"SUBSOLO*")&gt;0,"subsolo",-Z245&amp;"º subsolo"),IF(Z245=0,"térreo",Z245&amp;"º pav."))&amp;")",""),IF(Y245&lt;&gt;"","até "&amp;IF(Y245&lt;0,IF(COUNTIF($E$5:$E$6004,"SUBSOLO*")&gt;0,"subsolo",-Y245&amp;"º subsolo"),IF(Y245=0,"térreo",Y245&amp;"º pav.")),W245&amp;" de "&amp;V245&amp;" concluídas")&amp;IF(Z245="","",IF(OR(Y245="",Z245&gt;Y245),", executando "&amp;IF(Z245&lt;0,IF(COUNTIF($E$5:$E$6004,"SUBSOLO*")&gt;0,"subsolo",-Z245&amp;"º subsolo"),IF(Z245=0,"térreo",Z245&amp;"º pav."))," (restam serviços no "&amp;IF(Z245&lt;0,IF(COUNTIF($E$5:$E$6004,"SUBSOLO*")&gt;0,"subsolo",-Z245&amp;"º subsolo"),IF(Z245=0,"térreo",Z245&amp;"º pav."))&amp;")"))))))</f>
        <v/>
      </c>
    </row>
    <row r="246">
      <c r="B246" s="4" t="n">
        <v>31924987</v>
      </c>
      <c r="C246" s="4" t="inlineStr">
        <is>
          <t>Estrutura 2º Pav - Fase 1</t>
        </is>
      </c>
      <c r="D246" s="4" t="inlineStr">
        <is>
          <t>Forro Laje</t>
        </is>
      </c>
      <c r="E246" s="4" t="inlineStr">
        <is>
          <t>2º PAV - GARAGEM</t>
        </is>
      </c>
      <c r="F246" s="126" t="n">
        <v>46279</v>
      </c>
      <c r="G246" s="126" t="n">
        <v>46293</v>
      </c>
      <c r="H246" s="126" t="n">
        <v>46289</v>
      </c>
      <c r="I246" s="4" t="n">
        <v>0</v>
      </c>
      <c r="J246" s="4" t="n">
        <v>81.818</v>
      </c>
      <c r="K246" s="4" t="n">
        <v>40</v>
      </c>
      <c r="M246" s="2">
        <f>IF(C246="","",IFERROR(INDEX($S$5:$S$304,MATCH(C246,$R$5:$R$304,0))&amp;"","?"))</f>
        <v/>
      </c>
      <c r="N246" s="2">
        <f>IF(E246="","",IF(ISNUMBER(SEARCH("SUBSOLO",E246)),IFERROR(-VALUE(LEFT(E246,FIND("º",SUBSTITUTE(E246,"°","º"))-1)),-1),IF(LEFT(E246,6)="TÉRREO",0,IFERROR(VALUE(LEFT(E246,FIND("º",SUBSTITUTE(E246,"°","º"))-1)),""))))</f>
        <v/>
      </c>
      <c r="O246" s="2">
        <f>IF(OR(F246="",G246=""),"",IF(G246&lt;='RETRATO 2027'!$K$5,"CONCLUÍDA",IF(F246&lt;='RETRATO 2027'!$K$5,"EM ANDAMENTO","A INICIAR")))</f>
        <v/>
      </c>
      <c r="R246" s="4" t="n"/>
      <c r="S246" s="4" t="n"/>
      <c r="T246" s="4" t="n"/>
      <c r="U246" s="4" t="n"/>
      <c r="V246" s="2">
        <f>IF(R246="","",COUNTIF($C$5:$C$6004,R246))</f>
        <v/>
      </c>
      <c r="W246" s="2">
        <f>IF(R246="","",COUNTIFS($C$5:$C$6004,R246,$O$5:$O$6004,"CONCLUÍDA"))</f>
        <v/>
      </c>
      <c r="X246" s="2">
        <f>IF(R246="","",COUNTIFS($C$5:$C$6004,R246,$O$5:$O$6004,"EM ANDAMENTO"))</f>
        <v/>
      </c>
      <c r="Y246" s="2">
        <f>IF(R246="","",IF(COUNTIFS($C$5:$C$6004,R246,$O$5:$O$6004,"CONCLUÍDA",$N$5:$N$6004,"&gt;=-99")=0,"",_xlfn.MAXIFS($N$5:$N$6004,$C$5:$C$6004,R246,$O$5:$O$6004,"CONCLUÍDA")))</f>
        <v/>
      </c>
      <c r="Z246" s="2">
        <f>IF(R246="","",IF(COUNTIFS($C$5:$C$6004,R246,$O$5:$O$6004,"EM ANDAMENTO",$N$5:$N$6004,"&gt;=-99")=0,"",_xlfn.MAXIFS($N$5:$N$6004,$C$5:$C$6004,R246,$O$5:$O$6004,"EM ANDAMENTO")))</f>
        <v/>
      </c>
      <c r="AA246" s="2">
        <f>IF(OR(R246="",S246="",U246&lt;&gt;"SIM",V246=0),"",IF(W246+X246=0,"",T246&amp;": "&amp;IF(W246=V246,"concluído",IF(W246=0,"em execução"&amp;IF(Z246&lt;&gt;""," ("&amp;IF(Z246&lt;0,IF(COUNTIF($E$5:$E$6004,"SUBSOLO*")&gt;0,"subsolo",-Z246&amp;"º subsolo"),IF(Z246=0,"térreo",Z246&amp;"º pav."))&amp;")",""),IF(Y246&lt;&gt;"","até "&amp;IF(Y246&lt;0,IF(COUNTIF($E$5:$E$6004,"SUBSOLO*")&gt;0,"subsolo",-Y246&amp;"º subsolo"),IF(Y246=0,"térreo",Y246&amp;"º pav.")),W246&amp;" de "&amp;V246&amp;" concluídas")&amp;IF(Z246="","",IF(OR(Y246="",Z246&gt;Y246),", executando "&amp;IF(Z246&lt;0,IF(COUNTIF($E$5:$E$6004,"SUBSOLO*")&gt;0,"subsolo",-Z246&amp;"º subsolo"),IF(Z246=0,"térreo",Z246&amp;"º pav."))," (restam serviços no "&amp;IF(Z246&lt;0,IF(COUNTIF($E$5:$E$6004,"SUBSOLO*")&gt;0,"subsolo",-Z246&amp;"º subsolo"),IF(Z246=0,"térreo",Z246&amp;"º pav."))&amp;")"))))))</f>
        <v/>
      </c>
    </row>
    <row r="247">
      <c r="B247" s="4" t="n">
        <v>31924988</v>
      </c>
      <c r="C247" s="4" t="inlineStr">
        <is>
          <t>Estrutura 2º Pav - Fase 1</t>
        </is>
      </c>
      <c r="D247" s="4" t="inlineStr">
        <is>
          <t>Montagem Laje</t>
        </is>
      </c>
      <c r="E247" s="4" t="inlineStr">
        <is>
          <t>2º PAV - GARAGEM</t>
        </is>
      </c>
      <c r="F247" s="126" t="n">
        <v>46280</v>
      </c>
      <c r="G247" s="126" t="n">
        <v>46290</v>
      </c>
      <c r="H247" s="126" t="n">
        <v>46289</v>
      </c>
      <c r="I247" s="4" t="n">
        <v>0</v>
      </c>
      <c r="J247" s="4" t="n">
        <v>88.889</v>
      </c>
      <c r="K247" s="4" t="n">
        <v>35</v>
      </c>
      <c r="M247" s="2">
        <f>IF(C247="","",IFERROR(INDEX($S$5:$S$304,MATCH(C247,$R$5:$R$304,0))&amp;"","?"))</f>
        <v/>
      </c>
      <c r="N247" s="2">
        <f>IF(E247="","",IF(ISNUMBER(SEARCH("SUBSOLO",E247)),IFERROR(-VALUE(LEFT(E247,FIND("º",SUBSTITUTE(E247,"°","º"))-1)),-1),IF(LEFT(E247,6)="TÉRREO",0,IFERROR(VALUE(LEFT(E247,FIND("º",SUBSTITUTE(E247,"°","º"))-1)),""))))</f>
        <v/>
      </c>
      <c r="O247" s="2">
        <f>IF(OR(F247="",G247=""),"",IF(G247&lt;='RETRATO 2027'!$K$5,"CONCLUÍDA",IF(F247&lt;='RETRATO 2027'!$K$5,"EM ANDAMENTO","A INICIAR")))</f>
        <v/>
      </c>
      <c r="R247" s="4" t="n"/>
      <c r="S247" s="4" t="n"/>
      <c r="T247" s="4" t="n"/>
      <c r="U247" s="4" t="n"/>
      <c r="V247" s="2">
        <f>IF(R247="","",COUNTIF($C$5:$C$6004,R247))</f>
        <v/>
      </c>
      <c r="W247" s="2">
        <f>IF(R247="","",COUNTIFS($C$5:$C$6004,R247,$O$5:$O$6004,"CONCLUÍDA"))</f>
        <v/>
      </c>
      <c r="X247" s="2">
        <f>IF(R247="","",COUNTIFS($C$5:$C$6004,R247,$O$5:$O$6004,"EM ANDAMENTO"))</f>
        <v/>
      </c>
      <c r="Y247" s="2">
        <f>IF(R247="","",IF(COUNTIFS($C$5:$C$6004,R247,$O$5:$O$6004,"CONCLUÍDA",$N$5:$N$6004,"&gt;=-99")=0,"",_xlfn.MAXIFS($N$5:$N$6004,$C$5:$C$6004,R247,$O$5:$O$6004,"CONCLUÍDA")))</f>
        <v/>
      </c>
      <c r="Z247" s="2">
        <f>IF(R247="","",IF(COUNTIFS($C$5:$C$6004,R247,$O$5:$O$6004,"EM ANDAMENTO",$N$5:$N$6004,"&gt;=-99")=0,"",_xlfn.MAXIFS($N$5:$N$6004,$C$5:$C$6004,R247,$O$5:$O$6004,"EM ANDAMENTO")))</f>
        <v/>
      </c>
      <c r="AA247" s="2">
        <f>IF(OR(R247="",S247="",U247&lt;&gt;"SIM",V247=0),"",IF(W247+X247=0,"",T247&amp;": "&amp;IF(W247=V247,"concluído",IF(W247=0,"em execução"&amp;IF(Z247&lt;&gt;""," ("&amp;IF(Z247&lt;0,IF(COUNTIF($E$5:$E$6004,"SUBSOLO*")&gt;0,"subsolo",-Z247&amp;"º subsolo"),IF(Z247=0,"térreo",Z247&amp;"º pav."))&amp;")",""),IF(Y247&lt;&gt;"","até "&amp;IF(Y247&lt;0,IF(COUNTIF($E$5:$E$6004,"SUBSOLO*")&gt;0,"subsolo",-Y247&amp;"º subsolo"),IF(Y247=0,"térreo",Y247&amp;"º pav.")),W247&amp;" de "&amp;V247&amp;" concluídas")&amp;IF(Z247="","",IF(OR(Y247="",Z247&gt;Y247),", executando "&amp;IF(Z247&lt;0,IF(COUNTIF($E$5:$E$6004,"SUBSOLO*")&gt;0,"subsolo",-Z247&amp;"º subsolo"),IF(Z247=0,"térreo",Z247&amp;"º pav."))," (restam serviços no "&amp;IF(Z247&lt;0,IF(COUNTIF($E$5:$E$6004,"SUBSOLO*")&gt;0,"subsolo",-Z247&amp;"º subsolo"),IF(Z247=0,"térreo",Z247&amp;"º pav."))&amp;")"))))))</f>
        <v/>
      </c>
    </row>
    <row r="248">
      <c r="B248" s="4" t="n">
        <v>31924989</v>
      </c>
      <c r="C248" s="4" t="inlineStr">
        <is>
          <t>Estrutura 2º Pav - Fase 1</t>
        </is>
      </c>
      <c r="D248" s="4" t="inlineStr">
        <is>
          <t>Concretagem Laje</t>
        </is>
      </c>
      <c r="E248" s="4" t="inlineStr">
        <is>
          <t>2º PAV - GARAGEM</t>
        </is>
      </c>
      <c r="F248" s="126" t="n">
        <v>46293</v>
      </c>
      <c r="G248" s="126" t="n">
        <v>46293</v>
      </c>
      <c r="H248" s="126" t="n">
        <v>46289</v>
      </c>
      <c r="I248" s="4" t="n">
        <v>0</v>
      </c>
      <c r="J248" s="4" t="n">
        <v>0</v>
      </c>
      <c r="K248" s="4" t="n">
        <v>0</v>
      </c>
      <c r="M248" s="2">
        <f>IF(C248="","",IFERROR(INDEX($S$5:$S$304,MATCH(C248,$R$5:$R$304,0))&amp;"","?"))</f>
        <v/>
      </c>
      <c r="N248" s="2">
        <f>IF(E248="","",IF(ISNUMBER(SEARCH("SUBSOLO",E248)),IFERROR(-VALUE(LEFT(E248,FIND("º",SUBSTITUTE(E248,"°","º"))-1)),-1),IF(LEFT(E248,6)="TÉRREO",0,IFERROR(VALUE(LEFT(E248,FIND("º",SUBSTITUTE(E248,"°","º"))-1)),""))))</f>
        <v/>
      </c>
      <c r="O248" s="2">
        <f>IF(OR(F248="",G248=""),"",IF(G248&lt;='RETRATO 2027'!$K$5,"CONCLUÍDA",IF(F248&lt;='RETRATO 2027'!$K$5,"EM ANDAMENTO","A INICIAR")))</f>
        <v/>
      </c>
      <c r="R248" s="4" t="n"/>
      <c r="S248" s="4" t="n"/>
      <c r="T248" s="4" t="n"/>
      <c r="U248" s="4" t="n"/>
      <c r="V248" s="2">
        <f>IF(R248="","",COUNTIF($C$5:$C$6004,R248))</f>
        <v/>
      </c>
      <c r="W248" s="2">
        <f>IF(R248="","",COUNTIFS($C$5:$C$6004,R248,$O$5:$O$6004,"CONCLUÍDA"))</f>
        <v/>
      </c>
      <c r="X248" s="2">
        <f>IF(R248="","",COUNTIFS($C$5:$C$6004,R248,$O$5:$O$6004,"EM ANDAMENTO"))</f>
        <v/>
      </c>
      <c r="Y248" s="2">
        <f>IF(R248="","",IF(COUNTIFS($C$5:$C$6004,R248,$O$5:$O$6004,"CONCLUÍDA",$N$5:$N$6004,"&gt;=-99")=0,"",_xlfn.MAXIFS($N$5:$N$6004,$C$5:$C$6004,R248,$O$5:$O$6004,"CONCLUÍDA")))</f>
        <v/>
      </c>
      <c r="Z248" s="2">
        <f>IF(R248="","",IF(COUNTIFS($C$5:$C$6004,R248,$O$5:$O$6004,"EM ANDAMENTO",$N$5:$N$6004,"&gt;=-99")=0,"",_xlfn.MAXIFS($N$5:$N$6004,$C$5:$C$6004,R248,$O$5:$O$6004,"EM ANDAMENTO")))</f>
        <v/>
      </c>
      <c r="AA248" s="2">
        <f>IF(OR(R248="",S248="",U248&lt;&gt;"SIM",V248=0),"",IF(W248+X248=0,"",T248&amp;": "&amp;IF(W248=V248,"concluído",IF(W248=0,"em execução"&amp;IF(Z248&lt;&gt;""," ("&amp;IF(Z248&lt;0,IF(COUNTIF($E$5:$E$6004,"SUBSOLO*")&gt;0,"subsolo",-Z248&amp;"º subsolo"),IF(Z248=0,"térreo",Z248&amp;"º pav."))&amp;")",""),IF(Y248&lt;&gt;"","até "&amp;IF(Y248&lt;0,IF(COUNTIF($E$5:$E$6004,"SUBSOLO*")&gt;0,"subsolo",-Y248&amp;"º subsolo"),IF(Y248=0,"térreo",Y248&amp;"º pav.")),W248&amp;" de "&amp;V248&amp;" concluídas")&amp;IF(Z248="","",IF(OR(Y248="",Z248&gt;Y248),", executando "&amp;IF(Z248&lt;0,IF(COUNTIF($E$5:$E$6004,"SUBSOLO*")&gt;0,"subsolo",-Z248&amp;"º subsolo"),IF(Z248=0,"térreo",Z248&amp;"º pav."))," (restam serviços no "&amp;IF(Z248&lt;0,IF(COUNTIF($E$5:$E$6004,"SUBSOLO*")&gt;0,"subsolo",-Z248&amp;"º subsolo"),IF(Z248=0,"térreo",Z248&amp;"º pav."))&amp;")"))))))</f>
        <v/>
      </c>
    </row>
    <row r="249">
      <c r="B249" s="4" t="n">
        <v>29940909</v>
      </c>
      <c r="C249" s="4" t="inlineStr">
        <is>
          <t>ESTRUTURA</t>
        </is>
      </c>
      <c r="D249" s="4" t="inlineStr">
        <is>
          <t>-</t>
        </is>
      </c>
      <c r="E249" s="4" t="inlineStr">
        <is>
          <t>2º PAV - GARAGEM</t>
        </is>
      </c>
      <c r="F249" s="126" t="n">
        <v>46259</v>
      </c>
      <c r="G249" s="126" t="n">
        <v>46293</v>
      </c>
      <c r="H249" s="126" t="n">
        <v>46289</v>
      </c>
      <c r="I249" s="4" t="n">
        <v>79.31</v>
      </c>
      <c r="J249" s="4" t="n">
        <v>87.99992</v>
      </c>
      <c r="K249" s="4" t="n">
        <v>51.088</v>
      </c>
      <c r="M249" s="2">
        <f>IF(C249="","",IFERROR(INDEX($S$5:$S$304,MATCH(C249,$R$5:$R$304,0))&amp;"","?"))</f>
        <v/>
      </c>
      <c r="N249" s="2">
        <f>IF(E249="","",IF(ISNUMBER(SEARCH("SUBSOLO",E249)),IFERROR(-VALUE(LEFT(E249,FIND("º",SUBSTITUTE(E249,"°","º"))-1)),-1),IF(LEFT(E249,6)="TÉRREO",0,IFERROR(VALUE(LEFT(E249,FIND("º",SUBSTITUTE(E249,"°","º"))-1)),""))))</f>
        <v/>
      </c>
      <c r="O249" s="2">
        <f>IF(OR(F249="",G249=""),"",IF(G249&lt;='RETRATO 2027'!$K$5,"CONCLUÍDA",IF(F249&lt;='RETRATO 2027'!$K$5,"EM ANDAMENTO","A INICIAR")))</f>
        <v/>
      </c>
      <c r="R249" s="4" t="n"/>
      <c r="S249" s="4" t="n"/>
      <c r="T249" s="4" t="n"/>
      <c r="U249" s="4" t="n"/>
      <c r="V249" s="2">
        <f>IF(R249="","",COUNTIF($C$5:$C$6004,R249))</f>
        <v/>
      </c>
      <c r="W249" s="2">
        <f>IF(R249="","",COUNTIFS($C$5:$C$6004,R249,$O$5:$O$6004,"CONCLUÍDA"))</f>
        <v/>
      </c>
      <c r="X249" s="2">
        <f>IF(R249="","",COUNTIFS($C$5:$C$6004,R249,$O$5:$O$6004,"EM ANDAMENTO"))</f>
        <v/>
      </c>
      <c r="Y249" s="2">
        <f>IF(R249="","",IF(COUNTIFS($C$5:$C$6004,R249,$O$5:$O$6004,"CONCLUÍDA",$N$5:$N$6004,"&gt;=-99")=0,"",_xlfn.MAXIFS($N$5:$N$6004,$C$5:$C$6004,R249,$O$5:$O$6004,"CONCLUÍDA")))</f>
        <v/>
      </c>
      <c r="Z249" s="2">
        <f>IF(R249="","",IF(COUNTIFS($C$5:$C$6004,R249,$O$5:$O$6004,"EM ANDAMENTO",$N$5:$N$6004,"&gt;=-99")=0,"",_xlfn.MAXIFS($N$5:$N$6004,$C$5:$C$6004,R249,$O$5:$O$6004,"EM ANDAMENTO")))</f>
        <v/>
      </c>
      <c r="AA249" s="2">
        <f>IF(OR(R249="",S249="",U249&lt;&gt;"SIM",V249=0),"",IF(W249+X249=0,"",T249&amp;": "&amp;IF(W249=V249,"concluído",IF(W249=0,"em execução"&amp;IF(Z249&lt;&gt;""," ("&amp;IF(Z249&lt;0,IF(COUNTIF($E$5:$E$6004,"SUBSOLO*")&gt;0,"subsolo",-Z249&amp;"º subsolo"),IF(Z249=0,"térreo",Z249&amp;"º pav."))&amp;")",""),IF(Y249&lt;&gt;"","até "&amp;IF(Y249&lt;0,IF(COUNTIF($E$5:$E$6004,"SUBSOLO*")&gt;0,"subsolo",-Y249&amp;"º subsolo"),IF(Y249=0,"térreo",Y249&amp;"º pav.")),W249&amp;" de "&amp;V249&amp;" concluídas")&amp;IF(Z249="","",IF(OR(Y249="",Z249&gt;Y249),", executando "&amp;IF(Z249&lt;0,IF(COUNTIF($E$5:$E$6004,"SUBSOLO*")&gt;0,"subsolo",-Z249&amp;"º subsolo"),IF(Z249=0,"térreo",Z249&amp;"º pav."))," (restam serviços no "&amp;IF(Z249&lt;0,IF(COUNTIF($E$5:$E$6004,"SUBSOLO*")&gt;0,"subsolo",-Z249&amp;"º subsolo"),IF(Z249=0,"térreo",Z249&amp;"º pav."))&amp;")"))))))</f>
        <v/>
      </c>
    </row>
    <row r="250">
      <c r="B250" s="4" t="n">
        <v>31528956</v>
      </c>
      <c r="C250" s="4" t="inlineStr">
        <is>
          <t>ESTRUTURA</t>
        </is>
      </c>
      <c r="D250" s="4" t="inlineStr">
        <is>
          <t>Forma</t>
        </is>
      </c>
      <c r="E250" s="4" t="inlineStr">
        <is>
          <t>2º PAV - GARAGEM</t>
        </is>
      </c>
      <c r="F250" s="126" t="n">
        <v>46259</v>
      </c>
      <c r="G250" s="126" t="n">
        <v>46282</v>
      </c>
      <c r="H250" s="126" t="n">
        <v>46289</v>
      </c>
      <c r="I250" s="4" t="n">
        <v>0</v>
      </c>
      <c r="J250" s="4" t="n">
        <v>100</v>
      </c>
      <c r="K250" s="4" t="n">
        <v>60.6</v>
      </c>
      <c r="M250" s="2">
        <f>IF(C250="","",IFERROR(INDEX($S$5:$S$304,MATCH(C250,$R$5:$R$304,0))&amp;"","?"))</f>
        <v/>
      </c>
      <c r="N250" s="2">
        <f>IF(E250="","",IF(ISNUMBER(SEARCH("SUBSOLO",E250)),IFERROR(-VALUE(LEFT(E250,FIND("º",SUBSTITUTE(E250,"°","º"))-1)),-1),IF(LEFT(E250,6)="TÉRREO",0,IFERROR(VALUE(LEFT(E250,FIND("º",SUBSTITUTE(E250,"°","º"))-1)),""))))</f>
        <v/>
      </c>
      <c r="O250" s="2">
        <f>IF(OR(F250="",G250=""),"",IF(G250&lt;='RETRATO 2027'!$K$5,"CONCLUÍDA",IF(F250&lt;='RETRATO 2027'!$K$5,"EM ANDAMENTO","A INICIAR")))</f>
        <v/>
      </c>
      <c r="R250" s="4" t="n"/>
      <c r="S250" s="4" t="n"/>
      <c r="T250" s="4" t="n"/>
      <c r="U250" s="4" t="n"/>
      <c r="V250" s="2">
        <f>IF(R250="","",COUNTIF($C$5:$C$6004,R250))</f>
        <v/>
      </c>
      <c r="W250" s="2">
        <f>IF(R250="","",COUNTIFS($C$5:$C$6004,R250,$O$5:$O$6004,"CONCLUÍDA"))</f>
        <v/>
      </c>
      <c r="X250" s="2">
        <f>IF(R250="","",COUNTIFS($C$5:$C$6004,R250,$O$5:$O$6004,"EM ANDAMENTO"))</f>
        <v/>
      </c>
      <c r="Y250" s="2">
        <f>IF(R250="","",IF(COUNTIFS($C$5:$C$6004,R250,$O$5:$O$6004,"CONCLUÍDA",$N$5:$N$6004,"&gt;=-99")=0,"",_xlfn.MAXIFS($N$5:$N$6004,$C$5:$C$6004,R250,$O$5:$O$6004,"CONCLUÍDA")))</f>
        <v/>
      </c>
      <c r="Z250" s="2">
        <f>IF(R250="","",IF(COUNTIFS($C$5:$C$6004,R250,$O$5:$O$6004,"EM ANDAMENTO",$N$5:$N$6004,"&gt;=-99")=0,"",_xlfn.MAXIFS($N$5:$N$6004,$C$5:$C$6004,R250,$O$5:$O$6004,"EM ANDAMENTO")))</f>
        <v/>
      </c>
      <c r="AA250" s="2">
        <f>IF(OR(R250="",S250="",U250&lt;&gt;"SIM",V250=0),"",IF(W250+X250=0,"",T250&amp;": "&amp;IF(W250=V250,"concluído",IF(W250=0,"em execução"&amp;IF(Z250&lt;&gt;""," ("&amp;IF(Z250&lt;0,IF(COUNTIF($E$5:$E$6004,"SUBSOLO*")&gt;0,"subsolo",-Z250&amp;"º subsolo"),IF(Z250=0,"térreo",Z250&amp;"º pav."))&amp;")",""),IF(Y250&lt;&gt;"","até "&amp;IF(Y250&lt;0,IF(COUNTIF($E$5:$E$6004,"SUBSOLO*")&gt;0,"subsolo",-Y250&amp;"º subsolo"),IF(Y250=0,"térreo",Y250&amp;"º pav.")),W250&amp;" de "&amp;V250&amp;" concluídas")&amp;IF(Z250="","",IF(OR(Y250="",Z250&gt;Y250),", executando "&amp;IF(Z250&lt;0,IF(COUNTIF($E$5:$E$6004,"SUBSOLO*")&gt;0,"subsolo",-Z250&amp;"º subsolo"),IF(Z250=0,"térreo",Z250&amp;"º pav."))," (restam serviços no "&amp;IF(Z250&lt;0,IF(COUNTIF($E$5:$E$6004,"SUBSOLO*")&gt;0,"subsolo",-Z250&amp;"º subsolo"),IF(Z250=0,"térreo",Z250&amp;"º pav."))&amp;")"))))))</f>
        <v/>
      </c>
    </row>
    <row r="251">
      <c r="B251" s="4" t="n">
        <v>31528957</v>
      </c>
      <c r="C251" s="4" t="inlineStr">
        <is>
          <t>ESTRUTURA</t>
        </is>
      </c>
      <c r="D251" s="4" t="inlineStr">
        <is>
          <t>Armação</t>
        </is>
      </c>
      <c r="E251" s="4" t="inlineStr">
        <is>
          <t>2º PAV - GARAGEM</t>
        </is>
      </c>
      <c r="F251" s="126" t="n">
        <v>46283</v>
      </c>
      <c r="G251" s="126" t="n">
        <v>46290</v>
      </c>
      <c r="H251" s="126" t="n">
        <v>46289</v>
      </c>
      <c r="I251" s="4" t="n">
        <v>0</v>
      </c>
      <c r="J251" s="4" t="n">
        <v>83.333</v>
      </c>
      <c r="K251" s="4" t="n">
        <v>35.4</v>
      </c>
      <c r="M251" s="2">
        <f>IF(C251="","",IFERROR(INDEX($S$5:$S$304,MATCH(C251,$R$5:$R$304,0))&amp;"","?"))</f>
        <v/>
      </c>
      <c r="N251" s="2">
        <f>IF(E251="","",IF(ISNUMBER(SEARCH("SUBSOLO",E251)),IFERROR(-VALUE(LEFT(E251,FIND("º",SUBSTITUTE(E251,"°","º"))-1)),-1),IF(LEFT(E251,6)="TÉRREO",0,IFERROR(VALUE(LEFT(E251,FIND("º",SUBSTITUTE(E251,"°","º"))-1)),""))))</f>
        <v/>
      </c>
      <c r="O251" s="2">
        <f>IF(OR(F251="",G251=""),"",IF(G251&lt;='RETRATO 2027'!$K$5,"CONCLUÍDA",IF(F251&lt;='RETRATO 2027'!$K$5,"EM ANDAMENTO","A INICIAR")))</f>
        <v/>
      </c>
      <c r="R251" s="4" t="n"/>
      <c r="S251" s="4" t="n"/>
      <c r="T251" s="4" t="n"/>
      <c r="U251" s="4" t="n"/>
      <c r="V251" s="2">
        <f>IF(R251="","",COUNTIF($C$5:$C$6004,R251))</f>
        <v/>
      </c>
      <c r="W251" s="2">
        <f>IF(R251="","",COUNTIFS($C$5:$C$6004,R251,$O$5:$O$6004,"CONCLUÍDA"))</f>
        <v/>
      </c>
      <c r="X251" s="2">
        <f>IF(R251="","",COUNTIFS($C$5:$C$6004,R251,$O$5:$O$6004,"EM ANDAMENTO"))</f>
        <v/>
      </c>
      <c r="Y251" s="2">
        <f>IF(R251="","",IF(COUNTIFS($C$5:$C$6004,R251,$O$5:$O$6004,"CONCLUÍDA",$N$5:$N$6004,"&gt;=-99")=0,"",_xlfn.MAXIFS($N$5:$N$6004,$C$5:$C$6004,R251,$O$5:$O$6004,"CONCLUÍDA")))</f>
        <v/>
      </c>
      <c r="Z251" s="2">
        <f>IF(R251="","",IF(COUNTIFS($C$5:$C$6004,R251,$O$5:$O$6004,"EM ANDAMENTO",$N$5:$N$6004,"&gt;=-99")=0,"",_xlfn.MAXIFS($N$5:$N$6004,$C$5:$C$6004,R251,$O$5:$O$6004,"EM ANDAMENTO")))</f>
        <v/>
      </c>
      <c r="AA251" s="2">
        <f>IF(OR(R251="",S251="",U251&lt;&gt;"SIM",V251=0),"",IF(W251+X251=0,"",T251&amp;": "&amp;IF(W251=V251,"concluído",IF(W251=0,"em execução"&amp;IF(Z251&lt;&gt;""," ("&amp;IF(Z251&lt;0,IF(COUNTIF($E$5:$E$6004,"SUBSOLO*")&gt;0,"subsolo",-Z251&amp;"º subsolo"),IF(Z251=0,"térreo",Z251&amp;"º pav."))&amp;")",""),IF(Y251&lt;&gt;"","até "&amp;IF(Y251&lt;0,IF(COUNTIF($E$5:$E$6004,"SUBSOLO*")&gt;0,"subsolo",-Y251&amp;"º subsolo"),IF(Y251=0,"térreo",Y251&amp;"º pav.")),W251&amp;" de "&amp;V251&amp;" concluídas")&amp;IF(Z251="","",IF(OR(Y251="",Z251&gt;Y251),", executando "&amp;IF(Z251&lt;0,IF(COUNTIF($E$5:$E$6004,"SUBSOLO*")&gt;0,"subsolo",-Z251&amp;"º subsolo"),IF(Z251=0,"térreo",Z251&amp;"º pav."))," (restam serviços no "&amp;IF(Z251&lt;0,IF(COUNTIF($E$5:$E$6004,"SUBSOLO*")&gt;0,"subsolo",-Z251&amp;"º subsolo"),IF(Z251=0,"térreo",Z251&amp;"º pav."))&amp;")"))))))</f>
        <v/>
      </c>
    </row>
    <row r="252">
      <c r="B252" s="4" t="n">
        <v>31528958</v>
      </c>
      <c r="C252" s="4" t="inlineStr">
        <is>
          <t>ESTRUTURA</t>
        </is>
      </c>
      <c r="D252" s="4" t="inlineStr">
        <is>
          <t>Concretagem</t>
        </is>
      </c>
      <c r="E252" s="4" t="inlineStr">
        <is>
          <t>2º PAV - GARAGEM</t>
        </is>
      </c>
      <c r="F252" s="126" t="n">
        <v>46293</v>
      </c>
      <c r="G252" s="126" t="n">
        <v>46293</v>
      </c>
      <c r="H252" s="126" t="n">
        <v>46289</v>
      </c>
      <c r="I252" s="4" t="n">
        <v>0</v>
      </c>
      <c r="J252" s="4" t="n">
        <v>0</v>
      </c>
      <c r="K252" s="4" t="n">
        <v>17.3</v>
      </c>
      <c r="M252" s="2">
        <f>IF(C252="","",IFERROR(INDEX($S$5:$S$304,MATCH(C252,$R$5:$R$304,0))&amp;"","?"))</f>
        <v/>
      </c>
      <c r="N252" s="2">
        <f>IF(E252="","",IF(ISNUMBER(SEARCH("SUBSOLO",E252)),IFERROR(-VALUE(LEFT(E252,FIND("º",SUBSTITUTE(E252,"°","º"))-1)),-1),IF(LEFT(E252,6)="TÉRREO",0,IFERROR(VALUE(LEFT(E252,FIND("º",SUBSTITUTE(E252,"°","º"))-1)),""))))</f>
        <v/>
      </c>
      <c r="O252" s="2">
        <f>IF(OR(F252="",G252=""),"",IF(G252&lt;='RETRATO 2027'!$K$5,"CONCLUÍDA",IF(F252&lt;='RETRATO 2027'!$K$5,"EM ANDAMENTO","A INICIAR")))</f>
        <v/>
      </c>
      <c r="R252" s="4" t="n"/>
      <c r="S252" s="4" t="n"/>
      <c r="T252" s="4" t="n"/>
      <c r="U252" s="4" t="n"/>
      <c r="V252" s="2">
        <f>IF(R252="","",COUNTIF($C$5:$C$6004,R252))</f>
        <v/>
      </c>
      <c r="W252" s="2">
        <f>IF(R252="","",COUNTIFS($C$5:$C$6004,R252,$O$5:$O$6004,"CONCLUÍDA"))</f>
        <v/>
      </c>
      <c r="X252" s="2">
        <f>IF(R252="","",COUNTIFS($C$5:$C$6004,R252,$O$5:$O$6004,"EM ANDAMENTO"))</f>
        <v/>
      </c>
      <c r="Y252" s="2">
        <f>IF(R252="","",IF(COUNTIFS($C$5:$C$6004,R252,$O$5:$O$6004,"CONCLUÍDA",$N$5:$N$6004,"&gt;=-99")=0,"",_xlfn.MAXIFS($N$5:$N$6004,$C$5:$C$6004,R252,$O$5:$O$6004,"CONCLUÍDA")))</f>
        <v/>
      </c>
      <c r="Z252" s="2">
        <f>IF(R252="","",IF(COUNTIFS($C$5:$C$6004,R252,$O$5:$O$6004,"EM ANDAMENTO",$N$5:$N$6004,"&gt;=-99")=0,"",_xlfn.MAXIFS($N$5:$N$6004,$C$5:$C$6004,R252,$O$5:$O$6004,"EM ANDAMENTO")))</f>
        <v/>
      </c>
      <c r="AA252" s="2">
        <f>IF(OR(R252="",S252="",U252&lt;&gt;"SIM",V252=0),"",IF(W252+X252=0,"",T252&amp;": "&amp;IF(W252=V252,"concluído",IF(W252=0,"em execução"&amp;IF(Z252&lt;&gt;""," ("&amp;IF(Z252&lt;0,IF(COUNTIF($E$5:$E$6004,"SUBSOLO*")&gt;0,"subsolo",-Z252&amp;"º subsolo"),IF(Z252=0,"térreo",Z252&amp;"º pav."))&amp;")",""),IF(Y252&lt;&gt;"","até "&amp;IF(Y252&lt;0,IF(COUNTIF($E$5:$E$6004,"SUBSOLO*")&gt;0,"subsolo",-Y252&amp;"º subsolo"),IF(Y252=0,"térreo",Y252&amp;"º pav.")),W252&amp;" de "&amp;V252&amp;" concluídas")&amp;IF(Z252="","",IF(OR(Y252="",Z252&gt;Y252),", executando "&amp;IF(Z252&lt;0,IF(COUNTIF($E$5:$E$6004,"SUBSOLO*")&gt;0,"subsolo",-Z252&amp;"º subsolo"),IF(Z252=0,"térreo",Z252&amp;"º pav."))," (restam serviços no "&amp;IF(Z252&lt;0,IF(COUNTIF($E$5:$E$6004,"SUBSOLO*")&gt;0,"subsolo",-Z252&amp;"º subsolo"),IF(Z252=0,"térreo",Z252&amp;"º pav."))&amp;")"))))))</f>
        <v/>
      </c>
    </row>
    <row r="253">
      <c r="B253" s="4" t="n">
        <v>31528959</v>
      </c>
      <c r="C253" s="4" t="inlineStr">
        <is>
          <t>ESTRUTURA</t>
        </is>
      </c>
      <c r="D253" s="4" t="inlineStr">
        <is>
          <t>Polimento</t>
        </is>
      </c>
      <c r="E253" s="4" t="inlineStr">
        <is>
          <t>2º PAV - GARAGEM</t>
        </is>
      </c>
      <c r="F253" s="126" t="n">
        <v>46293</v>
      </c>
      <c r="G253" s="126" t="n">
        <v>46293</v>
      </c>
      <c r="H253" s="126" t="n">
        <v>46289</v>
      </c>
      <c r="I253" s="4" t="n">
        <v>0</v>
      </c>
      <c r="J253" s="4" t="n">
        <v>0</v>
      </c>
      <c r="K253" s="4" t="n">
        <v>17.3</v>
      </c>
      <c r="M253" s="2">
        <f>IF(C253="","",IFERROR(INDEX($S$5:$S$304,MATCH(C253,$R$5:$R$304,0))&amp;"","?"))</f>
        <v/>
      </c>
      <c r="N253" s="2">
        <f>IF(E253="","",IF(ISNUMBER(SEARCH("SUBSOLO",E253)),IFERROR(-VALUE(LEFT(E253,FIND("º",SUBSTITUTE(E253,"°","º"))-1)),-1),IF(LEFT(E253,6)="TÉRREO",0,IFERROR(VALUE(LEFT(E253,FIND("º",SUBSTITUTE(E253,"°","º"))-1)),""))))</f>
        <v/>
      </c>
      <c r="O253" s="2">
        <f>IF(OR(F253="",G253=""),"",IF(G253&lt;='RETRATO 2027'!$K$5,"CONCLUÍDA",IF(F253&lt;='RETRATO 2027'!$K$5,"EM ANDAMENTO","A INICIAR")))</f>
        <v/>
      </c>
      <c r="R253" s="4" t="n"/>
      <c r="S253" s="4" t="n"/>
      <c r="T253" s="4" t="n"/>
      <c r="U253" s="4" t="n"/>
      <c r="V253" s="2">
        <f>IF(R253="","",COUNTIF($C$5:$C$6004,R253))</f>
        <v/>
      </c>
      <c r="W253" s="2">
        <f>IF(R253="","",COUNTIFS($C$5:$C$6004,R253,$O$5:$O$6004,"CONCLUÍDA"))</f>
        <v/>
      </c>
      <c r="X253" s="2">
        <f>IF(R253="","",COUNTIFS($C$5:$C$6004,R253,$O$5:$O$6004,"EM ANDAMENTO"))</f>
        <v/>
      </c>
      <c r="Y253" s="2">
        <f>IF(R253="","",IF(COUNTIFS($C$5:$C$6004,R253,$O$5:$O$6004,"CONCLUÍDA",$N$5:$N$6004,"&gt;=-99")=0,"",_xlfn.MAXIFS($N$5:$N$6004,$C$5:$C$6004,R253,$O$5:$O$6004,"CONCLUÍDA")))</f>
        <v/>
      </c>
      <c r="Z253" s="2">
        <f>IF(R253="","",IF(COUNTIFS($C$5:$C$6004,R253,$O$5:$O$6004,"EM ANDAMENTO",$N$5:$N$6004,"&gt;=-99")=0,"",_xlfn.MAXIFS($N$5:$N$6004,$C$5:$C$6004,R253,$O$5:$O$6004,"EM ANDAMENTO")))</f>
        <v/>
      </c>
      <c r="AA253" s="2">
        <f>IF(OR(R253="",S253="",U253&lt;&gt;"SIM",V253=0),"",IF(W253+X253=0,"",T253&amp;": "&amp;IF(W253=V253,"concluído",IF(W253=0,"em execução"&amp;IF(Z253&lt;&gt;""," ("&amp;IF(Z253&lt;0,IF(COUNTIF($E$5:$E$6004,"SUBSOLO*")&gt;0,"subsolo",-Z253&amp;"º subsolo"),IF(Z253=0,"térreo",Z253&amp;"º pav."))&amp;")",""),IF(Y253&lt;&gt;"","até "&amp;IF(Y253&lt;0,IF(COUNTIF($E$5:$E$6004,"SUBSOLO*")&gt;0,"subsolo",-Y253&amp;"º subsolo"),IF(Y253=0,"térreo",Y253&amp;"º pav.")),W253&amp;" de "&amp;V253&amp;" concluídas")&amp;IF(Z253="","",IF(OR(Y253="",Z253&gt;Y253),", executando "&amp;IF(Z253&lt;0,IF(COUNTIF($E$5:$E$6004,"SUBSOLO*")&gt;0,"subsolo",-Z253&amp;"º subsolo"),IF(Z253=0,"térreo",Z253&amp;"º pav."))," (restam serviços no "&amp;IF(Z253&lt;0,IF(COUNTIF($E$5:$E$6004,"SUBSOLO*")&gt;0,"subsolo",-Z253&amp;"º subsolo"),IF(Z253=0,"térreo",Z253&amp;"º pav."))&amp;")"))))))</f>
        <v/>
      </c>
    </row>
    <row r="254">
      <c r="B254" s="4" t="n">
        <v>30608451</v>
      </c>
      <c r="C254" s="4" t="inlineStr">
        <is>
          <t>TERRAPLENAGEM (FASE 2)</t>
        </is>
      </c>
      <c r="D254" s="4" t="inlineStr">
        <is>
          <t>-</t>
        </is>
      </c>
      <c r="E254" s="4" t="inlineStr">
        <is>
          <t>SERVIÇOS INICIAIS</t>
        </is>
      </c>
      <c r="F254" s="126" t="n">
        <v>46273</v>
      </c>
      <c r="G254" s="126" t="n">
        <v>46311</v>
      </c>
      <c r="H254" s="126" t="n">
        <v>46289</v>
      </c>
      <c r="I254" s="4" t="n">
        <v>0</v>
      </c>
      <c r="J254" s="4" t="n">
        <v>46.429</v>
      </c>
      <c r="K254" s="4" t="n">
        <v>0</v>
      </c>
      <c r="M254" s="2">
        <f>IF(C254="","",IFERROR(INDEX($S$5:$S$304,MATCH(C254,$R$5:$R$304,0))&amp;"","?"))</f>
        <v/>
      </c>
      <c r="N254" s="2">
        <f>IF(E254="","",IF(ISNUMBER(SEARCH("SUBSOLO",E254)),IFERROR(-VALUE(LEFT(E254,FIND("º",SUBSTITUTE(E254,"°","º"))-1)),-1),IF(LEFT(E254,6)="TÉRREO",0,IFERROR(VALUE(LEFT(E254,FIND("º",SUBSTITUTE(E254,"°","º"))-1)),""))))</f>
        <v/>
      </c>
      <c r="O254" s="2">
        <f>IF(OR(F254="",G254=""),"",IF(G254&lt;='RETRATO 2027'!$K$5,"CONCLUÍDA",IF(F254&lt;='RETRATO 2027'!$K$5,"EM ANDAMENTO","A INICIAR")))</f>
        <v/>
      </c>
      <c r="R254" s="4" t="n"/>
      <c r="S254" s="4" t="n"/>
      <c r="T254" s="4" t="n"/>
      <c r="U254" s="4" t="n"/>
      <c r="V254" s="2">
        <f>IF(R254="","",COUNTIF($C$5:$C$6004,R254))</f>
        <v/>
      </c>
      <c r="W254" s="2">
        <f>IF(R254="","",COUNTIFS($C$5:$C$6004,R254,$O$5:$O$6004,"CONCLUÍDA"))</f>
        <v/>
      </c>
      <c r="X254" s="2">
        <f>IF(R254="","",COUNTIFS($C$5:$C$6004,R254,$O$5:$O$6004,"EM ANDAMENTO"))</f>
        <v/>
      </c>
      <c r="Y254" s="2">
        <f>IF(R254="","",IF(COUNTIFS($C$5:$C$6004,R254,$O$5:$O$6004,"CONCLUÍDA",$N$5:$N$6004,"&gt;=-99")=0,"",_xlfn.MAXIFS($N$5:$N$6004,$C$5:$C$6004,R254,$O$5:$O$6004,"CONCLUÍDA")))</f>
        <v/>
      </c>
      <c r="Z254" s="2">
        <f>IF(R254="","",IF(COUNTIFS($C$5:$C$6004,R254,$O$5:$O$6004,"EM ANDAMENTO",$N$5:$N$6004,"&gt;=-99")=0,"",_xlfn.MAXIFS($N$5:$N$6004,$C$5:$C$6004,R254,$O$5:$O$6004,"EM ANDAMENTO")))</f>
        <v/>
      </c>
      <c r="AA254" s="2">
        <f>IF(OR(R254="",S254="",U254&lt;&gt;"SIM",V254=0),"",IF(W254+X254=0,"",T254&amp;": "&amp;IF(W254=V254,"concluído",IF(W254=0,"em execução"&amp;IF(Z254&lt;&gt;""," ("&amp;IF(Z254&lt;0,IF(COUNTIF($E$5:$E$6004,"SUBSOLO*")&gt;0,"subsolo",-Z254&amp;"º subsolo"),IF(Z254=0,"térreo",Z254&amp;"º pav."))&amp;")",""),IF(Y254&lt;&gt;"","até "&amp;IF(Y254&lt;0,IF(COUNTIF($E$5:$E$6004,"SUBSOLO*")&gt;0,"subsolo",-Y254&amp;"º subsolo"),IF(Y254=0,"térreo",Y254&amp;"º pav.")),W254&amp;" de "&amp;V254&amp;" concluídas")&amp;IF(Z254="","",IF(OR(Y254="",Z254&gt;Y254),", executando "&amp;IF(Z254&lt;0,IF(COUNTIF($E$5:$E$6004,"SUBSOLO*")&gt;0,"subsolo",-Z254&amp;"º subsolo"),IF(Z254=0,"térreo",Z254&amp;"º pav."))," (restam serviços no "&amp;IF(Z254&lt;0,IF(COUNTIF($E$5:$E$6004,"SUBSOLO*")&gt;0,"subsolo",-Z254&amp;"º subsolo"),IF(Z254=0,"térreo",Z254&amp;"º pav."))&amp;")"))))))</f>
        <v/>
      </c>
    </row>
    <row r="255">
      <c r="B255" s="4" t="n">
        <v>46237033</v>
      </c>
      <c r="C255" s="4" t="inlineStr">
        <is>
          <t>CINTAS FASE 1</t>
        </is>
      </c>
      <c r="D255" s="4" t="inlineStr">
        <is>
          <t>-</t>
        </is>
      </c>
      <c r="E255" s="4" t="inlineStr">
        <is>
          <t>SERVIÇOS INICIAIS</t>
        </is>
      </c>
      <c r="F255" s="126" t="n">
        <v>46286</v>
      </c>
      <c r="G255" s="126" t="n">
        <v>46296</v>
      </c>
      <c r="H255" s="126" t="n">
        <v>46289</v>
      </c>
      <c r="I255" s="4" t="n">
        <v>0</v>
      </c>
      <c r="J255" s="4" t="n">
        <v>44.44444444</v>
      </c>
      <c r="K255" s="4" t="n">
        <v>0</v>
      </c>
      <c r="M255" s="2">
        <f>IF(C255="","",IFERROR(INDEX($S$5:$S$304,MATCH(C255,$R$5:$R$304,0))&amp;"","?"))</f>
        <v/>
      </c>
      <c r="N255" s="2">
        <f>IF(E255="","",IF(ISNUMBER(SEARCH("SUBSOLO",E255)),IFERROR(-VALUE(LEFT(E255,FIND("º",SUBSTITUTE(E255,"°","º"))-1)),-1),IF(LEFT(E255,6)="TÉRREO",0,IFERROR(VALUE(LEFT(E255,FIND("º",SUBSTITUTE(E255,"°","º"))-1)),""))))</f>
        <v/>
      </c>
      <c r="O255" s="2">
        <f>IF(OR(F255="",G255=""),"",IF(G255&lt;='RETRATO 2027'!$K$5,"CONCLUÍDA",IF(F255&lt;='RETRATO 2027'!$K$5,"EM ANDAMENTO","A INICIAR")))</f>
        <v/>
      </c>
      <c r="R255" s="4" t="n"/>
      <c r="S255" s="4" t="n"/>
      <c r="T255" s="4" t="n"/>
      <c r="U255" s="4" t="n"/>
      <c r="V255" s="2">
        <f>IF(R255="","",COUNTIF($C$5:$C$6004,R255))</f>
        <v/>
      </c>
      <c r="W255" s="2">
        <f>IF(R255="","",COUNTIFS($C$5:$C$6004,R255,$O$5:$O$6004,"CONCLUÍDA"))</f>
        <v/>
      </c>
      <c r="X255" s="2">
        <f>IF(R255="","",COUNTIFS($C$5:$C$6004,R255,$O$5:$O$6004,"EM ANDAMENTO"))</f>
        <v/>
      </c>
      <c r="Y255" s="2">
        <f>IF(R255="","",IF(COUNTIFS($C$5:$C$6004,R255,$O$5:$O$6004,"CONCLUÍDA",$N$5:$N$6004,"&gt;=-99")=0,"",_xlfn.MAXIFS($N$5:$N$6004,$C$5:$C$6004,R255,$O$5:$O$6004,"CONCLUÍDA")))</f>
        <v/>
      </c>
      <c r="Z255" s="2">
        <f>IF(R255="","",IF(COUNTIFS($C$5:$C$6004,R255,$O$5:$O$6004,"EM ANDAMENTO",$N$5:$N$6004,"&gt;=-99")=0,"",_xlfn.MAXIFS($N$5:$N$6004,$C$5:$C$6004,R255,$O$5:$O$6004,"EM ANDAMENTO")))</f>
        <v/>
      </c>
      <c r="AA255" s="2">
        <f>IF(OR(R255="",S255="",U255&lt;&gt;"SIM",V255=0),"",IF(W255+X255=0,"",T255&amp;": "&amp;IF(W255=V255,"concluído",IF(W255=0,"em execução"&amp;IF(Z255&lt;&gt;""," ("&amp;IF(Z255&lt;0,IF(COUNTIF($E$5:$E$6004,"SUBSOLO*")&gt;0,"subsolo",-Z255&amp;"º subsolo"),IF(Z255=0,"térreo",Z255&amp;"º pav."))&amp;")",""),IF(Y255&lt;&gt;"","até "&amp;IF(Y255&lt;0,IF(COUNTIF($E$5:$E$6004,"SUBSOLO*")&gt;0,"subsolo",-Y255&amp;"º subsolo"),IF(Y255=0,"térreo",Y255&amp;"º pav.")),W255&amp;" de "&amp;V255&amp;" concluídas")&amp;IF(Z255="","",IF(OR(Y255="",Z255&gt;Y255),", executando "&amp;IF(Z255&lt;0,IF(COUNTIF($E$5:$E$6004,"SUBSOLO*")&gt;0,"subsolo",-Z255&amp;"º subsolo"),IF(Z255=0,"térreo",Z255&amp;"º pav."))," (restam serviços no "&amp;IF(Z255&lt;0,IF(COUNTIF($E$5:$E$6004,"SUBSOLO*")&gt;0,"subsolo",-Z255&amp;"º subsolo"),IF(Z255=0,"térreo",Z255&amp;"º pav."))&amp;")"))))))</f>
        <v/>
      </c>
    </row>
    <row r="256">
      <c r="B256" s="4" t="n">
        <v>30974180</v>
      </c>
      <c r="C256" s="4" t="inlineStr">
        <is>
          <t>CINTAS FASE 1</t>
        </is>
      </c>
      <c r="D256" s="4" t="inlineStr">
        <is>
          <t>Escavação - C 41 / 45 /47 / 49 /52 / VA1 / C3</t>
        </is>
      </c>
      <c r="E256" s="4" t="inlineStr">
        <is>
          <t>SERVIÇOS INICIAIS</t>
        </is>
      </c>
      <c r="F256" s="126" t="n">
        <v>46286</v>
      </c>
      <c r="G256" s="126" t="n">
        <v>46289</v>
      </c>
      <c r="H256" s="126" t="n">
        <v>46289</v>
      </c>
      <c r="I256" s="4" t="n">
        <v>0</v>
      </c>
      <c r="J256" s="4" t="n">
        <v>100</v>
      </c>
      <c r="K256" s="4" t="n">
        <v>0</v>
      </c>
      <c r="M256" s="2">
        <f>IF(C256="","",IFERROR(INDEX($S$5:$S$304,MATCH(C256,$R$5:$R$304,0))&amp;"","?"))</f>
        <v/>
      </c>
      <c r="N256" s="2">
        <f>IF(E256="","",IF(ISNUMBER(SEARCH("SUBSOLO",E256)),IFERROR(-VALUE(LEFT(E256,FIND("º",SUBSTITUTE(E256,"°","º"))-1)),-1),IF(LEFT(E256,6)="TÉRREO",0,IFERROR(VALUE(LEFT(E256,FIND("º",SUBSTITUTE(E256,"°","º"))-1)),""))))</f>
        <v/>
      </c>
      <c r="O256" s="2">
        <f>IF(OR(F256="",G256=""),"",IF(G256&lt;='RETRATO 2027'!$K$5,"CONCLUÍDA",IF(F256&lt;='RETRATO 2027'!$K$5,"EM ANDAMENTO","A INICIAR")))</f>
        <v/>
      </c>
      <c r="R256" s="4" t="n"/>
      <c r="S256" s="4" t="n"/>
      <c r="T256" s="4" t="n"/>
      <c r="U256" s="4" t="n"/>
      <c r="V256" s="2">
        <f>IF(R256="","",COUNTIF($C$5:$C$6004,R256))</f>
        <v/>
      </c>
      <c r="W256" s="2">
        <f>IF(R256="","",COUNTIFS($C$5:$C$6004,R256,$O$5:$O$6004,"CONCLUÍDA"))</f>
        <v/>
      </c>
      <c r="X256" s="2">
        <f>IF(R256="","",COUNTIFS($C$5:$C$6004,R256,$O$5:$O$6004,"EM ANDAMENTO"))</f>
        <v/>
      </c>
      <c r="Y256" s="2">
        <f>IF(R256="","",IF(COUNTIFS($C$5:$C$6004,R256,$O$5:$O$6004,"CONCLUÍDA",$N$5:$N$6004,"&gt;=-99")=0,"",_xlfn.MAXIFS($N$5:$N$6004,$C$5:$C$6004,R256,$O$5:$O$6004,"CONCLUÍDA")))</f>
        <v/>
      </c>
      <c r="Z256" s="2">
        <f>IF(R256="","",IF(COUNTIFS($C$5:$C$6004,R256,$O$5:$O$6004,"EM ANDAMENTO",$N$5:$N$6004,"&gt;=-99")=0,"",_xlfn.MAXIFS($N$5:$N$6004,$C$5:$C$6004,R256,$O$5:$O$6004,"EM ANDAMENTO")))</f>
        <v/>
      </c>
      <c r="AA256" s="2">
        <f>IF(OR(R256="",S256="",U256&lt;&gt;"SIM",V256=0),"",IF(W256+X256=0,"",T256&amp;": "&amp;IF(W256=V256,"concluído",IF(W256=0,"em execução"&amp;IF(Z256&lt;&gt;""," ("&amp;IF(Z256&lt;0,IF(COUNTIF($E$5:$E$6004,"SUBSOLO*")&gt;0,"subsolo",-Z256&amp;"º subsolo"),IF(Z256=0,"térreo",Z256&amp;"º pav."))&amp;")",""),IF(Y256&lt;&gt;"","até "&amp;IF(Y256&lt;0,IF(COUNTIF($E$5:$E$6004,"SUBSOLO*")&gt;0,"subsolo",-Y256&amp;"º subsolo"),IF(Y256=0,"térreo",Y256&amp;"º pav.")),W256&amp;" de "&amp;V256&amp;" concluídas")&amp;IF(Z256="","",IF(OR(Y256="",Z256&gt;Y256),", executando "&amp;IF(Z256&lt;0,IF(COUNTIF($E$5:$E$6004,"SUBSOLO*")&gt;0,"subsolo",-Z256&amp;"º subsolo"),IF(Z256=0,"térreo",Z256&amp;"º pav."))," (restam serviços no "&amp;IF(Z256&lt;0,IF(COUNTIF($E$5:$E$6004,"SUBSOLO*")&gt;0,"subsolo",-Z256&amp;"º subsolo"),IF(Z256=0,"térreo",Z256&amp;"º pav."))&amp;")"))))))</f>
        <v/>
      </c>
    </row>
    <row r="257">
      <c r="B257" s="4" t="n">
        <v>30974181</v>
      </c>
      <c r="C257" s="4" t="inlineStr">
        <is>
          <t>CINTAS FASE 1</t>
        </is>
      </c>
      <c r="D257" s="4" t="inlineStr">
        <is>
          <t>Forma e Armação - C 41 / 45 /47 / 49 /52 / VA1 / C3</t>
        </is>
      </c>
      <c r="E257" s="4" t="inlineStr">
        <is>
          <t>SERVIÇOS INICIAIS</t>
        </is>
      </c>
      <c r="F257" s="126" t="n">
        <v>46290</v>
      </c>
      <c r="G257" s="126" t="n">
        <v>46295</v>
      </c>
      <c r="H257" s="126" t="n">
        <v>46289</v>
      </c>
      <c r="I257" s="4" t="n">
        <v>0</v>
      </c>
      <c r="J257" s="4" t="n">
        <v>0</v>
      </c>
      <c r="K257" s="4" t="n">
        <v>0</v>
      </c>
      <c r="M257" s="2">
        <f>IF(C257="","",IFERROR(INDEX($S$5:$S$304,MATCH(C257,$R$5:$R$304,0))&amp;"","?"))</f>
        <v/>
      </c>
      <c r="N257" s="2">
        <f>IF(E257="","",IF(ISNUMBER(SEARCH("SUBSOLO",E257)),IFERROR(-VALUE(LEFT(E257,FIND("º",SUBSTITUTE(E257,"°","º"))-1)),-1),IF(LEFT(E257,6)="TÉRREO",0,IFERROR(VALUE(LEFT(E257,FIND("º",SUBSTITUTE(E257,"°","º"))-1)),""))))</f>
        <v/>
      </c>
      <c r="O257" s="2">
        <f>IF(OR(F257="",G257=""),"",IF(G257&lt;='RETRATO 2027'!$K$5,"CONCLUÍDA",IF(F257&lt;='RETRATO 2027'!$K$5,"EM ANDAMENTO","A INICIAR")))</f>
        <v/>
      </c>
      <c r="R257" s="4" t="n"/>
      <c r="S257" s="4" t="n"/>
      <c r="T257" s="4" t="n"/>
      <c r="U257" s="4" t="n"/>
      <c r="V257" s="2">
        <f>IF(R257="","",COUNTIF($C$5:$C$6004,R257))</f>
        <v/>
      </c>
      <c r="W257" s="2">
        <f>IF(R257="","",COUNTIFS($C$5:$C$6004,R257,$O$5:$O$6004,"CONCLUÍDA"))</f>
        <v/>
      </c>
      <c r="X257" s="2">
        <f>IF(R257="","",COUNTIFS($C$5:$C$6004,R257,$O$5:$O$6004,"EM ANDAMENTO"))</f>
        <v/>
      </c>
      <c r="Y257" s="2">
        <f>IF(R257="","",IF(COUNTIFS($C$5:$C$6004,R257,$O$5:$O$6004,"CONCLUÍDA",$N$5:$N$6004,"&gt;=-99")=0,"",_xlfn.MAXIFS($N$5:$N$6004,$C$5:$C$6004,R257,$O$5:$O$6004,"CONCLUÍDA")))</f>
        <v/>
      </c>
      <c r="Z257" s="2">
        <f>IF(R257="","",IF(COUNTIFS($C$5:$C$6004,R257,$O$5:$O$6004,"EM ANDAMENTO",$N$5:$N$6004,"&gt;=-99")=0,"",_xlfn.MAXIFS($N$5:$N$6004,$C$5:$C$6004,R257,$O$5:$O$6004,"EM ANDAMENTO")))</f>
        <v/>
      </c>
      <c r="AA257" s="2">
        <f>IF(OR(R257="",S257="",U257&lt;&gt;"SIM",V257=0),"",IF(W257+X257=0,"",T257&amp;": "&amp;IF(W257=V257,"concluído",IF(W257=0,"em execução"&amp;IF(Z257&lt;&gt;""," ("&amp;IF(Z257&lt;0,IF(COUNTIF($E$5:$E$6004,"SUBSOLO*")&gt;0,"subsolo",-Z257&amp;"º subsolo"),IF(Z257=0,"térreo",Z257&amp;"º pav."))&amp;")",""),IF(Y257&lt;&gt;"","até "&amp;IF(Y257&lt;0,IF(COUNTIF($E$5:$E$6004,"SUBSOLO*")&gt;0,"subsolo",-Y257&amp;"º subsolo"),IF(Y257=0,"térreo",Y257&amp;"º pav.")),W257&amp;" de "&amp;V257&amp;" concluídas")&amp;IF(Z257="","",IF(OR(Y257="",Z257&gt;Y257),", executando "&amp;IF(Z257&lt;0,IF(COUNTIF($E$5:$E$6004,"SUBSOLO*")&gt;0,"subsolo",-Z257&amp;"º subsolo"),IF(Z257=0,"térreo",Z257&amp;"º pav."))," (restam serviços no "&amp;IF(Z257&lt;0,IF(COUNTIF($E$5:$E$6004,"SUBSOLO*")&gt;0,"subsolo",-Z257&amp;"º subsolo"),IF(Z257=0,"térreo",Z257&amp;"º pav."))&amp;")"))))))</f>
        <v/>
      </c>
    </row>
    <row r="258">
      <c r="B258" s="4" t="n">
        <v>30974182</v>
      </c>
      <c r="C258" s="4" t="inlineStr">
        <is>
          <t>CINTAS FASE 1</t>
        </is>
      </c>
      <c r="D258" s="4" t="inlineStr">
        <is>
          <t>Concreto - C 41 / 45 /47 / 49 /52 / VA1 / C3</t>
        </is>
      </c>
      <c r="E258" s="4" t="inlineStr">
        <is>
          <t>SERVIÇOS INICIAIS</t>
        </is>
      </c>
      <c r="F258" s="126" t="n">
        <v>46296</v>
      </c>
      <c r="G258" s="126" t="n">
        <v>46296</v>
      </c>
      <c r="H258" s="126" t="n">
        <v>46289</v>
      </c>
      <c r="I258" s="4" t="n">
        <v>0</v>
      </c>
      <c r="J258" s="4" t="n">
        <v>0</v>
      </c>
      <c r="K258" s="4" t="n">
        <v>0</v>
      </c>
      <c r="M258" s="2">
        <f>IF(C258="","",IFERROR(INDEX($S$5:$S$304,MATCH(C258,$R$5:$R$304,0))&amp;"","?"))</f>
        <v/>
      </c>
      <c r="N258" s="2">
        <f>IF(E258="","",IF(ISNUMBER(SEARCH("SUBSOLO",E258)),IFERROR(-VALUE(LEFT(E258,FIND("º",SUBSTITUTE(E258,"°","º"))-1)),-1),IF(LEFT(E258,6)="TÉRREO",0,IFERROR(VALUE(LEFT(E258,FIND("º",SUBSTITUTE(E258,"°","º"))-1)),""))))</f>
        <v/>
      </c>
      <c r="O258" s="2">
        <f>IF(OR(F258="",G258=""),"",IF(G258&lt;='RETRATO 2027'!$K$5,"CONCLUÍDA",IF(F258&lt;='RETRATO 2027'!$K$5,"EM ANDAMENTO","A INICIAR")))</f>
        <v/>
      </c>
      <c r="R258" s="4" t="n"/>
      <c r="S258" s="4" t="n"/>
      <c r="T258" s="4" t="n"/>
      <c r="U258" s="4" t="n"/>
      <c r="V258" s="2">
        <f>IF(R258="","",COUNTIF($C$5:$C$6004,R258))</f>
        <v/>
      </c>
      <c r="W258" s="2">
        <f>IF(R258="","",COUNTIFS($C$5:$C$6004,R258,$O$5:$O$6004,"CONCLUÍDA"))</f>
        <v/>
      </c>
      <c r="X258" s="2">
        <f>IF(R258="","",COUNTIFS($C$5:$C$6004,R258,$O$5:$O$6004,"EM ANDAMENTO"))</f>
        <v/>
      </c>
      <c r="Y258" s="2">
        <f>IF(R258="","",IF(COUNTIFS($C$5:$C$6004,R258,$O$5:$O$6004,"CONCLUÍDA",$N$5:$N$6004,"&gt;=-99")=0,"",_xlfn.MAXIFS($N$5:$N$6004,$C$5:$C$6004,R258,$O$5:$O$6004,"CONCLUÍDA")))</f>
        <v/>
      </c>
      <c r="Z258" s="2">
        <f>IF(R258="","",IF(COUNTIFS($C$5:$C$6004,R258,$O$5:$O$6004,"EM ANDAMENTO",$N$5:$N$6004,"&gt;=-99")=0,"",_xlfn.MAXIFS($N$5:$N$6004,$C$5:$C$6004,R258,$O$5:$O$6004,"EM ANDAMENTO")))</f>
        <v/>
      </c>
      <c r="AA258" s="2">
        <f>IF(OR(R258="",S258="",U258&lt;&gt;"SIM",V258=0),"",IF(W258+X258=0,"",T258&amp;": "&amp;IF(W258=V258,"concluído",IF(W258=0,"em execução"&amp;IF(Z258&lt;&gt;""," ("&amp;IF(Z258&lt;0,IF(COUNTIF($E$5:$E$6004,"SUBSOLO*")&gt;0,"subsolo",-Z258&amp;"º subsolo"),IF(Z258=0,"térreo",Z258&amp;"º pav."))&amp;")",""),IF(Y258&lt;&gt;"","até "&amp;IF(Y258&lt;0,IF(COUNTIF($E$5:$E$6004,"SUBSOLO*")&gt;0,"subsolo",-Y258&amp;"º subsolo"),IF(Y258=0,"térreo",Y258&amp;"º pav.")),W258&amp;" de "&amp;V258&amp;" concluídas")&amp;IF(Z258="","",IF(OR(Y258="",Z258&gt;Y258),", executando "&amp;IF(Z258&lt;0,IF(COUNTIF($E$5:$E$6004,"SUBSOLO*")&gt;0,"subsolo",-Z258&amp;"º subsolo"),IF(Z258=0,"térreo",Z258&amp;"º pav."))," (restam serviços no "&amp;IF(Z258&lt;0,IF(COUNTIF($E$5:$E$6004,"SUBSOLO*")&gt;0,"subsolo",-Z258&amp;"º subsolo"),IF(Z258=0,"térreo",Z258&amp;"º pav."))&amp;")"))))))</f>
        <v/>
      </c>
    </row>
    <row r="259">
      <c r="B259" s="4" t="n">
        <v>29940607</v>
      </c>
      <c r="C259" s="4" t="inlineStr">
        <is>
          <t>ESTRUTURA</t>
        </is>
      </c>
      <c r="D259" s="4" t="inlineStr">
        <is>
          <t>-</t>
        </is>
      </c>
      <c r="E259" s="4" t="inlineStr">
        <is>
          <t>3º PAV - GARAGEM</t>
        </is>
      </c>
      <c r="F259" s="126" t="n">
        <v>46294</v>
      </c>
      <c r="G259" s="126" t="n">
        <v>46321</v>
      </c>
      <c r="H259" s="126" t="n">
        <v>46289</v>
      </c>
      <c r="I259" s="4" t="n">
        <v>0</v>
      </c>
      <c r="J259" s="4" t="n">
        <v>0</v>
      </c>
      <c r="K259" s="4" t="n">
        <v>0</v>
      </c>
      <c r="M259" s="2">
        <f>IF(C259="","",IFERROR(INDEX($S$5:$S$304,MATCH(C259,$R$5:$R$304,0))&amp;"","?"))</f>
        <v/>
      </c>
      <c r="N259" s="2">
        <f>IF(E259="","",IF(ISNUMBER(SEARCH("SUBSOLO",E259)),IFERROR(-VALUE(LEFT(E259,FIND("º",SUBSTITUTE(E259,"°","º"))-1)),-1),IF(LEFT(E259,6)="TÉRREO",0,IFERROR(VALUE(LEFT(E259,FIND("º",SUBSTITUTE(E259,"°","º"))-1)),""))))</f>
        <v/>
      </c>
      <c r="O259" s="2">
        <f>IF(OR(F259="",G259=""),"",IF(G259&lt;='RETRATO 2027'!$K$5,"CONCLUÍDA",IF(F259&lt;='RETRATO 2027'!$K$5,"EM ANDAMENTO","A INICIAR")))</f>
        <v/>
      </c>
      <c r="R259" s="4" t="n"/>
      <c r="S259" s="4" t="n"/>
      <c r="T259" s="4" t="n"/>
      <c r="U259" s="4" t="n"/>
      <c r="V259" s="2">
        <f>IF(R259="","",COUNTIF($C$5:$C$6004,R259))</f>
        <v/>
      </c>
      <c r="W259" s="2">
        <f>IF(R259="","",COUNTIFS($C$5:$C$6004,R259,$O$5:$O$6004,"CONCLUÍDA"))</f>
        <v/>
      </c>
      <c r="X259" s="2">
        <f>IF(R259="","",COUNTIFS($C$5:$C$6004,R259,$O$5:$O$6004,"EM ANDAMENTO"))</f>
        <v/>
      </c>
      <c r="Y259" s="2">
        <f>IF(R259="","",IF(COUNTIFS($C$5:$C$6004,R259,$O$5:$O$6004,"CONCLUÍDA",$N$5:$N$6004,"&gt;=-99")=0,"",_xlfn.MAXIFS($N$5:$N$6004,$C$5:$C$6004,R259,$O$5:$O$6004,"CONCLUÍDA")))</f>
        <v/>
      </c>
      <c r="Z259" s="2">
        <f>IF(R259="","",IF(COUNTIFS($C$5:$C$6004,R259,$O$5:$O$6004,"EM ANDAMENTO",$N$5:$N$6004,"&gt;=-99")=0,"",_xlfn.MAXIFS($N$5:$N$6004,$C$5:$C$6004,R259,$O$5:$O$6004,"EM ANDAMENTO")))</f>
        <v/>
      </c>
      <c r="AA259" s="2">
        <f>IF(OR(R259="",S259="",U259&lt;&gt;"SIM",V259=0),"",IF(W259+X259=0,"",T259&amp;": "&amp;IF(W259=V259,"concluído",IF(W259=0,"em execução"&amp;IF(Z259&lt;&gt;""," ("&amp;IF(Z259&lt;0,IF(COUNTIF($E$5:$E$6004,"SUBSOLO*")&gt;0,"subsolo",-Z259&amp;"º subsolo"),IF(Z259=0,"térreo",Z259&amp;"º pav."))&amp;")",""),IF(Y259&lt;&gt;"","até "&amp;IF(Y259&lt;0,IF(COUNTIF($E$5:$E$6004,"SUBSOLO*")&gt;0,"subsolo",-Y259&amp;"º subsolo"),IF(Y259=0,"térreo",Y259&amp;"º pav.")),W259&amp;" de "&amp;V259&amp;" concluídas")&amp;IF(Z259="","",IF(OR(Y259="",Z259&gt;Y259),", executando "&amp;IF(Z259&lt;0,IF(COUNTIF($E$5:$E$6004,"SUBSOLO*")&gt;0,"subsolo",-Z259&amp;"º subsolo"),IF(Z259=0,"térreo",Z259&amp;"º pav."))," (restam serviços no "&amp;IF(Z259&lt;0,IF(COUNTIF($E$5:$E$6004,"SUBSOLO*")&gt;0,"subsolo",-Z259&amp;"º subsolo"),IF(Z259=0,"térreo",Z259&amp;"º pav."))&amp;")"))))))</f>
        <v/>
      </c>
    </row>
    <row r="260">
      <c r="B260" s="4" t="n">
        <v>31528960</v>
      </c>
      <c r="C260" s="4" t="inlineStr">
        <is>
          <t>ESTRUTURA</t>
        </is>
      </c>
      <c r="D260" s="4" t="inlineStr">
        <is>
          <t>Forma</t>
        </is>
      </c>
      <c r="E260" s="4" t="inlineStr">
        <is>
          <t>3º PAV - GARAGEM</t>
        </is>
      </c>
      <c r="F260" s="126" t="n">
        <v>46294</v>
      </c>
      <c r="G260" s="126" t="n">
        <v>46310</v>
      </c>
      <c r="H260" s="126" t="n">
        <v>46289</v>
      </c>
      <c r="I260" s="4" t="n">
        <v>0</v>
      </c>
      <c r="J260" s="4" t="n">
        <v>0</v>
      </c>
      <c r="K260" s="4" t="n">
        <v>0</v>
      </c>
      <c r="M260" s="2">
        <f>IF(C260="","",IFERROR(INDEX($S$5:$S$304,MATCH(C260,$R$5:$R$304,0))&amp;"","?"))</f>
        <v/>
      </c>
      <c r="N260" s="2">
        <f>IF(E260="","",IF(ISNUMBER(SEARCH("SUBSOLO",E260)),IFERROR(-VALUE(LEFT(E260,FIND("º",SUBSTITUTE(E260,"°","º"))-1)),-1),IF(LEFT(E260,6)="TÉRREO",0,IFERROR(VALUE(LEFT(E260,FIND("º",SUBSTITUTE(E260,"°","º"))-1)),""))))</f>
        <v/>
      </c>
      <c r="O260" s="2">
        <f>IF(OR(F260="",G260=""),"",IF(G260&lt;='RETRATO 2027'!$K$5,"CONCLUÍDA",IF(F260&lt;='RETRATO 2027'!$K$5,"EM ANDAMENTO","A INICIAR")))</f>
        <v/>
      </c>
      <c r="R260" s="4" t="n"/>
      <c r="S260" s="4" t="n"/>
      <c r="T260" s="4" t="n"/>
      <c r="U260" s="4" t="n"/>
      <c r="V260" s="2">
        <f>IF(R260="","",COUNTIF($C$5:$C$6004,R260))</f>
        <v/>
      </c>
      <c r="W260" s="2">
        <f>IF(R260="","",COUNTIFS($C$5:$C$6004,R260,$O$5:$O$6004,"CONCLUÍDA"))</f>
        <v/>
      </c>
      <c r="X260" s="2">
        <f>IF(R260="","",COUNTIFS($C$5:$C$6004,R260,$O$5:$O$6004,"EM ANDAMENTO"))</f>
        <v/>
      </c>
      <c r="Y260" s="2">
        <f>IF(R260="","",IF(COUNTIFS($C$5:$C$6004,R260,$O$5:$O$6004,"CONCLUÍDA",$N$5:$N$6004,"&gt;=-99")=0,"",_xlfn.MAXIFS($N$5:$N$6004,$C$5:$C$6004,R260,$O$5:$O$6004,"CONCLUÍDA")))</f>
        <v/>
      </c>
      <c r="Z260" s="2">
        <f>IF(R260="","",IF(COUNTIFS($C$5:$C$6004,R260,$O$5:$O$6004,"EM ANDAMENTO",$N$5:$N$6004,"&gt;=-99")=0,"",_xlfn.MAXIFS($N$5:$N$6004,$C$5:$C$6004,R260,$O$5:$O$6004,"EM ANDAMENTO")))</f>
        <v/>
      </c>
      <c r="AA260" s="2">
        <f>IF(OR(R260="",S260="",U260&lt;&gt;"SIM",V260=0),"",IF(W260+X260=0,"",T260&amp;": "&amp;IF(W260=V260,"concluído",IF(W260=0,"em execução"&amp;IF(Z260&lt;&gt;""," ("&amp;IF(Z260&lt;0,IF(COUNTIF($E$5:$E$6004,"SUBSOLO*")&gt;0,"subsolo",-Z260&amp;"º subsolo"),IF(Z260=0,"térreo",Z260&amp;"º pav."))&amp;")",""),IF(Y260&lt;&gt;"","até "&amp;IF(Y260&lt;0,IF(COUNTIF($E$5:$E$6004,"SUBSOLO*")&gt;0,"subsolo",-Y260&amp;"º subsolo"),IF(Y260=0,"térreo",Y260&amp;"º pav.")),W260&amp;" de "&amp;V260&amp;" concluídas")&amp;IF(Z260="","",IF(OR(Y260="",Z260&gt;Y260),", executando "&amp;IF(Z260&lt;0,IF(COUNTIF($E$5:$E$6004,"SUBSOLO*")&gt;0,"subsolo",-Z260&amp;"º subsolo"),IF(Z260=0,"térreo",Z260&amp;"º pav."))," (restam serviços no "&amp;IF(Z260&lt;0,IF(COUNTIF($E$5:$E$6004,"SUBSOLO*")&gt;0,"subsolo",-Z260&amp;"º subsolo"),IF(Z260=0,"térreo",Z260&amp;"º pav."))&amp;")"))))))</f>
        <v/>
      </c>
    </row>
    <row r="261">
      <c r="B261" s="4" t="n">
        <v>31528961</v>
      </c>
      <c r="C261" s="4" t="inlineStr">
        <is>
          <t>ESTRUTURA</t>
        </is>
      </c>
      <c r="D261" s="4" t="inlineStr">
        <is>
          <t>Armação</t>
        </is>
      </c>
      <c r="E261" s="4" t="inlineStr">
        <is>
          <t>3º PAV - GARAGEM</t>
        </is>
      </c>
      <c r="F261" s="126" t="n">
        <v>46311</v>
      </c>
      <c r="G261" s="126" t="n">
        <v>46318</v>
      </c>
      <c r="H261" s="126" t="n">
        <v>46289</v>
      </c>
      <c r="I261" s="4" t="n">
        <v>0</v>
      </c>
      <c r="J261" s="4" t="n">
        <v>0</v>
      </c>
      <c r="K261" s="4" t="n">
        <v>0</v>
      </c>
      <c r="M261" s="2">
        <f>IF(C261="","",IFERROR(INDEX($S$5:$S$304,MATCH(C261,$R$5:$R$304,0))&amp;"","?"))</f>
        <v/>
      </c>
      <c r="N261" s="2">
        <f>IF(E261="","",IF(ISNUMBER(SEARCH("SUBSOLO",E261)),IFERROR(-VALUE(LEFT(E261,FIND("º",SUBSTITUTE(E261,"°","º"))-1)),-1),IF(LEFT(E261,6)="TÉRREO",0,IFERROR(VALUE(LEFT(E261,FIND("º",SUBSTITUTE(E261,"°","º"))-1)),""))))</f>
        <v/>
      </c>
      <c r="O261" s="2">
        <f>IF(OR(F261="",G261=""),"",IF(G261&lt;='RETRATO 2027'!$K$5,"CONCLUÍDA",IF(F261&lt;='RETRATO 2027'!$K$5,"EM ANDAMENTO","A INICIAR")))</f>
        <v/>
      </c>
      <c r="R261" s="4" t="n"/>
      <c r="S261" s="4" t="n"/>
      <c r="T261" s="4" t="n"/>
      <c r="U261" s="4" t="n"/>
      <c r="V261" s="2">
        <f>IF(R261="","",COUNTIF($C$5:$C$6004,R261))</f>
        <v/>
      </c>
      <c r="W261" s="2">
        <f>IF(R261="","",COUNTIFS($C$5:$C$6004,R261,$O$5:$O$6004,"CONCLUÍDA"))</f>
        <v/>
      </c>
      <c r="X261" s="2">
        <f>IF(R261="","",COUNTIFS($C$5:$C$6004,R261,$O$5:$O$6004,"EM ANDAMENTO"))</f>
        <v/>
      </c>
      <c r="Y261" s="2">
        <f>IF(R261="","",IF(COUNTIFS($C$5:$C$6004,R261,$O$5:$O$6004,"CONCLUÍDA",$N$5:$N$6004,"&gt;=-99")=0,"",_xlfn.MAXIFS($N$5:$N$6004,$C$5:$C$6004,R261,$O$5:$O$6004,"CONCLUÍDA")))</f>
        <v/>
      </c>
      <c r="Z261" s="2">
        <f>IF(R261="","",IF(COUNTIFS($C$5:$C$6004,R261,$O$5:$O$6004,"EM ANDAMENTO",$N$5:$N$6004,"&gt;=-99")=0,"",_xlfn.MAXIFS($N$5:$N$6004,$C$5:$C$6004,R261,$O$5:$O$6004,"EM ANDAMENTO")))</f>
        <v/>
      </c>
      <c r="AA261" s="2">
        <f>IF(OR(R261="",S261="",U261&lt;&gt;"SIM",V261=0),"",IF(W261+X261=0,"",T261&amp;": "&amp;IF(W261=V261,"concluído",IF(W261=0,"em execução"&amp;IF(Z261&lt;&gt;""," ("&amp;IF(Z261&lt;0,IF(COUNTIF($E$5:$E$6004,"SUBSOLO*")&gt;0,"subsolo",-Z261&amp;"º subsolo"),IF(Z261=0,"térreo",Z261&amp;"º pav."))&amp;")",""),IF(Y261&lt;&gt;"","até "&amp;IF(Y261&lt;0,IF(COUNTIF($E$5:$E$6004,"SUBSOLO*")&gt;0,"subsolo",-Y261&amp;"º subsolo"),IF(Y261=0,"térreo",Y261&amp;"º pav.")),W261&amp;" de "&amp;V261&amp;" concluídas")&amp;IF(Z261="","",IF(OR(Y261="",Z261&gt;Y261),", executando "&amp;IF(Z261&lt;0,IF(COUNTIF($E$5:$E$6004,"SUBSOLO*")&gt;0,"subsolo",-Z261&amp;"º subsolo"),IF(Z261=0,"térreo",Z261&amp;"º pav."))," (restam serviços no "&amp;IF(Z261&lt;0,IF(COUNTIF($E$5:$E$6004,"SUBSOLO*")&gt;0,"subsolo",-Z261&amp;"º subsolo"),IF(Z261=0,"térreo",Z261&amp;"º pav."))&amp;")"))))))</f>
        <v/>
      </c>
    </row>
    <row r="262">
      <c r="B262" s="4" t="n">
        <v>31528962</v>
      </c>
      <c r="C262" s="4" t="inlineStr">
        <is>
          <t>ESTRUTURA</t>
        </is>
      </c>
      <c r="D262" s="4" t="inlineStr">
        <is>
          <t>Concretagem</t>
        </is>
      </c>
      <c r="E262" s="4" t="inlineStr">
        <is>
          <t>3º PAV - GARAGEM</t>
        </is>
      </c>
      <c r="F262" s="126" t="n">
        <v>46321</v>
      </c>
      <c r="G262" s="126" t="n">
        <v>46321</v>
      </c>
      <c r="H262" s="126" t="n">
        <v>46289</v>
      </c>
      <c r="I262" s="4" t="n">
        <v>0</v>
      </c>
      <c r="J262" s="4" t="n">
        <v>0</v>
      </c>
      <c r="K262" s="4" t="n">
        <v>0</v>
      </c>
      <c r="M262" s="2">
        <f>IF(C262="","",IFERROR(INDEX($S$5:$S$304,MATCH(C262,$R$5:$R$304,0))&amp;"","?"))</f>
        <v/>
      </c>
      <c r="N262" s="2">
        <f>IF(E262="","",IF(ISNUMBER(SEARCH("SUBSOLO",E262)),IFERROR(-VALUE(LEFT(E262,FIND("º",SUBSTITUTE(E262,"°","º"))-1)),-1),IF(LEFT(E262,6)="TÉRREO",0,IFERROR(VALUE(LEFT(E262,FIND("º",SUBSTITUTE(E262,"°","º"))-1)),""))))</f>
        <v/>
      </c>
      <c r="O262" s="2">
        <f>IF(OR(F262="",G262=""),"",IF(G262&lt;='RETRATO 2027'!$K$5,"CONCLUÍDA",IF(F262&lt;='RETRATO 2027'!$K$5,"EM ANDAMENTO","A INICIAR")))</f>
        <v/>
      </c>
      <c r="R262" s="4" t="n"/>
      <c r="S262" s="4" t="n"/>
      <c r="T262" s="4" t="n"/>
      <c r="U262" s="4" t="n"/>
      <c r="V262" s="2">
        <f>IF(R262="","",COUNTIF($C$5:$C$6004,R262))</f>
        <v/>
      </c>
      <c r="W262" s="2">
        <f>IF(R262="","",COUNTIFS($C$5:$C$6004,R262,$O$5:$O$6004,"CONCLUÍDA"))</f>
        <v/>
      </c>
      <c r="X262" s="2">
        <f>IF(R262="","",COUNTIFS($C$5:$C$6004,R262,$O$5:$O$6004,"EM ANDAMENTO"))</f>
        <v/>
      </c>
      <c r="Y262" s="2">
        <f>IF(R262="","",IF(COUNTIFS($C$5:$C$6004,R262,$O$5:$O$6004,"CONCLUÍDA",$N$5:$N$6004,"&gt;=-99")=0,"",_xlfn.MAXIFS($N$5:$N$6004,$C$5:$C$6004,R262,$O$5:$O$6004,"CONCLUÍDA")))</f>
        <v/>
      </c>
      <c r="Z262" s="2">
        <f>IF(R262="","",IF(COUNTIFS($C$5:$C$6004,R262,$O$5:$O$6004,"EM ANDAMENTO",$N$5:$N$6004,"&gt;=-99")=0,"",_xlfn.MAXIFS($N$5:$N$6004,$C$5:$C$6004,R262,$O$5:$O$6004,"EM ANDAMENTO")))</f>
        <v/>
      </c>
      <c r="AA262" s="2">
        <f>IF(OR(R262="",S262="",U262&lt;&gt;"SIM",V262=0),"",IF(W262+X262=0,"",T262&amp;": "&amp;IF(W262=V262,"concluído",IF(W262=0,"em execução"&amp;IF(Z262&lt;&gt;""," ("&amp;IF(Z262&lt;0,IF(COUNTIF($E$5:$E$6004,"SUBSOLO*")&gt;0,"subsolo",-Z262&amp;"º subsolo"),IF(Z262=0,"térreo",Z262&amp;"º pav."))&amp;")",""),IF(Y262&lt;&gt;"","até "&amp;IF(Y262&lt;0,IF(COUNTIF($E$5:$E$6004,"SUBSOLO*")&gt;0,"subsolo",-Y262&amp;"º subsolo"),IF(Y262=0,"térreo",Y262&amp;"º pav.")),W262&amp;" de "&amp;V262&amp;" concluídas")&amp;IF(Z262="","",IF(OR(Y262="",Z262&gt;Y262),", executando "&amp;IF(Z262&lt;0,IF(COUNTIF($E$5:$E$6004,"SUBSOLO*")&gt;0,"subsolo",-Z262&amp;"º subsolo"),IF(Z262=0,"térreo",Z262&amp;"º pav."))," (restam serviços no "&amp;IF(Z262&lt;0,IF(COUNTIF($E$5:$E$6004,"SUBSOLO*")&gt;0,"subsolo",-Z262&amp;"º subsolo"),IF(Z262=0,"térreo",Z262&amp;"º pav."))&amp;")"))))))</f>
        <v/>
      </c>
    </row>
    <row r="263">
      <c r="B263" s="4" t="n">
        <v>31528963</v>
      </c>
      <c r="C263" s="4" t="inlineStr">
        <is>
          <t>ESTRUTURA</t>
        </is>
      </c>
      <c r="D263" s="4" t="inlineStr">
        <is>
          <t>Polimento</t>
        </is>
      </c>
      <c r="E263" s="4" t="inlineStr">
        <is>
          <t>3º PAV - GARAGEM</t>
        </is>
      </c>
      <c r="F263" s="126" t="n">
        <v>46321</v>
      </c>
      <c r="G263" s="126" t="n">
        <v>46321</v>
      </c>
      <c r="H263" s="126" t="n">
        <v>46289</v>
      </c>
      <c r="I263" s="4" t="n">
        <v>0</v>
      </c>
      <c r="J263" s="4" t="n">
        <v>0</v>
      </c>
      <c r="K263" s="4" t="n">
        <v>0</v>
      </c>
      <c r="M263" s="2">
        <f>IF(C263="","",IFERROR(INDEX($S$5:$S$304,MATCH(C263,$R$5:$R$304,0))&amp;"","?"))</f>
        <v/>
      </c>
      <c r="N263" s="2">
        <f>IF(E263="","",IF(ISNUMBER(SEARCH("SUBSOLO",E263)),IFERROR(-VALUE(LEFT(E263,FIND("º",SUBSTITUTE(E263,"°","º"))-1)),-1),IF(LEFT(E263,6)="TÉRREO",0,IFERROR(VALUE(LEFT(E263,FIND("º",SUBSTITUTE(E263,"°","º"))-1)),""))))</f>
        <v/>
      </c>
      <c r="O263" s="2">
        <f>IF(OR(F263="",G263=""),"",IF(G263&lt;='RETRATO 2027'!$K$5,"CONCLUÍDA",IF(F263&lt;='RETRATO 2027'!$K$5,"EM ANDAMENTO","A INICIAR")))</f>
        <v/>
      </c>
      <c r="R263" s="4" t="n"/>
      <c r="S263" s="4" t="n"/>
      <c r="T263" s="4" t="n"/>
      <c r="U263" s="4" t="n"/>
      <c r="V263" s="2">
        <f>IF(R263="","",COUNTIF($C$5:$C$6004,R263))</f>
        <v/>
      </c>
      <c r="W263" s="2">
        <f>IF(R263="","",COUNTIFS($C$5:$C$6004,R263,$O$5:$O$6004,"CONCLUÍDA"))</f>
        <v/>
      </c>
      <c r="X263" s="2">
        <f>IF(R263="","",COUNTIFS($C$5:$C$6004,R263,$O$5:$O$6004,"EM ANDAMENTO"))</f>
        <v/>
      </c>
      <c r="Y263" s="2">
        <f>IF(R263="","",IF(COUNTIFS($C$5:$C$6004,R263,$O$5:$O$6004,"CONCLUÍDA",$N$5:$N$6004,"&gt;=-99")=0,"",_xlfn.MAXIFS($N$5:$N$6004,$C$5:$C$6004,R263,$O$5:$O$6004,"CONCLUÍDA")))</f>
        <v/>
      </c>
      <c r="Z263" s="2">
        <f>IF(R263="","",IF(COUNTIFS($C$5:$C$6004,R263,$O$5:$O$6004,"EM ANDAMENTO",$N$5:$N$6004,"&gt;=-99")=0,"",_xlfn.MAXIFS($N$5:$N$6004,$C$5:$C$6004,R263,$O$5:$O$6004,"EM ANDAMENTO")))</f>
        <v/>
      </c>
      <c r="AA263" s="2">
        <f>IF(OR(R263="",S263="",U263&lt;&gt;"SIM",V263=0),"",IF(W263+X263=0,"",T263&amp;": "&amp;IF(W263=V263,"concluído",IF(W263=0,"em execução"&amp;IF(Z263&lt;&gt;""," ("&amp;IF(Z263&lt;0,IF(COUNTIF($E$5:$E$6004,"SUBSOLO*")&gt;0,"subsolo",-Z263&amp;"º subsolo"),IF(Z263=0,"térreo",Z263&amp;"º pav."))&amp;")",""),IF(Y263&lt;&gt;"","até "&amp;IF(Y263&lt;0,IF(COUNTIF($E$5:$E$6004,"SUBSOLO*")&gt;0,"subsolo",-Y263&amp;"º subsolo"),IF(Y263=0,"térreo",Y263&amp;"º pav.")),W263&amp;" de "&amp;V263&amp;" concluídas")&amp;IF(Z263="","",IF(OR(Y263="",Z263&gt;Y263),", executando "&amp;IF(Z263&lt;0,IF(COUNTIF($E$5:$E$6004,"SUBSOLO*")&gt;0,"subsolo",-Z263&amp;"º subsolo"),IF(Z263=0,"térreo",Z263&amp;"º pav."))," (restam serviços no "&amp;IF(Z263&lt;0,IF(COUNTIF($E$5:$E$6004,"SUBSOLO*")&gt;0,"subsolo",-Z263&amp;"º subsolo"),IF(Z263=0,"térreo",Z263&amp;"º pav."))&amp;")"))))))</f>
        <v/>
      </c>
    </row>
    <row r="264">
      <c r="B264" s="4" t="n">
        <v>46237049</v>
      </c>
      <c r="C264" s="4" t="inlineStr">
        <is>
          <t>CINTAS FASE 2</t>
        </is>
      </c>
      <c r="D264" s="4" t="inlineStr">
        <is>
          <t>-</t>
        </is>
      </c>
      <c r="E264" s="4" t="inlineStr">
        <is>
          <t>SERVIÇOS INICIAIS</t>
        </is>
      </c>
      <c r="F264" s="126" t="n">
        <v>46297</v>
      </c>
      <c r="G264" s="126" t="n">
        <v>46311</v>
      </c>
      <c r="H264" s="126" t="n">
        <v>46289</v>
      </c>
      <c r="I264" s="4" t="n">
        <v>0</v>
      </c>
      <c r="J264" s="4" t="n">
        <v>0</v>
      </c>
      <c r="K264" s="4" t="n">
        <v>0</v>
      </c>
      <c r="M264" s="2">
        <f>IF(C264="","",IFERROR(INDEX($S$5:$S$304,MATCH(C264,$R$5:$R$304,0))&amp;"","?"))</f>
        <v/>
      </c>
      <c r="N264" s="2">
        <f>IF(E264="","",IF(ISNUMBER(SEARCH("SUBSOLO",E264)),IFERROR(-VALUE(LEFT(E264,FIND("º",SUBSTITUTE(E264,"°","º"))-1)),-1),IF(LEFT(E264,6)="TÉRREO",0,IFERROR(VALUE(LEFT(E264,FIND("º",SUBSTITUTE(E264,"°","º"))-1)),""))))</f>
        <v/>
      </c>
      <c r="O264" s="2">
        <f>IF(OR(F264="",G264=""),"",IF(G264&lt;='RETRATO 2027'!$K$5,"CONCLUÍDA",IF(F264&lt;='RETRATO 2027'!$K$5,"EM ANDAMENTO","A INICIAR")))</f>
        <v/>
      </c>
      <c r="R264" s="4" t="n"/>
      <c r="S264" s="4" t="n"/>
      <c r="T264" s="4" t="n"/>
      <c r="U264" s="4" t="n"/>
      <c r="V264" s="2">
        <f>IF(R264="","",COUNTIF($C$5:$C$6004,R264))</f>
        <v/>
      </c>
      <c r="W264" s="2">
        <f>IF(R264="","",COUNTIFS($C$5:$C$6004,R264,$O$5:$O$6004,"CONCLUÍDA"))</f>
        <v/>
      </c>
      <c r="X264" s="2">
        <f>IF(R264="","",COUNTIFS($C$5:$C$6004,R264,$O$5:$O$6004,"EM ANDAMENTO"))</f>
        <v/>
      </c>
      <c r="Y264" s="2">
        <f>IF(R264="","",IF(COUNTIFS($C$5:$C$6004,R264,$O$5:$O$6004,"CONCLUÍDA",$N$5:$N$6004,"&gt;=-99")=0,"",_xlfn.MAXIFS($N$5:$N$6004,$C$5:$C$6004,R264,$O$5:$O$6004,"CONCLUÍDA")))</f>
        <v/>
      </c>
      <c r="Z264" s="2">
        <f>IF(R264="","",IF(COUNTIFS($C$5:$C$6004,R264,$O$5:$O$6004,"EM ANDAMENTO",$N$5:$N$6004,"&gt;=-99")=0,"",_xlfn.MAXIFS($N$5:$N$6004,$C$5:$C$6004,R264,$O$5:$O$6004,"EM ANDAMENTO")))</f>
        <v/>
      </c>
      <c r="AA264" s="2">
        <f>IF(OR(R264="",S264="",U264&lt;&gt;"SIM",V264=0),"",IF(W264+X264=0,"",T264&amp;": "&amp;IF(W264=V264,"concluído",IF(W264=0,"em execução"&amp;IF(Z264&lt;&gt;""," ("&amp;IF(Z264&lt;0,IF(COUNTIF($E$5:$E$6004,"SUBSOLO*")&gt;0,"subsolo",-Z264&amp;"º subsolo"),IF(Z264=0,"térreo",Z264&amp;"º pav."))&amp;")",""),IF(Y264&lt;&gt;"","até "&amp;IF(Y264&lt;0,IF(COUNTIF($E$5:$E$6004,"SUBSOLO*")&gt;0,"subsolo",-Y264&amp;"º subsolo"),IF(Y264=0,"térreo",Y264&amp;"º pav.")),W264&amp;" de "&amp;V264&amp;" concluídas")&amp;IF(Z264="","",IF(OR(Y264="",Z264&gt;Y264),", executando "&amp;IF(Z264&lt;0,IF(COUNTIF($E$5:$E$6004,"SUBSOLO*")&gt;0,"subsolo",-Z264&amp;"º subsolo"),IF(Z264=0,"térreo",Z264&amp;"º pav."))," (restam serviços no "&amp;IF(Z264&lt;0,IF(COUNTIF($E$5:$E$6004,"SUBSOLO*")&gt;0,"subsolo",-Z264&amp;"º subsolo"),IF(Z264=0,"térreo",Z264&amp;"º pav."))&amp;")"))))))</f>
        <v/>
      </c>
    </row>
    <row r="265">
      <c r="B265" s="4" t="n">
        <v>30974183</v>
      </c>
      <c r="C265" s="4" t="inlineStr">
        <is>
          <t>CINTAS FASE 2</t>
        </is>
      </c>
      <c r="D265" s="4" t="inlineStr">
        <is>
          <t>Escavação - C 22 / 23 / 26 / 27 / 34 / 37 /43 / 46</t>
        </is>
      </c>
      <c r="E265" s="4" t="inlineStr">
        <is>
          <t>SERVIÇOS INICIAIS</t>
        </is>
      </c>
      <c r="F265" s="126" t="n">
        <v>46297</v>
      </c>
      <c r="G265" s="126" t="n">
        <v>46302</v>
      </c>
      <c r="H265" s="126" t="n">
        <v>46289</v>
      </c>
      <c r="I265" s="4" t="n">
        <v>0</v>
      </c>
      <c r="J265" s="4" t="n">
        <v>0</v>
      </c>
      <c r="K265" s="4" t="n">
        <v>0</v>
      </c>
      <c r="M265" s="2">
        <f>IF(C265="","",IFERROR(INDEX($S$5:$S$304,MATCH(C265,$R$5:$R$304,0))&amp;"","?"))</f>
        <v/>
      </c>
      <c r="N265" s="2">
        <f>IF(E265="","",IF(ISNUMBER(SEARCH("SUBSOLO",E265)),IFERROR(-VALUE(LEFT(E265,FIND("º",SUBSTITUTE(E265,"°","º"))-1)),-1),IF(LEFT(E265,6)="TÉRREO",0,IFERROR(VALUE(LEFT(E265,FIND("º",SUBSTITUTE(E265,"°","º"))-1)),""))))</f>
        <v/>
      </c>
      <c r="O265" s="2">
        <f>IF(OR(F265="",G265=""),"",IF(G265&lt;='RETRATO 2027'!$K$5,"CONCLUÍDA",IF(F265&lt;='RETRATO 2027'!$K$5,"EM ANDAMENTO","A INICIAR")))</f>
        <v/>
      </c>
      <c r="R265" s="4" t="n"/>
      <c r="S265" s="4" t="n"/>
      <c r="T265" s="4" t="n"/>
      <c r="U265" s="4" t="n"/>
      <c r="V265" s="2">
        <f>IF(R265="","",COUNTIF($C$5:$C$6004,R265))</f>
        <v/>
      </c>
      <c r="W265" s="2">
        <f>IF(R265="","",COUNTIFS($C$5:$C$6004,R265,$O$5:$O$6004,"CONCLUÍDA"))</f>
        <v/>
      </c>
      <c r="X265" s="2">
        <f>IF(R265="","",COUNTIFS($C$5:$C$6004,R265,$O$5:$O$6004,"EM ANDAMENTO"))</f>
        <v/>
      </c>
      <c r="Y265" s="2">
        <f>IF(R265="","",IF(COUNTIFS($C$5:$C$6004,R265,$O$5:$O$6004,"CONCLUÍDA",$N$5:$N$6004,"&gt;=-99")=0,"",_xlfn.MAXIFS($N$5:$N$6004,$C$5:$C$6004,R265,$O$5:$O$6004,"CONCLUÍDA")))</f>
        <v/>
      </c>
      <c r="Z265" s="2">
        <f>IF(R265="","",IF(COUNTIFS($C$5:$C$6004,R265,$O$5:$O$6004,"EM ANDAMENTO",$N$5:$N$6004,"&gt;=-99")=0,"",_xlfn.MAXIFS($N$5:$N$6004,$C$5:$C$6004,R265,$O$5:$O$6004,"EM ANDAMENTO")))</f>
        <v/>
      </c>
      <c r="AA265" s="2">
        <f>IF(OR(R265="",S265="",U265&lt;&gt;"SIM",V265=0),"",IF(W265+X265=0,"",T265&amp;": "&amp;IF(W265=V265,"concluído",IF(W265=0,"em execução"&amp;IF(Z265&lt;&gt;""," ("&amp;IF(Z265&lt;0,IF(COUNTIF($E$5:$E$6004,"SUBSOLO*")&gt;0,"subsolo",-Z265&amp;"º subsolo"),IF(Z265=0,"térreo",Z265&amp;"º pav."))&amp;")",""),IF(Y265&lt;&gt;"","até "&amp;IF(Y265&lt;0,IF(COUNTIF($E$5:$E$6004,"SUBSOLO*")&gt;0,"subsolo",-Y265&amp;"º subsolo"),IF(Y265=0,"térreo",Y265&amp;"º pav.")),W265&amp;" de "&amp;V265&amp;" concluídas")&amp;IF(Z265="","",IF(OR(Y265="",Z265&gt;Y265),", executando "&amp;IF(Z265&lt;0,IF(COUNTIF($E$5:$E$6004,"SUBSOLO*")&gt;0,"subsolo",-Z265&amp;"º subsolo"),IF(Z265=0,"térreo",Z265&amp;"º pav."))," (restam serviços no "&amp;IF(Z265&lt;0,IF(COUNTIF($E$5:$E$6004,"SUBSOLO*")&gt;0,"subsolo",-Z265&amp;"º subsolo"),IF(Z265=0,"térreo",Z265&amp;"º pav."))&amp;")"))))))</f>
        <v/>
      </c>
    </row>
    <row r="266">
      <c r="B266" s="4" t="n">
        <v>30974184</v>
      </c>
      <c r="C266" s="4" t="inlineStr">
        <is>
          <t>CINTAS FASE 2</t>
        </is>
      </c>
      <c r="D266" s="4" t="inlineStr">
        <is>
          <t>Forma e Armação - C 22 / 23 / 26 / 27 / 34 / 37 /43 / 46</t>
        </is>
      </c>
      <c r="E266" s="4" t="inlineStr">
        <is>
          <t>SERVIÇOS INICIAIS</t>
        </is>
      </c>
      <c r="F266" s="126" t="n">
        <v>46303</v>
      </c>
      <c r="G266" s="126" t="n">
        <v>46309</v>
      </c>
      <c r="H266" s="126" t="n">
        <v>46289</v>
      </c>
      <c r="I266" s="4" t="n">
        <v>0</v>
      </c>
      <c r="J266" s="4" t="n">
        <v>0</v>
      </c>
      <c r="K266" s="4" t="n">
        <v>0</v>
      </c>
      <c r="M266" s="2">
        <f>IF(C266="","",IFERROR(INDEX($S$5:$S$304,MATCH(C266,$R$5:$R$304,0))&amp;"","?"))</f>
        <v/>
      </c>
      <c r="N266" s="2">
        <f>IF(E266="","",IF(ISNUMBER(SEARCH("SUBSOLO",E266)),IFERROR(-VALUE(LEFT(E266,FIND("º",SUBSTITUTE(E266,"°","º"))-1)),-1),IF(LEFT(E266,6)="TÉRREO",0,IFERROR(VALUE(LEFT(E266,FIND("º",SUBSTITUTE(E266,"°","º"))-1)),""))))</f>
        <v/>
      </c>
      <c r="O266" s="2">
        <f>IF(OR(F266="",G266=""),"",IF(G266&lt;='RETRATO 2027'!$K$5,"CONCLUÍDA",IF(F266&lt;='RETRATO 2027'!$K$5,"EM ANDAMENTO","A INICIAR")))</f>
        <v/>
      </c>
      <c r="R266" s="4" t="n"/>
      <c r="S266" s="4" t="n"/>
      <c r="T266" s="4" t="n"/>
      <c r="U266" s="4" t="n"/>
      <c r="V266" s="2">
        <f>IF(R266="","",COUNTIF($C$5:$C$6004,R266))</f>
        <v/>
      </c>
      <c r="W266" s="2">
        <f>IF(R266="","",COUNTIFS($C$5:$C$6004,R266,$O$5:$O$6004,"CONCLUÍDA"))</f>
        <v/>
      </c>
      <c r="X266" s="2">
        <f>IF(R266="","",COUNTIFS($C$5:$C$6004,R266,$O$5:$O$6004,"EM ANDAMENTO"))</f>
        <v/>
      </c>
      <c r="Y266" s="2">
        <f>IF(R266="","",IF(COUNTIFS($C$5:$C$6004,R266,$O$5:$O$6004,"CONCLUÍDA",$N$5:$N$6004,"&gt;=-99")=0,"",_xlfn.MAXIFS($N$5:$N$6004,$C$5:$C$6004,R266,$O$5:$O$6004,"CONCLUÍDA")))</f>
        <v/>
      </c>
      <c r="Z266" s="2">
        <f>IF(R266="","",IF(COUNTIFS($C$5:$C$6004,R266,$O$5:$O$6004,"EM ANDAMENTO",$N$5:$N$6004,"&gt;=-99")=0,"",_xlfn.MAXIFS($N$5:$N$6004,$C$5:$C$6004,R266,$O$5:$O$6004,"EM ANDAMENTO")))</f>
        <v/>
      </c>
      <c r="AA266" s="2">
        <f>IF(OR(R266="",S266="",U266&lt;&gt;"SIM",V266=0),"",IF(W266+X266=0,"",T266&amp;": "&amp;IF(W266=V266,"concluído",IF(W266=0,"em execução"&amp;IF(Z266&lt;&gt;""," ("&amp;IF(Z266&lt;0,IF(COUNTIF($E$5:$E$6004,"SUBSOLO*")&gt;0,"subsolo",-Z266&amp;"º subsolo"),IF(Z266=0,"térreo",Z266&amp;"º pav."))&amp;")",""),IF(Y266&lt;&gt;"","até "&amp;IF(Y266&lt;0,IF(COUNTIF($E$5:$E$6004,"SUBSOLO*")&gt;0,"subsolo",-Y266&amp;"º subsolo"),IF(Y266=0,"térreo",Y266&amp;"º pav.")),W266&amp;" de "&amp;V266&amp;" concluídas")&amp;IF(Z266="","",IF(OR(Y266="",Z266&gt;Y266),", executando "&amp;IF(Z266&lt;0,IF(COUNTIF($E$5:$E$6004,"SUBSOLO*")&gt;0,"subsolo",-Z266&amp;"º subsolo"),IF(Z266=0,"térreo",Z266&amp;"º pav."))," (restam serviços no "&amp;IF(Z266&lt;0,IF(COUNTIF($E$5:$E$6004,"SUBSOLO*")&gt;0,"subsolo",-Z266&amp;"º subsolo"),IF(Z266=0,"térreo",Z266&amp;"º pav."))&amp;")"))))))</f>
        <v/>
      </c>
    </row>
    <row r="267">
      <c r="B267" s="4" t="n">
        <v>30974185</v>
      </c>
      <c r="C267" s="4" t="inlineStr">
        <is>
          <t>CINTAS FASE 2</t>
        </is>
      </c>
      <c r="D267" s="4" t="inlineStr">
        <is>
          <t>Concreto - C 22 / 23 / 26 / 27 / 34 / 37 /43 / 46</t>
        </is>
      </c>
      <c r="E267" s="4" t="inlineStr">
        <is>
          <t>SERVIÇOS INICIAIS</t>
        </is>
      </c>
      <c r="F267" s="126" t="n">
        <v>46310</v>
      </c>
      <c r="G267" s="126" t="n">
        <v>46311</v>
      </c>
      <c r="H267" s="126" t="n">
        <v>46289</v>
      </c>
      <c r="I267" s="4" t="n">
        <v>0</v>
      </c>
      <c r="J267" s="4" t="n">
        <v>0</v>
      </c>
      <c r="K267" s="4" t="n">
        <v>0</v>
      </c>
      <c r="M267" s="2">
        <f>IF(C267="","",IFERROR(INDEX($S$5:$S$304,MATCH(C267,$R$5:$R$304,0))&amp;"","?"))</f>
        <v/>
      </c>
      <c r="N267" s="2">
        <f>IF(E267="","",IF(ISNUMBER(SEARCH("SUBSOLO",E267)),IFERROR(-VALUE(LEFT(E267,FIND("º",SUBSTITUTE(E267,"°","º"))-1)),-1),IF(LEFT(E267,6)="TÉRREO",0,IFERROR(VALUE(LEFT(E267,FIND("º",SUBSTITUTE(E267,"°","º"))-1)),""))))</f>
        <v/>
      </c>
      <c r="O267" s="2">
        <f>IF(OR(F267="",G267=""),"",IF(G267&lt;='RETRATO 2027'!$K$5,"CONCLUÍDA",IF(F267&lt;='RETRATO 2027'!$K$5,"EM ANDAMENTO","A INICIAR")))</f>
        <v/>
      </c>
      <c r="R267" s="4" t="n"/>
      <c r="S267" s="4" t="n"/>
      <c r="T267" s="4" t="n"/>
      <c r="U267" s="4" t="n"/>
      <c r="V267" s="2">
        <f>IF(R267="","",COUNTIF($C$5:$C$6004,R267))</f>
        <v/>
      </c>
      <c r="W267" s="2">
        <f>IF(R267="","",COUNTIFS($C$5:$C$6004,R267,$O$5:$O$6004,"CONCLUÍDA"))</f>
        <v/>
      </c>
      <c r="X267" s="2">
        <f>IF(R267="","",COUNTIFS($C$5:$C$6004,R267,$O$5:$O$6004,"EM ANDAMENTO"))</f>
        <v/>
      </c>
      <c r="Y267" s="2">
        <f>IF(R267="","",IF(COUNTIFS($C$5:$C$6004,R267,$O$5:$O$6004,"CONCLUÍDA",$N$5:$N$6004,"&gt;=-99")=0,"",_xlfn.MAXIFS($N$5:$N$6004,$C$5:$C$6004,R267,$O$5:$O$6004,"CONCLUÍDA")))</f>
        <v/>
      </c>
      <c r="Z267" s="2">
        <f>IF(R267="","",IF(COUNTIFS($C$5:$C$6004,R267,$O$5:$O$6004,"EM ANDAMENTO",$N$5:$N$6004,"&gt;=-99")=0,"",_xlfn.MAXIFS($N$5:$N$6004,$C$5:$C$6004,R267,$O$5:$O$6004,"EM ANDAMENTO")))</f>
        <v/>
      </c>
      <c r="AA267" s="2">
        <f>IF(OR(R267="",S267="",U267&lt;&gt;"SIM",V267=0),"",IF(W267+X267=0,"",T267&amp;": "&amp;IF(W267=V267,"concluído",IF(W267=0,"em execução"&amp;IF(Z267&lt;&gt;""," ("&amp;IF(Z267&lt;0,IF(COUNTIF($E$5:$E$6004,"SUBSOLO*")&gt;0,"subsolo",-Z267&amp;"º subsolo"),IF(Z267=0,"térreo",Z267&amp;"º pav."))&amp;")",""),IF(Y267&lt;&gt;"","até "&amp;IF(Y267&lt;0,IF(COUNTIF($E$5:$E$6004,"SUBSOLO*")&gt;0,"subsolo",-Y267&amp;"º subsolo"),IF(Y267=0,"térreo",Y267&amp;"º pav.")),W267&amp;" de "&amp;V267&amp;" concluídas")&amp;IF(Z267="","",IF(OR(Y267="",Z267&gt;Y267),", executando "&amp;IF(Z267&lt;0,IF(COUNTIF($E$5:$E$6004,"SUBSOLO*")&gt;0,"subsolo",-Z267&amp;"º subsolo"),IF(Z267=0,"térreo",Z267&amp;"º pav."))," (restam serviços no "&amp;IF(Z267&lt;0,IF(COUNTIF($E$5:$E$6004,"SUBSOLO*")&gt;0,"subsolo",-Z267&amp;"º subsolo"),IF(Z267=0,"térreo",Z267&amp;"º pav."))&amp;")"))))))</f>
        <v/>
      </c>
    </row>
    <row r="268">
      <c r="B268" s="4" t="n">
        <v>35594308</v>
      </c>
      <c r="C268" s="4" t="inlineStr">
        <is>
          <t>FECHAMENTO DE CORTINA - CONTENÇÕES</t>
        </is>
      </c>
      <c r="D268" s="4" t="inlineStr">
        <is>
          <t>-</t>
        </is>
      </c>
      <c r="E268" s="4" t="inlineStr">
        <is>
          <t>SERVIÇOS INICIAIS</t>
        </is>
      </c>
      <c r="F268" s="126" t="n">
        <v>46314</v>
      </c>
      <c r="G268" s="126" t="n">
        <v>46356</v>
      </c>
      <c r="H268" s="126" t="n">
        <v>46289</v>
      </c>
      <c r="I268" s="4" t="n">
        <v>0</v>
      </c>
      <c r="J268" s="4" t="n">
        <v>0</v>
      </c>
      <c r="K268" s="4" t="n">
        <v>0</v>
      </c>
      <c r="M268" s="2">
        <f>IF(C268="","",IFERROR(INDEX($S$5:$S$304,MATCH(C268,$R$5:$R$304,0))&amp;"","?"))</f>
        <v/>
      </c>
      <c r="N268" s="2">
        <f>IF(E268="","",IF(ISNUMBER(SEARCH("SUBSOLO",E268)),IFERROR(-VALUE(LEFT(E268,FIND("º",SUBSTITUTE(E268,"°","º"))-1)),-1),IF(LEFT(E268,6)="TÉRREO",0,IFERROR(VALUE(LEFT(E268,FIND("º",SUBSTITUTE(E268,"°","º"))-1)),""))))</f>
        <v/>
      </c>
      <c r="O268" s="2">
        <f>IF(OR(F268="",G268=""),"",IF(G268&lt;='RETRATO 2027'!$K$5,"CONCLUÍDA",IF(F268&lt;='RETRATO 2027'!$K$5,"EM ANDAMENTO","A INICIAR")))</f>
        <v/>
      </c>
      <c r="R268" s="4" t="n"/>
      <c r="S268" s="4" t="n"/>
      <c r="T268" s="4" t="n"/>
      <c r="U268" s="4" t="n"/>
      <c r="V268" s="2">
        <f>IF(R268="","",COUNTIF($C$5:$C$6004,R268))</f>
        <v/>
      </c>
      <c r="W268" s="2">
        <f>IF(R268="","",COUNTIFS($C$5:$C$6004,R268,$O$5:$O$6004,"CONCLUÍDA"))</f>
        <v/>
      </c>
      <c r="X268" s="2">
        <f>IF(R268="","",COUNTIFS($C$5:$C$6004,R268,$O$5:$O$6004,"EM ANDAMENTO"))</f>
        <v/>
      </c>
      <c r="Y268" s="2">
        <f>IF(R268="","",IF(COUNTIFS($C$5:$C$6004,R268,$O$5:$O$6004,"CONCLUÍDA",$N$5:$N$6004,"&gt;=-99")=0,"",_xlfn.MAXIFS($N$5:$N$6004,$C$5:$C$6004,R268,$O$5:$O$6004,"CONCLUÍDA")))</f>
        <v/>
      </c>
      <c r="Z268" s="2">
        <f>IF(R268="","",IF(COUNTIFS($C$5:$C$6004,R268,$O$5:$O$6004,"EM ANDAMENTO",$N$5:$N$6004,"&gt;=-99")=0,"",_xlfn.MAXIFS($N$5:$N$6004,$C$5:$C$6004,R268,$O$5:$O$6004,"EM ANDAMENTO")))</f>
        <v/>
      </c>
      <c r="AA268" s="2">
        <f>IF(OR(R268="",S268="",U268&lt;&gt;"SIM",V268=0),"",IF(W268+X268=0,"",T268&amp;": "&amp;IF(W268=V268,"concluído",IF(W268=0,"em execução"&amp;IF(Z268&lt;&gt;""," ("&amp;IF(Z268&lt;0,IF(COUNTIF($E$5:$E$6004,"SUBSOLO*")&gt;0,"subsolo",-Z268&amp;"º subsolo"),IF(Z268=0,"térreo",Z268&amp;"º pav."))&amp;")",""),IF(Y268&lt;&gt;"","até "&amp;IF(Y268&lt;0,IF(COUNTIF($E$5:$E$6004,"SUBSOLO*")&gt;0,"subsolo",-Y268&amp;"º subsolo"),IF(Y268=0,"térreo",Y268&amp;"º pav.")),W268&amp;" de "&amp;V268&amp;" concluídas")&amp;IF(Z268="","",IF(OR(Y268="",Z268&gt;Y268),", executando "&amp;IF(Z268&lt;0,IF(COUNTIF($E$5:$E$6004,"SUBSOLO*")&gt;0,"subsolo",-Z268&amp;"º subsolo"),IF(Z268=0,"térreo",Z268&amp;"º pav."))," (restam serviços no "&amp;IF(Z268&lt;0,IF(COUNTIF($E$5:$E$6004,"SUBSOLO*")&gt;0,"subsolo",-Z268&amp;"º subsolo"),IF(Z268=0,"térreo",Z268&amp;"º pav."))&amp;")"))))))</f>
        <v/>
      </c>
    </row>
    <row r="269">
      <c r="B269" s="4" t="n">
        <v>46237078</v>
      </c>
      <c r="C269" s="4" t="inlineStr">
        <is>
          <t>CINTAS FASE 3</t>
        </is>
      </c>
      <c r="D269" s="4" t="inlineStr">
        <is>
          <t>-</t>
        </is>
      </c>
      <c r="E269" s="4" t="inlineStr">
        <is>
          <t>SERVIÇOS INICIAIS</t>
        </is>
      </c>
      <c r="F269" s="126" t="n">
        <v>46314</v>
      </c>
      <c r="G269" s="126" t="n">
        <v>46325</v>
      </c>
      <c r="H269" s="126" t="n">
        <v>46289</v>
      </c>
      <c r="I269" s="4" t="n">
        <v>0</v>
      </c>
      <c r="J269" s="4" t="n">
        <v>0</v>
      </c>
      <c r="K269" s="4" t="n">
        <v>0</v>
      </c>
      <c r="M269" s="2">
        <f>IF(C269="","",IFERROR(INDEX($S$5:$S$304,MATCH(C269,$R$5:$R$304,0))&amp;"","?"))</f>
        <v/>
      </c>
      <c r="N269" s="2">
        <f>IF(E269="","",IF(ISNUMBER(SEARCH("SUBSOLO",E269)),IFERROR(-VALUE(LEFT(E269,FIND("º",SUBSTITUTE(E269,"°","º"))-1)),-1),IF(LEFT(E269,6)="TÉRREO",0,IFERROR(VALUE(LEFT(E269,FIND("º",SUBSTITUTE(E269,"°","º"))-1)),""))))</f>
        <v/>
      </c>
      <c r="O269" s="2">
        <f>IF(OR(F269="",G269=""),"",IF(G269&lt;='RETRATO 2027'!$K$5,"CONCLUÍDA",IF(F269&lt;='RETRATO 2027'!$K$5,"EM ANDAMENTO","A INICIAR")))</f>
        <v/>
      </c>
      <c r="R269" s="4" t="n"/>
      <c r="S269" s="4" t="n"/>
      <c r="T269" s="4" t="n"/>
      <c r="U269" s="4" t="n"/>
      <c r="V269" s="2">
        <f>IF(R269="","",COUNTIF($C$5:$C$6004,R269))</f>
        <v/>
      </c>
      <c r="W269" s="2">
        <f>IF(R269="","",COUNTIFS($C$5:$C$6004,R269,$O$5:$O$6004,"CONCLUÍDA"))</f>
        <v/>
      </c>
      <c r="X269" s="2">
        <f>IF(R269="","",COUNTIFS($C$5:$C$6004,R269,$O$5:$O$6004,"EM ANDAMENTO"))</f>
        <v/>
      </c>
      <c r="Y269" s="2">
        <f>IF(R269="","",IF(COUNTIFS($C$5:$C$6004,R269,$O$5:$O$6004,"CONCLUÍDA",$N$5:$N$6004,"&gt;=-99")=0,"",_xlfn.MAXIFS($N$5:$N$6004,$C$5:$C$6004,R269,$O$5:$O$6004,"CONCLUÍDA")))</f>
        <v/>
      </c>
      <c r="Z269" s="2">
        <f>IF(R269="","",IF(COUNTIFS($C$5:$C$6004,R269,$O$5:$O$6004,"EM ANDAMENTO",$N$5:$N$6004,"&gt;=-99")=0,"",_xlfn.MAXIFS($N$5:$N$6004,$C$5:$C$6004,R269,$O$5:$O$6004,"EM ANDAMENTO")))</f>
        <v/>
      </c>
      <c r="AA269" s="2">
        <f>IF(OR(R269="",S269="",U269&lt;&gt;"SIM",V269=0),"",IF(W269+X269=0,"",T269&amp;": "&amp;IF(W269=V269,"concluído",IF(W269=0,"em execução"&amp;IF(Z269&lt;&gt;""," ("&amp;IF(Z269&lt;0,IF(COUNTIF($E$5:$E$6004,"SUBSOLO*")&gt;0,"subsolo",-Z269&amp;"º subsolo"),IF(Z269=0,"térreo",Z269&amp;"º pav."))&amp;")",""),IF(Y269&lt;&gt;"","até "&amp;IF(Y269&lt;0,IF(COUNTIF($E$5:$E$6004,"SUBSOLO*")&gt;0,"subsolo",-Y269&amp;"º subsolo"),IF(Y269=0,"térreo",Y269&amp;"º pav.")),W269&amp;" de "&amp;V269&amp;" concluídas")&amp;IF(Z269="","",IF(OR(Y269="",Z269&gt;Y269),", executando "&amp;IF(Z269&lt;0,IF(COUNTIF($E$5:$E$6004,"SUBSOLO*")&gt;0,"subsolo",-Z269&amp;"º subsolo"),IF(Z269=0,"térreo",Z269&amp;"º pav."))," (restam serviços no "&amp;IF(Z269&lt;0,IF(COUNTIF($E$5:$E$6004,"SUBSOLO*")&gt;0,"subsolo",-Z269&amp;"º subsolo"),IF(Z269=0,"térreo",Z269&amp;"º pav."))&amp;")"))))))</f>
        <v/>
      </c>
    </row>
    <row r="270">
      <c r="B270" s="4" t="n">
        <v>30974192</v>
      </c>
      <c r="C270" s="4" t="inlineStr">
        <is>
          <t>CINTAS FASE 3</t>
        </is>
      </c>
      <c r="D270" s="4" t="inlineStr">
        <is>
          <t>Escavação - C 7 / 9 /12 -16 / 20 / 18 / 35-36 / 38-40 / 42 / 44</t>
        </is>
      </c>
      <c r="E270" s="4" t="inlineStr">
        <is>
          <t>SERVIÇOS INICIAIS</t>
        </is>
      </c>
      <c r="F270" s="126" t="n">
        <v>46314</v>
      </c>
      <c r="G270" s="126" t="n">
        <v>46321</v>
      </c>
      <c r="H270" s="126" t="n">
        <v>46289</v>
      </c>
      <c r="I270" s="4" t="n">
        <v>0</v>
      </c>
      <c r="J270" s="4" t="n">
        <v>0</v>
      </c>
      <c r="K270" s="4" t="n">
        <v>0</v>
      </c>
      <c r="M270" s="2">
        <f>IF(C270="","",IFERROR(INDEX($S$5:$S$304,MATCH(C270,$R$5:$R$304,0))&amp;"","?"))</f>
        <v/>
      </c>
      <c r="N270" s="2">
        <f>IF(E270="","",IF(ISNUMBER(SEARCH("SUBSOLO",E270)),IFERROR(-VALUE(LEFT(E270,FIND("º",SUBSTITUTE(E270,"°","º"))-1)),-1),IF(LEFT(E270,6)="TÉRREO",0,IFERROR(VALUE(LEFT(E270,FIND("º",SUBSTITUTE(E270,"°","º"))-1)),""))))</f>
        <v/>
      </c>
      <c r="O270" s="2">
        <f>IF(OR(F270="",G270=""),"",IF(G270&lt;='RETRATO 2027'!$K$5,"CONCLUÍDA",IF(F270&lt;='RETRATO 2027'!$K$5,"EM ANDAMENTO","A INICIAR")))</f>
        <v/>
      </c>
      <c r="R270" s="4" t="n"/>
      <c r="S270" s="4" t="n"/>
      <c r="T270" s="4" t="n"/>
      <c r="U270" s="4" t="n"/>
      <c r="V270" s="2">
        <f>IF(R270="","",COUNTIF($C$5:$C$6004,R270))</f>
        <v/>
      </c>
      <c r="W270" s="2">
        <f>IF(R270="","",COUNTIFS($C$5:$C$6004,R270,$O$5:$O$6004,"CONCLUÍDA"))</f>
        <v/>
      </c>
      <c r="X270" s="2">
        <f>IF(R270="","",COUNTIFS($C$5:$C$6004,R270,$O$5:$O$6004,"EM ANDAMENTO"))</f>
        <v/>
      </c>
      <c r="Y270" s="2">
        <f>IF(R270="","",IF(COUNTIFS($C$5:$C$6004,R270,$O$5:$O$6004,"CONCLUÍDA",$N$5:$N$6004,"&gt;=-99")=0,"",_xlfn.MAXIFS($N$5:$N$6004,$C$5:$C$6004,R270,$O$5:$O$6004,"CONCLUÍDA")))</f>
        <v/>
      </c>
      <c r="Z270" s="2">
        <f>IF(R270="","",IF(COUNTIFS($C$5:$C$6004,R270,$O$5:$O$6004,"EM ANDAMENTO",$N$5:$N$6004,"&gt;=-99")=0,"",_xlfn.MAXIFS($N$5:$N$6004,$C$5:$C$6004,R270,$O$5:$O$6004,"EM ANDAMENTO")))</f>
        <v/>
      </c>
      <c r="AA270" s="2">
        <f>IF(OR(R270="",S270="",U270&lt;&gt;"SIM",V270=0),"",IF(W270+X270=0,"",T270&amp;": "&amp;IF(W270=V270,"concluído",IF(W270=0,"em execução"&amp;IF(Z270&lt;&gt;""," ("&amp;IF(Z270&lt;0,IF(COUNTIF($E$5:$E$6004,"SUBSOLO*")&gt;0,"subsolo",-Z270&amp;"º subsolo"),IF(Z270=0,"térreo",Z270&amp;"º pav."))&amp;")",""),IF(Y270&lt;&gt;"","até "&amp;IF(Y270&lt;0,IF(COUNTIF($E$5:$E$6004,"SUBSOLO*")&gt;0,"subsolo",-Y270&amp;"º subsolo"),IF(Y270=0,"térreo",Y270&amp;"º pav.")),W270&amp;" de "&amp;V270&amp;" concluídas")&amp;IF(Z270="","",IF(OR(Y270="",Z270&gt;Y270),", executando "&amp;IF(Z270&lt;0,IF(COUNTIF($E$5:$E$6004,"SUBSOLO*")&gt;0,"subsolo",-Z270&amp;"º subsolo"),IF(Z270=0,"térreo",Z270&amp;"º pav."))," (restam serviços no "&amp;IF(Z270&lt;0,IF(COUNTIF($E$5:$E$6004,"SUBSOLO*")&gt;0,"subsolo",-Z270&amp;"º subsolo"),IF(Z270=0,"térreo",Z270&amp;"º pav."))&amp;")"))))))</f>
        <v/>
      </c>
    </row>
    <row r="271">
      <c r="B271" s="4" t="n">
        <v>30974193</v>
      </c>
      <c r="C271" s="4" t="inlineStr">
        <is>
          <t>CINTAS FASE 3</t>
        </is>
      </c>
      <c r="D271" s="4" t="inlineStr">
        <is>
          <t>Forma e Armação - C 7 / 9 /12 -16 / 20 / 18 / 35-36 / 38-40 / 42 / 44</t>
        </is>
      </c>
      <c r="E271" s="4" t="inlineStr">
        <is>
          <t>SERVIÇOS INICIAIS</t>
        </is>
      </c>
      <c r="F271" s="126" t="n">
        <v>46322</v>
      </c>
      <c r="G271" s="126" t="n">
        <v>46324</v>
      </c>
      <c r="H271" s="126" t="n">
        <v>46289</v>
      </c>
      <c r="I271" s="4" t="n">
        <v>0</v>
      </c>
      <c r="J271" s="4" t="n">
        <v>0</v>
      </c>
      <c r="K271" s="4" t="n">
        <v>0</v>
      </c>
      <c r="M271" s="2">
        <f>IF(C271="","",IFERROR(INDEX($S$5:$S$304,MATCH(C271,$R$5:$R$304,0))&amp;"","?"))</f>
        <v/>
      </c>
      <c r="N271" s="2">
        <f>IF(E271="","",IF(ISNUMBER(SEARCH("SUBSOLO",E271)),IFERROR(-VALUE(LEFT(E271,FIND("º",SUBSTITUTE(E271,"°","º"))-1)),-1),IF(LEFT(E271,6)="TÉRREO",0,IFERROR(VALUE(LEFT(E271,FIND("º",SUBSTITUTE(E271,"°","º"))-1)),""))))</f>
        <v/>
      </c>
      <c r="O271" s="2">
        <f>IF(OR(F271="",G271=""),"",IF(G271&lt;='RETRATO 2027'!$K$5,"CONCLUÍDA",IF(F271&lt;='RETRATO 2027'!$K$5,"EM ANDAMENTO","A INICIAR")))</f>
        <v/>
      </c>
      <c r="R271" s="4" t="n"/>
      <c r="S271" s="4" t="n"/>
      <c r="T271" s="4" t="n"/>
      <c r="U271" s="4" t="n"/>
      <c r="V271" s="2">
        <f>IF(R271="","",COUNTIF($C$5:$C$6004,R271))</f>
        <v/>
      </c>
      <c r="W271" s="2">
        <f>IF(R271="","",COUNTIFS($C$5:$C$6004,R271,$O$5:$O$6004,"CONCLUÍDA"))</f>
        <v/>
      </c>
      <c r="X271" s="2">
        <f>IF(R271="","",COUNTIFS($C$5:$C$6004,R271,$O$5:$O$6004,"EM ANDAMENTO"))</f>
        <v/>
      </c>
      <c r="Y271" s="2">
        <f>IF(R271="","",IF(COUNTIFS($C$5:$C$6004,R271,$O$5:$O$6004,"CONCLUÍDA",$N$5:$N$6004,"&gt;=-99")=0,"",_xlfn.MAXIFS($N$5:$N$6004,$C$5:$C$6004,R271,$O$5:$O$6004,"CONCLUÍDA")))</f>
        <v/>
      </c>
      <c r="Z271" s="2">
        <f>IF(R271="","",IF(COUNTIFS($C$5:$C$6004,R271,$O$5:$O$6004,"EM ANDAMENTO",$N$5:$N$6004,"&gt;=-99")=0,"",_xlfn.MAXIFS($N$5:$N$6004,$C$5:$C$6004,R271,$O$5:$O$6004,"EM ANDAMENTO")))</f>
        <v/>
      </c>
      <c r="AA271" s="2">
        <f>IF(OR(R271="",S271="",U271&lt;&gt;"SIM",V271=0),"",IF(W271+X271=0,"",T271&amp;": "&amp;IF(W271=V271,"concluído",IF(W271=0,"em execução"&amp;IF(Z271&lt;&gt;""," ("&amp;IF(Z271&lt;0,IF(COUNTIF($E$5:$E$6004,"SUBSOLO*")&gt;0,"subsolo",-Z271&amp;"º subsolo"),IF(Z271=0,"térreo",Z271&amp;"º pav."))&amp;")",""),IF(Y271&lt;&gt;"","até "&amp;IF(Y271&lt;0,IF(COUNTIF($E$5:$E$6004,"SUBSOLO*")&gt;0,"subsolo",-Y271&amp;"º subsolo"),IF(Y271=0,"térreo",Y271&amp;"º pav.")),W271&amp;" de "&amp;V271&amp;" concluídas")&amp;IF(Z271="","",IF(OR(Y271="",Z271&gt;Y271),", executando "&amp;IF(Z271&lt;0,IF(COUNTIF($E$5:$E$6004,"SUBSOLO*")&gt;0,"subsolo",-Z271&amp;"º subsolo"),IF(Z271=0,"térreo",Z271&amp;"º pav."))," (restam serviços no "&amp;IF(Z271&lt;0,IF(COUNTIF($E$5:$E$6004,"SUBSOLO*")&gt;0,"subsolo",-Z271&amp;"º subsolo"),IF(Z271=0,"térreo",Z271&amp;"º pav."))&amp;")"))))))</f>
        <v/>
      </c>
    </row>
    <row r="272">
      <c r="B272" s="4" t="n">
        <v>30974194</v>
      </c>
      <c r="C272" s="4" t="inlineStr">
        <is>
          <t>CINTAS FASE 3</t>
        </is>
      </c>
      <c r="D272" s="4" t="inlineStr">
        <is>
          <t>Concreto - C 7 / 9 /12 -16 / 20 / 18 / 35-36 / 38-40 / 42 / 44</t>
        </is>
      </c>
      <c r="E272" s="4" t="inlineStr">
        <is>
          <t>SERVIÇOS INICIAIS</t>
        </is>
      </c>
      <c r="F272" s="126" t="n">
        <v>46325</v>
      </c>
      <c r="G272" s="126" t="n">
        <v>46325</v>
      </c>
      <c r="H272" s="126" t="n">
        <v>46289</v>
      </c>
      <c r="I272" s="4" t="n">
        <v>0</v>
      </c>
      <c r="J272" s="4" t="n">
        <v>0</v>
      </c>
      <c r="K272" s="4" t="n">
        <v>0</v>
      </c>
      <c r="M272" s="2">
        <f>IF(C272="","",IFERROR(INDEX($S$5:$S$304,MATCH(C272,$R$5:$R$304,0))&amp;"","?"))</f>
        <v/>
      </c>
      <c r="N272" s="2">
        <f>IF(E272="","",IF(ISNUMBER(SEARCH("SUBSOLO",E272)),IFERROR(-VALUE(LEFT(E272,FIND("º",SUBSTITUTE(E272,"°","º"))-1)),-1),IF(LEFT(E272,6)="TÉRREO",0,IFERROR(VALUE(LEFT(E272,FIND("º",SUBSTITUTE(E272,"°","º"))-1)),""))))</f>
        <v/>
      </c>
      <c r="O272" s="2">
        <f>IF(OR(F272="",G272=""),"",IF(G272&lt;='RETRATO 2027'!$K$5,"CONCLUÍDA",IF(F272&lt;='RETRATO 2027'!$K$5,"EM ANDAMENTO","A INICIAR")))</f>
        <v/>
      </c>
      <c r="R272" s="4" t="n"/>
      <c r="S272" s="4" t="n"/>
      <c r="T272" s="4" t="n"/>
      <c r="U272" s="4" t="n"/>
      <c r="V272" s="2">
        <f>IF(R272="","",COUNTIF($C$5:$C$6004,R272))</f>
        <v/>
      </c>
      <c r="W272" s="2">
        <f>IF(R272="","",COUNTIFS($C$5:$C$6004,R272,$O$5:$O$6004,"CONCLUÍDA"))</f>
        <v/>
      </c>
      <c r="X272" s="2">
        <f>IF(R272="","",COUNTIFS($C$5:$C$6004,R272,$O$5:$O$6004,"EM ANDAMENTO"))</f>
        <v/>
      </c>
      <c r="Y272" s="2">
        <f>IF(R272="","",IF(COUNTIFS($C$5:$C$6004,R272,$O$5:$O$6004,"CONCLUÍDA",$N$5:$N$6004,"&gt;=-99")=0,"",_xlfn.MAXIFS($N$5:$N$6004,$C$5:$C$6004,R272,$O$5:$O$6004,"CONCLUÍDA")))</f>
        <v/>
      </c>
      <c r="Z272" s="2">
        <f>IF(R272="","",IF(COUNTIFS($C$5:$C$6004,R272,$O$5:$O$6004,"EM ANDAMENTO",$N$5:$N$6004,"&gt;=-99")=0,"",_xlfn.MAXIFS($N$5:$N$6004,$C$5:$C$6004,R272,$O$5:$O$6004,"EM ANDAMENTO")))</f>
        <v/>
      </c>
      <c r="AA272" s="2">
        <f>IF(OR(R272="",S272="",U272&lt;&gt;"SIM",V272=0),"",IF(W272+X272=0,"",T272&amp;": "&amp;IF(W272=V272,"concluído",IF(W272=0,"em execução"&amp;IF(Z272&lt;&gt;""," ("&amp;IF(Z272&lt;0,IF(COUNTIF($E$5:$E$6004,"SUBSOLO*")&gt;0,"subsolo",-Z272&amp;"º subsolo"),IF(Z272=0,"térreo",Z272&amp;"º pav."))&amp;")",""),IF(Y272&lt;&gt;"","até "&amp;IF(Y272&lt;0,IF(COUNTIF($E$5:$E$6004,"SUBSOLO*")&gt;0,"subsolo",-Y272&amp;"º subsolo"),IF(Y272=0,"térreo",Y272&amp;"º pav.")),W272&amp;" de "&amp;V272&amp;" concluídas")&amp;IF(Z272="","",IF(OR(Y272="",Z272&gt;Y272),", executando "&amp;IF(Z272&lt;0,IF(COUNTIF($E$5:$E$6004,"SUBSOLO*")&gt;0,"subsolo",-Z272&amp;"º subsolo"),IF(Z272=0,"térreo",Z272&amp;"º pav."))," (restam serviços no "&amp;IF(Z272&lt;0,IF(COUNTIF($E$5:$E$6004,"SUBSOLO*")&gt;0,"subsolo",-Z272&amp;"º subsolo"),IF(Z272=0,"térreo",Z272&amp;"º pav."))&amp;")"))))))</f>
        <v/>
      </c>
    </row>
    <row r="273">
      <c r="B273" s="4" t="n">
        <v>46237083</v>
      </c>
      <c r="C273" s="4" t="inlineStr">
        <is>
          <t>CINTAS FASE 4</t>
        </is>
      </c>
      <c r="D273" s="4" t="inlineStr">
        <is>
          <t>-</t>
        </is>
      </c>
      <c r="E273" s="4" t="inlineStr">
        <is>
          <t>SERVIÇOS INICIAIS</t>
        </is>
      </c>
      <c r="F273" s="126" t="n">
        <v>46314</v>
      </c>
      <c r="G273" s="126" t="n">
        <v>46325</v>
      </c>
      <c r="H273" s="126" t="n">
        <v>46289</v>
      </c>
      <c r="I273" s="4" t="n">
        <v>0</v>
      </c>
      <c r="J273" s="4" t="n">
        <v>0</v>
      </c>
      <c r="K273" s="4" t="n">
        <v>0</v>
      </c>
      <c r="M273" s="2">
        <f>IF(C273="","",IFERROR(INDEX($S$5:$S$304,MATCH(C273,$R$5:$R$304,0))&amp;"","?"))</f>
        <v/>
      </c>
      <c r="N273" s="2">
        <f>IF(E273="","",IF(ISNUMBER(SEARCH("SUBSOLO",E273)),IFERROR(-VALUE(LEFT(E273,FIND("º",SUBSTITUTE(E273,"°","º"))-1)),-1),IF(LEFT(E273,6)="TÉRREO",0,IFERROR(VALUE(LEFT(E273,FIND("º",SUBSTITUTE(E273,"°","º"))-1)),""))))</f>
        <v/>
      </c>
      <c r="O273" s="2">
        <f>IF(OR(F273="",G273=""),"",IF(G273&lt;='RETRATO 2027'!$K$5,"CONCLUÍDA",IF(F273&lt;='RETRATO 2027'!$K$5,"EM ANDAMENTO","A INICIAR")))</f>
        <v/>
      </c>
      <c r="R273" s="4" t="n"/>
      <c r="S273" s="4" t="n"/>
      <c r="T273" s="4" t="n"/>
      <c r="U273" s="4" t="n"/>
      <c r="V273" s="2">
        <f>IF(R273="","",COUNTIF($C$5:$C$6004,R273))</f>
        <v/>
      </c>
      <c r="W273" s="2">
        <f>IF(R273="","",COUNTIFS($C$5:$C$6004,R273,$O$5:$O$6004,"CONCLUÍDA"))</f>
        <v/>
      </c>
      <c r="X273" s="2">
        <f>IF(R273="","",COUNTIFS($C$5:$C$6004,R273,$O$5:$O$6004,"EM ANDAMENTO"))</f>
        <v/>
      </c>
      <c r="Y273" s="2">
        <f>IF(R273="","",IF(COUNTIFS($C$5:$C$6004,R273,$O$5:$O$6004,"CONCLUÍDA",$N$5:$N$6004,"&gt;=-99")=0,"",_xlfn.MAXIFS($N$5:$N$6004,$C$5:$C$6004,R273,$O$5:$O$6004,"CONCLUÍDA")))</f>
        <v/>
      </c>
      <c r="Z273" s="2">
        <f>IF(R273="","",IF(COUNTIFS($C$5:$C$6004,R273,$O$5:$O$6004,"EM ANDAMENTO",$N$5:$N$6004,"&gt;=-99")=0,"",_xlfn.MAXIFS($N$5:$N$6004,$C$5:$C$6004,R273,$O$5:$O$6004,"EM ANDAMENTO")))</f>
        <v/>
      </c>
      <c r="AA273" s="2">
        <f>IF(OR(R273="",S273="",U273&lt;&gt;"SIM",V273=0),"",IF(W273+X273=0,"",T273&amp;": "&amp;IF(W273=V273,"concluído",IF(W273=0,"em execução"&amp;IF(Z273&lt;&gt;""," ("&amp;IF(Z273&lt;0,IF(COUNTIF($E$5:$E$6004,"SUBSOLO*")&gt;0,"subsolo",-Z273&amp;"º subsolo"),IF(Z273=0,"térreo",Z273&amp;"º pav."))&amp;")",""),IF(Y273&lt;&gt;"","até "&amp;IF(Y273&lt;0,IF(COUNTIF($E$5:$E$6004,"SUBSOLO*")&gt;0,"subsolo",-Y273&amp;"º subsolo"),IF(Y273=0,"térreo",Y273&amp;"º pav.")),W273&amp;" de "&amp;V273&amp;" concluídas")&amp;IF(Z273="","",IF(OR(Y273="",Z273&gt;Y273),", executando "&amp;IF(Z273&lt;0,IF(COUNTIF($E$5:$E$6004,"SUBSOLO*")&gt;0,"subsolo",-Z273&amp;"º subsolo"),IF(Z273=0,"térreo",Z273&amp;"º pav."))," (restam serviços no "&amp;IF(Z273&lt;0,IF(COUNTIF($E$5:$E$6004,"SUBSOLO*")&gt;0,"subsolo",-Z273&amp;"º subsolo"),IF(Z273=0,"térreo",Z273&amp;"º pav."))&amp;")"))))))</f>
        <v/>
      </c>
    </row>
    <row r="274">
      <c r="B274" s="4" t="n">
        <v>30974195</v>
      </c>
      <c r="C274" s="4" t="inlineStr">
        <is>
          <t>CINTAS FASE 4</t>
        </is>
      </c>
      <c r="D274" s="4" t="inlineStr">
        <is>
          <t>Escavação - C 21/ 24-25 /28/48/50/51/ 53-54</t>
        </is>
      </c>
      <c r="E274" s="4" t="inlineStr">
        <is>
          <t>SERVIÇOS INICIAIS</t>
        </is>
      </c>
      <c r="F274" s="126" t="n">
        <v>46314</v>
      </c>
      <c r="G274" s="126" t="n">
        <v>46317</v>
      </c>
      <c r="H274" s="126" t="n">
        <v>46289</v>
      </c>
      <c r="I274" s="4" t="n">
        <v>0</v>
      </c>
      <c r="J274" s="4" t="n">
        <v>0</v>
      </c>
      <c r="K274" s="4" t="n">
        <v>0</v>
      </c>
      <c r="M274" s="2">
        <f>IF(C274="","",IFERROR(INDEX($S$5:$S$304,MATCH(C274,$R$5:$R$304,0))&amp;"","?"))</f>
        <v/>
      </c>
      <c r="N274" s="2">
        <f>IF(E274="","",IF(ISNUMBER(SEARCH("SUBSOLO",E274)),IFERROR(-VALUE(LEFT(E274,FIND("º",SUBSTITUTE(E274,"°","º"))-1)),-1),IF(LEFT(E274,6)="TÉRREO",0,IFERROR(VALUE(LEFT(E274,FIND("º",SUBSTITUTE(E274,"°","º"))-1)),""))))</f>
        <v/>
      </c>
      <c r="O274" s="2">
        <f>IF(OR(F274="",G274=""),"",IF(G274&lt;='RETRATO 2027'!$K$5,"CONCLUÍDA",IF(F274&lt;='RETRATO 2027'!$K$5,"EM ANDAMENTO","A INICIAR")))</f>
        <v/>
      </c>
      <c r="R274" s="4" t="n"/>
      <c r="S274" s="4" t="n"/>
      <c r="T274" s="4" t="n"/>
      <c r="U274" s="4" t="n"/>
      <c r="V274" s="2">
        <f>IF(R274="","",COUNTIF($C$5:$C$6004,R274))</f>
        <v/>
      </c>
      <c r="W274" s="2">
        <f>IF(R274="","",COUNTIFS($C$5:$C$6004,R274,$O$5:$O$6004,"CONCLUÍDA"))</f>
        <v/>
      </c>
      <c r="X274" s="2">
        <f>IF(R274="","",COUNTIFS($C$5:$C$6004,R274,$O$5:$O$6004,"EM ANDAMENTO"))</f>
        <v/>
      </c>
      <c r="Y274" s="2">
        <f>IF(R274="","",IF(COUNTIFS($C$5:$C$6004,R274,$O$5:$O$6004,"CONCLUÍDA",$N$5:$N$6004,"&gt;=-99")=0,"",_xlfn.MAXIFS($N$5:$N$6004,$C$5:$C$6004,R274,$O$5:$O$6004,"CONCLUÍDA")))</f>
        <v/>
      </c>
      <c r="Z274" s="2">
        <f>IF(R274="","",IF(COUNTIFS($C$5:$C$6004,R274,$O$5:$O$6004,"EM ANDAMENTO",$N$5:$N$6004,"&gt;=-99")=0,"",_xlfn.MAXIFS($N$5:$N$6004,$C$5:$C$6004,R274,$O$5:$O$6004,"EM ANDAMENTO")))</f>
        <v/>
      </c>
      <c r="AA274" s="2">
        <f>IF(OR(R274="",S274="",U274&lt;&gt;"SIM",V274=0),"",IF(W274+X274=0,"",T274&amp;": "&amp;IF(W274=V274,"concluído",IF(W274=0,"em execução"&amp;IF(Z274&lt;&gt;""," ("&amp;IF(Z274&lt;0,IF(COUNTIF($E$5:$E$6004,"SUBSOLO*")&gt;0,"subsolo",-Z274&amp;"º subsolo"),IF(Z274=0,"térreo",Z274&amp;"º pav."))&amp;")",""),IF(Y274&lt;&gt;"","até "&amp;IF(Y274&lt;0,IF(COUNTIF($E$5:$E$6004,"SUBSOLO*")&gt;0,"subsolo",-Y274&amp;"º subsolo"),IF(Y274=0,"térreo",Y274&amp;"º pav.")),W274&amp;" de "&amp;V274&amp;" concluídas")&amp;IF(Z274="","",IF(OR(Y274="",Z274&gt;Y274),", executando "&amp;IF(Z274&lt;0,IF(COUNTIF($E$5:$E$6004,"SUBSOLO*")&gt;0,"subsolo",-Z274&amp;"º subsolo"),IF(Z274=0,"térreo",Z274&amp;"º pav."))," (restam serviços no "&amp;IF(Z274&lt;0,IF(COUNTIF($E$5:$E$6004,"SUBSOLO*")&gt;0,"subsolo",-Z274&amp;"º subsolo"),IF(Z274=0,"térreo",Z274&amp;"º pav."))&amp;")"))))))</f>
        <v/>
      </c>
    </row>
    <row r="275">
      <c r="B275" s="4" t="n">
        <v>30974196</v>
      </c>
      <c r="C275" s="4" t="inlineStr">
        <is>
          <t>CINTAS FASE 4</t>
        </is>
      </c>
      <c r="D275" s="4" t="inlineStr">
        <is>
          <t>Forma e Armação - C 21/ 24-25 /28/48/50/51/ 53-54</t>
        </is>
      </c>
      <c r="E275" s="4" t="inlineStr">
        <is>
          <t>SERVIÇOS INICIAIS</t>
        </is>
      </c>
      <c r="F275" s="126" t="n">
        <v>46318</v>
      </c>
      <c r="G275" s="126" t="n">
        <v>46323</v>
      </c>
      <c r="H275" s="126" t="n">
        <v>46289</v>
      </c>
      <c r="I275" s="4" t="n">
        <v>0</v>
      </c>
      <c r="J275" s="4" t="n">
        <v>0</v>
      </c>
      <c r="K275" s="4" t="n">
        <v>0</v>
      </c>
      <c r="M275" s="2">
        <f>IF(C275="","",IFERROR(INDEX($S$5:$S$304,MATCH(C275,$R$5:$R$304,0))&amp;"","?"))</f>
        <v/>
      </c>
      <c r="N275" s="2">
        <f>IF(E275="","",IF(ISNUMBER(SEARCH("SUBSOLO",E275)),IFERROR(-VALUE(LEFT(E275,FIND("º",SUBSTITUTE(E275,"°","º"))-1)),-1),IF(LEFT(E275,6)="TÉRREO",0,IFERROR(VALUE(LEFT(E275,FIND("º",SUBSTITUTE(E275,"°","º"))-1)),""))))</f>
        <v/>
      </c>
      <c r="O275" s="2">
        <f>IF(OR(F275="",G275=""),"",IF(G275&lt;='RETRATO 2027'!$K$5,"CONCLUÍDA",IF(F275&lt;='RETRATO 2027'!$K$5,"EM ANDAMENTO","A INICIAR")))</f>
        <v/>
      </c>
      <c r="R275" s="4" t="n"/>
      <c r="S275" s="4" t="n"/>
      <c r="T275" s="4" t="n"/>
      <c r="U275" s="4" t="n"/>
      <c r="V275" s="2">
        <f>IF(R275="","",COUNTIF($C$5:$C$6004,R275))</f>
        <v/>
      </c>
      <c r="W275" s="2">
        <f>IF(R275="","",COUNTIFS($C$5:$C$6004,R275,$O$5:$O$6004,"CONCLUÍDA"))</f>
        <v/>
      </c>
      <c r="X275" s="2">
        <f>IF(R275="","",COUNTIFS($C$5:$C$6004,R275,$O$5:$O$6004,"EM ANDAMENTO"))</f>
        <v/>
      </c>
      <c r="Y275" s="2">
        <f>IF(R275="","",IF(COUNTIFS($C$5:$C$6004,R275,$O$5:$O$6004,"CONCLUÍDA",$N$5:$N$6004,"&gt;=-99")=0,"",_xlfn.MAXIFS($N$5:$N$6004,$C$5:$C$6004,R275,$O$5:$O$6004,"CONCLUÍDA")))</f>
        <v/>
      </c>
      <c r="Z275" s="2">
        <f>IF(R275="","",IF(COUNTIFS($C$5:$C$6004,R275,$O$5:$O$6004,"EM ANDAMENTO",$N$5:$N$6004,"&gt;=-99")=0,"",_xlfn.MAXIFS($N$5:$N$6004,$C$5:$C$6004,R275,$O$5:$O$6004,"EM ANDAMENTO")))</f>
        <v/>
      </c>
      <c r="AA275" s="2">
        <f>IF(OR(R275="",S275="",U275&lt;&gt;"SIM",V275=0),"",IF(W275+X275=0,"",T275&amp;": "&amp;IF(W275=V275,"concluído",IF(W275=0,"em execução"&amp;IF(Z275&lt;&gt;""," ("&amp;IF(Z275&lt;0,IF(COUNTIF($E$5:$E$6004,"SUBSOLO*")&gt;0,"subsolo",-Z275&amp;"º subsolo"),IF(Z275=0,"térreo",Z275&amp;"º pav."))&amp;")",""),IF(Y275&lt;&gt;"","até "&amp;IF(Y275&lt;0,IF(COUNTIF($E$5:$E$6004,"SUBSOLO*")&gt;0,"subsolo",-Y275&amp;"º subsolo"),IF(Y275=0,"térreo",Y275&amp;"º pav.")),W275&amp;" de "&amp;V275&amp;" concluídas")&amp;IF(Z275="","",IF(OR(Y275="",Z275&gt;Y275),", executando "&amp;IF(Z275&lt;0,IF(COUNTIF($E$5:$E$6004,"SUBSOLO*")&gt;0,"subsolo",-Z275&amp;"º subsolo"),IF(Z275=0,"térreo",Z275&amp;"º pav."))," (restam serviços no "&amp;IF(Z275&lt;0,IF(COUNTIF($E$5:$E$6004,"SUBSOLO*")&gt;0,"subsolo",-Z275&amp;"º subsolo"),IF(Z275=0,"térreo",Z275&amp;"º pav."))&amp;")"))))))</f>
        <v/>
      </c>
    </row>
    <row r="276">
      <c r="B276" s="4" t="n">
        <v>30974197</v>
      </c>
      <c r="C276" s="4" t="inlineStr">
        <is>
          <t>CINTAS FASE 4</t>
        </is>
      </c>
      <c r="D276" s="4" t="inlineStr">
        <is>
          <t>Concreto - C 21/ 24-25 /28/48/50/51/ 53-54</t>
        </is>
      </c>
      <c r="E276" s="4" t="inlineStr">
        <is>
          <t>SERVIÇOS INICIAIS</t>
        </is>
      </c>
      <c r="F276" s="126" t="n">
        <v>46324</v>
      </c>
      <c r="G276" s="126" t="n">
        <v>46325</v>
      </c>
      <c r="H276" s="126" t="n">
        <v>46289</v>
      </c>
      <c r="I276" s="4" t="n">
        <v>0</v>
      </c>
      <c r="J276" s="4" t="n">
        <v>0</v>
      </c>
      <c r="K276" s="4" t="n">
        <v>0</v>
      </c>
      <c r="M276" s="2">
        <f>IF(C276="","",IFERROR(INDEX($S$5:$S$304,MATCH(C276,$R$5:$R$304,0))&amp;"","?"))</f>
        <v/>
      </c>
      <c r="N276" s="2">
        <f>IF(E276="","",IF(ISNUMBER(SEARCH("SUBSOLO",E276)),IFERROR(-VALUE(LEFT(E276,FIND("º",SUBSTITUTE(E276,"°","º"))-1)),-1),IF(LEFT(E276,6)="TÉRREO",0,IFERROR(VALUE(LEFT(E276,FIND("º",SUBSTITUTE(E276,"°","º"))-1)),""))))</f>
        <v/>
      </c>
      <c r="O276" s="2">
        <f>IF(OR(F276="",G276=""),"",IF(G276&lt;='RETRATO 2027'!$K$5,"CONCLUÍDA",IF(F276&lt;='RETRATO 2027'!$K$5,"EM ANDAMENTO","A INICIAR")))</f>
        <v/>
      </c>
      <c r="R276" s="4" t="n"/>
      <c r="S276" s="4" t="n"/>
      <c r="T276" s="4" t="n"/>
      <c r="U276" s="4" t="n"/>
      <c r="V276" s="2">
        <f>IF(R276="","",COUNTIF($C$5:$C$6004,R276))</f>
        <v/>
      </c>
      <c r="W276" s="2">
        <f>IF(R276="","",COUNTIFS($C$5:$C$6004,R276,$O$5:$O$6004,"CONCLUÍDA"))</f>
        <v/>
      </c>
      <c r="X276" s="2">
        <f>IF(R276="","",COUNTIFS($C$5:$C$6004,R276,$O$5:$O$6004,"EM ANDAMENTO"))</f>
        <v/>
      </c>
      <c r="Y276" s="2">
        <f>IF(R276="","",IF(COUNTIFS($C$5:$C$6004,R276,$O$5:$O$6004,"CONCLUÍDA",$N$5:$N$6004,"&gt;=-99")=0,"",_xlfn.MAXIFS($N$5:$N$6004,$C$5:$C$6004,R276,$O$5:$O$6004,"CONCLUÍDA")))</f>
        <v/>
      </c>
      <c r="Z276" s="2">
        <f>IF(R276="","",IF(COUNTIFS($C$5:$C$6004,R276,$O$5:$O$6004,"EM ANDAMENTO",$N$5:$N$6004,"&gt;=-99")=0,"",_xlfn.MAXIFS($N$5:$N$6004,$C$5:$C$6004,R276,$O$5:$O$6004,"EM ANDAMENTO")))</f>
        <v/>
      </c>
      <c r="AA276" s="2">
        <f>IF(OR(R276="",S276="",U276&lt;&gt;"SIM",V276=0),"",IF(W276+X276=0,"",T276&amp;": "&amp;IF(W276=V276,"concluído",IF(W276=0,"em execução"&amp;IF(Z276&lt;&gt;""," ("&amp;IF(Z276&lt;0,IF(COUNTIF($E$5:$E$6004,"SUBSOLO*")&gt;0,"subsolo",-Z276&amp;"º subsolo"),IF(Z276=0,"térreo",Z276&amp;"º pav."))&amp;")",""),IF(Y276&lt;&gt;"","até "&amp;IF(Y276&lt;0,IF(COUNTIF($E$5:$E$6004,"SUBSOLO*")&gt;0,"subsolo",-Y276&amp;"º subsolo"),IF(Y276=0,"térreo",Y276&amp;"º pav.")),W276&amp;" de "&amp;V276&amp;" concluídas")&amp;IF(Z276="","",IF(OR(Y276="",Z276&gt;Y276),", executando "&amp;IF(Z276&lt;0,IF(COUNTIF($E$5:$E$6004,"SUBSOLO*")&gt;0,"subsolo",-Z276&amp;"º subsolo"),IF(Z276=0,"térreo",Z276&amp;"º pav."))," (restam serviços no "&amp;IF(Z276&lt;0,IF(COUNTIF($E$5:$E$6004,"SUBSOLO*")&gt;0,"subsolo",-Z276&amp;"º subsolo"),IF(Z276=0,"térreo",Z276&amp;"º pav."))&amp;")"))))))</f>
        <v/>
      </c>
    </row>
    <row r="277">
      <c r="B277" s="4" t="n">
        <v>30205736</v>
      </c>
      <c r="C277" s="4" t="inlineStr">
        <is>
          <t>TRATAMENTO DE CONCRETO - TETO</t>
        </is>
      </c>
      <c r="D277" s="4" t="inlineStr">
        <is>
          <t>-</t>
        </is>
      </c>
      <c r="E277" s="4" t="inlineStr">
        <is>
          <t>SUBSOLO</t>
        </is>
      </c>
      <c r="F277" s="126" t="n">
        <v>46314</v>
      </c>
      <c r="G277" s="126" t="n">
        <v>46379</v>
      </c>
      <c r="H277" s="126" t="n">
        <v>46289</v>
      </c>
      <c r="I277" s="4" t="n">
        <v>0</v>
      </c>
      <c r="J277" s="4" t="n">
        <v>0</v>
      </c>
      <c r="K277" s="4" t="n">
        <v>0</v>
      </c>
      <c r="M277" s="2">
        <f>IF(C277="","",IFERROR(INDEX($S$5:$S$304,MATCH(C277,$R$5:$R$304,0))&amp;"","?"))</f>
        <v/>
      </c>
      <c r="N277" s="2">
        <f>IF(E277="","",IF(ISNUMBER(SEARCH("SUBSOLO",E277)),IFERROR(-VALUE(LEFT(E277,FIND("º",SUBSTITUTE(E277,"°","º"))-1)),-1),IF(LEFT(E277,6)="TÉRREO",0,IFERROR(VALUE(LEFT(E277,FIND("º",SUBSTITUTE(E277,"°","º"))-1)),""))))</f>
        <v/>
      </c>
      <c r="O277" s="2">
        <f>IF(OR(F277="",G277=""),"",IF(G277&lt;='RETRATO 2027'!$K$5,"CONCLUÍDA",IF(F277&lt;='RETRATO 2027'!$K$5,"EM ANDAMENTO","A INICIAR")))</f>
        <v/>
      </c>
      <c r="R277" s="4" t="n"/>
      <c r="S277" s="4" t="n"/>
      <c r="T277" s="4" t="n"/>
      <c r="U277" s="4" t="n"/>
      <c r="V277" s="2">
        <f>IF(R277="","",COUNTIF($C$5:$C$6004,R277))</f>
        <v/>
      </c>
      <c r="W277" s="2">
        <f>IF(R277="","",COUNTIFS($C$5:$C$6004,R277,$O$5:$O$6004,"CONCLUÍDA"))</f>
        <v/>
      </c>
      <c r="X277" s="2">
        <f>IF(R277="","",COUNTIFS($C$5:$C$6004,R277,$O$5:$O$6004,"EM ANDAMENTO"))</f>
        <v/>
      </c>
      <c r="Y277" s="2">
        <f>IF(R277="","",IF(COUNTIFS($C$5:$C$6004,R277,$O$5:$O$6004,"CONCLUÍDA",$N$5:$N$6004,"&gt;=-99")=0,"",_xlfn.MAXIFS($N$5:$N$6004,$C$5:$C$6004,R277,$O$5:$O$6004,"CONCLUÍDA")))</f>
        <v/>
      </c>
      <c r="Z277" s="2">
        <f>IF(R277="","",IF(COUNTIFS($C$5:$C$6004,R277,$O$5:$O$6004,"EM ANDAMENTO",$N$5:$N$6004,"&gt;=-99")=0,"",_xlfn.MAXIFS($N$5:$N$6004,$C$5:$C$6004,R277,$O$5:$O$6004,"EM ANDAMENTO")))</f>
        <v/>
      </c>
      <c r="AA277" s="2">
        <f>IF(OR(R277="",S277="",U277&lt;&gt;"SIM",V277=0),"",IF(W277+X277=0,"",T277&amp;": "&amp;IF(W277=V277,"concluído",IF(W277=0,"em execução"&amp;IF(Z277&lt;&gt;""," ("&amp;IF(Z277&lt;0,IF(COUNTIF($E$5:$E$6004,"SUBSOLO*")&gt;0,"subsolo",-Z277&amp;"º subsolo"),IF(Z277=0,"térreo",Z277&amp;"º pav."))&amp;")",""),IF(Y277&lt;&gt;"","até "&amp;IF(Y277&lt;0,IF(COUNTIF($E$5:$E$6004,"SUBSOLO*")&gt;0,"subsolo",-Y277&amp;"º subsolo"),IF(Y277=0,"térreo",Y277&amp;"º pav.")),W277&amp;" de "&amp;V277&amp;" concluídas")&amp;IF(Z277="","",IF(OR(Y277="",Z277&gt;Y277),", executando "&amp;IF(Z277&lt;0,IF(COUNTIF($E$5:$E$6004,"SUBSOLO*")&gt;0,"subsolo",-Z277&amp;"º subsolo"),IF(Z277=0,"térreo",Z277&amp;"º pav."))," (restam serviços no "&amp;IF(Z277&lt;0,IF(COUNTIF($E$5:$E$6004,"SUBSOLO*")&gt;0,"subsolo",-Z277&amp;"º subsolo"),IF(Z277=0,"térreo",Z277&amp;"º pav."))&amp;")"))))))</f>
        <v/>
      </c>
    </row>
    <row r="278">
      <c r="B278" s="4" t="n">
        <v>29940605</v>
      </c>
      <c r="C278" s="4" t="inlineStr">
        <is>
          <t>ESTRUTURA</t>
        </is>
      </c>
      <c r="D278" s="4" t="inlineStr">
        <is>
          <t>-</t>
        </is>
      </c>
      <c r="E278" s="4" t="inlineStr">
        <is>
          <t>4º PAV - GARAGEM</t>
        </is>
      </c>
      <c r="F278" s="126" t="n">
        <v>46322</v>
      </c>
      <c r="G278" s="126" t="n">
        <v>46350</v>
      </c>
      <c r="H278" s="126" t="n">
        <v>46289</v>
      </c>
      <c r="I278" s="4" t="n">
        <v>0</v>
      </c>
      <c r="J278" s="4" t="n">
        <v>0</v>
      </c>
      <c r="K278" s="4" t="n">
        <v>0</v>
      </c>
      <c r="M278" s="2">
        <f>IF(C278="","",IFERROR(INDEX($S$5:$S$304,MATCH(C278,$R$5:$R$304,0))&amp;"","?"))</f>
        <v/>
      </c>
      <c r="N278" s="2">
        <f>IF(E278="","",IF(ISNUMBER(SEARCH("SUBSOLO",E278)),IFERROR(-VALUE(LEFT(E278,FIND("º",SUBSTITUTE(E278,"°","º"))-1)),-1),IF(LEFT(E278,6)="TÉRREO",0,IFERROR(VALUE(LEFT(E278,FIND("º",SUBSTITUTE(E278,"°","º"))-1)),""))))</f>
        <v/>
      </c>
      <c r="O278" s="2">
        <f>IF(OR(F278="",G278=""),"",IF(G278&lt;='RETRATO 2027'!$K$5,"CONCLUÍDA",IF(F278&lt;='RETRATO 2027'!$K$5,"EM ANDAMENTO","A INICIAR")))</f>
        <v/>
      </c>
      <c r="R278" s="4" t="n"/>
      <c r="S278" s="4" t="n"/>
      <c r="T278" s="4" t="n"/>
      <c r="U278" s="4" t="n"/>
      <c r="V278" s="2">
        <f>IF(R278="","",COUNTIF($C$5:$C$6004,R278))</f>
        <v/>
      </c>
      <c r="W278" s="2">
        <f>IF(R278="","",COUNTIFS($C$5:$C$6004,R278,$O$5:$O$6004,"CONCLUÍDA"))</f>
        <v/>
      </c>
      <c r="X278" s="2">
        <f>IF(R278="","",COUNTIFS($C$5:$C$6004,R278,$O$5:$O$6004,"EM ANDAMENTO"))</f>
        <v/>
      </c>
      <c r="Y278" s="2">
        <f>IF(R278="","",IF(COUNTIFS($C$5:$C$6004,R278,$O$5:$O$6004,"CONCLUÍDA",$N$5:$N$6004,"&gt;=-99")=0,"",_xlfn.MAXIFS($N$5:$N$6004,$C$5:$C$6004,R278,$O$5:$O$6004,"CONCLUÍDA")))</f>
        <v/>
      </c>
      <c r="Z278" s="2">
        <f>IF(R278="","",IF(COUNTIFS($C$5:$C$6004,R278,$O$5:$O$6004,"EM ANDAMENTO",$N$5:$N$6004,"&gt;=-99")=0,"",_xlfn.MAXIFS($N$5:$N$6004,$C$5:$C$6004,R278,$O$5:$O$6004,"EM ANDAMENTO")))</f>
        <v/>
      </c>
      <c r="AA278" s="2">
        <f>IF(OR(R278="",S278="",U278&lt;&gt;"SIM",V278=0),"",IF(W278+X278=0,"",T278&amp;": "&amp;IF(W278=V278,"concluído",IF(W278=0,"em execução"&amp;IF(Z278&lt;&gt;""," ("&amp;IF(Z278&lt;0,IF(COUNTIF($E$5:$E$6004,"SUBSOLO*")&gt;0,"subsolo",-Z278&amp;"º subsolo"),IF(Z278=0,"térreo",Z278&amp;"º pav."))&amp;")",""),IF(Y278&lt;&gt;"","até "&amp;IF(Y278&lt;0,IF(COUNTIF($E$5:$E$6004,"SUBSOLO*")&gt;0,"subsolo",-Y278&amp;"º subsolo"),IF(Y278=0,"térreo",Y278&amp;"º pav.")),W278&amp;" de "&amp;V278&amp;" concluídas")&amp;IF(Z278="","",IF(OR(Y278="",Z278&gt;Y278),", executando "&amp;IF(Z278&lt;0,IF(COUNTIF($E$5:$E$6004,"SUBSOLO*")&gt;0,"subsolo",-Z278&amp;"º subsolo"),IF(Z278=0,"térreo",Z278&amp;"º pav."))," (restam serviços no "&amp;IF(Z278&lt;0,IF(COUNTIF($E$5:$E$6004,"SUBSOLO*")&gt;0,"subsolo",-Z278&amp;"º subsolo"),IF(Z278=0,"térreo",Z278&amp;"º pav."))&amp;")"))))))</f>
        <v/>
      </c>
    </row>
    <row r="279">
      <c r="B279" s="4" t="n">
        <v>31528964</v>
      </c>
      <c r="C279" s="4" t="inlineStr">
        <is>
          <t>ESTRUTURA</t>
        </is>
      </c>
      <c r="D279" s="4" t="inlineStr">
        <is>
          <t>Forma</t>
        </is>
      </c>
      <c r="E279" s="4" t="inlineStr">
        <is>
          <t>4º PAV - GARAGEM</t>
        </is>
      </c>
      <c r="F279" s="126" t="n">
        <v>46322</v>
      </c>
      <c r="G279" s="126" t="n">
        <v>46338</v>
      </c>
      <c r="H279" s="126" t="n">
        <v>46289</v>
      </c>
      <c r="I279" s="4" t="n">
        <v>0</v>
      </c>
      <c r="J279" s="4" t="n">
        <v>0</v>
      </c>
      <c r="K279" s="4" t="n">
        <v>0</v>
      </c>
      <c r="M279" s="2">
        <f>IF(C279="","",IFERROR(INDEX($S$5:$S$304,MATCH(C279,$R$5:$R$304,0))&amp;"","?"))</f>
        <v/>
      </c>
      <c r="N279" s="2">
        <f>IF(E279="","",IF(ISNUMBER(SEARCH("SUBSOLO",E279)),IFERROR(-VALUE(LEFT(E279,FIND("º",SUBSTITUTE(E279,"°","º"))-1)),-1),IF(LEFT(E279,6)="TÉRREO",0,IFERROR(VALUE(LEFT(E279,FIND("º",SUBSTITUTE(E279,"°","º"))-1)),""))))</f>
        <v/>
      </c>
      <c r="O279" s="2">
        <f>IF(OR(F279="",G279=""),"",IF(G279&lt;='RETRATO 2027'!$K$5,"CONCLUÍDA",IF(F279&lt;='RETRATO 2027'!$K$5,"EM ANDAMENTO","A INICIAR")))</f>
        <v/>
      </c>
      <c r="R279" s="4" t="n"/>
      <c r="S279" s="4" t="n"/>
      <c r="T279" s="4" t="n"/>
      <c r="U279" s="4" t="n"/>
      <c r="V279" s="2">
        <f>IF(R279="","",COUNTIF($C$5:$C$6004,R279))</f>
        <v/>
      </c>
      <c r="W279" s="2">
        <f>IF(R279="","",COUNTIFS($C$5:$C$6004,R279,$O$5:$O$6004,"CONCLUÍDA"))</f>
        <v/>
      </c>
      <c r="X279" s="2">
        <f>IF(R279="","",COUNTIFS($C$5:$C$6004,R279,$O$5:$O$6004,"EM ANDAMENTO"))</f>
        <v/>
      </c>
      <c r="Y279" s="2">
        <f>IF(R279="","",IF(COUNTIFS($C$5:$C$6004,R279,$O$5:$O$6004,"CONCLUÍDA",$N$5:$N$6004,"&gt;=-99")=0,"",_xlfn.MAXIFS($N$5:$N$6004,$C$5:$C$6004,R279,$O$5:$O$6004,"CONCLUÍDA")))</f>
        <v/>
      </c>
      <c r="Z279" s="2">
        <f>IF(R279="","",IF(COUNTIFS($C$5:$C$6004,R279,$O$5:$O$6004,"EM ANDAMENTO",$N$5:$N$6004,"&gt;=-99")=0,"",_xlfn.MAXIFS($N$5:$N$6004,$C$5:$C$6004,R279,$O$5:$O$6004,"EM ANDAMENTO")))</f>
        <v/>
      </c>
      <c r="AA279" s="2">
        <f>IF(OR(R279="",S279="",U279&lt;&gt;"SIM",V279=0),"",IF(W279+X279=0,"",T279&amp;": "&amp;IF(W279=V279,"concluído",IF(W279=0,"em execução"&amp;IF(Z279&lt;&gt;""," ("&amp;IF(Z279&lt;0,IF(COUNTIF($E$5:$E$6004,"SUBSOLO*")&gt;0,"subsolo",-Z279&amp;"º subsolo"),IF(Z279=0,"térreo",Z279&amp;"º pav."))&amp;")",""),IF(Y279&lt;&gt;"","até "&amp;IF(Y279&lt;0,IF(COUNTIF($E$5:$E$6004,"SUBSOLO*")&gt;0,"subsolo",-Y279&amp;"º subsolo"),IF(Y279=0,"térreo",Y279&amp;"º pav.")),W279&amp;" de "&amp;V279&amp;" concluídas")&amp;IF(Z279="","",IF(OR(Y279="",Z279&gt;Y279),", executando "&amp;IF(Z279&lt;0,IF(COUNTIF($E$5:$E$6004,"SUBSOLO*")&gt;0,"subsolo",-Z279&amp;"º subsolo"),IF(Z279=0,"térreo",Z279&amp;"º pav."))," (restam serviços no "&amp;IF(Z279&lt;0,IF(COUNTIF($E$5:$E$6004,"SUBSOLO*")&gt;0,"subsolo",-Z279&amp;"º subsolo"),IF(Z279=0,"térreo",Z279&amp;"º pav."))&amp;")"))))))</f>
        <v/>
      </c>
    </row>
    <row r="280">
      <c r="B280" s="4" t="n">
        <v>31528965</v>
      </c>
      <c r="C280" s="4" t="inlineStr">
        <is>
          <t>ESTRUTURA</t>
        </is>
      </c>
      <c r="D280" s="4" t="inlineStr">
        <is>
          <t>Armação</t>
        </is>
      </c>
      <c r="E280" s="4" t="inlineStr">
        <is>
          <t>4º PAV - GARAGEM</t>
        </is>
      </c>
      <c r="F280" s="126" t="n">
        <v>46339</v>
      </c>
      <c r="G280" s="126" t="n">
        <v>46349</v>
      </c>
      <c r="H280" s="126" t="n">
        <v>46289</v>
      </c>
      <c r="I280" s="4" t="n">
        <v>0</v>
      </c>
      <c r="J280" s="4" t="n">
        <v>0</v>
      </c>
      <c r="K280" s="4" t="n">
        <v>0</v>
      </c>
      <c r="M280" s="2">
        <f>IF(C280="","",IFERROR(INDEX($S$5:$S$304,MATCH(C280,$R$5:$R$304,0))&amp;"","?"))</f>
        <v/>
      </c>
      <c r="N280" s="2">
        <f>IF(E280="","",IF(ISNUMBER(SEARCH("SUBSOLO",E280)),IFERROR(-VALUE(LEFT(E280,FIND("º",SUBSTITUTE(E280,"°","º"))-1)),-1),IF(LEFT(E280,6)="TÉRREO",0,IFERROR(VALUE(LEFT(E280,FIND("º",SUBSTITUTE(E280,"°","º"))-1)),""))))</f>
        <v/>
      </c>
      <c r="O280" s="2">
        <f>IF(OR(F280="",G280=""),"",IF(G280&lt;='RETRATO 2027'!$K$5,"CONCLUÍDA",IF(F280&lt;='RETRATO 2027'!$K$5,"EM ANDAMENTO","A INICIAR")))</f>
        <v/>
      </c>
      <c r="R280" s="4" t="n"/>
      <c r="S280" s="4" t="n"/>
      <c r="T280" s="4" t="n"/>
      <c r="U280" s="4" t="n"/>
      <c r="V280" s="2">
        <f>IF(R280="","",COUNTIF($C$5:$C$6004,R280))</f>
        <v/>
      </c>
      <c r="W280" s="2">
        <f>IF(R280="","",COUNTIFS($C$5:$C$6004,R280,$O$5:$O$6004,"CONCLUÍDA"))</f>
        <v/>
      </c>
      <c r="X280" s="2">
        <f>IF(R280="","",COUNTIFS($C$5:$C$6004,R280,$O$5:$O$6004,"EM ANDAMENTO"))</f>
        <v/>
      </c>
      <c r="Y280" s="2">
        <f>IF(R280="","",IF(COUNTIFS($C$5:$C$6004,R280,$O$5:$O$6004,"CONCLUÍDA",$N$5:$N$6004,"&gt;=-99")=0,"",_xlfn.MAXIFS($N$5:$N$6004,$C$5:$C$6004,R280,$O$5:$O$6004,"CONCLUÍDA")))</f>
        <v/>
      </c>
      <c r="Z280" s="2">
        <f>IF(R280="","",IF(COUNTIFS($C$5:$C$6004,R280,$O$5:$O$6004,"EM ANDAMENTO",$N$5:$N$6004,"&gt;=-99")=0,"",_xlfn.MAXIFS($N$5:$N$6004,$C$5:$C$6004,R280,$O$5:$O$6004,"EM ANDAMENTO")))</f>
        <v/>
      </c>
      <c r="AA280" s="2">
        <f>IF(OR(R280="",S280="",U280&lt;&gt;"SIM",V280=0),"",IF(W280+X280=0,"",T280&amp;": "&amp;IF(W280=V280,"concluído",IF(W280=0,"em execução"&amp;IF(Z280&lt;&gt;""," ("&amp;IF(Z280&lt;0,IF(COUNTIF($E$5:$E$6004,"SUBSOLO*")&gt;0,"subsolo",-Z280&amp;"º subsolo"),IF(Z280=0,"térreo",Z280&amp;"º pav."))&amp;")",""),IF(Y280&lt;&gt;"","até "&amp;IF(Y280&lt;0,IF(COUNTIF($E$5:$E$6004,"SUBSOLO*")&gt;0,"subsolo",-Y280&amp;"º subsolo"),IF(Y280=0,"térreo",Y280&amp;"º pav.")),W280&amp;" de "&amp;V280&amp;" concluídas")&amp;IF(Z280="","",IF(OR(Y280="",Z280&gt;Y280),", executando "&amp;IF(Z280&lt;0,IF(COUNTIF($E$5:$E$6004,"SUBSOLO*")&gt;0,"subsolo",-Z280&amp;"º subsolo"),IF(Z280=0,"térreo",Z280&amp;"º pav."))," (restam serviços no "&amp;IF(Z280&lt;0,IF(COUNTIF($E$5:$E$6004,"SUBSOLO*")&gt;0,"subsolo",-Z280&amp;"º subsolo"),IF(Z280=0,"térreo",Z280&amp;"º pav."))&amp;")"))))))</f>
        <v/>
      </c>
    </row>
    <row r="281">
      <c r="B281" s="4" t="n">
        <v>31528966</v>
      </c>
      <c r="C281" s="4" t="inlineStr">
        <is>
          <t>ESTRUTURA</t>
        </is>
      </c>
      <c r="D281" s="4" t="inlineStr">
        <is>
          <t>Concretagem</t>
        </is>
      </c>
      <c r="E281" s="4" t="inlineStr">
        <is>
          <t>4º PAV - GARAGEM</t>
        </is>
      </c>
      <c r="F281" s="126" t="n">
        <v>46350</v>
      </c>
      <c r="G281" s="126" t="n">
        <v>46350</v>
      </c>
      <c r="H281" s="126" t="n">
        <v>46289</v>
      </c>
      <c r="I281" s="4" t="n">
        <v>0</v>
      </c>
      <c r="J281" s="4" t="n">
        <v>0</v>
      </c>
      <c r="K281" s="4" t="n">
        <v>0</v>
      </c>
      <c r="M281" s="2">
        <f>IF(C281="","",IFERROR(INDEX($S$5:$S$304,MATCH(C281,$R$5:$R$304,0))&amp;"","?"))</f>
        <v/>
      </c>
      <c r="N281" s="2">
        <f>IF(E281="","",IF(ISNUMBER(SEARCH("SUBSOLO",E281)),IFERROR(-VALUE(LEFT(E281,FIND("º",SUBSTITUTE(E281,"°","º"))-1)),-1),IF(LEFT(E281,6)="TÉRREO",0,IFERROR(VALUE(LEFT(E281,FIND("º",SUBSTITUTE(E281,"°","º"))-1)),""))))</f>
        <v/>
      </c>
      <c r="O281" s="2">
        <f>IF(OR(F281="",G281=""),"",IF(G281&lt;='RETRATO 2027'!$K$5,"CONCLUÍDA",IF(F281&lt;='RETRATO 2027'!$K$5,"EM ANDAMENTO","A INICIAR")))</f>
        <v/>
      </c>
      <c r="R281" s="4" t="n"/>
      <c r="S281" s="4" t="n"/>
      <c r="T281" s="4" t="n"/>
      <c r="U281" s="4" t="n"/>
      <c r="V281" s="2">
        <f>IF(R281="","",COUNTIF($C$5:$C$6004,R281))</f>
        <v/>
      </c>
      <c r="W281" s="2">
        <f>IF(R281="","",COUNTIFS($C$5:$C$6004,R281,$O$5:$O$6004,"CONCLUÍDA"))</f>
        <v/>
      </c>
      <c r="X281" s="2">
        <f>IF(R281="","",COUNTIFS($C$5:$C$6004,R281,$O$5:$O$6004,"EM ANDAMENTO"))</f>
        <v/>
      </c>
      <c r="Y281" s="2">
        <f>IF(R281="","",IF(COUNTIFS($C$5:$C$6004,R281,$O$5:$O$6004,"CONCLUÍDA",$N$5:$N$6004,"&gt;=-99")=0,"",_xlfn.MAXIFS($N$5:$N$6004,$C$5:$C$6004,R281,$O$5:$O$6004,"CONCLUÍDA")))</f>
        <v/>
      </c>
      <c r="Z281" s="2">
        <f>IF(R281="","",IF(COUNTIFS($C$5:$C$6004,R281,$O$5:$O$6004,"EM ANDAMENTO",$N$5:$N$6004,"&gt;=-99")=0,"",_xlfn.MAXIFS($N$5:$N$6004,$C$5:$C$6004,R281,$O$5:$O$6004,"EM ANDAMENTO")))</f>
        <v/>
      </c>
      <c r="AA281" s="2">
        <f>IF(OR(R281="",S281="",U281&lt;&gt;"SIM",V281=0),"",IF(W281+X281=0,"",T281&amp;": "&amp;IF(W281=V281,"concluído",IF(W281=0,"em execução"&amp;IF(Z281&lt;&gt;""," ("&amp;IF(Z281&lt;0,IF(COUNTIF($E$5:$E$6004,"SUBSOLO*")&gt;0,"subsolo",-Z281&amp;"º subsolo"),IF(Z281=0,"térreo",Z281&amp;"º pav."))&amp;")",""),IF(Y281&lt;&gt;"","até "&amp;IF(Y281&lt;0,IF(COUNTIF($E$5:$E$6004,"SUBSOLO*")&gt;0,"subsolo",-Y281&amp;"º subsolo"),IF(Y281=0,"térreo",Y281&amp;"º pav.")),W281&amp;" de "&amp;V281&amp;" concluídas")&amp;IF(Z281="","",IF(OR(Y281="",Z281&gt;Y281),", executando "&amp;IF(Z281&lt;0,IF(COUNTIF($E$5:$E$6004,"SUBSOLO*")&gt;0,"subsolo",-Z281&amp;"º subsolo"),IF(Z281=0,"térreo",Z281&amp;"º pav."))," (restam serviços no "&amp;IF(Z281&lt;0,IF(COUNTIF($E$5:$E$6004,"SUBSOLO*")&gt;0,"subsolo",-Z281&amp;"º subsolo"),IF(Z281=0,"térreo",Z281&amp;"º pav."))&amp;")"))))))</f>
        <v/>
      </c>
    </row>
    <row r="282">
      <c r="B282" s="4" t="n">
        <v>31528967</v>
      </c>
      <c r="C282" s="4" t="inlineStr">
        <is>
          <t>ESTRUTURA</t>
        </is>
      </c>
      <c r="D282" s="4" t="inlineStr">
        <is>
          <t>Polimento</t>
        </is>
      </c>
      <c r="E282" s="4" t="inlineStr">
        <is>
          <t>4º PAV - GARAGEM</t>
        </is>
      </c>
      <c r="F282" s="126" t="n">
        <v>46350</v>
      </c>
      <c r="G282" s="126" t="n">
        <v>46350</v>
      </c>
      <c r="H282" s="126" t="n">
        <v>46289</v>
      </c>
      <c r="I282" s="4" t="n">
        <v>0</v>
      </c>
      <c r="J282" s="4" t="n">
        <v>0</v>
      </c>
      <c r="K282" s="4" t="n">
        <v>0</v>
      </c>
      <c r="M282" s="2">
        <f>IF(C282="","",IFERROR(INDEX($S$5:$S$304,MATCH(C282,$R$5:$R$304,0))&amp;"","?"))</f>
        <v/>
      </c>
      <c r="N282" s="2">
        <f>IF(E282="","",IF(ISNUMBER(SEARCH("SUBSOLO",E282)),IFERROR(-VALUE(LEFT(E282,FIND("º",SUBSTITUTE(E282,"°","º"))-1)),-1),IF(LEFT(E282,6)="TÉRREO",0,IFERROR(VALUE(LEFT(E282,FIND("º",SUBSTITUTE(E282,"°","º"))-1)),""))))</f>
        <v/>
      </c>
      <c r="O282" s="2">
        <f>IF(OR(F282="",G282=""),"",IF(G282&lt;='RETRATO 2027'!$K$5,"CONCLUÍDA",IF(F282&lt;='RETRATO 2027'!$K$5,"EM ANDAMENTO","A INICIAR")))</f>
        <v/>
      </c>
      <c r="R282" s="4" t="n"/>
      <c r="S282" s="4" t="n"/>
      <c r="T282" s="4" t="n"/>
      <c r="U282" s="4" t="n"/>
      <c r="V282" s="2">
        <f>IF(R282="","",COUNTIF($C$5:$C$6004,R282))</f>
        <v/>
      </c>
      <c r="W282" s="2">
        <f>IF(R282="","",COUNTIFS($C$5:$C$6004,R282,$O$5:$O$6004,"CONCLUÍDA"))</f>
        <v/>
      </c>
      <c r="X282" s="2">
        <f>IF(R282="","",COUNTIFS($C$5:$C$6004,R282,$O$5:$O$6004,"EM ANDAMENTO"))</f>
        <v/>
      </c>
      <c r="Y282" s="2">
        <f>IF(R282="","",IF(COUNTIFS($C$5:$C$6004,R282,$O$5:$O$6004,"CONCLUÍDA",$N$5:$N$6004,"&gt;=-99")=0,"",_xlfn.MAXIFS($N$5:$N$6004,$C$5:$C$6004,R282,$O$5:$O$6004,"CONCLUÍDA")))</f>
        <v/>
      </c>
      <c r="Z282" s="2">
        <f>IF(R282="","",IF(COUNTIFS($C$5:$C$6004,R282,$O$5:$O$6004,"EM ANDAMENTO",$N$5:$N$6004,"&gt;=-99")=0,"",_xlfn.MAXIFS($N$5:$N$6004,$C$5:$C$6004,R282,$O$5:$O$6004,"EM ANDAMENTO")))</f>
        <v/>
      </c>
      <c r="AA282" s="2">
        <f>IF(OR(R282="",S282="",U282&lt;&gt;"SIM",V282=0),"",IF(W282+X282=0,"",T282&amp;": "&amp;IF(W282=V282,"concluído",IF(W282=0,"em execução"&amp;IF(Z282&lt;&gt;""," ("&amp;IF(Z282&lt;0,IF(COUNTIF($E$5:$E$6004,"SUBSOLO*")&gt;0,"subsolo",-Z282&amp;"º subsolo"),IF(Z282=0,"térreo",Z282&amp;"º pav."))&amp;")",""),IF(Y282&lt;&gt;"","até "&amp;IF(Y282&lt;0,IF(COUNTIF($E$5:$E$6004,"SUBSOLO*")&gt;0,"subsolo",-Y282&amp;"º subsolo"),IF(Y282=0,"térreo",Y282&amp;"º pav.")),W282&amp;" de "&amp;V282&amp;" concluídas")&amp;IF(Z282="","",IF(OR(Y282="",Z282&gt;Y282),", executando "&amp;IF(Z282&lt;0,IF(COUNTIF($E$5:$E$6004,"SUBSOLO*")&gt;0,"subsolo",-Z282&amp;"º subsolo"),IF(Z282=0,"térreo",Z282&amp;"º pav."))," (restam serviços no "&amp;IF(Z282&lt;0,IF(COUNTIF($E$5:$E$6004,"SUBSOLO*")&gt;0,"subsolo",-Z282&amp;"º subsolo"),IF(Z282=0,"térreo",Z282&amp;"º pav."))&amp;")"))))))</f>
        <v/>
      </c>
    </row>
    <row r="283">
      <c r="B283" s="4" t="n">
        <v>35594317</v>
      </c>
      <c r="C283" s="4" t="inlineStr">
        <is>
          <t>TRATAMENTO DE CONTENÇÕES</t>
        </is>
      </c>
      <c r="D283" s="4" t="inlineStr">
        <is>
          <t>-</t>
        </is>
      </c>
      <c r="E283" s="4" t="inlineStr">
        <is>
          <t>SERVIÇOS INICIAIS</t>
        </is>
      </c>
      <c r="F283" s="126" t="n">
        <v>46339</v>
      </c>
      <c r="G283" s="126" t="n">
        <v>46379</v>
      </c>
      <c r="H283" s="126" t="n">
        <v>46289</v>
      </c>
      <c r="I283" s="4" t="n">
        <v>4.444</v>
      </c>
      <c r="J283" s="4" t="n">
        <v>0</v>
      </c>
      <c r="K283" s="4" t="n">
        <v>0</v>
      </c>
      <c r="M283" s="2">
        <f>IF(C283="","",IFERROR(INDEX($S$5:$S$304,MATCH(C283,$R$5:$R$304,0))&amp;"","?"))</f>
        <v/>
      </c>
      <c r="N283" s="2">
        <f>IF(E283="","",IF(ISNUMBER(SEARCH("SUBSOLO",E283)),IFERROR(-VALUE(LEFT(E283,FIND("º",SUBSTITUTE(E283,"°","º"))-1)),-1),IF(LEFT(E283,6)="TÉRREO",0,IFERROR(VALUE(LEFT(E283,FIND("º",SUBSTITUTE(E283,"°","º"))-1)),""))))</f>
        <v/>
      </c>
      <c r="O283" s="2">
        <f>IF(OR(F283="",G283=""),"",IF(G283&lt;='RETRATO 2027'!$K$5,"CONCLUÍDA",IF(F283&lt;='RETRATO 2027'!$K$5,"EM ANDAMENTO","A INICIAR")))</f>
        <v/>
      </c>
      <c r="R283" s="4" t="n"/>
      <c r="S283" s="4" t="n"/>
      <c r="T283" s="4" t="n"/>
      <c r="U283" s="4" t="n"/>
      <c r="V283" s="2">
        <f>IF(R283="","",COUNTIF($C$5:$C$6004,R283))</f>
        <v/>
      </c>
      <c r="W283" s="2">
        <f>IF(R283="","",COUNTIFS($C$5:$C$6004,R283,$O$5:$O$6004,"CONCLUÍDA"))</f>
        <v/>
      </c>
      <c r="X283" s="2">
        <f>IF(R283="","",COUNTIFS($C$5:$C$6004,R283,$O$5:$O$6004,"EM ANDAMENTO"))</f>
        <v/>
      </c>
      <c r="Y283" s="2">
        <f>IF(R283="","",IF(COUNTIFS($C$5:$C$6004,R283,$O$5:$O$6004,"CONCLUÍDA",$N$5:$N$6004,"&gt;=-99")=0,"",_xlfn.MAXIFS($N$5:$N$6004,$C$5:$C$6004,R283,$O$5:$O$6004,"CONCLUÍDA")))</f>
        <v/>
      </c>
      <c r="Z283" s="2">
        <f>IF(R283="","",IF(COUNTIFS($C$5:$C$6004,R283,$O$5:$O$6004,"EM ANDAMENTO",$N$5:$N$6004,"&gt;=-99")=0,"",_xlfn.MAXIFS($N$5:$N$6004,$C$5:$C$6004,R283,$O$5:$O$6004,"EM ANDAMENTO")))</f>
        <v/>
      </c>
      <c r="AA283" s="2">
        <f>IF(OR(R283="",S283="",U283&lt;&gt;"SIM",V283=0),"",IF(W283+X283=0,"",T283&amp;": "&amp;IF(W283=V283,"concluído",IF(W283=0,"em execução"&amp;IF(Z283&lt;&gt;""," ("&amp;IF(Z283&lt;0,IF(COUNTIF($E$5:$E$6004,"SUBSOLO*")&gt;0,"subsolo",-Z283&amp;"º subsolo"),IF(Z283=0,"térreo",Z283&amp;"º pav."))&amp;")",""),IF(Y283&lt;&gt;"","até "&amp;IF(Y283&lt;0,IF(COUNTIF($E$5:$E$6004,"SUBSOLO*")&gt;0,"subsolo",-Y283&amp;"º subsolo"),IF(Y283=0,"térreo",Y283&amp;"º pav.")),W283&amp;" de "&amp;V283&amp;" concluídas")&amp;IF(Z283="","",IF(OR(Y283="",Z283&gt;Y283),", executando "&amp;IF(Z283&lt;0,IF(COUNTIF($E$5:$E$6004,"SUBSOLO*")&gt;0,"subsolo",-Z283&amp;"º subsolo"),IF(Z283=0,"térreo",Z283&amp;"º pav."))," (restam serviços no "&amp;IF(Z283&lt;0,IF(COUNTIF($E$5:$E$6004,"SUBSOLO*")&gt;0,"subsolo",-Z283&amp;"º subsolo"),IF(Z283=0,"térreo",Z283&amp;"º pav."))&amp;")"))))))</f>
        <v/>
      </c>
    </row>
    <row r="284">
      <c r="B284" s="4" t="n">
        <v>29940927</v>
      </c>
      <c r="C284" s="4" t="inlineStr">
        <is>
          <t>ESTRUTURA</t>
        </is>
      </c>
      <c r="D284" s="4" t="inlineStr">
        <is>
          <t>-</t>
        </is>
      </c>
      <c r="E284" s="4" t="inlineStr">
        <is>
          <t>5º PAV - GARAGEM</t>
        </is>
      </c>
      <c r="F284" s="126" t="n">
        <v>46351</v>
      </c>
      <c r="G284" s="126" t="n">
        <v>46379</v>
      </c>
      <c r="H284" s="126" t="n">
        <v>46289</v>
      </c>
      <c r="I284" s="4" t="n">
        <v>0</v>
      </c>
      <c r="J284" s="4" t="n">
        <v>0</v>
      </c>
      <c r="K284" s="4" t="n">
        <v>0</v>
      </c>
      <c r="M284" s="2">
        <f>IF(C284="","",IFERROR(INDEX($S$5:$S$304,MATCH(C284,$R$5:$R$304,0))&amp;"","?"))</f>
        <v/>
      </c>
      <c r="N284" s="2">
        <f>IF(E284="","",IF(ISNUMBER(SEARCH("SUBSOLO",E284)),IFERROR(-VALUE(LEFT(E284,FIND("º",SUBSTITUTE(E284,"°","º"))-1)),-1),IF(LEFT(E284,6)="TÉRREO",0,IFERROR(VALUE(LEFT(E284,FIND("º",SUBSTITUTE(E284,"°","º"))-1)),""))))</f>
        <v/>
      </c>
      <c r="O284" s="2">
        <f>IF(OR(F284="",G284=""),"",IF(G284&lt;='RETRATO 2027'!$K$5,"CONCLUÍDA",IF(F284&lt;='RETRATO 2027'!$K$5,"EM ANDAMENTO","A INICIAR")))</f>
        <v/>
      </c>
      <c r="R284" s="4" t="n"/>
      <c r="S284" s="4" t="n"/>
      <c r="T284" s="4" t="n"/>
      <c r="U284" s="4" t="n"/>
      <c r="V284" s="2">
        <f>IF(R284="","",COUNTIF($C$5:$C$6004,R284))</f>
        <v/>
      </c>
      <c r="W284" s="2">
        <f>IF(R284="","",COUNTIFS($C$5:$C$6004,R284,$O$5:$O$6004,"CONCLUÍDA"))</f>
        <v/>
      </c>
      <c r="X284" s="2">
        <f>IF(R284="","",COUNTIFS($C$5:$C$6004,R284,$O$5:$O$6004,"EM ANDAMENTO"))</f>
        <v/>
      </c>
      <c r="Y284" s="2">
        <f>IF(R284="","",IF(COUNTIFS($C$5:$C$6004,R284,$O$5:$O$6004,"CONCLUÍDA",$N$5:$N$6004,"&gt;=-99")=0,"",_xlfn.MAXIFS($N$5:$N$6004,$C$5:$C$6004,R284,$O$5:$O$6004,"CONCLUÍDA")))</f>
        <v/>
      </c>
      <c r="Z284" s="2">
        <f>IF(R284="","",IF(COUNTIFS($C$5:$C$6004,R284,$O$5:$O$6004,"EM ANDAMENTO",$N$5:$N$6004,"&gt;=-99")=0,"",_xlfn.MAXIFS($N$5:$N$6004,$C$5:$C$6004,R284,$O$5:$O$6004,"EM ANDAMENTO")))</f>
        <v/>
      </c>
      <c r="AA284" s="2">
        <f>IF(OR(R284="",S284="",U284&lt;&gt;"SIM",V284=0),"",IF(W284+X284=0,"",T284&amp;": "&amp;IF(W284=V284,"concluído",IF(W284=0,"em execução"&amp;IF(Z284&lt;&gt;""," ("&amp;IF(Z284&lt;0,IF(COUNTIF($E$5:$E$6004,"SUBSOLO*")&gt;0,"subsolo",-Z284&amp;"º subsolo"),IF(Z284=0,"térreo",Z284&amp;"º pav."))&amp;")",""),IF(Y284&lt;&gt;"","até "&amp;IF(Y284&lt;0,IF(COUNTIF($E$5:$E$6004,"SUBSOLO*")&gt;0,"subsolo",-Y284&amp;"º subsolo"),IF(Y284=0,"térreo",Y284&amp;"º pav.")),W284&amp;" de "&amp;V284&amp;" concluídas")&amp;IF(Z284="","",IF(OR(Y284="",Z284&gt;Y284),", executando "&amp;IF(Z284&lt;0,IF(COUNTIF($E$5:$E$6004,"SUBSOLO*")&gt;0,"subsolo",-Z284&amp;"º subsolo"),IF(Z284=0,"térreo",Z284&amp;"º pav."))," (restam serviços no "&amp;IF(Z284&lt;0,IF(COUNTIF($E$5:$E$6004,"SUBSOLO*")&gt;0,"subsolo",-Z284&amp;"º subsolo"),IF(Z284=0,"térreo",Z284&amp;"º pav."))&amp;")"))))))</f>
        <v/>
      </c>
    </row>
    <row r="285">
      <c r="B285" s="4" t="n">
        <v>31528968</v>
      </c>
      <c r="C285" s="4" t="inlineStr">
        <is>
          <t>ESTRUTURA</t>
        </is>
      </c>
      <c r="D285" s="4" t="inlineStr">
        <is>
          <t>Forma</t>
        </is>
      </c>
      <c r="E285" s="4" t="inlineStr">
        <is>
          <t>5º PAV - GARAGEM</t>
        </is>
      </c>
      <c r="F285" s="126" t="n">
        <v>46351</v>
      </c>
      <c r="G285" s="126" t="n">
        <v>46367</v>
      </c>
      <c r="H285" s="126" t="n">
        <v>46289</v>
      </c>
      <c r="I285" s="4" t="n">
        <v>0</v>
      </c>
      <c r="J285" s="4" t="n">
        <v>0</v>
      </c>
      <c r="K285" s="4" t="n">
        <v>0</v>
      </c>
      <c r="M285" s="2">
        <f>IF(C285="","",IFERROR(INDEX($S$5:$S$304,MATCH(C285,$R$5:$R$304,0))&amp;"","?"))</f>
        <v/>
      </c>
      <c r="N285" s="2">
        <f>IF(E285="","",IF(ISNUMBER(SEARCH("SUBSOLO",E285)),IFERROR(-VALUE(LEFT(E285,FIND("º",SUBSTITUTE(E285,"°","º"))-1)),-1),IF(LEFT(E285,6)="TÉRREO",0,IFERROR(VALUE(LEFT(E285,FIND("º",SUBSTITUTE(E285,"°","º"))-1)),""))))</f>
        <v/>
      </c>
      <c r="O285" s="2">
        <f>IF(OR(F285="",G285=""),"",IF(G285&lt;='RETRATO 2027'!$K$5,"CONCLUÍDA",IF(F285&lt;='RETRATO 2027'!$K$5,"EM ANDAMENTO","A INICIAR")))</f>
        <v/>
      </c>
      <c r="R285" s="4" t="n"/>
      <c r="S285" s="4" t="n"/>
      <c r="T285" s="4" t="n"/>
      <c r="U285" s="4" t="n"/>
      <c r="V285" s="2">
        <f>IF(R285="","",COUNTIF($C$5:$C$6004,R285))</f>
        <v/>
      </c>
      <c r="W285" s="2">
        <f>IF(R285="","",COUNTIFS($C$5:$C$6004,R285,$O$5:$O$6004,"CONCLUÍDA"))</f>
        <v/>
      </c>
      <c r="X285" s="2">
        <f>IF(R285="","",COUNTIFS($C$5:$C$6004,R285,$O$5:$O$6004,"EM ANDAMENTO"))</f>
        <v/>
      </c>
      <c r="Y285" s="2">
        <f>IF(R285="","",IF(COUNTIFS($C$5:$C$6004,R285,$O$5:$O$6004,"CONCLUÍDA",$N$5:$N$6004,"&gt;=-99")=0,"",_xlfn.MAXIFS($N$5:$N$6004,$C$5:$C$6004,R285,$O$5:$O$6004,"CONCLUÍDA")))</f>
        <v/>
      </c>
      <c r="Z285" s="2">
        <f>IF(R285="","",IF(COUNTIFS($C$5:$C$6004,R285,$O$5:$O$6004,"EM ANDAMENTO",$N$5:$N$6004,"&gt;=-99")=0,"",_xlfn.MAXIFS($N$5:$N$6004,$C$5:$C$6004,R285,$O$5:$O$6004,"EM ANDAMENTO")))</f>
        <v/>
      </c>
      <c r="AA285" s="2">
        <f>IF(OR(R285="",S285="",U285&lt;&gt;"SIM",V285=0),"",IF(W285+X285=0,"",T285&amp;": "&amp;IF(W285=V285,"concluído",IF(W285=0,"em execução"&amp;IF(Z285&lt;&gt;""," ("&amp;IF(Z285&lt;0,IF(COUNTIF($E$5:$E$6004,"SUBSOLO*")&gt;0,"subsolo",-Z285&amp;"º subsolo"),IF(Z285=0,"térreo",Z285&amp;"º pav."))&amp;")",""),IF(Y285&lt;&gt;"","até "&amp;IF(Y285&lt;0,IF(COUNTIF($E$5:$E$6004,"SUBSOLO*")&gt;0,"subsolo",-Y285&amp;"º subsolo"),IF(Y285=0,"térreo",Y285&amp;"º pav.")),W285&amp;" de "&amp;V285&amp;" concluídas")&amp;IF(Z285="","",IF(OR(Y285="",Z285&gt;Y285),", executando "&amp;IF(Z285&lt;0,IF(COUNTIF($E$5:$E$6004,"SUBSOLO*")&gt;0,"subsolo",-Z285&amp;"º subsolo"),IF(Z285=0,"térreo",Z285&amp;"º pav."))," (restam serviços no "&amp;IF(Z285&lt;0,IF(COUNTIF($E$5:$E$6004,"SUBSOLO*")&gt;0,"subsolo",-Z285&amp;"º subsolo"),IF(Z285=0,"térreo",Z285&amp;"º pav."))&amp;")"))))))</f>
        <v/>
      </c>
    </row>
    <row r="286">
      <c r="B286" s="4" t="n">
        <v>31528969</v>
      </c>
      <c r="C286" s="4" t="inlineStr">
        <is>
          <t>ESTRUTURA</t>
        </is>
      </c>
      <c r="D286" s="4" t="inlineStr">
        <is>
          <t>Armação</t>
        </is>
      </c>
      <c r="E286" s="4" t="inlineStr">
        <is>
          <t>5º PAV - GARAGEM</t>
        </is>
      </c>
      <c r="F286" s="126" t="n">
        <v>46370</v>
      </c>
      <c r="G286" s="126" t="n">
        <v>46378</v>
      </c>
      <c r="H286" s="126" t="n">
        <v>46289</v>
      </c>
      <c r="I286" s="4" t="n">
        <v>0</v>
      </c>
      <c r="J286" s="4" t="n">
        <v>0</v>
      </c>
      <c r="K286" s="4" t="n">
        <v>0</v>
      </c>
      <c r="M286" s="2">
        <f>IF(C286="","",IFERROR(INDEX($S$5:$S$304,MATCH(C286,$R$5:$R$304,0))&amp;"","?"))</f>
        <v/>
      </c>
      <c r="N286" s="2">
        <f>IF(E286="","",IF(ISNUMBER(SEARCH("SUBSOLO",E286)),IFERROR(-VALUE(LEFT(E286,FIND("º",SUBSTITUTE(E286,"°","º"))-1)),-1),IF(LEFT(E286,6)="TÉRREO",0,IFERROR(VALUE(LEFT(E286,FIND("º",SUBSTITUTE(E286,"°","º"))-1)),""))))</f>
        <v/>
      </c>
      <c r="O286" s="2">
        <f>IF(OR(F286="",G286=""),"",IF(G286&lt;='RETRATO 2027'!$K$5,"CONCLUÍDA",IF(F286&lt;='RETRATO 2027'!$K$5,"EM ANDAMENTO","A INICIAR")))</f>
        <v/>
      </c>
      <c r="R286" s="4" t="n"/>
      <c r="S286" s="4" t="n"/>
      <c r="T286" s="4" t="n"/>
      <c r="U286" s="4" t="n"/>
      <c r="V286" s="2">
        <f>IF(R286="","",COUNTIF($C$5:$C$6004,R286))</f>
        <v/>
      </c>
      <c r="W286" s="2">
        <f>IF(R286="","",COUNTIFS($C$5:$C$6004,R286,$O$5:$O$6004,"CONCLUÍDA"))</f>
        <v/>
      </c>
      <c r="X286" s="2">
        <f>IF(R286="","",COUNTIFS($C$5:$C$6004,R286,$O$5:$O$6004,"EM ANDAMENTO"))</f>
        <v/>
      </c>
      <c r="Y286" s="2">
        <f>IF(R286="","",IF(COUNTIFS($C$5:$C$6004,R286,$O$5:$O$6004,"CONCLUÍDA",$N$5:$N$6004,"&gt;=-99")=0,"",_xlfn.MAXIFS($N$5:$N$6004,$C$5:$C$6004,R286,$O$5:$O$6004,"CONCLUÍDA")))</f>
        <v/>
      </c>
      <c r="Z286" s="2">
        <f>IF(R286="","",IF(COUNTIFS($C$5:$C$6004,R286,$O$5:$O$6004,"EM ANDAMENTO",$N$5:$N$6004,"&gt;=-99")=0,"",_xlfn.MAXIFS($N$5:$N$6004,$C$5:$C$6004,R286,$O$5:$O$6004,"EM ANDAMENTO")))</f>
        <v/>
      </c>
      <c r="AA286" s="2">
        <f>IF(OR(R286="",S286="",U286&lt;&gt;"SIM",V286=0),"",IF(W286+X286=0,"",T286&amp;": "&amp;IF(W286=V286,"concluído",IF(W286=0,"em execução"&amp;IF(Z286&lt;&gt;""," ("&amp;IF(Z286&lt;0,IF(COUNTIF($E$5:$E$6004,"SUBSOLO*")&gt;0,"subsolo",-Z286&amp;"º subsolo"),IF(Z286=0,"térreo",Z286&amp;"º pav."))&amp;")",""),IF(Y286&lt;&gt;"","até "&amp;IF(Y286&lt;0,IF(COUNTIF($E$5:$E$6004,"SUBSOLO*")&gt;0,"subsolo",-Y286&amp;"º subsolo"),IF(Y286=0,"térreo",Y286&amp;"º pav.")),W286&amp;" de "&amp;V286&amp;" concluídas")&amp;IF(Z286="","",IF(OR(Y286="",Z286&gt;Y286),", executando "&amp;IF(Z286&lt;0,IF(COUNTIF($E$5:$E$6004,"SUBSOLO*")&gt;0,"subsolo",-Z286&amp;"º subsolo"),IF(Z286=0,"térreo",Z286&amp;"º pav."))," (restam serviços no "&amp;IF(Z286&lt;0,IF(COUNTIF($E$5:$E$6004,"SUBSOLO*")&gt;0,"subsolo",-Z286&amp;"º subsolo"),IF(Z286=0,"térreo",Z286&amp;"º pav."))&amp;")"))))))</f>
        <v/>
      </c>
    </row>
    <row r="287">
      <c r="B287" s="4" t="n">
        <v>31528970</v>
      </c>
      <c r="C287" s="4" t="inlineStr">
        <is>
          <t>ESTRUTURA</t>
        </is>
      </c>
      <c r="D287" s="4" t="inlineStr">
        <is>
          <t>Concretagem</t>
        </is>
      </c>
      <c r="E287" s="4" t="inlineStr">
        <is>
          <t>5º PAV - GARAGEM</t>
        </is>
      </c>
      <c r="F287" s="126" t="n">
        <v>46379</v>
      </c>
      <c r="G287" s="126" t="n">
        <v>46379</v>
      </c>
      <c r="H287" s="126" t="n">
        <v>46289</v>
      </c>
      <c r="I287" s="4" t="n">
        <v>0</v>
      </c>
      <c r="J287" s="4" t="n">
        <v>0</v>
      </c>
      <c r="K287" s="4" t="n">
        <v>0</v>
      </c>
      <c r="M287" s="2">
        <f>IF(C287="","",IFERROR(INDEX($S$5:$S$304,MATCH(C287,$R$5:$R$304,0))&amp;"","?"))</f>
        <v/>
      </c>
      <c r="N287" s="2">
        <f>IF(E287="","",IF(ISNUMBER(SEARCH("SUBSOLO",E287)),IFERROR(-VALUE(LEFT(E287,FIND("º",SUBSTITUTE(E287,"°","º"))-1)),-1),IF(LEFT(E287,6)="TÉRREO",0,IFERROR(VALUE(LEFT(E287,FIND("º",SUBSTITUTE(E287,"°","º"))-1)),""))))</f>
        <v/>
      </c>
      <c r="O287" s="2">
        <f>IF(OR(F287="",G287=""),"",IF(G287&lt;='RETRATO 2027'!$K$5,"CONCLUÍDA",IF(F287&lt;='RETRATO 2027'!$K$5,"EM ANDAMENTO","A INICIAR")))</f>
        <v/>
      </c>
      <c r="R287" s="4" t="n"/>
      <c r="S287" s="4" t="n"/>
      <c r="T287" s="4" t="n"/>
      <c r="U287" s="4" t="n"/>
      <c r="V287" s="2">
        <f>IF(R287="","",COUNTIF($C$5:$C$6004,R287))</f>
        <v/>
      </c>
      <c r="W287" s="2">
        <f>IF(R287="","",COUNTIFS($C$5:$C$6004,R287,$O$5:$O$6004,"CONCLUÍDA"))</f>
        <v/>
      </c>
      <c r="X287" s="2">
        <f>IF(R287="","",COUNTIFS($C$5:$C$6004,R287,$O$5:$O$6004,"EM ANDAMENTO"))</f>
        <v/>
      </c>
      <c r="Y287" s="2">
        <f>IF(R287="","",IF(COUNTIFS($C$5:$C$6004,R287,$O$5:$O$6004,"CONCLUÍDA",$N$5:$N$6004,"&gt;=-99")=0,"",_xlfn.MAXIFS($N$5:$N$6004,$C$5:$C$6004,R287,$O$5:$O$6004,"CONCLUÍDA")))</f>
        <v/>
      </c>
      <c r="Z287" s="2">
        <f>IF(R287="","",IF(COUNTIFS($C$5:$C$6004,R287,$O$5:$O$6004,"EM ANDAMENTO",$N$5:$N$6004,"&gt;=-99")=0,"",_xlfn.MAXIFS($N$5:$N$6004,$C$5:$C$6004,R287,$O$5:$O$6004,"EM ANDAMENTO")))</f>
        <v/>
      </c>
      <c r="AA287" s="2">
        <f>IF(OR(R287="",S287="",U287&lt;&gt;"SIM",V287=0),"",IF(W287+X287=0,"",T287&amp;": "&amp;IF(W287=V287,"concluído",IF(W287=0,"em execução"&amp;IF(Z287&lt;&gt;""," ("&amp;IF(Z287&lt;0,IF(COUNTIF($E$5:$E$6004,"SUBSOLO*")&gt;0,"subsolo",-Z287&amp;"º subsolo"),IF(Z287=0,"térreo",Z287&amp;"º pav."))&amp;")",""),IF(Y287&lt;&gt;"","até "&amp;IF(Y287&lt;0,IF(COUNTIF($E$5:$E$6004,"SUBSOLO*")&gt;0,"subsolo",-Y287&amp;"º subsolo"),IF(Y287=0,"térreo",Y287&amp;"º pav.")),W287&amp;" de "&amp;V287&amp;" concluídas")&amp;IF(Z287="","",IF(OR(Y287="",Z287&gt;Y287),", executando "&amp;IF(Z287&lt;0,IF(COUNTIF($E$5:$E$6004,"SUBSOLO*")&gt;0,"subsolo",-Z287&amp;"º subsolo"),IF(Z287=0,"térreo",Z287&amp;"º pav."))," (restam serviços no "&amp;IF(Z287&lt;0,IF(COUNTIF($E$5:$E$6004,"SUBSOLO*")&gt;0,"subsolo",-Z287&amp;"º subsolo"),IF(Z287=0,"térreo",Z287&amp;"º pav."))&amp;")"))))))</f>
        <v/>
      </c>
    </row>
    <row r="288">
      <c r="B288" s="4" t="n">
        <v>31528971</v>
      </c>
      <c r="C288" s="4" t="inlineStr">
        <is>
          <t>ESTRUTURA</t>
        </is>
      </c>
      <c r="D288" s="4" t="inlineStr">
        <is>
          <t>Polimento</t>
        </is>
      </c>
      <c r="E288" s="4" t="inlineStr">
        <is>
          <t>5º PAV - GARAGEM</t>
        </is>
      </c>
      <c r="F288" s="126" t="n">
        <v>46379</v>
      </c>
      <c r="G288" s="126" t="n">
        <v>46379</v>
      </c>
      <c r="H288" s="126" t="n">
        <v>46289</v>
      </c>
      <c r="I288" s="4" t="n">
        <v>0</v>
      </c>
      <c r="J288" s="4" t="n">
        <v>0</v>
      </c>
      <c r="K288" s="4" t="n">
        <v>0</v>
      </c>
      <c r="M288" s="2">
        <f>IF(C288="","",IFERROR(INDEX($S$5:$S$304,MATCH(C288,$R$5:$R$304,0))&amp;"","?"))</f>
        <v/>
      </c>
      <c r="N288" s="2">
        <f>IF(E288="","",IF(ISNUMBER(SEARCH("SUBSOLO",E288)),IFERROR(-VALUE(LEFT(E288,FIND("º",SUBSTITUTE(E288,"°","º"))-1)),-1),IF(LEFT(E288,6)="TÉRREO",0,IFERROR(VALUE(LEFT(E288,FIND("º",SUBSTITUTE(E288,"°","º"))-1)),""))))</f>
        <v/>
      </c>
      <c r="O288" s="2">
        <f>IF(OR(F288="",G288=""),"",IF(G288&lt;='RETRATO 2027'!$K$5,"CONCLUÍDA",IF(F288&lt;='RETRATO 2027'!$K$5,"EM ANDAMENTO","A INICIAR")))</f>
        <v/>
      </c>
      <c r="R288" s="4" t="n"/>
      <c r="S288" s="4" t="n"/>
      <c r="T288" s="4" t="n"/>
      <c r="U288" s="4" t="n"/>
      <c r="V288" s="2">
        <f>IF(R288="","",COUNTIF($C$5:$C$6004,R288))</f>
        <v/>
      </c>
      <c r="W288" s="2">
        <f>IF(R288="","",COUNTIFS($C$5:$C$6004,R288,$O$5:$O$6004,"CONCLUÍDA"))</f>
        <v/>
      </c>
      <c r="X288" s="2">
        <f>IF(R288="","",COUNTIFS($C$5:$C$6004,R288,$O$5:$O$6004,"EM ANDAMENTO"))</f>
        <v/>
      </c>
      <c r="Y288" s="2">
        <f>IF(R288="","",IF(COUNTIFS($C$5:$C$6004,R288,$O$5:$O$6004,"CONCLUÍDA",$N$5:$N$6004,"&gt;=-99")=0,"",_xlfn.MAXIFS($N$5:$N$6004,$C$5:$C$6004,R288,$O$5:$O$6004,"CONCLUÍDA")))</f>
        <v/>
      </c>
      <c r="Z288" s="2">
        <f>IF(R288="","",IF(COUNTIFS($C$5:$C$6004,R288,$O$5:$O$6004,"EM ANDAMENTO",$N$5:$N$6004,"&gt;=-99")=0,"",_xlfn.MAXIFS($N$5:$N$6004,$C$5:$C$6004,R288,$O$5:$O$6004,"EM ANDAMENTO")))</f>
        <v/>
      </c>
      <c r="AA288" s="2">
        <f>IF(OR(R288="",S288="",U288&lt;&gt;"SIM",V288=0),"",IF(W288+X288=0,"",T288&amp;": "&amp;IF(W288=V288,"concluído",IF(W288=0,"em execução"&amp;IF(Z288&lt;&gt;""," ("&amp;IF(Z288&lt;0,IF(COUNTIF($E$5:$E$6004,"SUBSOLO*")&gt;0,"subsolo",-Z288&amp;"º subsolo"),IF(Z288=0,"térreo",Z288&amp;"º pav."))&amp;")",""),IF(Y288&lt;&gt;"","até "&amp;IF(Y288&lt;0,IF(COUNTIF($E$5:$E$6004,"SUBSOLO*")&gt;0,"subsolo",-Y288&amp;"º subsolo"),IF(Y288=0,"térreo",Y288&amp;"º pav.")),W288&amp;" de "&amp;V288&amp;" concluídas")&amp;IF(Z288="","",IF(OR(Y288="",Z288&gt;Y288),", executando "&amp;IF(Z288&lt;0,IF(COUNTIF($E$5:$E$6004,"SUBSOLO*")&gt;0,"subsolo",-Z288&amp;"º subsolo"),IF(Z288=0,"térreo",Z288&amp;"º pav."))," (restam serviços no "&amp;IF(Z288&lt;0,IF(COUNTIF($E$5:$E$6004,"SUBSOLO*")&gt;0,"subsolo",-Z288&amp;"º subsolo"),IF(Z288=0,"térreo",Z288&amp;"º pav."))&amp;")"))))))</f>
        <v/>
      </c>
    </row>
    <row r="289">
      <c r="B289" s="4" t="n">
        <v>30171492</v>
      </c>
      <c r="C289" s="4" t="inlineStr">
        <is>
          <t>TRATAMENTO DE CONCRETO - TETO</t>
        </is>
      </c>
      <c r="D289" s="4" t="inlineStr">
        <is>
          <t>-</t>
        </is>
      </c>
      <c r="E289" s="4" t="inlineStr">
        <is>
          <t>2º PAV - GARAGEM</t>
        </is>
      </c>
      <c r="F289" s="126" t="n">
        <v>46391</v>
      </c>
      <c r="G289" s="126" t="n">
        <v>46420</v>
      </c>
      <c r="H289" s="126" t="n">
        <v>46289</v>
      </c>
      <c r="I289" s="4" t="n">
        <v>0</v>
      </c>
      <c r="J289" s="4" t="n">
        <v>0</v>
      </c>
      <c r="K289" s="4" t="n">
        <v>0</v>
      </c>
      <c r="M289" s="2">
        <f>IF(C289="","",IFERROR(INDEX($S$5:$S$304,MATCH(C289,$R$5:$R$304,0))&amp;"","?"))</f>
        <v/>
      </c>
      <c r="N289" s="2">
        <f>IF(E289="","",IF(ISNUMBER(SEARCH("SUBSOLO",E289)),IFERROR(-VALUE(LEFT(E289,FIND("º",SUBSTITUTE(E289,"°","º"))-1)),-1),IF(LEFT(E289,6)="TÉRREO",0,IFERROR(VALUE(LEFT(E289,FIND("º",SUBSTITUTE(E289,"°","º"))-1)),""))))</f>
        <v/>
      </c>
      <c r="O289" s="2">
        <f>IF(OR(F289="",G289=""),"",IF(G289&lt;='RETRATO 2027'!$K$5,"CONCLUÍDA",IF(F289&lt;='RETRATO 2027'!$K$5,"EM ANDAMENTO","A INICIAR")))</f>
        <v/>
      </c>
      <c r="R289" s="4" t="n"/>
      <c r="S289" s="4" t="n"/>
      <c r="T289" s="4" t="n"/>
      <c r="U289" s="4" t="n"/>
      <c r="V289" s="2">
        <f>IF(R289="","",COUNTIF($C$5:$C$6004,R289))</f>
        <v/>
      </c>
      <c r="W289" s="2">
        <f>IF(R289="","",COUNTIFS($C$5:$C$6004,R289,$O$5:$O$6004,"CONCLUÍDA"))</f>
        <v/>
      </c>
      <c r="X289" s="2">
        <f>IF(R289="","",COUNTIFS($C$5:$C$6004,R289,$O$5:$O$6004,"EM ANDAMENTO"))</f>
        <v/>
      </c>
      <c r="Y289" s="2">
        <f>IF(R289="","",IF(COUNTIFS($C$5:$C$6004,R289,$O$5:$O$6004,"CONCLUÍDA",$N$5:$N$6004,"&gt;=-99")=0,"",_xlfn.MAXIFS($N$5:$N$6004,$C$5:$C$6004,R289,$O$5:$O$6004,"CONCLUÍDA")))</f>
        <v/>
      </c>
      <c r="Z289" s="2">
        <f>IF(R289="","",IF(COUNTIFS($C$5:$C$6004,R289,$O$5:$O$6004,"EM ANDAMENTO",$N$5:$N$6004,"&gt;=-99")=0,"",_xlfn.MAXIFS($N$5:$N$6004,$C$5:$C$6004,R289,$O$5:$O$6004,"EM ANDAMENTO")))</f>
        <v/>
      </c>
      <c r="AA289" s="2">
        <f>IF(OR(R289="",S289="",U289&lt;&gt;"SIM",V289=0),"",IF(W289+X289=0,"",T289&amp;": "&amp;IF(W289=V289,"concluído",IF(W289=0,"em execução"&amp;IF(Z289&lt;&gt;""," ("&amp;IF(Z289&lt;0,IF(COUNTIF($E$5:$E$6004,"SUBSOLO*")&gt;0,"subsolo",-Z289&amp;"º subsolo"),IF(Z289=0,"térreo",Z289&amp;"º pav."))&amp;")",""),IF(Y289&lt;&gt;"","até "&amp;IF(Y289&lt;0,IF(COUNTIF($E$5:$E$6004,"SUBSOLO*")&gt;0,"subsolo",-Y289&amp;"º subsolo"),IF(Y289=0,"térreo",Y289&amp;"º pav.")),W289&amp;" de "&amp;V289&amp;" concluídas")&amp;IF(Z289="","",IF(OR(Y289="",Z289&gt;Y289),", executando "&amp;IF(Z289&lt;0,IF(COUNTIF($E$5:$E$6004,"SUBSOLO*")&gt;0,"subsolo",-Z289&amp;"º subsolo"),IF(Z289=0,"térreo",Z289&amp;"º pav."))," (restam serviços no "&amp;IF(Z289&lt;0,IF(COUNTIF($E$5:$E$6004,"SUBSOLO*")&gt;0,"subsolo",-Z289&amp;"º subsolo"),IF(Z289=0,"térreo",Z289&amp;"º pav."))&amp;")"))))))</f>
        <v/>
      </c>
    </row>
    <row r="290">
      <c r="B290" s="4" t="n">
        <v>29940929</v>
      </c>
      <c r="C290" s="4" t="inlineStr">
        <is>
          <t>ESTRUTURA</t>
        </is>
      </c>
      <c r="D290" s="4" t="inlineStr">
        <is>
          <t>-</t>
        </is>
      </c>
      <c r="E290" s="4" t="inlineStr">
        <is>
          <t>6º PAV - PILOTIS</t>
        </is>
      </c>
      <c r="F290" s="126" t="n">
        <v>46391</v>
      </c>
      <c r="G290" s="126" t="n">
        <v>46414</v>
      </c>
      <c r="H290" s="126" t="n">
        <v>46289</v>
      </c>
      <c r="I290" s="4" t="n">
        <v>0</v>
      </c>
      <c r="J290" s="4" t="n">
        <v>0</v>
      </c>
      <c r="K290" s="4" t="n">
        <v>0</v>
      </c>
      <c r="M290" s="2">
        <f>IF(C290="","",IFERROR(INDEX($S$5:$S$304,MATCH(C290,$R$5:$R$304,0))&amp;"","?"))</f>
        <v/>
      </c>
      <c r="N290" s="2">
        <f>IF(E290="","",IF(ISNUMBER(SEARCH("SUBSOLO",E290)),IFERROR(-VALUE(LEFT(E290,FIND("º",SUBSTITUTE(E290,"°","º"))-1)),-1),IF(LEFT(E290,6)="TÉRREO",0,IFERROR(VALUE(LEFT(E290,FIND("º",SUBSTITUTE(E290,"°","º"))-1)),""))))</f>
        <v/>
      </c>
      <c r="O290" s="2">
        <f>IF(OR(F290="",G290=""),"",IF(G290&lt;='RETRATO 2027'!$K$5,"CONCLUÍDA",IF(F290&lt;='RETRATO 2027'!$K$5,"EM ANDAMENTO","A INICIAR")))</f>
        <v/>
      </c>
      <c r="R290" s="4" t="n"/>
      <c r="S290" s="4" t="n"/>
      <c r="T290" s="4" t="n"/>
      <c r="U290" s="4" t="n"/>
      <c r="V290" s="2">
        <f>IF(R290="","",COUNTIF($C$5:$C$6004,R290))</f>
        <v/>
      </c>
      <c r="W290" s="2">
        <f>IF(R290="","",COUNTIFS($C$5:$C$6004,R290,$O$5:$O$6004,"CONCLUÍDA"))</f>
        <v/>
      </c>
      <c r="X290" s="2">
        <f>IF(R290="","",COUNTIFS($C$5:$C$6004,R290,$O$5:$O$6004,"EM ANDAMENTO"))</f>
        <v/>
      </c>
      <c r="Y290" s="2">
        <f>IF(R290="","",IF(COUNTIFS($C$5:$C$6004,R290,$O$5:$O$6004,"CONCLUÍDA",$N$5:$N$6004,"&gt;=-99")=0,"",_xlfn.MAXIFS($N$5:$N$6004,$C$5:$C$6004,R290,$O$5:$O$6004,"CONCLUÍDA")))</f>
        <v/>
      </c>
      <c r="Z290" s="2">
        <f>IF(R290="","",IF(COUNTIFS($C$5:$C$6004,R290,$O$5:$O$6004,"EM ANDAMENTO",$N$5:$N$6004,"&gt;=-99")=0,"",_xlfn.MAXIFS($N$5:$N$6004,$C$5:$C$6004,R290,$O$5:$O$6004,"EM ANDAMENTO")))</f>
        <v/>
      </c>
      <c r="AA290" s="2">
        <f>IF(OR(R290="",S290="",U290&lt;&gt;"SIM",V290=0),"",IF(W290+X290=0,"",T290&amp;": "&amp;IF(W290=V290,"concluído",IF(W290=0,"em execução"&amp;IF(Z290&lt;&gt;""," ("&amp;IF(Z290&lt;0,IF(COUNTIF($E$5:$E$6004,"SUBSOLO*")&gt;0,"subsolo",-Z290&amp;"º subsolo"),IF(Z290=0,"térreo",Z290&amp;"º pav."))&amp;")",""),IF(Y290&lt;&gt;"","até "&amp;IF(Y290&lt;0,IF(COUNTIF($E$5:$E$6004,"SUBSOLO*")&gt;0,"subsolo",-Y290&amp;"º subsolo"),IF(Y290=0,"térreo",Y290&amp;"º pav.")),W290&amp;" de "&amp;V290&amp;" concluídas")&amp;IF(Z290="","",IF(OR(Y290="",Z290&gt;Y290),", executando "&amp;IF(Z290&lt;0,IF(COUNTIF($E$5:$E$6004,"SUBSOLO*")&gt;0,"subsolo",-Z290&amp;"º subsolo"),IF(Z290=0,"térreo",Z290&amp;"º pav."))," (restam serviços no "&amp;IF(Z290&lt;0,IF(COUNTIF($E$5:$E$6004,"SUBSOLO*")&gt;0,"subsolo",-Z290&amp;"º subsolo"),IF(Z290=0,"térreo",Z290&amp;"º pav."))&amp;")"))))))</f>
        <v/>
      </c>
    </row>
    <row r="291">
      <c r="B291" s="4" t="n">
        <v>31528972</v>
      </c>
      <c r="C291" s="4" t="inlineStr">
        <is>
          <t>ESTRUTURA</t>
        </is>
      </c>
      <c r="D291" s="4" t="inlineStr">
        <is>
          <t>Forma</t>
        </is>
      </c>
      <c r="E291" s="4" t="inlineStr">
        <is>
          <t>6º PAV - PILOTIS</t>
        </is>
      </c>
      <c r="F291" s="126" t="n">
        <v>46391</v>
      </c>
      <c r="G291" s="126" t="n">
        <v>46406</v>
      </c>
      <c r="H291" s="126" t="n">
        <v>46289</v>
      </c>
      <c r="I291" s="4" t="n">
        <v>0</v>
      </c>
      <c r="J291" s="4" t="n">
        <v>0</v>
      </c>
      <c r="K291" s="4" t="n">
        <v>0</v>
      </c>
      <c r="M291" s="2">
        <f>IF(C291="","",IFERROR(INDEX($S$5:$S$304,MATCH(C291,$R$5:$R$304,0))&amp;"","?"))</f>
        <v/>
      </c>
      <c r="N291" s="2">
        <f>IF(E291="","",IF(ISNUMBER(SEARCH("SUBSOLO",E291)),IFERROR(-VALUE(LEFT(E291,FIND("º",SUBSTITUTE(E291,"°","º"))-1)),-1),IF(LEFT(E291,6)="TÉRREO",0,IFERROR(VALUE(LEFT(E291,FIND("º",SUBSTITUTE(E291,"°","º"))-1)),""))))</f>
        <v/>
      </c>
      <c r="O291" s="2">
        <f>IF(OR(F291="",G291=""),"",IF(G291&lt;='RETRATO 2027'!$K$5,"CONCLUÍDA",IF(F291&lt;='RETRATO 2027'!$K$5,"EM ANDAMENTO","A INICIAR")))</f>
        <v/>
      </c>
      <c r="R291" s="4" t="n"/>
      <c r="S291" s="4" t="n"/>
      <c r="T291" s="4" t="n"/>
      <c r="U291" s="4" t="n"/>
      <c r="V291" s="2">
        <f>IF(R291="","",COUNTIF($C$5:$C$6004,R291))</f>
        <v/>
      </c>
      <c r="W291" s="2">
        <f>IF(R291="","",COUNTIFS($C$5:$C$6004,R291,$O$5:$O$6004,"CONCLUÍDA"))</f>
        <v/>
      </c>
      <c r="X291" s="2">
        <f>IF(R291="","",COUNTIFS($C$5:$C$6004,R291,$O$5:$O$6004,"EM ANDAMENTO"))</f>
        <v/>
      </c>
      <c r="Y291" s="2">
        <f>IF(R291="","",IF(COUNTIFS($C$5:$C$6004,R291,$O$5:$O$6004,"CONCLUÍDA",$N$5:$N$6004,"&gt;=-99")=0,"",_xlfn.MAXIFS($N$5:$N$6004,$C$5:$C$6004,R291,$O$5:$O$6004,"CONCLUÍDA")))</f>
        <v/>
      </c>
      <c r="Z291" s="2">
        <f>IF(R291="","",IF(COUNTIFS($C$5:$C$6004,R291,$O$5:$O$6004,"EM ANDAMENTO",$N$5:$N$6004,"&gt;=-99")=0,"",_xlfn.MAXIFS($N$5:$N$6004,$C$5:$C$6004,R291,$O$5:$O$6004,"EM ANDAMENTO")))</f>
        <v/>
      </c>
      <c r="AA291" s="2">
        <f>IF(OR(R291="",S291="",U291&lt;&gt;"SIM",V291=0),"",IF(W291+X291=0,"",T291&amp;": "&amp;IF(W291=V291,"concluído",IF(W291=0,"em execução"&amp;IF(Z291&lt;&gt;""," ("&amp;IF(Z291&lt;0,IF(COUNTIF($E$5:$E$6004,"SUBSOLO*")&gt;0,"subsolo",-Z291&amp;"º subsolo"),IF(Z291=0,"térreo",Z291&amp;"º pav."))&amp;")",""),IF(Y291&lt;&gt;"","até "&amp;IF(Y291&lt;0,IF(COUNTIF($E$5:$E$6004,"SUBSOLO*")&gt;0,"subsolo",-Y291&amp;"º subsolo"),IF(Y291=0,"térreo",Y291&amp;"º pav.")),W291&amp;" de "&amp;V291&amp;" concluídas")&amp;IF(Z291="","",IF(OR(Y291="",Z291&gt;Y291),", executando "&amp;IF(Z291&lt;0,IF(COUNTIF($E$5:$E$6004,"SUBSOLO*")&gt;0,"subsolo",-Z291&amp;"º subsolo"),IF(Z291=0,"térreo",Z291&amp;"º pav."))," (restam serviços no "&amp;IF(Z291&lt;0,IF(COUNTIF($E$5:$E$6004,"SUBSOLO*")&gt;0,"subsolo",-Z291&amp;"º subsolo"),IF(Z291=0,"térreo",Z291&amp;"º pav."))&amp;")"))))))</f>
        <v/>
      </c>
    </row>
    <row r="292">
      <c r="B292" s="4" t="n">
        <v>31528973</v>
      </c>
      <c r="C292" s="4" t="inlineStr">
        <is>
          <t>ESTRUTURA</t>
        </is>
      </c>
      <c r="D292" s="4" t="inlineStr">
        <is>
          <t>Armação</t>
        </is>
      </c>
      <c r="E292" s="4" t="inlineStr">
        <is>
          <t>6º PAV - PILOTIS</t>
        </is>
      </c>
      <c r="F292" s="126" t="n">
        <v>46407</v>
      </c>
      <c r="G292" s="126" t="n">
        <v>46413</v>
      </c>
      <c r="H292" s="126" t="n">
        <v>46289</v>
      </c>
      <c r="I292" s="4" t="n">
        <v>0</v>
      </c>
      <c r="J292" s="4" t="n">
        <v>0</v>
      </c>
      <c r="K292" s="4" t="n">
        <v>0</v>
      </c>
      <c r="M292" s="2">
        <f>IF(C292="","",IFERROR(INDEX($S$5:$S$304,MATCH(C292,$R$5:$R$304,0))&amp;"","?"))</f>
        <v/>
      </c>
      <c r="N292" s="2">
        <f>IF(E292="","",IF(ISNUMBER(SEARCH("SUBSOLO",E292)),IFERROR(-VALUE(LEFT(E292,FIND("º",SUBSTITUTE(E292,"°","º"))-1)),-1),IF(LEFT(E292,6)="TÉRREO",0,IFERROR(VALUE(LEFT(E292,FIND("º",SUBSTITUTE(E292,"°","º"))-1)),""))))</f>
        <v/>
      </c>
      <c r="O292" s="2">
        <f>IF(OR(F292="",G292=""),"",IF(G292&lt;='RETRATO 2027'!$K$5,"CONCLUÍDA",IF(F292&lt;='RETRATO 2027'!$K$5,"EM ANDAMENTO","A INICIAR")))</f>
        <v/>
      </c>
      <c r="R292" s="4" t="n"/>
      <c r="S292" s="4" t="n"/>
      <c r="T292" s="4" t="n"/>
      <c r="U292" s="4" t="n"/>
      <c r="V292" s="2">
        <f>IF(R292="","",COUNTIF($C$5:$C$6004,R292))</f>
        <v/>
      </c>
      <c r="W292" s="2">
        <f>IF(R292="","",COUNTIFS($C$5:$C$6004,R292,$O$5:$O$6004,"CONCLUÍDA"))</f>
        <v/>
      </c>
      <c r="X292" s="2">
        <f>IF(R292="","",COUNTIFS($C$5:$C$6004,R292,$O$5:$O$6004,"EM ANDAMENTO"))</f>
        <v/>
      </c>
      <c r="Y292" s="2">
        <f>IF(R292="","",IF(COUNTIFS($C$5:$C$6004,R292,$O$5:$O$6004,"CONCLUÍDA",$N$5:$N$6004,"&gt;=-99")=0,"",_xlfn.MAXIFS($N$5:$N$6004,$C$5:$C$6004,R292,$O$5:$O$6004,"CONCLUÍDA")))</f>
        <v/>
      </c>
      <c r="Z292" s="2">
        <f>IF(R292="","",IF(COUNTIFS($C$5:$C$6004,R292,$O$5:$O$6004,"EM ANDAMENTO",$N$5:$N$6004,"&gt;=-99")=0,"",_xlfn.MAXIFS($N$5:$N$6004,$C$5:$C$6004,R292,$O$5:$O$6004,"EM ANDAMENTO")))</f>
        <v/>
      </c>
      <c r="AA292" s="2">
        <f>IF(OR(R292="",S292="",U292&lt;&gt;"SIM",V292=0),"",IF(W292+X292=0,"",T292&amp;": "&amp;IF(W292=V292,"concluído",IF(W292=0,"em execução"&amp;IF(Z292&lt;&gt;""," ("&amp;IF(Z292&lt;0,IF(COUNTIF($E$5:$E$6004,"SUBSOLO*")&gt;0,"subsolo",-Z292&amp;"º subsolo"),IF(Z292=0,"térreo",Z292&amp;"º pav."))&amp;")",""),IF(Y292&lt;&gt;"","até "&amp;IF(Y292&lt;0,IF(COUNTIF($E$5:$E$6004,"SUBSOLO*")&gt;0,"subsolo",-Y292&amp;"º subsolo"),IF(Y292=0,"térreo",Y292&amp;"º pav.")),W292&amp;" de "&amp;V292&amp;" concluídas")&amp;IF(Z292="","",IF(OR(Y292="",Z292&gt;Y292),", executando "&amp;IF(Z292&lt;0,IF(COUNTIF($E$5:$E$6004,"SUBSOLO*")&gt;0,"subsolo",-Z292&amp;"º subsolo"),IF(Z292=0,"térreo",Z292&amp;"º pav."))," (restam serviços no "&amp;IF(Z292&lt;0,IF(COUNTIF($E$5:$E$6004,"SUBSOLO*")&gt;0,"subsolo",-Z292&amp;"º subsolo"),IF(Z292=0,"térreo",Z292&amp;"º pav."))&amp;")"))))))</f>
        <v/>
      </c>
    </row>
    <row r="293">
      <c r="B293" s="4" t="n">
        <v>31528974</v>
      </c>
      <c r="C293" s="4" t="inlineStr">
        <is>
          <t>ESTRUTURA</t>
        </is>
      </c>
      <c r="D293" s="4" t="inlineStr">
        <is>
          <t>Concretagem</t>
        </is>
      </c>
      <c r="E293" s="4" t="inlineStr">
        <is>
          <t>6º PAV - PILOTIS</t>
        </is>
      </c>
      <c r="F293" s="126" t="n">
        <v>46414</v>
      </c>
      <c r="G293" s="126" t="n">
        <v>46414</v>
      </c>
      <c r="H293" s="126" t="n">
        <v>46289</v>
      </c>
      <c r="I293" s="4" t="n">
        <v>0</v>
      </c>
      <c r="J293" s="4" t="n">
        <v>0</v>
      </c>
      <c r="K293" s="4" t="n">
        <v>0</v>
      </c>
      <c r="M293" s="2">
        <f>IF(C293="","",IFERROR(INDEX($S$5:$S$304,MATCH(C293,$R$5:$R$304,0))&amp;"","?"))</f>
        <v/>
      </c>
      <c r="N293" s="2">
        <f>IF(E293="","",IF(ISNUMBER(SEARCH("SUBSOLO",E293)),IFERROR(-VALUE(LEFT(E293,FIND("º",SUBSTITUTE(E293,"°","º"))-1)),-1),IF(LEFT(E293,6)="TÉRREO",0,IFERROR(VALUE(LEFT(E293,FIND("º",SUBSTITUTE(E293,"°","º"))-1)),""))))</f>
        <v/>
      </c>
      <c r="O293" s="2">
        <f>IF(OR(F293="",G293=""),"",IF(G293&lt;='RETRATO 2027'!$K$5,"CONCLUÍDA",IF(F293&lt;='RETRATO 2027'!$K$5,"EM ANDAMENTO","A INICIAR")))</f>
        <v/>
      </c>
      <c r="R293" s="4" t="n"/>
      <c r="S293" s="4" t="n"/>
      <c r="T293" s="4" t="n"/>
      <c r="U293" s="4" t="n"/>
      <c r="V293" s="2">
        <f>IF(R293="","",COUNTIF($C$5:$C$6004,R293))</f>
        <v/>
      </c>
      <c r="W293" s="2">
        <f>IF(R293="","",COUNTIFS($C$5:$C$6004,R293,$O$5:$O$6004,"CONCLUÍDA"))</f>
        <v/>
      </c>
      <c r="X293" s="2">
        <f>IF(R293="","",COUNTIFS($C$5:$C$6004,R293,$O$5:$O$6004,"EM ANDAMENTO"))</f>
        <v/>
      </c>
      <c r="Y293" s="2">
        <f>IF(R293="","",IF(COUNTIFS($C$5:$C$6004,R293,$O$5:$O$6004,"CONCLUÍDA",$N$5:$N$6004,"&gt;=-99")=0,"",_xlfn.MAXIFS($N$5:$N$6004,$C$5:$C$6004,R293,$O$5:$O$6004,"CONCLUÍDA")))</f>
        <v/>
      </c>
      <c r="Z293" s="2">
        <f>IF(R293="","",IF(COUNTIFS($C$5:$C$6004,R293,$O$5:$O$6004,"EM ANDAMENTO",$N$5:$N$6004,"&gt;=-99")=0,"",_xlfn.MAXIFS($N$5:$N$6004,$C$5:$C$6004,R293,$O$5:$O$6004,"EM ANDAMENTO")))</f>
        <v/>
      </c>
      <c r="AA293" s="2">
        <f>IF(OR(R293="",S293="",U293&lt;&gt;"SIM",V293=0),"",IF(W293+X293=0,"",T293&amp;": "&amp;IF(W293=V293,"concluído",IF(W293=0,"em execução"&amp;IF(Z293&lt;&gt;""," ("&amp;IF(Z293&lt;0,IF(COUNTIF($E$5:$E$6004,"SUBSOLO*")&gt;0,"subsolo",-Z293&amp;"º subsolo"),IF(Z293=0,"térreo",Z293&amp;"º pav."))&amp;")",""),IF(Y293&lt;&gt;"","até "&amp;IF(Y293&lt;0,IF(COUNTIF($E$5:$E$6004,"SUBSOLO*")&gt;0,"subsolo",-Y293&amp;"º subsolo"),IF(Y293=0,"térreo",Y293&amp;"º pav.")),W293&amp;" de "&amp;V293&amp;" concluídas")&amp;IF(Z293="","",IF(OR(Y293="",Z293&gt;Y293),", executando "&amp;IF(Z293&lt;0,IF(COUNTIF($E$5:$E$6004,"SUBSOLO*")&gt;0,"subsolo",-Z293&amp;"º subsolo"),IF(Z293=0,"térreo",Z293&amp;"º pav."))," (restam serviços no "&amp;IF(Z293&lt;0,IF(COUNTIF($E$5:$E$6004,"SUBSOLO*")&gt;0,"subsolo",-Z293&amp;"º subsolo"),IF(Z293=0,"térreo",Z293&amp;"º pav."))&amp;")"))))))</f>
        <v/>
      </c>
    </row>
    <row r="294">
      <c r="B294" s="4" t="n">
        <v>31528975</v>
      </c>
      <c r="C294" s="4" t="inlineStr">
        <is>
          <t>ESTRUTURA</t>
        </is>
      </c>
      <c r="D294" s="4" t="inlineStr">
        <is>
          <t>Polimento</t>
        </is>
      </c>
      <c r="E294" s="4" t="inlineStr">
        <is>
          <t>6º PAV - PILOTIS</t>
        </is>
      </c>
      <c r="F294" s="126" t="n">
        <v>46414</v>
      </c>
      <c r="G294" s="126" t="n">
        <v>46414</v>
      </c>
      <c r="H294" s="126" t="n">
        <v>46289</v>
      </c>
      <c r="I294" s="4" t="n">
        <v>0</v>
      </c>
      <c r="J294" s="4" t="n">
        <v>0</v>
      </c>
      <c r="K294" s="4" t="n">
        <v>0</v>
      </c>
      <c r="M294" s="2">
        <f>IF(C294="","",IFERROR(INDEX($S$5:$S$304,MATCH(C294,$R$5:$R$304,0))&amp;"","?"))</f>
        <v/>
      </c>
      <c r="N294" s="2">
        <f>IF(E294="","",IF(ISNUMBER(SEARCH("SUBSOLO",E294)),IFERROR(-VALUE(LEFT(E294,FIND("º",SUBSTITUTE(E294,"°","º"))-1)),-1),IF(LEFT(E294,6)="TÉRREO",0,IFERROR(VALUE(LEFT(E294,FIND("º",SUBSTITUTE(E294,"°","º"))-1)),""))))</f>
        <v/>
      </c>
      <c r="O294" s="2">
        <f>IF(OR(F294="",G294=""),"",IF(G294&lt;='RETRATO 2027'!$K$5,"CONCLUÍDA",IF(F294&lt;='RETRATO 2027'!$K$5,"EM ANDAMENTO","A INICIAR")))</f>
        <v/>
      </c>
      <c r="R294" s="4" t="n"/>
      <c r="S294" s="4" t="n"/>
      <c r="T294" s="4" t="n"/>
      <c r="U294" s="4" t="n"/>
      <c r="V294" s="2">
        <f>IF(R294="","",COUNTIF($C$5:$C$6004,R294))</f>
        <v/>
      </c>
      <c r="W294" s="2">
        <f>IF(R294="","",COUNTIFS($C$5:$C$6004,R294,$O$5:$O$6004,"CONCLUÍDA"))</f>
        <v/>
      </c>
      <c r="X294" s="2">
        <f>IF(R294="","",COUNTIFS($C$5:$C$6004,R294,$O$5:$O$6004,"EM ANDAMENTO"))</f>
        <v/>
      </c>
      <c r="Y294" s="2">
        <f>IF(R294="","",IF(COUNTIFS($C$5:$C$6004,R294,$O$5:$O$6004,"CONCLUÍDA",$N$5:$N$6004,"&gt;=-99")=0,"",_xlfn.MAXIFS($N$5:$N$6004,$C$5:$C$6004,R294,$O$5:$O$6004,"CONCLUÍDA")))</f>
        <v/>
      </c>
      <c r="Z294" s="2">
        <f>IF(R294="","",IF(COUNTIFS($C$5:$C$6004,R294,$O$5:$O$6004,"EM ANDAMENTO",$N$5:$N$6004,"&gt;=-99")=0,"",_xlfn.MAXIFS($N$5:$N$6004,$C$5:$C$6004,R294,$O$5:$O$6004,"EM ANDAMENTO")))</f>
        <v/>
      </c>
      <c r="AA294" s="2">
        <f>IF(OR(R294="",S294="",U294&lt;&gt;"SIM",V294=0),"",IF(W294+X294=0,"",T294&amp;": "&amp;IF(W294=V294,"concluído",IF(W294=0,"em execução"&amp;IF(Z294&lt;&gt;""," ("&amp;IF(Z294&lt;0,IF(COUNTIF($E$5:$E$6004,"SUBSOLO*")&gt;0,"subsolo",-Z294&amp;"º subsolo"),IF(Z294=0,"térreo",Z294&amp;"º pav."))&amp;")",""),IF(Y294&lt;&gt;"","até "&amp;IF(Y294&lt;0,IF(COUNTIF($E$5:$E$6004,"SUBSOLO*")&gt;0,"subsolo",-Y294&amp;"º subsolo"),IF(Y294=0,"térreo",Y294&amp;"º pav.")),W294&amp;" de "&amp;V294&amp;" concluídas")&amp;IF(Z294="","",IF(OR(Y294="",Z294&gt;Y294),", executando "&amp;IF(Z294&lt;0,IF(COUNTIF($E$5:$E$6004,"SUBSOLO*")&gt;0,"subsolo",-Z294&amp;"º subsolo"),IF(Z294=0,"térreo",Z294&amp;"º pav."))," (restam serviços no "&amp;IF(Z294&lt;0,IF(COUNTIF($E$5:$E$6004,"SUBSOLO*")&gt;0,"subsolo",-Z294&amp;"º subsolo"),IF(Z294=0,"térreo",Z294&amp;"º pav."))&amp;")"))))))</f>
        <v/>
      </c>
    </row>
    <row r="295">
      <c r="B295" s="4" t="n">
        <v>31873345</v>
      </c>
      <c r="C295" s="4" t="inlineStr">
        <is>
          <t>DISTRIBUIÇÃO HIDRÁULICA - INFRAS ENTERRADAS</t>
        </is>
      </c>
      <c r="D295" s="4" t="inlineStr">
        <is>
          <t>-</t>
        </is>
      </c>
      <c r="E295" s="4" t="inlineStr">
        <is>
          <t>SUBSOLO</t>
        </is>
      </c>
      <c r="F295" s="126" t="n">
        <v>46398</v>
      </c>
      <c r="G295" s="126" t="n">
        <v>46423</v>
      </c>
      <c r="H295" s="126" t="n">
        <v>46289</v>
      </c>
      <c r="I295" s="4" t="n">
        <v>0</v>
      </c>
      <c r="J295" s="4" t="n">
        <v>0</v>
      </c>
      <c r="K295" s="4" t="n">
        <v>0</v>
      </c>
      <c r="M295" s="2">
        <f>IF(C295="","",IFERROR(INDEX($S$5:$S$304,MATCH(C295,$R$5:$R$304,0))&amp;"","?"))</f>
        <v/>
      </c>
      <c r="N295" s="2">
        <f>IF(E295="","",IF(ISNUMBER(SEARCH("SUBSOLO",E295)),IFERROR(-VALUE(LEFT(E295,FIND("º",SUBSTITUTE(E295,"°","º"))-1)),-1),IF(LEFT(E295,6)="TÉRREO",0,IFERROR(VALUE(LEFT(E295,FIND("º",SUBSTITUTE(E295,"°","º"))-1)),""))))</f>
        <v/>
      </c>
      <c r="O295" s="2">
        <f>IF(OR(F295="",G295=""),"",IF(G295&lt;='RETRATO 2027'!$K$5,"CONCLUÍDA",IF(F295&lt;='RETRATO 2027'!$K$5,"EM ANDAMENTO","A INICIAR")))</f>
        <v/>
      </c>
      <c r="R295" s="4" t="n"/>
      <c r="S295" s="4" t="n"/>
      <c r="T295" s="4" t="n"/>
      <c r="U295" s="4" t="n"/>
      <c r="V295" s="2">
        <f>IF(R295="","",COUNTIF($C$5:$C$6004,R295))</f>
        <v/>
      </c>
      <c r="W295" s="2">
        <f>IF(R295="","",COUNTIFS($C$5:$C$6004,R295,$O$5:$O$6004,"CONCLUÍDA"))</f>
        <v/>
      </c>
      <c r="X295" s="2">
        <f>IF(R295="","",COUNTIFS($C$5:$C$6004,R295,$O$5:$O$6004,"EM ANDAMENTO"))</f>
        <v/>
      </c>
      <c r="Y295" s="2">
        <f>IF(R295="","",IF(COUNTIFS($C$5:$C$6004,R295,$O$5:$O$6004,"CONCLUÍDA",$N$5:$N$6004,"&gt;=-99")=0,"",_xlfn.MAXIFS($N$5:$N$6004,$C$5:$C$6004,R295,$O$5:$O$6004,"CONCLUÍDA")))</f>
        <v/>
      </c>
      <c r="Z295" s="2">
        <f>IF(R295="","",IF(COUNTIFS($C$5:$C$6004,R295,$O$5:$O$6004,"EM ANDAMENTO",$N$5:$N$6004,"&gt;=-99")=0,"",_xlfn.MAXIFS($N$5:$N$6004,$C$5:$C$6004,R295,$O$5:$O$6004,"EM ANDAMENTO")))</f>
        <v/>
      </c>
      <c r="AA295" s="2">
        <f>IF(OR(R295="",S295="",U295&lt;&gt;"SIM",V295=0),"",IF(W295+X295=0,"",T295&amp;": "&amp;IF(W295=V295,"concluído",IF(W295=0,"em execução"&amp;IF(Z295&lt;&gt;""," ("&amp;IF(Z295&lt;0,IF(COUNTIF($E$5:$E$6004,"SUBSOLO*")&gt;0,"subsolo",-Z295&amp;"º subsolo"),IF(Z295=0,"térreo",Z295&amp;"º pav."))&amp;")",""),IF(Y295&lt;&gt;"","até "&amp;IF(Y295&lt;0,IF(COUNTIF($E$5:$E$6004,"SUBSOLO*")&gt;0,"subsolo",-Y295&amp;"º subsolo"),IF(Y295=0,"térreo",Y295&amp;"º pav.")),W295&amp;" de "&amp;V295&amp;" concluídas")&amp;IF(Z295="","",IF(OR(Y295="",Z295&gt;Y295),", executando "&amp;IF(Z295&lt;0,IF(COUNTIF($E$5:$E$6004,"SUBSOLO*")&gt;0,"subsolo",-Z295&amp;"º subsolo"),IF(Z295=0,"térreo",Z295&amp;"º pav."))," (restam serviços no "&amp;IF(Z295&lt;0,IF(COUNTIF($E$5:$E$6004,"SUBSOLO*")&gt;0,"subsolo",-Z295&amp;"º subsolo"),IF(Z295=0,"térreo",Z295&amp;"º pav."))&amp;")"))))))</f>
        <v/>
      </c>
    </row>
    <row r="296">
      <c r="B296" s="4" t="n">
        <v>30205756</v>
      </c>
      <c r="C296" s="4" t="inlineStr">
        <is>
          <t>ENTRADA DE ENERGIA</t>
        </is>
      </c>
      <c r="D296" s="4" t="inlineStr">
        <is>
          <t>-</t>
        </is>
      </c>
      <c r="E296" s="4" t="inlineStr">
        <is>
          <t>SUBSOLO</t>
        </is>
      </c>
      <c r="F296" s="126" t="n">
        <v>46405</v>
      </c>
      <c r="G296" s="126" t="n">
        <v>46423</v>
      </c>
      <c r="H296" s="126" t="n">
        <v>46289</v>
      </c>
      <c r="I296" s="4" t="n">
        <v>0</v>
      </c>
      <c r="J296" s="4" t="n">
        <v>0</v>
      </c>
      <c r="K296" s="4" t="n">
        <v>0</v>
      </c>
      <c r="M296" s="2">
        <f>IF(C296="","",IFERROR(INDEX($S$5:$S$304,MATCH(C296,$R$5:$R$304,0))&amp;"","?"))</f>
        <v/>
      </c>
      <c r="N296" s="2">
        <f>IF(E296="","",IF(ISNUMBER(SEARCH("SUBSOLO",E296)),IFERROR(-VALUE(LEFT(E296,FIND("º",SUBSTITUTE(E296,"°","º"))-1)),-1),IF(LEFT(E296,6)="TÉRREO",0,IFERROR(VALUE(LEFT(E296,FIND("º",SUBSTITUTE(E296,"°","º"))-1)),""))))</f>
        <v/>
      </c>
      <c r="O296" s="2">
        <f>IF(OR(F296="",G296=""),"",IF(G296&lt;='RETRATO 2027'!$K$5,"CONCLUÍDA",IF(F296&lt;='RETRATO 2027'!$K$5,"EM ANDAMENTO","A INICIAR")))</f>
        <v/>
      </c>
      <c r="R296" s="4" t="n"/>
      <c r="S296" s="4" t="n"/>
      <c r="T296" s="4" t="n"/>
      <c r="U296" s="4" t="n"/>
      <c r="V296" s="2">
        <f>IF(R296="","",COUNTIF($C$5:$C$6004,R296))</f>
        <v/>
      </c>
      <c r="W296" s="2">
        <f>IF(R296="","",COUNTIFS($C$5:$C$6004,R296,$O$5:$O$6004,"CONCLUÍDA"))</f>
        <v/>
      </c>
      <c r="X296" s="2">
        <f>IF(R296="","",COUNTIFS($C$5:$C$6004,R296,$O$5:$O$6004,"EM ANDAMENTO"))</f>
        <v/>
      </c>
      <c r="Y296" s="2">
        <f>IF(R296="","",IF(COUNTIFS($C$5:$C$6004,R296,$O$5:$O$6004,"CONCLUÍDA",$N$5:$N$6004,"&gt;=-99")=0,"",_xlfn.MAXIFS($N$5:$N$6004,$C$5:$C$6004,R296,$O$5:$O$6004,"CONCLUÍDA")))</f>
        <v/>
      </c>
      <c r="Z296" s="2">
        <f>IF(R296="","",IF(COUNTIFS($C$5:$C$6004,R296,$O$5:$O$6004,"EM ANDAMENTO",$N$5:$N$6004,"&gt;=-99")=0,"",_xlfn.MAXIFS($N$5:$N$6004,$C$5:$C$6004,R296,$O$5:$O$6004,"EM ANDAMENTO")))</f>
        <v/>
      </c>
      <c r="AA296" s="2">
        <f>IF(OR(R296="",S296="",U296&lt;&gt;"SIM",V296=0),"",IF(W296+X296=0,"",T296&amp;": "&amp;IF(W296=V296,"concluído",IF(W296=0,"em execução"&amp;IF(Z296&lt;&gt;""," ("&amp;IF(Z296&lt;0,IF(COUNTIF($E$5:$E$6004,"SUBSOLO*")&gt;0,"subsolo",-Z296&amp;"º subsolo"),IF(Z296=0,"térreo",Z296&amp;"º pav."))&amp;")",""),IF(Y296&lt;&gt;"","até "&amp;IF(Y296&lt;0,IF(COUNTIF($E$5:$E$6004,"SUBSOLO*")&gt;0,"subsolo",-Y296&amp;"º subsolo"),IF(Y296=0,"térreo",Y296&amp;"º pav.")),W296&amp;" de "&amp;V296&amp;" concluídas")&amp;IF(Z296="","",IF(OR(Y296="",Z296&gt;Y296),", executando "&amp;IF(Z296&lt;0,IF(COUNTIF($E$5:$E$6004,"SUBSOLO*")&gt;0,"subsolo",-Z296&amp;"º subsolo"),IF(Z296=0,"térreo",Z296&amp;"º pav."))," (restam serviços no "&amp;IF(Z296&lt;0,IF(COUNTIF($E$5:$E$6004,"SUBSOLO*")&gt;0,"subsolo",-Z296&amp;"º subsolo"),IF(Z296=0,"térreo",Z296&amp;"º pav."))&amp;")"))))))</f>
        <v/>
      </c>
    </row>
    <row r="297">
      <c r="B297" s="4" t="n">
        <v>39887260</v>
      </c>
      <c r="C297" s="4" t="inlineStr">
        <is>
          <t>ESTRUTURA IGREJA</t>
        </is>
      </c>
      <c r="D297" s="4" t="inlineStr">
        <is>
          <t>-</t>
        </is>
      </c>
      <c r="E297" s="4" t="inlineStr">
        <is>
          <t>TÉRREO - GERAL</t>
        </is>
      </c>
      <c r="F297" s="126" t="n">
        <v>46405</v>
      </c>
      <c r="G297" s="126" t="n">
        <v>46420</v>
      </c>
      <c r="H297" s="126" t="n">
        <v>46289</v>
      </c>
      <c r="I297" s="4" t="n">
        <v>0</v>
      </c>
      <c r="J297" s="4" t="n">
        <v>0</v>
      </c>
      <c r="K297" s="4" t="n">
        <v>0</v>
      </c>
      <c r="M297" s="2">
        <f>IF(C297="","",IFERROR(INDEX($S$5:$S$304,MATCH(C297,$R$5:$R$304,0))&amp;"","?"))</f>
        <v/>
      </c>
      <c r="N297" s="2">
        <f>IF(E297="","",IF(ISNUMBER(SEARCH("SUBSOLO",E297)),IFERROR(-VALUE(LEFT(E297,FIND("º",SUBSTITUTE(E297,"°","º"))-1)),-1),IF(LEFT(E297,6)="TÉRREO",0,IFERROR(VALUE(LEFT(E297,FIND("º",SUBSTITUTE(E297,"°","º"))-1)),""))))</f>
        <v/>
      </c>
      <c r="O297" s="2">
        <f>IF(OR(F297="",G297=""),"",IF(G297&lt;='RETRATO 2027'!$K$5,"CONCLUÍDA",IF(F297&lt;='RETRATO 2027'!$K$5,"EM ANDAMENTO","A INICIAR")))</f>
        <v/>
      </c>
      <c r="R297" s="4" t="n"/>
      <c r="S297" s="4" t="n"/>
      <c r="T297" s="4" t="n"/>
      <c r="U297" s="4" t="n"/>
      <c r="V297" s="2">
        <f>IF(R297="","",COUNTIF($C$5:$C$6004,R297))</f>
        <v/>
      </c>
      <c r="W297" s="2">
        <f>IF(R297="","",COUNTIFS($C$5:$C$6004,R297,$O$5:$O$6004,"CONCLUÍDA"))</f>
        <v/>
      </c>
      <c r="X297" s="2">
        <f>IF(R297="","",COUNTIFS($C$5:$C$6004,R297,$O$5:$O$6004,"EM ANDAMENTO"))</f>
        <v/>
      </c>
      <c r="Y297" s="2">
        <f>IF(R297="","",IF(COUNTIFS($C$5:$C$6004,R297,$O$5:$O$6004,"CONCLUÍDA",$N$5:$N$6004,"&gt;=-99")=0,"",_xlfn.MAXIFS($N$5:$N$6004,$C$5:$C$6004,R297,$O$5:$O$6004,"CONCLUÍDA")))</f>
        <v/>
      </c>
      <c r="Z297" s="2">
        <f>IF(R297="","",IF(COUNTIFS($C$5:$C$6004,R297,$O$5:$O$6004,"EM ANDAMENTO",$N$5:$N$6004,"&gt;=-99")=0,"",_xlfn.MAXIFS($N$5:$N$6004,$C$5:$C$6004,R297,$O$5:$O$6004,"EM ANDAMENTO")))</f>
        <v/>
      </c>
      <c r="AA297" s="2">
        <f>IF(OR(R297="",S297="",U297&lt;&gt;"SIM",V297=0),"",IF(W297+X297=0,"",T297&amp;": "&amp;IF(W297=V297,"concluído",IF(W297=0,"em execução"&amp;IF(Z297&lt;&gt;""," ("&amp;IF(Z297&lt;0,IF(COUNTIF($E$5:$E$6004,"SUBSOLO*")&gt;0,"subsolo",-Z297&amp;"º subsolo"),IF(Z297=0,"térreo",Z297&amp;"º pav."))&amp;")",""),IF(Y297&lt;&gt;"","até "&amp;IF(Y297&lt;0,IF(COUNTIF($E$5:$E$6004,"SUBSOLO*")&gt;0,"subsolo",-Y297&amp;"º subsolo"),IF(Y297=0,"térreo",Y297&amp;"º pav.")),W297&amp;" de "&amp;V297&amp;" concluídas")&amp;IF(Z297="","",IF(OR(Y297="",Z297&gt;Y297),", executando "&amp;IF(Z297&lt;0,IF(COUNTIF($E$5:$E$6004,"SUBSOLO*")&gt;0,"subsolo",-Z297&amp;"º subsolo"),IF(Z297=0,"térreo",Z297&amp;"º pav."))," (restam serviços no "&amp;IF(Z297&lt;0,IF(COUNTIF($E$5:$E$6004,"SUBSOLO*")&gt;0,"subsolo",-Z297&amp;"º subsolo"),IF(Z297=0,"térreo",Z297&amp;"º pav."))&amp;")"))))))</f>
        <v/>
      </c>
    </row>
    <row r="298">
      <c r="B298" s="4" t="n">
        <v>29940932</v>
      </c>
      <c r="C298" s="4" t="inlineStr">
        <is>
          <t>ESTRUTURA</t>
        </is>
      </c>
      <c r="D298" s="4" t="inlineStr">
        <is>
          <t>-</t>
        </is>
      </c>
      <c r="E298" s="4" t="inlineStr">
        <is>
          <t>7º PAV.</t>
        </is>
      </c>
      <c r="F298" s="126" t="n">
        <v>46415</v>
      </c>
      <c r="G298" s="126" t="n">
        <v>46430</v>
      </c>
      <c r="H298" s="126" t="n">
        <v>46289</v>
      </c>
      <c r="I298" s="4" t="n">
        <v>0</v>
      </c>
      <c r="J298" s="4" t="n">
        <v>0</v>
      </c>
      <c r="K298" s="4" t="n">
        <v>0</v>
      </c>
      <c r="M298" s="2">
        <f>IF(C298="","",IFERROR(INDEX($S$5:$S$304,MATCH(C298,$R$5:$R$304,0))&amp;"","?"))</f>
        <v/>
      </c>
      <c r="N298" s="2">
        <f>IF(E298="","",IF(ISNUMBER(SEARCH("SUBSOLO",E298)),IFERROR(-VALUE(LEFT(E298,FIND("º",SUBSTITUTE(E298,"°","º"))-1)),-1),IF(LEFT(E298,6)="TÉRREO",0,IFERROR(VALUE(LEFT(E298,FIND("º",SUBSTITUTE(E298,"°","º"))-1)),""))))</f>
        <v/>
      </c>
      <c r="O298" s="2">
        <f>IF(OR(F298="",G298=""),"",IF(G298&lt;='RETRATO 2027'!$K$5,"CONCLUÍDA",IF(F298&lt;='RETRATO 2027'!$K$5,"EM ANDAMENTO","A INICIAR")))</f>
        <v/>
      </c>
      <c r="R298" s="4" t="n"/>
      <c r="S298" s="4" t="n"/>
      <c r="T298" s="4" t="n"/>
      <c r="U298" s="4" t="n"/>
      <c r="V298" s="2">
        <f>IF(R298="","",COUNTIF($C$5:$C$6004,R298))</f>
        <v/>
      </c>
      <c r="W298" s="2">
        <f>IF(R298="","",COUNTIFS($C$5:$C$6004,R298,$O$5:$O$6004,"CONCLUÍDA"))</f>
        <v/>
      </c>
      <c r="X298" s="2">
        <f>IF(R298="","",COUNTIFS($C$5:$C$6004,R298,$O$5:$O$6004,"EM ANDAMENTO"))</f>
        <v/>
      </c>
      <c r="Y298" s="2">
        <f>IF(R298="","",IF(COUNTIFS($C$5:$C$6004,R298,$O$5:$O$6004,"CONCLUÍDA",$N$5:$N$6004,"&gt;=-99")=0,"",_xlfn.MAXIFS($N$5:$N$6004,$C$5:$C$6004,R298,$O$5:$O$6004,"CONCLUÍDA")))</f>
        <v/>
      </c>
      <c r="Z298" s="2">
        <f>IF(R298="","",IF(COUNTIFS($C$5:$C$6004,R298,$O$5:$O$6004,"EM ANDAMENTO",$N$5:$N$6004,"&gt;=-99")=0,"",_xlfn.MAXIFS($N$5:$N$6004,$C$5:$C$6004,R298,$O$5:$O$6004,"EM ANDAMENTO")))</f>
        <v/>
      </c>
      <c r="AA298" s="2">
        <f>IF(OR(R298="",S298="",U298&lt;&gt;"SIM",V298=0),"",IF(W298+X298=0,"",T298&amp;": "&amp;IF(W298=V298,"concluído",IF(W298=0,"em execução"&amp;IF(Z298&lt;&gt;""," ("&amp;IF(Z298&lt;0,IF(COUNTIF($E$5:$E$6004,"SUBSOLO*")&gt;0,"subsolo",-Z298&amp;"º subsolo"),IF(Z298=0,"térreo",Z298&amp;"º pav."))&amp;")",""),IF(Y298&lt;&gt;"","até "&amp;IF(Y298&lt;0,IF(COUNTIF($E$5:$E$6004,"SUBSOLO*")&gt;0,"subsolo",-Y298&amp;"º subsolo"),IF(Y298=0,"térreo",Y298&amp;"º pav.")),W298&amp;" de "&amp;V298&amp;" concluídas")&amp;IF(Z298="","",IF(OR(Y298="",Z298&gt;Y298),", executando "&amp;IF(Z298&lt;0,IF(COUNTIF($E$5:$E$6004,"SUBSOLO*")&gt;0,"subsolo",-Z298&amp;"º subsolo"),IF(Z298=0,"térreo",Z298&amp;"º pav."))," (restam serviços no "&amp;IF(Z298&lt;0,IF(COUNTIF($E$5:$E$6004,"SUBSOLO*")&gt;0,"subsolo",-Z298&amp;"º subsolo"),IF(Z298=0,"térreo",Z298&amp;"º pav."))&amp;")"))))))</f>
        <v/>
      </c>
    </row>
    <row r="299">
      <c r="B299" s="4" t="n">
        <v>31528976</v>
      </c>
      <c r="C299" s="4" t="inlineStr">
        <is>
          <t>ESTRUTURA</t>
        </is>
      </c>
      <c r="D299" s="4" t="inlineStr">
        <is>
          <t>Forma</t>
        </is>
      </c>
      <c r="E299" s="4" t="inlineStr">
        <is>
          <t>7º PAV.</t>
        </is>
      </c>
      <c r="F299" s="126" t="n">
        <v>46415</v>
      </c>
      <c r="G299" s="126" t="n">
        <v>46423</v>
      </c>
      <c r="H299" s="126" t="n">
        <v>46289</v>
      </c>
      <c r="I299" s="4" t="n">
        <v>0</v>
      </c>
      <c r="J299" s="4" t="n">
        <v>0</v>
      </c>
      <c r="K299" s="4" t="n">
        <v>0</v>
      </c>
      <c r="M299" s="2">
        <f>IF(C299="","",IFERROR(INDEX($S$5:$S$304,MATCH(C299,$R$5:$R$304,0))&amp;"","?"))</f>
        <v/>
      </c>
      <c r="N299" s="2">
        <f>IF(E299="","",IF(ISNUMBER(SEARCH("SUBSOLO",E299)),IFERROR(-VALUE(LEFT(E299,FIND("º",SUBSTITUTE(E299,"°","º"))-1)),-1),IF(LEFT(E299,6)="TÉRREO",0,IFERROR(VALUE(LEFT(E299,FIND("º",SUBSTITUTE(E299,"°","º"))-1)),""))))</f>
        <v/>
      </c>
      <c r="O299" s="2">
        <f>IF(OR(F299="",G299=""),"",IF(G299&lt;='RETRATO 2027'!$K$5,"CONCLUÍDA",IF(F299&lt;='RETRATO 2027'!$K$5,"EM ANDAMENTO","A INICIAR")))</f>
        <v/>
      </c>
      <c r="R299" s="4" t="n"/>
      <c r="S299" s="4" t="n"/>
      <c r="T299" s="4" t="n"/>
      <c r="U299" s="4" t="n"/>
      <c r="V299" s="2">
        <f>IF(R299="","",COUNTIF($C$5:$C$6004,R299))</f>
        <v/>
      </c>
      <c r="W299" s="2">
        <f>IF(R299="","",COUNTIFS($C$5:$C$6004,R299,$O$5:$O$6004,"CONCLUÍDA"))</f>
        <v/>
      </c>
      <c r="X299" s="2">
        <f>IF(R299="","",COUNTIFS($C$5:$C$6004,R299,$O$5:$O$6004,"EM ANDAMENTO"))</f>
        <v/>
      </c>
      <c r="Y299" s="2">
        <f>IF(R299="","",IF(COUNTIFS($C$5:$C$6004,R299,$O$5:$O$6004,"CONCLUÍDA",$N$5:$N$6004,"&gt;=-99")=0,"",_xlfn.MAXIFS($N$5:$N$6004,$C$5:$C$6004,R299,$O$5:$O$6004,"CONCLUÍDA")))</f>
        <v/>
      </c>
      <c r="Z299" s="2">
        <f>IF(R299="","",IF(COUNTIFS($C$5:$C$6004,R299,$O$5:$O$6004,"EM ANDAMENTO",$N$5:$N$6004,"&gt;=-99")=0,"",_xlfn.MAXIFS($N$5:$N$6004,$C$5:$C$6004,R299,$O$5:$O$6004,"EM ANDAMENTO")))</f>
        <v/>
      </c>
      <c r="AA299" s="2">
        <f>IF(OR(R299="",S299="",U299&lt;&gt;"SIM",V299=0),"",IF(W299+X299=0,"",T299&amp;": "&amp;IF(W299=V299,"concluído",IF(W299=0,"em execução"&amp;IF(Z299&lt;&gt;""," ("&amp;IF(Z299&lt;0,IF(COUNTIF($E$5:$E$6004,"SUBSOLO*")&gt;0,"subsolo",-Z299&amp;"º subsolo"),IF(Z299=0,"térreo",Z299&amp;"º pav."))&amp;")",""),IF(Y299&lt;&gt;"","até "&amp;IF(Y299&lt;0,IF(COUNTIF($E$5:$E$6004,"SUBSOLO*")&gt;0,"subsolo",-Y299&amp;"º subsolo"),IF(Y299=0,"térreo",Y299&amp;"º pav.")),W299&amp;" de "&amp;V299&amp;" concluídas")&amp;IF(Z299="","",IF(OR(Y299="",Z299&gt;Y299),", executando "&amp;IF(Z299&lt;0,IF(COUNTIF($E$5:$E$6004,"SUBSOLO*")&gt;0,"subsolo",-Z299&amp;"º subsolo"),IF(Z299=0,"térreo",Z299&amp;"º pav."))," (restam serviços no "&amp;IF(Z299&lt;0,IF(COUNTIF($E$5:$E$6004,"SUBSOLO*")&gt;0,"subsolo",-Z299&amp;"º subsolo"),IF(Z299=0,"térreo",Z299&amp;"º pav."))&amp;")"))))))</f>
        <v/>
      </c>
    </row>
    <row r="300">
      <c r="B300" s="4" t="n">
        <v>31528977</v>
      </c>
      <c r="C300" s="4" t="inlineStr">
        <is>
          <t>ESTRUTURA</t>
        </is>
      </c>
      <c r="D300" s="4" t="inlineStr">
        <is>
          <t>Armação</t>
        </is>
      </c>
      <c r="E300" s="4" t="inlineStr">
        <is>
          <t>7º PAV.</t>
        </is>
      </c>
      <c r="F300" s="126" t="n">
        <v>46426</v>
      </c>
      <c r="G300" s="126" t="n">
        <v>46429</v>
      </c>
      <c r="H300" s="126" t="n">
        <v>46289</v>
      </c>
      <c r="I300" s="4" t="n">
        <v>0</v>
      </c>
      <c r="J300" s="4" t="n">
        <v>0</v>
      </c>
      <c r="K300" s="4" t="n">
        <v>0</v>
      </c>
      <c r="M300" s="2">
        <f>IF(C300="","",IFERROR(INDEX($S$5:$S$304,MATCH(C300,$R$5:$R$304,0))&amp;"","?"))</f>
        <v/>
      </c>
      <c r="N300" s="2">
        <f>IF(E300="","",IF(ISNUMBER(SEARCH("SUBSOLO",E300)),IFERROR(-VALUE(LEFT(E300,FIND("º",SUBSTITUTE(E300,"°","º"))-1)),-1),IF(LEFT(E300,6)="TÉRREO",0,IFERROR(VALUE(LEFT(E300,FIND("º",SUBSTITUTE(E300,"°","º"))-1)),""))))</f>
        <v/>
      </c>
      <c r="O300" s="2">
        <f>IF(OR(F300="",G300=""),"",IF(G300&lt;='RETRATO 2027'!$K$5,"CONCLUÍDA",IF(F300&lt;='RETRATO 2027'!$K$5,"EM ANDAMENTO","A INICIAR")))</f>
        <v/>
      </c>
      <c r="R300" s="4" t="n"/>
      <c r="S300" s="4" t="n"/>
      <c r="T300" s="4" t="n"/>
      <c r="U300" s="4" t="n"/>
      <c r="V300" s="2">
        <f>IF(R300="","",COUNTIF($C$5:$C$6004,R300))</f>
        <v/>
      </c>
      <c r="W300" s="2">
        <f>IF(R300="","",COUNTIFS($C$5:$C$6004,R300,$O$5:$O$6004,"CONCLUÍDA"))</f>
        <v/>
      </c>
      <c r="X300" s="2">
        <f>IF(R300="","",COUNTIFS($C$5:$C$6004,R300,$O$5:$O$6004,"EM ANDAMENTO"))</f>
        <v/>
      </c>
      <c r="Y300" s="2">
        <f>IF(R300="","",IF(COUNTIFS($C$5:$C$6004,R300,$O$5:$O$6004,"CONCLUÍDA",$N$5:$N$6004,"&gt;=-99")=0,"",_xlfn.MAXIFS($N$5:$N$6004,$C$5:$C$6004,R300,$O$5:$O$6004,"CONCLUÍDA")))</f>
        <v/>
      </c>
      <c r="Z300" s="2">
        <f>IF(R300="","",IF(COUNTIFS($C$5:$C$6004,R300,$O$5:$O$6004,"EM ANDAMENTO",$N$5:$N$6004,"&gt;=-99")=0,"",_xlfn.MAXIFS($N$5:$N$6004,$C$5:$C$6004,R300,$O$5:$O$6004,"EM ANDAMENTO")))</f>
        <v/>
      </c>
      <c r="AA300" s="2">
        <f>IF(OR(R300="",S300="",U300&lt;&gt;"SIM",V300=0),"",IF(W300+X300=0,"",T300&amp;": "&amp;IF(W300=V300,"concluído",IF(W300=0,"em execução"&amp;IF(Z300&lt;&gt;""," ("&amp;IF(Z300&lt;0,IF(COUNTIF($E$5:$E$6004,"SUBSOLO*")&gt;0,"subsolo",-Z300&amp;"º subsolo"),IF(Z300=0,"térreo",Z300&amp;"º pav."))&amp;")",""),IF(Y300&lt;&gt;"","até "&amp;IF(Y300&lt;0,IF(COUNTIF($E$5:$E$6004,"SUBSOLO*")&gt;0,"subsolo",-Y300&amp;"º subsolo"),IF(Y300=0,"térreo",Y300&amp;"º pav.")),W300&amp;" de "&amp;V300&amp;" concluídas")&amp;IF(Z300="","",IF(OR(Y300="",Z300&gt;Y300),", executando "&amp;IF(Z300&lt;0,IF(COUNTIF($E$5:$E$6004,"SUBSOLO*")&gt;0,"subsolo",-Z300&amp;"º subsolo"),IF(Z300=0,"térreo",Z300&amp;"º pav."))," (restam serviços no "&amp;IF(Z300&lt;0,IF(COUNTIF($E$5:$E$6004,"SUBSOLO*")&gt;0,"subsolo",-Z300&amp;"º subsolo"),IF(Z300=0,"térreo",Z300&amp;"º pav."))&amp;")"))))))</f>
        <v/>
      </c>
    </row>
    <row r="301">
      <c r="B301" s="4" t="n">
        <v>31528978</v>
      </c>
      <c r="C301" s="4" t="inlineStr">
        <is>
          <t>ESTRUTURA</t>
        </is>
      </c>
      <c r="D301" s="4" t="inlineStr">
        <is>
          <t>Concretagem</t>
        </is>
      </c>
      <c r="E301" s="4" t="inlineStr">
        <is>
          <t>7º PAV.</t>
        </is>
      </c>
      <c r="F301" s="126" t="n">
        <v>46430</v>
      </c>
      <c r="G301" s="126" t="n">
        <v>46430</v>
      </c>
      <c r="H301" s="126" t="n">
        <v>46289</v>
      </c>
      <c r="I301" s="4" t="n">
        <v>0</v>
      </c>
      <c r="J301" s="4" t="n">
        <v>0</v>
      </c>
      <c r="K301" s="4" t="n">
        <v>0</v>
      </c>
      <c r="M301" s="2">
        <f>IF(C301="","",IFERROR(INDEX($S$5:$S$304,MATCH(C301,$R$5:$R$304,0))&amp;"","?"))</f>
        <v/>
      </c>
      <c r="N301" s="2">
        <f>IF(E301="","",IF(ISNUMBER(SEARCH("SUBSOLO",E301)),IFERROR(-VALUE(LEFT(E301,FIND("º",SUBSTITUTE(E301,"°","º"))-1)),-1),IF(LEFT(E301,6)="TÉRREO",0,IFERROR(VALUE(LEFT(E301,FIND("º",SUBSTITUTE(E301,"°","º"))-1)),""))))</f>
        <v/>
      </c>
      <c r="O301" s="2">
        <f>IF(OR(F301="",G301=""),"",IF(G301&lt;='RETRATO 2027'!$K$5,"CONCLUÍDA",IF(F301&lt;='RETRATO 2027'!$K$5,"EM ANDAMENTO","A INICIAR")))</f>
        <v/>
      </c>
      <c r="R301" s="4" t="n"/>
      <c r="S301" s="4" t="n"/>
      <c r="T301" s="4" t="n"/>
      <c r="U301" s="4" t="n"/>
      <c r="V301" s="2">
        <f>IF(R301="","",COUNTIF($C$5:$C$6004,R301))</f>
        <v/>
      </c>
      <c r="W301" s="2">
        <f>IF(R301="","",COUNTIFS($C$5:$C$6004,R301,$O$5:$O$6004,"CONCLUÍDA"))</f>
        <v/>
      </c>
      <c r="X301" s="2">
        <f>IF(R301="","",COUNTIFS($C$5:$C$6004,R301,$O$5:$O$6004,"EM ANDAMENTO"))</f>
        <v/>
      </c>
      <c r="Y301" s="2">
        <f>IF(R301="","",IF(COUNTIFS($C$5:$C$6004,R301,$O$5:$O$6004,"CONCLUÍDA",$N$5:$N$6004,"&gt;=-99")=0,"",_xlfn.MAXIFS($N$5:$N$6004,$C$5:$C$6004,R301,$O$5:$O$6004,"CONCLUÍDA")))</f>
        <v/>
      </c>
      <c r="Z301" s="2">
        <f>IF(R301="","",IF(COUNTIFS($C$5:$C$6004,R301,$O$5:$O$6004,"EM ANDAMENTO",$N$5:$N$6004,"&gt;=-99")=0,"",_xlfn.MAXIFS($N$5:$N$6004,$C$5:$C$6004,R301,$O$5:$O$6004,"EM ANDAMENTO")))</f>
        <v/>
      </c>
      <c r="AA301" s="2">
        <f>IF(OR(R301="",S301="",U301&lt;&gt;"SIM",V301=0),"",IF(W301+X301=0,"",T301&amp;": "&amp;IF(W301=V301,"concluído",IF(W301=0,"em execução"&amp;IF(Z301&lt;&gt;""," ("&amp;IF(Z301&lt;0,IF(COUNTIF($E$5:$E$6004,"SUBSOLO*")&gt;0,"subsolo",-Z301&amp;"º subsolo"),IF(Z301=0,"térreo",Z301&amp;"º pav."))&amp;")",""),IF(Y301&lt;&gt;"","até "&amp;IF(Y301&lt;0,IF(COUNTIF($E$5:$E$6004,"SUBSOLO*")&gt;0,"subsolo",-Y301&amp;"º subsolo"),IF(Y301=0,"térreo",Y301&amp;"º pav.")),W301&amp;" de "&amp;V301&amp;" concluídas")&amp;IF(Z301="","",IF(OR(Y301="",Z301&gt;Y301),", executando "&amp;IF(Z301&lt;0,IF(COUNTIF($E$5:$E$6004,"SUBSOLO*")&gt;0,"subsolo",-Z301&amp;"º subsolo"),IF(Z301=0,"térreo",Z301&amp;"º pav."))," (restam serviços no "&amp;IF(Z301&lt;0,IF(COUNTIF($E$5:$E$6004,"SUBSOLO*")&gt;0,"subsolo",-Z301&amp;"º subsolo"),IF(Z301=0,"térreo",Z301&amp;"º pav."))&amp;")"))))))</f>
        <v/>
      </c>
    </row>
    <row r="302">
      <c r="B302" s="4" t="n">
        <v>31528979</v>
      </c>
      <c r="C302" s="4" t="inlineStr">
        <is>
          <t>ESTRUTURA</t>
        </is>
      </c>
      <c r="D302" s="4" t="inlineStr">
        <is>
          <t>Polimento</t>
        </is>
      </c>
      <c r="E302" s="4" t="inlineStr">
        <is>
          <t>7º PAV.</t>
        </is>
      </c>
      <c r="F302" s="126" t="n">
        <v>46430</v>
      </c>
      <c r="G302" s="126" t="n">
        <v>46430</v>
      </c>
      <c r="H302" s="126" t="n">
        <v>46289</v>
      </c>
      <c r="I302" s="4" t="n">
        <v>0</v>
      </c>
      <c r="J302" s="4" t="n">
        <v>0</v>
      </c>
      <c r="K302" s="4" t="n">
        <v>0</v>
      </c>
      <c r="M302" s="2">
        <f>IF(C302="","",IFERROR(INDEX($S$5:$S$304,MATCH(C302,$R$5:$R$304,0))&amp;"","?"))</f>
        <v/>
      </c>
      <c r="N302" s="2">
        <f>IF(E302="","",IF(ISNUMBER(SEARCH("SUBSOLO",E302)),IFERROR(-VALUE(LEFT(E302,FIND("º",SUBSTITUTE(E302,"°","º"))-1)),-1),IF(LEFT(E302,6)="TÉRREO",0,IFERROR(VALUE(LEFT(E302,FIND("º",SUBSTITUTE(E302,"°","º"))-1)),""))))</f>
        <v/>
      </c>
      <c r="O302" s="2">
        <f>IF(OR(F302="",G302=""),"",IF(G302&lt;='RETRATO 2027'!$K$5,"CONCLUÍDA",IF(F302&lt;='RETRATO 2027'!$K$5,"EM ANDAMENTO","A INICIAR")))</f>
        <v/>
      </c>
      <c r="R302" s="4" t="n"/>
      <c r="S302" s="4" t="n"/>
      <c r="T302" s="4" t="n"/>
      <c r="U302" s="4" t="n"/>
      <c r="V302" s="2">
        <f>IF(R302="","",COUNTIF($C$5:$C$6004,R302))</f>
        <v/>
      </c>
      <c r="W302" s="2">
        <f>IF(R302="","",COUNTIFS($C$5:$C$6004,R302,$O$5:$O$6004,"CONCLUÍDA"))</f>
        <v/>
      </c>
      <c r="X302" s="2">
        <f>IF(R302="","",COUNTIFS($C$5:$C$6004,R302,$O$5:$O$6004,"EM ANDAMENTO"))</f>
        <v/>
      </c>
      <c r="Y302" s="2">
        <f>IF(R302="","",IF(COUNTIFS($C$5:$C$6004,R302,$O$5:$O$6004,"CONCLUÍDA",$N$5:$N$6004,"&gt;=-99")=0,"",_xlfn.MAXIFS($N$5:$N$6004,$C$5:$C$6004,R302,$O$5:$O$6004,"CONCLUÍDA")))</f>
        <v/>
      </c>
      <c r="Z302" s="2">
        <f>IF(R302="","",IF(COUNTIFS($C$5:$C$6004,R302,$O$5:$O$6004,"EM ANDAMENTO",$N$5:$N$6004,"&gt;=-99")=0,"",_xlfn.MAXIFS($N$5:$N$6004,$C$5:$C$6004,R302,$O$5:$O$6004,"EM ANDAMENTO")))</f>
        <v/>
      </c>
      <c r="AA302" s="2">
        <f>IF(OR(R302="",S302="",U302&lt;&gt;"SIM",V302=0),"",IF(W302+X302=0,"",T302&amp;": "&amp;IF(W302=V302,"concluído",IF(W302=0,"em execução"&amp;IF(Z302&lt;&gt;""," ("&amp;IF(Z302&lt;0,IF(COUNTIF($E$5:$E$6004,"SUBSOLO*")&gt;0,"subsolo",-Z302&amp;"º subsolo"),IF(Z302=0,"térreo",Z302&amp;"º pav."))&amp;")",""),IF(Y302&lt;&gt;"","até "&amp;IF(Y302&lt;0,IF(COUNTIF($E$5:$E$6004,"SUBSOLO*")&gt;0,"subsolo",-Y302&amp;"º subsolo"),IF(Y302=0,"térreo",Y302&amp;"º pav.")),W302&amp;" de "&amp;V302&amp;" concluídas")&amp;IF(Z302="","",IF(OR(Y302="",Z302&gt;Y302),", executando "&amp;IF(Z302&lt;0,IF(COUNTIF($E$5:$E$6004,"SUBSOLO*")&gt;0,"subsolo",-Z302&amp;"º subsolo"),IF(Z302=0,"térreo",Z302&amp;"º pav."))," (restam serviços no "&amp;IF(Z302&lt;0,IF(COUNTIF($E$5:$E$6004,"SUBSOLO*")&gt;0,"subsolo",-Z302&amp;"º subsolo"),IF(Z302=0,"térreo",Z302&amp;"º pav."))&amp;")"))))))</f>
        <v/>
      </c>
    </row>
    <row r="303">
      <c r="B303" s="4" t="n">
        <v>30171493</v>
      </c>
      <c r="C303" s="4" t="inlineStr">
        <is>
          <t>INFRA ELÉTRICA - TETO</t>
        </is>
      </c>
      <c r="D303" s="4" t="inlineStr">
        <is>
          <t>-</t>
        </is>
      </c>
      <c r="E303" s="4" t="inlineStr">
        <is>
          <t>2º PAV - GARAGEM</t>
        </is>
      </c>
      <c r="F303" s="126" t="n">
        <v>46421</v>
      </c>
      <c r="G303" s="126" t="n">
        <v>46485</v>
      </c>
      <c r="H303" s="126" t="n">
        <v>46289</v>
      </c>
      <c r="I303" s="4" t="n">
        <v>0</v>
      </c>
      <c r="J303" s="4" t="n">
        <v>0</v>
      </c>
      <c r="K303" s="4" t="n">
        <v>0</v>
      </c>
      <c r="M303" s="2">
        <f>IF(C303="","",IFERROR(INDEX($S$5:$S$304,MATCH(C303,$R$5:$R$304,0))&amp;"","?"))</f>
        <v/>
      </c>
      <c r="N303" s="2">
        <f>IF(E303="","",IF(ISNUMBER(SEARCH("SUBSOLO",E303)),IFERROR(-VALUE(LEFT(E303,FIND("º",SUBSTITUTE(E303,"°","º"))-1)),-1),IF(LEFT(E303,6)="TÉRREO",0,IFERROR(VALUE(LEFT(E303,FIND("º",SUBSTITUTE(E303,"°","º"))-1)),""))))</f>
        <v/>
      </c>
      <c r="O303" s="2">
        <f>IF(OR(F303="",G303=""),"",IF(G303&lt;='RETRATO 2027'!$K$5,"CONCLUÍDA",IF(F303&lt;='RETRATO 2027'!$K$5,"EM ANDAMENTO","A INICIAR")))</f>
        <v/>
      </c>
      <c r="R303" s="4" t="n"/>
      <c r="S303" s="4" t="n"/>
      <c r="T303" s="4" t="n"/>
      <c r="U303" s="4" t="n"/>
      <c r="V303" s="2">
        <f>IF(R303="","",COUNTIF($C$5:$C$6004,R303))</f>
        <v/>
      </c>
      <c r="W303" s="2">
        <f>IF(R303="","",COUNTIFS($C$5:$C$6004,R303,$O$5:$O$6004,"CONCLUÍDA"))</f>
        <v/>
      </c>
      <c r="X303" s="2">
        <f>IF(R303="","",COUNTIFS($C$5:$C$6004,R303,$O$5:$O$6004,"EM ANDAMENTO"))</f>
        <v/>
      </c>
      <c r="Y303" s="2">
        <f>IF(R303="","",IF(COUNTIFS($C$5:$C$6004,R303,$O$5:$O$6004,"CONCLUÍDA",$N$5:$N$6004,"&gt;=-99")=0,"",_xlfn.MAXIFS($N$5:$N$6004,$C$5:$C$6004,R303,$O$5:$O$6004,"CONCLUÍDA")))</f>
        <v/>
      </c>
      <c r="Z303" s="2">
        <f>IF(R303="","",IF(COUNTIFS($C$5:$C$6004,R303,$O$5:$O$6004,"EM ANDAMENTO",$N$5:$N$6004,"&gt;=-99")=0,"",_xlfn.MAXIFS($N$5:$N$6004,$C$5:$C$6004,R303,$O$5:$O$6004,"EM ANDAMENTO")))</f>
        <v/>
      </c>
      <c r="AA303" s="2">
        <f>IF(OR(R303="",S303="",U303&lt;&gt;"SIM",V303=0),"",IF(W303+X303=0,"",T303&amp;": "&amp;IF(W303=V303,"concluído",IF(W303=0,"em execução"&amp;IF(Z303&lt;&gt;""," ("&amp;IF(Z303&lt;0,IF(COUNTIF($E$5:$E$6004,"SUBSOLO*")&gt;0,"subsolo",-Z303&amp;"º subsolo"),IF(Z303=0,"térreo",Z303&amp;"º pav."))&amp;")",""),IF(Y303&lt;&gt;"","até "&amp;IF(Y303&lt;0,IF(COUNTIF($E$5:$E$6004,"SUBSOLO*")&gt;0,"subsolo",-Y303&amp;"º subsolo"),IF(Y303=0,"térreo",Y303&amp;"º pav.")),W303&amp;" de "&amp;V303&amp;" concluídas")&amp;IF(Z303="","",IF(OR(Y303="",Z303&gt;Y303),", executando "&amp;IF(Z303&lt;0,IF(COUNTIF($E$5:$E$6004,"SUBSOLO*")&gt;0,"subsolo",-Z303&amp;"º subsolo"),IF(Z303=0,"térreo",Z303&amp;"º pav."))," (restam serviços no "&amp;IF(Z303&lt;0,IF(COUNTIF($E$5:$E$6004,"SUBSOLO*")&gt;0,"subsolo",-Z303&amp;"º subsolo"),IF(Z303=0,"térreo",Z303&amp;"º pav."))&amp;")"))))))</f>
        <v/>
      </c>
    </row>
    <row r="304">
      <c r="B304" s="4" t="n">
        <v>39887261</v>
      </c>
      <c r="C304" s="4" t="inlineStr">
        <is>
          <t>ESTRUTURA IGREJA</t>
        </is>
      </c>
      <c r="D304" s="4" t="inlineStr">
        <is>
          <t>-</t>
        </is>
      </c>
      <c r="E304" s="4" t="inlineStr">
        <is>
          <t>2º PAV - GARAGEM</t>
        </is>
      </c>
      <c r="F304" s="126" t="n">
        <v>46421</v>
      </c>
      <c r="G304" s="126" t="n">
        <v>46436</v>
      </c>
      <c r="H304" s="126" t="n">
        <v>46289</v>
      </c>
      <c r="I304" s="4" t="n">
        <v>0</v>
      </c>
      <c r="J304" s="4" t="n">
        <v>0</v>
      </c>
      <c r="K304" s="4" t="n">
        <v>0</v>
      </c>
      <c r="M304" s="2">
        <f>IF(C304="","",IFERROR(INDEX($S$5:$S$304,MATCH(C304,$R$5:$R$304,0))&amp;"","?"))</f>
        <v/>
      </c>
      <c r="N304" s="2">
        <f>IF(E304="","",IF(ISNUMBER(SEARCH("SUBSOLO",E304)),IFERROR(-VALUE(LEFT(E304,FIND("º",SUBSTITUTE(E304,"°","º"))-1)),-1),IF(LEFT(E304,6)="TÉRREO",0,IFERROR(VALUE(LEFT(E304,FIND("º",SUBSTITUTE(E304,"°","º"))-1)),""))))</f>
        <v/>
      </c>
      <c r="O304" s="2">
        <f>IF(OR(F304="",G304=""),"",IF(G304&lt;='RETRATO 2027'!$K$5,"CONCLUÍDA",IF(F304&lt;='RETRATO 2027'!$K$5,"EM ANDAMENTO","A INICIAR")))</f>
        <v/>
      </c>
      <c r="R304" s="4" t="n"/>
      <c r="S304" s="4" t="n"/>
      <c r="T304" s="4" t="n"/>
      <c r="U304" s="4" t="n"/>
      <c r="V304" s="2">
        <f>IF(R304="","",COUNTIF($C$5:$C$6004,R304))</f>
        <v/>
      </c>
      <c r="W304" s="2">
        <f>IF(R304="","",COUNTIFS($C$5:$C$6004,R304,$O$5:$O$6004,"CONCLUÍDA"))</f>
        <v/>
      </c>
      <c r="X304" s="2">
        <f>IF(R304="","",COUNTIFS($C$5:$C$6004,R304,$O$5:$O$6004,"EM ANDAMENTO"))</f>
        <v/>
      </c>
      <c r="Y304" s="2">
        <f>IF(R304="","",IF(COUNTIFS($C$5:$C$6004,R304,$O$5:$O$6004,"CONCLUÍDA",$N$5:$N$6004,"&gt;=-99")=0,"",_xlfn.MAXIFS($N$5:$N$6004,$C$5:$C$6004,R304,$O$5:$O$6004,"CONCLUÍDA")))</f>
        <v/>
      </c>
      <c r="Z304" s="2">
        <f>IF(R304="","",IF(COUNTIFS($C$5:$C$6004,R304,$O$5:$O$6004,"EM ANDAMENTO",$N$5:$N$6004,"&gt;=-99")=0,"",_xlfn.MAXIFS($N$5:$N$6004,$C$5:$C$6004,R304,$O$5:$O$6004,"EM ANDAMENTO")))</f>
        <v/>
      </c>
      <c r="AA304" s="2">
        <f>IF(OR(R304="",S304="",U304&lt;&gt;"SIM",V304=0),"",IF(W304+X304=0,"",T304&amp;": "&amp;IF(W304=V304,"concluído",IF(W304=0,"em execução"&amp;IF(Z304&lt;&gt;""," ("&amp;IF(Z304&lt;0,IF(COUNTIF($E$5:$E$6004,"SUBSOLO*")&gt;0,"subsolo",-Z304&amp;"º subsolo"),IF(Z304=0,"térreo",Z304&amp;"º pav."))&amp;")",""),IF(Y304&lt;&gt;"","até "&amp;IF(Y304&lt;0,IF(COUNTIF($E$5:$E$6004,"SUBSOLO*")&gt;0,"subsolo",-Y304&amp;"º subsolo"),IF(Y304=0,"térreo",Y304&amp;"º pav.")),W304&amp;" de "&amp;V304&amp;" concluídas")&amp;IF(Z304="","",IF(OR(Y304="",Z304&gt;Y304),", executando "&amp;IF(Z304&lt;0,IF(COUNTIF($E$5:$E$6004,"SUBSOLO*")&gt;0,"subsolo",-Z304&amp;"º subsolo"),IF(Z304=0,"térreo",Z304&amp;"º pav."))," (restam serviços no "&amp;IF(Z304&lt;0,IF(COUNTIF($E$5:$E$6004,"SUBSOLO*")&gt;0,"subsolo",-Z304&amp;"º subsolo"),IF(Z304=0,"térreo",Z304&amp;"º pav."))&amp;")"))))))</f>
        <v/>
      </c>
    </row>
    <row r="305">
      <c r="B305" s="4" t="n">
        <v>30171464</v>
      </c>
      <c r="C305" s="4" t="inlineStr">
        <is>
          <t>TRATAMENTO DE CONCRETO - TETO</t>
        </is>
      </c>
      <c r="D305" s="4" t="inlineStr">
        <is>
          <t>-</t>
        </is>
      </c>
      <c r="E305" s="4" t="inlineStr">
        <is>
          <t>3º PAV - GARAGEM</t>
        </is>
      </c>
      <c r="F305" s="126" t="n">
        <v>46421</v>
      </c>
      <c r="G305" s="126" t="n">
        <v>46450</v>
      </c>
      <c r="H305" s="126" t="n">
        <v>46289</v>
      </c>
      <c r="I305" s="4" t="n">
        <v>0</v>
      </c>
      <c r="J305" s="4" t="n">
        <v>0</v>
      </c>
      <c r="K305" s="4" t="n">
        <v>0</v>
      </c>
      <c r="M305" s="2">
        <f>IF(C305="","",IFERROR(INDEX($S$5:$S$304,MATCH(C305,$R$5:$R$304,0))&amp;"","?"))</f>
        <v/>
      </c>
      <c r="N305" s="2">
        <f>IF(E305="","",IF(ISNUMBER(SEARCH("SUBSOLO",E305)),IFERROR(-VALUE(LEFT(E305,FIND("º",SUBSTITUTE(E305,"°","º"))-1)),-1),IF(LEFT(E305,6)="TÉRREO",0,IFERROR(VALUE(LEFT(E305,FIND("º",SUBSTITUTE(E305,"°","º"))-1)),""))))</f>
        <v/>
      </c>
      <c r="O305" s="2">
        <f>IF(OR(F305="",G305=""),"",IF(G305&lt;='RETRATO 2027'!$K$5,"CONCLUÍDA",IF(F305&lt;='RETRATO 2027'!$K$5,"EM ANDAMENTO","A INICIAR")))</f>
        <v/>
      </c>
    </row>
    <row r="306">
      <c r="B306" s="4" t="n">
        <v>31873335</v>
      </c>
      <c r="C306" s="4" t="inlineStr">
        <is>
          <t>ESTRUTURA - PISO ARMADO</t>
        </is>
      </c>
      <c r="D306" s="4" t="inlineStr">
        <is>
          <t>-</t>
        </is>
      </c>
      <c r="E306" s="4" t="inlineStr">
        <is>
          <t>SUBSOLO</t>
        </is>
      </c>
      <c r="F306" s="126" t="n">
        <v>46426</v>
      </c>
      <c r="G306" s="126" t="n">
        <v>46457</v>
      </c>
      <c r="H306" s="126" t="n">
        <v>46289</v>
      </c>
      <c r="I306" s="4" t="n">
        <v>0</v>
      </c>
      <c r="J306" s="4" t="n">
        <v>0</v>
      </c>
      <c r="K306" s="4" t="n">
        <v>0</v>
      </c>
      <c r="M306" s="2">
        <f>IF(C306="","",IFERROR(INDEX($S$5:$S$304,MATCH(C306,$R$5:$R$304,0))&amp;"","?"))</f>
        <v/>
      </c>
      <c r="N306" s="2">
        <f>IF(E306="","",IF(ISNUMBER(SEARCH("SUBSOLO",E306)),IFERROR(-VALUE(LEFT(E306,FIND("º",SUBSTITUTE(E306,"°","º"))-1)),-1),IF(LEFT(E306,6)="TÉRREO",0,IFERROR(VALUE(LEFT(E306,FIND("º",SUBSTITUTE(E306,"°","º"))-1)),""))))</f>
        <v/>
      </c>
      <c r="O306" s="2">
        <f>IF(OR(F306="",G306=""),"",IF(G306&lt;='RETRATO 2027'!$K$5,"CONCLUÍDA",IF(F306&lt;='RETRATO 2027'!$K$5,"EM ANDAMENTO","A INICIAR")))</f>
        <v/>
      </c>
    </row>
    <row r="307">
      <c r="B307" s="4" t="n">
        <v>29940933</v>
      </c>
      <c r="C307" s="4" t="inlineStr">
        <is>
          <t>ESTRUTURA</t>
        </is>
      </c>
      <c r="D307" s="4" t="inlineStr">
        <is>
          <t>-</t>
        </is>
      </c>
      <c r="E307" s="4" t="inlineStr">
        <is>
          <t>8º PAV.</t>
        </is>
      </c>
      <c r="F307" s="126" t="n">
        <v>46433</v>
      </c>
      <c r="G307" s="126" t="n">
        <v>46444</v>
      </c>
      <c r="H307" s="126" t="n">
        <v>46289</v>
      </c>
      <c r="I307" s="4" t="n">
        <v>0</v>
      </c>
      <c r="J307" s="4" t="n">
        <v>0</v>
      </c>
      <c r="K307" s="4" t="n">
        <v>0</v>
      </c>
      <c r="M307" s="2">
        <f>IF(C307="","",IFERROR(INDEX($S$5:$S$304,MATCH(C307,$R$5:$R$304,0))&amp;"","?"))</f>
        <v/>
      </c>
      <c r="N307" s="2">
        <f>IF(E307="","",IF(ISNUMBER(SEARCH("SUBSOLO",E307)),IFERROR(-VALUE(LEFT(E307,FIND("º",SUBSTITUTE(E307,"°","º"))-1)),-1),IF(LEFT(E307,6)="TÉRREO",0,IFERROR(VALUE(LEFT(E307,FIND("º",SUBSTITUTE(E307,"°","º"))-1)),""))))</f>
        <v/>
      </c>
      <c r="O307" s="2">
        <f>IF(OR(F307="",G307=""),"",IF(G307&lt;='RETRATO 2027'!$K$5,"CONCLUÍDA",IF(F307&lt;='RETRATO 2027'!$K$5,"EM ANDAMENTO","A INICIAR")))</f>
        <v/>
      </c>
    </row>
    <row r="308">
      <c r="B308" s="4" t="n">
        <v>31528980</v>
      </c>
      <c r="C308" s="4" t="inlineStr">
        <is>
          <t>ESTRUTURA</t>
        </is>
      </c>
      <c r="D308" s="4" t="inlineStr">
        <is>
          <t>Forma</t>
        </is>
      </c>
      <c r="E308" s="4" t="inlineStr">
        <is>
          <t>8º PAV.</t>
        </is>
      </c>
      <c r="F308" s="126" t="n">
        <v>46433</v>
      </c>
      <c r="G308" s="126" t="n">
        <v>46440</v>
      </c>
      <c r="H308" s="126" t="n">
        <v>46289</v>
      </c>
      <c r="I308" s="4" t="n">
        <v>0</v>
      </c>
      <c r="J308" s="4" t="n">
        <v>0</v>
      </c>
      <c r="K308" s="4" t="n">
        <v>0</v>
      </c>
      <c r="M308" s="2">
        <f>IF(C308="","",IFERROR(INDEX($S$5:$S$304,MATCH(C308,$R$5:$R$304,0))&amp;"","?"))</f>
        <v/>
      </c>
      <c r="N308" s="2">
        <f>IF(E308="","",IF(ISNUMBER(SEARCH("SUBSOLO",E308)),IFERROR(-VALUE(LEFT(E308,FIND("º",SUBSTITUTE(E308,"°","º"))-1)),-1),IF(LEFT(E308,6)="TÉRREO",0,IFERROR(VALUE(LEFT(E308,FIND("º",SUBSTITUTE(E308,"°","º"))-1)),""))))</f>
        <v/>
      </c>
      <c r="O308" s="2">
        <f>IF(OR(F308="",G308=""),"",IF(G308&lt;='RETRATO 2027'!$K$5,"CONCLUÍDA",IF(F308&lt;='RETRATO 2027'!$K$5,"EM ANDAMENTO","A INICIAR")))</f>
        <v/>
      </c>
    </row>
    <row r="309">
      <c r="B309" s="4" t="n">
        <v>31528981</v>
      </c>
      <c r="C309" s="4" t="inlineStr">
        <is>
          <t>ESTRUTURA</t>
        </is>
      </c>
      <c r="D309" s="4" t="inlineStr">
        <is>
          <t>Armação</t>
        </is>
      </c>
      <c r="E309" s="4" t="inlineStr">
        <is>
          <t>8º PAV.</t>
        </is>
      </c>
      <c r="F309" s="126" t="n">
        <v>46441</v>
      </c>
      <c r="G309" s="126" t="n">
        <v>46443</v>
      </c>
      <c r="H309" s="126" t="n">
        <v>46289</v>
      </c>
      <c r="I309" s="4" t="n">
        <v>0</v>
      </c>
      <c r="J309" s="4" t="n">
        <v>0</v>
      </c>
      <c r="K309" s="4" t="n">
        <v>0</v>
      </c>
      <c r="M309" s="2">
        <f>IF(C309="","",IFERROR(INDEX($S$5:$S$304,MATCH(C309,$R$5:$R$304,0))&amp;"","?"))</f>
        <v/>
      </c>
      <c r="N309" s="2">
        <f>IF(E309="","",IF(ISNUMBER(SEARCH("SUBSOLO",E309)),IFERROR(-VALUE(LEFT(E309,FIND("º",SUBSTITUTE(E309,"°","º"))-1)),-1),IF(LEFT(E309,6)="TÉRREO",0,IFERROR(VALUE(LEFT(E309,FIND("º",SUBSTITUTE(E309,"°","º"))-1)),""))))</f>
        <v/>
      </c>
      <c r="O309" s="2">
        <f>IF(OR(F309="",G309=""),"",IF(G309&lt;='RETRATO 2027'!$K$5,"CONCLUÍDA",IF(F309&lt;='RETRATO 2027'!$K$5,"EM ANDAMENTO","A INICIAR")))</f>
        <v/>
      </c>
    </row>
    <row r="310">
      <c r="B310" s="4" t="n">
        <v>31528982</v>
      </c>
      <c r="C310" s="4" t="inlineStr">
        <is>
          <t>ESTRUTURA</t>
        </is>
      </c>
      <c r="D310" s="4" t="inlineStr">
        <is>
          <t>Concretagem</t>
        </is>
      </c>
      <c r="E310" s="4" t="inlineStr">
        <is>
          <t>8º PAV.</t>
        </is>
      </c>
      <c r="F310" s="126" t="n">
        <v>46444</v>
      </c>
      <c r="G310" s="126" t="n">
        <v>46444</v>
      </c>
      <c r="H310" s="126" t="n">
        <v>46289</v>
      </c>
      <c r="I310" s="4" t="n">
        <v>0</v>
      </c>
      <c r="J310" s="4" t="n">
        <v>0</v>
      </c>
      <c r="K310" s="4" t="n">
        <v>0</v>
      </c>
      <c r="M310" s="2">
        <f>IF(C310="","",IFERROR(INDEX($S$5:$S$304,MATCH(C310,$R$5:$R$304,0))&amp;"","?"))</f>
        <v/>
      </c>
      <c r="N310" s="2">
        <f>IF(E310="","",IF(ISNUMBER(SEARCH("SUBSOLO",E310)),IFERROR(-VALUE(LEFT(E310,FIND("º",SUBSTITUTE(E310,"°","º"))-1)),-1),IF(LEFT(E310,6)="TÉRREO",0,IFERROR(VALUE(LEFT(E310,FIND("º",SUBSTITUTE(E310,"°","º"))-1)),""))))</f>
        <v/>
      </c>
      <c r="O310" s="2">
        <f>IF(OR(F310="",G310=""),"",IF(G310&lt;='RETRATO 2027'!$K$5,"CONCLUÍDA",IF(F310&lt;='RETRATO 2027'!$K$5,"EM ANDAMENTO","A INICIAR")))</f>
        <v/>
      </c>
    </row>
    <row r="311">
      <c r="B311" s="4" t="n">
        <v>31528983</v>
      </c>
      <c r="C311" s="4" t="inlineStr">
        <is>
          <t>ESTRUTURA</t>
        </is>
      </c>
      <c r="D311" s="4" t="inlineStr">
        <is>
          <t>Polimento</t>
        </is>
      </c>
      <c r="E311" s="4" t="inlineStr">
        <is>
          <t>8º PAV.</t>
        </is>
      </c>
      <c r="F311" s="126" t="n">
        <v>46444</v>
      </c>
      <c r="G311" s="126" t="n">
        <v>46444</v>
      </c>
      <c r="H311" s="126" t="n">
        <v>46289</v>
      </c>
      <c r="I311" s="4" t="n">
        <v>0</v>
      </c>
      <c r="J311" s="4" t="n">
        <v>0</v>
      </c>
      <c r="K311" s="4" t="n">
        <v>0</v>
      </c>
      <c r="M311" s="2">
        <f>IF(C311="","",IFERROR(INDEX($S$5:$S$304,MATCH(C311,$R$5:$R$304,0))&amp;"","?"))</f>
        <v/>
      </c>
      <c r="N311" s="2">
        <f>IF(E311="","",IF(ISNUMBER(SEARCH("SUBSOLO",E311)),IFERROR(-VALUE(LEFT(E311,FIND("º",SUBSTITUTE(E311,"°","º"))-1)),-1),IF(LEFT(E311,6)="TÉRREO",0,IFERROR(VALUE(LEFT(E311,FIND("º",SUBSTITUTE(E311,"°","º"))-1)),""))))</f>
        <v/>
      </c>
      <c r="O311" s="2">
        <f>IF(OR(F311="",G311=""),"",IF(G311&lt;='RETRATO 2027'!$K$5,"CONCLUÍDA",IF(F311&lt;='RETRATO 2027'!$K$5,"EM ANDAMENTO","A INICIAR")))</f>
        <v/>
      </c>
    </row>
    <row r="312">
      <c r="B312" s="4" t="n">
        <v>39887262</v>
      </c>
      <c r="C312" s="4" t="inlineStr">
        <is>
          <t>ESTRUTURA IGREJA</t>
        </is>
      </c>
      <c r="D312" s="4" t="inlineStr">
        <is>
          <t>-</t>
        </is>
      </c>
      <c r="E312" s="4" t="inlineStr">
        <is>
          <t>3º PAV - GARAGEM</t>
        </is>
      </c>
      <c r="F312" s="126" t="n">
        <v>46437</v>
      </c>
      <c r="G312" s="126" t="n">
        <v>46456</v>
      </c>
      <c r="H312" s="126" t="n">
        <v>46289</v>
      </c>
      <c r="I312" s="4" t="n">
        <v>0</v>
      </c>
      <c r="J312" s="4" t="n">
        <v>0</v>
      </c>
      <c r="K312" s="4" t="n">
        <v>0</v>
      </c>
      <c r="M312" s="2">
        <f>IF(C312="","",IFERROR(INDEX($S$5:$S$304,MATCH(C312,$R$5:$R$304,0))&amp;"","?"))</f>
        <v/>
      </c>
      <c r="N312" s="2">
        <f>IF(E312="","",IF(ISNUMBER(SEARCH("SUBSOLO",E312)),IFERROR(-VALUE(LEFT(E312,FIND("º",SUBSTITUTE(E312,"°","º"))-1)),-1),IF(LEFT(E312,6)="TÉRREO",0,IFERROR(VALUE(LEFT(E312,FIND("º",SUBSTITUTE(E312,"°","º"))-1)),""))))</f>
        <v/>
      </c>
      <c r="O312" s="2">
        <f>IF(OR(F312="",G312=""),"",IF(G312&lt;='RETRATO 2027'!$K$5,"CONCLUÍDA",IF(F312&lt;='RETRATO 2027'!$K$5,"EM ANDAMENTO","A INICIAR")))</f>
        <v/>
      </c>
    </row>
    <row r="313">
      <c r="B313" s="4" t="n">
        <v>29940949</v>
      </c>
      <c r="C313" s="4" t="inlineStr">
        <is>
          <t>ESTRUTURA</t>
        </is>
      </c>
      <c r="D313" s="4" t="inlineStr">
        <is>
          <t>-</t>
        </is>
      </c>
      <c r="E313" s="4" t="inlineStr">
        <is>
          <t>9º PAV.</t>
        </is>
      </c>
      <c r="F313" s="126" t="n">
        <v>46447</v>
      </c>
      <c r="G313" s="126" t="n">
        <v>46458</v>
      </c>
      <c r="H313" s="126" t="n">
        <v>46289</v>
      </c>
      <c r="I313" s="4" t="n">
        <v>0</v>
      </c>
      <c r="J313" s="4" t="n">
        <v>0</v>
      </c>
      <c r="K313" s="4" t="n">
        <v>0</v>
      </c>
      <c r="M313" s="2">
        <f>IF(C313="","",IFERROR(INDEX($S$5:$S$304,MATCH(C313,$R$5:$R$304,0))&amp;"","?"))</f>
        <v/>
      </c>
      <c r="N313" s="2">
        <f>IF(E313="","",IF(ISNUMBER(SEARCH("SUBSOLO",E313)),IFERROR(-VALUE(LEFT(E313,FIND("º",SUBSTITUTE(E313,"°","º"))-1)),-1),IF(LEFT(E313,6)="TÉRREO",0,IFERROR(VALUE(LEFT(E313,FIND("º",SUBSTITUTE(E313,"°","º"))-1)),""))))</f>
        <v/>
      </c>
      <c r="O313" s="2">
        <f>IF(OR(F313="",G313=""),"",IF(G313&lt;='RETRATO 2027'!$K$5,"CONCLUÍDA",IF(F313&lt;='RETRATO 2027'!$K$5,"EM ANDAMENTO","A INICIAR")))</f>
        <v/>
      </c>
    </row>
    <row r="314">
      <c r="B314" s="4" t="n">
        <v>31528984</v>
      </c>
      <c r="C314" s="4" t="inlineStr">
        <is>
          <t>ESTRUTURA</t>
        </is>
      </c>
      <c r="D314" s="4" t="inlineStr">
        <is>
          <t>Forma</t>
        </is>
      </c>
      <c r="E314" s="4" t="inlineStr">
        <is>
          <t>9º PAV.</t>
        </is>
      </c>
      <c r="F314" s="126" t="n">
        <v>46447</v>
      </c>
      <c r="G314" s="126" t="n">
        <v>46450</v>
      </c>
      <c r="H314" s="126" t="n">
        <v>46289</v>
      </c>
      <c r="I314" s="4" t="n">
        <v>0</v>
      </c>
      <c r="J314" s="4" t="n">
        <v>0</v>
      </c>
      <c r="K314" s="4" t="n">
        <v>0</v>
      </c>
      <c r="M314" s="2">
        <f>IF(C314="","",IFERROR(INDEX($S$5:$S$304,MATCH(C314,$R$5:$R$304,0))&amp;"","?"))</f>
        <v/>
      </c>
      <c r="N314" s="2">
        <f>IF(E314="","",IF(ISNUMBER(SEARCH("SUBSOLO",E314)),IFERROR(-VALUE(LEFT(E314,FIND("º",SUBSTITUTE(E314,"°","º"))-1)),-1),IF(LEFT(E314,6)="TÉRREO",0,IFERROR(VALUE(LEFT(E314,FIND("º",SUBSTITUTE(E314,"°","º"))-1)),""))))</f>
        <v/>
      </c>
      <c r="O314" s="2">
        <f>IF(OR(F314="",G314=""),"",IF(G314&lt;='RETRATO 2027'!$K$5,"CONCLUÍDA",IF(F314&lt;='RETRATO 2027'!$K$5,"EM ANDAMENTO","A INICIAR")))</f>
        <v/>
      </c>
    </row>
    <row r="315">
      <c r="B315" s="4" t="n">
        <v>31528985</v>
      </c>
      <c r="C315" s="4" t="inlineStr">
        <is>
          <t>ESTRUTURA</t>
        </is>
      </c>
      <c r="D315" s="4" t="inlineStr">
        <is>
          <t>Armação</t>
        </is>
      </c>
      <c r="E315" s="4" t="inlineStr">
        <is>
          <t>9º PAV.</t>
        </is>
      </c>
      <c r="F315" s="126" t="n">
        <v>46451</v>
      </c>
      <c r="G315" s="126" t="n">
        <v>46457</v>
      </c>
      <c r="H315" s="126" t="n">
        <v>46289</v>
      </c>
      <c r="I315" s="4" t="n">
        <v>0</v>
      </c>
      <c r="J315" s="4" t="n">
        <v>0</v>
      </c>
      <c r="K315" s="4" t="n">
        <v>0</v>
      </c>
      <c r="M315" s="2">
        <f>IF(C315="","",IFERROR(INDEX($S$5:$S$304,MATCH(C315,$R$5:$R$304,0))&amp;"","?"))</f>
        <v/>
      </c>
      <c r="N315" s="2">
        <f>IF(E315="","",IF(ISNUMBER(SEARCH("SUBSOLO",E315)),IFERROR(-VALUE(LEFT(E315,FIND("º",SUBSTITUTE(E315,"°","º"))-1)),-1),IF(LEFT(E315,6)="TÉRREO",0,IFERROR(VALUE(LEFT(E315,FIND("º",SUBSTITUTE(E315,"°","º"))-1)),""))))</f>
        <v/>
      </c>
      <c r="O315" s="2">
        <f>IF(OR(F315="",G315=""),"",IF(G315&lt;='RETRATO 2027'!$K$5,"CONCLUÍDA",IF(F315&lt;='RETRATO 2027'!$K$5,"EM ANDAMENTO","A INICIAR")))</f>
        <v/>
      </c>
    </row>
    <row r="316">
      <c r="B316" s="4" t="n">
        <v>31528986</v>
      </c>
      <c r="C316" s="4" t="inlineStr">
        <is>
          <t>ESTRUTURA</t>
        </is>
      </c>
      <c r="D316" s="4" t="inlineStr">
        <is>
          <t>Concretagem</t>
        </is>
      </c>
      <c r="E316" s="4" t="inlineStr">
        <is>
          <t>9º PAV.</t>
        </is>
      </c>
      <c r="F316" s="126" t="n">
        <v>46458</v>
      </c>
      <c r="G316" s="126" t="n">
        <v>46458</v>
      </c>
      <c r="H316" s="126" t="n">
        <v>46289</v>
      </c>
      <c r="I316" s="4" t="n">
        <v>0</v>
      </c>
      <c r="J316" s="4" t="n">
        <v>0</v>
      </c>
      <c r="K316" s="4" t="n">
        <v>0</v>
      </c>
      <c r="M316" s="2">
        <f>IF(C316="","",IFERROR(INDEX($S$5:$S$304,MATCH(C316,$R$5:$R$304,0))&amp;"","?"))</f>
        <v/>
      </c>
      <c r="N316" s="2">
        <f>IF(E316="","",IF(ISNUMBER(SEARCH("SUBSOLO",E316)),IFERROR(-VALUE(LEFT(E316,FIND("º",SUBSTITUTE(E316,"°","º"))-1)),-1),IF(LEFT(E316,6)="TÉRREO",0,IFERROR(VALUE(LEFT(E316,FIND("º",SUBSTITUTE(E316,"°","º"))-1)),""))))</f>
        <v/>
      </c>
      <c r="O316" s="2">
        <f>IF(OR(F316="",G316=""),"",IF(G316&lt;='RETRATO 2027'!$K$5,"CONCLUÍDA",IF(F316&lt;='RETRATO 2027'!$K$5,"EM ANDAMENTO","A INICIAR")))</f>
        <v/>
      </c>
    </row>
    <row r="317">
      <c r="B317" s="4" t="n">
        <v>31528987</v>
      </c>
      <c r="C317" s="4" t="inlineStr">
        <is>
          <t>ESTRUTURA</t>
        </is>
      </c>
      <c r="D317" s="4" t="inlineStr">
        <is>
          <t>Polimento</t>
        </is>
      </c>
      <c r="E317" s="4" t="inlineStr">
        <is>
          <t>9º PAV.</t>
        </is>
      </c>
      <c r="F317" s="126" t="n">
        <v>46458</v>
      </c>
      <c r="G317" s="126" t="n">
        <v>46458</v>
      </c>
      <c r="H317" s="126" t="n">
        <v>46289</v>
      </c>
      <c r="I317" s="4" t="n">
        <v>0</v>
      </c>
      <c r="J317" s="4" t="n">
        <v>0</v>
      </c>
      <c r="K317" s="4" t="n">
        <v>0</v>
      </c>
      <c r="M317" s="2">
        <f>IF(C317="","",IFERROR(INDEX($S$5:$S$304,MATCH(C317,$R$5:$R$304,0))&amp;"","?"))</f>
        <v/>
      </c>
      <c r="N317" s="2">
        <f>IF(E317="","",IF(ISNUMBER(SEARCH("SUBSOLO",E317)),IFERROR(-VALUE(LEFT(E317,FIND("º",SUBSTITUTE(E317,"°","º"))-1)),-1),IF(LEFT(E317,6)="TÉRREO",0,IFERROR(VALUE(LEFT(E317,FIND("º",SUBSTITUTE(E317,"°","º"))-1)),""))))</f>
        <v/>
      </c>
      <c r="O317" s="2">
        <f>IF(OR(F317="",G317=""),"",IF(G317&lt;='RETRATO 2027'!$K$5,"CONCLUÍDA",IF(F317&lt;='RETRATO 2027'!$K$5,"EM ANDAMENTO","A INICIAR")))</f>
        <v/>
      </c>
    </row>
    <row r="318">
      <c r="B318" s="4" t="n">
        <v>30171436</v>
      </c>
      <c r="C318" s="4" t="inlineStr">
        <is>
          <t>TRATAMENTO DE CONCRETO - TETO</t>
        </is>
      </c>
      <c r="D318" s="4" t="inlineStr">
        <is>
          <t>-</t>
        </is>
      </c>
      <c r="E318" s="4" t="inlineStr">
        <is>
          <t>4º PAV - GARAGEM</t>
        </is>
      </c>
      <c r="F318" s="126" t="n">
        <v>46451</v>
      </c>
      <c r="G318" s="126" t="n">
        <v>46485</v>
      </c>
      <c r="H318" s="126" t="n">
        <v>46289</v>
      </c>
      <c r="I318" s="4" t="n">
        <v>0</v>
      </c>
      <c r="J318" s="4" t="n">
        <v>0</v>
      </c>
      <c r="K318" s="4" t="n">
        <v>0</v>
      </c>
      <c r="M318" s="2">
        <f>IF(C318="","",IFERROR(INDEX($S$5:$S$304,MATCH(C318,$R$5:$R$304,0))&amp;"","?"))</f>
        <v/>
      </c>
      <c r="N318" s="2">
        <f>IF(E318="","",IF(ISNUMBER(SEARCH("SUBSOLO",E318)),IFERROR(-VALUE(LEFT(E318,FIND("º",SUBSTITUTE(E318,"°","º"))-1)),-1),IF(LEFT(E318,6)="TÉRREO",0,IFERROR(VALUE(LEFT(E318,FIND("º",SUBSTITUTE(E318,"°","º"))-1)),""))))</f>
        <v/>
      </c>
      <c r="O318" s="2">
        <f>IF(OR(F318="",G318=""),"",IF(G318&lt;='RETRATO 2027'!$K$5,"CONCLUÍDA",IF(F318&lt;='RETRATO 2027'!$K$5,"EM ANDAMENTO","A INICIAR")))</f>
        <v/>
      </c>
    </row>
    <row r="319">
      <c r="B319" s="4" t="n">
        <v>39887263</v>
      </c>
      <c r="C319" s="4" t="inlineStr">
        <is>
          <t>ESTRUTURA IGREJA</t>
        </is>
      </c>
      <c r="D319" s="4" t="inlineStr">
        <is>
          <t>-</t>
        </is>
      </c>
      <c r="E319" s="4" t="inlineStr">
        <is>
          <t>4º PAV - GARAGEM</t>
        </is>
      </c>
      <c r="F319" s="126" t="n">
        <v>46457</v>
      </c>
      <c r="G319" s="126" t="n">
        <v>46475</v>
      </c>
      <c r="H319" s="126" t="n">
        <v>46289</v>
      </c>
      <c r="I319" s="4" t="n">
        <v>0</v>
      </c>
      <c r="J319" s="4" t="n">
        <v>0</v>
      </c>
      <c r="K319" s="4" t="n">
        <v>0</v>
      </c>
      <c r="M319" s="2">
        <f>IF(C319="","",IFERROR(INDEX($S$5:$S$304,MATCH(C319,$R$5:$R$304,0))&amp;"","?"))</f>
        <v/>
      </c>
      <c r="N319" s="2">
        <f>IF(E319="","",IF(ISNUMBER(SEARCH("SUBSOLO",E319)),IFERROR(-VALUE(LEFT(E319,FIND("º",SUBSTITUTE(E319,"°","º"))-1)),-1),IF(LEFT(E319,6)="TÉRREO",0,IFERROR(VALUE(LEFT(E319,FIND("º",SUBSTITUTE(E319,"°","º"))-1)),""))))</f>
        <v/>
      </c>
      <c r="O319" s="2">
        <f>IF(OR(F319="",G319=""),"",IF(G319&lt;='RETRATO 2027'!$K$5,"CONCLUÍDA",IF(F319&lt;='RETRATO 2027'!$K$5,"EM ANDAMENTO","A INICIAR")))</f>
        <v/>
      </c>
    </row>
    <row r="320">
      <c r="B320" s="4" t="n">
        <v>30205737</v>
      </c>
      <c r="C320" s="4" t="inlineStr">
        <is>
          <t>INFRA ELÉTRICA - TETO</t>
        </is>
      </c>
      <c r="D320" s="4" t="inlineStr">
        <is>
          <t>-</t>
        </is>
      </c>
      <c r="E320" s="4" t="inlineStr">
        <is>
          <t>SUBSOLO</t>
        </is>
      </c>
      <c r="F320" s="126" t="n">
        <v>46458</v>
      </c>
      <c r="G320" s="126" t="n">
        <v>46521</v>
      </c>
      <c r="H320" s="126" t="n">
        <v>46289</v>
      </c>
      <c r="I320" s="4" t="n">
        <v>0</v>
      </c>
      <c r="J320" s="4" t="n">
        <v>0</v>
      </c>
      <c r="K320" s="4" t="n">
        <v>0</v>
      </c>
      <c r="M320" s="2">
        <f>IF(C320="","",IFERROR(INDEX($S$5:$S$304,MATCH(C320,$R$5:$R$304,0))&amp;"","?"))</f>
        <v/>
      </c>
      <c r="N320" s="2">
        <f>IF(E320="","",IF(ISNUMBER(SEARCH("SUBSOLO",E320)),IFERROR(-VALUE(LEFT(E320,FIND("º",SUBSTITUTE(E320,"°","º"))-1)),-1),IF(LEFT(E320,6)="TÉRREO",0,IFERROR(VALUE(LEFT(E320,FIND("º",SUBSTITUTE(E320,"°","º"))-1)),""))))</f>
        <v/>
      </c>
      <c r="O320" s="2">
        <f>IF(OR(F320="",G320=""),"",IF(G320&lt;='RETRATO 2027'!$K$5,"CONCLUÍDA",IF(F320&lt;='RETRATO 2027'!$K$5,"EM ANDAMENTO","A INICIAR")))</f>
        <v/>
      </c>
    </row>
    <row r="321">
      <c r="B321" s="4" t="n">
        <v>35100286</v>
      </c>
      <c r="C321" s="4" t="inlineStr">
        <is>
          <t>FUNDAÇÃO - PROJEÇÃO IGREJA</t>
        </is>
      </c>
      <c r="D321" s="4" t="inlineStr">
        <is>
          <t>-</t>
        </is>
      </c>
      <c r="E321" s="4" t="inlineStr">
        <is>
          <t>SERVIÇOS INICIAIS</t>
        </is>
      </c>
      <c r="F321" s="126" t="n">
        <v>46461</v>
      </c>
      <c r="G321" s="126" t="n">
        <v>46471</v>
      </c>
      <c r="H321" s="126" t="n">
        <v>46289</v>
      </c>
      <c r="I321" s="4" t="n">
        <v>0</v>
      </c>
      <c r="J321" s="4" t="n">
        <v>0</v>
      </c>
      <c r="K321" s="4" t="n">
        <v>0</v>
      </c>
      <c r="M321" s="2">
        <f>IF(C321="","",IFERROR(INDEX($S$5:$S$304,MATCH(C321,$R$5:$R$304,0))&amp;"","?"))</f>
        <v/>
      </c>
      <c r="N321" s="2">
        <f>IF(E321="","",IF(ISNUMBER(SEARCH("SUBSOLO",E321)),IFERROR(-VALUE(LEFT(E321,FIND("º",SUBSTITUTE(E321,"°","º"))-1)),-1),IF(LEFT(E321,6)="TÉRREO",0,IFERROR(VALUE(LEFT(E321,FIND("º",SUBSTITUTE(E321,"°","º"))-1)),""))))</f>
        <v/>
      </c>
      <c r="O321" s="2">
        <f>IF(OR(F321="",G321=""),"",IF(G321&lt;='RETRATO 2027'!$K$5,"CONCLUÍDA",IF(F321&lt;='RETRATO 2027'!$K$5,"EM ANDAMENTO","A INICIAR")))</f>
        <v/>
      </c>
    </row>
    <row r="322">
      <c r="B322" s="4" t="n">
        <v>14351018</v>
      </c>
      <c r="C322" s="4" t="inlineStr">
        <is>
          <t>FUNDAÇÃO - PROJEÇÃO IGREJA</t>
        </is>
      </c>
      <c r="D322" s="4" t="inlineStr">
        <is>
          <t>P129 e PF4</t>
        </is>
      </c>
      <c r="E322" s="4" t="inlineStr">
        <is>
          <t>SERVIÇOS INICIAIS</t>
        </is>
      </c>
      <c r="F322" s="126" t="n">
        <v>46461</v>
      </c>
      <c r="G322" s="126" t="n">
        <v>46463</v>
      </c>
      <c r="H322" s="126" t="n">
        <v>46289</v>
      </c>
      <c r="I322" s="4" t="n">
        <v>0</v>
      </c>
      <c r="J322" s="4" t="n">
        <v>0</v>
      </c>
      <c r="K322" s="4" t="n">
        <v>0</v>
      </c>
      <c r="M322" s="2">
        <f>IF(C322="","",IFERROR(INDEX($S$5:$S$304,MATCH(C322,$R$5:$R$304,0))&amp;"","?"))</f>
        <v/>
      </c>
      <c r="N322" s="2">
        <f>IF(E322="","",IF(ISNUMBER(SEARCH("SUBSOLO",E322)),IFERROR(-VALUE(LEFT(E322,FIND("º",SUBSTITUTE(E322,"°","º"))-1)),-1),IF(LEFT(E322,6)="TÉRREO",0,IFERROR(VALUE(LEFT(E322,FIND("º",SUBSTITUTE(E322,"°","º"))-1)),""))))</f>
        <v/>
      </c>
      <c r="O322" s="2">
        <f>IF(OR(F322="",G322=""),"",IF(G322&lt;='RETRATO 2027'!$K$5,"CONCLUÍDA",IF(F322&lt;='RETRATO 2027'!$K$5,"EM ANDAMENTO","A INICIAR")))</f>
        <v/>
      </c>
    </row>
    <row r="323">
      <c r="B323" s="4" t="n">
        <v>14351019</v>
      </c>
      <c r="C323" s="4" t="inlineStr">
        <is>
          <t>FUNDAÇÃO - PROJEÇÃO IGREJA</t>
        </is>
      </c>
      <c r="D323" s="4" t="inlineStr">
        <is>
          <t>P109 e P119</t>
        </is>
      </c>
      <c r="E323" s="4" t="inlineStr">
        <is>
          <t>SERVIÇOS INICIAIS</t>
        </is>
      </c>
      <c r="F323" s="126" t="n">
        <v>46464</v>
      </c>
      <c r="G323" s="126" t="n">
        <v>46468</v>
      </c>
      <c r="H323" s="126" t="n">
        <v>46289</v>
      </c>
      <c r="I323" s="4" t="n">
        <v>0</v>
      </c>
      <c r="J323" s="4" t="n">
        <v>0</v>
      </c>
      <c r="K323" s="4" t="n">
        <v>0</v>
      </c>
      <c r="M323" s="2">
        <f>IF(C323="","",IFERROR(INDEX($S$5:$S$304,MATCH(C323,$R$5:$R$304,0))&amp;"","?"))</f>
        <v/>
      </c>
      <c r="N323" s="2">
        <f>IF(E323="","",IF(ISNUMBER(SEARCH("SUBSOLO",E323)),IFERROR(-VALUE(LEFT(E323,FIND("º",SUBSTITUTE(E323,"°","º"))-1)),-1),IF(LEFT(E323,6)="TÉRREO",0,IFERROR(VALUE(LEFT(E323,FIND("º",SUBSTITUTE(E323,"°","º"))-1)),""))))</f>
        <v/>
      </c>
      <c r="O323" s="2">
        <f>IF(OR(F323="",G323=""),"",IF(G323&lt;='RETRATO 2027'!$K$5,"CONCLUÍDA",IF(F323&lt;='RETRATO 2027'!$K$5,"EM ANDAMENTO","A INICIAR")))</f>
        <v/>
      </c>
    </row>
    <row r="324">
      <c r="B324" s="4" t="n">
        <v>14351020</v>
      </c>
      <c r="C324" s="4" t="inlineStr">
        <is>
          <t>FUNDAÇÃO - PROJEÇÃO IGREJA</t>
        </is>
      </c>
      <c r="D324" s="4" t="inlineStr">
        <is>
          <t>P123</t>
        </is>
      </c>
      <c r="E324" s="4" t="inlineStr">
        <is>
          <t>SERVIÇOS INICIAIS</t>
        </is>
      </c>
      <c r="F324" s="126" t="n">
        <v>46469</v>
      </c>
      <c r="G324" s="126" t="n">
        <v>46471</v>
      </c>
      <c r="H324" s="126" t="n">
        <v>46289</v>
      </c>
      <c r="I324" s="4" t="n">
        <v>0</v>
      </c>
      <c r="J324" s="4" t="n">
        <v>0</v>
      </c>
      <c r="K324" s="4" t="n">
        <v>0</v>
      </c>
      <c r="M324" s="2">
        <f>IF(C324="","",IFERROR(INDEX($S$5:$S$304,MATCH(C324,$R$5:$R$304,0))&amp;"","?"))</f>
        <v/>
      </c>
      <c r="N324" s="2">
        <f>IF(E324="","",IF(ISNUMBER(SEARCH("SUBSOLO",E324)),IFERROR(-VALUE(LEFT(E324,FIND("º",SUBSTITUTE(E324,"°","º"))-1)),-1),IF(LEFT(E324,6)="TÉRREO",0,IFERROR(VALUE(LEFT(E324,FIND("º",SUBSTITUTE(E324,"°","º"))-1)),""))))</f>
        <v/>
      </c>
      <c r="O324" s="2">
        <f>IF(OR(F324="",G324=""),"",IF(G324&lt;='RETRATO 2027'!$K$5,"CONCLUÍDA",IF(F324&lt;='RETRATO 2027'!$K$5,"EM ANDAMENTO","A INICIAR")))</f>
        <v/>
      </c>
    </row>
    <row r="325">
      <c r="B325" s="4" t="n">
        <v>29940950</v>
      </c>
      <c r="C325" s="4" t="inlineStr">
        <is>
          <t>ESTRUTURA</t>
        </is>
      </c>
      <c r="D325" s="4" t="inlineStr">
        <is>
          <t>-</t>
        </is>
      </c>
      <c r="E325" s="4" t="inlineStr">
        <is>
          <t>10º PAV.</t>
        </is>
      </c>
      <c r="F325" s="126" t="n">
        <v>46461</v>
      </c>
      <c r="G325" s="126" t="n">
        <v>46471</v>
      </c>
      <c r="H325" s="126" t="n">
        <v>46289</v>
      </c>
      <c r="I325" s="4" t="n">
        <v>0</v>
      </c>
      <c r="J325" s="4" t="n">
        <v>0</v>
      </c>
      <c r="K325" s="4" t="n">
        <v>0</v>
      </c>
      <c r="M325" s="2">
        <f>IF(C325="","",IFERROR(INDEX($S$5:$S$304,MATCH(C325,$R$5:$R$304,0))&amp;"","?"))</f>
        <v/>
      </c>
      <c r="N325" s="2">
        <f>IF(E325="","",IF(ISNUMBER(SEARCH("SUBSOLO",E325)),IFERROR(-VALUE(LEFT(E325,FIND("º",SUBSTITUTE(E325,"°","º"))-1)),-1),IF(LEFT(E325,6)="TÉRREO",0,IFERROR(VALUE(LEFT(E325,FIND("º",SUBSTITUTE(E325,"°","º"))-1)),""))))</f>
        <v/>
      </c>
      <c r="O325" s="2">
        <f>IF(OR(F325="",G325=""),"",IF(G325&lt;='RETRATO 2027'!$K$5,"CONCLUÍDA",IF(F325&lt;='RETRATO 2027'!$K$5,"EM ANDAMENTO","A INICIAR")))</f>
        <v/>
      </c>
    </row>
    <row r="326">
      <c r="B326" s="4" t="n">
        <v>31528992</v>
      </c>
      <c r="C326" s="4" t="inlineStr">
        <is>
          <t>ESTRUTURA</t>
        </is>
      </c>
      <c r="D326" s="4" t="inlineStr">
        <is>
          <t>Forma</t>
        </is>
      </c>
      <c r="E326" s="4" t="inlineStr">
        <is>
          <t>10º PAV.</t>
        </is>
      </c>
      <c r="F326" s="126" t="n">
        <v>46461</v>
      </c>
      <c r="G326" s="126" t="n">
        <v>46465</v>
      </c>
      <c r="H326" s="126" t="n">
        <v>46289</v>
      </c>
      <c r="I326" s="4" t="n">
        <v>0</v>
      </c>
      <c r="J326" s="4" t="n">
        <v>0</v>
      </c>
      <c r="K326" s="4" t="n">
        <v>0</v>
      </c>
      <c r="M326" s="2">
        <f>IF(C326="","",IFERROR(INDEX($S$5:$S$304,MATCH(C326,$R$5:$R$304,0))&amp;"","?"))</f>
        <v/>
      </c>
      <c r="N326" s="2">
        <f>IF(E326="","",IF(ISNUMBER(SEARCH("SUBSOLO",E326)),IFERROR(-VALUE(LEFT(E326,FIND("º",SUBSTITUTE(E326,"°","º"))-1)),-1),IF(LEFT(E326,6)="TÉRREO",0,IFERROR(VALUE(LEFT(E326,FIND("º",SUBSTITUTE(E326,"°","º"))-1)),""))))</f>
        <v/>
      </c>
      <c r="O326" s="2">
        <f>IF(OR(F326="",G326=""),"",IF(G326&lt;='RETRATO 2027'!$K$5,"CONCLUÍDA",IF(F326&lt;='RETRATO 2027'!$K$5,"EM ANDAMENTO","A INICIAR")))</f>
        <v/>
      </c>
    </row>
    <row r="327">
      <c r="B327" s="4" t="n">
        <v>31528993</v>
      </c>
      <c r="C327" s="4" t="inlineStr">
        <is>
          <t>ESTRUTURA</t>
        </is>
      </c>
      <c r="D327" s="4" t="inlineStr">
        <is>
          <t>Armação</t>
        </is>
      </c>
      <c r="E327" s="4" t="inlineStr">
        <is>
          <t>10º PAV.</t>
        </is>
      </c>
      <c r="F327" s="126" t="n">
        <v>46468</v>
      </c>
      <c r="G327" s="126" t="n">
        <v>46470</v>
      </c>
      <c r="H327" s="126" t="n">
        <v>46289</v>
      </c>
      <c r="I327" s="4" t="n">
        <v>0</v>
      </c>
      <c r="J327" s="4" t="n">
        <v>0</v>
      </c>
      <c r="K327" s="4" t="n">
        <v>0</v>
      </c>
      <c r="M327" s="2">
        <f>IF(C327="","",IFERROR(INDEX($S$5:$S$304,MATCH(C327,$R$5:$R$304,0))&amp;"","?"))</f>
        <v/>
      </c>
      <c r="N327" s="2">
        <f>IF(E327="","",IF(ISNUMBER(SEARCH("SUBSOLO",E327)),IFERROR(-VALUE(LEFT(E327,FIND("º",SUBSTITUTE(E327,"°","º"))-1)),-1),IF(LEFT(E327,6)="TÉRREO",0,IFERROR(VALUE(LEFT(E327,FIND("º",SUBSTITUTE(E327,"°","º"))-1)),""))))</f>
        <v/>
      </c>
      <c r="O327" s="2">
        <f>IF(OR(F327="",G327=""),"",IF(G327&lt;='RETRATO 2027'!$K$5,"CONCLUÍDA",IF(F327&lt;='RETRATO 2027'!$K$5,"EM ANDAMENTO","A INICIAR")))</f>
        <v/>
      </c>
    </row>
    <row r="328">
      <c r="B328" s="4" t="n">
        <v>31528994</v>
      </c>
      <c r="C328" s="4" t="inlineStr">
        <is>
          <t>ESTRUTURA</t>
        </is>
      </c>
      <c r="D328" s="4" t="inlineStr">
        <is>
          <t>Concretagem</t>
        </is>
      </c>
      <c r="E328" s="4" t="inlineStr">
        <is>
          <t>10º PAV.</t>
        </is>
      </c>
      <c r="F328" s="126" t="n">
        <v>46471</v>
      </c>
      <c r="G328" s="126" t="n">
        <v>46471</v>
      </c>
      <c r="H328" s="126" t="n">
        <v>46289</v>
      </c>
      <c r="I328" s="4" t="n">
        <v>0</v>
      </c>
      <c r="J328" s="4" t="n">
        <v>0</v>
      </c>
      <c r="K328" s="4" t="n">
        <v>0</v>
      </c>
      <c r="M328" s="2">
        <f>IF(C328="","",IFERROR(INDEX($S$5:$S$304,MATCH(C328,$R$5:$R$304,0))&amp;"","?"))</f>
        <v/>
      </c>
      <c r="N328" s="2">
        <f>IF(E328="","",IF(ISNUMBER(SEARCH("SUBSOLO",E328)),IFERROR(-VALUE(LEFT(E328,FIND("º",SUBSTITUTE(E328,"°","º"))-1)),-1),IF(LEFT(E328,6)="TÉRREO",0,IFERROR(VALUE(LEFT(E328,FIND("º",SUBSTITUTE(E328,"°","º"))-1)),""))))</f>
        <v/>
      </c>
      <c r="O328" s="2">
        <f>IF(OR(F328="",G328=""),"",IF(G328&lt;='RETRATO 2027'!$K$5,"CONCLUÍDA",IF(F328&lt;='RETRATO 2027'!$K$5,"EM ANDAMENTO","A INICIAR")))</f>
        <v/>
      </c>
    </row>
    <row r="329">
      <c r="B329" s="4" t="n">
        <v>31528995</v>
      </c>
      <c r="C329" s="4" t="inlineStr">
        <is>
          <t>ESTRUTURA</t>
        </is>
      </c>
      <c r="D329" s="4" t="inlineStr">
        <is>
          <t>Polimento</t>
        </is>
      </c>
      <c r="E329" s="4" t="inlineStr">
        <is>
          <t>10º PAV.</t>
        </is>
      </c>
      <c r="F329" s="126" t="n">
        <v>46471</v>
      </c>
      <c r="G329" s="126" t="n">
        <v>46471</v>
      </c>
      <c r="H329" s="126" t="n">
        <v>46289</v>
      </c>
      <c r="I329" s="4" t="n">
        <v>0</v>
      </c>
      <c r="J329" s="4" t="n">
        <v>0</v>
      </c>
      <c r="K329" s="4" t="n">
        <v>0</v>
      </c>
      <c r="M329" s="2">
        <f>IF(C329="","",IFERROR(INDEX($S$5:$S$304,MATCH(C329,$R$5:$R$304,0))&amp;"","?"))</f>
        <v/>
      </c>
      <c r="N329" s="2">
        <f>IF(E329="","",IF(ISNUMBER(SEARCH("SUBSOLO",E329)),IFERROR(-VALUE(LEFT(E329,FIND("º",SUBSTITUTE(E329,"°","º"))-1)),-1),IF(LEFT(E329,6)="TÉRREO",0,IFERROR(VALUE(LEFT(E329,FIND("º",SUBSTITUTE(E329,"°","º"))-1)),""))))</f>
        <v/>
      </c>
      <c r="O329" s="2">
        <f>IF(OR(F329="",G329=""),"",IF(G329&lt;='RETRATO 2027'!$K$5,"CONCLUÍDA",IF(F329&lt;='RETRATO 2027'!$K$5,"EM ANDAMENTO","A INICIAR")))</f>
        <v/>
      </c>
    </row>
    <row r="330">
      <c r="B330" s="4" t="n">
        <v>29981543</v>
      </c>
      <c r="C330" s="4" t="inlineStr">
        <is>
          <t>ALVENARIA</t>
        </is>
      </c>
      <c r="D330" s="4" t="inlineStr">
        <is>
          <t>-</t>
        </is>
      </c>
      <c r="E330" s="4" t="inlineStr">
        <is>
          <t>7º PAV.</t>
        </is>
      </c>
      <c r="F330" s="126" t="n">
        <v>46462</v>
      </c>
      <c r="G330" s="126" t="n">
        <v>46475</v>
      </c>
      <c r="H330" s="126" t="n">
        <v>46289</v>
      </c>
      <c r="I330" s="4" t="n">
        <v>0</v>
      </c>
      <c r="J330" s="4" t="n">
        <v>0</v>
      </c>
      <c r="K330" s="4" t="n">
        <v>0</v>
      </c>
      <c r="M330" s="2">
        <f>IF(C330="","",IFERROR(INDEX($S$5:$S$304,MATCH(C330,$R$5:$R$304,0))&amp;"","?"))</f>
        <v/>
      </c>
      <c r="N330" s="2">
        <f>IF(E330="","",IF(ISNUMBER(SEARCH("SUBSOLO",E330)),IFERROR(-VALUE(LEFT(E330,FIND("º",SUBSTITUTE(E330,"°","º"))-1)),-1),IF(LEFT(E330,6)="TÉRREO",0,IFERROR(VALUE(LEFT(E330,FIND("º",SUBSTITUTE(E330,"°","º"))-1)),""))))</f>
        <v/>
      </c>
      <c r="O330" s="2">
        <f>IF(OR(F330="",G330=""),"",IF(G330&lt;='RETRATO 2027'!$K$5,"CONCLUÍDA",IF(F330&lt;='RETRATO 2027'!$K$5,"EM ANDAMENTO","A INICIAR")))</f>
        <v/>
      </c>
    </row>
    <row r="331">
      <c r="B331" s="4" t="n">
        <v>46237348</v>
      </c>
      <c r="C331" s="4" t="inlineStr">
        <is>
          <t>BLOCOS E CINTAS - IGREJA</t>
        </is>
      </c>
      <c r="D331" s="4" t="inlineStr">
        <is>
          <t>-</t>
        </is>
      </c>
      <c r="E331" s="4" t="inlineStr">
        <is>
          <t>SERVIÇOS INICIAIS</t>
        </is>
      </c>
      <c r="F331" s="126" t="n">
        <v>46475</v>
      </c>
      <c r="G331" s="126" t="n">
        <v>46486</v>
      </c>
      <c r="H331" s="126" t="n">
        <v>46289</v>
      </c>
      <c r="I331" s="4" t="n">
        <v>0</v>
      </c>
      <c r="J331" s="4" t="n">
        <v>0</v>
      </c>
      <c r="K331" s="4" t="n">
        <v>0</v>
      </c>
      <c r="M331" s="2">
        <f>IF(C331="","",IFERROR(INDEX($S$5:$S$304,MATCH(C331,$R$5:$R$304,0))&amp;"","?"))</f>
        <v/>
      </c>
      <c r="N331" s="2">
        <f>IF(E331="","",IF(ISNUMBER(SEARCH("SUBSOLO",E331)),IFERROR(-VALUE(LEFT(E331,FIND("º",SUBSTITUTE(E331,"°","º"))-1)),-1),IF(LEFT(E331,6)="TÉRREO",0,IFERROR(VALUE(LEFT(E331,FIND("º",SUBSTITUTE(E331,"°","º"))-1)),""))))</f>
        <v/>
      </c>
      <c r="O331" s="2">
        <f>IF(OR(F331="",G331=""),"",IF(G331&lt;='RETRATO 2027'!$K$5,"CONCLUÍDA",IF(F331&lt;='RETRATO 2027'!$K$5,"EM ANDAMENTO","A INICIAR")))</f>
        <v/>
      </c>
    </row>
    <row r="332">
      <c r="B332" s="4" t="n">
        <v>29940951</v>
      </c>
      <c r="C332" s="4" t="inlineStr">
        <is>
          <t>ESTRUTURA</t>
        </is>
      </c>
      <c r="D332" s="4" t="inlineStr">
        <is>
          <t>-</t>
        </is>
      </c>
      <c r="E332" s="4" t="inlineStr">
        <is>
          <t>11º PAV.</t>
        </is>
      </c>
      <c r="F332" s="126" t="n">
        <v>46475</v>
      </c>
      <c r="G332" s="126" t="n">
        <v>46485</v>
      </c>
      <c r="H332" s="126" t="n">
        <v>46289</v>
      </c>
      <c r="I332" s="4" t="n">
        <v>0</v>
      </c>
      <c r="J332" s="4" t="n">
        <v>0</v>
      </c>
      <c r="K332" s="4" t="n">
        <v>0</v>
      </c>
      <c r="M332" s="2">
        <f>IF(C332="","",IFERROR(INDEX($S$5:$S$304,MATCH(C332,$R$5:$R$304,0))&amp;"","?"))</f>
        <v/>
      </c>
      <c r="N332" s="2">
        <f>IF(E332="","",IF(ISNUMBER(SEARCH("SUBSOLO",E332)),IFERROR(-VALUE(LEFT(E332,FIND("º",SUBSTITUTE(E332,"°","º"))-1)),-1),IF(LEFT(E332,6)="TÉRREO",0,IFERROR(VALUE(LEFT(E332,FIND("º",SUBSTITUTE(E332,"°","º"))-1)),""))))</f>
        <v/>
      </c>
      <c r="O332" s="2">
        <f>IF(OR(F332="",G332=""),"",IF(G332&lt;='RETRATO 2027'!$K$5,"CONCLUÍDA",IF(F332&lt;='RETRATO 2027'!$K$5,"EM ANDAMENTO","A INICIAR")))</f>
        <v/>
      </c>
    </row>
    <row r="333">
      <c r="B333" s="4" t="n">
        <v>31528988</v>
      </c>
      <c r="C333" s="4" t="inlineStr">
        <is>
          <t>ESTRUTURA</t>
        </is>
      </c>
      <c r="D333" s="4" t="inlineStr">
        <is>
          <t>Forma</t>
        </is>
      </c>
      <c r="E333" s="4" t="inlineStr">
        <is>
          <t>11º PAV.</t>
        </is>
      </c>
      <c r="F333" s="126" t="n">
        <v>46475</v>
      </c>
      <c r="G333" s="126" t="n">
        <v>46479</v>
      </c>
      <c r="H333" s="126" t="n">
        <v>46289</v>
      </c>
      <c r="I333" s="4" t="n">
        <v>0</v>
      </c>
      <c r="J333" s="4" t="n">
        <v>0</v>
      </c>
      <c r="K333" s="4" t="n">
        <v>0</v>
      </c>
      <c r="M333" s="2">
        <f>IF(C333="","",IFERROR(INDEX($S$5:$S$304,MATCH(C333,$R$5:$R$304,0))&amp;"","?"))</f>
        <v/>
      </c>
      <c r="N333" s="2">
        <f>IF(E333="","",IF(ISNUMBER(SEARCH("SUBSOLO",E333)),IFERROR(-VALUE(LEFT(E333,FIND("º",SUBSTITUTE(E333,"°","º"))-1)),-1),IF(LEFT(E333,6)="TÉRREO",0,IFERROR(VALUE(LEFT(E333,FIND("º",SUBSTITUTE(E333,"°","º"))-1)),""))))</f>
        <v/>
      </c>
      <c r="O333" s="2">
        <f>IF(OR(F333="",G333=""),"",IF(G333&lt;='RETRATO 2027'!$K$5,"CONCLUÍDA",IF(F333&lt;='RETRATO 2027'!$K$5,"EM ANDAMENTO","A INICIAR")))</f>
        <v/>
      </c>
    </row>
    <row r="334">
      <c r="B334" s="4" t="n">
        <v>31528989</v>
      </c>
      <c r="C334" s="4" t="inlineStr">
        <is>
          <t>ESTRUTURA</t>
        </is>
      </c>
      <c r="D334" s="4" t="inlineStr">
        <is>
          <t>Armação</t>
        </is>
      </c>
      <c r="E334" s="4" t="inlineStr">
        <is>
          <t>11º PAV.</t>
        </is>
      </c>
      <c r="F334" s="126" t="n">
        <v>46482</v>
      </c>
      <c r="G334" s="126" t="n">
        <v>46484</v>
      </c>
      <c r="H334" s="126" t="n">
        <v>46289</v>
      </c>
      <c r="I334" s="4" t="n">
        <v>0</v>
      </c>
      <c r="J334" s="4" t="n">
        <v>0</v>
      </c>
      <c r="K334" s="4" t="n">
        <v>0</v>
      </c>
      <c r="M334" s="2">
        <f>IF(C334="","",IFERROR(INDEX($S$5:$S$304,MATCH(C334,$R$5:$R$304,0))&amp;"","?"))</f>
        <v/>
      </c>
      <c r="N334" s="2">
        <f>IF(E334="","",IF(ISNUMBER(SEARCH("SUBSOLO",E334)),IFERROR(-VALUE(LEFT(E334,FIND("º",SUBSTITUTE(E334,"°","º"))-1)),-1),IF(LEFT(E334,6)="TÉRREO",0,IFERROR(VALUE(LEFT(E334,FIND("º",SUBSTITUTE(E334,"°","º"))-1)),""))))</f>
        <v/>
      </c>
      <c r="O334" s="2">
        <f>IF(OR(F334="",G334=""),"",IF(G334&lt;='RETRATO 2027'!$K$5,"CONCLUÍDA",IF(F334&lt;='RETRATO 2027'!$K$5,"EM ANDAMENTO","A INICIAR")))</f>
        <v/>
      </c>
    </row>
    <row r="335">
      <c r="B335" s="4" t="n">
        <v>31528990</v>
      </c>
      <c r="C335" s="4" t="inlineStr">
        <is>
          <t>ESTRUTURA</t>
        </is>
      </c>
      <c r="D335" s="4" t="inlineStr">
        <is>
          <t>Concretagem</t>
        </is>
      </c>
      <c r="E335" s="4" t="inlineStr">
        <is>
          <t>11º PAV.</t>
        </is>
      </c>
      <c r="F335" s="126" t="n">
        <v>46485</v>
      </c>
      <c r="G335" s="126" t="n">
        <v>46485</v>
      </c>
      <c r="H335" s="126" t="n">
        <v>46289</v>
      </c>
      <c r="I335" s="4" t="n">
        <v>0</v>
      </c>
      <c r="J335" s="4" t="n">
        <v>0</v>
      </c>
      <c r="K335" s="4" t="n">
        <v>0</v>
      </c>
      <c r="M335" s="2">
        <f>IF(C335="","",IFERROR(INDEX($S$5:$S$304,MATCH(C335,$R$5:$R$304,0))&amp;"","?"))</f>
        <v/>
      </c>
      <c r="N335" s="2">
        <f>IF(E335="","",IF(ISNUMBER(SEARCH("SUBSOLO",E335)),IFERROR(-VALUE(LEFT(E335,FIND("º",SUBSTITUTE(E335,"°","º"))-1)),-1),IF(LEFT(E335,6)="TÉRREO",0,IFERROR(VALUE(LEFT(E335,FIND("º",SUBSTITUTE(E335,"°","º"))-1)),""))))</f>
        <v/>
      </c>
      <c r="O335" s="2">
        <f>IF(OR(F335="",G335=""),"",IF(G335&lt;='RETRATO 2027'!$K$5,"CONCLUÍDA",IF(F335&lt;='RETRATO 2027'!$K$5,"EM ANDAMENTO","A INICIAR")))</f>
        <v/>
      </c>
    </row>
    <row r="336">
      <c r="B336" s="4" t="n">
        <v>31528991</v>
      </c>
      <c r="C336" s="4" t="inlineStr">
        <is>
          <t>ESTRUTURA</t>
        </is>
      </c>
      <c r="D336" s="4" t="inlineStr">
        <is>
          <t>Polimento</t>
        </is>
      </c>
      <c r="E336" s="4" t="inlineStr">
        <is>
          <t>11º PAV.</t>
        </is>
      </c>
      <c r="F336" s="126" t="n">
        <v>46485</v>
      </c>
      <c r="G336" s="126" t="n">
        <v>46485</v>
      </c>
      <c r="H336" s="126" t="n">
        <v>46289</v>
      </c>
      <c r="I336" s="4" t="n">
        <v>0</v>
      </c>
      <c r="J336" s="4" t="n">
        <v>0</v>
      </c>
      <c r="K336" s="4" t="n">
        <v>0</v>
      </c>
      <c r="M336" s="2">
        <f>IF(C336="","",IFERROR(INDEX($S$5:$S$304,MATCH(C336,$R$5:$R$304,0))&amp;"","?"))</f>
        <v/>
      </c>
      <c r="N336" s="2">
        <f>IF(E336="","",IF(ISNUMBER(SEARCH("SUBSOLO",E336)),IFERROR(-VALUE(LEFT(E336,FIND("º",SUBSTITUTE(E336,"°","º"))-1)),-1),IF(LEFT(E336,6)="TÉRREO",0,IFERROR(VALUE(LEFT(E336,FIND("º",SUBSTITUTE(E336,"°","º"))-1)),""))))</f>
        <v/>
      </c>
      <c r="O336" s="2">
        <f>IF(OR(F336="",G336=""),"",IF(G336&lt;='RETRATO 2027'!$K$5,"CONCLUÍDA",IF(F336&lt;='RETRATO 2027'!$K$5,"EM ANDAMENTO","A INICIAR")))</f>
        <v/>
      </c>
    </row>
    <row r="337">
      <c r="B337" s="4" t="n">
        <v>39887264</v>
      </c>
      <c r="C337" s="4" t="inlineStr">
        <is>
          <t>ESTRUTURA IGREJA</t>
        </is>
      </c>
      <c r="D337" s="4" t="inlineStr">
        <is>
          <t>-</t>
        </is>
      </c>
      <c r="E337" s="4" t="inlineStr">
        <is>
          <t>5º PAV - GARAGEM</t>
        </is>
      </c>
      <c r="F337" s="126" t="n">
        <v>46476</v>
      </c>
      <c r="G337" s="126" t="n">
        <v>46491</v>
      </c>
      <c r="H337" s="126" t="n">
        <v>46289</v>
      </c>
      <c r="I337" s="4" t="n">
        <v>0</v>
      </c>
      <c r="J337" s="4" t="n">
        <v>0</v>
      </c>
      <c r="K337" s="4" t="n">
        <v>0</v>
      </c>
      <c r="M337" s="2">
        <f>IF(C337="","",IFERROR(INDEX($S$5:$S$304,MATCH(C337,$R$5:$R$304,0))&amp;"","?"))</f>
        <v/>
      </c>
      <c r="N337" s="2">
        <f>IF(E337="","",IF(ISNUMBER(SEARCH("SUBSOLO",E337)),IFERROR(-VALUE(LEFT(E337,FIND("º",SUBSTITUTE(E337,"°","º"))-1)),-1),IF(LEFT(E337,6)="TÉRREO",0,IFERROR(VALUE(LEFT(E337,FIND("º",SUBSTITUTE(E337,"°","º"))-1)),""))))</f>
        <v/>
      </c>
      <c r="O337" s="2">
        <f>IF(OR(F337="",G337=""),"",IF(G337&lt;='RETRATO 2027'!$K$5,"CONCLUÍDA",IF(F337&lt;='RETRATO 2027'!$K$5,"EM ANDAMENTO","A INICIAR")))</f>
        <v/>
      </c>
    </row>
    <row r="338">
      <c r="B338" s="4" t="n">
        <v>29981555</v>
      </c>
      <c r="C338" s="4" t="inlineStr">
        <is>
          <t>PRUMADA DE INCÊNDIO</t>
        </is>
      </c>
      <c r="D338" s="4" t="inlineStr">
        <is>
          <t>-</t>
        </is>
      </c>
      <c r="E338" s="4" t="inlineStr">
        <is>
          <t>7º PAV.</t>
        </is>
      </c>
      <c r="F338" s="126" t="n">
        <v>46476</v>
      </c>
      <c r="G338" s="126" t="n">
        <v>46486</v>
      </c>
      <c r="H338" s="126" t="n">
        <v>46289</v>
      </c>
      <c r="I338" s="4" t="n">
        <v>0</v>
      </c>
      <c r="J338" s="4" t="n">
        <v>0</v>
      </c>
      <c r="K338" s="4" t="n">
        <v>0</v>
      </c>
      <c r="M338" s="2">
        <f>IF(C338="","",IFERROR(INDEX($S$5:$S$304,MATCH(C338,$R$5:$R$304,0))&amp;"","?"))</f>
        <v/>
      </c>
      <c r="N338" s="2">
        <f>IF(E338="","",IF(ISNUMBER(SEARCH("SUBSOLO",E338)),IFERROR(-VALUE(LEFT(E338,FIND("º",SUBSTITUTE(E338,"°","º"))-1)),-1),IF(LEFT(E338,6)="TÉRREO",0,IFERROR(VALUE(LEFT(E338,FIND("º",SUBSTITUTE(E338,"°","º"))-1)),""))))</f>
        <v/>
      </c>
      <c r="O338" s="2">
        <f>IF(OR(F338="",G338=""),"",IF(G338&lt;='RETRATO 2027'!$K$5,"CONCLUÍDA",IF(F338&lt;='RETRATO 2027'!$K$5,"EM ANDAMENTO","A INICIAR")))</f>
        <v/>
      </c>
    </row>
    <row r="339">
      <c r="B339" s="4" t="n">
        <v>29981506</v>
      </c>
      <c r="C339" s="4" t="inlineStr">
        <is>
          <t>ALVENARIA</t>
        </is>
      </c>
      <c r="D339" s="4" t="inlineStr">
        <is>
          <t>-</t>
        </is>
      </c>
      <c r="E339" s="4" t="inlineStr">
        <is>
          <t>8º PAV.</t>
        </is>
      </c>
      <c r="F339" s="126" t="n">
        <v>46476</v>
      </c>
      <c r="G339" s="126" t="n">
        <v>46486</v>
      </c>
      <c r="H339" s="126" t="n">
        <v>46289</v>
      </c>
      <c r="I339" s="4" t="n">
        <v>0</v>
      </c>
      <c r="J339" s="4" t="n">
        <v>0</v>
      </c>
      <c r="K339" s="4" t="n">
        <v>0</v>
      </c>
      <c r="M339" s="2">
        <f>IF(C339="","",IFERROR(INDEX($S$5:$S$304,MATCH(C339,$R$5:$R$304,0))&amp;"","?"))</f>
        <v/>
      </c>
      <c r="N339" s="2">
        <f>IF(E339="","",IF(ISNUMBER(SEARCH("SUBSOLO",E339)),IFERROR(-VALUE(LEFT(E339,FIND("º",SUBSTITUTE(E339,"°","º"))-1)),-1),IF(LEFT(E339,6)="TÉRREO",0,IFERROR(VALUE(LEFT(E339,FIND("º",SUBSTITUTE(E339,"°","º"))-1)),""))))</f>
        <v/>
      </c>
      <c r="O339" s="2">
        <f>IF(OR(F339="",G339=""),"",IF(G339&lt;='RETRATO 2027'!$K$5,"CONCLUÍDA",IF(F339&lt;='RETRATO 2027'!$K$5,"EM ANDAMENTO","A INICIAR")))</f>
        <v/>
      </c>
    </row>
    <row r="340">
      <c r="B340" s="4" t="n">
        <v>29981545</v>
      </c>
      <c r="C340" s="4" t="inlineStr">
        <is>
          <t>PRUMADA HIDROSSANITÁRIA</t>
        </is>
      </c>
      <c r="D340" s="4" t="inlineStr">
        <is>
          <t>-</t>
        </is>
      </c>
      <c r="E340" s="4" t="inlineStr">
        <is>
          <t>7º PAV.</t>
        </is>
      </c>
      <c r="F340" s="126" t="n">
        <v>46482</v>
      </c>
      <c r="G340" s="126" t="n">
        <v>46492</v>
      </c>
      <c r="H340" s="126" t="n">
        <v>46289</v>
      </c>
      <c r="I340" s="4" t="n">
        <v>0</v>
      </c>
      <c r="J340" s="4" t="n">
        <v>0</v>
      </c>
      <c r="K340" s="4" t="n">
        <v>0</v>
      </c>
      <c r="M340" s="2">
        <f>IF(C340="","",IFERROR(INDEX($S$5:$S$304,MATCH(C340,$R$5:$R$304,0))&amp;"","?"))</f>
        <v/>
      </c>
      <c r="N340" s="2">
        <f>IF(E340="","",IF(ISNUMBER(SEARCH("SUBSOLO",E340)),IFERROR(-VALUE(LEFT(E340,FIND("º",SUBSTITUTE(E340,"°","º"))-1)),-1),IF(LEFT(E340,6)="TÉRREO",0,IFERROR(VALUE(LEFT(E340,FIND("º",SUBSTITUTE(E340,"°","º"))-1)),""))))</f>
        <v/>
      </c>
      <c r="O340" s="2">
        <f>IF(OR(F340="",G340=""),"",IF(G340&lt;='RETRATO 2027'!$K$5,"CONCLUÍDA",IF(F340&lt;='RETRATO 2027'!$K$5,"EM ANDAMENTO","A INICIAR")))</f>
        <v/>
      </c>
    </row>
    <row r="341">
      <c r="B341" s="4" t="n">
        <v>29981544</v>
      </c>
      <c r="C341" s="4" t="inlineStr">
        <is>
          <t>ENCUNHAMENTO</t>
        </is>
      </c>
      <c r="D341" s="4" t="inlineStr">
        <is>
          <t>-</t>
        </is>
      </c>
      <c r="E341" s="4" t="inlineStr">
        <is>
          <t>7º PAV.</t>
        </is>
      </c>
      <c r="F341" s="126" t="n">
        <v>46484</v>
      </c>
      <c r="G341" s="126" t="n">
        <v>46496</v>
      </c>
      <c r="H341" s="126" t="n">
        <v>46289</v>
      </c>
      <c r="I341" s="4" t="n">
        <v>0</v>
      </c>
      <c r="J341" s="4" t="n">
        <v>0</v>
      </c>
      <c r="K341" s="4" t="n">
        <v>0</v>
      </c>
      <c r="M341" s="2">
        <f>IF(C341="","",IFERROR(INDEX($S$5:$S$304,MATCH(C341,$R$5:$R$304,0))&amp;"","?"))</f>
        <v/>
      </c>
      <c r="N341" s="2">
        <f>IF(E341="","",IF(ISNUMBER(SEARCH("SUBSOLO",E341)),IFERROR(-VALUE(LEFT(E341,FIND("º",SUBSTITUTE(E341,"°","º"))-1)),-1),IF(LEFT(E341,6)="TÉRREO",0,IFERROR(VALUE(LEFT(E341,FIND("º",SUBSTITUTE(E341,"°","º"))-1)),""))))</f>
        <v/>
      </c>
      <c r="O341" s="2">
        <f>IF(OR(F341="",G341=""),"",IF(G341&lt;='RETRATO 2027'!$K$5,"CONCLUÍDA",IF(F341&lt;='RETRATO 2027'!$K$5,"EM ANDAMENTO","A INICIAR")))</f>
        <v/>
      </c>
    </row>
    <row r="342">
      <c r="B342" s="4" t="n">
        <v>35594323</v>
      </c>
      <c r="C342" s="4" t="inlineStr">
        <is>
          <t>ALVENARIA - ISOLAMENTO DE CONTENÇÕES</t>
        </is>
      </c>
      <c r="D342" s="4" t="inlineStr">
        <is>
          <t>-</t>
        </is>
      </c>
      <c r="E342" s="4" t="inlineStr">
        <is>
          <t>SERVIÇOS INICIAIS</t>
        </is>
      </c>
      <c r="F342" s="126" t="n">
        <v>46486</v>
      </c>
      <c r="G342" s="126" t="n">
        <v>46518</v>
      </c>
      <c r="H342" s="126" t="n">
        <v>46289</v>
      </c>
      <c r="I342" s="4" t="n">
        <v>0</v>
      </c>
      <c r="J342" s="4" t="n">
        <v>0</v>
      </c>
      <c r="K342" s="4" t="n">
        <v>0</v>
      </c>
      <c r="M342" s="2">
        <f>IF(C342="","",IFERROR(INDEX($S$5:$S$304,MATCH(C342,$R$5:$R$304,0))&amp;"","?"))</f>
        <v/>
      </c>
      <c r="N342" s="2">
        <f>IF(E342="","",IF(ISNUMBER(SEARCH("SUBSOLO",E342)),IFERROR(-VALUE(LEFT(E342,FIND("º",SUBSTITUTE(E342,"°","º"))-1)),-1),IF(LEFT(E342,6)="TÉRREO",0,IFERROR(VALUE(LEFT(E342,FIND("º",SUBSTITUTE(E342,"°","º"))-1)),""))))</f>
        <v/>
      </c>
      <c r="O342" s="2">
        <f>IF(OR(F342="",G342=""),"",IF(G342&lt;='RETRATO 2027'!$K$5,"CONCLUÍDA",IF(F342&lt;='RETRATO 2027'!$K$5,"EM ANDAMENTO","A INICIAR")))</f>
        <v/>
      </c>
    </row>
    <row r="343">
      <c r="B343" s="4" t="n">
        <v>30171481</v>
      </c>
      <c r="C343" s="4" t="inlineStr">
        <is>
          <t>ALVENARIA</t>
        </is>
      </c>
      <c r="D343" s="4" t="inlineStr">
        <is>
          <t>-</t>
        </is>
      </c>
      <c r="E343" s="4" t="inlineStr">
        <is>
          <t>2º PAV - GARAGEM</t>
        </is>
      </c>
      <c r="F343" s="126" t="n">
        <v>46486</v>
      </c>
      <c r="G343" s="126" t="n">
        <v>46549</v>
      </c>
      <c r="H343" s="126" t="n">
        <v>46289</v>
      </c>
      <c r="I343" s="4" t="n">
        <v>0</v>
      </c>
      <c r="J343" s="4" t="n">
        <v>0</v>
      </c>
      <c r="K343" s="4" t="n">
        <v>0</v>
      </c>
      <c r="M343" s="2">
        <f>IF(C343="","",IFERROR(INDEX($S$5:$S$304,MATCH(C343,$R$5:$R$304,0))&amp;"","?"))</f>
        <v/>
      </c>
      <c r="N343" s="2">
        <f>IF(E343="","",IF(ISNUMBER(SEARCH("SUBSOLO",E343)),IFERROR(-VALUE(LEFT(E343,FIND("º",SUBSTITUTE(E343,"°","º"))-1)),-1),IF(LEFT(E343,6)="TÉRREO",0,IFERROR(VALUE(LEFT(E343,FIND("º",SUBSTITUTE(E343,"°","º"))-1)),""))))</f>
        <v/>
      </c>
      <c r="O343" s="2">
        <f>IF(OR(F343="",G343=""),"",IF(G343&lt;='RETRATO 2027'!$K$5,"CONCLUÍDA",IF(F343&lt;='RETRATO 2027'!$K$5,"EM ANDAMENTO","A INICIAR")))</f>
        <v/>
      </c>
    </row>
    <row r="344">
      <c r="B344" s="4" t="n">
        <v>30171465</v>
      </c>
      <c r="C344" s="4" t="inlineStr">
        <is>
          <t>INFRA ELÉTRICA - TETO</t>
        </is>
      </c>
      <c r="D344" s="4" t="inlineStr">
        <is>
          <t>-</t>
        </is>
      </c>
      <c r="E344" s="4" t="inlineStr">
        <is>
          <t>3º PAV - GARAGEM</t>
        </is>
      </c>
      <c r="F344" s="126" t="n">
        <v>46486</v>
      </c>
      <c r="G344" s="126" t="n">
        <v>46549</v>
      </c>
      <c r="H344" s="126" t="n">
        <v>46289</v>
      </c>
      <c r="I344" s="4" t="n">
        <v>0</v>
      </c>
      <c r="J344" s="4" t="n">
        <v>0</v>
      </c>
      <c r="K344" s="4" t="n">
        <v>0</v>
      </c>
      <c r="M344" s="2">
        <f>IF(C344="","",IFERROR(INDEX($S$5:$S$304,MATCH(C344,$R$5:$R$304,0))&amp;"","?"))</f>
        <v/>
      </c>
      <c r="N344" s="2">
        <f>IF(E344="","",IF(ISNUMBER(SEARCH("SUBSOLO",E344)),IFERROR(-VALUE(LEFT(E344,FIND("º",SUBSTITUTE(E344,"°","º"))-1)),-1),IF(LEFT(E344,6)="TÉRREO",0,IFERROR(VALUE(LEFT(E344,FIND("º",SUBSTITUTE(E344,"°","º"))-1)),""))))</f>
        <v/>
      </c>
      <c r="O344" s="2">
        <f>IF(OR(F344="",G344=""),"",IF(G344&lt;='RETRATO 2027'!$K$5,"CONCLUÍDA",IF(F344&lt;='RETRATO 2027'!$K$5,"EM ANDAMENTO","A INICIAR")))</f>
        <v/>
      </c>
    </row>
    <row r="345">
      <c r="B345" s="4" t="n">
        <v>30171408</v>
      </c>
      <c r="C345" s="4" t="inlineStr">
        <is>
          <t>TRATAMENTO DE CONCRETO - TETO</t>
        </is>
      </c>
      <c r="D345" s="4" t="inlineStr">
        <is>
          <t>-</t>
        </is>
      </c>
      <c r="E345" s="4" t="inlineStr">
        <is>
          <t>5º PAV - GARAGEM</t>
        </is>
      </c>
      <c r="F345" s="126" t="n">
        <v>46486</v>
      </c>
      <c r="G345" s="126" t="n">
        <v>46517</v>
      </c>
      <c r="H345" s="126" t="n">
        <v>46289</v>
      </c>
      <c r="I345" s="4" t="n">
        <v>0</v>
      </c>
      <c r="J345" s="4" t="n">
        <v>0</v>
      </c>
      <c r="K345" s="4" t="n">
        <v>0</v>
      </c>
      <c r="M345" s="2">
        <f>IF(C345="","",IFERROR(INDEX($S$5:$S$304,MATCH(C345,$R$5:$R$304,0))&amp;"","?"))</f>
        <v/>
      </c>
      <c r="N345" s="2">
        <f>IF(E345="","",IF(ISNUMBER(SEARCH("SUBSOLO",E345)),IFERROR(-VALUE(LEFT(E345,FIND("º",SUBSTITUTE(E345,"°","º"))-1)),-1),IF(LEFT(E345,6)="TÉRREO",0,IFERROR(VALUE(LEFT(E345,FIND("º",SUBSTITUTE(E345,"°","º"))-1)),""))))</f>
        <v/>
      </c>
      <c r="O345" s="2">
        <f>IF(OR(F345="",G345=""),"",IF(G345&lt;='RETRATO 2027'!$K$5,"CONCLUÍDA",IF(F345&lt;='RETRATO 2027'!$K$5,"EM ANDAMENTO","A INICIAR")))</f>
        <v/>
      </c>
    </row>
    <row r="346">
      <c r="B346" s="4" t="n">
        <v>29940952</v>
      </c>
      <c r="C346" s="4" t="inlineStr">
        <is>
          <t>ESTRUTURA</t>
        </is>
      </c>
      <c r="D346" s="4" t="inlineStr">
        <is>
          <t>-</t>
        </is>
      </c>
      <c r="E346" s="4" t="inlineStr">
        <is>
          <t>12º PAV.</t>
        </is>
      </c>
      <c r="F346" s="126" t="n">
        <v>46486</v>
      </c>
      <c r="G346" s="126" t="n">
        <v>46497</v>
      </c>
      <c r="H346" s="126" t="n">
        <v>46289</v>
      </c>
      <c r="I346" s="4" t="n">
        <v>0</v>
      </c>
      <c r="J346" s="4" t="n">
        <v>0</v>
      </c>
      <c r="K346" s="4" t="n">
        <v>0</v>
      </c>
      <c r="M346" s="2">
        <f>IF(C346="","",IFERROR(INDEX($S$5:$S$304,MATCH(C346,$R$5:$R$304,0))&amp;"","?"))</f>
        <v/>
      </c>
      <c r="N346" s="2">
        <f>IF(E346="","",IF(ISNUMBER(SEARCH("SUBSOLO",E346)),IFERROR(-VALUE(LEFT(E346,FIND("º",SUBSTITUTE(E346,"°","º"))-1)),-1),IF(LEFT(E346,6)="TÉRREO",0,IFERROR(VALUE(LEFT(E346,FIND("º",SUBSTITUTE(E346,"°","º"))-1)),""))))</f>
        <v/>
      </c>
      <c r="O346" s="2">
        <f>IF(OR(F346="",G346=""),"",IF(G346&lt;='RETRATO 2027'!$K$5,"CONCLUÍDA",IF(F346&lt;='RETRATO 2027'!$K$5,"EM ANDAMENTO","A INICIAR")))</f>
        <v/>
      </c>
    </row>
    <row r="347">
      <c r="B347" s="4" t="n">
        <v>31528996</v>
      </c>
      <c r="C347" s="4" t="inlineStr">
        <is>
          <t>ESTRUTURA</t>
        </is>
      </c>
      <c r="D347" s="4" t="inlineStr">
        <is>
          <t>Forma</t>
        </is>
      </c>
      <c r="E347" s="4" t="inlineStr">
        <is>
          <t>12º PAV.</t>
        </is>
      </c>
      <c r="F347" s="126" t="n">
        <v>46486</v>
      </c>
      <c r="G347" s="126" t="n">
        <v>46491</v>
      </c>
      <c r="H347" s="126" t="n">
        <v>46289</v>
      </c>
      <c r="I347" s="4" t="n">
        <v>0</v>
      </c>
      <c r="J347" s="4" t="n">
        <v>0</v>
      </c>
      <c r="K347" s="4" t="n">
        <v>0</v>
      </c>
      <c r="M347" s="2">
        <f>IF(C347="","",IFERROR(INDEX($S$5:$S$304,MATCH(C347,$R$5:$R$304,0))&amp;"","?"))</f>
        <v/>
      </c>
      <c r="N347" s="2">
        <f>IF(E347="","",IF(ISNUMBER(SEARCH("SUBSOLO",E347)),IFERROR(-VALUE(LEFT(E347,FIND("º",SUBSTITUTE(E347,"°","º"))-1)),-1),IF(LEFT(E347,6)="TÉRREO",0,IFERROR(VALUE(LEFT(E347,FIND("º",SUBSTITUTE(E347,"°","º"))-1)),""))))</f>
        <v/>
      </c>
      <c r="O347" s="2">
        <f>IF(OR(F347="",G347=""),"",IF(G347&lt;='RETRATO 2027'!$K$5,"CONCLUÍDA",IF(F347&lt;='RETRATO 2027'!$K$5,"EM ANDAMENTO","A INICIAR")))</f>
        <v/>
      </c>
    </row>
    <row r="348">
      <c r="B348" s="4" t="n">
        <v>31528997</v>
      </c>
      <c r="C348" s="4" t="inlineStr">
        <is>
          <t>ESTRUTURA</t>
        </is>
      </c>
      <c r="D348" s="4" t="inlineStr">
        <is>
          <t>Armação</t>
        </is>
      </c>
      <c r="E348" s="4" t="inlineStr">
        <is>
          <t>12º PAV.</t>
        </is>
      </c>
      <c r="F348" s="126" t="n">
        <v>46492</v>
      </c>
      <c r="G348" s="126" t="n">
        <v>46496</v>
      </c>
      <c r="H348" s="126" t="n">
        <v>46289</v>
      </c>
      <c r="I348" s="4" t="n">
        <v>0</v>
      </c>
      <c r="J348" s="4" t="n">
        <v>0</v>
      </c>
      <c r="K348" s="4" t="n">
        <v>0</v>
      </c>
      <c r="M348" s="2">
        <f>IF(C348="","",IFERROR(INDEX($S$5:$S$304,MATCH(C348,$R$5:$R$304,0))&amp;"","?"))</f>
        <v/>
      </c>
      <c r="N348" s="2">
        <f>IF(E348="","",IF(ISNUMBER(SEARCH("SUBSOLO",E348)),IFERROR(-VALUE(LEFT(E348,FIND("º",SUBSTITUTE(E348,"°","º"))-1)),-1),IF(LEFT(E348,6)="TÉRREO",0,IFERROR(VALUE(LEFT(E348,FIND("º",SUBSTITUTE(E348,"°","º"))-1)),""))))</f>
        <v/>
      </c>
      <c r="O348" s="2">
        <f>IF(OR(F348="",G348=""),"",IF(G348&lt;='RETRATO 2027'!$K$5,"CONCLUÍDA",IF(F348&lt;='RETRATO 2027'!$K$5,"EM ANDAMENTO","A INICIAR")))</f>
        <v/>
      </c>
    </row>
    <row r="349">
      <c r="B349" s="4" t="n">
        <v>31528998</v>
      </c>
      <c r="C349" s="4" t="inlineStr">
        <is>
          <t>ESTRUTURA</t>
        </is>
      </c>
      <c r="D349" s="4" t="inlineStr">
        <is>
          <t>Concretagem</t>
        </is>
      </c>
      <c r="E349" s="4" t="inlineStr">
        <is>
          <t>12º PAV.</t>
        </is>
      </c>
      <c r="F349" s="126" t="n">
        <v>46497</v>
      </c>
      <c r="G349" s="126" t="n">
        <v>46497</v>
      </c>
      <c r="H349" s="126" t="n">
        <v>46289</v>
      </c>
      <c r="I349" s="4" t="n">
        <v>0</v>
      </c>
      <c r="J349" s="4" t="n">
        <v>0</v>
      </c>
      <c r="K349" s="4" t="n">
        <v>0</v>
      </c>
      <c r="M349" s="2">
        <f>IF(C349="","",IFERROR(INDEX($S$5:$S$304,MATCH(C349,$R$5:$R$304,0))&amp;"","?"))</f>
        <v/>
      </c>
      <c r="N349" s="2">
        <f>IF(E349="","",IF(ISNUMBER(SEARCH("SUBSOLO",E349)),IFERROR(-VALUE(LEFT(E349,FIND("º",SUBSTITUTE(E349,"°","º"))-1)),-1),IF(LEFT(E349,6)="TÉRREO",0,IFERROR(VALUE(LEFT(E349,FIND("º",SUBSTITUTE(E349,"°","º"))-1)),""))))</f>
        <v/>
      </c>
      <c r="O349" s="2">
        <f>IF(OR(F349="",G349=""),"",IF(G349&lt;='RETRATO 2027'!$K$5,"CONCLUÍDA",IF(F349&lt;='RETRATO 2027'!$K$5,"EM ANDAMENTO","A INICIAR")))</f>
        <v/>
      </c>
    </row>
    <row r="350">
      <c r="B350" s="4" t="n">
        <v>31528999</v>
      </c>
      <c r="C350" s="4" t="inlineStr">
        <is>
          <t>ESTRUTURA</t>
        </is>
      </c>
      <c r="D350" s="4" t="inlineStr">
        <is>
          <t>Polimento</t>
        </is>
      </c>
      <c r="E350" s="4" t="inlineStr">
        <is>
          <t>12º PAV.</t>
        </is>
      </c>
      <c r="F350" s="126" t="n">
        <v>46497</v>
      </c>
      <c r="G350" s="126" t="n">
        <v>46497</v>
      </c>
      <c r="H350" s="126" t="n">
        <v>46289</v>
      </c>
      <c r="I350" s="4" t="n">
        <v>0</v>
      </c>
      <c r="J350" s="4" t="n">
        <v>0</v>
      </c>
      <c r="K350" s="4" t="n">
        <v>0</v>
      </c>
      <c r="M350" s="2">
        <f>IF(C350="","",IFERROR(INDEX($S$5:$S$304,MATCH(C350,$R$5:$R$304,0))&amp;"","?"))</f>
        <v/>
      </c>
      <c r="N350" s="2">
        <f>IF(E350="","",IF(ISNUMBER(SEARCH("SUBSOLO",E350)),IFERROR(-VALUE(LEFT(E350,FIND("º",SUBSTITUTE(E350,"°","º"))-1)),-1),IF(LEFT(E350,6)="TÉRREO",0,IFERROR(VALUE(LEFT(E350,FIND("º",SUBSTITUTE(E350,"°","º"))-1)),""))))</f>
        <v/>
      </c>
      <c r="O350" s="2">
        <f>IF(OR(F350="",G350=""),"",IF(G350&lt;='RETRATO 2027'!$K$5,"CONCLUÍDA",IF(F350&lt;='RETRATO 2027'!$K$5,"EM ANDAMENTO","A INICIAR")))</f>
        <v/>
      </c>
    </row>
    <row r="351">
      <c r="B351" s="4" t="n">
        <v>29981518</v>
      </c>
      <c r="C351" s="4" t="inlineStr">
        <is>
          <t>PRUMADA DE INCÊNDIO</t>
        </is>
      </c>
      <c r="D351" s="4" t="inlineStr">
        <is>
          <t>-</t>
        </is>
      </c>
      <c r="E351" s="4" t="inlineStr">
        <is>
          <t>8º PAV.</t>
        </is>
      </c>
      <c r="F351" s="126" t="n">
        <v>46489</v>
      </c>
      <c r="G351" s="126" t="n">
        <v>46500</v>
      </c>
      <c r="H351" s="126" t="n">
        <v>46289</v>
      </c>
      <c r="I351" s="4" t="n">
        <v>0</v>
      </c>
      <c r="J351" s="4" t="n">
        <v>0</v>
      </c>
      <c r="K351" s="4" t="n">
        <v>0</v>
      </c>
      <c r="M351" s="2">
        <f>IF(C351="","",IFERROR(INDEX($S$5:$S$304,MATCH(C351,$R$5:$R$304,0))&amp;"","?"))</f>
        <v/>
      </c>
      <c r="N351" s="2">
        <f>IF(E351="","",IF(ISNUMBER(SEARCH("SUBSOLO",E351)),IFERROR(-VALUE(LEFT(E351,FIND("º",SUBSTITUTE(E351,"°","º"))-1)),-1),IF(LEFT(E351,6)="TÉRREO",0,IFERROR(VALUE(LEFT(E351,FIND("º",SUBSTITUTE(E351,"°","º"))-1)),""))))</f>
        <v/>
      </c>
      <c r="O351" s="2">
        <f>IF(OR(F351="",G351=""),"",IF(G351&lt;='RETRATO 2027'!$K$5,"CONCLUÍDA",IF(F351&lt;='RETRATO 2027'!$K$5,"EM ANDAMENTO","A INICIAR")))</f>
        <v/>
      </c>
    </row>
    <row r="352">
      <c r="B352" s="4" t="n">
        <v>29981469</v>
      </c>
      <c r="C352" s="4" t="inlineStr">
        <is>
          <t>ALVENARIA</t>
        </is>
      </c>
      <c r="D352" s="4" t="inlineStr">
        <is>
          <t>-</t>
        </is>
      </c>
      <c r="E352" s="4" t="inlineStr">
        <is>
          <t>9º PAV.</t>
        </is>
      </c>
      <c r="F352" s="126" t="n">
        <v>46489</v>
      </c>
      <c r="G352" s="126" t="n">
        <v>46500</v>
      </c>
      <c r="H352" s="126" t="n">
        <v>46289</v>
      </c>
      <c r="I352" s="4" t="n">
        <v>0</v>
      </c>
      <c r="J352" s="4" t="n">
        <v>0</v>
      </c>
      <c r="K352" s="4" t="n">
        <v>0</v>
      </c>
      <c r="M352" s="2">
        <f>IF(C352="","",IFERROR(INDEX($S$5:$S$304,MATCH(C352,$R$5:$R$304,0))&amp;"","?"))</f>
        <v/>
      </c>
      <c r="N352" s="2">
        <f>IF(E352="","",IF(ISNUMBER(SEARCH("SUBSOLO",E352)),IFERROR(-VALUE(LEFT(E352,FIND("º",SUBSTITUTE(E352,"°","º"))-1)),-1),IF(LEFT(E352,6)="TÉRREO",0,IFERROR(VALUE(LEFT(E352,FIND("º",SUBSTITUTE(E352,"°","º"))-1)),""))))</f>
        <v/>
      </c>
      <c r="O352" s="2">
        <f>IF(OR(F352="",G352=""),"",IF(G352&lt;='RETRATO 2027'!$K$5,"CONCLUÍDA",IF(F352&lt;='RETRATO 2027'!$K$5,"EM ANDAMENTO","A INICIAR")))</f>
        <v/>
      </c>
    </row>
    <row r="353">
      <c r="B353" s="4" t="n">
        <v>39887265</v>
      </c>
      <c r="C353" s="4" t="inlineStr">
        <is>
          <t>ESTRUTURA IGREJA</t>
        </is>
      </c>
      <c r="D353" s="4" t="inlineStr">
        <is>
          <t>-</t>
        </is>
      </c>
      <c r="E353" s="4" t="inlineStr">
        <is>
          <t>6º PAV - PILOTIS</t>
        </is>
      </c>
      <c r="F353" s="126" t="n">
        <v>46492</v>
      </c>
      <c r="G353" s="126" t="n">
        <v>46510</v>
      </c>
      <c r="H353" s="126" t="n">
        <v>46289</v>
      </c>
      <c r="I353" s="4" t="n">
        <v>0</v>
      </c>
      <c r="J353" s="4" t="n">
        <v>0</v>
      </c>
      <c r="K353" s="4" t="n">
        <v>0</v>
      </c>
      <c r="M353" s="2">
        <f>IF(C353="","",IFERROR(INDEX($S$5:$S$304,MATCH(C353,$R$5:$R$304,0))&amp;"","?"))</f>
        <v/>
      </c>
      <c r="N353" s="2">
        <f>IF(E353="","",IF(ISNUMBER(SEARCH("SUBSOLO",E353)),IFERROR(-VALUE(LEFT(E353,FIND("º",SUBSTITUTE(E353,"°","º"))-1)),-1),IF(LEFT(E353,6)="TÉRREO",0,IFERROR(VALUE(LEFT(E353,FIND("º",SUBSTITUTE(E353,"°","º"))-1)),""))))</f>
        <v/>
      </c>
      <c r="O353" s="2">
        <f>IF(OR(F353="",G353=""),"",IF(G353&lt;='RETRATO 2027'!$K$5,"CONCLUÍDA",IF(F353&lt;='RETRATO 2027'!$K$5,"EM ANDAMENTO","A INICIAR")))</f>
        <v/>
      </c>
    </row>
    <row r="354">
      <c r="B354" s="4" t="n">
        <v>29981542</v>
      </c>
      <c r="C354" s="4" t="inlineStr">
        <is>
          <t>TALISCAMENTO</t>
        </is>
      </c>
      <c r="D354" s="4" t="inlineStr">
        <is>
          <t>-</t>
        </is>
      </c>
      <c r="E354" s="4" t="inlineStr">
        <is>
          <t>7º PAV.</t>
        </is>
      </c>
      <c r="F354" s="126" t="n">
        <v>46493</v>
      </c>
      <c r="G354" s="126" t="n">
        <v>46506</v>
      </c>
      <c r="H354" s="126" t="n">
        <v>46289</v>
      </c>
      <c r="I354" s="4" t="n">
        <v>0</v>
      </c>
      <c r="J354" s="4" t="n">
        <v>0</v>
      </c>
      <c r="K354" s="4" t="n">
        <v>0</v>
      </c>
      <c r="M354" s="2">
        <f>IF(C354="","",IFERROR(INDEX($S$5:$S$304,MATCH(C354,$R$5:$R$304,0))&amp;"","?"))</f>
        <v/>
      </c>
      <c r="N354" s="2">
        <f>IF(E354="","",IF(ISNUMBER(SEARCH("SUBSOLO",E354)),IFERROR(-VALUE(LEFT(E354,FIND("º",SUBSTITUTE(E354,"°","º"))-1)),-1),IF(LEFT(E354,6)="TÉRREO",0,IFERROR(VALUE(LEFT(E354,FIND("º",SUBSTITUTE(E354,"°","º"))-1)),""))))</f>
        <v/>
      </c>
      <c r="O354" s="2">
        <f>IF(OR(F354="",G354=""),"",IF(G354&lt;='RETRATO 2027'!$K$5,"CONCLUÍDA",IF(F354&lt;='RETRATO 2027'!$K$5,"EM ANDAMENTO","A INICIAR")))</f>
        <v/>
      </c>
    </row>
    <row r="355">
      <c r="B355" s="4" t="n">
        <v>29981508</v>
      </c>
      <c r="C355" s="4" t="inlineStr">
        <is>
          <t>PRUMADA HIDROSSANITÁRIA</t>
        </is>
      </c>
      <c r="D355" s="4" t="inlineStr">
        <is>
          <t>-</t>
        </is>
      </c>
      <c r="E355" s="4" t="inlineStr">
        <is>
          <t>8º PAV.</t>
        </is>
      </c>
      <c r="F355" s="126" t="n">
        <v>46493</v>
      </c>
      <c r="G355" s="126" t="n">
        <v>46506</v>
      </c>
      <c r="H355" s="126" t="n">
        <v>46289</v>
      </c>
      <c r="I355" s="4" t="n">
        <v>0</v>
      </c>
      <c r="J355" s="4" t="n">
        <v>0</v>
      </c>
      <c r="K355" s="4" t="n">
        <v>0</v>
      </c>
      <c r="M355" s="2">
        <f>IF(C355="","",IFERROR(INDEX($S$5:$S$304,MATCH(C355,$R$5:$R$304,0))&amp;"","?"))</f>
        <v/>
      </c>
      <c r="N355" s="2">
        <f>IF(E355="","",IF(ISNUMBER(SEARCH("SUBSOLO",E355)),IFERROR(-VALUE(LEFT(E355,FIND("º",SUBSTITUTE(E355,"°","º"))-1)),-1),IF(LEFT(E355,6)="TÉRREO",0,IFERROR(VALUE(LEFT(E355,FIND("º",SUBSTITUTE(E355,"°","º"))-1)),""))))</f>
        <v/>
      </c>
      <c r="O355" s="2">
        <f>IF(OR(F355="",G355=""),"",IF(G355&lt;='RETRATO 2027'!$K$5,"CONCLUÍDA",IF(F355&lt;='RETRATO 2027'!$K$5,"EM ANDAMENTO","A INICIAR")))</f>
        <v/>
      </c>
    </row>
    <row r="356">
      <c r="B356" s="4" t="n">
        <v>29981507</v>
      </c>
      <c r="C356" s="4" t="inlineStr">
        <is>
          <t>ENCUNHAMENTO</t>
        </is>
      </c>
      <c r="D356" s="4" t="inlineStr">
        <is>
          <t>-</t>
        </is>
      </c>
      <c r="E356" s="4" t="inlineStr">
        <is>
          <t>8º PAV.</t>
        </is>
      </c>
      <c r="F356" s="126" t="n">
        <v>46497</v>
      </c>
      <c r="G356" s="126" t="n">
        <v>46510</v>
      </c>
      <c r="H356" s="126" t="n">
        <v>46289</v>
      </c>
      <c r="I356" s="4" t="n">
        <v>0</v>
      </c>
      <c r="J356" s="4" t="n">
        <v>0</v>
      </c>
      <c r="K356" s="4" t="n">
        <v>0</v>
      </c>
      <c r="M356" s="2">
        <f>IF(C356="","",IFERROR(INDEX($S$5:$S$304,MATCH(C356,$R$5:$R$304,0))&amp;"","?"))</f>
        <v/>
      </c>
      <c r="N356" s="2">
        <f>IF(E356="","",IF(ISNUMBER(SEARCH("SUBSOLO",E356)),IFERROR(-VALUE(LEFT(E356,FIND("º",SUBSTITUTE(E356,"°","º"))-1)),-1),IF(LEFT(E356,6)="TÉRREO",0,IFERROR(VALUE(LEFT(E356,FIND("º",SUBSTITUTE(E356,"°","º"))-1)),""))))</f>
        <v/>
      </c>
      <c r="O356" s="2">
        <f>IF(OR(F356="",G356=""),"",IF(G356&lt;='RETRATO 2027'!$K$5,"CONCLUÍDA",IF(F356&lt;='RETRATO 2027'!$K$5,"EM ANDAMENTO","A INICIAR")))</f>
        <v/>
      </c>
    </row>
    <row r="357">
      <c r="B357" s="4" t="n">
        <v>29940953</v>
      </c>
      <c r="C357" s="4" t="inlineStr">
        <is>
          <t>ESTRUTURA</t>
        </is>
      </c>
      <c r="D357" s="4" t="inlineStr">
        <is>
          <t>-</t>
        </is>
      </c>
      <c r="E357" s="4" t="inlineStr">
        <is>
          <t>13º PAV.</t>
        </is>
      </c>
      <c r="F357" s="126" t="n">
        <v>46499</v>
      </c>
      <c r="G357" s="126" t="n">
        <v>46510</v>
      </c>
      <c r="H357" s="126" t="n">
        <v>46289</v>
      </c>
      <c r="I357" s="4" t="n">
        <v>0</v>
      </c>
      <c r="J357" s="4" t="n">
        <v>0</v>
      </c>
      <c r="K357" s="4" t="n">
        <v>0</v>
      </c>
      <c r="M357" s="2">
        <f>IF(C357="","",IFERROR(INDEX($S$5:$S$304,MATCH(C357,$R$5:$R$304,0))&amp;"","?"))</f>
        <v/>
      </c>
      <c r="N357" s="2">
        <f>IF(E357="","",IF(ISNUMBER(SEARCH("SUBSOLO",E357)),IFERROR(-VALUE(LEFT(E357,FIND("º",SUBSTITUTE(E357,"°","º"))-1)),-1),IF(LEFT(E357,6)="TÉRREO",0,IFERROR(VALUE(LEFT(E357,FIND("º",SUBSTITUTE(E357,"°","º"))-1)),""))))</f>
        <v/>
      </c>
      <c r="O357" s="2">
        <f>IF(OR(F357="",G357=""),"",IF(G357&lt;='RETRATO 2027'!$K$5,"CONCLUÍDA",IF(F357&lt;='RETRATO 2027'!$K$5,"EM ANDAMENTO","A INICIAR")))</f>
        <v/>
      </c>
    </row>
    <row r="358">
      <c r="B358" s="4" t="n">
        <v>31529000</v>
      </c>
      <c r="C358" s="4" t="inlineStr">
        <is>
          <t>ESTRUTURA</t>
        </is>
      </c>
      <c r="D358" s="4" t="inlineStr">
        <is>
          <t>Forma</t>
        </is>
      </c>
      <c r="E358" s="4" t="inlineStr">
        <is>
          <t>13º PAV.</t>
        </is>
      </c>
      <c r="F358" s="126" t="n">
        <v>46499</v>
      </c>
      <c r="G358" s="126" t="n">
        <v>46504</v>
      </c>
      <c r="H358" s="126" t="n">
        <v>46289</v>
      </c>
      <c r="I358" s="4" t="n">
        <v>0</v>
      </c>
      <c r="J358" s="4" t="n">
        <v>0</v>
      </c>
      <c r="K358" s="4" t="n">
        <v>0</v>
      </c>
      <c r="M358" s="2">
        <f>IF(C358="","",IFERROR(INDEX($S$5:$S$304,MATCH(C358,$R$5:$R$304,0))&amp;"","?"))</f>
        <v/>
      </c>
      <c r="N358" s="2">
        <f>IF(E358="","",IF(ISNUMBER(SEARCH("SUBSOLO",E358)),IFERROR(-VALUE(LEFT(E358,FIND("º",SUBSTITUTE(E358,"°","º"))-1)),-1),IF(LEFT(E358,6)="TÉRREO",0,IFERROR(VALUE(LEFT(E358,FIND("º",SUBSTITUTE(E358,"°","º"))-1)),""))))</f>
        <v/>
      </c>
      <c r="O358" s="2">
        <f>IF(OR(F358="",G358=""),"",IF(G358&lt;='RETRATO 2027'!$K$5,"CONCLUÍDA",IF(F358&lt;='RETRATO 2027'!$K$5,"EM ANDAMENTO","A INICIAR")))</f>
        <v/>
      </c>
    </row>
    <row r="359">
      <c r="B359" s="4" t="n">
        <v>31529001</v>
      </c>
      <c r="C359" s="4" t="inlineStr">
        <is>
          <t>ESTRUTURA</t>
        </is>
      </c>
      <c r="D359" s="4" t="inlineStr">
        <is>
          <t>Armação</t>
        </is>
      </c>
      <c r="E359" s="4" t="inlineStr">
        <is>
          <t>13º PAV.</t>
        </is>
      </c>
      <c r="F359" s="126" t="n">
        <v>46505</v>
      </c>
      <c r="G359" s="126" t="n">
        <v>46507</v>
      </c>
      <c r="H359" s="126" t="n">
        <v>46289</v>
      </c>
      <c r="I359" s="4" t="n">
        <v>0</v>
      </c>
      <c r="J359" s="4" t="n">
        <v>0</v>
      </c>
      <c r="K359" s="4" t="n">
        <v>0</v>
      </c>
      <c r="M359" s="2">
        <f>IF(C359="","",IFERROR(INDEX($S$5:$S$304,MATCH(C359,$R$5:$R$304,0))&amp;"","?"))</f>
        <v/>
      </c>
      <c r="N359" s="2">
        <f>IF(E359="","",IF(ISNUMBER(SEARCH("SUBSOLO",E359)),IFERROR(-VALUE(LEFT(E359,FIND("º",SUBSTITUTE(E359,"°","º"))-1)),-1),IF(LEFT(E359,6)="TÉRREO",0,IFERROR(VALUE(LEFT(E359,FIND("º",SUBSTITUTE(E359,"°","º"))-1)),""))))</f>
        <v/>
      </c>
      <c r="O359" s="2">
        <f>IF(OR(F359="",G359=""),"",IF(G359&lt;='RETRATO 2027'!$K$5,"CONCLUÍDA",IF(F359&lt;='RETRATO 2027'!$K$5,"EM ANDAMENTO","A INICIAR")))</f>
        <v/>
      </c>
    </row>
    <row r="360">
      <c r="B360" s="4" t="n">
        <v>31529002</v>
      </c>
      <c r="C360" s="4" t="inlineStr">
        <is>
          <t>ESTRUTURA</t>
        </is>
      </c>
      <c r="D360" s="4" t="inlineStr">
        <is>
          <t>Concretagem</t>
        </is>
      </c>
      <c r="E360" s="4" t="inlineStr">
        <is>
          <t>13º PAV.</t>
        </is>
      </c>
      <c r="F360" s="126" t="n">
        <v>46510</v>
      </c>
      <c r="G360" s="126" t="n">
        <v>46510</v>
      </c>
      <c r="H360" s="126" t="n">
        <v>46289</v>
      </c>
      <c r="I360" s="4" t="n">
        <v>0</v>
      </c>
      <c r="J360" s="4" t="n">
        <v>0</v>
      </c>
      <c r="K360" s="4" t="n">
        <v>0</v>
      </c>
      <c r="M360" s="2">
        <f>IF(C360="","",IFERROR(INDEX($S$5:$S$304,MATCH(C360,$R$5:$R$304,0))&amp;"","?"))</f>
        <v/>
      </c>
      <c r="N360" s="2">
        <f>IF(E360="","",IF(ISNUMBER(SEARCH("SUBSOLO",E360)),IFERROR(-VALUE(LEFT(E360,FIND("º",SUBSTITUTE(E360,"°","º"))-1)),-1),IF(LEFT(E360,6)="TÉRREO",0,IFERROR(VALUE(LEFT(E360,FIND("º",SUBSTITUTE(E360,"°","º"))-1)),""))))</f>
        <v/>
      </c>
      <c r="O360" s="2">
        <f>IF(OR(F360="",G360=""),"",IF(G360&lt;='RETRATO 2027'!$K$5,"CONCLUÍDA",IF(F360&lt;='RETRATO 2027'!$K$5,"EM ANDAMENTO","A INICIAR")))</f>
        <v/>
      </c>
    </row>
    <row r="361">
      <c r="B361" s="4" t="n">
        <v>31529003</v>
      </c>
      <c r="C361" s="4" t="inlineStr">
        <is>
          <t>ESTRUTURA</t>
        </is>
      </c>
      <c r="D361" s="4" t="inlineStr">
        <is>
          <t>Polimento</t>
        </is>
      </c>
      <c r="E361" s="4" t="inlineStr">
        <is>
          <t>13º PAV.</t>
        </is>
      </c>
      <c r="F361" s="126" t="n">
        <v>46510</v>
      </c>
      <c r="G361" s="126" t="n">
        <v>46510</v>
      </c>
      <c r="H361" s="126" t="n">
        <v>46289</v>
      </c>
      <c r="I361" s="4" t="n">
        <v>0</v>
      </c>
      <c r="J361" s="4" t="n">
        <v>0</v>
      </c>
      <c r="K361" s="4" t="n">
        <v>0</v>
      </c>
      <c r="M361" s="2">
        <f>IF(C361="","",IFERROR(INDEX($S$5:$S$304,MATCH(C361,$R$5:$R$304,0))&amp;"","?"))</f>
        <v/>
      </c>
      <c r="N361" s="2">
        <f>IF(E361="","",IF(ISNUMBER(SEARCH("SUBSOLO",E361)),IFERROR(-VALUE(LEFT(E361,FIND("º",SUBSTITUTE(E361,"°","º"))-1)),-1),IF(LEFT(E361,6)="TÉRREO",0,IFERROR(VALUE(LEFT(E361,FIND("º",SUBSTITUTE(E361,"°","º"))-1)),""))))</f>
        <v/>
      </c>
      <c r="O361" s="2">
        <f>IF(OR(F361="",G361=""),"",IF(G361&lt;='RETRATO 2027'!$K$5,"CONCLUÍDA",IF(F361&lt;='RETRATO 2027'!$K$5,"EM ANDAMENTO","A INICIAR")))</f>
        <v/>
      </c>
    </row>
    <row r="362">
      <c r="B362" s="4" t="n">
        <v>29981481</v>
      </c>
      <c r="C362" s="4" t="inlineStr">
        <is>
          <t>PRUMADA DE INCÊNDIO</t>
        </is>
      </c>
      <c r="D362" s="4" t="inlineStr">
        <is>
          <t>-</t>
        </is>
      </c>
      <c r="E362" s="4" t="inlineStr">
        <is>
          <t>9º PAV.</t>
        </is>
      </c>
      <c r="F362" s="126" t="n">
        <v>46503</v>
      </c>
      <c r="G362" s="126" t="n">
        <v>46513</v>
      </c>
      <c r="H362" s="126" t="n">
        <v>46289</v>
      </c>
      <c r="I362" s="4" t="n">
        <v>0</v>
      </c>
      <c r="J362" s="4" t="n">
        <v>0</v>
      </c>
      <c r="K362" s="4" t="n">
        <v>0</v>
      </c>
      <c r="M362" s="2">
        <f>IF(C362="","",IFERROR(INDEX($S$5:$S$304,MATCH(C362,$R$5:$R$304,0))&amp;"","?"))</f>
        <v/>
      </c>
      <c r="N362" s="2">
        <f>IF(E362="","",IF(ISNUMBER(SEARCH("SUBSOLO",E362)),IFERROR(-VALUE(LEFT(E362,FIND("º",SUBSTITUTE(E362,"°","º"))-1)),-1),IF(LEFT(E362,6)="TÉRREO",0,IFERROR(VALUE(LEFT(E362,FIND("º",SUBSTITUTE(E362,"°","º"))-1)),""))))</f>
        <v/>
      </c>
      <c r="O362" s="2">
        <f>IF(OR(F362="",G362=""),"",IF(G362&lt;='RETRATO 2027'!$K$5,"CONCLUÍDA",IF(F362&lt;='RETRATO 2027'!$K$5,"EM ANDAMENTO","A INICIAR")))</f>
        <v/>
      </c>
    </row>
    <row r="363">
      <c r="B363" s="4" t="n">
        <v>29981432</v>
      </c>
      <c r="C363" s="4" t="inlineStr">
        <is>
          <t>ALVENARIA</t>
        </is>
      </c>
      <c r="D363" s="4" t="inlineStr">
        <is>
          <t>-</t>
        </is>
      </c>
      <c r="E363" s="4" t="inlineStr">
        <is>
          <t>10º PAV.</t>
        </is>
      </c>
      <c r="F363" s="126" t="n">
        <v>46503</v>
      </c>
      <c r="G363" s="126" t="n">
        <v>46513</v>
      </c>
      <c r="H363" s="126" t="n">
        <v>46289</v>
      </c>
      <c r="I363" s="4" t="n">
        <v>0</v>
      </c>
      <c r="J363" s="4" t="n">
        <v>0</v>
      </c>
      <c r="K363" s="4" t="n">
        <v>0</v>
      </c>
      <c r="M363" s="2">
        <f>IF(C363="","",IFERROR(INDEX($S$5:$S$304,MATCH(C363,$R$5:$R$304,0))&amp;"","?"))</f>
        <v/>
      </c>
      <c r="N363" s="2">
        <f>IF(E363="","",IF(ISNUMBER(SEARCH("SUBSOLO",E363)),IFERROR(-VALUE(LEFT(E363,FIND("º",SUBSTITUTE(E363,"°","º"))-1)),-1),IF(LEFT(E363,6)="TÉRREO",0,IFERROR(VALUE(LEFT(E363,FIND("º",SUBSTITUTE(E363,"°","º"))-1)),""))))</f>
        <v/>
      </c>
      <c r="O363" s="2">
        <f>IF(OR(F363="",G363=""),"",IF(G363&lt;='RETRATO 2027'!$K$5,"CONCLUÍDA",IF(F363&lt;='RETRATO 2027'!$K$5,"EM ANDAMENTO","A INICIAR")))</f>
        <v/>
      </c>
    </row>
    <row r="364">
      <c r="B364" s="4" t="n">
        <v>29981556</v>
      </c>
      <c r="C364" s="4" t="inlineStr">
        <is>
          <t>DISTRIBUIÇÃO HIDROSSANITÁRIA</t>
        </is>
      </c>
      <c r="D364" s="4" t="inlineStr">
        <is>
          <t>-</t>
        </is>
      </c>
      <c r="E364" s="4" t="inlineStr">
        <is>
          <t>7º PAV.</t>
        </is>
      </c>
      <c r="F364" s="126" t="n">
        <v>46507</v>
      </c>
      <c r="G364" s="126" t="n">
        <v>46519</v>
      </c>
      <c r="H364" s="126" t="n">
        <v>46289</v>
      </c>
      <c r="I364" s="4" t="n">
        <v>0</v>
      </c>
      <c r="J364" s="4" t="n">
        <v>0</v>
      </c>
      <c r="K364" s="4" t="n">
        <v>0</v>
      </c>
      <c r="M364" s="2">
        <f>IF(C364="","",IFERROR(INDEX($S$5:$S$304,MATCH(C364,$R$5:$R$304,0))&amp;"","?"))</f>
        <v/>
      </c>
      <c r="N364" s="2">
        <f>IF(E364="","",IF(ISNUMBER(SEARCH("SUBSOLO",E364)),IFERROR(-VALUE(LEFT(E364,FIND("º",SUBSTITUTE(E364,"°","º"))-1)),-1),IF(LEFT(E364,6)="TÉRREO",0,IFERROR(VALUE(LEFT(E364,FIND("º",SUBSTITUTE(E364,"°","º"))-1)),""))))</f>
        <v/>
      </c>
      <c r="O364" s="2">
        <f>IF(OR(F364="",G364=""),"",IF(G364&lt;='RETRATO 2027'!$K$5,"CONCLUÍDA",IF(F364&lt;='RETRATO 2027'!$K$5,"EM ANDAMENTO","A INICIAR")))</f>
        <v/>
      </c>
    </row>
    <row r="365">
      <c r="B365" s="4" t="n">
        <v>29981525</v>
      </c>
      <c r="C365" s="4" t="inlineStr">
        <is>
          <t>DISTRIBUIÇÃO ELÉTRICA / QUADRO</t>
        </is>
      </c>
      <c r="D365" s="4" t="inlineStr">
        <is>
          <t>-</t>
        </is>
      </c>
      <c r="E365" s="4" t="inlineStr">
        <is>
          <t>7º PAV.</t>
        </is>
      </c>
      <c r="F365" s="126" t="n">
        <v>46507</v>
      </c>
      <c r="G365" s="126" t="n">
        <v>46519</v>
      </c>
      <c r="H365" s="126" t="n">
        <v>46289</v>
      </c>
      <c r="I365" s="4" t="n">
        <v>0</v>
      </c>
      <c r="J365" s="4" t="n">
        <v>0</v>
      </c>
      <c r="K365" s="4" t="n">
        <v>0</v>
      </c>
      <c r="M365" s="2">
        <f>IF(C365="","",IFERROR(INDEX($S$5:$S$304,MATCH(C365,$R$5:$R$304,0))&amp;"","?"))</f>
        <v/>
      </c>
      <c r="N365" s="2">
        <f>IF(E365="","",IF(ISNUMBER(SEARCH("SUBSOLO",E365)),IFERROR(-VALUE(LEFT(E365,FIND("º",SUBSTITUTE(E365,"°","º"))-1)),-1),IF(LEFT(E365,6)="TÉRREO",0,IFERROR(VALUE(LEFT(E365,FIND("º",SUBSTITUTE(E365,"°","º"))-1)),""))))</f>
        <v/>
      </c>
      <c r="O365" s="2">
        <f>IF(OR(F365="",G365=""),"",IF(G365&lt;='RETRATO 2027'!$K$5,"CONCLUÍDA",IF(F365&lt;='RETRATO 2027'!$K$5,"EM ANDAMENTO","A INICIAR")))</f>
        <v/>
      </c>
    </row>
    <row r="366">
      <c r="B366" s="4" t="n">
        <v>29981558</v>
      </c>
      <c r="C366" s="4" t="inlineStr">
        <is>
          <t>DISTRIBUIÇÃO DE GÁS</t>
        </is>
      </c>
      <c r="D366" s="4" t="inlineStr">
        <is>
          <t>-</t>
        </is>
      </c>
      <c r="E366" s="4" t="inlineStr">
        <is>
          <t>7º PAV.</t>
        </is>
      </c>
      <c r="F366" s="126" t="n">
        <v>46507</v>
      </c>
      <c r="G366" s="126" t="n">
        <v>46519</v>
      </c>
      <c r="H366" s="126" t="n">
        <v>46289</v>
      </c>
      <c r="I366" s="4" t="n">
        <v>0</v>
      </c>
      <c r="J366" s="4" t="n">
        <v>0</v>
      </c>
      <c r="K366" s="4" t="n">
        <v>0</v>
      </c>
      <c r="M366" s="2">
        <f>IF(C366="","",IFERROR(INDEX($S$5:$S$304,MATCH(C366,$R$5:$R$304,0))&amp;"","?"))</f>
        <v/>
      </c>
      <c r="N366" s="2">
        <f>IF(E366="","",IF(ISNUMBER(SEARCH("SUBSOLO",E366)),IFERROR(-VALUE(LEFT(E366,FIND("º",SUBSTITUTE(E366,"°","º"))-1)),-1),IF(LEFT(E366,6)="TÉRREO",0,IFERROR(VALUE(LEFT(E366,FIND("º",SUBSTITUTE(E366,"°","º"))-1)),""))))</f>
        <v/>
      </c>
      <c r="O366" s="2">
        <f>IF(OR(F366="",G366=""),"",IF(G366&lt;='RETRATO 2027'!$K$5,"CONCLUÍDA",IF(F366&lt;='RETRATO 2027'!$K$5,"EM ANDAMENTO","A INICIAR")))</f>
        <v/>
      </c>
    </row>
    <row r="367">
      <c r="B367" s="4" t="n">
        <v>29981505</v>
      </c>
      <c r="C367" s="4" t="inlineStr">
        <is>
          <t>TALISCAMENTO</t>
        </is>
      </c>
      <c r="D367" s="4" t="inlineStr">
        <is>
          <t>-</t>
        </is>
      </c>
      <c r="E367" s="4" t="inlineStr">
        <is>
          <t>8º PAV.</t>
        </is>
      </c>
      <c r="F367" s="126" t="n">
        <v>46507</v>
      </c>
      <c r="G367" s="126" t="n">
        <v>46519</v>
      </c>
      <c r="H367" s="126" t="n">
        <v>46289</v>
      </c>
      <c r="I367" s="4" t="n">
        <v>0</v>
      </c>
      <c r="J367" s="4" t="n">
        <v>0</v>
      </c>
      <c r="K367" s="4" t="n">
        <v>0</v>
      </c>
      <c r="M367" s="2">
        <f>IF(C367="","",IFERROR(INDEX($S$5:$S$304,MATCH(C367,$R$5:$R$304,0))&amp;"","?"))</f>
        <v/>
      </c>
      <c r="N367" s="2">
        <f>IF(E367="","",IF(ISNUMBER(SEARCH("SUBSOLO",E367)),IFERROR(-VALUE(LEFT(E367,FIND("º",SUBSTITUTE(E367,"°","º"))-1)),-1),IF(LEFT(E367,6)="TÉRREO",0,IFERROR(VALUE(LEFT(E367,FIND("º",SUBSTITUTE(E367,"°","º"))-1)),""))))</f>
        <v/>
      </c>
      <c r="O367" s="2">
        <f>IF(OR(F367="",G367=""),"",IF(G367&lt;='RETRATO 2027'!$K$5,"CONCLUÍDA",IF(F367&lt;='RETRATO 2027'!$K$5,"EM ANDAMENTO","A INICIAR")))</f>
        <v/>
      </c>
    </row>
    <row r="368">
      <c r="B368" s="4" t="n">
        <v>29981471</v>
      </c>
      <c r="C368" s="4" t="inlineStr">
        <is>
          <t>PRUMADA HIDROSSANITÁRIA</t>
        </is>
      </c>
      <c r="D368" s="4" t="inlineStr">
        <is>
          <t>-</t>
        </is>
      </c>
      <c r="E368" s="4" t="inlineStr">
        <is>
          <t>9º PAV.</t>
        </is>
      </c>
      <c r="F368" s="126" t="n">
        <v>46507</v>
      </c>
      <c r="G368" s="126" t="n">
        <v>46519</v>
      </c>
      <c r="H368" s="126" t="n">
        <v>46289</v>
      </c>
      <c r="I368" s="4" t="n">
        <v>0</v>
      </c>
      <c r="J368" s="4" t="n">
        <v>0</v>
      </c>
      <c r="K368" s="4" t="n">
        <v>0</v>
      </c>
      <c r="M368" s="2">
        <f>IF(C368="","",IFERROR(INDEX($S$5:$S$304,MATCH(C368,$R$5:$R$304,0))&amp;"","?"))</f>
        <v/>
      </c>
      <c r="N368" s="2">
        <f>IF(E368="","",IF(ISNUMBER(SEARCH("SUBSOLO",E368)),IFERROR(-VALUE(LEFT(E368,FIND("º",SUBSTITUTE(E368,"°","º"))-1)),-1),IF(LEFT(E368,6)="TÉRREO",0,IFERROR(VALUE(LEFT(E368,FIND("º",SUBSTITUTE(E368,"°","º"))-1)),""))))</f>
        <v/>
      </c>
      <c r="O368" s="2">
        <f>IF(OR(F368="",G368=""),"",IF(G368&lt;='RETRATO 2027'!$K$5,"CONCLUÍDA",IF(F368&lt;='RETRATO 2027'!$K$5,"EM ANDAMENTO","A INICIAR")))</f>
        <v/>
      </c>
    </row>
    <row r="369">
      <c r="B369" s="4" t="n">
        <v>29981470</v>
      </c>
      <c r="C369" s="4" t="inlineStr">
        <is>
          <t>ENCUNHAMENTO</t>
        </is>
      </c>
      <c r="D369" s="4" t="inlineStr">
        <is>
          <t>-</t>
        </is>
      </c>
      <c r="E369" s="4" t="inlineStr">
        <is>
          <t>9º PAV.</t>
        </is>
      </c>
      <c r="F369" s="126" t="n">
        <v>46511</v>
      </c>
      <c r="G369" s="126" t="n">
        <v>46521</v>
      </c>
      <c r="H369" s="126" t="n">
        <v>46289</v>
      </c>
      <c r="I369" s="4" t="n">
        <v>0</v>
      </c>
      <c r="J369" s="4" t="n">
        <v>0</v>
      </c>
      <c r="K369" s="4" t="n">
        <v>0</v>
      </c>
      <c r="M369" s="2">
        <f>IF(C369="","",IFERROR(INDEX($S$5:$S$304,MATCH(C369,$R$5:$R$304,0))&amp;"","?"))</f>
        <v/>
      </c>
      <c r="N369" s="2">
        <f>IF(E369="","",IF(ISNUMBER(SEARCH("SUBSOLO",E369)),IFERROR(-VALUE(LEFT(E369,FIND("º",SUBSTITUTE(E369,"°","º"))-1)),-1),IF(LEFT(E369,6)="TÉRREO",0,IFERROR(VALUE(LEFT(E369,FIND("º",SUBSTITUTE(E369,"°","º"))-1)),""))))</f>
        <v/>
      </c>
      <c r="O369" s="2">
        <f>IF(OR(F369="",G369=""),"",IF(G369&lt;='RETRATO 2027'!$K$5,"CONCLUÍDA",IF(F369&lt;='RETRATO 2027'!$K$5,"EM ANDAMENTO","A INICIAR")))</f>
        <v/>
      </c>
    </row>
    <row r="370">
      <c r="B370" s="4" t="n">
        <v>29940954</v>
      </c>
      <c r="C370" s="4" t="inlineStr">
        <is>
          <t>ESTRUTURA</t>
        </is>
      </c>
      <c r="D370" s="4" t="inlineStr">
        <is>
          <t>-</t>
        </is>
      </c>
      <c r="E370" s="4" t="inlineStr">
        <is>
          <t>14º PAV.</t>
        </is>
      </c>
      <c r="F370" s="126" t="n">
        <v>46511</v>
      </c>
      <c r="G370" s="126" t="n">
        <v>46520</v>
      </c>
      <c r="H370" s="126" t="n">
        <v>46289</v>
      </c>
      <c r="I370" s="4" t="n">
        <v>0</v>
      </c>
      <c r="J370" s="4" t="n">
        <v>0</v>
      </c>
      <c r="K370" s="4" t="n">
        <v>0</v>
      </c>
      <c r="M370" s="2">
        <f>IF(C370="","",IFERROR(INDEX($S$5:$S$304,MATCH(C370,$R$5:$R$304,0))&amp;"","?"))</f>
        <v/>
      </c>
      <c r="N370" s="2">
        <f>IF(E370="","",IF(ISNUMBER(SEARCH("SUBSOLO",E370)),IFERROR(-VALUE(LEFT(E370,FIND("º",SUBSTITUTE(E370,"°","º"))-1)),-1),IF(LEFT(E370,6)="TÉRREO",0,IFERROR(VALUE(LEFT(E370,FIND("º",SUBSTITUTE(E370,"°","º"))-1)),""))))</f>
        <v/>
      </c>
      <c r="O370" s="2">
        <f>IF(OR(F370="",G370=""),"",IF(G370&lt;='RETRATO 2027'!$K$5,"CONCLUÍDA",IF(F370&lt;='RETRATO 2027'!$K$5,"EM ANDAMENTO","A INICIAR")))</f>
        <v/>
      </c>
    </row>
    <row r="371">
      <c r="B371" s="4" t="n">
        <v>31529004</v>
      </c>
      <c r="C371" s="4" t="inlineStr">
        <is>
          <t>ESTRUTURA</t>
        </is>
      </c>
      <c r="D371" s="4" t="inlineStr">
        <is>
          <t>Forma</t>
        </is>
      </c>
      <c r="E371" s="4" t="inlineStr">
        <is>
          <t>14º PAV.</t>
        </is>
      </c>
      <c r="F371" s="126" t="n">
        <v>46511</v>
      </c>
      <c r="G371" s="126" t="n">
        <v>46514</v>
      </c>
      <c r="H371" s="126" t="n">
        <v>46289</v>
      </c>
      <c r="I371" s="4" t="n">
        <v>0</v>
      </c>
      <c r="J371" s="4" t="n">
        <v>0</v>
      </c>
      <c r="K371" s="4" t="n">
        <v>0</v>
      </c>
      <c r="M371" s="2">
        <f>IF(C371="","",IFERROR(INDEX($S$5:$S$304,MATCH(C371,$R$5:$R$304,0))&amp;"","?"))</f>
        <v/>
      </c>
      <c r="N371" s="2">
        <f>IF(E371="","",IF(ISNUMBER(SEARCH("SUBSOLO",E371)),IFERROR(-VALUE(LEFT(E371,FIND("º",SUBSTITUTE(E371,"°","º"))-1)),-1),IF(LEFT(E371,6)="TÉRREO",0,IFERROR(VALUE(LEFT(E371,FIND("º",SUBSTITUTE(E371,"°","º"))-1)),""))))</f>
        <v/>
      </c>
      <c r="O371" s="2">
        <f>IF(OR(F371="",G371=""),"",IF(G371&lt;='RETRATO 2027'!$K$5,"CONCLUÍDA",IF(F371&lt;='RETRATO 2027'!$K$5,"EM ANDAMENTO","A INICIAR")))</f>
        <v/>
      </c>
    </row>
    <row r="372">
      <c r="B372" s="4" t="n">
        <v>31529005</v>
      </c>
      <c r="C372" s="4" t="inlineStr">
        <is>
          <t>ESTRUTURA</t>
        </is>
      </c>
      <c r="D372" s="4" t="inlineStr">
        <is>
          <t>Armação</t>
        </is>
      </c>
      <c r="E372" s="4" t="inlineStr">
        <is>
          <t>14º PAV.</t>
        </is>
      </c>
      <c r="F372" s="126" t="n">
        <v>46517</v>
      </c>
      <c r="G372" s="126" t="n">
        <v>46519</v>
      </c>
      <c r="H372" s="126" t="n">
        <v>46289</v>
      </c>
      <c r="I372" s="4" t="n">
        <v>0</v>
      </c>
      <c r="J372" s="4" t="n">
        <v>0</v>
      </c>
      <c r="K372" s="4" t="n">
        <v>0</v>
      </c>
      <c r="M372" s="2">
        <f>IF(C372="","",IFERROR(INDEX($S$5:$S$304,MATCH(C372,$R$5:$R$304,0))&amp;"","?"))</f>
        <v/>
      </c>
      <c r="N372" s="2">
        <f>IF(E372="","",IF(ISNUMBER(SEARCH("SUBSOLO",E372)),IFERROR(-VALUE(LEFT(E372,FIND("º",SUBSTITUTE(E372,"°","º"))-1)),-1),IF(LEFT(E372,6)="TÉRREO",0,IFERROR(VALUE(LEFT(E372,FIND("º",SUBSTITUTE(E372,"°","º"))-1)),""))))</f>
        <v/>
      </c>
      <c r="O372" s="2">
        <f>IF(OR(F372="",G372=""),"",IF(G372&lt;='RETRATO 2027'!$K$5,"CONCLUÍDA",IF(F372&lt;='RETRATO 2027'!$K$5,"EM ANDAMENTO","A INICIAR")))</f>
        <v/>
      </c>
    </row>
    <row r="373">
      <c r="B373" s="4" t="n">
        <v>31529006</v>
      </c>
      <c r="C373" s="4" t="inlineStr">
        <is>
          <t>ESTRUTURA</t>
        </is>
      </c>
      <c r="D373" s="4" t="inlineStr">
        <is>
          <t>Concretagem</t>
        </is>
      </c>
      <c r="E373" s="4" t="inlineStr">
        <is>
          <t>14º PAV.</t>
        </is>
      </c>
      <c r="F373" s="126" t="n">
        <v>46520</v>
      </c>
      <c r="G373" s="126" t="n">
        <v>46520</v>
      </c>
      <c r="H373" s="126" t="n">
        <v>46289</v>
      </c>
      <c r="I373" s="4" t="n">
        <v>0</v>
      </c>
      <c r="J373" s="4" t="n">
        <v>0</v>
      </c>
      <c r="K373" s="4" t="n">
        <v>0</v>
      </c>
      <c r="M373" s="2">
        <f>IF(C373="","",IFERROR(INDEX($S$5:$S$304,MATCH(C373,$R$5:$R$304,0))&amp;"","?"))</f>
        <v/>
      </c>
      <c r="N373" s="2">
        <f>IF(E373="","",IF(ISNUMBER(SEARCH("SUBSOLO",E373)),IFERROR(-VALUE(LEFT(E373,FIND("º",SUBSTITUTE(E373,"°","º"))-1)),-1),IF(LEFT(E373,6)="TÉRREO",0,IFERROR(VALUE(LEFT(E373,FIND("º",SUBSTITUTE(E373,"°","º"))-1)),""))))</f>
        <v/>
      </c>
      <c r="O373" s="2">
        <f>IF(OR(F373="",G373=""),"",IF(G373&lt;='RETRATO 2027'!$K$5,"CONCLUÍDA",IF(F373&lt;='RETRATO 2027'!$K$5,"EM ANDAMENTO","A INICIAR")))</f>
        <v/>
      </c>
    </row>
    <row r="374">
      <c r="B374" s="4" t="n">
        <v>31529007</v>
      </c>
      <c r="C374" s="4" t="inlineStr">
        <is>
          <t>ESTRUTURA</t>
        </is>
      </c>
      <c r="D374" s="4" t="inlineStr">
        <is>
          <t>Polimento</t>
        </is>
      </c>
      <c r="E374" s="4" t="inlineStr">
        <is>
          <t>14º PAV.</t>
        </is>
      </c>
      <c r="F374" s="126" t="n">
        <v>46520</v>
      </c>
      <c r="G374" s="126" t="n">
        <v>46520</v>
      </c>
      <c r="H374" s="126" t="n">
        <v>46289</v>
      </c>
      <c r="I374" s="4" t="n">
        <v>0</v>
      </c>
      <c r="J374" s="4" t="n">
        <v>0</v>
      </c>
      <c r="K374" s="4" t="n">
        <v>0</v>
      </c>
      <c r="M374" s="2">
        <f>IF(C374="","",IFERROR(INDEX($S$5:$S$304,MATCH(C374,$R$5:$R$304,0))&amp;"","?"))</f>
        <v/>
      </c>
      <c r="N374" s="2">
        <f>IF(E374="","",IF(ISNUMBER(SEARCH("SUBSOLO",E374)),IFERROR(-VALUE(LEFT(E374,FIND("º",SUBSTITUTE(E374,"°","º"))-1)),-1),IF(LEFT(E374,6)="TÉRREO",0,IFERROR(VALUE(LEFT(E374,FIND("º",SUBSTITUTE(E374,"°","º"))-1)),""))))</f>
        <v/>
      </c>
      <c r="O374" s="2">
        <f>IF(OR(F374="",G374=""),"",IF(G374&lt;='RETRATO 2027'!$K$5,"CONCLUÍDA",IF(F374&lt;='RETRATO 2027'!$K$5,"EM ANDAMENTO","A INICIAR")))</f>
        <v/>
      </c>
    </row>
    <row r="375">
      <c r="B375" s="4" t="n">
        <v>29981444</v>
      </c>
      <c r="C375" s="4" t="inlineStr">
        <is>
          <t>PRUMADA DE INCÊNDIO</t>
        </is>
      </c>
      <c r="D375" s="4" t="inlineStr">
        <is>
          <t>-</t>
        </is>
      </c>
      <c r="E375" s="4" t="inlineStr">
        <is>
          <t>10º PAV.</t>
        </is>
      </c>
      <c r="F375" s="126" t="n">
        <v>46514</v>
      </c>
      <c r="G375" s="126" t="n">
        <v>46526</v>
      </c>
      <c r="H375" s="126" t="n">
        <v>46289</v>
      </c>
      <c r="I375" s="4" t="n">
        <v>0</v>
      </c>
      <c r="J375" s="4" t="n">
        <v>0</v>
      </c>
      <c r="K375" s="4" t="n">
        <v>0</v>
      </c>
      <c r="M375" s="2">
        <f>IF(C375="","",IFERROR(INDEX($S$5:$S$304,MATCH(C375,$R$5:$R$304,0))&amp;"","?"))</f>
        <v/>
      </c>
      <c r="N375" s="2">
        <f>IF(E375="","",IF(ISNUMBER(SEARCH("SUBSOLO",E375)),IFERROR(-VALUE(LEFT(E375,FIND("º",SUBSTITUTE(E375,"°","º"))-1)),-1),IF(LEFT(E375,6)="TÉRREO",0,IFERROR(VALUE(LEFT(E375,FIND("º",SUBSTITUTE(E375,"°","º"))-1)),""))))</f>
        <v/>
      </c>
      <c r="O375" s="2">
        <f>IF(OR(F375="",G375=""),"",IF(G375&lt;='RETRATO 2027'!$K$5,"CONCLUÍDA",IF(F375&lt;='RETRATO 2027'!$K$5,"EM ANDAMENTO","A INICIAR")))</f>
        <v/>
      </c>
    </row>
    <row r="376">
      <c r="B376" s="4" t="n">
        <v>29981395</v>
      </c>
      <c r="C376" s="4" t="inlineStr">
        <is>
          <t>ALVENARIA</t>
        </is>
      </c>
      <c r="D376" s="4" t="inlineStr">
        <is>
          <t>-</t>
        </is>
      </c>
      <c r="E376" s="4" t="inlineStr">
        <is>
          <t>11º PAV.</t>
        </is>
      </c>
      <c r="F376" s="126" t="n">
        <v>46514</v>
      </c>
      <c r="G376" s="126" t="n">
        <v>46526</v>
      </c>
      <c r="H376" s="126" t="n">
        <v>46289</v>
      </c>
      <c r="I376" s="4" t="n">
        <v>0</v>
      </c>
      <c r="J376" s="4" t="n">
        <v>0</v>
      </c>
      <c r="K376" s="4" t="n">
        <v>0</v>
      </c>
      <c r="M376" s="2">
        <f>IF(C376="","",IFERROR(INDEX($S$5:$S$304,MATCH(C376,$R$5:$R$304,0))&amp;"","?"))</f>
        <v/>
      </c>
      <c r="N376" s="2">
        <f>IF(E376="","",IF(ISNUMBER(SEARCH("SUBSOLO",E376)),IFERROR(-VALUE(LEFT(E376,FIND("º",SUBSTITUTE(E376,"°","º"))-1)),-1),IF(LEFT(E376,6)="TÉRREO",0,IFERROR(VALUE(LEFT(E376,FIND("º",SUBSTITUTE(E376,"°","º"))-1)),""))))</f>
        <v/>
      </c>
      <c r="O376" s="2">
        <f>IF(OR(F376="",G376=""),"",IF(G376&lt;='RETRATO 2027'!$K$5,"CONCLUÍDA",IF(F376&lt;='RETRATO 2027'!$K$5,"EM ANDAMENTO","A INICIAR")))</f>
        <v/>
      </c>
    </row>
    <row r="377">
      <c r="B377" s="4" t="n">
        <v>29981526</v>
      </c>
      <c r="C377" s="4" t="inlineStr">
        <is>
          <t>CONTRAMARCO</t>
        </is>
      </c>
      <c r="D377" s="4" t="inlineStr">
        <is>
          <t>-</t>
        </is>
      </c>
      <c r="E377" s="4" t="inlineStr">
        <is>
          <t>7º PAV.</t>
        </is>
      </c>
      <c r="F377" s="126" t="n">
        <v>46520</v>
      </c>
      <c r="G377" s="126" t="n">
        <v>46532</v>
      </c>
      <c r="H377" s="126" t="n">
        <v>46289</v>
      </c>
      <c r="I377" s="4" t="n">
        <v>0</v>
      </c>
      <c r="J377" s="4" t="n">
        <v>0</v>
      </c>
      <c r="K377" s="4" t="n">
        <v>0</v>
      </c>
      <c r="M377" s="2">
        <f>IF(C377="","",IFERROR(INDEX($S$5:$S$304,MATCH(C377,$R$5:$R$304,0))&amp;"","?"))</f>
        <v/>
      </c>
      <c r="N377" s="2">
        <f>IF(E377="","",IF(ISNUMBER(SEARCH("SUBSOLO",E377)),IFERROR(-VALUE(LEFT(E377,FIND("º",SUBSTITUTE(E377,"°","º"))-1)),-1),IF(LEFT(E377,6)="TÉRREO",0,IFERROR(VALUE(LEFT(E377,FIND("º",SUBSTITUTE(E377,"°","º"))-1)),""))))</f>
        <v/>
      </c>
      <c r="O377" s="2">
        <f>IF(OR(F377="",G377=""),"",IF(G377&lt;='RETRATO 2027'!$K$5,"CONCLUÍDA",IF(F377&lt;='RETRATO 2027'!$K$5,"EM ANDAMENTO","A INICIAR")))</f>
        <v/>
      </c>
    </row>
    <row r="378">
      <c r="B378" s="4" t="n">
        <v>29981519</v>
      </c>
      <c r="C378" s="4" t="inlineStr">
        <is>
          <t>DISTRIBUIÇÃO HIDROSSANITÁRIA</t>
        </is>
      </c>
      <c r="D378" s="4" t="inlineStr">
        <is>
          <t>-</t>
        </is>
      </c>
      <c r="E378" s="4" t="inlineStr">
        <is>
          <t>8º PAV.</t>
        </is>
      </c>
      <c r="F378" s="126" t="n">
        <v>46520</v>
      </c>
      <c r="G378" s="126" t="n">
        <v>46532</v>
      </c>
      <c r="H378" s="126" t="n">
        <v>46289</v>
      </c>
      <c r="I378" s="4" t="n">
        <v>0</v>
      </c>
      <c r="J378" s="4" t="n">
        <v>0</v>
      </c>
      <c r="K378" s="4" t="n">
        <v>0</v>
      </c>
      <c r="M378" s="2">
        <f>IF(C378="","",IFERROR(INDEX($S$5:$S$304,MATCH(C378,$R$5:$R$304,0))&amp;"","?"))</f>
        <v/>
      </c>
      <c r="N378" s="2">
        <f>IF(E378="","",IF(ISNUMBER(SEARCH("SUBSOLO",E378)),IFERROR(-VALUE(LEFT(E378,FIND("º",SUBSTITUTE(E378,"°","º"))-1)),-1),IF(LEFT(E378,6)="TÉRREO",0,IFERROR(VALUE(LEFT(E378,FIND("º",SUBSTITUTE(E378,"°","º"))-1)),""))))</f>
        <v/>
      </c>
      <c r="O378" s="2">
        <f>IF(OR(F378="",G378=""),"",IF(G378&lt;='RETRATO 2027'!$K$5,"CONCLUÍDA",IF(F378&lt;='RETRATO 2027'!$K$5,"EM ANDAMENTO","A INICIAR")))</f>
        <v/>
      </c>
    </row>
    <row r="379">
      <c r="B379" s="4" t="n">
        <v>29981488</v>
      </c>
      <c r="C379" s="4" t="inlineStr">
        <is>
          <t>DISTRIBUIÇÃO ELÉTRICA / QUADRO</t>
        </is>
      </c>
      <c r="D379" s="4" t="inlineStr">
        <is>
          <t>-</t>
        </is>
      </c>
      <c r="E379" s="4" t="inlineStr">
        <is>
          <t>8º PAV.</t>
        </is>
      </c>
      <c r="F379" s="126" t="n">
        <v>46520</v>
      </c>
      <c r="G379" s="126" t="n">
        <v>46532</v>
      </c>
      <c r="H379" s="126" t="n">
        <v>46289</v>
      </c>
      <c r="I379" s="4" t="n">
        <v>0</v>
      </c>
      <c r="J379" s="4" t="n">
        <v>0</v>
      </c>
      <c r="K379" s="4" t="n">
        <v>0</v>
      </c>
      <c r="M379" s="2">
        <f>IF(C379="","",IFERROR(INDEX($S$5:$S$304,MATCH(C379,$R$5:$R$304,0))&amp;"","?"))</f>
        <v/>
      </c>
      <c r="N379" s="2">
        <f>IF(E379="","",IF(ISNUMBER(SEARCH("SUBSOLO",E379)),IFERROR(-VALUE(LEFT(E379,FIND("º",SUBSTITUTE(E379,"°","º"))-1)),-1),IF(LEFT(E379,6)="TÉRREO",0,IFERROR(VALUE(LEFT(E379,FIND("º",SUBSTITUTE(E379,"°","º"))-1)),""))))</f>
        <v/>
      </c>
      <c r="O379" s="2">
        <f>IF(OR(F379="",G379=""),"",IF(G379&lt;='RETRATO 2027'!$K$5,"CONCLUÍDA",IF(F379&lt;='RETRATO 2027'!$K$5,"EM ANDAMENTO","A INICIAR")))</f>
        <v/>
      </c>
    </row>
    <row r="380">
      <c r="B380" s="4" t="n">
        <v>29981521</v>
      </c>
      <c r="C380" s="4" t="inlineStr">
        <is>
          <t>DISTRIBUIÇÃO DE GÁS</t>
        </is>
      </c>
      <c r="D380" s="4" t="inlineStr">
        <is>
          <t>-</t>
        </is>
      </c>
      <c r="E380" s="4" t="inlineStr">
        <is>
          <t>8º PAV.</t>
        </is>
      </c>
      <c r="F380" s="126" t="n">
        <v>46520</v>
      </c>
      <c r="G380" s="126" t="n">
        <v>46532</v>
      </c>
      <c r="H380" s="126" t="n">
        <v>46289</v>
      </c>
      <c r="I380" s="4" t="n">
        <v>0</v>
      </c>
      <c r="J380" s="4" t="n">
        <v>0</v>
      </c>
      <c r="K380" s="4" t="n">
        <v>0</v>
      </c>
      <c r="M380" s="2">
        <f>IF(C380="","",IFERROR(INDEX($S$5:$S$304,MATCH(C380,$R$5:$R$304,0))&amp;"","?"))</f>
        <v/>
      </c>
      <c r="N380" s="2">
        <f>IF(E380="","",IF(ISNUMBER(SEARCH("SUBSOLO",E380)),IFERROR(-VALUE(LEFT(E380,FIND("º",SUBSTITUTE(E380,"°","º"))-1)),-1),IF(LEFT(E380,6)="TÉRREO",0,IFERROR(VALUE(LEFT(E380,FIND("º",SUBSTITUTE(E380,"°","º"))-1)),""))))</f>
        <v/>
      </c>
      <c r="O380" s="2">
        <f>IF(OR(F380="",G380=""),"",IF(G380&lt;='RETRATO 2027'!$K$5,"CONCLUÍDA",IF(F380&lt;='RETRATO 2027'!$K$5,"EM ANDAMENTO","A INICIAR")))</f>
        <v/>
      </c>
    </row>
    <row r="381">
      <c r="B381" s="4" t="n">
        <v>29981468</v>
      </c>
      <c r="C381" s="4" t="inlineStr">
        <is>
          <t>TALISCAMENTO</t>
        </is>
      </c>
      <c r="D381" s="4" t="inlineStr">
        <is>
          <t>-</t>
        </is>
      </c>
      <c r="E381" s="4" t="inlineStr">
        <is>
          <t>9º PAV.</t>
        </is>
      </c>
      <c r="F381" s="126" t="n">
        <v>46520</v>
      </c>
      <c r="G381" s="126" t="n">
        <v>46532</v>
      </c>
      <c r="H381" s="126" t="n">
        <v>46289</v>
      </c>
      <c r="I381" s="4" t="n">
        <v>0</v>
      </c>
      <c r="J381" s="4" t="n">
        <v>0</v>
      </c>
      <c r="K381" s="4" t="n">
        <v>0</v>
      </c>
      <c r="M381" s="2">
        <f>IF(C381="","",IFERROR(INDEX($S$5:$S$304,MATCH(C381,$R$5:$R$304,0))&amp;"","?"))</f>
        <v/>
      </c>
      <c r="N381" s="2">
        <f>IF(E381="","",IF(ISNUMBER(SEARCH("SUBSOLO",E381)),IFERROR(-VALUE(LEFT(E381,FIND("º",SUBSTITUTE(E381,"°","º"))-1)),-1),IF(LEFT(E381,6)="TÉRREO",0,IFERROR(VALUE(LEFT(E381,FIND("º",SUBSTITUTE(E381,"°","º"))-1)),""))))</f>
        <v/>
      </c>
      <c r="O381" s="2">
        <f>IF(OR(F381="",G381=""),"",IF(G381&lt;='RETRATO 2027'!$K$5,"CONCLUÍDA",IF(F381&lt;='RETRATO 2027'!$K$5,"EM ANDAMENTO","A INICIAR")))</f>
        <v/>
      </c>
    </row>
    <row r="382">
      <c r="B382" s="4" t="n">
        <v>29981434</v>
      </c>
      <c r="C382" s="4" t="inlineStr">
        <is>
          <t>PRUMADA HIDROSSANITÁRIA</t>
        </is>
      </c>
      <c r="D382" s="4" t="inlineStr">
        <is>
          <t>-</t>
        </is>
      </c>
      <c r="E382" s="4" t="inlineStr">
        <is>
          <t>10º PAV.</t>
        </is>
      </c>
      <c r="F382" s="126" t="n">
        <v>46520</v>
      </c>
      <c r="G382" s="126" t="n">
        <v>46532</v>
      </c>
      <c r="H382" s="126" t="n">
        <v>46289</v>
      </c>
      <c r="I382" s="4" t="n">
        <v>0</v>
      </c>
      <c r="J382" s="4" t="n">
        <v>0</v>
      </c>
      <c r="K382" s="4" t="n">
        <v>0</v>
      </c>
      <c r="M382" s="2">
        <f>IF(C382="","",IFERROR(INDEX($S$5:$S$304,MATCH(C382,$R$5:$R$304,0))&amp;"","?"))</f>
        <v/>
      </c>
      <c r="N382" s="2">
        <f>IF(E382="","",IF(ISNUMBER(SEARCH("SUBSOLO",E382)),IFERROR(-VALUE(LEFT(E382,FIND("º",SUBSTITUTE(E382,"°","º"))-1)),-1),IF(LEFT(E382,6)="TÉRREO",0,IFERROR(VALUE(LEFT(E382,FIND("º",SUBSTITUTE(E382,"°","º"))-1)),""))))</f>
        <v/>
      </c>
      <c r="O382" s="2">
        <f>IF(OR(F382="",G382=""),"",IF(G382&lt;='RETRATO 2027'!$K$5,"CONCLUÍDA",IF(F382&lt;='RETRATO 2027'!$K$5,"EM ANDAMENTO","A INICIAR")))</f>
        <v/>
      </c>
    </row>
    <row r="383">
      <c r="B383" s="4" t="n">
        <v>29940955</v>
      </c>
      <c r="C383" s="4" t="inlineStr">
        <is>
          <t>ESTRUTURA</t>
        </is>
      </c>
      <c r="D383" s="4" t="inlineStr">
        <is>
          <t>-</t>
        </is>
      </c>
      <c r="E383" s="4" t="inlineStr">
        <is>
          <t>15º PAV.</t>
        </is>
      </c>
      <c r="F383" s="126" t="n">
        <v>46521</v>
      </c>
      <c r="G383" s="126" t="n">
        <v>46532</v>
      </c>
      <c r="H383" s="126" t="n">
        <v>46289</v>
      </c>
      <c r="I383" s="4" t="n">
        <v>0</v>
      </c>
      <c r="J383" s="4" t="n">
        <v>0</v>
      </c>
      <c r="K383" s="4" t="n">
        <v>0</v>
      </c>
      <c r="M383" s="2">
        <f>IF(C383="","",IFERROR(INDEX($S$5:$S$304,MATCH(C383,$R$5:$R$304,0))&amp;"","?"))</f>
        <v/>
      </c>
      <c r="N383" s="2">
        <f>IF(E383="","",IF(ISNUMBER(SEARCH("SUBSOLO",E383)),IFERROR(-VALUE(LEFT(E383,FIND("º",SUBSTITUTE(E383,"°","º"))-1)),-1),IF(LEFT(E383,6)="TÉRREO",0,IFERROR(VALUE(LEFT(E383,FIND("º",SUBSTITUTE(E383,"°","º"))-1)),""))))</f>
        <v/>
      </c>
      <c r="O383" s="2">
        <f>IF(OR(F383="",G383=""),"",IF(G383&lt;='RETRATO 2027'!$K$5,"CONCLUÍDA",IF(F383&lt;='RETRATO 2027'!$K$5,"EM ANDAMENTO","A INICIAR")))</f>
        <v/>
      </c>
    </row>
    <row r="384">
      <c r="B384" s="4" t="n">
        <v>31529008</v>
      </c>
      <c r="C384" s="4" t="inlineStr">
        <is>
          <t>ESTRUTURA</t>
        </is>
      </c>
      <c r="D384" s="4" t="inlineStr">
        <is>
          <t>Forma</t>
        </is>
      </c>
      <c r="E384" s="4" t="inlineStr">
        <is>
          <t>15º PAV.</t>
        </is>
      </c>
      <c r="F384" s="126" t="n">
        <v>46521</v>
      </c>
      <c r="G384" s="126" t="n">
        <v>46526</v>
      </c>
      <c r="H384" s="126" t="n">
        <v>46289</v>
      </c>
      <c r="I384" s="4" t="n">
        <v>0</v>
      </c>
      <c r="J384" s="4" t="n">
        <v>0</v>
      </c>
      <c r="K384" s="4" t="n">
        <v>0</v>
      </c>
      <c r="M384" s="2">
        <f>IF(C384="","",IFERROR(INDEX($S$5:$S$304,MATCH(C384,$R$5:$R$304,0))&amp;"","?"))</f>
        <v/>
      </c>
      <c r="N384" s="2">
        <f>IF(E384="","",IF(ISNUMBER(SEARCH("SUBSOLO",E384)),IFERROR(-VALUE(LEFT(E384,FIND("º",SUBSTITUTE(E384,"°","º"))-1)),-1),IF(LEFT(E384,6)="TÉRREO",0,IFERROR(VALUE(LEFT(E384,FIND("º",SUBSTITUTE(E384,"°","º"))-1)),""))))</f>
        <v/>
      </c>
      <c r="O384" s="2">
        <f>IF(OR(F384="",G384=""),"",IF(G384&lt;='RETRATO 2027'!$K$5,"CONCLUÍDA",IF(F384&lt;='RETRATO 2027'!$K$5,"EM ANDAMENTO","A INICIAR")))</f>
        <v/>
      </c>
    </row>
    <row r="385">
      <c r="B385" s="4" t="n">
        <v>31529009</v>
      </c>
      <c r="C385" s="4" t="inlineStr">
        <is>
          <t>ESTRUTURA</t>
        </is>
      </c>
      <c r="D385" s="4" t="inlineStr">
        <is>
          <t>Armação</t>
        </is>
      </c>
      <c r="E385" s="4" t="inlineStr">
        <is>
          <t>15º PAV.</t>
        </is>
      </c>
      <c r="F385" s="126" t="n">
        <v>46527</v>
      </c>
      <c r="G385" s="126" t="n">
        <v>46531</v>
      </c>
      <c r="H385" s="126" t="n">
        <v>46289</v>
      </c>
      <c r="I385" s="4" t="n">
        <v>0</v>
      </c>
      <c r="J385" s="4" t="n">
        <v>0</v>
      </c>
      <c r="K385" s="4" t="n">
        <v>0</v>
      </c>
      <c r="M385" s="2">
        <f>IF(C385="","",IFERROR(INDEX($S$5:$S$304,MATCH(C385,$R$5:$R$304,0))&amp;"","?"))</f>
        <v/>
      </c>
      <c r="N385" s="2">
        <f>IF(E385="","",IF(ISNUMBER(SEARCH("SUBSOLO",E385)),IFERROR(-VALUE(LEFT(E385,FIND("º",SUBSTITUTE(E385,"°","º"))-1)),-1),IF(LEFT(E385,6)="TÉRREO",0,IFERROR(VALUE(LEFT(E385,FIND("º",SUBSTITUTE(E385,"°","º"))-1)),""))))</f>
        <v/>
      </c>
      <c r="O385" s="2">
        <f>IF(OR(F385="",G385=""),"",IF(G385&lt;='RETRATO 2027'!$K$5,"CONCLUÍDA",IF(F385&lt;='RETRATO 2027'!$K$5,"EM ANDAMENTO","A INICIAR")))</f>
        <v/>
      </c>
    </row>
    <row r="386">
      <c r="B386" s="4" t="n">
        <v>31529010</v>
      </c>
      <c r="C386" s="4" t="inlineStr">
        <is>
          <t>ESTRUTURA</t>
        </is>
      </c>
      <c r="D386" s="4" t="inlineStr">
        <is>
          <t>Concretagem</t>
        </is>
      </c>
      <c r="E386" s="4" t="inlineStr">
        <is>
          <t>15º PAV.</t>
        </is>
      </c>
      <c r="F386" s="126" t="n">
        <v>46532</v>
      </c>
      <c r="G386" s="126" t="n">
        <v>46532</v>
      </c>
      <c r="H386" s="126" t="n">
        <v>46289</v>
      </c>
      <c r="I386" s="4" t="n">
        <v>0</v>
      </c>
      <c r="J386" s="4" t="n">
        <v>0</v>
      </c>
      <c r="K386" s="4" t="n">
        <v>0</v>
      </c>
      <c r="M386" s="2">
        <f>IF(C386="","",IFERROR(INDEX($S$5:$S$304,MATCH(C386,$R$5:$R$304,0))&amp;"","?"))</f>
        <v/>
      </c>
      <c r="N386" s="2">
        <f>IF(E386="","",IF(ISNUMBER(SEARCH("SUBSOLO",E386)),IFERROR(-VALUE(LEFT(E386,FIND("º",SUBSTITUTE(E386,"°","º"))-1)),-1),IF(LEFT(E386,6)="TÉRREO",0,IFERROR(VALUE(LEFT(E386,FIND("º",SUBSTITUTE(E386,"°","º"))-1)),""))))</f>
        <v/>
      </c>
      <c r="O386" s="2">
        <f>IF(OR(F386="",G386=""),"",IF(G386&lt;='RETRATO 2027'!$K$5,"CONCLUÍDA",IF(F386&lt;='RETRATO 2027'!$K$5,"EM ANDAMENTO","A INICIAR")))</f>
        <v/>
      </c>
    </row>
    <row r="387">
      <c r="B387" s="4" t="n">
        <v>31529011</v>
      </c>
      <c r="C387" s="4" t="inlineStr">
        <is>
          <t>ESTRUTURA</t>
        </is>
      </c>
      <c r="D387" s="4" t="inlineStr">
        <is>
          <t>Polimento</t>
        </is>
      </c>
      <c r="E387" s="4" t="inlineStr">
        <is>
          <t>15º PAV.</t>
        </is>
      </c>
      <c r="F387" s="126" t="n">
        <v>46532</v>
      </c>
      <c r="G387" s="126" t="n">
        <v>46532</v>
      </c>
      <c r="H387" s="126" t="n">
        <v>46289</v>
      </c>
      <c r="I387" s="4" t="n">
        <v>0</v>
      </c>
      <c r="J387" s="4" t="n">
        <v>0</v>
      </c>
      <c r="K387" s="4" t="n">
        <v>0</v>
      </c>
      <c r="M387" s="2">
        <f>IF(C387="","",IFERROR(INDEX($S$5:$S$304,MATCH(C387,$R$5:$R$304,0))&amp;"","?"))</f>
        <v/>
      </c>
      <c r="N387" s="2">
        <f>IF(E387="","",IF(ISNUMBER(SEARCH("SUBSOLO",E387)),IFERROR(-VALUE(LEFT(E387,FIND("º",SUBSTITUTE(E387,"°","º"))-1)),-1),IF(LEFT(E387,6)="TÉRREO",0,IFERROR(VALUE(LEFT(E387,FIND("º",SUBSTITUTE(E387,"°","º"))-1)),""))))</f>
        <v/>
      </c>
      <c r="O387" s="2">
        <f>IF(OR(F387="",G387=""),"",IF(G387&lt;='RETRATO 2027'!$K$5,"CONCLUÍDA",IF(F387&lt;='RETRATO 2027'!$K$5,"EM ANDAMENTO","A INICIAR")))</f>
        <v/>
      </c>
    </row>
    <row r="388">
      <c r="B388" s="4" t="n">
        <v>30205725</v>
      </c>
      <c r="C388" s="4" t="inlineStr">
        <is>
          <t>ALVENARIA</t>
        </is>
      </c>
      <c r="D388" s="4" t="inlineStr">
        <is>
          <t>-</t>
        </is>
      </c>
      <c r="E388" s="4" t="inlineStr">
        <is>
          <t>SUBSOLO</t>
        </is>
      </c>
      <c r="F388" s="126" t="n">
        <v>46524</v>
      </c>
      <c r="G388" s="126" t="n">
        <v>46554</v>
      </c>
      <c r="H388" s="126" t="n">
        <v>46289</v>
      </c>
      <c r="I388" s="4" t="n">
        <v>0</v>
      </c>
      <c r="J388" s="4" t="n">
        <v>0</v>
      </c>
      <c r="K388" s="4" t="n">
        <v>0</v>
      </c>
      <c r="M388" s="2">
        <f>IF(C388="","",IFERROR(INDEX($S$5:$S$304,MATCH(C388,$R$5:$R$304,0))&amp;"","?"))</f>
        <v/>
      </c>
      <c r="N388" s="2">
        <f>IF(E388="","",IF(ISNUMBER(SEARCH("SUBSOLO",E388)),IFERROR(-VALUE(LEFT(E388,FIND("º",SUBSTITUTE(E388,"°","º"))-1)),-1),IF(LEFT(E388,6)="TÉRREO",0,IFERROR(VALUE(LEFT(E388,FIND("º",SUBSTITUTE(E388,"°","º"))-1)),""))))</f>
        <v/>
      </c>
      <c r="O388" s="2">
        <f>IF(OR(F388="",G388=""),"",IF(G388&lt;='RETRATO 2027'!$K$5,"CONCLUÍDA",IF(F388&lt;='RETRATO 2027'!$K$5,"EM ANDAMENTO","A INICIAR")))</f>
        <v/>
      </c>
    </row>
    <row r="389">
      <c r="B389" s="4" t="n">
        <v>29981433</v>
      </c>
      <c r="C389" s="4" t="inlineStr">
        <is>
          <t>ENCUNHAMENTO</t>
        </is>
      </c>
      <c r="D389" s="4" t="inlineStr">
        <is>
          <t>-</t>
        </is>
      </c>
      <c r="E389" s="4" t="inlineStr">
        <is>
          <t>10º PAV.</t>
        </is>
      </c>
      <c r="F389" s="126" t="n">
        <v>46524</v>
      </c>
      <c r="G389" s="126" t="n">
        <v>46535</v>
      </c>
      <c r="H389" s="126" t="n">
        <v>46289</v>
      </c>
      <c r="I389" s="4" t="n">
        <v>0</v>
      </c>
      <c r="J389" s="4" t="n">
        <v>0</v>
      </c>
      <c r="K389" s="4" t="n">
        <v>0</v>
      </c>
      <c r="M389" s="2">
        <f>IF(C389="","",IFERROR(INDEX($S$5:$S$304,MATCH(C389,$R$5:$R$304,0))&amp;"","?"))</f>
        <v/>
      </c>
      <c r="N389" s="2">
        <f>IF(E389="","",IF(ISNUMBER(SEARCH("SUBSOLO",E389)),IFERROR(-VALUE(LEFT(E389,FIND("º",SUBSTITUTE(E389,"°","º"))-1)),-1),IF(LEFT(E389,6)="TÉRREO",0,IFERROR(VALUE(LEFT(E389,FIND("º",SUBSTITUTE(E389,"°","º"))-1)),""))))</f>
        <v/>
      </c>
      <c r="O389" s="2">
        <f>IF(OR(F389="",G389=""),"",IF(G389&lt;='RETRATO 2027'!$K$5,"CONCLUÍDA",IF(F389&lt;='RETRATO 2027'!$K$5,"EM ANDAMENTO","A INICIAR")))</f>
        <v/>
      </c>
    </row>
    <row r="390">
      <c r="B390" s="4" t="n">
        <v>29981407</v>
      </c>
      <c r="C390" s="4" t="inlineStr">
        <is>
          <t>PRUMADA DE INCÊNDIO</t>
        </is>
      </c>
      <c r="D390" s="4" t="inlineStr">
        <is>
          <t>-</t>
        </is>
      </c>
      <c r="E390" s="4" t="inlineStr">
        <is>
          <t>11º PAV.</t>
        </is>
      </c>
      <c r="F390" s="126" t="n">
        <v>46527</v>
      </c>
      <c r="G390" s="126" t="n">
        <v>46540</v>
      </c>
      <c r="H390" s="126" t="n">
        <v>46289</v>
      </c>
      <c r="I390" s="4" t="n">
        <v>0</v>
      </c>
      <c r="J390" s="4" t="n">
        <v>0</v>
      </c>
      <c r="K390" s="4" t="n">
        <v>0</v>
      </c>
      <c r="M390" s="2">
        <f>IF(C390="","",IFERROR(INDEX($S$5:$S$304,MATCH(C390,$R$5:$R$304,0))&amp;"","?"))</f>
        <v/>
      </c>
      <c r="N390" s="2">
        <f>IF(E390="","",IF(ISNUMBER(SEARCH("SUBSOLO",E390)),IFERROR(-VALUE(LEFT(E390,FIND("º",SUBSTITUTE(E390,"°","º"))-1)),-1),IF(LEFT(E390,6)="TÉRREO",0,IFERROR(VALUE(LEFT(E390,FIND("º",SUBSTITUTE(E390,"°","º"))-1)),""))))</f>
        <v/>
      </c>
      <c r="O390" s="2">
        <f>IF(OR(F390="",G390=""),"",IF(G390&lt;='RETRATO 2027'!$K$5,"CONCLUÍDA",IF(F390&lt;='RETRATO 2027'!$K$5,"EM ANDAMENTO","A INICIAR")))</f>
        <v/>
      </c>
    </row>
    <row r="391">
      <c r="B391" s="4" t="n">
        <v>29981358</v>
      </c>
      <c r="C391" s="4" t="inlineStr">
        <is>
          <t>ALVENARIA</t>
        </is>
      </c>
      <c r="D391" s="4" t="inlineStr">
        <is>
          <t>-</t>
        </is>
      </c>
      <c r="E391" s="4" t="inlineStr">
        <is>
          <t>12º PAV.</t>
        </is>
      </c>
      <c r="F391" s="126" t="n">
        <v>46527</v>
      </c>
      <c r="G391" s="126" t="n">
        <v>46540</v>
      </c>
      <c r="H391" s="126" t="n">
        <v>46289</v>
      </c>
      <c r="I391" s="4" t="n">
        <v>0</v>
      </c>
      <c r="J391" s="4" t="n">
        <v>0</v>
      </c>
      <c r="K391" s="4" t="n">
        <v>0</v>
      </c>
      <c r="M391" s="2">
        <f>IF(C391="","",IFERROR(INDEX($S$5:$S$304,MATCH(C391,$R$5:$R$304,0))&amp;"","?"))</f>
        <v/>
      </c>
      <c r="N391" s="2">
        <f>IF(E391="","",IF(ISNUMBER(SEARCH("SUBSOLO",E391)),IFERROR(-VALUE(LEFT(E391,FIND("º",SUBSTITUTE(E391,"°","º"))-1)),-1),IF(LEFT(E391,6)="TÉRREO",0,IFERROR(VALUE(LEFT(E391,FIND("º",SUBSTITUTE(E391,"°","º"))-1)),""))))</f>
        <v/>
      </c>
      <c r="O391" s="2">
        <f>IF(OR(F391="",G391=""),"",IF(G391&lt;='RETRATO 2027'!$K$5,"CONCLUÍDA",IF(F391&lt;='RETRATO 2027'!$K$5,"EM ANDAMENTO","A INICIAR")))</f>
        <v/>
      </c>
    </row>
    <row r="392">
      <c r="B392" s="4" t="n">
        <v>29981523</v>
      </c>
      <c r="C392" s="4" t="inlineStr">
        <is>
          <t>REBOCO INTERNO</t>
        </is>
      </c>
      <c r="D392" s="4" t="inlineStr">
        <is>
          <t>-</t>
        </is>
      </c>
      <c r="E392" s="4" t="inlineStr">
        <is>
          <t>7º PAV.</t>
        </is>
      </c>
      <c r="F392" s="126" t="n">
        <v>46533</v>
      </c>
      <c r="G392" s="126" t="n">
        <v>46546</v>
      </c>
      <c r="H392" s="126" t="n">
        <v>46289</v>
      </c>
      <c r="I392" s="4" t="n">
        <v>0</v>
      </c>
      <c r="J392" s="4" t="n">
        <v>0</v>
      </c>
      <c r="K392" s="4" t="n">
        <v>0</v>
      </c>
      <c r="M392" s="2">
        <f>IF(C392="","",IFERROR(INDEX($S$5:$S$304,MATCH(C392,$R$5:$R$304,0))&amp;"","?"))</f>
        <v/>
      </c>
      <c r="N392" s="2">
        <f>IF(E392="","",IF(ISNUMBER(SEARCH("SUBSOLO",E392)),IFERROR(-VALUE(LEFT(E392,FIND("º",SUBSTITUTE(E392,"°","º"))-1)),-1),IF(LEFT(E392,6)="TÉRREO",0,IFERROR(VALUE(LEFT(E392,FIND("º",SUBSTITUTE(E392,"°","º"))-1)),""))))</f>
        <v/>
      </c>
      <c r="O392" s="2">
        <f>IF(OR(F392="",G392=""),"",IF(G392&lt;='RETRATO 2027'!$K$5,"CONCLUÍDA",IF(F392&lt;='RETRATO 2027'!$K$5,"EM ANDAMENTO","A INICIAR")))</f>
        <v/>
      </c>
    </row>
    <row r="393">
      <c r="B393" s="4" t="n">
        <v>29981489</v>
      </c>
      <c r="C393" s="4" t="inlineStr">
        <is>
          <t>CONTRAMARCO</t>
        </is>
      </c>
      <c r="D393" s="4" t="inlineStr">
        <is>
          <t>-</t>
        </is>
      </c>
      <c r="E393" s="4" t="inlineStr">
        <is>
          <t>8º PAV.</t>
        </is>
      </c>
      <c r="F393" s="126" t="n">
        <v>46533</v>
      </c>
      <c r="G393" s="126" t="n">
        <v>46546</v>
      </c>
      <c r="H393" s="126" t="n">
        <v>46289</v>
      </c>
      <c r="I393" s="4" t="n">
        <v>0</v>
      </c>
      <c r="J393" s="4" t="n">
        <v>0</v>
      </c>
      <c r="K393" s="4" t="n">
        <v>0</v>
      </c>
      <c r="M393" s="2">
        <f>IF(C393="","",IFERROR(INDEX($S$5:$S$304,MATCH(C393,$R$5:$R$304,0))&amp;"","?"))</f>
        <v/>
      </c>
      <c r="N393" s="2">
        <f>IF(E393="","",IF(ISNUMBER(SEARCH("SUBSOLO",E393)),IFERROR(-VALUE(LEFT(E393,FIND("º",SUBSTITUTE(E393,"°","º"))-1)),-1),IF(LEFT(E393,6)="TÉRREO",0,IFERROR(VALUE(LEFT(E393,FIND("º",SUBSTITUTE(E393,"°","º"))-1)),""))))</f>
        <v/>
      </c>
      <c r="O393" s="2">
        <f>IF(OR(F393="",G393=""),"",IF(G393&lt;='RETRATO 2027'!$K$5,"CONCLUÍDA",IF(F393&lt;='RETRATO 2027'!$K$5,"EM ANDAMENTO","A INICIAR")))</f>
        <v/>
      </c>
    </row>
    <row r="394">
      <c r="B394" s="4" t="n">
        <v>29981482</v>
      </c>
      <c r="C394" s="4" t="inlineStr">
        <is>
          <t>DISTRIBUIÇÃO HIDROSSANITÁRIA</t>
        </is>
      </c>
      <c r="D394" s="4" t="inlineStr">
        <is>
          <t>-</t>
        </is>
      </c>
      <c r="E394" s="4" t="inlineStr">
        <is>
          <t>9º PAV.</t>
        </is>
      </c>
      <c r="F394" s="126" t="n">
        <v>46533</v>
      </c>
      <c r="G394" s="126" t="n">
        <v>46546</v>
      </c>
      <c r="H394" s="126" t="n">
        <v>46289</v>
      </c>
      <c r="I394" s="4" t="n">
        <v>0</v>
      </c>
      <c r="J394" s="4" t="n">
        <v>0</v>
      </c>
      <c r="K394" s="4" t="n">
        <v>0</v>
      </c>
      <c r="M394" s="2">
        <f>IF(C394="","",IFERROR(INDEX($S$5:$S$304,MATCH(C394,$R$5:$R$304,0))&amp;"","?"))</f>
        <v/>
      </c>
      <c r="N394" s="2">
        <f>IF(E394="","",IF(ISNUMBER(SEARCH("SUBSOLO",E394)),IFERROR(-VALUE(LEFT(E394,FIND("º",SUBSTITUTE(E394,"°","º"))-1)),-1),IF(LEFT(E394,6)="TÉRREO",0,IFERROR(VALUE(LEFT(E394,FIND("º",SUBSTITUTE(E394,"°","º"))-1)),""))))</f>
        <v/>
      </c>
      <c r="O394" s="2">
        <f>IF(OR(F394="",G394=""),"",IF(G394&lt;='RETRATO 2027'!$K$5,"CONCLUÍDA",IF(F394&lt;='RETRATO 2027'!$K$5,"EM ANDAMENTO","A INICIAR")))</f>
        <v/>
      </c>
    </row>
    <row r="395">
      <c r="B395" s="4" t="n">
        <v>29981451</v>
      </c>
      <c r="C395" s="4" t="inlineStr">
        <is>
          <t>DISTRIBUIÇÃO ELÉTRICA / QUADRO</t>
        </is>
      </c>
      <c r="D395" s="4" t="inlineStr">
        <is>
          <t>-</t>
        </is>
      </c>
      <c r="E395" s="4" t="inlineStr">
        <is>
          <t>9º PAV.</t>
        </is>
      </c>
      <c r="F395" s="126" t="n">
        <v>46533</v>
      </c>
      <c r="G395" s="126" t="n">
        <v>46546</v>
      </c>
      <c r="H395" s="126" t="n">
        <v>46289</v>
      </c>
      <c r="I395" s="4" t="n">
        <v>0</v>
      </c>
      <c r="J395" s="4" t="n">
        <v>0</v>
      </c>
      <c r="K395" s="4" t="n">
        <v>0</v>
      </c>
      <c r="M395" s="2">
        <f>IF(C395="","",IFERROR(INDEX($S$5:$S$304,MATCH(C395,$R$5:$R$304,0))&amp;"","?"))</f>
        <v/>
      </c>
      <c r="N395" s="2">
        <f>IF(E395="","",IF(ISNUMBER(SEARCH("SUBSOLO",E395)),IFERROR(-VALUE(LEFT(E395,FIND("º",SUBSTITUTE(E395,"°","º"))-1)),-1),IF(LEFT(E395,6)="TÉRREO",0,IFERROR(VALUE(LEFT(E395,FIND("º",SUBSTITUTE(E395,"°","º"))-1)),""))))</f>
        <v/>
      </c>
      <c r="O395" s="2">
        <f>IF(OR(F395="",G395=""),"",IF(G395&lt;='RETRATO 2027'!$K$5,"CONCLUÍDA",IF(F395&lt;='RETRATO 2027'!$K$5,"EM ANDAMENTO","A INICIAR")))</f>
        <v/>
      </c>
    </row>
    <row r="396">
      <c r="B396" s="4" t="n">
        <v>29981484</v>
      </c>
      <c r="C396" s="4" t="inlineStr">
        <is>
          <t>DISTRIBUIÇÃO DE GÁS</t>
        </is>
      </c>
      <c r="D396" s="4" t="inlineStr">
        <is>
          <t>-</t>
        </is>
      </c>
      <c r="E396" s="4" t="inlineStr">
        <is>
          <t>9º PAV.</t>
        </is>
      </c>
      <c r="F396" s="126" t="n">
        <v>46533</v>
      </c>
      <c r="G396" s="126" t="n">
        <v>46546</v>
      </c>
      <c r="H396" s="126" t="n">
        <v>46289</v>
      </c>
      <c r="I396" s="4" t="n">
        <v>0</v>
      </c>
      <c r="J396" s="4" t="n">
        <v>0</v>
      </c>
      <c r="K396" s="4" t="n">
        <v>0</v>
      </c>
      <c r="M396" s="2">
        <f>IF(C396="","",IFERROR(INDEX($S$5:$S$304,MATCH(C396,$R$5:$R$304,0))&amp;"","?"))</f>
        <v/>
      </c>
      <c r="N396" s="2">
        <f>IF(E396="","",IF(ISNUMBER(SEARCH("SUBSOLO",E396)),IFERROR(-VALUE(LEFT(E396,FIND("º",SUBSTITUTE(E396,"°","º"))-1)),-1),IF(LEFT(E396,6)="TÉRREO",0,IFERROR(VALUE(LEFT(E396,FIND("º",SUBSTITUTE(E396,"°","º"))-1)),""))))</f>
        <v/>
      </c>
      <c r="O396" s="2">
        <f>IF(OR(F396="",G396=""),"",IF(G396&lt;='RETRATO 2027'!$K$5,"CONCLUÍDA",IF(F396&lt;='RETRATO 2027'!$K$5,"EM ANDAMENTO","A INICIAR")))</f>
        <v/>
      </c>
    </row>
    <row r="397">
      <c r="B397" s="4" t="n">
        <v>29981431</v>
      </c>
      <c r="C397" s="4" t="inlineStr">
        <is>
          <t>TALISCAMENTO</t>
        </is>
      </c>
      <c r="D397" s="4" t="inlineStr">
        <is>
          <t>-</t>
        </is>
      </c>
      <c r="E397" s="4" t="inlineStr">
        <is>
          <t>10º PAV.</t>
        </is>
      </c>
      <c r="F397" s="126" t="n">
        <v>46533</v>
      </c>
      <c r="G397" s="126" t="n">
        <v>46546</v>
      </c>
      <c r="H397" s="126" t="n">
        <v>46289</v>
      </c>
      <c r="I397" s="4" t="n">
        <v>0</v>
      </c>
      <c r="J397" s="4" t="n">
        <v>0</v>
      </c>
      <c r="K397" s="4" t="n">
        <v>0</v>
      </c>
      <c r="M397" s="2">
        <f>IF(C397="","",IFERROR(INDEX($S$5:$S$304,MATCH(C397,$R$5:$R$304,0))&amp;"","?"))</f>
        <v/>
      </c>
      <c r="N397" s="2">
        <f>IF(E397="","",IF(ISNUMBER(SEARCH("SUBSOLO",E397)),IFERROR(-VALUE(LEFT(E397,FIND("º",SUBSTITUTE(E397,"°","º"))-1)),-1),IF(LEFT(E397,6)="TÉRREO",0,IFERROR(VALUE(LEFT(E397,FIND("º",SUBSTITUTE(E397,"°","º"))-1)),""))))</f>
        <v/>
      </c>
      <c r="O397" s="2">
        <f>IF(OR(F397="",G397=""),"",IF(G397&lt;='RETRATO 2027'!$K$5,"CONCLUÍDA",IF(F397&lt;='RETRATO 2027'!$K$5,"EM ANDAMENTO","A INICIAR")))</f>
        <v/>
      </c>
    </row>
    <row r="398">
      <c r="B398" s="4" t="n">
        <v>29981397</v>
      </c>
      <c r="C398" s="4" t="inlineStr">
        <is>
          <t>PRUMADA HIDROSSANITÁRIA</t>
        </is>
      </c>
      <c r="D398" s="4" t="inlineStr">
        <is>
          <t>-</t>
        </is>
      </c>
      <c r="E398" s="4" t="inlineStr">
        <is>
          <t>11º PAV.</t>
        </is>
      </c>
      <c r="F398" s="126" t="n">
        <v>46533</v>
      </c>
      <c r="G398" s="126" t="n">
        <v>46546</v>
      </c>
      <c r="H398" s="126" t="n">
        <v>46289</v>
      </c>
      <c r="I398" s="4" t="n">
        <v>0</v>
      </c>
      <c r="J398" s="4" t="n">
        <v>0</v>
      </c>
      <c r="K398" s="4" t="n">
        <v>0</v>
      </c>
      <c r="M398" s="2">
        <f>IF(C398="","",IFERROR(INDEX($S$5:$S$304,MATCH(C398,$R$5:$R$304,0))&amp;"","?"))</f>
        <v/>
      </c>
      <c r="N398" s="2">
        <f>IF(E398="","",IF(ISNUMBER(SEARCH("SUBSOLO",E398)),IFERROR(-VALUE(LEFT(E398,FIND("º",SUBSTITUTE(E398,"°","º"))-1)),-1),IF(LEFT(E398,6)="TÉRREO",0,IFERROR(VALUE(LEFT(E398,FIND("º",SUBSTITUTE(E398,"°","º"))-1)),""))))</f>
        <v/>
      </c>
      <c r="O398" s="2">
        <f>IF(OR(F398="",G398=""),"",IF(G398&lt;='RETRATO 2027'!$K$5,"CONCLUÍDA",IF(F398&lt;='RETRATO 2027'!$K$5,"EM ANDAMENTO","A INICIAR")))</f>
        <v/>
      </c>
    </row>
    <row r="399">
      <c r="B399" s="4" t="n">
        <v>29940956</v>
      </c>
      <c r="C399" s="4" t="inlineStr">
        <is>
          <t>ESTRUTURA</t>
        </is>
      </c>
      <c r="D399" s="4" t="inlineStr">
        <is>
          <t>-</t>
        </is>
      </c>
      <c r="E399" s="4" t="inlineStr">
        <is>
          <t>16º PAV.</t>
        </is>
      </c>
      <c r="F399" s="126" t="n">
        <v>46533</v>
      </c>
      <c r="G399" s="126" t="n">
        <v>46545</v>
      </c>
      <c r="H399" s="126" t="n">
        <v>46289</v>
      </c>
      <c r="I399" s="4" t="n">
        <v>0</v>
      </c>
      <c r="J399" s="4" t="n">
        <v>0</v>
      </c>
      <c r="K399" s="4" t="n">
        <v>0</v>
      </c>
      <c r="M399" s="2">
        <f>IF(C399="","",IFERROR(INDEX($S$5:$S$304,MATCH(C399,$R$5:$R$304,0))&amp;"","?"))</f>
        <v/>
      </c>
      <c r="N399" s="2">
        <f>IF(E399="","",IF(ISNUMBER(SEARCH("SUBSOLO",E399)),IFERROR(-VALUE(LEFT(E399,FIND("º",SUBSTITUTE(E399,"°","º"))-1)),-1),IF(LEFT(E399,6)="TÉRREO",0,IFERROR(VALUE(LEFT(E399,FIND("º",SUBSTITUTE(E399,"°","º"))-1)),""))))</f>
        <v/>
      </c>
      <c r="O399" s="2">
        <f>IF(OR(F399="",G399=""),"",IF(G399&lt;='RETRATO 2027'!$K$5,"CONCLUÍDA",IF(F399&lt;='RETRATO 2027'!$K$5,"EM ANDAMENTO","A INICIAR")))</f>
        <v/>
      </c>
    </row>
    <row r="400">
      <c r="B400" s="4" t="n">
        <v>31529012</v>
      </c>
      <c r="C400" s="4" t="inlineStr">
        <is>
          <t>ESTRUTURA</t>
        </is>
      </c>
      <c r="D400" s="4" t="inlineStr">
        <is>
          <t>Forma</t>
        </is>
      </c>
      <c r="E400" s="4" t="inlineStr">
        <is>
          <t>16º PAV.</t>
        </is>
      </c>
      <c r="F400" s="126" t="n">
        <v>46533</v>
      </c>
      <c r="G400" s="126" t="n">
        <v>46539</v>
      </c>
      <c r="H400" s="126" t="n">
        <v>46289</v>
      </c>
      <c r="I400" s="4" t="n">
        <v>0</v>
      </c>
      <c r="J400" s="4" t="n">
        <v>0</v>
      </c>
      <c r="K400" s="4" t="n">
        <v>0</v>
      </c>
      <c r="M400" s="2">
        <f>IF(C400="","",IFERROR(INDEX($S$5:$S$304,MATCH(C400,$R$5:$R$304,0))&amp;"","?"))</f>
        <v/>
      </c>
      <c r="N400" s="2">
        <f>IF(E400="","",IF(ISNUMBER(SEARCH("SUBSOLO",E400)),IFERROR(-VALUE(LEFT(E400,FIND("º",SUBSTITUTE(E400,"°","º"))-1)),-1),IF(LEFT(E400,6)="TÉRREO",0,IFERROR(VALUE(LEFT(E400,FIND("º",SUBSTITUTE(E400,"°","º"))-1)),""))))</f>
        <v/>
      </c>
      <c r="O400" s="2">
        <f>IF(OR(F400="",G400=""),"",IF(G400&lt;='RETRATO 2027'!$K$5,"CONCLUÍDA",IF(F400&lt;='RETRATO 2027'!$K$5,"EM ANDAMENTO","A INICIAR")))</f>
        <v/>
      </c>
    </row>
    <row r="401">
      <c r="B401" s="4" t="n">
        <v>31529013</v>
      </c>
      <c r="C401" s="4" t="inlineStr">
        <is>
          <t>ESTRUTURA</t>
        </is>
      </c>
      <c r="D401" s="4" t="inlineStr">
        <is>
          <t>Armação</t>
        </is>
      </c>
      <c r="E401" s="4" t="inlineStr">
        <is>
          <t>16º PAV.</t>
        </is>
      </c>
      <c r="F401" s="126" t="n">
        <v>46540</v>
      </c>
      <c r="G401" s="126" t="n">
        <v>46542</v>
      </c>
      <c r="H401" s="126" t="n">
        <v>46289</v>
      </c>
      <c r="I401" s="4" t="n">
        <v>0</v>
      </c>
      <c r="J401" s="4" t="n">
        <v>0</v>
      </c>
      <c r="K401" s="4" t="n">
        <v>0</v>
      </c>
      <c r="M401" s="2">
        <f>IF(C401="","",IFERROR(INDEX($S$5:$S$304,MATCH(C401,$R$5:$R$304,0))&amp;"","?"))</f>
        <v/>
      </c>
      <c r="N401" s="2">
        <f>IF(E401="","",IF(ISNUMBER(SEARCH("SUBSOLO",E401)),IFERROR(-VALUE(LEFT(E401,FIND("º",SUBSTITUTE(E401,"°","º"))-1)),-1),IF(LEFT(E401,6)="TÉRREO",0,IFERROR(VALUE(LEFT(E401,FIND("º",SUBSTITUTE(E401,"°","º"))-1)),""))))</f>
        <v/>
      </c>
      <c r="O401" s="2">
        <f>IF(OR(F401="",G401=""),"",IF(G401&lt;='RETRATO 2027'!$K$5,"CONCLUÍDA",IF(F401&lt;='RETRATO 2027'!$K$5,"EM ANDAMENTO","A INICIAR")))</f>
        <v/>
      </c>
    </row>
    <row r="402">
      <c r="B402" s="4" t="n">
        <v>31529014</v>
      </c>
      <c r="C402" s="4" t="inlineStr">
        <is>
          <t>ESTRUTURA</t>
        </is>
      </c>
      <c r="D402" s="4" t="inlineStr">
        <is>
          <t>Concretagem</t>
        </is>
      </c>
      <c r="E402" s="4" t="inlineStr">
        <is>
          <t>16º PAV.</t>
        </is>
      </c>
      <c r="F402" s="126" t="n">
        <v>46545</v>
      </c>
      <c r="G402" s="126" t="n">
        <v>46545</v>
      </c>
      <c r="H402" s="126" t="n">
        <v>46289</v>
      </c>
      <c r="I402" s="4" t="n">
        <v>0</v>
      </c>
      <c r="J402" s="4" t="n">
        <v>0</v>
      </c>
      <c r="K402" s="4" t="n">
        <v>0</v>
      </c>
      <c r="M402" s="2">
        <f>IF(C402="","",IFERROR(INDEX($S$5:$S$304,MATCH(C402,$R$5:$R$304,0))&amp;"","?"))</f>
        <v/>
      </c>
      <c r="N402" s="2">
        <f>IF(E402="","",IF(ISNUMBER(SEARCH("SUBSOLO",E402)),IFERROR(-VALUE(LEFT(E402,FIND("º",SUBSTITUTE(E402,"°","º"))-1)),-1),IF(LEFT(E402,6)="TÉRREO",0,IFERROR(VALUE(LEFT(E402,FIND("º",SUBSTITUTE(E402,"°","º"))-1)),""))))</f>
        <v/>
      </c>
      <c r="O402" s="2">
        <f>IF(OR(F402="",G402=""),"",IF(G402&lt;='RETRATO 2027'!$K$5,"CONCLUÍDA",IF(F402&lt;='RETRATO 2027'!$K$5,"EM ANDAMENTO","A INICIAR")))</f>
        <v/>
      </c>
    </row>
    <row r="403">
      <c r="B403" s="4" t="n">
        <v>31529015</v>
      </c>
      <c r="C403" s="4" t="inlineStr">
        <is>
          <t>ESTRUTURA</t>
        </is>
      </c>
      <c r="D403" s="4" t="inlineStr">
        <is>
          <t>Polimento</t>
        </is>
      </c>
      <c r="E403" s="4" t="inlineStr">
        <is>
          <t>16º PAV.</t>
        </is>
      </c>
      <c r="F403" s="126" t="n">
        <v>46545</v>
      </c>
      <c r="G403" s="126" t="n">
        <v>46545</v>
      </c>
      <c r="H403" s="126" t="n">
        <v>46289</v>
      </c>
      <c r="I403" s="4" t="n">
        <v>0</v>
      </c>
      <c r="J403" s="4" t="n">
        <v>0</v>
      </c>
      <c r="K403" s="4" t="n">
        <v>0</v>
      </c>
      <c r="M403" s="2">
        <f>IF(C403="","",IFERROR(INDEX($S$5:$S$304,MATCH(C403,$R$5:$R$304,0))&amp;"","?"))</f>
        <v/>
      </c>
      <c r="N403" s="2">
        <f>IF(E403="","",IF(ISNUMBER(SEARCH("SUBSOLO",E403)),IFERROR(-VALUE(LEFT(E403,FIND("º",SUBSTITUTE(E403,"°","º"))-1)),-1),IF(LEFT(E403,6)="TÉRREO",0,IFERROR(VALUE(LEFT(E403,FIND("º",SUBSTITUTE(E403,"°","º"))-1)),""))))</f>
        <v/>
      </c>
      <c r="O403" s="2">
        <f>IF(OR(F403="",G403=""),"",IF(G403&lt;='RETRATO 2027'!$K$5,"CONCLUÍDA",IF(F403&lt;='RETRATO 2027'!$K$5,"EM ANDAMENTO","A INICIAR")))</f>
        <v/>
      </c>
    </row>
    <row r="404">
      <c r="B404" s="4" t="n">
        <v>30171653</v>
      </c>
      <c r="C404" s="4" t="inlineStr">
        <is>
          <t>REBOCO INTERNO</t>
        </is>
      </c>
      <c r="D404" s="4" t="inlineStr">
        <is>
          <t>-</t>
        </is>
      </c>
      <c r="E404" s="4" t="inlineStr">
        <is>
          <t>CX DE ESCADA DE INCÊND.</t>
        </is>
      </c>
      <c r="F404" s="126" t="n">
        <v>46535</v>
      </c>
      <c r="G404" s="126" t="n">
        <v>46862</v>
      </c>
      <c r="H404" s="126" t="n">
        <v>46289</v>
      </c>
      <c r="I404" s="4" t="n">
        <v>0</v>
      </c>
      <c r="J404" s="4" t="n">
        <v>0</v>
      </c>
      <c r="K404" s="4" t="n">
        <v>0</v>
      </c>
      <c r="M404" s="2">
        <f>IF(C404="","",IFERROR(INDEX($S$5:$S$304,MATCH(C404,$R$5:$R$304,0))&amp;"","?"))</f>
        <v/>
      </c>
      <c r="N404" s="2">
        <f>IF(E404="","",IF(ISNUMBER(SEARCH("SUBSOLO",E404)),IFERROR(-VALUE(LEFT(E404,FIND("º",SUBSTITUTE(E404,"°","º"))-1)),-1),IF(LEFT(E404,6)="TÉRREO",0,IFERROR(VALUE(LEFT(E404,FIND("º",SUBSTITUTE(E404,"°","º"))-1)),""))))</f>
        <v/>
      </c>
      <c r="O404" s="2">
        <f>IF(OR(F404="",G404=""),"",IF(G404&lt;='RETRATO 2027'!$K$5,"CONCLUÍDA",IF(F404&lt;='RETRATO 2027'!$K$5,"EM ANDAMENTO","A INICIAR")))</f>
        <v/>
      </c>
    </row>
    <row r="405">
      <c r="B405" s="4" t="n">
        <v>30171496</v>
      </c>
      <c r="C405" s="4" t="inlineStr">
        <is>
          <t>REBOCO INTERNO</t>
        </is>
      </c>
      <c r="D405" s="4" t="inlineStr">
        <is>
          <t>-</t>
        </is>
      </c>
      <c r="E405" s="4" t="inlineStr">
        <is>
          <t>HALL - APTOS</t>
        </is>
      </c>
      <c r="F405" s="126" t="n">
        <v>46535</v>
      </c>
      <c r="G405" s="126" t="n">
        <v>46862</v>
      </c>
      <c r="H405" s="126" t="n">
        <v>46289</v>
      </c>
      <c r="I405" s="4" t="n">
        <v>0</v>
      </c>
      <c r="J405" s="4" t="n">
        <v>0</v>
      </c>
      <c r="K405" s="4" t="n">
        <v>0</v>
      </c>
      <c r="M405" s="2">
        <f>IF(C405="","",IFERROR(INDEX($S$5:$S$304,MATCH(C405,$R$5:$R$304,0))&amp;"","?"))</f>
        <v/>
      </c>
      <c r="N405" s="2">
        <f>IF(E405="","",IF(ISNUMBER(SEARCH("SUBSOLO",E405)),IFERROR(-VALUE(LEFT(E405,FIND("º",SUBSTITUTE(E405,"°","º"))-1)),-1),IF(LEFT(E405,6)="TÉRREO",0,IFERROR(VALUE(LEFT(E405,FIND("º",SUBSTITUTE(E405,"°","º"))-1)),""))))</f>
        <v/>
      </c>
      <c r="O405" s="2">
        <f>IF(OR(F405="",G405=""),"",IF(G405&lt;='RETRATO 2027'!$K$5,"CONCLUÍDA",IF(F405&lt;='RETRATO 2027'!$K$5,"EM ANDAMENTO","A INICIAR")))</f>
        <v/>
      </c>
    </row>
    <row r="406">
      <c r="B406" s="4" t="n">
        <v>29981396</v>
      </c>
      <c r="C406" s="4" t="inlineStr">
        <is>
          <t>ENCUNHAMENTO</t>
        </is>
      </c>
      <c r="D406" s="4" t="inlineStr">
        <is>
          <t>-</t>
        </is>
      </c>
      <c r="E406" s="4" t="inlineStr">
        <is>
          <t>11º PAV.</t>
        </is>
      </c>
      <c r="F406" s="126" t="n">
        <v>46538</v>
      </c>
      <c r="G406" s="126" t="n">
        <v>46548</v>
      </c>
      <c r="H406" s="126" t="n">
        <v>46289</v>
      </c>
      <c r="I406" s="4" t="n">
        <v>0</v>
      </c>
      <c r="J406" s="4" t="n">
        <v>0</v>
      </c>
      <c r="K406" s="4" t="n">
        <v>0</v>
      </c>
      <c r="M406" s="2">
        <f>IF(C406="","",IFERROR(INDEX($S$5:$S$304,MATCH(C406,$R$5:$R$304,0))&amp;"","?"))</f>
        <v/>
      </c>
      <c r="N406" s="2">
        <f>IF(E406="","",IF(ISNUMBER(SEARCH("SUBSOLO",E406)),IFERROR(-VALUE(LEFT(E406,FIND("º",SUBSTITUTE(E406,"°","º"))-1)),-1),IF(LEFT(E406,6)="TÉRREO",0,IFERROR(VALUE(LEFT(E406,FIND("º",SUBSTITUTE(E406,"°","º"))-1)),""))))</f>
        <v/>
      </c>
      <c r="O406" s="2">
        <f>IF(OR(F406="",G406=""),"",IF(G406&lt;='RETRATO 2027'!$K$5,"CONCLUÍDA",IF(F406&lt;='RETRATO 2027'!$K$5,"EM ANDAMENTO","A INICIAR")))</f>
        <v/>
      </c>
    </row>
    <row r="407">
      <c r="B407" s="4" t="n">
        <v>29981370</v>
      </c>
      <c r="C407" s="4" t="inlineStr">
        <is>
          <t>PRUMADA DE INCÊNDIO</t>
        </is>
      </c>
      <c r="D407" s="4" t="inlineStr">
        <is>
          <t>-</t>
        </is>
      </c>
      <c r="E407" s="4" t="inlineStr">
        <is>
          <t>12º PAV.</t>
        </is>
      </c>
      <c r="F407" s="126" t="n">
        <v>46541</v>
      </c>
      <c r="G407" s="126" t="n">
        <v>46553</v>
      </c>
      <c r="H407" s="126" t="n">
        <v>46289</v>
      </c>
      <c r="I407" s="4" t="n">
        <v>0</v>
      </c>
      <c r="J407" s="4" t="n">
        <v>0</v>
      </c>
      <c r="K407" s="4" t="n">
        <v>0</v>
      </c>
      <c r="M407" s="2">
        <f>IF(C407="","",IFERROR(INDEX($S$5:$S$304,MATCH(C407,$R$5:$R$304,0))&amp;"","?"))</f>
        <v/>
      </c>
      <c r="N407" s="2">
        <f>IF(E407="","",IF(ISNUMBER(SEARCH("SUBSOLO",E407)),IFERROR(-VALUE(LEFT(E407,FIND("º",SUBSTITUTE(E407,"°","º"))-1)),-1),IF(LEFT(E407,6)="TÉRREO",0,IFERROR(VALUE(LEFT(E407,FIND("º",SUBSTITUTE(E407,"°","º"))-1)),""))))</f>
        <v/>
      </c>
      <c r="O407" s="2">
        <f>IF(OR(F407="",G407=""),"",IF(G407&lt;='RETRATO 2027'!$K$5,"CONCLUÍDA",IF(F407&lt;='RETRATO 2027'!$K$5,"EM ANDAMENTO","A INICIAR")))</f>
        <v/>
      </c>
    </row>
    <row r="408">
      <c r="B408" s="4" t="n">
        <v>29981321</v>
      </c>
      <c r="C408" s="4" t="inlineStr">
        <is>
          <t>ALVENARIA</t>
        </is>
      </c>
      <c r="D408" s="4" t="inlineStr">
        <is>
          <t>-</t>
        </is>
      </c>
      <c r="E408" s="4" t="inlineStr">
        <is>
          <t>13º PAV.</t>
        </is>
      </c>
      <c r="F408" s="126" t="n">
        <v>46541</v>
      </c>
      <c r="G408" s="126" t="n">
        <v>46553</v>
      </c>
      <c r="H408" s="126" t="n">
        <v>46289</v>
      </c>
      <c r="I408" s="4" t="n">
        <v>0</v>
      </c>
      <c r="J408" s="4" t="n">
        <v>0</v>
      </c>
      <c r="K408" s="4" t="n">
        <v>0</v>
      </c>
      <c r="M408" s="2">
        <f>IF(C408="","",IFERROR(INDEX($S$5:$S$304,MATCH(C408,$R$5:$R$304,0))&amp;"","?"))</f>
        <v/>
      </c>
      <c r="N408" s="2">
        <f>IF(E408="","",IF(ISNUMBER(SEARCH("SUBSOLO",E408)),IFERROR(-VALUE(LEFT(E408,FIND("º",SUBSTITUTE(E408,"°","º"))-1)),-1),IF(LEFT(E408,6)="TÉRREO",0,IFERROR(VALUE(LEFT(E408,FIND("º",SUBSTITUTE(E408,"°","º"))-1)),""))))</f>
        <v/>
      </c>
      <c r="O408" s="2">
        <f>IF(OR(F408="",G408=""),"",IF(G408&lt;='RETRATO 2027'!$K$5,"CONCLUÍDA",IF(F408&lt;='RETRATO 2027'!$K$5,"EM ANDAMENTO","A INICIAR")))</f>
        <v/>
      </c>
    </row>
    <row r="409">
      <c r="B409" s="4" t="n">
        <v>29940957</v>
      </c>
      <c r="C409" s="4" t="inlineStr">
        <is>
          <t>ESTRUTURA</t>
        </is>
      </c>
      <c r="D409" s="4" t="inlineStr">
        <is>
          <t>-</t>
        </is>
      </c>
      <c r="E409" s="4" t="inlineStr">
        <is>
          <t>17º PAV.</t>
        </is>
      </c>
      <c r="F409" s="126" t="n">
        <v>46546</v>
      </c>
      <c r="G409" s="126" t="n">
        <v>46555</v>
      </c>
      <c r="H409" s="126" t="n">
        <v>46289</v>
      </c>
      <c r="I409" s="4" t="n">
        <v>0</v>
      </c>
      <c r="J409" s="4" t="n">
        <v>0</v>
      </c>
      <c r="K409" s="4" t="n">
        <v>0</v>
      </c>
      <c r="M409" s="2">
        <f>IF(C409="","",IFERROR(INDEX($S$5:$S$304,MATCH(C409,$R$5:$R$304,0))&amp;"","?"))</f>
        <v/>
      </c>
      <c r="N409" s="2">
        <f>IF(E409="","",IF(ISNUMBER(SEARCH("SUBSOLO",E409)),IFERROR(-VALUE(LEFT(E409,FIND("º",SUBSTITUTE(E409,"°","º"))-1)),-1),IF(LEFT(E409,6)="TÉRREO",0,IFERROR(VALUE(LEFT(E409,FIND("º",SUBSTITUTE(E409,"°","º"))-1)),""))))</f>
        <v/>
      </c>
      <c r="O409" s="2">
        <f>IF(OR(F409="",G409=""),"",IF(G409&lt;='RETRATO 2027'!$K$5,"CONCLUÍDA",IF(F409&lt;='RETRATO 2027'!$K$5,"EM ANDAMENTO","A INICIAR")))</f>
        <v/>
      </c>
    </row>
    <row r="410">
      <c r="B410" s="4" t="n">
        <v>31529016</v>
      </c>
      <c r="C410" s="4" t="inlineStr">
        <is>
          <t>ESTRUTURA</t>
        </is>
      </c>
      <c r="D410" s="4" t="inlineStr">
        <is>
          <t>Forma</t>
        </is>
      </c>
      <c r="E410" s="4" t="inlineStr">
        <is>
          <t>17º PAV.</t>
        </is>
      </c>
      <c r="F410" s="126" t="n">
        <v>46546</v>
      </c>
      <c r="G410" s="126" t="n">
        <v>46549</v>
      </c>
      <c r="H410" s="126" t="n">
        <v>46289</v>
      </c>
      <c r="I410" s="4" t="n">
        <v>0</v>
      </c>
      <c r="J410" s="4" t="n">
        <v>0</v>
      </c>
      <c r="K410" s="4" t="n">
        <v>0</v>
      </c>
      <c r="M410" s="2">
        <f>IF(C410="","",IFERROR(INDEX($S$5:$S$304,MATCH(C410,$R$5:$R$304,0))&amp;"","?"))</f>
        <v/>
      </c>
      <c r="N410" s="2">
        <f>IF(E410="","",IF(ISNUMBER(SEARCH("SUBSOLO",E410)),IFERROR(-VALUE(LEFT(E410,FIND("º",SUBSTITUTE(E410,"°","º"))-1)),-1),IF(LEFT(E410,6)="TÉRREO",0,IFERROR(VALUE(LEFT(E410,FIND("º",SUBSTITUTE(E410,"°","º"))-1)),""))))</f>
        <v/>
      </c>
      <c r="O410" s="2">
        <f>IF(OR(F410="",G410=""),"",IF(G410&lt;='RETRATO 2027'!$K$5,"CONCLUÍDA",IF(F410&lt;='RETRATO 2027'!$K$5,"EM ANDAMENTO","A INICIAR")))</f>
        <v/>
      </c>
    </row>
    <row r="411">
      <c r="B411" s="4" t="n">
        <v>31529017</v>
      </c>
      <c r="C411" s="4" t="inlineStr">
        <is>
          <t>ESTRUTURA</t>
        </is>
      </c>
      <c r="D411" s="4" t="inlineStr">
        <is>
          <t>Armação</t>
        </is>
      </c>
      <c r="E411" s="4" t="inlineStr">
        <is>
          <t>17º PAV.</t>
        </is>
      </c>
      <c r="F411" s="126" t="n">
        <v>46552</v>
      </c>
      <c r="G411" s="126" t="n">
        <v>46554</v>
      </c>
      <c r="H411" s="126" t="n">
        <v>46289</v>
      </c>
      <c r="I411" s="4" t="n">
        <v>0</v>
      </c>
      <c r="J411" s="4" t="n">
        <v>0</v>
      </c>
      <c r="K411" s="4" t="n">
        <v>0</v>
      </c>
      <c r="M411" s="2">
        <f>IF(C411="","",IFERROR(INDEX($S$5:$S$304,MATCH(C411,$R$5:$R$304,0))&amp;"","?"))</f>
        <v/>
      </c>
      <c r="N411" s="2">
        <f>IF(E411="","",IF(ISNUMBER(SEARCH("SUBSOLO",E411)),IFERROR(-VALUE(LEFT(E411,FIND("º",SUBSTITUTE(E411,"°","º"))-1)),-1),IF(LEFT(E411,6)="TÉRREO",0,IFERROR(VALUE(LEFT(E411,FIND("º",SUBSTITUTE(E411,"°","º"))-1)),""))))</f>
        <v/>
      </c>
      <c r="O411" s="2">
        <f>IF(OR(F411="",G411=""),"",IF(G411&lt;='RETRATO 2027'!$K$5,"CONCLUÍDA",IF(F411&lt;='RETRATO 2027'!$K$5,"EM ANDAMENTO","A INICIAR")))</f>
        <v/>
      </c>
    </row>
    <row r="412">
      <c r="B412" s="4" t="n">
        <v>31529018</v>
      </c>
      <c r="C412" s="4" t="inlineStr">
        <is>
          <t>ESTRUTURA</t>
        </is>
      </c>
      <c r="D412" s="4" t="inlineStr">
        <is>
          <t>Concretagem</t>
        </is>
      </c>
      <c r="E412" s="4" t="inlineStr">
        <is>
          <t>17º PAV.</t>
        </is>
      </c>
      <c r="F412" s="126" t="n">
        <v>46555</v>
      </c>
      <c r="G412" s="126" t="n">
        <v>46555</v>
      </c>
      <c r="H412" s="126" t="n">
        <v>46289</v>
      </c>
      <c r="I412" s="4" t="n">
        <v>0</v>
      </c>
      <c r="J412" s="4" t="n">
        <v>0</v>
      </c>
      <c r="K412" s="4" t="n">
        <v>0</v>
      </c>
      <c r="M412" s="2">
        <f>IF(C412="","",IFERROR(INDEX($S$5:$S$304,MATCH(C412,$R$5:$R$304,0))&amp;"","?"))</f>
        <v/>
      </c>
      <c r="N412" s="2">
        <f>IF(E412="","",IF(ISNUMBER(SEARCH("SUBSOLO",E412)),IFERROR(-VALUE(LEFT(E412,FIND("º",SUBSTITUTE(E412,"°","º"))-1)),-1),IF(LEFT(E412,6)="TÉRREO",0,IFERROR(VALUE(LEFT(E412,FIND("º",SUBSTITUTE(E412,"°","º"))-1)),""))))</f>
        <v/>
      </c>
      <c r="O412" s="2">
        <f>IF(OR(F412="",G412=""),"",IF(G412&lt;='RETRATO 2027'!$K$5,"CONCLUÍDA",IF(F412&lt;='RETRATO 2027'!$K$5,"EM ANDAMENTO","A INICIAR")))</f>
        <v/>
      </c>
    </row>
    <row r="413">
      <c r="B413" s="4" t="n">
        <v>31529019</v>
      </c>
      <c r="C413" s="4" t="inlineStr">
        <is>
          <t>ESTRUTURA</t>
        </is>
      </c>
      <c r="D413" s="4" t="inlineStr">
        <is>
          <t>Polimento</t>
        </is>
      </c>
      <c r="E413" s="4" t="inlineStr">
        <is>
          <t>17º PAV.</t>
        </is>
      </c>
      <c r="F413" s="126" t="n">
        <v>46555</v>
      </c>
      <c r="G413" s="126" t="n">
        <v>46555</v>
      </c>
      <c r="H413" s="126" t="n">
        <v>46289</v>
      </c>
      <c r="I413" s="4" t="n">
        <v>0</v>
      </c>
      <c r="J413" s="4" t="n">
        <v>0</v>
      </c>
      <c r="K413" s="4" t="n">
        <v>0</v>
      </c>
      <c r="M413" s="2">
        <f>IF(C413="","",IFERROR(INDEX($S$5:$S$304,MATCH(C413,$R$5:$R$304,0))&amp;"","?"))</f>
        <v/>
      </c>
      <c r="N413" s="2">
        <f>IF(E413="","",IF(ISNUMBER(SEARCH("SUBSOLO",E413)),IFERROR(-VALUE(LEFT(E413,FIND("º",SUBSTITUTE(E413,"°","º"))-1)),-1),IF(LEFT(E413,6)="TÉRREO",0,IFERROR(VALUE(LEFT(E413,FIND("º",SUBSTITUTE(E413,"°","º"))-1)),""))))</f>
        <v/>
      </c>
      <c r="O413" s="2">
        <f>IF(OR(F413="",G413=""),"",IF(G413&lt;='RETRATO 2027'!$K$5,"CONCLUÍDA",IF(F413&lt;='RETRATO 2027'!$K$5,"EM ANDAMENTO","A INICIAR")))</f>
        <v/>
      </c>
    </row>
    <row r="414">
      <c r="B414" s="4" t="n">
        <v>29981524</v>
      </c>
      <c r="C414" s="4" t="inlineStr">
        <is>
          <t>SHAFT INTERNO INST. HIDRAÚLICAS</t>
        </is>
      </c>
      <c r="D414" s="4" t="inlineStr">
        <is>
          <t>-</t>
        </is>
      </c>
      <c r="E414" s="4" t="inlineStr">
        <is>
          <t>7º PAV.</t>
        </is>
      </c>
      <c r="F414" s="126" t="n">
        <v>46547</v>
      </c>
      <c r="G414" s="126" t="n">
        <v>46559</v>
      </c>
      <c r="H414" s="126" t="n">
        <v>46289</v>
      </c>
      <c r="I414" s="4" t="n">
        <v>0</v>
      </c>
      <c r="J414" s="4" t="n">
        <v>0</v>
      </c>
      <c r="K414" s="4" t="n">
        <v>0</v>
      </c>
      <c r="M414" s="2">
        <f>IF(C414="","",IFERROR(INDEX($S$5:$S$304,MATCH(C414,$R$5:$R$304,0))&amp;"","?"))</f>
        <v/>
      </c>
      <c r="N414" s="2">
        <f>IF(E414="","",IF(ISNUMBER(SEARCH("SUBSOLO",E414)),IFERROR(-VALUE(LEFT(E414,FIND("º",SUBSTITUTE(E414,"°","º"))-1)),-1),IF(LEFT(E414,6)="TÉRREO",0,IFERROR(VALUE(LEFT(E414,FIND("º",SUBSTITUTE(E414,"°","º"))-1)),""))))</f>
        <v/>
      </c>
      <c r="O414" s="2">
        <f>IF(OR(F414="",G414=""),"",IF(G414&lt;='RETRATO 2027'!$K$5,"CONCLUÍDA",IF(F414&lt;='RETRATO 2027'!$K$5,"EM ANDAMENTO","A INICIAR")))</f>
        <v/>
      </c>
    </row>
    <row r="415">
      <c r="B415" s="4" t="n">
        <v>29981557</v>
      </c>
      <c r="C415" s="4" t="inlineStr">
        <is>
          <t>PRUMADA ELÉTRICA - INFRA</t>
        </is>
      </c>
      <c r="D415" s="4" t="inlineStr">
        <is>
          <t>-</t>
        </is>
      </c>
      <c r="E415" s="4" t="inlineStr">
        <is>
          <t>7º PAV.</t>
        </is>
      </c>
      <c r="F415" s="126" t="n">
        <v>46547</v>
      </c>
      <c r="G415" s="126" t="n">
        <v>46559</v>
      </c>
      <c r="H415" s="126" t="n">
        <v>46289</v>
      </c>
      <c r="I415" s="4" t="n">
        <v>0</v>
      </c>
      <c r="J415" s="4" t="n">
        <v>0</v>
      </c>
      <c r="K415" s="4" t="n">
        <v>0</v>
      </c>
      <c r="M415" s="2">
        <f>IF(C415="","",IFERROR(INDEX($S$5:$S$304,MATCH(C415,$R$5:$R$304,0))&amp;"","?"))</f>
        <v/>
      </c>
      <c r="N415" s="2">
        <f>IF(E415="","",IF(ISNUMBER(SEARCH("SUBSOLO",E415)),IFERROR(-VALUE(LEFT(E415,FIND("º",SUBSTITUTE(E415,"°","º"))-1)),-1),IF(LEFT(E415,6)="TÉRREO",0,IFERROR(VALUE(LEFT(E415,FIND("º",SUBSTITUTE(E415,"°","º"))-1)),""))))</f>
        <v/>
      </c>
      <c r="O415" s="2">
        <f>IF(OR(F415="",G415=""),"",IF(G415&lt;='RETRATO 2027'!$K$5,"CONCLUÍDA",IF(F415&lt;='RETRATO 2027'!$K$5,"EM ANDAMENTO","A INICIAR")))</f>
        <v/>
      </c>
    </row>
    <row r="416">
      <c r="B416" s="4" t="n">
        <v>29981486</v>
      </c>
      <c r="C416" s="4" t="inlineStr">
        <is>
          <t>REBOCO INTERNO</t>
        </is>
      </c>
      <c r="D416" s="4" t="inlineStr">
        <is>
          <t>-</t>
        </is>
      </c>
      <c r="E416" s="4" t="inlineStr">
        <is>
          <t>8º PAV.</t>
        </is>
      </c>
      <c r="F416" s="126" t="n">
        <v>46547</v>
      </c>
      <c r="G416" s="126" t="n">
        <v>46559</v>
      </c>
      <c r="H416" s="126" t="n">
        <v>46289</v>
      </c>
      <c r="I416" s="4" t="n">
        <v>0</v>
      </c>
      <c r="J416" s="4" t="n">
        <v>0</v>
      </c>
      <c r="K416" s="4" t="n">
        <v>0</v>
      </c>
      <c r="M416" s="2">
        <f>IF(C416="","",IFERROR(INDEX($S$5:$S$304,MATCH(C416,$R$5:$R$304,0))&amp;"","?"))</f>
        <v/>
      </c>
      <c r="N416" s="2">
        <f>IF(E416="","",IF(ISNUMBER(SEARCH("SUBSOLO",E416)),IFERROR(-VALUE(LEFT(E416,FIND("º",SUBSTITUTE(E416,"°","º"))-1)),-1),IF(LEFT(E416,6)="TÉRREO",0,IFERROR(VALUE(LEFT(E416,FIND("º",SUBSTITUTE(E416,"°","º"))-1)),""))))</f>
        <v/>
      </c>
      <c r="O416" s="2">
        <f>IF(OR(F416="",G416=""),"",IF(G416&lt;='RETRATO 2027'!$K$5,"CONCLUÍDA",IF(F416&lt;='RETRATO 2027'!$K$5,"EM ANDAMENTO","A INICIAR")))</f>
        <v/>
      </c>
    </row>
    <row r="417">
      <c r="B417" s="4" t="n">
        <v>29981452</v>
      </c>
      <c r="C417" s="4" t="inlineStr">
        <is>
          <t>CONTRAMARCO</t>
        </is>
      </c>
      <c r="D417" s="4" t="inlineStr">
        <is>
          <t>-</t>
        </is>
      </c>
      <c r="E417" s="4" t="inlineStr">
        <is>
          <t>9º PAV.</t>
        </is>
      </c>
      <c r="F417" s="126" t="n">
        <v>46547</v>
      </c>
      <c r="G417" s="126" t="n">
        <v>46559</v>
      </c>
      <c r="H417" s="126" t="n">
        <v>46289</v>
      </c>
      <c r="I417" s="4" t="n">
        <v>0</v>
      </c>
      <c r="J417" s="4" t="n">
        <v>0</v>
      </c>
      <c r="K417" s="4" t="n">
        <v>0</v>
      </c>
      <c r="M417" s="2">
        <f>IF(C417="","",IFERROR(INDEX($S$5:$S$304,MATCH(C417,$R$5:$R$304,0))&amp;"","?"))</f>
        <v/>
      </c>
      <c r="N417" s="2">
        <f>IF(E417="","",IF(ISNUMBER(SEARCH("SUBSOLO",E417)),IFERROR(-VALUE(LEFT(E417,FIND("º",SUBSTITUTE(E417,"°","º"))-1)),-1),IF(LEFT(E417,6)="TÉRREO",0,IFERROR(VALUE(LEFT(E417,FIND("º",SUBSTITUTE(E417,"°","º"))-1)),""))))</f>
        <v/>
      </c>
      <c r="O417" s="2">
        <f>IF(OR(F417="",G417=""),"",IF(G417&lt;='RETRATO 2027'!$K$5,"CONCLUÍDA",IF(F417&lt;='RETRATO 2027'!$K$5,"EM ANDAMENTO","A INICIAR")))</f>
        <v/>
      </c>
    </row>
    <row r="418">
      <c r="B418" s="4" t="n">
        <v>29981445</v>
      </c>
      <c r="C418" s="4" t="inlineStr">
        <is>
          <t>DISTRIBUIÇÃO HIDROSSANITÁRIA</t>
        </is>
      </c>
      <c r="D418" s="4" t="inlineStr">
        <is>
          <t>-</t>
        </is>
      </c>
      <c r="E418" s="4" t="inlineStr">
        <is>
          <t>10º PAV.</t>
        </is>
      </c>
      <c r="F418" s="126" t="n">
        <v>46547</v>
      </c>
      <c r="G418" s="126" t="n">
        <v>46559</v>
      </c>
      <c r="H418" s="126" t="n">
        <v>46289</v>
      </c>
      <c r="I418" s="4" t="n">
        <v>0</v>
      </c>
      <c r="J418" s="4" t="n">
        <v>0</v>
      </c>
      <c r="K418" s="4" t="n">
        <v>0</v>
      </c>
      <c r="M418" s="2">
        <f>IF(C418="","",IFERROR(INDEX($S$5:$S$304,MATCH(C418,$R$5:$R$304,0))&amp;"","?"))</f>
        <v/>
      </c>
      <c r="N418" s="2">
        <f>IF(E418="","",IF(ISNUMBER(SEARCH("SUBSOLO",E418)),IFERROR(-VALUE(LEFT(E418,FIND("º",SUBSTITUTE(E418,"°","º"))-1)),-1),IF(LEFT(E418,6)="TÉRREO",0,IFERROR(VALUE(LEFT(E418,FIND("º",SUBSTITUTE(E418,"°","º"))-1)),""))))</f>
        <v/>
      </c>
      <c r="O418" s="2">
        <f>IF(OR(F418="",G418=""),"",IF(G418&lt;='RETRATO 2027'!$K$5,"CONCLUÍDA",IF(F418&lt;='RETRATO 2027'!$K$5,"EM ANDAMENTO","A INICIAR")))</f>
        <v/>
      </c>
    </row>
    <row r="419">
      <c r="B419" s="4" t="n">
        <v>29981414</v>
      </c>
      <c r="C419" s="4" t="inlineStr">
        <is>
          <t>DISTRIBUIÇÃO ELÉTRICA / QUADRO</t>
        </is>
      </c>
      <c r="D419" s="4" t="inlineStr">
        <is>
          <t>-</t>
        </is>
      </c>
      <c r="E419" s="4" t="inlineStr">
        <is>
          <t>10º PAV.</t>
        </is>
      </c>
      <c r="F419" s="126" t="n">
        <v>46547</v>
      </c>
      <c r="G419" s="126" t="n">
        <v>46559</v>
      </c>
      <c r="H419" s="126" t="n">
        <v>46289</v>
      </c>
      <c r="I419" s="4" t="n">
        <v>0</v>
      </c>
      <c r="J419" s="4" t="n">
        <v>0</v>
      </c>
      <c r="K419" s="4" t="n">
        <v>0</v>
      </c>
      <c r="M419" s="2">
        <f>IF(C419="","",IFERROR(INDEX($S$5:$S$304,MATCH(C419,$R$5:$R$304,0))&amp;"","?"))</f>
        <v/>
      </c>
      <c r="N419" s="2">
        <f>IF(E419="","",IF(ISNUMBER(SEARCH("SUBSOLO",E419)),IFERROR(-VALUE(LEFT(E419,FIND("º",SUBSTITUTE(E419,"°","º"))-1)),-1),IF(LEFT(E419,6)="TÉRREO",0,IFERROR(VALUE(LEFT(E419,FIND("º",SUBSTITUTE(E419,"°","º"))-1)),""))))</f>
        <v/>
      </c>
      <c r="O419" s="2">
        <f>IF(OR(F419="",G419=""),"",IF(G419&lt;='RETRATO 2027'!$K$5,"CONCLUÍDA",IF(F419&lt;='RETRATO 2027'!$K$5,"EM ANDAMENTO","A INICIAR")))</f>
        <v/>
      </c>
    </row>
    <row r="420">
      <c r="B420" s="4" t="n">
        <v>29981447</v>
      </c>
      <c r="C420" s="4" t="inlineStr">
        <is>
          <t>DISTRIBUIÇÃO DE GÁS</t>
        </is>
      </c>
      <c r="D420" s="4" t="inlineStr">
        <is>
          <t>-</t>
        </is>
      </c>
      <c r="E420" s="4" t="inlineStr">
        <is>
          <t>10º PAV.</t>
        </is>
      </c>
      <c r="F420" s="126" t="n">
        <v>46547</v>
      </c>
      <c r="G420" s="126" t="n">
        <v>46559</v>
      </c>
      <c r="H420" s="126" t="n">
        <v>46289</v>
      </c>
      <c r="I420" s="4" t="n">
        <v>0</v>
      </c>
      <c r="J420" s="4" t="n">
        <v>0</v>
      </c>
      <c r="K420" s="4" t="n">
        <v>0</v>
      </c>
      <c r="M420" s="2">
        <f>IF(C420="","",IFERROR(INDEX($S$5:$S$304,MATCH(C420,$R$5:$R$304,0))&amp;"","?"))</f>
        <v/>
      </c>
      <c r="N420" s="2">
        <f>IF(E420="","",IF(ISNUMBER(SEARCH("SUBSOLO",E420)),IFERROR(-VALUE(LEFT(E420,FIND("º",SUBSTITUTE(E420,"°","º"))-1)),-1),IF(LEFT(E420,6)="TÉRREO",0,IFERROR(VALUE(LEFT(E420,FIND("º",SUBSTITUTE(E420,"°","º"))-1)),""))))</f>
        <v/>
      </c>
      <c r="O420" s="2">
        <f>IF(OR(F420="",G420=""),"",IF(G420&lt;='RETRATO 2027'!$K$5,"CONCLUÍDA",IF(F420&lt;='RETRATO 2027'!$K$5,"EM ANDAMENTO","A INICIAR")))</f>
        <v/>
      </c>
    </row>
    <row r="421">
      <c r="B421" s="4" t="n">
        <v>29981394</v>
      </c>
      <c r="C421" s="4" t="inlineStr">
        <is>
          <t>TALISCAMENTO</t>
        </is>
      </c>
      <c r="D421" s="4" t="inlineStr">
        <is>
          <t>-</t>
        </is>
      </c>
      <c r="E421" s="4" t="inlineStr">
        <is>
          <t>11º PAV.</t>
        </is>
      </c>
      <c r="F421" s="126" t="n">
        <v>46547</v>
      </c>
      <c r="G421" s="126" t="n">
        <v>46559</v>
      </c>
      <c r="H421" s="126" t="n">
        <v>46289</v>
      </c>
      <c r="I421" s="4" t="n">
        <v>0</v>
      </c>
      <c r="J421" s="4" t="n">
        <v>0</v>
      </c>
      <c r="K421" s="4" t="n">
        <v>0</v>
      </c>
      <c r="M421" s="2">
        <f>IF(C421="","",IFERROR(INDEX($S$5:$S$304,MATCH(C421,$R$5:$R$304,0))&amp;"","?"))</f>
        <v/>
      </c>
      <c r="N421" s="2">
        <f>IF(E421="","",IF(ISNUMBER(SEARCH("SUBSOLO",E421)),IFERROR(-VALUE(LEFT(E421,FIND("º",SUBSTITUTE(E421,"°","º"))-1)),-1),IF(LEFT(E421,6)="TÉRREO",0,IFERROR(VALUE(LEFT(E421,FIND("º",SUBSTITUTE(E421,"°","º"))-1)),""))))</f>
        <v/>
      </c>
      <c r="O421" s="2">
        <f>IF(OR(F421="",G421=""),"",IF(G421&lt;='RETRATO 2027'!$K$5,"CONCLUÍDA",IF(F421&lt;='RETRATO 2027'!$K$5,"EM ANDAMENTO","A INICIAR")))</f>
        <v/>
      </c>
    </row>
    <row r="422">
      <c r="B422" s="4" t="n">
        <v>29981360</v>
      </c>
      <c r="C422" s="4" t="inlineStr">
        <is>
          <t>PRUMADA HIDROSSANITÁRIA</t>
        </is>
      </c>
      <c r="D422" s="4" t="inlineStr">
        <is>
          <t>-</t>
        </is>
      </c>
      <c r="E422" s="4" t="inlineStr">
        <is>
          <t>12º PAV.</t>
        </is>
      </c>
      <c r="F422" s="126" t="n">
        <v>46547</v>
      </c>
      <c r="G422" s="126" t="n">
        <v>46559</v>
      </c>
      <c r="H422" s="126" t="n">
        <v>46289</v>
      </c>
      <c r="I422" s="4" t="n">
        <v>0</v>
      </c>
      <c r="J422" s="4" t="n">
        <v>0</v>
      </c>
      <c r="K422" s="4" t="n">
        <v>0</v>
      </c>
      <c r="M422" s="2">
        <f>IF(C422="","",IFERROR(INDEX($S$5:$S$304,MATCH(C422,$R$5:$R$304,0))&amp;"","?"))</f>
        <v/>
      </c>
      <c r="N422" s="2">
        <f>IF(E422="","",IF(ISNUMBER(SEARCH("SUBSOLO",E422)),IFERROR(-VALUE(LEFT(E422,FIND("º",SUBSTITUTE(E422,"°","º"))-1)),-1),IF(LEFT(E422,6)="TÉRREO",0,IFERROR(VALUE(LEFT(E422,FIND("º",SUBSTITUTE(E422,"°","º"))-1)),""))))</f>
        <v/>
      </c>
      <c r="O422" s="2">
        <f>IF(OR(F422="",G422=""),"",IF(G422&lt;='RETRATO 2027'!$K$5,"CONCLUÍDA",IF(F422&lt;='RETRATO 2027'!$K$5,"EM ANDAMENTO","A INICIAR")))</f>
        <v/>
      </c>
    </row>
    <row r="423">
      <c r="B423" s="4" t="n">
        <v>29981359</v>
      </c>
      <c r="C423" s="4" t="inlineStr">
        <is>
          <t>ENCUNHAMENTO</t>
        </is>
      </c>
      <c r="D423" s="4" t="inlineStr">
        <is>
          <t>-</t>
        </is>
      </c>
      <c r="E423" s="4" t="inlineStr">
        <is>
          <t>12º PAV.</t>
        </is>
      </c>
      <c r="F423" s="126" t="n">
        <v>46549</v>
      </c>
      <c r="G423" s="126" t="n">
        <v>46561</v>
      </c>
      <c r="H423" s="126" t="n">
        <v>46289</v>
      </c>
      <c r="I423" s="4" t="n">
        <v>0</v>
      </c>
      <c r="J423" s="4" t="n">
        <v>0</v>
      </c>
      <c r="K423" s="4" t="n">
        <v>0</v>
      </c>
      <c r="M423" s="2">
        <f>IF(C423="","",IFERROR(INDEX($S$5:$S$304,MATCH(C423,$R$5:$R$304,0))&amp;"","?"))</f>
        <v/>
      </c>
      <c r="N423" s="2">
        <f>IF(E423="","",IF(ISNUMBER(SEARCH("SUBSOLO",E423)),IFERROR(-VALUE(LEFT(E423,FIND("º",SUBSTITUTE(E423,"°","º"))-1)),-1),IF(LEFT(E423,6)="TÉRREO",0,IFERROR(VALUE(LEFT(E423,FIND("º",SUBSTITUTE(E423,"°","º"))-1)),""))))</f>
        <v/>
      </c>
      <c r="O423" s="2">
        <f>IF(OR(F423="",G423=""),"",IF(G423&lt;='RETRATO 2027'!$K$5,"CONCLUÍDA",IF(F423&lt;='RETRATO 2027'!$K$5,"EM ANDAMENTO","A INICIAR")))</f>
        <v/>
      </c>
    </row>
    <row r="424">
      <c r="B424" s="4" t="n">
        <v>30171482</v>
      </c>
      <c r="C424" s="4" t="inlineStr">
        <is>
          <t>TALISCAMENTO</t>
        </is>
      </c>
      <c r="D424" s="4" t="inlineStr">
        <is>
          <t>-</t>
        </is>
      </c>
      <c r="E424" s="4" t="inlineStr">
        <is>
          <t>2º PAV - GARAGEM</t>
        </is>
      </c>
      <c r="F424" s="126" t="n">
        <v>46552</v>
      </c>
      <c r="G424" s="126" t="n">
        <v>46563</v>
      </c>
      <c r="H424" s="126" t="n">
        <v>46289</v>
      </c>
      <c r="I424" s="4" t="n">
        <v>0</v>
      </c>
      <c r="J424" s="4" t="n">
        <v>0</v>
      </c>
      <c r="K424" s="4" t="n">
        <v>0</v>
      </c>
      <c r="M424" s="2">
        <f>IF(C424="","",IFERROR(INDEX($S$5:$S$304,MATCH(C424,$R$5:$R$304,0))&amp;"","?"))</f>
        <v/>
      </c>
      <c r="N424" s="2">
        <f>IF(E424="","",IF(ISNUMBER(SEARCH("SUBSOLO",E424)),IFERROR(-VALUE(LEFT(E424,FIND("º",SUBSTITUTE(E424,"°","º"))-1)),-1),IF(LEFT(E424,6)="TÉRREO",0,IFERROR(VALUE(LEFT(E424,FIND("º",SUBSTITUTE(E424,"°","º"))-1)),""))))</f>
        <v/>
      </c>
      <c r="O424" s="2">
        <f>IF(OR(F424="",G424=""),"",IF(G424&lt;='RETRATO 2027'!$K$5,"CONCLUÍDA",IF(F424&lt;='RETRATO 2027'!$K$5,"EM ANDAMENTO","A INICIAR")))</f>
        <v/>
      </c>
    </row>
    <row r="425">
      <c r="B425" s="4" t="n">
        <v>30171488</v>
      </c>
      <c r="C425" s="4" t="inlineStr">
        <is>
          <t>CHUMBAMENTO DE PCF</t>
        </is>
      </c>
      <c r="D425" s="4" t="inlineStr">
        <is>
          <t>-</t>
        </is>
      </c>
      <c r="E425" s="4" t="inlineStr">
        <is>
          <t>2º PAV - GARAGEM</t>
        </is>
      </c>
      <c r="F425" s="126" t="n">
        <v>46552</v>
      </c>
      <c r="G425" s="126" t="n">
        <v>46563</v>
      </c>
      <c r="H425" s="126" t="n">
        <v>46289</v>
      </c>
      <c r="I425" s="4" t="n">
        <v>0</v>
      </c>
      <c r="J425" s="4" t="n">
        <v>0</v>
      </c>
      <c r="K425" s="4" t="n">
        <v>0</v>
      </c>
      <c r="M425" s="2">
        <f>IF(C425="","",IFERROR(INDEX($S$5:$S$304,MATCH(C425,$R$5:$R$304,0))&amp;"","?"))</f>
        <v/>
      </c>
      <c r="N425" s="2">
        <f>IF(E425="","",IF(ISNUMBER(SEARCH("SUBSOLO",E425)),IFERROR(-VALUE(LEFT(E425,FIND("º",SUBSTITUTE(E425,"°","º"))-1)),-1),IF(LEFT(E425,6)="TÉRREO",0,IFERROR(VALUE(LEFT(E425,FIND("º",SUBSTITUTE(E425,"°","º"))-1)),""))))</f>
        <v/>
      </c>
      <c r="O425" s="2">
        <f>IF(OR(F425="",G425=""),"",IF(G425&lt;='RETRATO 2027'!$K$5,"CONCLUÍDA",IF(F425&lt;='RETRATO 2027'!$K$5,"EM ANDAMENTO","A INICIAR")))</f>
        <v/>
      </c>
    </row>
    <row r="426">
      <c r="B426" s="4" t="n">
        <v>30171453</v>
      </c>
      <c r="C426" s="4" t="inlineStr">
        <is>
          <t>ALVENARIA</t>
        </is>
      </c>
      <c r="D426" s="4" t="inlineStr">
        <is>
          <t>-</t>
        </is>
      </c>
      <c r="E426" s="4" t="inlineStr">
        <is>
          <t>3º PAV - GARAGEM</t>
        </is>
      </c>
      <c r="F426" s="126" t="n">
        <v>46552</v>
      </c>
      <c r="G426" s="126" t="n">
        <v>46611</v>
      </c>
      <c r="H426" s="126" t="n">
        <v>46289</v>
      </c>
      <c r="I426" s="4" t="n">
        <v>0</v>
      </c>
      <c r="J426" s="4" t="n">
        <v>0</v>
      </c>
      <c r="K426" s="4" t="n">
        <v>0</v>
      </c>
      <c r="M426" s="2">
        <f>IF(C426="","",IFERROR(INDEX($S$5:$S$304,MATCH(C426,$R$5:$R$304,0))&amp;"","?"))</f>
        <v/>
      </c>
      <c r="N426" s="2">
        <f>IF(E426="","",IF(ISNUMBER(SEARCH("SUBSOLO",E426)),IFERROR(-VALUE(LEFT(E426,FIND("º",SUBSTITUTE(E426,"°","º"))-1)),-1),IF(LEFT(E426,6)="TÉRREO",0,IFERROR(VALUE(LEFT(E426,FIND("º",SUBSTITUTE(E426,"°","º"))-1)),""))))</f>
        <v/>
      </c>
      <c r="O426" s="2">
        <f>IF(OR(F426="",G426=""),"",IF(G426&lt;='RETRATO 2027'!$K$5,"CONCLUÍDA",IF(F426&lt;='RETRATO 2027'!$K$5,"EM ANDAMENTO","A INICIAR")))</f>
        <v/>
      </c>
    </row>
    <row r="427">
      <c r="B427" s="4" t="n">
        <v>30171437</v>
      </c>
      <c r="C427" s="4" t="inlineStr">
        <is>
          <t>INFRA ELÉTRICA - TETO</t>
        </is>
      </c>
      <c r="D427" s="4" t="inlineStr">
        <is>
          <t>-</t>
        </is>
      </c>
      <c r="E427" s="4" t="inlineStr">
        <is>
          <t>4º PAV - GARAGEM</t>
        </is>
      </c>
      <c r="F427" s="126" t="n">
        <v>46552</v>
      </c>
      <c r="G427" s="126" t="n">
        <v>46611</v>
      </c>
      <c r="H427" s="126" t="n">
        <v>46289</v>
      </c>
      <c r="I427" s="4" t="n">
        <v>0</v>
      </c>
      <c r="J427" s="4" t="n">
        <v>0</v>
      </c>
      <c r="K427" s="4" t="n">
        <v>0</v>
      </c>
      <c r="M427" s="2">
        <f>IF(C427="","",IFERROR(INDEX($S$5:$S$304,MATCH(C427,$R$5:$R$304,0))&amp;"","?"))</f>
        <v/>
      </c>
      <c r="N427" s="2">
        <f>IF(E427="","",IF(ISNUMBER(SEARCH("SUBSOLO",E427)),IFERROR(-VALUE(LEFT(E427,FIND("º",SUBSTITUTE(E427,"°","º"))-1)),-1),IF(LEFT(E427,6)="TÉRREO",0,IFERROR(VALUE(LEFT(E427,FIND("º",SUBSTITUTE(E427,"°","º"))-1)),""))))</f>
        <v/>
      </c>
      <c r="O427" s="2">
        <f>IF(OR(F427="",G427=""),"",IF(G427&lt;='RETRATO 2027'!$K$5,"CONCLUÍDA",IF(F427&lt;='RETRATO 2027'!$K$5,"EM ANDAMENTO","A INICIAR")))</f>
        <v/>
      </c>
    </row>
    <row r="428">
      <c r="B428" s="4" t="n">
        <v>29981333</v>
      </c>
      <c r="C428" s="4" t="inlineStr">
        <is>
          <t>PRUMADA DE INCÊNDIO</t>
        </is>
      </c>
      <c r="D428" s="4" t="inlineStr">
        <is>
          <t>-</t>
        </is>
      </c>
      <c r="E428" s="4" t="inlineStr">
        <is>
          <t>13º PAV.</t>
        </is>
      </c>
      <c r="F428" s="126" t="n">
        <v>46554</v>
      </c>
      <c r="G428" s="126" t="n">
        <v>46566</v>
      </c>
      <c r="H428" s="126" t="n">
        <v>46289</v>
      </c>
      <c r="I428" s="4" t="n">
        <v>0</v>
      </c>
      <c r="J428" s="4" t="n">
        <v>0</v>
      </c>
      <c r="K428" s="4" t="n">
        <v>0</v>
      </c>
      <c r="M428" s="2">
        <f>IF(C428="","",IFERROR(INDEX($S$5:$S$304,MATCH(C428,$R$5:$R$304,0))&amp;"","?"))</f>
        <v/>
      </c>
      <c r="N428" s="2">
        <f>IF(E428="","",IF(ISNUMBER(SEARCH("SUBSOLO",E428)),IFERROR(-VALUE(LEFT(E428,FIND("º",SUBSTITUTE(E428,"°","º"))-1)),-1),IF(LEFT(E428,6)="TÉRREO",0,IFERROR(VALUE(LEFT(E428,FIND("º",SUBSTITUTE(E428,"°","º"))-1)),""))))</f>
        <v/>
      </c>
      <c r="O428" s="2">
        <f>IF(OR(F428="",G428=""),"",IF(G428&lt;='RETRATO 2027'!$K$5,"CONCLUÍDA",IF(F428&lt;='RETRATO 2027'!$K$5,"EM ANDAMENTO","A INICIAR")))</f>
        <v/>
      </c>
    </row>
    <row r="429">
      <c r="B429" s="4" t="n">
        <v>29981284</v>
      </c>
      <c r="C429" s="4" t="inlineStr">
        <is>
          <t>ALVENARIA</t>
        </is>
      </c>
      <c r="D429" s="4" t="inlineStr">
        <is>
          <t>-</t>
        </is>
      </c>
      <c r="E429" s="4" t="inlineStr">
        <is>
          <t>14º PAV.</t>
        </is>
      </c>
      <c r="F429" s="126" t="n">
        <v>46554</v>
      </c>
      <c r="G429" s="126" t="n">
        <v>46566</v>
      </c>
      <c r="H429" s="126" t="n">
        <v>46289</v>
      </c>
      <c r="I429" s="4" t="n">
        <v>0</v>
      </c>
      <c r="J429" s="4" t="n">
        <v>0</v>
      </c>
      <c r="K429" s="4" t="n">
        <v>0</v>
      </c>
      <c r="M429" s="2">
        <f>IF(C429="","",IFERROR(INDEX($S$5:$S$304,MATCH(C429,$R$5:$R$304,0))&amp;"","?"))</f>
        <v/>
      </c>
      <c r="N429" s="2">
        <f>IF(E429="","",IF(ISNUMBER(SEARCH("SUBSOLO",E429)),IFERROR(-VALUE(LEFT(E429,FIND("º",SUBSTITUTE(E429,"°","º"))-1)),-1),IF(LEFT(E429,6)="TÉRREO",0,IFERROR(VALUE(LEFT(E429,FIND("º",SUBSTITUTE(E429,"°","º"))-1)),""))))</f>
        <v/>
      </c>
      <c r="O429" s="2">
        <f>IF(OR(F429="",G429=""),"",IF(G429&lt;='RETRATO 2027'!$K$5,"CONCLUÍDA",IF(F429&lt;='RETRATO 2027'!$K$5,"EM ANDAMENTO","A INICIAR")))</f>
        <v/>
      </c>
    </row>
    <row r="430">
      <c r="B430" s="4" t="n">
        <v>30205726</v>
      </c>
      <c r="C430" s="4" t="inlineStr">
        <is>
          <t>TALISCAMENTO</t>
        </is>
      </c>
      <c r="D430" s="4" t="inlineStr">
        <is>
          <t>-</t>
        </is>
      </c>
      <c r="E430" s="4" t="inlineStr">
        <is>
          <t>SUBSOLO</t>
        </is>
      </c>
      <c r="F430" s="126" t="n">
        <v>46555</v>
      </c>
      <c r="G430" s="126" t="n">
        <v>46568</v>
      </c>
      <c r="H430" s="126" t="n">
        <v>46289</v>
      </c>
      <c r="I430" s="4" t="n">
        <v>0</v>
      </c>
      <c r="J430" s="4" t="n">
        <v>0</v>
      </c>
      <c r="K430" s="4" t="n">
        <v>0</v>
      </c>
      <c r="M430" s="2">
        <f>IF(C430="","",IFERROR(INDEX($S$5:$S$304,MATCH(C430,$R$5:$R$304,0))&amp;"","?"))</f>
        <v/>
      </c>
      <c r="N430" s="2">
        <f>IF(E430="","",IF(ISNUMBER(SEARCH("SUBSOLO",E430)),IFERROR(-VALUE(LEFT(E430,FIND("º",SUBSTITUTE(E430,"°","º"))-1)),-1),IF(LEFT(E430,6)="TÉRREO",0,IFERROR(VALUE(LEFT(E430,FIND("º",SUBSTITUTE(E430,"°","º"))-1)),""))))</f>
        <v/>
      </c>
      <c r="O430" s="2">
        <f>IF(OR(F430="",G430=""),"",IF(G430&lt;='RETRATO 2027'!$K$5,"CONCLUÍDA",IF(F430&lt;='RETRATO 2027'!$K$5,"EM ANDAMENTO","A INICIAR")))</f>
        <v/>
      </c>
    </row>
    <row r="431">
      <c r="B431" s="4" t="n">
        <v>30205732</v>
      </c>
      <c r="C431" s="4" t="inlineStr">
        <is>
          <t>CHUMBAMENTO DE PCF</t>
        </is>
      </c>
      <c r="D431" s="4" t="inlineStr">
        <is>
          <t>-</t>
        </is>
      </c>
      <c r="E431" s="4" t="inlineStr">
        <is>
          <t>SUBSOLO</t>
        </is>
      </c>
      <c r="F431" s="126" t="n">
        <v>46555</v>
      </c>
      <c r="G431" s="126" t="n">
        <v>46568</v>
      </c>
      <c r="H431" s="126" t="n">
        <v>46289</v>
      </c>
      <c r="I431" s="4" t="n">
        <v>0</v>
      </c>
      <c r="J431" s="4" t="n">
        <v>0</v>
      </c>
      <c r="K431" s="4" t="n">
        <v>0</v>
      </c>
      <c r="M431" s="2">
        <f>IF(C431="","",IFERROR(INDEX($S$5:$S$304,MATCH(C431,$R$5:$R$304,0))&amp;"","?"))</f>
        <v/>
      </c>
      <c r="N431" s="2">
        <f>IF(E431="","",IF(ISNUMBER(SEARCH("SUBSOLO",E431)),IFERROR(-VALUE(LEFT(E431,FIND("º",SUBSTITUTE(E431,"°","º"))-1)),-1),IF(LEFT(E431,6)="TÉRREO",0,IFERROR(VALUE(LEFT(E431,FIND("º",SUBSTITUTE(E431,"°","º"))-1)),""))))</f>
        <v/>
      </c>
      <c r="O431" s="2">
        <f>IF(OR(F431="",G431=""),"",IF(G431&lt;='RETRATO 2027'!$K$5,"CONCLUÍDA",IF(F431&lt;='RETRATO 2027'!$K$5,"EM ANDAMENTO","A INICIAR")))</f>
        <v/>
      </c>
    </row>
    <row r="432">
      <c r="B432" s="4" t="n">
        <v>30205683</v>
      </c>
      <c r="C432" s="4" t="inlineStr">
        <is>
          <t>ALVENARIA</t>
        </is>
      </c>
      <c r="D432" s="4" t="inlineStr">
        <is>
          <t>-</t>
        </is>
      </c>
      <c r="E432" s="4" t="inlineStr">
        <is>
          <t>TÉRREO - LOJA 1</t>
        </is>
      </c>
      <c r="F432" s="126" t="n">
        <v>46555</v>
      </c>
      <c r="G432" s="126" t="n">
        <v>46568</v>
      </c>
      <c r="H432" s="126" t="n">
        <v>46289</v>
      </c>
      <c r="I432" s="4" t="n">
        <v>0</v>
      </c>
      <c r="J432" s="4" t="n">
        <v>0</v>
      </c>
      <c r="K432" s="4" t="n">
        <v>0</v>
      </c>
      <c r="M432" s="2">
        <f>IF(C432="","",IFERROR(INDEX($S$5:$S$304,MATCH(C432,$R$5:$R$304,0))&amp;"","?"))</f>
        <v/>
      </c>
      <c r="N432" s="2">
        <f>IF(E432="","",IF(ISNUMBER(SEARCH("SUBSOLO",E432)),IFERROR(-VALUE(LEFT(E432,FIND("º",SUBSTITUTE(E432,"°","º"))-1)),-1),IF(LEFT(E432,6)="TÉRREO",0,IFERROR(VALUE(LEFT(E432,FIND("º",SUBSTITUTE(E432,"°","º"))-1)),""))))</f>
        <v/>
      </c>
      <c r="O432" s="2">
        <f>IF(OR(F432="",G432=""),"",IF(G432&lt;='RETRATO 2027'!$K$5,"CONCLUÍDA",IF(F432&lt;='RETRATO 2027'!$K$5,"EM ANDAMENTO","A INICIAR")))</f>
        <v/>
      </c>
    </row>
    <row r="433">
      <c r="B433" s="4" t="n">
        <v>29940958</v>
      </c>
      <c r="C433" s="4" t="inlineStr">
        <is>
          <t>ESTRUTURA</t>
        </is>
      </c>
      <c r="D433" s="4" t="inlineStr">
        <is>
          <t>-</t>
        </is>
      </c>
      <c r="E433" s="4" t="inlineStr">
        <is>
          <t>18º PAV.</t>
        </is>
      </c>
      <c r="F433" s="126" t="n">
        <v>46556</v>
      </c>
      <c r="G433" s="126" t="n">
        <v>46568</v>
      </c>
      <c r="H433" s="126" t="n">
        <v>46289</v>
      </c>
      <c r="I433" s="4" t="n">
        <v>0</v>
      </c>
      <c r="J433" s="4" t="n">
        <v>0</v>
      </c>
      <c r="K433" s="4" t="n">
        <v>0</v>
      </c>
      <c r="M433" s="2">
        <f>IF(C433="","",IFERROR(INDEX($S$5:$S$304,MATCH(C433,$R$5:$R$304,0))&amp;"","?"))</f>
        <v/>
      </c>
      <c r="N433" s="2">
        <f>IF(E433="","",IF(ISNUMBER(SEARCH("SUBSOLO",E433)),IFERROR(-VALUE(LEFT(E433,FIND("º",SUBSTITUTE(E433,"°","º"))-1)),-1),IF(LEFT(E433,6)="TÉRREO",0,IFERROR(VALUE(LEFT(E433,FIND("º",SUBSTITUTE(E433,"°","º"))-1)),""))))</f>
        <v/>
      </c>
      <c r="O433" s="2">
        <f>IF(OR(F433="",G433=""),"",IF(G433&lt;='RETRATO 2027'!$K$5,"CONCLUÍDA",IF(F433&lt;='RETRATO 2027'!$K$5,"EM ANDAMENTO","A INICIAR")))</f>
        <v/>
      </c>
    </row>
    <row r="434">
      <c r="B434" s="4" t="n">
        <v>31529020</v>
      </c>
      <c r="C434" s="4" t="inlineStr">
        <is>
          <t>ESTRUTURA</t>
        </is>
      </c>
      <c r="D434" s="4" t="inlineStr">
        <is>
          <t>Forma</t>
        </is>
      </c>
      <c r="E434" s="4" t="inlineStr">
        <is>
          <t>18º PAV.</t>
        </is>
      </c>
      <c r="F434" s="126" t="n">
        <v>46556</v>
      </c>
      <c r="G434" s="126" t="n">
        <v>46562</v>
      </c>
      <c r="H434" s="126" t="n">
        <v>46289</v>
      </c>
      <c r="I434" s="4" t="n">
        <v>0</v>
      </c>
      <c r="J434" s="4" t="n">
        <v>0</v>
      </c>
      <c r="K434" s="4" t="n">
        <v>0</v>
      </c>
      <c r="M434" s="2">
        <f>IF(C434="","",IFERROR(INDEX($S$5:$S$304,MATCH(C434,$R$5:$R$304,0))&amp;"","?"))</f>
        <v/>
      </c>
      <c r="N434" s="2">
        <f>IF(E434="","",IF(ISNUMBER(SEARCH("SUBSOLO",E434)),IFERROR(-VALUE(LEFT(E434,FIND("º",SUBSTITUTE(E434,"°","º"))-1)),-1),IF(LEFT(E434,6)="TÉRREO",0,IFERROR(VALUE(LEFT(E434,FIND("º",SUBSTITUTE(E434,"°","º"))-1)),""))))</f>
        <v/>
      </c>
      <c r="O434" s="2">
        <f>IF(OR(F434="",G434=""),"",IF(G434&lt;='RETRATO 2027'!$K$5,"CONCLUÍDA",IF(F434&lt;='RETRATO 2027'!$K$5,"EM ANDAMENTO","A INICIAR")))</f>
        <v/>
      </c>
    </row>
    <row r="435">
      <c r="B435" s="4" t="n">
        <v>31529021</v>
      </c>
      <c r="C435" s="4" t="inlineStr">
        <is>
          <t>ESTRUTURA</t>
        </is>
      </c>
      <c r="D435" s="4" t="inlineStr">
        <is>
          <t>Armação</t>
        </is>
      </c>
      <c r="E435" s="4" t="inlineStr">
        <is>
          <t>18º PAV.</t>
        </is>
      </c>
      <c r="F435" s="126" t="n">
        <v>46563</v>
      </c>
      <c r="G435" s="126" t="n">
        <v>46567</v>
      </c>
      <c r="H435" s="126" t="n">
        <v>46289</v>
      </c>
      <c r="I435" s="4" t="n">
        <v>0</v>
      </c>
      <c r="J435" s="4" t="n">
        <v>0</v>
      </c>
      <c r="K435" s="4" t="n">
        <v>0</v>
      </c>
      <c r="M435" s="2">
        <f>IF(C435="","",IFERROR(INDEX($S$5:$S$304,MATCH(C435,$R$5:$R$304,0))&amp;"","?"))</f>
        <v/>
      </c>
      <c r="N435" s="2">
        <f>IF(E435="","",IF(ISNUMBER(SEARCH("SUBSOLO",E435)),IFERROR(-VALUE(LEFT(E435,FIND("º",SUBSTITUTE(E435,"°","º"))-1)),-1),IF(LEFT(E435,6)="TÉRREO",0,IFERROR(VALUE(LEFT(E435,FIND("º",SUBSTITUTE(E435,"°","º"))-1)),""))))</f>
        <v/>
      </c>
      <c r="O435" s="2">
        <f>IF(OR(F435="",G435=""),"",IF(G435&lt;='RETRATO 2027'!$K$5,"CONCLUÍDA",IF(F435&lt;='RETRATO 2027'!$K$5,"EM ANDAMENTO","A INICIAR")))</f>
        <v/>
      </c>
    </row>
    <row r="436">
      <c r="B436" s="4" t="n">
        <v>31529022</v>
      </c>
      <c r="C436" s="4" t="inlineStr">
        <is>
          <t>ESTRUTURA</t>
        </is>
      </c>
      <c r="D436" s="4" t="inlineStr">
        <is>
          <t>Concretagem</t>
        </is>
      </c>
      <c r="E436" s="4" t="inlineStr">
        <is>
          <t>18º PAV.</t>
        </is>
      </c>
      <c r="F436" s="126" t="n">
        <v>46568</v>
      </c>
      <c r="G436" s="126" t="n">
        <v>46568</v>
      </c>
      <c r="H436" s="126" t="n">
        <v>46289</v>
      </c>
      <c r="I436" s="4" t="n">
        <v>0</v>
      </c>
      <c r="J436" s="4" t="n">
        <v>0</v>
      </c>
      <c r="K436" s="4" t="n">
        <v>0</v>
      </c>
      <c r="M436" s="2">
        <f>IF(C436="","",IFERROR(INDEX($S$5:$S$304,MATCH(C436,$R$5:$R$304,0))&amp;"","?"))</f>
        <v/>
      </c>
      <c r="N436" s="2">
        <f>IF(E436="","",IF(ISNUMBER(SEARCH("SUBSOLO",E436)),IFERROR(-VALUE(LEFT(E436,FIND("º",SUBSTITUTE(E436,"°","º"))-1)),-1),IF(LEFT(E436,6)="TÉRREO",0,IFERROR(VALUE(LEFT(E436,FIND("º",SUBSTITUTE(E436,"°","º"))-1)),""))))</f>
        <v/>
      </c>
      <c r="O436" s="2">
        <f>IF(OR(F436="",G436=""),"",IF(G436&lt;='RETRATO 2027'!$K$5,"CONCLUÍDA",IF(F436&lt;='RETRATO 2027'!$K$5,"EM ANDAMENTO","A INICIAR")))</f>
        <v/>
      </c>
    </row>
    <row r="437">
      <c r="B437" s="4" t="n">
        <v>31529023</v>
      </c>
      <c r="C437" s="4" t="inlineStr">
        <is>
          <t>ESTRUTURA</t>
        </is>
      </c>
      <c r="D437" s="4" t="inlineStr">
        <is>
          <t>Polimento</t>
        </is>
      </c>
      <c r="E437" s="4" t="inlineStr">
        <is>
          <t>18º PAV.</t>
        </is>
      </c>
      <c r="F437" s="126" t="n">
        <v>46568</v>
      </c>
      <c r="G437" s="126" t="n">
        <v>46568</v>
      </c>
      <c r="H437" s="126" t="n">
        <v>46289</v>
      </c>
      <c r="I437" s="4" t="n">
        <v>0</v>
      </c>
      <c r="J437" s="4" t="n">
        <v>0</v>
      </c>
      <c r="K437" s="4" t="n">
        <v>0</v>
      </c>
      <c r="M437" s="2">
        <f>IF(C437="","",IFERROR(INDEX($S$5:$S$304,MATCH(C437,$R$5:$R$304,0))&amp;"","?"))</f>
        <v/>
      </c>
      <c r="N437" s="2">
        <f>IF(E437="","",IF(ISNUMBER(SEARCH("SUBSOLO",E437)),IFERROR(-VALUE(LEFT(E437,FIND("º",SUBSTITUTE(E437,"°","º"))-1)),-1),IF(LEFT(E437,6)="TÉRREO",0,IFERROR(VALUE(LEFT(E437,FIND("º",SUBSTITUTE(E437,"°","º"))-1)),""))))</f>
        <v/>
      </c>
      <c r="O437" s="2">
        <f>IF(OR(F437="",G437=""),"",IF(G437&lt;='RETRATO 2027'!$K$5,"CONCLUÍDA",IF(F437&lt;='RETRATO 2027'!$K$5,"EM ANDAMENTO","A INICIAR")))</f>
        <v/>
      </c>
    </row>
    <row r="438">
      <c r="B438" s="4" t="n">
        <v>30171483</v>
      </c>
      <c r="C438" s="4" t="inlineStr">
        <is>
          <t>ENCUNHAMENTO</t>
        </is>
      </c>
      <c r="D438" s="4" t="inlineStr">
        <is>
          <t>-</t>
        </is>
      </c>
      <c r="E438" s="4" t="inlineStr">
        <is>
          <t>2º PAV - GARAGEM</t>
        </is>
      </c>
      <c r="F438" s="126" t="n">
        <v>46560</v>
      </c>
      <c r="G438" s="126" t="n">
        <v>46573</v>
      </c>
      <c r="H438" s="126" t="n">
        <v>46289</v>
      </c>
      <c r="I438" s="4" t="n">
        <v>0</v>
      </c>
      <c r="J438" s="4" t="n">
        <v>0</v>
      </c>
      <c r="K438" s="4" t="n">
        <v>0</v>
      </c>
      <c r="M438" s="2">
        <f>IF(C438="","",IFERROR(INDEX($S$5:$S$304,MATCH(C438,$R$5:$R$304,0))&amp;"","?"))</f>
        <v/>
      </c>
      <c r="N438" s="2">
        <f>IF(E438="","",IF(ISNUMBER(SEARCH("SUBSOLO",E438)),IFERROR(-VALUE(LEFT(E438,FIND("º",SUBSTITUTE(E438,"°","º"))-1)),-1),IF(LEFT(E438,6)="TÉRREO",0,IFERROR(VALUE(LEFT(E438,FIND("º",SUBSTITUTE(E438,"°","º"))-1)),""))))</f>
        <v/>
      </c>
      <c r="O438" s="2">
        <f>IF(OR(F438="",G438=""),"",IF(G438&lt;='RETRATO 2027'!$K$5,"CONCLUÍDA",IF(F438&lt;='RETRATO 2027'!$K$5,"EM ANDAMENTO","A INICIAR")))</f>
        <v/>
      </c>
    </row>
    <row r="439">
      <c r="B439" s="4" t="n">
        <v>29981547</v>
      </c>
      <c r="C439" s="4" t="inlineStr">
        <is>
          <t>CONTRAPISO</t>
        </is>
      </c>
      <c r="D439" s="4" t="inlineStr">
        <is>
          <t>-</t>
        </is>
      </c>
      <c r="E439" s="4" t="inlineStr">
        <is>
          <t>7º PAV.</t>
        </is>
      </c>
      <c r="F439" s="126" t="n">
        <v>46560</v>
      </c>
      <c r="G439" s="126" t="n">
        <v>46570</v>
      </c>
      <c r="H439" s="126" t="n">
        <v>46289</v>
      </c>
      <c r="I439" s="4" t="n">
        <v>0</v>
      </c>
      <c r="J439" s="4" t="n">
        <v>0</v>
      </c>
      <c r="K439" s="4" t="n">
        <v>0</v>
      </c>
      <c r="M439" s="2">
        <f>IF(C439="","",IFERROR(INDEX($S$5:$S$304,MATCH(C439,$R$5:$R$304,0))&amp;"","?"))</f>
        <v/>
      </c>
      <c r="N439" s="2">
        <f>IF(E439="","",IF(ISNUMBER(SEARCH("SUBSOLO",E439)),IFERROR(-VALUE(LEFT(E439,FIND("º",SUBSTITUTE(E439,"°","º"))-1)),-1),IF(LEFT(E439,6)="TÉRREO",0,IFERROR(VALUE(LEFT(E439,FIND("º",SUBSTITUTE(E439,"°","º"))-1)),""))))</f>
        <v/>
      </c>
      <c r="O439" s="2">
        <f>IF(OR(F439="",G439=""),"",IF(G439&lt;='RETRATO 2027'!$K$5,"CONCLUÍDA",IF(F439&lt;='RETRATO 2027'!$K$5,"EM ANDAMENTO","A INICIAR")))</f>
        <v/>
      </c>
    </row>
    <row r="440">
      <c r="B440" s="4" t="n">
        <v>29981487</v>
      </c>
      <c r="C440" s="4" t="inlineStr">
        <is>
          <t>SHAFT INTERNO INST. HIDRAÚLICAS</t>
        </is>
      </c>
      <c r="D440" s="4" t="inlineStr">
        <is>
          <t>-</t>
        </is>
      </c>
      <c r="E440" s="4" t="inlineStr">
        <is>
          <t>8º PAV.</t>
        </is>
      </c>
      <c r="F440" s="126" t="n">
        <v>46560</v>
      </c>
      <c r="G440" s="126" t="n">
        <v>46570</v>
      </c>
      <c r="H440" s="126" t="n">
        <v>46289</v>
      </c>
      <c r="I440" s="4" t="n">
        <v>0</v>
      </c>
      <c r="J440" s="4" t="n">
        <v>0</v>
      </c>
      <c r="K440" s="4" t="n">
        <v>0</v>
      </c>
      <c r="M440" s="2">
        <f>IF(C440="","",IFERROR(INDEX($S$5:$S$304,MATCH(C440,$R$5:$R$304,0))&amp;"","?"))</f>
        <v/>
      </c>
      <c r="N440" s="2">
        <f>IF(E440="","",IF(ISNUMBER(SEARCH("SUBSOLO",E440)),IFERROR(-VALUE(LEFT(E440,FIND("º",SUBSTITUTE(E440,"°","º"))-1)),-1),IF(LEFT(E440,6)="TÉRREO",0,IFERROR(VALUE(LEFT(E440,FIND("º",SUBSTITUTE(E440,"°","º"))-1)),""))))</f>
        <v/>
      </c>
      <c r="O440" s="2">
        <f>IF(OR(F440="",G440=""),"",IF(G440&lt;='RETRATO 2027'!$K$5,"CONCLUÍDA",IF(F440&lt;='RETRATO 2027'!$K$5,"EM ANDAMENTO","A INICIAR")))</f>
        <v/>
      </c>
    </row>
    <row r="441">
      <c r="B441" s="4" t="n">
        <v>29981520</v>
      </c>
      <c r="C441" s="4" t="inlineStr">
        <is>
          <t>PRUMADA ELÉTRICA - INFRA</t>
        </is>
      </c>
      <c r="D441" s="4" t="inlineStr">
        <is>
          <t>-</t>
        </is>
      </c>
      <c r="E441" s="4" t="inlineStr">
        <is>
          <t>8º PAV.</t>
        </is>
      </c>
      <c r="F441" s="126" t="n">
        <v>46560</v>
      </c>
      <c r="G441" s="126" t="n">
        <v>46570</v>
      </c>
      <c r="H441" s="126" t="n">
        <v>46289</v>
      </c>
      <c r="I441" s="4" t="n">
        <v>0</v>
      </c>
      <c r="J441" s="4" t="n">
        <v>0</v>
      </c>
      <c r="K441" s="4" t="n">
        <v>0</v>
      </c>
      <c r="M441" s="2">
        <f>IF(C441="","",IFERROR(INDEX($S$5:$S$304,MATCH(C441,$R$5:$R$304,0))&amp;"","?"))</f>
        <v/>
      </c>
      <c r="N441" s="2">
        <f>IF(E441="","",IF(ISNUMBER(SEARCH("SUBSOLO",E441)),IFERROR(-VALUE(LEFT(E441,FIND("º",SUBSTITUTE(E441,"°","º"))-1)),-1),IF(LEFT(E441,6)="TÉRREO",0,IFERROR(VALUE(LEFT(E441,FIND("º",SUBSTITUTE(E441,"°","º"))-1)),""))))</f>
        <v/>
      </c>
      <c r="O441" s="2">
        <f>IF(OR(F441="",G441=""),"",IF(G441&lt;='RETRATO 2027'!$K$5,"CONCLUÍDA",IF(F441&lt;='RETRATO 2027'!$K$5,"EM ANDAMENTO","A INICIAR")))</f>
        <v/>
      </c>
    </row>
    <row r="442">
      <c r="B442" s="4" t="n">
        <v>29981449</v>
      </c>
      <c r="C442" s="4" t="inlineStr">
        <is>
          <t>REBOCO INTERNO</t>
        </is>
      </c>
      <c r="D442" s="4" t="inlineStr">
        <is>
          <t>-</t>
        </is>
      </c>
      <c r="E442" s="4" t="inlineStr">
        <is>
          <t>9º PAV.</t>
        </is>
      </c>
      <c r="F442" s="126" t="n">
        <v>46560</v>
      </c>
      <c r="G442" s="126" t="n">
        <v>46570</v>
      </c>
      <c r="H442" s="126" t="n">
        <v>46289</v>
      </c>
      <c r="I442" s="4" t="n">
        <v>0</v>
      </c>
      <c r="J442" s="4" t="n">
        <v>0</v>
      </c>
      <c r="K442" s="4" t="n">
        <v>0</v>
      </c>
      <c r="M442" s="2">
        <f>IF(C442="","",IFERROR(INDEX($S$5:$S$304,MATCH(C442,$R$5:$R$304,0))&amp;"","?"))</f>
        <v/>
      </c>
      <c r="N442" s="2">
        <f>IF(E442="","",IF(ISNUMBER(SEARCH("SUBSOLO",E442)),IFERROR(-VALUE(LEFT(E442,FIND("º",SUBSTITUTE(E442,"°","º"))-1)),-1),IF(LEFT(E442,6)="TÉRREO",0,IFERROR(VALUE(LEFT(E442,FIND("º",SUBSTITUTE(E442,"°","º"))-1)),""))))</f>
        <v/>
      </c>
      <c r="O442" s="2">
        <f>IF(OR(F442="",G442=""),"",IF(G442&lt;='RETRATO 2027'!$K$5,"CONCLUÍDA",IF(F442&lt;='RETRATO 2027'!$K$5,"EM ANDAMENTO","A INICIAR")))</f>
        <v/>
      </c>
    </row>
    <row r="443">
      <c r="B443" s="4" t="n">
        <v>29981415</v>
      </c>
      <c r="C443" s="4" t="inlineStr">
        <is>
          <t>CONTRAMARCO</t>
        </is>
      </c>
      <c r="D443" s="4" t="inlineStr">
        <is>
          <t>-</t>
        </is>
      </c>
      <c r="E443" s="4" t="inlineStr">
        <is>
          <t>10º PAV.</t>
        </is>
      </c>
      <c r="F443" s="126" t="n">
        <v>46560</v>
      </c>
      <c r="G443" s="126" t="n">
        <v>46570</v>
      </c>
      <c r="H443" s="126" t="n">
        <v>46289</v>
      </c>
      <c r="I443" s="4" t="n">
        <v>0</v>
      </c>
      <c r="J443" s="4" t="n">
        <v>0</v>
      </c>
      <c r="K443" s="4" t="n">
        <v>0</v>
      </c>
      <c r="M443" s="2">
        <f>IF(C443="","",IFERROR(INDEX($S$5:$S$304,MATCH(C443,$R$5:$R$304,0))&amp;"","?"))</f>
        <v/>
      </c>
      <c r="N443" s="2">
        <f>IF(E443="","",IF(ISNUMBER(SEARCH("SUBSOLO",E443)),IFERROR(-VALUE(LEFT(E443,FIND("º",SUBSTITUTE(E443,"°","º"))-1)),-1),IF(LEFT(E443,6)="TÉRREO",0,IFERROR(VALUE(LEFT(E443,FIND("º",SUBSTITUTE(E443,"°","º"))-1)),""))))</f>
        <v/>
      </c>
      <c r="O443" s="2">
        <f>IF(OR(F443="",G443=""),"",IF(G443&lt;='RETRATO 2027'!$K$5,"CONCLUÍDA",IF(F443&lt;='RETRATO 2027'!$K$5,"EM ANDAMENTO","A INICIAR")))</f>
        <v/>
      </c>
    </row>
    <row r="444">
      <c r="B444" s="4" t="n">
        <v>29981408</v>
      </c>
      <c r="C444" s="4" t="inlineStr">
        <is>
          <t>DISTRIBUIÇÃO HIDROSSANITÁRIA</t>
        </is>
      </c>
      <c r="D444" s="4" t="inlineStr">
        <is>
          <t>-</t>
        </is>
      </c>
      <c r="E444" s="4" t="inlineStr">
        <is>
          <t>11º PAV.</t>
        </is>
      </c>
      <c r="F444" s="126" t="n">
        <v>46560</v>
      </c>
      <c r="G444" s="126" t="n">
        <v>46570</v>
      </c>
      <c r="H444" s="126" t="n">
        <v>46289</v>
      </c>
      <c r="I444" s="4" t="n">
        <v>0</v>
      </c>
      <c r="J444" s="4" t="n">
        <v>0</v>
      </c>
      <c r="K444" s="4" t="n">
        <v>0</v>
      </c>
      <c r="M444" s="2">
        <f>IF(C444="","",IFERROR(INDEX($S$5:$S$304,MATCH(C444,$R$5:$R$304,0))&amp;"","?"))</f>
        <v/>
      </c>
      <c r="N444" s="2">
        <f>IF(E444="","",IF(ISNUMBER(SEARCH("SUBSOLO",E444)),IFERROR(-VALUE(LEFT(E444,FIND("º",SUBSTITUTE(E444,"°","º"))-1)),-1),IF(LEFT(E444,6)="TÉRREO",0,IFERROR(VALUE(LEFT(E444,FIND("º",SUBSTITUTE(E444,"°","º"))-1)),""))))</f>
        <v/>
      </c>
      <c r="O444" s="2">
        <f>IF(OR(F444="",G444=""),"",IF(G444&lt;='RETRATO 2027'!$K$5,"CONCLUÍDA",IF(F444&lt;='RETRATO 2027'!$K$5,"EM ANDAMENTO","A INICIAR")))</f>
        <v/>
      </c>
    </row>
    <row r="445">
      <c r="B445" s="4" t="n">
        <v>29981377</v>
      </c>
      <c r="C445" s="4" t="inlineStr">
        <is>
          <t>DISTRIBUIÇÃO ELÉTRICA / QUADRO</t>
        </is>
      </c>
      <c r="D445" s="4" t="inlineStr">
        <is>
          <t>-</t>
        </is>
      </c>
      <c r="E445" s="4" t="inlineStr">
        <is>
          <t>11º PAV.</t>
        </is>
      </c>
      <c r="F445" s="126" t="n">
        <v>46560</v>
      </c>
      <c r="G445" s="126" t="n">
        <v>46570</v>
      </c>
      <c r="H445" s="126" t="n">
        <v>46289</v>
      </c>
      <c r="I445" s="4" t="n">
        <v>0</v>
      </c>
      <c r="J445" s="4" t="n">
        <v>0</v>
      </c>
      <c r="K445" s="4" t="n">
        <v>0</v>
      </c>
      <c r="M445" s="2">
        <f>IF(C445="","",IFERROR(INDEX($S$5:$S$304,MATCH(C445,$R$5:$R$304,0))&amp;"","?"))</f>
        <v/>
      </c>
      <c r="N445" s="2">
        <f>IF(E445="","",IF(ISNUMBER(SEARCH("SUBSOLO",E445)),IFERROR(-VALUE(LEFT(E445,FIND("º",SUBSTITUTE(E445,"°","º"))-1)),-1),IF(LEFT(E445,6)="TÉRREO",0,IFERROR(VALUE(LEFT(E445,FIND("º",SUBSTITUTE(E445,"°","º"))-1)),""))))</f>
        <v/>
      </c>
      <c r="O445" s="2">
        <f>IF(OR(F445="",G445=""),"",IF(G445&lt;='RETRATO 2027'!$K$5,"CONCLUÍDA",IF(F445&lt;='RETRATO 2027'!$K$5,"EM ANDAMENTO","A INICIAR")))</f>
        <v/>
      </c>
    </row>
    <row r="446">
      <c r="B446" s="4" t="n">
        <v>29981410</v>
      </c>
      <c r="C446" s="4" t="inlineStr">
        <is>
          <t>DISTRIBUIÇÃO DE GÁS</t>
        </is>
      </c>
      <c r="D446" s="4" t="inlineStr">
        <is>
          <t>-</t>
        </is>
      </c>
      <c r="E446" s="4" t="inlineStr">
        <is>
          <t>11º PAV.</t>
        </is>
      </c>
      <c r="F446" s="126" t="n">
        <v>46560</v>
      </c>
      <c r="G446" s="126" t="n">
        <v>46570</v>
      </c>
      <c r="H446" s="126" t="n">
        <v>46289</v>
      </c>
      <c r="I446" s="4" t="n">
        <v>0</v>
      </c>
      <c r="J446" s="4" t="n">
        <v>0</v>
      </c>
      <c r="K446" s="4" t="n">
        <v>0</v>
      </c>
      <c r="M446" s="2">
        <f>IF(C446="","",IFERROR(INDEX($S$5:$S$304,MATCH(C446,$R$5:$R$304,0))&amp;"","?"))</f>
        <v/>
      </c>
      <c r="N446" s="2">
        <f>IF(E446="","",IF(ISNUMBER(SEARCH("SUBSOLO",E446)),IFERROR(-VALUE(LEFT(E446,FIND("º",SUBSTITUTE(E446,"°","º"))-1)),-1),IF(LEFT(E446,6)="TÉRREO",0,IFERROR(VALUE(LEFT(E446,FIND("º",SUBSTITUTE(E446,"°","º"))-1)),""))))</f>
        <v/>
      </c>
      <c r="O446" s="2">
        <f>IF(OR(F446="",G446=""),"",IF(G446&lt;='RETRATO 2027'!$K$5,"CONCLUÍDA",IF(F446&lt;='RETRATO 2027'!$K$5,"EM ANDAMENTO","A INICIAR")))</f>
        <v/>
      </c>
    </row>
    <row r="447">
      <c r="B447" s="4" t="n">
        <v>29981357</v>
      </c>
      <c r="C447" s="4" t="inlineStr">
        <is>
          <t>TALISCAMENTO</t>
        </is>
      </c>
      <c r="D447" s="4" t="inlineStr">
        <is>
          <t>-</t>
        </is>
      </c>
      <c r="E447" s="4" t="inlineStr">
        <is>
          <t>12º PAV.</t>
        </is>
      </c>
      <c r="F447" s="126" t="n">
        <v>46560</v>
      </c>
      <c r="G447" s="126" t="n">
        <v>46570</v>
      </c>
      <c r="H447" s="126" t="n">
        <v>46289</v>
      </c>
      <c r="I447" s="4" t="n">
        <v>0</v>
      </c>
      <c r="J447" s="4" t="n">
        <v>0</v>
      </c>
      <c r="K447" s="4" t="n">
        <v>0</v>
      </c>
      <c r="M447" s="2">
        <f>IF(C447="","",IFERROR(INDEX($S$5:$S$304,MATCH(C447,$R$5:$R$304,0))&amp;"","?"))</f>
        <v/>
      </c>
      <c r="N447" s="2">
        <f>IF(E447="","",IF(ISNUMBER(SEARCH("SUBSOLO",E447)),IFERROR(-VALUE(LEFT(E447,FIND("º",SUBSTITUTE(E447,"°","º"))-1)),-1),IF(LEFT(E447,6)="TÉRREO",0,IFERROR(VALUE(LEFT(E447,FIND("º",SUBSTITUTE(E447,"°","º"))-1)),""))))</f>
        <v/>
      </c>
      <c r="O447" s="2">
        <f>IF(OR(F447="",G447=""),"",IF(G447&lt;='RETRATO 2027'!$K$5,"CONCLUÍDA",IF(F447&lt;='RETRATO 2027'!$K$5,"EM ANDAMENTO","A INICIAR")))</f>
        <v/>
      </c>
    </row>
    <row r="448">
      <c r="B448" s="4" t="n">
        <v>29981323</v>
      </c>
      <c r="C448" s="4" t="inlineStr">
        <is>
          <t>PRUMADA HIDROSSANITÁRIA</t>
        </is>
      </c>
      <c r="D448" s="4" t="inlineStr">
        <is>
          <t>-</t>
        </is>
      </c>
      <c r="E448" s="4" t="inlineStr">
        <is>
          <t>13º PAV.</t>
        </is>
      </c>
      <c r="F448" s="126" t="n">
        <v>46560</v>
      </c>
      <c r="G448" s="126" t="n">
        <v>46570</v>
      </c>
      <c r="H448" s="126" t="n">
        <v>46289</v>
      </c>
      <c r="I448" s="4" t="n">
        <v>0</v>
      </c>
      <c r="J448" s="4" t="n">
        <v>0</v>
      </c>
      <c r="K448" s="4" t="n">
        <v>0</v>
      </c>
      <c r="M448" s="2">
        <f>IF(C448="","",IFERROR(INDEX($S$5:$S$304,MATCH(C448,$R$5:$R$304,0))&amp;"","?"))</f>
        <v/>
      </c>
      <c r="N448" s="2">
        <f>IF(E448="","",IF(ISNUMBER(SEARCH("SUBSOLO",E448)),IFERROR(-VALUE(LEFT(E448,FIND("º",SUBSTITUTE(E448,"°","º"))-1)),-1),IF(LEFT(E448,6)="TÉRREO",0,IFERROR(VALUE(LEFT(E448,FIND("º",SUBSTITUTE(E448,"°","º"))-1)),""))))</f>
        <v/>
      </c>
      <c r="O448" s="2">
        <f>IF(OR(F448="",G448=""),"",IF(G448&lt;='RETRATO 2027'!$K$5,"CONCLUÍDA",IF(F448&lt;='RETRATO 2027'!$K$5,"EM ANDAMENTO","A INICIAR")))</f>
        <v/>
      </c>
    </row>
    <row r="449">
      <c r="B449" s="4" t="n">
        <v>29981322</v>
      </c>
      <c r="C449" s="4" t="inlineStr">
        <is>
          <t>ENCUNHAMENTO</t>
        </is>
      </c>
      <c r="D449" s="4" t="inlineStr">
        <is>
          <t>-</t>
        </is>
      </c>
      <c r="E449" s="4" t="inlineStr">
        <is>
          <t>13º PAV.</t>
        </is>
      </c>
      <c r="F449" s="126" t="n">
        <v>46562</v>
      </c>
      <c r="G449" s="126" t="n">
        <v>46574</v>
      </c>
      <c r="H449" s="126" t="n">
        <v>46289</v>
      </c>
      <c r="I449" s="4" t="n">
        <v>0</v>
      </c>
      <c r="J449" s="4" t="n">
        <v>0</v>
      </c>
      <c r="K449" s="4" t="n">
        <v>0</v>
      </c>
      <c r="M449" s="2">
        <f>IF(C449="","",IFERROR(INDEX($S$5:$S$304,MATCH(C449,$R$5:$R$304,0))&amp;"","?"))</f>
        <v/>
      </c>
      <c r="N449" s="2">
        <f>IF(E449="","",IF(ISNUMBER(SEARCH("SUBSOLO",E449)),IFERROR(-VALUE(LEFT(E449,FIND("º",SUBSTITUTE(E449,"°","º"))-1)),-1),IF(LEFT(E449,6)="TÉRREO",0,IFERROR(VALUE(LEFT(E449,FIND("º",SUBSTITUTE(E449,"°","º"))-1)),""))))</f>
        <v/>
      </c>
      <c r="O449" s="2">
        <f>IF(OR(F449="",G449=""),"",IF(G449&lt;='RETRATO 2027'!$K$5,"CONCLUÍDA",IF(F449&lt;='RETRATO 2027'!$K$5,"EM ANDAMENTO","A INICIAR")))</f>
        <v/>
      </c>
    </row>
    <row r="450">
      <c r="B450" s="4" t="n">
        <v>30205727</v>
      </c>
      <c r="C450" s="4" t="inlineStr">
        <is>
          <t>ENCUNHAMENTO</t>
        </is>
      </c>
      <c r="D450" s="4" t="inlineStr">
        <is>
          <t>-</t>
        </is>
      </c>
      <c r="E450" s="4" t="inlineStr">
        <is>
          <t>SUBSOLO</t>
        </is>
      </c>
      <c r="F450" s="126" t="n">
        <v>46563</v>
      </c>
      <c r="G450" s="126" t="n">
        <v>46576</v>
      </c>
      <c r="H450" s="126" t="n">
        <v>46289</v>
      </c>
      <c r="I450" s="4" t="n">
        <v>0</v>
      </c>
      <c r="J450" s="4" t="n">
        <v>0</v>
      </c>
      <c r="K450" s="4" t="n">
        <v>0</v>
      </c>
      <c r="M450" s="2">
        <f>IF(C450="","",IFERROR(INDEX($S$5:$S$304,MATCH(C450,$R$5:$R$304,0))&amp;"","?"))</f>
        <v/>
      </c>
      <c r="N450" s="2">
        <f>IF(E450="","",IF(ISNUMBER(SEARCH("SUBSOLO",E450)),IFERROR(-VALUE(LEFT(E450,FIND("º",SUBSTITUTE(E450,"°","º"))-1)),-1),IF(LEFT(E450,6)="TÉRREO",0,IFERROR(VALUE(LEFT(E450,FIND("º",SUBSTITUTE(E450,"°","º"))-1)),""))))</f>
        <v/>
      </c>
      <c r="O450" s="2">
        <f>IF(OR(F450="",G450=""),"",IF(G450&lt;='RETRATO 2027'!$K$5,"CONCLUÍDA",IF(F450&lt;='RETRATO 2027'!$K$5,"EM ANDAMENTO","A INICIAR")))</f>
        <v/>
      </c>
    </row>
    <row r="451">
      <c r="B451" s="4" t="n">
        <v>30171491</v>
      </c>
      <c r="C451" s="4" t="inlineStr">
        <is>
          <t>DISTRIBUIÇÃO ELÉTRICA / QUADRO</t>
        </is>
      </c>
      <c r="D451" s="4" t="inlineStr">
        <is>
          <t>-</t>
        </is>
      </c>
      <c r="E451" s="4" t="inlineStr">
        <is>
          <t>2º PAV - GARAGEM</t>
        </is>
      </c>
      <c r="F451" s="126" t="n">
        <v>46566</v>
      </c>
      <c r="G451" s="126" t="n">
        <v>46605</v>
      </c>
      <c r="H451" s="126" t="n">
        <v>46289</v>
      </c>
      <c r="I451" s="4" t="n">
        <v>0</v>
      </c>
      <c r="J451" s="4" t="n">
        <v>0</v>
      </c>
      <c r="K451" s="4" t="n">
        <v>0</v>
      </c>
      <c r="M451" s="2">
        <f>IF(C451="","",IFERROR(INDEX($S$5:$S$304,MATCH(C451,$R$5:$R$304,0))&amp;"","?"))</f>
        <v/>
      </c>
      <c r="N451" s="2">
        <f>IF(E451="","",IF(ISNUMBER(SEARCH("SUBSOLO",E451)),IFERROR(-VALUE(LEFT(E451,FIND("º",SUBSTITUTE(E451,"°","º"))-1)),-1),IF(LEFT(E451,6)="TÉRREO",0,IFERROR(VALUE(LEFT(E451,FIND("º",SUBSTITUTE(E451,"°","º"))-1)),""))))</f>
        <v/>
      </c>
      <c r="O451" s="2">
        <f>IF(OR(F451="",G451=""),"",IF(G451&lt;='RETRATO 2027'!$K$5,"CONCLUÍDA",IF(F451&lt;='RETRATO 2027'!$K$5,"EM ANDAMENTO","A INICIAR")))</f>
        <v/>
      </c>
    </row>
    <row r="452">
      <c r="B452" s="4" t="n">
        <v>30171476</v>
      </c>
      <c r="C452" s="4" t="inlineStr">
        <is>
          <t>DISTRIBUIÇÃO HIDRÁULICA</t>
        </is>
      </c>
      <c r="D452" s="4" t="inlineStr">
        <is>
          <t>-</t>
        </is>
      </c>
      <c r="E452" s="4" t="inlineStr">
        <is>
          <t>2º PAV - GARAGEM</t>
        </is>
      </c>
      <c r="F452" s="126" t="n">
        <v>46566</v>
      </c>
      <c r="G452" s="126" t="n">
        <v>46605</v>
      </c>
      <c r="H452" s="126" t="n">
        <v>46289</v>
      </c>
      <c r="I452" s="4" t="n">
        <v>0</v>
      </c>
      <c r="J452" s="4" t="n">
        <v>0</v>
      </c>
      <c r="K452" s="4" t="n">
        <v>0</v>
      </c>
      <c r="M452" s="2">
        <f>IF(C452="","",IFERROR(INDEX($S$5:$S$304,MATCH(C452,$R$5:$R$304,0))&amp;"","?"))</f>
        <v/>
      </c>
      <c r="N452" s="2">
        <f>IF(E452="","",IF(ISNUMBER(SEARCH("SUBSOLO",E452)),IFERROR(-VALUE(LEFT(E452,FIND("º",SUBSTITUTE(E452,"°","º"))-1)),-1),IF(LEFT(E452,6)="TÉRREO",0,IFERROR(VALUE(LEFT(E452,FIND("º",SUBSTITUTE(E452,"°","º"))-1)),""))))</f>
        <v/>
      </c>
      <c r="O452" s="2">
        <f>IF(OR(F452="",G452=""),"",IF(G452&lt;='RETRATO 2027'!$K$5,"CONCLUÍDA",IF(F452&lt;='RETRATO 2027'!$K$5,"EM ANDAMENTO","A INICIAR")))</f>
        <v/>
      </c>
    </row>
    <row r="453">
      <c r="B453" s="4" t="n">
        <v>29981296</v>
      </c>
      <c r="C453" s="4" t="inlineStr">
        <is>
          <t>PRUMADA DE INCÊNDIO</t>
        </is>
      </c>
      <c r="D453" s="4" t="inlineStr">
        <is>
          <t>-</t>
        </is>
      </c>
      <c r="E453" s="4" t="inlineStr">
        <is>
          <t>14º PAV.</t>
        </is>
      </c>
      <c r="F453" s="126" t="n">
        <v>46567</v>
      </c>
      <c r="G453" s="126" t="n">
        <v>46577</v>
      </c>
      <c r="H453" s="126" t="n">
        <v>46289</v>
      </c>
      <c r="I453" s="4" t="n">
        <v>0</v>
      </c>
      <c r="J453" s="4" t="n">
        <v>0</v>
      </c>
      <c r="K453" s="4" t="n">
        <v>0</v>
      </c>
      <c r="M453" s="2">
        <f>IF(C453="","",IFERROR(INDEX($S$5:$S$304,MATCH(C453,$R$5:$R$304,0))&amp;"","?"))</f>
        <v/>
      </c>
      <c r="N453" s="2">
        <f>IF(E453="","",IF(ISNUMBER(SEARCH("SUBSOLO",E453)),IFERROR(-VALUE(LEFT(E453,FIND("º",SUBSTITUTE(E453,"°","º"))-1)),-1),IF(LEFT(E453,6)="TÉRREO",0,IFERROR(VALUE(LEFT(E453,FIND("º",SUBSTITUTE(E453,"°","º"))-1)),""))))</f>
        <v/>
      </c>
      <c r="O453" s="2">
        <f>IF(OR(F453="",G453=""),"",IF(G453&lt;='RETRATO 2027'!$K$5,"CONCLUÍDA",IF(F453&lt;='RETRATO 2027'!$K$5,"EM ANDAMENTO","A INICIAR")))</f>
        <v/>
      </c>
    </row>
    <row r="454">
      <c r="B454" s="4" t="n">
        <v>29981247</v>
      </c>
      <c r="C454" s="4" t="inlineStr">
        <is>
          <t>ALVENARIA</t>
        </is>
      </c>
      <c r="D454" s="4" t="inlineStr">
        <is>
          <t>-</t>
        </is>
      </c>
      <c r="E454" s="4" t="inlineStr">
        <is>
          <t>15º PAV.</t>
        </is>
      </c>
      <c r="F454" s="126" t="n">
        <v>46567</v>
      </c>
      <c r="G454" s="126" t="n">
        <v>46577</v>
      </c>
      <c r="H454" s="126" t="n">
        <v>46289</v>
      </c>
      <c r="I454" s="4" t="n">
        <v>0</v>
      </c>
      <c r="J454" s="4" t="n">
        <v>0</v>
      </c>
      <c r="K454" s="4" t="n">
        <v>0</v>
      </c>
      <c r="M454" s="2">
        <f>IF(C454="","",IFERROR(INDEX($S$5:$S$304,MATCH(C454,$R$5:$R$304,0))&amp;"","?"))</f>
        <v/>
      </c>
      <c r="N454" s="2">
        <f>IF(E454="","",IF(ISNUMBER(SEARCH("SUBSOLO",E454)),IFERROR(-VALUE(LEFT(E454,FIND("º",SUBSTITUTE(E454,"°","º"))-1)),-1),IF(LEFT(E454,6)="TÉRREO",0,IFERROR(VALUE(LEFT(E454,FIND("º",SUBSTITUTE(E454,"°","º"))-1)),""))))</f>
        <v/>
      </c>
      <c r="O454" s="2">
        <f>IF(OR(F454="",G454=""),"",IF(G454&lt;='RETRATO 2027'!$K$5,"CONCLUÍDA",IF(F454&lt;='RETRATO 2027'!$K$5,"EM ANDAMENTO","A INICIAR")))</f>
        <v/>
      </c>
    </row>
    <row r="455">
      <c r="B455" s="4" t="n">
        <v>30205735</v>
      </c>
      <c r="C455" s="4" t="inlineStr">
        <is>
          <t>DISTRIBUIÇÃO ELÉTRICA / QUADRO</t>
        </is>
      </c>
      <c r="D455" s="4" t="inlineStr">
        <is>
          <t>-</t>
        </is>
      </c>
      <c r="E455" s="4" t="inlineStr">
        <is>
          <t>SUBSOLO</t>
        </is>
      </c>
      <c r="F455" s="126" t="n">
        <v>46569</v>
      </c>
      <c r="G455" s="126" t="n">
        <v>46630</v>
      </c>
      <c r="H455" s="126" t="n">
        <v>46289</v>
      </c>
      <c r="I455" s="4" t="n">
        <v>0</v>
      </c>
      <c r="J455" s="4" t="n">
        <v>0</v>
      </c>
      <c r="K455" s="4" t="n">
        <v>0</v>
      </c>
      <c r="M455" s="2">
        <f>IF(C455="","",IFERROR(INDEX($S$5:$S$304,MATCH(C455,$R$5:$R$304,0))&amp;"","?"))</f>
        <v/>
      </c>
      <c r="N455" s="2">
        <f>IF(E455="","",IF(ISNUMBER(SEARCH("SUBSOLO",E455)),IFERROR(-VALUE(LEFT(E455,FIND("º",SUBSTITUTE(E455,"°","º"))-1)),-1),IF(LEFT(E455,6)="TÉRREO",0,IFERROR(VALUE(LEFT(E455,FIND("º",SUBSTITUTE(E455,"°","º"))-1)),""))))</f>
        <v/>
      </c>
      <c r="O455" s="2">
        <f>IF(OR(F455="",G455=""),"",IF(G455&lt;='RETRATO 2027'!$K$5,"CONCLUÍDA",IF(F455&lt;='RETRATO 2027'!$K$5,"EM ANDAMENTO","A INICIAR")))</f>
        <v/>
      </c>
    </row>
    <row r="456">
      <c r="B456" s="4" t="n">
        <v>30205720</v>
      </c>
      <c r="C456" s="4" t="inlineStr">
        <is>
          <t>DISTRIBUIÇÃO HIDRÁULICA</t>
        </is>
      </c>
      <c r="D456" s="4" t="inlineStr">
        <is>
          <t>-</t>
        </is>
      </c>
      <c r="E456" s="4" t="inlineStr">
        <is>
          <t>SUBSOLO</t>
        </is>
      </c>
      <c r="F456" s="126" t="n">
        <v>46569</v>
      </c>
      <c r="G456" s="126" t="n">
        <v>46598</v>
      </c>
      <c r="H456" s="126" t="n">
        <v>46289</v>
      </c>
      <c r="I456" s="4" t="n">
        <v>0</v>
      </c>
      <c r="J456" s="4" t="n">
        <v>0</v>
      </c>
      <c r="K456" s="4" t="n">
        <v>0</v>
      </c>
      <c r="M456" s="2">
        <f>IF(C456="","",IFERROR(INDEX($S$5:$S$304,MATCH(C456,$R$5:$R$304,0))&amp;"","?"))</f>
        <v/>
      </c>
      <c r="N456" s="2">
        <f>IF(E456="","",IF(ISNUMBER(SEARCH("SUBSOLO",E456)),IFERROR(-VALUE(LEFT(E456,FIND("º",SUBSTITUTE(E456,"°","º"))-1)),-1),IF(LEFT(E456,6)="TÉRREO",0,IFERROR(VALUE(LEFT(E456,FIND("º",SUBSTITUTE(E456,"°","º"))-1)),""))))</f>
        <v/>
      </c>
      <c r="O456" s="2">
        <f>IF(OR(F456="",G456=""),"",IF(G456&lt;='RETRATO 2027'!$K$5,"CONCLUÍDA",IF(F456&lt;='RETRATO 2027'!$K$5,"EM ANDAMENTO","A INICIAR")))</f>
        <v/>
      </c>
    </row>
    <row r="457">
      <c r="B457" s="4" t="n">
        <v>30205685</v>
      </c>
      <c r="C457" s="4" t="inlineStr">
        <is>
          <t>PRUMADA HIDROSSANITÁRIA</t>
        </is>
      </c>
      <c r="D457" s="4" t="inlineStr">
        <is>
          <t>-</t>
        </is>
      </c>
      <c r="E457" s="4" t="inlineStr">
        <is>
          <t>TÉRREO - LOJA 1</t>
        </is>
      </c>
      <c r="F457" s="126" t="n">
        <v>46569</v>
      </c>
      <c r="G457" s="126" t="n">
        <v>46582</v>
      </c>
      <c r="H457" s="126" t="n">
        <v>46289</v>
      </c>
      <c r="I457" s="4" t="n">
        <v>0</v>
      </c>
      <c r="J457" s="4" t="n">
        <v>0</v>
      </c>
      <c r="K457" s="4" t="n">
        <v>0</v>
      </c>
      <c r="M457" s="2">
        <f>IF(C457="","",IFERROR(INDEX($S$5:$S$304,MATCH(C457,$R$5:$R$304,0))&amp;"","?"))</f>
        <v/>
      </c>
      <c r="N457" s="2">
        <f>IF(E457="","",IF(ISNUMBER(SEARCH("SUBSOLO",E457)),IFERROR(-VALUE(LEFT(E457,FIND("º",SUBSTITUTE(E457,"°","º"))-1)),-1),IF(LEFT(E457,6)="TÉRREO",0,IFERROR(VALUE(LEFT(E457,FIND("º",SUBSTITUTE(E457,"°","º"))-1)),""))))</f>
        <v/>
      </c>
      <c r="O457" s="2">
        <f>IF(OR(F457="",G457=""),"",IF(G457&lt;='RETRATO 2027'!$K$5,"CONCLUÍDA",IF(F457&lt;='RETRATO 2027'!$K$5,"EM ANDAMENTO","A INICIAR")))</f>
        <v/>
      </c>
    </row>
    <row r="458">
      <c r="B458" s="4" t="n">
        <v>30205684</v>
      </c>
      <c r="C458" s="4" t="inlineStr">
        <is>
          <t>PRUMADA DE INCÊNDIO</t>
        </is>
      </c>
      <c r="D458" s="4" t="inlineStr">
        <is>
          <t>-</t>
        </is>
      </c>
      <c r="E458" s="4" t="inlineStr">
        <is>
          <t>TÉRREO - LOJA 1</t>
        </is>
      </c>
      <c r="F458" s="126" t="n">
        <v>46569</v>
      </c>
      <c r="G458" s="126" t="n">
        <v>46582</v>
      </c>
      <c r="H458" s="126" t="n">
        <v>46289</v>
      </c>
      <c r="I458" s="4" t="n">
        <v>0</v>
      </c>
      <c r="J458" s="4" t="n">
        <v>0</v>
      </c>
      <c r="K458" s="4" t="n">
        <v>0</v>
      </c>
      <c r="M458" s="2">
        <f>IF(C458="","",IFERROR(INDEX($S$5:$S$304,MATCH(C458,$R$5:$R$304,0))&amp;"","?"))</f>
        <v/>
      </c>
      <c r="N458" s="2">
        <f>IF(E458="","",IF(ISNUMBER(SEARCH("SUBSOLO",E458)),IFERROR(-VALUE(LEFT(E458,FIND("º",SUBSTITUTE(E458,"°","º"))-1)),-1),IF(LEFT(E458,6)="TÉRREO",0,IFERROR(VALUE(LEFT(E458,FIND("º",SUBSTITUTE(E458,"°","º"))-1)),""))))</f>
        <v/>
      </c>
      <c r="O458" s="2">
        <f>IF(OR(F458="",G458=""),"",IF(G458&lt;='RETRATO 2027'!$K$5,"CONCLUÍDA",IF(F458&lt;='RETRATO 2027'!$K$5,"EM ANDAMENTO","A INICIAR")))</f>
        <v/>
      </c>
    </row>
    <row r="459">
      <c r="B459" s="4" t="n">
        <v>30205686</v>
      </c>
      <c r="C459" s="4" t="inlineStr">
        <is>
          <t>ENCUNHAMENTO</t>
        </is>
      </c>
      <c r="D459" s="4" t="inlineStr">
        <is>
          <t>-</t>
        </is>
      </c>
      <c r="E459" s="4" t="inlineStr">
        <is>
          <t>TÉRREO - LOJA 1</t>
        </is>
      </c>
      <c r="F459" s="126" t="n">
        <v>46569</v>
      </c>
      <c r="G459" s="126" t="n">
        <v>46582</v>
      </c>
      <c r="H459" s="126" t="n">
        <v>46289</v>
      </c>
      <c r="I459" s="4" t="n">
        <v>0</v>
      </c>
      <c r="J459" s="4" t="n">
        <v>0</v>
      </c>
      <c r="K459" s="4" t="n">
        <v>0</v>
      </c>
      <c r="M459" s="2">
        <f>IF(C459="","",IFERROR(INDEX($S$5:$S$304,MATCH(C459,$R$5:$R$304,0))&amp;"","?"))</f>
        <v/>
      </c>
      <c r="N459" s="2">
        <f>IF(E459="","",IF(ISNUMBER(SEARCH("SUBSOLO",E459)),IFERROR(-VALUE(LEFT(E459,FIND("º",SUBSTITUTE(E459,"°","º"))-1)),-1),IF(LEFT(E459,6)="TÉRREO",0,IFERROR(VALUE(LEFT(E459,FIND("º",SUBSTITUTE(E459,"°","º"))-1)),""))))</f>
        <v/>
      </c>
      <c r="O459" s="2">
        <f>IF(OR(F459="",G459=""),"",IF(G459&lt;='RETRATO 2027'!$K$5,"CONCLUÍDA",IF(F459&lt;='RETRATO 2027'!$K$5,"EM ANDAMENTO","A INICIAR")))</f>
        <v/>
      </c>
    </row>
    <row r="460">
      <c r="B460" s="4" t="n">
        <v>30205656</v>
      </c>
      <c r="C460" s="4" t="inlineStr">
        <is>
          <t>ALVENARIA</t>
        </is>
      </c>
      <c r="D460" s="4" t="inlineStr">
        <is>
          <t>-</t>
        </is>
      </c>
      <c r="E460" s="4" t="inlineStr">
        <is>
          <t>TÉRREO - LOJA 2</t>
        </is>
      </c>
      <c r="F460" s="126" t="n">
        <v>46569</v>
      </c>
      <c r="G460" s="126" t="n">
        <v>46582</v>
      </c>
      <c r="H460" s="126" t="n">
        <v>46289</v>
      </c>
      <c r="I460" s="4" t="n">
        <v>0</v>
      </c>
      <c r="J460" s="4" t="n">
        <v>0</v>
      </c>
      <c r="K460" s="4" t="n">
        <v>0</v>
      </c>
      <c r="M460" s="2">
        <f>IF(C460="","",IFERROR(INDEX($S$5:$S$304,MATCH(C460,$R$5:$R$304,0))&amp;"","?"))</f>
        <v/>
      </c>
      <c r="N460" s="2">
        <f>IF(E460="","",IF(ISNUMBER(SEARCH("SUBSOLO",E460)),IFERROR(-VALUE(LEFT(E460,FIND("º",SUBSTITUTE(E460,"°","º"))-1)),-1),IF(LEFT(E460,6)="TÉRREO",0,IFERROR(VALUE(LEFT(E460,FIND("º",SUBSTITUTE(E460,"°","º"))-1)),""))))</f>
        <v/>
      </c>
      <c r="O460" s="2">
        <f>IF(OR(F460="",G460=""),"",IF(G460&lt;='RETRATO 2027'!$K$5,"CONCLUÍDA",IF(F460&lt;='RETRATO 2027'!$K$5,"EM ANDAMENTO","A INICIAR")))</f>
        <v/>
      </c>
    </row>
    <row r="461">
      <c r="B461" s="4" t="n">
        <v>29940959</v>
      </c>
      <c r="C461" s="4" t="inlineStr">
        <is>
          <t>ESTRUTURA</t>
        </is>
      </c>
      <c r="D461" s="4" t="inlineStr">
        <is>
          <t>-</t>
        </is>
      </c>
      <c r="E461" s="4" t="inlineStr">
        <is>
          <t>19º PAV.</t>
        </is>
      </c>
      <c r="F461" s="126" t="n">
        <v>46569</v>
      </c>
      <c r="G461" s="126" t="n">
        <v>46580</v>
      </c>
      <c r="H461" s="126" t="n">
        <v>46289</v>
      </c>
      <c r="I461" s="4" t="n">
        <v>0</v>
      </c>
      <c r="J461" s="4" t="n">
        <v>0</v>
      </c>
      <c r="K461" s="4" t="n">
        <v>0</v>
      </c>
      <c r="M461" s="2">
        <f>IF(C461="","",IFERROR(INDEX($S$5:$S$304,MATCH(C461,$R$5:$R$304,0))&amp;"","?"))</f>
        <v/>
      </c>
      <c r="N461" s="2">
        <f>IF(E461="","",IF(ISNUMBER(SEARCH("SUBSOLO",E461)),IFERROR(-VALUE(LEFT(E461,FIND("º",SUBSTITUTE(E461,"°","º"))-1)),-1),IF(LEFT(E461,6)="TÉRREO",0,IFERROR(VALUE(LEFT(E461,FIND("º",SUBSTITUTE(E461,"°","º"))-1)),""))))</f>
        <v/>
      </c>
      <c r="O461" s="2">
        <f>IF(OR(F461="",G461=""),"",IF(G461&lt;='RETRATO 2027'!$K$5,"CONCLUÍDA",IF(F461&lt;='RETRATO 2027'!$K$5,"EM ANDAMENTO","A INICIAR")))</f>
        <v/>
      </c>
    </row>
    <row r="462">
      <c r="B462" s="4" t="n">
        <v>31529024</v>
      </c>
      <c r="C462" s="4" t="inlineStr">
        <is>
          <t>ESTRUTURA</t>
        </is>
      </c>
      <c r="D462" s="4" t="inlineStr">
        <is>
          <t>Forma</t>
        </is>
      </c>
      <c r="E462" s="4" t="inlineStr">
        <is>
          <t>19º PAV.</t>
        </is>
      </c>
      <c r="F462" s="126" t="n">
        <v>46569</v>
      </c>
      <c r="G462" s="126" t="n">
        <v>46574</v>
      </c>
      <c r="H462" s="126" t="n">
        <v>46289</v>
      </c>
      <c r="I462" s="4" t="n">
        <v>0</v>
      </c>
      <c r="J462" s="4" t="n">
        <v>0</v>
      </c>
      <c r="K462" s="4" t="n">
        <v>0</v>
      </c>
      <c r="M462" s="2">
        <f>IF(C462="","",IFERROR(INDEX($S$5:$S$304,MATCH(C462,$R$5:$R$304,0))&amp;"","?"))</f>
        <v/>
      </c>
      <c r="N462" s="2">
        <f>IF(E462="","",IF(ISNUMBER(SEARCH("SUBSOLO",E462)),IFERROR(-VALUE(LEFT(E462,FIND("º",SUBSTITUTE(E462,"°","º"))-1)),-1),IF(LEFT(E462,6)="TÉRREO",0,IFERROR(VALUE(LEFT(E462,FIND("º",SUBSTITUTE(E462,"°","º"))-1)),""))))</f>
        <v/>
      </c>
      <c r="O462" s="2">
        <f>IF(OR(F462="",G462=""),"",IF(G462&lt;='RETRATO 2027'!$K$5,"CONCLUÍDA",IF(F462&lt;='RETRATO 2027'!$K$5,"EM ANDAMENTO","A INICIAR")))</f>
        <v/>
      </c>
    </row>
    <row r="463">
      <c r="B463" s="4" t="n">
        <v>31529025</v>
      </c>
      <c r="C463" s="4" t="inlineStr">
        <is>
          <t>ESTRUTURA</t>
        </is>
      </c>
      <c r="D463" s="4" t="inlineStr">
        <is>
          <t>Armação</t>
        </is>
      </c>
      <c r="E463" s="4" t="inlineStr">
        <is>
          <t>19º PAV.</t>
        </is>
      </c>
      <c r="F463" s="126" t="n">
        <v>46575</v>
      </c>
      <c r="G463" s="126" t="n">
        <v>46577</v>
      </c>
      <c r="H463" s="126" t="n">
        <v>46289</v>
      </c>
      <c r="I463" s="4" t="n">
        <v>0</v>
      </c>
      <c r="J463" s="4" t="n">
        <v>0</v>
      </c>
      <c r="K463" s="4" t="n">
        <v>0</v>
      </c>
      <c r="M463" s="2">
        <f>IF(C463="","",IFERROR(INDEX($S$5:$S$304,MATCH(C463,$R$5:$R$304,0))&amp;"","?"))</f>
        <v/>
      </c>
      <c r="N463" s="2">
        <f>IF(E463="","",IF(ISNUMBER(SEARCH("SUBSOLO",E463)),IFERROR(-VALUE(LEFT(E463,FIND("º",SUBSTITUTE(E463,"°","º"))-1)),-1),IF(LEFT(E463,6)="TÉRREO",0,IFERROR(VALUE(LEFT(E463,FIND("º",SUBSTITUTE(E463,"°","º"))-1)),""))))</f>
        <v/>
      </c>
      <c r="O463" s="2">
        <f>IF(OR(F463="",G463=""),"",IF(G463&lt;='RETRATO 2027'!$K$5,"CONCLUÍDA",IF(F463&lt;='RETRATO 2027'!$K$5,"EM ANDAMENTO","A INICIAR")))</f>
        <v/>
      </c>
    </row>
    <row r="464">
      <c r="B464" s="4" t="n">
        <v>31529026</v>
      </c>
      <c r="C464" s="4" t="inlineStr">
        <is>
          <t>ESTRUTURA</t>
        </is>
      </c>
      <c r="D464" s="4" t="inlineStr">
        <is>
          <t>Concretagem</t>
        </is>
      </c>
      <c r="E464" s="4" t="inlineStr">
        <is>
          <t>19º PAV.</t>
        </is>
      </c>
      <c r="F464" s="126" t="n">
        <v>46580</v>
      </c>
      <c r="G464" s="126" t="n">
        <v>46580</v>
      </c>
      <c r="H464" s="126" t="n">
        <v>46289</v>
      </c>
      <c r="I464" s="4" t="n">
        <v>0</v>
      </c>
      <c r="J464" s="4" t="n">
        <v>0</v>
      </c>
      <c r="K464" s="4" t="n">
        <v>0</v>
      </c>
      <c r="M464" s="2">
        <f>IF(C464="","",IFERROR(INDEX($S$5:$S$304,MATCH(C464,$R$5:$R$304,0))&amp;"","?"))</f>
        <v/>
      </c>
      <c r="N464" s="2">
        <f>IF(E464="","",IF(ISNUMBER(SEARCH("SUBSOLO",E464)),IFERROR(-VALUE(LEFT(E464,FIND("º",SUBSTITUTE(E464,"°","º"))-1)),-1),IF(LEFT(E464,6)="TÉRREO",0,IFERROR(VALUE(LEFT(E464,FIND("º",SUBSTITUTE(E464,"°","º"))-1)),""))))</f>
        <v/>
      </c>
      <c r="O464" s="2">
        <f>IF(OR(F464="",G464=""),"",IF(G464&lt;='RETRATO 2027'!$K$5,"CONCLUÍDA",IF(F464&lt;='RETRATO 2027'!$K$5,"EM ANDAMENTO","A INICIAR")))</f>
        <v/>
      </c>
    </row>
    <row r="465">
      <c r="B465" s="4" t="n">
        <v>31529027</v>
      </c>
      <c r="C465" s="4" t="inlineStr">
        <is>
          <t>ESTRUTURA</t>
        </is>
      </c>
      <c r="D465" s="4" t="inlineStr">
        <is>
          <t>Polimento</t>
        </is>
      </c>
      <c r="E465" s="4" t="inlineStr">
        <is>
          <t>19º PAV.</t>
        </is>
      </c>
      <c r="F465" s="126" t="n">
        <v>46580</v>
      </c>
      <c r="G465" s="126" t="n">
        <v>46580</v>
      </c>
      <c r="H465" s="126" t="n">
        <v>46289</v>
      </c>
      <c r="I465" s="4" t="n">
        <v>0</v>
      </c>
      <c r="J465" s="4" t="n">
        <v>0</v>
      </c>
      <c r="K465" s="4" t="n">
        <v>0</v>
      </c>
      <c r="M465" s="2">
        <f>IF(C465="","",IFERROR(INDEX($S$5:$S$304,MATCH(C465,$R$5:$R$304,0))&amp;"","?"))</f>
        <v/>
      </c>
      <c r="N465" s="2">
        <f>IF(E465="","",IF(ISNUMBER(SEARCH("SUBSOLO",E465)),IFERROR(-VALUE(LEFT(E465,FIND("º",SUBSTITUTE(E465,"°","º"))-1)),-1),IF(LEFT(E465,6)="TÉRREO",0,IFERROR(VALUE(LEFT(E465,FIND("º",SUBSTITUTE(E465,"°","º"))-1)),""))))</f>
        <v/>
      </c>
      <c r="O465" s="2">
        <f>IF(OR(F465="",G465=""),"",IF(G465&lt;='RETRATO 2027'!$K$5,"CONCLUÍDA",IF(F465&lt;='RETRATO 2027'!$K$5,"EM ANDAMENTO","A INICIAR")))</f>
        <v/>
      </c>
    </row>
    <row r="466">
      <c r="B466" s="4" t="n">
        <v>30171502</v>
      </c>
      <c r="C466" s="4" t="inlineStr">
        <is>
          <t>CONTRAPISO</t>
        </is>
      </c>
      <c r="D466" s="4" t="inlineStr">
        <is>
          <t>-</t>
        </is>
      </c>
      <c r="E466" s="4" t="inlineStr">
        <is>
          <t>HALL - APTOS</t>
        </is>
      </c>
      <c r="F466" s="126" t="n">
        <v>46573</v>
      </c>
      <c r="G466" s="126" t="n">
        <v>46905</v>
      </c>
      <c r="H466" s="126" t="n">
        <v>46289</v>
      </c>
      <c r="I466" s="4" t="n">
        <v>0</v>
      </c>
      <c r="J466" s="4" t="n">
        <v>0</v>
      </c>
      <c r="K466" s="4" t="n">
        <v>0</v>
      </c>
      <c r="M466" s="2">
        <f>IF(C466="","",IFERROR(INDEX($S$5:$S$304,MATCH(C466,$R$5:$R$304,0))&amp;"","?"))</f>
        <v/>
      </c>
      <c r="N466" s="2">
        <f>IF(E466="","",IF(ISNUMBER(SEARCH("SUBSOLO",E466)),IFERROR(-VALUE(LEFT(E466,FIND("º",SUBSTITUTE(E466,"°","º"))-1)),-1),IF(LEFT(E466,6)="TÉRREO",0,IFERROR(VALUE(LEFT(E466,FIND("º",SUBSTITUTE(E466,"°","º"))-1)),""))))</f>
        <v/>
      </c>
      <c r="O466" s="2">
        <f>IF(OR(F466="",G466=""),"",IF(G466&lt;='RETRATO 2027'!$K$5,"CONCLUÍDA",IF(F466&lt;='RETRATO 2027'!$K$5,"EM ANDAMENTO","A INICIAR")))</f>
        <v/>
      </c>
    </row>
    <row r="467">
      <c r="B467" s="4" t="n">
        <v>32749850</v>
      </c>
      <c r="C467" s="4" t="inlineStr">
        <is>
          <t>DRYWALL 1º FACE</t>
        </is>
      </c>
      <c r="D467" s="4" t="inlineStr">
        <is>
          <t>-</t>
        </is>
      </c>
      <c r="E467" s="4" t="inlineStr">
        <is>
          <t>7º PAV.</t>
        </is>
      </c>
      <c r="F467" s="126" t="n">
        <v>46573</v>
      </c>
      <c r="G467" s="126" t="n">
        <v>46583</v>
      </c>
      <c r="H467" s="126" t="n">
        <v>46289</v>
      </c>
      <c r="I467" s="4" t="n">
        <v>0</v>
      </c>
      <c r="J467" s="4" t="n">
        <v>0</v>
      </c>
      <c r="K467" s="4" t="n">
        <v>0</v>
      </c>
      <c r="M467" s="2">
        <f>IF(C467="","",IFERROR(INDEX($S$5:$S$304,MATCH(C467,$R$5:$R$304,0))&amp;"","?"))</f>
        <v/>
      </c>
      <c r="N467" s="2">
        <f>IF(E467="","",IF(ISNUMBER(SEARCH("SUBSOLO",E467)),IFERROR(-VALUE(LEFT(E467,FIND("º",SUBSTITUTE(E467,"°","º"))-1)),-1),IF(LEFT(E467,6)="TÉRREO",0,IFERROR(VALUE(LEFT(E467,FIND("º",SUBSTITUTE(E467,"°","º"))-1)),""))))</f>
        <v/>
      </c>
      <c r="O467" s="2">
        <f>IF(OR(F467="",G467=""),"",IF(G467&lt;='RETRATO 2027'!$K$5,"CONCLUÍDA",IF(F467&lt;='RETRATO 2027'!$K$5,"EM ANDAMENTO","A INICIAR")))</f>
        <v/>
      </c>
    </row>
    <row r="468">
      <c r="B468" s="4" t="n">
        <v>29981510</v>
      </c>
      <c r="C468" s="4" t="inlineStr">
        <is>
          <t>CONTRAPISO</t>
        </is>
      </c>
      <c r="D468" s="4" t="inlineStr">
        <is>
          <t>-</t>
        </is>
      </c>
      <c r="E468" s="4" t="inlineStr">
        <is>
          <t>8º PAV.</t>
        </is>
      </c>
      <c r="F468" s="126" t="n">
        <v>46573</v>
      </c>
      <c r="G468" s="126" t="n">
        <v>46583</v>
      </c>
      <c r="H468" s="126" t="n">
        <v>46289</v>
      </c>
      <c r="I468" s="4" t="n">
        <v>0</v>
      </c>
      <c r="J468" s="4" t="n">
        <v>0</v>
      </c>
      <c r="K468" s="4" t="n">
        <v>0</v>
      </c>
      <c r="M468" s="2">
        <f>IF(C468="","",IFERROR(INDEX($S$5:$S$304,MATCH(C468,$R$5:$R$304,0))&amp;"","?"))</f>
        <v/>
      </c>
      <c r="N468" s="2">
        <f>IF(E468="","",IF(ISNUMBER(SEARCH("SUBSOLO",E468)),IFERROR(-VALUE(LEFT(E468,FIND("º",SUBSTITUTE(E468,"°","º"))-1)),-1),IF(LEFT(E468,6)="TÉRREO",0,IFERROR(VALUE(LEFT(E468,FIND("º",SUBSTITUTE(E468,"°","º"))-1)),""))))</f>
        <v/>
      </c>
      <c r="O468" s="2">
        <f>IF(OR(F468="",G468=""),"",IF(G468&lt;='RETRATO 2027'!$K$5,"CONCLUÍDA",IF(F468&lt;='RETRATO 2027'!$K$5,"EM ANDAMENTO","A INICIAR")))</f>
        <v/>
      </c>
    </row>
    <row r="469">
      <c r="B469" s="4" t="n">
        <v>29981450</v>
      </c>
      <c r="C469" s="4" t="inlineStr">
        <is>
          <t>SHAFT INTERNO INST. HIDRAÚLICAS</t>
        </is>
      </c>
      <c r="D469" s="4" t="inlineStr">
        <is>
          <t>-</t>
        </is>
      </c>
      <c r="E469" s="4" t="inlineStr">
        <is>
          <t>9º PAV.</t>
        </is>
      </c>
      <c r="F469" s="126" t="n">
        <v>46573</v>
      </c>
      <c r="G469" s="126" t="n">
        <v>46583</v>
      </c>
      <c r="H469" s="126" t="n">
        <v>46289</v>
      </c>
      <c r="I469" s="4" t="n">
        <v>0</v>
      </c>
      <c r="J469" s="4" t="n">
        <v>0</v>
      </c>
      <c r="K469" s="4" t="n">
        <v>0</v>
      </c>
      <c r="M469" s="2">
        <f>IF(C469="","",IFERROR(INDEX($S$5:$S$304,MATCH(C469,$R$5:$R$304,0))&amp;"","?"))</f>
        <v/>
      </c>
      <c r="N469" s="2">
        <f>IF(E469="","",IF(ISNUMBER(SEARCH("SUBSOLO",E469)),IFERROR(-VALUE(LEFT(E469,FIND("º",SUBSTITUTE(E469,"°","º"))-1)),-1),IF(LEFT(E469,6)="TÉRREO",0,IFERROR(VALUE(LEFT(E469,FIND("º",SUBSTITUTE(E469,"°","º"))-1)),""))))</f>
        <v/>
      </c>
      <c r="O469" s="2">
        <f>IF(OR(F469="",G469=""),"",IF(G469&lt;='RETRATO 2027'!$K$5,"CONCLUÍDA",IF(F469&lt;='RETRATO 2027'!$K$5,"EM ANDAMENTO","A INICIAR")))</f>
        <v/>
      </c>
    </row>
    <row r="470">
      <c r="B470" s="4" t="n">
        <v>29981483</v>
      </c>
      <c r="C470" s="4" t="inlineStr">
        <is>
          <t>PRUMADA ELÉTRICA - INFRA</t>
        </is>
      </c>
      <c r="D470" s="4" t="inlineStr">
        <is>
          <t>-</t>
        </is>
      </c>
      <c r="E470" s="4" t="inlineStr">
        <is>
          <t>9º PAV.</t>
        </is>
      </c>
      <c r="F470" s="126" t="n">
        <v>46573</v>
      </c>
      <c r="G470" s="126" t="n">
        <v>46583</v>
      </c>
      <c r="H470" s="126" t="n">
        <v>46289</v>
      </c>
      <c r="I470" s="4" t="n">
        <v>0</v>
      </c>
      <c r="J470" s="4" t="n">
        <v>0</v>
      </c>
      <c r="K470" s="4" t="n">
        <v>0</v>
      </c>
      <c r="M470" s="2">
        <f>IF(C470="","",IFERROR(INDEX($S$5:$S$304,MATCH(C470,$R$5:$R$304,0))&amp;"","?"))</f>
        <v/>
      </c>
      <c r="N470" s="2">
        <f>IF(E470="","",IF(ISNUMBER(SEARCH("SUBSOLO",E470)),IFERROR(-VALUE(LEFT(E470,FIND("º",SUBSTITUTE(E470,"°","º"))-1)),-1),IF(LEFT(E470,6)="TÉRREO",0,IFERROR(VALUE(LEFT(E470,FIND("º",SUBSTITUTE(E470,"°","º"))-1)),""))))</f>
        <v/>
      </c>
      <c r="O470" s="2">
        <f>IF(OR(F470="",G470=""),"",IF(G470&lt;='RETRATO 2027'!$K$5,"CONCLUÍDA",IF(F470&lt;='RETRATO 2027'!$K$5,"EM ANDAMENTO","A INICIAR")))</f>
        <v/>
      </c>
    </row>
    <row r="471">
      <c r="B471" s="4" t="n">
        <v>29981412</v>
      </c>
      <c r="C471" s="4" t="inlineStr">
        <is>
          <t>REBOCO INTERNO</t>
        </is>
      </c>
      <c r="D471" s="4" t="inlineStr">
        <is>
          <t>-</t>
        </is>
      </c>
      <c r="E471" s="4" t="inlineStr">
        <is>
          <t>10º PAV.</t>
        </is>
      </c>
      <c r="F471" s="126" t="n">
        <v>46573</v>
      </c>
      <c r="G471" s="126" t="n">
        <v>46583</v>
      </c>
      <c r="H471" s="126" t="n">
        <v>46289</v>
      </c>
      <c r="I471" s="4" t="n">
        <v>0</v>
      </c>
      <c r="J471" s="4" t="n">
        <v>0</v>
      </c>
      <c r="K471" s="4" t="n">
        <v>0</v>
      </c>
      <c r="M471" s="2">
        <f>IF(C471="","",IFERROR(INDEX($S$5:$S$304,MATCH(C471,$R$5:$R$304,0))&amp;"","?"))</f>
        <v/>
      </c>
      <c r="N471" s="2">
        <f>IF(E471="","",IF(ISNUMBER(SEARCH("SUBSOLO",E471)),IFERROR(-VALUE(LEFT(E471,FIND("º",SUBSTITUTE(E471,"°","º"))-1)),-1),IF(LEFT(E471,6)="TÉRREO",0,IFERROR(VALUE(LEFT(E471,FIND("º",SUBSTITUTE(E471,"°","º"))-1)),""))))</f>
        <v/>
      </c>
      <c r="O471" s="2">
        <f>IF(OR(F471="",G471=""),"",IF(G471&lt;='RETRATO 2027'!$K$5,"CONCLUÍDA",IF(F471&lt;='RETRATO 2027'!$K$5,"EM ANDAMENTO","A INICIAR")))</f>
        <v/>
      </c>
    </row>
    <row r="472">
      <c r="B472" s="4" t="n">
        <v>29981378</v>
      </c>
      <c r="C472" s="4" t="inlineStr">
        <is>
          <t>CONTRAMARCO</t>
        </is>
      </c>
      <c r="D472" s="4" t="inlineStr">
        <is>
          <t>-</t>
        </is>
      </c>
      <c r="E472" s="4" t="inlineStr">
        <is>
          <t>11º PAV.</t>
        </is>
      </c>
      <c r="F472" s="126" t="n">
        <v>46573</v>
      </c>
      <c r="G472" s="126" t="n">
        <v>46583</v>
      </c>
      <c r="H472" s="126" t="n">
        <v>46289</v>
      </c>
      <c r="I472" s="4" t="n">
        <v>0</v>
      </c>
      <c r="J472" s="4" t="n">
        <v>0</v>
      </c>
      <c r="K472" s="4" t="n">
        <v>0</v>
      </c>
      <c r="M472" s="2">
        <f>IF(C472="","",IFERROR(INDEX($S$5:$S$304,MATCH(C472,$R$5:$R$304,0))&amp;"","?"))</f>
        <v/>
      </c>
      <c r="N472" s="2">
        <f>IF(E472="","",IF(ISNUMBER(SEARCH("SUBSOLO",E472)),IFERROR(-VALUE(LEFT(E472,FIND("º",SUBSTITUTE(E472,"°","º"))-1)),-1),IF(LEFT(E472,6)="TÉRREO",0,IFERROR(VALUE(LEFT(E472,FIND("º",SUBSTITUTE(E472,"°","º"))-1)),""))))</f>
        <v/>
      </c>
      <c r="O472" s="2">
        <f>IF(OR(F472="",G472=""),"",IF(G472&lt;='RETRATO 2027'!$K$5,"CONCLUÍDA",IF(F472&lt;='RETRATO 2027'!$K$5,"EM ANDAMENTO","A INICIAR")))</f>
        <v/>
      </c>
    </row>
    <row r="473">
      <c r="B473" s="4" t="n">
        <v>29981371</v>
      </c>
      <c r="C473" s="4" t="inlineStr">
        <is>
          <t>DISTRIBUIÇÃO HIDROSSANITÁRIA</t>
        </is>
      </c>
      <c r="D473" s="4" t="inlineStr">
        <is>
          <t>-</t>
        </is>
      </c>
      <c r="E473" s="4" t="inlineStr">
        <is>
          <t>12º PAV.</t>
        </is>
      </c>
      <c r="F473" s="126" t="n">
        <v>46573</v>
      </c>
      <c r="G473" s="126" t="n">
        <v>46583</v>
      </c>
      <c r="H473" s="126" t="n">
        <v>46289</v>
      </c>
      <c r="I473" s="4" t="n">
        <v>0</v>
      </c>
      <c r="J473" s="4" t="n">
        <v>0</v>
      </c>
      <c r="K473" s="4" t="n">
        <v>0</v>
      </c>
      <c r="M473" s="2">
        <f>IF(C473="","",IFERROR(INDEX($S$5:$S$304,MATCH(C473,$R$5:$R$304,0))&amp;"","?"))</f>
        <v/>
      </c>
      <c r="N473" s="2">
        <f>IF(E473="","",IF(ISNUMBER(SEARCH("SUBSOLO",E473)),IFERROR(-VALUE(LEFT(E473,FIND("º",SUBSTITUTE(E473,"°","º"))-1)),-1),IF(LEFT(E473,6)="TÉRREO",0,IFERROR(VALUE(LEFT(E473,FIND("º",SUBSTITUTE(E473,"°","º"))-1)),""))))</f>
        <v/>
      </c>
      <c r="O473" s="2">
        <f>IF(OR(F473="",G473=""),"",IF(G473&lt;='RETRATO 2027'!$K$5,"CONCLUÍDA",IF(F473&lt;='RETRATO 2027'!$K$5,"EM ANDAMENTO","A INICIAR")))</f>
        <v/>
      </c>
    </row>
    <row r="474">
      <c r="B474" s="4" t="n">
        <v>29981340</v>
      </c>
      <c r="C474" s="4" t="inlineStr">
        <is>
          <t>DISTRIBUIÇÃO ELÉTRICA / QUADRO</t>
        </is>
      </c>
      <c r="D474" s="4" t="inlineStr">
        <is>
          <t>-</t>
        </is>
      </c>
      <c r="E474" s="4" t="inlineStr">
        <is>
          <t>12º PAV.</t>
        </is>
      </c>
      <c r="F474" s="126" t="n">
        <v>46573</v>
      </c>
      <c r="G474" s="126" t="n">
        <v>46583</v>
      </c>
      <c r="H474" s="126" t="n">
        <v>46289</v>
      </c>
      <c r="I474" s="4" t="n">
        <v>0</v>
      </c>
      <c r="J474" s="4" t="n">
        <v>0</v>
      </c>
      <c r="K474" s="4" t="n">
        <v>0</v>
      </c>
      <c r="M474" s="2">
        <f>IF(C474="","",IFERROR(INDEX($S$5:$S$304,MATCH(C474,$R$5:$R$304,0))&amp;"","?"))</f>
        <v/>
      </c>
      <c r="N474" s="2">
        <f>IF(E474="","",IF(ISNUMBER(SEARCH("SUBSOLO",E474)),IFERROR(-VALUE(LEFT(E474,FIND("º",SUBSTITUTE(E474,"°","º"))-1)),-1),IF(LEFT(E474,6)="TÉRREO",0,IFERROR(VALUE(LEFT(E474,FIND("º",SUBSTITUTE(E474,"°","º"))-1)),""))))</f>
        <v/>
      </c>
      <c r="O474" s="2">
        <f>IF(OR(F474="",G474=""),"",IF(G474&lt;='RETRATO 2027'!$K$5,"CONCLUÍDA",IF(F474&lt;='RETRATO 2027'!$K$5,"EM ANDAMENTO","A INICIAR")))</f>
        <v/>
      </c>
    </row>
    <row r="475">
      <c r="B475" s="4" t="n">
        <v>29981373</v>
      </c>
      <c r="C475" s="4" t="inlineStr">
        <is>
          <t>DISTRIBUIÇÃO DE GÁS</t>
        </is>
      </c>
      <c r="D475" s="4" t="inlineStr">
        <is>
          <t>-</t>
        </is>
      </c>
      <c r="E475" s="4" t="inlineStr">
        <is>
          <t>12º PAV.</t>
        </is>
      </c>
      <c r="F475" s="126" t="n">
        <v>46573</v>
      </c>
      <c r="G475" s="126" t="n">
        <v>46583</v>
      </c>
      <c r="H475" s="126" t="n">
        <v>46289</v>
      </c>
      <c r="I475" s="4" t="n">
        <v>0</v>
      </c>
      <c r="J475" s="4" t="n">
        <v>0</v>
      </c>
      <c r="K475" s="4" t="n">
        <v>0</v>
      </c>
      <c r="M475" s="2">
        <f>IF(C475="","",IFERROR(INDEX($S$5:$S$304,MATCH(C475,$R$5:$R$304,0))&amp;"","?"))</f>
        <v/>
      </c>
      <c r="N475" s="2">
        <f>IF(E475="","",IF(ISNUMBER(SEARCH("SUBSOLO",E475)),IFERROR(-VALUE(LEFT(E475,FIND("º",SUBSTITUTE(E475,"°","º"))-1)),-1),IF(LEFT(E475,6)="TÉRREO",0,IFERROR(VALUE(LEFT(E475,FIND("º",SUBSTITUTE(E475,"°","º"))-1)),""))))</f>
        <v/>
      </c>
      <c r="O475" s="2">
        <f>IF(OR(F475="",G475=""),"",IF(G475&lt;='RETRATO 2027'!$K$5,"CONCLUÍDA",IF(F475&lt;='RETRATO 2027'!$K$5,"EM ANDAMENTO","A INICIAR")))</f>
        <v/>
      </c>
    </row>
    <row r="476">
      <c r="B476" s="4" t="n">
        <v>29981320</v>
      </c>
      <c r="C476" s="4" t="inlineStr">
        <is>
          <t>TALISCAMENTO</t>
        </is>
      </c>
      <c r="D476" s="4" t="inlineStr">
        <is>
          <t>-</t>
        </is>
      </c>
      <c r="E476" s="4" t="inlineStr">
        <is>
          <t>13º PAV.</t>
        </is>
      </c>
      <c r="F476" s="126" t="n">
        <v>46573</v>
      </c>
      <c r="G476" s="126" t="n">
        <v>46583</v>
      </c>
      <c r="H476" s="126" t="n">
        <v>46289</v>
      </c>
      <c r="I476" s="4" t="n">
        <v>0</v>
      </c>
      <c r="J476" s="4" t="n">
        <v>0</v>
      </c>
      <c r="K476" s="4" t="n">
        <v>0</v>
      </c>
      <c r="M476" s="2">
        <f>IF(C476="","",IFERROR(INDEX($S$5:$S$304,MATCH(C476,$R$5:$R$304,0))&amp;"","?"))</f>
        <v/>
      </c>
      <c r="N476" s="2">
        <f>IF(E476="","",IF(ISNUMBER(SEARCH("SUBSOLO",E476)),IFERROR(-VALUE(LEFT(E476,FIND("º",SUBSTITUTE(E476,"°","º"))-1)),-1),IF(LEFT(E476,6)="TÉRREO",0,IFERROR(VALUE(LEFT(E476,FIND("º",SUBSTITUTE(E476,"°","º"))-1)),""))))</f>
        <v/>
      </c>
      <c r="O476" s="2">
        <f>IF(OR(F476="",G476=""),"",IF(G476&lt;='RETRATO 2027'!$K$5,"CONCLUÍDA",IF(F476&lt;='RETRATO 2027'!$K$5,"EM ANDAMENTO","A INICIAR")))</f>
        <v/>
      </c>
    </row>
    <row r="477">
      <c r="B477" s="4" t="n">
        <v>29981286</v>
      </c>
      <c r="C477" s="4" t="inlineStr">
        <is>
          <t>PRUMADA HIDROSSANITÁRIA</t>
        </is>
      </c>
      <c r="D477" s="4" t="inlineStr">
        <is>
          <t>-</t>
        </is>
      </c>
      <c r="E477" s="4" t="inlineStr">
        <is>
          <t>14º PAV.</t>
        </is>
      </c>
      <c r="F477" s="126" t="n">
        <v>46573</v>
      </c>
      <c r="G477" s="126" t="n">
        <v>46583</v>
      </c>
      <c r="H477" s="126" t="n">
        <v>46289</v>
      </c>
      <c r="I477" s="4" t="n">
        <v>0</v>
      </c>
      <c r="J477" s="4" t="n">
        <v>0</v>
      </c>
      <c r="K477" s="4" t="n">
        <v>0</v>
      </c>
      <c r="M477" s="2">
        <f>IF(C477="","",IFERROR(INDEX($S$5:$S$304,MATCH(C477,$R$5:$R$304,0))&amp;"","?"))</f>
        <v/>
      </c>
      <c r="N477" s="2">
        <f>IF(E477="","",IF(ISNUMBER(SEARCH("SUBSOLO",E477)),IFERROR(-VALUE(LEFT(E477,FIND("º",SUBSTITUTE(E477,"°","º"))-1)),-1),IF(LEFT(E477,6)="TÉRREO",0,IFERROR(VALUE(LEFT(E477,FIND("º",SUBSTITUTE(E477,"°","º"))-1)),""))))</f>
        <v/>
      </c>
      <c r="O477" s="2">
        <f>IF(OR(F477="",G477=""),"",IF(G477&lt;='RETRATO 2027'!$K$5,"CONCLUÍDA",IF(F477&lt;='RETRATO 2027'!$K$5,"EM ANDAMENTO","A INICIAR")))</f>
        <v/>
      </c>
    </row>
    <row r="478">
      <c r="B478" s="4" t="n">
        <v>29981285</v>
      </c>
      <c r="C478" s="4" t="inlineStr">
        <is>
          <t>ENCUNHAMENTO</t>
        </is>
      </c>
      <c r="D478" s="4" t="inlineStr">
        <is>
          <t>-</t>
        </is>
      </c>
      <c r="E478" s="4" t="inlineStr">
        <is>
          <t>14º PAV.</t>
        </is>
      </c>
      <c r="F478" s="126" t="n">
        <v>46575</v>
      </c>
      <c r="G478" s="126" t="n">
        <v>46587</v>
      </c>
      <c r="H478" s="126" t="n">
        <v>46289</v>
      </c>
      <c r="I478" s="4" t="n">
        <v>0</v>
      </c>
      <c r="J478" s="4" t="n">
        <v>0</v>
      </c>
      <c r="K478" s="4" t="n">
        <v>0</v>
      </c>
      <c r="M478" s="2">
        <f>IF(C478="","",IFERROR(INDEX($S$5:$S$304,MATCH(C478,$R$5:$R$304,0))&amp;"","?"))</f>
        <v/>
      </c>
      <c r="N478" s="2">
        <f>IF(E478="","",IF(ISNUMBER(SEARCH("SUBSOLO",E478)),IFERROR(-VALUE(LEFT(E478,FIND("º",SUBSTITUTE(E478,"°","º"))-1)),-1),IF(LEFT(E478,6)="TÉRREO",0,IFERROR(VALUE(LEFT(E478,FIND("º",SUBSTITUTE(E478,"°","º"))-1)),""))))</f>
        <v/>
      </c>
      <c r="O478" s="2">
        <f>IF(OR(F478="",G478=""),"",IF(G478&lt;='RETRATO 2027'!$K$5,"CONCLUÍDA",IF(F478&lt;='RETRATO 2027'!$K$5,"EM ANDAMENTO","A INICIAR")))</f>
        <v/>
      </c>
    </row>
    <row r="479">
      <c r="B479" s="4" t="n">
        <v>29981259</v>
      </c>
      <c r="C479" s="4" t="inlineStr">
        <is>
          <t>PRUMADA DE INCÊNDIO</t>
        </is>
      </c>
      <c r="D479" s="4" t="inlineStr">
        <is>
          <t>-</t>
        </is>
      </c>
      <c r="E479" s="4" t="inlineStr">
        <is>
          <t>15º PAV.</t>
        </is>
      </c>
      <c r="F479" s="126" t="n">
        <v>46580</v>
      </c>
      <c r="G479" s="126" t="n">
        <v>46590</v>
      </c>
      <c r="H479" s="126" t="n">
        <v>46289</v>
      </c>
      <c r="I479" s="4" t="n">
        <v>0</v>
      </c>
      <c r="J479" s="4" t="n">
        <v>0</v>
      </c>
      <c r="K479" s="4" t="n">
        <v>0</v>
      </c>
      <c r="M479" s="2">
        <f>IF(C479="","",IFERROR(INDEX($S$5:$S$304,MATCH(C479,$R$5:$R$304,0))&amp;"","?"))</f>
        <v/>
      </c>
      <c r="N479" s="2">
        <f>IF(E479="","",IF(ISNUMBER(SEARCH("SUBSOLO",E479)),IFERROR(-VALUE(LEFT(E479,FIND("º",SUBSTITUTE(E479,"°","º"))-1)),-1),IF(LEFT(E479,6)="TÉRREO",0,IFERROR(VALUE(LEFT(E479,FIND("º",SUBSTITUTE(E479,"°","º"))-1)),""))))</f>
        <v/>
      </c>
      <c r="O479" s="2">
        <f>IF(OR(F479="",G479=""),"",IF(G479&lt;='RETRATO 2027'!$K$5,"CONCLUÍDA",IF(F479&lt;='RETRATO 2027'!$K$5,"EM ANDAMENTO","A INICIAR")))</f>
        <v/>
      </c>
    </row>
    <row r="480">
      <c r="B480" s="4" t="n">
        <v>29981210</v>
      </c>
      <c r="C480" s="4" t="inlineStr">
        <is>
          <t>ALVENARIA</t>
        </is>
      </c>
      <c r="D480" s="4" t="inlineStr">
        <is>
          <t>-</t>
        </is>
      </c>
      <c r="E480" s="4" t="inlineStr">
        <is>
          <t>16º PAV.</t>
        </is>
      </c>
      <c r="F480" s="126" t="n">
        <v>46580</v>
      </c>
      <c r="G480" s="126" t="n">
        <v>46590</v>
      </c>
      <c r="H480" s="126" t="n">
        <v>46289</v>
      </c>
      <c r="I480" s="4" t="n">
        <v>0</v>
      </c>
      <c r="J480" s="4" t="n">
        <v>0</v>
      </c>
      <c r="K480" s="4" t="n">
        <v>0</v>
      </c>
      <c r="M480" s="2">
        <f>IF(C480="","",IFERROR(INDEX($S$5:$S$304,MATCH(C480,$R$5:$R$304,0))&amp;"","?"))</f>
        <v/>
      </c>
      <c r="N480" s="2">
        <f>IF(E480="","",IF(ISNUMBER(SEARCH("SUBSOLO",E480)),IFERROR(-VALUE(LEFT(E480,FIND("º",SUBSTITUTE(E480,"°","º"))-1)),-1),IF(LEFT(E480,6)="TÉRREO",0,IFERROR(VALUE(LEFT(E480,FIND("º",SUBSTITUTE(E480,"°","º"))-1)),""))))</f>
        <v/>
      </c>
      <c r="O480" s="2">
        <f>IF(OR(F480="",G480=""),"",IF(G480&lt;='RETRATO 2027'!$K$5,"CONCLUÍDA",IF(F480&lt;='RETRATO 2027'!$K$5,"EM ANDAMENTO","A INICIAR")))</f>
        <v/>
      </c>
    </row>
    <row r="481">
      <c r="B481" s="4" t="n">
        <v>29940960</v>
      </c>
      <c r="C481" s="4" t="inlineStr">
        <is>
          <t>ESTRUTURA</t>
        </is>
      </c>
      <c r="D481" s="4" t="inlineStr">
        <is>
          <t>-</t>
        </is>
      </c>
      <c r="E481" s="4" t="inlineStr">
        <is>
          <t>20º PAV.</t>
        </is>
      </c>
      <c r="F481" s="126" t="n">
        <v>46581</v>
      </c>
      <c r="G481" s="126" t="n">
        <v>46590</v>
      </c>
      <c r="H481" s="126" t="n">
        <v>46289</v>
      </c>
      <c r="I481" s="4" t="n">
        <v>0</v>
      </c>
      <c r="J481" s="4" t="n">
        <v>0</v>
      </c>
      <c r="K481" s="4" t="n">
        <v>0</v>
      </c>
      <c r="M481" s="2">
        <f>IF(C481="","",IFERROR(INDEX($S$5:$S$304,MATCH(C481,$R$5:$R$304,0))&amp;"","?"))</f>
        <v/>
      </c>
      <c r="N481" s="2">
        <f>IF(E481="","",IF(ISNUMBER(SEARCH("SUBSOLO",E481)),IFERROR(-VALUE(LEFT(E481,FIND("º",SUBSTITUTE(E481,"°","º"))-1)),-1),IF(LEFT(E481,6)="TÉRREO",0,IFERROR(VALUE(LEFT(E481,FIND("º",SUBSTITUTE(E481,"°","º"))-1)),""))))</f>
        <v/>
      </c>
      <c r="O481" s="2">
        <f>IF(OR(F481="",G481=""),"",IF(G481&lt;='RETRATO 2027'!$K$5,"CONCLUÍDA",IF(F481&lt;='RETRATO 2027'!$K$5,"EM ANDAMENTO","A INICIAR")))</f>
        <v/>
      </c>
    </row>
    <row r="482">
      <c r="B482" s="4" t="n">
        <v>31529028</v>
      </c>
      <c r="C482" s="4" t="inlineStr">
        <is>
          <t>ESTRUTURA</t>
        </is>
      </c>
      <c r="D482" s="4" t="inlineStr">
        <is>
          <t>Forma</t>
        </is>
      </c>
      <c r="E482" s="4" t="inlineStr">
        <is>
          <t>20º PAV.</t>
        </is>
      </c>
      <c r="F482" s="126" t="n">
        <v>46581</v>
      </c>
      <c r="G482" s="126" t="n">
        <v>46584</v>
      </c>
      <c r="H482" s="126" t="n">
        <v>46289</v>
      </c>
      <c r="I482" s="4" t="n">
        <v>0</v>
      </c>
      <c r="J482" s="4" t="n">
        <v>0</v>
      </c>
      <c r="K482" s="4" t="n">
        <v>0</v>
      </c>
      <c r="M482" s="2">
        <f>IF(C482="","",IFERROR(INDEX($S$5:$S$304,MATCH(C482,$R$5:$R$304,0))&amp;"","?"))</f>
        <v/>
      </c>
      <c r="N482" s="2">
        <f>IF(E482="","",IF(ISNUMBER(SEARCH("SUBSOLO",E482)),IFERROR(-VALUE(LEFT(E482,FIND("º",SUBSTITUTE(E482,"°","º"))-1)),-1),IF(LEFT(E482,6)="TÉRREO",0,IFERROR(VALUE(LEFT(E482,FIND("º",SUBSTITUTE(E482,"°","º"))-1)),""))))</f>
        <v/>
      </c>
      <c r="O482" s="2">
        <f>IF(OR(F482="",G482=""),"",IF(G482&lt;='RETRATO 2027'!$K$5,"CONCLUÍDA",IF(F482&lt;='RETRATO 2027'!$K$5,"EM ANDAMENTO","A INICIAR")))</f>
        <v/>
      </c>
    </row>
    <row r="483">
      <c r="B483" s="4" t="n">
        <v>31529029</v>
      </c>
      <c r="C483" s="4" t="inlineStr">
        <is>
          <t>ESTRUTURA</t>
        </is>
      </c>
      <c r="D483" s="4" t="inlineStr">
        <is>
          <t>Armação</t>
        </is>
      </c>
      <c r="E483" s="4" t="inlineStr">
        <is>
          <t>20º PAV.</t>
        </is>
      </c>
      <c r="F483" s="126" t="n">
        <v>46587</v>
      </c>
      <c r="G483" s="126" t="n">
        <v>46589</v>
      </c>
      <c r="H483" s="126" t="n">
        <v>46289</v>
      </c>
      <c r="I483" s="4" t="n">
        <v>0</v>
      </c>
      <c r="J483" s="4" t="n">
        <v>0</v>
      </c>
      <c r="K483" s="4" t="n">
        <v>0</v>
      </c>
      <c r="M483" s="2">
        <f>IF(C483="","",IFERROR(INDEX($S$5:$S$304,MATCH(C483,$R$5:$R$304,0))&amp;"","?"))</f>
        <v/>
      </c>
      <c r="N483" s="2">
        <f>IF(E483="","",IF(ISNUMBER(SEARCH("SUBSOLO",E483)),IFERROR(-VALUE(LEFT(E483,FIND("º",SUBSTITUTE(E483,"°","º"))-1)),-1),IF(LEFT(E483,6)="TÉRREO",0,IFERROR(VALUE(LEFT(E483,FIND("º",SUBSTITUTE(E483,"°","º"))-1)),""))))</f>
        <v/>
      </c>
      <c r="O483" s="2">
        <f>IF(OR(F483="",G483=""),"",IF(G483&lt;='RETRATO 2027'!$K$5,"CONCLUÍDA",IF(F483&lt;='RETRATO 2027'!$K$5,"EM ANDAMENTO","A INICIAR")))</f>
        <v/>
      </c>
    </row>
    <row r="484">
      <c r="B484" s="4" t="n">
        <v>31529030</v>
      </c>
      <c r="C484" s="4" t="inlineStr">
        <is>
          <t>ESTRUTURA</t>
        </is>
      </c>
      <c r="D484" s="4" t="inlineStr">
        <is>
          <t>Concretagem</t>
        </is>
      </c>
      <c r="E484" s="4" t="inlineStr">
        <is>
          <t>20º PAV.</t>
        </is>
      </c>
      <c r="F484" s="126" t="n">
        <v>46590</v>
      </c>
      <c r="G484" s="126" t="n">
        <v>46590</v>
      </c>
      <c r="H484" s="126" t="n">
        <v>46289</v>
      </c>
      <c r="I484" s="4" t="n">
        <v>0</v>
      </c>
      <c r="J484" s="4" t="n">
        <v>0</v>
      </c>
      <c r="K484" s="4" t="n">
        <v>0</v>
      </c>
      <c r="M484" s="2">
        <f>IF(C484="","",IFERROR(INDEX($S$5:$S$304,MATCH(C484,$R$5:$R$304,0))&amp;"","?"))</f>
        <v/>
      </c>
      <c r="N484" s="2">
        <f>IF(E484="","",IF(ISNUMBER(SEARCH("SUBSOLO",E484)),IFERROR(-VALUE(LEFT(E484,FIND("º",SUBSTITUTE(E484,"°","º"))-1)),-1),IF(LEFT(E484,6)="TÉRREO",0,IFERROR(VALUE(LEFT(E484,FIND("º",SUBSTITUTE(E484,"°","º"))-1)),""))))</f>
        <v/>
      </c>
      <c r="O484" s="2">
        <f>IF(OR(F484="",G484=""),"",IF(G484&lt;='RETRATO 2027'!$K$5,"CONCLUÍDA",IF(F484&lt;='RETRATO 2027'!$K$5,"EM ANDAMENTO","A INICIAR")))</f>
        <v/>
      </c>
    </row>
    <row r="485">
      <c r="B485" s="4" t="n">
        <v>31529031</v>
      </c>
      <c r="C485" s="4" t="inlineStr">
        <is>
          <t>ESTRUTURA</t>
        </is>
      </c>
      <c r="D485" s="4" t="inlineStr">
        <is>
          <t>Polimento</t>
        </is>
      </c>
      <c r="E485" s="4" t="inlineStr">
        <is>
          <t>20º PAV.</t>
        </is>
      </c>
      <c r="F485" s="126" t="n">
        <v>46590</v>
      </c>
      <c r="G485" s="126" t="n">
        <v>46590</v>
      </c>
      <c r="H485" s="126" t="n">
        <v>46289</v>
      </c>
      <c r="I485" s="4" t="n">
        <v>0</v>
      </c>
      <c r="J485" s="4" t="n">
        <v>0</v>
      </c>
      <c r="K485" s="4" t="n">
        <v>0</v>
      </c>
      <c r="M485" s="2">
        <f>IF(C485="","",IFERROR(INDEX($S$5:$S$304,MATCH(C485,$R$5:$R$304,0))&amp;"","?"))</f>
        <v/>
      </c>
      <c r="N485" s="2">
        <f>IF(E485="","",IF(ISNUMBER(SEARCH("SUBSOLO",E485)),IFERROR(-VALUE(LEFT(E485,FIND("º",SUBSTITUTE(E485,"°","º"))-1)),-1),IF(LEFT(E485,6)="TÉRREO",0,IFERROR(VALUE(LEFT(E485,FIND("º",SUBSTITUTE(E485,"°","º"))-1)),""))))</f>
        <v/>
      </c>
      <c r="O485" s="2">
        <f>IF(OR(F485="",G485=""),"",IF(G485&lt;='RETRATO 2027'!$K$5,"CONCLUÍDA",IF(F485&lt;='RETRATO 2027'!$K$5,"EM ANDAMENTO","A INICIAR")))</f>
        <v/>
      </c>
    </row>
    <row r="486">
      <c r="B486" s="4" t="n">
        <v>30205691</v>
      </c>
      <c r="C486" s="4" t="inlineStr">
        <is>
          <t>TALISCAMENTO</t>
        </is>
      </c>
      <c r="D486" s="4" t="inlineStr">
        <is>
          <t>-</t>
        </is>
      </c>
      <c r="E486" s="4" t="inlineStr">
        <is>
          <t>TÉRREO - LOJA 1</t>
        </is>
      </c>
      <c r="F486" s="126" t="n">
        <v>46583</v>
      </c>
      <c r="G486" s="126" t="n">
        <v>46596</v>
      </c>
      <c r="H486" s="126" t="n">
        <v>46289</v>
      </c>
      <c r="I486" s="4" t="n">
        <v>0</v>
      </c>
      <c r="J486" s="4" t="n">
        <v>0</v>
      </c>
      <c r="K486" s="4" t="n">
        <v>0</v>
      </c>
      <c r="M486" s="2">
        <f>IF(C486="","",IFERROR(INDEX($S$5:$S$304,MATCH(C486,$R$5:$R$304,0))&amp;"","?"))</f>
        <v/>
      </c>
      <c r="N486" s="2">
        <f>IF(E486="","",IF(ISNUMBER(SEARCH("SUBSOLO",E486)),IFERROR(-VALUE(LEFT(E486,FIND("º",SUBSTITUTE(E486,"°","º"))-1)),-1),IF(LEFT(E486,6)="TÉRREO",0,IFERROR(VALUE(LEFT(E486,FIND("º",SUBSTITUTE(E486,"°","º"))-1)),""))))</f>
        <v/>
      </c>
      <c r="O486" s="2">
        <f>IF(OR(F486="",G486=""),"",IF(G486&lt;='RETRATO 2027'!$K$5,"CONCLUÍDA",IF(F486&lt;='RETRATO 2027'!$K$5,"EM ANDAMENTO","A INICIAR")))</f>
        <v/>
      </c>
    </row>
    <row r="487">
      <c r="B487" s="4" t="n">
        <v>30205658</v>
      </c>
      <c r="C487" s="4" t="inlineStr">
        <is>
          <t>PRUMADA HIDROSSANITÁRIA</t>
        </is>
      </c>
      <c r="D487" s="4" t="inlineStr">
        <is>
          <t>-</t>
        </is>
      </c>
      <c r="E487" s="4" t="inlineStr">
        <is>
          <t>TÉRREO - LOJA 2</t>
        </is>
      </c>
      <c r="F487" s="126" t="n">
        <v>46583</v>
      </c>
      <c r="G487" s="126" t="n">
        <v>46596</v>
      </c>
      <c r="H487" s="126" t="n">
        <v>46289</v>
      </c>
      <c r="I487" s="4" t="n">
        <v>0</v>
      </c>
      <c r="J487" s="4" t="n">
        <v>0</v>
      </c>
      <c r="K487" s="4" t="n">
        <v>0</v>
      </c>
      <c r="M487" s="2">
        <f>IF(C487="","",IFERROR(INDEX($S$5:$S$304,MATCH(C487,$R$5:$R$304,0))&amp;"","?"))</f>
        <v/>
      </c>
      <c r="N487" s="2">
        <f>IF(E487="","",IF(ISNUMBER(SEARCH("SUBSOLO",E487)),IFERROR(-VALUE(LEFT(E487,FIND("º",SUBSTITUTE(E487,"°","º"))-1)),-1),IF(LEFT(E487,6)="TÉRREO",0,IFERROR(VALUE(LEFT(E487,FIND("º",SUBSTITUTE(E487,"°","º"))-1)),""))))</f>
        <v/>
      </c>
      <c r="O487" s="2">
        <f>IF(OR(F487="",G487=""),"",IF(G487&lt;='RETRATO 2027'!$K$5,"CONCLUÍDA",IF(F487&lt;='RETRATO 2027'!$K$5,"EM ANDAMENTO","A INICIAR")))</f>
        <v/>
      </c>
    </row>
    <row r="488">
      <c r="B488" s="4" t="n">
        <v>30205657</v>
      </c>
      <c r="C488" s="4" t="inlineStr">
        <is>
          <t>PRUMADA DE INCÊNDIO</t>
        </is>
      </c>
      <c r="D488" s="4" t="inlineStr">
        <is>
          <t>-</t>
        </is>
      </c>
      <c r="E488" s="4" t="inlineStr">
        <is>
          <t>TÉRREO - LOJA 2</t>
        </is>
      </c>
      <c r="F488" s="126" t="n">
        <v>46583</v>
      </c>
      <c r="G488" s="126" t="n">
        <v>46596</v>
      </c>
      <c r="H488" s="126" t="n">
        <v>46289</v>
      </c>
      <c r="I488" s="4" t="n">
        <v>0</v>
      </c>
      <c r="J488" s="4" t="n">
        <v>0</v>
      </c>
      <c r="K488" s="4" t="n">
        <v>0</v>
      </c>
      <c r="M488" s="2">
        <f>IF(C488="","",IFERROR(INDEX($S$5:$S$304,MATCH(C488,$R$5:$R$304,0))&amp;"","?"))</f>
        <v/>
      </c>
      <c r="N488" s="2">
        <f>IF(E488="","",IF(ISNUMBER(SEARCH("SUBSOLO",E488)),IFERROR(-VALUE(LEFT(E488,FIND("º",SUBSTITUTE(E488,"°","º"))-1)),-1),IF(LEFT(E488,6)="TÉRREO",0,IFERROR(VALUE(LEFT(E488,FIND("º",SUBSTITUTE(E488,"°","º"))-1)),""))))</f>
        <v/>
      </c>
      <c r="O488" s="2">
        <f>IF(OR(F488="",G488=""),"",IF(G488&lt;='RETRATO 2027'!$K$5,"CONCLUÍDA",IF(F488&lt;='RETRATO 2027'!$K$5,"EM ANDAMENTO","A INICIAR")))</f>
        <v/>
      </c>
    </row>
    <row r="489">
      <c r="B489" s="4" t="n">
        <v>30205659</v>
      </c>
      <c r="C489" s="4" t="inlineStr">
        <is>
          <t>ENCUNHAMENTO</t>
        </is>
      </c>
      <c r="D489" s="4" t="inlineStr">
        <is>
          <t>-</t>
        </is>
      </c>
      <c r="E489" s="4" t="inlineStr">
        <is>
          <t>TÉRREO - LOJA 2</t>
        </is>
      </c>
      <c r="F489" s="126" t="n">
        <v>46583</v>
      </c>
      <c r="G489" s="126" t="n">
        <v>46596</v>
      </c>
      <c r="H489" s="126" t="n">
        <v>46289</v>
      </c>
      <c r="I489" s="4" t="n">
        <v>0</v>
      </c>
      <c r="J489" s="4" t="n">
        <v>0</v>
      </c>
      <c r="K489" s="4" t="n">
        <v>0</v>
      </c>
      <c r="M489" s="2">
        <f>IF(C489="","",IFERROR(INDEX($S$5:$S$304,MATCH(C489,$R$5:$R$304,0))&amp;"","?"))</f>
        <v/>
      </c>
      <c r="N489" s="2">
        <f>IF(E489="","",IF(ISNUMBER(SEARCH("SUBSOLO",E489)),IFERROR(-VALUE(LEFT(E489,FIND("º",SUBSTITUTE(E489,"°","º"))-1)),-1),IF(LEFT(E489,6)="TÉRREO",0,IFERROR(VALUE(LEFT(E489,FIND("º",SUBSTITUTE(E489,"°","º"))-1)),""))))</f>
        <v/>
      </c>
      <c r="O489" s="2">
        <f>IF(OR(F489="",G489=""),"",IF(G489&lt;='RETRATO 2027'!$K$5,"CONCLUÍDA",IF(F489&lt;='RETRATO 2027'!$K$5,"EM ANDAMENTO","A INICIAR")))</f>
        <v/>
      </c>
    </row>
    <row r="490">
      <c r="B490" s="4" t="n">
        <v>30205629</v>
      </c>
      <c r="C490" s="4" t="inlineStr">
        <is>
          <t>ALVENARIA</t>
        </is>
      </c>
      <c r="D490" s="4" t="inlineStr">
        <is>
          <t>-</t>
        </is>
      </c>
      <c r="E490" s="4" t="inlineStr">
        <is>
          <t>TÉRREO - LOJA 3</t>
        </is>
      </c>
      <c r="F490" s="126" t="n">
        <v>46583</v>
      </c>
      <c r="G490" s="126" t="n">
        <v>46596</v>
      </c>
      <c r="H490" s="126" t="n">
        <v>46289</v>
      </c>
      <c r="I490" s="4" t="n">
        <v>0</v>
      </c>
      <c r="J490" s="4" t="n">
        <v>0</v>
      </c>
      <c r="K490" s="4" t="n">
        <v>0</v>
      </c>
      <c r="M490" s="2">
        <f>IF(C490="","",IFERROR(INDEX($S$5:$S$304,MATCH(C490,$R$5:$R$304,0))&amp;"","?"))</f>
        <v/>
      </c>
      <c r="N490" s="2">
        <f>IF(E490="","",IF(ISNUMBER(SEARCH("SUBSOLO",E490)),IFERROR(-VALUE(LEFT(E490,FIND("º",SUBSTITUTE(E490,"°","º"))-1)),-1),IF(LEFT(E490,6)="TÉRREO",0,IFERROR(VALUE(LEFT(E490,FIND("º",SUBSTITUTE(E490,"°","º"))-1)),""))))</f>
        <v/>
      </c>
      <c r="O490" s="2">
        <f>IF(OR(F490="",G490=""),"",IF(G490&lt;='RETRATO 2027'!$K$5,"CONCLUÍDA",IF(F490&lt;='RETRATO 2027'!$K$5,"EM ANDAMENTO","A INICIAR")))</f>
        <v/>
      </c>
    </row>
    <row r="491">
      <c r="B491" s="4" t="n">
        <v>32750355</v>
      </c>
      <c r="C491" s="4" t="inlineStr">
        <is>
          <t>DISTRIBUIÇÃO DE GÁS - DRYWALL</t>
        </is>
      </c>
      <c r="D491" s="4" t="inlineStr">
        <is>
          <t>-</t>
        </is>
      </c>
      <c r="E491" s="4" t="inlineStr">
        <is>
          <t>7º PAV.</t>
        </is>
      </c>
      <c r="F491" s="126" t="n">
        <v>46584</v>
      </c>
      <c r="G491" s="126" t="n">
        <v>46596</v>
      </c>
      <c r="H491" s="126" t="n">
        <v>46289</v>
      </c>
      <c r="I491" s="4" t="n">
        <v>0</v>
      </c>
      <c r="J491" s="4" t="n">
        <v>0</v>
      </c>
      <c r="K491" s="4" t="n">
        <v>0</v>
      </c>
      <c r="M491" s="2">
        <f>IF(C491="","",IFERROR(INDEX($S$5:$S$304,MATCH(C491,$R$5:$R$304,0))&amp;"","?"))</f>
        <v/>
      </c>
      <c r="N491" s="2">
        <f>IF(E491="","",IF(ISNUMBER(SEARCH("SUBSOLO",E491)),IFERROR(-VALUE(LEFT(E491,FIND("º",SUBSTITUTE(E491,"°","º"))-1)),-1),IF(LEFT(E491,6)="TÉRREO",0,IFERROR(VALUE(LEFT(E491,FIND("º",SUBSTITUTE(E491,"°","º"))-1)),""))))</f>
        <v/>
      </c>
      <c r="O491" s="2">
        <f>IF(OR(F491="",G491=""),"",IF(G491&lt;='RETRATO 2027'!$K$5,"CONCLUÍDA",IF(F491&lt;='RETRATO 2027'!$K$5,"EM ANDAMENTO","A INICIAR")))</f>
        <v/>
      </c>
    </row>
    <row r="492">
      <c r="B492" s="4" t="n">
        <v>32750381</v>
      </c>
      <c r="C492" s="4" t="inlineStr">
        <is>
          <t>DISTRIBUIÇÃO ELÉTRICA/QUADRO - DRYWALL</t>
        </is>
      </c>
      <c r="D492" s="4" t="inlineStr">
        <is>
          <t>-</t>
        </is>
      </c>
      <c r="E492" s="4" t="inlineStr">
        <is>
          <t>7º PAV.</t>
        </is>
      </c>
      <c r="F492" s="126" t="n">
        <v>46584</v>
      </c>
      <c r="G492" s="126" t="n">
        <v>46596</v>
      </c>
      <c r="H492" s="126" t="n">
        <v>46289</v>
      </c>
      <c r="I492" s="4" t="n">
        <v>0</v>
      </c>
      <c r="J492" s="4" t="n">
        <v>0</v>
      </c>
      <c r="K492" s="4" t="n">
        <v>0</v>
      </c>
      <c r="M492" s="2">
        <f>IF(C492="","",IFERROR(INDEX($S$5:$S$304,MATCH(C492,$R$5:$R$304,0))&amp;"","?"))</f>
        <v/>
      </c>
      <c r="N492" s="2">
        <f>IF(E492="","",IF(ISNUMBER(SEARCH("SUBSOLO",E492)),IFERROR(-VALUE(LEFT(E492,FIND("º",SUBSTITUTE(E492,"°","º"))-1)),-1),IF(LEFT(E492,6)="TÉRREO",0,IFERROR(VALUE(LEFT(E492,FIND("º",SUBSTITUTE(E492,"°","º"))-1)),""))))</f>
        <v/>
      </c>
      <c r="O492" s="2">
        <f>IF(OR(F492="",G492=""),"",IF(G492&lt;='RETRATO 2027'!$K$5,"CONCLUÍDA",IF(F492&lt;='RETRATO 2027'!$K$5,"EM ANDAMENTO","A INICIAR")))</f>
        <v/>
      </c>
    </row>
    <row r="493">
      <c r="B493" s="4" t="n">
        <v>32750407</v>
      </c>
      <c r="C493" s="4" t="inlineStr">
        <is>
          <t>DISTRIBUIÇÃO HIDRÁULICA - DRYWALL</t>
        </is>
      </c>
      <c r="D493" s="4" t="inlineStr">
        <is>
          <t>-</t>
        </is>
      </c>
      <c r="E493" s="4" t="inlineStr">
        <is>
          <t>7º PAV.</t>
        </is>
      </c>
      <c r="F493" s="126" t="n">
        <v>46584</v>
      </c>
      <c r="G493" s="126" t="n">
        <v>46596</v>
      </c>
      <c r="H493" s="126" t="n">
        <v>46289</v>
      </c>
      <c r="I493" s="4" t="n">
        <v>0</v>
      </c>
      <c r="J493" s="4" t="n">
        <v>0</v>
      </c>
      <c r="K493" s="4" t="n">
        <v>0</v>
      </c>
      <c r="M493" s="2">
        <f>IF(C493="","",IFERROR(INDEX($S$5:$S$304,MATCH(C493,$R$5:$R$304,0))&amp;"","?"))</f>
        <v/>
      </c>
      <c r="N493" s="2">
        <f>IF(E493="","",IF(ISNUMBER(SEARCH("SUBSOLO",E493)),IFERROR(-VALUE(LEFT(E493,FIND("º",SUBSTITUTE(E493,"°","º"))-1)),-1),IF(LEFT(E493,6)="TÉRREO",0,IFERROR(VALUE(LEFT(E493,FIND("º",SUBSTITUTE(E493,"°","º"))-1)),""))))</f>
        <v/>
      </c>
      <c r="O493" s="2">
        <f>IF(OR(F493="",G493=""),"",IF(G493&lt;='RETRATO 2027'!$K$5,"CONCLUÍDA",IF(F493&lt;='RETRATO 2027'!$K$5,"EM ANDAMENTO","A INICIAR")))</f>
        <v/>
      </c>
    </row>
    <row r="494">
      <c r="B494" s="4" t="n">
        <v>33896825</v>
      </c>
      <c r="C494" s="4" t="inlineStr">
        <is>
          <t>INFRAESTRUTURA - AR CONDICIONADO</t>
        </is>
      </c>
      <c r="D494" s="4" t="inlineStr">
        <is>
          <t>-</t>
        </is>
      </c>
      <c r="E494" s="4" t="inlineStr">
        <is>
          <t>7º PAV.</t>
        </is>
      </c>
      <c r="F494" s="126" t="n">
        <v>46584</v>
      </c>
      <c r="G494" s="126" t="n">
        <v>46596</v>
      </c>
      <c r="H494" s="126" t="n">
        <v>46289</v>
      </c>
      <c r="I494" s="4" t="n">
        <v>0</v>
      </c>
      <c r="J494" s="4" t="n">
        <v>0</v>
      </c>
      <c r="K494" s="4" t="n">
        <v>0</v>
      </c>
      <c r="M494" s="2">
        <f>IF(C494="","",IFERROR(INDEX($S$5:$S$304,MATCH(C494,$R$5:$R$304,0))&amp;"","?"))</f>
        <v/>
      </c>
      <c r="N494" s="2">
        <f>IF(E494="","",IF(ISNUMBER(SEARCH("SUBSOLO",E494)),IFERROR(-VALUE(LEFT(E494,FIND("º",SUBSTITUTE(E494,"°","º"))-1)),-1),IF(LEFT(E494,6)="TÉRREO",0,IFERROR(VALUE(LEFT(E494,FIND("º",SUBSTITUTE(E494,"°","º"))-1)),""))))</f>
        <v/>
      </c>
      <c r="O494" s="2">
        <f>IF(OR(F494="",G494=""),"",IF(G494&lt;='RETRATO 2027'!$K$5,"CONCLUÍDA",IF(F494&lt;='RETRATO 2027'!$K$5,"EM ANDAMENTO","A INICIAR")))</f>
        <v/>
      </c>
    </row>
    <row r="495">
      <c r="B495" s="4" t="n">
        <v>32749851</v>
      </c>
      <c r="C495" s="4" t="inlineStr">
        <is>
          <t>DRYWALL 1º FACE</t>
        </is>
      </c>
      <c r="D495" s="4" t="inlineStr">
        <is>
          <t>-</t>
        </is>
      </c>
      <c r="E495" s="4" t="inlineStr">
        <is>
          <t>8º PAV.</t>
        </is>
      </c>
      <c r="F495" s="126" t="n">
        <v>46584</v>
      </c>
      <c r="G495" s="126" t="n">
        <v>46596</v>
      </c>
      <c r="H495" s="126" t="n">
        <v>46289</v>
      </c>
      <c r="I495" s="4" t="n">
        <v>0</v>
      </c>
      <c r="J495" s="4" t="n">
        <v>0</v>
      </c>
      <c r="K495" s="4" t="n">
        <v>0</v>
      </c>
      <c r="M495" s="2">
        <f>IF(C495="","",IFERROR(INDEX($S$5:$S$304,MATCH(C495,$R$5:$R$304,0))&amp;"","?"))</f>
        <v/>
      </c>
      <c r="N495" s="2">
        <f>IF(E495="","",IF(ISNUMBER(SEARCH("SUBSOLO",E495)),IFERROR(-VALUE(LEFT(E495,FIND("º",SUBSTITUTE(E495,"°","º"))-1)),-1),IF(LEFT(E495,6)="TÉRREO",0,IFERROR(VALUE(LEFT(E495,FIND("º",SUBSTITUTE(E495,"°","º"))-1)),""))))</f>
        <v/>
      </c>
      <c r="O495" s="2">
        <f>IF(OR(F495="",G495=""),"",IF(G495&lt;='RETRATO 2027'!$K$5,"CONCLUÍDA",IF(F495&lt;='RETRATO 2027'!$K$5,"EM ANDAMENTO","A INICIAR")))</f>
        <v/>
      </c>
    </row>
    <row r="496">
      <c r="B496" s="4" t="n">
        <v>29981473</v>
      </c>
      <c r="C496" s="4" t="inlineStr">
        <is>
          <t>CONTRAPISO</t>
        </is>
      </c>
      <c r="D496" s="4" t="inlineStr">
        <is>
          <t>-</t>
        </is>
      </c>
      <c r="E496" s="4" t="inlineStr">
        <is>
          <t>9º PAV.</t>
        </is>
      </c>
      <c r="F496" s="126" t="n">
        <v>46584</v>
      </c>
      <c r="G496" s="126" t="n">
        <v>46596</v>
      </c>
      <c r="H496" s="126" t="n">
        <v>46289</v>
      </c>
      <c r="I496" s="4" t="n">
        <v>0</v>
      </c>
      <c r="J496" s="4" t="n">
        <v>0</v>
      </c>
      <c r="K496" s="4" t="n">
        <v>0</v>
      </c>
      <c r="M496" s="2">
        <f>IF(C496="","",IFERROR(INDEX($S$5:$S$304,MATCH(C496,$R$5:$R$304,0))&amp;"","?"))</f>
        <v/>
      </c>
      <c r="N496" s="2">
        <f>IF(E496="","",IF(ISNUMBER(SEARCH("SUBSOLO",E496)),IFERROR(-VALUE(LEFT(E496,FIND("º",SUBSTITUTE(E496,"°","º"))-1)),-1),IF(LEFT(E496,6)="TÉRREO",0,IFERROR(VALUE(LEFT(E496,FIND("º",SUBSTITUTE(E496,"°","º"))-1)),""))))</f>
        <v/>
      </c>
      <c r="O496" s="2">
        <f>IF(OR(F496="",G496=""),"",IF(G496&lt;='RETRATO 2027'!$K$5,"CONCLUÍDA",IF(F496&lt;='RETRATO 2027'!$K$5,"EM ANDAMENTO","A INICIAR")))</f>
        <v/>
      </c>
    </row>
    <row r="497">
      <c r="B497" s="4" t="n">
        <v>29981413</v>
      </c>
      <c r="C497" s="4" t="inlineStr">
        <is>
          <t>SHAFT INTERNO INST. HIDRAÚLICAS</t>
        </is>
      </c>
      <c r="D497" s="4" t="inlineStr">
        <is>
          <t>-</t>
        </is>
      </c>
      <c r="E497" s="4" t="inlineStr">
        <is>
          <t>10º PAV.</t>
        </is>
      </c>
      <c r="F497" s="126" t="n">
        <v>46584</v>
      </c>
      <c r="G497" s="126" t="n">
        <v>46596</v>
      </c>
      <c r="H497" s="126" t="n">
        <v>46289</v>
      </c>
      <c r="I497" s="4" t="n">
        <v>0</v>
      </c>
      <c r="J497" s="4" t="n">
        <v>0</v>
      </c>
      <c r="K497" s="4" t="n">
        <v>0</v>
      </c>
      <c r="M497" s="2">
        <f>IF(C497="","",IFERROR(INDEX($S$5:$S$304,MATCH(C497,$R$5:$R$304,0))&amp;"","?"))</f>
        <v/>
      </c>
      <c r="N497" s="2">
        <f>IF(E497="","",IF(ISNUMBER(SEARCH("SUBSOLO",E497)),IFERROR(-VALUE(LEFT(E497,FIND("º",SUBSTITUTE(E497,"°","º"))-1)),-1),IF(LEFT(E497,6)="TÉRREO",0,IFERROR(VALUE(LEFT(E497,FIND("º",SUBSTITUTE(E497,"°","º"))-1)),""))))</f>
        <v/>
      </c>
      <c r="O497" s="2">
        <f>IF(OR(F497="",G497=""),"",IF(G497&lt;='RETRATO 2027'!$K$5,"CONCLUÍDA",IF(F497&lt;='RETRATO 2027'!$K$5,"EM ANDAMENTO","A INICIAR")))</f>
        <v/>
      </c>
    </row>
    <row r="498">
      <c r="B498" s="4" t="n">
        <v>29981446</v>
      </c>
      <c r="C498" s="4" t="inlineStr">
        <is>
          <t>PRUMADA ELÉTRICA - INFRA</t>
        </is>
      </c>
      <c r="D498" s="4" t="inlineStr">
        <is>
          <t>-</t>
        </is>
      </c>
      <c r="E498" s="4" t="inlineStr">
        <is>
          <t>10º PAV.</t>
        </is>
      </c>
      <c r="F498" s="126" t="n">
        <v>46584</v>
      </c>
      <c r="G498" s="126" t="n">
        <v>46596</v>
      </c>
      <c r="H498" s="126" t="n">
        <v>46289</v>
      </c>
      <c r="I498" s="4" t="n">
        <v>0</v>
      </c>
      <c r="J498" s="4" t="n">
        <v>0</v>
      </c>
      <c r="K498" s="4" t="n">
        <v>0</v>
      </c>
      <c r="M498" s="2">
        <f>IF(C498="","",IFERROR(INDEX($S$5:$S$304,MATCH(C498,$R$5:$R$304,0))&amp;"","?"))</f>
        <v/>
      </c>
      <c r="N498" s="2">
        <f>IF(E498="","",IF(ISNUMBER(SEARCH("SUBSOLO",E498)),IFERROR(-VALUE(LEFT(E498,FIND("º",SUBSTITUTE(E498,"°","º"))-1)),-1),IF(LEFT(E498,6)="TÉRREO",0,IFERROR(VALUE(LEFT(E498,FIND("º",SUBSTITUTE(E498,"°","º"))-1)),""))))</f>
        <v/>
      </c>
      <c r="O498" s="2">
        <f>IF(OR(F498="",G498=""),"",IF(G498&lt;='RETRATO 2027'!$K$5,"CONCLUÍDA",IF(F498&lt;='RETRATO 2027'!$K$5,"EM ANDAMENTO","A INICIAR")))</f>
        <v/>
      </c>
    </row>
    <row r="499">
      <c r="B499" s="4" t="n">
        <v>29981375</v>
      </c>
      <c r="C499" s="4" t="inlineStr">
        <is>
          <t>REBOCO INTERNO</t>
        </is>
      </c>
      <c r="D499" s="4" t="inlineStr">
        <is>
          <t>-</t>
        </is>
      </c>
      <c r="E499" s="4" t="inlineStr">
        <is>
          <t>11º PAV.</t>
        </is>
      </c>
      <c r="F499" s="126" t="n">
        <v>46584</v>
      </c>
      <c r="G499" s="126" t="n">
        <v>46596</v>
      </c>
      <c r="H499" s="126" t="n">
        <v>46289</v>
      </c>
      <c r="I499" s="4" t="n">
        <v>0</v>
      </c>
      <c r="J499" s="4" t="n">
        <v>0</v>
      </c>
      <c r="K499" s="4" t="n">
        <v>0</v>
      </c>
      <c r="M499" s="2">
        <f>IF(C499="","",IFERROR(INDEX($S$5:$S$304,MATCH(C499,$R$5:$R$304,0))&amp;"","?"))</f>
        <v/>
      </c>
      <c r="N499" s="2">
        <f>IF(E499="","",IF(ISNUMBER(SEARCH("SUBSOLO",E499)),IFERROR(-VALUE(LEFT(E499,FIND("º",SUBSTITUTE(E499,"°","º"))-1)),-1),IF(LEFT(E499,6)="TÉRREO",0,IFERROR(VALUE(LEFT(E499,FIND("º",SUBSTITUTE(E499,"°","º"))-1)),""))))</f>
        <v/>
      </c>
      <c r="O499" s="2">
        <f>IF(OR(F499="",G499=""),"",IF(G499&lt;='RETRATO 2027'!$K$5,"CONCLUÍDA",IF(F499&lt;='RETRATO 2027'!$K$5,"EM ANDAMENTO","A INICIAR")))</f>
        <v/>
      </c>
    </row>
    <row r="500">
      <c r="B500" s="4" t="n">
        <v>29981341</v>
      </c>
      <c r="C500" s="4" t="inlineStr">
        <is>
          <t>CONTRAMARCO</t>
        </is>
      </c>
      <c r="D500" s="4" t="inlineStr">
        <is>
          <t>-</t>
        </is>
      </c>
      <c r="E500" s="4" t="inlineStr">
        <is>
          <t>12º PAV.</t>
        </is>
      </c>
      <c r="F500" s="126" t="n">
        <v>46584</v>
      </c>
      <c r="G500" s="126" t="n">
        <v>46596</v>
      </c>
      <c r="H500" s="126" t="n">
        <v>46289</v>
      </c>
      <c r="I500" s="4" t="n">
        <v>0</v>
      </c>
      <c r="J500" s="4" t="n">
        <v>0</v>
      </c>
      <c r="K500" s="4" t="n">
        <v>0</v>
      </c>
      <c r="M500" s="2">
        <f>IF(C500="","",IFERROR(INDEX($S$5:$S$304,MATCH(C500,$R$5:$R$304,0))&amp;"","?"))</f>
        <v/>
      </c>
      <c r="N500" s="2">
        <f>IF(E500="","",IF(ISNUMBER(SEARCH("SUBSOLO",E500)),IFERROR(-VALUE(LEFT(E500,FIND("º",SUBSTITUTE(E500,"°","º"))-1)),-1),IF(LEFT(E500,6)="TÉRREO",0,IFERROR(VALUE(LEFT(E500,FIND("º",SUBSTITUTE(E500,"°","º"))-1)),""))))</f>
        <v/>
      </c>
      <c r="O500" s="2">
        <f>IF(OR(F500="",G500=""),"",IF(G500&lt;='RETRATO 2027'!$K$5,"CONCLUÍDA",IF(F500&lt;='RETRATO 2027'!$K$5,"EM ANDAMENTO","A INICIAR")))</f>
        <v/>
      </c>
    </row>
    <row r="501">
      <c r="B501" s="4" t="n">
        <v>29981334</v>
      </c>
      <c r="C501" s="4" t="inlineStr">
        <is>
          <t>DISTRIBUIÇÃO HIDROSSANITÁRIA</t>
        </is>
      </c>
      <c r="D501" s="4" t="inlineStr">
        <is>
          <t>-</t>
        </is>
      </c>
      <c r="E501" s="4" t="inlineStr">
        <is>
          <t>13º PAV.</t>
        </is>
      </c>
      <c r="F501" s="126" t="n">
        <v>46584</v>
      </c>
      <c r="G501" s="126" t="n">
        <v>46596</v>
      </c>
      <c r="H501" s="126" t="n">
        <v>46289</v>
      </c>
      <c r="I501" s="4" t="n">
        <v>0</v>
      </c>
      <c r="J501" s="4" t="n">
        <v>0</v>
      </c>
      <c r="K501" s="4" t="n">
        <v>0</v>
      </c>
      <c r="M501" s="2">
        <f>IF(C501="","",IFERROR(INDEX($S$5:$S$304,MATCH(C501,$R$5:$R$304,0))&amp;"","?"))</f>
        <v/>
      </c>
      <c r="N501" s="2">
        <f>IF(E501="","",IF(ISNUMBER(SEARCH("SUBSOLO",E501)),IFERROR(-VALUE(LEFT(E501,FIND("º",SUBSTITUTE(E501,"°","º"))-1)),-1),IF(LEFT(E501,6)="TÉRREO",0,IFERROR(VALUE(LEFT(E501,FIND("º",SUBSTITUTE(E501,"°","º"))-1)),""))))</f>
        <v/>
      </c>
      <c r="O501" s="2">
        <f>IF(OR(F501="",G501=""),"",IF(G501&lt;='RETRATO 2027'!$K$5,"CONCLUÍDA",IF(F501&lt;='RETRATO 2027'!$K$5,"EM ANDAMENTO","A INICIAR")))</f>
        <v/>
      </c>
    </row>
    <row r="502">
      <c r="B502" s="4" t="n">
        <v>29981303</v>
      </c>
      <c r="C502" s="4" t="inlineStr">
        <is>
          <t>DISTRIBUIÇÃO ELÉTRICA / QUADRO</t>
        </is>
      </c>
      <c r="D502" s="4" t="inlineStr">
        <is>
          <t>-</t>
        </is>
      </c>
      <c r="E502" s="4" t="inlineStr">
        <is>
          <t>13º PAV.</t>
        </is>
      </c>
      <c r="F502" s="126" t="n">
        <v>46584</v>
      </c>
      <c r="G502" s="126" t="n">
        <v>46596</v>
      </c>
      <c r="H502" s="126" t="n">
        <v>46289</v>
      </c>
      <c r="I502" s="4" t="n">
        <v>0</v>
      </c>
      <c r="J502" s="4" t="n">
        <v>0</v>
      </c>
      <c r="K502" s="4" t="n">
        <v>0</v>
      </c>
      <c r="M502" s="2">
        <f>IF(C502="","",IFERROR(INDEX($S$5:$S$304,MATCH(C502,$R$5:$R$304,0))&amp;"","?"))</f>
        <v/>
      </c>
      <c r="N502" s="2">
        <f>IF(E502="","",IF(ISNUMBER(SEARCH("SUBSOLO",E502)),IFERROR(-VALUE(LEFT(E502,FIND("º",SUBSTITUTE(E502,"°","º"))-1)),-1),IF(LEFT(E502,6)="TÉRREO",0,IFERROR(VALUE(LEFT(E502,FIND("º",SUBSTITUTE(E502,"°","º"))-1)),""))))</f>
        <v/>
      </c>
      <c r="O502" s="2">
        <f>IF(OR(F502="",G502=""),"",IF(G502&lt;='RETRATO 2027'!$K$5,"CONCLUÍDA",IF(F502&lt;='RETRATO 2027'!$K$5,"EM ANDAMENTO","A INICIAR")))</f>
        <v/>
      </c>
    </row>
    <row r="503">
      <c r="B503" s="4" t="n">
        <v>29981336</v>
      </c>
      <c r="C503" s="4" t="inlineStr">
        <is>
          <t>DISTRIBUIÇÃO DE GÁS</t>
        </is>
      </c>
      <c r="D503" s="4" t="inlineStr">
        <is>
          <t>-</t>
        </is>
      </c>
      <c r="E503" s="4" t="inlineStr">
        <is>
          <t>13º PAV.</t>
        </is>
      </c>
      <c r="F503" s="126" t="n">
        <v>46584</v>
      </c>
      <c r="G503" s="126" t="n">
        <v>46596</v>
      </c>
      <c r="H503" s="126" t="n">
        <v>46289</v>
      </c>
      <c r="I503" s="4" t="n">
        <v>0</v>
      </c>
      <c r="J503" s="4" t="n">
        <v>0</v>
      </c>
      <c r="K503" s="4" t="n">
        <v>0</v>
      </c>
      <c r="M503" s="2">
        <f>IF(C503="","",IFERROR(INDEX($S$5:$S$304,MATCH(C503,$R$5:$R$304,0))&amp;"","?"))</f>
        <v/>
      </c>
      <c r="N503" s="2">
        <f>IF(E503="","",IF(ISNUMBER(SEARCH("SUBSOLO",E503)),IFERROR(-VALUE(LEFT(E503,FIND("º",SUBSTITUTE(E503,"°","º"))-1)),-1),IF(LEFT(E503,6)="TÉRREO",0,IFERROR(VALUE(LEFT(E503,FIND("º",SUBSTITUTE(E503,"°","º"))-1)),""))))</f>
        <v/>
      </c>
      <c r="O503" s="2">
        <f>IF(OR(F503="",G503=""),"",IF(G503&lt;='RETRATO 2027'!$K$5,"CONCLUÍDA",IF(F503&lt;='RETRATO 2027'!$K$5,"EM ANDAMENTO","A INICIAR")))</f>
        <v/>
      </c>
    </row>
    <row r="504">
      <c r="B504" s="4" t="n">
        <v>29981283</v>
      </c>
      <c r="C504" s="4" t="inlineStr">
        <is>
          <t>TALISCAMENTO</t>
        </is>
      </c>
      <c r="D504" s="4" t="inlineStr">
        <is>
          <t>-</t>
        </is>
      </c>
      <c r="E504" s="4" t="inlineStr">
        <is>
          <t>14º PAV.</t>
        </is>
      </c>
      <c r="F504" s="126" t="n">
        <v>46584</v>
      </c>
      <c r="G504" s="126" t="n">
        <v>46596</v>
      </c>
      <c r="H504" s="126" t="n">
        <v>46289</v>
      </c>
      <c r="I504" s="4" t="n">
        <v>0</v>
      </c>
      <c r="J504" s="4" t="n">
        <v>0</v>
      </c>
      <c r="K504" s="4" t="n">
        <v>0</v>
      </c>
      <c r="M504" s="2">
        <f>IF(C504="","",IFERROR(INDEX($S$5:$S$304,MATCH(C504,$R$5:$R$304,0))&amp;"","?"))</f>
        <v/>
      </c>
      <c r="N504" s="2">
        <f>IF(E504="","",IF(ISNUMBER(SEARCH("SUBSOLO",E504)),IFERROR(-VALUE(LEFT(E504,FIND("º",SUBSTITUTE(E504,"°","º"))-1)),-1),IF(LEFT(E504,6)="TÉRREO",0,IFERROR(VALUE(LEFT(E504,FIND("º",SUBSTITUTE(E504,"°","º"))-1)),""))))</f>
        <v/>
      </c>
      <c r="O504" s="2">
        <f>IF(OR(F504="",G504=""),"",IF(G504&lt;='RETRATO 2027'!$K$5,"CONCLUÍDA",IF(F504&lt;='RETRATO 2027'!$K$5,"EM ANDAMENTO","A INICIAR")))</f>
        <v/>
      </c>
    </row>
    <row r="505">
      <c r="B505" s="4" t="n">
        <v>29981249</v>
      </c>
      <c r="C505" s="4" t="inlineStr">
        <is>
          <t>PRUMADA HIDROSSANITÁRIA</t>
        </is>
      </c>
      <c r="D505" s="4" t="inlineStr">
        <is>
          <t>-</t>
        </is>
      </c>
      <c r="E505" s="4" t="inlineStr">
        <is>
          <t>15º PAV.</t>
        </is>
      </c>
      <c r="F505" s="126" t="n">
        <v>46584</v>
      </c>
      <c r="G505" s="126" t="n">
        <v>46596</v>
      </c>
      <c r="H505" s="126" t="n">
        <v>46289</v>
      </c>
      <c r="I505" s="4" t="n">
        <v>0</v>
      </c>
      <c r="J505" s="4" t="n">
        <v>0</v>
      </c>
      <c r="K505" s="4" t="n">
        <v>0</v>
      </c>
      <c r="M505" s="2">
        <f>IF(C505="","",IFERROR(INDEX($S$5:$S$304,MATCH(C505,$R$5:$R$304,0))&amp;"","?"))</f>
        <v/>
      </c>
      <c r="N505" s="2">
        <f>IF(E505="","",IF(ISNUMBER(SEARCH("SUBSOLO",E505)),IFERROR(-VALUE(LEFT(E505,FIND("º",SUBSTITUTE(E505,"°","º"))-1)),-1),IF(LEFT(E505,6)="TÉRREO",0,IFERROR(VALUE(LEFT(E505,FIND("º",SUBSTITUTE(E505,"°","º"))-1)),""))))</f>
        <v/>
      </c>
      <c r="O505" s="2">
        <f>IF(OR(F505="",G505=""),"",IF(G505&lt;='RETRATO 2027'!$K$5,"CONCLUÍDA",IF(F505&lt;='RETRATO 2027'!$K$5,"EM ANDAMENTO","A INICIAR")))</f>
        <v/>
      </c>
    </row>
    <row r="506">
      <c r="B506" s="4" t="n">
        <v>29981248</v>
      </c>
      <c r="C506" s="4" t="inlineStr">
        <is>
          <t>ENCUNHAMENTO</t>
        </is>
      </c>
      <c r="D506" s="4" t="inlineStr">
        <is>
          <t>-</t>
        </is>
      </c>
      <c r="E506" s="4" t="inlineStr">
        <is>
          <t>15º PAV.</t>
        </is>
      </c>
      <c r="F506" s="126" t="n">
        <v>46588</v>
      </c>
      <c r="G506" s="126" t="n">
        <v>46598</v>
      </c>
      <c r="H506" s="126" t="n">
        <v>46289</v>
      </c>
      <c r="I506" s="4" t="n">
        <v>0</v>
      </c>
      <c r="J506" s="4" t="n">
        <v>0</v>
      </c>
      <c r="K506" s="4" t="n">
        <v>0</v>
      </c>
      <c r="M506" s="2">
        <f>IF(C506="","",IFERROR(INDEX($S$5:$S$304,MATCH(C506,$R$5:$R$304,0))&amp;"","?"))</f>
        <v/>
      </c>
      <c r="N506" s="2">
        <f>IF(E506="","",IF(ISNUMBER(SEARCH("SUBSOLO",E506)),IFERROR(-VALUE(LEFT(E506,FIND("º",SUBSTITUTE(E506,"°","º"))-1)),-1),IF(LEFT(E506,6)="TÉRREO",0,IFERROR(VALUE(LEFT(E506,FIND("º",SUBSTITUTE(E506,"°","º"))-1)),""))))</f>
        <v/>
      </c>
      <c r="O506" s="2">
        <f>IF(OR(F506="",G506=""),"",IF(G506&lt;='RETRATO 2027'!$K$5,"CONCLUÍDA",IF(F506&lt;='RETRATO 2027'!$K$5,"EM ANDAMENTO","A INICIAR")))</f>
        <v/>
      </c>
    </row>
    <row r="507">
      <c r="B507" s="4" t="n">
        <v>29981222</v>
      </c>
      <c r="C507" s="4" t="inlineStr">
        <is>
          <t>PRUMADA DE INCÊNDIO</t>
        </is>
      </c>
      <c r="D507" s="4" t="inlineStr">
        <is>
          <t>-</t>
        </is>
      </c>
      <c r="E507" s="4" t="inlineStr">
        <is>
          <t>16º PAV.</t>
        </is>
      </c>
      <c r="F507" s="126" t="n">
        <v>46591</v>
      </c>
      <c r="G507" s="126" t="n">
        <v>46603</v>
      </c>
      <c r="H507" s="126" t="n">
        <v>46289</v>
      </c>
      <c r="I507" s="4" t="n">
        <v>0</v>
      </c>
      <c r="J507" s="4" t="n">
        <v>0</v>
      </c>
      <c r="K507" s="4" t="n">
        <v>0</v>
      </c>
      <c r="M507" s="2">
        <f>IF(C507="","",IFERROR(INDEX($S$5:$S$304,MATCH(C507,$R$5:$R$304,0))&amp;"","?"))</f>
        <v/>
      </c>
      <c r="N507" s="2">
        <f>IF(E507="","",IF(ISNUMBER(SEARCH("SUBSOLO",E507)),IFERROR(-VALUE(LEFT(E507,FIND("º",SUBSTITUTE(E507,"°","º"))-1)),-1),IF(LEFT(E507,6)="TÉRREO",0,IFERROR(VALUE(LEFT(E507,FIND("º",SUBSTITUTE(E507,"°","º"))-1)),""))))</f>
        <v/>
      </c>
      <c r="O507" s="2">
        <f>IF(OR(F507="",G507=""),"",IF(G507&lt;='RETRATO 2027'!$K$5,"CONCLUÍDA",IF(F507&lt;='RETRATO 2027'!$K$5,"EM ANDAMENTO","A INICIAR")))</f>
        <v/>
      </c>
    </row>
    <row r="508">
      <c r="B508" s="4" t="n">
        <v>29981173</v>
      </c>
      <c r="C508" s="4" t="inlineStr">
        <is>
          <t>ALVENARIA</t>
        </is>
      </c>
      <c r="D508" s="4" t="inlineStr">
        <is>
          <t>-</t>
        </is>
      </c>
      <c r="E508" s="4" t="inlineStr">
        <is>
          <t>17º PAV.</t>
        </is>
      </c>
      <c r="F508" s="126" t="n">
        <v>46591</v>
      </c>
      <c r="G508" s="126" t="n">
        <v>46603</v>
      </c>
      <c r="H508" s="126" t="n">
        <v>46289</v>
      </c>
      <c r="I508" s="4" t="n">
        <v>0</v>
      </c>
      <c r="J508" s="4" t="n">
        <v>0</v>
      </c>
      <c r="K508" s="4" t="n">
        <v>0</v>
      </c>
      <c r="M508" s="2">
        <f>IF(C508="","",IFERROR(INDEX($S$5:$S$304,MATCH(C508,$R$5:$R$304,0))&amp;"","?"))</f>
        <v/>
      </c>
      <c r="N508" s="2">
        <f>IF(E508="","",IF(ISNUMBER(SEARCH("SUBSOLO",E508)),IFERROR(-VALUE(LEFT(E508,FIND("º",SUBSTITUTE(E508,"°","º"))-1)),-1),IF(LEFT(E508,6)="TÉRREO",0,IFERROR(VALUE(LEFT(E508,FIND("º",SUBSTITUTE(E508,"°","º"))-1)),""))))</f>
        <v/>
      </c>
      <c r="O508" s="2">
        <f>IF(OR(F508="",G508=""),"",IF(G508&lt;='RETRATO 2027'!$K$5,"CONCLUÍDA",IF(F508&lt;='RETRATO 2027'!$K$5,"EM ANDAMENTO","A INICIAR")))</f>
        <v/>
      </c>
    </row>
    <row r="509">
      <c r="B509" s="4" t="n">
        <v>29940961</v>
      </c>
      <c r="C509" s="4" t="inlineStr">
        <is>
          <t>ESTRUTURA</t>
        </is>
      </c>
      <c r="D509" s="4" t="inlineStr">
        <is>
          <t>-</t>
        </is>
      </c>
      <c r="E509" s="4" t="inlineStr">
        <is>
          <t>21º PAV.</t>
        </is>
      </c>
      <c r="F509" s="126" t="n">
        <v>46591</v>
      </c>
      <c r="G509" s="126" t="n">
        <v>46603</v>
      </c>
      <c r="H509" s="126" t="n">
        <v>46289</v>
      </c>
      <c r="I509" s="4" t="n">
        <v>0</v>
      </c>
      <c r="J509" s="4" t="n">
        <v>0</v>
      </c>
      <c r="K509" s="4" t="n">
        <v>0</v>
      </c>
      <c r="M509" s="2">
        <f>IF(C509="","",IFERROR(INDEX($S$5:$S$304,MATCH(C509,$R$5:$R$304,0))&amp;"","?"))</f>
        <v/>
      </c>
      <c r="N509" s="2">
        <f>IF(E509="","",IF(ISNUMBER(SEARCH("SUBSOLO",E509)),IFERROR(-VALUE(LEFT(E509,FIND("º",SUBSTITUTE(E509,"°","º"))-1)),-1),IF(LEFT(E509,6)="TÉRREO",0,IFERROR(VALUE(LEFT(E509,FIND("º",SUBSTITUTE(E509,"°","º"))-1)),""))))</f>
        <v/>
      </c>
      <c r="O509" s="2">
        <f>IF(OR(F509="",G509=""),"",IF(G509&lt;='RETRATO 2027'!$K$5,"CONCLUÍDA",IF(F509&lt;='RETRATO 2027'!$K$5,"EM ANDAMENTO","A INICIAR")))</f>
        <v/>
      </c>
    </row>
    <row r="510">
      <c r="B510" s="4" t="n">
        <v>31529032</v>
      </c>
      <c r="C510" s="4" t="inlineStr">
        <is>
          <t>ESTRUTURA</t>
        </is>
      </c>
      <c r="D510" s="4" t="inlineStr">
        <is>
          <t>Forma</t>
        </is>
      </c>
      <c r="E510" s="4" t="inlineStr">
        <is>
          <t>21º PAV.</t>
        </is>
      </c>
      <c r="F510" s="126" t="n">
        <v>46591</v>
      </c>
      <c r="G510" s="126" t="n">
        <v>46597</v>
      </c>
      <c r="H510" s="126" t="n">
        <v>46289</v>
      </c>
      <c r="I510" s="4" t="n">
        <v>0</v>
      </c>
      <c r="J510" s="4" t="n">
        <v>0</v>
      </c>
      <c r="K510" s="4" t="n">
        <v>0</v>
      </c>
      <c r="M510" s="2">
        <f>IF(C510="","",IFERROR(INDEX($S$5:$S$304,MATCH(C510,$R$5:$R$304,0))&amp;"","?"))</f>
        <v/>
      </c>
      <c r="N510" s="2">
        <f>IF(E510="","",IF(ISNUMBER(SEARCH("SUBSOLO",E510)),IFERROR(-VALUE(LEFT(E510,FIND("º",SUBSTITUTE(E510,"°","º"))-1)),-1),IF(LEFT(E510,6)="TÉRREO",0,IFERROR(VALUE(LEFT(E510,FIND("º",SUBSTITUTE(E510,"°","º"))-1)),""))))</f>
        <v/>
      </c>
      <c r="O510" s="2">
        <f>IF(OR(F510="",G510=""),"",IF(G510&lt;='RETRATO 2027'!$K$5,"CONCLUÍDA",IF(F510&lt;='RETRATO 2027'!$K$5,"EM ANDAMENTO","A INICIAR")))</f>
        <v/>
      </c>
    </row>
    <row r="511">
      <c r="B511" s="4" t="n">
        <v>31529033</v>
      </c>
      <c r="C511" s="4" t="inlineStr">
        <is>
          <t>ESTRUTURA</t>
        </is>
      </c>
      <c r="D511" s="4" t="inlineStr">
        <is>
          <t>Armação</t>
        </is>
      </c>
      <c r="E511" s="4" t="inlineStr">
        <is>
          <t>21º PAV.</t>
        </is>
      </c>
      <c r="F511" s="126" t="n">
        <v>46598</v>
      </c>
      <c r="G511" s="126" t="n">
        <v>46602</v>
      </c>
      <c r="H511" s="126" t="n">
        <v>46289</v>
      </c>
      <c r="I511" s="4" t="n">
        <v>0</v>
      </c>
      <c r="J511" s="4" t="n">
        <v>0</v>
      </c>
      <c r="K511" s="4" t="n">
        <v>0</v>
      </c>
      <c r="M511" s="2">
        <f>IF(C511="","",IFERROR(INDEX($S$5:$S$304,MATCH(C511,$R$5:$R$304,0))&amp;"","?"))</f>
        <v/>
      </c>
      <c r="N511" s="2">
        <f>IF(E511="","",IF(ISNUMBER(SEARCH("SUBSOLO",E511)),IFERROR(-VALUE(LEFT(E511,FIND("º",SUBSTITUTE(E511,"°","º"))-1)),-1),IF(LEFT(E511,6)="TÉRREO",0,IFERROR(VALUE(LEFT(E511,FIND("º",SUBSTITUTE(E511,"°","º"))-1)),""))))</f>
        <v/>
      </c>
      <c r="O511" s="2">
        <f>IF(OR(F511="",G511=""),"",IF(G511&lt;='RETRATO 2027'!$K$5,"CONCLUÍDA",IF(F511&lt;='RETRATO 2027'!$K$5,"EM ANDAMENTO","A INICIAR")))</f>
        <v/>
      </c>
    </row>
    <row r="512">
      <c r="B512" s="4" t="n">
        <v>31529034</v>
      </c>
      <c r="C512" s="4" t="inlineStr">
        <is>
          <t>ESTRUTURA</t>
        </is>
      </c>
      <c r="D512" s="4" t="inlineStr">
        <is>
          <t>Concretagem</t>
        </is>
      </c>
      <c r="E512" s="4" t="inlineStr">
        <is>
          <t>21º PAV.</t>
        </is>
      </c>
      <c r="F512" s="126" t="n">
        <v>46603</v>
      </c>
      <c r="G512" s="126" t="n">
        <v>46603</v>
      </c>
      <c r="H512" s="126" t="n">
        <v>46289</v>
      </c>
      <c r="I512" s="4" t="n">
        <v>0</v>
      </c>
      <c r="J512" s="4" t="n">
        <v>0</v>
      </c>
      <c r="K512" s="4" t="n">
        <v>0</v>
      </c>
      <c r="M512" s="2">
        <f>IF(C512="","",IFERROR(INDEX($S$5:$S$304,MATCH(C512,$R$5:$R$304,0))&amp;"","?"))</f>
        <v/>
      </c>
      <c r="N512" s="2">
        <f>IF(E512="","",IF(ISNUMBER(SEARCH("SUBSOLO",E512)),IFERROR(-VALUE(LEFT(E512,FIND("º",SUBSTITUTE(E512,"°","º"))-1)),-1),IF(LEFT(E512,6)="TÉRREO",0,IFERROR(VALUE(LEFT(E512,FIND("º",SUBSTITUTE(E512,"°","º"))-1)),""))))</f>
        <v/>
      </c>
      <c r="O512" s="2">
        <f>IF(OR(F512="",G512=""),"",IF(G512&lt;='RETRATO 2027'!$K$5,"CONCLUÍDA",IF(F512&lt;='RETRATO 2027'!$K$5,"EM ANDAMENTO","A INICIAR")))</f>
        <v/>
      </c>
    </row>
    <row r="513">
      <c r="B513" s="4" t="n">
        <v>31529035</v>
      </c>
      <c r="C513" s="4" t="inlineStr">
        <is>
          <t>ESTRUTURA</t>
        </is>
      </c>
      <c r="D513" s="4" t="inlineStr">
        <is>
          <t>Polimento</t>
        </is>
      </c>
      <c r="E513" s="4" t="inlineStr">
        <is>
          <t>21º PAV.</t>
        </is>
      </c>
      <c r="F513" s="126" t="n">
        <v>46603</v>
      </c>
      <c r="G513" s="126" t="n">
        <v>46603</v>
      </c>
      <c r="H513" s="126" t="n">
        <v>46289</v>
      </c>
      <c r="I513" s="4" t="n">
        <v>0</v>
      </c>
      <c r="J513" s="4" t="n">
        <v>0</v>
      </c>
      <c r="K513" s="4" t="n">
        <v>0</v>
      </c>
      <c r="M513" s="2">
        <f>IF(C513="","",IFERROR(INDEX($S$5:$S$304,MATCH(C513,$R$5:$R$304,0))&amp;"","?"))</f>
        <v/>
      </c>
      <c r="N513" s="2">
        <f>IF(E513="","",IF(ISNUMBER(SEARCH("SUBSOLO",E513)),IFERROR(-VALUE(LEFT(E513,FIND("º",SUBSTITUTE(E513,"°","º"))-1)),-1),IF(LEFT(E513,6)="TÉRREO",0,IFERROR(VALUE(LEFT(E513,FIND("º",SUBSTITUTE(E513,"°","º"))-1)),""))))</f>
        <v/>
      </c>
      <c r="O513" s="2">
        <f>IF(OR(F513="",G513=""),"",IF(G513&lt;='RETRATO 2027'!$K$5,"CONCLUÍDA",IF(F513&lt;='RETRATO 2027'!$K$5,"EM ANDAMENTO","A INICIAR")))</f>
        <v/>
      </c>
    </row>
    <row r="514">
      <c r="B514" s="4" t="n">
        <v>30205692</v>
      </c>
      <c r="C514" s="4" t="inlineStr">
        <is>
          <t>DISTRIBUIÇÃO ELÉTRICA / QUADRO</t>
        </is>
      </c>
      <c r="D514" s="4" t="inlineStr">
        <is>
          <t>-</t>
        </is>
      </c>
      <c r="E514" s="4" t="inlineStr">
        <is>
          <t>TÉRREO - LOJA 1</t>
        </is>
      </c>
      <c r="F514" s="126" t="n">
        <v>46597</v>
      </c>
      <c r="G514" s="126" t="n">
        <v>46605</v>
      </c>
      <c r="H514" s="126" t="n">
        <v>46289</v>
      </c>
      <c r="I514" s="4" t="n">
        <v>0</v>
      </c>
      <c r="J514" s="4" t="n">
        <v>0</v>
      </c>
      <c r="K514" s="4" t="n">
        <v>0</v>
      </c>
      <c r="M514" s="2">
        <f>IF(C514="","",IFERROR(INDEX($S$5:$S$304,MATCH(C514,$R$5:$R$304,0))&amp;"","?"))</f>
        <v/>
      </c>
      <c r="N514" s="2">
        <f>IF(E514="","",IF(ISNUMBER(SEARCH("SUBSOLO",E514)),IFERROR(-VALUE(LEFT(E514,FIND("º",SUBSTITUTE(E514,"°","º"))-1)),-1),IF(LEFT(E514,6)="TÉRREO",0,IFERROR(VALUE(LEFT(E514,FIND("º",SUBSTITUTE(E514,"°","º"))-1)),""))))</f>
        <v/>
      </c>
      <c r="O514" s="2">
        <f>IF(OR(F514="",G514=""),"",IF(G514&lt;='RETRATO 2027'!$K$5,"CONCLUÍDA",IF(F514&lt;='RETRATO 2027'!$K$5,"EM ANDAMENTO","A INICIAR")))</f>
        <v/>
      </c>
    </row>
    <row r="515">
      <c r="B515" s="4" t="n">
        <v>30205693</v>
      </c>
      <c r="C515" s="4" t="inlineStr">
        <is>
          <t>DISTRIBUIÇÃO HIDRÁULICA</t>
        </is>
      </c>
      <c r="D515" s="4" t="inlineStr">
        <is>
          <t>-</t>
        </is>
      </c>
      <c r="E515" s="4" t="inlineStr">
        <is>
          <t>TÉRREO - LOJA 1</t>
        </is>
      </c>
      <c r="F515" s="126" t="n">
        <v>46597</v>
      </c>
      <c r="G515" s="126" t="n">
        <v>46610</v>
      </c>
      <c r="H515" s="126" t="n">
        <v>46289</v>
      </c>
      <c r="I515" s="4" t="n">
        <v>0</v>
      </c>
      <c r="J515" s="4" t="n">
        <v>0</v>
      </c>
      <c r="K515" s="4" t="n">
        <v>0</v>
      </c>
      <c r="M515" s="2">
        <f>IF(C515="","",IFERROR(INDEX($S$5:$S$304,MATCH(C515,$R$5:$R$304,0))&amp;"","?"))</f>
        <v/>
      </c>
      <c r="N515" s="2">
        <f>IF(E515="","",IF(ISNUMBER(SEARCH("SUBSOLO",E515)),IFERROR(-VALUE(LEFT(E515,FIND("º",SUBSTITUTE(E515,"°","º"))-1)),-1),IF(LEFT(E515,6)="TÉRREO",0,IFERROR(VALUE(LEFT(E515,FIND("º",SUBSTITUTE(E515,"°","º"))-1)),""))))</f>
        <v/>
      </c>
      <c r="O515" s="2">
        <f>IF(OR(F515="",G515=""),"",IF(G515&lt;='RETRATO 2027'!$K$5,"CONCLUÍDA",IF(F515&lt;='RETRATO 2027'!$K$5,"EM ANDAMENTO","A INICIAR")))</f>
        <v/>
      </c>
    </row>
    <row r="516">
      <c r="B516" s="4" t="n">
        <v>30205664</v>
      </c>
      <c r="C516" s="4" t="inlineStr">
        <is>
          <t>TALISCAMENTO</t>
        </is>
      </c>
      <c r="D516" s="4" t="inlineStr">
        <is>
          <t>-</t>
        </is>
      </c>
      <c r="E516" s="4" t="inlineStr">
        <is>
          <t>TÉRREO - LOJA 2</t>
        </is>
      </c>
      <c r="F516" s="126" t="n">
        <v>46597</v>
      </c>
      <c r="G516" s="126" t="n">
        <v>46610</v>
      </c>
      <c r="H516" s="126" t="n">
        <v>46289</v>
      </c>
      <c r="I516" s="4" t="n">
        <v>0</v>
      </c>
      <c r="J516" s="4" t="n">
        <v>0</v>
      </c>
      <c r="K516" s="4" t="n">
        <v>0</v>
      </c>
      <c r="M516" s="2">
        <f>IF(C516="","",IFERROR(INDEX($S$5:$S$304,MATCH(C516,$R$5:$R$304,0))&amp;"","?"))</f>
        <v/>
      </c>
      <c r="N516" s="2">
        <f>IF(E516="","",IF(ISNUMBER(SEARCH("SUBSOLO",E516)),IFERROR(-VALUE(LEFT(E516,FIND("º",SUBSTITUTE(E516,"°","º"))-1)),-1),IF(LEFT(E516,6)="TÉRREO",0,IFERROR(VALUE(LEFT(E516,FIND("º",SUBSTITUTE(E516,"°","º"))-1)),""))))</f>
        <v/>
      </c>
      <c r="O516" s="2">
        <f>IF(OR(F516="",G516=""),"",IF(G516&lt;='RETRATO 2027'!$K$5,"CONCLUÍDA",IF(F516&lt;='RETRATO 2027'!$K$5,"EM ANDAMENTO","A INICIAR")))</f>
        <v/>
      </c>
    </row>
    <row r="517">
      <c r="B517" s="4" t="n">
        <v>30205631</v>
      </c>
      <c r="C517" s="4" t="inlineStr">
        <is>
          <t>PRUMADA HIDROSSANITÁRIA</t>
        </is>
      </c>
      <c r="D517" s="4" t="inlineStr">
        <is>
          <t>-</t>
        </is>
      </c>
      <c r="E517" s="4" t="inlineStr">
        <is>
          <t>TÉRREO - LOJA 3</t>
        </is>
      </c>
      <c r="F517" s="126" t="n">
        <v>46597</v>
      </c>
      <c r="G517" s="126" t="n">
        <v>46610</v>
      </c>
      <c r="H517" s="126" t="n">
        <v>46289</v>
      </c>
      <c r="I517" s="4" t="n">
        <v>0</v>
      </c>
      <c r="J517" s="4" t="n">
        <v>0</v>
      </c>
      <c r="K517" s="4" t="n">
        <v>0</v>
      </c>
      <c r="M517" s="2">
        <f>IF(C517="","",IFERROR(INDEX($S$5:$S$304,MATCH(C517,$R$5:$R$304,0))&amp;"","?"))</f>
        <v/>
      </c>
      <c r="N517" s="2">
        <f>IF(E517="","",IF(ISNUMBER(SEARCH("SUBSOLO",E517)),IFERROR(-VALUE(LEFT(E517,FIND("º",SUBSTITUTE(E517,"°","º"))-1)),-1),IF(LEFT(E517,6)="TÉRREO",0,IFERROR(VALUE(LEFT(E517,FIND("º",SUBSTITUTE(E517,"°","º"))-1)),""))))</f>
        <v/>
      </c>
      <c r="O517" s="2">
        <f>IF(OR(F517="",G517=""),"",IF(G517&lt;='RETRATO 2027'!$K$5,"CONCLUÍDA",IF(F517&lt;='RETRATO 2027'!$K$5,"EM ANDAMENTO","A INICIAR")))</f>
        <v/>
      </c>
    </row>
    <row r="518">
      <c r="B518" s="4" t="n">
        <v>30205630</v>
      </c>
      <c r="C518" s="4" t="inlineStr">
        <is>
          <t>PRUMADA DE INCÊNDIO</t>
        </is>
      </c>
      <c r="D518" s="4" t="inlineStr">
        <is>
          <t>-</t>
        </is>
      </c>
      <c r="E518" s="4" t="inlineStr">
        <is>
          <t>TÉRREO - LOJA 3</t>
        </is>
      </c>
      <c r="F518" s="126" t="n">
        <v>46597</v>
      </c>
      <c r="G518" s="126" t="n">
        <v>46610</v>
      </c>
      <c r="H518" s="126" t="n">
        <v>46289</v>
      </c>
      <c r="I518" s="4" t="n">
        <v>0</v>
      </c>
      <c r="J518" s="4" t="n">
        <v>0</v>
      </c>
      <c r="K518" s="4" t="n">
        <v>0</v>
      </c>
      <c r="M518" s="2">
        <f>IF(C518="","",IFERROR(INDEX($S$5:$S$304,MATCH(C518,$R$5:$R$304,0))&amp;"","?"))</f>
        <v/>
      </c>
      <c r="N518" s="2">
        <f>IF(E518="","",IF(ISNUMBER(SEARCH("SUBSOLO",E518)),IFERROR(-VALUE(LEFT(E518,FIND("º",SUBSTITUTE(E518,"°","º"))-1)),-1),IF(LEFT(E518,6)="TÉRREO",0,IFERROR(VALUE(LEFT(E518,FIND("º",SUBSTITUTE(E518,"°","º"))-1)),""))))</f>
        <v/>
      </c>
      <c r="O518" s="2">
        <f>IF(OR(F518="",G518=""),"",IF(G518&lt;='RETRATO 2027'!$K$5,"CONCLUÍDA",IF(F518&lt;='RETRATO 2027'!$K$5,"EM ANDAMENTO","A INICIAR")))</f>
        <v/>
      </c>
    </row>
    <row r="519">
      <c r="B519" s="4" t="n">
        <v>30205632</v>
      </c>
      <c r="C519" s="4" t="inlineStr">
        <is>
          <t>ENCUNHAMENTO</t>
        </is>
      </c>
      <c r="D519" s="4" t="inlineStr">
        <is>
          <t>-</t>
        </is>
      </c>
      <c r="E519" s="4" t="inlineStr">
        <is>
          <t>TÉRREO - LOJA 3</t>
        </is>
      </c>
      <c r="F519" s="126" t="n">
        <v>46597</v>
      </c>
      <c r="G519" s="126" t="n">
        <v>46610</v>
      </c>
      <c r="H519" s="126" t="n">
        <v>46289</v>
      </c>
      <c r="I519" s="4" t="n">
        <v>0</v>
      </c>
      <c r="J519" s="4" t="n">
        <v>0</v>
      </c>
      <c r="K519" s="4" t="n">
        <v>0</v>
      </c>
      <c r="M519" s="2">
        <f>IF(C519="","",IFERROR(INDEX($S$5:$S$304,MATCH(C519,$R$5:$R$304,0))&amp;"","?"))</f>
        <v/>
      </c>
      <c r="N519" s="2">
        <f>IF(E519="","",IF(ISNUMBER(SEARCH("SUBSOLO",E519)),IFERROR(-VALUE(LEFT(E519,FIND("º",SUBSTITUTE(E519,"°","º"))-1)),-1),IF(LEFT(E519,6)="TÉRREO",0,IFERROR(VALUE(LEFT(E519,FIND("º",SUBSTITUTE(E519,"°","º"))-1)),""))))</f>
        <v/>
      </c>
      <c r="O519" s="2">
        <f>IF(OR(F519="",G519=""),"",IF(G519&lt;='RETRATO 2027'!$K$5,"CONCLUÍDA",IF(F519&lt;='RETRATO 2027'!$K$5,"EM ANDAMENTO","A INICIAR")))</f>
        <v/>
      </c>
    </row>
    <row r="520">
      <c r="B520" s="4" t="n">
        <v>30205602</v>
      </c>
      <c r="C520" s="4" t="inlineStr">
        <is>
          <t>ALVENARIA</t>
        </is>
      </c>
      <c r="D520" s="4" t="inlineStr">
        <is>
          <t>-</t>
        </is>
      </c>
      <c r="E520" s="4" t="inlineStr">
        <is>
          <t>TÉRREO - LOJA 4</t>
        </is>
      </c>
      <c r="F520" s="126" t="n">
        <v>46597</v>
      </c>
      <c r="G520" s="126" t="n">
        <v>46610</v>
      </c>
      <c r="H520" s="126" t="n">
        <v>46289</v>
      </c>
      <c r="I520" s="4" t="n">
        <v>0</v>
      </c>
      <c r="J520" s="4" t="n">
        <v>0</v>
      </c>
      <c r="K520" s="4" t="n">
        <v>0</v>
      </c>
      <c r="M520" s="2">
        <f>IF(C520="","",IFERROR(INDEX($S$5:$S$304,MATCH(C520,$R$5:$R$304,0))&amp;"","?"))</f>
        <v/>
      </c>
      <c r="N520" s="2">
        <f>IF(E520="","",IF(ISNUMBER(SEARCH("SUBSOLO",E520)),IFERROR(-VALUE(LEFT(E520,FIND("º",SUBSTITUTE(E520,"°","º"))-1)),-1),IF(LEFT(E520,6)="TÉRREO",0,IFERROR(VALUE(LEFT(E520,FIND("º",SUBSTITUTE(E520,"°","º"))-1)),""))))</f>
        <v/>
      </c>
      <c r="O520" s="2">
        <f>IF(OR(F520="",G520=""),"",IF(G520&lt;='RETRATO 2027'!$K$5,"CONCLUÍDA",IF(F520&lt;='RETRATO 2027'!$K$5,"EM ANDAMENTO","A INICIAR")))</f>
        <v/>
      </c>
    </row>
    <row r="521">
      <c r="B521" s="4" t="n">
        <v>32750433</v>
      </c>
      <c r="C521" s="4" t="inlineStr">
        <is>
          <t>DRYWALL 2º FACE</t>
        </is>
      </c>
      <c r="D521" s="4" t="inlineStr">
        <is>
          <t>-</t>
        </is>
      </c>
      <c r="E521" s="4" t="inlineStr">
        <is>
          <t>7º PAV.</t>
        </is>
      </c>
      <c r="F521" s="126" t="n">
        <v>46597</v>
      </c>
      <c r="G521" s="126" t="n">
        <v>46609</v>
      </c>
      <c r="H521" s="126" t="n">
        <v>46289</v>
      </c>
      <c r="I521" s="4" t="n">
        <v>0</v>
      </c>
      <c r="J521" s="4" t="n">
        <v>0</v>
      </c>
      <c r="K521" s="4" t="n">
        <v>0</v>
      </c>
      <c r="M521" s="2">
        <f>IF(C521="","",IFERROR(INDEX($S$5:$S$304,MATCH(C521,$R$5:$R$304,0))&amp;"","?"))</f>
        <v/>
      </c>
      <c r="N521" s="2">
        <f>IF(E521="","",IF(ISNUMBER(SEARCH("SUBSOLO",E521)),IFERROR(-VALUE(LEFT(E521,FIND("º",SUBSTITUTE(E521,"°","º"))-1)),-1),IF(LEFT(E521,6)="TÉRREO",0,IFERROR(VALUE(LEFT(E521,FIND("º",SUBSTITUTE(E521,"°","º"))-1)),""))))</f>
        <v/>
      </c>
      <c r="O521" s="2">
        <f>IF(OR(F521="",G521=""),"",IF(G521&lt;='RETRATO 2027'!$K$5,"CONCLUÍDA",IF(F521&lt;='RETRATO 2027'!$K$5,"EM ANDAMENTO","A INICIAR")))</f>
        <v/>
      </c>
    </row>
    <row r="522">
      <c r="B522" s="4" t="n">
        <v>32750356</v>
      </c>
      <c r="C522" s="4" t="inlineStr">
        <is>
          <t>DISTRIBUIÇÃO DE GÁS - DRYWALL</t>
        </is>
      </c>
      <c r="D522" s="4" t="inlineStr">
        <is>
          <t>-</t>
        </is>
      </c>
      <c r="E522" s="4" t="inlineStr">
        <is>
          <t>8º PAV.</t>
        </is>
      </c>
      <c r="F522" s="126" t="n">
        <v>46597</v>
      </c>
      <c r="G522" s="126" t="n">
        <v>46609</v>
      </c>
      <c r="H522" s="126" t="n">
        <v>46289</v>
      </c>
      <c r="I522" s="4" t="n">
        <v>0</v>
      </c>
      <c r="J522" s="4" t="n">
        <v>0</v>
      </c>
      <c r="K522" s="4" t="n">
        <v>0</v>
      </c>
      <c r="M522" s="2">
        <f>IF(C522="","",IFERROR(INDEX($S$5:$S$304,MATCH(C522,$R$5:$R$304,0))&amp;"","?"))</f>
        <v/>
      </c>
      <c r="N522" s="2">
        <f>IF(E522="","",IF(ISNUMBER(SEARCH("SUBSOLO",E522)),IFERROR(-VALUE(LEFT(E522,FIND("º",SUBSTITUTE(E522,"°","º"))-1)),-1),IF(LEFT(E522,6)="TÉRREO",0,IFERROR(VALUE(LEFT(E522,FIND("º",SUBSTITUTE(E522,"°","º"))-1)),""))))</f>
        <v/>
      </c>
      <c r="O522" s="2">
        <f>IF(OR(F522="",G522=""),"",IF(G522&lt;='RETRATO 2027'!$K$5,"CONCLUÍDA",IF(F522&lt;='RETRATO 2027'!$K$5,"EM ANDAMENTO","A INICIAR")))</f>
        <v/>
      </c>
    </row>
    <row r="523">
      <c r="B523" s="4" t="n">
        <v>32750382</v>
      </c>
      <c r="C523" s="4" t="inlineStr">
        <is>
          <t>DISTRIBUIÇÃO ELÉTRICA/QUADRO - DRYWALL</t>
        </is>
      </c>
      <c r="D523" s="4" t="inlineStr">
        <is>
          <t>-</t>
        </is>
      </c>
      <c r="E523" s="4" t="inlineStr">
        <is>
          <t>8º PAV.</t>
        </is>
      </c>
      <c r="F523" s="126" t="n">
        <v>46597</v>
      </c>
      <c r="G523" s="126" t="n">
        <v>46609</v>
      </c>
      <c r="H523" s="126" t="n">
        <v>46289</v>
      </c>
      <c r="I523" s="4" t="n">
        <v>0</v>
      </c>
      <c r="J523" s="4" t="n">
        <v>0</v>
      </c>
      <c r="K523" s="4" t="n">
        <v>0</v>
      </c>
      <c r="M523" s="2">
        <f>IF(C523="","",IFERROR(INDEX($S$5:$S$304,MATCH(C523,$R$5:$R$304,0))&amp;"","?"))</f>
        <v/>
      </c>
      <c r="N523" s="2">
        <f>IF(E523="","",IF(ISNUMBER(SEARCH("SUBSOLO",E523)),IFERROR(-VALUE(LEFT(E523,FIND("º",SUBSTITUTE(E523,"°","º"))-1)),-1),IF(LEFT(E523,6)="TÉRREO",0,IFERROR(VALUE(LEFT(E523,FIND("º",SUBSTITUTE(E523,"°","º"))-1)),""))))</f>
        <v/>
      </c>
      <c r="O523" s="2">
        <f>IF(OR(F523="",G523=""),"",IF(G523&lt;='RETRATO 2027'!$K$5,"CONCLUÍDA",IF(F523&lt;='RETRATO 2027'!$K$5,"EM ANDAMENTO","A INICIAR")))</f>
        <v/>
      </c>
    </row>
    <row r="524">
      <c r="B524" s="4" t="n">
        <v>32750408</v>
      </c>
      <c r="C524" s="4" t="inlineStr">
        <is>
          <t>DISTRIBUIÇÃO HIDRÁULICA - DRYWALL</t>
        </is>
      </c>
      <c r="D524" s="4" t="inlineStr">
        <is>
          <t>-</t>
        </is>
      </c>
      <c r="E524" s="4" t="inlineStr">
        <is>
          <t>8º PAV.</t>
        </is>
      </c>
      <c r="F524" s="126" t="n">
        <v>46597</v>
      </c>
      <c r="G524" s="126" t="n">
        <v>46609</v>
      </c>
      <c r="H524" s="126" t="n">
        <v>46289</v>
      </c>
      <c r="I524" s="4" t="n">
        <v>0</v>
      </c>
      <c r="J524" s="4" t="n">
        <v>0</v>
      </c>
      <c r="K524" s="4" t="n">
        <v>0</v>
      </c>
      <c r="M524" s="2">
        <f>IF(C524="","",IFERROR(INDEX($S$5:$S$304,MATCH(C524,$R$5:$R$304,0))&amp;"","?"))</f>
        <v/>
      </c>
      <c r="N524" s="2">
        <f>IF(E524="","",IF(ISNUMBER(SEARCH("SUBSOLO",E524)),IFERROR(-VALUE(LEFT(E524,FIND("º",SUBSTITUTE(E524,"°","º"))-1)),-1),IF(LEFT(E524,6)="TÉRREO",0,IFERROR(VALUE(LEFT(E524,FIND("º",SUBSTITUTE(E524,"°","º"))-1)),""))))</f>
        <v/>
      </c>
      <c r="O524" s="2">
        <f>IF(OR(F524="",G524=""),"",IF(G524&lt;='RETRATO 2027'!$K$5,"CONCLUÍDA",IF(F524&lt;='RETRATO 2027'!$K$5,"EM ANDAMENTO","A INICIAR")))</f>
        <v/>
      </c>
    </row>
    <row r="525">
      <c r="B525" s="4" t="n">
        <v>33896826</v>
      </c>
      <c r="C525" s="4" t="inlineStr">
        <is>
          <t>INFRAESTRUTURA - AR CONDICIONADO</t>
        </is>
      </c>
      <c r="D525" s="4" t="inlineStr">
        <is>
          <t>-</t>
        </is>
      </c>
      <c r="E525" s="4" t="inlineStr">
        <is>
          <t>8º PAV.</t>
        </is>
      </c>
      <c r="F525" s="126" t="n">
        <v>46597</v>
      </c>
      <c r="G525" s="126" t="n">
        <v>46609</v>
      </c>
      <c r="H525" s="126" t="n">
        <v>46289</v>
      </c>
      <c r="I525" s="4" t="n">
        <v>0</v>
      </c>
      <c r="J525" s="4" t="n">
        <v>0</v>
      </c>
      <c r="K525" s="4" t="n">
        <v>0</v>
      </c>
      <c r="M525" s="2">
        <f>IF(C525="","",IFERROR(INDEX($S$5:$S$304,MATCH(C525,$R$5:$R$304,0))&amp;"","?"))</f>
        <v/>
      </c>
      <c r="N525" s="2">
        <f>IF(E525="","",IF(ISNUMBER(SEARCH("SUBSOLO",E525)),IFERROR(-VALUE(LEFT(E525,FIND("º",SUBSTITUTE(E525,"°","º"))-1)),-1),IF(LEFT(E525,6)="TÉRREO",0,IFERROR(VALUE(LEFT(E525,FIND("º",SUBSTITUTE(E525,"°","º"))-1)),""))))</f>
        <v/>
      </c>
      <c r="O525" s="2">
        <f>IF(OR(F525="",G525=""),"",IF(G525&lt;='RETRATO 2027'!$K$5,"CONCLUÍDA",IF(F525&lt;='RETRATO 2027'!$K$5,"EM ANDAMENTO","A INICIAR")))</f>
        <v/>
      </c>
    </row>
    <row r="526">
      <c r="B526" s="4" t="n">
        <v>32749852</v>
      </c>
      <c r="C526" s="4" t="inlineStr">
        <is>
          <t>DRYWALL 1º FACE</t>
        </is>
      </c>
      <c r="D526" s="4" t="inlineStr">
        <is>
          <t>-</t>
        </is>
      </c>
      <c r="E526" s="4" t="inlineStr">
        <is>
          <t>9º PAV.</t>
        </is>
      </c>
      <c r="F526" s="126" t="n">
        <v>46597</v>
      </c>
      <c r="G526" s="126" t="n">
        <v>46609</v>
      </c>
      <c r="H526" s="126" t="n">
        <v>46289</v>
      </c>
      <c r="I526" s="4" t="n">
        <v>0</v>
      </c>
      <c r="J526" s="4" t="n">
        <v>0</v>
      </c>
      <c r="K526" s="4" t="n">
        <v>0</v>
      </c>
      <c r="M526" s="2">
        <f>IF(C526="","",IFERROR(INDEX($S$5:$S$304,MATCH(C526,$R$5:$R$304,0))&amp;"","?"))</f>
        <v/>
      </c>
      <c r="N526" s="2">
        <f>IF(E526="","",IF(ISNUMBER(SEARCH("SUBSOLO",E526)),IFERROR(-VALUE(LEFT(E526,FIND("º",SUBSTITUTE(E526,"°","º"))-1)),-1),IF(LEFT(E526,6)="TÉRREO",0,IFERROR(VALUE(LEFT(E526,FIND("º",SUBSTITUTE(E526,"°","º"))-1)),""))))</f>
        <v/>
      </c>
      <c r="O526" s="2">
        <f>IF(OR(F526="",G526=""),"",IF(G526&lt;='RETRATO 2027'!$K$5,"CONCLUÍDA",IF(F526&lt;='RETRATO 2027'!$K$5,"EM ANDAMENTO","A INICIAR")))</f>
        <v/>
      </c>
    </row>
    <row r="527">
      <c r="B527" s="4" t="n">
        <v>29981436</v>
      </c>
      <c r="C527" s="4" t="inlineStr">
        <is>
          <t>CONTRAPISO</t>
        </is>
      </c>
      <c r="D527" s="4" t="inlineStr">
        <is>
          <t>-</t>
        </is>
      </c>
      <c r="E527" s="4" t="inlineStr">
        <is>
          <t>10º PAV.</t>
        </is>
      </c>
      <c r="F527" s="126" t="n">
        <v>46597</v>
      </c>
      <c r="G527" s="126" t="n">
        <v>46609</v>
      </c>
      <c r="H527" s="126" t="n">
        <v>46289</v>
      </c>
      <c r="I527" s="4" t="n">
        <v>0</v>
      </c>
      <c r="J527" s="4" t="n">
        <v>0</v>
      </c>
      <c r="K527" s="4" t="n">
        <v>0</v>
      </c>
      <c r="M527" s="2">
        <f>IF(C527="","",IFERROR(INDEX($S$5:$S$304,MATCH(C527,$R$5:$R$304,0))&amp;"","?"))</f>
        <v/>
      </c>
      <c r="N527" s="2">
        <f>IF(E527="","",IF(ISNUMBER(SEARCH("SUBSOLO",E527)),IFERROR(-VALUE(LEFT(E527,FIND("º",SUBSTITUTE(E527,"°","º"))-1)),-1),IF(LEFT(E527,6)="TÉRREO",0,IFERROR(VALUE(LEFT(E527,FIND("º",SUBSTITUTE(E527,"°","º"))-1)),""))))</f>
        <v/>
      </c>
      <c r="O527" s="2">
        <f>IF(OR(F527="",G527=""),"",IF(G527&lt;='RETRATO 2027'!$K$5,"CONCLUÍDA",IF(F527&lt;='RETRATO 2027'!$K$5,"EM ANDAMENTO","A INICIAR")))</f>
        <v/>
      </c>
    </row>
    <row r="528">
      <c r="B528" s="4" t="n">
        <v>29981376</v>
      </c>
      <c r="C528" s="4" t="inlineStr">
        <is>
          <t>SHAFT INTERNO INST. HIDRAÚLICAS</t>
        </is>
      </c>
      <c r="D528" s="4" t="inlineStr">
        <is>
          <t>-</t>
        </is>
      </c>
      <c r="E528" s="4" t="inlineStr">
        <is>
          <t>11º PAV.</t>
        </is>
      </c>
      <c r="F528" s="126" t="n">
        <v>46597</v>
      </c>
      <c r="G528" s="126" t="n">
        <v>46609</v>
      </c>
      <c r="H528" s="126" t="n">
        <v>46289</v>
      </c>
      <c r="I528" s="4" t="n">
        <v>0</v>
      </c>
      <c r="J528" s="4" t="n">
        <v>0</v>
      </c>
      <c r="K528" s="4" t="n">
        <v>0</v>
      </c>
      <c r="M528" s="2">
        <f>IF(C528="","",IFERROR(INDEX($S$5:$S$304,MATCH(C528,$R$5:$R$304,0))&amp;"","?"))</f>
        <v/>
      </c>
      <c r="N528" s="2">
        <f>IF(E528="","",IF(ISNUMBER(SEARCH("SUBSOLO",E528)),IFERROR(-VALUE(LEFT(E528,FIND("º",SUBSTITUTE(E528,"°","º"))-1)),-1),IF(LEFT(E528,6)="TÉRREO",0,IFERROR(VALUE(LEFT(E528,FIND("º",SUBSTITUTE(E528,"°","º"))-1)),""))))</f>
        <v/>
      </c>
      <c r="O528" s="2">
        <f>IF(OR(F528="",G528=""),"",IF(G528&lt;='RETRATO 2027'!$K$5,"CONCLUÍDA",IF(F528&lt;='RETRATO 2027'!$K$5,"EM ANDAMENTO","A INICIAR")))</f>
        <v/>
      </c>
    </row>
    <row r="529">
      <c r="B529" s="4" t="n">
        <v>29981409</v>
      </c>
      <c r="C529" s="4" t="inlineStr">
        <is>
          <t>PRUMADA ELÉTRICA - INFRA</t>
        </is>
      </c>
      <c r="D529" s="4" t="inlineStr">
        <is>
          <t>-</t>
        </is>
      </c>
      <c r="E529" s="4" t="inlineStr">
        <is>
          <t>11º PAV.</t>
        </is>
      </c>
      <c r="F529" s="126" t="n">
        <v>46597</v>
      </c>
      <c r="G529" s="126" t="n">
        <v>46609</v>
      </c>
      <c r="H529" s="126" t="n">
        <v>46289</v>
      </c>
      <c r="I529" s="4" t="n">
        <v>0</v>
      </c>
      <c r="J529" s="4" t="n">
        <v>0</v>
      </c>
      <c r="K529" s="4" t="n">
        <v>0</v>
      </c>
      <c r="M529" s="2">
        <f>IF(C529="","",IFERROR(INDEX($S$5:$S$304,MATCH(C529,$R$5:$R$304,0))&amp;"","?"))</f>
        <v/>
      </c>
      <c r="N529" s="2">
        <f>IF(E529="","",IF(ISNUMBER(SEARCH("SUBSOLO",E529)),IFERROR(-VALUE(LEFT(E529,FIND("º",SUBSTITUTE(E529,"°","º"))-1)),-1),IF(LEFT(E529,6)="TÉRREO",0,IFERROR(VALUE(LEFT(E529,FIND("º",SUBSTITUTE(E529,"°","º"))-1)),""))))</f>
        <v/>
      </c>
      <c r="O529" s="2">
        <f>IF(OR(F529="",G529=""),"",IF(G529&lt;='RETRATO 2027'!$K$5,"CONCLUÍDA",IF(F529&lt;='RETRATO 2027'!$K$5,"EM ANDAMENTO","A INICIAR")))</f>
        <v/>
      </c>
    </row>
    <row r="530">
      <c r="B530" s="4" t="n">
        <v>29981338</v>
      </c>
      <c r="C530" s="4" t="inlineStr">
        <is>
          <t>REBOCO INTERNO</t>
        </is>
      </c>
      <c r="D530" s="4" t="inlineStr">
        <is>
          <t>-</t>
        </is>
      </c>
      <c r="E530" s="4" t="inlineStr">
        <is>
          <t>12º PAV.</t>
        </is>
      </c>
      <c r="F530" s="126" t="n">
        <v>46597</v>
      </c>
      <c r="G530" s="126" t="n">
        <v>46609</v>
      </c>
      <c r="H530" s="126" t="n">
        <v>46289</v>
      </c>
      <c r="I530" s="4" t="n">
        <v>0</v>
      </c>
      <c r="J530" s="4" t="n">
        <v>0</v>
      </c>
      <c r="K530" s="4" t="n">
        <v>0</v>
      </c>
      <c r="M530" s="2">
        <f>IF(C530="","",IFERROR(INDEX($S$5:$S$304,MATCH(C530,$R$5:$R$304,0))&amp;"","?"))</f>
        <v/>
      </c>
      <c r="N530" s="2">
        <f>IF(E530="","",IF(ISNUMBER(SEARCH("SUBSOLO",E530)),IFERROR(-VALUE(LEFT(E530,FIND("º",SUBSTITUTE(E530,"°","º"))-1)),-1),IF(LEFT(E530,6)="TÉRREO",0,IFERROR(VALUE(LEFT(E530,FIND("º",SUBSTITUTE(E530,"°","º"))-1)),""))))</f>
        <v/>
      </c>
      <c r="O530" s="2">
        <f>IF(OR(F530="",G530=""),"",IF(G530&lt;='RETRATO 2027'!$K$5,"CONCLUÍDA",IF(F530&lt;='RETRATO 2027'!$K$5,"EM ANDAMENTO","A INICIAR")))</f>
        <v/>
      </c>
    </row>
    <row r="531">
      <c r="B531" s="4" t="n">
        <v>29981304</v>
      </c>
      <c r="C531" s="4" t="inlineStr">
        <is>
          <t>CONTRAMARCO</t>
        </is>
      </c>
      <c r="D531" s="4" t="inlineStr">
        <is>
          <t>-</t>
        </is>
      </c>
      <c r="E531" s="4" t="inlineStr">
        <is>
          <t>13º PAV.</t>
        </is>
      </c>
      <c r="F531" s="126" t="n">
        <v>46597</v>
      </c>
      <c r="G531" s="126" t="n">
        <v>46609</v>
      </c>
      <c r="H531" s="126" t="n">
        <v>46289</v>
      </c>
      <c r="I531" s="4" t="n">
        <v>0</v>
      </c>
      <c r="J531" s="4" t="n">
        <v>0</v>
      </c>
      <c r="K531" s="4" t="n">
        <v>0</v>
      </c>
      <c r="M531" s="2">
        <f>IF(C531="","",IFERROR(INDEX($S$5:$S$304,MATCH(C531,$R$5:$R$304,0))&amp;"","?"))</f>
        <v/>
      </c>
      <c r="N531" s="2">
        <f>IF(E531="","",IF(ISNUMBER(SEARCH("SUBSOLO",E531)),IFERROR(-VALUE(LEFT(E531,FIND("º",SUBSTITUTE(E531,"°","º"))-1)),-1),IF(LEFT(E531,6)="TÉRREO",0,IFERROR(VALUE(LEFT(E531,FIND("º",SUBSTITUTE(E531,"°","º"))-1)),""))))</f>
        <v/>
      </c>
      <c r="O531" s="2">
        <f>IF(OR(F531="",G531=""),"",IF(G531&lt;='RETRATO 2027'!$K$5,"CONCLUÍDA",IF(F531&lt;='RETRATO 2027'!$K$5,"EM ANDAMENTO","A INICIAR")))</f>
        <v/>
      </c>
    </row>
    <row r="532">
      <c r="B532" s="4" t="n">
        <v>29981297</v>
      </c>
      <c r="C532" s="4" t="inlineStr">
        <is>
          <t>DISTRIBUIÇÃO HIDROSSANITÁRIA</t>
        </is>
      </c>
      <c r="D532" s="4" t="inlineStr">
        <is>
          <t>-</t>
        </is>
      </c>
      <c r="E532" s="4" t="inlineStr">
        <is>
          <t>14º PAV.</t>
        </is>
      </c>
      <c r="F532" s="126" t="n">
        <v>46597</v>
      </c>
      <c r="G532" s="126" t="n">
        <v>46609</v>
      </c>
      <c r="H532" s="126" t="n">
        <v>46289</v>
      </c>
      <c r="I532" s="4" t="n">
        <v>0</v>
      </c>
      <c r="J532" s="4" t="n">
        <v>0</v>
      </c>
      <c r="K532" s="4" t="n">
        <v>0</v>
      </c>
      <c r="M532" s="2">
        <f>IF(C532="","",IFERROR(INDEX($S$5:$S$304,MATCH(C532,$R$5:$R$304,0))&amp;"","?"))</f>
        <v/>
      </c>
      <c r="N532" s="2">
        <f>IF(E532="","",IF(ISNUMBER(SEARCH("SUBSOLO",E532)),IFERROR(-VALUE(LEFT(E532,FIND("º",SUBSTITUTE(E532,"°","º"))-1)),-1),IF(LEFT(E532,6)="TÉRREO",0,IFERROR(VALUE(LEFT(E532,FIND("º",SUBSTITUTE(E532,"°","º"))-1)),""))))</f>
        <v/>
      </c>
      <c r="O532" s="2">
        <f>IF(OR(F532="",G532=""),"",IF(G532&lt;='RETRATO 2027'!$K$5,"CONCLUÍDA",IF(F532&lt;='RETRATO 2027'!$K$5,"EM ANDAMENTO","A INICIAR")))</f>
        <v/>
      </c>
    </row>
    <row r="533">
      <c r="B533" s="4" t="n">
        <v>29981266</v>
      </c>
      <c r="C533" s="4" t="inlineStr">
        <is>
          <t>DISTRIBUIÇÃO ELÉTRICA / QUADRO</t>
        </is>
      </c>
      <c r="D533" s="4" t="inlineStr">
        <is>
          <t>-</t>
        </is>
      </c>
      <c r="E533" s="4" t="inlineStr">
        <is>
          <t>14º PAV.</t>
        </is>
      </c>
      <c r="F533" s="126" t="n">
        <v>46597</v>
      </c>
      <c r="G533" s="126" t="n">
        <v>46609</v>
      </c>
      <c r="H533" s="126" t="n">
        <v>46289</v>
      </c>
      <c r="I533" s="4" t="n">
        <v>0</v>
      </c>
      <c r="J533" s="4" t="n">
        <v>0</v>
      </c>
      <c r="K533" s="4" t="n">
        <v>0</v>
      </c>
      <c r="M533" s="2">
        <f>IF(C533="","",IFERROR(INDEX($S$5:$S$304,MATCH(C533,$R$5:$R$304,0))&amp;"","?"))</f>
        <v/>
      </c>
      <c r="N533" s="2">
        <f>IF(E533="","",IF(ISNUMBER(SEARCH("SUBSOLO",E533)),IFERROR(-VALUE(LEFT(E533,FIND("º",SUBSTITUTE(E533,"°","º"))-1)),-1),IF(LEFT(E533,6)="TÉRREO",0,IFERROR(VALUE(LEFT(E533,FIND("º",SUBSTITUTE(E533,"°","º"))-1)),""))))</f>
        <v/>
      </c>
      <c r="O533" s="2">
        <f>IF(OR(F533="",G533=""),"",IF(G533&lt;='RETRATO 2027'!$K$5,"CONCLUÍDA",IF(F533&lt;='RETRATO 2027'!$K$5,"EM ANDAMENTO","A INICIAR")))</f>
        <v/>
      </c>
    </row>
    <row r="534">
      <c r="B534" s="4" t="n">
        <v>29981299</v>
      </c>
      <c r="C534" s="4" t="inlineStr">
        <is>
          <t>DISTRIBUIÇÃO DE GÁS</t>
        </is>
      </c>
      <c r="D534" s="4" t="inlineStr">
        <is>
          <t>-</t>
        </is>
      </c>
      <c r="E534" s="4" t="inlineStr">
        <is>
          <t>14º PAV.</t>
        </is>
      </c>
      <c r="F534" s="126" t="n">
        <v>46597</v>
      </c>
      <c r="G534" s="126" t="n">
        <v>46609</v>
      </c>
      <c r="H534" s="126" t="n">
        <v>46289</v>
      </c>
      <c r="I534" s="4" t="n">
        <v>0</v>
      </c>
      <c r="J534" s="4" t="n">
        <v>0</v>
      </c>
      <c r="K534" s="4" t="n">
        <v>0</v>
      </c>
      <c r="M534" s="2">
        <f>IF(C534="","",IFERROR(INDEX($S$5:$S$304,MATCH(C534,$R$5:$R$304,0))&amp;"","?"))</f>
        <v/>
      </c>
      <c r="N534" s="2">
        <f>IF(E534="","",IF(ISNUMBER(SEARCH("SUBSOLO",E534)),IFERROR(-VALUE(LEFT(E534,FIND("º",SUBSTITUTE(E534,"°","º"))-1)),-1),IF(LEFT(E534,6)="TÉRREO",0,IFERROR(VALUE(LEFT(E534,FIND("º",SUBSTITUTE(E534,"°","º"))-1)),""))))</f>
        <v/>
      </c>
      <c r="O534" s="2">
        <f>IF(OR(F534="",G534=""),"",IF(G534&lt;='RETRATO 2027'!$K$5,"CONCLUÍDA",IF(F534&lt;='RETRATO 2027'!$K$5,"EM ANDAMENTO","A INICIAR")))</f>
        <v/>
      </c>
    </row>
    <row r="535">
      <c r="B535" s="4" t="n">
        <v>29981246</v>
      </c>
      <c r="C535" s="4" t="inlineStr">
        <is>
          <t>TALISCAMENTO</t>
        </is>
      </c>
      <c r="D535" s="4" t="inlineStr">
        <is>
          <t>-</t>
        </is>
      </c>
      <c r="E535" s="4" t="inlineStr">
        <is>
          <t>15º PAV.</t>
        </is>
      </c>
      <c r="F535" s="126" t="n">
        <v>46597</v>
      </c>
      <c r="G535" s="126" t="n">
        <v>46609</v>
      </c>
      <c r="H535" s="126" t="n">
        <v>46289</v>
      </c>
      <c r="I535" s="4" t="n">
        <v>0</v>
      </c>
      <c r="J535" s="4" t="n">
        <v>0</v>
      </c>
      <c r="K535" s="4" t="n">
        <v>0</v>
      </c>
      <c r="M535" s="2">
        <f>IF(C535="","",IFERROR(INDEX($S$5:$S$304,MATCH(C535,$R$5:$R$304,0))&amp;"","?"))</f>
        <v/>
      </c>
      <c r="N535" s="2">
        <f>IF(E535="","",IF(ISNUMBER(SEARCH("SUBSOLO",E535)),IFERROR(-VALUE(LEFT(E535,FIND("º",SUBSTITUTE(E535,"°","º"))-1)),-1),IF(LEFT(E535,6)="TÉRREO",0,IFERROR(VALUE(LEFT(E535,FIND("º",SUBSTITUTE(E535,"°","º"))-1)),""))))</f>
        <v/>
      </c>
      <c r="O535" s="2">
        <f>IF(OR(F535="",G535=""),"",IF(G535&lt;='RETRATO 2027'!$K$5,"CONCLUÍDA",IF(F535&lt;='RETRATO 2027'!$K$5,"EM ANDAMENTO","A INICIAR")))</f>
        <v/>
      </c>
    </row>
    <row r="536">
      <c r="B536" s="4" t="n">
        <v>29981212</v>
      </c>
      <c r="C536" s="4" t="inlineStr">
        <is>
          <t>PRUMADA HIDROSSANITÁRIA</t>
        </is>
      </c>
      <c r="D536" s="4" t="inlineStr">
        <is>
          <t>-</t>
        </is>
      </c>
      <c r="E536" s="4" t="inlineStr">
        <is>
          <t>16º PAV.</t>
        </is>
      </c>
      <c r="F536" s="126" t="n">
        <v>46597</v>
      </c>
      <c r="G536" s="126" t="n">
        <v>46609</v>
      </c>
      <c r="H536" s="126" t="n">
        <v>46289</v>
      </c>
      <c r="I536" s="4" t="n">
        <v>0</v>
      </c>
      <c r="J536" s="4" t="n">
        <v>0</v>
      </c>
      <c r="K536" s="4" t="n">
        <v>0</v>
      </c>
      <c r="M536" s="2">
        <f>IF(C536="","",IFERROR(INDEX($S$5:$S$304,MATCH(C536,$R$5:$R$304,0))&amp;"","?"))</f>
        <v/>
      </c>
      <c r="N536" s="2">
        <f>IF(E536="","",IF(ISNUMBER(SEARCH("SUBSOLO",E536)),IFERROR(-VALUE(LEFT(E536,FIND("º",SUBSTITUTE(E536,"°","º"))-1)),-1),IF(LEFT(E536,6)="TÉRREO",0,IFERROR(VALUE(LEFT(E536,FIND("º",SUBSTITUTE(E536,"°","º"))-1)),""))))</f>
        <v/>
      </c>
      <c r="O536" s="2">
        <f>IF(OR(F536="",G536=""),"",IF(G536&lt;='RETRATO 2027'!$K$5,"CONCLUÍDA",IF(F536&lt;='RETRATO 2027'!$K$5,"EM ANDAMENTO","A INICIAR")))</f>
        <v/>
      </c>
    </row>
    <row r="537">
      <c r="B537" s="4" t="n">
        <v>30205721</v>
      </c>
      <c r="C537" s="4" t="inlineStr">
        <is>
          <t>SERRALHERIA</t>
        </is>
      </c>
      <c r="D537" s="4" t="inlineStr">
        <is>
          <t>-</t>
        </is>
      </c>
      <c r="E537" s="4" t="inlineStr">
        <is>
          <t>SUBSOLO</t>
        </is>
      </c>
      <c r="F537" s="126" t="n">
        <v>46601</v>
      </c>
      <c r="G537" s="126" t="n">
        <v>46612</v>
      </c>
      <c r="H537" s="126" t="n">
        <v>46289</v>
      </c>
      <c r="I537" s="4" t="n">
        <v>0</v>
      </c>
      <c r="J537" s="4" t="n">
        <v>0</v>
      </c>
      <c r="K537" s="4" t="n">
        <v>0</v>
      </c>
      <c r="M537" s="2">
        <f>IF(C537="","",IFERROR(INDEX($S$5:$S$304,MATCH(C537,$R$5:$R$304,0))&amp;"","?"))</f>
        <v/>
      </c>
      <c r="N537" s="2">
        <f>IF(E537="","",IF(ISNUMBER(SEARCH("SUBSOLO",E537)),IFERROR(-VALUE(LEFT(E537,FIND("º",SUBSTITUTE(E537,"°","º"))-1)),-1),IF(LEFT(E537,6)="TÉRREO",0,IFERROR(VALUE(LEFT(E537,FIND("º",SUBSTITUTE(E537,"°","º"))-1)),""))))</f>
        <v/>
      </c>
      <c r="O537" s="2">
        <f>IF(OR(F537="",G537=""),"",IF(G537&lt;='RETRATO 2027'!$K$5,"CONCLUÍDA",IF(F537&lt;='RETRATO 2027'!$K$5,"EM ANDAMENTO","A INICIAR")))</f>
        <v/>
      </c>
    </row>
    <row r="538">
      <c r="B538" s="4" t="n">
        <v>29981211</v>
      </c>
      <c r="C538" s="4" t="inlineStr">
        <is>
          <t>ENCUNHAMENTO</t>
        </is>
      </c>
      <c r="D538" s="4" t="inlineStr">
        <is>
          <t>-</t>
        </is>
      </c>
      <c r="E538" s="4" t="inlineStr">
        <is>
          <t>16º PAV.</t>
        </is>
      </c>
      <c r="F538" s="126" t="n">
        <v>46601</v>
      </c>
      <c r="G538" s="126" t="n">
        <v>46611</v>
      </c>
      <c r="H538" s="126" t="n">
        <v>46289</v>
      </c>
      <c r="I538" s="4" t="n">
        <v>0</v>
      </c>
      <c r="J538" s="4" t="n">
        <v>0</v>
      </c>
      <c r="K538" s="4" t="n">
        <v>0</v>
      </c>
      <c r="M538" s="2">
        <f>IF(C538="","",IFERROR(INDEX($S$5:$S$304,MATCH(C538,$R$5:$R$304,0))&amp;"","?"))</f>
        <v/>
      </c>
      <c r="N538" s="2">
        <f>IF(E538="","",IF(ISNUMBER(SEARCH("SUBSOLO",E538)),IFERROR(-VALUE(LEFT(E538,FIND("º",SUBSTITUTE(E538,"°","º"))-1)),-1),IF(LEFT(E538,6)="TÉRREO",0,IFERROR(VALUE(LEFT(E538,FIND("º",SUBSTITUTE(E538,"°","º"))-1)),""))))</f>
        <v/>
      </c>
      <c r="O538" s="2">
        <f>IF(OR(F538="",G538=""),"",IF(G538&lt;='RETRATO 2027'!$K$5,"CONCLUÍDA",IF(F538&lt;='RETRATO 2027'!$K$5,"EM ANDAMENTO","A INICIAR")))</f>
        <v/>
      </c>
    </row>
    <row r="539">
      <c r="B539" s="4" t="n">
        <v>29981185</v>
      </c>
      <c r="C539" s="4" t="inlineStr">
        <is>
          <t>PRUMADA DE INCÊNDIO</t>
        </is>
      </c>
      <c r="D539" s="4" t="inlineStr">
        <is>
          <t>-</t>
        </is>
      </c>
      <c r="E539" s="4" t="inlineStr">
        <is>
          <t>17º PAV.</t>
        </is>
      </c>
      <c r="F539" s="126" t="n">
        <v>46604</v>
      </c>
      <c r="G539" s="126" t="n">
        <v>46616</v>
      </c>
      <c r="H539" s="126" t="n">
        <v>46289</v>
      </c>
      <c r="I539" s="4" t="n">
        <v>0</v>
      </c>
      <c r="J539" s="4" t="n">
        <v>0</v>
      </c>
      <c r="K539" s="4" t="n">
        <v>0</v>
      </c>
      <c r="M539" s="2">
        <f>IF(C539="","",IFERROR(INDEX($S$5:$S$304,MATCH(C539,$R$5:$R$304,0))&amp;"","?"))</f>
        <v/>
      </c>
      <c r="N539" s="2">
        <f>IF(E539="","",IF(ISNUMBER(SEARCH("SUBSOLO",E539)),IFERROR(-VALUE(LEFT(E539,FIND("º",SUBSTITUTE(E539,"°","º"))-1)),-1),IF(LEFT(E539,6)="TÉRREO",0,IFERROR(VALUE(LEFT(E539,FIND("º",SUBSTITUTE(E539,"°","º"))-1)),""))))</f>
        <v/>
      </c>
      <c r="O539" s="2">
        <f>IF(OR(F539="",G539=""),"",IF(G539&lt;='RETRATO 2027'!$K$5,"CONCLUÍDA",IF(F539&lt;='RETRATO 2027'!$K$5,"EM ANDAMENTO","A INICIAR")))</f>
        <v/>
      </c>
    </row>
    <row r="540">
      <c r="B540" s="4" t="n">
        <v>29981136</v>
      </c>
      <c r="C540" s="4" t="inlineStr">
        <is>
          <t>ALVENARIA</t>
        </is>
      </c>
      <c r="D540" s="4" t="inlineStr">
        <is>
          <t>-</t>
        </is>
      </c>
      <c r="E540" s="4" t="inlineStr">
        <is>
          <t>18º PAV.</t>
        </is>
      </c>
      <c r="F540" s="126" t="n">
        <v>46604</v>
      </c>
      <c r="G540" s="126" t="n">
        <v>46616</v>
      </c>
      <c r="H540" s="126" t="n">
        <v>46289</v>
      </c>
      <c r="I540" s="4" t="n">
        <v>0</v>
      </c>
      <c r="J540" s="4" t="n">
        <v>0</v>
      </c>
      <c r="K540" s="4" t="n">
        <v>0</v>
      </c>
      <c r="M540" s="2">
        <f>IF(C540="","",IFERROR(INDEX($S$5:$S$304,MATCH(C540,$R$5:$R$304,0))&amp;"","?"))</f>
        <v/>
      </c>
      <c r="N540" s="2">
        <f>IF(E540="","",IF(ISNUMBER(SEARCH("SUBSOLO",E540)),IFERROR(-VALUE(LEFT(E540,FIND("º",SUBSTITUTE(E540,"°","º"))-1)),-1),IF(LEFT(E540,6)="TÉRREO",0,IFERROR(VALUE(LEFT(E540,FIND("º",SUBSTITUTE(E540,"°","º"))-1)),""))))</f>
        <v/>
      </c>
      <c r="O540" s="2">
        <f>IF(OR(F540="",G540=""),"",IF(G540&lt;='RETRATO 2027'!$K$5,"CONCLUÍDA",IF(F540&lt;='RETRATO 2027'!$K$5,"EM ANDAMENTO","A INICIAR")))</f>
        <v/>
      </c>
    </row>
    <row r="541">
      <c r="B541" s="4" t="n">
        <v>29940962</v>
      </c>
      <c r="C541" s="4" t="inlineStr">
        <is>
          <t>ESTRUTURA</t>
        </is>
      </c>
      <c r="D541" s="4" t="inlineStr">
        <is>
          <t>-</t>
        </is>
      </c>
      <c r="E541" s="4" t="inlineStr">
        <is>
          <t>22º PAV.</t>
        </is>
      </c>
      <c r="F541" s="126" t="n">
        <v>46604</v>
      </c>
      <c r="G541" s="126" t="n">
        <v>46615</v>
      </c>
      <c r="H541" s="126" t="n">
        <v>46289</v>
      </c>
      <c r="I541" s="4" t="n">
        <v>0</v>
      </c>
      <c r="J541" s="4" t="n">
        <v>0</v>
      </c>
      <c r="K541" s="4" t="n">
        <v>0</v>
      </c>
      <c r="M541" s="2">
        <f>IF(C541="","",IFERROR(INDEX($S$5:$S$304,MATCH(C541,$R$5:$R$304,0))&amp;"","?"))</f>
        <v/>
      </c>
      <c r="N541" s="2">
        <f>IF(E541="","",IF(ISNUMBER(SEARCH("SUBSOLO",E541)),IFERROR(-VALUE(LEFT(E541,FIND("º",SUBSTITUTE(E541,"°","º"))-1)),-1),IF(LEFT(E541,6)="TÉRREO",0,IFERROR(VALUE(LEFT(E541,FIND("º",SUBSTITUTE(E541,"°","º"))-1)),""))))</f>
        <v/>
      </c>
      <c r="O541" s="2">
        <f>IF(OR(F541="",G541=""),"",IF(G541&lt;='RETRATO 2027'!$K$5,"CONCLUÍDA",IF(F541&lt;='RETRATO 2027'!$K$5,"EM ANDAMENTO","A INICIAR")))</f>
        <v/>
      </c>
    </row>
    <row r="542">
      <c r="B542" s="4" t="n">
        <v>31529036</v>
      </c>
      <c r="C542" s="4" t="inlineStr">
        <is>
          <t>ESTRUTURA</t>
        </is>
      </c>
      <c r="D542" s="4" t="inlineStr">
        <is>
          <t>Forma</t>
        </is>
      </c>
      <c r="E542" s="4" t="inlineStr">
        <is>
          <t>22º PAV.</t>
        </is>
      </c>
      <c r="F542" s="126" t="n">
        <v>46604</v>
      </c>
      <c r="G542" s="126" t="n">
        <v>46609</v>
      </c>
      <c r="H542" s="126" t="n">
        <v>46289</v>
      </c>
      <c r="I542" s="4" t="n">
        <v>0</v>
      </c>
      <c r="J542" s="4" t="n">
        <v>0</v>
      </c>
      <c r="K542" s="4" t="n">
        <v>0</v>
      </c>
      <c r="M542" s="2">
        <f>IF(C542="","",IFERROR(INDEX($S$5:$S$304,MATCH(C542,$R$5:$R$304,0))&amp;"","?"))</f>
        <v/>
      </c>
      <c r="N542" s="2">
        <f>IF(E542="","",IF(ISNUMBER(SEARCH("SUBSOLO",E542)),IFERROR(-VALUE(LEFT(E542,FIND("º",SUBSTITUTE(E542,"°","º"))-1)),-1),IF(LEFT(E542,6)="TÉRREO",0,IFERROR(VALUE(LEFT(E542,FIND("º",SUBSTITUTE(E542,"°","º"))-1)),""))))</f>
        <v/>
      </c>
      <c r="O542" s="2">
        <f>IF(OR(F542="",G542=""),"",IF(G542&lt;='RETRATO 2027'!$K$5,"CONCLUÍDA",IF(F542&lt;='RETRATO 2027'!$K$5,"EM ANDAMENTO","A INICIAR")))</f>
        <v/>
      </c>
    </row>
    <row r="543">
      <c r="B543" s="4" t="n">
        <v>31529037</v>
      </c>
      <c r="C543" s="4" t="inlineStr">
        <is>
          <t>ESTRUTURA</t>
        </is>
      </c>
      <c r="D543" s="4" t="inlineStr">
        <is>
          <t>Armação</t>
        </is>
      </c>
      <c r="E543" s="4" t="inlineStr">
        <is>
          <t>22º PAV.</t>
        </is>
      </c>
      <c r="F543" s="126" t="n">
        <v>46610</v>
      </c>
      <c r="G543" s="126" t="n">
        <v>46612</v>
      </c>
      <c r="H543" s="126" t="n">
        <v>46289</v>
      </c>
      <c r="I543" s="4" t="n">
        <v>0</v>
      </c>
      <c r="J543" s="4" t="n">
        <v>0</v>
      </c>
      <c r="K543" s="4" t="n">
        <v>0</v>
      </c>
      <c r="M543" s="2">
        <f>IF(C543="","",IFERROR(INDEX($S$5:$S$304,MATCH(C543,$R$5:$R$304,0))&amp;"","?"))</f>
        <v/>
      </c>
      <c r="N543" s="2">
        <f>IF(E543="","",IF(ISNUMBER(SEARCH("SUBSOLO",E543)),IFERROR(-VALUE(LEFT(E543,FIND("º",SUBSTITUTE(E543,"°","º"))-1)),-1),IF(LEFT(E543,6)="TÉRREO",0,IFERROR(VALUE(LEFT(E543,FIND("º",SUBSTITUTE(E543,"°","º"))-1)),""))))</f>
        <v/>
      </c>
      <c r="O543" s="2">
        <f>IF(OR(F543="",G543=""),"",IF(G543&lt;='RETRATO 2027'!$K$5,"CONCLUÍDA",IF(F543&lt;='RETRATO 2027'!$K$5,"EM ANDAMENTO","A INICIAR")))</f>
        <v/>
      </c>
    </row>
    <row r="544">
      <c r="B544" s="4" t="n">
        <v>31529038</v>
      </c>
      <c r="C544" s="4" t="inlineStr">
        <is>
          <t>ESTRUTURA</t>
        </is>
      </c>
      <c r="D544" s="4" t="inlineStr">
        <is>
          <t>Concretagem</t>
        </is>
      </c>
      <c r="E544" s="4" t="inlineStr">
        <is>
          <t>22º PAV.</t>
        </is>
      </c>
      <c r="F544" s="126" t="n">
        <v>46615</v>
      </c>
      <c r="G544" s="126" t="n">
        <v>46615</v>
      </c>
      <c r="H544" s="126" t="n">
        <v>46289</v>
      </c>
      <c r="I544" s="4" t="n">
        <v>0</v>
      </c>
      <c r="J544" s="4" t="n">
        <v>0</v>
      </c>
      <c r="K544" s="4" t="n">
        <v>0</v>
      </c>
      <c r="M544" s="2">
        <f>IF(C544="","",IFERROR(INDEX($S$5:$S$304,MATCH(C544,$R$5:$R$304,0))&amp;"","?"))</f>
        <v/>
      </c>
      <c r="N544" s="2">
        <f>IF(E544="","",IF(ISNUMBER(SEARCH("SUBSOLO",E544)),IFERROR(-VALUE(LEFT(E544,FIND("º",SUBSTITUTE(E544,"°","º"))-1)),-1),IF(LEFT(E544,6)="TÉRREO",0,IFERROR(VALUE(LEFT(E544,FIND("º",SUBSTITUTE(E544,"°","º"))-1)),""))))</f>
        <v/>
      </c>
      <c r="O544" s="2">
        <f>IF(OR(F544="",G544=""),"",IF(G544&lt;='RETRATO 2027'!$K$5,"CONCLUÍDA",IF(F544&lt;='RETRATO 2027'!$K$5,"EM ANDAMENTO","A INICIAR")))</f>
        <v/>
      </c>
    </row>
    <row r="545">
      <c r="B545" s="4" t="n">
        <v>31529039</v>
      </c>
      <c r="C545" s="4" t="inlineStr">
        <is>
          <t>ESTRUTURA</t>
        </is>
      </c>
      <c r="D545" s="4" t="inlineStr">
        <is>
          <t>Polimento</t>
        </is>
      </c>
      <c r="E545" s="4" t="inlineStr">
        <is>
          <t>22º PAV.</t>
        </is>
      </c>
      <c r="F545" s="126" t="n">
        <v>46615</v>
      </c>
      <c r="G545" s="126" t="n">
        <v>46615</v>
      </c>
      <c r="H545" s="126" t="n">
        <v>46289</v>
      </c>
      <c r="I545" s="4" t="n">
        <v>0</v>
      </c>
      <c r="J545" s="4" t="n">
        <v>0</v>
      </c>
      <c r="K545" s="4" t="n">
        <v>0</v>
      </c>
      <c r="M545" s="2">
        <f>IF(C545="","",IFERROR(INDEX($S$5:$S$304,MATCH(C545,$R$5:$R$304,0))&amp;"","?"))</f>
        <v/>
      </c>
      <c r="N545" s="2">
        <f>IF(E545="","",IF(ISNUMBER(SEARCH("SUBSOLO",E545)),IFERROR(-VALUE(LEFT(E545,FIND("º",SUBSTITUTE(E545,"°","º"))-1)),-1),IF(LEFT(E545,6)="TÉRREO",0,IFERROR(VALUE(LEFT(E545,FIND("º",SUBSTITUTE(E545,"°","º"))-1)),""))))</f>
        <v/>
      </c>
      <c r="O545" s="2">
        <f>IF(OR(F545="",G545=""),"",IF(G545&lt;='RETRATO 2027'!$K$5,"CONCLUÍDA",IF(F545&lt;='RETRATO 2027'!$K$5,"EM ANDAMENTO","A INICIAR")))</f>
        <v/>
      </c>
    </row>
    <row r="546">
      <c r="B546" s="4" t="n">
        <v>30171477</v>
      </c>
      <c r="C546" s="4" t="inlineStr">
        <is>
          <t>SERRALHERIA</t>
        </is>
      </c>
      <c r="D546" s="4" t="inlineStr">
        <is>
          <t>-</t>
        </is>
      </c>
      <c r="E546" s="4" t="inlineStr">
        <is>
          <t>2º PAV - GARAGEM</t>
        </is>
      </c>
      <c r="F546" s="126" t="n">
        <v>46608</v>
      </c>
      <c r="G546" s="126" t="n">
        <v>46619</v>
      </c>
      <c r="H546" s="126" t="n">
        <v>46289</v>
      </c>
      <c r="I546" s="4" t="n">
        <v>0</v>
      </c>
      <c r="J546" s="4" t="n">
        <v>0</v>
      </c>
      <c r="K546" s="4" t="n">
        <v>0</v>
      </c>
      <c r="M546" s="2">
        <f>IF(C546="","",IFERROR(INDEX($S$5:$S$304,MATCH(C546,$R$5:$R$304,0))&amp;"","?"))</f>
        <v/>
      </c>
      <c r="N546" s="2">
        <f>IF(E546="","",IF(ISNUMBER(SEARCH("SUBSOLO",E546)),IFERROR(-VALUE(LEFT(E546,FIND("º",SUBSTITUTE(E546,"°","º"))-1)),-1),IF(LEFT(E546,6)="TÉRREO",0,IFERROR(VALUE(LEFT(E546,FIND("º",SUBSTITUTE(E546,"°","º"))-1)),""))))</f>
        <v/>
      </c>
      <c r="O546" s="2">
        <f>IF(OR(F546="",G546=""),"",IF(G546&lt;='RETRATO 2027'!$K$5,"CONCLUÍDA",IF(F546&lt;='RETRATO 2027'!$K$5,"EM ANDAMENTO","A INICIAR")))</f>
        <v/>
      </c>
    </row>
    <row r="547">
      <c r="B547" s="4" t="n">
        <v>30171478</v>
      </c>
      <c r="C547" s="4" t="inlineStr">
        <is>
          <t>REBOCO INTERNO</t>
        </is>
      </c>
      <c r="D547" s="4" t="inlineStr">
        <is>
          <t>-</t>
        </is>
      </c>
      <c r="E547" s="4" t="inlineStr">
        <is>
          <t>2º PAV - GARAGEM</t>
        </is>
      </c>
      <c r="F547" s="126" t="n">
        <v>46608</v>
      </c>
      <c r="G547" s="126" t="n">
        <v>46668</v>
      </c>
      <c r="H547" s="126" t="n">
        <v>46289</v>
      </c>
      <c r="I547" s="4" t="n">
        <v>0</v>
      </c>
      <c r="J547" s="4" t="n">
        <v>0</v>
      </c>
      <c r="K547" s="4" t="n">
        <v>0</v>
      </c>
      <c r="M547" s="2">
        <f>IF(C547="","",IFERROR(INDEX($S$5:$S$304,MATCH(C547,$R$5:$R$304,0))&amp;"","?"))</f>
        <v/>
      </c>
      <c r="N547" s="2">
        <f>IF(E547="","",IF(ISNUMBER(SEARCH("SUBSOLO",E547)),IFERROR(-VALUE(LEFT(E547,FIND("º",SUBSTITUTE(E547,"°","º"))-1)),-1),IF(LEFT(E547,6)="TÉRREO",0,IFERROR(VALUE(LEFT(E547,FIND("º",SUBSTITUTE(E547,"°","º"))-1)),""))))</f>
        <v/>
      </c>
      <c r="O547" s="2">
        <f>IF(OR(F547="",G547=""),"",IF(G547&lt;='RETRATO 2027'!$K$5,"CONCLUÍDA",IF(F547&lt;='RETRATO 2027'!$K$5,"EM ANDAMENTO","A INICIAR")))</f>
        <v/>
      </c>
    </row>
    <row r="548">
      <c r="B548" s="4" t="n">
        <v>29981546</v>
      </c>
      <c r="C548" s="4" t="inlineStr">
        <is>
          <t>IMPERMEABILIZAÇÃO</t>
        </is>
      </c>
      <c r="D548" s="4" t="inlineStr">
        <is>
          <t>-</t>
        </is>
      </c>
      <c r="E548" s="4" t="inlineStr">
        <is>
          <t>7º PAV.</t>
        </is>
      </c>
      <c r="F548" s="126" t="n">
        <v>46610</v>
      </c>
      <c r="G548" s="126" t="n">
        <v>46622</v>
      </c>
      <c r="H548" s="126" t="n">
        <v>46289</v>
      </c>
      <c r="I548" s="4" t="n">
        <v>0</v>
      </c>
      <c r="J548" s="4" t="n">
        <v>0</v>
      </c>
      <c r="K548" s="4" t="n">
        <v>0</v>
      </c>
      <c r="M548" s="2">
        <f>IF(C548="","",IFERROR(INDEX($S$5:$S$304,MATCH(C548,$R$5:$R$304,0))&amp;"","?"))</f>
        <v/>
      </c>
      <c r="N548" s="2">
        <f>IF(E548="","",IF(ISNUMBER(SEARCH("SUBSOLO",E548)),IFERROR(-VALUE(LEFT(E548,FIND("º",SUBSTITUTE(E548,"°","º"))-1)),-1),IF(LEFT(E548,6)="TÉRREO",0,IFERROR(VALUE(LEFT(E548,FIND("º",SUBSTITUTE(E548,"°","º"))-1)),""))))</f>
        <v/>
      </c>
      <c r="O548" s="2">
        <f>IF(OR(F548="",G548=""),"",IF(G548&lt;='RETRATO 2027'!$K$5,"CONCLUÍDA",IF(F548&lt;='RETRATO 2027'!$K$5,"EM ANDAMENTO","A INICIAR")))</f>
        <v/>
      </c>
    </row>
    <row r="549">
      <c r="B549" s="4" t="n">
        <v>32750434</v>
      </c>
      <c r="C549" s="4" t="inlineStr">
        <is>
          <t>DRYWALL 2º FACE</t>
        </is>
      </c>
      <c r="D549" s="4" t="inlineStr">
        <is>
          <t>-</t>
        </is>
      </c>
      <c r="E549" s="4" t="inlineStr">
        <is>
          <t>8º PAV.</t>
        </is>
      </c>
      <c r="F549" s="126" t="n">
        <v>46610</v>
      </c>
      <c r="G549" s="126" t="n">
        <v>46622</v>
      </c>
      <c r="H549" s="126" t="n">
        <v>46289</v>
      </c>
      <c r="I549" s="4" t="n">
        <v>0</v>
      </c>
      <c r="J549" s="4" t="n">
        <v>0</v>
      </c>
      <c r="K549" s="4" t="n">
        <v>0</v>
      </c>
      <c r="M549" s="2">
        <f>IF(C549="","",IFERROR(INDEX($S$5:$S$304,MATCH(C549,$R$5:$R$304,0))&amp;"","?"))</f>
        <v/>
      </c>
      <c r="N549" s="2">
        <f>IF(E549="","",IF(ISNUMBER(SEARCH("SUBSOLO",E549)),IFERROR(-VALUE(LEFT(E549,FIND("º",SUBSTITUTE(E549,"°","º"))-1)),-1),IF(LEFT(E549,6)="TÉRREO",0,IFERROR(VALUE(LEFT(E549,FIND("º",SUBSTITUTE(E549,"°","º"))-1)),""))))</f>
        <v/>
      </c>
      <c r="O549" s="2">
        <f>IF(OR(F549="",G549=""),"",IF(G549&lt;='RETRATO 2027'!$K$5,"CONCLUÍDA",IF(F549&lt;='RETRATO 2027'!$K$5,"EM ANDAMENTO","A INICIAR")))</f>
        <v/>
      </c>
    </row>
    <row r="550">
      <c r="B550" s="4" t="n">
        <v>32750357</v>
      </c>
      <c r="C550" s="4" t="inlineStr">
        <is>
          <t>DISTRIBUIÇÃO DE GÁS - DRYWALL</t>
        </is>
      </c>
      <c r="D550" s="4" t="inlineStr">
        <is>
          <t>-</t>
        </is>
      </c>
      <c r="E550" s="4" t="inlineStr">
        <is>
          <t>9º PAV.</t>
        </is>
      </c>
      <c r="F550" s="126" t="n">
        <v>46610</v>
      </c>
      <c r="G550" s="126" t="n">
        <v>46622</v>
      </c>
      <c r="H550" s="126" t="n">
        <v>46289</v>
      </c>
      <c r="I550" s="4" t="n">
        <v>0</v>
      </c>
      <c r="J550" s="4" t="n">
        <v>0</v>
      </c>
      <c r="K550" s="4" t="n">
        <v>0</v>
      </c>
      <c r="M550" s="2">
        <f>IF(C550="","",IFERROR(INDEX($S$5:$S$304,MATCH(C550,$R$5:$R$304,0))&amp;"","?"))</f>
        <v/>
      </c>
      <c r="N550" s="2">
        <f>IF(E550="","",IF(ISNUMBER(SEARCH("SUBSOLO",E550)),IFERROR(-VALUE(LEFT(E550,FIND("º",SUBSTITUTE(E550,"°","º"))-1)),-1),IF(LEFT(E550,6)="TÉRREO",0,IFERROR(VALUE(LEFT(E550,FIND("º",SUBSTITUTE(E550,"°","º"))-1)),""))))</f>
        <v/>
      </c>
      <c r="O550" s="2">
        <f>IF(OR(F550="",G550=""),"",IF(G550&lt;='RETRATO 2027'!$K$5,"CONCLUÍDA",IF(F550&lt;='RETRATO 2027'!$K$5,"EM ANDAMENTO","A INICIAR")))</f>
        <v/>
      </c>
    </row>
    <row r="551">
      <c r="B551" s="4" t="n">
        <v>32750383</v>
      </c>
      <c r="C551" s="4" t="inlineStr">
        <is>
          <t>DISTRIBUIÇÃO ELÉTRICA/QUADRO - DRYWALL</t>
        </is>
      </c>
      <c r="D551" s="4" t="inlineStr">
        <is>
          <t>-</t>
        </is>
      </c>
      <c r="E551" s="4" t="inlineStr">
        <is>
          <t>9º PAV.</t>
        </is>
      </c>
      <c r="F551" s="126" t="n">
        <v>46610</v>
      </c>
      <c r="G551" s="126" t="n">
        <v>46622</v>
      </c>
      <c r="H551" s="126" t="n">
        <v>46289</v>
      </c>
      <c r="I551" s="4" t="n">
        <v>0</v>
      </c>
      <c r="J551" s="4" t="n">
        <v>0</v>
      </c>
      <c r="K551" s="4" t="n">
        <v>0</v>
      </c>
      <c r="M551" s="2">
        <f>IF(C551="","",IFERROR(INDEX($S$5:$S$304,MATCH(C551,$R$5:$R$304,0))&amp;"","?"))</f>
        <v/>
      </c>
      <c r="N551" s="2">
        <f>IF(E551="","",IF(ISNUMBER(SEARCH("SUBSOLO",E551)),IFERROR(-VALUE(LEFT(E551,FIND("º",SUBSTITUTE(E551,"°","º"))-1)),-1),IF(LEFT(E551,6)="TÉRREO",0,IFERROR(VALUE(LEFT(E551,FIND("º",SUBSTITUTE(E551,"°","º"))-1)),""))))</f>
        <v/>
      </c>
      <c r="O551" s="2">
        <f>IF(OR(F551="",G551=""),"",IF(G551&lt;='RETRATO 2027'!$K$5,"CONCLUÍDA",IF(F551&lt;='RETRATO 2027'!$K$5,"EM ANDAMENTO","A INICIAR")))</f>
        <v/>
      </c>
    </row>
    <row r="552">
      <c r="B552" s="4" t="n">
        <v>32750409</v>
      </c>
      <c r="C552" s="4" t="inlineStr">
        <is>
          <t>DISTRIBUIÇÃO HIDRÁULICA - DRYWALL</t>
        </is>
      </c>
      <c r="D552" s="4" t="inlineStr">
        <is>
          <t>-</t>
        </is>
      </c>
      <c r="E552" s="4" t="inlineStr">
        <is>
          <t>9º PAV.</t>
        </is>
      </c>
      <c r="F552" s="126" t="n">
        <v>46610</v>
      </c>
      <c r="G552" s="126" t="n">
        <v>46622</v>
      </c>
      <c r="H552" s="126" t="n">
        <v>46289</v>
      </c>
      <c r="I552" s="4" t="n">
        <v>0</v>
      </c>
      <c r="J552" s="4" t="n">
        <v>0</v>
      </c>
      <c r="K552" s="4" t="n">
        <v>0</v>
      </c>
      <c r="M552" s="2">
        <f>IF(C552="","",IFERROR(INDEX($S$5:$S$304,MATCH(C552,$R$5:$R$304,0))&amp;"","?"))</f>
        <v/>
      </c>
      <c r="N552" s="2">
        <f>IF(E552="","",IF(ISNUMBER(SEARCH("SUBSOLO",E552)),IFERROR(-VALUE(LEFT(E552,FIND("º",SUBSTITUTE(E552,"°","º"))-1)),-1),IF(LEFT(E552,6)="TÉRREO",0,IFERROR(VALUE(LEFT(E552,FIND("º",SUBSTITUTE(E552,"°","º"))-1)),""))))</f>
        <v/>
      </c>
      <c r="O552" s="2">
        <f>IF(OR(F552="",G552=""),"",IF(G552&lt;='RETRATO 2027'!$K$5,"CONCLUÍDA",IF(F552&lt;='RETRATO 2027'!$K$5,"EM ANDAMENTO","A INICIAR")))</f>
        <v/>
      </c>
    </row>
    <row r="553">
      <c r="B553" s="4" t="n">
        <v>33896827</v>
      </c>
      <c r="C553" s="4" t="inlineStr">
        <is>
          <t>INFRAESTRUTURA - AR CONDICIONADO</t>
        </is>
      </c>
      <c r="D553" s="4" t="inlineStr">
        <is>
          <t>-</t>
        </is>
      </c>
      <c r="E553" s="4" t="inlineStr">
        <is>
          <t>9º PAV.</t>
        </is>
      </c>
      <c r="F553" s="126" t="n">
        <v>46610</v>
      </c>
      <c r="G553" s="126" t="n">
        <v>46622</v>
      </c>
      <c r="H553" s="126" t="n">
        <v>46289</v>
      </c>
      <c r="I553" s="4" t="n">
        <v>0</v>
      </c>
      <c r="J553" s="4" t="n">
        <v>0</v>
      </c>
      <c r="K553" s="4" t="n">
        <v>0</v>
      </c>
      <c r="M553" s="2">
        <f>IF(C553="","",IFERROR(INDEX($S$5:$S$304,MATCH(C553,$R$5:$R$304,0))&amp;"","?"))</f>
        <v/>
      </c>
      <c r="N553" s="2">
        <f>IF(E553="","",IF(ISNUMBER(SEARCH("SUBSOLO",E553)),IFERROR(-VALUE(LEFT(E553,FIND("º",SUBSTITUTE(E553,"°","º"))-1)),-1),IF(LEFT(E553,6)="TÉRREO",0,IFERROR(VALUE(LEFT(E553,FIND("º",SUBSTITUTE(E553,"°","º"))-1)),""))))</f>
        <v/>
      </c>
      <c r="O553" s="2">
        <f>IF(OR(F553="",G553=""),"",IF(G553&lt;='RETRATO 2027'!$K$5,"CONCLUÍDA",IF(F553&lt;='RETRATO 2027'!$K$5,"EM ANDAMENTO","A INICIAR")))</f>
        <v/>
      </c>
    </row>
    <row r="554">
      <c r="B554" s="4" t="n">
        <v>32749853</v>
      </c>
      <c r="C554" s="4" t="inlineStr">
        <is>
          <t>DRYWALL 1º FACE</t>
        </is>
      </c>
      <c r="D554" s="4" t="inlineStr">
        <is>
          <t>-</t>
        </is>
      </c>
      <c r="E554" s="4" t="inlineStr">
        <is>
          <t>10º PAV.</t>
        </is>
      </c>
      <c r="F554" s="126" t="n">
        <v>46610</v>
      </c>
      <c r="G554" s="126" t="n">
        <v>46622</v>
      </c>
      <c r="H554" s="126" t="n">
        <v>46289</v>
      </c>
      <c r="I554" s="4" t="n">
        <v>0</v>
      </c>
      <c r="J554" s="4" t="n">
        <v>0</v>
      </c>
      <c r="K554" s="4" t="n">
        <v>0</v>
      </c>
      <c r="M554" s="2">
        <f>IF(C554="","",IFERROR(INDEX($S$5:$S$304,MATCH(C554,$R$5:$R$304,0))&amp;"","?"))</f>
        <v/>
      </c>
      <c r="N554" s="2">
        <f>IF(E554="","",IF(ISNUMBER(SEARCH("SUBSOLO",E554)),IFERROR(-VALUE(LEFT(E554,FIND("º",SUBSTITUTE(E554,"°","º"))-1)),-1),IF(LEFT(E554,6)="TÉRREO",0,IFERROR(VALUE(LEFT(E554,FIND("º",SUBSTITUTE(E554,"°","º"))-1)),""))))</f>
        <v/>
      </c>
      <c r="O554" s="2">
        <f>IF(OR(F554="",G554=""),"",IF(G554&lt;='RETRATO 2027'!$K$5,"CONCLUÍDA",IF(F554&lt;='RETRATO 2027'!$K$5,"EM ANDAMENTO","A INICIAR")))</f>
        <v/>
      </c>
    </row>
    <row r="555">
      <c r="B555" s="4" t="n">
        <v>29981399</v>
      </c>
      <c r="C555" s="4" t="inlineStr">
        <is>
          <t>CONTRAPISO</t>
        </is>
      </c>
      <c r="D555" s="4" t="inlineStr">
        <is>
          <t>-</t>
        </is>
      </c>
      <c r="E555" s="4" t="inlineStr">
        <is>
          <t>11º PAV.</t>
        </is>
      </c>
      <c r="F555" s="126" t="n">
        <v>46610</v>
      </c>
      <c r="G555" s="126" t="n">
        <v>46622</v>
      </c>
      <c r="H555" s="126" t="n">
        <v>46289</v>
      </c>
      <c r="I555" s="4" t="n">
        <v>0</v>
      </c>
      <c r="J555" s="4" t="n">
        <v>0</v>
      </c>
      <c r="K555" s="4" t="n">
        <v>0</v>
      </c>
      <c r="M555" s="2">
        <f>IF(C555="","",IFERROR(INDEX($S$5:$S$304,MATCH(C555,$R$5:$R$304,0))&amp;"","?"))</f>
        <v/>
      </c>
      <c r="N555" s="2">
        <f>IF(E555="","",IF(ISNUMBER(SEARCH("SUBSOLO",E555)),IFERROR(-VALUE(LEFT(E555,FIND("º",SUBSTITUTE(E555,"°","º"))-1)),-1),IF(LEFT(E555,6)="TÉRREO",0,IFERROR(VALUE(LEFT(E555,FIND("º",SUBSTITUTE(E555,"°","º"))-1)),""))))</f>
        <v/>
      </c>
      <c r="O555" s="2">
        <f>IF(OR(F555="",G555=""),"",IF(G555&lt;='RETRATO 2027'!$K$5,"CONCLUÍDA",IF(F555&lt;='RETRATO 2027'!$K$5,"EM ANDAMENTO","A INICIAR")))</f>
        <v/>
      </c>
    </row>
    <row r="556">
      <c r="B556" s="4" t="n">
        <v>29981339</v>
      </c>
      <c r="C556" s="4" t="inlineStr">
        <is>
          <t>SHAFT INTERNO INST. HIDRAÚLICAS</t>
        </is>
      </c>
      <c r="D556" s="4" t="inlineStr">
        <is>
          <t>-</t>
        </is>
      </c>
      <c r="E556" s="4" t="inlineStr">
        <is>
          <t>12º PAV.</t>
        </is>
      </c>
      <c r="F556" s="126" t="n">
        <v>46610</v>
      </c>
      <c r="G556" s="126" t="n">
        <v>46622</v>
      </c>
      <c r="H556" s="126" t="n">
        <v>46289</v>
      </c>
      <c r="I556" s="4" t="n">
        <v>0</v>
      </c>
      <c r="J556" s="4" t="n">
        <v>0</v>
      </c>
      <c r="K556" s="4" t="n">
        <v>0</v>
      </c>
      <c r="M556" s="2">
        <f>IF(C556="","",IFERROR(INDEX($S$5:$S$304,MATCH(C556,$R$5:$R$304,0))&amp;"","?"))</f>
        <v/>
      </c>
      <c r="N556" s="2">
        <f>IF(E556="","",IF(ISNUMBER(SEARCH("SUBSOLO",E556)),IFERROR(-VALUE(LEFT(E556,FIND("º",SUBSTITUTE(E556,"°","º"))-1)),-1),IF(LEFT(E556,6)="TÉRREO",0,IFERROR(VALUE(LEFT(E556,FIND("º",SUBSTITUTE(E556,"°","º"))-1)),""))))</f>
        <v/>
      </c>
      <c r="O556" s="2">
        <f>IF(OR(F556="",G556=""),"",IF(G556&lt;='RETRATO 2027'!$K$5,"CONCLUÍDA",IF(F556&lt;='RETRATO 2027'!$K$5,"EM ANDAMENTO","A INICIAR")))</f>
        <v/>
      </c>
    </row>
    <row r="557">
      <c r="B557" s="4" t="n">
        <v>29981372</v>
      </c>
      <c r="C557" s="4" t="inlineStr">
        <is>
          <t>PRUMADA ELÉTRICA - INFRA</t>
        </is>
      </c>
      <c r="D557" s="4" t="inlineStr">
        <is>
          <t>-</t>
        </is>
      </c>
      <c r="E557" s="4" t="inlineStr">
        <is>
          <t>12º PAV.</t>
        </is>
      </c>
      <c r="F557" s="126" t="n">
        <v>46610</v>
      </c>
      <c r="G557" s="126" t="n">
        <v>46622</v>
      </c>
      <c r="H557" s="126" t="n">
        <v>46289</v>
      </c>
      <c r="I557" s="4" t="n">
        <v>0</v>
      </c>
      <c r="J557" s="4" t="n">
        <v>0</v>
      </c>
      <c r="K557" s="4" t="n">
        <v>0</v>
      </c>
      <c r="M557" s="2">
        <f>IF(C557="","",IFERROR(INDEX($S$5:$S$304,MATCH(C557,$R$5:$R$304,0))&amp;"","?"))</f>
        <v/>
      </c>
      <c r="N557" s="2">
        <f>IF(E557="","",IF(ISNUMBER(SEARCH("SUBSOLO",E557)),IFERROR(-VALUE(LEFT(E557,FIND("º",SUBSTITUTE(E557,"°","º"))-1)),-1),IF(LEFT(E557,6)="TÉRREO",0,IFERROR(VALUE(LEFT(E557,FIND("º",SUBSTITUTE(E557,"°","º"))-1)),""))))</f>
        <v/>
      </c>
      <c r="O557" s="2">
        <f>IF(OR(F557="",G557=""),"",IF(G557&lt;='RETRATO 2027'!$K$5,"CONCLUÍDA",IF(F557&lt;='RETRATO 2027'!$K$5,"EM ANDAMENTO","A INICIAR")))</f>
        <v/>
      </c>
    </row>
    <row r="558">
      <c r="B558" s="4" t="n">
        <v>29981301</v>
      </c>
      <c r="C558" s="4" t="inlineStr">
        <is>
          <t>REBOCO INTERNO</t>
        </is>
      </c>
      <c r="D558" s="4" t="inlineStr">
        <is>
          <t>-</t>
        </is>
      </c>
      <c r="E558" s="4" t="inlineStr">
        <is>
          <t>13º PAV.</t>
        </is>
      </c>
      <c r="F558" s="126" t="n">
        <v>46610</v>
      </c>
      <c r="G558" s="126" t="n">
        <v>46622</v>
      </c>
      <c r="H558" s="126" t="n">
        <v>46289</v>
      </c>
      <c r="I558" s="4" t="n">
        <v>0</v>
      </c>
      <c r="J558" s="4" t="n">
        <v>0</v>
      </c>
      <c r="K558" s="4" t="n">
        <v>0</v>
      </c>
      <c r="M558" s="2">
        <f>IF(C558="","",IFERROR(INDEX($S$5:$S$304,MATCH(C558,$R$5:$R$304,0))&amp;"","?"))</f>
        <v/>
      </c>
      <c r="N558" s="2">
        <f>IF(E558="","",IF(ISNUMBER(SEARCH("SUBSOLO",E558)),IFERROR(-VALUE(LEFT(E558,FIND("º",SUBSTITUTE(E558,"°","º"))-1)),-1),IF(LEFT(E558,6)="TÉRREO",0,IFERROR(VALUE(LEFT(E558,FIND("º",SUBSTITUTE(E558,"°","º"))-1)),""))))</f>
        <v/>
      </c>
      <c r="O558" s="2">
        <f>IF(OR(F558="",G558=""),"",IF(G558&lt;='RETRATO 2027'!$K$5,"CONCLUÍDA",IF(F558&lt;='RETRATO 2027'!$K$5,"EM ANDAMENTO","A INICIAR")))</f>
        <v/>
      </c>
    </row>
    <row r="559">
      <c r="B559" s="4" t="n">
        <v>29981267</v>
      </c>
      <c r="C559" s="4" t="inlineStr">
        <is>
          <t>CONTRAMARCO</t>
        </is>
      </c>
      <c r="D559" s="4" t="inlineStr">
        <is>
          <t>-</t>
        </is>
      </c>
      <c r="E559" s="4" t="inlineStr">
        <is>
          <t>14º PAV.</t>
        </is>
      </c>
      <c r="F559" s="126" t="n">
        <v>46610</v>
      </c>
      <c r="G559" s="126" t="n">
        <v>46622</v>
      </c>
      <c r="H559" s="126" t="n">
        <v>46289</v>
      </c>
      <c r="I559" s="4" t="n">
        <v>0</v>
      </c>
      <c r="J559" s="4" t="n">
        <v>0</v>
      </c>
      <c r="K559" s="4" t="n">
        <v>0</v>
      </c>
      <c r="M559" s="2">
        <f>IF(C559="","",IFERROR(INDEX($S$5:$S$304,MATCH(C559,$R$5:$R$304,0))&amp;"","?"))</f>
        <v/>
      </c>
      <c r="N559" s="2">
        <f>IF(E559="","",IF(ISNUMBER(SEARCH("SUBSOLO",E559)),IFERROR(-VALUE(LEFT(E559,FIND("º",SUBSTITUTE(E559,"°","º"))-1)),-1),IF(LEFT(E559,6)="TÉRREO",0,IFERROR(VALUE(LEFT(E559,FIND("º",SUBSTITUTE(E559,"°","º"))-1)),""))))</f>
        <v/>
      </c>
      <c r="O559" s="2">
        <f>IF(OR(F559="",G559=""),"",IF(G559&lt;='RETRATO 2027'!$K$5,"CONCLUÍDA",IF(F559&lt;='RETRATO 2027'!$K$5,"EM ANDAMENTO","A INICIAR")))</f>
        <v/>
      </c>
    </row>
    <row r="560">
      <c r="B560" s="4" t="n">
        <v>29981260</v>
      </c>
      <c r="C560" s="4" t="inlineStr">
        <is>
          <t>DISTRIBUIÇÃO HIDROSSANITÁRIA</t>
        </is>
      </c>
      <c r="D560" s="4" t="inlineStr">
        <is>
          <t>-</t>
        </is>
      </c>
      <c r="E560" s="4" t="inlineStr">
        <is>
          <t>15º PAV.</t>
        </is>
      </c>
      <c r="F560" s="126" t="n">
        <v>46610</v>
      </c>
      <c r="G560" s="126" t="n">
        <v>46622</v>
      </c>
      <c r="H560" s="126" t="n">
        <v>46289</v>
      </c>
      <c r="I560" s="4" t="n">
        <v>0</v>
      </c>
      <c r="J560" s="4" t="n">
        <v>0</v>
      </c>
      <c r="K560" s="4" t="n">
        <v>0</v>
      </c>
      <c r="M560" s="2">
        <f>IF(C560="","",IFERROR(INDEX($S$5:$S$304,MATCH(C560,$R$5:$R$304,0))&amp;"","?"))</f>
        <v/>
      </c>
      <c r="N560" s="2">
        <f>IF(E560="","",IF(ISNUMBER(SEARCH("SUBSOLO",E560)),IFERROR(-VALUE(LEFT(E560,FIND("º",SUBSTITUTE(E560,"°","º"))-1)),-1),IF(LEFT(E560,6)="TÉRREO",0,IFERROR(VALUE(LEFT(E560,FIND("º",SUBSTITUTE(E560,"°","º"))-1)),""))))</f>
        <v/>
      </c>
      <c r="O560" s="2">
        <f>IF(OR(F560="",G560=""),"",IF(G560&lt;='RETRATO 2027'!$K$5,"CONCLUÍDA",IF(F560&lt;='RETRATO 2027'!$K$5,"EM ANDAMENTO","A INICIAR")))</f>
        <v/>
      </c>
    </row>
    <row r="561">
      <c r="B561" s="4" t="n">
        <v>29981229</v>
      </c>
      <c r="C561" s="4" t="inlineStr">
        <is>
          <t>DISTRIBUIÇÃO ELÉTRICA / QUADRO</t>
        </is>
      </c>
      <c r="D561" s="4" t="inlineStr">
        <is>
          <t>-</t>
        </is>
      </c>
      <c r="E561" s="4" t="inlineStr">
        <is>
          <t>15º PAV.</t>
        </is>
      </c>
      <c r="F561" s="126" t="n">
        <v>46610</v>
      </c>
      <c r="G561" s="126" t="n">
        <v>46622</v>
      </c>
      <c r="H561" s="126" t="n">
        <v>46289</v>
      </c>
      <c r="I561" s="4" t="n">
        <v>0</v>
      </c>
      <c r="J561" s="4" t="n">
        <v>0</v>
      </c>
      <c r="K561" s="4" t="n">
        <v>0</v>
      </c>
      <c r="M561" s="2">
        <f>IF(C561="","",IFERROR(INDEX($S$5:$S$304,MATCH(C561,$R$5:$R$304,0))&amp;"","?"))</f>
        <v/>
      </c>
      <c r="N561" s="2">
        <f>IF(E561="","",IF(ISNUMBER(SEARCH("SUBSOLO",E561)),IFERROR(-VALUE(LEFT(E561,FIND("º",SUBSTITUTE(E561,"°","º"))-1)),-1),IF(LEFT(E561,6)="TÉRREO",0,IFERROR(VALUE(LEFT(E561,FIND("º",SUBSTITUTE(E561,"°","º"))-1)),""))))</f>
        <v/>
      </c>
      <c r="O561" s="2">
        <f>IF(OR(F561="",G561=""),"",IF(G561&lt;='RETRATO 2027'!$K$5,"CONCLUÍDA",IF(F561&lt;='RETRATO 2027'!$K$5,"EM ANDAMENTO","A INICIAR")))</f>
        <v/>
      </c>
    </row>
    <row r="562">
      <c r="B562" s="4" t="n">
        <v>29981262</v>
      </c>
      <c r="C562" s="4" t="inlineStr">
        <is>
          <t>DISTRIBUIÇÃO DE GÁS</t>
        </is>
      </c>
      <c r="D562" s="4" t="inlineStr">
        <is>
          <t>-</t>
        </is>
      </c>
      <c r="E562" s="4" t="inlineStr">
        <is>
          <t>15º PAV.</t>
        </is>
      </c>
      <c r="F562" s="126" t="n">
        <v>46610</v>
      </c>
      <c r="G562" s="126" t="n">
        <v>46622</v>
      </c>
      <c r="H562" s="126" t="n">
        <v>46289</v>
      </c>
      <c r="I562" s="4" t="n">
        <v>0</v>
      </c>
      <c r="J562" s="4" t="n">
        <v>0</v>
      </c>
      <c r="K562" s="4" t="n">
        <v>0</v>
      </c>
      <c r="M562" s="2">
        <f>IF(C562="","",IFERROR(INDEX($S$5:$S$304,MATCH(C562,$R$5:$R$304,0))&amp;"","?"))</f>
        <v/>
      </c>
      <c r="N562" s="2">
        <f>IF(E562="","",IF(ISNUMBER(SEARCH("SUBSOLO",E562)),IFERROR(-VALUE(LEFT(E562,FIND("º",SUBSTITUTE(E562,"°","º"))-1)),-1),IF(LEFT(E562,6)="TÉRREO",0,IFERROR(VALUE(LEFT(E562,FIND("º",SUBSTITUTE(E562,"°","º"))-1)),""))))</f>
        <v/>
      </c>
      <c r="O562" s="2">
        <f>IF(OR(F562="",G562=""),"",IF(G562&lt;='RETRATO 2027'!$K$5,"CONCLUÍDA",IF(F562&lt;='RETRATO 2027'!$K$5,"EM ANDAMENTO","A INICIAR")))</f>
        <v/>
      </c>
    </row>
    <row r="563">
      <c r="B563" s="4" t="n">
        <v>29981209</v>
      </c>
      <c r="C563" s="4" t="inlineStr">
        <is>
          <t>TALISCAMENTO</t>
        </is>
      </c>
      <c r="D563" s="4" t="inlineStr">
        <is>
          <t>-</t>
        </is>
      </c>
      <c r="E563" s="4" t="inlineStr">
        <is>
          <t>16º PAV.</t>
        </is>
      </c>
      <c r="F563" s="126" t="n">
        <v>46610</v>
      </c>
      <c r="G563" s="126" t="n">
        <v>46622</v>
      </c>
      <c r="H563" s="126" t="n">
        <v>46289</v>
      </c>
      <c r="I563" s="4" t="n">
        <v>0</v>
      </c>
      <c r="J563" s="4" t="n">
        <v>0</v>
      </c>
      <c r="K563" s="4" t="n">
        <v>0</v>
      </c>
      <c r="M563" s="2">
        <f>IF(C563="","",IFERROR(INDEX($S$5:$S$304,MATCH(C563,$R$5:$R$304,0))&amp;"","?"))</f>
        <v/>
      </c>
      <c r="N563" s="2">
        <f>IF(E563="","",IF(ISNUMBER(SEARCH("SUBSOLO",E563)),IFERROR(-VALUE(LEFT(E563,FIND("º",SUBSTITUTE(E563,"°","º"))-1)),-1),IF(LEFT(E563,6)="TÉRREO",0,IFERROR(VALUE(LEFT(E563,FIND("º",SUBSTITUTE(E563,"°","º"))-1)),""))))</f>
        <v/>
      </c>
      <c r="O563" s="2">
        <f>IF(OR(F563="",G563=""),"",IF(G563&lt;='RETRATO 2027'!$K$5,"CONCLUÍDA",IF(F563&lt;='RETRATO 2027'!$K$5,"EM ANDAMENTO","A INICIAR")))</f>
        <v/>
      </c>
    </row>
    <row r="564">
      <c r="B564" s="4" t="n">
        <v>29981175</v>
      </c>
      <c r="C564" s="4" t="inlineStr">
        <is>
          <t>PRUMADA HIDROSSANITÁRIA</t>
        </is>
      </c>
      <c r="D564" s="4" t="inlineStr">
        <is>
          <t>-</t>
        </is>
      </c>
      <c r="E564" s="4" t="inlineStr">
        <is>
          <t>17º PAV.</t>
        </is>
      </c>
      <c r="F564" s="126" t="n">
        <v>46610</v>
      </c>
      <c r="G564" s="126" t="n">
        <v>46622</v>
      </c>
      <c r="H564" s="126" t="n">
        <v>46289</v>
      </c>
      <c r="I564" s="4" t="n">
        <v>0</v>
      </c>
      <c r="J564" s="4" t="n">
        <v>0</v>
      </c>
      <c r="K564" s="4" t="n">
        <v>0</v>
      </c>
      <c r="M564" s="2">
        <f>IF(C564="","",IFERROR(INDEX($S$5:$S$304,MATCH(C564,$R$5:$R$304,0))&amp;"","?"))</f>
        <v/>
      </c>
      <c r="N564" s="2">
        <f>IF(E564="","",IF(ISNUMBER(SEARCH("SUBSOLO",E564)),IFERROR(-VALUE(LEFT(E564,FIND("º",SUBSTITUTE(E564,"°","º"))-1)),-1),IF(LEFT(E564,6)="TÉRREO",0,IFERROR(VALUE(LEFT(E564,FIND("º",SUBSTITUTE(E564,"°","º"))-1)),""))))</f>
        <v/>
      </c>
      <c r="O564" s="2">
        <f>IF(OR(F564="",G564=""),"",IF(G564&lt;='RETRATO 2027'!$K$5,"CONCLUÍDA",IF(F564&lt;='RETRATO 2027'!$K$5,"EM ANDAMENTO","A INICIAR")))</f>
        <v/>
      </c>
    </row>
    <row r="565">
      <c r="B565" s="4" t="n">
        <v>30205696</v>
      </c>
      <c r="C565" s="4" t="inlineStr">
        <is>
          <t>REBOCO INTERNO</t>
        </is>
      </c>
      <c r="D565" s="4" t="inlineStr">
        <is>
          <t>-</t>
        </is>
      </c>
      <c r="E565" s="4" t="inlineStr">
        <is>
          <t>TÉRREO - LOJA 1</t>
        </is>
      </c>
      <c r="F565" s="126" t="n">
        <v>46611</v>
      </c>
      <c r="G565" s="126" t="n">
        <v>46624</v>
      </c>
      <c r="H565" s="126" t="n">
        <v>46289</v>
      </c>
      <c r="I565" s="4" t="n">
        <v>0</v>
      </c>
      <c r="J565" s="4" t="n">
        <v>0</v>
      </c>
      <c r="K565" s="4" t="n">
        <v>0</v>
      </c>
      <c r="M565" s="2">
        <f>IF(C565="","",IFERROR(INDEX($S$5:$S$304,MATCH(C565,$R$5:$R$304,0))&amp;"","?"))</f>
        <v/>
      </c>
      <c r="N565" s="2">
        <f>IF(E565="","",IF(ISNUMBER(SEARCH("SUBSOLO",E565)),IFERROR(-VALUE(LEFT(E565,FIND("º",SUBSTITUTE(E565,"°","º"))-1)),-1),IF(LEFT(E565,6)="TÉRREO",0,IFERROR(VALUE(LEFT(E565,FIND("º",SUBSTITUTE(E565,"°","º"))-1)),""))))</f>
        <v/>
      </c>
      <c r="O565" s="2">
        <f>IF(OR(F565="",G565=""),"",IF(G565&lt;='RETRATO 2027'!$K$5,"CONCLUÍDA",IF(F565&lt;='RETRATO 2027'!$K$5,"EM ANDAMENTO","A INICIAR")))</f>
        <v/>
      </c>
    </row>
    <row r="566">
      <c r="B566" s="4" t="n">
        <v>30205665</v>
      </c>
      <c r="C566" s="4" t="inlineStr">
        <is>
          <t>DISTRIBUIÇÃO ELÉTRICA / QUADRO</t>
        </is>
      </c>
      <c r="D566" s="4" t="inlineStr">
        <is>
          <t>-</t>
        </is>
      </c>
      <c r="E566" s="4" t="inlineStr">
        <is>
          <t>TÉRREO - LOJA 2</t>
        </is>
      </c>
      <c r="F566" s="126" t="n">
        <v>46611</v>
      </c>
      <c r="G566" s="126" t="n">
        <v>46619</v>
      </c>
      <c r="H566" s="126" t="n">
        <v>46289</v>
      </c>
      <c r="I566" s="4" t="n">
        <v>0</v>
      </c>
      <c r="J566" s="4" t="n">
        <v>0</v>
      </c>
      <c r="K566" s="4" t="n">
        <v>0</v>
      </c>
      <c r="M566" s="2">
        <f>IF(C566="","",IFERROR(INDEX($S$5:$S$304,MATCH(C566,$R$5:$R$304,0))&amp;"","?"))</f>
        <v/>
      </c>
      <c r="N566" s="2">
        <f>IF(E566="","",IF(ISNUMBER(SEARCH("SUBSOLO",E566)),IFERROR(-VALUE(LEFT(E566,FIND("º",SUBSTITUTE(E566,"°","º"))-1)),-1),IF(LEFT(E566,6)="TÉRREO",0,IFERROR(VALUE(LEFT(E566,FIND("º",SUBSTITUTE(E566,"°","º"))-1)),""))))</f>
        <v/>
      </c>
      <c r="O566" s="2">
        <f>IF(OR(F566="",G566=""),"",IF(G566&lt;='RETRATO 2027'!$K$5,"CONCLUÍDA",IF(F566&lt;='RETRATO 2027'!$K$5,"EM ANDAMENTO","A INICIAR")))</f>
        <v/>
      </c>
    </row>
    <row r="567">
      <c r="B567" s="4" t="n">
        <v>30205666</v>
      </c>
      <c r="C567" s="4" t="inlineStr">
        <is>
          <t>DISTRIBUIÇÃO HIDRÁULICA</t>
        </is>
      </c>
      <c r="D567" s="4" t="inlineStr">
        <is>
          <t>-</t>
        </is>
      </c>
      <c r="E567" s="4" t="inlineStr">
        <is>
          <t>TÉRREO - LOJA 2</t>
        </is>
      </c>
      <c r="F567" s="126" t="n">
        <v>46611</v>
      </c>
      <c r="G567" s="126" t="n">
        <v>46624</v>
      </c>
      <c r="H567" s="126" t="n">
        <v>46289</v>
      </c>
      <c r="I567" s="4" t="n">
        <v>0</v>
      </c>
      <c r="J567" s="4" t="n">
        <v>0</v>
      </c>
      <c r="K567" s="4" t="n">
        <v>0</v>
      </c>
      <c r="M567" s="2">
        <f>IF(C567="","",IFERROR(INDEX($S$5:$S$304,MATCH(C567,$R$5:$R$304,0))&amp;"","?"))</f>
        <v/>
      </c>
      <c r="N567" s="2">
        <f>IF(E567="","",IF(ISNUMBER(SEARCH("SUBSOLO",E567)),IFERROR(-VALUE(LEFT(E567,FIND("º",SUBSTITUTE(E567,"°","º"))-1)),-1),IF(LEFT(E567,6)="TÉRREO",0,IFERROR(VALUE(LEFT(E567,FIND("º",SUBSTITUTE(E567,"°","º"))-1)),""))))</f>
        <v/>
      </c>
      <c r="O567" s="2">
        <f>IF(OR(F567="",G567=""),"",IF(G567&lt;='RETRATO 2027'!$K$5,"CONCLUÍDA",IF(F567&lt;='RETRATO 2027'!$K$5,"EM ANDAMENTO","A INICIAR")))</f>
        <v/>
      </c>
    </row>
    <row r="568">
      <c r="B568" s="4" t="n">
        <v>30205637</v>
      </c>
      <c r="C568" s="4" t="inlineStr">
        <is>
          <t>TALISCAMENTO</t>
        </is>
      </c>
      <c r="D568" s="4" t="inlineStr">
        <is>
          <t>-</t>
        </is>
      </c>
      <c r="E568" s="4" t="inlineStr">
        <is>
          <t>TÉRREO - LOJA 3</t>
        </is>
      </c>
      <c r="F568" s="126" t="n">
        <v>46611</v>
      </c>
      <c r="G568" s="126" t="n">
        <v>46624</v>
      </c>
      <c r="H568" s="126" t="n">
        <v>46289</v>
      </c>
      <c r="I568" s="4" t="n">
        <v>0</v>
      </c>
      <c r="J568" s="4" t="n">
        <v>0</v>
      </c>
      <c r="K568" s="4" t="n">
        <v>0</v>
      </c>
      <c r="M568" s="2">
        <f>IF(C568="","",IFERROR(INDEX($S$5:$S$304,MATCH(C568,$R$5:$R$304,0))&amp;"","?"))</f>
        <v/>
      </c>
      <c r="N568" s="2">
        <f>IF(E568="","",IF(ISNUMBER(SEARCH("SUBSOLO",E568)),IFERROR(-VALUE(LEFT(E568,FIND("º",SUBSTITUTE(E568,"°","º"))-1)),-1),IF(LEFT(E568,6)="TÉRREO",0,IFERROR(VALUE(LEFT(E568,FIND("º",SUBSTITUTE(E568,"°","º"))-1)),""))))</f>
        <v/>
      </c>
      <c r="O568" s="2">
        <f>IF(OR(F568="",G568=""),"",IF(G568&lt;='RETRATO 2027'!$K$5,"CONCLUÍDA",IF(F568&lt;='RETRATO 2027'!$K$5,"EM ANDAMENTO","A INICIAR")))</f>
        <v/>
      </c>
    </row>
    <row r="569">
      <c r="B569" s="4" t="n">
        <v>30205604</v>
      </c>
      <c r="C569" s="4" t="inlineStr">
        <is>
          <t>PRUMADA HIDROSSANITÁRIA</t>
        </is>
      </c>
      <c r="D569" s="4" t="inlineStr">
        <is>
          <t>-</t>
        </is>
      </c>
      <c r="E569" s="4" t="inlineStr">
        <is>
          <t>TÉRREO - LOJA 4</t>
        </is>
      </c>
      <c r="F569" s="126" t="n">
        <v>46611</v>
      </c>
      <c r="G569" s="126" t="n">
        <v>46624</v>
      </c>
      <c r="H569" s="126" t="n">
        <v>46289</v>
      </c>
      <c r="I569" s="4" t="n">
        <v>0</v>
      </c>
      <c r="J569" s="4" t="n">
        <v>0</v>
      </c>
      <c r="K569" s="4" t="n">
        <v>0</v>
      </c>
      <c r="M569" s="2">
        <f>IF(C569="","",IFERROR(INDEX($S$5:$S$304,MATCH(C569,$R$5:$R$304,0))&amp;"","?"))</f>
        <v/>
      </c>
      <c r="N569" s="2">
        <f>IF(E569="","",IF(ISNUMBER(SEARCH("SUBSOLO",E569)),IFERROR(-VALUE(LEFT(E569,FIND("º",SUBSTITUTE(E569,"°","º"))-1)),-1),IF(LEFT(E569,6)="TÉRREO",0,IFERROR(VALUE(LEFT(E569,FIND("º",SUBSTITUTE(E569,"°","º"))-1)),""))))</f>
        <v/>
      </c>
      <c r="O569" s="2">
        <f>IF(OR(F569="",G569=""),"",IF(G569&lt;='RETRATO 2027'!$K$5,"CONCLUÍDA",IF(F569&lt;='RETRATO 2027'!$K$5,"EM ANDAMENTO","A INICIAR")))</f>
        <v/>
      </c>
    </row>
    <row r="570">
      <c r="B570" s="4" t="n">
        <v>30205603</v>
      </c>
      <c r="C570" s="4" t="inlineStr">
        <is>
          <t>PRUMADA DE INCÊNDIO</t>
        </is>
      </c>
      <c r="D570" s="4" t="inlineStr">
        <is>
          <t>-</t>
        </is>
      </c>
      <c r="E570" s="4" t="inlineStr">
        <is>
          <t>TÉRREO - LOJA 4</t>
        </is>
      </c>
      <c r="F570" s="126" t="n">
        <v>46611</v>
      </c>
      <c r="G570" s="126" t="n">
        <v>46624</v>
      </c>
      <c r="H570" s="126" t="n">
        <v>46289</v>
      </c>
      <c r="I570" s="4" t="n">
        <v>0</v>
      </c>
      <c r="J570" s="4" t="n">
        <v>0</v>
      </c>
      <c r="K570" s="4" t="n">
        <v>0</v>
      </c>
      <c r="M570" s="2">
        <f>IF(C570="","",IFERROR(INDEX($S$5:$S$304,MATCH(C570,$R$5:$R$304,0))&amp;"","?"))</f>
        <v/>
      </c>
      <c r="N570" s="2">
        <f>IF(E570="","",IF(ISNUMBER(SEARCH("SUBSOLO",E570)),IFERROR(-VALUE(LEFT(E570,FIND("º",SUBSTITUTE(E570,"°","º"))-1)),-1),IF(LEFT(E570,6)="TÉRREO",0,IFERROR(VALUE(LEFT(E570,FIND("º",SUBSTITUTE(E570,"°","º"))-1)),""))))</f>
        <v/>
      </c>
      <c r="O570" s="2">
        <f>IF(OR(F570="",G570=""),"",IF(G570&lt;='RETRATO 2027'!$K$5,"CONCLUÍDA",IF(F570&lt;='RETRATO 2027'!$K$5,"EM ANDAMENTO","A INICIAR")))</f>
        <v/>
      </c>
    </row>
    <row r="571">
      <c r="B571" s="4" t="n">
        <v>30205605</v>
      </c>
      <c r="C571" s="4" t="inlineStr">
        <is>
          <t>ENCUNHAMENTO</t>
        </is>
      </c>
      <c r="D571" s="4" t="inlineStr">
        <is>
          <t>-</t>
        </is>
      </c>
      <c r="E571" s="4" t="inlineStr">
        <is>
          <t>TÉRREO - LOJA 4</t>
        </is>
      </c>
      <c r="F571" s="126" t="n">
        <v>46611</v>
      </c>
      <c r="G571" s="126" t="n">
        <v>46624</v>
      </c>
      <c r="H571" s="126" t="n">
        <v>46289</v>
      </c>
      <c r="I571" s="4" t="n">
        <v>0</v>
      </c>
      <c r="J571" s="4" t="n">
        <v>0</v>
      </c>
      <c r="K571" s="4" t="n">
        <v>0</v>
      </c>
      <c r="M571" s="2">
        <f>IF(C571="","",IFERROR(INDEX($S$5:$S$304,MATCH(C571,$R$5:$R$304,0))&amp;"","?"))</f>
        <v/>
      </c>
      <c r="N571" s="2">
        <f>IF(E571="","",IF(ISNUMBER(SEARCH("SUBSOLO",E571)),IFERROR(-VALUE(LEFT(E571,FIND("º",SUBSTITUTE(E571,"°","º"))-1)),-1),IF(LEFT(E571,6)="TÉRREO",0,IFERROR(VALUE(LEFT(E571,FIND("º",SUBSTITUTE(E571,"°","º"))-1)),""))))</f>
        <v/>
      </c>
      <c r="O571" s="2">
        <f>IF(OR(F571="",G571=""),"",IF(G571&lt;='RETRATO 2027'!$K$5,"CONCLUÍDA",IF(F571&lt;='RETRATO 2027'!$K$5,"EM ANDAMENTO","A INICIAR")))</f>
        <v/>
      </c>
    </row>
    <row r="572">
      <c r="B572" s="4" t="n">
        <v>30205575</v>
      </c>
      <c r="C572" s="4" t="inlineStr">
        <is>
          <t>ALVENARIA</t>
        </is>
      </c>
      <c r="D572" s="4" t="inlineStr">
        <is>
          <t>-</t>
        </is>
      </c>
      <c r="E572" s="4" t="inlineStr">
        <is>
          <t>TÉRREO - LOJA 5</t>
        </is>
      </c>
      <c r="F572" s="126" t="n">
        <v>46611</v>
      </c>
      <c r="G572" s="126" t="n">
        <v>46624</v>
      </c>
      <c r="H572" s="126" t="n">
        <v>46289</v>
      </c>
      <c r="I572" s="4" t="n">
        <v>0</v>
      </c>
      <c r="J572" s="4" t="n">
        <v>0</v>
      </c>
      <c r="K572" s="4" t="n">
        <v>0</v>
      </c>
      <c r="M572" s="2">
        <f>IF(C572="","",IFERROR(INDEX($S$5:$S$304,MATCH(C572,$R$5:$R$304,0))&amp;"","?"))</f>
        <v/>
      </c>
      <c r="N572" s="2">
        <f>IF(E572="","",IF(ISNUMBER(SEARCH("SUBSOLO",E572)),IFERROR(-VALUE(LEFT(E572,FIND("º",SUBSTITUTE(E572,"°","º"))-1)),-1),IF(LEFT(E572,6)="TÉRREO",0,IFERROR(VALUE(LEFT(E572,FIND("º",SUBSTITUTE(E572,"°","º"))-1)),""))))</f>
        <v/>
      </c>
      <c r="O572" s="2">
        <f>IF(OR(F572="",G572=""),"",IF(G572&lt;='RETRATO 2027'!$K$5,"CONCLUÍDA",IF(F572&lt;='RETRATO 2027'!$K$5,"EM ANDAMENTO","A INICIAR")))</f>
        <v/>
      </c>
    </row>
    <row r="573">
      <c r="B573" s="4" t="n">
        <v>30171454</v>
      </c>
      <c r="C573" s="4" t="inlineStr">
        <is>
          <t>TALISCAMENTO</t>
        </is>
      </c>
      <c r="D573" s="4" t="inlineStr">
        <is>
          <t>-</t>
        </is>
      </c>
      <c r="E573" s="4" t="inlineStr">
        <is>
          <t>3º PAV - GARAGEM</t>
        </is>
      </c>
      <c r="F573" s="126" t="n">
        <v>46612</v>
      </c>
      <c r="G573" s="126" t="n">
        <v>46625</v>
      </c>
      <c r="H573" s="126" t="n">
        <v>46289</v>
      </c>
      <c r="I573" s="4" t="n">
        <v>0</v>
      </c>
      <c r="J573" s="4" t="n">
        <v>0</v>
      </c>
      <c r="K573" s="4" t="n">
        <v>0</v>
      </c>
      <c r="M573" s="2">
        <f>IF(C573="","",IFERROR(INDEX($S$5:$S$304,MATCH(C573,$R$5:$R$304,0))&amp;"","?"))</f>
        <v/>
      </c>
      <c r="N573" s="2">
        <f>IF(E573="","",IF(ISNUMBER(SEARCH("SUBSOLO",E573)),IFERROR(-VALUE(LEFT(E573,FIND("º",SUBSTITUTE(E573,"°","º"))-1)),-1),IF(LEFT(E573,6)="TÉRREO",0,IFERROR(VALUE(LEFT(E573,FIND("º",SUBSTITUTE(E573,"°","º"))-1)),""))))</f>
        <v/>
      </c>
      <c r="O573" s="2">
        <f>IF(OR(F573="",G573=""),"",IF(G573&lt;='RETRATO 2027'!$K$5,"CONCLUÍDA",IF(F573&lt;='RETRATO 2027'!$K$5,"EM ANDAMENTO","A INICIAR")))</f>
        <v/>
      </c>
    </row>
    <row r="574">
      <c r="B574" s="4" t="n">
        <v>30171460</v>
      </c>
      <c r="C574" s="4" t="inlineStr">
        <is>
          <t>CHUMBAMENTO DE PCF</t>
        </is>
      </c>
      <c r="D574" s="4" t="inlineStr">
        <is>
          <t>-</t>
        </is>
      </c>
      <c r="E574" s="4" t="inlineStr">
        <is>
          <t>3º PAV - GARAGEM</t>
        </is>
      </c>
      <c r="F574" s="126" t="n">
        <v>46612</v>
      </c>
      <c r="G574" s="126" t="n">
        <v>46625</v>
      </c>
      <c r="H574" s="126" t="n">
        <v>46289</v>
      </c>
      <c r="I574" s="4" t="n">
        <v>0</v>
      </c>
      <c r="J574" s="4" t="n">
        <v>0</v>
      </c>
      <c r="K574" s="4" t="n">
        <v>0</v>
      </c>
      <c r="M574" s="2">
        <f>IF(C574="","",IFERROR(INDEX($S$5:$S$304,MATCH(C574,$R$5:$R$304,0))&amp;"","?"))</f>
        <v/>
      </c>
      <c r="N574" s="2">
        <f>IF(E574="","",IF(ISNUMBER(SEARCH("SUBSOLO",E574)),IFERROR(-VALUE(LEFT(E574,FIND("º",SUBSTITUTE(E574,"°","º"))-1)),-1),IF(LEFT(E574,6)="TÉRREO",0,IFERROR(VALUE(LEFT(E574,FIND("º",SUBSTITUTE(E574,"°","º"))-1)),""))))</f>
        <v/>
      </c>
      <c r="O574" s="2">
        <f>IF(OR(F574="",G574=""),"",IF(G574&lt;='RETRATO 2027'!$K$5,"CONCLUÍDA",IF(F574&lt;='RETRATO 2027'!$K$5,"EM ANDAMENTO","A INICIAR")))</f>
        <v/>
      </c>
    </row>
    <row r="575">
      <c r="B575" s="4" t="n">
        <v>30171425</v>
      </c>
      <c r="C575" s="4" t="inlineStr">
        <is>
          <t>ALVENARIA</t>
        </is>
      </c>
      <c r="D575" s="4" t="inlineStr">
        <is>
          <t>-</t>
        </is>
      </c>
      <c r="E575" s="4" t="inlineStr">
        <is>
          <t>4º PAV - GARAGEM</t>
        </is>
      </c>
      <c r="F575" s="126" t="n">
        <v>46612</v>
      </c>
      <c r="G575" s="126" t="n">
        <v>46675</v>
      </c>
      <c r="H575" s="126" t="n">
        <v>46289</v>
      </c>
      <c r="I575" s="4" t="n">
        <v>0</v>
      </c>
      <c r="J575" s="4" t="n">
        <v>0</v>
      </c>
      <c r="K575" s="4" t="n">
        <v>0</v>
      </c>
      <c r="M575" s="2">
        <f>IF(C575="","",IFERROR(INDEX($S$5:$S$304,MATCH(C575,$R$5:$R$304,0))&amp;"","?"))</f>
        <v/>
      </c>
      <c r="N575" s="2">
        <f>IF(E575="","",IF(ISNUMBER(SEARCH("SUBSOLO",E575)),IFERROR(-VALUE(LEFT(E575,FIND("º",SUBSTITUTE(E575,"°","º"))-1)),-1),IF(LEFT(E575,6)="TÉRREO",0,IFERROR(VALUE(LEFT(E575,FIND("º",SUBSTITUTE(E575,"°","º"))-1)),""))))</f>
        <v/>
      </c>
      <c r="O575" s="2">
        <f>IF(OR(F575="",G575=""),"",IF(G575&lt;='RETRATO 2027'!$K$5,"CONCLUÍDA",IF(F575&lt;='RETRATO 2027'!$K$5,"EM ANDAMENTO","A INICIAR")))</f>
        <v/>
      </c>
    </row>
    <row r="576">
      <c r="B576" s="4" t="n">
        <v>30171409</v>
      </c>
      <c r="C576" s="4" t="inlineStr">
        <is>
          <t>INFRA ELÉTRICA - TETO</t>
        </is>
      </c>
      <c r="D576" s="4" t="inlineStr">
        <is>
          <t>-</t>
        </is>
      </c>
      <c r="E576" s="4" t="inlineStr">
        <is>
          <t>5º PAV - GARAGEM</t>
        </is>
      </c>
      <c r="F576" s="126" t="n">
        <v>46612</v>
      </c>
      <c r="G576" s="126" t="n">
        <v>46675</v>
      </c>
      <c r="H576" s="126" t="n">
        <v>46289</v>
      </c>
      <c r="I576" s="4" t="n">
        <v>0</v>
      </c>
      <c r="J576" s="4" t="n">
        <v>0</v>
      </c>
      <c r="K576" s="4" t="n">
        <v>0</v>
      </c>
      <c r="M576" s="2">
        <f>IF(C576="","",IFERROR(INDEX($S$5:$S$304,MATCH(C576,$R$5:$R$304,0))&amp;"","?"))</f>
        <v/>
      </c>
      <c r="N576" s="2">
        <f>IF(E576="","",IF(ISNUMBER(SEARCH("SUBSOLO",E576)),IFERROR(-VALUE(LEFT(E576,FIND("º",SUBSTITUTE(E576,"°","º"))-1)),-1),IF(LEFT(E576,6)="TÉRREO",0,IFERROR(VALUE(LEFT(E576,FIND("º",SUBSTITUTE(E576,"°","º"))-1)),""))))</f>
        <v/>
      </c>
      <c r="O576" s="2">
        <f>IF(OR(F576="",G576=""),"",IF(G576&lt;='RETRATO 2027'!$K$5,"CONCLUÍDA",IF(F576&lt;='RETRATO 2027'!$K$5,"EM ANDAMENTO","A INICIAR")))</f>
        <v/>
      </c>
    </row>
    <row r="577">
      <c r="B577" s="4" t="n">
        <v>29981174</v>
      </c>
      <c r="C577" s="4" t="inlineStr">
        <is>
          <t>ENCUNHAMENTO</t>
        </is>
      </c>
      <c r="D577" s="4" t="inlineStr">
        <is>
          <t>-</t>
        </is>
      </c>
      <c r="E577" s="4" t="inlineStr">
        <is>
          <t>17º PAV.</t>
        </is>
      </c>
      <c r="F577" s="126" t="n">
        <v>46612</v>
      </c>
      <c r="G577" s="126" t="n">
        <v>46624</v>
      </c>
      <c r="H577" s="126" t="n">
        <v>46289</v>
      </c>
      <c r="I577" s="4" t="n">
        <v>0</v>
      </c>
      <c r="J577" s="4" t="n">
        <v>0</v>
      </c>
      <c r="K577" s="4" t="n">
        <v>0</v>
      </c>
      <c r="M577" s="2">
        <f>IF(C577="","",IFERROR(INDEX($S$5:$S$304,MATCH(C577,$R$5:$R$304,0))&amp;"","?"))</f>
        <v/>
      </c>
      <c r="N577" s="2">
        <f>IF(E577="","",IF(ISNUMBER(SEARCH("SUBSOLO",E577)),IFERROR(-VALUE(LEFT(E577,FIND("º",SUBSTITUTE(E577,"°","º"))-1)),-1),IF(LEFT(E577,6)="TÉRREO",0,IFERROR(VALUE(LEFT(E577,FIND("º",SUBSTITUTE(E577,"°","º"))-1)),""))))</f>
        <v/>
      </c>
      <c r="O577" s="2">
        <f>IF(OR(F577="",G577=""),"",IF(G577&lt;='RETRATO 2027'!$K$5,"CONCLUÍDA",IF(F577&lt;='RETRATO 2027'!$K$5,"EM ANDAMENTO","A INICIAR")))</f>
        <v/>
      </c>
    </row>
    <row r="578">
      <c r="B578" s="4" t="n">
        <v>29940963</v>
      </c>
      <c r="C578" s="4" t="inlineStr">
        <is>
          <t>ESTRUTURA</t>
        </is>
      </c>
      <c r="D578" s="4" t="inlineStr">
        <is>
          <t>-</t>
        </is>
      </c>
      <c r="E578" s="4" t="inlineStr">
        <is>
          <t>23º PAV.</t>
        </is>
      </c>
      <c r="F578" s="126" t="n">
        <v>46616</v>
      </c>
      <c r="G578" s="126" t="n">
        <v>46625</v>
      </c>
      <c r="H578" s="126" t="n">
        <v>46289</v>
      </c>
      <c r="I578" s="4" t="n">
        <v>0</v>
      </c>
      <c r="J578" s="4" t="n">
        <v>0</v>
      </c>
      <c r="K578" s="4" t="n">
        <v>0</v>
      </c>
      <c r="M578" s="2">
        <f>IF(C578="","",IFERROR(INDEX($S$5:$S$304,MATCH(C578,$R$5:$R$304,0))&amp;"","?"))</f>
        <v/>
      </c>
      <c r="N578" s="2">
        <f>IF(E578="","",IF(ISNUMBER(SEARCH("SUBSOLO",E578)),IFERROR(-VALUE(LEFT(E578,FIND("º",SUBSTITUTE(E578,"°","º"))-1)),-1),IF(LEFT(E578,6)="TÉRREO",0,IFERROR(VALUE(LEFT(E578,FIND("º",SUBSTITUTE(E578,"°","º"))-1)),""))))</f>
        <v/>
      </c>
      <c r="O578" s="2">
        <f>IF(OR(F578="",G578=""),"",IF(G578&lt;='RETRATO 2027'!$K$5,"CONCLUÍDA",IF(F578&lt;='RETRATO 2027'!$K$5,"EM ANDAMENTO","A INICIAR")))</f>
        <v/>
      </c>
    </row>
    <row r="579">
      <c r="B579" s="4" t="n">
        <v>31529040</v>
      </c>
      <c r="C579" s="4" t="inlineStr">
        <is>
          <t>ESTRUTURA</t>
        </is>
      </c>
      <c r="D579" s="4" t="inlineStr">
        <is>
          <t>Forma</t>
        </is>
      </c>
      <c r="E579" s="4" t="inlineStr">
        <is>
          <t>23º PAV.</t>
        </is>
      </c>
      <c r="F579" s="126" t="n">
        <v>46616</v>
      </c>
      <c r="G579" s="126" t="n">
        <v>46619</v>
      </c>
      <c r="H579" s="126" t="n">
        <v>46289</v>
      </c>
      <c r="I579" s="4" t="n">
        <v>0</v>
      </c>
      <c r="J579" s="4" t="n">
        <v>0</v>
      </c>
      <c r="K579" s="4" t="n">
        <v>0</v>
      </c>
      <c r="M579" s="2">
        <f>IF(C579="","",IFERROR(INDEX($S$5:$S$304,MATCH(C579,$R$5:$R$304,0))&amp;"","?"))</f>
        <v/>
      </c>
      <c r="N579" s="2">
        <f>IF(E579="","",IF(ISNUMBER(SEARCH("SUBSOLO",E579)),IFERROR(-VALUE(LEFT(E579,FIND("º",SUBSTITUTE(E579,"°","º"))-1)),-1),IF(LEFT(E579,6)="TÉRREO",0,IFERROR(VALUE(LEFT(E579,FIND("º",SUBSTITUTE(E579,"°","º"))-1)),""))))</f>
        <v/>
      </c>
      <c r="O579" s="2">
        <f>IF(OR(F579="",G579=""),"",IF(G579&lt;='RETRATO 2027'!$K$5,"CONCLUÍDA",IF(F579&lt;='RETRATO 2027'!$K$5,"EM ANDAMENTO","A INICIAR")))</f>
        <v/>
      </c>
    </row>
    <row r="580">
      <c r="B580" s="4" t="n">
        <v>31529041</v>
      </c>
      <c r="C580" s="4" t="inlineStr">
        <is>
          <t>ESTRUTURA</t>
        </is>
      </c>
      <c r="D580" s="4" t="inlineStr">
        <is>
          <t>Armação</t>
        </is>
      </c>
      <c r="E580" s="4" t="inlineStr">
        <is>
          <t>23º PAV.</t>
        </is>
      </c>
      <c r="F580" s="126" t="n">
        <v>46622</v>
      </c>
      <c r="G580" s="126" t="n">
        <v>46624</v>
      </c>
      <c r="H580" s="126" t="n">
        <v>46289</v>
      </c>
      <c r="I580" s="4" t="n">
        <v>0</v>
      </c>
      <c r="J580" s="4" t="n">
        <v>0</v>
      </c>
      <c r="K580" s="4" t="n">
        <v>0</v>
      </c>
      <c r="M580" s="2">
        <f>IF(C580="","",IFERROR(INDEX($S$5:$S$304,MATCH(C580,$R$5:$R$304,0))&amp;"","?"))</f>
        <v/>
      </c>
      <c r="N580" s="2">
        <f>IF(E580="","",IF(ISNUMBER(SEARCH("SUBSOLO",E580)),IFERROR(-VALUE(LEFT(E580,FIND("º",SUBSTITUTE(E580,"°","º"))-1)),-1),IF(LEFT(E580,6)="TÉRREO",0,IFERROR(VALUE(LEFT(E580,FIND("º",SUBSTITUTE(E580,"°","º"))-1)),""))))</f>
        <v/>
      </c>
      <c r="O580" s="2">
        <f>IF(OR(F580="",G580=""),"",IF(G580&lt;='RETRATO 2027'!$K$5,"CONCLUÍDA",IF(F580&lt;='RETRATO 2027'!$K$5,"EM ANDAMENTO","A INICIAR")))</f>
        <v/>
      </c>
    </row>
    <row r="581">
      <c r="B581" s="4" t="n">
        <v>31529042</v>
      </c>
      <c r="C581" s="4" t="inlineStr">
        <is>
          <t>ESTRUTURA</t>
        </is>
      </c>
      <c r="D581" s="4" t="inlineStr">
        <is>
          <t>Concretagem</t>
        </is>
      </c>
      <c r="E581" s="4" t="inlineStr">
        <is>
          <t>23º PAV.</t>
        </is>
      </c>
      <c r="F581" s="126" t="n">
        <v>46625</v>
      </c>
      <c r="G581" s="126" t="n">
        <v>46625</v>
      </c>
      <c r="H581" s="126" t="n">
        <v>46289</v>
      </c>
      <c r="I581" s="4" t="n">
        <v>0</v>
      </c>
      <c r="J581" s="4" t="n">
        <v>0</v>
      </c>
      <c r="K581" s="4" t="n">
        <v>0</v>
      </c>
      <c r="M581" s="2">
        <f>IF(C581="","",IFERROR(INDEX($S$5:$S$304,MATCH(C581,$R$5:$R$304,0))&amp;"","?"))</f>
        <v/>
      </c>
      <c r="N581" s="2">
        <f>IF(E581="","",IF(ISNUMBER(SEARCH("SUBSOLO",E581)),IFERROR(-VALUE(LEFT(E581,FIND("º",SUBSTITUTE(E581,"°","º"))-1)),-1),IF(LEFT(E581,6)="TÉRREO",0,IFERROR(VALUE(LEFT(E581,FIND("º",SUBSTITUTE(E581,"°","º"))-1)),""))))</f>
        <v/>
      </c>
      <c r="O581" s="2">
        <f>IF(OR(F581="",G581=""),"",IF(G581&lt;='RETRATO 2027'!$K$5,"CONCLUÍDA",IF(F581&lt;='RETRATO 2027'!$K$5,"EM ANDAMENTO","A INICIAR")))</f>
        <v/>
      </c>
    </row>
    <row r="582">
      <c r="B582" s="4" t="n">
        <v>31529043</v>
      </c>
      <c r="C582" s="4" t="inlineStr">
        <is>
          <t>ESTRUTURA</t>
        </is>
      </c>
      <c r="D582" s="4" t="inlineStr">
        <is>
          <t>Polimento</t>
        </is>
      </c>
      <c r="E582" s="4" t="inlineStr">
        <is>
          <t>23º PAV.</t>
        </is>
      </c>
      <c r="F582" s="126" t="n">
        <v>46625</v>
      </c>
      <c r="G582" s="126" t="n">
        <v>46625</v>
      </c>
      <c r="H582" s="126" t="n">
        <v>46289</v>
      </c>
      <c r="I582" s="4" t="n">
        <v>0</v>
      </c>
      <c r="J582" s="4" t="n">
        <v>0</v>
      </c>
      <c r="K582" s="4" t="n">
        <v>0</v>
      </c>
      <c r="M582" s="2">
        <f>IF(C582="","",IFERROR(INDEX($S$5:$S$304,MATCH(C582,$R$5:$R$304,0))&amp;"","?"))</f>
        <v/>
      </c>
      <c r="N582" s="2">
        <f>IF(E582="","",IF(ISNUMBER(SEARCH("SUBSOLO",E582)),IFERROR(-VALUE(LEFT(E582,FIND("º",SUBSTITUTE(E582,"°","º"))-1)),-1),IF(LEFT(E582,6)="TÉRREO",0,IFERROR(VALUE(LEFT(E582,FIND("º",SUBSTITUTE(E582,"°","º"))-1)),""))))</f>
        <v/>
      </c>
      <c r="O582" s="2">
        <f>IF(OR(F582="",G582=""),"",IF(G582&lt;='RETRATO 2027'!$K$5,"CONCLUÍDA",IF(F582&lt;='RETRATO 2027'!$K$5,"EM ANDAMENTO","A INICIAR")))</f>
        <v/>
      </c>
    </row>
    <row r="583">
      <c r="B583" s="4" t="n">
        <v>29981148</v>
      </c>
      <c r="C583" s="4" t="inlineStr">
        <is>
          <t>PRUMADA DE INCÊNDIO</t>
        </is>
      </c>
      <c r="D583" s="4" t="inlineStr">
        <is>
          <t>-</t>
        </is>
      </c>
      <c r="E583" s="4" t="inlineStr">
        <is>
          <t>18º PAV.</t>
        </is>
      </c>
      <c r="F583" s="126" t="n">
        <v>46617</v>
      </c>
      <c r="G583" s="126" t="n">
        <v>46629</v>
      </c>
      <c r="H583" s="126" t="n">
        <v>46289</v>
      </c>
      <c r="I583" s="4" t="n">
        <v>0</v>
      </c>
      <c r="J583" s="4" t="n">
        <v>0</v>
      </c>
      <c r="K583" s="4" t="n">
        <v>0</v>
      </c>
      <c r="M583" s="2">
        <f>IF(C583="","",IFERROR(INDEX($S$5:$S$304,MATCH(C583,$R$5:$R$304,0))&amp;"","?"))</f>
        <v/>
      </c>
      <c r="N583" s="2">
        <f>IF(E583="","",IF(ISNUMBER(SEARCH("SUBSOLO",E583)),IFERROR(-VALUE(LEFT(E583,FIND("º",SUBSTITUTE(E583,"°","º"))-1)),-1),IF(LEFT(E583,6)="TÉRREO",0,IFERROR(VALUE(LEFT(E583,FIND("º",SUBSTITUTE(E583,"°","º"))-1)),""))))</f>
        <v/>
      </c>
      <c r="O583" s="2">
        <f>IF(OR(F583="",G583=""),"",IF(G583&lt;='RETRATO 2027'!$K$5,"CONCLUÍDA",IF(F583&lt;='RETRATO 2027'!$K$5,"EM ANDAMENTO","A INICIAR")))</f>
        <v/>
      </c>
    </row>
    <row r="584">
      <c r="B584" s="4" t="n">
        <v>29981062</v>
      </c>
      <c r="C584" s="4" t="inlineStr">
        <is>
          <t>ALVENARIA</t>
        </is>
      </c>
      <c r="D584" s="4" t="inlineStr">
        <is>
          <t>-</t>
        </is>
      </c>
      <c r="E584" s="4" t="inlineStr">
        <is>
          <t>20º PAV.</t>
        </is>
      </c>
      <c r="F584" s="126" t="n">
        <v>46617</v>
      </c>
      <c r="G584" s="126" t="n">
        <v>46629</v>
      </c>
      <c r="H584" s="126" t="n">
        <v>46289</v>
      </c>
      <c r="I584" s="4" t="n">
        <v>0</v>
      </c>
      <c r="J584" s="4" t="n">
        <v>0</v>
      </c>
      <c r="K584" s="4" t="n">
        <v>0</v>
      </c>
      <c r="M584" s="2">
        <f>IF(C584="","",IFERROR(INDEX($S$5:$S$304,MATCH(C584,$R$5:$R$304,0))&amp;"","?"))</f>
        <v/>
      </c>
      <c r="N584" s="2">
        <f>IF(E584="","",IF(ISNUMBER(SEARCH("SUBSOLO",E584)),IFERROR(-VALUE(LEFT(E584,FIND("º",SUBSTITUTE(E584,"°","º"))-1)),-1),IF(LEFT(E584,6)="TÉRREO",0,IFERROR(VALUE(LEFT(E584,FIND("º",SUBSTITUTE(E584,"°","º"))-1)),""))))</f>
        <v/>
      </c>
      <c r="O584" s="2">
        <f>IF(OR(F584="",G584=""),"",IF(G584&lt;='RETRATO 2027'!$K$5,"CONCLUÍDA",IF(F584&lt;='RETRATO 2027'!$K$5,"EM ANDAMENTO","A INICIAR")))</f>
        <v/>
      </c>
    </row>
    <row r="585">
      <c r="B585" s="4" t="n">
        <v>31789419</v>
      </c>
      <c r="C585" s="4" t="inlineStr">
        <is>
          <t>PREPARAÇÃO PARA FACHADA AERADA - F1 + F2 (1º ETAPA)</t>
        </is>
      </c>
      <c r="D585" s="4" t="inlineStr">
        <is>
          <t>-</t>
        </is>
      </c>
      <c r="E585" s="4" t="inlineStr">
        <is>
          <t>FACHADA</t>
        </is>
      </c>
      <c r="F585" s="126" t="n">
        <v>46617</v>
      </c>
      <c r="G585" s="126" t="n">
        <v>46638</v>
      </c>
      <c r="H585" s="126" t="n">
        <v>46289</v>
      </c>
      <c r="I585" s="4" t="n">
        <v>0</v>
      </c>
      <c r="J585" s="4" t="n">
        <v>0</v>
      </c>
      <c r="K585" s="4" t="n">
        <v>0</v>
      </c>
      <c r="M585" s="2">
        <f>IF(C585="","",IFERROR(INDEX($S$5:$S$304,MATCH(C585,$R$5:$R$304,0))&amp;"","?"))</f>
        <v/>
      </c>
      <c r="N585" s="2">
        <f>IF(E585="","",IF(ISNUMBER(SEARCH("SUBSOLO",E585)),IFERROR(-VALUE(LEFT(E585,FIND("º",SUBSTITUTE(E585,"°","º"))-1)),-1),IF(LEFT(E585,6)="TÉRREO",0,IFERROR(VALUE(LEFT(E585,FIND("º",SUBSTITUTE(E585,"°","º"))-1)),""))))</f>
        <v/>
      </c>
      <c r="O585" s="2">
        <f>IF(OR(F585="",G585=""),"",IF(G585&lt;='RETRATO 2027'!$K$5,"CONCLUÍDA",IF(F585&lt;='RETRATO 2027'!$K$5,"EM ANDAMENTO","A INICIAR")))</f>
        <v/>
      </c>
    </row>
    <row r="586">
      <c r="B586" s="4" t="n">
        <v>30171455</v>
      </c>
      <c r="C586" s="4" t="inlineStr">
        <is>
          <t>ENCUNHAMENTO</t>
        </is>
      </c>
      <c r="D586" s="4" t="inlineStr">
        <is>
          <t>-</t>
        </is>
      </c>
      <c r="E586" s="4" t="inlineStr">
        <is>
          <t>3º PAV - GARAGEM</t>
        </is>
      </c>
      <c r="F586" s="126" t="n">
        <v>46622</v>
      </c>
      <c r="G586" s="126" t="n">
        <v>46633</v>
      </c>
      <c r="H586" s="126" t="n">
        <v>46289</v>
      </c>
      <c r="I586" s="4" t="n">
        <v>0</v>
      </c>
      <c r="J586" s="4" t="n">
        <v>0</v>
      </c>
      <c r="K586" s="4" t="n">
        <v>0</v>
      </c>
      <c r="M586" s="2">
        <f>IF(C586="","",IFERROR(INDEX($S$5:$S$304,MATCH(C586,$R$5:$R$304,0))&amp;"","?"))</f>
        <v/>
      </c>
      <c r="N586" s="2">
        <f>IF(E586="","",IF(ISNUMBER(SEARCH("SUBSOLO",E586)),IFERROR(-VALUE(LEFT(E586,FIND("º",SUBSTITUTE(E586,"°","º"))-1)),-1),IF(LEFT(E586,6)="TÉRREO",0,IFERROR(VALUE(LEFT(E586,FIND("º",SUBSTITUTE(E586,"°","º"))-1)),""))))</f>
        <v/>
      </c>
      <c r="O586" s="2">
        <f>IF(OR(F586="",G586=""),"",IF(G586&lt;='RETRATO 2027'!$K$5,"CONCLUÍDA",IF(F586&lt;='RETRATO 2027'!$K$5,"EM ANDAMENTO","A INICIAR")))</f>
        <v/>
      </c>
    </row>
    <row r="587">
      <c r="B587" s="4" t="n">
        <v>29981548</v>
      </c>
      <c r="C587" s="4" t="inlineStr">
        <is>
          <t>REVESTIMENTO PORCELANATO PAREDE</t>
        </is>
      </c>
      <c r="D587" s="4" t="inlineStr">
        <is>
          <t>-</t>
        </is>
      </c>
      <c r="E587" s="4" t="inlineStr">
        <is>
          <t>7º PAV.</t>
        </is>
      </c>
      <c r="F587" s="126" t="n">
        <v>46623</v>
      </c>
      <c r="G587" s="126" t="n">
        <v>46633</v>
      </c>
      <c r="H587" s="126" t="n">
        <v>46289</v>
      </c>
      <c r="I587" s="4" t="n">
        <v>0</v>
      </c>
      <c r="J587" s="4" t="n">
        <v>0</v>
      </c>
      <c r="K587" s="4" t="n">
        <v>0</v>
      </c>
      <c r="M587" s="2">
        <f>IF(C587="","",IFERROR(INDEX($S$5:$S$304,MATCH(C587,$R$5:$R$304,0))&amp;"","?"))</f>
        <v/>
      </c>
      <c r="N587" s="2">
        <f>IF(E587="","",IF(ISNUMBER(SEARCH("SUBSOLO",E587)),IFERROR(-VALUE(LEFT(E587,FIND("º",SUBSTITUTE(E587,"°","º"))-1)),-1),IF(LEFT(E587,6)="TÉRREO",0,IFERROR(VALUE(LEFT(E587,FIND("º",SUBSTITUTE(E587,"°","º"))-1)),""))))</f>
        <v/>
      </c>
      <c r="O587" s="2">
        <f>IF(OR(F587="",G587=""),"",IF(G587&lt;='RETRATO 2027'!$K$5,"CONCLUÍDA",IF(F587&lt;='RETRATO 2027'!$K$5,"EM ANDAMENTO","A INICIAR")))</f>
        <v/>
      </c>
    </row>
    <row r="588">
      <c r="B588" s="4" t="n">
        <v>29981509</v>
      </c>
      <c r="C588" s="4" t="inlineStr">
        <is>
          <t>IMPERMEABILIZAÇÃO</t>
        </is>
      </c>
      <c r="D588" s="4" t="inlineStr">
        <is>
          <t>-</t>
        </is>
      </c>
      <c r="E588" s="4" t="inlineStr">
        <is>
          <t>8º PAV.</t>
        </is>
      </c>
      <c r="F588" s="126" t="n">
        <v>46623</v>
      </c>
      <c r="G588" s="126" t="n">
        <v>46633</v>
      </c>
      <c r="H588" s="126" t="n">
        <v>46289</v>
      </c>
      <c r="I588" s="4" t="n">
        <v>0</v>
      </c>
      <c r="J588" s="4" t="n">
        <v>0</v>
      </c>
      <c r="K588" s="4" t="n">
        <v>0</v>
      </c>
      <c r="M588" s="2">
        <f>IF(C588="","",IFERROR(INDEX($S$5:$S$304,MATCH(C588,$R$5:$R$304,0))&amp;"","?"))</f>
        <v/>
      </c>
      <c r="N588" s="2">
        <f>IF(E588="","",IF(ISNUMBER(SEARCH("SUBSOLO",E588)),IFERROR(-VALUE(LEFT(E588,FIND("º",SUBSTITUTE(E588,"°","º"))-1)),-1),IF(LEFT(E588,6)="TÉRREO",0,IFERROR(VALUE(LEFT(E588,FIND("º",SUBSTITUTE(E588,"°","º"))-1)),""))))</f>
        <v/>
      </c>
      <c r="O588" s="2">
        <f>IF(OR(F588="",G588=""),"",IF(G588&lt;='RETRATO 2027'!$K$5,"CONCLUÍDA",IF(F588&lt;='RETRATO 2027'!$K$5,"EM ANDAMENTO","A INICIAR")))</f>
        <v/>
      </c>
    </row>
    <row r="589">
      <c r="B589" s="4" t="n">
        <v>32750435</v>
      </c>
      <c r="C589" s="4" t="inlineStr">
        <is>
          <t>DRYWALL 2º FACE</t>
        </is>
      </c>
      <c r="D589" s="4" t="inlineStr">
        <is>
          <t>-</t>
        </is>
      </c>
      <c r="E589" s="4" t="inlineStr">
        <is>
          <t>9º PAV.</t>
        </is>
      </c>
      <c r="F589" s="126" t="n">
        <v>46623</v>
      </c>
      <c r="G589" s="126" t="n">
        <v>46633</v>
      </c>
      <c r="H589" s="126" t="n">
        <v>46289</v>
      </c>
      <c r="I589" s="4" t="n">
        <v>0</v>
      </c>
      <c r="J589" s="4" t="n">
        <v>0</v>
      </c>
      <c r="K589" s="4" t="n">
        <v>0</v>
      </c>
      <c r="M589" s="2">
        <f>IF(C589="","",IFERROR(INDEX($S$5:$S$304,MATCH(C589,$R$5:$R$304,0))&amp;"","?"))</f>
        <v/>
      </c>
      <c r="N589" s="2">
        <f>IF(E589="","",IF(ISNUMBER(SEARCH("SUBSOLO",E589)),IFERROR(-VALUE(LEFT(E589,FIND("º",SUBSTITUTE(E589,"°","º"))-1)),-1),IF(LEFT(E589,6)="TÉRREO",0,IFERROR(VALUE(LEFT(E589,FIND("º",SUBSTITUTE(E589,"°","º"))-1)),""))))</f>
        <v/>
      </c>
      <c r="O589" s="2">
        <f>IF(OR(F589="",G589=""),"",IF(G589&lt;='RETRATO 2027'!$K$5,"CONCLUÍDA",IF(F589&lt;='RETRATO 2027'!$K$5,"EM ANDAMENTO","A INICIAR")))</f>
        <v/>
      </c>
    </row>
    <row r="590">
      <c r="B590" s="4" t="n">
        <v>32750358</v>
      </c>
      <c r="C590" s="4" t="inlineStr">
        <is>
          <t>DISTRIBUIÇÃO DE GÁS - DRYWALL</t>
        </is>
      </c>
      <c r="D590" s="4" t="inlineStr">
        <is>
          <t>-</t>
        </is>
      </c>
      <c r="E590" s="4" t="inlineStr">
        <is>
          <t>10º PAV.</t>
        </is>
      </c>
      <c r="F590" s="126" t="n">
        <v>46623</v>
      </c>
      <c r="G590" s="126" t="n">
        <v>46633</v>
      </c>
      <c r="H590" s="126" t="n">
        <v>46289</v>
      </c>
      <c r="I590" s="4" t="n">
        <v>0</v>
      </c>
      <c r="J590" s="4" t="n">
        <v>0</v>
      </c>
      <c r="K590" s="4" t="n">
        <v>0</v>
      </c>
      <c r="M590" s="2">
        <f>IF(C590="","",IFERROR(INDEX($S$5:$S$304,MATCH(C590,$R$5:$R$304,0))&amp;"","?"))</f>
        <v/>
      </c>
      <c r="N590" s="2">
        <f>IF(E590="","",IF(ISNUMBER(SEARCH("SUBSOLO",E590)),IFERROR(-VALUE(LEFT(E590,FIND("º",SUBSTITUTE(E590,"°","º"))-1)),-1),IF(LEFT(E590,6)="TÉRREO",0,IFERROR(VALUE(LEFT(E590,FIND("º",SUBSTITUTE(E590,"°","º"))-1)),""))))</f>
        <v/>
      </c>
      <c r="O590" s="2">
        <f>IF(OR(F590="",G590=""),"",IF(G590&lt;='RETRATO 2027'!$K$5,"CONCLUÍDA",IF(F590&lt;='RETRATO 2027'!$K$5,"EM ANDAMENTO","A INICIAR")))</f>
        <v/>
      </c>
    </row>
    <row r="591">
      <c r="B591" s="4" t="n">
        <v>32750384</v>
      </c>
      <c r="C591" s="4" t="inlineStr">
        <is>
          <t>DISTRIBUIÇÃO ELÉTRICA/QUADRO - DRYWALL</t>
        </is>
      </c>
      <c r="D591" s="4" t="inlineStr">
        <is>
          <t>-</t>
        </is>
      </c>
      <c r="E591" s="4" t="inlineStr">
        <is>
          <t>10º PAV.</t>
        </is>
      </c>
      <c r="F591" s="126" t="n">
        <v>46623</v>
      </c>
      <c r="G591" s="126" t="n">
        <v>46633</v>
      </c>
      <c r="H591" s="126" t="n">
        <v>46289</v>
      </c>
      <c r="I591" s="4" t="n">
        <v>0</v>
      </c>
      <c r="J591" s="4" t="n">
        <v>0</v>
      </c>
      <c r="K591" s="4" t="n">
        <v>0</v>
      </c>
      <c r="M591" s="2">
        <f>IF(C591="","",IFERROR(INDEX($S$5:$S$304,MATCH(C591,$R$5:$R$304,0))&amp;"","?"))</f>
        <v/>
      </c>
      <c r="N591" s="2">
        <f>IF(E591="","",IF(ISNUMBER(SEARCH("SUBSOLO",E591)),IFERROR(-VALUE(LEFT(E591,FIND("º",SUBSTITUTE(E591,"°","º"))-1)),-1),IF(LEFT(E591,6)="TÉRREO",0,IFERROR(VALUE(LEFT(E591,FIND("º",SUBSTITUTE(E591,"°","º"))-1)),""))))</f>
        <v/>
      </c>
      <c r="O591" s="2">
        <f>IF(OR(F591="",G591=""),"",IF(G591&lt;='RETRATO 2027'!$K$5,"CONCLUÍDA",IF(F591&lt;='RETRATO 2027'!$K$5,"EM ANDAMENTO","A INICIAR")))</f>
        <v/>
      </c>
    </row>
    <row r="592">
      <c r="B592" s="4" t="n">
        <v>32750410</v>
      </c>
      <c r="C592" s="4" t="inlineStr">
        <is>
          <t>DISTRIBUIÇÃO HIDRÁULICA - DRYWALL</t>
        </is>
      </c>
      <c r="D592" s="4" t="inlineStr">
        <is>
          <t>-</t>
        </is>
      </c>
      <c r="E592" s="4" t="inlineStr">
        <is>
          <t>10º PAV.</t>
        </is>
      </c>
      <c r="F592" s="126" t="n">
        <v>46623</v>
      </c>
      <c r="G592" s="126" t="n">
        <v>46633</v>
      </c>
      <c r="H592" s="126" t="n">
        <v>46289</v>
      </c>
      <c r="I592" s="4" t="n">
        <v>0</v>
      </c>
      <c r="J592" s="4" t="n">
        <v>0</v>
      </c>
      <c r="K592" s="4" t="n">
        <v>0</v>
      </c>
      <c r="M592" s="2">
        <f>IF(C592="","",IFERROR(INDEX($S$5:$S$304,MATCH(C592,$R$5:$R$304,0))&amp;"","?"))</f>
        <v/>
      </c>
      <c r="N592" s="2">
        <f>IF(E592="","",IF(ISNUMBER(SEARCH("SUBSOLO",E592)),IFERROR(-VALUE(LEFT(E592,FIND("º",SUBSTITUTE(E592,"°","º"))-1)),-1),IF(LEFT(E592,6)="TÉRREO",0,IFERROR(VALUE(LEFT(E592,FIND("º",SUBSTITUTE(E592,"°","º"))-1)),""))))</f>
        <v/>
      </c>
      <c r="O592" s="2">
        <f>IF(OR(F592="",G592=""),"",IF(G592&lt;='RETRATO 2027'!$K$5,"CONCLUÍDA",IF(F592&lt;='RETRATO 2027'!$K$5,"EM ANDAMENTO","A INICIAR")))</f>
        <v/>
      </c>
    </row>
    <row r="593">
      <c r="B593" s="4" t="n">
        <v>33896828</v>
      </c>
      <c r="C593" s="4" t="inlineStr">
        <is>
          <t>INFRAESTRUTURA - AR CONDICIONADO</t>
        </is>
      </c>
      <c r="D593" s="4" t="inlineStr">
        <is>
          <t>-</t>
        </is>
      </c>
      <c r="E593" s="4" t="inlineStr">
        <is>
          <t>10º PAV.</t>
        </is>
      </c>
      <c r="F593" s="126" t="n">
        <v>46623</v>
      </c>
      <c r="G593" s="126" t="n">
        <v>46633</v>
      </c>
      <c r="H593" s="126" t="n">
        <v>46289</v>
      </c>
      <c r="I593" s="4" t="n">
        <v>0</v>
      </c>
      <c r="J593" s="4" t="n">
        <v>0</v>
      </c>
      <c r="K593" s="4" t="n">
        <v>0</v>
      </c>
      <c r="M593" s="2">
        <f>IF(C593="","",IFERROR(INDEX($S$5:$S$304,MATCH(C593,$R$5:$R$304,0))&amp;"","?"))</f>
        <v/>
      </c>
      <c r="N593" s="2">
        <f>IF(E593="","",IF(ISNUMBER(SEARCH("SUBSOLO",E593)),IFERROR(-VALUE(LEFT(E593,FIND("º",SUBSTITUTE(E593,"°","º"))-1)),-1),IF(LEFT(E593,6)="TÉRREO",0,IFERROR(VALUE(LEFT(E593,FIND("º",SUBSTITUTE(E593,"°","º"))-1)),""))))</f>
        <v/>
      </c>
      <c r="O593" s="2">
        <f>IF(OR(F593="",G593=""),"",IF(G593&lt;='RETRATO 2027'!$K$5,"CONCLUÍDA",IF(F593&lt;='RETRATO 2027'!$K$5,"EM ANDAMENTO","A INICIAR")))</f>
        <v/>
      </c>
    </row>
    <row r="594">
      <c r="B594" s="4" t="n">
        <v>32749854</v>
      </c>
      <c r="C594" s="4" t="inlineStr">
        <is>
          <t>DRYWALL 1º FACE</t>
        </is>
      </c>
      <c r="D594" s="4" t="inlineStr">
        <is>
          <t>-</t>
        </is>
      </c>
      <c r="E594" s="4" t="inlineStr">
        <is>
          <t>11º PAV.</t>
        </is>
      </c>
      <c r="F594" s="126" t="n">
        <v>46623</v>
      </c>
      <c r="G594" s="126" t="n">
        <v>46633</v>
      </c>
      <c r="H594" s="126" t="n">
        <v>46289</v>
      </c>
      <c r="I594" s="4" t="n">
        <v>0</v>
      </c>
      <c r="J594" s="4" t="n">
        <v>0</v>
      </c>
      <c r="K594" s="4" t="n">
        <v>0</v>
      </c>
      <c r="M594" s="2">
        <f>IF(C594="","",IFERROR(INDEX($S$5:$S$304,MATCH(C594,$R$5:$R$304,0))&amp;"","?"))</f>
        <v/>
      </c>
      <c r="N594" s="2">
        <f>IF(E594="","",IF(ISNUMBER(SEARCH("SUBSOLO",E594)),IFERROR(-VALUE(LEFT(E594,FIND("º",SUBSTITUTE(E594,"°","º"))-1)),-1),IF(LEFT(E594,6)="TÉRREO",0,IFERROR(VALUE(LEFT(E594,FIND("º",SUBSTITUTE(E594,"°","º"))-1)),""))))</f>
        <v/>
      </c>
      <c r="O594" s="2">
        <f>IF(OR(F594="",G594=""),"",IF(G594&lt;='RETRATO 2027'!$K$5,"CONCLUÍDA",IF(F594&lt;='RETRATO 2027'!$K$5,"EM ANDAMENTO","A INICIAR")))</f>
        <v/>
      </c>
    </row>
    <row r="595">
      <c r="B595" s="4" t="n">
        <v>29981362</v>
      </c>
      <c r="C595" s="4" t="inlineStr">
        <is>
          <t>CONTRAPISO</t>
        </is>
      </c>
      <c r="D595" s="4" t="inlineStr">
        <is>
          <t>-</t>
        </is>
      </c>
      <c r="E595" s="4" t="inlineStr">
        <is>
          <t>12º PAV.</t>
        </is>
      </c>
      <c r="F595" s="126" t="n">
        <v>46623</v>
      </c>
      <c r="G595" s="126" t="n">
        <v>46633</v>
      </c>
      <c r="H595" s="126" t="n">
        <v>46289</v>
      </c>
      <c r="I595" s="4" t="n">
        <v>0</v>
      </c>
      <c r="J595" s="4" t="n">
        <v>0</v>
      </c>
      <c r="K595" s="4" t="n">
        <v>0</v>
      </c>
      <c r="M595" s="2">
        <f>IF(C595="","",IFERROR(INDEX($S$5:$S$304,MATCH(C595,$R$5:$R$304,0))&amp;"","?"))</f>
        <v/>
      </c>
      <c r="N595" s="2">
        <f>IF(E595="","",IF(ISNUMBER(SEARCH("SUBSOLO",E595)),IFERROR(-VALUE(LEFT(E595,FIND("º",SUBSTITUTE(E595,"°","º"))-1)),-1),IF(LEFT(E595,6)="TÉRREO",0,IFERROR(VALUE(LEFT(E595,FIND("º",SUBSTITUTE(E595,"°","º"))-1)),""))))</f>
        <v/>
      </c>
      <c r="O595" s="2">
        <f>IF(OR(F595="",G595=""),"",IF(G595&lt;='RETRATO 2027'!$K$5,"CONCLUÍDA",IF(F595&lt;='RETRATO 2027'!$K$5,"EM ANDAMENTO","A INICIAR")))</f>
        <v/>
      </c>
    </row>
    <row r="596">
      <c r="B596" s="4" t="n">
        <v>29981302</v>
      </c>
      <c r="C596" s="4" t="inlineStr">
        <is>
          <t>SHAFT INTERNO INST. HIDRAÚLICAS</t>
        </is>
      </c>
      <c r="D596" s="4" t="inlineStr">
        <is>
          <t>-</t>
        </is>
      </c>
      <c r="E596" s="4" t="inlineStr">
        <is>
          <t>13º PAV.</t>
        </is>
      </c>
      <c r="F596" s="126" t="n">
        <v>46623</v>
      </c>
      <c r="G596" s="126" t="n">
        <v>46633</v>
      </c>
      <c r="H596" s="126" t="n">
        <v>46289</v>
      </c>
      <c r="I596" s="4" t="n">
        <v>0</v>
      </c>
      <c r="J596" s="4" t="n">
        <v>0</v>
      </c>
      <c r="K596" s="4" t="n">
        <v>0</v>
      </c>
      <c r="M596" s="2">
        <f>IF(C596="","",IFERROR(INDEX($S$5:$S$304,MATCH(C596,$R$5:$R$304,0))&amp;"","?"))</f>
        <v/>
      </c>
      <c r="N596" s="2">
        <f>IF(E596="","",IF(ISNUMBER(SEARCH("SUBSOLO",E596)),IFERROR(-VALUE(LEFT(E596,FIND("º",SUBSTITUTE(E596,"°","º"))-1)),-1),IF(LEFT(E596,6)="TÉRREO",0,IFERROR(VALUE(LEFT(E596,FIND("º",SUBSTITUTE(E596,"°","º"))-1)),""))))</f>
        <v/>
      </c>
      <c r="O596" s="2">
        <f>IF(OR(F596="",G596=""),"",IF(G596&lt;='RETRATO 2027'!$K$5,"CONCLUÍDA",IF(F596&lt;='RETRATO 2027'!$K$5,"EM ANDAMENTO","A INICIAR")))</f>
        <v/>
      </c>
    </row>
    <row r="597">
      <c r="B597" s="4" t="n">
        <v>29981335</v>
      </c>
      <c r="C597" s="4" t="inlineStr">
        <is>
          <t>PRUMADA ELÉTRICA - INFRA</t>
        </is>
      </c>
      <c r="D597" s="4" t="inlineStr">
        <is>
          <t>-</t>
        </is>
      </c>
      <c r="E597" s="4" t="inlineStr">
        <is>
          <t>13º PAV.</t>
        </is>
      </c>
      <c r="F597" s="126" t="n">
        <v>46623</v>
      </c>
      <c r="G597" s="126" t="n">
        <v>46633</v>
      </c>
      <c r="H597" s="126" t="n">
        <v>46289</v>
      </c>
      <c r="I597" s="4" t="n">
        <v>0</v>
      </c>
      <c r="J597" s="4" t="n">
        <v>0</v>
      </c>
      <c r="K597" s="4" t="n">
        <v>0</v>
      </c>
      <c r="M597" s="2">
        <f>IF(C597="","",IFERROR(INDEX($S$5:$S$304,MATCH(C597,$R$5:$R$304,0))&amp;"","?"))</f>
        <v/>
      </c>
      <c r="N597" s="2">
        <f>IF(E597="","",IF(ISNUMBER(SEARCH("SUBSOLO",E597)),IFERROR(-VALUE(LEFT(E597,FIND("º",SUBSTITUTE(E597,"°","º"))-1)),-1),IF(LEFT(E597,6)="TÉRREO",0,IFERROR(VALUE(LEFT(E597,FIND("º",SUBSTITUTE(E597,"°","º"))-1)),""))))</f>
        <v/>
      </c>
      <c r="O597" s="2">
        <f>IF(OR(F597="",G597=""),"",IF(G597&lt;='RETRATO 2027'!$K$5,"CONCLUÍDA",IF(F597&lt;='RETRATO 2027'!$K$5,"EM ANDAMENTO","A INICIAR")))</f>
        <v/>
      </c>
    </row>
    <row r="598">
      <c r="B598" s="4" t="n">
        <v>29981264</v>
      </c>
      <c r="C598" s="4" t="inlineStr">
        <is>
          <t>REBOCO INTERNO</t>
        </is>
      </c>
      <c r="D598" s="4" t="inlineStr">
        <is>
          <t>-</t>
        </is>
      </c>
      <c r="E598" s="4" t="inlineStr">
        <is>
          <t>14º PAV.</t>
        </is>
      </c>
      <c r="F598" s="126" t="n">
        <v>46623</v>
      </c>
      <c r="G598" s="126" t="n">
        <v>46633</v>
      </c>
      <c r="H598" s="126" t="n">
        <v>46289</v>
      </c>
      <c r="I598" s="4" t="n">
        <v>0</v>
      </c>
      <c r="J598" s="4" t="n">
        <v>0</v>
      </c>
      <c r="K598" s="4" t="n">
        <v>0</v>
      </c>
      <c r="M598" s="2">
        <f>IF(C598="","",IFERROR(INDEX($S$5:$S$304,MATCH(C598,$R$5:$R$304,0))&amp;"","?"))</f>
        <v/>
      </c>
      <c r="N598" s="2">
        <f>IF(E598="","",IF(ISNUMBER(SEARCH("SUBSOLO",E598)),IFERROR(-VALUE(LEFT(E598,FIND("º",SUBSTITUTE(E598,"°","º"))-1)),-1),IF(LEFT(E598,6)="TÉRREO",0,IFERROR(VALUE(LEFT(E598,FIND("º",SUBSTITUTE(E598,"°","º"))-1)),""))))</f>
        <v/>
      </c>
      <c r="O598" s="2">
        <f>IF(OR(F598="",G598=""),"",IF(G598&lt;='RETRATO 2027'!$K$5,"CONCLUÍDA",IF(F598&lt;='RETRATO 2027'!$K$5,"EM ANDAMENTO","A INICIAR")))</f>
        <v/>
      </c>
    </row>
    <row r="599">
      <c r="B599" s="4" t="n">
        <v>29981230</v>
      </c>
      <c r="C599" s="4" t="inlineStr">
        <is>
          <t>CONTRAMARCO</t>
        </is>
      </c>
      <c r="D599" s="4" t="inlineStr">
        <is>
          <t>-</t>
        </is>
      </c>
      <c r="E599" s="4" t="inlineStr">
        <is>
          <t>15º PAV.</t>
        </is>
      </c>
      <c r="F599" s="126" t="n">
        <v>46623</v>
      </c>
      <c r="G599" s="126" t="n">
        <v>46633</v>
      </c>
      <c r="H599" s="126" t="n">
        <v>46289</v>
      </c>
      <c r="I599" s="4" t="n">
        <v>0</v>
      </c>
      <c r="J599" s="4" t="n">
        <v>0</v>
      </c>
      <c r="K599" s="4" t="n">
        <v>0</v>
      </c>
      <c r="M599" s="2">
        <f>IF(C599="","",IFERROR(INDEX($S$5:$S$304,MATCH(C599,$R$5:$R$304,0))&amp;"","?"))</f>
        <v/>
      </c>
      <c r="N599" s="2">
        <f>IF(E599="","",IF(ISNUMBER(SEARCH("SUBSOLO",E599)),IFERROR(-VALUE(LEFT(E599,FIND("º",SUBSTITUTE(E599,"°","º"))-1)),-1),IF(LEFT(E599,6)="TÉRREO",0,IFERROR(VALUE(LEFT(E599,FIND("º",SUBSTITUTE(E599,"°","º"))-1)),""))))</f>
        <v/>
      </c>
      <c r="O599" s="2">
        <f>IF(OR(F599="",G599=""),"",IF(G599&lt;='RETRATO 2027'!$K$5,"CONCLUÍDA",IF(F599&lt;='RETRATO 2027'!$K$5,"EM ANDAMENTO","A INICIAR")))</f>
        <v/>
      </c>
    </row>
    <row r="600">
      <c r="B600" s="4" t="n">
        <v>29981223</v>
      </c>
      <c r="C600" s="4" t="inlineStr">
        <is>
          <t>DISTRIBUIÇÃO HIDROSSANITÁRIA</t>
        </is>
      </c>
      <c r="D600" s="4" t="inlineStr">
        <is>
          <t>-</t>
        </is>
      </c>
      <c r="E600" s="4" t="inlineStr">
        <is>
          <t>16º PAV.</t>
        </is>
      </c>
      <c r="F600" s="126" t="n">
        <v>46623</v>
      </c>
      <c r="G600" s="126" t="n">
        <v>46633</v>
      </c>
      <c r="H600" s="126" t="n">
        <v>46289</v>
      </c>
      <c r="I600" s="4" t="n">
        <v>0</v>
      </c>
      <c r="J600" s="4" t="n">
        <v>0</v>
      </c>
      <c r="K600" s="4" t="n">
        <v>0</v>
      </c>
      <c r="M600" s="2">
        <f>IF(C600="","",IFERROR(INDEX($S$5:$S$304,MATCH(C600,$R$5:$R$304,0))&amp;"","?"))</f>
        <v/>
      </c>
      <c r="N600" s="2">
        <f>IF(E600="","",IF(ISNUMBER(SEARCH("SUBSOLO",E600)),IFERROR(-VALUE(LEFT(E600,FIND("º",SUBSTITUTE(E600,"°","º"))-1)),-1),IF(LEFT(E600,6)="TÉRREO",0,IFERROR(VALUE(LEFT(E600,FIND("º",SUBSTITUTE(E600,"°","º"))-1)),""))))</f>
        <v/>
      </c>
      <c r="O600" s="2">
        <f>IF(OR(F600="",G600=""),"",IF(G600&lt;='RETRATO 2027'!$K$5,"CONCLUÍDA",IF(F600&lt;='RETRATO 2027'!$K$5,"EM ANDAMENTO","A INICIAR")))</f>
        <v/>
      </c>
    </row>
    <row r="601">
      <c r="B601" s="4" t="n">
        <v>29981192</v>
      </c>
      <c r="C601" s="4" t="inlineStr">
        <is>
          <t>DISTRIBUIÇÃO ELÉTRICA / QUADRO</t>
        </is>
      </c>
      <c r="D601" s="4" t="inlineStr">
        <is>
          <t>-</t>
        </is>
      </c>
      <c r="E601" s="4" t="inlineStr">
        <is>
          <t>16º PAV.</t>
        </is>
      </c>
      <c r="F601" s="126" t="n">
        <v>46623</v>
      </c>
      <c r="G601" s="126" t="n">
        <v>46633</v>
      </c>
      <c r="H601" s="126" t="n">
        <v>46289</v>
      </c>
      <c r="I601" s="4" t="n">
        <v>0</v>
      </c>
      <c r="J601" s="4" t="n">
        <v>0</v>
      </c>
      <c r="K601" s="4" t="n">
        <v>0</v>
      </c>
      <c r="M601" s="2">
        <f>IF(C601="","",IFERROR(INDEX($S$5:$S$304,MATCH(C601,$R$5:$R$304,0))&amp;"","?"))</f>
        <v/>
      </c>
      <c r="N601" s="2">
        <f>IF(E601="","",IF(ISNUMBER(SEARCH("SUBSOLO",E601)),IFERROR(-VALUE(LEFT(E601,FIND("º",SUBSTITUTE(E601,"°","º"))-1)),-1),IF(LEFT(E601,6)="TÉRREO",0,IFERROR(VALUE(LEFT(E601,FIND("º",SUBSTITUTE(E601,"°","º"))-1)),""))))</f>
        <v/>
      </c>
      <c r="O601" s="2">
        <f>IF(OR(F601="",G601=""),"",IF(G601&lt;='RETRATO 2027'!$K$5,"CONCLUÍDA",IF(F601&lt;='RETRATO 2027'!$K$5,"EM ANDAMENTO","A INICIAR")))</f>
        <v/>
      </c>
    </row>
    <row r="602">
      <c r="B602" s="4" t="n">
        <v>29981225</v>
      </c>
      <c r="C602" s="4" t="inlineStr">
        <is>
          <t>DISTRIBUIÇÃO DE GÁS</t>
        </is>
      </c>
      <c r="D602" s="4" t="inlineStr">
        <is>
          <t>-</t>
        </is>
      </c>
      <c r="E602" s="4" t="inlineStr">
        <is>
          <t>16º PAV.</t>
        </is>
      </c>
      <c r="F602" s="126" t="n">
        <v>46623</v>
      </c>
      <c r="G602" s="126" t="n">
        <v>46633</v>
      </c>
      <c r="H602" s="126" t="n">
        <v>46289</v>
      </c>
      <c r="I602" s="4" t="n">
        <v>0</v>
      </c>
      <c r="J602" s="4" t="n">
        <v>0</v>
      </c>
      <c r="K602" s="4" t="n">
        <v>0</v>
      </c>
      <c r="M602" s="2">
        <f>IF(C602="","",IFERROR(INDEX($S$5:$S$304,MATCH(C602,$R$5:$R$304,0))&amp;"","?"))</f>
        <v/>
      </c>
      <c r="N602" s="2">
        <f>IF(E602="","",IF(ISNUMBER(SEARCH("SUBSOLO",E602)),IFERROR(-VALUE(LEFT(E602,FIND("º",SUBSTITUTE(E602,"°","º"))-1)),-1),IF(LEFT(E602,6)="TÉRREO",0,IFERROR(VALUE(LEFT(E602,FIND("º",SUBSTITUTE(E602,"°","º"))-1)),""))))</f>
        <v/>
      </c>
      <c r="O602" s="2">
        <f>IF(OR(F602="",G602=""),"",IF(G602&lt;='RETRATO 2027'!$K$5,"CONCLUÍDA",IF(F602&lt;='RETRATO 2027'!$K$5,"EM ANDAMENTO","A INICIAR")))</f>
        <v/>
      </c>
    </row>
    <row r="603">
      <c r="B603" s="4" t="n">
        <v>29981172</v>
      </c>
      <c r="C603" s="4" t="inlineStr">
        <is>
          <t>TALISCAMENTO</t>
        </is>
      </c>
      <c r="D603" s="4" t="inlineStr">
        <is>
          <t>-</t>
        </is>
      </c>
      <c r="E603" s="4" t="inlineStr">
        <is>
          <t>17º PAV.</t>
        </is>
      </c>
      <c r="F603" s="126" t="n">
        <v>46623</v>
      </c>
      <c r="G603" s="126" t="n">
        <v>46633</v>
      </c>
      <c r="H603" s="126" t="n">
        <v>46289</v>
      </c>
      <c r="I603" s="4" t="n">
        <v>0</v>
      </c>
      <c r="J603" s="4" t="n">
        <v>0</v>
      </c>
      <c r="K603" s="4" t="n">
        <v>0</v>
      </c>
      <c r="M603" s="2">
        <f>IF(C603="","",IFERROR(INDEX($S$5:$S$304,MATCH(C603,$R$5:$R$304,0))&amp;"","?"))</f>
        <v/>
      </c>
      <c r="N603" s="2">
        <f>IF(E603="","",IF(ISNUMBER(SEARCH("SUBSOLO",E603)),IFERROR(-VALUE(LEFT(E603,FIND("º",SUBSTITUTE(E603,"°","º"))-1)),-1),IF(LEFT(E603,6)="TÉRREO",0,IFERROR(VALUE(LEFT(E603,FIND("º",SUBSTITUTE(E603,"°","º"))-1)),""))))</f>
        <v/>
      </c>
      <c r="O603" s="2">
        <f>IF(OR(F603="",G603=""),"",IF(G603&lt;='RETRATO 2027'!$K$5,"CONCLUÍDA",IF(F603&lt;='RETRATO 2027'!$K$5,"EM ANDAMENTO","A INICIAR")))</f>
        <v/>
      </c>
    </row>
    <row r="604">
      <c r="B604" s="4" t="n">
        <v>29981138</v>
      </c>
      <c r="C604" s="4" t="inlineStr">
        <is>
          <t>PRUMADA HIDROSSANITÁRIA</t>
        </is>
      </c>
      <c r="D604" s="4" t="inlineStr">
        <is>
          <t>-</t>
        </is>
      </c>
      <c r="E604" s="4" t="inlineStr">
        <is>
          <t>18º PAV.</t>
        </is>
      </c>
      <c r="F604" s="126" t="n">
        <v>46623</v>
      </c>
      <c r="G604" s="126" t="n">
        <v>46633</v>
      </c>
      <c r="H604" s="126" t="n">
        <v>46289</v>
      </c>
      <c r="I604" s="4" t="n">
        <v>0</v>
      </c>
      <c r="J604" s="4" t="n">
        <v>0</v>
      </c>
      <c r="K604" s="4" t="n">
        <v>0</v>
      </c>
      <c r="M604" s="2">
        <f>IF(C604="","",IFERROR(INDEX($S$5:$S$304,MATCH(C604,$R$5:$R$304,0))&amp;"","?"))</f>
        <v/>
      </c>
      <c r="N604" s="2">
        <f>IF(E604="","",IF(ISNUMBER(SEARCH("SUBSOLO",E604)),IFERROR(-VALUE(LEFT(E604,FIND("º",SUBSTITUTE(E604,"°","º"))-1)),-1),IF(LEFT(E604,6)="TÉRREO",0,IFERROR(VALUE(LEFT(E604,FIND("º",SUBSTITUTE(E604,"°","º"))-1)),""))))</f>
        <v/>
      </c>
      <c r="O604" s="2">
        <f>IF(OR(F604="",G604=""),"",IF(G604&lt;='RETRATO 2027'!$K$5,"CONCLUÍDA",IF(F604&lt;='RETRATO 2027'!$K$5,"EM ANDAMENTO","A INICIAR")))</f>
        <v/>
      </c>
    </row>
    <row r="605">
      <c r="B605" s="4" t="n">
        <v>30205700</v>
      </c>
      <c r="C605" s="4" t="inlineStr">
        <is>
          <t>CONTRAPISO</t>
        </is>
      </c>
      <c r="D605" s="4" t="inlineStr">
        <is>
          <t>-</t>
        </is>
      </c>
      <c r="E605" s="4" t="inlineStr">
        <is>
          <t>TÉRREO - LOJA 1</t>
        </is>
      </c>
      <c r="F605" s="126" t="n">
        <v>46625</v>
      </c>
      <c r="G605" s="126" t="n">
        <v>46639</v>
      </c>
      <c r="H605" s="126" t="n">
        <v>46289</v>
      </c>
      <c r="I605" s="4" t="n">
        <v>0</v>
      </c>
      <c r="J605" s="4" t="n">
        <v>0</v>
      </c>
      <c r="K605" s="4" t="n">
        <v>0</v>
      </c>
      <c r="M605" s="2">
        <f>IF(C605="","",IFERROR(INDEX($S$5:$S$304,MATCH(C605,$R$5:$R$304,0))&amp;"","?"))</f>
        <v/>
      </c>
      <c r="N605" s="2">
        <f>IF(E605="","",IF(ISNUMBER(SEARCH("SUBSOLO",E605)),IFERROR(-VALUE(LEFT(E605,FIND("º",SUBSTITUTE(E605,"°","º"))-1)),-1),IF(LEFT(E605,6)="TÉRREO",0,IFERROR(VALUE(LEFT(E605,FIND("º",SUBSTITUTE(E605,"°","º"))-1)),""))))</f>
        <v/>
      </c>
      <c r="O605" s="2">
        <f>IF(OR(F605="",G605=""),"",IF(G605&lt;='RETRATO 2027'!$K$5,"CONCLUÍDA",IF(F605&lt;='RETRATO 2027'!$K$5,"EM ANDAMENTO","A INICIAR")))</f>
        <v/>
      </c>
    </row>
    <row r="606">
      <c r="B606" s="4" t="n">
        <v>31803885</v>
      </c>
      <c r="C606" s="4" t="inlineStr">
        <is>
          <t>FACHADA LOJA</t>
        </is>
      </c>
      <c r="D606" s="4" t="inlineStr">
        <is>
          <t>-</t>
        </is>
      </c>
      <c r="E606" s="4" t="inlineStr">
        <is>
          <t>TÉRREO - LOJA 1</t>
        </is>
      </c>
      <c r="F606" s="126" t="n">
        <v>46625</v>
      </c>
      <c r="G606" s="126" t="n">
        <v>46673</v>
      </c>
      <c r="H606" s="126" t="n">
        <v>46289</v>
      </c>
      <c r="I606" s="4" t="n">
        <v>0</v>
      </c>
      <c r="J606" s="4" t="n">
        <v>0</v>
      </c>
      <c r="K606" s="4" t="n">
        <v>0</v>
      </c>
      <c r="M606" s="2">
        <f>IF(C606="","",IFERROR(INDEX($S$5:$S$304,MATCH(C606,$R$5:$R$304,0))&amp;"","?"))</f>
        <v/>
      </c>
      <c r="N606" s="2">
        <f>IF(E606="","",IF(ISNUMBER(SEARCH("SUBSOLO",E606)),IFERROR(-VALUE(LEFT(E606,FIND("º",SUBSTITUTE(E606,"°","º"))-1)),-1),IF(LEFT(E606,6)="TÉRREO",0,IFERROR(VALUE(LEFT(E606,FIND("º",SUBSTITUTE(E606,"°","º"))-1)),""))))</f>
        <v/>
      </c>
      <c r="O606" s="2">
        <f>IF(OR(F606="",G606=""),"",IF(G606&lt;='RETRATO 2027'!$K$5,"CONCLUÍDA",IF(F606&lt;='RETRATO 2027'!$K$5,"EM ANDAMENTO","A INICIAR")))</f>
        <v/>
      </c>
    </row>
    <row r="607">
      <c r="B607" s="4" t="n">
        <v>30205669</v>
      </c>
      <c r="C607" s="4" t="inlineStr">
        <is>
          <t>REBOCO INTERNO</t>
        </is>
      </c>
      <c r="D607" s="4" t="inlineStr">
        <is>
          <t>-</t>
        </is>
      </c>
      <c r="E607" s="4" t="inlineStr">
        <is>
          <t>TÉRREO - LOJA 2</t>
        </is>
      </c>
      <c r="F607" s="126" t="n">
        <v>46625</v>
      </c>
      <c r="G607" s="126" t="n">
        <v>46639</v>
      </c>
      <c r="H607" s="126" t="n">
        <v>46289</v>
      </c>
      <c r="I607" s="4" t="n">
        <v>0</v>
      </c>
      <c r="J607" s="4" t="n">
        <v>0</v>
      </c>
      <c r="K607" s="4" t="n">
        <v>0</v>
      </c>
      <c r="M607" s="2">
        <f>IF(C607="","",IFERROR(INDEX($S$5:$S$304,MATCH(C607,$R$5:$R$304,0))&amp;"","?"))</f>
        <v/>
      </c>
      <c r="N607" s="2">
        <f>IF(E607="","",IF(ISNUMBER(SEARCH("SUBSOLO",E607)),IFERROR(-VALUE(LEFT(E607,FIND("º",SUBSTITUTE(E607,"°","º"))-1)),-1),IF(LEFT(E607,6)="TÉRREO",0,IFERROR(VALUE(LEFT(E607,FIND("º",SUBSTITUTE(E607,"°","º"))-1)),""))))</f>
        <v/>
      </c>
      <c r="O607" s="2">
        <f>IF(OR(F607="",G607=""),"",IF(G607&lt;='RETRATO 2027'!$K$5,"CONCLUÍDA",IF(F607&lt;='RETRATO 2027'!$K$5,"EM ANDAMENTO","A INICIAR")))</f>
        <v/>
      </c>
    </row>
    <row r="608">
      <c r="B608" s="4" t="n">
        <v>30205638</v>
      </c>
      <c r="C608" s="4" t="inlineStr">
        <is>
          <t>DISTRIBUIÇÃO ELÉTRICA / QUADRO</t>
        </is>
      </c>
      <c r="D608" s="4" t="inlineStr">
        <is>
          <t>-</t>
        </is>
      </c>
      <c r="E608" s="4" t="inlineStr">
        <is>
          <t>TÉRREO - LOJA 3</t>
        </is>
      </c>
      <c r="F608" s="126" t="n">
        <v>46625</v>
      </c>
      <c r="G608" s="126" t="n">
        <v>46633</v>
      </c>
      <c r="H608" s="126" t="n">
        <v>46289</v>
      </c>
      <c r="I608" s="4" t="n">
        <v>0</v>
      </c>
      <c r="J608" s="4" t="n">
        <v>0</v>
      </c>
      <c r="K608" s="4" t="n">
        <v>0</v>
      </c>
      <c r="M608" s="2">
        <f>IF(C608="","",IFERROR(INDEX($S$5:$S$304,MATCH(C608,$R$5:$R$304,0))&amp;"","?"))</f>
        <v/>
      </c>
      <c r="N608" s="2">
        <f>IF(E608="","",IF(ISNUMBER(SEARCH("SUBSOLO",E608)),IFERROR(-VALUE(LEFT(E608,FIND("º",SUBSTITUTE(E608,"°","º"))-1)),-1),IF(LEFT(E608,6)="TÉRREO",0,IFERROR(VALUE(LEFT(E608,FIND("º",SUBSTITUTE(E608,"°","º"))-1)),""))))</f>
        <v/>
      </c>
      <c r="O608" s="2">
        <f>IF(OR(F608="",G608=""),"",IF(G608&lt;='RETRATO 2027'!$K$5,"CONCLUÍDA",IF(F608&lt;='RETRATO 2027'!$K$5,"EM ANDAMENTO","A INICIAR")))</f>
        <v/>
      </c>
    </row>
    <row r="609">
      <c r="B609" s="4" t="n">
        <v>30205639</v>
      </c>
      <c r="C609" s="4" t="inlineStr">
        <is>
          <t>DISTRIBUIÇÃO HIDRÁULICA</t>
        </is>
      </c>
      <c r="D609" s="4" t="inlineStr">
        <is>
          <t>-</t>
        </is>
      </c>
      <c r="E609" s="4" t="inlineStr">
        <is>
          <t>TÉRREO - LOJA 3</t>
        </is>
      </c>
      <c r="F609" s="126" t="n">
        <v>46625</v>
      </c>
      <c r="G609" s="126" t="n">
        <v>46639</v>
      </c>
      <c r="H609" s="126" t="n">
        <v>46289</v>
      </c>
      <c r="I609" s="4" t="n">
        <v>0</v>
      </c>
      <c r="J609" s="4" t="n">
        <v>0</v>
      </c>
      <c r="K609" s="4" t="n">
        <v>0</v>
      </c>
      <c r="M609" s="2">
        <f>IF(C609="","",IFERROR(INDEX($S$5:$S$304,MATCH(C609,$R$5:$R$304,0))&amp;"","?"))</f>
        <v/>
      </c>
      <c r="N609" s="2">
        <f>IF(E609="","",IF(ISNUMBER(SEARCH("SUBSOLO",E609)),IFERROR(-VALUE(LEFT(E609,FIND("º",SUBSTITUTE(E609,"°","º"))-1)),-1),IF(LEFT(E609,6)="TÉRREO",0,IFERROR(VALUE(LEFT(E609,FIND("º",SUBSTITUTE(E609,"°","º"))-1)),""))))</f>
        <v/>
      </c>
      <c r="O609" s="2">
        <f>IF(OR(F609="",G609=""),"",IF(G609&lt;='RETRATO 2027'!$K$5,"CONCLUÍDA",IF(F609&lt;='RETRATO 2027'!$K$5,"EM ANDAMENTO","A INICIAR")))</f>
        <v/>
      </c>
    </row>
    <row r="610">
      <c r="B610" s="4" t="n">
        <v>30205610</v>
      </c>
      <c r="C610" s="4" t="inlineStr">
        <is>
          <t>TALISCAMENTO</t>
        </is>
      </c>
      <c r="D610" s="4" t="inlineStr">
        <is>
          <t>-</t>
        </is>
      </c>
      <c r="E610" s="4" t="inlineStr">
        <is>
          <t>TÉRREO - LOJA 4</t>
        </is>
      </c>
      <c r="F610" s="126" t="n">
        <v>46625</v>
      </c>
      <c r="G610" s="126" t="n">
        <v>46639</v>
      </c>
      <c r="H610" s="126" t="n">
        <v>46289</v>
      </c>
      <c r="I610" s="4" t="n">
        <v>0</v>
      </c>
      <c r="J610" s="4" t="n">
        <v>0</v>
      </c>
      <c r="K610" s="4" t="n">
        <v>0</v>
      </c>
      <c r="M610" s="2">
        <f>IF(C610="","",IFERROR(INDEX($S$5:$S$304,MATCH(C610,$R$5:$R$304,0))&amp;"","?"))</f>
        <v/>
      </c>
      <c r="N610" s="2">
        <f>IF(E610="","",IF(ISNUMBER(SEARCH("SUBSOLO",E610)),IFERROR(-VALUE(LEFT(E610,FIND("º",SUBSTITUTE(E610,"°","º"))-1)),-1),IF(LEFT(E610,6)="TÉRREO",0,IFERROR(VALUE(LEFT(E610,FIND("º",SUBSTITUTE(E610,"°","º"))-1)),""))))</f>
        <v/>
      </c>
      <c r="O610" s="2">
        <f>IF(OR(F610="",G610=""),"",IF(G610&lt;='RETRATO 2027'!$K$5,"CONCLUÍDA",IF(F610&lt;='RETRATO 2027'!$K$5,"EM ANDAMENTO","A INICIAR")))</f>
        <v/>
      </c>
    </row>
    <row r="611">
      <c r="B611" s="4" t="n">
        <v>30205577</v>
      </c>
      <c r="C611" s="4" t="inlineStr">
        <is>
          <t>PRUMADA HIDROSSANITÁRIA</t>
        </is>
      </c>
      <c r="D611" s="4" t="inlineStr">
        <is>
          <t>-</t>
        </is>
      </c>
      <c r="E611" s="4" t="inlineStr">
        <is>
          <t>TÉRREO - LOJA 5</t>
        </is>
      </c>
      <c r="F611" s="126" t="n">
        <v>46625</v>
      </c>
      <c r="G611" s="126" t="n">
        <v>46639</v>
      </c>
      <c r="H611" s="126" t="n">
        <v>46289</v>
      </c>
      <c r="I611" s="4" t="n">
        <v>0</v>
      </c>
      <c r="J611" s="4" t="n">
        <v>0</v>
      </c>
      <c r="K611" s="4" t="n">
        <v>0</v>
      </c>
      <c r="M611" s="2">
        <f>IF(C611="","",IFERROR(INDEX($S$5:$S$304,MATCH(C611,$R$5:$R$304,0))&amp;"","?"))</f>
        <v/>
      </c>
      <c r="N611" s="2">
        <f>IF(E611="","",IF(ISNUMBER(SEARCH("SUBSOLO",E611)),IFERROR(-VALUE(LEFT(E611,FIND("º",SUBSTITUTE(E611,"°","º"))-1)),-1),IF(LEFT(E611,6)="TÉRREO",0,IFERROR(VALUE(LEFT(E611,FIND("º",SUBSTITUTE(E611,"°","º"))-1)),""))))</f>
        <v/>
      </c>
      <c r="O611" s="2">
        <f>IF(OR(F611="",G611=""),"",IF(G611&lt;='RETRATO 2027'!$K$5,"CONCLUÍDA",IF(F611&lt;='RETRATO 2027'!$K$5,"EM ANDAMENTO","A INICIAR")))</f>
        <v/>
      </c>
    </row>
    <row r="612">
      <c r="B612" s="4" t="n">
        <v>30205576</v>
      </c>
      <c r="C612" s="4" t="inlineStr">
        <is>
          <t>PRUMADA DE INCÊNDIO</t>
        </is>
      </c>
      <c r="D612" s="4" t="inlineStr">
        <is>
          <t>-</t>
        </is>
      </c>
      <c r="E612" s="4" t="inlineStr">
        <is>
          <t>TÉRREO - LOJA 5</t>
        </is>
      </c>
      <c r="F612" s="126" t="n">
        <v>46625</v>
      </c>
      <c r="G612" s="126" t="n">
        <v>46639</v>
      </c>
      <c r="H612" s="126" t="n">
        <v>46289</v>
      </c>
      <c r="I612" s="4" t="n">
        <v>0</v>
      </c>
      <c r="J612" s="4" t="n">
        <v>0</v>
      </c>
      <c r="K612" s="4" t="n">
        <v>0</v>
      </c>
      <c r="M612" s="2">
        <f>IF(C612="","",IFERROR(INDEX($S$5:$S$304,MATCH(C612,$R$5:$R$304,0))&amp;"","?"))</f>
        <v/>
      </c>
      <c r="N612" s="2">
        <f>IF(E612="","",IF(ISNUMBER(SEARCH("SUBSOLO",E612)),IFERROR(-VALUE(LEFT(E612,FIND("º",SUBSTITUTE(E612,"°","º"))-1)),-1),IF(LEFT(E612,6)="TÉRREO",0,IFERROR(VALUE(LEFT(E612,FIND("º",SUBSTITUTE(E612,"°","º"))-1)),""))))</f>
        <v/>
      </c>
      <c r="O612" s="2">
        <f>IF(OR(F612="",G612=""),"",IF(G612&lt;='RETRATO 2027'!$K$5,"CONCLUÍDA",IF(F612&lt;='RETRATO 2027'!$K$5,"EM ANDAMENTO","A INICIAR")))</f>
        <v/>
      </c>
    </row>
    <row r="613">
      <c r="B613" s="4" t="n">
        <v>30205578</v>
      </c>
      <c r="C613" s="4" t="inlineStr">
        <is>
          <t>ENCUNHAMENTO</t>
        </is>
      </c>
      <c r="D613" s="4" t="inlineStr">
        <is>
          <t>-</t>
        </is>
      </c>
      <c r="E613" s="4" t="inlineStr">
        <is>
          <t>TÉRREO - LOJA 5</t>
        </is>
      </c>
      <c r="F613" s="126" t="n">
        <v>46625</v>
      </c>
      <c r="G613" s="126" t="n">
        <v>46639</v>
      </c>
      <c r="H613" s="126" t="n">
        <v>46289</v>
      </c>
      <c r="I613" s="4" t="n">
        <v>0</v>
      </c>
      <c r="J613" s="4" t="n">
        <v>0</v>
      </c>
      <c r="K613" s="4" t="n">
        <v>0</v>
      </c>
      <c r="M613" s="2">
        <f>IF(C613="","",IFERROR(INDEX($S$5:$S$304,MATCH(C613,$R$5:$R$304,0))&amp;"","?"))</f>
        <v/>
      </c>
      <c r="N613" s="2">
        <f>IF(E613="","",IF(ISNUMBER(SEARCH("SUBSOLO",E613)),IFERROR(-VALUE(LEFT(E613,FIND("º",SUBSTITUTE(E613,"°","º"))-1)),-1),IF(LEFT(E613,6)="TÉRREO",0,IFERROR(VALUE(LEFT(E613,FIND("º",SUBSTITUTE(E613,"°","º"))-1)),""))))</f>
        <v/>
      </c>
      <c r="O613" s="2">
        <f>IF(OR(F613="",G613=""),"",IF(G613&lt;='RETRATO 2027'!$K$5,"CONCLUÍDA",IF(F613&lt;='RETRATO 2027'!$K$5,"EM ANDAMENTO","A INICIAR")))</f>
        <v/>
      </c>
    </row>
    <row r="614">
      <c r="B614" s="4" t="n">
        <v>30205548</v>
      </c>
      <c r="C614" s="4" t="inlineStr">
        <is>
          <t>ALVENARIA</t>
        </is>
      </c>
      <c r="D614" s="4" t="inlineStr">
        <is>
          <t>-</t>
        </is>
      </c>
      <c r="E614" s="4" t="inlineStr">
        <is>
          <t>TÉRREO - LOJA 6</t>
        </is>
      </c>
      <c r="F614" s="126" t="n">
        <v>46625</v>
      </c>
      <c r="G614" s="126" t="n">
        <v>46639</v>
      </c>
      <c r="H614" s="126" t="n">
        <v>46289</v>
      </c>
      <c r="I614" s="4" t="n">
        <v>0</v>
      </c>
      <c r="J614" s="4" t="n">
        <v>0</v>
      </c>
      <c r="K614" s="4" t="n">
        <v>0</v>
      </c>
      <c r="M614" s="2">
        <f>IF(C614="","",IFERROR(INDEX($S$5:$S$304,MATCH(C614,$R$5:$R$304,0))&amp;"","?"))</f>
        <v/>
      </c>
      <c r="N614" s="2">
        <f>IF(E614="","",IF(ISNUMBER(SEARCH("SUBSOLO",E614)),IFERROR(-VALUE(LEFT(E614,FIND("º",SUBSTITUTE(E614,"°","º"))-1)),-1),IF(LEFT(E614,6)="TÉRREO",0,IFERROR(VALUE(LEFT(E614,FIND("º",SUBSTITUTE(E614,"°","º"))-1)),""))))</f>
        <v/>
      </c>
      <c r="O614" s="2">
        <f>IF(OR(F614="",G614=""),"",IF(G614&lt;='RETRATO 2027'!$K$5,"CONCLUÍDA",IF(F614&lt;='RETRATO 2027'!$K$5,"EM ANDAMENTO","A INICIAR")))</f>
        <v/>
      </c>
    </row>
    <row r="615">
      <c r="B615" s="4" t="n">
        <v>29981137</v>
      </c>
      <c r="C615" s="4" t="inlineStr">
        <is>
          <t>ENCUNHAMENTO</t>
        </is>
      </c>
      <c r="D615" s="4" t="inlineStr">
        <is>
          <t>-</t>
        </is>
      </c>
      <c r="E615" s="4" t="inlineStr">
        <is>
          <t>18º PAV.</t>
        </is>
      </c>
      <c r="F615" s="126" t="n">
        <v>46625</v>
      </c>
      <c r="G615" s="126" t="n">
        <v>46638</v>
      </c>
      <c r="H615" s="126" t="n">
        <v>46289</v>
      </c>
      <c r="I615" s="4" t="n">
        <v>0</v>
      </c>
      <c r="J615" s="4" t="n">
        <v>0</v>
      </c>
      <c r="K615" s="4" t="n">
        <v>0</v>
      </c>
      <c r="M615" s="2">
        <f>IF(C615="","",IFERROR(INDEX($S$5:$S$304,MATCH(C615,$R$5:$R$304,0))&amp;"","?"))</f>
        <v/>
      </c>
      <c r="N615" s="2">
        <f>IF(E615="","",IF(ISNUMBER(SEARCH("SUBSOLO",E615)),IFERROR(-VALUE(LEFT(E615,FIND("º",SUBSTITUTE(E615,"°","º"))-1)),-1),IF(LEFT(E615,6)="TÉRREO",0,IFERROR(VALUE(LEFT(E615,FIND("º",SUBSTITUTE(E615,"°","º"))-1)),""))))</f>
        <v/>
      </c>
      <c r="O615" s="2">
        <f>IF(OR(F615="",G615=""),"",IF(G615&lt;='RETRATO 2027'!$K$5,"CONCLUÍDA",IF(F615&lt;='RETRATO 2027'!$K$5,"EM ANDAMENTO","A INICIAR")))</f>
        <v/>
      </c>
    </row>
    <row r="616">
      <c r="B616" s="4" t="n">
        <v>30171463</v>
      </c>
      <c r="C616" s="4" t="inlineStr">
        <is>
          <t>DISTRIBUIÇÃO ELÉTRICA / QUADRO</t>
        </is>
      </c>
      <c r="D616" s="4" t="inlineStr">
        <is>
          <t>-</t>
        </is>
      </c>
      <c r="E616" s="4" t="inlineStr">
        <is>
          <t>3º PAV - GARAGEM</t>
        </is>
      </c>
      <c r="F616" s="126" t="n">
        <v>46626</v>
      </c>
      <c r="G616" s="126" t="n">
        <v>46668</v>
      </c>
      <c r="H616" s="126" t="n">
        <v>46289</v>
      </c>
      <c r="I616" s="4" t="n">
        <v>0</v>
      </c>
      <c r="J616" s="4" t="n">
        <v>0</v>
      </c>
      <c r="K616" s="4" t="n">
        <v>0</v>
      </c>
      <c r="M616" s="2">
        <f>IF(C616="","",IFERROR(INDEX($S$5:$S$304,MATCH(C616,$R$5:$R$304,0))&amp;"","?"))</f>
        <v/>
      </c>
      <c r="N616" s="2">
        <f>IF(E616="","",IF(ISNUMBER(SEARCH("SUBSOLO",E616)),IFERROR(-VALUE(LEFT(E616,FIND("º",SUBSTITUTE(E616,"°","º"))-1)),-1),IF(LEFT(E616,6)="TÉRREO",0,IFERROR(VALUE(LEFT(E616,FIND("º",SUBSTITUTE(E616,"°","º"))-1)),""))))</f>
        <v/>
      </c>
      <c r="O616" s="2">
        <f>IF(OR(F616="",G616=""),"",IF(G616&lt;='RETRATO 2027'!$K$5,"CONCLUÍDA",IF(F616&lt;='RETRATO 2027'!$K$5,"EM ANDAMENTO","A INICIAR")))</f>
        <v/>
      </c>
    </row>
    <row r="617">
      <c r="B617" s="4" t="n">
        <v>30171448</v>
      </c>
      <c r="C617" s="4" t="inlineStr">
        <is>
          <t>DISTRIBUIÇÃO HIDRÁULICA</t>
        </is>
      </c>
      <c r="D617" s="4" t="inlineStr">
        <is>
          <t>-</t>
        </is>
      </c>
      <c r="E617" s="4" t="inlineStr">
        <is>
          <t>3º PAV - GARAGEM</t>
        </is>
      </c>
      <c r="F617" s="126" t="n">
        <v>46626</v>
      </c>
      <c r="G617" s="126" t="n">
        <v>46668</v>
      </c>
      <c r="H617" s="126" t="n">
        <v>46289</v>
      </c>
      <c r="I617" s="4" t="n">
        <v>0</v>
      </c>
      <c r="J617" s="4" t="n">
        <v>0</v>
      </c>
      <c r="K617" s="4" t="n">
        <v>0</v>
      </c>
      <c r="M617" s="2">
        <f>IF(C617="","",IFERROR(INDEX($S$5:$S$304,MATCH(C617,$R$5:$R$304,0))&amp;"","?"))</f>
        <v/>
      </c>
      <c r="N617" s="2">
        <f>IF(E617="","",IF(ISNUMBER(SEARCH("SUBSOLO",E617)),IFERROR(-VALUE(LEFT(E617,FIND("º",SUBSTITUTE(E617,"°","º"))-1)),-1),IF(LEFT(E617,6)="TÉRREO",0,IFERROR(VALUE(LEFT(E617,FIND("º",SUBSTITUTE(E617,"°","º"))-1)),""))))</f>
        <v/>
      </c>
      <c r="O617" s="2">
        <f>IF(OR(F617="",G617=""),"",IF(G617&lt;='RETRATO 2027'!$K$5,"CONCLUÍDA",IF(F617&lt;='RETRATO 2027'!$K$5,"EM ANDAMENTO","A INICIAR")))</f>
        <v/>
      </c>
    </row>
    <row r="618">
      <c r="B618" s="4" t="n">
        <v>29940964</v>
      </c>
      <c r="C618" s="4" t="inlineStr">
        <is>
          <t>ESTRUTURA</t>
        </is>
      </c>
      <c r="D618" s="4" t="inlineStr">
        <is>
          <t>-</t>
        </is>
      </c>
      <c r="E618" s="4" t="inlineStr">
        <is>
          <t>24º PAV.</t>
        </is>
      </c>
      <c r="F618" s="126" t="n">
        <v>46626</v>
      </c>
      <c r="G618" s="126" t="n">
        <v>46639</v>
      </c>
      <c r="H618" s="126" t="n">
        <v>46289</v>
      </c>
      <c r="I618" s="4" t="n">
        <v>0</v>
      </c>
      <c r="J618" s="4" t="n">
        <v>0</v>
      </c>
      <c r="K618" s="4" t="n">
        <v>0</v>
      </c>
      <c r="M618" s="2">
        <f>IF(C618="","",IFERROR(INDEX($S$5:$S$304,MATCH(C618,$R$5:$R$304,0))&amp;"","?"))</f>
        <v/>
      </c>
      <c r="N618" s="2">
        <f>IF(E618="","",IF(ISNUMBER(SEARCH("SUBSOLO",E618)),IFERROR(-VALUE(LEFT(E618,FIND("º",SUBSTITUTE(E618,"°","º"))-1)),-1),IF(LEFT(E618,6)="TÉRREO",0,IFERROR(VALUE(LEFT(E618,FIND("º",SUBSTITUTE(E618,"°","º"))-1)),""))))</f>
        <v/>
      </c>
      <c r="O618" s="2">
        <f>IF(OR(F618="",G618=""),"",IF(G618&lt;='RETRATO 2027'!$K$5,"CONCLUÍDA",IF(F618&lt;='RETRATO 2027'!$K$5,"EM ANDAMENTO","A INICIAR")))</f>
        <v/>
      </c>
    </row>
    <row r="619">
      <c r="B619" s="4" t="n">
        <v>31529044</v>
      </c>
      <c r="C619" s="4" t="inlineStr">
        <is>
          <t>ESTRUTURA</t>
        </is>
      </c>
      <c r="D619" s="4" t="inlineStr">
        <is>
          <t>Forma</t>
        </is>
      </c>
      <c r="E619" s="4" t="inlineStr">
        <is>
          <t>24º PAV.</t>
        </is>
      </c>
      <c r="F619" s="126" t="n">
        <v>46626</v>
      </c>
      <c r="G619" s="126" t="n">
        <v>46632</v>
      </c>
      <c r="H619" s="126" t="n">
        <v>46289</v>
      </c>
      <c r="I619" s="4" t="n">
        <v>0</v>
      </c>
      <c r="J619" s="4" t="n">
        <v>0</v>
      </c>
      <c r="K619" s="4" t="n">
        <v>0</v>
      </c>
      <c r="M619" s="2">
        <f>IF(C619="","",IFERROR(INDEX($S$5:$S$304,MATCH(C619,$R$5:$R$304,0))&amp;"","?"))</f>
        <v/>
      </c>
      <c r="N619" s="2">
        <f>IF(E619="","",IF(ISNUMBER(SEARCH("SUBSOLO",E619)),IFERROR(-VALUE(LEFT(E619,FIND("º",SUBSTITUTE(E619,"°","º"))-1)),-1),IF(LEFT(E619,6)="TÉRREO",0,IFERROR(VALUE(LEFT(E619,FIND("º",SUBSTITUTE(E619,"°","º"))-1)),""))))</f>
        <v/>
      </c>
      <c r="O619" s="2">
        <f>IF(OR(F619="",G619=""),"",IF(G619&lt;='RETRATO 2027'!$K$5,"CONCLUÍDA",IF(F619&lt;='RETRATO 2027'!$K$5,"EM ANDAMENTO","A INICIAR")))</f>
        <v/>
      </c>
    </row>
    <row r="620">
      <c r="B620" s="4" t="n">
        <v>31529045</v>
      </c>
      <c r="C620" s="4" t="inlineStr">
        <is>
          <t>ESTRUTURA</t>
        </is>
      </c>
      <c r="D620" s="4" t="inlineStr">
        <is>
          <t>Armação</t>
        </is>
      </c>
      <c r="E620" s="4" t="inlineStr">
        <is>
          <t>24º PAV.</t>
        </is>
      </c>
      <c r="F620" s="126" t="n">
        <v>46633</v>
      </c>
      <c r="G620" s="126" t="n">
        <v>46638</v>
      </c>
      <c r="H620" s="126" t="n">
        <v>46289</v>
      </c>
      <c r="I620" s="4" t="n">
        <v>0</v>
      </c>
      <c r="J620" s="4" t="n">
        <v>0</v>
      </c>
      <c r="K620" s="4" t="n">
        <v>0</v>
      </c>
      <c r="M620" s="2">
        <f>IF(C620="","",IFERROR(INDEX($S$5:$S$304,MATCH(C620,$R$5:$R$304,0))&amp;"","?"))</f>
        <v/>
      </c>
      <c r="N620" s="2">
        <f>IF(E620="","",IF(ISNUMBER(SEARCH("SUBSOLO",E620)),IFERROR(-VALUE(LEFT(E620,FIND("º",SUBSTITUTE(E620,"°","º"))-1)),-1),IF(LEFT(E620,6)="TÉRREO",0,IFERROR(VALUE(LEFT(E620,FIND("º",SUBSTITUTE(E620,"°","º"))-1)),""))))</f>
        <v/>
      </c>
      <c r="O620" s="2">
        <f>IF(OR(F620="",G620=""),"",IF(G620&lt;='RETRATO 2027'!$K$5,"CONCLUÍDA",IF(F620&lt;='RETRATO 2027'!$K$5,"EM ANDAMENTO","A INICIAR")))</f>
        <v/>
      </c>
    </row>
    <row r="621">
      <c r="B621" s="4" t="n">
        <v>31529046</v>
      </c>
      <c r="C621" s="4" t="inlineStr">
        <is>
          <t>ESTRUTURA</t>
        </is>
      </c>
      <c r="D621" s="4" t="inlineStr">
        <is>
          <t>Concretagem</t>
        </is>
      </c>
      <c r="E621" s="4" t="inlineStr">
        <is>
          <t>24º PAV.</t>
        </is>
      </c>
      <c r="F621" s="126" t="n">
        <v>46639</v>
      </c>
      <c r="G621" s="126" t="n">
        <v>46639</v>
      </c>
      <c r="H621" s="126" t="n">
        <v>46289</v>
      </c>
      <c r="I621" s="4" t="n">
        <v>0</v>
      </c>
      <c r="J621" s="4" t="n">
        <v>0</v>
      </c>
      <c r="K621" s="4" t="n">
        <v>0</v>
      </c>
      <c r="M621" s="2">
        <f>IF(C621="","",IFERROR(INDEX($S$5:$S$304,MATCH(C621,$R$5:$R$304,0))&amp;"","?"))</f>
        <v/>
      </c>
      <c r="N621" s="2">
        <f>IF(E621="","",IF(ISNUMBER(SEARCH("SUBSOLO",E621)),IFERROR(-VALUE(LEFT(E621,FIND("º",SUBSTITUTE(E621,"°","º"))-1)),-1),IF(LEFT(E621,6)="TÉRREO",0,IFERROR(VALUE(LEFT(E621,FIND("º",SUBSTITUTE(E621,"°","º"))-1)),""))))</f>
        <v/>
      </c>
      <c r="O621" s="2">
        <f>IF(OR(F621="",G621=""),"",IF(G621&lt;='RETRATO 2027'!$K$5,"CONCLUÍDA",IF(F621&lt;='RETRATO 2027'!$K$5,"EM ANDAMENTO","A INICIAR")))</f>
        <v/>
      </c>
    </row>
    <row r="622">
      <c r="B622" s="4" t="n">
        <v>31529047</v>
      </c>
      <c r="C622" s="4" t="inlineStr">
        <is>
          <t>ESTRUTURA</t>
        </is>
      </c>
      <c r="D622" s="4" t="inlineStr">
        <is>
          <t>Polimento</t>
        </is>
      </c>
      <c r="E622" s="4" t="inlineStr">
        <is>
          <t>24º PAV.</t>
        </is>
      </c>
      <c r="F622" s="126" t="n">
        <v>46639</v>
      </c>
      <c r="G622" s="126" t="n">
        <v>46639</v>
      </c>
      <c r="H622" s="126" t="n">
        <v>46289</v>
      </c>
      <c r="I622" s="4" t="n">
        <v>0</v>
      </c>
      <c r="J622" s="4" t="n">
        <v>0</v>
      </c>
      <c r="K622" s="4" t="n">
        <v>0</v>
      </c>
      <c r="M622" s="2">
        <f>IF(C622="","",IFERROR(INDEX($S$5:$S$304,MATCH(C622,$R$5:$R$304,0))&amp;"","?"))</f>
        <v/>
      </c>
      <c r="N622" s="2">
        <f>IF(E622="","",IF(ISNUMBER(SEARCH("SUBSOLO",E622)),IFERROR(-VALUE(LEFT(E622,FIND("º",SUBSTITUTE(E622,"°","º"))-1)),-1),IF(LEFT(E622,6)="TÉRREO",0,IFERROR(VALUE(LEFT(E622,FIND("º",SUBSTITUTE(E622,"°","º"))-1)),""))))</f>
        <v/>
      </c>
      <c r="O622" s="2">
        <f>IF(OR(F622="",G622=""),"",IF(G622&lt;='RETRATO 2027'!$K$5,"CONCLUÍDA",IF(F622&lt;='RETRATO 2027'!$K$5,"EM ANDAMENTO","A INICIAR")))</f>
        <v/>
      </c>
    </row>
    <row r="623">
      <c r="B623" s="4" t="n">
        <v>29981074</v>
      </c>
      <c r="C623" s="4" t="inlineStr">
        <is>
          <t>PRUMADA DE INCÊNDIO</t>
        </is>
      </c>
      <c r="D623" s="4" t="inlineStr">
        <is>
          <t>-</t>
        </is>
      </c>
      <c r="E623" s="4" t="inlineStr">
        <is>
          <t>20º PAV.</t>
        </is>
      </c>
      <c r="F623" s="126" t="n">
        <v>46630</v>
      </c>
      <c r="G623" s="126" t="n">
        <v>46643</v>
      </c>
      <c r="H623" s="126" t="n">
        <v>46289</v>
      </c>
      <c r="I623" s="4" t="n">
        <v>0</v>
      </c>
      <c r="J623" s="4" t="n">
        <v>0</v>
      </c>
      <c r="K623" s="4" t="n">
        <v>0</v>
      </c>
      <c r="M623" s="2">
        <f>IF(C623="","",IFERROR(INDEX($S$5:$S$304,MATCH(C623,$R$5:$R$304,0))&amp;"","?"))</f>
        <v/>
      </c>
      <c r="N623" s="2">
        <f>IF(E623="","",IF(ISNUMBER(SEARCH("SUBSOLO",E623)),IFERROR(-VALUE(LEFT(E623,FIND("º",SUBSTITUTE(E623,"°","º"))-1)),-1),IF(LEFT(E623,6)="TÉRREO",0,IFERROR(VALUE(LEFT(E623,FIND("º",SUBSTITUTE(E623,"°","º"))-1)),""))))</f>
        <v/>
      </c>
      <c r="O623" s="2">
        <f>IF(OR(F623="",G623=""),"",IF(G623&lt;='RETRATO 2027'!$K$5,"CONCLUÍDA",IF(F623&lt;='RETRATO 2027'!$K$5,"EM ANDAMENTO","A INICIAR")))</f>
        <v/>
      </c>
    </row>
    <row r="624">
      <c r="B624" s="4" t="n">
        <v>29981025</v>
      </c>
      <c r="C624" s="4" t="inlineStr">
        <is>
          <t>ALVENARIA</t>
        </is>
      </c>
      <c r="D624" s="4" t="inlineStr">
        <is>
          <t>-</t>
        </is>
      </c>
      <c r="E624" s="4" t="inlineStr">
        <is>
          <t>21º PAV.</t>
        </is>
      </c>
      <c r="F624" s="126" t="n">
        <v>46630</v>
      </c>
      <c r="G624" s="126" t="n">
        <v>46643</v>
      </c>
      <c r="H624" s="126" t="n">
        <v>46289</v>
      </c>
      <c r="I624" s="4" t="n">
        <v>0</v>
      </c>
      <c r="J624" s="4" t="n">
        <v>0</v>
      </c>
      <c r="K624" s="4" t="n">
        <v>0</v>
      </c>
      <c r="M624" s="2">
        <f>IF(C624="","",IFERROR(INDEX($S$5:$S$304,MATCH(C624,$R$5:$R$304,0))&amp;"","?"))</f>
        <v/>
      </c>
      <c r="N624" s="2">
        <f>IF(E624="","",IF(ISNUMBER(SEARCH("SUBSOLO",E624)),IFERROR(-VALUE(LEFT(E624,FIND("º",SUBSTITUTE(E624,"°","º"))-1)),-1),IF(LEFT(E624,6)="TÉRREO",0,IFERROR(VALUE(LEFT(E624,FIND("º",SUBSTITUTE(E624,"°","º"))-1)),""))))</f>
        <v/>
      </c>
      <c r="O624" s="2">
        <f>IF(OR(F624="",G624=""),"",IF(G624&lt;='RETRATO 2027'!$K$5,"CONCLUÍDA",IF(F624&lt;='RETRATO 2027'!$K$5,"EM ANDAMENTO","A INICIAR")))</f>
        <v/>
      </c>
    </row>
    <row r="625">
      <c r="B625" s="4" t="n">
        <v>30205722</v>
      </c>
      <c r="C625" s="4" t="inlineStr">
        <is>
          <t>REBOCO INTERNO</t>
        </is>
      </c>
      <c r="D625" s="4" t="inlineStr">
        <is>
          <t>-</t>
        </is>
      </c>
      <c r="E625" s="4" t="inlineStr">
        <is>
          <t>SUBSOLO</t>
        </is>
      </c>
      <c r="F625" s="126" t="n">
        <v>46631</v>
      </c>
      <c r="G625" s="126" t="n">
        <v>46661</v>
      </c>
      <c r="H625" s="126" t="n">
        <v>46289</v>
      </c>
      <c r="I625" s="4" t="n">
        <v>0</v>
      </c>
      <c r="J625" s="4" t="n">
        <v>0</v>
      </c>
      <c r="K625" s="4" t="n">
        <v>0</v>
      </c>
      <c r="M625" s="2">
        <f>IF(C625="","",IFERROR(INDEX($S$5:$S$304,MATCH(C625,$R$5:$R$304,0))&amp;"","?"))</f>
        <v/>
      </c>
      <c r="N625" s="2">
        <f>IF(E625="","",IF(ISNUMBER(SEARCH("SUBSOLO",E625)),IFERROR(-VALUE(LEFT(E625,FIND("º",SUBSTITUTE(E625,"°","º"))-1)),-1),IF(LEFT(E625,6)="TÉRREO",0,IFERROR(VALUE(LEFT(E625,FIND("º",SUBSTITUTE(E625,"°","º"))-1)),""))))</f>
        <v/>
      </c>
      <c r="O625" s="2">
        <f>IF(OR(F625="",G625=""),"",IF(G625&lt;='RETRATO 2027'!$K$5,"CONCLUÍDA",IF(F625&lt;='RETRATO 2027'!$K$5,"EM ANDAMENTO","A INICIAR")))</f>
        <v/>
      </c>
    </row>
    <row r="626">
      <c r="B626" s="4" t="n">
        <v>29981532</v>
      </c>
      <c r="C626" s="4" t="inlineStr">
        <is>
          <t>REVESTIMENTOS PORCELANATO PISO</t>
        </is>
      </c>
      <c r="D626" s="4" t="inlineStr">
        <is>
          <t>-</t>
        </is>
      </c>
      <c r="E626" s="4" t="inlineStr">
        <is>
          <t>7º PAV.</t>
        </is>
      </c>
      <c r="F626" s="126" t="n">
        <v>46636</v>
      </c>
      <c r="G626" s="126" t="n">
        <v>46647</v>
      </c>
      <c r="H626" s="126" t="n">
        <v>46289</v>
      </c>
      <c r="I626" s="4" t="n">
        <v>0</v>
      </c>
      <c r="J626" s="4" t="n">
        <v>0</v>
      </c>
      <c r="K626" s="4" t="n">
        <v>0</v>
      </c>
      <c r="M626" s="2">
        <f>IF(C626="","",IFERROR(INDEX($S$5:$S$304,MATCH(C626,$R$5:$R$304,0))&amp;"","?"))</f>
        <v/>
      </c>
      <c r="N626" s="2">
        <f>IF(E626="","",IF(ISNUMBER(SEARCH("SUBSOLO",E626)),IFERROR(-VALUE(LEFT(E626,FIND("º",SUBSTITUTE(E626,"°","º"))-1)),-1),IF(LEFT(E626,6)="TÉRREO",0,IFERROR(VALUE(LEFT(E626,FIND("º",SUBSTITUTE(E626,"°","º"))-1)),""))))</f>
        <v/>
      </c>
      <c r="O626" s="2">
        <f>IF(OR(F626="",G626=""),"",IF(G626&lt;='RETRATO 2027'!$K$5,"CONCLUÍDA",IF(F626&lt;='RETRATO 2027'!$K$5,"EM ANDAMENTO","A INICIAR")))</f>
        <v/>
      </c>
    </row>
    <row r="627">
      <c r="B627" s="4" t="n">
        <v>29981511</v>
      </c>
      <c r="C627" s="4" t="inlineStr">
        <is>
          <t>REVESTIMENTO PORCELANATO PAREDE</t>
        </is>
      </c>
      <c r="D627" s="4" t="inlineStr">
        <is>
          <t>-</t>
        </is>
      </c>
      <c r="E627" s="4" t="inlineStr">
        <is>
          <t>8º PAV.</t>
        </is>
      </c>
      <c r="F627" s="126" t="n">
        <v>46636</v>
      </c>
      <c r="G627" s="126" t="n">
        <v>46647</v>
      </c>
      <c r="H627" s="126" t="n">
        <v>46289</v>
      </c>
      <c r="I627" s="4" t="n">
        <v>0</v>
      </c>
      <c r="J627" s="4" t="n">
        <v>0</v>
      </c>
      <c r="K627" s="4" t="n">
        <v>0</v>
      </c>
      <c r="M627" s="2">
        <f>IF(C627="","",IFERROR(INDEX($S$5:$S$304,MATCH(C627,$R$5:$R$304,0))&amp;"","?"))</f>
        <v/>
      </c>
      <c r="N627" s="2">
        <f>IF(E627="","",IF(ISNUMBER(SEARCH("SUBSOLO",E627)),IFERROR(-VALUE(LEFT(E627,FIND("º",SUBSTITUTE(E627,"°","º"))-1)),-1),IF(LEFT(E627,6)="TÉRREO",0,IFERROR(VALUE(LEFT(E627,FIND("º",SUBSTITUTE(E627,"°","º"))-1)),""))))</f>
        <v/>
      </c>
      <c r="O627" s="2">
        <f>IF(OR(F627="",G627=""),"",IF(G627&lt;='RETRATO 2027'!$K$5,"CONCLUÍDA",IF(F627&lt;='RETRATO 2027'!$K$5,"EM ANDAMENTO","A INICIAR")))</f>
        <v/>
      </c>
    </row>
    <row r="628">
      <c r="B628" s="4" t="n">
        <v>29981472</v>
      </c>
      <c r="C628" s="4" t="inlineStr">
        <is>
          <t>IMPERMEABILIZAÇÃO</t>
        </is>
      </c>
      <c r="D628" s="4" t="inlineStr">
        <is>
          <t>-</t>
        </is>
      </c>
      <c r="E628" s="4" t="inlineStr">
        <is>
          <t>9º PAV.</t>
        </is>
      </c>
      <c r="F628" s="126" t="n">
        <v>46636</v>
      </c>
      <c r="G628" s="126" t="n">
        <v>46647</v>
      </c>
      <c r="H628" s="126" t="n">
        <v>46289</v>
      </c>
      <c r="I628" s="4" t="n">
        <v>0</v>
      </c>
      <c r="J628" s="4" t="n">
        <v>0</v>
      </c>
      <c r="K628" s="4" t="n">
        <v>0</v>
      </c>
      <c r="M628" s="2">
        <f>IF(C628="","",IFERROR(INDEX($S$5:$S$304,MATCH(C628,$R$5:$R$304,0))&amp;"","?"))</f>
        <v/>
      </c>
      <c r="N628" s="2">
        <f>IF(E628="","",IF(ISNUMBER(SEARCH("SUBSOLO",E628)),IFERROR(-VALUE(LEFT(E628,FIND("º",SUBSTITUTE(E628,"°","º"))-1)),-1),IF(LEFT(E628,6)="TÉRREO",0,IFERROR(VALUE(LEFT(E628,FIND("º",SUBSTITUTE(E628,"°","º"))-1)),""))))</f>
        <v/>
      </c>
      <c r="O628" s="2">
        <f>IF(OR(F628="",G628=""),"",IF(G628&lt;='RETRATO 2027'!$K$5,"CONCLUÍDA",IF(F628&lt;='RETRATO 2027'!$K$5,"EM ANDAMENTO","A INICIAR")))</f>
        <v/>
      </c>
    </row>
    <row r="629">
      <c r="B629" s="4" t="n">
        <v>32750436</v>
      </c>
      <c r="C629" s="4" t="inlineStr">
        <is>
          <t>DRYWALL 2º FACE</t>
        </is>
      </c>
      <c r="D629" s="4" t="inlineStr">
        <is>
          <t>-</t>
        </is>
      </c>
      <c r="E629" s="4" t="inlineStr">
        <is>
          <t>10º PAV.</t>
        </is>
      </c>
      <c r="F629" s="126" t="n">
        <v>46636</v>
      </c>
      <c r="G629" s="126" t="n">
        <v>46647</v>
      </c>
      <c r="H629" s="126" t="n">
        <v>46289</v>
      </c>
      <c r="I629" s="4" t="n">
        <v>0</v>
      </c>
      <c r="J629" s="4" t="n">
        <v>0</v>
      </c>
      <c r="K629" s="4" t="n">
        <v>0</v>
      </c>
      <c r="M629" s="2">
        <f>IF(C629="","",IFERROR(INDEX($S$5:$S$304,MATCH(C629,$R$5:$R$304,0))&amp;"","?"))</f>
        <v/>
      </c>
      <c r="N629" s="2">
        <f>IF(E629="","",IF(ISNUMBER(SEARCH("SUBSOLO",E629)),IFERROR(-VALUE(LEFT(E629,FIND("º",SUBSTITUTE(E629,"°","º"))-1)),-1),IF(LEFT(E629,6)="TÉRREO",0,IFERROR(VALUE(LEFT(E629,FIND("º",SUBSTITUTE(E629,"°","º"))-1)),""))))</f>
        <v/>
      </c>
      <c r="O629" s="2">
        <f>IF(OR(F629="",G629=""),"",IF(G629&lt;='RETRATO 2027'!$K$5,"CONCLUÍDA",IF(F629&lt;='RETRATO 2027'!$K$5,"EM ANDAMENTO","A INICIAR")))</f>
        <v/>
      </c>
    </row>
    <row r="630">
      <c r="B630" s="4" t="n">
        <v>32750359</v>
      </c>
      <c r="C630" s="4" t="inlineStr">
        <is>
          <t>DISTRIBUIÇÃO DE GÁS - DRYWALL</t>
        </is>
      </c>
      <c r="D630" s="4" t="inlineStr">
        <is>
          <t>-</t>
        </is>
      </c>
      <c r="E630" s="4" t="inlineStr">
        <is>
          <t>11º PAV.</t>
        </is>
      </c>
      <c r="F630" s="126" t="n">
        <v>46636</v>
      </c>
      <c r="G630" s="126" t="n">
        <v>46647</v>
      </c>
      <c r="H630" s="126" t="n">
        <v>46289</v>
      </c>
      <c r="I630" s="4" t="n">
        <v>0</v>
      </c>
      <c r="J630" s="4" t="n">
        <v>0</v>
      </c>
      <c r="K630" s="4" t="n">
        <v>0</v>
      </c>
      <c r="M630" s="2">
        <f>IF(C630="","",IFERROR(INDEX($S$5:$S$304,MATCH(C630,$R$5:$R$304,0))&amp;"","?"))</f>
        <v/>
      </c>
      <c r="N630" s="2">
        <f>IF(E630="","",IF(ISNUMBER(SEARCH("SUBSOLO",E630)),IFERROR(-VALUE(LEFT(E630,FIND("º",SUBSTITUTE(E630,"°","º"))-1)),-1),IF(LEFT(E630,6)="TÉRREO",0,IFERROR(VALUE(LEFT(E630,FIND("º",SUBSTITUTE(E630,"°","º"))-1)),""))))</f>
        <v/>
      </c>
      <c r="O630" s="2">
        <f>IF(OR(F630="",G630=""),"",IF(G630&lt;='RETRATO 2027'!$K$5,"CONCLUÍDA",IF(F630&lt;='RETRATO 2027'!$K$5,"EM ANDAMENTO","A INICIAR")))</f>
        <v/>
      </c>
    </row>
    <row r="631">
      <c r="B631" s="4" t="n">
        <v>32750385</v>
      </c>
      <c r="C631" s="4" t="inlineStr">
        <is>
          <t>DISTRIBUIÇÃO ELÉTRICA/QUADRO - DRYWALL</t>
        </is>
      </c>
      <c r="D631" s="4" t="inlineStr">
        <is>
          <t>-</t>
        </is>
      </c>
      <c r="E631" s="4" t="inlineStr">
        <is>
          <t>11º PAV.</t>
        </is>
      </c>
      <c r="F631" s="126" t="n">
        <v>46636</v>
      </c>
      <c r="G631" s="126" t="n">
        <v>46647</v>
      </c>
      <c r="H631" s="126" t="n">
        <v>46289</v>
      </c>
      <c r="I631" s="4" t="n">
        <v>0</v>
      </c>
      <c r="J631" s="4" t="n">
        <v>0</v>
      </c>
      <c r="K631" s="4" t="n">
        <v>0</v>
      </c>
      <c r="M631" s="2">
        <f>IF(C631="","",IFERROR(INDEX($S$5:$S$304,MATCH(C631,$R$5:$R$304,0))&amp;"","?"))</f>
        <v/>
      </c>
      <c r="N631" s="2">
        <f>IF(E631="","",IF(ISNUMBER(SEARCH("SUBSOLO",E631)),IFERROR(-VALUE(LEFT(E631,FIND("º",SUBSTITUTE(E631,"°","º"))-1)),-1),IF(LEFT(E631,6)="TÉRREO",0,IFERROR(VALUE(LEFT(E631,FIND("º",SUBSTITUTE(E631,"°","º"))-1)),""))))</f>
        <v/>
      </c>
      <c r="O631" s="2">
        <f>IF(OR(F631="",G631=""),"",IF(G631&lt;='RETRATO 2027'!$K$5,"CONCLUÍDA",IF(F631&lt;='RETRATO 2027'!$K$5,"EM ANDAMENTO","A INICIAR")))</f>
        <v/>
      </c>
    </row>
    <row r="632">
      <c r="B632" s="4" t="n">
        <v>32750411</v>
      </c>
      <c r="C632" s="4" t="inlineStr">
        <is>
          <t>DISTRIBUIÇÃO HIDRÁULICA - DRYWALL</t>
        </is>
      </c>
      <c r="D632" s="4" t="inlineStr">
        <is>
          <t>-</t>
        </is>
      </c>
      <c r="E632" s="4" t="inlineStr">
        <is>
          <t>11º PAV.</t>
        </is>
      </c>
      <c r="F632" s="126" t="n">
        <v>46636</v>
      </c>
      <c r="G632" s="126" t="n">
        <v>46647</v>
      </c>
      <c r="H632" s="126" t="n">
        <v>46289</v>
      </c>
      <c r="I632" s="4" t="n">
        <v>0</v>
      </c>
      <c r="J632" s="4" t="n">
        <v>0</v>
      </c>
      <c r="K632" s="4" t="n">
        <v>0</v>
      </c>
      <c r="M632" s="2">
        <f>IF(C632="","",IFERROR(INDEX($S$5:$S$304,MATCH(C632,$R$5:$R$304,0))&amp;"","?"))</f>
        <v/>
      </c>
      <c r="N632" s="2">
        <f>IF(E632="","",IF(ISNUMBER(SEARCH("SUBSOLO",E632)),IFERROR(-VALUE(LEFT(E632,FIND("º",SUBSTITUTE(E632,"°","º"))-1)),-1),IF(LEFT(E632,6)="TÉRREO",0,IFERROR(VALUE(LEFT(E632,FIND("º",SUBSTITUTE(E632,"°","º"))-1)),""))))</f>
        <v/>
      </c>
      <c r="O632" s="2">
        <f>IF(OR(F632="",G632=""),"",IF(G632&lt;='RETRATO 2027'!$K$5,"CONCLUÍDA",IF(F632&lt;='RETRATO 2027'!$K$5,"EM ANDAMENTO","A INICIAR")))</f>
        <v/>
      </c>
    </row>
    <row r="633">
      <c r="B633" s="4" t="n">
        <v>33896829</v>
      </c>
      <c r="C633" s="4" t="inlineStr">
        <is>
          <t>INFRAESTRUTURA - AR CONDICIONADO</t>
        </is>
      </c>
      <c r="D633" s="4" t="inlineStr">
        <is>
          <t>-</t>
        </is>
      </c>
      <c r="E633" s="4" t="inlineStr">
        <is>
          <t>11º PAV.</t>
        </is>
      </c>
      <c r="F633" s="126" t="n">
        <v>46636</v>
      </c>
      <c r="G633" s="126" t="n">
        <v>46647</v>
      </c>
      <c r="H633" s="126" t="n">
        <v>46289</v>
      </c>
      <c r="I633" s="4" t="n">
        <v>0</v>
      </c>
      <c r="J633" s="4" t="n">
        <v>0</v>
      </c>
      <c r="K633" s="4" t="n">
        <v>0</v>
      </c>
      <c r="M633" s="2">
        <f>IF(C633="","",IFERROR(INDEX($S$5:$S$304,MATCH(C633,$R$5:$R$304,0))&amp;"","?"))</f>
        <v/>
      </c>
      <c r="N633" s="2">
        <f>IF(E633="","",IF(ISNUMBER(SEARCH("SUBSOLO",E633)),IFERROR(-VALUE(LEFT(E633,FIND("º",SUBSTITUTE(E633,"°","º"))-1)),-1),IF(LEFT(E633,6)="TÉRREO",0,IFERROR(VALUE(LEFT(E633,FIND("º",SUBSTITUTE(E633,"°","º"))-1)),""))))</f>
        <v/>
      </c>
      <c r="O633" s="2">
        <f>IF(OR(F633="",G633=""),"",IF(G633&lt;='RETRATO 2027'!$K$5,"CONCLUÍDA",IF(F633&lt;='RETRATO 2027'!$K$5,"EM ANDAMENTO","A INICIAR")))</f>
        <v/>
      </c>
    </row>
    <row r="634">
      <c r="B634" s="4" t="n">
        <v>32749855</v>
      </c>
      <c r="C634" s="4" t="inlineStr">
        <is>
          <t>DRYWALL 1º FACE</t>
        </is>
      </c>
      <c r="D634" s="4" t="inlineStr">
        <is>
          <t>-</t>
        </is>
      </c>
      <c r="E634" s="4" t="inlineStr">
        <is>
          <t>12º PAV.</t>
        </is>
      </c>
      <c r="F634" s="126" t="n">
        <v>46636</v>
      </c>
      <c r="G634" s="126" t="n">
        <v>46647</v>
      </c>
      <c r="H634" s="126" t="n">
        <v>46289</v>
      </c>
      <c r="I634" s="4" t="n">
        <v>0</v>
      </c>
      <c r="J634" s="4" t="n">
        <v>0</v>
      </c>
      <c r="K634" s="4" t="n">
        <v>0</v>
      </c>
      <c r="M634" s="2">
        <f>IF(C634="","",IFERROR(INDEX($S$5:$S$304,MATCH(C634,$R$5:$R$304,0))&amp;"","?"))</f>
        <v/>
      </c>
      <c r="N634" s="2">
        <f>IF(E634="","",IF(ISNUMBER(SEARCH("SUBSOLO",E634)),IFERROR(-VALUE(LEFT(E634,FIND("º",SUBSTITUTE(E634,"°","º"))-1)),-1),IF(LEFT(E634,6)="TÉRREO",0,IFERROR(VALUE(LEFT(E634,FIND("º",SUBSTITUTE(E634,"°","º"))-1)),""))))</f>
        <v/>
      </c>
      <c r="O634" s="2">
        <f>IF(OR(F634="",G634=""),"",IF(G634&lt;='RETRATO 2027'!$K$5,"CONCLUÍDA",IF(F634&lt;='RETRATO 2027'!$K$5,"EM ANDAMENTO","A INICIAR")))</f>
        <v/>
      </c>
    </row>
    <row r="635">
      <c r="B635" s="4" t="n">
        <v>29981325</v>
      </c>
      <c r="C635" s="4" t="inlineStr">
        <is>
          <t>CONTRAPISO</t>
        </is>
      </c>
      <c r="D635" s="4" t="inlineStr">
        <is>
          <t>-</t>
        </is>
      </c>
      <c r="E635" s="4" t="inlineStr">
        <is>
          <t>13º PAV.</t>
        </is>
      </c>
      <c r="F635" s="126" t="n">
        <v>46636</v>
      </c>
      <c r="G635" s="126" t="n">
        <v>46647</v>
      </c>
      <c r="H635" s="126" t="n">
        <v>46289</v>
      </c>
      <c r="I635" s="4" t="n">
        <v>0</v>
      </c>
      <c r="J635" s="4" t="n">
        <v>0</v>
      </c>
      <c r="K635" s="4" t="n">
        <v>0</v>
      </c>
      <c r="M635" s="2">
        <f>IF(C635="","",IFERROR(INDEX($S$5:$S$304,MATCH(C635,$R$5:$R$304,0))&amp;"","?"))</f>
        <v/>
      </c>
      <c r="N635" s="2">
        <f>IF(E635="","",IF(ISNUMBER(SEARCH("SUBSOLO",E635)),IFERROR(-VALUE(LEFT(E635,FIND("º",SUBSTITUTE(E635,"°","º"))-1)),-1),IF(LEFT(E635,6)="TÉRREO",0,IFERROR(VALUE(LEFT(E635,FIND("º",SUBSTITUTE(E635,"°","º"))-1)),""))))</f>
        <v/>
      </c>
      <c r="O635" s="2">
        <f>IF(OR(F635="",G635=""),"",IF(G635&lt;='RETRATO 2027'!$K$5,"CONCLUÍDA",IF(F635&lt;='RETRATO 2027'!$K$5,"EM ANDAMENTO","A INICIAR")))</f>
        <v/>
      </c>
    </row>
    <row r="636">
      <c r="B636" s="4" t="n">
        <v>29981265</v>
      </c>
      <c r="C636" s="4" t="inlineStr">
        <is>
          <t>SHAFT INTERNO INST. HIDRAÚLICAS</t>
        </is>
      </c>
      <c r="D636" s="4" t="inlineStr">
        <is>
          <t>-</t>
        </is>
      </c>
      <c r="E636" s="4" t="inlineStr">
        <is>
          <t>14º PAV.</t>
        </is>
      </c>
      <c r="F636" s="126" t="n">
        <v>46636</v>
      </c>
      <c r="G636" s="126" t="n">
        <v>46647</v>
      </c>
      <c r="H636" s="126" t="n">
        <v>46289</v>
      </c>
      <c r="I636" s="4" t="n">
        <v>0</v>
      </c>
      <c r="J636" s="4" t="n">
        <v>0</v>
      </c>
      <c r="K636" s="4" t="n">
        <v>0</v>
      </c>
      <c r="M636" s="2">
        <f>IF(C636="","",IFERROR(INDEX($S$5:$S$304,MATCH(C636,$R$5:$R$304,0))&amp;"","?"))</f>
        <v/>
      </c>
      <c r="N636" s="2">
        <f>IF(E636="","",IF(ISNUMBER(SEARCH("SUBSOLO",E636)),IFERROR(-VALUE(LEFT(E636,FIND("º",SUBSTITUTE(E636,"°","º"))-1)),-1),IF(LEFT(E636,6)="TÉRREO",0,IFERROR(VALUE(LEFT(E636,FIND("º",SUBSTITUTE(E636,"°","º"))-1)),""))))</f>
        <v/>
      </c>
      <c r="O636" s="2">
        <f>IF(OR(F636="",G636=""),"",IF(G636&lt;='RETRATO 2027'!$K$5,"CONCLUÍDA",IF(F636&lt;='RETRATO 2027'!$K$5,"EM ANDAMENTO","A INICIAR")))</f>
        <v/>
      </c>
    </row>
    <row r="637">
      <c r="B637" s="4" t="n">
        <v>29981298</v>
      </c>
      <c r="C637" s="4" t="inlineStr">
        <is>
          <t>PRUMADA ELÉTRICA - INFRA</t>
        </is>
      </c>
      <c r="D637" s="4" t="inlineStr">
        <is>
          <t>-</t>
        </is>
      </c>
      <c r="E637" s="4" t="inlineStr">
        <is>
          <t>14º PAV.</t>
        </is>
      </c>
      <c r="F637" s="126" t="n">
        <v>46636</v>
      </c>
      <c r="G637" s="126" t="n">
        <v>46647</v>
      </c>
      <c r="H637" s="126" t="n">
        <v>46289</v>
      </c>
      <c r="I637" s="4" t="n">
        <v>0</v>
      </c>
      <c r="J637" s="4" t="n">
        <v>0</v>
      </c>
      <c r="K637" s="4" t="n">
        <v>0</v>
      </c>
      <c r="M637" s="2">
        <f>IF(C637="","",IFERROR(INDEX($S$5:$S$304,MATCH(C637,$R$5:$R$304,0))&amp;"","?"))</f>
        <v/>
      </c>
      <c r="N637" s="2">
        <f>IF(E637="","",IF(ISNUMBER(SEARCH("SUBSOLO",E637)),IFERROR(-VALUE(LEFT(E637,FIND("º",SUBSTITUTE(E637,"°","º"))-1)),-1),IF(LEFT(E637,6)="TÉRREO",0,IFERROR(VALUE(LEFT(E637,FIND("º",SUBSTITUTE(E637,"°","º"))-1)),""))))</f>
        <v/>
      </c>
      <c r="O637" s="2">
        <f>IF(OR(F637="",G637=""),"",IF(G637&lt;='RETRATO 2027'!$K$5,"CONCLUÍDA",IF(F637&lt;='RETRATO 2027'!$K$5,"EM ANDAMENTO","A INICIAR")))</f>
        <v/>
      </c>
    </row>
    <row r="638">
      <c r="B638" s="4" t="n">
        <v>29981227</v>
      </c>
      <c r="C638" s="4" t="inlineStr">
        <is>
          <t>REBOCO INTERNO</t>
        </is>
      </c>
      <c r="D638" s="4" t="inlineStr">
        <is>
          <t>-</t>
        </is>
      </c>
      <c r="E638" s="4" t="inlineStr">
        <is>
          <t>15º PAV.</t>
        </is>
      </c>
      <c r="F638" s="126" t="n">
        <v>46636</v>
      </c>
      <c r="G638" s="126" t="n">
        <v>46647</v>
      </c>
      <c r="H638" s="126" t="n">
        <v>46289</v>
      </c>
      <c r="I638" s="4" t="n">
        <v>0</v>
      </c>
      <c r="J638" s="4" t="n">
        <v>0</v>
      </c>
      <c r="K638" s="4" t="n">
        <v>0</v>
      </c>
      <c r="M638" s="2">
        <f>IF(C638="","",IFERROR(INDEX($S$5:$S$304,MATCH(C638,$R$5:$R$304,0))&amp;"","?"))</f>
        <v/>
      </c>
      <c r="N638" s="2">
        <f>IF(E638="","",IF(ISNUMBER(SEARCH("SUBSOLO",E638)),IFERROR(-VALUE(LEFT(E638,FIND("º",SUBSTITUTE(E638,"°","º"))-1)),-1),IF(LEFT(E638,6)="TÉRREO",0,IFERROR(VALUE(LEFT(E638,FIND("º",SUBSTITUTE(E638,"°","º"))-1)),""))))</f>
        <v/>
      </c>
      <c r="O638" s="2">
        <f>IF(OR(F638="",G638=""),"",IF(G638&lt;='RETRATO 2027'!$K$5,"CONCLUÍDA",IF(F638&lt;='RETRATO 2027'!$K$5,"EM ANDAMENTO","A INICIAR")))</f>
        <v/>
      </c>
    </row>
    <row r="639">
      <c r="B639" s="4" t="n">
        <v>29981193</v>
      </c>
      <c r="C639" s="4" t="inlineStr">
        <is>
          <t>CONTRAMARCO</t>
        </is>
      </c>
      <c r="D639" s="4" t="inlineStr">
        <is>
          <t>-</t>
        </is>
      </c>
      <c r="E639" s="4" t="inlineStr">
        <is>
          <t>16º PAV.</t>
        </is>
      </c>
      <c r="F639" s="126" t="n">
        <v>46636</v>
      </c>
      <c r="G639" s="126" t="n">
        <v>46647</v>
      </c>
      <c r="H639" s="126" t="n">
        <v>46289</v>
      </c>
      <c r="I639" s="4" t="n">
        <v>0</v>
      </c>
      <c r="J639" s="4" t="n">
        <v>0</v>
      </c>
      <c r="K639" s="4" t="n">
        <v>0</v>
      </c>
      <c r="M639" s="2">
        <f>IF(C639="","",IFERROR(INDEX($S$5:$S$304,MATCH(C639,$R$5:$R$304,0))&amp;"","?"))</f>
        <v/>
      </c>
      <c r="N639" s="2">
        <f>IF(E639="","",IF(ISNUMBER(SEARCH("SUBSOLO",E639)),IFERROR(-VALUE(LEFT(E639,FIND("º",SUBSTITUTE(E639,"°","º"))-1)),-1),IF(LEFT(E639,6)="TÉRREO",0,IFERROR(VALUE(LEFT(E639,FIND("º",SUBSTITUTE(E639,"°","º"))-1)),""))))</f>
        <v/>
      </c>
      <c r="O639" s="2">
        <f>IF(OR(F639="",G639=""),"",IF(G639&lt;='RETRATO 2027'!$K$5,"CONCLUÍDA",IF(F639&lt;='RETRATO 2027'!$K$5,"EM ANDAMENTO","A INICIAR")))</f>
        <v/>
      </c>
    </row>
    <row r="640">
      <c r="B640" s="4" t="n">
        <v>29981186</v>
      </c>
      <c r="C640" s="4" t="inlineStr">
        <is>
          <t>DISTRIBUIÇÃO HIDROSSANITÁRIA</t>
        </is>
      </c>
      <c r="D640" s="4" t="inlineStr">
        <is>
          <t>-</t>
        </is>
      </c>
      <c r="E640" s="4" t="inlineStr">
        <is>
          <t>17º PAV.</t>
        </is>
      </c>
      <c r="F640" s="126" t="n">
        <v>46636</v>
      </c>
      <c r="G640" s="126" t="n">
        <v>46647</v>
      </c>
      <c r="H640" s="126" t="n">
        <v>46289</v>
      </c>
      <c r="I640" s="4" t="n">
        <v>0</v>
      </c>
      <c r="J640" s="4" t="n">
        <v>0</v>
      </c>
      <c r="K640" s="4" t="n">
        <v>0</v>
      </c>
      <c r="M640" s="2">
        <f>IF(C640="","",IFERROR(INDEX($S$5:$S$304,MATCH(C640,$R$5:$R$304,0))&amp;"","?"))</f>
        <v/>
      </c>
      <c r="N640" s="2">
        <f>IF(E640="","",IF(ISNUMBER(SEARCH("SUBSOLO",E640)),IFERROR(-VALUE(LEFT(E640,FIND("º",SUBSTITUTE(E640,"°","º"))-1)),-1),IF(LEFT(E640,6)="TÉRREO",0,IFERROR(VALUE(LEFT(E640,FIND("º",SUBSTITUTE(E640,"°","º"))-1)),""))))</f>
        <v/>
      </c>
      <c r="O640" s="2">
        <f>IF(OR(F640="",G640=""),"",IF(G640&lt;='RETRATO 2027'!$K$5,"CONCLUÍDA",IF(F640&lt;='RETRATO 2027'!$K$5,"EM ANDAMENTO","A INICIAR")))</f>
        <v/>
      </c>
    </row>
    <row r="641">
      <c r="B641" s="4" t="n">
        <v>29981155</v>
      </c>
      <c r="C641" s="4" t="inlineStr">
        <is>
          <t>DISTRIBUIÇÃO ELÉTRICA / QUADRO</t>
        </is>
      </c>
      <c r="D641" s="4" t="inlineStr">
        <is>
          <t>-</t>
        </is>
      </c>
      <c r="E641" s="4" t="inlineStr">
        <is>
          <t>17º PAV.</t>
        </is>
      </c>
      <c r="F641" s="126" t="n">
        <v>46636</v>
      </c>
      <c r="G641" s="126" t="n">
        <v>46647</v>
      </c>
      <c r="H641" s="126" t="n">
        <v>46289</v>
      </c>
      <c r="I641" s="4" t="n">
        <v>0</v>
      </c>
      <c r="J641" s="4" t="n">
        <v>0</v>
      </c>
      <c r="K641" s="4" t="n">
        <v>0</v>
      </c>
      <c r="M641" s="2">
        <f>IF(C641="","",IFERROR(INDEX($S$5:$S$304,MATCH(C641,$R$5:$R$304,0))&amp;"","?"))</f>
        <v/>
      </c>
      <c r="N641" s="2">
        <f>IF(E641="","",IF(ISNUMBER(SEARCH("SUBSOLO",E641)),IFERROR(-VALUE(LEFT(E641,FIND("º",SUBSTITUTE(E641,"°","º"))-1)),-1),IF(LEFT(E641,6)="TÉRREO",0,IFERROR(VALUE(LEFT(E641,FIND("º",SUBSTITUTE(E641,"°","º"))-1)),""))))</f>
        <v/>
      </c>
      <c r="O641" s="2">
        <f>IF(OR(F641="",G641=""),"",IF(G641&lt;='RETRATO 2027'!$K$5,"CONCLUÍDA",IF(F641&lt;='RETRATO 2027'!$K$5,"EM ANDAMENTO","A INICIAR")))</f>
        <v/>
      </c>
    </row>
    <row r="642">
      <c r="B642" s="4" t="n">
        <v>29981188</v>
      </c>
      <c r="C642" s="4" t="inlineStr">
        <is>
          <t>DISTRIBUIÇÃO DE GÁS</t>
        </is>
      </c>
      <c r="D642" s="4" t="inlineStr">
        <is>
          <t>-</t>
        </is>
      </c>
      <c r="E642" s="4" t="inlineStr">
        <is>
          <t>17º PAV.</t>
        </is>
      </c>
      <c r="F642" s="126" t="n">
        <v>46636</v>
      </c>
      <c r="G642" s="126" t="n">
        <v>46647</v>
      </c>
      <c r="H642" s="126" t="n">
        <v>46289</v>
      </c>
      <c r="I642" s="4" t="n">
        <v>0</v>
      </c>
      <c r="J642" s="4" t="n">
        <v>0</v>
      </c>
      <c r="K642" s="4" t="n">
        <v>0</v>
      </c>
      <c r="M642" s="2">
        <f>IF(C642="","",IFERROR(INDEX($S$5:$S$304,MATCH(C642,$R$5:$R$304,0))&amp;"","?"))</f>
        <v/>
      </c>
      <c r="N642" s="2">
        <f>IF(E642="","",IF(ISNUMBER(SEARCH("SUBSOLO",E642)),IFERROR(-VALUE(LEFT(E642,FIND("º",SUBSTITUTE(E642,"°","º"))-1)),-1),IF(LEFT(E642,6)="TÉRREO",0,IFERROR(VALUE(LEFT(E642,FIND("º",SUBSTITUTE(E642,"°","º"))-1)),""))))</f>
        <v/>
      </c>
      <c r="O642" s="2">
        <f>IF(OR(F642="",G642=""),"",IF(G642&lt;='RETRATO 2027'!$K$5,"CONCLUÍDA",IF(F642&lt;='RETRATO 2027'!$K$5,"EM ANDAMENTO","A INICIAR")))</f>
        <v/>
      </c>
    </row>
    <row r="643">
      <c r="B643" s="4" t="n">
        <v>29981135</v>
      </c>
      <c r="C643" s="4" t="inlineStr">
        <is>
          <t>TALISCAMENTO</t>
        </is>
      </c>
      <c r="D643" s="4" t="inlineStr">
        <is>
          <t>-</t>
        </is>
      </c>
      <c r="E643" s="4" t="inlineStr">
        <is>
          <t>18º PAV.</t>
        </is>
      </c>
      <c r="F643" s="126" t="n">
        <v>46636</v>
      </c>
      <c r="G643" s="126" t="n">
        <v>46647</v>
      </c>
      <c r="H643" s="126" t="n">
        <v>46289</v>
      </c>
      <c r="I643" s="4" t="n">
        <v>0</v>
      </c>
      <c r="J643" s="4" t="n">
        <v>0</v>
      </c>
      <c r="K643" s="4" t="n">
        <v>0</v>
      </c>
      <c r="M643" s="2">
        <f>IF(C643="","",IFERROR(INDEX($S$5:$S$304,MATCH(C643,$R$5:$R$304,0))&amp;"","?"))</f>
        <v/>
      </c>
      <c r="N643" s="2">
        <f>IF(E643="","",IF(ISNUMBER(SEARCH("SUBSOLO",E643)),IFERROR(-VALUE(LEFT(E643,FIND("º",SUBSTITUTE(E643,"°","º"))-1)),-1),IF(LEFT(E643,6)="TÉRREO",0,IFERROR(VALUE(LEFT(E643,FIND("º",SUBSTITUTE(E643,"°","º"))-1)),""))))</f>
        <v/>
      </c>
      <c r="O643" s="2">
        <f>IF(OR(F643="",G643=""),"",IF(G643&lt;='RETRATO 2027'!$K$5,"CONCLUÍDA",IF(F643&lt;='RETRATO 2027'!$K$5,"EM ANDAMENTO","A INICIAR")))</f>
        <v/>
      </c>
    </row>
    <row r="644">
      <c r="B644" s="4" t="n">
        <v>29981064</v>
      </c>
      <c r="C644" s="4" t="inlineStr">
        <is>
          <t>PRUMADA HIDROSSANITÁRIA</t>
        </is>
      </c>
      <c r="D644" s="4" t="inlineStr">
        <is>
          <t>-</t>
        </is>
      </c>
      <c r="E644" s="4" t="inlineStr">
        <is>
          <t>20º PAV.</t>
        </is>
      </c>
      <c r="F644" s="126" t="n">
        <v>46636</v>
      </c>
      <c r="G644" s="126" t="n">
        <v>46647</v>
      </c>
      <c r="H644" s="126" t="n">
        <v>46289</v>
      </c>
      <c r="I644" s="4" t="n">
        <v>0</v>
      </c>
      <c r="J644" s="4" t="n">
        <v>0</v>
      </c>
      <c r="K644" s="4" t="n">
        <v>0</v>
      </c>
      <c r="M644" s="2">
        <f>IF(C644="","",IFERROR(INDEX($S$5:$S$304,MATCH(C644,$R$5:$R$304,0))&amp;"","?"))</f>
        <v/>
      </c>
      <c r="N644" s="2">
        <f>IF(E644="","",IF(ISNUMBER(SEARCH("SUBSOLO",E644)),IFERROR(-VALUE(LEFT(E644,FIND("º",SUBSTITUTE(E644,"°","º"))-1)),-1),IF(LEFT(E644,6)="TÉRREO",0,IFERROR(VALUE(LEFT(E644,FIND("º",SUBSTITUTE(E644,"°","º"))-1)),""))))</f>
        <v/>
      </c>
      <c r="O644" s="2">
        <f>IF(OR(F644="",G644=""),"",IF(G644&lt;='RETRATO 2027'!$K$5,"CONCLUÍDA",IF(F644&lt;='RETRATO 2027'!$K$5,"EM ANDAMENTO","A INICIAR")))</f>
        <v/>
      </c>
    </row>
    <row r="645">
      <c r="B645" s="4" t="n">
        <v>29981063</v>
      </c>
      <c r="C645" s="4" t="inlineStr">
        <is>
          <t>ENCUNHAMENTO</t>
        </is>
      </c>
      <c r="D645" s="4" t="inlineStr">
        <is>
          <t>-</t>
        </is>
      </c>
      <c r="E645" s="4" t="inlineStr">
        <is>
          <t>20º PAV.</t>
        </is>
      </c>
      <c r="F645" s="126" t="n">
        <v>46639</v>
      </c>
      <c r="G645" s="126" t="n">
        <v>46651</v>
      </c>
      <c r="H645" s="126" t="n">
        <v>46289</v>
      </c>
      <c r="I645" s="4" t="n">
        <v>0</v>
      </c>
      <c r="J645" s="4" t="n">
        <v>0</v>
      </c>
      <c r="K645" s="4" t="n">
        <v>0</v>
      </c>
      <c r="M645" s="2">
        <f>IF(C645="","",IFERROR(INDEX($S$5:$S$304,MATCH(C645,$R$5:$R$304,0))&amp;"","?"))</f>
        <v/>
      </c>
      <c r="N645" s="2">
        <f>IF(E645="","",IF(ISNUMBER(SEARCH("SUBSOLO",E645)),IFERROR(-VALUE(LEFT(E645,FIND("º",SUBSTITUTE(E645,"°","º"))-1)),-1),IF(LEFT(E645,6)="TÉRREO",0,IFERROR(VALUE(LEFT(E645,FIND("º",SUBSTITUTE(E645,"°","º"))-1)),""))))</f>
        <v/>
      </c>
      <c r="O645" s="2">
        <f>IF(OR(F645="",G645=""),"",IF(G645&lt;='RETRATO 2027'!$K$5,"CONCLUÍDA",IF(F645&lt;='RETRATO 2027'!$K$5,"EM ANDAMENTO","A INICIAR")))</f>
        <v/>
      </c>
    </row>
    <row r="646">
      <c r="B646" s="4" t="n">
        <v>31789446</v>
      </c>
      <c r="C646" s="4" t="inlineStr">
        <is>
          <t>FACHADA AERADA - F1 + F2 (1º ETAPA)</t>
        </is>
      </c>
      <c r="D646" s="4" t="inlineStr">
        <is>
          <t>-</t>
        </is>
      </c>
      <c r="E646" s="4" t="inlineStr">
        <is>
          <t>FACHADA</t>
        </is>
      </c>
      <c r="F646" s="126" t="n">
        <v>46639</v>
      </c>
      <c r="G646" s="126" t="n">
        <v>46696</v>
      </c>
      <c r="H646" s="126" t="n">
        <v>46289</v>
      </c>
      <c r="I646" s="4" t="n">
        <v>0</v>
      </c>
      <c r="J646" s="4" t="n">
        <v>0</v>
      </c>
      <c r="K646" s="4" t="n">
        <v>0</v>
      </c>
      <c r="M646" s="2">
        <f>IF(C646="","",IFERROR(INDEX($S$5:$S$304,MATCH(C646,$R$5:$R$304,0))&amp;"","?"))</f>
        <v/>
      </c>
      <c r="N646" s="2">
        <f>IF(E646="","",IF(ISNUMBER(SEARCH("SUBSOLO",E646)),IFERROR(-VALUE(LEFT(E646,FIND("º",SUBSTITUTE(E646,"°","º"))-1)),-1),IF(LEFT(E646,6)="TÉRREO",0,IFERROR(VALUE(LEFT(E646,FIND("º",SUBSTITUTE(E646,"°","º"))-1)),""))))</f>
        <v/>
      </c>
      <c r="O646" s="2">
        <f>IF(OR(F646="",G646=""),"",IF(G646&lt;='RETRATO 2027'!$K$5,"CONCLUÍDA",IF(F646&lt;='RETRATO 2027'!$K$5,"EM ANDAMENTO","A INICIAR")))</f>
        <v/>
      </c>
    </row>
    <row r="647">
      <c r="B647" s="4" t="n">
        <v>30205701</v>
      </c>
      <c r="C647" s="4" t="inlineStr">
        <is>
          <t>DRYWALL</t>
        </is>
      </c>
      <c r="D647" s="4" t="inlineStr">
        <is>
          <t>-</t>
        </is>
      </c>
      <c r="E647" s="4" t="inlineStr">
        <is>
          <t>TÉRREO - LOJA 1</t>
        </is>
      </c>
      <c r="F647" s="126" t="n">
        <v>46640</v>
      </c>
      <c r="G647" s="126" t="n">
        <v>46653</v>
      </c>
      <c r="H647" s="126" t="n">
        <v>46289</v>
      </c>
      <c r="I647" s="4" t="n">
        <v>0</v>
      </c>
      <c r="J647" s="4" t="n">
        <v>0</v>
      </c>
      <c r="K647" s="4" t="n">
        <v>0</v>
      </c>
      <c r="M647" s="2">
        <f>IF(C647="","",IFERROR(INDEX($S$5:$S$304,MATCH(C647,$R$5:$R$304,0))&amp;"","?"))</f>
        <v/>
      </c>
      <c r="N647" s="2">
        <f>IF(E647="","",IF(ISNUMBER(SEARCH("SUBSOLO",E647)),IFERROR(-VALUE(LEFT(E647,FIND("º",SUBSTITUTE(E647,"°","º"))-1)),-1),IF(LEFT(E647,6)="TÉRREO",0,IFERROR(VALUE(LEFT(E647,FIND("º",SUBSTITUTE(E647,"°","º"))-1)),""))))</f>
        <v/>
      </c>
      <c r="O647" s="2">
        <f>IF(OR(F647="",G647=""),"",IF(G647&lt;='RETRATO 2027'!$K$5,"CONCLUÍDA",IF(F647&lt;='RETRATO 2027'!$K$5,"EM ANDAMENTO","A INICIAR")))</f>
        <v/>
      </c>
    </row>
    <row r="648">
      <c r="B648" s="4" t="n">
        <v>30205673</v>
      </c>
      <c r="C648" s="4" t="inlineStr">
        <is>
          <t>CONTRAPISO</t>
        </is>
      </c>
      <c r="D648" s="4" t="inlineStr">
        <is>
          <t>-</t>
        </is>
      </c>
      <c r="E648" s="4" t="inlineStr">
        <is>
          <t>TÉRREO - LOJA 2</t>
        </is>
      </c>
      <c r="F648" s="126" t="n">
        <v>46640</v>
      </c>
      <c r="G648" s="126" t="n">
        <v>46653</v>
      </c>
      <c r="H648" s="126" t="n">
        <v>46289</v>
      </c>
      <c r="I648" s="4" t="n">
        <v>0</v>
      </c>
      <c r="J648" s="4" t="n">
        <v>0</v>
      </c>
      <c r="K648" s="4" t="n">
        <v>0</v>
      </c>
      <c r="M648" s="2">
        <f>IF(C648="","",IFERROR(INDEX($S$5:$S$304,MATCH(C648,$R$5:$R$304,0))&amp;"","?"))</f>
        <v/>
      </c>
      <c r="N648" s="2">
        <f>IF(E648="","",IF(ISNUMBER(SEARCH("SUBSOLO",E648)),IFERROR(-VALUE(LEFT(E648,FIND("º",SUBSTITUTE(E648,"°","º"))-1)),-1),IF(LEFT(E648,6)="TÉRREO",0,IFERROR(VALUE(LEFT(E648,FIND("º",SUBSTITUTE(E648,"°","º"))-1)),""))))</f>
        <v/>
      </c>
      <c r="O648" s="2">
        <f>IF(OR(F648="",G648=""),"",IF(G648&lt;='RETRATO 2027'!$K$5,"CONCLUÍDA",IF(F648&lt;='RETRATO 2027'!$K$5,"EM ANDAMENTO","A INICIAR")))</f>
        <v/>
      </c>
    </row>
    <row r="649">
      <c r="B649" s="4" t="n">
        <v>31803886</v>
      </c>
      <c r="C649" s="4" t="inlineStr">
        <is>
          <t>FACHADA LOJA</t>
        </is>
      </c>
      <c r="D649" s="4" t="inlineStr">
        <is>
          <t>-</t>
        </is>
      </c>
      <c r="E649" s="4" t="inlineStr">
        <is>
          <t>TÉRREO - LOJA 2</t>
        </is>
      </c>
      <c r="F649" s="126" t="n">
        <v>46640</v>
      </c>
      <c r="G649" s="126" t="n">
        <v>46687</v>
      </c>
      <c r="H649" s="126" t="n">
        <v>46289</v>
      </c>
      <c r="I649" s="4" t="n">
        <v>0</v>
      </c>
      <c r="J649" s="4" t="n">
        <v>0</v>
      </c>
      <c r="K649" s="4" t="n">
        <v>0</v>
      </c>
      <c r="M649" s="2">
        <f>IF(C649="","",IFERROR(INDEX($S$5:$S$304,MATCH(C649,$R$5:$R$304,0))&amp;"","?"))</f>
        <v/>
      </c>
      <c r="N649" s="2">
        <f>IF(E649="","",IF(ISNUMBER(SEARCH("SUBSOLO",E649)),IFERROR(-VALUE(LEFT(E649,FIND("º",SUBSTITUTE(E649,"°","º"))-1)),-1),IF(LEFT(E649,6)="TÉRREO",0,IFERROR(VALUE(LEFT(E649,FIND("º",SUBSTITUTE(E649,"°","º"))-1)),""))))</f>
        <v/>
      </c>
      <c r="O649" s="2">
        <f>IF(OR(F649="",G649=""),"",IF(G649&lt;='RETRATO 2027'!$K$5,"CONCLUÍDA",IF(F649&lt;='RETRATO 2027'!$K$5,"EM ANDAMENTO","A INICIAR")))</f>
        <v/>
      </c>
    </row>
    <row r="650">
      <c r="B650" s="4" t="n">
        <v>30205642</v>
      </c>
      <c r="C650" s="4" t="inlineStr">
        <is>
          <t>REBOCO INTERNO</t>
        </is>
      </c>
      <c r="D650" s="4" t="inlineStr">
        <is>
          <t>-</t>
        </is>
      </c>
      <c r="E650" s="4" t="inlineStr">
        <is>
          <t>TÉRREO - LOJA 3</t>
        </is>
      </c>
      <c r="F650" s="126" t="n">
        <v>46640</v>
      </c>
      <c r="G650" s="126" t="n">
        <v>46653</v>
      </c>
      <c r="H650" s="126" t="n">
        <v>46289</v>
      </c>
      <c r="I650" s="4" t="n">
        <v>0</v>
      </c>
      <c r="J650" s="4" t="n">
        <v>0</v>
      </c>
      <c r="K650" s="4" t="n">
        <v>0</v>
      </c>
      <c r="M650" s="2">
        <f>IF(C650="","",IFERROR(INDEX($S$5:$S$304,MATCH(C650,$R$5:$R$304,0))&amp;"","?"))</f>
        <v/>
      </c>
      <c r="N650" s="2">
        <f>IF(E650="","",IF(ISNUMBER(SEARCH("SUBSOLO",E650)),IFERROR(-VALUE(LEFT(E650,FIND("º",SUBSTITUTE(E650,"°","º"))-1)),-1),IF(LEFT(E650,6)="TÉRREO",0,IFERROR(VALUE(LEFT(E650,FIND("º",SUBSTITUTE(E650,"°","º"))-1)),""))))</f>
        <v/>
      </c>
      <c r="O650" s="2">
        <f>IF(OR(F650="",G650=""),"",IF(G650&lt;='RETRATO 2027'!$K$5,"CONCLUÍDA",IF(F650&lt;='RETRATO 2027'!$K$5,"EM ANDAMENTO","A INICIAR")))</f>
        <v/>
      </c>
    </row>
    <row r="651">
      <c r="B651" s="4" t="n">
        <v>30205611</v>
      </c>
      <c r="C651" s="4" t="inlineStr">
        <is>
          <t>DISTRIBUIÇÃO ELÉTRICA / QUADRO</t>
        </is>
      </c>
      <c r="D651" s="4" t="inlineStr">
        <is>
          <t>-</t>
        </is>
      </c>
      <c r="E651" s="4" t="inlineStr">
        <is>
          <t>TÉRREO - LOJA 4</t>
        </is>
      </c>
      <c r="F651" s="126" t="n">
        <v>46640</v>
      </c>
      <c r="G651" s="126" t="n">
        <v>46650</v>
      </c>
      <c r="H651" s="126" t="n">
        <v>46289</v>
      </c>
      <c r="I651" s="4" t="n">
        <v>0</v>
      </c>
      <c r="J651" s="4" t="n">
        <v>0</v>
      </c>
      <c r="K651" s="4" t="n">
        <v>0</v>
      </c>
      <c r="M651" s="2">
        <f>IF(C651="","",IFERROR(INDEX($S$5:$S$304,MATCH(C651,$R$5:$R$304,0))&amp;"","?"))</f>
        <v/>
      </c>
      <c r="N651" s="2">
        <f>IF(E651="","",IF(ISNUMBER(SEARCH("SUBSOLO",E651)),IFERROR(-VALUE(LEFT(E651,FIND("º",SUBSTITUTE(E651,"°","º"))-1)),-1),IF(LEFT(E651,6)="TÉRREO",0,IFERROR(VALUE(LEFT(E651,FIND("º",SUBSTITUTE(E651,"°","º"))-1)),""))))</f>
        <v/>
      </c>
      <c r="O651" s="2">
        <f>IF(OR(F651="",G651=""),"",IF(G651&lt;='RETRATO 2027'!$K$5,"CONCLUÍDA",IF(F651&lt;='RETRATO 2027'!$K$5,"EM ANDAMENTO","A INICIAR")))</f>
        <v/>
      </c>
    </row>
    <row r="652">
      <c r="B652" s="4" t="n">
        <v>30205612</v>
      </c>
      <c r="C652" s="4" t="inlineStr">
        <is>
          <t>DISTRIBUIÇÃO HIDRÁULICA</t>
        </is>
      </c>
      <c r="D652" s="4" t="inlineStr">
        <is>
          <t>-</t>
        </is>
      </c>
      <c r="E652" s="4" t="inlineStr">
        <is>
          <t>TÉRREO - LOJA 4</t>
        </is>
      </c>
      <c r="F652" s="126" t="n">
        <v>46640</v>
      </c>
      <c r="G652" s="126" t="n">
        <v>46653</v>
      </c>
      <c r="H652" s="126" t="n">
        <v>46289</v>
      </c>
      <c r="I652" s="4" t="n">
        <v>0</v>
      </c>
      <c r="J652" s="4" t="n">
        <v>0</v>
      </c>
      <c r="K652" s="4" t="n">
        <v>0</v>
      </c>
      <c r="M652" s="2">
        <f>IF(C652="","",IFERROR(INDEX($S$5:$S$304,MATCH(C652,$R$5:$R$304,0))&amp;"","?"))</f>
        <v/>
      </c>
      <c r="N652" s="2">
        <f>IF(E652="","",IF(ISNUMBER(SEARCH("SUBSOLO",E652)),IFERROR(-VALUE(LEFT(E652,FIND("º",SUBSTITUTE(E652,"°","º"))-1)),-1),IF(LEFT(E652,6)="TÉRREO",0,IFERROR(VALUE(LEFT(E652,FIND("º",SUBSTITUTE(E652,"°","º"))-1)),""))))</f>
        <v/>
      </c>
      <c r="O652" s="2">
        <f>IF(OR(F652="",G652=""),"",IF(G652&lt;='RETRATO 2027'!$K$5,"CONCLUÍDA",IF(F652&lt;='RETRATO 2027'!$K$5,"EM ANDAMENTO","A INICIAR")))</f>
        <v/>
      </c>
    </row>
    <row r="653">
      <c r="B653" s="4" t="n">
        <v>30205583</v>
      </c>
      <c r="C653" s="4" t="inlineStr">
        <is>
          <t>TALISCAMENTO</t>
        </is>
      </c>
      <c r="D653" s="4" t="inlineStr">
        <is>
          <t>-</t>
        </is>
      </c>
      <c r="E653" s="4" t="inlineStr">
        <is>
          <t>TÉRREO - LOJA 5</t>
        </is>
      </c>
      <c r="F653" s="126" t="n">
        <v>46640</v>
      </c>
      <c r="G653" s="126" t="n">
        <v>46653</v>
      </c>
      <c r="H653" s="126" t="n">
        <v>46289</v>
      </c>
      <c r="I653" s="4" t="n">
        <v>0</v>
      </c>
      <c r="J653" s="4" t="n">
        <v>0</v>
      </c>
      <c r="K653" s="4" t="n">
        <v>0</v>
      </c>
      <c r="M653" s="2">
        <f>IF(C653="","",IFERROR(INDEX($S$5:$S$304,MATCH(C653,$R$5:$R$304,0))&amp;"","?"))</f>
        <v/>
      </c>
      <c r="N653" s="2">
        <f>IF(E653="","",IF(ISNUMBER(SEARCH("SUBSOLO",E653)),IFERROR(-VALUE(LEFT(E653,FIND("º",SUBSTITUTE(E653,"°","º"))-1)),-1),IF(LEFT(E653,6)="TÉRREO",0,IFERROR(VALUE(LEFT(E653,FIND("º",SUBSTITUTE(E653,"°","º"))-1)),""))))</f>
        <v/>
      </c>
      <c r="O653" s="2">
        <f>IF(OR(F653="",G653=""),"",IF(G653&lt;='RETRATO 2027'!$K$5,"CONCLUÍDA",IF(F653&lt;='RETRATO 2027'!$K$5,"EM ANDAMENTO","A INICIAR")))</f>
        <v/>
      </c>
    </row>
    <row r="654">
      <c r="B654" s="4" t="n">
        <v>30205550</v>
      </c>
      <c r="C654" s="4" t="inlineStr">
        <is>
          <t>PRUMADA HIDROSSANITÁRIA</t>
        </is>
      </c>
      <c r="D654" s="4" t="inlineStr">
        <is>
          <t>-</t>
        </is>
      </c>
      <c r="E654" s="4" t="inlineStr">
        <is>
          <t>TÉRREO - LOJA 6</t>
        </is>
      </c>
      <c r="F654" s="126" t="n">
        <v>46640</v>
      </c>
      <c r="G654" s="126" t="n">
        <v>46653</v>
      </c>
      <c r="H654" s="126" t="n">
        <v>46289</v>
      </c>
      <c r="I654" s="4" t="n">
        <v>0</v>
      </c>
      <c r="J654" s="4" t="n">
        <v>0</v>
      </c>
      <c r="K654" s="4" t="n">
        <v>0</v>
      </c>
      <c r="M654" s="2">
        <f>IF(C654="","",IFERROR(INDEX($S$5:$S$304,MATCH(C654,$R$5:$R$304,0))&amp;"","?"))</f>
        <v/>
      </c>
      <c r="N654" s="2">
        <f>IF(E654="","",IF(ISNUMBER(SEARCH("SUBSOLO",E654)),IFERROR(-VALUE(LEFT(E654,FIND("º",SUBSTITUTE(E654,"°","º"))-1)),-1),IF(LEFT(E654,6)="TÉRREO",0,IFERROR(VALUE(LEFT(E654,FIND("º",SUBSTITUTE(E654,"°","º"))-1)),""))))</f>
        <v/>
      </c>
      <c r="O654" s="2">
        <f>IF(OR(F654="",G654=""),"",IF(G654&lt;='RETRATO 2027'!$K$5,"CONCLUÍDA",IF(F654&lt;='RETRATO 2027'!$K$5,"EM ANDAMENTO","A INICIAR")))</f>
        <v/>
      </c>
    </row>
    <row r="655">
      <c r="B655" s="4" t="n">
        <v>30205549</v>
      </c>
      <c r="C655" s="4" t="inlineStr">
        <is>
          <t>PRUMADA DE INCÊNDIO</t>
        </is>
      </c>
      <c r="D655" s="4" t="inlineStr">
        <is>
          <t>-</t>
        </is>
      </c>
      <c r="E655" s="4" t="inlineStr">
        <is>
          <t>TÉRREO - LOJA 6</t>
        </is>
      </c>
      <c r="F655" s="126" t="n">
        <v>46640</v>
      </c>
      <c r="G655" s="126" t="n">
        <v>46653</v>
      </c>
      <c r="H655" s="126" t="n">
        <v>46289</v>
      </c>
      <c r="I655" s="4" t="n">
        <v>0</v>
      </c>
      <c r="J655" s="4" t="n">
        <v>0</v>
      </c>
      <c r="K655" s="4" t="n">
        <v>0</v>
      </c>
      <c r="M655" s="2">
        <f>IF(C655="","",IFERROR(INDEX($S$5:$S$304,MATCH(C655,$R$5:$R$304,0))&amp;"","?"))</f>
        <v/>
      </c>
      <c r="N655" s="2">
        <f>IF(E655="","",IF(ISNUMBER(SEARCH("SUBSOLO",E655)),IFERROR(-VALUE(LEFT(E655,FIND("º",SUBSTITUTE(E655,"°","º"))-1)),-1),IF(LEFT(E655,6)="TÉRREO",0,IFERROR(VALUE(LEFT(E655,FIND("º",SUBSTITUTE(E655,"°","º"))-1)),""))))</f>
        <v/>
      </c>
      <c r="O655" s="2">
        <f>IF(OR(F655="",G655=""),"",IF(G655&lt;='RETRATO 2027'!$K$5,"CONCLUÍDA",IF(F655&lt;='RETRATO 2027'!$K$5,"EM ANDAMENTO","A INICIAR")))</f>
        <v/>
      </c>
    </row>
    <row r="656">
      <c r="B656" s="4" t="n">
        <v>30205551</v>
      </c>
      <c r="C656" s="4" t="inlineStr">
        <is>
          <t>ENCUNHAMENTO</t>
        </is>
      </c>
      <c r="D656" s="4" t="inlineStr">
        <is>
          <t>-</t>
        </is>
      </c>
      <c r="E656" s="4" t="inlineStr">
        <is>
          <t>TÉRREO - LOJA 6</t>
        </is>
      </c>
      <c r="F656" s="126" t="n">
        <v>46640</v>
      </c>
      <c r="G656" s="126" t="n">
        <v>46653</v>
      </c>
      <c r="H656" s="126" t="n">
        <v>46289</v>
      </c>
      <c r="I656" s="4" t="n">
        <v>0</v>
      </c>
      <c r="J656" s="4" t="n">
        <v>0</v>
      </c>
      <c r="K656" s="4" t="n">
        <v>0</v>
      </c>
      <c r="M656" s="2">
        <f>IF(C656="","",IFERROR(INDEX($S$5:$S$304,MATCH(C656,$R$5:$R$304,0))&amp;"","?"))</f>
        <v/>
      </c>
      <c r="N656" s="2">
        <f>IF(E656="","",IF(ISNUMBER(SEARCH("SUBSOLO",E656)),IFERROR(-VALUE(LEFT(E656,FIND("º",SUBSTITUTE(E656,"°","º"))-1)),-1),IF(LEFT(E656,6)="TÉRREO",0,IFERROR(VALUE(LEFT(E656,FIND("º",SUBSTITUTE(E656,"°","º"))-1)),""))))</f>
        <v/>
      </c>
      <c r="O656" s="2">
        <f>IF(OR(F656="",G656=""),"",IF(G656&lt;='RETRATO 2027'!$K$5,"CONCLUÍDA",IF(F656&lt;='RETRATO 2027'!$K$5,"EM ANDAMENTO","A INICIAR")))</f>
        <v/>
      </c>
    </row>
    <row r="657">
      <c r="B657" s="4" t="n">
        <v>30205521</v>
      </c>
      <c r="C657" s="4" t="inlineStr">
        <is>
          <t>ALVENARIA</t>
        </is>
      </c>
      <c r="D657" s="4" t="inlineStr">
        <is>
          <t>-</t>
        </is>
      </c>
      <c r="E657" s="4" t="inlineStr">
        <is>
          <t>TÉRREO - LOJA 7</t>
        </is>
      </c>
      <c r="F657" s="126" t="n">
        <v>46640</v>
      </c>
      <c r="G657" s="126" t="n">
        <v>46653</v>
      </c>
      <c r="H657" s="126" t="n">
        <v>46289</v>
      </c>
      <c r="I657" s="4" t="n">
        <v>0</v>
      </c>
      <c r="J657" s="4" t="n">
        <v>0</v>
      </c>
      <c r="K657" s="4" t="n">
        <v>0</v>
      </c>
      <c r="M657" s="2">
        <f>IF(C657="","",IFERROR(INDEX($S$5:$S$304,MATCH(C657,$R$5:$R$304,0))&amp;"","?"))</f>
        <v/>
      </c>
      <c r="N657" s="2">
        <f>IF(E657="","",IF(ISNUMBER(SEARCH("SUBSOLO",E657)),IFERROR(-VALUE(LEFT(E657,FIND("º",SUBSTITUTE(E657,"°","º"))-1)),-1),IF(LEFT(E657,6)="TÉRREO",0,IFERROR(VALUE(LEFT(E657,FIND("º",SUBSTITUTE(E657,"°","º"))-1)),""))))</f>
        <v/>
      </c>
      <c r="O657" s="2">
        <f>IF(OR(F657="",G657=""),"",IF(G657&lt;='RETRATO 2027'!$K$5,"CONCLUÍDA",IF(F657&lt;='RETRATO 2027'!$K$5,"EM ANDAMENTO","A INICIAR")))</f>
        <v/>
      </c>
    </row>
    <row r="658">
      <c r="B658" s="4" t="n">
        <v>29941091</v>
      </c>
      <c r="C658" s="4" t="inlineStr">
        <is>
          <t>ESTRUTURA</t>
        </is>
      </c>
      <c r="D658" s="4" t="inlineStr">
        <is>
          <t>-</t>
        </is>
      </c>
      <c r="E658" s="4" t="inlineStr">
        <is>
          <t>25º PAV.</t>
        </is>
      </c>
      <c r="F658" s="126" t="n">
        <v>46640</v>
      </c>
      <c r="G658" s="126" t="n">
        <v>46652</v>
      </c>
      <c r="H658" s="126" t="n">
        <v>46289</v>
      </c>
      <c r="I658" s="4" t="n">
        <v>0</v>
      </c>
      <c r="J658" s="4" t="n">
        <v>0</v>
      </c>
      <c r="K658" s="4" t="n">
        <v>0</v>
      </c>
      <c r="M658" s="2">
        <f>IF(C658="","",IFERROR(INDEX($S$5:$S$304,MATCH(C658,$R$5:$R$304,0))&amp;"","?"))</f>
        <v/>
      </c>
      <c r="N658" s="2">
        <f>IF(E658="","",IF(ISNUMBER(SEARCH("SUBSOLO",E658)),IFERROR(-VALUE(LEFT(E658,FIND("º",SUBSTITUTE(E658,"°","º"))-1)),-1),IF(LEFT(E658,6)="TÉRREO",0,IFERROR(VALUE(LEFT(E658,FIND("º",SUBSTITUTE(E658,"°","º"))-1)),""))))</f>
        <v/>
      </c>
      <c r="O658" s="2">
        <f>IF(OR(F658="",G658=""),"",IF(G658&lt;='RETRATO 2027'!$K$5,"CONCLUÍDA",IF(F658&lt;='RETRATO 2027'!$K$5,"EM ANDAMENTO","A INICIAR")))</f>
        <v/>
      </c>
    </row>
    <row r="659">
      <c r="B659" s="4" t="n">
        <v>31529048</v>
      </c>
      <c r="C659" s="4" t="inlineStr">
        <is>
          <t>ESTRUTURA</t>
        </is>
      </c>
      <c r="D659" s="4" t="inlineStr">
        <is>
          <t>Forma</t>
        </is>
      </c>
      <c r="E659" s="4" t="inlineStr">
        <is>
          <t>25º PAV.</t>
        </is>
      </c>
      <c r="F659" s="126" t="n">
        <v>46640</v>
      </c>
      <c r="G659" s="126" t="n">
        <v>46646</v>
      </c>
      <c r="H659" s="126" t="n">
        <v>46289</v>
      </c>
      <c r="I659" s="4" t="n">
        <v>0</v>
      </c>
      <c r="J659" s="4" t="n">
        <v>0</v>
      </c>
      <c r="K659" s="4" t="n">
        <v>0</v>
      </c>
      <c r="M659" s="2">
        <f>IF(C659="","",IFERROR(INDEX($S$5:$S$304,MATCH(C659,$R$5:$R$304,0))&amp;"","?"))</f>
        <v/>
      </c>
      <c r="N659" s="2">
        <f>IF(E659="","",IF(ISNUMBER(SEARCH("SUBSOLO",E659)),IFERROR(-VALUE(LEFT(E659,FIND("º",SUBSTITUTE(E659,"°","º"))-1)),-1),IF(LEFT(E659,6)="TÉRREO",0,IFERROR(VALUE(LEFT(E659,FIND("º",SUBSTITUTE(E659,"°","º"))-1)),""))))</f>
        <v/>
      </c>
      <c r="O659" s="2">
        <f>IF(OR(F659="",G659=""),"",IF(G659&lt;='RETRATO 2027'!$K$5,"CONCLUÍDA",IF(F659&lt;='RETRATO 2027'!$K$5,"EM ANDAMENTO","A INICIAR")))</f>
        <v/>
      </c>
    </row>
    <row r="660">
      <c r="B660" s="4" t="n">
        <v>31529049</v>
      </c>
      <c r="C660" s="4" t="inlineStr">
        <is>
          <t>ESTRUTURA</t>
        </is>
      </c>
      <c r="D660" s="4" t="inlineStr">
        <is>
          <t>Armação</t>
        </is>
      </c>
      <c r="E660" s="4" t="inlineStr">
        <is>
          <t>25º PAV.</t>
        </is>
      </c>
      <c r="F660" s="126" t="n">
        <v>46647</v>
      </c>
      <c r="G660" s="126" t="n">
        <v>46651</v>
      </c>
      <c r="H660" s="126" t="n">
        <v>46289</v>
      </c>
      <c r="I660" s="4" t="n">
        <v>0</v>
      </c>
      <c r="J660" s="4" t="n">
        <v>0</v>
      </c>
      <c r="K660" s="4" t="n">
        <v>0</v>
      </c>
      <c r="M660" s="2">
        <f>IF(C660="","",IFERROR(INDEX($S$5:$S$304,MATCH(C660,$R$5:$R$304,0))&amp;"","?"))</f>
        <v/>
      </c>
      <c r="N660" s="2">
        <f>IF(E660="","",IF(ISNUMBER(SEARCH("SUBSOLO",E660)),IFERROR(-VALUE(LEFT(E660,FIND("º",SUBSTITUTE(E660,"°","º"))-1)),-1),IF(LEFT(E660,6)="TÉRREO",0,IFERROR(VALUE(LEFT(E660,FIND("º",SUBSTITUTE(E660,"°","º"))-1)),""))))</f>
        <v/>
      </c>
      <c r="O660" s="2">
        <f>IF(OR(F660="",G660=""),"",IF(G660&lt;='RETRATO 2027'!$K$5,"CONCLUÍDA",IF(F660&lt;='RETRATO 2027'!$K$5,"EM ANDAMENTO","A INICIAR")))</f>
        <v/>
      </c>
    </row>
    <row r="661">
      <c r="B661" s="4" t="n">
        <v>31529050</v>
      </c>
      <c r="C661" s="4" t="inlineStr">
        <is>
          <t>ESTRUTURA</t>
        </is>
      </c>
      <c r="D661" s="4" t="inlineStr">
        <is>
          <t>Concretagem</t>
        </is>
      </c>
      <c r="E661" s="4" t="inlineStr">
        <is>
          <t>25º PAV.</t>
        </is>
      </c>
      <c r="F661" s="126" t="n">
        <v>46652</v>
      </c>
      <c r="G661" s="126" t="n">
        <v>46652</v>
      </c>
      <c r="H661" s="126" t="n">
        <v>46289</v>
      </c>
      <c r="I661" s="4" t="n">
        <v>0</v>
      </c>
      <c r="J661" s="4" t="n">
        <v>0</v>
      </c>
      <c r="K661" s="4" t="n">
        <v>0</v>
      </c>
      <c r="M661" s="2">
        <f>IF(C661="","",IFERROR(INDEX($S$5:$S$304,MATCH(C661,$R$5:$R$304,0))&amp;"","?"))</f>
        <v/>
      </c>
      <c r="N661" s="2">
        <f>IF(E661="","",IF(ISNUMBER(SEARCH("SUBSOLO",E661)),IFERROR(-VALUE(LEFT(E661,FIND("º",SUBSTITUTE(E661,"°","º"))-1)),-1),IF(LEFT(E661,6)="TÉRREO",0,IFERROR(VALUE(LEFT(E661,FIND("º",SUBSTITUTE(E661,"°","º"))-1)),""))))</f>
        <v/>
      </c>
      <c r="O661" s="2">
        <f>IF(OR(F661="",G661=""),"",IF(G661&lt;='RETRATO 2027'!$K$5,"CONCLUÍDA",IF(F661&lt;='RETRATO 2027'!$K$5,"EM ANDAMENTO","A INICIAR")))</f>
        <v/>
      </c>
    </row>
    <row r="662">
      <c r="B662" s="4" t="n">
        <v>31529051</v>
      </c>
      <c r="C662" s="4" t="inlineStr">
        <is>
          <t>ESTRUTURA</t>
        </is>
      </c>
      <c r="D662" s="4" t="inlineStr">
        <is>
          <t>Polimento</t>
        </is>
      </c>
      <c r="E662" s="4" t="inlineStr">
        <is>
          <t>25º PAV.</t>
        </is>
      </c>
      <c r="F662" s="126" t="n">
        <v>46652</v>
      </c>
      <c r="G662" s="126" t="n">
        <v>46652</v>
      </c>
      <c r="H662" s="126" t="n">
        <v>46289</v>
      </c>
      <c r="I662" s="4" t="n">
        <v>0</v>
      </c>
      <c r="J662" s="4" t="n">
        <v>0</v>
      </c>
      <c r="K662" s="4" t="n">
        <v>0</v>
      </c>
      <c r="M662" s="2">
        <f>IF(C662="","",IFERROR(INDEX($S$5:$S$304,MATCH(C662,$R$5:$R$304,0))&amp;"","?"))</f>
        <v/>
      </c>
      <c r="N662" s="2">
        <f>IF(E662="","",IF(ISNUMBER(SEARCH("SUBSOLO",E662)),IFERROR(-VALUE(LEFT(E662,FIND("º",SUBSTITUTE(E662,"°","º"))-1)),-1),IF(LEFT(E662,6)="TÉRREO",0,IFERROR(VALUE(LEFT(E662,FIND("º",SUBSTITUTE(E662,"°","º"))-1)),""))))</f>
        <v/>
      </c>
      <c r="O662" s="2">
        <f>IF(OR(F662="",G662=""),"",IF(G662&lt;='RETRATO 2027'!$K$5,"CONCLUÍDA",IF(F662&lt;='RETRATO 2027'!$K$5,"EM ANDAMENTO","A INICIAR")))</f>
        <v/>
      </c>
    </row>
    <row r="663">
      <c r="B663" s="4" t="n">
        <v>29981037</v>
      </c>
      <c r="C663" s="4" t="inlineStr">
        <is>
          <t>PRUMADA DE INCÊNDIO</t>
        </is>
      </c>
      <c r="D663" s="4" t="inlineStr">
        <is>
          <t>-</t>
        </is>
      </c>
      <c r="E663" s="4" t="inlineStr">
        <is>
          <t>21º PAV.</t>
        </is>
      </c>
      <c r="F663" s="126" t="n">
        <v>46644</v>
      </c>
      <c r="G663" s="126" t="n">
        <v>46654</v>
      </c>
      <c r="H663" s="126" t="n">
        <v>46289</v>
      </c>
      <c r="I663" s="4" t="n">
        <v>0</v>
      </c>
      <c r="J663" s="4" t="n">
        <v>0</v>
      </c>
      <c r="K663" s="4" t="n">
        <v>0</v>
      </c>
      <c r="M663" s="2">
        <f>IF(C663="","",IFERROR(INDEX($S$5:$S$304,MATCH(C663,$R$5:$R$304,0))&amp;"","?"))</f>
        <v/>
      </c>
      <c r="N663" s="2">
        <f>IF(E663="","",IF(ISNUMBER(SEARCH("SUBSOLO",E663)),IFERROR(-VALUE(LEFT(E663,FIND("º",SUBSTITUTE(E663,"°","º"))-1)),-1),IF(LEFT(E663,6)="TÉRREO",0,IFERROR(VALUE(LEFT(E663,FIND("º",SUBSTITUTE(E663,"°","º"))-1)),""))))</f>
        <v/>
      </c>
      <c r="O663" s="2">
        <f>IF(OR(F663="",G663=""),"",IF(G663&lt;='RETRATO 2027'!$K$5,"CONCLUÍDA",IF(F663&lt;='RETRATO 2027'!$K$5,"EM ANDAMENTO","A INICIAR")))</f>
        <v/>
      </c>
    </row>
    <row r="664">
      <c r="B664" s="4" t="n">
        <v>29980988</v>
      </c>
      <c r="C664" s="4" t="inlineStr">
        <is>
          <t>ALVENARIA</t>
        </is>
      </c>
      <c r="D664" s="4" t="inlineStr">
        <is>
          <t>-</t>
        </is>
      </c>
      <c r="E664" s="4" t="inlineStr">
        <is>
          <t>22º PAV.</t>
        </is>
      </c>
      <c r="F664" s="126" t="n">
        <v>46644</v>
      </c>
      <c r="G664" s="126" t="n">
        <v>46654</v>
      </c>
      <c r="H664" s="126" t="n">
        <v>46289</v>
      </c>
      <c r="I664" s="4" t="n">
        <v>0</v>
      </c>
      <c r="J664" s="4" t="n">
        <v>0</v>
      </c>
      <c r="K664" s="4" t="n">
        <v>0</v>
      </c>
      <c r="M664" s="2">
        <f>IF(C664="","",IFERROR(INDEX($S$5:$S$304,MATCH(C664,$R$5:$R$304,0))&amp;"","?"))</f>
        <v/>
      </c>
      <c r="N664" s="2">
        <f>IF(E664="","",IF(ISNUMBER(SEARCH("SUBSOLO",E664)),IFERROR(-VALUE(LEFT(E664,FIND("º",SUBSTITUTE(E664,"°","º"))-1)),-1),IF(LEFT(E664,6)="TÉRREO",0,IFERROR(VALUE(LEFT(E664,FIND("º",SUBSTITUTE(E664,"°","º"))-1)),""))))</f>
        <v/>
      </c>
      <c r="O664" s="2">
        <f>IF(OR(F664="",G664=""),"",IF(G664&lt;='RETRATO 2027'!$K$5,"CONCLUÍDA",IF(F664&lt;='RETRATO 2027'!$K$5,"EM ANDAMENTO","A INICIAR")))</f>
        <v/>
      </c>
    </row>
    <row r="665">
      <c r="B665" s="4" t="n">
        <v>30171499</v>
      </c>
      <c r="C665" s="4" t="inlineStr">
        <is>
          <t>INSTALAÇÃO DE ADUELAS (ELEVADORES)</t>
        </is>
      </c>
      <c r="D665" s="4" t="inlineStr">
        <is>
          <t>-</t>
        </is>
      </c>
      <c r="E665" s="4" t="inlineStr">
        <is>
          <t>HALL - APTOS</t>
        </is>
      </c>
      <c r="F665" s="126" t="n">
        <v>46650</v>
      </c>
      <c r="G665" s="126" t="n">
        <v>46947</v>
      </c>
      <c r="H665" s="126" t="n">
        <v>46289</v>
      </c>
      <c r="I665" s="4" t="n">
        <v>0</v>
      </c>
      <c r="J665" s="4" t="n">
        <v>0</v>
      </c>
      <c r="K665" s="4" t="n">
        <v>0</v>
      </c>
      <c r="M665" s="2">
        <f>IF(C665="","",IFERROR(INDEX($S$5:$S$304,MATCH(C665,$R$5:$R$304,0))&amp;"","?"))</f>
        <v/>
      </c>
      <c r="N665" s="2">
        <f>IF(E665="","",IF(ISNUMBER(SEARCH("SUBSOLO",E665)),IFERROR(-VALUE(LEFT(E665,FIND("º",SUBSTITUTE(E665,"°","º"))-1)),-1),IF(LEFT(E665,6)="TÉRREO",0,IFERROR(VALUE(LEFT(E665,FIND("º",SUBSTITUTE(E665,"°","º"))-1)),""))))</f>
        <v/>
      </c>
      <c r="O665" s="2">
        <f>IF(OR(F665="",G665=""),"",IF(G665&lt;='RETRATO 2027'!$K$5,"CONCLUÍDA",IF(F665&lt;='RETRATO 2027'!$K$5,"EM ANDAMENTO","A INICIAR")))</f>
        <v/>
      </c>
    </row>
    <row r="666">
      <c r="B666" s="4" t="n">
        <v>34184758</v>
      </c>
      <c r="C666" s="4" t="inlineStr">
        <is>
          <t>REVESTIMENTO DE GRANITO PISO</t>
        </is>
      </c>
      <c r="D666" s="4" t="inlineStr">
        <is>
          <t>-</t>
        </is>
      </c>
      <c r="E666" s="4" t="inlineStr">
        <is>
          <t>HALL - APTOS</t>
        </is>
      </c>
      <c r="F666" s="126" t="n">
        <v>46650</v>
      </c>
      <c r="G666" s="126" t="n">
        <v>46969</v>
      </c>
      <c r="H666" s="126" t="n">
        <v>46289</v>
      </c>
      <c r="I666" s="4" t="n">
        <v>0</v>
      </c>
      <c r="J666" s="4" t="n">
        <v>0</v>
      </c>
      <c r="K666" s="4" t="n">
        <v>0</v>
      </c>
      <c r="M666" s="2">
        <f>IF(C666="","",IFERROR(INDEX($S$5:$S$304,MATCH(C666,$R$5:$R$304,0))&amp;"","?"))</f>
        <v/>
      </c>
      <c r="N666" s="2">
        <f>IF(E666="","",IF(ISNUMBER(SEARCH("SUBSOLO",E666)),IFERROR(-VALUE(LEFT(E666,FIND("º",SUBSTITUTE(E666,"°","º"))-1)),-1),IF(LEFT(E666,6)="TÉRREO",0,IFERROR(VALUE(LEFT(E666,FIND("º",SUBSTITUTE(E666,"°","º"))-1)),""))))</f>
        <v/>
      </c>
      <c r="O666" s="2">
        <f>IF(OR(F666="",G666=""),"",IF(G666&lt;='RETRATO 2027'!$K$5,"CONCLUÍDA",IF(F666&lt;='RETRATO 2027'!$K$5,"EM ANDAMENTO","A INICIAR")))</f>
        <v/>
      </c>
    </row>
    <row r="667">
      <c r="B667" s="4" t="n">
        <v>29981533</v>
      </c>
      <c r="C667" s="4" t="inlineStr">
        <is>
          <t>BANCADAS</t>
        </is>
      </c>
      <c r="D667" s="4" t="inlineStr">
        <is>
          <t>-</t>
        </is>
      </c>
      <c r="E667" s="4" t="inlineStr">
        <is>
          <t>7º PAV.</t>
        </is>
      </c>
      <c r="F667" s="126" t="n">
        <v>46650</v>
      </c>
      <c r="G667" s="126" t="n">
        <v>46660</v>
      </c>
      <c r="H667" s="126" t="n">
        <v>46289</v>
      </c>
      <c r="I667" s="4" t="n">
        <v>0</v>
      </c>
      <c r="J667" s="4" t="n">
        <v>0</v>
      </c>
      <c r="K667" s="4" t="n">
        <v>0</v>
      </c>
      <c r="M667" s="2">
        <f>IF(C667="","",IFERROR(INDEX($S$5:$S$304,MATCH(C667,$R$5:$R$304,0))&amp;"","?"))</f>
        <v/>
      </c>
      <c r="N667" s="2">
        <f>IF(E667="","",IF(ISNUMBER(SEARCH("SUBSOLO",E667)),IFERROR(-VALUE(LEFT(E667,FIND("º",SUBSTITUTE(E667,"°","º"))-1)),-1),IF(LEFT(E667,6)="TÉRREO",0,IFERROR(VALUE(LEFT(E667,FIND("º",SUBSTITUTE(E667,"°","º"))-1)),""))))</f>
        <v/>
      </c>
      <c r="O667" s="2">
        <f>IF(OR(F667="",G667=""),"",IF(G667&lt;='RETRATO 2027'!$K$5,"CONCLUÍDA",IF(F667&lt;='RETRATO 2027'!$K$5,"EM ANDAMENTO","A INICIAR")))</f>
        <v/>
      </c>
    </row>
    <row r="668">
      <c r="B668" s="4" t="n">
        <v>29981495</v>
      </c>
      <c r="C668" s="4" t="inlineStr">
        <is>
          <t>REVESTIMENTOS PORCELANATO PISO</t>
        </is>
      </c>
      <c r="D668" s="4" t="inlineStr">
        <is>
          <t>-</t>
        </is>
      </c>
      <c r="E668" s="4" t="inlineStr">
        <is>
          <t>8º PAV.</t>
        </is>
      </c>
      <c r="F668" s="126" t="n">
        <v>46650</v>
      </c>
      <c r="G668" s="126" t="n">
        <v>46660</v>
      </c>
      <c r="H668" s="126" t="n">
        <v>46289</v>
      </c>
      <c r="I668" s="4" t="n">
        <v>0</v>
      </c>
      <c r="J668" s="4" t="n">
        <v>0</v>
      </c>
      <c r="K668" s="4" t="n">
        <v>0</v>
      </c>
      <c r="M668" s="2">
        <f>IF(C668="","",IFERROR(INDEX($S$5:$S$304,MATCH(C668,$R$5:$R$304,0))&amp;"","?"))</f>
        <v/>
      </c>
      <c r="N668" s="2">
        <f>IF(E668="","",IF(ISNUMBER(SEARCH("SUBSOLO",E668)),IFERROR(-VALUE(LEFT(E668,FIND("º",SUBSTITUTE(E668,"°","º"))-1)),-1),IF(LEFT(E668,6)="TÉRREO",0,IFERROR(VALUE(LEFT(E668,FIND("º",SUBSTITUTE(E668,"°","º"))-1)),""))))</f>
        <v/>
      </c>
      <c r="O668" s="2">
        <f>IF(OR(F668="",G668=""),"",IF(G668&lt;='RETRATO 2027'!$K$5,"CONCLUÍDA",IF(F668&lt;='RETRATO 2027'!$K$5,"EM ANDAMENTO","A INICIAR")))</f>
        <v/>
      </c>
    </row>
    <row r="669">
      <c r="B669" s="4" t="n">
        <v>29981474</v>
      </c>
      <c r="C669" s="4" t="inlineStr">
        <is>
          <t>REVESTIMENTO PORCELANATO PAREDE</t>
        </is>
      </c>
      <c r="D669" s="4" t="inlineStr">
        <is>
          <t>-</t>
        </is>
      </c>
      <c r="E669" s="4" t="inlineStr">
        <is>
          <t>9º PAV.</t>
        </is>
      </c>
      <c r="F669" s="126" t="n">
        <v>46650</v>
      </c>
      <c r="G669" s="126" t="n">
        <v>46660</v>
      </c>
      <c r="H669" s="126" t="n">
        <v>46289</v>
      </c>
      <c r="I669" s="4" t="n">
        <v>0</v>
      </c>
      <c r="J669" s="4" t="n">
        <v>0</v>
      </c>
      <c r="K669" s="4" t="n">
        <v>0</v>
      </c>
      <c r="M669" s="2">
        <f>IF(C669="","",IFERROR(INDEX($S$5:$S$304,MATCH(C669,$R$5:$R$304,0))&amp;"","?"))</f>
        <v/>
      </c>
      <c r="N669" s="2">
        <f>IF(E669="","",IF(ISNUMBER(SEARCH("SUBSOLO",E669)),IFERROR(-VALUE(LEFT(E669,FIND("º",SUBSTITUTE(E669,"°","º"))-1)),-1),IF(LEFT(E669,6)="TÉRREO",0,IFERROR(VALUE(LEFT(E669,FIND("º",SUBSTITUTE(E669,"°","º"))-1)),""))))</f>
        <v/>
      </c>
      <c r="O669" s="2">
        <f>IF(OR(F669="",G669=""),"",IF(G669&lt;='RETRATO 2027'!$K$5,"CONCLUÍDA",IF(F669&lt;='RETRATO 2027'!$K$5,"EM ANDAMENTO","A INICIAR")))</f>
        <v/>
      </c>
    </row>
    <row r="670">
      <c r="B670" s="4" t="n">
        <v>29981435</v>
      </c>
      <c r="C670" s="4" t="inlineStr">
        <is>
          <t>IMPERMEABILIZAÇÃO</t>
        </is>
      </c>
      <c r="D670" s="4" t="inlineStr">
        <is>
          <t>-</t>
        </is>
      </c>
      <c r="E670" s="4" t="inlineStr">
        <is>
          <t>10º PAV.</t>
        </is>
      </c>
      <c r="F670" s="126" t="n">
        <v>46650</v>
      </c>
      <c r="G670" s="126" t="n">
        <v>46660</v>
      </c>
      <c r="H670" s="126" t="n">
        <v>46289</v>
      </c>
      <c r="I670" s="4" t="n">
        <v>0</v>
      </c>
      <c r="J670" s="4" t="n">
        <v>0</v>
      </c>
      <c r="K670" s="4" t="n">
        <v>0</v>
      </c>
      <c r="M670" s="2">
        <f>IF(C670="","",IFERROR(INDEX($S$5:$S$304,MATCH(C670,$R$5:$R$304,0))&amp;"","?"))</f>
        <v/>
      </c>
      <c r="N670" s="2">
        <f>IF(E670="","",IF(ISNUMBER(SEARCH("SUBSOLO",E670)),IFERROR(-VALUE(LEFT(E670,FIND("º",SUBSTITUTE(E670,"°","º"))-1)),-1),IF(LEFT(E670,6)="TÉRREO",0,IFERROR(VALUE(LEFT(E670,FIND("º",SUBSTITUTE(E670,"°","º"))-1)),""))))</f>
        <v/>
      </c>
      <c r="O670" s="2">
        <f>IF(OR(F670="",G670=""),"",IF(G670&lt;='RETRATO 2027'!$K$5,"CONCLUÍDA",IF(F670&lt;='RETRATO 2027'!$K$5,"EM ANDAMENTO","A INICIAR")))</f>
        <v/>
      </c>
    </row>
    <row r="671">
      <c r="B671" s="4" t="n">
        <v>32750437</v>
      </c>
      <c r="C671" s="4" t="inlineStr">
        <is>
          <t>DRYWALL 2º FACE</t>
        </is>
      </c>
      <c r="D671" s="4" t="inlineStr">
        <is>
          <t>-</t>
        </is>
      </c>
      <c r="E671" s="4" t="inlineStr">
        <is>
          <t>11º PAV.</t>
        </is>
      </c>
      <c r="F671" s="126" t="n">
        <v>46650</v>
      </c>
      <c r="G671" s="126" t="n">
        <v>46660</v>
      </c>
      <c r="H671" s="126" t="n">
        <v>46289</v>
      </c>
      <c r="I671" s="4" t="n">
        <v>0</v>
      </c>
      <c r="J671" s="4" t="n">
        <v>0</v>
      </c>
      <c r="K671" s="4" t="n">
        <v>0</v>
      </c>
      <c r="M671" s="2">
        <f>IF(C671="","",IFERROR(INDEX($S$5:$S$304,MATCH(C671,$R$5:$R$304,0))&amp;"","?"))</f>
        <v/>
      </c>
      <c r="N671" s="2">
        <f>IF(E671="","",IF(ISNUMBER(SEARCH("SUBSOLO",E671)),IFERROR(-VALUE(LEFT(E671,FIND("º",SUBSTITUTE(E671,"°","º"))-1)),-1),IF(LEFT(E671,6)="TÉRREO",0,IFERROR(VALUE(LEFT(E671,FIND("º",SUBSTITUTE(E671,"°","º"))-1)),""))))</f>
        <v/>
      </c>
      <c r="O671" s="2">
        <f>IF(OR(F671="",G671=""),"",IF(G671&lt;='RETRATO 2027'!$K$5,"CONCLUÍDA",IF(F671&lt;='RETRATO 2027'!$K$5,"EM ANDAMENTO","A INICIAR")))</f>
        <v/>
      </c>
    </row>
    <row r="672">
      <c r="B672" s="4" t="n">
        <v>32750360</v>
      </c>
      <c r="C672" s="4" t="inlineStr">
        <is>
          <t>DISTRIBUIÇÃO DE GÁS - DRYWALL</t>
        </is>
      </c>
      <c r="D672" s="4" t="inlineStr">
        <is>
          <t>-</t>
        </is>
      </c>
      <c r="E672" s="4" t="inlineStr">
        <is>
          <t>12º PAV.</t>
        </is>
      </c>
      <c r="F672" s="126" t="n">
        <v>46650</v>
      </c>
      <c r="G672" s="126" t="n">
        <v>46660</v>
      </c>
      <c r="H672" s="126" t="n">
        <v>46289</v>
      </c>
      <c r="I672" s="4" t="n">
        <v>0</v>
      </c>
      <c r="J672" s="4" t="n">
        <v>0</v>
      </c>
      <c r="K672" s="4" t="n">
        <v>0</v>
      </c>
      <c r="M672" s="2">
        <f>IF(C672="","",IFERROR(INDEX($S$5:$S$304,MATCH(C672,$R$5:$R$304,0))&amp;"","?"))</f>
        <v/>
      </c>
      <c r="N672" s="2">
        <f>IF(E672="","",IF(ISNUMBER(SEARCH("SUBSOLO",E672)),IFERROR(-VALUE(LEFT(E672,FIND("º",SUBSTITUTE(E672,"°","º"))-1)),-1),IF(LEFT(E672,6)="TÉRREO",0,IFERROR(VALUE(LEFT(E672,FIND("º",SUBSTITUTE(E672,"°","º"))-1)),""))))</f>
        <v/>
      </c>
      <c r="O672" s="2">
        <f>IF(OR(F672="",G672=""),"",IF(G672&lt;='RETRATO 2027'!$K$5,"CONCLUÍDA",IF(F672&lt;='RETRATO 2027'!$K$5,"EM ANDAMENTO","A INICIAR")))</f>
        <v/>
      </c>
    </row>
    <row r="673">
      <c r="B673" s="4" t="n">
        <v>32750386</v>
      </c>
      <c r="C673" s="4" t="inlineStr">
        <is>
          <t>DISTRIBUIÇÃO ELÉTRICA/QUADRO - DRYWALL</t>
        </is>
      </c>
      <c r="D673" s="4" t="inlineStr">
        <is>
          <t>-</t>
        </is>
      </c>
      <c r="E673" s="4" t="inlineStr">
        <is>
          <t>12º PAV.</t>
        </is>
      </c>
      <c r="F673" s="126" t="n">
        <v>46650</v>
      </c>
      <c r="G673" s="126" t="n">
        <v>46660</v>
      </c>
      <c r="H673" s="126" t="n">
        <v>46289</v>
      </c>
      <c r="I673" s="4" t="n">
        <v>0</v>
      </c>
      <c r="J673" s="4" t="n">
        <v>0</v>
      </c>
      <c r="K673" s="4" t="n">
        <v>0</v>
      </c>
      <c r="M673" s="2">
        <f>IF(C673="","",IFERROR(INDEX($S$5:$S$304,MATCH(C673,$R$5:$R$304,0))&amp;"","?"))</f>
        <v/>
      </c>
      <c r="N673" s="2">
        <f>IF(E673="","",IF(ISNUMBER(SEARCH("SUBSOLO",E673)),IFERROR(-VALUE(LEFT(E673,FIND("º",SUBSTITUTE(E673,"°","º"))-1)),-1),IF(LEFT(E673,6)="TÉRREO",0,IFERROR(VALUE(LEFT(E673,FIND("º",SUBSTITUTE(E673,"°","º"))-1)),""))))</f>
        <v/>
      </c>
      <c r="O673" s="2">
        <f>IF(OR(F673="",G673=""),"",IF(G673&lt;='RETRATO 2027'!$K$5,"CONCLUÍDA",IF(F673&lt;='RETRATO 2027'!$K$5,"EM ANDAMENTO","A INICIAR")))</f>
        <v/>
      </c>
    </row>
    <row r="674">
      <c r="B674" s="4" t="n">
        <v>32750412</v>
      </c>
      <c r="C674" s="4" t="inlineStr">
        <is>
          <t>DISTRIBUIÇÃO HIDRÁULICA - DRYWALL</t>
        </is>
      </c>
      <c r="D674" s="4" t="inlineStr">
        <is>
          <t>-</t>
        </is>
      </c>
      <c r="E674" s="4" t="inlineStr">
        <is>
          <t>12º PAV.</t>
        </is>
      </c>
      <c r="F674" s="126" t="n">
        <v>46650</v>
      </c>
      <c r="G674" s="126" t="n">
        <v>46660</v>
      </c>
      <c r="H674" s="126" t="n">
        <v>46289</v>
      </c>
      <c r="I674" s="4" t="n">
        <v>0</v>
      </c>
      <c r="J674" s="4" t="n">
        <v>0</v>
      </c>
      <c r="K674" s="4" t="n">
        <v>0</v>
      </c>
      <c r="M674" s="2">
        <f>IF(C674="","",IFERROR(INDEX($S$5:$S$304,MATCH(C674,$R$5:$R$304,0))&amp;"","?"))</f>
        <v/>
      </c>
      <c r="N674" s="2">
        <f>IF(E674="","",IF(ISNUMBER(SEARCH("SUBSOLO",E674)),IFERROR(-VALUE(LEFT(E674,FIND("º",SUBSTITUTE(E674,"°","º"))-1)),-1),IF(LEFT(E674,6)="TÉRREO",0,IFERROR(VALUE(LEFT(E674,FIND("º",SUBSTITUTE(E674,"°","º"))-1)),""))))</f>
        <v/>
      </c>
      <c r="O674" s="2">
        <f>IF(OR(F674="",G674=""),"",IF(G674&lt;='RETRATO 2027'!$K$5,"CONCLUÍDA",IF(F674&lt;='RETRATO 2027'!$K$5,"EM ANDAMENTO","A INICIAR")))</f>
        <v/>
      </c>
    </row>
    <row r="675">
      <c r="B675" s="4" t="n">
        <v>33896830</v>
      </c>
      <c r="C675" s="4" t="inlineStr">
        <is>
          <t>INFRAESTRUTURA - AR CONDICIONADO</t>
        </is>
      </c>
      <c r="D675" s="4" t="inlineStr">
        <is>
          <t>-</t>
        </is>
      </c>
      <c r="E675" s="4" t="inlineStr">
        <is>
          <t>12º PAV.</t>
        </is>
      </c>
      <c r="F675" s="126" t="n">
        <v>46650</v>
      </c>
      <c r="G675" s="126" t="n">
        <v>46660</v>
      </c>
      <c r="H675" s="126" t="n">
        <v>46289</v>
      </c>
      <c r="I675" s="4" t="n">
        <v>0</v>
      </c>
      <c r="J675" s="4" t="n">
        <v>0</v>
      </c>
      <c r="K675" s="4" t="n">
        <v>0</v>
      </c>
      <c r="M675" s="2">
        <f>IF(C675="","",IFERROR(INDEX($S$5:$S$304,MATCH(C675,$R$5:$R$304,0))&amp;"","?"))</f>
        <v/>
      </c>
      <c r="N675" s="2">
        <f>IF(E675="","",IF(ISNUMBER(SEARCH("SUBSOLO",E675)),IFERROR(-VALUE(LEFT(E675,FIND("º",SUBSTITUTE(E675,"°","º"))-1)),-1),IF(LEFT(E675,6)="TÉRREO",0,IFERROR(VALUE(LEFT(E675,FIND("º",SUBSTITUTE(E675,"°","º"))-1)),""))))</f>
        <v/>
      </c>
      <c r="O675" s="2">
        <f>IF(OR(F675="",G675=""),"",IF(G675&lt;='RETRATO 2027'!$K$5,"CONCLUÍDA",IF(F675&lt;='RETRATO 2027'!$K$5,"EM ANDAMENTO","A INICIAR")))</f>
        <v/>
      </c>
    </row>
    <row r="676">
      <c r="B676" s="4" t="n">
        <v>32749856</v>
      </c>
      <c r="C676" s="4" t="inlineStr">
        <is>
          <t>DRYWALL 1º FACE</t>
        </is>
      </c>
      <c r="D676" s="4" t="inlineStr">
        <is>
          <t>-</t>
        </is>
      </c>
      <c r="E676" s="4" t="inlineStr">
        <is>
          <t>13º PAV.</t>
        </is>
      </c>
      <c r="F676" s="126" t="n">
        <v>46650</v>
      </c>
      <c r="G676" s="126" t="n">
        <v>46660</v>
      </c>
      <c r="H676" s="126" t="n">
        <v>46289</v>
      </c>
      <c r="I676" s="4" t="n">
        <v>0</v>
      </c>
      <c r="J676" s="4" t="n">
        <v>0</v>
      </c>
      <c r="K676" s="4" t="n">
        <v>0</v>
      </c>
      <c r="M676" s="2">
        <f>IF(C676="","",IFERROR(INDEX($S$5:$S$304,MATCH(C676,$R$5:$R$304,0))&amp;"","?"))</f>
        <v/>
      </c>
      <c r="N676" s="2">
        <f>IF(E676="","",IF(ISNUMBER(SEARCH("SUBSOLO",E676)),IFERROR(-VALUE(LEFT(E676,FIND("º",SUBSTITUTE(E676,"°","º"))-1)),-1),IF(LEFT(E676,6)="TÉRREO",0,IFERROR(VALUE(LEFT(E676,FIND("º",SUBSTITUTE(E676,"°","º"))-1)),""))))</f>
        <v/>
      </c>
      <c r="O676" s="2">
        <f>IF(OR(F676="",G676=""),"",IF(G676&lt;='RETRATO 2027'!$K$5,"CONCLUÍDA",IF(F676&lt;='RETRATO 2027'!$K$5,"EM ANDAMENTO","A INICIAR")))</f>
        <v/>
      </c>
    </row>
    <row r="677">
      <c r="B677" s="4" t="n">
        <v>29981288</v>
      </c>
      <c r="C677" s="4" t="inlineStr">
        <is>
          <t>CONTRAPISO</t>
        </is>
      </c>
      <c r="D677" s="4" t="inlineStr">
        <is>
          <t>-</t>
        </is>
      </c>
      <c r="E677" s="4" t="inlineStr">
        <is>
          <t>14º PAV.</t>
        </is>
      </c>
      <c r="F677" s="126" t="n">
        <v>46650</v>
      </c>
      <c r="G677" s="126" t="n">
        <v>46660</v>
      </c>
      <c r="H677" s="126" t="n">
        <v>46289</v>
      </c>
      <c r="I677" s="4" t="n">
        <v>0</v>
      </c>
      <c r="J677" s="4" t="n">
        <v>0</v>
      </c>
      <c r="K677" s="4" t="n">
        <v>0</v>
      </c>
      <c r="M677" s="2">
        <f>IF(C677="","",IFERROR(INDEX($S$5:$S$304,MATCH(C677,$R$5:$R$304,0))&amp;"","?"))</f>
        <v/>
      </c>
      <c r="N677" s="2">
        <f>IF(E677="","",IF(ISNUMBER(SEARCH("SUBSOLO",E677)),IFERROR(-VALUE(LEFT(E677,FIND("º",SUBSTITUTE(E677,"°","º"))-1)),-1),IF(LEFT(E677,6)="TÉRREO",0,IFERROR(VALUE(LEFT(E677,FIND("º",SUBSTITUTE(E677,"°","º"))-1)),""))))</f>
        <v/>
      </c>
      <c r="O677" s="2">
        <f>IF(OR(F677="",G677=""),"",IF(G677&lt;='RETRATO 2027'!$K$5,"CONCLUÍDA",IF(F677&lt;='RETRATO 2027'!$K$5,"EM ANDAMENTO","A INICIAR")))</f>
        <v/>
      </c>
    </row>
    <row r="678">
      <c r="B678" s="4" t="n">
        <v>29981228</v>
      </c>
      <c r="C678" s="4" t="inlineStr">
        <is>
          <t>SHAFT INTERNO INST. HIDRAÚLICAS</t>
        </is>
      </c>
      <c r="D678" s="4" t="inlineStr">
        <is>
          <t>-</t>
        </is>
      </c>
      <c r="E678" s="4" t="inlineStr">
        <is>
          <t>15º PAV.</t>
        </is>
      </c>
      <c r="F678" s="126" t="n">
        <v>46650</v>
      </c>
      <c r="G678" s="126" t="n">
        <v>46660</v>
      </c>
      <c r="H678" s="126" t="n">
        <v>46289</v>
      </c>
      <c r="I678" s="4" t="n">
        <v>0</v>
      </c>
      <c r="J678" s="4" t="n">
        <v>0</v>
      </c>
      <c r="K678" s="4" t="n">
        <v>0</v>
      </c>
      <c r="M678" s="2">
        <f>IF(C678="","",IFERROR(INDEX($S$5:$S$304,MATCH(C678,$R$5:$R$304,0))&amp;"","?"))</f>
        <v/>
      </c>
      <c r="N678" s="2">
        <f>IF(E678="","",IF(ISNUMBER(SEARCH("SUBSOLO",E678)),IFERROR(-VALUE(LEFT(E678,FIND("º",SUBSTITUTE(E678,"°","º"))-1)),-1),IF(LEFT(E678,6)="TÉRREO",0,IFERROR(VALUE(LEFT(E678,FIND("º",SUBSTITUTE(E678,"°","º"))-1)),""))))</f>
        <v/>
      </c>
      <c r="O678" s="2">
        <f>IF(OR(F678="",G678=""),"",IF(G678&lt;='RETRATO 2027'!$K$5,"CONCLUÍDA",IF(F678&lt;='RETRATO 2027'!$K$5,"EM ANDAMENTO","A INICIAR")))</f>
        <v/>
      </c>
    </row>
    <row r="679">
      <c r="B679" s="4" t="n">
        <v>29981261</v>
      </c>
      <c r="C679" s="4" t="inlineStr">
        <is>
          <t>PRUMADA ELÉTRICA - INFRA</t>
        </is>
      </c>
      <c r="D679" s="4" t="inlineStr">
        <is>
          <t>-</t>
        </is>
      </c>
      <c r="E679" s="4" t="inlineStr">
        <is>
          <t>15º PAV.</t>
        </is>
      </c>
      <c r="F679" s="126" t="n">
        <v>46650</v>
      </c>
      <c r="G679" s="126" t="n">
        <v>46660</v>
      </c>
      <c r="H679" s="126" t="n">
        <v>46289</v>
      </c>
      <c r="I679" s="4" t="n">
        <v>0</v>
      </c>
      <c r="J679" s="4" t="n">
        <v>0</v>
      </c>
      <c r="K679" s="4" t="n">
        <v>0</v>
      </c>
      <c r="M679" s="2">
        <f>IF(C679="","",IFERROR(INDEX($S$5:$S$304,MATCH(C679,$R$5:$R$304,0))&amp;"","?"))</f>
        <v/>
      </c>
      <c r="N679" s="2">
        <f>IF(E679="","",IF(ISNUMBER(SEARCH("SUBSOLO",E679)),IFERROR(-VALUE(LEFT(E679,FIND("º",SUBSTITUTE(E679,"°","º"))-1)),-1),IF(LEFT(E679,6)="TÉRREO",0,IFERROR(VALUE(LEFT(E679,FIND("º",SUBSTITUTE(E679,"°","º"))-1)),""))))</f>
        <v/>
      </c>
      <c r="O679" s="2">
        <f>IF(OR(F679="",G679=""),"",IF(G679&lt;='RETRATO 2027'!$K$5,"CONCLUÍDA",IF(F679&lt;='RETRATO 2027'!$K$5,"EM ANDAMENTO","A INICIAR")))</f>
        <v/>
      </c>
    </row>
    <row r="680">
      <c r="B680" s="4" t="n">
        <v>29981190</v>
      </c>
      <c r="C680" s="4" t="inlineStr">
        <is>
          <t>REBOCO INTERNO</t>
        </is>
      </c>
      <c r="D680" s="4" t="inlineStr">
        <is>
          <t>-</t>
        </is>
      </c>
      <c r="E680" s="4" t="inlineStr">
        <is>
          <t>16º PAV.</t>
        </is>
      </c>
      <c r="F680" s="126" t="n">
        <v>46650</v>
      </c>
      <c r="G680" s="126" t="n">
        <v>46660</v>
      </c>
      <c r="H680" s="126" t="n">
        <v>46289</v>
      </c>
      <c r="I680" s="4" t="n">
        <v>0</v>
      </c>
      <c r="J680" s="4" t="n">
        <v>0</v>
      </c>
      <c r="K680" s="4" t="n">
        <v>0</v>
      </c>
      <c r="M680" s="2">
        <f>IF(C680="","",IFERROR(INDEX($S$5:$S$304,MATCH(C680,$R$5:$R$304,0))&amp;"","?"))</f>
        <v/>
      </c>
      <c r="N680" s="2">
        <f>IF(E680="","",IF(ISNUMBER(SEARCH("SUBSOLO",E680)),IFERROR(-VALUE(LEFT(E680,FIND("º",SUBSTITUTE(E680,"°","º"))-1)),-1),IF(LEFT(E680,6)="TÉRREO",0,IFERROR(VALUE(LEFT(E680,FIND("º",SUBSTITUTE(E680,"°","º"))-1)),""))))</f>
        <v/>
      </c>
      <c r="O680" s="2">
        <f>IF(OR(F680="",G680=""),"",IF(G680&lt;='RETRATO 2027'!$K$5,"CONCLUÍDA",IF(F680&lt;='RETRATO 2027'!$K$5,"EM ANDAMENTO","A INICIAR")))</f>
        <v/>
      </c>
    </row>
    <row r="681">
      <c r="B681" s="4" t="n">
        <v>29981156</v>
      </c>
      <c r="C681" s="4" t="inlineStr">
        <is>
          <t>CONTRAMARCO</t>
        </is>
      </c>
      <c r="D681" s="4" t="inlineStr">
        <is>
          <t>-</t>
        </is>
      </c>
      <c r="E681" s="4" t="inlineStr">
        <is>
          <t>17º PAV.</t>
        </is>
      </c>
      <c r="F681" s="126" t="n">
        <v>46650</v>
      </c>
      <c r="G681" s="126" t="n">
        <v>46660</v>
      </c>
      <c r="H681" s="126" t="n">
        <v>46289</v>
      </c>
      <c r="I681" s="4" t="n">
        <v>0</v>
      </c>
      <c r="J681" s="4" t="n">
        <v>0</v>
      </c>
      <c r="K681" s="4" t="n">
        <v>0</v>
      </c>
      <c r="M681" s="2">
        <f>IF(C681="","",IFERROR(INDEX($S$5:$S$304,MATCH(C681,$R$5:$R$304,0))&amp;"","?"))</f>
        <v/>
      </c>
      <c r="N681" s="2">
        <f>IF(E681="","",IF(ISNUMBER(SEARCH("SUBSOLO",E681)),IFERROR(-VALUE(LEFT(E681,FIND("º",SUBSTITUTE(E681,"°","º"))-1)),-1),IF(LEFT(E681,6)="TÉRREO",0,IFERROR(VALUE(LEFT(E681,FIND("º",SUBSTITUTE(E681,"°","º"))-1)),""))))</f>
        <v/>
      </c>
      <c r="O681" s="2">
        <f>IF(OR(F681="",G681=""),"",IF(G681&lt;='RETRATO 2027'!$K$5,"CONCLUÍDA",IF(F681&lt;='RETRATO 2027'!$K$5,"EM ANDAMENTO","A INICIAR")))</f>
        <v/>
      </c>
    </row>
    <row r="682">
      <c r="B682" s="4" t="n">
        <v>29981149</v>
      </c>
      <c r="C682" s="4" t="inlineStr">
        <is>
          <t>DISTRIBUIÇÃO HIDROSSANITÁRIA</t>
        </is>
      </c>
      <c r="D682" s="4" t="inlineStr">
        <is>
          <t>-</t>
        </is>
      </c>
      <c r="E682" s="4" t="inlineStr">
        <is>
          <t>18º PAV.</t>
        </is>
      </c>
      <c r="F682" s="126" t="n">
        <v>46650</v>
      </c>
      <c r="G682" s="126" t="n">
        <v>46660</v>
      </c>
      <c r="H682" s="126" t="n">
        <v>46289</v>
      </c>
      <c r="I682" s="4" t="n">
        <v>0</v>
      </c>
      <c r="J682" s="4" t="n">
        <v>0</v>
      </c>
      <c r="K682" s="4" t="n">
        <v>0</v>
      </c>
      <c r="M682" s="2">
        <f>IF(C682="","",IFERROR(INDEX($S$5:$S$304,MATCH(C682,$R$5:$R$304,0))&amp;"","?"))</f>
        <v/>
      </c>
      <c r="N682" s="2">
        <f>IF(E682="","",IF(ISNUMBER(SEARCH("SUBSOLO",E682)),IFERROR(-VALUE(LEFT(E682,FIND("º",SUBSTITUTE(E682,"°","º"))-1)),-1),IF(LEFT(E682,6)="TÉRREO",0,IFERROR(VALUE(LEFT(E682,FIND("º",SUBSTITUTE(E682,"°","º"))-1)),""))))</f>
        <v/>
      </c>
      <c r="O682" s="2">
        <f>IF(OR(F682="",G682=""),"",IF(G682&lt;='RETRATO 2027'!$K$5,"CONCLUÍDA",IF(F682&lt;='RETRATO 2027'!$K$5,"EM ANDAMENTO","A INICIAR")))</f>
        <v/>
      </c>
    </row>
    <row r="683">
      <c r="B683" s="4" t="n">
        <v>29981118</v>
      </c>
      <c r="C683" s="4" t="inlineStr">
        <is>
          <t>DISTRIBUIÇÃO ELÉTRICA / QUADRO</t>
        </is>
      </c>
      <c r="D683" s="4" t="inlineStr">
        <is>
          <t>-</t>
        </is>
      </c>
      <c r="E683" s="4" t="inlineStr">
        <is>
          <t>18º PAV.</t>
        </is>
      </c>
      <c r="F683" s="126" t="n">
        <v>46650</v>
      </c>
      <c r="G683" s="126" t="n">
        <v>46660</v>
      </c>
      <c r="H683" s="126" t="n">
        <v>46289</v>
      </c>
      <c r="I683" s="4" t="n">
        <v>0</v>
      </c>
      <c r="J683" s="4" t="n">
        <v>0</v>
      </c>
      <c r="K683" s="4" t="n">
        <v>0</v>
      </c>
      <c r="M683" s="2">
        <f>IF(C683="","",IFERROR(INDEX($S$5:$S$304,MATCH(C683,$R$5:$R$304,0))&amp;"","?"))</f>
        <v/>
      </c>
      <c r="N683" s="2">
        <f>IF(E683="","",IF(ISNUMBER(SEARCH("SUBSOLO",E683)),IFERROR(-VALUE(LEFT(E683,FIND("º",SUBSTITUTE(E683,"°","º"))-1)),-1),IF(LEFT(E683,6)="TÉRREO",0,IFERROR(VALUE(LEFT(E683,FIND("º",SUBSTITUTE(E683,"°","º"))-1)),""))))</f>
        <v/>
      </c>
      <c r="O683" s="2">
        <f>IF(OR(F683="",G683=""),"",IF(G683&lt;='RETRATO 2027'!$K$5,"CONCLUÍDA",IF(F683&lt;='RETRATO 2027'!$K$5,"EM ANDAMENTO","A INICIAR")))</f>
        <v/>
      </c>
    </row>
    <row r="684">
      <c r="B684" s="4" t="n">
        <v>29981151</v>
      </c>
      <c r="C684" s="4" t="inlineStr">
        <is>
          <t>DISTRIBUIÇÃO DE GÁS</t>
        </is>
      </c>
      <c r="D684" s="4" t="inlineStr">
        <is>
          <t>-</t>
        </is>
      </c>
      <c r="E684" s="4" t="inlineStr">
        <is>
          <t>18º PAV.</t>
        </is>
      </c>
      <c r="F684" s="126" t="n">
        <v>46650</v>
      </c>
      <c r="G684" s="126" t="n">
        <v>46660</v>
      </c>
      <c r="H684" s="126" t="n">
        <v>46289</v>
      </c>
      <c r="I684" s="4" t="n">
        <v>0</v>
      </c>
      <c r="J684" s="4" t="n">
        <v>0</v>
      </c>
      <c r="K684" s="4" t="n">
        <v>0</v>
      </c>
      <c r="M684" s="2">
        <f>IF(C684="","",IFERROR(INDEX($S$5:$S$304,MATCH(C684,$R$5:$R$304,0))&amp;"","?"))</f>
        <v/>
      </c>
      <c r="N684" s="2">
        <f>IF(E684="","",IF(ISNUMBER(SEARCH("SUBSOLO",E684)),IFERROR(-VALUE(LEFT(E684,FIND("º",SUBSTITUTE(E684,"°","º"))-1)),-1),IF(LEFT(E684,6)="TÉRREO",0,IFERROR(VALUE(LEFT(E684,FIND("º",SUBSTITUTE(E684,"°","º"))-1)),""))))</f>
        <v/>
      </c>
      <c r="O684" s="2">
        <f>IF(OR(F684="",G684=""),"",IF(G684&lt;='RETRATO 2027'!$K$5,"CONCLUÍDA",IF(F684&lt;='RETRATO 2027'!$K$5,"EM ANDAMENTO","A INICIAR")))</f>
        <v/>
      </c>
    </row>
    <row r="685">
      <c r="B685" s="4" t="n">
        <v>29981061</v>
      </c>
      <c r="C685" s="4" t="inlineStr">
        <is>
          <t>TALISCAMENTO</t>
        </is>
      </c>
      <c r="D685" s="4" t="inlineStr">
        <is>
          <t>-</t>
        </is>
      </c>
      <c r="E685" s="4" t="inlineStr">
        <is>
          <t>20º PAV.</t>
        </is>
      </c>
      <c r="F685" s="126" t="n">
        <v>46650</v>
      </c>
      <c r="G685" s="126" t="n">
        <v>46660</v>
      </c>
      <c r="H685" s="126" t="n">
        <v>46289</v>
      </c>
      <c r="I685" s="4" t="n">
        <v>0</v>
      </c>
      <c r="J685" s="4" t="n">
        <v>0</v>
      </c>
      <c r="K685" s="4" t="n">
        <v>0</v>
      </c>
      <c r="M685" s="2">
        <f>IF(C685="","",IFERROR(INDEX($S$5:$S$304,MATCH(C685,$R$5:$R$304,0))&amp;"","?"))</f>
        <v/>
      </c>
      <c r="N685" s="2">
        <f>IF(E685="","",IF(ISNUMBER(SEARCH("SUBSOLO",E685)),IFERROR(-VALUE(LEFT(E685,FIND("º",SUBSTITUTE(E685,"°","º"))-1)),-1),IF(LEFT(E685,6)="TÉRREO",0,IFERROR(VALUE(LEFT(E685,FIND("º",SUBSTITUTE(E685,"°","º"))-1)),""))))</f>
        <v/>
      </c>
      <c r="O685" s="2">
        <f>IF(OR(F685="",G685=""),"",IF(G685&lt;='RETRATO 2027'!$K$5,"CONCLUÍDA",IF(F685&lt;='RETRATO 2027'!$K$5,"EM ANDAMENTO","A INICIAR")))</f>
        <v/>
      </c>
    </row>
    <row r="686">
      <c r="B686" s="4" t="n">
        <v>29981027</v>
      </c>
      <c r="C686" s="4" t="inlineStr">
        <is>
          <t>PRUMADA HIDROSSANITÁRIA</t>
        </is>
      </c>
      <c r="D686" s="4" t="inlineStr">
        <is>
          <t>-</t>
        </is>
      </c>
      <c r="E686" s="4" t="inlineStr">
        <is>
          <t>21º PAV.</t>
        </is>
      </c>
      <c r="F686" s="126" t="n">
        <v>46650</v>
      </c>
      <c r="G686" s="126" t="n">
        <v>46660</v>
      </c>
      <c r="H686" s="126" t="n">
        <v>46289</v>
      </c>
      <c r="I686" s="4" t="n">
        <v>0</v>
      </c>
      <c r="J686" s="4" t="n">
        <v>0</v>
      </c>
      <c r="K686" s="4" t="n">
        <v>0</v>
      </c>
      <c r="M686" s="2">
        <f>IF(C686="","",IFERROR(INDEX($S$5:$S$304,MATCH(C686,$R$5:$R$304,0))&amp;"","?"))</f>
        <v/>
      </c>
      <c r="N686" s="2">
        <f>IF(E686="","",IF(ISNUMBER(SEARCH("SUBSOLO",E686)),IFERROR(-VALUE(LEFT(E686,FIND("º",SUBSTITUTE(E686,"°","º"))-1)),-1),IF(LEFT(E686,6)="TÉRREO",0,IFERROR(VALUE(LEFT(E686,FIND("º",SUBSTITUTE(E686,"°","º"))-1)),""))))</f>
        <v/>
      </c>
      <c r="O686" s="2">
        <f>IF(OR(F686="",G686=""),"",IF(G686&lt;='RETRATO 2027'!$K$5,"CONCLUÍDA",IF(F686&lt;='RETRATO 2027'!$K$5,"EM ANDAMENTO","A INICIAR")))</f>
        <v/>
      </c>
    </row>
    <row r="687">
      <c r="B687" s="4" t="n">
        <v>29981026</v>
      </c>
      <c r="C687" s="4" t="inlineStr">
        <is>
          <t>ENCUNHAMENTO</t>
        </is>
      </c>
      <c r="D687" s="4" t="inlineStr">
        <is>
          <t>-</t>
        </is>
      </c>
      <c r="E687" s="4" t="inlineStr">
        <is>
          <t>21º PAV.</t>
        </is>
      </c>
      <c r="F687" s="126" t="n">
        <v>46652</v>
      </c>
      <c r="G687" s="126" t="n">
        <v>46664</v>
      </c>
      <c r="H687" s="126" t="n">
        <v>46289</v>
      </c>
      <c r="I687" s="4" t="n">
        <v>0</v>
      </c>
      <c r="J687" s="4" t="n">
        <v>0</v>
      </c>
      <c r="K687" s="4" t="n">
        <v>0</v>
      </c>
      <c r="M687" s="2">
        <f>IF(C687="","",IFERROR(INDEX($S$5:$S$304,MATCH(C687,$R$5:$R$304,0))&amp;"","?"))</f>
        <v/>
      </c>
      <c r="N687" s="2">
        <f>IF(E687="","",IF(ISNUMBER(SEARCH("SUBSOLO",E687)),IFERROR(-VALUE(LEFT(E687,FIND("º",SUBSTITUTE(E687,"°","º"))-1)),-1),IF(LEFT(E687,6)="TÉRREO",0,IFERROR(VALUE(LEFT(E687,FIND("º",SUBSTITUTE(E687,"°","º"))-1)),""))))</f>
        <v/>
      </c>
      <c r="O687" s="2">
        <f>IF(OR(F687="",G687=""),"",IF(G687&lt;='RETRATO 2027'!$K$5,"CONCLUÍDA",IF(F687&lt;='RETRATO 2027'!$K$5,"EM ANDAMENTO","A INICIAR")))</f>
        <v/>
      </c>
    </row>
    <row r="688">
      <c r="B688" s="4" t="n">
        <v>29941111</v>
      </c>
      <c r="C688" s="4" t="inlineStr">
        <is>
          <t>ESTRUTURA</t>
        </is>
      </c>
      <c r="D688" s="4" t="inlineStr">
        <is>
          <t>-</t>
        </is>
      </c>
      <c r="E688" s="4" t="inlineStr">
        <is>
          <t>26º PAV.</t>
        </is>
      </c>
      <c r="F688" s="126" t="n">
        <v>46653</v>
      </c>
      <c r="G688" s="126" t="n">
        <v>46664</v>
      </c>
      <c r="H688" s="126" t="n">
        <v>46289</v>
      </c>
      <c r="I688" s="4" t="n">
        <v>0</v>
      </c>
      <c r="J688" s="4" t="n">
        <v>0</v>
      </c>
      <c r="K688" s="4" t="n">
        <v>0</v>
      </c>
      <c r="M688" s="2">
        <f>IF(C688="","",IFERROR(INDEX($S$5:$S$304,MATCH(C688,$R$5:$R$304,0))&amp;"","?"))</f>
        <v/>
      </c>
      <c r="N688" s="2">
        <f>IF(E688="","",IF(ISNUMBER(SEARCH("SUBSOLO",E688)),IFERROR(-VALUE(LEFT(E688,FIND("º",SUBSTITUTE(E688,"°","º"))-1)),-1),IF(LEFT(E688,6)="TÉRREO",0,IFERROR(VALUE(LEFT(E688,FIND("º",SUBSTITUTE(E688,"°","º"))-1)),""))))</f>
        <v/>
      </c>
      <c r="O688" s="2">
        <f>IF(OR(F688="",G688=""),"",IF(G688&lt;='RETRATO 2027'!$K$5,"CONCLUÍDA",IF(F688&lt;='RETRATO 2027'!$K$5,"EM ANDAMENTO","A INICIAR")))</f>
        <v/>
      </c>
    </row>
    <row r="689">
      <c r="B689" s="4" t="n">
        <v>31529054</v>
      </c>
      <c r="C689" s="4" t="inlineStr">
        <is>
          <t>ESTRUTURA</t>
        </is>
      </c>
      <c r="D689" s="4" t="inlineStr">
        <is>
          <t>Forma</t>
        </is>
      </c>
      <c r="E689" s="4" t="inlineStr">
        <is>
          <t>26º PAV.</t>
        </is>
      </c>
      <c r="F689" s="126" t="n">
        <v>46653</v>
      </c>
      <c r="G689" s="126" t="n">
        <v>46658</v>
      </c>
      <c r="H689" s="126" t="n">
        <v>46289</v>
      </c>
      <c r="I689" s="4" t="n">
        <v>0</v>
      </c>
      <c r="J689" s="4" t="n">
        <v>0</v>
      </c>
      <c r="K689" s="4" t="n">
        <v>0</v>
      </c>
      <c r="M689" s="2">
        <f>IF(C689="","",IFERROR(INDEX($S$5:$S$304,MATCH(C689,$R$5:$R$304,0))&amp;"","?"))</f>
        <v/>
      </c>
      <c r="N689" s="2">
        <f>IF(E689="","",IF(ISNUMBER(SEARCH("SUBSOLO",E689)),IFERROR(-VALUE(LEFT(E689,FIND("º",SUBSTITUTE(E689,"°","º"))-1)),-1),IF(LEFT(E689,6)="TÉRREO",0,IFERROR(VALUE(LEFT(E689,FIND("º",SUBSTITUTE(E689,"°","º"))-1)),""))))</f>
        <v/>
      </c>
      <c r="O689" s="2">
        <f>IF(OR(F689="",G689=""),"",IF(G689&lt;='RETRATO 2027'!$K$5,"CONCLUÍDA",IF(F689&lt;='RETRATO 2027'!$K$5,"EM ANDAMENTO","A INICIAR")))</f>
        <v/>
      </c>
    </row>
    <row r="690">
      <c r="B690" s="4" t="n">
        <v>31529055</v>
      </c>
      <c r="C690" s="4" t="inlineStr">
        <is>
          <t>ESTRUTURA</t>
        </is>
      </c>
      <c r="D690" s="4" t="inlineStr">
        <is>
          <t>Armação</t>
        </is>
      </c>
      <c r="E690" s="4" t="inlineStr">
        <is>
          <t>26º PAV.</t>
        </is>
      </c>
      <c r="F690" s="126" t="n">
        <v>46659</v>
      </c>
      <c r="G690" s="126" t="n">
        <v>46661</v>
      </c>
      <c r="H690" s="126" t="n">
        <v>46289</v>
      </c>
      <c r="I690" s="4" t="n">
        <v>0</v>
      </c>
      <c r="J690" s="4" t="n">
        <v>0</v>
      </c>
      <c r="K690" s="4" t="n">
        <v>0</v>
      </c>
      <c r="M690" s="2">
        <f>IF(C690="","",IFERROR(INDEX($S$5:$S$304,MATCH(C690,$R$5:$R$304,0))&amp;"","?"))</f>
        <v/>
      </c>
      <c r="N690" s="2">
        <f>IF(E690="","",IF(ISNUMBER(SEARCH("SUBSOLO",E690)),IFERROR(-VALUE(LEFT(E690,FIND("º",SUBSTITUTE(E690,"°","º"))-1)),-1),IF(LEFT(E690,6)="TÉRREO",0,IFERROR(VALUE(LEFT(E690,FIND("º",SUBSTITUTE(E690,"°","º"))-1)),""))))</f>
        <v/>
      </c>
      <c r="O690" s="2">
        <f>IF(OR(F690="",G690=""),"",IF(G690&lt;='RETRATO 2027'!$K$5,"CONCLUÍDA",IF(F690&lt;='RETRATO 2027'!$K$5,"EM ANDAMENTO","A INICIAR")))</f>
        <v/>
      </c>
    </row>
    <row r="691">
      <c r="B691" s="4" t="n">
        <v>31529056</v>
      </c>
      <c r="C691" s="4" t="inlineStr">
        <is>
          <t>ESTRUTURA</t>
        </is>
      </c>
      <c r="D691" s="4" t="inlineStr">
        <is>
          <t>Concretagem</t>
        </is>
      </c>
      <c r="E691" s="4" t="inlineStr">
        <is>
          <t>26º PAV.</t>
        </is>
      </c>
      <c r="F691" s="126" t="n">
        <v>46664</v>
      </c>
      <c r="G691" s="126" t="n">
        <v>46664</v>
      </c>
      <c r="H691" s="126" t="n">
        <v>46289</v>
      </c>
      <c r="I691" s="4" t="n">
        <v>0</v>
      </c>
      <c r="J691" s="4" t="n">
        <v>0</v>
      </c>
      <c r="K691" s="4" t="n">
        <v>0</v>
      </c>
      <c r="M691" s="2">
        <f>IF(C691="","",IFERROR(INDEX($S$5:$S$304,MATCH(C691,$R$5:$R$304,0))&amp;"","?"))</f>
        <v/>
      </c>
      <c r="N691" s="2">
        <f>IF(E691="","",IF(ISNUMBER(SEARCH("SUBSOLO",E691)),IFERROR(-VALUE(LEFT(E691,FIND("º",SUBSTITUTE(E691,"°","º"))-1)),-1),IF(LEFT(E691,6)="TÉRREO",0,IFERROR(VALUE(LEFT(E691,FIND("º",SUBSTITUTE(E691,"°","º"))-1)),""))))</f>
        <v/>
      </c>
      <c r="O691" s="2">
        <f>IF(OR(F691="",G691=""),"",IF(G691&lt;='RETRATO 2027'!$K$5,"CONCLUÍDA",IF(F691&lt;='RETRATO 2027'!$K$5,"EM ANDAMENTO","A INICIAR")))</f>
        <v/>
      </c>
    </row>
    <row r="692">
      <c r="B692" s="4" t="n">
        <v>31529057</v>
      </c>
      <c r="C692" s="4" t="inlineStr">
        <is>
          <t>ESTRUTURA</t>
        </is>
      </c>
      <c r="D692" s="4" t="inlineStr">
        <is>
          <t>Polimento</t>
        </is>
      </c>
      <c r="E692" s="4" t="inlineStr">
        <is>
          <t>26º PAV.</t>
        </is>
      </c>
      <c r="F692" s="126" t="n">
        <v>46664</v>
      </c>
      <c r="G692" s="126" t="n">
        <v>46664</v>
      </c>
      <c r="H692" s="126" t="n">
        <v>46289</v>
      </c>
      <c r="I692" s="4" t="n">
        <v>0</v>
      </c>
      <c r="J692" s="4" t="n">
        <v>0</v>
      </c>
      <c r="K692" s="4" t="n">
        <v>0</v>
      </c>
      <c r="M692" s="2">
        <f>IF(C692="","",IFERROR(INDEX($S$5:$S$304,MATCH(C692,$R$5:$R$304,0))&amp;"","?"))</f>
        <v/>
      </c>
      <c r="N692" s="2">
        <f>IF(E692="","",IF(ISNUMBER(SEARCH("SUBSOLO",E692)),IFERROR(-VALUE(LEFT(E692,FIND("º",SUBSTITUTE(E692,"°","º"))-1)),-1),IF(LEFT(E692,6)="TÉRREO",0,IFERROR(VALUE(LEFT(E692,FIND("º",SUBSTITUTE(E692,"°","º"))-1)),""))))</f>
        <v/>
      </c>
      <c r="O692" s="2">
        <f>IF(OR(F692="",G692=""),"",IF(G692&lt;='RETRATO 2027'!$K$5,"CONCLUÍDA",IF(F692&lt;='RETRATO 2027'!$K$5,"EM ANDAMENTO","A INICIAR")))</f>
        <v/>
      </c>
    </row>
    <row r="693">
      <c r="B693" s="4" t="n">
        <v>30205708</v>
      </c>
      <c r="C693" s="4" t="inlineStr">
        <is>
          <t>REVESTIMENTO PORCELANATO PAREDE</t>
        </is>
      </c>
      <c r="D693" s="4" t="inlineStr">
        <is>
          <t>-</t>
        </is>
      </c>
      <c r="E693" s="4" t="inlineStr">
        <is>
          <t>TÉRREO - LOJA 1</t>
        </is>
      </c>
      <c r="F693" s="126" t="n">
        <v>46654</v>
      </c>
      <c r="G693" s="126" t="n">
        <v>46667</v>
      </c>
      <c r="H693" s="126" t="n">
        <v>46289</v>
      </c>
      <c r="I693" s="4" t="n">
        <v>0</v>
      </c>
      <c r="J693" s="4" t="n">
        <v>0</v>
      </c>
      <c r="K693" s="4" t="n">
        <v>0</v>
      </c>
      <c r="M693" s="2">
        <f>IF(C693="","",IFERROR(INDEX($S$5:$S$304,MATCH(C693,$R$5:$R$304,0))&amp;"","?"))</f>
        <v/>
      </c>
      <c r="N693" s="2">
        <f>IF(E693="","",IF(ISNUMBER(SEARCH("SUBSOLO",E693)),IFERROR(-VALUE(LEFT(E693,FIND("º",SUBSTITUTE(E693,"°","º"))-1)),-1),IF(LEFT(E693,6)="TÉRREO",0,IFERROR(VALUE(LEFT(E693,FIND("º",SUBSTITUTE(E693,"°","º"))-1)),""))))</f>
        <v/>
      </c>
      <c r="O693" s="2">
        <f>IF(OR(F693="",G693=""),"",IF(G693&lt;='RETRATO 2027'!$K$5,"CONCLUÍDA",IF(F693&lt;='RETRATO 2027'!$K$5,"EM ANDAMENTO","A INICIAR")))</f>
        <v/>
      </c>
    </row>
    <row r="694">
      <c r="B694" s="4" t="n">
        <v>30205674</v>
      </c>
      <c r="C694" s="4" t="inlineStr">
        <is>
          <t>DRYWALL</t>
        </is>
      </c>
      <c r="D694" s="4" t="inlineStr">
        <is>
          <t>-</t>
        </is>
      </c>
      <c r="E694" s="4" t="inlineStr">
        <is>
          <t>TÉRREO - LOJA 2</t>
        </is>
      </c>
      <c r="F694" s="126" t="n">
        <v>46654</v>
      </c>
      <c r="G694" s="126" t="n">
        <v>46667</v>
      </c>
      <c r="H694" s="126" t="n">
        <v>46289</v>
      </c>
      <c r="I694" s="4" t="n">
        <v>0</v>
      </c>
      <c r="J694" s="4" t="n">
        <v>0</v>
      </c>
      <c r="K694" s="4" t="n">
        <v>0</v>
      </c>
      <c r="M694" s="2">
        <f>IF(C694="","",IFERROR(INDEX($S$5:$S$304,MATCH(C694,$R$5:$R$304,0))&amp;"","?"))</f>
        <v/>
      </c>
      <c r="N694" s="2">
        <f>IF(E694="","",IF(ISNUMBER(SEARCH("SUBSOLO",E694)),IFERROR(-VALUE(LEFT(E694,FIND("º",SUBSTITUTE(E694,"°","º"))-1)),-1),IF(LEFT(E694,6)="TÉRREO",0,IFERROR(VALUE(LEFT(E694,FIND("º",SUBSTITUTE(E694,"°","º"))-1)),""))))</f>
        <v/>
      </c>
      <c r="O694" s="2">
        <f>IF(OR(F694="",G694=""),"",IF(G694&lt;='RETRATO 2027'!$K$5,"CONCLUÍDA",IF(F694&lt;='RETRATO 2027'!$K$5,"EM ANDAMENTO","A INICIAR")))</f>
        <v/>
      </c>
    </row>
    <row r="695">
      <c r="B695" s="4" t="n">
        <v>30205646</v>
      </c>
      <c r="C695" s="4" t="inlineStr">
        <is>
          <t>CONTRAPISO</t>
        </is>
      </c>
      <c r="D695" s="4" t="inlineStr">
        <is>
          <t>-</t>
        </is>
      </c>
      <c r="E695" s="4" t="inlineStr">
        <is>
          <t>TÉRREO - LOJA 3</t>
        </is>
      </c>
      <c r="F695" s="126" t="n">
        <v>46654</v>
      </c>
      <c r="G695" s="126" t="n">
        <v>46667</v>
      </c>
      <c r="H695" s="126" t="n">
        <v>46289</v>
      </c>
      <c r="I695" s="4" t="n">
        <v>0</v>
      </c>
      <c r="J695" s="4" t="n">
        <v>0</v>
      </c>
      <c r="K695" s="4" t="n">
        <v>0</v>
      </c>
      <c r="M695" s="2">
        <f>IF(C695="","",IFERROR(INDEX($S$5:$S$304,MATCH(C695,$R$5:$R$304,0))&amp;"","?"))</f>
        <v/>
      </c>
      <c r="N695" s="2">
        <f>IF(E695="","",IF(ISNUMBER(SEARCH("SUBSOLO",E695)),IFERROR(-VALUE(LEFT(E695,FIND("º",SUBSTITUTE(E695,"°","º"))-1)),-1),IF(LEFT(E695,6)="TÉRREO",0,IFERROR(VALUE(LEFT(E695,FIND("º",SUBSTITUTE(E695,"°","º"))-1)),""))))</f>
        <v/>
      </c>
      <c r="O695" s="2">
        <f>IF(OR(F695="",G695=""),"",IF(G695&lt;='RETRATO 2027'!$K$5,"CONCLUÍDA",IF(F695&lt;='RETRATO 2027'!$K$5,"EM ANDAMENTO","A INICIAR")))</f>
        <v/>
      </c>
    </row>
    <row r="696">
      <c r="B696" s="4" t="n">
        <v>31803887</v>
      </c>
      <c r="C696" s="4" t="inlineStr">
        <is>
          <t>FACHADA LOJA</t>
        </is>
      </c>
      <c r="D696" s="4" t="inlineStr">
        <is>
          <t>-</t>
        </is>
      </c>
      <c r="E696" s="4" t="inlineStr">
        <is>
          <t>TÉRREO - LOJA 3</t>
        </is>
      </c>
      <c r="F696" s="126" t="n">
        <v>46654</v>
      </c>
      <c r="G696" s="126" t="n">
        <v>46702</v>
      </c>
      <c r="H696" s="126" t="n">
        <v>46289</v>
      </c>
      <c r="I696" s="4" t="n">
        <v>0</v>
      </c>
      <c r="J696" s="4" t="n">
        <v>0</v>
      </c>
      <c r="K696" s="4" t="n">
        <v>0</v>
      </c>
      <c r="M696" s="2">
        <f>IF(C696="","",IFERROR(INDEX($S$5:$S$304,MATCH(C696,$R$5:$R$304,0))&amp;"","?"))</f>
        <v/>
      </c>
      <c r="N696" s="2">
        <f>IF(E696="","",IF(ISNUMBER(SEARCH("SUBSOLO",E696)),IFERROR(-VALUE(LEFT(E696,FIND("º",SUBSTITUTE(E696,"°","º"))-1)),-1),IF(LEFT(E696,6)="TÉRREO",0,IFERROR(VALUE(LEFT(E696,FIND("º",SUBSTITUTE(E696,"°","º"))-1)),""))))</f>
        <v/>
      </c>
      <c r="O696" s="2">
        <f>IF(OR(F696="",G696=""),"",IF(G696&lt;='RETRATO 2027'!$K$5,"CONCLUÍDA",IF(F696&lt;='RETRATO 2027'!$K$5,"EM ANDAMENTO","A INICIAR")))</f>
        <v/>
      </c>
    </row>
    <row r="697">
      <c r="B697" s="4" t="n">
        <v>30205615</v>
      </c>
      <c r="C697" s="4" t="inlineStr">
        <is>
          <t>REBOCO INTERNO</t>
        </is>
      </c>
      <c r="D697" s="4" t="inlineStr">
        <is>
          <t>-</t>
        </is>
      </c>
      <c r="E697" s="4" t="inlineStr">
        <is>
          <t>TÉRREO - LOJA 4</t>
        </is>
      </c>
      <c r="F697" s="126" t="n">
        <v>46654</v>
      </c>
      <c r="G697" s="126" t="n">
        <v>46667</v>
      </c>
      <c r="H697" s="126" t="n">
        <v>46289</v>
      </c>
      <c r="I697" s="4" t="n">
        <v>0</v>
      </c>
      <c r="J697" s="4" t="n">
        <v>0</v>
      </c>
      <c r="K697" s="4" t="n">
        <v>0</v>
      </c>
      <c r="M697" s="2">
        <f>IF(C697="","",IFERROR(INDEX($S$5:$S$304,MATCH(C697,$R$5:$R$304,0))&amp;"","?"))</f>
        <v/>
      </c>
      <c r="N697" s="2">
        <f>IF(E697="","",IF(ISNUMBER(SEARCH("SUBSOLO",E697)),IFERROR(-VALUE(LEFT(E697,FIND("º",SUBSTITUTE(E697,"°","º"))-1)),-1),IF(LEFT(E697,6)="TÉRREO",0,IFERROR(VALUE(LEFT(E697,FIND("º",SUBSTITUTE(E697,"°","º"))-1)),""))))</f>
        <v/>
      </c>
      <c r="O697" s="2">
        <f>IF(OR(F697="",G697=""),"",IF(G697&lt;='RETRATO 2027'!$K$5,"CONCLUÍDA",IF(F697&lt;='RETRATO 2027'!$K$5,"EM ANDAMENTO","A INICIAR")))</f>
        <v/>
      </c>
    </row>
    <row r="698">
      <c r="B698" s="4" t="n">
        <v>30205584</v>
      </c>
      <c r="C698" s="4" t="inlineStr">
        <is>
          <t>DISTRIBUIÇÃO ELÉTRICA / QUADRO</t>
        </is>
      </c>
      <c r="D698" s="4" t="inlineStr">
        <is>
          <t>-</t>
        </is>
      </c>
      <c r="E698" s="4" t="inlineStr">
        <is>
          <t>TÉRREO - LOJA 5</t>
        </is>
      </c>
      <c r="F698" s="126" t="n">
        <v>46654</v>
      </c>
      <c r="G698" s="126" t="n">
        <v>46664</v>
      </c>
      <c r="H698" s="126" t="n">
        <v>46289</v>
      </c>
      <c r="I698" s="4" t="n">
        <v>0</v>
      </c>
      <c r="J698" s="4" t="n">
        <v>0</v>
      </c>
      <c r="K698" s="4" t="n">
        <v>0</v>
      </c>
      <c r="M698" s="2">
        <f>IF(C698="","",IFERROR(INDEX($S$5:$S$304,MATCH(C698,$R$5:$R$304,0))&amp;"","?"))</f>
        <v/>
      </c>
      <c r="N698" s="2">
        <f>IF(E698="","",IF(ISNUMBER(SEARCH("SUBSOLO",E698)),IFERROR(-VALUE(LEFT(E698,FIND("º",SUBSTITUTE(E698,"°","º"))-1)),-1),IF(LEFT(E698,6)="TÉRREO",0,IFERROR(VALUE(LEFT(E698,FIND("º",SUBSTITUTE(E698,"°","º"))-1)),""))))</f>
        <v/>
      </c>
      <c r="O698" s="2">
        <f>IF(OR(F698="",G698=""),"",IF(G698&lt;='RETRATO 2027'!$K$5,"CONCLUÍDA",IF(F698&lt;='RETRATO 2027'!$K$5,"EM ANDAMENTO","A INICIAR")))</f>
        <v/>
      </c>
    </row>
    <row r="699">
      <c r="B699" s="4" t="n">
        <v>30205585</v>
      </c>
      <c r="C699" s="4" t="inlineStr">
        <is>
          <t>DISTRIBUIÇÃO HIDRÁULICA</t>
        </is>
      </c>
      <c r="D699" s="4" t="inlineStr">
        <is>
          <t>-</t>
        </is>
      </c>
      <c r="E699" s="4" t="inlineStr">
        <is>
          <t>TÉRREO - LOJA 5</t>
        </is>
      </c>
      <c r="F699" s="126" t="n">
        <v>46654</v>
      </c>
      <c r="G699" s="126" t="n">
        <v>46667</v>
      </c>
      <c r="H699" s="126" t="n">
        <v>46289</v>
      </c>
      <c r="I699" s="4" t="n">
        <v>0</v>
      </c>
      <c r="J699" s="4" t="n">
        <v>0</v>
      </c>
      <c r="K699" s="4" t="n">
        <v>0</v>
      </c>
      <c r="M699" s="2">
        <f>IF(C699="","",IFERROR(INDEX($S$5:$S$304,MATCH(C699,$R$5:$R$304,0))&amp;"","?"))</f>
        <v/>
      </c>
      <c r="N699" s="2">
        <f>IF(E699="","",IF(ISNUMBER(SEARCH("SUBSOLO",E699)),IFERROR(-VALUE(LEFT(E699,FIND("º",SUBSTITUTE(E699,"°","º"))-1)),-1),IF(LEFT(E699,6)="TÉRREO",0,IFERROR(VALUE(LEFT(E699,FIND("º",SUBSTITUTE(E699,"°","º"))-1)),""))))</f>
        <v/>
      </c>
      <c r="O699" s="2">
        <f>IF(OR(F699="",G699=""),"",IF(G699&lt;='RETRATO 2027'!$K$5,"CONCLUÍDA",IF(F699&lt;='RETRATO 2027'!$K$5,"EM ANDAMENTO","A INICIAR")))</f>
        <v/>
      </c>
    </row>
    <row r="700">
      <c r="B700" s="4" t="n">
        <v>30205556</v>
      </c>
      <c r="C700" s="4" t="inlineStr">
        <is>
          <t>TALISCAMENTO</t>
        </is>
      </c>
      <c r="D700" s="4" t="inlineStr">
        <is>
          <t>-</t>
        </is>
      </c>
      <c r="E700" s="4" t="inlineStr">
        <is>
          <t>TÉRREO - LOJA 6</t>
        </is>
      </c>
      <c r="F700" s="126" t="n">
        <v>46654</v>
      </c>
      <c r="G700" s="126" t="n">
        <v>46667</v>
      </c>
      <c r="H700" s="126" t="n">
        <v>46289</v>
      </c>
      <c r="I700" s="4" t="n">
        <v>0</v>
      </c>
      <c r="J700" s="4" t="n">
        <v>0</v>
      </c>
      <c r="K700" s="4" t="n">
        <v>0</v>
      </c>
      <c r="M700" s="2">
        <f>IF(C700="","",IFERROR(INDEX($S$5:$S$304,MATCH(C700,$R$5:$R$304,0))&amp;"","?"))</f>
        <v/>
      </c>
      <c r="N700" s="2">
        <f>IF(E700="","",IF(ISNUMBER(SEARCH("SUBSOLO",E700)),IFERROR(-VALUE(LEFT(E700,FIND("º",SUBSTITUTE(E700,"°","º"))-1)),-1),IF(LEFT(E700,6)="TÉRREO",0,IFERROR(VALUE(LEFT(E700,FIND("º",SUBSTITUTE(E700,"°","º"))-1)),""))))</f>
        <v/>
      </c>
      <c r="O700" s="2">
        <f>IF(OR(F700="",G700=""),"",IF(G700&lt;='RETRATO 2027'!$K$5,"CONCLUÍDA",IF(F700&lt;='RETRATO 2027'!$K$5,"EM ANDAMENTO","A INICIAR")))</f>
        <v/>
      </c>
    </row>
    <row r="701">
      <c r="B701" s="4" t="n">
        <v>30205523</v>
      </c>
      <c r="C701" s="4" t="inlineStr">
        <is>
          <t>PRUMADA HIDROSSANITÁRIA</t>
        </is>
      </c>
      <c r="D701" s="4" t="inlineStr">
        <is>
          <t>-</t>
        </is>
      </c>
      <c r="E701" s="4" t="inlineStr">
        <is>
          <t>TÉRREO - LOJA 7</t>
        </is>
      </c>
      <c r="F701" s="126" t="n">
        <v>46654</v>
      </c>
      <c r="G701" s="126" t="n">
        <v>46667</v>
      </c>
      <c r="H701" s="126" t="n">
        <v>46289</v>
      </c>
      <c r="I701" s="4" t="n">
        <v>0</v>
      </c>
      <c r="J701" s="4" t="n">
        <v>0</v>
      </c>
      <c r="K701" s="4" t="n">
        <v>0</v>
      </c>
      <c r="M701" s="2">
        <f>IF(C701="","",IFERROR(INDEX($S$5:$S$304,MATCH(C701,$R$5:$R$304,0))&amp;"","?"))</f>
        <v/>
      </c>
      <c r="N701" s="2">
        <f>IF(E701="","",IF(ISNUMBER(SEARCH("SUBSOLO",E701)),IFERROR(-VALUE(LEFT(E701,FIND("º",SUBSTITUTE(E701,"°","º"))-1)),-1),IF(LEFT(E701,6)="TÉRREO",0,IFERROR(VALUE(LEFT(E701,FIND("º",SUBSTITUTE(E701,"°","º"))-1)),""))))</f>
        <v/>
      </c>
      <c r="O701" s="2">
        <f>IF(OR(F701="",G701=""),"",IF(G701&lt;='RETRATO 2027'!$K$5,"CONCLUÍDA",IF(F701&lt;='RETRATO 2027'!$K$5,"EM ANDAMENTO","A INICIAR")))</f>
        <v/>
      </c>
    </row>
    <row r="702">
      <c r="B702" s="4" t="n">
        <v>30205522</v>
      </c>
      <c r="C702" s="4" t="inlineStr">
        <is>
          <t>PRUMADA DE INCÊNDIO</t>
        </is>
      </c>
      <c r="D702" s="4" t="inlineStr">
        <is>
          <t>-</t>
        </is>
      </c>
      <c r="E702" s="4" t="inlineStr">
        <is>
          <t>TÉRREO - LOJA 7</t>
        </is>
      </c>
      <c r="F702" s="126" t="n">
        <v>46654</v>
      </c>
      <c r="G702" s="126" t="n">
        <v>46667</v>
      </c>
      <c r="H702" s="126" t="n">
        <v>46289</v>
      </c>
      <c r="I702" s="4" t="n">
        <v>0</v>
      </c>
      <c r="J702" s="4" t="n">
        <v>0</v>
      </c>
      <c r="K702" s="4" t="n">
        <v>0</v>
      </c>
      <c r="M702" s="2">
        <f>IF(C702="","",IFERROR(INDEX($S$5:$S$304,MATCH(C702,$R$5:$R$304,0))&amp;"","?"))</f>
        <v/>
      </c>
      <c r="N702" s="2">
        <f>IF(E702="","",IF(ISNUMBER(SEARCH("SUBSOLO",E702)),IFERROR(-VALUE(LEFT(E702,FIND("º",SUBSTITUTE(E702,"°","º"))-1)),-1),IF(LEFT(E702,6)="TÉRREO",0,IFERROR(VALUE(LEFT(E702,FIND("º",SUBSTITUTE(E702,"°","º"))-1)),""))))</f>
        <v/>
      </c>
      <c r="O702" s="2">
        <f>IF(OR(F702="",G702=""),"",IF(G702&lt;='RETRATO 2027'!$K$5,"CONCLUÍDA",IF(F702&lt;='RETRATO 2027'!$K$5,"EM ANDAMENTO","A INICIAR")))</f>
        <v/>
      </c>
    </row>
    <row r="703">
      <c r="B703" s="4" t="n">
        <v>30205524</v>
      </c>
      <c r="C703" s="4" t="inlineStr">
        <is>
          <t>ENCUNHAMENTO</t>
        </is>
      </c>
      <c r="D703" s="4" t="inlineStr">
        <is>
          <t>-</t>
        </is>
      </c>
      <c r="E703" s="4" t="inlineStr">
        <is>
          <t>TÉRREO - LOJA 7</t>
        </is>
      </c>
      <c r="F703" s="126" t="n">
        <v>46654</v>
      </c>
      <c r="G703" s="126" t="n">
        <v>46667</v>
      </c>
      <c r="H703" s="126" t="n">
        <v>46289</v>
      </c>
      <c r="I703" s="4" t="n">
        <v>0</v>
      </c>
      <c r="J703" s="4" t="n">
        <v>0</v>
      </c>
      <c r="K703" s="4" t="n">
        <v>0</v>
      </c>
      <c r="M703" s="2">
        <f>IF(C703="","",IFERROR(INDEX($S$5:$S$304,MATCH(C703,$R$5:$R$304,0))&amp;"","?"))</f>
        <v/>
      </c>
      <c r="N703" s="2">
        <f>IF(E703="","",IF(ISNUMBER(SEARCH("SUBSOLO",E703)),IFERROR(-VALUE(LEFT(E703,FIND("º",SUBSTITUTE(E703,"°","º"))-1)),-1),IF(LEFT(E703,6)="TÉRREO",0,IFERROR(VALUE(LEFT(E703,FIND("º",SUBSTITUTE(E703,"°","º"))-1)),""))))</f>
        <v/>
      </c>
      <c r="O703" s="2">
        <f>IF(OR(F703="",G703=""),"",IF(G703&lt;='RETRATO 2027'!$K$5,"CONCLUÍDA",IF(F703&lt;='RETRATO 2027'!$K$5,"EM ANDAMENTO","A INICIAR")))</f>
        <v/>
      </c>
    </row>
    <row r="704">
      <c r="B704" s="4" t="n">
        <v>30205775</v>
      </c>
      <c r="C704" s="4" t="inlineStr">
        <is>
          <t>ALVENARIA</t>
        </is>
      </c>
      <c r="D704" s="4" t="inlineStr">
        <is>
          <t>-</t>
        </is>
      </c>
      <c r="E704" s="4" t="inlineStr">
        <is>
          <t>TÉRREO - ACESSO COMERCIAL + DML + ARS + ÁREA TEC + LAVABO + DISPENSA</t>
        </is>
      </c>
      <c r="F704" s="126" t="n">
        <v>46654</v>
      </c>
      <c r="G704" s="126" t="n">
        <v>46675</v>
      </c>
      <c r="H704" s="126" t="n">
        <v>46289</v>
      </c>
      <c r="I704" s="4" t="n">
        <v>0</v>
      </c>
      <c r="J704" s="4" t="n">
        <v>0</v>
      </c>
      <c r="K704" s="4" t="n">
        <v>0</v>
      </c>
      <c r="M704" s="2">
        <f>IF(C704="","",IFERROR(INDEX($S$5:$S$304,MATCH(C704,$R$5:$R$304,0))&amp;"","?"))</f>
        <v/>
      </c>
      <c r="N704" s="2">
        <f>IF(E704="","",IF(ISNUMBER(SEARCH("SUBSOLO",E704)),IFERROR(-VALUE(LEFT(E704,FIND("º",SUBSTITUTE(E704,"°","º"))-1)),-1),IF(LEFT(E704,6)="TÉRREO",0,IFERROR(VALUE(LEFT(E704,FIND("º",SUBSTITUTE(E704,"°","º"))-1)),""))))</f>
        <v/>
      </c>
      <c r="O704" s="2">
        <f>IF(OR(F704="",G704=""),"",IF(G704&lt;='RETRATO 2027'!$K$5,"CONCLUÍDA",IF(F704&lt;='RETRATO 2027'!$K$5,"EM ANDAMENTO","A INICIAR")))</f>
        <v/>
      </c>
    </row>
    <row r="705">
      <c r="B705" s="4" t="n">
        <v>34179684</v>
      </c>
      <c r="C705" s="4" t="inlineStr">
        <is>
          <t>INSTALAÇÕES ELÉTRICAS</t>
        </is>
      </c>
      <c r="D705" s="4" t="inlineStr">
        <is>
          <t>-</t>
        </is>
      </c>
      <c r="E705" s="4" t="inlineStr">
        <is>
          <t>TÉRREO ÁREA EXTERNA - COMERCIAL</t>
        </is>
      </c>
      <c r="F705" s="126" t="n">
        <v>46654</v>
      </c>
      <c r="G705" s="126" t="n">
        <v>46720</v>
      </c>
      <c r="H705" s="126" t="n">
        <v>46289</v>
      </c>
      <c r="I705" s="4" t="n">
        <v>0</v>
      </c>
      <c r="J705" s="4" t="n">
        <v>0</v>
      </c>
      <c r="K705" s="4" t="n">
        <v>0</v>
      </c>
      <c r="M705" s="2">
        <f>IF(C705="","",IFERROR(INDEX($S$5:$S$304,MATCH(C705,$R$5:$R$304,0))&amp;"","?"))</f>
        <v/>
      </c>
      <c r="N705" s="2">
        <f>IF(E705="","",IF(ISNUMBER(SEARCH("SUBSOLO",E705)),IFERROR(-VALUE(LEFT(E705,FIND("º",SUBSTITUTE(E705,"°","º"))-1)),-1),IF(LEFT(E705,6)="TÉRREO",0,IFERROR(VALUE(LEFT(E705,FIND("º",SUBSTITUTE(E705,"°","º"))-1)),""))))</f>
        <v/>
      </c>
      <c r="O705" s="2">
        <f>IF(OR(F705="",G705=""),"",IF(G705&lt;='RETRATO 2027'!$K$5,"CONCLUÍDA",IF(F705&lt;='RETRATO 2027'!$K$5,"EM ANDAMENTO","A INICIAR")))</f>
        <v/>
      </c>
    </row>
    <row r="706">
      <c r="B706" s="4" t="n">
        <v>34179687</v>
      </c>
      <c r="C706" s="4" t="inlineStr">
        <is>
          <t>INSTALAÇÕES HIDRÁULICAS</t>
        </is>
      </c>
      <c r="D706" s="4" t="inlineStr">
        <is>
          <t>-</t>
        </is>
      </c>
      <c r="E706" s="4" t="inlineStr">
        <is>
          <t>TÉRREO ÁREA EXTERNA - COMERCIAL</t>
        </is>
      </c>
      <c r="F706" s="126" t="n">
        <v>46654</v>
      </c>
      <c r="G706" s="126" t="n">
        <v>46720</v>
      </c>
      <c r="H706" s="126" t="n">
        <v>46289</v>
      </c>
      <c r="I706" s="4" t="n">
        <v>0</v>
      </c>
      <c r="J706" s="4" t="n">
        <v>0</v>
      </c>
      <c r="K706" s="4" t="n">
        <v>0</v>
      </c>
      <c r="M706" s="2">
        <f>IF(C706="","",IFERROR(INDEX($S$5:$S$304,MATCH(C706,$R$5:$R$304,0))&amp;"","?"))</f>
        <v/>
      </c>
      <c r="N706" s="2">
        <f>IF(E706="","",IF(ISNUMBER(SEARCH("SUBSOLO",E706)),IFERROR(-VALUE(LEFT(E706,FIND("º",SUBSTITUTE(E706,"°","º"))-1)),-1),IF(LEFT(E706,6)="TÉRREO",0,IFERROR(VALUE(LEFT(E706,FIND("º",SUBSTITUTE(E706,"°","º"))-1)),""))))</f>
        <v/>
      </c>
      <c r="O706" s="2">
        <f>IF(OR(F706="",G706=""),"",IF(G706&lt;='RETRATO 2027'!$K$5,"CONCLUÍDA",IF(F706&lt;='RETRATO 2027'!$K$5,"EM ANDAMENTO","A INICIAR")))</f>
        <v/>
      </c>
    </row>
    <row r="707">
      <c r="B707" s="4" t="n">
        <v>30205762</v>
      </c>
      <c r="C707" s="4" t="inlineStr">
        <is>
          <t>INSTALAÇÕES ELÉTRICAS</t>
        </is>
      </c>
      <c r="D707" s="4" t="inlineStr">
        <is>
          <t>-</t>
        </is>
      </c>
      <c r="E707" s="4" t="inlineStr">
        <is>
          <t>TÉRREO - ÁREA EXTERNA RESIDENCIAL</t>
        </is>
      </c>
      <c r="F707" s="126" t="n">
        <v>46654</v>
      </c>
      <c r="G707" s="126" t="n">
        <v>46720</v>
      </c>
      <c r="H707" s="126" t="n">
        <v>46289</v>
      </c>
      <c r="I707" s="4" t="n">
        <v>0</v>
      </c>
      <c r="J707" s="4" t="n">
        <v>0</v>
      </c>
      <c r="K707" s="4" t="n">
        <v>0</v>
      </c>
      <c r="M707" s="2">
        <f>IF(C707="","",IFERROR(INDEX($S$5:$S$304,MATCH(C707,$R$5:$R$304,0))&amp;"","?"))</f>
        <v/>
      </c>
      <c r="N707" s="2">
        <f>IF(E707="","",IF(ISNUMBER(SEARCH("SUBSOLO",E707)),IFERROR(-VALUE(LEFT(E707,FIND("º",SUBSTITUTE(E707,"°","º"))-1)),-1),IF(LEFT(E707,6)="TÉRREO",0,IFERROR(VALUE(LEFT(E707,FIND("º",SUBSTITUTE(E707,"°","º"))-1)),""))))</f>
        <v/>
      </c>
      <c r="O707" s="2">
        <f>IF(OR(F707="",G707=""),"",IF(G707&lt;='RETRATO 2027'!$K$5,"CONCLUÍDA",IF(F707&lt;='RETRATO 2027'!$K$5,"EM ANDAMENTO","A INICIAR")))</f>
        <v/>
      </c>
    </row>
    <row r="708">
      <c r="B708" s="4" t="n">
        <v>30205763</v>
      </c>
      <c r="C708" s="4" t="inlineStr">
        <is>
          <t>INSTALAÇÕES HIDRÁULICAS</t>
        </is>
      </c>
      <c r="D708" s="4" t="inlineStr">
        <is>
          <t>-</t>
        </is>
      </c>
      <c r="E708" s="4" t="inlineStr">
        <is>
          <t>TÉRREO - ÁREA EXTERNA RESIDENCIAL</t>
        </is>
      </c>
      <c r="F708" s="126" t="n">
        <v>46654</v>
      </c>
      <c r="G708" s="126" t="n">
        <v>46720</v>
      </c>
      <c r="H708" s="126" t="n">
        <v>46289</v>
      </c>
      <c r="I708" s="4" t="n">
        <v>0</v>
      </c>
      <c r="J708" s="4" t="n">
        <v>0</v>
      </c>
      <c r="K708" s="4" t="n">
        <v>0</v>
      </c>
      <c r="M708" s="2">
        <f>IF(C708="","",IFERROR(INDEX($S$5:$S$304,MATCH(C708,$R$5:$R$304,0))&amp;"","?"))</f>
        <v/>
      </c>
      <c r="N708" s="2">
        <f>IF(E708="","",IF(ISNUMBER(SEARCH("SUBSOLO",E708)),IFERROR(-VALUE(LEFT(E708,FIND("º",SUBSTITUTE(E708,"°","º"))-1)),-1),IF(LEFT(E708,6)="TÉRREO",0,IFERROR(VALUE(LEFT(E708,FIND("º",SUBSTITUTE(E708,"°","º"))-1)),""))))</f>
        <v/>
      </c>
      <c r="O708" s="2">
        <f>IF(OR(F708="",G708=""),"",IF(G708&lt;='RETRATO 2027'!$K$5,"CONCLUÍDA",IF(F708&lt;='RETRATO 2027'!$K$5,"EM ANDAMENTO","A INICIAR")))</f>
        <v/>
      </c>
    </row>
    <row r="709">
      <c r="B709" s="4" t="n">
        <v>29981000</v>
      </c>
      <c r="C709" s="4" t="inlineStr">
        <is>
          <t>PRUMADA DE INCÊNDIO</t>
        </is>
      </c>
      <c r="D709" s="4" t="inlineStr">
        <is>
          <t>-</t>
        </is>
      </c>
      <c r="E709" s="4" t="inlineStr">
        <is>
          <t>22º PAV.</t>
        </is>
      </c>
      <c r="F709" s="126" t="n">
        <v>46657</v>
      </c>
      <c r="G709" s="126" t="n">
        <v>46667</v>
      </c>
      <c r="H709" s="126" t="n">
        <v>46289</v>
      </c>
      <c r="I709" s="4" t="n">
        <v>0</v>
      </c>
      <c r="J709" s="4" t="n">
        <v>0</v>
      </c>
      <c r="K709" s="4" t="n">
        <v>0</v>
      </c>
      <c r="M709" s="2">
        <f>IF(C709="","",IFERROR(INDEX($S$5:$S$304,MATCH(C709,$R$5:$R$304,0))&amp;"","?"))</f>
        <v/>
      </c>
      <c r="N709" s="2">
        <f>IF(E709="","",IF(ISNUMBER(SEARCH("SUBSOLO",E709)),IFERROR(-VALUE(LEFT(E709,FIND("º",SUBSTITUTE(E709,"°","º"))-1)),-1),IF(LEFT(E709,6)="TÉRREO",0,IFERROR(VALUE(LEFT(E709,FIND("º",SUBSTITUTE(E709,"°","º"))-1)),""))))</f>
        <v/>
      </c>
      <c r="O709" s="2">
        <f>IF(OR(F709="",G709=""),"",IF(G709&lt;='RETRATO 2027'!$K$5,"CONCLUÍDA",IF(F709&lt;='RETRATO 2027'!$K$5,"EM ANDAMENTO","A INICIAR")))</f>
        <v/>
      </c>
    </row>
    <row r="710">
      <c r="B710" s="4" t="n">
        <v>29980951</v>
      </c>
      <c r="C710" s="4" t="inlineStr">
        <is>
          <t>ALVENARIA</t>
        </is>
      </c>
      <c r="D710" s="4" t="inlineStr">
        <is>
          <t>-</t>
        </is>
      </c>
      <c r="E710" s="4" t="inlineStr">
        <is>
          <t>23º PAV.</t>
        </is>
      </c>
      <c r="F710" s="126" t="n">
        <v>46657</v>
      </c>
      <c r="G710" s="126" t="n">
        <v>46667</v>
      </c>
      <c r="H710" s="126" t="n">
        <v>46289</v>
      </c>
      <c r="I710" s="4" t="n">
        <v>0</v>
      </c>
      <c r="J710" s="4" t="n">
        <v>0</v>
      </c>
      <c r="K710" s="4" t="n">
        <v>0</v>
      </c>
      <c r="M710" s="2">
        <f>IF(C710="","",IFERROR(INDEX($S$5:$S$304,MATCH(C710,$R$5:$R$304,0))&amp;"","?"))</f>
        <v/>
      </c>
      <c r="N710" s="2">
        <f>IF(E710="","",IF(ISNUMBER(SEARCH("SUBSOLO",E710)),IFERROR(-VALUE(LEFT(E710,FIND("º",SUBSTITUTE(E710,"°","º"))-1)),-1),IF(LEFT(E710,6)="TÉRREO",0,IFERROR(VALUE(LEFT(E710,FIND("º",SUBSTITUTE(E710,"°","º"))-1)),""))))</f>
        <v/>
      </c>
      <c r="O710" s="2">
        <f>IF(OR(F710="",G710=""),"",IF(G710&lt;='RETRATO 2027'!$K$5,"CONCLUÍDA",IF(F710&lt;='RETRATO 2027'!$K$5,"EM ANDAMENTO","A INICIAR")))</f>
        <v/>
      </c>
    </row>
    <row r="711">
      <c r="B711" s="4" t="n">
        <v>29981549</v>
      </c>
      <c r="C711" s="4" t="inlineStr">
        <is>
          <t>FIAÇÃO ELÉTRICA</t>
        </is>
      </c>
      <c r="D711" s="4" t="inlineStr">
        <is>
          <t>-</t>
        </is>
      </c>
      <c r="E711" s="4" t="inlineStr">
        <is>
          <t>7º PAV.</t>
        </is>
      </c>
      <c r="F711" s="126" t="n">
        <v>46661</v>
      </c>
      <c r="G711" s="126" t="n">
        <v>46674</v>
      </c>
      <c r="H711" s="126" t="n">
        <v>46289</v>
      </c>
      <c r="I711" s="4" t="n">
        <v>0</v>
      </c>
      <c r="J711" s="4" t="n">
        <v>0</v>
      </c>
      <c r="K711" s="4" t="n">
        <v>0</v>
      </c>
      <c r="M711" s="2">
        <f>IF(C711="","",IFERROR(INDEX($S$5:$S$304,MATCH(C711,$R$5:$R$304,0))&amp;"","?"))</f>
        <v/>
      </c>
      <c r="N711" s="2">
        <f>IF(E711="","",IF(ISNUMBER(SEARCH("SUBSOLO",E711)),IFERROR(-VALUE(LEFT(E711,FIND("º",SUBSTITUTE(E711,"°","º"))-1)),-1),IF(LEFT(E711,6)="TÉRREO",0,IFERROR(VALUE(LEFT(E711,FIND("º",SUBSTITUTE(E711,"°","º"))-1)),""))))</f>
        <v/>
      </c>
      <c r="O711" s="2">
        <f>IF(OR(F711="",G711=""),"",IF(G711&lt;='RETRATO 2027'!$K$5,"CONCLUÍDA",IF(F711&lt;='RETRATO 2027'!$K$5,"EM ANDAMENTO","A INICIAR")))</f>
        <v/>
      </c>
    </row>
    <row r="712">
      <c r="B712" s="4" t="n">
        <v>29981554</v>
      </c>
      <c r="C712" s="4" t="inlineStr">
        <is>
          <t>PRUMADA ELÉTRICA - CABOS</t>
        </is>
      </c>
      <c r="D712" s="4" t="inlineStr">
        <is>
          <t>-</t>
        </is>
      </c>
      <c r="E712" s="4" t="inlineStr">
        <is>
          <t>7º PAV.</t>
        </is>
      </c>
      <c r="F712" s="126" t="n">
        <v>46661</v>
      </c>
      <c r="G712" s="126" t="n">
        <v>46674</v>
      </c>
      <c r="H712" s="126" t="n">
        <v>46289</v>
      </c>
      <c r="I712" s="4" t="n">
        <v>0</v>
      </c>
      <c r="J712" s="4" t="n">
        <v>0</v>
      </c>
      <c r="K712" s="4" t="n">
        <v>0</v>
      </c>
      <c r="M712" s="2">
        <f>IF(C712="","",IFERROR(INDEX($S$5:$S$304,MATCH(C712,$R$5:$R$304,0))&amp;"","?"))</f>
        <v/>
      </c>
      <c r="N712" s="2">
        <f>IF(E712="","",IF(ISNUMBER(SEARCH("SUBSOLO",E712)),IFERROR(-VALUE(LEFT(E712,FIND("º",SUBSTITUTE(E712,"°","º"))-1)),-1),IF(LEFT(E712,6)="TÉRREO",0,IFERROR(VALUE(LEFT(E712,FIND("º",SUBSTITUTE(E712,"°","º"))-1)),""))))</f>
        <v/>
      </c>
      <c r="O712" s="2">
        <f>IF(OR(F712="",G712=""),"",IF(G712&lt;='RETRATO 2027'!$K$5,"CONCLUÍDA",IF(F712&lt;='RETRATO 2027'!$K$5,"EM ANDAMENTO","A INICIAR")))</f>
        <v/>
      </c>
    </row>
    <row r="713">
      <c r="B713" s="4" t="n">
        <v>30214069</v>
      </c>
      <c r="C713" s="4" t="inlineStr">
        <is>
          <t>FIAÇÃO TELECOM/DADOS</t>
        </is>
      </c>
      <c r="D713" s="4" t="inlineStr">
        <is>
          <t>-</t>
        </is>
      </c>
      <c r="E713" s="4" t="inlineStr">
        <is>
          <t>7º PAV.</t>
        </is>
      </c>
      <c r="F713" s="126" t="n">
        <v>46661</v>
      </c>
      <c r="G713" s="126" t="n">
        <v>46675</v>
      </c>
      <c r="H713" s="126" t="n">
        <v>46289</v>
      </c>
      <c r="I713" s="4" t="n">
        <v>0</v>
      </c>
      <c r="J713" s="4" t="n">
        <v>0</v>
      </c>
      <c r="K713" s="4" t="n">
        <v>0</v>
      </c>
      <c r="M713" s="2">
        <f>IF(C713="","",IFERROR(INDEX($S$5:$S$304,MATCH(C713,$R$5:$R$304,0))&amp;"","?"))</f>
        <v/>
      </c>
      <c r="N713" s="2">
        <f>IF(E713="","",IF(ISNUMBER(SEARCH("SUBSOLO",E713)),IFERROR(-VALUE(LEFT(E713,FIND("º",SUBSTITUTE(E713,"°","º"))-1)),-1),IF(LEFT(E713,6)="TÉRREO",0,IFERROR(VALUE(LEFT(E713,FIND("º",SUBSTITUTE(E713,"°","º"))-1)),""))))</f>
        <v/>
      </c>
      <c r="O713" s="2">
        <f>IF(OR(F713="",G713=""),"",IF(G713&lt;='RETRATO 2027'!$K$5,"CONCLUÍDA",IF(F713&lt;='RETRATO 2027'!$K$5,"EM ANDAMENTO","A INICIAR")))</f>
        <v/>
      </c>
    </row>
    <row r="714">
      <c r="B714" s="4" t="n">
        <v>29981496</v>
      </c>
      <c r="C714" s="4" t="inlineStr">
        <is>
          <t>BANCADAS</t>
        </is>
      </c>
      <c r="D714" s="4" t="inlineStr">
        <is>
          <t>-</t>
        </is>
      </c>
      <c r="E714" s="4" t="inlineStr">
        <is>
          <t>8º PAV.</t>
        </is>
      </c>
      <c r="F714" s="126" t="n">
        <v>46661</v>
      </c>
      <c r="G714" s="126" t="n">
        <v>46674</v>
      </c>
      <c r="H714" s="126" t="n">
        <v>46289</v>
      </c>
      <c r="I714" s="4" t="n">
        <v>0</v>
      </c>
      <c r="J714" s="4" t="n">
        <v>0</v>
      </c>
      <c r="K714" s="4" t="n">
        <v>0</v>
      </c>
      <c r="M714" s="2">
        <f>IF(C714="","",IFERROR(INDEX($S$5:$S$304,MATCH(C714,$R$5:$R$304,0))&amp;"","?"))</f>
        <v/>
      </c>
      <c r="N714" s="2">
        <f>IF(E714="","",IF(ISNUMBER(SEARCH("SUBSOLO",E714)),IFERROR(-VALUE(LEFT(E714,FIND("º",SUBSTITUTE(E714,"°","º"))-1)),-1),IF(LEFT(E714,6)="TÉRREO",0,IFERROR(VALUE(LEFT(E714,FIND("º",SUBSTITUTE(E714,"°","º"))-1)),""))))</f>
        <v/>
      </c>
      <c r="O714" s="2">
        <f>IF(OR(F714="",G714=""),"",IF(G714&lt;='RETRATO 2027'!$K$5,"CONCLUÍDA",IF(F714&lt;='RETRATO 2027'!$K$5,"EM ANDAMENTO","A INICIAR")))</f>
        <v/>
      </c>
    </row>
    <row r="715">
      <c r="B715" s="4" t="n">
        <v>29981458</v>
      </c>
      <c r="C715" s="4" t="inlineStr">
        <is>
          <t>REVESTIMENTOS PORCELANATO PISO</t>
        </is>
      </c>
      <c r="D715" s="4" t="inlineStr">
        <is>
          <t>-</t>
        </is>
      </c>
      <c r="E715" s="4" t="inlineStr">
        <is>
          <t>9º PAV.</t>
        </is>
      </c>
      <c r="F715" s="126" t="n">
        <v>46661</v>
      </c>
      <c r="G715" s="126" t="n">
        <v>46674</v>
      </c>
      <c r="H715" s="126" t="n">
        <v>46289</v>
      </c>
      <c r="I715" s="4" t="n">
        <v>0</v>
      </c>
      <c r="J715" s="4" t="n">
        <v>0</v>
      </c>
      <c r="K715" s="4" t="n">
        <v>0</v>
      </c>
      <c r="M715" s="2">
        <f>IF(C715="","",IFERROR(INDEX($S$5:$S$304,MATCH(C715,$R$5:$R$304,0))&amp;"","?"))</f>
        <v/>
      </c>
      <c r="N715" s="2">
        <f>IF(E715="","",IF(ISNUMBER(SEARCH("SUBSOLO",E715)),IFERROR(-VALUE(LEFT(E715,FIND("º",SUBSTITUTE(E715,"°","º"))-1)),-1),IF(LEFT(E715,6)="TÉRREO",0,IFERROR(VALUE(LEFT(E715,FIND("º",SUBSTITUTE(E715,"°","º"))-1)),""))))</f>
        <v/>
      </c>
      <c r="O715" s="2">
        <f>IF(OR(F715="",G715=""),"",IF(G715&lt;='RETRATO 2027'!$K$5,"CONCLUÍDA",IF(F715&lt;='RETRATO 2027'!$K$5,"EM ANDAMENTO","A INICIAR")))</f>
        <v/>
      </c>
    </row>
    <row r="716">
      <c r="B716" s="4" t="n">
        <v>29981437</v>
      </c>
      <c r="C716" s="4" t="inlineStr">
        <is>
          <t>REVESTIMENTO PORCELANATO PAREDE</t>
        </is>
      </c>
      <c r="D716" s="4" t="inlineStr">
        <is>
          <t>-</t>
        </is>
      </c>
      <c r="E716" s="4" t="inlineStr">
        <is>
          <t>10º PAV.</t>
        </is>
      </c>
      <c r="F716" s="126" t="n">
        <v>46661</v>
      </c>
      <c r="G716" s="126" t="n">
        <v>46674</v>
      </c>
      <c r="H716" s="126" t="n">
        <v>46289</v>
      </c>
      <c r="I716" s="4" t="n">
        <v>0</v>
      </c>
      <c r="J716" s="4" t="n">
        <v>0</v>
      </c>
      <c r="K716" s="4" t="n">
        <v>0</v>
      </c>
      <c r="M716" s="2">
        <f>IF(C716="","",IFERROR(INDEX($S$5:$S$304,MATCH(C716,$R$5:$R$304,0))&amp;"","?"))</f>
        <v/>
      </c>
      <c r="N716" s="2">
        <f>IF(E716="","",IF(ISNUMBER(SEARCH("SUBSOLO",E716)),IFERROR(-VALUE(LEFT(E716,FIND("º",SUBSTITUTE(E716,"°","º"))-1)),-1),IF(LEFT(E716,6)="TÉRREO",0,IFERROR(VALUE(LEFT(E716,FIND("º",SUBSTITUTE(E716,"°","º"))-1)),""))))</f>
        <v/>
      </c>
      <c r="O716" s="2">
        <f>IF(OR(F716="",G716=""),"",IF(G716&lt;='RETRATO 2027'!$K$5,"CONCLUÍDA",IF(F716&lt;='RETRATO 2027'!$K$5,"EM ANDAMENTO","A INICIAR")))</f>
        <v/>
      </c>
    </row>
    <row r="717">
      <c r="B717" s="4" t="n">
        <v>29981398</v>
      </c>
      <c r="C717" s="4" t="inlineStr">
        <is>
          <t>IMPERMEABILIZAÇÃO</t>
        </is>
      </c>
      <c r="D717" s="4" t="inlineStr">
        <is>
          <t>-</t>
        </is>
      </c>
      <c r="E717" s="4" t="inlineStr">
        <is>
          <t>11º PAV.</t>
        </is>
      </c>
      <c r="F717" s="126" t="n">
        <v>46661</v>
      </c>
      <c r="G717" s="126" t="n">
        <v>46674</v>
      </c>
      <c r="H717" s="126" t="n">
        <v>46289</v>
      </c>
      <c r="I717" s="4" t="n">
        <v>0</v>
      </c>
      <c r="J717" s="4" t="n">
        <v>0</v>
      </c>
      <c r="K717" s="4" t="n">
        <v>0</v>
      </c>
      <c r="M717" s="2">
        <f>IF(C717="","",IFERROR(INDEX($S$5:$S$304,MATCH(C717,$R$5:$R$304,0))&amp;"","?"))</f>
        <v/>
      </c>
      <c r="N717" s="2">
        <f>IF(E717="","",IF(ISNUMBER(SEARCH("SUBSOLO",E717)),IFERROR(-VALUE(LEFT(E717,FIND("º",SUBSTITUTE(E717,"°","º"))-1)),-1),IF(LEFT(E717,6)="TÉRREO",0,IFERROR(VALUE(LEFT(E717,FIND("º",SUBSTITUTE(E717,"°","º"))-1)),""))))</f>
        <v/>
      </c>
      <c r="O717" s="2">
        <f>IF(OR(F717="",G717=""),"",IF(G717&lt;='RETRATO 2027'!$K$5,"CONCLUÍDA",IF(F717&lt;='RETRATO 2027'!$K$5,"EM ANDAMENTO","A INICIAR")))</f>
        <v/>
      </c>
    </row>
    <row r="718">
      <c r="B718" s="4" t="n">
        <v>32750438</v>
      </c>
      <c r="C718" s="4" t="inlineStr">
        <is>
          <t>DRYWALL 2º FACE</t>
        </is>
      </c>
      <c r="D718" s="4" t="inlineStr">
        <is>
          <t>-</t>
        </is>
      </c>
      <c r="E718" s="4" t="inlineStr">
        <is>
          <t>12º PAV.</t>
        </is>
      </c>
      <c r="F718" s="126" t="n">
        <v>46661</v>
      </c>
      <c r="G718" s="126" t="n">
        <v>46674</v>
      </c>
      <c r="H718" s="126" t="n">
        <v>46289</v>
      </c>
      <c r="I718" s="4" t="n">
        <v>0</v>
      </c>
      <c r="J718" s="4" t="n">
        <v>0</v>
      </c>
      <c r="K718" s="4" t="n">
        <v>0</v>
      </c>
      <c r="M718" s="2">
        <f>IF(C718="","",IFERROR(INDEX($S$5:$S$304,MATCH(C718,$R$5:$R$304,0))&amp;"","?"))</f>
        <v/>
      </c>
      <c r="N718" s="2">
        <f>IF(E718="","",IF(ISNUMBER(SEARCH("SUBSOLO",E718)),IFERROR(-VALUE(LEFT(E718,FIND("º",SUBSTITUTE(E718,"°","º"))-1)),-1),IF(LEFT(E718,6)="TÉRREO",0,IFERROR(VALUE(LEFT(E718,FIND("º",SUBSTITUTE(E718,"°","º"))-1)),""))))</f>
        <v/>
      </c>
      <c r="O718" s="2">
        <f>IF(OR(F718="",G718=""),"",IF(G718&lt;='RETRATO 2027'!$K$5,"CONCLUÍDA",IF(F718&lt;='RETRATO 2027'!$K$5,"EM ANDAMENTO","A INICIAR")))</f>
        <v/>
      </c>
    </row>
    <row r="719">
      <c r="B719" s="4" t="n">
        <v>32750361</v>
      </c>
      <c r="C719" s="4" t="inlineStr">
        <is>
          <t>DISTRIBUIÇÃO DE GÁS - DRYWALL</t>
        </is>
      </c>
      <c r="D719" s="4" t="inlineStr">
        <is>
          <t>-</t>
        </is>
      </c>
      <c r="E719" s="4" t="inlineStr">
        <is>
          <t>13º PAV.</t>
        </is>
      </c>
      <c r="F719" s="126" t="n">
        <v>46661</v>
      </c>
      <c r="G719" s="126" t="n">
        <v>46674</v>
      </c>
      <c r="H719" s="126" t="n">
        <v>46289</v>
      </c>
      <c r="I719" s="4" t="n">
        <v>0</v>
      </c>
      <c r="J719" s="4" t="n">
        <v>0</v>
      </c>
      <c r="K719" s="4" t="n">
        <v>0</v>
      </c>
      <c r="M719" s="2">
        <f>IF(C719="","",IFERROR(INDEX($S$5:$S$304,MATCH(C719,$R$5:$R$304,0))&amp;"","?"))</f>
        <v/>
      </c>
      <c r="N719" s="2">
        <f>IF(E719="","",IF(ISNUMBER(SEARCH("SUBSOLO",E719)),IFERROR(-VALUE(LEFT(E719,FIND("º",SUBSTITUTE(E719,"°","º"))-1)),-1),IF(LEFT(E719,6)="TÉRREO",0,IFERROR(VALUE(LEFT(E719,FIND("º",SUBSTITUTE(E719,"°","º"))-1)),""))))</f>
        <v/>
      </c>
      <c r="O719" s="2">
        <f>IF(OR(F719="",G719=""),"",IF(G719&lt;='RETRATO 2027'!$K$5,"CONCLUÍDA",IF(F719&lt;='RETRATO 2027'!$K$5,"EM ANDAMENTO","A INICIAR")))</f>
        <v/>
      </c>
    </row>
    <row r="720">
      <c r="B720" s="4" t="n">
        <v>32750387</v>
      </c>
      <c r="C720" s="4" t="inlineStr">
        <is>
          <t>DISTRIBUIÇÃO ELÉTRICA/QUADRO - DRYWALL</t>
        </is>
      </c>
      <c r="D720" s="4" t="inlineStr">
        <is>
          <t>-</t>
        </is>
      </c>
      <c r="E720" s="4" t="inlineStr">
        <is>
          <t>13º PAV.</t>
        </is>
      </c>
      <c r="F720" s="126" t="n">
        <v>46661</v>
      </c>
      <c r="G720" s="126" t="n">
        <v>46674</v>
      </c>
      <c r="H720" s="126" t="n">
        <v>46289</v>
      </c>
      <c r="I720" s="4" t="n">
        <v>0</v>
      </c>
      <c r="J720" s="4" t="n">
        <v>0</v>
      </c>
      <c r="K720" s="4" t="n">
        <v>0</v>
      </c>
      <c r="M720" s="2">
        <f>IF(C720="","",IFERROR(INDEX($S$5:$S$304,MATCH(C720,$R$5:$R$304,0))&amp;"","?"))</f>
        <v/>
      </c>
      <c r="N720" s="2">
        <f>IF(E720="","",IF(ISNUMBER(SEARCH("SUBSOLO",E720)),IFERROR(-VALUE(LEFT(E720,FIND("º",SUBSTITUTE(E720,"°","º"))-1)),-1),IF(LEFT(E720,6)="TÉRREO",0,IFERROR(VALUE(LEFT(E720,FIND("º",SUBSTITUTE(E720,"°","º"))-1)),""))))</f>
        <v/>
      </c>
      <c r="O720" s="2">
        <f>IF(OR(F720="",G720=""),"",IF(G720&lt;='RETRATO 2027'!$K$5,"CONCLUÍDA",IF(F720&lt;='RETRATO 2027'!$K$5,"EM ANDAMENTO","A INICIAR")))</f>
        <v/>
      </c>
    </row>
    <row r="721">
      <c r="B721" s="4" t="n">
        <v>32750413</v>
      </c>
      <c r="C721" s="4" t="inlineStr">
        <is>
          <t>DISTRIBUIÇÃO HIDRÁULICA - DRYWALL</t>
        </is>
      </c>
      <c r="D721" s="4" t="inlineStr">
        <is>
          <t>-</t>
        </is>
      </c>
      <c r="E721" s="4" t="inlineStr">
        <is>
          <t>13º PAV.</t>
        </is>
      </c>
      <c r="F721" s="126" t="n">
        <v>46661</v>
      </c>
      <c r="G721" s="126" t="n">
        <v>46674</v>
      </c>
      <c r="H721" s="126" t="n">
        <v>46289</v>
      </c>
      <c r="I721" s="4" t="n">
        <v>0</v>
      </c>
      <c r="J721" s="4" t="n">
        <v>0</v>
      </c>
      <c r="K721" s="4" t="n">
        <v>0</v>
      </c>
      <c r="M721" s="2">
        <f>IF(C721="","",IFERROR(INDEX($S$5:$S$304,MATCH(C721,$R$5:$R$304,0))&amp;"","?"))</f>
        <v/>
      </c>
      <c r="N721" s="2">
        <f>IF(E721="","",IF(ISNUMBER(SEARCH("SUBSOLO",E721)),IFERROR(-VALUE(LEFT(E721,FIND("º",SUBSTITUTE(E721,"°","º"))-1)),-1),IF(LEFT(E721,6)="TÉRREO",0,IFERROR(VALUE(LEFT(E721,FIND("º",SUBSTITUTE(E721,"°","º"))-1)),""))))</f>
        <v/>
      </c>
      <c r="O721" s="2">
        <f>IF(OR(F721="",G721=""),"",IF(G721&lt;='RETRATO 2027'!$K$5,"CONCLUÍDA",IF(F721&lt;='RETRATO 2027'!$K$5,"EM ANDAMENTO","A INICIAR")))</f>
        <v/>
      </c>
    </row>
    <row r="722">
      <c r="B722" s="4" t="n">
        <v>33896831</v>
      </c>
      <c r="C722" s="4" t="inlineStr">
        <is>
          <t>INFRAESTRUTURA - AR CONDICIONADO</t>
        </is>
      </c>
      <c r="D722" s="4" t="inlineStr">
        <is>
          <t>-</t>
        </is>
      </c>
      <c r="E722" s="4" t="inlineStr">
        <is>
          <t>13º PAV.</t>
        </is>
      </c>
      <c r="F722" s="126" t="n">
        <v>46661</v>
      </c>
      <c r="G722" s="126" t="n">
        <v>46674</v>
      </c>
      <c r="H722" s="126" t="n">
        <v>46289</v>
      </c>
      <c r="I722" s="4" t="n">
        <v>0</v>
      </c>
      <c r="J722" s="4" t="n">
        <v>0</v>
      </c>
      <c r="K722" s="4" t="n">
        <v>0</v>
      </c>
      <c r="M722" s="2">
        <f>IF(C722="","",IFERROR(INDEX($S$5:$S$304,MATCH(C722,$R$5:$R$304,0))&amp;"","?"))</f>
        <v/>
      </c>
      <c r="N722" s="2">
        <f>IF(E722="","",IF(ISNUMBER(SEARCH("SUBSOLO",E722)),IFERROR(-VALUE(LEFT(E722,FIND("º",SUBSTITUTE(E722,"°","º"))-1)),-1),IF(LEFT(E722,6)="TÉRREO",0,IFERROR(VALUE(LEFT(E722,FIND("º",SUBSTITUTE(E722,"°","º"))-1)),""))))</f>
        <v/>
      </c>
      <c r="O722" s="2">
        <f>IF(OR(F722="",G722=""),"",IF(G722&lt;='RETRATO 2027'!$K$5,"CONCLUÍDA",IF(F722&lt;='RETRATO 2027'!$K$5,"EM ANDAMENTO","A INICIAR")))</f>
        <v/>
      </c>
    </row>
    <row r="723">
      <c r="B723" s="4" t="n">
        <v>32749857</v>
      </c>
      <c r="C723" s="4" t="inlineStr">
        <is>
          <t>DRYWALL 1º FACE</t>
        </is>
      </c>
      <c r="D723" s="4" t="inlineStr">
        <is>
          <t>-</t>
        </is>
      </c>
      <c r="E723" s="4" t="inlineStr">
        <is>
          <t>14º PAV.</t>
        </is>
      </c>
      <c r="F723" s="126" t="n">
        <v>46661</v>
      </c>
      <c r="G723" s="126" t="n">
        <v>46674</v>
      </c>
      <c r="H723" s="126" t="n">
        <v>46289</v>
      </c>
      <c r="I723" s="4" t="n">
        <v>0</v>
      </c>
      <c r="J723" s="4" t="n">
        <v>0</v>
      </c>
      <c r="K723" s="4" t="n">
        <v>0</v>
      </c>
      <c r="M723" s="2">
        <f>IF(C723="","",IFERROR(INDEX($S$5:$S$304,MATCH(C723,$R$5:$R$304,0))&amp;"","?"))</f>
        <v/>
      </c>
      <c r="N723" s="2">
        <f>IF(E723="","",IF(ISNUMBER(SEARCH("SUBSOLO",E723)),IFERROR(-VALUE(LEFT(E723,FIND("º",SUBSTITUTE(E723,"°","º"))-1)),-1),IF(LEFT(E723,6)="TÉRREO",0,IFERROR(VALUE(LEFT(E723,FIND("º",SUBSTITUTE(E723,"°","º"))-1)),""))))</f>
        <v/>
      </c>
      <c r="O723" s="2">
        <f>IF(OR(F723="",G723=""),"",IF(G723&lt;='RETRATO 2027'!$K$5,"CONCLUÍDA",IF(F723&lt;='RETRATO 2027'!$K$5,"EM ANDAMENTO","A INICIAR")))</f>
        <v/>
      </c>
    </row>
    <row r="724">
      <c r="B724" s="4" t="n">
        <v>29981251</v>
      </c>
      <c r="C724" s="4" t="inlineStr">
        <is>
          <t>CONTRAPISO</t>
        </is>
      </c>
      <c r="D724" s="4" t="inlineStr">
        <is>
          <t>-</t>
        </is>
      </c>
      <c r="E724" s="4" t="inlineStr">
        <is>
          <t>15º PAV.</t>
        </is>
      </c>
      <c r="F724" s="126" t="n">
        <v>46661</v>
      </c>
      <c r="G724" s="126" t="n">
        <v>46674</v>
      </c>
      <c r="H724" s="126" t="n">
        <v>46289</v>
      </c>
      <c r="I724" s="4" t="n">
        <v>0</v>
      </c>
      <c r="J724" s="4" t="n">
        <v>0</v>
      </c>
      <c r="K724" s="4" t="n">
        <v>0</v>
      </c>
      <c r="M724" s="2">
        <f>IF(C724="","",IFERROR(INDEX($S$5:$S$304,MATCH(C724,$R$5:$R$304,0))&amp;"","?"))</f>
        <v/>
      </c>
      <c r="N724" s="2">
        <f>IF(E724="","",IF(ISNUMBER(SEARCH("SUBSOLO",E724)),IFERROR(-VALUE(LEFT(E724,FIND("º",SUBSTITUTE(E724,"°","º"))-1)),-1),IF(LEFT(E724,6)="TÉRREO",0,IFERROR(VALUE(LEFT(E724,FIND("º",SUBSTITUTE(E724,"°","º"))-1)),""))))</f>
        <v/>
      </c>
      <c r="O724" s="2">
        <f>IF(OR(F724="",G724=""),"",IF(G724&lt;='RETRATO 2027'!$K$5,"CONCLUÍDA",IF(F724&lt;='RETRATO 2027'!$K$5,"EM ANDAMENTO","A INICIAR")))</f>
        <v/>
      </c>
    </row>
    <row r="725">
      <c r="B725" s="4" t="n">
        <v>29981191</v>
      </c>
      <c r="C725" s="4" t="inlineStr">
        <is>
          <t>SHAFT INTERNO INST. HIDRAÚLICAS</t>
        </is>
      </c>
      <c r="D725" s="4" t="inlineStr">
        <is>
          <t>-</t>
        </is>
      </c>
      <c r="E725" s="4" t="inlineStr">
        <is>
          <t>16º PAV.</t>
        </is>
      </c>
      <c r="F725" s="126" t="n">
        <v>46661</v>
      </c>
      <c r="G725" s="126" t="n">
        <v>46674</v>
      </c>
      <c r="H725" s="126" t="n">
        <v>46289</v>
      </c>
      <c r="I725" s="4" t="n">
        <v>0</v>
      </c>
      <c r="J725" s="4" t="n">
        <v>0</v>
      </c>
      <c r="K725" s="4" t="n">
        <v>0</v>
      </c>
      <c r="M725" s="2">
        <f>IF(C725="","",IFERROR(INDEX($S$5:$S$304,MATCH(C725,$R$5:$R$304,0))&amp;"","?"))</f>
        <v/>
      </c>
      <c r="N725" s="2">
        <f>IF(E725="","",IF(ISNUMBER(SEARCH("SUBSOLO",E725)),IFERROR(-VALUE(LEFT(E725,FIND("º",SUBSTITUTE(E725,"°","º"))-1)),-1),IF(LEFT(E725,6)="TÉRREO",0,IFERROR(VALUE(LEFT(E725,FIND("º",SUBSTITUTE(E725,"°","º"))-1)),""))))</f>
        <v/>
      </c>
      <c r="O725" s="2">
        <f>IF(OR(F725="",G725=""),"",IF(G725&lt;='RETRATO 2027'!$K$5,"CONCLUÍDA",IF(F725&lt;='RETRATO 2027'!$K$5,"EM ANDAMENTO","A INICIAR")))</f>
        <v/>
      </c>
    </row>
    <row r="726">
      <c r="B726" s="4" t="n">
        <v>29981224</v>
      </c>
      <c r="C726" s="4" t="inlineStr">
        <is>
          <t>PRUMADA ELÉTRICA - INFRA</t>
        </is>
      </c>
      <c r="D726" s="4" t="inlineStr">
        <is>
          <t>-</t>
        </is>
      </c>
      <c r="E726" s="4" t="inlineStr">
        <is>
          <t>16º PAV.</t>
        </is>
      </c>
      <c r="F726" s="126" t="n">
        <v>46661</v>
      </c>
      <c r="G726" s="126" t="n">
        <v>46674</v>
      </c>
      <c r="H726" s="126" t="n">
        <v>46289</v>
      </c>
      <c r="I726" s="4" t="n">
        <v>0</v>
      </c>
      <c r="J726" s="4" t="n">
        <v>0</v>
      </c>
      <c r="K726" s="4" t="n">
        <v>0</v>
      </c>
      <c r="M726" s="2">
        <f>IF(C726="","",IFERROR(INDEX($S$5:$S$304,MATCH(C726,$R$5:$R$304,0))&amp;"","?"))</f>
        <v/>
      </c>
      <c r="N726" s="2">
        <f>IF(E726="","",IF(ISNUMBER(SEARCH("SUBSOLO",E726)),IFERROR(-VALUE(LEFT(E726,FIND("º",SUBSTITUTE(E726,"°","º"))-1)),-1),IF(LEFT(E726,6)="TÉRREO",0,IFERROR(VALUE(LEFT(E726,FIND("º",SUBSTITUTE(E726,"°","º"))-1)),""))))</f>
        <v/>
      </c>
      <c r="O726" s="2">
        <f>IF(OR(F726="",G726=""),"",IF(G726&lt;='RETRATO 2027'!$K$5,"CONCLUÍDA",IF(F726&lt;='RETRATO 2027'!$K$5,"EM ANDAMENTO","A INICIAR")))</f>
        <v/>
      </c>
    </row>
    <row r="727">
      <c r="B727" s="4" t="n">
        <v>29981153</v>
      </c>
      <c r="C727" s="4" t="inlineStr">
        <is>
          <t>REBOCO INTERNO</t>
        </is>
      </c>
      <c r="D727" s="4" t="inlineStr">
        <is>
          <t>-</t>
        </is>
      </c>
      <c r="E727" s="4" t="inlineStr">
        <is>
          <t>17º PAV.</t>
        </is>
      </c>
      <c r="F727" s="126" t="n">
        <v>46661</v>
      </c>
      <c r="G727" s="126" t="n">
        <v>46674</v>
      </c>
      <c r="H727" s="126" t="n">
        <v>46289</v>
      </c>
      <c r="I727" s="4" t="n">
        <v>0</v>
      </c>
      <c r="J727" s="4" t="n">
        <v>0</v>
      </c>
      <c r="K727" s="4" t="n">
        <v>0</v>
      </c>
      <c r="M727" s="2">
        <f>IF(C727="","",IFERROR(INDEX($S$5:$S$304,MATCH(C727,$R$5:$R$304,0))&amp;"","?"))</f>
        <v/>
      </c>
      <c r="N727" s="2">
        <f>IF(E727="","",IF(ISNUMBER(SEARCH("SUBSOLO",E727)),IFERROR(-VALUE(LEFT(E727,FIND("º",SUBSTITUTE(E727,"°","º"))-1)),-1),IF(LEFT(E727,6)="TÉRREO",0,IFERROR(VALUE(LEFT(E727,FIND("º",SUBSTITUTE(E727,"°","º"))-1)),""))))</f>
        <v/>
      </c>
      <c r="O727" s="2">
        <f>IF(OR(F727="",G727=""),"",IF(G727&lt;='RETRATO 2027'!$K$5,"CONCLUÍDA",IF(F727&lt;='RETRATO 2027'!$K$5,"EM ANDAMENTO","A INICIAR")))</f>
        <v/>
      </c>
    </row>
    <row r="728">
      <c r="B728" s="4" t="n">
        <v>29981119</v>
      </c>
      <c r="C728" s="4" t="inlineStr">
        <is>
          <t>CONTRAMARCO</t>
        </is>
      </c>
      <c r="D728" s="4" t="inlineStr">
        <is>
          <t>-</t>
        </is>
      </c>
      <c r="E728" s="4" t="inlineStr">
        <is>
          <t>18º PAV.</t>
        </is>
      </c>
      <c r="F728" s="126" t="n">
        <v>46661</v>
      </c>
      <c r="G728" s="126" t="n">
        <v>46674</v>
      </c>
      <c r="H728" s="126" t="n">
        <v>46289</v>
      </c>
      <c r="I728" s="4" t="n">
        <v>0</v>
      </c>
      <c r="J728" s="4" t="n">
        <v>0</v>
      </c>
      <c r="K728" s="4" t="n">
        <v>0</v>
      </c>
      <c r="M728" s="2">
        <f>IF(C728="","",IFERROR(INDEX($S$5:$S$304,MATCH(C728,$R$5:$R$304,0))&amp;"","?"))</f>
        <v/>
      </c>
      <c r="N728" s="2">
        <f>IF(E728="","",IF(ISNUMBER(SEARCH("SUBSOLO",E728)),IFERROR(-VALUE(LEFT(E728,FIND("º",SUBSTITUTE(E728,"°","º"))-1)),-1),IF(LEFT(E728,6)="TÉRREO",0,IFERROR(VALUE(LEFT(E728,FIND("º",SUBSTITUTE(E728,"°","º"))-1)),""))))</f>
        <v/>
      </c>
      <c r="O728" s="2">
        <f>IF(OR(F728="",G728=""),"",IF(G728&lt;='RETRATO 2027'!$K$5,"CONCLUÍDA",IF(F728&lt;='RETRATO 2027'!$K$5,"EM ANDAMENTO","A INICIAR")))</f>
        <v/>
      </c>
    </row>
    <row r="729">
      <c r="B729" s="4" t="n">
        <v>29981075</v>
      </c>
      <c r="C729" s="4" t="inlineStr">
        <is>
          <t>DISTRIBUIÇÃO HIDROSSANITÁRIA</t>
        </is>
      </c>
      <c r="D729" s="4" t="inlineStr">
        <is>
          <t>-</t>
        </is>
      </c>
      <c r="E729" s="4" t="inlineStr">
        <is>
          <t>20º PAV.</t>
        </is>
      </c>
      <c r="F729" s="126" t="n">
        <v>46661</v>
      </c>
      <c r="G729" s="126" t="n">
        <v>46674</v>
      </c>
      <c r="H729" s="126" t="n">
        <v>46289</v>
      </c>
      <c r="I729" s="4" t="n">
        <v>0</v>
      </c>
      <c r="J729" s="4" t="n">
        <v>0</v>
      </c>
      <c r="K729" s="4" t="n">
        <v>0</v>
      </c>
      <c r="M729" s="2">
        <f>IF(C729="","",IFERROR(INDEX($S$5:$S$304,MATCH(C729,$R$5:$R$304,0))&amp;"","?"))</f>
        <v/>
      </c>
      <c r="N729" s="2">
        <f>IF(E729="","",IF(ISNUMBER(SEARCH("SUBSOLO",E729)),IFERROR(-VALUE(LEFT(E729,FIND("º",SUBSTITUTE(E729,"°","º"))-1)),-1),IF(LEFT(E729,6)="TÉRREO",0,IFERROR(VALUE(LEFT(E729,FIND("º",SUBSTITUTE(E729,"°","º"))-1)),""))))</f>
        <v/>
      </c>
      <c r="O729" s="2">
        <f>IF(OR(F729="",G729=""),"",IF(G729&lt;='RETRATO 2027'!$K$5,"CONCLUÍDA",IF(F729&lt;='RETRATO 2027'!$K$5,"EM ANDAMENTO","A INICIAR")))</f>
        <v/>
      </c>
    </row>
    <row r="730">
      <c r="B730" s="4" t="n">
        <v>29981044</v>
      </c>
      <c r="C730" s="4" t="inlineStr">
        <is>
          <t>DISTRIBUIÇÃO ELÉTRICA / QUADRO</t>
        </is>
      </c>
      <c r="D730" s="4" t="inlineStr">
        <is>
          <t>-</t>
        </is>
      </c>
      <c r="E730" s="4" t="inlineStr">
        <is>
          <t>20º PAV.</t>
        </is>
      </c>
      <c r="F730" s="126" t="n">
        <v>46661</v>
      </c>
      <c r="G730" s="126" t="n">
        <v>46674</v>
      </c>
      <c r="H730" s="126" t="n">
        <v>46289</v>
      </c>
      <c r="I730" s="4" t="n">
        <v>0</v>
      </c>
      <c r="J730" s="4" t="n">
        <v>0</v>
      </c>
      <c r="K730" s="4" t="n">
        <v>0</v>
      </c>
      <c r="M730" s="2">
        <f>IF(C730="","",IFERROR(INDEX($S$5:$S$304,MATCH(C730,$R$5:$R$304,0))&amp;"","?"))</f>
        <v/>
      </c>
      <c r="N730" s="2">
        <f>IF(E730="","",IF(ISNUMBER(SEARCH("SUBSOLO",E730)),IFERROR(-VALUE(LEFT(E730,FIND("º",SUBSTITUTE(E730,"°","º"))-1)),-1),IF(LEFT(E730,6)="TÉRREO",0,IFERROR(VALUE(LEFT(E730,FIND("º",SUBSTITUTE(E730,"°","º"))-1)),""))))</f>
        <v/>
      </c>
      <c r="O730" s="2">
        <f>IF(OR(F730="",G730=""),"",IF(G730&lt;='RETRATO 2027'!$K$5,"CONCLUÍDA",IF(F730&lt;='RETRATO 2027'!$K$5,"EM ANDAMENTO","A INICIAR")))</f>
        <v/>
      </c>
    </row>
    <row r="731">
      <c r="B731" s="4" t="n">
        <v>29981077</v>
      </c>
      <c r="C731" s="4" t="inlineStr">
        <is>
          <t>DISTRIBUIÇÃO DE GÁS</t>
        </is>
      </c>
      <c r="D731" s="4" t="inlineStr">
        <is>
          <t>-</t>
        </is>
      </c>
      <c r="E731" s="4" t="inlineStr">
        <is>
          <t>20º PAV.</t>
        </is>
      </c>
      <c r="F731" s="126" t="n">
        <v>46661</v>
      </c>
      <c r="G731" s="126" t="n">
        <v>46674</v>
      </c>
      <c r="H731" s="126" t="n">
        <v>46289</v>
      </c>
      <c r="I731" s="4" t="n">
        <v>0</v>
      </c>
      <c r="J731" s="4" t="n">
        <v>0</v>
      </c>
      <c r="K731" s="4" t="n">
        <v>0</v>
      </c>
      <c r="M731" s="2">
        <f>IF(C731="","",IFERROR(INDEX($S$5:$S$304,MATCH(C731,$R$5:$R$304,0))&amp;"","?"))</f>
        <v/>
      </c>
      <c r="N731" s="2">
        <f>IF(E731="","",IF(ISNUMBER(SEARCH("SUBSOLO",E731)),IFERROR(-VALUE(LEFT(E731,FIND("º",SUBSTITUTE(E731,"°","º"))-1)),-1),IF(LEFT(E731,6)="TÉRREO",0,IFERROR(VALUE(LEFT(E731,FIND("º",SUBSTITUTE(E731,"°","º"))-1)),""))))</f>
        <v/>
      </c>
      <c r="O731" s="2">
        <f>IF(OR(F731="",G731=""),"",IF(G731&lt;='RETRATO 2027'!$K$5,"CONCLUÍDA",IF(F731&lt;='RETRATO 2027'!$K$5,"EM ANDAMENTO","A INICIAR")))</f>
        <v/>
      </c>
    </row>
    <row r="732">
      <c r="B732" s="4" t="n">
        <v>29981024</v>
      </c>
      <c r="C732" s="4" t="inlineStr">
        <is>
          <t>TALISCAMENTO</t>
        </is>
      </c>
      <c r="D732" s="4" t="inlineStr">
        <is>
          <t>-</t>
        </is>
      </c>
      <c r="E732" s="4" t="inlineStr">
        <is>
          <t>21º PAV.</t>
        </is>
      </c>
      <c r="F732" s="126" t="n">
        <v>46661</v>
      </c>
      <c r="G732" s="126" t="n">
        <v>46674</v>
      </c>
      <c r="H732" s="126" t="n">
        <v>46289</v>
      </c>
      <c r="I732" s="4" t="n">
        <v>0</v>
      </c>
      <c r="J732" s="4" t="n">
        <v>0</v>
      </c>
      <c r="K732" s="4" t="n">
        <v>0</v>
      </c>
      <c r="M732" s="2">
        <f>IF(C732="","",IFERROR(INDEX($S$5:$S$304,MATCH(C732,$R$5:$R$304,0))&amp;"","?"))</f>
        <v/>
      </c>
      <c r="N732" s="2">
        <f>IF(E732="","",IF(ISNUMBER(SEARCH("SUBSOLO",E732)),IFERROR(-VALUE(LEFT(E732,FIND("º",SUBSTITUTE(E732,"°","º"))-1)),-1),IF(LEFT(E732,6)="TÉRREO",0,IFERROR(VALUE(LEFT(E732,FIND("º",SUBSTITUTE(E732,"°","º"))-1)),""))))</f>
        <v/>
      </c>
      <c r="O732" s="2">
        <f>IF(OR(F732="",G732=""),"",IF(G732&lt;='RETRATO 2027'!$K$5,"CONCLUÍDA",IF(F732&lt;='RETRATO 2027'!$K$5,"EM ANDAMENTO","A INICIAR")))</f>
        <v/>
      </c>
    </row>
    <row r="733">
      <c r="B733" s="4" t="n">
        <v>29980990</v>
      </c>
      <c r="C733" s="4" t="inlineStr">
        <is>
          <t>PRUMADA HIDROSSANITÁRIA</t>
        </is>
      </c>
      <c r="D733" s="4" t="inlineStr">
        <is>
          <t>-</t>
        </is>
      </c>
      <c r="E733" s="4" t="inlineStr">
        <is>
          <t>22º PAV.</t>
        </is>
      </c>
      <c r="F733" s="126" t="n">
        <v>46661</v>
      </c>
      <c r="G733" s="126" t="n">
        <v>46674</v>
      </c>
      <c r="H733" s="126" t="n">
        <v>46289</v>
      </c>
      <c r="I733" s="4" t="n">
        <v>0</v>
      </c>
      <c r="J733" s="4" t="n">
        <v>0</v>
      </c>
      <c r="K733" s="4" t="n">
        <v>0</v>
      </c>
      <c r="M733" s="2">
        <f>IF(C733="","",IFERROR(INDEX($S$5:$S$304,MATCH(C733,$R$5:$R$304,0))&amp;"","?"))</f>
        <v/>
      </c>
      <c r="N733" s="2">
        <f>IF(E733="","",IF(ISNUMBER(SEARCH("SUBSOLO",E733)),IFERROR(-VALUE(LEFT(E733,FIND("º",SUBSTITUTE(E733,"°","º"))-1)),-1),IF(LEFT(E733,6)="TÉRREO",0,IFERROR(VALUE(LEFT(E733,FIND("º",SUBSTITUTE(E733,"°","º"))-1)),""))))</f>
        <v/>
      </c>
      <c r="O733" s="2">
        <f>IF(OR(F733="",G733=""),"",IF(G733&lt;='RETRATO 2027'!$K$5,"CONCLUÍDA",IF(F733&lt;='RETRATO 2027'!$K$5,"EM ANDAMENTO","A INICIAR")))</f>
        <v/>
      </c>
    </row>
    <row r="734">
      <c r="B734" s="4" t="n">
        <v>30205715</v>
      </c>
      <c r="C734" s="4" t="inlineStr">
        <is>
          <t>PRUMADA HIDROSSANITÁRIA</t>
        </is>
      </c>
      <c r="D734" s="4" t="inlineStr">
        <is>
          <t>-</t>
        </is>
      </c>
      <c r="E734" s="4" t="inlineStr">
        <is>
          <t>SUBSOLO</t>
        </is>
      </c>
      <c r="F734" s="126" t="n">
        <v>46664</v>
      </c>
      <c r="G734" s="126" t="n">
        <v>46678</v>
      </c>
      <c r="H734" s="126" t="n">
        <v>46289</v>
      </c>
      <c r="I734" s="4" t="n">
        <v>0</v>
      </c>
      <c r="J734" s="4" t="n">
        <v>0</v>
      </c>
      <c r="K734" s="4" t="n">
        <v>0</v>
      </c>
      <c r="M734" s="2">
        <f>IF(C734="","",IFERROR(INDEX($S$5:$S$304,MATCH(C734,$R$5:$R$304,0))&amp;"","?"))</f>
        <v/>
      </c>
      <c r="N734" s="2">
        <f>IF(E734="","",IF(ISNUMBER(SEARCH("SUBSOLO",E734)),IFERROR(-VALUE(LEFT(E734,FIND("º",SUBSTITUTE(E734,"°","º"))-1)),-1),IF(LEFT(E734,6)="TÉRREO",0,IFERROR(VALUE(LEFT(E734,FIND("º",SUBSTITUTE(E734,"°","º"))-1)),""))))</f>
        <v/>
      </c>
      <c r="O734" s="2">
        <f>IF(OR(F734="",G734=""),"",IF(G734&lt;='RETRATO 2027'!$K$5,"CONCLUÍDA",IF(F734&lt;='RETRATO 2027'!$K$5,"EM ANDAMENTO","A INICIAR")))</f>
        <v/>
      </c>
    </row>
    <row r="735">
      <c r="B735" s="4" t="n">
        <v>30205716</v>
      </c>
      <c r="C735" s="4" t="inlineStr">
        <is>
          <t>PRUMADA ELÉTRICA - INFRA</t>
        </is>
      </c>
      <c r="D735" s="4" t="inlineStr">
        <is>
          <t>-</t>
        </is>
      </c>
      <c r="E735" s="4" t="inlineStr">
        <is>
          <t>SUBSOLO</t>
        </is>
      </c>
      <c r="F735" s="126" t="n">
        <v>46664</v>
      </c>
      <c r="G735" s="126" t="n">
        <v>46695</v>
      </c>
      <c r="H735" s="126" t="n">
        <v>46289</v>
      </c>
      <c r="I735" s="4" t="n">
        <v>0</v>
      </c>
      <c r="J735" s="4" t="n">
        <v>0</v>
      </c>
      <c r="K735" s="4" t="n">
        <v>0</v>
      </c>
      <c r="M735" s="2">
        <f>IF(C735="","",IFERROR(INDEX($S$5:$S$304,MATCH(C735,$R$5:$R$304,0))&amp;"","?"))</f>
        <v/>
      </c>
      <c r="N735" s="2">
        <f>IF(E735="","",IF(ISNUMBER(SEARCH("SUBSOLO",E735)),IFERROR(-VALUE(LEFT(E735,FIND("º",SUBSTITUTE(E735,"°","º"))-1)),-1),IF(LEFT(E735,6)="TÉRREO",0,IFERROR(VALUE(LEFT(E735,FIND("º",SUBSTITUTE(E735,"°","º"))-1)),""))))</f>
        <v/>
      </c>
      <c r="O735" s="2">
        <f>IF(OR(F735="",G735=""),"",IF(G735&lt;='RETRATO 2027'!$K$5,"CONCLUÍDA",IF(F735&lt;='RETRATO 2027'!$K$5,"EM ANDAMENTO","A INICIAR")))</f>
        <v/>
      </c>
    </row>
    <row r="736">
      <c r="B736" s="4" t="n">
        <v>30205728</v>
      </c>
      <c r="C736" s="4" t="inlineStr">
        <is>
          <t>INSTALAÇÕES DE INCÊNDIO</t>
        </is>
      </c>
      <c r="D736" s="4" t="inlineStr">
        <is>
          <t>-</t>
        </is>
      </c>
      <c r="E736" s="4" t="inlineStr">
        <is>
          <t>SUBSOLO</t>
        </is>
      </c>
      <c r="F736" s="126" t="n">
        <v>46664</v>
      </c>
      <c r="G736" s="126" t="n">
        <v>46678</v>
      </c>
      <c r="H736" s="126" t="n">
        <v>46289</v>
      </c>
      <c r="I736" s="4" t="n">
        <v>0</v>
      </c>
      <c r="J736" s="4" t="n">
        <v>0</v>
      </c>
      <c r="K736" s="4" t="n">
        <v>0</v>
      </c>
      <c r="M736" s="2">
        <f>IF(C736="","",IFERROR(INDEX($S$5:$S$304,MATCH(C736,$R$5:$R$304,0))&amp;"","?"))</f>
        <v/>
      </c>
      <c r="N736" s="2">
        <f>IF(E736="","",IF(ISNUMBER(SEARCH("SUBSOLO",E736)),IFERROR(-VALUE(LEFT(E736,FIND("º",SUBSTITUTE(E736,"°","º"))-1)),-1),IF(LEFT(E736,6)="TÉRREO",0,IFERROR(VALUE(LEFT(E736,FIND("º",SUBSTITUTE(E736,"°","º"))-1)),""))))</f>
        <v/>
      </c>
      <c r="O736" s="2">
        <f>IF(OR(F736="",G736=""),"",IF(G736&lt;='RETRATO 2027'!$K$5,"CONCLUÍDA",IF(F736&lt;='RETRATO 2027'!$K$5,"EM ANDAMENTO","A INICIAR")))</f>
        <v/>
      </c>
    </row>
    <row r="737">
      <c r="B737" s="4" t="n">
        <v>29980989</v>
      </c>
      <c r="C737" s="4" t="inlineStr">
        <is>
          <t>ENCUNHAMENTO</t>
        </is>
      </c>
      <c r="D737" s="4" t="inlineStr">
        <is>
          <t>-</t>
        </is>
      </c>
      <c r="E737" s="4" t="inlineStr">
        <is>
          <t>22º PAV.</t>
        </is>
      </c>
      <c r="F737" s="126" t="n">
        <v>46665</v>
      </c>
      <c r="G737" s="126" t="n">
        <v>46678</v>
      </c>
      <c r="H737" s="126" t="n">
        <v>46289</v>
      </c>
      <c r="I737" s="4" t="n">
        <v>0</v>
      </c>
      <c r="J737" s="4" t="n">
        <v>0</v>
      </c>
      <c r="K737" s="4" t="n">
        <v>0</v>
      </c>
      <c r="M737" s="2">
        <f>IF(C737="","",IFERROR(INDEX($S$5:$S$304,MATCH(C737,$R$5:$R$304,0))&amp;"","?"))</f>
        <v/>
      </c>
      <c r="N737" s="2">
        <f>IF(E737="","",IF(ISNUMBER(SEARCH("SUBSOLO",E737)),IFERROR(-VALUE(LEFT(E737,FIND("º",SUBSTITUTE(E737,"°","º"))-1)),-1),IF(LEFT(E737,6)="TÉRREO",0,IFERROR(VALUE(LEFT(E737,FIND("º",SUBSTITUTE(E737,"°","º"))-1)),""))))</f>
        <v/>
      </c>
      <c r="O737" s="2">
        <f>IF(OR(F737="",G737=""),"",IF(G737&lt;='RETRATO 2027'!$K$5,"CONCLUÍDA",IF(F737&lt;='RETRATO 2027'!$K$5,"EM ANDAMENTO","A INICIAR")))</f>
        <v/>
      </c>
    </row>
    <row r="738">
      <c r="B738" s="4" t="n">
        <v>29940965</v>
      </c>
      <c r="C738" s="4" t="inlineStr">
        <is>
          <t>ESTRUTURA</t>
        </is>
      </c>
      <c r="D738" s="4" t="inlineStr">
        <is>
          <t>-</t>
        </is>
      </c>
      <c r="E738" s="4" t="inlineStr">
        <is>
          <t>27º PAV.</t>
        </is>
      </c>
      <c r="F738" s="126" t="n">
        <v>46665</v>
      </c>
      <c r="G738" s="126" t="n">
        <v>46678</v>
      </c>
      <c r="H738" s="126" t="n">
        <v>46289</v>
      </c>
      <c r="I738" s="4" t="n">
        <v>0</v>
      </c>
      <c r="J738" s="4" t="n">
        <v>0</v>
      </c>
      <c r="K738" s="4" t="n">
        <v>0</v>
      </c>
      <c r="M738" s="2">
        <f>IF(C738="","",IFERROR(INDEX($S$5:$S$304,MATCH(C738,$R$5:$R$304,0))&amp;"","?"))</f>
        <v/>
      </c>
      <c r="N738" s="2">
        <f>IF(E738="","",IF(ISNUMBER(SEARCH("SUBSOLO",E738)),IFERROR(-VALUE(LEFT(E738,FIND("º",SUBSTITUTE(E738,"°","º"))-1)),-1),IF(LEFT(E738,6)="TÉRREO",0,IFERROR(VALUE(LEFT(E738,FIND("º",SUBSTITUTE(E738,"°","º"))-1)),""))))</f>
        <v/>
      </c>
      <c r="O738" s="2">
        <f>IF(OR(F738="",G738=""),"",IF(G738&lt;='RETRATO 2027'!$K$5,"CONCLUÍDA",IF(F738&lt;='RETRATO 2027'!$K$5,"EM ANDAMENTO","A INICIAR")))</f>
        <v/>
      </c>
    </row>
    <row r="739">
      <c r="B739" s="4" t="n">
        <v>31529058</v>
      </c>
      <c r="C739" s="4" t="inlineStr">
        <is>
          <t>ESTRUTURA</t>
        </is>
      </c>
      <c r="D739" s="4" t="inlineStr">
        <is>
          <t>Forma</t>
        </is>
      </c>
      <c r="E739" s="4" t="inlineStr">
        <is>
          <t>27º PAV.</t>
        </is>
      </c>
      <c r="F739" s="126" t="n">
        <v>46665</v>
      </c>
      <c r="G739" s="126" t="n">
        <v>46671</v>
      </c>
      <c r="H739" s="126" t="n">
        <v>46289</v>
      </c>
      <c r="I739" s="4" t="n">
        <v>0</v>
      </c>
      <c r="J739" s="4" t="n">
        <v>0</v>
      </c>
      <c r="K739" s="4" t="n">
        <v>0</v>
      </c>
      <c r="M739" s="2">
        <f>IF(C739="","",IFERROR(INDEX($S$5:$S$304,MATCH(C739,$R$5:$R$304,0))&amp;"","?"))</f>
        <v/>
      </c>
      <c r="N739" s="2">
        <f>IF(E739="","",IF(ISNUMBER(SEARCH("SUBSOLO",E739)),IFERROR(-VALUE(LEFT(E739,FIND("º",SUBSTITUTE(E739,"°","º"))-1)),-1),IF(LEFT(E739,6)="TÉRREO",0,IFERROR(VALUE(LEFT(E739,FIND("º",SUBSTITUTE(E739,"°","º"))-1)),""))))</f>
        <v/>
      </c>
      <c r="O739" s="2">
        <f>IF(OR(F739="",G739=""),"",IF(G739&lt;='RETRATO 2027'!$K$5,"CONCLUÍDA",IF(F739&lt;='RETRATO 2027'!$K$5,"EM ANDAMENTO","A INICIAR")))</f>
        <v/>
      </c>
    </row>
    <row r="740">
      <c r="B740" s="4" t="n">
        <v>31529059</v>
      </c>
      <c r="C740" s="4" t="inlineStr">
        <is>
          <t>ESTRUTURA</t>
        </is>
      </c>
      <c r="D740" s="4" t="inlineStr">
        <is>
          <t>Armação</t>
        </is>
      </c>
      <c r="E740" s="4" t="inlineStr">
        <is>
          <t>27º PAV.</t>
        </is>
      </c>
      <c r="F740" s="126" t="n">
        <v>46673</v>
      </c>
      <c r="G740" s="126" t="n">
        <v>46675</v>
      </c>
      <c r="H740" s="126" t="n">
        <v>46289</v>
      </c>
      <c r="I740" s="4" t="n">
        <v>0</v>
      </c>
      <c r="J740" s="4" t="n">
        <v>0</v>
      </c>
      <c r="K740" s="4" t="n">
        <v>0</v>
      </c>
      <c r="M740" s="2">
        <f>IF(C740="","",IFERROR(INDEX($S$5:$S$304,MATCH(C740,$R$5:$R$304,0))&amp;"","?"))</f>
        <v/>
      </c>
      <c r="N740" s="2">
        <f>IF(E740="","",IF(ISNUMBER(SEARCH("SUBSOLO",E740)),IFERROR(-VALUE(LEFT(E740,FIND("º",SUBSTITUTE(E740,"°","º"))-1)),-1),IF(LEFT(E740,6)="TÉRREO",0,IFERROR(VALUE(LEFT(E740,FIND("º",SUBSTITUTE(E740,"°","º"))-1)),""))))</f>
        <v/>
      </c>
      <c r="O740" s="2">
        <f>IF(OR(F740="",G740=""),"",IF(G740&lt;='RETRATO 2027'!$K$5,"CONCLUÍDA",IF(F740&lt;='RETRATO 2027'!$K$5,"EM ANDAMENTO","A INICIAR")))</f>
        <v/>
      </c>
    </row>
    <row r="741">
      <c r="B741" s="4" t="n">
        <v>31529060</v>
      </c>
      <c r="C741" s="4" t="inlineStr">
        <is>
          <t>ESTRUTURA</t>
        </is>
      </c>
      <c r="D741" s="4" t="inlineStr">
        <is>
          <t>Concretagem</t>
        </is>
      </c>
      <c r="E741" s="4" t="inlineStr">
        <is>
          <t>27º PAV.</t>
        </is>
      </c>
      <c r="F741" s="126" t="n">
        <v>46678</v>
      </c>
      <c r="G741" s="126" t="n">
        <v>46678</v>
      </c>
      <c r="H741" s="126" t="n">
        <v>46289</v>
      </c>
      <c r="I741" s="4" t="n">
        <v>0</v>
      </c>
      <c r="J741" s="4" t="n">
        <v>0</v>
      </c>
      <c r="K741" s="4" t="n">
        <v>0</v>
      </c>
      <c r="M741" s="2">
        <f>IF(C741="","",IFERROR(INDEX($S$5:$S$304,MATCH(C741,$R$5:$R$304,0))&amp;"","?"))</f>
        <v/>
      </c>
      <c r="N741" s="2">
        <f>IF(E741="","",IF(ISNUMBER(SEARCH("SUBSOLO",E741)),IFERROR(-VALUE(LEFT(E741,FIND("º",SUBSTITUTE(E741,"°","º"))-1)),-1),IF(LEFT(E741,6)="TÉRREO",0,IFERROR(VALUE(LEFT(E741,FIND("º",SUBSTITUTE(E741,"°","º"))-1)),""))))</f>
        <v/>
      </c>
      <c r="O741" s="2">
        <f>IF(OR(F741="",G741=""),"",IF(G741&lt;='RETRATO 2027'!$K$5,"CONCLUÍDA",IF(F741&lt;='RETRATO 2027'!$K$5,"EM ANDAMENTO","A INICIAR")))</f>
        <v/>
      </c>
    </row>
    <row r="742">
      <c r="B742" s="4" t="n">
        <v>31529061</v>
      </c>
      <c r="C742" s="4" t="inlineStr">
        <is>
          <t>ESTRUTURA</t>
        </is>
      </c>
      <c r="D742" s="4" t="inlineStr">
        <is>
          <t>Polimento</t>
        </is>
      </c>
      <c r="E742" s="4" t="inlineStr">
        <is>
          <t>27º PAV.</t>
        </is>
      </c>
      <c r="F742" s="126" t="n">
        <v>46678</v>
      </c>
      <c r="G742" s="126" t="n">
        <v>46678</v>
      </c>
      <c r="H742" s="126" t="n">
        <v>46289</v>
      </c>
      <c r="I742" s="4" t="n">
        <v>0</v>
      </c>
      <c r="J742" s="4" t="n">
        <v>0</v>
      </c>
      <c r="K742" s="4" t="n">
        <v>0</v>
      </c>
      <c r="M742" s="2">
        <f>IF(C742="","",IFERROR(INDEX($S$5:$S$304,MATCH(C742,$R$5:$R$304,0))&amp;"","?"))</f>
        <v/>
      </c>
      <c r="N742" s="2">
        <f>IF(E742="","",IF(ISNUMBER(SEARCH("SUBSOLO",E742)),IFERROR(-VALUE(LEFT(E742,FIND("º",SUBSTITUTE(E742,"°","º"))-1)),-1),IF(LEFT(E742,6)="TÉRREO",0,IFERROR(VALUE(LEFT(E742,FIND("º",SUBSTITUTE(E742,"°","º"))-1)),""))))</f>
        <v/>
      </c>
      <c r="O742" s="2">
        <f>IF(OR(F742="",G742=""),"",IF(G742&lt;='RETRATO 2027'!$K$5,"CONCLUÍDA",IF(F742&lt;='RETRATO 2027'!$K$5,"EM ANDAMENTO","A INICIAR")))</f>
        <v/>
      </c>
    </row>
    <row r="743">
      <c r="B743" s="4" t="n">
        <v>30214546</v>
      </c>
      <c r="C743" s="4" t="inlineStr">
        <is>
          <t>FIAÇÃO TELECOM/DADOS</t>
        </is>
      </c>
      <c r="D743" s="4" t="inlineStr">
        <is>
          <t>-</t>
        </is>
      </c>
      <c r="E743" s="4" t="inlineStr">
        <is>
          <t>HALL - APTOS</t>
        </is>
      </c>
      <c r="F743" s="126" t="n">
        <v>46666</v>
      </c>
      <c r="G743" s="126" t="n">
        <v>46965</v>
      </c>
      <c r="H743" s="126" t="n">
        <v>46289</v>
      </c>
      <c r="I743" s="4" t="n">
        <v>0</v>
      </c>
      <c r="J743" s="4" t="n">
        <v>0</v>
      </c>
      <c r="K743" s="4" t="n">
        <v>0</v>
      </c>
      <c r="M743" s="2">
        <f>IF(C743="","",IFERROR(INDEX($S$5:$S$304,MATCH(C743,$R$5:$R$304,0))&amp;"","?"))</f>
        <v/>
      </c>
      <c r="N743" s="2">
        <f>IF(E743="","",IF(ISNUMBER(SEARCH("SUBSOLO",E743)),IFERROR(-VALUE(LEFT(E743,FIND("º",SUBSTITUTE(E743,"°","º"))-1)),-1),IF(LEFT(E743,6)="TÉRREO",0,IFERROR(VALUE(LEFT(E743,FIND("º",SUBSTITUTE(E743,"°","º"))-1)),""))))</f>
        <v/>
      </c>
      <c r="O743" s="2">
        <f>IF(OR(F743="",G743=""),"",IF(G743&lt;='RETRATO 2027'!$K$5,"CONCLUÍDA",IF(F743&lt;='RETRATO 2027'!$K$5,"EM ANDAMENTO","A INICIAR")))</f>
        <v/>
      </c>
    </row>
    <row r="744">
      <c r="B744" s="4" t="n">
        <v>30205704</v>
      </c>
      <c r="C744" s="4" t="inlineStr">
        <is>
          <t>REVESTIMENTOS PORCELANATO PISO</t>
        </is>
      </c>
      <c r="D744" s="4" t="inlineStr">
        <is>
          <t>-</t>
        </is>
      </c>
      <c r="E744" s="4" t="inlineStr">
        <is>
          <t>TÉRREO - LOJA 1</t>
        </is>
      </c>
      <c r="F744" s="126" t="n">
        <v>46668</v>
      </c>
      <c r="G744" s="126" t="n">
        <v>46682</v>
      </c>
      <c r="H744" s="126" t="n">
        <v>46289</v>
      </c>
      <c r="I744" s="4" t="n">
        <v>0</v>
      </c>
      <c r="J744" s="4" t="n">
        <v>0</v>
      </c>
      <c r="K744" s="4" t="n">
        <v>0</v>
      </c>
      <c r="M744" s="2">
        <f>IF(C744="","",IFERROR(INDEX($S$5:$S$304,MATCH(C744,$R$5:$R$304,0))&amp;"","?"))</f>
        <v/>
      </c>
      <c r="N744" s="2">
        <f>IF(E744="","",IF(ISNUMBER(SEARCH("SUBSOLO",E744)),IFERROR(-VALUE(LEFT(E744,FIND("º",SUBSTITUTE(E744,"°","º"))-1)),-1),IF(LEFT(E744,6)="TÉRREO",0,IFERROR(VALUE(LEFT(E744,FIND("º",SUBSTITUTE(E744,"°","º"))-1)),""))))</f>
        <v/>
      </c>
      <c r="O744" s="2">
        <f>IF(OR(F744="",G744=""),"",IF(G744&lt;='RETRATO 2027'!$K$5,"CONCLUÍDA",IF(F744&lt;='RETRATO 2027'!$K$5,"EM ANDAMENTO","A INICIAR")))</f>
        <v/>
      </c>
    </row>
    <row r="745">
      <c r="B745" s="4" t="n">
        <v>30205681</v>
      </c>
      <c r="C745" s="4" t="inlineStr">
        <is>
          <t>REVESTIMENTO PORCELANATO PAREDE</t>
        </is>
      </c>
      <c r="D745" s="4" t="inlineStr">
        <is>
          <t>-</t>
        </is>
      </c>
      <c r="E745" s="4" t="inlineStr">
        <is>
          <t>TÉRREO - LOJA 2</t>
        </is>
      </c>
      <c r="F745" s="126" t="n">
        <v>46668</v>
      </c>
      <c r="G745" s="126" t="n">
        <v>46682</v>
      </c>
      <c r="H745" s="126" t="n">
        <v>46289</v>
      </c>
      <c r="I745" s="4" t="n">
        <v>0</v>
      </c>
      <c r="J745" s="4" t="n">
        <v>0</v>
      </c>
      <c r="K745" s="4" t="n">
        <v>0</v>
      </c>
      <c r="M745" s="2">
        <f>IF(C745="","",IFERROR(INDEX($S$5:$S$304,MATCH(C745,$R$5:$R$304,0))&amp;"","?"))</f>
        <v/>
      </c>
      <c r="N745" s="2">
        <f>IF(E745="","",IF(ISNUMBER(SEARCH("SUBSOLO",E745)),IFERROR(-VALUE(LEFT(E745,FIND("º",SUBSTITUTE(E745,"°","º"))-1)),-1),IF(LEFT(E745,6)="TÉRREO",0,IFERROR(VALUE(LEFT(E745,FIND("º",SUBSTITUTE(E745,"°","º"))-1)),""))))</f>
        <v/>
      </c>
      <c r="O745" s="2">
        <f>IF(OR(F745="",G745=""),"",IF(G745&lt;='RETRATO 2027'!$K$5,"CONCLUÍDA",IF(F745&lt;='RETRATO 2027'!$K$5,"EM ANDAMENTO","A INICIAR")))</f>
        <v/>
      </c>
    </row>
    <row r="746">
      <c r="B746" s="4" t="n">
        <v>30205647</v>
      </c>
      <c r="C746" s="4" t="inlineStr">
        <is>
          <t>DRYWALL</t>
        </is>
      </c>
      <c r="D746" s="4" t="inlineStr">
        <is>
          <t>-</t>
        </is>
      </c>
      <c r="E746" s="4" t="inlineStr">
        <is>
          <t>TÉRREO - LOJA 3</t>
        </is>
      </c>
      <c r="F746" s="126" t="n">
        <v>46668</v>
      </c>
      <c r="G746" s="126" t="n">
        <v>46682</v>
      </c>
      <c r="H746" s="126" t="n">
        <v>46289</v>
      </c>
      <c r="I746" s="4" t="n">
        <v>0</v>
      </c>
      <c r="J746" s="4" t="n">
        <v>0</v>
      </c>
      <c r="K746" s="4" t="n">
        <v>0</v>
      </c>
      <c r="M746" s="2">
        <f>IF(C746="","",IFERROR(INDEX($S$5:$S$304,MATCH(C746,$R$5:$R$304,0))&amp;"","?"))</f>
        <v/>
      </c>
      <c r="N746" s="2">
        <f>IF(E746="","",IF(ISNUMBER(SEARCH("SUBSOLO",E746)),IFERROR(-VALUE(LEFT(E746,FIND("º",SUBSTITUTE(E746,"°","º"))-1)),-1),IF(LEFT(E746,6)="TÉRREO",0,IFERROR(VALUE(LEFT(E746,FIND("º",SUBSTITUTE(E746,"°","º"))-1)),""))))</f>
        <v/>
      </c>
      <c r="O746" s="2">
        <f>IF(OR(F746="",G746=""),"",IF(G746&lt;='RETRATO 2027'!$K$5,"CONCLUÍDA",IF(F746&lt;='RETRATO 2027'!$K$5,"EM ANDAMENTO","A INICIAR")))</f>
        <v/>
      </c>
    </row>
    <row r="747">
      <c r="B747" s="4" t="n">
        <v>30205619</v>
      </c>
      <c r="C747" s="4" t="inlineStr">
        <is>
          <t>CONTRAPISO</t>
        </is>
      </c>
      <c r="D747" s="4" t="inlineStr">
        <is>
          <t>-</t>
        </is>
      </c>
      <c r="E747" s="4" t="inlineStr">
        <is>
          <t>TÉRREO - LOJA 4</t>
        </is>
      </c>
      <c r="F747" s="126" t="n">
        <v>46668</v>
      </c>
      <c r="G747" s="126" t="n">
        <v>46682</v>
      </c>
      <c r="H747" s="126" t="n">
        <v>46289</v>
      </c>
      <c r="I747" s="4" t="n">
        <v>0</v>
      </c>
      <c r="J747" s="4" t="n">
        <v>0</v>
      </c>
      <c r="K747" s="4" t="n">
        <v>0</v>
      </c>
      <c r="M747" s="2">
        <f>IF(C747="","",IFERROR(INDEX($S$5:$S$304,MATCH(C747,$R$5:$R$304,0))&amp;"","?"))</f>
        <v/>
      </c>
      <c r="N747" s="2">
        <f>IF(E747="","",IF(ISNUMBER(SEARCH("SUBSOLO",E747)),IFERROR(-VALUE(LEFT(E747,FIND("º",SUBSTITUTE(E747,"°","º"))-1)),-1),IF(LEFT(E747,6)="TÉRREO",0,IFERROR(VALUE(LEFT(E747,FIND("º",SUBSTITUTE(E747,"°","º"))-1)),""))))</f>
        <v/>
      </c>
      <c r="O747" s="2">
        <f>IF(OR(F747="",G747=""),"",IF(G747&lt;='RETRATO 2027'!$K$5,"CONCLUÍDA",IF(F747&lt;='RETRATO 2027'!$K$5,"EM ANDAMENTO","A INICIAR")))</f>
        <v/>
      </c>
    </row>
    <row r="748">
      <c r="B748" s="4" t="n">
        <v>31803888</v>
      </c>
      <c r="C748" s="4" t="inlineStr">
        <is>
          <t>FACHADA LOJA</t>
        </is>
      </c>
      <c r="D748" s="4" t="inlineStr">
        <is>
          <t>-</t>
        </is>
      </c>
      <c r="E748" s="4" t="inlineStr">
        <is>
          <t>TÉRREO - LOJA 4</t>
        </is>
      </c>
      <c r="F748" s="126" t="n">
        <v>46668</v>
      </c>
      <c r="G748" s="126" t="n">
        <v>46717</v>
      </c>
      <c r="H748" s="126" t="n">
        <v>46289</v>
      </c>
      <c r="I748" s="4" t="n">
        <v>0</v>
      </c>
      <c r="J748" s="4" t="n">
        <v>0</v>
      </c>
      <c r="K748" s="4" t="n">
        <v>0</v>
      </c>
      <c r="M748" s="2">
        <f>IF(C748="","",IFERROR(INDEX($S$5:$S$304,MATCH(C748,$R$5:$R$304,0))&amp;"","?"))</f>
        <v/>
      </c>
      <c r="N748" s="2">
        <f>IF(E748="","",IF(ISNUMBER(SEARCH("SUBSOLO",E748)),IFERROR(-VALUE(LEFT(E748,FIND("º",SUBSTITUTE(E748,"°","º"))-1)),-1),IF(LEFT(E748,6)="TÉRREO",0,IFERROR(VALUE(LEFT(E748,FIND("º",SUBSTITUTE(E748,"°","º"))-1)),""))))</f>
        <v/>
      </c>
      <c r="O748" s="2">
        <f>IF(OR(F748="",G748=""),"",IF(G748&lt;='RETRATO 2027'!$K$5,"CONCLUÍDA",IF(F748&lt;='RETRATO 2027'!$K$5,"EM ANDAMENTO","A INICIAR")))</f>
        <v/>
      </c>
    </row>
    <row r="749">
      <c r="B749" s="4" t="n">
        <v>30205588</v>
      </c>
      <c r="C749" s="4" t="inlineStr">
        <is>
          <t>REBOCO INTERNO</t>
        </is>
      </c>
      <c r="D749" s="4" t="inlineStr">
        <is>
          <t>-</t>
        </is>
      </c>
      <c r="E749" s="4" t="inlineStr">
        <is>
          <t>TÉRREO - LOJA 5</t>
        </is>
      </c>
      <c r="F749" s="126" t="n">
        <v>46668</v>
      </c>
      <c r="G749" s="126" t="n">
        <v>46682</v>
      </c>
      <c r="H749" s="126" t="n">
        <v>46289</v>
      </c>
      <c r="I749" s="4" t="n">
        <v>0</v>
      </c>
      <c r="J749" s="4" t="n">
        <v>0</v>
      </c>
      <c r="K749" s="4" t="n">
        <v>0</v>
      </c>
      <c r="M749" s="2">
        <f>IF(C749="","",IFERROR(INDEX($S$5:$S$304,MATCH(C749,$R$5:$R$304,0))&amp;"","?"))</f>
        <v/>
      </c>
      <c r="N749" s="2">
        <f>IF(E749="","",IF(ISNUMBER(SEARCH("SUBSOLO",E749)),IFERROR(-VALUE(LEFT(E749,FIND("º",SUBSTITUTE(E749,"°","º"))-1)),-1),IF(LEFT(E749,6)="TÉRREO",0,IFERROR(VALUE(LEFT(E749,FIND("º",SUBSTITUTE(E749,"°","º"))-1)),""))))</f>
        <v/>
      </c>
      <c r="O749" s="2">
        <f>IF(OR(F749="",G749=""),"",IF(G749&lt;='RETRATO 2027'!$K$5,"CONCLUÍDA",IF(F749&lt;='RETRATO 2027'!$K$5,"EM ANDAMENTO","A INICIAR")))</f>
        <v/>
      </c>
    </row>
    <row r="750">
      <c r="B750" s="4" t="n">
        <v>30205557</v>
      </c>
      <c r="C750" s="4" t="inlineStr">
        <is>
          <t>DISTRIBUIÇÃO ELÉTRICA / QUADRO</t>
        </is>
      </c>
      <c r="D750" s="4" t="inlineStr">
        <is>
          <t>-</t>
        </is>
      </c>
      <c r="E750" s="4" t="inlineStr">
        <is>
          <t>TÉRREO - LOJA 6</t>
        </is>
      </c>
      <c r="F750" s="126" t="n">
        <v>46668</v>
      </c>
      <c r="G750" s="126" t="n">
        <v>46679</v>
      </c>
      <c r="H750" s="126" t="n">
        <v>46289</v>
      </c>
      <c r="I750" s="4" t="n">
        <v>0</v>
      </c>
      <c r="J750" s="4" t="n">
        <v>0</v>
      </c>
      <c r="K750" s="4" t="n">
        <v>0</v>
      </c>
      <c r="M750" s="2">
        <f>IF(C750="","",IFERROR(INDEX($S$5:$S$304,MATCH(C750,$R$5:$R$304,0))&amp;"","?"))</f>
        <v/>
      </c>
      <c r="N750" s="2">
        <f>IF(E750="","",IF(ISNUMBER(SEARCH("SUBSOLO",E750)),IFERROR(-VALUE(LEFT(E750,FIND("º",SUBSTITUTE(E750,"°","º"))-1)),-1),IF(LEFT(E750,6)="TÉRREO",0,IFERROR(VALUE(LEFT(E750,FIND("º",SUBSTITUTE(E750,"°","º"))-1)),""))))</f>
        <v/>
      </c>
      <c r="O750" s="2">
        <f>IF(OR(F750="",G750=""),"",IF(G750&lt;='RETRATO 2027'!$K$5,"CONCLUÍDA",IF(F750&lt;='RETRATO 2027'!$K$5,"EM ANDAMENTO","A INICIAR")))</f>
        <v/>
      </c>
    </row>
    <row r="751">
      <c r="B751" s="4" t="n">
        <v>30205558</v>
      </c>
      <c r="C751" s="4" t="inlineStr">
        <is>
          <t>DISTRIBUIÇÃO HIDRÁULICA</t>
        </is>
      </c>
      <c r="D751" s="4" t="inlineStr">
        <is>
          <t>-</t>
        </is>
      </c>
      <c r="E751" s="4" t="inlineStr">
        <is>
          <t>TÉRREO - LOJA 6</t>
        </is>
      </c>
      <c r="F751" s="126" t="n">
        <v>46668</v>
      </c>
      <c r="G751" s="126" t="n">
        <v>46682</v>
      </c>
      <c r="H751" s="126" t="n">
        <v>46289</v>
      </c>
      <c r="I751" s="4" t="n">
        <v>0</v>
      </c>
      <c r="J751" s="4" t="n">
        <v>0</v>
      </c>
      <c r="K751" s="4" t="n">
        <v>0</v>
      </c>
      <c r="M751" s="2">
        <f>IF(C751="","",IFERROR(INDEX($S$5:$S$304,MATCH(C751,$R$5:$R$304,0))&amp;"","?"))</f>
        <v/>
      </c>
      <c r="N751" s="2">
        <f>IF(E751="","",IF(ISNUMBER(SEARCH("SUBSOLO",E751)),IFERROR(-VALUE(LEFT(E751,FIND("º",SUBSTITUTE(E751,"°","º"))-1)),-1),IF(LEFT(E751,6)="TÉRREO",0,IFERROR(VALUE(LEFT(E751,FIND("º",SUBSTITUTE(E751,"°","º"))-1)),""))))</f>
        <v/>
      </c>
      <c r="O751" s="2">
        <f>IF(OR(F751="",G751=""),"",IF(G751&lt;='RETRATO 2027'!$K$5,"CONCLUÍDA",IF(F751&lt;='RETRATO 2027'!$K$5,"EM ANDAMENTO","A INICIAR")))</f>
        <v/>
      </c>
    </row>
    <row r="752">
      <c r="B752" s="4" t="n">
        <v>30205529</v>
      </c>
      <c r="C752" s="4" t="inlineStr">
        <is>
          <t>TALISCAMENTO</t>
        </is>
      </c>
      <c r="D752" s="4" t="inlineStr">
        <is>
          <t>-</t>
        </is>
      </c>
      <c r="E752" s="4" t="inlineStr">
        <is>
          <t>TÉRREO - LOJA 7</t>
        </is>
      </c>
      <c r="F752" s="126" t="n">
        <v>46668</v>
      </c>
      <c r="G752" s="126" t="n">
        <v>46682</v>
      </c>
      <c r="H752" s="126" t="n">
        <v>46289</v>
      </c>
      <c r="I752" s="4" t="n">
        <v>0</v>
      </c>
      <c r="J752" s="4" t="n">
        <v>0</v>
      </c>
      <c r="K752" s="4" t="n">
        <v>0</v>
      </c>
      <c r="M752" s="2">
        <f>IF(C752="","",IFERROR(INDEX($S$5:$S$304,MATCH(C752,$R$5:$R$304,0))&amp;"","?"))</f>
        <v/>
      </c>
      <c r="N752" s="2">
        <f>IF(E752="","",IF(ISNUMBER(SEARCH("SUBSOLO",E752)),IFERROR(-VALUE(LEFT(E752,FIND("º",SUBSTITUTE(E752,"°","º"))-1)),-1),IF(LEFT(E752,6)="TÉRREO",0,IFERROR(VALUE(LEFT(E752,FIND("º",SUBSTITUTE(E752,"°","º"))-1)),""))))</f>
        <v/>
      </c>
      <c r="O752" s="2">
        <f>IF(OR(F752="",G752=""),"",IF(G752&lt;='RETRATO 2027'!$K$5,"CONCLUÍDA",IF(F752&lt;='RETRATO 2027'!$K$5,"EM ANDAMENTO","A INICIAR")))</f>
        <v/>
      </c>
    </row>
    <row r="753">
      <c r="B753" s="4" t="n">
        <v>29980963</v>
      </c>
      <c r="C753" s="4" t="inlineStr">
        <is>
          <t>PRUMADA DE INCÊNDIO</t>
        </is>
      </c>
      <c r="D753" s="4" t="inlineStr">
        <is>
          <t>-</t>
        </is>
      </c>
      <c r="E753" s="4" t="inlineStr">
        <is>
          <t>23º PAV.</t>
        </is>
      </c>
      <c r="F753" s="126" t="n">
        <v>46668</v>
      </c>
      <c r="G753" s="126" t="n">
        <v>46681</v>
      </c>
      <c r="H753" s="126" t="n">
        <v>46289</v>
      </c>
      <c r="I753" s="4" t="n">
        <v>0</v>
      </c>
      <c r="J753" s="4" t="n">
        <v>0</v>
      </c>
      <c r="K753" s="4" t="n">
        <v>0</v>
      </c>
      <c r="M753" s="2">
        <f>IF(C753="","",IFERROR(INDEX($S$5:$S$304,MATCH(C753,$R$5:$R$304,0))&amp;"","?"))</f>
        <v/>
      </c>
      <c r="N753" s="2">
        <f>IF(E753="","",IF(ISNUMBER(SEARCH("SUBSOLO",E753)),IFERROR(-VALUE(LEFT(E753,FIND("º",SUBSTITUTE(E753,"°","º"))-1)),-1),IF(LEFT(E753,6)="TÉRREO",0,IFERROR(VALUE(LEFT(E753,FIND("º",SUBSTITUTE(E753,"°","º"))-1)),""))))</f>
        <v/>
      </c>
      <c r="O753" s="2">
        <f>IF(OR(F753="",G753=""),"",IF(G753&lt;='RETRATO 2027'!$K$5,"CONCLUÍDA",IF(F753&lt;='RETRATO 2027'!$K$5,"EM ANDAMENTO","A INICIAR")))</f>
        <v/>
      </c>
    </row>
    <row r="754">
      <c r="B754" s="4" t="n">
        <v>29980914</v>
      </c>
      <c r="C754" s="4" t="inlineStr">
        <is>
          <t>ALVENARIA</t>
        </is>
      </c>
      <c r="D754" s="4" t="inlineStr">
        <is>
          <t>-</t>
        </is>
      </c>
      <c r="E754" s="4" t="inlineStr">
        <is>
          <t>24º PAV.</t>
        </is>
      </c>
      <c r="F754" s="126" t="n">
        <v>46668</v>
      </c>
      <c r="G754" s="126" t="n">
        <v>46681</v>
      </c>
      <c r="H754" s="126" t="n">
        <v>46289</v>
      </c>
      <c r="I754" s="4" t="n">
        <v>0</v>
      </c>
      <c r="J754" s="4" t="n">
        <v>0</v>
      </c>
      <c r="K754" s="4" t="n">
        <v>0</v>
      </c>
      <c r="M754" s="2">
        <f>IF(C754="","",IFERROR(INDEX($S$5:$S$304,MATCH(C754,$R$5:$R$304,0))&amp;"","?"))</f>
        <v/>
      </c>
      <c r="N754" s="2">
        <f>IF(E754="","",IF(ISNUMBER(SEARCH("SUBSOLO",E754)),IFERROR(-VALUE(LEFT(E754,FIND("º",SUBSTITUTE(E754,"°","º"))-1)),-1),IF(LEFT(E754,6)="TÉRREO",0,IFERROR(VALUE(LEFT(E754,FIND("º",SUBSTITUTE(E754,"°","º"))-1)),""))))</f>
        <v/>
      </c>
      <c r="O754" s="2">
        <f>IF(OR(F754="",G754=""),"",IF(G754&lt;='RETRATO 2027'!$K$5,"CONCLUÍDA",IF(F754&lt;='RETRATO 2027'!$K$5,"EM ANDAMENTO","A INICIAR")))</f>
        <v/>
      </c>
    </row>
    <row r="755">
      <c r="B755" s="4" t="n">
        <v>30205930</v>
      </c>
      <c r="C755" s="4" t="inlineStr">
        <is>
          <t>IMPERMEABILIZAÇÃO</t>
        </is>
      </c>
      <c r="D755" s="4" t="inlineStr">
        <is>
          <t>-</t>
        </is>
      </c>
      <c r="E755" s="4" t="inlineStr">
        <is>
          <t>2º PAV - GARAGEM</t>
        </is>
      </c>
      <c r="F755" s="126" t="n">
        <v>46671</v>
      </c>
      <c r="G755" s="126" t="n">
        <v>46685</v>
      </c>
      <c r="H755" s="126" t="n">
        <v>46289</v>
      </c>
      <c r="I755" s="4" t="n">
        <v>0</v>
      </c>
      <c r="J755" s="4" t="n">
        <v>0</v>
      </c>
      <c r="K755" s="4" t="n">
        <v>0</v>
      </c>
      <c r="M755" s="2">
        <f>IF(C755="","",IFERROR(INDEX($S$5:$S$304,MATCH(C755,$R$5:$R$304,0))&amp;"","?"))</f>
        <v/>
      </c>
      <c r="N755" s="2">
        <f>IF(E755="","",IF(ISNUMBER(SEARCH("SUBSOLO",E755)),IFERROR(-VALUE(LEFT(E755,FIND("º",SUBSTITUTE(E755,"°","º"))-1)),-1),IF(LEFT(E755,6)="TÉRREO",0,IFERROR(VALUE(LEFT(E755,FIND("º",SUBSTITUTE(E755,"°","º"))-1)),""))))</f>
        <v/>
      </c>
      <c r="O755" s="2">
        <f>IF(OR(F755="",G755=""),"",IF(G755&lt;='RETRATO 2027'!$K$5,"CONCLUÍDA",IF(F755&lt;='RETRATO 2027'!$K$5,"EM ANDAMENTO","A INICIAR")))</f>
        <v/>
      </c>
    </row>
    <row r="756">
      <c r="B756" s="4" t="n">
        <v>30171471</v>
      </c>
      <c r="C756" s="4" t="inlineStr">
        <is>
          <t>PRUMADA HIDROSSANITÁRIA</t>
        </is>
      </c>
      <c r="D756" s="4" t="inlineStr">
        <is>
          <t>-</t>
        </is>
      </c>
      <c r="E756" s="4" t="inlineStr">
        <is>
          <t>2º PAV - GARAGEM</t>
        </is>
      </c>
      <c r="F756" s="126" t="n">
        <v>46671</v>
      </c>
      <c r="G756" s="126" t="n">
        <v>46700</v>
      </c>
      <c r="H756" s="126" t="n">
        <v>46289</v>
      </c>
      <c r="I756" s="4" t="n">
        <v>0</v>
      </c>
      <c r="J756" s="4" t="n">
        <v>0</v>
      </c>
      <c r="K756" s="4" t="n">
        <v>0</v>
      </c>
      <c r="M756" s="2">
        <f>IF(C756="","",IFERROR(INDEX($S$5:$S$304,MATCH(C756,$R$5:$R$304,0))&amp;"","?"))</f>
        <v/>
      </c>
      <c r="N756" s="2">
        <f>IF(E756="","",IF(ISNUMBER(SEARCH("SUBSOLO",E756)),IFERROR(-VALUE(LEFT(E756,FIND("º",SUBSTITUTE(E756,"°","º"))-1)),-1),IF(LEFT(E756,6)="TÉRREO",0,IFERROR(VALUE(LEFT(E756,FIND("º",SUBSTITUTE(E756,"°","º"))-1)),""))))</f>
        <v/>
      </c>
      <c r="O756" s="2">
        <f>IF(OR(F756="",G756=""),"",IF(G756&lt;='RETRATO 2027'!$K$5,"CONCLUÍDA",IF(F756&lt;='RETRATO 2027'!$K$5,"EM ANDAMENTO","A INICIAR")))</f>
        <v/>
      </c>
    </row>
    <row r="757">
      <c r="B757" s="4" t="n">
        <v>30171472</v>
      </c>
      <c r="C757" s="4" t="inlineStr">
        <is>
          <t>PRUMADA ELÉTRICA - INFRA</t>
        </is>
      </c>
      <c r="D757" s="4" t="inlineStr">
        <is>
          <t>-</t>
        </is>
      </c>
      <c r="E757" s="4" t="inlineStr">
        <is>
          <t>2º PAV - GARAGEM</t>
        </is>
      </c>
      <c r="F757" s="126" t="n">
        <v>46671</v>
      </c>
      <c r="G757" s="126" t="n">
        <v>46700</v>
      </c>
      <c r="H757" s="126" t="n">
        <v>46289</v>
      </c>
      <c r="I757" s="4" t="n">
        <v>0</v>
      </c>
      <c r="J757" s="4" t="n">
        <v>0</v>
      </c>
      <c r="K757" s="4" t="n">
        <v>0</v>
      </c>
      <c r="M757" s="2">
        <f>IF(C757="","",IFERROR(INDEX($S$5:$S$304,MATCH(C757,$R$5:$R$304,0))&amp;"","?"))</f>
        <v/>
      </c>
      <c r="N757" s="2">
        <f>IF(E757="","",IF(ISNUMBER(SEARCH("SUBSOLO",E757)),IFERROR(-VALUE(LEFT(E757,FIND("º",SUBSTITUTE(E757,"°","º"))-1)),-1),IF(LEFT(E757,6)="TÉRREO",0,IFERROR(VALUE(LEFT(E757,FIND("º",SUBSTITUTE(E757,"°","º"))-1)),""))))</f>
        <v/>
      </c>
      <c r="O757" s="2">
        <f>IF(OR(F757="",G757=""),"",IF(G757&lt;='RETRATO 2027'!$K$5,"CONCLUÍDA",IF(F757&lt;='RETRATO 2027'!$K$5,"EM ANDAMENTO","A INICIAR")))</f>
        <v/>
      </c>
    </row>
    <row r="758">
      <c r="B758" s="4" t="n">
        <v>30171484</v>
      </c>
      <c r="C758" s="4" t="inlineStr">
        <is>
          <t>INSTALAÇÕES DE INCÊNDIO</t>
        </is>
      </c>
      <c r="D758" s="4" t="inlineStr">
        <is>
          <t>-</t>
        </is>
      </c>
      <c r="E758" s="4" t="inlineStr">
        <is>
          <t>2º PAV - GARAGEM</t>
        </is>
      </c>
      <c r="F758" s="126" t="n">
        <v>46671</v>
      </c>
      <c r="G758" s="126" t="n">
        <v>46700</v>
      </c>
      <c r="H758" s="126" t="n">
        <v>46289</v>
      </c>
      <c r="I758" s="4" t="n">
        <v>0</v>
      </c>
      <c r="J758" s="4" t="n">
        <v>0</v>
      </c>
      <c r="K758" s="4" t="n">
        <v>0</v>
      </c>
      <c r="M758" s="2">
        <f>IF(C758="","",IFERROR(INDEX($S$5:$S$304,MATCH(C758,$R$5:$R$304,0))&amp;"","?"))</f>
        <v/>
      </c>
      <c r="N758" s="2">
        <f>IF(E758="","",IF(ISNUMBER(SEARCH("SUBSOLO",E758)),IFERROR(-VALUE(LEFT(E758,FIND("º",SUBSTITUTE(E758,"°","º"))-1)),-1),IF(LEFT(E758,6)="TÉRREO",0,IFERROR(VALUE(LEFT(E758,FIND("º",SUBSTITUTE(E758,"°","º"))-1)),""))))</f>
        <v/>
      </c>
      <c r="O758" s="2">
        <f>IF(OR(F758="",G758=""),"",IF(G758&lt;='RETRATO 2027'!$K$5,"CONCLUÍDA",IF(F758&lt;='RETRATO 2027'!$K$5,"EM ANDAMENTO","A INICIAR")))</f>
        <v/>
      </c>
    </row>
    <row r="759">
      <c r="B759" s="4" t="n">
        <v>30171449</v>
      </c>
      <c r="C759" s="4" t="inlineStr">
        <is>
          <t>SERRALHERIA</t>
        </is>
      </c>
      <c r="D759" s="4" t="inlineStr">
        <is>
          <t>-</t>
        </is>
      </c>
      <c r="E759" s="4" t="inlineStr">
        <is>
          <t>3º PAV - GARAGEM</t>
        </is>
      </c>
      <c r="F759" s="126" t="n">
        <v>46671</v>
      </c>
      <c r="G759" s="126" t="n">
        <v>46685</v>
      </c>
      <c r="H759" s="126" t="n">
        <v>46289</v>
      </c>
      <c r="I759" s="4" t="n">
        <v>0</v>
      </c>
      <c r="J759" s="4" t="n">
        <v>0</v>
      </c>
      <c r="K759" s="4" t="n">
        <v>0</v>
      </c>
      <c r="M759" s="2">
        <f>IF(C759="","",IFERROR(INDEX($S$5:$S$304,MATCH(C759,$R$5:$R$304,0))&amp;"","?"))</f>
        <v/>
      </c>
      <c r="N759" s="2">
        <f>IF(E759="","",IF(ISNUMBER(SEARCH("SUBSOLO",E759)),IFERROR(-VALUE(LEFT(E759,FIND("º",SUBSTITUTE(E759,"°","º"))-1)),-1),IF(LEFT(E759,6)="TÉRREO",0,IFERROR(VALUE(LEFT(E759,FIND("º",SUBSTITUTE(E759,"°","º"))-1)),""))))</f>
        <v/>
      </c>
      <c r="O759" s="2">
        <f>IF(OR(F759="",G759=""),"",IF(G759&lt;='RETRATO 2027'!$K$5,"CONCLUÍDA",IF(F759&lt;='RETRATO 2027'!$K$5,"EM ANDAMENTO","A INICIAR")))</f>
        <v/>
      </c>
    </row>
    <row r="760">
      <c r="B760" s="4" t="n">
        <v>30171450</v>
      </c>
      <c r="C760" s="4" t="inlineStr">
        <is>
          <t>REBOCO INTERNO</t>
        </is>
      </c>
      <c r="D760" s="4" t="inlineStr">
        <is>
          <t>-</t>
        </is>
      </c>
      <c r="E760" s="4" t="inlineStr">
        <is>
          <t>3º PAV - GARAGEM</t>
        </is>
      </c>
      <c r="F760" s="126" t="n">
        <v>46671</v>
      </c>
      <c r="G760" s="126" t="n">
        <v>46736</v>
      </c>
      <c r="H760" s="126" t="n">
        <v>46289</v>
      </c>
      <c r="I760" s="4" t="n">
        <v>0</v>
      </c>
      <c r="J760" s="4" t="n">
        <v>0</v>
      </c>
      <c r="K760" s="4" t="n">
        <v>0</v>
      </c>
      <c r="M760" s="2">
        <f>IF(C760="","",IFERROR(INDEX($S$5:$S$304,MATCH(C760,$R$5:$R$304,0))&amp;"","?"))</f>
        <v/>
      </c>
      <c r="N760" s="2">
        <f>IF(E760="","",IF(ISNUMBER(SEARCH("SUBSOLO",E760)),IFERROR(-VALUE(LEFT(E760,FIND("º",SUBSTITUTE(E760,"°","º"))-1)),-1),IF(LEFT(E760,6)="TÉRREO",0,IFERROR(VALUE(LEFT(E760,FIND("º",SUBSTITUTE(E760,"°","º"))-1)),""))))</f>
        <v/>
      </c>
      <c r="O760" s="2">
        <f>IF(OR(F760="",G760=""),"",IF(G760&lt;='RETRATO 2027'!$K$5,"CONCLUÍDA",IF(F760&lt;='RETRATO 2027'!$K$5,"EM ANDAMENTO","A INICIAR")))</f>
        <v/>
      </c>
    </row>
    <row r="761">
      <c r="B761" s="4" t="n">
        <v>31789529</v>
      </c>
      <c r="C761" s="4" t="inlineStr">
        <is>
          <t>PREPARAÇÃO PARA FACHADA AERADA - F3 + F4 (1º ETAPA)</t>
        </is>
      </c>
      <c r="D761" s="4" t="inlineStr">
        <is>
          <t>-</t>
        </is>
      </c>
      <c r="E761" s="4" t="inlineStr">
        <is>
          <t>FACHADA</t>
        </is>
      </c>
      <c r="F761" s="126" t="n">
        <v>46674</v>
      </c>
      <c r="G761" s="126" t="n">
        <v>46695</v>
      </c>
      <c r="H761" s="126" t="n">
        <v>46289</v>
      </c>
      <c r="I761" s="4" t="n">
        <v>0</v>
      </c>
      <c r="J761" s="4" t="n">
        <v>0</v>
      </c>
      <c r="K761" s="4" t="n">
        <v>0</v>
      </c>
      <c r="M761" s="2">
        <f>IF(C761="","",IFERROR(INDEX($S$5:$S$304,MATCH(C761,$R$5:$R$304,0))&amp;"","?"))</f>
        <v/>
      </c>
      <c r="N761" s="2">
        <f>IF(E761="","",IF(ISNUMBER(SEARCH("SUBSOLO",E761)),IFERROR(-VALUE(LEFT(E761,FIND("º",SUBSTITUTE(E761,"°","º"))-1)),-1),IF(LEFT(E761,6)="TÉRREO",0,IFERROR(VALUE(LEFT(E761,FIND("º",SUBSTITUTE(E761,"°","º"))-1)),""))))</f>
        <v/>
      </c>
      <c r="O761" s="2">
        <f>IF(OR(F761="",G761=""),"",IF(G761&lt;='RETRATO 2027'!$K$5,"CONCLUÍDA",IF(F761&lt;='RETRATO 2027'!$K$5,"EM ANDAMENTO","A INICIAR")))</f>
        <v/>
      </c>
    </row>
    <row r="762">
      <c r="B762" s="4" t="n">
        <v>29981551</v>
      </c>
      <c r="C762" s="4" t="inlineStr">
        <is>
          <t>FORRO</t>
        </is>
      </c>
      <c r="D762" s="4" t="inlineStr">
        <is>
          <t>-</t>
        </is>
      </c>
      <c r="E762" s="4" t="inlineStr">
        <is>
          <t>7º PAV.</t>
        </is>
      </c>
      <c r="F762" s="126" t="n">
        <v>46675</v>
      </c>
      <c r="G762" s="126" t="n">
        <v>46687</v>
      </c>
      <c r="H762" s="126" t="n">
        <v>46289</v>
      </c>
      <c r="I762" s="4" t="n">
        <v>0</v>
      </c>
      <c r="J762" s="4" t="n">
        <v>0</v>
      </c>
      <c r="K762" s="4" t="n">
        <v>0</v>
      </c>
      <c r="M762" s="2">
        <f>IF(C762="","",IFERROR(INDEX($S$5:$S$304,MATCH(C762,$R$5:$R$304,0))&amp;"","?"))</f>
        <v/>
      </c>
      <c r="N762" s="2">
        <f>IF(E762="","",IF(ISNUMBER(SEARCH("SUBSOLO",E762)),IFERROR(-VALUE(LEFT(E762,FIND("º",SUBSTITUTE(E762,"°","º"))-1)),-1),IF(LEFT(E762,6)="TÉRREO",0,IFERROR(VALUE(LEFT(E762,FIND("º",SUBSTITUTE(E762,"°","º"))-1)),""))))</f>
        <v/>
      </c>
      <c r="O762" s="2">
        <f>IF(OR(F762="",G762=""),"",IF(G762&lt;='RETRATO 2027'!$K$5,"CONCLUÍDA",IF(F762&lt;='RETRATO 2027'!$K$5,"EM ANDAMENTO","A INICIAR")))</f>
        <v/>
      </c>
    </row>
    <row r="763">
      <c r="B763" s="4" t="n">
        <v>29981512</v>
      </c>
      <c r="C763" s="4" t="inlineStr">
        <is>
          <t>FIAÇÃO ELÉTRICA</t>
        </is>
      </c>
      <c r="D763" s="4" t="inlineStr">
        <is>
          <t>-</t>
        </is>
      </c>
      <c r="E763" s="4" t="inlineStr">
        <is>
          <t>8º PAV.</t>
        </is>
      </c>
      <c r="F763" s="126" t="n">
        <v>46675</v>
      </c>
      <c r="G763" s="126" t="n">
        <v>46687</v>
      </c>
      <c r="H763" s="126" t="n">
        <v>46289</v>
      </c>
      <c r="I763" s="4" t="n">
        <v>0</v>
      </c>
      <c r="J763" s="4" t="n">
        <v>0</v>
      </c>
      <c r="K763" s="4" t="n">
        <v>0</v>
      </c>
      <c r="M763" s="2">
        <f>IF(C763="","",IFERROR(INDEX($S$5:$S$304,MATCH(C763,$R$5:$R$304,0))&amp;"","?"))</f>
        <v/>
      </c>
      <c r="N763" s="2">
        <f>IF(E763="","",IF(ISNUMBER(SEARCH("SUBSOLO",E763)),IFERROR(-VALUE(LEFT(E763,FIND("º",SUBSTITUTE(E763,"°","º"))-1)),-1),IF(LEFT(E763,6)="TÉRREO",0,IFERROR(VALUE(LEFT(E763,FIND("º",SUBSTITUTE(E763,"°","º"))-1)),""))))</f>
        <v/>
      </c>
      <c r="O763" s="2">
        <f>IF(OR(F763="",G763=""),"",IF(G763&lt;='RETRATO 2027'!$K$5,"CONCLUÍDA",IF(F763&lt;='RETRATO 2027'!$K$5,"EM ANDAMENTO","A INICIAR")))</f>
        <v/>
      </c>
    </row>
    <row r="764">
      <c r="B764" s="4" t="n">
        <v>29981517</v>
      </c>
      <c r="C764" s="4" t="inlineStr">
        <is>
          <t>PRUMADA ELÉTRICA - CABOS</t>
        </is>
      </c>
      <c r="D764" s="4" t="inlineStr">
        <is>
          <t>-</t>
        </is>
      </c>
      <c r="E764" s="4" t="inlineStr">
        <is>
          <t>8º PAV.</t>
        </is>
      </c>
      <c r="F764" s="126" t="n">
        <v>46675</v>
      </c>
      <c r="G764" s="126" t="n">
        <v>46687</v>
      </c>
      <c r="H764" s="126" t="n">
        <v>46289</v>
      </c>
      <c r="I764" s="4" t="n">
        <v>0</v>
      </c>
      <c r="J764" s="4" t="n">
        <v>0</v>
      </c>
      <c r="K764" s="4" t="n">
        <v>0</v>
      </c>
      <c r="M764" s="2">
        <f>IF(C764="","",IFERROR(INDEX($S$5:$S$304,MATCH(C764,$R$5:$R$304,0))&amp;"","?"))</f>
        <v/>
      </c>
      <c r="N764" s="2">
        <f>IF(E764="","",IF(ISNUMBER(SEARCH("SUBSOLO",E764)),IFERROR(-VALUE(LEFT(E764,FIND("º",SUBSTITUTE(E764,"°","º"))-1)),-1),IF(LEFT(E764,6)="TÉRREO",0,IFERROR(VALUE(LEFT(E764,FIND("º",SUBSTITUTE(E764,"°","º"))-1)),""))))</f>
        <v/>
      </c>
      <c r="O764" s="2">
        <f>IF(OR(F764="",G764=""),"",IF(G764&lt;='RETRATO 2027'!$K$5,"CONCLUÍDA",IF(F764&lt;='RETRATO 2027'!$K$5,"EM ANDAMENTO","A INICIAR")))</f>
        <v/>
      </c>
    </row>
    <row r="765">
      <c r="B765" s="4" t="n">
        <v>30214070</v>
      </c>
      <c r="C765" s="4" t="inlineStr">
        <is>
          <t>FIAÇÃO TELECOM/DADOS</t>
        </is>
      </c>
      <c r="D765" s="4" t="inlineStr">
        <is>
          <t>-</t>
        </is>
      </c>
      <c r="E765" s="4" t="inlineStr">
        <is>
          <t>8º PAV.</t>
        </is>
      </c>
      <c r="F765" s="126" t="n">
        <v>46675</v>
      </c>
      <c r="G765" s="126" t="n">
        <v>46688</v>
      </c>
      <c r="H765" s="126" t="n">
        <v>46289</v>
      </c>
      <c r="I765" s="4" t="n">
        <v>0</v>
      </c>
      <c r="J765" s="4" t="n">
        <v>0</v>
      </c>
      <c r="K765" s="4" t="n">
        <v>0</v>
      </c>
      <c r="M765" s="2">
        <f>IF(C765="","",IFERROR(INDEX($S$5:$S$304,MATCH(C765,$R$5:$R$304,0))&amp;"","?"))</f>
        <v/>
      </c>
      <c r="N765" s="2">
        <f>IF(E765="","",IF(ISNUMBER(SEARCH("SUBSOLO",E765)),IFERROR(-VALUE(LEFT(E765,FIND("º",SUBSTITUTE(E765,"°","º"))-1)),-1),IF(LEFT(E765,6)="TÉRREO",0,IFERROR(VALUE(LEFT(E765,FIND("º",SUBSTITUTE(E765,"°","º"))-1)),""))))</f>
        <v/>
      </c>
      <c r="O765" s="2">
        <f>IF(OR(F765="",G765=""),"",IF(G765&lt;='RETRATO 2027'!$K$5,"CONCLUÍDA",IF(F765&lt;='RETRATO 2027'!$K$5,"EM ANDAMENTO","A INICIAR")))</f>
        <v/>
      </c>
    </row>
    <row r="766">
      <c r="B766" s="4" t="n">
        <v>29981459</v>
      </c>
      <c r="C766" s="4" t="inlineStr">
        <is>
          <t>BANCADAS</t>
        </is>
      </c>
      <c r="D766" s="4" t="inlineStr">
        <is>
          <t>-</t>
        </is>
      </c>
      <c r="E766" s="4" t="inlineStr">
        <is>
          <t>9º PAV.</t>
        </is>
      </c>
      <c r="F766" s="126" t="n">
        <v>46675</v>
      </c>
      <c r="G766" s="126" t="n">
        <v>46687</v>
      </c>
      <c r="H766" s="126" t="n">
        <v>46289</v>
      </c>
      <c r="I766" s="4" t="n">
        <v>0</v>
      </c>
      <c r="J766" s="4" t="n">
        <v>0</v>
      </c>
      <c r="K766" s="4" t="n">
        <v>0</v>
      </c>
      <c r="M766" s="2">
        <f>IF(C766="","",IFERROR(INDEX($S$5:$S$304,MATCH(C766,$R$5:$R$304,0))&amp;"","?"))</f>
        <v/>
      </c>
      <c r="N766" s="2">
        <f>IF(E766="","",IF(ISNUMBER(SEARCH("SUBSOLO",E766)),IFERROR(-VALUE(LEFT(E766,FIND("º",SUBSTITUTE(E766,"°","º"))-1)),-1),IF(LEFT(E766,6)="TÉRREO",0,IFERROR(VALUE(LEFT(E766,FIND("º",SUBSTITUTE(E766,"°","º"))-1)),""))))</f>
        <v/>
      </c>
      <c r="O766" s="2">
        <f>IF(OR(F766="",G766=""),"",IF(G766&lt;='RETRATO 2027'!$K$5,"CONCLUÍDA",IF(F766&lt;='RETRATO 2027'!$K$5,"EM ANDAMENTO","A INICIAR")))</f>
        <v/>
      </c>
    </row>
    <row r="767">
      <c r="B767" s="4" t="n">
        <v>29981421</v>
      </c>
      <c r="C767" s="4" t="inlineStr">
        <is>
          <t>REVESTIMENTOS PORCELANATO PISO</t>
        </is>
      </c>
      <c r="D767" s="4" t="inlineStr">
        <is>
          <t>-</t>
        </is>
      </c>
      <c r="E767" s="4" t="inlineStr">
        <is>
          <t>10º PAV.</t>
        </is>
      </c>
      <c r="F767" s="126" t="n">
        <v>46675</v>
      </c>
      <c r="G767" s="126" t="n">
        <v>46687</v>
      </c>
      <c r="H767" s="126" t="n">
        <v>46289</v>
      </c>
      <c r="I767" s="4" t="n">
        <v>0</v>
      </c>
      <c r="J767" s="4" t="n">
        <v>0</v>
      </c>
      <c r="K767" s="4" t="n">
        <v>0</v>
      </c>
      <c r="M767" s="2">
        <f>IF(C767="","",IFERROR(INDEX($S$5:$S$304,MATCH(C767,$R$5:$R$304,0))&amp;"","?"))</f>
        <v/>
      </c>
      <c r="N767" s="2">
        <f>IF(E767="","",IF(ISNUMBER(SEARCH("SUBSOLO",E767)),IFERROR(-VALUE(LEFT(E767,FIND("º",SUBSTITUTE(E767,"°","º"))-1)),-1),IF(LEFT(E767,6)="TÉRREO",0,IFERROR(VALUE(LEFT(E767,FIND("º",SUBSTITUTE(E767,"°","º"))-1)),""))))</f>
        <v/>
      </c>
      <c r="O767" s="2">
        <f>IF(OR(F767="",G767=""),"",IF(G767&lt;='RETRATO 2027'!$K$5,"CONCLUÍDA",IF(F767&lt;='RETRATO 2027'!$K$5,"EM ANDAMENTO","A INICIAR")))</f>
        <v/>
      </c>
    </row>
    <row r="768">
      <c r="B768" s="4" t="n">
        <v>29981400</v>
      </c>
      <c r="C768" s="4" t="inlineStr">
        <is>
          <t>REVESTIMENTO PORCELANATO PAREDE</t>
        </is>
      </c>
      <c r="D768" s="4" t="inlineStr">
        <is>
          <t>-</t>
        </is>
      </c>
      <c r="E768" s="4" t="inlineStr">
        <is>
          <t>11º PAV.</t>
        </is>
      </c>
      <c r="F768" s="126" t="n">
        <v>46675</v>
      </c>
      <c r="G768" s="126" t="n">
        <v>46687</v>
      </c>
      <c r="H768" s="126" t="n">
        <v>46289</v>
      </c>
      <c r="I768" s="4" t="n">
        <v>0</v>
      </c>
      <c r="J768" s="4" t="n">
        <v>0</v>
      </c>
      <c r="K768" s="4" t="n">
        <v>0</v>
      </c>
      <c r="M768" s="2">
        <f>IF(C768="","",IFERROR(INDEX($S$5:$S$304,MATCH(C768,$R$5:$R$304,0))&amp;"","?"))</f>
        <v/>
      </c>
      <c r="N768" s="2">
        <f>IF(E768="","",IF(ISNUMBER(SEARCH("SUBSOLO",E768)),IFERROR(-VALUE(LEFT(E768,FIND("º",SUBSTITUTE(E768,"°","º"))-1)),-1),IF(LEFT(E768,6)="TÉRREO",0,IFERROR(VALUE(LEFT(E768,FIND("º",SUBSTITUTE(E768,"°","º"))-1)),""))))</f>
        <v/>
      </c>
      <c r="O768" s="2">
        <f>IF(OR(F768="",G768=""),"",IF(G768&lt;='RETRATO 2027'!$K$5,"CONCLUÍDA",IF(F768&lt;='RETRATO 2027'!$K$5,"EM ANDAMENTO","A INICIAR")))</f>
        <v/>
      </c>
    </row>
    <row r="769">
      <c r="B769" s="4" t="n">
        <v>29981361</v>
      </c>
      <c r="C769" s="4" t="inlineStr">
        <is>
          <t>IMPERMEABILIZAÇÃO</t>
        </is>
      </c>
      <c r="D769" s="4" t="inlineStr">
        <is>
          <t>-</t>
        </is>
      </c>
      <c r="E769" s="4" t="inlineStr">
        <is>
          <t>12º PAV.</t>
        </is>
      </c>
      <c r="F769" s="126" t="n">
        <v>46675</v>
      </c>
      <c r="G769" s="126" t="n">
        <v>46687</v>
      </c>
      <c r="H769" s="126" t="n">
        <v>46289</v>
      </c>
      <c r="I769" s="4" t="n">
        <v>0</v>
      </c>
      <c r="J769" s="4" t="n">
        <v>0</v>
      </c>
      <c r="K769" s="4" t="n">
        <v>0</v>
      </c>
      <c r="M769" s="2">
        <f>IF(C769="","",IFERROR(INDEX($S$5:$S$304,MATCH(C769,$R$5:$R$304,0))&amp;"","?"))</f>
        <v/>
      </c>
      <c r="N769" s="2">
        <f>IF(E769="","",IF(ISNUMBER(SEARCH("SUBSOLO",E769)),IFERROR(-VALUE(LEFT(E769,FIND("º",SUBSTITUTE(E769,"°","º"))-1)),-1),IF(LEFT(E769,6)="TÉRREO",0,IFERROR(VALUE(LEFT(E769,FIND("º",SUBSTITUTE(E769,"°","º"))-1)),""))))</f>
        <v/>
      </c>
      <c r="O769" s="2">
        <f>IF(OR(F769="",G769=""),"",IF(G769&lt;='RETRATO 2027'!$K$5,"CONCLUÍDA",IF(F769&lt;='RETRATO 2027'!$K$5,"EM ANDAMENTO","A INICIAR")))</f>
        <v/>
      </c>
    </row>
    <row r="770">
      <c r="B770" s="4" t="n">
        <v>32750439</v>
      </c>
      <c r="C770" s="4" t="inlineStr">
        <is>
          <t>DRYWALL 2º FACE</t>
        </is>
      </c>
      <c r="D770" s="4" t="inlineStr">
        <is>
          <t>-</t>
        </is>
      </c>
      <c r="E770" s="4" t="inlineStr">
        <is>
          <t>13º PAV.</t>
        </is>
      </c>
      <c r="F770" s="126" t="n">
        <v>46675</v>
      </c>
      <c r="G770" s="126" t="n">
        <v>46687</v>
      </c>
      <c r="H770" s="126" t="n">
        <v>46289</v>
      </c>
      <c r="I770" s="4" t="n">
        <v>0</v>
      </c>
      <c r="J770" s="4" t="n">
        <v>0</v>
      </c>
      <c r="K770" s="4" t="n">
        <v>0</v>
      </c>
      <c r="M770" s="2">
        <f>IF(C770="","",IFERROR(INDEX($S$5:$S$304,MATCH(C770,$R$5:$R$304,0))&amp;"","?"))</f>
        <v/>
      </c>
      <c r="N770" s="2">
        <f>IF(E770="","",IF(ISNUMBER(SEARCH("SUBSOLO",E770)),IFERROR(-VALUE(LEFT(E770,FIND("º",SUBSTITUTE(E770,"°","º"))-1)),-1),IF(LEFT(E770,6)="TÉRREO",0,IFERROR(VALUE(LEFT(E770,FIND("º",SUBSTITUTE(E770,"°","º"))-1)),""))))</f>
        <v/>
      </c>
      <c r="O770" s="2">
        <f>IF(OR(F770="",G770=""),"",IF(G770&lt;='RETRATO 2027'!$K$5,"CONCLUÍDA",IF(F770&lt;='RETRATO 2027'!$K$5,"EM ANDAMENTO","A INICIAR")))</f>
        <v/>
      </c>
    </row>
    <row r="771">
      <c r="B771" s="4" t="n">
        <v>32750362</v>
      </c>
      <c r="C771" s="4" t="inlineStr">
        <is>
          <t>DISTRIBUIÇÃO DE GÁS - DRYWALL</t>
        </is>
      </c>
      <c r="D771" s="4" t="inlineStr">
        <is>
          <t>-</t>
        </is>
      </c>
      <c r="E771" s="4" t="inlineStr">
        <is>
          <t>14º PAV.</t>
        </is>
      </c>
      <c r="F771" s="126" t="n">
        <v>46675</v>
      </c>
      <c r="G771" s="126" t="n">
        <v>46687</v>
      </c>
      <c r="H771" s="126" t="n">
        <v>46289</v>
      </c>
      <c r="I771" s="4" t="n">
        <v>0</v>
      </c>
      <c r="J771" s="4" t="n">
        <v>0</v>
      </c>
      <c r="K771" s="4" t="n">
        <v>0</v>
      </c>
      <c r="M771" s="2">
        <f>IF(C771="","",IFERROR(INDEX($S$5:$S$304,MATCH(C771,$R$5:$R$304,0))&amp;"","?"))</f>
        <v/>
      </c>
      <c r="N771" s="2">
        <f>IF(E771="","",IF(ISNUMBER(SEARCH("SUBSOLO",E771)),IFERROR(-VALUE(LEFT(E771,FIND("º",SUBSTITUTE(E771,"°","º"))-1)),-1),IF(LEFT(E771,6)="TÉRREO",0,IFERROR(VALUE(LEFT(E771,FIND("º",SUBSTITUTE(E771,"°","º"))-1)),""))))</f>
        <v/>
      </c>
      <c r="O771" s="2">
        <f>IF(OR(F771="",G771=""),"",IF(G771&lt;='RETRATO 2027'!$K$5,"CONCLUÍDA",IF(F771&lt;='RETRATO 2027'!$K$5,"EM ANDAMENTO","A INICIAR")))</f>
        <v/>
      </c>
    </row>
    <row r="772">
      <c r="B772" s="4" t="n">
        <v>32750388</v>
      </c>
      <c r="C772" s="4" t="inlineStr">
        <is>
          <t>DISTRIBUIÇÃO ELÉTRICA/QUADRO - DRYWALL</t>
        </is>
      </c>
      <c r="D772" s="4" t="inlineStr">
        <is>
          <t>-</t>
        </is>
      </c>
      <c r="E772" s="4" t="inlineStr">
        <is>
          <t>14º PAV.</t>
        </is>
      </c>
      <c r="F772" s="126" t="n">
        <v>46675</v>
      </c>
      <c r="G772" s="126" t="n">
        <v>46687</v>
      </c>
      <c r="H772" s="126" t="n">
        <v>46289</v>
      </c>
      <c r="I772" s="4" t="n">
        <v>0</v>
      </c>
      <c r="J772" s="4" t="n">
        <v>0</v>
      </c>
      <c r="K772" s="4" t="n">
        <v>0</v>
      </c>
      <c r="M772" s="2">
        <f>IF(C772="","",IFERROR(INDEX($S$5:$S$304,MATCH(C772,$R$5:$R$304,0))&amp;"","?"))</f>
        <v/>
      </c>
      <c r="N772" s="2">
        <f>IF(E772="","",IF(ISNUMBER(SEARCH("SUBSOLO",E772)),IFERROR(-VALUE(LEFT(E772,FIND("º",SUBSTITUTE(E772,"°","º"))-1)),-1),IF(LEFT(E772,6)="TÉRREO",0,IFERROR(VALUE(LEFT(E772,FIND("º",SUBSTITUTE(E772,"°","º"))-1)),""))))</f>
        <v/>
      </c>
      <c r="O772" s="2">
        <f>IF(OR(F772="",G772=""),"",IF(G772&lt;='RETRATO 2027'!$K$5,"CONCLUÍDA",IF(F772&lt;='RETRATO 2027'!$K$5,"EM ANDAMENTO","A INICIAR")))</f>
        <v/>
      </c>
    </row>
    <row r="773">
      <c r="B773" s="4" t="n">
        <v>32750414</v>
      </c>
      <c r="C773" s="4" t="inlineStr">
        <is>
          <t>DISTRIBUIÇÃO HIDRÁULICA - DRYWALL</t>
        </is>
      </c>
      <c r="D773" s="4" t="inlineStr">
        <is>
          <t>-</t>
        </is>
      </c>
      <c r="E773" s="4" t="inlineStr">
        <is>
          <t>14º PAV.</t>
        </is>
      </c>
      <c r="F773" s="126" t="n">
        <v>46675</v>
      </c>
      <c r="G773" s="126" t="n">
        <v>46687</v>
      </c>
      <c r="H773" s="126" t="n">
        <v>46289</v>
      </c>
      <c r="I773" s="4" t="n">
        <v>0</v>
      </c>
      <c r="J773" s="4" t="n">
        <v>0</v>
      </c>
      <c r="K773" s="4" t="n">
        <v>0</v>
      </c>
      <c r="M773" s="2">
        <f>IF(C773="","",IFERROR(INDEX($S$5:$S$304,MATCH(C773,$R$5:$R$304,0))&amp;"","?"))</f>
        <v/>
      </c>
      <c r="N773" s="2">
        <f>IF(E773="","",IF(ISNUMBER(SEARCH("SUBSOLO",E773)),IFERROR(-VALUE(LEFT(E773,FIND("º",SUBSTITUTE(E773,"°","º"))-1)),-1),IF(LEFT(E773,6)="TÉRREO",0,IFERROR(VALUE(LEFT(E773,FIND("º",SUBSTITUTE(E773,"°","º"))-1)),""))))</f>
        <v/>
      </c>
      <c r="O773" s="2">
        <f>IF(OR(F773="",G773=""),"",IF(G773&lt;='RETRATO 2027'!$K$5,"CONCLUÍDA",IF(F773&lt;='RETRATO 2027'!$K$5,"EM ANDAMENTO","A INICIAR")))</f>
        <v/>
      </c>
    </row>
    <row r="774">
      <c r="B774" s="4" t="n">
        <v>33896832</v>
      </c>
      <c r="C774" s="4" t="inlineStr">
        <is>
          <t>INFRAESTRUTURA - AR CONDICIONADO</t>
        </is>
      </c>
      <c r="D774" s="4" t="inlineStr">
        <is>
          <t>-</t>
        </is>
      </c>
      <c r="E774" s="4" t="inlineStr">
        <is>
          <t>14º PAV.</t>
        </is>
      </c>
      <c r="F774" s="126" t="n">
        <v>46675</v>
      </c>
      <c r="G774" s="126" t="n">
        <v>46687</v>
      </c>
      <c r="H774" s="126" t="n">
        <v>46289</v>
      </c>
      <c r="I774" s="4" t="n">
        <v>0</v>
      </c>
      <c r="J774" s="4" t="n">
        <v>0</v>
      </c>
      <c r="K774" s="4" t="n">
        <v>0</v>
      </c>
      <c r="M774" s="2">
        <f>IF(C774="","",IFERROR(INDEX($S$5:$S$304,MATCH(C774,$R$5:$R$304,0))&amp;"","?"))</f>
        <v/>
      </c>
      <c r="N774" s="2">
        <f>IF(E774="","",IF(ISNUMBER(SEARCH("SUBSOLO",E774)),IFERROR(-VALUE(LEFT(E774,FIND("º",SUBSTITUTE(E774,"°","º"))-1)),-1),IF(LEFT(E774,6)="TÉRREO",0,IFERROR(VALUE(LEFT(E774,FIND("º",SUBSTITUTE(E774,"°","º"))-1)),""))))</f>
        <v/>
      </c>
      <c r="O774" s="2">
        <f>IF(OR(F774="",G774=""),"",IF(G774&lt;='RETRATO 2027'!$K$5,"CONCLUÍDA",IF(F774&lt;='RETRATO 2027'!$K$5,"EM ANDAMENTO","A INICIAR")))</f>
        <v/>
      </c>
    </row>
    <row r="775">
      <c r="B775" s="4" t="n">
        <v>32749858</v>
      </c>
      <c r="C775" s="4" t="inlineStr">
        <is>
          <t>DRYWALL 1º FACE</t>
        </is>
      </c>
      <c r="D775" s="4" t="inlineStr">
        <is>
          <t>-</t>
        </is>
      </c>
      <c r="E775" s="4" t="inlineStr">
        <is>
          <t>15º PAV.</t>
        </is>
      </c>
      <c r="F775" s="126" t="n">
        <v>46675</v>
      </c>
      <c r="G775" s="126" t="n">
        <v>46687</v>
      </c>
      <c r="H775" s="126" t="n">
        <v>46289</v>
      </c>
      <c r="I775" s="4" t="n">
        <v>0</v>
      </c>
      <c r="J775" s="4" t="n">
        <v>0</v>
      </c>
      <c r="K775" s="4" t="n">
        <v>0</v>
      </c>
      <c r="M775" s="2">
        <f>IF(C775="","",IFERROR(INDEX($S$5:$S$304,MATCH(C775,$R$5:$R$304,0))&amp;"","?"))</f>
        <v/>
      </c>
      <c r="N775" s="2">
        <f>IF(E775="","",IF(ISNUMBER(SEARCH("SUBSOLO",E775)),IFERROR(-VALUE(LEFT(E775,FIND("º",SUBSTITUTE(E775,"°","º"))-1)),-1),IF(LEFT(E775,6)="TÉRREO",0,IFERROR(VALUE(LEFT(E775,FIND("º",SUBSTITUTE(E775,"°","º"))-1)),""))))</f>
        <v/>
      </c>
      <c r="O775" s="2">
        <f>IF(OR(F775="",G775=""),"",IF(G775&lt;='RETRATO 2027'!$K$5,"CONCLUÍDA",IF(F775&lt;='RETRATO 2027'!$K$5,"EM ANDAMENTO","A INICIAR")))</f>
        <v/>
      </c>
    </row>
    <row r="776">
      <c r="B776" s="4" t="n">
        <v>29981214</v>
      </c>
      <c r="C776" s="4" t="inlineStr">
        <is>
          <t>CONTRAPISO</t>
        </is>
      </c>
      <c r="D776" s="4" t="inlineStr">
        <is>
          <t>-</t>
        </is>
      </c>
      <c r="E776" s="4" t="inlineStr">
        <is>
          <t>16º PAV.</t>
        </is>
      </c>
      <c r="F776" s="126" t="n">
        <v>46675</v>
      </c>
      <c r="G776" s="126" t="n">
        <v>46687</v>
      </c>
      <c r="H776" s="126" t="n">
        <v>46289</v>
      </c>
      <c r="I776" s="4" t="n">
        <v>0</v>
      </c>
      <c r="J776" s="4" t="n">
        <v>0</v>
      </c>
      <c r="K776" s="4" t="n">
        <v>0</v>
      </c>
      <c r="M776" s="2">
        <f>IF(C776="","",IFERROR(INDEX($S$5:$S$304,MATCH(C776,$R$5:$R$304,0))&amp;"","?"))</f>
        <v/>
      </c>
      <c r="N776" s="2">
        <f>IF(E776="","",IF(ISNUMBER(SEARCH("SUBSOLO",E776)),IFERROR(-VALUE(LEFT(E776,FIND("º",SUBSTITUTE(E776,"°","º"))-1)),-1),IF(LEFT(E776,6)="TÉRREO",0,IFERROR(VALUE(LEFT(E776,FIND("º",SUBSTITUTE(E776,"°","º"))-1)),""))))</f>
        <v/>
      </c>
      <c r="O776" s="2">
        <f>IF(OR(F776="",G776=""),"",IF(G776&lt;='RETRATO 2027'!$K$5,"CONCLUÍDA",IF(F776&lt;='RETRATO 2027'!$K$5,"EM ANDAMENTO","A INICIAR")))</f>
        <v/>
      </c>
    </row>
    <row r="777">
      <c r="B777" s="4" t="n">
        <v>29981154</v>
      </c>
      <c r="C777" s="4" t="inlineStr">
        <is>
          <t>SHAFT INTERNO INST. HIDRAÚLICAS</t>
        </is>
      </c>
      <c r="D777" s="4" t="inlineStr">
        <is>
          <t>-</t>
        </is>
      </c>
      <c r="E777" s="4" t="inlineStr">
        <is>
          <t>17º PAV.</t>
        </is>
      </c>
      <c r="F777" s="126" t="n">
        <v>46675</v>
      </c>
      <c r="G777" s="126" t="n">
        <v>46687</v>
      </c>
      <c r="H777" s="126" t="n">
        <v>46289</v>
      </c>
      <c r="I777" s="4" t="n">
        <v>0</v>
      </c>
      <c r="J777" s="4" t="n">
        <v>0</v>
      </c>
      <c r="K777" s="4" t="n">
        <v>0</v>
      </c>
      <c r="M777" s="2">
        <f>IF(C777="","",IFERROR(INDEX($S$5:$S$304,MATCH(C777,$R$5:$R$304,0))&amp;"","?"))</f>
        <v/>
      </c>
      <c r="N777" s="2">
        <f>IF(E777="","",IF(ISNUMBER(SEARCH("SUBSOLO",E777)),IFERROR(-VALUE(LEFT(E777,FIND("º",SUBSTITUTE(E777,"°","º"))-1)),-1),IF(LEFT(E777,6)="TÉRREO",0,IFERROR(VALUE(LEFT(E777,FIND("º",SUBSTITUTE(E777,"°","º"))-1)),""))))</f>
        <v/>
      </c>
      <c r="O777" s="2">
        <f>IF(OR(F777="",G777=""),"",IF(G777&lt;='RETRATO 2027'!$K$5,"CONCLUÍDA",IF(F777&lt;='RETRATO 2027'!$K$5,"EM ANDAMENTO","A INICIAR")))</f>
        <v/>
      </c>
    </row>
    <row r="778">
      <c r="B778" s="4" t="n">
        <v>29981187</v>
      </c>
      <c r="C778" s="4" t="inlineStr">
        <is>
          <t>PRUMADA ELÉTRICA - INFRA</t>
        </is>
      </c>
      <c r="D778" s="4" t="inlineStr">
        <is>
          <t>-</t>
        </is>
      </c>
      <c r="E778" s="4" t="inlineStr">
        <is>
          <t>17º PAV.</t>
        </is>
      </c>
      <c r="F778" s="126" t="n">
        <v>46675</v>
      </c>
      <c r="G778" s="126" t="n">
        <v>46687</v>
      </c>
      <c r="H778" s="126" t="n">
        <v>46289</v>
      </c>
      <c r="I778" s="4" t="n">
        <v>0</v>
      </c>
      <c r="J778" s="4" t="n">
        <v>0</v>
      </c>
      <c r="K778" s="4" t="n">
        <v>0</v>
      </c>
      <c r="M778" s="2">
        <f>IF(C778="","",IFERROR(INDEX($S$5:$S$304,MATCH(C778,$R$5:$R$304,0))&amp;"","?"))</f>
        <v/>
      </c>
      <c r="N778" s="2">
        <f>IF(E778="","",IF(ISNUMBER(SEARCH("SUBSOLO",E778)),IFERROR(-VALUE(LEFT(E778,FIND("º",SUBSTITUTE(E778,"°","º"))-1)),-1),IF(LEFT(E778,6)="TÉRREO",0,IFERROR(VALUE(LEFT(E778,FIND("º",SUBSTITUTE(E778,"°","º"))-1)),""))))</f>
        <v/>
      </c>
      <c r="O778" s="2">
        <f>IF(OR(F778="",G778=""),"",IF(G778&lt;='RETRATO 2027'!$K$5,"CONCLUÍDA",IF(F778&lt;='RETRATO 2027'!$K$5,"EM ANDAMENTO","A INICIAR")))</f>
        <v/>
      </c>
    </row>
    <row r="779">
      <c r="B779" s="4" t="n">
        <v>29981116</v>
      </c>
      <c r="C779" s="4" t="inlineStr">
        <is>
          <t>REBOCO INTERNO</t>
        </is>
      </c>
      <c r="D779" s="4" t="inlineStr">
        <is>
          <t>-</t>
        </is>
      </c>
      <c r="E779" s="4" t="inlineStr">
        <is>
          <t>18º PAV.</t>
        </is>
      </c>
      <c r="F779" s="126" t="n">
        <v>46675</v>
      </c>
      <c r="G779" s="126" t="n">
        <v>46687</v>
      </c>
      <c r="H779" s="126" t="n">
        <v>46289</v>
      </c>
      <c r="I779" s="4" t="n">
        <v>0</v>
      </c>
      <c r="J779" s="4" t="n">
        <v>0</v>
      </c>
      <c r="K779" s="4" t="n">
        <v>0</v>
      </c>
      <c r="M779" s="2">
        <f>IF(C779="","",IFERROR(INDEX($S$5:$S$304,MATCH(C779,$R$5:$R$304,0))&amp;"","?"))</f>
        <v/>
      </c>
      <c r="N779" s="2">
        <f>IF(E779="","",IF(ISNUMBER(SEARCH("SUBSOLO",E779)),IFERROR(-VALUE(LEFT(E779,FIND("º",SUBSTITUTE(E779,"°","º"))-1)),-1),IF(LEFT(E779,6)="TÉRREO",0,IFERROR(VALUE(LEFT(E779,FIND("º",SUBSTITUTE(E779,"°","º"))-1)),""))))</f>
        <v/>
      </c>
      <c r="O779" s="2">
        <f>IF(OR(F779="",G779=""),"",IF(G779&lt;='RETRATO 2027'!$K$5,"CONCLUÍDA",IF(F779&lt;='RETRATO 2027'!$K$5,"EM ANDAMENTO","A INICIAR")))</f>
        <v/>
      </c>
    </row>
    <row r="780">
      <c r="B780" s="4" t="n">
        <v>29981045</v>
      </c>
      <c r="C780" s="4" t="inlineStr">
        <is>
          <t>CONTRAMARCO</t>
        </is>
      </c>
      <c r="D780" s="4" t="inlineStr">
        <is>
          <t>-</t>
        </is>
      </c>
      <c r="E780" s="4" t="inlineStr">
        <is>
          <t>20º PAV.</t>
        </is>
      </c>
      <c r="F780" s="126" t="n">
        <v>46675</v>
      </c>
      <c r="G780" s="126" t="n">
        <v>46687</v>
      </c>
      <c r="H780" s="126" t="n">
        <v>46289</v>
      </c>
      <c r="I780" s="4" t="n">
        <v>0</v>
      </c>
      <c r="J780" s="4" t="n">
        <v>0</v>
      </c>
      <c r="K780" s="4" t="n">
        <v>0</v>
      </c>
      <c r="M780" s="2">
        <f>IF(C780="","",IFERROR(INDEX($S$5:$S$304,MATCH(C780,$R$5:$R$304,0))&amp;"","?"))</f>
        <v/>
      </c>
      <c r="N780" s="2">
        <f>IF(E780="","",IF(ISNUMBER(SEARCH("SUBSOLO",E780)),IFERROR(-VALUE(LEFT(E780,FIND("º",SUBSTITUTE(E780,"°","º"))-1)),-1),IF(LEFT(E780,6)="TÉRREO",0,IFERROR(VALUE(LEFT(E780,FIND("º",SUBSTITUTE(E780,"°","º"))-1)),""))))</f>
        <v/>
      </c>
      <c r="O780" s="2">
        <f>IF(OR(F780="",G780=""),"",IF(G780&lt;='RETRATO 2027'!$K$5,"CONCLUÍDA",IF(F780&lt;='RETRATO 2027'!$K$5,"EM ANDAMENTO","A INICIAR")))</f>
        <v/>
      </c>
    </row>
    <row r="781">
      <c r="B781" s="4" t="n">
        <v>29981038</v>
      </c>
      <c r="C781" s="4" t="inlineStr">
        <is>
          <t>DISTRIBUIÇÃO HIDROSSANITÁRIA</t>
        </is>
      </c>
      <c r="D781" s="4" t="inlineStr">
        <is>
          <t>-</t>
        </is>
      </c>
      <c r="E781" s="4" t="inlineStr">
        <is>
          <t>21º PAV.</t>
        </is>
      </c>
      <c r="F781" s="126" t="n">
        <v>46675</v>
      </c>
      <c r="G781" s="126" t="n">
        <v>46687</v>
      </c>
      <c r="H781" s="126" t="n">
        <v>46289</v>
      </c>
      <c r="I781" s="4" t="n">
        <v>0</v>
      </c>
      <c r="J781" s="4" t="n">
        <v>0</v>
      </c>
      <c r="K781" s="4" t="n">
        <v>0</v>
      </c>
      <c r="M781" s="2">
        <f>IF(C781="","",IFERROR(INDEX($S$5:$S$304,MATCH(C781,$R$5:$R$304,0))&amp;"","?"))</f>
        <v/>
      </c>
      <c r="N781" s="2">
        <f>IF(E781="","",IF(ISNUMBER(SEARCH("SUBSOLO",E781)),IFERROR(-VALUE(LEFT(E781,FIND("º",SUBSTITUTE(E781,"°","º"))-1)),-1),IF(LEFT(E781,6)="TÉRREO",0,IFERROR(VALUE(LEFT(E781,FIND("º",SUBSTITUTE(E781,"°","º"))-1)),""))))</f>
        <v/>
      </c>
      <c r="O781" s="2">
        <f>IF(OR(F781="",G781=""),"",IF(G781&lt;='RETRATO 2027'!$K$5,"CONCLUÍDA",IF(F781&lt;='RETRATO 2027'!$K$5,"EM ANDAMENTO","A INICIAR")))</f>
        <v/>
      </c>
    </row>
    <row r="782">
      <c r="B782" s="4" t="n">
        <v>29981007</v>
      </c>
      <c r="C782" s="4" t="inlineStr">
        <is>
          <t>DISTRIBUIÇÃO ELÉTRICA / QUADRO</t>
        </is>
      </c>
      <c r="D782" s="4" t="inlineStr">
        <is>
          <t>-</t>
        </is>
      </c>
      <c r="E782" s="4" t="inlineStr">
        <is>
          <t>21º PAV.</t>
        </is>
      </c>
      <c r="F782" s="126" t="n">
        <v>46675</v>
      </c>
      <c r="G782" s="126" t="n">
        <v>46687</v>
      </c>
      <c r="H782" s="126" t="n">
        <v>46289</v>
      </c>
      <c r="I782" s="4" t="n">
        <v>0</v>
      </c>
      <c r="J782" s="4" t="n">
        <v>0</v>
      </c>
      <c r="K782" s="4" t="n">
        <v>0</v>
      </c>
      <c r="M782" s="2">
        <f>IF(C782="","",IFERROR(INDEX($S$5:$S$304,MATCH(C782,$R$5:$R$304,0))&amp;"","?"))</f>
        <v/>
      </c>
      <c r="N782" s="2">
        <f>IF(E782="","",IF(ISNUMBER(SEARCH("SUBSOLO",E782)),IFERROR(-VALUE(LEFT(E782,FIND("º",SUBSTITUTE(E782,"°","º"))-1)),-1),IF(LEFT(E782,6)="TÉRREO",0,IFERROR(VALUE(LEFT(E782,FIND("º",SUBSTITUTE(E782,"°","º"))-1)),""))))</f>
        <v/>
      </c>
      <c r="O782" s="2">
        <f>IF(OR(F782="",G782=""),"",IF(G782&lt;='RETRATO 2027'!$K$5,"CONCLUÍDA",IF(F782&lt;='RETRATO 2027'!$K$5,"EM ANDAMENTO","A INICIAR")))</f>
        <v/>
      </c>
    </row>
    <row r="783">
      <c r="B783" s="4" t="n">
        <v>29981040</v>
      </c>
      <c r="C783" s="4" t="inlineStr">
        <is>
          <t>DISTRIBUIÇÃO DE GÁS</t>
        </is>
      </c>
      <c r="D783" s="4" t="inlineStr">
        <is>
          <t>-</t>
        </is>
      </c>
      <c r="E783" s="4" t="inlineStr">
        <is>
          <t>21º PAV.</t>
        </is>
      </c>
      <c r="F783" s="126" t="n">
        <v>46675</v>
      </c>
      <c r="G783" s="126" t="n">
        <v>46687</v>
      </c>
      <c r="H783" s="126" t="n">
        <v>46289</v>
      </c>
      <c r="I783" s="4" t="n">
        <v>0</v>
      </c>
      <c r="J783" s="4" t="n">
        <v>0</v>
      </c>
      <c r="K783" s="4" t="n">
        <v>0</v>
      </c>
      <c r="M783" s="2">
        <f>IF(C783="","",IFERROR(INDEX($S$5:$S$304,MATCH(C783,$R$5:$R$304,0))&amp;"","?"))</f>
        <v/>
      </c>
      <c r="N783" s="2">
        <f>IF(E783="","",IF(ISNUMBER(SEARCH("SUBSOLO",E783)),IFERROR(-VALUE(LEFT(E783,FIND("º",SUBSTITUTE(E783,"°","º"))-1)),-1),IF(LEFT(E783,6)="TÉRREO",0,IFERROR(VALUE(LEFT(E783,FIND("º",SUBSTITUTE(E783,"°","º"))-1)),""))))</f>
        <v/>
      </c>
      <c r="O783" s="2">
        <f>IF(OR(F783="",G783=""),"",IF(G783&lt;='RETRATO 2027'!$K$5,"CONCLUÍDA",IF(F783&lt;='RETRATO 2027'!$K$5,"EM ANDAMENTO","A INICIAR")))</f>
        <v/>
      </c>
    </row>
    <row r="784">
      <c r="B784" s="4" t="n">
        <v>29980987</v>
      </c>
      <c r="C784" s="4" t="inlineStr">
        <is>
          <t>TALISCAMENTO</t>
        </is>
      </c>
      <c r="D784" s="4" t="inlineStr">
        <is>
          <t>-</t>
        </is>
      </c>
      <c r="E784" s="4" t="inlineStr">
        <is>
          <t>22º PAV.</t>
        </is>
      </c>
      <c r="F784" s="126" t="n">
        <v>46675</v>
      </c>
      <c r="G784" s="126" t="n">
        <v>46687</v>
      </c>
      <c r="H784" s="126" t="n">
        <v>46289</v>
      </c>
      <c r="I784" s="4" t="n">
        <v>0</v>
      </c>
      <c r="J784" s="4" t="n">
        <v>0</v>
      </c>
      <c r="K784" s="4" t="n">
        <v>0</v>
      </c>
      <c r="M784" s="2">
        <f>IF(C784="","",IFERROR(INDEX($S$5:$S$304,MATCH(C784,$R$5:$R$304,0))&amp;"","?"))</f>
        <v/>
      </c>
      <c r="N784" s="2">
        <f>IF(E784="","",IF(ISNUMBER(SEARCH("SUBSOLO",E784)),IFERROR(-VALUE(LEFT(E784,FIND("º",SUBSTITUTE(E784,"°","º"))-1)),-1),IF(LEFT(E784,6)="TÉRREO",0,IFERROR(VALUE(LEFT(E784,FIND("º",SUBSTITUTE(E784,"°","º"))-1)),""))))</f>
        <v/>
      </c>
      <c r="O784" s="2">
        <f>IF(OR(F784="",G784=""),"",IF(G784&lt;='RETRATO 2027'!$K$5,"CONCLUÍDA",IF(F784&lt;='RETRATO 2027'!$K$5,"EM ANDAMENTO","A INICIAR")))</f>
        <v/>
      </c>
    </row>
    <row r="785">
      <c r="B785" s="4" t="n">
        <v>29980953</v>
      </c>
      <c r="C785" s="4" t="inlineStr">
        <is>
          <t>PRUMADA HIDROSSANITÁRIA</t>
        </is>
      </c>
      <c r="D785" s="4" t="inlineStr">
        <is>
          <t>-</t>
        </is>
      </c>
      <c r="E785" s="4" t="inlineStr">
        <is>
          <t>23º PAV.</t>
        </is>
      </c>
      <c r="F785" s="126" t="n">
        <v>46675</v>
      </c>
      <c r="G785" s="126" t="n">
        <v>46687</v>
      </c>
      <c r="H785" s="126" t="n">
        <v>46289</v>
      </c>
      <c r="I785" s="4" t="n">
        <v>0</v>
      </c>
      <c r="J785" s="4" t="n">
        <v>0</v>
      </c>
      <c r="K785" s="4" t="n">
        <v>0</v>
      </c>
      <c r="M785" s="2">
        <f>IF(C785="","",IFERROR(INDEX($S$5:$S$304,MATCH(C785,$R$5:$R$304,0))&amp;"","?"))</f>
        <v/>
      </c>
      <c r="N785" s="2">
        <f>IF(E785="","",IF(ISNUMBER(SEARCH("SUBSOLO",E785)),IFERROR(-VALUE(LEFT(E785,FIND("º",SUBSTITUTE(E785,"°","º"))-1)),-1),IF(LEFT(E785,6)="TÉRREO",0,IFERROR(VALUE(LEFT(E785,FIND("º",SUBSTITUTE(E785,"°","º"))-1)),""))))</f>
        <v/>
      </c>
      <c r="O785" s="2">
        <f>IF(OR(F785="",G785=""),"",IF(G785&lt;='RETRATO 2027'!$K$5,"CONCLUÍDA",IF(F785&lt;='RETRATO 2027'!$K$5,"EM ANDAMENTO","A INICIAR")))</f>
        <v/>
      </c>
    </row>
    <row r="786">
      <c r="B786" s="4" t="n">
        <v>30205777</v>
      </c>
      <c r="C786" s="4" t="inlineStr">
        <is>
          <t>PRUMADA HIDROSSANITÁRIA</t>
        </is>
      </c>
      <c r="D786" s="4" t="inlineStr">
        <is>
          <t>-</t>
        </is>
      </c>
      <c r="E786" s="4" t="inlineStr">
        <is>
          <t>TÉRREO - ACESSO COMERCIAL + DML + ARS + ÁREA TEC + LAVABO + DISPENSA</t>
        </is>
      </c>
      <c r="F786" s="126" t="n">
        <v>46678</v>
      </c>
      <c r="G786" s="126" t="n">
        <v>46689</v>
      </c>
      <c r="H786" s="126" t="n">
        <v>46289</v>
      </c>
      <c r="I786" s="4" t="n">
        <v>0</v>
      </c>
      <c r="J786" s="4" t="n">
        <v>0</v>
      </c>
      <c r="K786" s="4" t="n">
        <v>0</v>
      </c>
      <c r="M786" s="2">
        <f>IF(C786="","",IFERROR(INDEX($S$5:$S$304,MATCH(C786,$R$5:$R$304,0))&amp;"","?"))</f>
        <v/>
      </c>
      <c r="N786" s="2">
        <f>IF(E786="","",IF(ISNUMBER(SEARCH("SUBSOLO",E786)),IFERROR(-VALUE(LEFT(E786,FIND("º",SUBSTITUTE(E786,"°","º"))-1)),-1),IF(LEFT(E786,6)="TÉRREO",0,IFERROR(VALUE(LEFT(E786,FIND("º",SUBSTITUTE(E786,"°","º"))-1)),""))))</f>
        <v/>
      </c>
      <c r="O786" s="2">
        <f>IF(OR(F786="",G786=""),"",IF(G786&lt;='RETRATO 2027'!$K$5,"CONCLUÍDA",IF(F786&lt;='RETRATO 2027'!$K$5,"EM ANDAMENTO","A INICIAR")))</f>
        <v/>
      </c>
    </row>
    <row r="787">
      <c r="B787" s="4" t="n">
        <v>30205776</v>
      </c>
      <c r="C787" s="4" t="inlineStr">
        <is>
          <t>PRUMADA DE INCÊNDIO</t>
        </is>
      </c>
      <c r="D787" s="4" t="inlineStr">
        <is>
          <t>-</t>
        </is>
      </c>
      <c r="E787" s="4" t="inlineStr">
        <is>
          <t>TÉRREO - ACESSO COMERCIAL + DML + ARS + ÁREA TEC + LAVABO + DISPENSA</t>
        </is>
      </c>
      <c r="F787" s="126" t="n">
        <v>46678</v>
      </c>
      <c r="G787" s="126" t="n">
        <v>46689</v>
      </c>
      <c r="H787" s="126" t="n">
        <v>46289</v>
      </c>
      <c r="I787" s="4" t="n">
        <v>0</v>
      </c>
      <c r="J787" s="4" t="n">
        <v>0</v>
      </c>
      <c r="K787" s="4" t="n">
        <v>0</v>
      </c>
      <c r="M787" s="2">
        <f>IF(C787="","",IFERROR(INDEX($S$5:$S$304,MATCH(C787,$R$5:$R$304,0))&amp;"","?"))</f>
        <v/>
      </c>
      <c r="N787" s="2">
        <f>IF(E787="","",IF(ISNUMBER(SEARCH("SUBSOLO",E787)),IFERROR(-VALUE(LEFT(E787,FIND("º",SUBSTITUTE(E787,"°","º"))-1)),-1),IF(LEFT(E787,6)="TÉRREO",0,IFERROR(VALUE(LEFT(E787,FIND("º",SUBSTITUTE(E787,"°","º"))-1)),""))))</f>
        <v/>
      </c>
      <c r="O787" s="2">
        <f>IF(OR(F787="",G787=""),"",IF(G787&lt;='RETRATO 2027'!$K$5,"CONCLUÍDA",IF(F787&lt;='RETRATO 2027'!$K$5,"EM ANDAMENTO","A INICIAR")))</f>
        <v/>
      </c>
    </row>
    <row r="788">
      <c r="B788" s="4" t="n">
        <v>30205778</v>
      </c>
      <c r="C788" s="4" t="inlineStr">
        <is>
          <t>ENCUNHAMENTO</t>
        </is>
      </c>
      <c r="D788" s="4" t="inlineStr">
        <is>
          <t>-</t>
        </is>
      </c>
      <c r="E788" s="4" t="inlineStr">
        <is>
          <t>TÉRREO - ACESSO COMERCIAL + DML + ARS + ÁREA TEC + LAVABO + DISPENSA</t>
        </is>
      </c>
      <c r="F788" s="126" t="n">
        <v>46678</v>
      </c>
      <c r="G788" s="126" t="n">
        <v>46689</v>
      </c>
      <c r="H788" s="126" t="n">
        <v>46289</v>
      </c>
      <c r="I788" s="4" t="n">
        <v>0</v>
      </c>
      <c r="J788" s="4" t="n">
        <v>0</v>
      </c>
      <c r="K788" s="4" t="n">
        <v>0</v>
      </c>
      <c r="M788" s="2">
        <f>IF(C788="","",IFERROR(INDEX($S$5:$S$304,MATCH(C788,$R$5:$R$304,0))&amp;"","?"))</f>
        <v/>
      </c>
      <c r="N788" s="2">
        <f>IF(E788="","",IF(ISNUMBER(SEARCH("SUBSOLO",E788)),IFERROR(-VALUE(LEFT(E788,FIND("º",SUBSTITUTE(E788,"°","º"))-1)),-1),IF(LEFT(E788,6)="TÉRREO",0,IFERROR(VALUE(LEFT(E788,FIND("º",SUBSTITUTE(E788,"°","º"))-1)),""))))</f>
        <v/>
      </c>
      <c r="O788" s="2">
        <f>IF(OR(F788="",G788=""),"",IF(G788&lt;='RETRATO 2027'!$K$5,"CONCLUÍDA",IF(F788&lt;='RETRATO 2027'!$K$5,"EM ANDAMENTO","A INICIAR")))</f>
        <v/>
      </c>
    </row>
    <row r="789">
      <c r="B789" s="4" t="n">
        <v>30205802</v>
      </c>
      <c r="C789" s="4" t="inlineStr">
        <is>
          <t>ALVENARIA</t>
        </is>
      </c>
      <c r="D789" s="4" t="inlineStr">
        <is>
          <t>-</t>
        </is>
      </c>
      <c r="E789" s="4" t="inlineStr">
        <is>
          <t>TÉRREO - HALL SOCIAL + ECLUSA + CIRCULAÇÃO</t>
        </is>
      </c>
      <c r="F789" s="126" t="n">
        <v>46678</v>
      </c>
      <c r="G789" s="126" t="n">
        <v>46689</v>
      </c>
      <c r="H789" s="126" t="n">
        <v>46289</v>
      </c>
      <c r="I789" s="4" t="n">
        <v>0</v>
      </c>
      <c r="J789" s="4" t="n">
        <v>0</v>
      </c>
      <c r="K789" s="4" t="n">
        <v>0</v>
      </c>
      <c r="M789" s="2">
        <f>IF(C789="","",IFERROR(INDEX($S$5:$S$304,MATCH(C789,$R$5:$R$304,0))&amp;"","?"))</f>
        <v/>
      </c>
      <c r="N789" s="2">
        <f>IF(E789="","",IF(ISNUMBER(SEARCH("SUBSOLO",E789)),IFERROR(-VALUE(LEFT(E789,FIND("º",SUBSTITUTE(E789,"°","º"))-1)),-1),IF(LEFT(E789,6)="TÉRREO",0,IFERROR(VALUE(LEFT(E789,FIND("º",SUBSTITUTE(E789,"°","º"))-1)),""))))</f>
        <v/>
      </c>
      <c r="O789" s="2">
        <f>IF(OR(F789="",G789=""),"",IF(G789&lt;='RETRATO 2027'!$K$5,"CONCLUÍDA",IF(F789&lt;='RETRATO 2027'!$K$5,"EM ANDAMENTO","A INICIAR")))</f>
        <v/>
      </c>
    </row>
    <row r="790">
      <c r="B790" s="4" t="n">
        <v>30171426</v>
      </c>
      <c r="C790" s="4" t="inlineStr">
        <is>
          <t>TALISCAMENTO</t>
        </is>
      </c>
      <c r="D790" s="4" t="inlineStr">
        <is>
          <t>-</t>
        </is>
      </c>
      <c r="E790" s="4" t="inlineStr">
        <is>
          <t>4º PAV - GARAGEM</t>
        </is>
      </c>
      <c r="F790" s="126" t="n">
        <v>46678</v>
      </c>
      <c r="G790" s="126" t="n">
        <v>46689</v>
      </c>
      <c r="H790" s="126" t="n">
        <v>46289</v>
      </c>
      <c r="I790" s="4" t="n">
        <v>0</v>
      </c>
      <c r="J790" s="4" t="n">
        <v>0</v>
      </c>
      <c r="K790" s="4" t="n">
        <v>0</v>
      </c>
      <c r="M790" s="2">
        <f>IF(C790="","",IFERROR(INDEX($S$5:$S$304,MATCH(C790,$R$5:$R$304,0))&amp;"","?"))</f>
        <v/>
      </c>
      <c r="N790" s="2">
        <f>IF(E790="","",IF(ISNUMBER(SEARCH("SUBSOLO",E790)),IFERROR(-VALUE(LEFT(E790,FIND("º",SUBSTITUTE(E790,"°","º"))-1)),-1),IF(LEFT(E790,6)="TÉRREO",0,IFERROR(VALUE(LEFT(E790,FIND("º",SUBSTITUTE(E790,"°","º"))-1)),""))))</f>
        <v/>
      </c>
      <c r="O790" s="2">
        <f>IF(OR(F790="",G790=""),"",IF(G790&lt;='RETRATO 2027'!$K$5,"CONCLUÍDA",IF(F790&lt;='RETRATO 2027'!$K$5,"EM ANDAMENTO","A INICIAR")))</f>
        <v/>
      </c>
    </row>
    <row r="791">
      <c r="B791" s="4" t="n">
        <v>30171432</v>
      </c>
      <c r="C791" s="4" t="inlineStr">
        <is>
          <t>CHUMBAMENTO DE PCF</t>
        </is>
      </c>
      <c r="D791" s="4" t="inlineStr">
        <is>
          <t>-</t>
        </is>
      </c>
      <c r="E791" s="4" t="inlineStr">
        <is>
          <t>4º PAV - GARAGEM</t>
        </is>
      </c>
      <c r="F791" s="126" t="n">
        <v>46678</v>
      </c>
      <c r="G791" s="126" t="n">
        <v>46689</v>
      </c>
      <c r="H791" s="126" t="n">
        <v>46289</v>
      </c>
      <c r="I791" s="4" t="n">
        <v>0</v>
      </c>
      <c r="J791" s="4" t="n">
        <v>0</v>
      </c>
      <c r="K791" s="4" t="n">
        <v>0</v>
      </c>
      <c r="M791" s="2">
        <f>IF(C791="","",IFERROR(INDEX($S$5:$S$304,MATCH(C791,$R$5:$R$304,0))&amp;"","?"))</f>
        <v/>
      </c>
      <c r="N791" s="2">
        <f>IF(E791="","",IF(ISNUMBER(SEARCH("SUBSOLO",E791)),IFERROR(-VALUE(LEFT(E791,FIND("º",SUBSTITUTE(E791,"°","º"))-1)),-1),IF(LEFT(E791,6)="TÉRREO",0,IFERROR(VALUE(LEFT(E791,FIND("º",SUBSTITUTE(E791,"°","º"))-1)),""))))</f>
        <v/>
      </c>
      <c r="O791" s="2">
        <f>IF(OR(F791="",G791=""),"",IF(G791&lt;='RETRATO 2027'!$K$5,"CONCLUÍDA",IF(F791&lt;='RETRATO 2027'!$K$5,"EM ANDAMENTO","A INICIAR")))</f>
        <v/>
      </c>
    </row>
    <row r="792">
      <c r="B792" s="4" t="n">
        <v>30171397</v>
      </c>
      <c r="C792" s="4" t="inlineStr">
        <is>
          <t>ALVENARIA</t>
        </is>
      </c>
      <c r="D792" s="4" t="inlineStr">
        <is>
          <t>-</t>
        </is>
      </c>
      <c r="E792" s="4" t="inlineStr">
        <is>
          <t>5º PAV - GARAGEM</t>
        </is>
      </c>
      <c r="F792" s="126" t="n">
        <v>46678</v>
      </c>
      <c r="G792" s="126" t="n">
        <v>46742</v>
      </c>
      <c r="H792" s="126" t="n">
        <v>46289</v>
      </c>
      <c r="I792" s="4" t="n">
        <v>0</v>
      </c>
      <c r="J792" s="4" t="n">
        <v>0</v>
      </c>
      <c r="K792" s="4" t="n">
        <v>0</v>
      </c>
      <c r="M792" s="2">
        <f>IF(C792="","",IFERROR(INDEX($S$5:$S$304,MATCH(C792,$R$5:$R$304,0))&amp;"","?"))</f>
        <v/>
      </c>
      <c r="N792" s="2">
        <f>IF(E792="","",IF(ISNUMBER(SEARCH("SUBSOLO",E792)),IFERROR(-VALUE(LEFT(E792,FIND("º",SUBSTITUTE(E792,"°","º"))-1)),-1),IF(LEFT(E792,6)="TÉRREO",0,IFERROR(VALUE(LEFT(E792,FIND("º",SUBSTITUTE(E792,"°","º"))-1)),""))))</f>
        <v/>
      </c>
      <c r="O792" s="2">
        <f>IF(OR(F792="",G792=""),"",IF(G792&lt;='RETRATO 2027'!$K$5,"CONCLUÍDA",IF(F792&lt;='RETRATO 2027'!$K$5,"EM ANDAMENTO","A INICIAR")))</f>
        <v/>
      </c>
    </row>
    <row r="793">
      <c r="B793" s="4" t="n">
        <v>30205712</v>
      </c>
      <c r="C793" s="4" t="inlineStr">
        <is>
          <t>SHAFT</t>
        </is>
      </c>
      <c r="D793" s="4" t="inlineStr">
        <is>
          <t>-</t>
        </is>
      </c>
      <c r="E793" s="4" t="inlineStr">
        <is>
          <t>SUBSOLO</t>
        </is>
      </c>
      <c r="F793" s="126" t="n">
        <v>46679</v>
      </c>
      <c r="G793" s="126" t="n">
        <v>46692</v>
      </c>
      <c r="H793" s="126" t="n">
        <v>46289</v>
      </c>
      <c r="I793" s="4" t="n">
        <v>0</v>
      </c>
      <c r="J793" s="4" t="n">
        <v>0</v>
      </c>
      <c r="K793" s="4" t="n">
        <v>0</v>
      </c>
      <c r="M793" s="2">
        <f>IF(C793="","",IFERROR(INDEX($S$5:$S$304,MATCH(C793,$R$5:$R$304,0))&amp;"","?"))</f>
        <v/>
      </c>
      <c r="N793" s="2">
        <f>IF(E793="","",IF(ISNUMBER(SEARCH("SUBSOLO",E793)),IFERROR(-VALUE(LEFT(E793,FIND("º",SUBSTITUTE(E793,"°","º"))-1)),-1),IF(LEFT(E793,6)="TÉRREO",0,IFERROR(VALUE(LEFT(E793,FIND("º",SUBSTITUTE(E793,"°","º"))-1)),""))))</f>
        <v/>
      </c>
      <c r="O793" s="2">
        <f>IF(OR(F793="",G793=""),"",IF(G793&lt;='RETRATO 2027'!$K$5,"CONCLUÍDA",IF(F793&lt;='RETRATO 2027'!$K$5,"EM ANDAMENTO","A INICIAR")))</f>
        <v/>
      </c>
    </row>
    <row r="794">
      <c r="B794" s="4" t="n">
        <v>30205752</v>
      </c>
      <c r="C794" s="4" t="inlineStr">
        <is>
          <t>PRESSURIZAÇÃO (VENTILAÇÃO)</t>
        </is>
      </c>
      <c r="D794" s="4" t="inlineStr">
        <is>
          <t>-</t>
        </is>
      </c>
      <c r="E794" s="4" t="inlineStr">
        <is>
          <t>SUBSOLO</t>
        </is>
      </c>
      <c r="F794" s="126" t="n">
        <v>46679</v>
      </c>
      <c r="G794" s="126" t="n">
        <v>46727</v>
      </c>
      <c r="H794" s="126" t="n">
        <v>46289</v>
      </c>
      <c r="I794" s="4" t="n">
        <v>0</v>
      </c>
      <c r="J794" s="4" t="n">
        <v>0</v>
      </c>
      <c r="K794" s="4" t="n">
        <v>0</v>
      </c>
      <c r="M794" s="2">
        <f>IF(C794="","",IFERROR(INDEX($S$5:$S$304,MATCH(C794,$R$5:$R$304,0))&amp;"","?"))</f>
        <v/>
      </c>
      <c r="N794" s="2">
        <f>IF(E794="","",IF(ISNUMBER(SEARCH("SUBSOLO",E794)),IFERROR(-VALUE(LEFT(E794,FIND("º",SUBSTITUTE(E794,"°","º"))-1)),-1),IF(LEFT(E794,6)="TÉRREO",0,IFERROR(VALUE(LEFT(E794,FIND("º",SUBSTITUTE(E794,"°","º"))-1)),""))))</f>
        <v/>
      </c>
      <c r="O794" s="2">
        <f>IF(OR(F794="",G794=""),"",IF(G794&lt;='RETRATO 2027'!$K$5,"CONCLUÍDA",IF(F794&lt;='RETRATO 2027'!$K$5,"EM ANDAMENTO","A INICIAR")))</f>
        <v/>
      </c>
    </row>
    <row r="795">
      <c r="B795" s="4" t="n">
        <v>30205753</v>
      </c>
      <c r="C795" s="4" t="inlineStr">
        <is>
          <t>RESERVATÓRIO</t>
        </is>
      </c>
      <c r="D795" s="4" t="inlineStr">
        <is>
          <t>-</t>
        </is>
      </c>
      <c r="E795" s="4" t="inlineStr">
        <is>
          <t>SUBSOLO</t>
        </is>
      </c>
      <c r="F795" s="126" t="n">
        <v>46679</v>
      </c>
      <c r="G795" s="126" t="n">
        <v>46727</v>
      </c>
      <c r="H795" s="126" t="n">
        <v>46289</v>
      </c>
      <c r="I795" s="4" t="n">
        <v>0</v>
      </c>
      <c r="J795" s="4" t="n">
        <v>0</v>
      </c>
      <c r="K795" s="4" t="n">
        <v>0</v>
      </c>
      <c r="M795" s="2">
        <f>IF(C795="","",IFERROR(INDEX($S$5:$S$304,MATCH(C795,$R$5:$R$304,0))&amp;"","?"))</f>
        <v/>
      </c>
      <c r="N795" s="2">
        <f>IF(E795="","",IF(ISNUMBER(SEARCH("SUBSOLO",E795)),IFERROR(-VALUE(LEFT(E795,FIND("º",SUBSTITUTE(E795,"°","º"))-1)),-1),IF(LEFT(E795,6)="TÉRREO",0,IFERROR(VALUE(LEFT(E795,FIND("º",SUBSTITUTE(E795,"°","º"))-1)),""))))</f>
        <v/>
      </c>
      <c r="O795" s="2">
        <f>IF(OR(F795="",G795=""),"",IF(G795&lt;='RETRATO 2027'!$K$5,"CONCLUÍDA",IF(F795&lt;='RETRATO 2027'!$K$5,"EM ANDAMENTO","A INICIAR")))</f>
        <v/>
      </c>
    </row>
    <row r="796">
      <c r="B796" s="4" t="n">
        <v>29980952</v>
      </c>
      <c r="C796" s="4" t="inlineStr">
        <is>
          <t>ENCUNHAMENTO</t>
        </is>
      </c>
      <c r="D796" s="4" t="inlineStr">
        <is>
          <t>-</t>
        </is>
      </c>
      <c r="E796" s="4" t="inlineStr">
        <is>
          <t>23º PAV.</t>
        </is>
      </c>
      <c r="F796" s="126" t="n">
        <v>46679</v>
      </c>
      <c r="G796" s="126" t="n">
        <v>46689</v>
      </c>
      <c r="H796" s="126" t="n">
        <v>46289</v>
      </c>
      <c r="I796" s="4" t="n">
        <v>0</v>
      </c>
      <c r="J796" s="4" t="n">
        <v>0</v>
      </c>
      <c r="K796" s="4" t="n">
        <v>0</v>
      </c>
      <c r="M796" s="2">
        <f>IF(C796="","",IFERROR(INDEX($S$5:$S$304,MATCH(C796,$R$5:$R$304,0))&amp;"","?"))</f>
        <v/>
      </c>
      <c r="N796" s="2">
        <f>IF(E796="","",IF(ISNUMBER(SEARCH("SUBSOLO",E796)),IFERROR(-VALUE(LEFT(E796,FIND("º",SUBSTITUTE(E796,"°","º"))-1)),-1),IF(LEFT(E796,6)="TÉRREO",0,IFERROR(VALUE(LEFT(E796,FIND("º",SUBSTITUTE(E796,"°","º"))-1)),""))))</f>
        <v/>
      </c>
      <c r="O796" s="2">
        <f>IF(OR(F796="",G796=""),"",IF(G796&lt;='RETRATO 2027'!$K$5,"CONCLUÍDA",IF(F796&lt;='RETRATO 2027'!$K$5,"EM ANDAMENTO","A INICIAR")))</f>
        <v/>
      </c>
    </row>
    <row r="797">
      <c r="B797" s="4" t="n">
        <v>29941038</v>
      </c>
      <c r="C797" s="4" t="inlineStr">
        <is>
          <t>ESTRUTURA</t>
        </is>
      </c>
      <c r="D797" s="4" t="inlineStr">
        <is>
          <t>-</t>
        </is>
      </c>
      <c r="E797" s="4" t="inlineStr">
        <is>
          <t>28º PAV.</t>
        </is>
      </c>
      <c r="F797" s="126" t="n">
        <v>46679</v>
      </c>
      <c r="G797" s="126" t="n">
        <v>46689</v>
      </c>
      <c r="H797" s="126" t="n">
        <v>46289</v>
      </c>
      <c r="I797" s="4" t="n">
        <v>0</v>
      </c>
      <c r="J797" s="4" t="n">
        <v>0</v>
      </c>
      <c r="K797" s="4" t="n">
        <v>0</v>
      </c>
      <c r="M797" s="2">
        <f>IF(C797="","",IFERROR(INDEX($S$5:$S$304,MATCH(C797,$R$5:$R$304,0))&amp;"","?"))</f>
        <v/>
      </c>
      <c r="N797" s="2">
        <f>IF(E797="","",IF(ISNUMBER(SEARCH("SUBSOLO",E797)),IFERROR(-VALUE(LEFT(E797,FIND("º",SUBSTITUTE(E797,"°","º"))-1)),-1),IF(LEFT(E797,6)="TÉRREO",0,IFERROR(VALUE(LEFT(E797,FIND("º",SUBSTITUTE(E797,"°","º"))-1)),""))))</f>
        <v/>
      </c>
      <c r="O797" s="2">
        <f>IF(OR(F797="",G797=""),"",IF(G797&lt;='RETRATO 2027'!$K$5,"CONCLUÍDA",IF(F797&lt;='RETRATO 2027'!$K$5,"EM ANDAMENTO","A INICIAR")))</f>
        <v/>
      </c>
    </row>
    <row r="798">
      <c r="B798" s="4" t="n">
        <v>31529062</v>
      </c>
      <c r="C798" s="4" t="inlineStr">
        <is>
          <t>ESTRUTURA</t>
        </is>
      </c>
      <c r="D798" s="4" t="inlineStr">
        <is>
          <t>Forma</t>
        </is>
      </c>
      <c r="E798" s="4" t="inlineStr">
        <is>
          <t>28º PAV.</t>
        </is>
      </c>
      <c r="F798" s="126" t="n">
        <v>46679</v>
      </c>
      <c r="G798" s="126" t="n">
        <v>46685</v>
      </c>
      <c r="H798" s="126" t="n">
        <v>46289</v>
      </c>
      <c r="I798" s="4" t="n">
        <v>0</v>
      </c>
      <c r="J798" s="4" t="n">
        <v>0</v>
      </c>
      <c r="K798" s="4" t="n">
        <v>0</v>
      </c>
      <c r="M798" s="2">
        <f>IF(C798="","",IFERROR(INDEX($S$5:$S$304,MATCH(C798,$R$5:$R$304,0))&amp;"","?"))</f>
        <v/>
      </c>
      <c r="N798" s="2">
        <f>IF(E798="","",IF(ISNUMBER(SEARCH("SUBSOLO",E798)),IFERROR(-VALUE(LEFT(E798,FIND("º",SUBSTITUTE(E798,"°","º"))-1)),-1),IF(LEFT(E798,6)="TÉRREO",0,IFERROR(VALUE(LEFT(E798,FIND("º",SUBSTITUTE(E798,"°","º"))-1)),""))))</f>
        <v/>
      </c>
      <c r="O798" s="2">
        <f>IF(OR(F798="",G798=""),"",IF(G798&lt;='RETRATO 2027'!$K$5,"CONCLUÍDA",IF(F798&lt;='RETRATO 2027'!$K$5,"EM ANDAMENTO","A INICIAR")))</f>
        <v/>
      </c>
    </row>
    <row r="799">
      <c r="B799" s="4" t="n">
        <v>31529063</v>
      </c>
      <c r="C799" s="4" t="inlineStr">
        <is>
          <t>ESTRUTURA</t>
        </is>
      </c>
      <c r="D799" s="4" t="inlineStr">
        <is>
          <t>Armação</t>
        </is>
      </c>
      <c r="E799" s="4" t="inlineStr">
        <is>
          <t>28º PAV.</t>
        </is>
      </c>
      <c r="F799" s="126" t="n">
        <v>46686</v>
      </c>
      <c r="G799" s="126" t="n">
        <v>46688</v>
      </c>
      <c r="H799" s="126" t="n">
        <v>46289</v>
      </c>
      <c r="I799" s="4" t="n">
        <v>0</v>
      </c>
      <c r="J799" s="4" t="n">
        <v>0</v>
      </c>
      <c r="K799" s="4" t="n">
        <v>0</v>
      </c>
      <c r="M799" s="2">
        <f>IF(C799="","",IFERROR(INDEX($S$5:$S$304,MATCH(C799,$R$5:$R$304,0))&amp;"","?"))</f>
        <v/>
      </c>
      <c r="N799" s="2">
        <f>IF(E799="","",IF(ISNUMBER(SEARCH("SUBSOLO",E799)),IFERROR(-VALUE(LEFT(E799,FIND("º",SUBSTITUTE(E799,"°","º"))-1)),-1),IF(LEFT(E799,6)="TÉRREO",0,IFERROR(VALUE(LEFT(E799,FIND("º",SUBSTITUTE(E799,"°","º"))-1)),""))))</f>
        <v/>
      </c>
      <c r="O799" s="2">
        <f>IF(OR(F799="",G799=""),"",IF(G799&lt;='RETRATO 2027'!$K$5,"CONCLUÍDA",IF(F799&lt;='RETRATO 2027'!$K$5,"EM ANDAMENTO","A INICIAR")))</f>
        <v/>
      </c>
    </row>
    <row r="800">
      <c r="B800" s="4" t="n">
        <v>31529064</v>
      </c>
      <c r="C800" s="4" t="inlineStr">
        <is>
          <t>ESTRUTURA</t>
        </is>
      </c>
      <c r="D800" s="4" t="inlineStr">
        <is>
          <t>Concretagem</t>
        </is>
      </c>
      <c r="E800" s="4" t="inlineStr">
        <is>
          <t>28º PAV.</t>
        </is>
      </c>
      <c r="F800" s="126" t="n">
        <v>46689</v>
      </c>
      <c r="G800" s="126" t="n">
        <v>46689</v>
      </c>
      <c r="H800" s="126" t="n">
        <v>46289</v>
      </c>
      <c r="I800" s="4" t="n">
        <v>0</v>
      </c>
      <c r="J800" s="4" t="n">
        <v>0</v>
      </c>
      <c r="K800" s="4" t="n">
        <v>0</v>
      </c>
      <c r="M800" s="2">
        <f>IF(C800="","",IFERROR(INDEX($S$5:$S$304,MATCH(C800,$R$5:$R$304,0))&amp;"","?"))</f>
        <v/>
      </c>
      <c r="N800" s="2">
        <f>IF(E800="","",IF(ISNUMBER(SEARCH("SUBSOLO",E800)),IFERROR(-VALUE(LEFT(E800,FIND("º",SUBSTITUTE(E800,"°","º"))-1)),-1),IF(LEFT(E800,6)="TÉRREO",0,IFERROR(VALUE(LEFT(E800,FIND("º",SUBSTITUTE(E800,"°","º"))-1)),""))))</f>
        <v/>
      </c>
      <c r="O800" s="2">
        <f>IF(OR(F800="",G800=""),"",IF(G800&lt;='RETRATO 2027'!$K$5,"CONCLUÍDA",IF(F800&lt;='RETRATO 2027'!$K$5,"EM ANDAMENTO","A INICIAR")))</f>
        <v/>
      </c>
    </row>
    <row r="801">
      <c r="B801" s="4" t="n">
        <v>31529065</v>
      </c>
      <c r="C801" s="4" t="inlineStr">
        <is>
          <t>ESTRUTURA</t>
        </is>
      </c>
      <c r="D801" s="4" t="inlineStr">
        <is>
          <t>Polimento</t>
        </is>
      </c>
      <c r="E801" s="4" t="inlineStr">
        <is>
          <t>28º PAV.</t>
        </is>
      </c>
      <c r="F801" s="126" t="n">
        <v>46689</v>
      </c>
      <c r="G801" s="126" t="n">
        <v>46689</v>
      </c>
      <c r="H801" s="126" t="n">
        <v>46289</v>
      </c>
      <c r="I801" s="4" t="n">
        <v>0</v>
      </c>
      <c r="J801" s="4" t="n">
        <v>0</v>
      </c>
      <c r="K801" s="4" t="n">
        <v>0</v>
      </c>
      <c r="M801" s="2">
        <f>IF(C801="","",IFERROR(INDEX($S$5:$S$304,MATCH(C801,$R$5:$R$304,0))&amp;"","?"))</f>
        <v/>
      </c>
      <c r="N801" s="2">
        <f>IF(E801="","",IF(ISNUMBER(SEARCH("SUBSOLO",E801)),IFERROR(-VALUE(LEFT(E801,FIND("º",SUBSTITUTE(E801,"°","º"))-1)),-1),IF(LEFT(E801,6)="TÉRREO",0,IFERROR(VALUE(LEFT(E801,FIND("º",SUBSTITUTE(E801,"°","º"))-1)),""))))</f>
        <v/>
      </c>
      <c r="O801" s="2">
        <f>IF(OR(F801="",G801=""),"",IF(G801&lt;='RETRATO 2027'!$K$5,"CONCLUÍDA",IF(F801&lt;='RETRATO 2027'!$K$5,"EM ANDAMENTO","A INICIAR")))</f>
        <v/>
      </c>
    </row>
    <row r="802">
      <c r="B802" s="4" t="n">
        <v>29980926</v>
      </c>
      <c r="C802" s="4" t="inlineStr">
        <is>
          <t>PRUMADA DE INCÊNDIO</t>
        </is>
      </c>
      <c r="D802" s="4" t="inlineStr">
        <is>
          <t>-</t>
        </is>
      </c>
      <c r="E802" s="4" t="inlineStr">
        <is>
          <t>24º PAV.</t>
        </is>
      </c>
      <c r="F802" s="126" t="n">
        <v>46682</v>
      </c>
      <c r="G802" s="126" t="n">
        <v>46695</v>
      </c>
      <c r="H802" s="126" t="n">
        <v>46289</v>
      </c>
      <c r="I802" s="4" t="n">
        <v>0</v>
      </c>
      <c r="J802" s="4" t="n">
        <v>0</v>
      </c>
      <c r="K802" s="4" t="n">
        <v>0</v>
      </c>
      <c r="M802" s="2">
        <f>IF(C802="","",IFERROR(INDEX($S$5:$S$304,MATCH(C802,$R$5:$R$304,0))&amp;"","?"))</f>
        <v/>
      </c>
      <c r="N802" s="2">
        <f>IF(E802="","",IF(ISNUMBER(SEARCH("SUBSOLO",E802)),IFERROR(-VALUE(LEFT(E802,FIND("º",SUBSTITUTE(E802,"°","º"))-1)),-1),IF(LEFT(E802,6)="TÉRREO",0,IFERROR(VALUE(LEFT(E802,FIND("º",SUBSTITUTE(E802,"°","º"))-1)),""))))</f>
        <v/>
      </c>
      <c r="O802" s="2">
        <f>IF(OR(F802="",G802=""),"",IF(G802&lt;='RETRATO 2027'!$K$5,"CONCLUÍDA",IF(F802&lt;='RETRATO 2027'!$K$5,"EM ANDAMENTO","A INICIAR")))</f>
        <v/>
      </c>
    </row>
    <row r="803">
      <c r="B803" s="4" t="n">
        <v>29980877</v>
      </c>
      <c r="C803" s="4" t="inlineStr">
        <is>
          <t>ALVENARIA</t>
        </is>
      </c>
      <c r="D803" s="4" t="inlineStr">
        <is>
          <t>-</t>
        </is>
      </c>
      <c r="E803" s="4" t="inlineStr">
        <is>
          <t>25º PAV.</t>
        </is>
      </c>
      <c r="F803" s="126" t="n">
        <v>46682</v>
      </c>
      <c r="G803" s="126" t="n">
        <v>46695</v>
      </c>
      <c r="H803" s="126" t="n">
        <v>46289</v>
      </c>
      <c r="I803" s="4" t="n">
        <v>0</v>
      </c>
      <c r="J803" s="4" t="n">
        <v>0</v>
      </c>
      <c r="K803" s="4" t="n">
        <v>0</v>
      </c>
      <c r="M803" s="2">
        <f>IF(C803="","",IFERROR(INDEX($S$5:$S$304,MATCH(C803,$R$5:$R$304,0))&amp;"","?"))</f>
        <v/>
      </c>
      <c r="N803" s="2">
        <f>IF(E803="","",IF(ISNUMBER(SEARCH("SUBSOLO",E803)),IFERROR(-VALUE(LEFT(E803,FIND("º",SUBSTITUTE(E803,"°","º"))-1)),-1),IF(LEFT(E803,6)="TÉRREO",0,IFERROR(VALUE(LEFT(E803,FIND("º",SUBSTITUTE(E803,"°","º"))-1)),""))))</f>
        <v/>
      </c>
      <c r="O803" s="2">
        <f>IF(OR(F803="",G803=""),"",IF(G803&lt;='RETRATO 2027'!$K$5,"CONCLUÍDA",IF(F803&lt;='RETRATO 2027'!$K$5,"EM ANDAMENTO","A INICIAR")))</f>
        <v/>
      </c>
    </row>
    <row r="804">
      <c r="B804" s="4" t="n">
        <v>30205702</v>
      </c>
      <c r="C804" s="4" t="inlineStr">
        <is>
          <t>BANCADAS</t>
        </is>
      </c>
      <c r="D804" s="4" t="inlineStr">
        <is>
          <t>-</t>
        </is>
      </c>
      <c r="E804" s="4" t="inlineStr">
        <is>
          <t>TÉRREO - LOJA 1</t>
        </is>
      </c>
      <c r="F804" s="126" t="n">
        <v>46685</v>
      </c>
      <c r="G804" s="126" t="n">
        <v>46699</v>
      </c>
      <c r="H804" s="126" t="n">
        <v>46289</v>
      </c>
      <c r="I804" s="4" t="n">
        <v>0</v>
      </c>
      <c r="J804" s="4" t="n">
        <v>0</v>
      </c>
      <c r="K804" s="4" t="n">
        <v>0</v>
      </c>
      <c r="M804" s="2">
        <f>IF(C804="","",IFERROR(INDEX($S$5:$S$304,MATCH(C804,$R$5:$R$304,0))&amp;"","?"))</f>
        <v/>
      </c>
      <c r="N804" s="2">
        <f>IF(E804="","",IF(ISNUMBER(SEARCH("SUBSOLO",E804)),IFERROR(-VALUE(LEFT(E804,FIND("º",SUBSTITUTE(E804,"°","º"))-1)),-1),IF(LEFT(E804,6)="TÉRREO",0,IFERROR(VALUE(LEFT(E804,FIND("º",SUBSTITUTE(E804,"°","º"))-1)),""))))</f>
        <v/>
      </c>
      <c r="O804" s="2">
        <f>IF(OR(F804="",G804=""),"",IF(G804&lt;='RETRATO 2027'!$K$5,"CONCLUÍDA",IF(F804&lt;='RETRATO 2027'!$K$5,"EM ANDAMENTO","A INICIAR")))</f>
        <v/>
      </c>
    </row>
    <row r="805">
      <c r="B805" s="4" t="n">
        <v>30205677</v>
      </c>
      <c r="C805" s="4" t="inlineStr">
        <is>
          <t>REVESTIMENTOS PORCELANATO PISO</t>
        </is>
      </c>
      <c r="D805" s="4" t="inlineStr">
        <is>
          <t>-</t>
        </is>
      </c>
      <c r="E805" s="4" t="inlineStr">
        <is>
          <t>TÉRREO - LOJA 2</t>
        </is>
      </c>
      <c r="F805" s="126" t="n">
        <v>46685</v>
      </c>
      <c r="G805" s="126" t="n">
        <v>46699</v>
      </c>
      <c r="H805" s="126" t="n">
        <v>46289</v>
      </c>
      <c r="I805" s="4" t="n">
        <v>0</v>
      </c>
      <c r="J805" s="4" t="n">
        <v>0</v>
      </c>
      <c r="K805" s="4" t="n">
        <v>0</v>
      </c>
      <c r="M805" s="2">
        <f>IF(C805="","",IFERROR(INDEX($S$5:$S$304,MATCH(C805,$R$5:$R$304,0))&amp;"","?"))</f>
        <v/>
      </c>
      <c r="N805" s="2">
        <f>IF(E805="","",IF(ISNUMBER(SEARCH("SUBSOLO",E805)),IFERROR(-VALUE(LEFT(E805,FIND("º",SUBSTITUTE(E805,"°","º"))-1)),-1),IF(LEFT(E805,6)="TÉRREO",0,IFERROR(VALUE(LEFT(E805,FIND("º",SUBSTITUTE(E805,"°","º"))-1)),""))))</f>
        <v/>
      </c>
      <c r="O805" s="2">
        <f>IF(OR(F805="",G805=""),"",IF(G805&lt;='RETRATO 2027'!$K$5,"CONCLUÍDA",IF(F805&lt;='RETRATO 2027'!$K$5,"EM ANDAMENTO","A INICIAR")))</f>
        <v/>
      </c>
    </row>
    <row r="806">
      <c r="B806" s="4" t="n">
        <v>30205654</v>
      </c>
      <c r="C806" s="4" t="inlineStr">
        <is>
          <t>REVESTIMENTO PORCELANATO PAREDE</t>
        </is>
      </c>
      <c r="D806" s="4" t="inlineStr">
        <is>
          <t>-</t>
        </is>
      </c>
      <c r="E806" s="4" t="inlineStr">
        <is>
          <t>TÉRREO - LOJA 3</t>
        </is>
      </c>
      <c r="F806" s="126" t="n">
        <v>46685</v>
      </c>
      <c r="G806" s="126" t="n">
        <v>46699</v>
      </c>
      <c r="H806" s="126" t="n">
        <v>46289</v>
      </c>
      <c r="I806" s="4" t="n">
        <v>0</v>
      </c>
      <c r="J806" s="4" t="n">
        <v>0</v>
      </c>
      <c r="K806" s="4" t="n">
        <v>0</v>
      </c>
      <c r="M806" s="2">
        <f>IF(C806="","",IFERROR(INDEX($S$5:$S$304,MATCH(C806,$R$5:$R$304,0))&amp;"","?"))</f>
        <v/>
      </c>
      <c r="N806" s="2">
        <f>IF(E806="","",IF(ISNUMBER(SEARCH("SUBSOLO",E806)),IFERROR(-VALUE(LEFT(E806,FIND("º",SUBSTITUTE(E806,"°","º"))-1)),-1),IF(LEFT(E806,6)="TÉRREO",0,IFERROR(VALUE(LEFT(E806,FIND("º",SUBSTITUTE(E806,"°","º"))-1)),""))))</f>
        <v/>
      </c>
      <c r="O806" s="2">
        <f>IF(OR(F806="",G806=""),"",IF(G806&lt;='RETRATO 2027'!$K$5,"CONCLUÍDA",IF(F806&lt;='RETRATO 2027'!$K$5,"EM ANDAMENTO","A INICIAR")))</f>
        <v/>
      </c>
    </row>
    <row r="807">
      <c r="B807" s="4" t="n">
        <v>30205620</v>
      </c>
      <c r="C807" s="4" t="inlineStr">
        <is>
          <t>DRYWALL</t>
        </is>
      </c>
      <c r="D807" s="4" t="inlineStr">
        <is>
          <t>-</t>
        </is>
      </c>
      <c r="E807" s="4" t="inlineStr">
        <is>
          <t>TÉRREO - LOJA 4</t>
        </is>
      </c>
      <c r="F807" s="126" t="n">
        <v>46685</v>
      </c>
      <c r="G807" s="126" t="n">
        <v>46699</v>
      </c>
      <c r="H807" s="126" t="n">
        <v>46289</v>
      </c>
      <c r="I807" s="4" t="n">
        <v>0</v>
      </c>
      <c r="J807" s="4" t="n">
        <v>0</v>
      </c>
      <c r="K807" s="4" t="n">
        <v>0</v>
      </c>
      <c r="M807" s="2">
        <f>IF(C807="","",IFERROR(INDEX($S$5:$S$304,MATCH(C807,$R$5:$R$304,0))&amp;"","?"))</f>
        <v/>
      </c>
      <c r="N807" s="2">
        <f>IF(E807="","",IF(ISNUMBER(SEARCH("SUBSOLO",E807)),IFERROR(-VALUE(LEFT(E807,FIND("º",SUBSTITUTE(E807,"°","º"))-1)),-1),IF(LEFT(E807,6)="TÉRREO",0,IFERROR(VALUE(LEFT(E807,FIND("º",SUBSTITUTE(E807,"°","º"))-1)),""))))</f>
        <v/>
      </c>
      <c r="O807" s="2">
        <f>IF(OR(F807="",G807=""),"",IF(G807&lt;='RETRATO 2027'!$K$5,"CONCLUÍDA",IF(F807&lt;='RETRATO 2027'!$K$5,"EM ANDAMENTO","A INICIAR")))</f>
        <v/>
      </c>
    </row>
    <row r="808">
      <c r="B808" s="4" t="n">
        <v>30205592</v>
      </c>
      <c r="C808" s="4" t="inlineStr">
        <is>
          <t>CONTRAPISO</t>
        </is>
      </c>
      <c r="D808" s="4" t="inlineStr">
        <is>
          <t>-</t>
        </is>
      </c>
      <c r="E808" s="4" t="inlineStr">
        <is>
          <t>TÉRREO - LOJA 5</t>
        </is>
      </c>
      <c r="F808" s="126" t="n">
        <v>46685</v>
      </c>
      <c r="G808" s="126" t="n">
        <v>46699</v>
      </c>
      <c r="H808" s="126" t="n">
        <v>46289</v>
      </c>
      <c r="I808" s="4" t="n">
        <v>0</v>
      </c>
      <c r="J808" s="4" t="n">
        <v>0</v>
      </c>
      <c r="K808" s="4" t="n">
        <v>0</v>
      </c>
      <c r="M808" s="2">
        <f>IF(C808="","",IFERROR(INDEX($S$5:$S$304,MATCH(C808,$R$5:$R$304,0))&amp;"","?"))</f>
        <v/>
      </c>
      <c r="N808" s="2">
        <f>IF(E808="","",IF(ISNUMBER(SEARCH("SUBSOLO",E808)),IFERROR(-VALUE(LEFT(E808,FIND("º",SUBSTITUTE(E808,"°","º"))-1)),-1),IF(LEFT(E808,6)="TÉRREO",0,IFERROR(VALUE(LEFT(E808,FIND("º",SUBSTITUTE(E808,"°","º"))-1)),""))))</f>
        <v/>
      </c>
      <c r="O808" s="2">
        <f>IF(OR(F808="",G808=""),"",IF(G808&lt;='RETRATO 2027'!$K$5,"CONCLUÍDA",IF(F808&lt;='RETRATO 2027'!$K$5,"EM ANDAMENTO","A INICIAR")))</f>
        <v/>
      </c>
    </row>
    <row r="809">
      <c r="B809" s="4" t="n">
        <v>31803889</v>
      </c>
      <c r="C809" s="4" t="inlineStr">
        <is>
          <t>FACHADA LOJA</t>
        </is>
      </c>
      <c r="D809" s="4" t="inlineStr">
        <is>
          <t>-</t>
        </is>
      </c>
      <c r="E809" s="4" t="inlineStr">
        <is>
          <t>TÉRREO - LOJA 5</t>
        </is>
      </c>
      <c r="F809" s="126" t="n">
        <v>46685</v>
      </c>
      <c r="G809" s="126" t="n">
        <v>46734</v>
      </c>
      <c r="H809" s="126" t="n">
        <v>46289</v>
      </c>
      <c r="I809" s="4" t="n">
        <v>0</v>
      </c>
      <c r="J809" s="4" t="n">
        <v>0</v>
      </c>
      <c r="K809" s="4" t="n">
        <v>0</v>
      </c>
      <c r="M809" s="2">
        <f>IF(C809="","",IFERROR(INDEX($S$5:$S$304,MATCH(C809,$R$5:$R$304,0))&amp;"","?"))</f>
        <v/>
      </c>
      <c r="N809" s="2">
        <f>IF(E809="","",IF(ISNUMBER(SEARCH("SUBSOLO",E809)),IFERROR(-VALUE(LEFT(E809,FIND("º",SUBSTITUTE(E809,"°","º"))-1)),-1),IF(LEFT(E809,6)="TÉRREO",0,IFERROR(VALUE(LEFT(E809,FIND("º",SUBSTITUTE(E809,"°","º"))-1)),""))))</f>
        <v/>
      </c>
      <c r="O809" s="2">
        <f>IF(OR(F809="",G809=""),"",IF(G809&lt;='RETRATO 2027'!$K$5,"CONCLUÍDA",IF(F809&lt;='RETRATO 2027'!$K$5,"EM ANDAMENTO","A INICIAR")))</f>
        <v/>
      </c>
    </row>
    <row r="810">
      <c r="B810" s="4" t="n">
        <v>30205561</v>
      </c>
      <c r="C810" s="4" t="inlineStr">
        <is>
          <t>REBOCO INTERNO</t>
        </is>
      </c>
      <c r="D810" s="4" t="inlineStr">
        <is>
          <t>-</t>
        </is>
      </c>
      <c r="E810" s="4" t="inlineStr">
        <is>
          <t>TÉRREO - LOJA 6</t>
        </is>
      </c>
      <c r="F810" s="126" t="n">
        <v>46685</v>
      </c>
      <c r="G810" s="126" t="n">
        <v>46699</v>
      </c>
      <c r="H810" s="126" t="n">
        <v>46289</v>
      </c>
      <c r="I810" s="4" t="n">
        <v>0</v>
      </c>
      <c r="J810" s="4" t="n">
        <v>0</v>
      </c>
      <c r="K810" s="4" t="n">
        <v>0</v>
      </c>
      <c r="M810" s="2">
        <f>IF(C810="","",IFERROR(INDEX($S$5:$S$304,MATCH(C810,$R$5:$R$304,0))&amp;"","?"))</f>
        <v/>
      </c>
      <c r="N810" s="2">
        <f>IF(E810="","",IF(ISNUMBER(SEARCH("SUBSOLO",E810)),IFERROR(-VALUE(LEFT(E810,FIND("º",SUBSTITUTE(E810,"°","º"))-1)),-1),IF(LEFT(E810,6)="TÉRREO",0,IFERROR(VALUE(LEFT(E810,FIND("º",SUBSTITUTE(E810,"°","º"))-1)),""))))</f>
        <v/>
      </c>
      <c r="O810" s="2">
        <f>IF(OR(F810="",G810=""),"",IF(G810&lt;='RETRATO 2027'!$K$5,"CONCLUÍDA",IF(F810&lt;='RETRATO 2027'!$K$5,"EM ANDAMENTO","A INICIAR")))</f>
        <v/>
      </c>
    </row>
    <row r="811">
      <c r="B811" s="4" t="n">
        <v>30205530</v>
      </c>
      <c r="C811" s="4" t="inlineStr">
        <is>
          <t>DISTRIBUIÇÃO ELÉTRICA / QUADRO</t>
        </is>
      </c>
      <c r="D811" s="4" t="inlineStr">
        <is>
          <t>-</t>
        </is>
      </c>
      <c r="E811" s="4" t="inlineStr">
        <is>
          <t>TÉRREO - LOJA 7</t>
        </is>
      </c>
      <c r="F811" s="126" t="n">
        <v>46685</v>
      </c>
      <c r="G811" s="126" t="n">
        <v>46694</v>
      </c>
      <c r="H811" s="126" t="n">
        <v>46289</v>
      </c>
      <c r="I811" s="4" t="n">
        <v>0</v>
      </c>
      <c r="J811" s="4" t="n">
        <v>0</v>
      </c>
      <c r="K811" s="4" t="n">
        <v>0</v>
      </c>
      <c r="M811" s="2">
        <f>IF(C811="","",IFERROR(INDEX($S$5:$S$304,MATCH(C811,$R$5:$R$304,0))&amp;"","?"))</f>
        <v/>
      </c>
      <c r="N811" s="2">
        <f>IF(E811="","",IF(ISNUMBER(SEARCH("SUBSOLO",E811)),IFERROR(-VALUE(LEFT(E811,FIND("º",SUBSTITUTE(E811,"°","º"))-1)),-1),IF(LEFT(E811,6)="TÉRREO",0,IFERROR(VALUE(LEFT(E811,FIND("º",SUBSTITUTE(E811,"°","º"))-1)),""))))</f>
        <v/>
      </c>
      <c r="O811" s="2">
        <f>IF(OR(F811="",G811=""),"",IF(G811&lt;='RETRATO 2027'!$K$5,"CONCLUÍDA",IF(F811&lt;='RETRATO 2027'!$K$5,"EM ANDAMENTO","A INICIAR")))</f>
        <v/>
      </c>
    </row>
    <row r="812">
      <c r="B812" s="4" t="n">
        <v>30205531</v>
      </c>
      <c r="C812" s="4" t="inlineStr">
        <is>
          <t>DISTRIBUIÇÃO HIDRÁULICA</t>
        </is>
      </c>
      <c r="D812" s="4" t="inlineStr">
        <is>
          <t>-</t>
        </is>
      </c>
      <c r="E812" s="4" t="inlineStr">
        <is>
          <t>TÉRREO - LOJA 7</t>
        </is>
      </c>
      <c r="F812" s="126" t="n">
        <v>46685</v>
      </c>
      <c r="G812" s="126" t="n">
        <v>46699</v>
      </c>
      <c r="H812" s="126" t="n">
        <v>46289</v>
      </c>
      <c r="I812" s="4" t="n">
        <v>0</v>
      </c>
      <c r="J812" s="4" t="n">
        <v>0</v>
      </c>
      <c r="K812" s="4" t="n">
        <v>0</v>
      </c>
      <c r="M812" s="2">
        <f>IF(C812="","",IFERROR(INDEX($S$5:$S$304,MATCH(C812,$R$5:$R$304,0))&amp;"","?"))</f>
        <v/>
      </c>
      <c r="N812" s="2">
        <f>IF(E812="","",IF(ISNUMBER(SEARCH("SUBSOLO",E812)),IFERROR(-VALUE(LEFT(E812,FIND("º",SUBSTITUTE(E812,"°","º"))-1)),-1),IF(LEFT(E812,6)="TÉRREO",0,IFERROR(VALUE(LEFT(E812,FIND("º",SUBSTITUTE(E812,"°","º"))-1)),""))))</f>
        <v/>
      </c>
      <c r="O812" s="2">
        <f>IF(OR(F812="",G812=""),"",IF(G812&lt;='RETRATO 2027'!$K$5,"CONCLUÍDA",IF(F812&lt;='RETRATO 2027'!$K$5,"EM ANDAMENTO","A INICIAR")))</f>
        <v/>
      </c>
    </row>
    <row r="813">
      <c r="B813" s="4" t="n">
        <v>30171427</v>
      </c>
      <c r="C813" s="4" t="inlineStr">
        <is>
          <t>ENCUNHAMENTO</t>
        </is>
      </c>
      <c r="D813" s="4" t="inlineStr">
        <is>
          <t>-</t>
        </is>
      </c>
      <c r="E813" s="4" t="inlineStr">
        <is>
          <t>4º PAV - GARAGEM</t>
        </is>
      </c>
      <c r="F813" s="126" t="n">
        <v>46686</v>
      </c>
      <c r="G813" s="126" t="n">
        <v>46700</v>
      </c>
      <c r="H813" s="126" t="n">
        <v>46289</v>
      </c>
      <c r="I813" s="4" t="n">
        <v>0</v>
      </c>
      <c r="J813" s="4" t="n">
        <v>0</v>
      </c>
      <c r="K813" s="4" t="n">
        <v>0</v>
      </c>
      <c r="M813" s="2">
        <f>IF(C813="","",IFERROR(INDEX($S$5:$S$304,MATCH(C813,$R$5:$R$304,0))&amp;"","?"))</f>
        <v/>
      </c>
      <c r="N813" s="2">
        <f>IF(E813="","",IF(ISNUMBER(SEARCH("SUBSOLO",E813)),IFERROR(-VALUE(LEFT(E813,FIND("º",SUBSTITUTE(E813,"°","º"))-1)),-1),IF(LEFT(E813,6)="TÉRREO",0,IFERROR(VALUE(LEFT(E813,FIND("º",SUBSTITUTE(E813,"°","º"))-1)),""))))</f>
        <v/>
      </c>
      <c r="O813" s="2">
        <f>IF(OR(F813="",G813=""),"",IF(G813&lt;='RETRATO 2027'!$K$5,"CONCLUÍDA",IF(F813&lt;='RETRATO 2027'!$K$5,"EM ANDAMENTO","A INICIAR")))</f>
        <v/>
      </c>
    </row>
    <row r="814">
      <c r="B814" s="4" t="n">
        <v>30171504</v>
      </c>
      <c r="C814" s="4" t="inlineStr">
        <is>
          <t>FORRO</t>
        </is>
      </c>
      <c r="D814" s="4" t="inlineStr">
        <is>
          <t>-</t>
        </is>
      </c>
      <c r="E814" s="4" t="inlineStr">
        <is>
          <t>HALL - APTOS</t>
        </is>
      </c>
      <c r="F814" s="126" t="n">
        <v>46688</v>
      </c>
      <c r="G814" s="126" t="n">
        <v>47018</v>
      </c>
      <c r="H814" s="126" t="n">
        <v>46289</v>
      </c>
      <c r="I814" s="4" t="n">
        <v>0</v>
      </c>
      <c r="J814" s="4" t="n">
        <v>0</v>
      </c>
      <c r="K814" s="4" t="n">
        <v>0</v>
      </c>
      <c r="M814" s="2">
        <f>IF(C814="","",IFERROR(INDEX($S$5:$S$304,MATCH(C814,$R$5:$R$304,0))&amp;"","?"))</f>
        <v/>
      </c>
      <c r="N814" s="2">
        <f>IF(E814="","",IF(ISNUMBER(SEARCH("SUBSOLO",E814)),IFERROR(-VALUE(LEFT(E814,FIND("º",SUBSTITUTE(E814,"°","º"))-1)),-1),IF(LEFT(E814,6)="TÉRREO",0,IFERROR(VALUE(LEFT(E814,FIND("º",SUBSTITUTE(E814,"°","º"))-1)),""))))</f>
        <v/>
      </c>
      <c r="O814" s="2">
        <f>IF(OR(F814="",G814=""),"",IF(G814&lt;='RETRATO 2027'!$K$5,"CONCLUÍDA",IF(F814&lt;='RETRATO 2027'!$K$5,"EM ANDAMENTO","A INICIAR")))</f>
        <v/>
      </c>
    </row>
    <row r="815">
      <c r="B815" s="4" t="n">
        <v>29981514</v>
      </c>
      <c r="C815" s="4" t="inlineStr">
        <is>
          <t>FORRO</t>
        </is>
      </c>
      <c r="D815" s="4" t="inlineStr">
        <is>
          <t>-</t>
        </is>
      </c>
      <c r="E815" s="4" t="inlineStr">
        <is>
          <t>8º PAV.</t>
        </is>
      </c>
      <c r="F815" s="126" t="n">
        <v>46688</v>
      </c>
      <c r="G815" s="126" t="n">
        <v>46701</v>
      </c>
      <c r="H815" s="126" t="n">
        <v>46289</v>
      </c>
      <c r="I815" s="4" t="n">
        <v>0</v>
      </c>
      <c r="J815" s="4" t="n">
        <v>0</v>
      </c>
      <c r="K815" s="4" t="n">
        <v>0</v>
      </c>
      <c r="M815" s="2">
        <f>IF(C815="","",IFERROR(INDEX($S$5:$S$304,MATCH(C815,$R$5:$R$304,0))&amp;"","?"))</f>
        <v/>
      </c>
      <c r="N815" s="2">
        <f>IF(E815="","",IF(ISNUMBER(SEARCH("SUBSOLO",E815)),IFERROR(-VALUE(LEFT(E815,FIND("º",SUBSTITUTE(E815,"°","º"))-1)),-1),IF(LEFT(E815,6)="TÉRREO",0,IFERROR(VALUE(LEFT(E815,FIND("º",SUBSTITUTE(E815,"°","º"))-1)),""))))</f>
        <v/>
      </c>
      <c r="O815" s="2">
        <f>IF(OR(F815="",G815=""),"",IF(G815&lt;='RETRATO 2027'!$K$5,"CONCLUÍDA",IF(F815&lt;='RETRATO 2027'!$K$5,"EM ANDAMENTO","A INICIAR")))</f>
        <v/>
      </c>
    </row>
    <row r="816">
      <c r="B816" s="4" t="n">
        <v>29981475</v>
      </c>
      <c r="C816" s="4" t="inlineStr">
        <is>
          <t>FIAÇÃO ELÉTRICA</t>
        </is>
      </c>
      <c r="D816" s="4" t="inlineStr">
        <is>
          <t>-</t>
        </is>
      </c>
      <c r="E816" s="4" t="inlineStr">
        <is>
          <t>9º PAV.</t>
        </is>
      </c>
      <c r="F816" s="126" t="n">
        <v>46688</v>
      </c>
      <c r="G816" s="126" t="n">
        <v>46701</v>
      </c>
      <c r="H816" s="126" t="n">
        <v>46289</v>
      </c>
      <c r="I816" s="4" t="n">
        <v>0</v>
      </c>
      <c r="J816" s="4" t="n">
        <v>0</v>
      </c>
      <c r="K816" s="4" t="n">
        <v>0</v>
      </c>
      <c r="M816" s="2">
        <f>IF(C816="","",IFERROR(INDEX($S$5:$S$304,MATCH(C816,$R$5:$R$304,0))&amp;"","?"))</f>
        <v/>
      </c>
      <c r="N816" s="2">
        <f>IF(E816="","",IF(ISNUMBER(SEARCH("SUBSOLO",E816)),IFERROR(-VALUE(LEFT(E816,FIND("º",SUBSTITUTE(E816,"°","º"))-1)),-1),IF(LEFT(E816,6)="TÉRREO",0,IFERROR(VALUE(LEFT(E816,FIND("º",SUBSTITUTE(E816,"°","º"))-1)),""))))</f>
        <v/>
      </c>
      <c r="O816" s="2">
        <f>IF(OR(F816="",G816=""),"",IF(G816&lt;='RETRATO 2027'!$K$5,"CONCLUÍDA",IF(F816&lt;='RETRATO 2027'!$K$5,"EM ANDAMENTO","A INICIAR")))</f>
        <v/>
      </c>
    </row>
    <row r="817">
      <c r="B817" s="4" t="n">
        <v>29981480</v>
      </c>
      <c r="C817" s="4" t="inlineStr">
        <is>
          <t>PRUMADA ELÉTRICA - CABOS</t>
        </is>
      </c>
      <c r="D817" s="4" t="inlineStr">
        <is>
          <t>-</t>
        </is>
      </c>
      <c r="E817" s="4" t="inlineStr">
        <is>
          <t>9º PAV.</t>
        </is>
      </c>
      <c r="F817" s="126" t="n">
        <v>46688</v>
      </c>
      <c r="G817" s="126" t="n">
        <v>46701</v>
      </c>
      <c r="H817" s="126" t="n">
        <v>46289</v>
      </c>
      <c r="I817" s="4" t="n">
        <v>0</v>
      </c>
      <c r="J817" s="4" t="n">
        <v>0</v>
      </c>
      <c r="K817" s="4" t="n">
        <v>0</v>
      </c>
      <c r="M817" s="2">
        <f>IF(C817="","",IFERROR(INDEX($S$5:$S$304,MATCH(C817,$R$5:$R$304,0))&amp;"","?"))</f>
        <v/>
      </c>
      <c r="N817" s="2">
        <f>IF(E817="","",IF(ISNUMBER(SEARCH("SUBSOLO",E817)),IFERROR(-VALUE(LEFT(E817,FIND("º",SUBSTITUTE(E817,"°","º"))-1)),-1),IF(LEFT(E817,6)="TÉRREO",0,IFERROR(VALUE(LEFT(E817,FIND("º",SUBSTITUTE(E817,"°","º"))-1)),""))))</f>
        <v/>
      </c>
      <c r="O817" s="2">
        <f>IF(OR(F817="",G817=""),"",IF(G817&lt;='RETRATO 2027'!$K$5,"CONCLUÍDA",IF(F817&lt;='RETRATO 2027'!$K$5,"EM ANDAMENTO","A INICIAR")))</f>
        <v/>
      </c>
    </row>
    <row r="818">
      <c r="B818" s="4" t="n">
        <v>30214071</v>
      </c>
      <c r="C818" s="4" t="inlineStr">
        <is>
          <t>FIAÇÃO TELECOM/DADOS</t>
        </is>
      </c>
      <c r="D818" s="4" t="inlineStr">
        <is>
          <t>-</t>
        </is>
      </c>
      <c r="E818" s="4" t="inlineStr">
        <is>
          <t>9º PAV.</t>
        </is>
      </c>
      <c r="F818" s="126" t="n">
        <v>46688</v>
      </c>
      <c r="G818" s="126" t="n">
        <v>46702</v>
      </c>
      <c r="H818" s="126" t="n">
        <v>46289</v>
      </c>
      <c r="I818" s="4" t="n">
        <v>0</v>
      </c>
      <c r="J818" s="4" t="n">
        <v>0</v>
      </c>
      <c r="K818" s="4" t="n">
        <v>0</v>
      </c>
      <c r="M818" s="2">
        <f>IF(C818="","",IFERROR(INDEX($S$5:$S$304,MATCH(C818,$R$5:$R$304,0))&amp;"","?"))</f>
        <v/>
      </c>
      <c r="N818" s="2">
        <f>IF(E818="","",IF(ISNUMBER(SEARCH("SUBSOLO",E818)),IFERROR(-VALUE(LEFT(E818,FIND("º",SUBSTITUTE(E818,"°","º"))-1)),-1),IF(LEFT(E818,6)="TÉRREO",0,IFERROR(VALUE(LEFT(E818,FIND("º",SUBSTITUTE(E818,"°","º"))-1)),""))))</f>
        <v/>
      </c>
      <c r="O818" s="2">
        <f>IF(OR(F818="",G818=""),"",IF(G818&lt;='RETRATO 2027'!$K$5,"CONCLUÍDA",IF(F818&lt;='RETRATO 2027'!$K$5,"EM ANDAMENTO","A INICIAR")))</f>
        <v/>
      </c>
    </row>
    <row r="819">
      <c r="B819" s="4" t="n">
        <v>29981422</v>
      </c>
      <c r="C819" s="4" t="inlineStr">
        <is>
          <t>BANCADAS</t>
        </is>
      </c>
      <c r="D819" s="4" t="inlineStr">
        <is>
          <t>-</t>
        </is>
      </c>
      <c r="E819" s="4" t="inlineStr">
        <is>
          <t>10º PAV.</t>
        </is>
      </c>
      <c r="F819" s="126" t="n">
        <v>46688</v>
      </c>
      <c r="G819" s="126" t="n">
        <v>46701</v>
      </c>
      <c r="H819" s="126" t="n">
        <v>46289</v>
      </c>
      <c r="I819" s="4" t="n">
        <v>0</v>
      </c>
      <c r="J819" s="4" t="n">
        <v>0</v>
      </c>
      <c r="K819" s="4" t="n">
        <v>0</v>
      </c>
      <c r="M819" s="2">
        <f>IF(C819="","",IFERROR(INDEX($S$5:$S$304,MATCH(C819,$R$5:$R$304,0))&amp;"","?"))</f>
        <v/>
      </c>
      <c r="N819" s="2">
        <f>IF(E819="","",IF(ISNUMBER(SEARCH("SUBSOLO",E819)),IFERROR(-VALUE(LEFT(E819,FIND("º",SUBSTITUTE(E819,"°","º"))-1)),-1),IF(LEFT(E819,6)="TÉRREO",0,IFERROR(VALUE(LEFT(E819,FIND("º",SUBSTITUTE(E819,"°","º"))-1)),""))))</f>
        <v/>
      </c>
      <c r="O819" s="2">
        <f>IF(OR(F819="",G819=""),"",IF(G819&lt;='RETRATO 2027'!$K$5,"CONCLUÍDA",IF(F819&lt;='RETRATO 2027'!$K$5,"EM ANDAMENTO","A INICIAR")))</f>
        <v/>
      </c>
    </row>
    <row r="820">
      <c r="B820" s="4" t="n">
        <v>29981384</v>
      </c>
      <c r="C820" s="4" t="inlineStr">
        <is>
          <t>REVESTIMENTOS PORCELANATO PISO</t>
        </is>
      </c>
      <c r="D820" s="4" t="inlineStr">
        <is>
          <t>-</t>
        </is>
      </c>
      <c r="E820" s="4" t="inlineStr">
        <is>
          <t>11º PAV.</t>
        </is>
      </c>
      <c r="F820" s="126" t="n">
        <v>46688</v>
      </c>
      <c r="G820" s="126" t="n">
        <v>46701</v>
      </c>
      <c r="H820" s="126" t="n">
        <v>46289</v>
      </c>
      <c r="I820" s="4" t="n">
        <v>0</v>
      </c>
      <c r="J820" s="4" t="n">
        <v>0</v>
      </c>
      <c r="K820" s="4" t="n">
        <v>0</v>
      </c>
      <c r="M820" s="2">
        <f>IF(C820="","",IFERROR(INDEX($S$5:$S$304,MATCH(C820,$R$5:$R$304,0))&amp;"","?"))</f>
        <v/>
      </c>
      <c r="N820" s="2">
        <f>IF(E820="","",IF(ISNUMBER(SEARCH("SUBSOLO",E820)),IFERROR(-VALUE(LEFT(E820,FIND("º",SUBSTITUTE(E820,"°","º"))-1)),-1),IF(LEFT(E820,6)="TÉRREO",0,IFERROR(VALUE(LEFT(E820,FIND("º",SUBSTITUTE(E820,"°","º"))-1)),""))))</f>
        <v/>
      </c>
      <c r="O820" s="2">
        <f>IF(OR(F820="",G820=""),"",IF(G820&lt;='RETRATO 2027'!$K$5,"CONCLUÍDA",IF(F820&lt;='RETRATO 2027'!$K$5,"EM ANDAMENTO","A INICIAR")))</f>
        <v/>
      </c>
    </row>
    <row r="821">
      <c r="B821" s="4" t="n">
        <v>29981363</v>
      </c>
      <c r="C821" s="4" t="inlineStr">
        <is>
          <t>REVESTIMENTO PORCELANATO PAREDE</t>
        </is>
      </c>
      <c r="D821" s="4" t="inlineStr">
        <is>
          <t>-</t>
        </is>
      </c>
      <c r="E821" s="4" t="inlineStr">
        <is>
          <t>12º PAV.</t>
        </is>
      </c>
      <c r="F821" s="126" t="n">
        <v>46688</v>
      </c>
      <c r="G821" s="126" t="n">
        <v>46701</v>
      </c>
      <c r="H821" s="126" t="n">
        <v>46289</v>
      </c>
      <c r="I821" s="4" t="n">
        <v>0</v>
      </c>
      <c r="J821" s="4" t="n">
        <v>0</v>
      </c>
      <c r="K821" s="4" t="n">
        <v>0</v>
      </c>
      <c r="M821" s="2">
        <f>IF(C821="","",IFERROR(INDEX($S$5:$S$304,MATCH(C821,$R$5:$R$304,0))&amp;"","?"))</f>
        <v/>
      </c>
      <c r="N821" s="2">
        <f>IF(E821="","",IF(ISNUMBER(SEARCH("SUBSOLO",E821)),IFERROR(-VALUE(LEFT(E821,FIND("º",SUBSTITUTE(E821,"°","º"))-1)),-1),IF(LEFT(E821,6)="TÉRREO",0,IFERROR(VALUE(LEFT(E821,FIND("º",SUBSTITUTE(E821,"°","º"))-1)),""))))</f>
        <v/>
      </c>
      <c r="O821" s="2">
        <f>IF(OR(F821="",G821=""),"",IF(G821&lt;='RETRATO 2027'!$K$5,"CONCLUÍDA",IF(F821&lt;='RETRATO 2027'!$K$5,"EM ANDAMENTO","A INICIAR")))</f>
        <v/>
      </c>
    </row>
    <row r="822">
      <c r="B822" s="4" t="n">
        <v>29981324</v>
      </c>
      <c r="C822" s="4" t="inlineStr">
        <is>
          <t>IMPERMEABILIZAÇÃO</t>
        </is>
      </c>
      <c r="D822" s="4" t="inlineStr">
        <is>
          <t>-</t>
        </is>
      </c>
      <c r="E822" s="4" t="inlineStr">
        <is>
          <t>13º PAV.</t>
        </is>
      </c>
      <c r="F822" s="126" t="n">
        <v>46688</v>
      </c>
      <c r="G822" s="126" t="n">
        <v>46701</v>
      </c>
      <c r="H822" s="126" t="n">
        <v>46289</v>
      </c>
      <c r="I822" s="4" t="n">
        <v>0</v>
      </c>
      <c r="J822" s="4" t="n">
        <v>0</v>
      </c>
      <c r="K822" s="4" t="n">
        <v>0</v>
      </c>
      <c r="M822" s="2">
        <f>IF(C822="","",IFERROR(INDEX($S$5:$S$304,MATCH(C822,$R$5:$R$304,0))&amp;"","?"))</f>
        <v/>
      </c>
      <c r="N822" s="2">
        <f>IF(E822="","",IF(ISNUMBER(SEARCH("SUBSOLO",E822)),IFERROR(-VALUE(LEFT(E822,FIND("º",SUBSTITUTE(E822,"°","º"))-1)),-1),IF(LEFT(E822,6)="TÉRREO",0,IFERROR(VALUE(LEFT(E822,FIND("º",SUBSTITUTE(E822,"°","º"))-1)),""))))</f>
        <v/>
      </c>
      <c r="O822" s="2">
        <f>IF(OR(F822="",G822=""),"",IF(G822&lt;='RETRATO 2027'!$K$5,"CONCLUÍDA",IF(F822&lt;='RETRATO 2027'!$K$5,"EM ANDAMENTO","A INICIAR")))</f>
        <v/>
      </c>
    </row>
    <row r="823">
      <c r="B823" s="4" t="n">
        <v>32750440</v>
      </c>
      <c r="C823" s="4" t="inlineStr">
        <is>
          <t>DRYWALL 2º FACE</t>
        </is>
      </c>
      <c r="D823" s="4" t="inlineStr">
        <is>
          <t>-</t>
        </is>
      </c>
      <c r="E823" s="4" t="inlineStr">
        <is>
          <t>14º PAV.</t>
        </is>
      </c>
      <c r="F823" s="126" t="n">
        <v>46688</v>
      </c>
      <c r="G823" s="126" t="n">
        <v>46701</v>
      </c>
      <c r="H823" s="126" t="n">
        <v>46289</v>
      </c>
      <c r="I823" s="4" t="n">
        <v>0</v>
      </c>
      <c r="J823" s="4" t="n">
        <v>0</v>
      </c>
      <c r="K823" s="4" t="n">
        <v>0</v>
      </c>
      <c r="M823" s="2">
        <f>IF(C823="","",IFERROR(INDEX($S$5:$S$304,MATCH(C823,$R$5:$R$304,0))&amp;"","?"))</f>
        <v/>
      </c>
      <c r="N823" s="2">
        <f>IF(E823="","",IF(ISNUMBER(SEARCH("SUBSOLO",E823)),IFERROR(-VALUE(LEFT(E823,FIND("º",SUBSTITUTE(E823,"°","º"))-1)),-1),IF(LEFT(E823,6)="TÉRREO",0,IFERROR(VALUE(LEFT(E823,FIND("º",SUBSTITUTE(E823,"°","º"))-1)),""))))</f>
        <v/>
      </c>
      <c r="O823" s="2">
        <f>IF(OR(F823="",G823=""),"",IF(G823&lt;='RETRATO 2027'!$K$5,"CONCLUÍDA",IF(F823&lt;='RETRATO 2027'!$K$5,"EM ANDAMENTO","A INICIAR")))</f>
        <v/>
      </c>
    </row>
    <row r="824">
      <c r="B824" s="4" t="n">
        <v>32750363</v>
      </c>
      <c r="C824" s="4" t="inlineStr">
        <is>
          <t>DISTRIBUIÇÃO DE GÁS - DRYWALL</t>
        </is>
      </c>
      <c r="D824" s="4" t="inlineStr">
        <is>
          <t>-</t>
        </is>
      </c>
      <c r="E824" s="4" t="inlineStr">
        <is>
          <t>15º PAV.</t>
        </is>
      </c>
      <c r="F824" s="126" t="n">
        <v>46688</v>
      </c>
      <c r="G824" s="126" t="n">
        <v>46701</v>
      </c>
      <c r="H824" s="126" t="n">
        <v>46289</v>
      </c>
      <c r="I824" s="4" t="n">
        <v>0</v>
      </c>
      <c r="J824" s="4" t="n">
        <v>0</v>
      </c>
      <c r="K824" s="4" t="n">
        <v>0</v>
      </c>
      <c r="M824" s="2">
        <f>IF(C824="","",IFERROR(INDEX($S$5:$S$304,MATCH(C824,$R$5:$R$304,0))&amp;"","?"))</f>
        <v/>
      </c>
      <c r="N824" s="2">
        <f>IF(E824="","",IF(ISNUMBER(SEARCH("SUBSOLO",E824)),IFERROR(-VALUE(LEFT(E824,FIND("º",SUBSTITUTE(E824,"°","º"))-1)),-1),IF(LEFT(E824,6)="TÉRREO",0,IFERROR(VALUE(LEFT(E824,FIND("º",SUBSTITUTE(E824,"°","º"))-1)),""))))</f>
        <v/>
      </c>
      <c r="O824" s="2">
        <f>IF(OR(F824="",G824=""),"",IF(G824&lt;='RETRATO 2027'!$K$5,"CONCLUÍDA",IF(F824&lt;='RETRATO 2027'!$K$5,"EM ANDAMENTO","A INICIAR")))</f>
        <v/>
      </c>
    </row>
    <row r="825">
      <c r="B825" s="4" t="n">
        <v>32750389</v>
      </c>
      <c r="C825" s="4" t="inlineStr">
        <is>
          <t>DISTRIBUIÇÃO ELÉTRICA/QUADRO - DRYWALL</t>
        </is>
      </c>
      <c r="D825" s="4" t="inlineStr">
        <is>
          <t>-</t>
        </is>
      </c>
      <c r="E825" s="4" t="inlineStr">
        <is>
          <t>15º PAV.</t>
        </is>
      </c>
      <c r="F825" s="126" t="n">
        <v>46688</v>
      </c>
      <c r="G825" s="126" t="n">
        <v>46701</v>
      </c>
      <c r="H825" s="126" t="n">
        <v>46289</v>
      </c>
      <c r="I825" s="4" t="n">
        <v>0</v>
      </c>
      <c r="J825" s="4" t="n">
        <v>0</v>
      </c>
      <c r="K825" s="4" t="n">
        <v>0</v>
      </c>
      <c r="M825" s="2">
        <f>IF(C825="","",IFERROR(INDEX($S$5:$S$304,MATCH(C825,$R$5:$R$304,0))&amp;"","?"))</f>
        <v/>
      </c>
      <c r="N825" s="2">
        <f>IF(E825="","",IF(ISNUMBER(SEARCH("SUBSOLO",E825)),IFERROR(-VALUE(LEFT(E825,FIND("º",SUBSTITUTE(E825,"°","º"))-1)),-1),IF(LEFT(E825,6)="TÉRREO",0,IFERROR(VALUE(LEFT(E825,FIND("º",SUBSTITUTE(E825,"°","º"))-1)),""))))</f>
        <v/>
      </c>
      <c r="O825" s="2">
        <f>IF(OR(F825="",G825=""),"",IF(G825&lt;='RETRATO 2027'!$K$5,"CONCLUÍDA",IF(F825&lt;='RETRATO 2027'!$K$5,"EM ANDAMENTO","A INICIAR")))</f>
        <v/>
      </c>
    </row>
    <row r="826">
      <c r="B826" s="4" t="n">
        <v>32750415</v>
      </c>
      <c r="C826" s="4" t="inlineStr">
        <is>
          <t>DISTRIBUIÇÃO HIDRÁULICA - DRYWALL</t>
        </is>
      </c>
      <c r="D826" s="4" t="inlineStr">
        <is>
          <t>-</t>
        </is>
      </c>
      <c r="E826" s="4" t="inlineStr">
        <is>
          <t>15º PAV.</t>
        </is>
      </c>
      <c r="F826" s="126" t="n">
        <v>46688</v>
      </c>
      <c r="G826" s="126" t="n">
        <v>46701</v>
      </c>
      <c r="H826" s="126" t="n">
        <v>46289</v>
      </c>
      <c r="I826" s="4" t="n">
        <v>0</v>
      </c>
      <c r="J826" s="4" t="n">
        <v>0</v>
      </c>
      <c r="K826" s="4" t="n">
        <v>0</v>
      </c>
      <c r="M826" s="2">
        <f>IF(C826="","",IFERROR(INDEX($S$5:$S$304,MATCH(C826,$R$5:$R$304,0))&amp;"","?"))</f>
        <v/>
      </c>
      <c r="N826" s="2">
        <f>IF(E826="","",IF(ISNUMBER(SEARCH("SUBSOLO",E826)),IFERROR(-VALUE(LEFT(E826,FIND("º",SUBSTITUTE(E826,"°","º"))-1)),-1),IF(LEFT(E826,6)="TÉRREO",0,IFERROR(VALUE(LEFT(E826,FIND("º",SUBSTITUTE(E826,"°","º"))-1)),""))))</f>
        <v/>
      </c>
      <c r="O826" s="2">
        <f>IF(OR(F826="",G826=""),"",IF(G826&lt;='RETRATO 2027'!$K$5,"CONCLUÍDA",IF(F826&lt;='RETRATO 2027'!$K$5,"EM ANDAMENTO","A INICIAR")))</f>
        <v/>
      </c>
    </row>
    <row r="827">
      <c r="B827" s="4" t="n">
        <v>33896833</v>
      </c>
      <c r="C827" s="4" t="inlineStr">
        <is>
          <t>INFRAESTRUTURA - AR CONDICIONADO</t>
        </is>
      </c>
      <c r="D827" s="4" t="inlineStr">
        <is>
          <t>-</t>
        </is>
      </c>
      <c r="E827" s="4" t="inlineStr">
        <is>
          <t>15º PAV.</t>
        </is>
      </c>
      <c r="F827" s="126" t="n">
        <v>46688</v>
      </c>
      <c r="G827" s="126" t="n">
        <v>46701</v>
      </c>
      <c r="H827" s="126" t="n">
        <v>46289</v>
      </c>
      <c r="I827" s="4" t="n">
        <v>0</v>
      </c>
      <c r="J827" s="4" t="n">
        <v>0</v>
      </c>
      <c r="K827" s="4" t="n">
        <v>0</v>
      </c>
      <c r="M827" s="2">
        <f>IF(C827="","",IFERROR(INDEX($S$5:$S$304,MATCH(C827,$R$5:$R$304,0))&amp;"","?"))</f>
        <v/>
      </c>
      <c r="N827" s="2">
        <f>IF(E827="","",IF(ISNUMBER(SEARCH("SUBSOLO",E827)),IFERROR(-VALUE(LEFT(E827,FIND("º",SUBSTITUTE(E827,"°","º"))-1)),-1),IF(LEFT(E827,6)="TÉRREO",0,IFERROR(VALUE(LEFT(E827,FIND("º",SUBSTITUTE(E827,"°","º"))-1)),""))))</f>
        <v/>
      </c>
      <c r="O827" s="2">
        <f>IF(OR(F827="",G827=""),"",IF(G827&lt;='RETRATO 2027'!$K$5,"CONCLUÍDA",IF(F827&lt;='RETRATO 2027'!$K$5,"EM ANDAMENTO","A INICIAR")))</f>
        <v/>
      </c>
    </row>
    <row r="828">
      <c r="B828" s="4" t="n">
        <v>32749859</v>
      </c>
      <c r="C828" s="4" t="inlineStr">
        <is>
          <t>DRYWALL 1º FACE</t>
        </is>
      </c>
      <c r="D828" s="4" t="inlineStr">
        <is>
          <t>-</t>
        </is>
      </c>
      <c r="E828" s="4" t="inlineStr">
        <is>
          <t>16º PAV.</t>
        </is>
      </c>
      <c r="F828" s="126" t="n">
        <v>46688</v>
      </c>
      <c r="G828" s="126" t="n">
        <v>46701</v>
      </c>
      <c r="H828" s="126" t="n">
        <v>46289</v>
      </c>
      <c r="I828" s="4" t="n">
        <v>0</v>
      </c>
      <c r="J828" s="4" t="n">
        <v>0</v>
      </c>
      <c r="K828" s="4" t="n">
        <v>0</v>
      </c>
      <c r="M828" s="2">
        <f>IF(C828="","",IFERROR(INDEX($S$5:$S$304,MATCH(C828,$R$5:$R$304,0))&amp;"","?"))</f>
        <v/>
      </c>
      <c r="N828" s="2">
        <f>IF(E828="","",IF(ISNUMBER(SEARCH("SUBSOLO",E828)),IFERROR(-VALUE(LEFT(E828,FIND("º",SUBSTITUTE(E828,"°","º"))-1)),-1),IF(LEFT(E828,6)="TÉRREO",0,IFERROR(VALUE(LEFT(E828,FIND("º",SUBSTITUTE(E828,"°","º"))-1)),""))))</f>
        <v/>
      </c>
      <c r="O828" s="2">
        <f>IF(OR(F828="",G828=""),"",IF(G828&lt;='RETRATO 2027'!$K$5,"CONCLUÍDA",IF(F828&lt;='RETRATO 2027'!$K$5,"EM ANDAMENTO","A INICIAR")))</f>
        <v/>
      </c>
    </row>
    <row r="829">
      <c r="B829" s="4" t="n">
        <v>29981177</v>
      </c>
      <c r="C829" s="4" t="inlineStr">
        <is>
          <t>CONTRAPISO</t>
        </is>
      </c>
      <c r="D829" s="4" t="inlineStr">
        <is>
          <t>-</t>
        </is>
      </c>
      <c r="E829" s="4" t="inlineStr">
        <is>
          <t>17º PAV.</t>
        </is>
      </c>
      <c r="F829" s="126" t="n">
        <v>46688</v>
      </c>
      <c r="G829" s="126" t="n">
        <v>46701</v>
      </c>
      <c r="H829" s="126" t="n">
        <v>46289</v>
      </c>
      <c r="I829" s="4" t="n">
        <v>0</v>
      </c>
      <c r="J829" s="4" t="n">
        <v>0</v>
      </c>
      <c r="K829" s="4" t="n">
        <v>0</v>
      </c>
      <c r="M829" s="2">
        <f>IF(C829="","",IFERROR(INDEX($S$5:$S$304,MATCH(C829,$R$5:$R$304,0))&amp;"","?"))</f>
        <v/>
      </c>
      <c r="N829" s="2">
        <f>IF(E829="","",IF(ISNUMBER(SEARCH("SUBSOLO",E829)),IFERROR(-VALUE(LEFT(E829,FIND("º",SUBSTITUTE(E829,"°","º"))-1)),-1),IF(LEFT(E829,6)="TÉRREO",0,IFERROR(VALUE(LEFT(E829,FIND("º",SUBSTITUTE(E829,"°","º"))-1)),""))))</f>
        <v/>
      </c>
      <c r="O829" s="2">
        <f>IF(OR(F829="",G829=""),"",IF(G829&lt;='RETRATO 2027'!$K$5,"CONCLUÍDA",IF(F829&lt;='RETRATO 2027'!$K$5,"EM ANDAMENTO","A INICIAR")))</f>
        <v/>
      </c>
    </row>
    <row r="830">
      <c r="B830" s="4" t="n">
        <v>29981117</v>
      </c>
      <c r="C830" s="4" t="inlineStr">
        <is>
          <t>SHAFT INTERNO INST. HIDRAÚLICAS</t>
        </is>
      </c>
      <c r="D830" s="4" t="inlineStr">
        <is>
          <t>-</t>
        </is>
      </c>
      <c r="E830" s="4" t="inlineStr">
        <is>
          <t>18º PAV.</t>
        </is>
      </c>
      <c r="F830" s="126" t="n">
        <v>46688</v>
      </c>
      <c r="G830" s="126" t="n">
        <v>46701</v>
      </c>
      <c r="H830" s="126" t="n">
        <v>46289</v>
      </c>
      <c r="I830" s="4" t="n">
        <v>0</v>
      </c>
      <c r="J830" s="4" t="n">
        <v>0</v>
      </c>
      <c r="K830" s="4" t="n">
        <v>0</v>
      </c>
      <c r="M830" s="2">
        <f>IF(C830="","",IFERROR(INDEX($S$5:$S$304,MATCH(C830,$R$5:$R$304,0))&amp;"","?"))</f>
        <v/>
      </c>
      <c r="N830" s="2">
        <f>IF(E830="","",IF(ISNUMBER(SEARCH("SUBSOLO",E830)),IFERROR(-VALUE(LEFT(E830,FIND("º",SUBSTITUTE(E830,"°","º"))-1)),-1),IF(LEFT(E830,6)="TÉRREO",0,IFERROR(VALUE(LEFT(E830,FIND("º",SUBSTITUTE(E830,"°","º"))-1)),""))))</f>
        <v/>
      </c>
      <c r="O830" s="2">
        <f>IF(OR(F830="",G830=""),"",IF(G830&lt;='RETRATO 2027'!$K$5,"CONCLUÍDA",IF(F830&lt;='RETRATO 2027'!$K$5,"EM ANDAMENTO","A INICIAR")))</f>
        <v/>
      </c>
    </row>
    <row r="831">
      <c r="B831" s="4" t="n">
        <v>29981150</v>
      </c>
      <c r="C831" s="4" t="inlineStr">
        <is>
          <t>PRUMADA ELÉTRICA - INFRA</t>
        </is>
      </c>
      <c r="D831" s="4" t="inlineStr">
        <is>
          <t>-</t>
        </is>
      </c>
      <c r="E831" s="4" t="inlineStr">
        <is>
          <t>18º PAV.</t>
        </is>
      </c>
      <c r="F831" s="126" t="n">
        <v>46688</v>
      </c>
      <c r="G831" s="126" t="n">
        <v>46701</v>
      </c>
      <c r="H831" s="126" t="n">
        <v>46289</v>
      </c>
      <c r="I831" s="4" t="n">
        <v>0</v>
      </c>
      <c r="J831" s="4" t="n">
        <v>0</v>
      </c>
      <c r="K831" s="4" t="n">
        <v>0</v>
      </c>
      <c r="M831" s="2">
        <f>IF(C831="","",IFERROR(INDEX($S$5:$S$304,MATCH(C831,$R$5:$R$304,0))&amp;"","?"))</f>
        <v/>
      </c>
      <c r="N831" s="2">
        <f>IF(E831="","",IF(ISNUMBER(SEARCH("SUBSOLO",E831)),IFERROR(-VALUE(LEFT(E831,FIND("º",SUBSTITUTE(E831,"°","º"))-1)),-1),IF(LEFT(E831,6)="TÉRREO",0,IFERROR(VALUE(LEFT(E831,FIND("º",SUBSTITUTE(E831,"°","º"))-1)),""))))</f>
        <v/>
      </c>
      <c r="O831" s="2">
        <f>IF(OR(F831="",G831=""),"",IF(G831&lt;='RETRATO 2027'!$K$5,"CONCLUÍDA",IF(F831&lt;='RETRATO 2027'!$K$5,"EM ANDAMENTO","A INICIAR")))</f>
        <v/>
      </c>
    </row>
    <row r="832">
      <c r="B832" s="4" t="n">
        <v>29981042</v>
      </c>
      <c r="C832" s="4" t="inlineStr">
        <is>
          <t>REBOCO INTERNO</t>
        </is>
      </c>
      <c r="D832" s="4" t="inlineStr">
        <is>
          <t>-</t>
        </is>
      </c>
      <c r="E832" s="4" t="inlineStr">
        <is>
          <t>20º PAV.</t>
        </is>
      </c>
      <c r="F832" s="126" t="n">
        <v>46688</v>
      </c>
      <c r="G832" s="126" t="n">
        <v>46701</v>
      </c>
      <c r="H832" s="126" t="n">
        <v>46289</v>
      </c>
      <c r="I832" s="4" t="n">
        <v>0</v>
      </c>
      <c r="J832" s="4" t="n">
        <v>0</v>
      </c>
      <c r="K832" s="4" t="n">
        <v>0</v>
      </c>
      <c r="M832" s="2">
        <f>IF(C832="","",IFERROR(INDEX($S$5:$S$304,MATCH(C832,$R$5:$R$304,0))&amp;"","?"))</f>
        <v/>
      </c>
      <c r="N832" s="2">
        <f>IF(E832="","",IF(ISNUMBER(SEARCH("SUBSOLO",E832)),IFERROR(-VALUE(LEFT(E832,FIND("º",SUBSTITUTE(E832,"°","º"))-1)),-1),IF(LEFT(E832,6)="TÉRREO",0,IFERROR(VALUE(LEFT(E832,FIND("º",SUBSTITUTE(E832,"°","º"))-1)),""))))</f>
        <v/>
      </c>
      <c r="O832" s="2">
        <f>IF(OR(F832="",G832=""),"",IF(G832&lt;='RETRATO 2027'!$K$5,"CONCLUÍDA",IF(F832&lt;='RETRATO 2027'!$K$5,"EM ANDAMENTO","A INICIAR")))</f>
        <v/>
      </c>
    </row>
    <row r="833">
      <c r="B833" s="4" t="n">
        <v>29981008</v>
      </c>
      <c r="C833" s="4" t="inlineStr">
        <is>
          <t>CONTRAMARCO</t>
        </is>
      </c>
      <c r="D833" s="4" t="inlineStr">
        <is>
          <t>-</t>
        </is>
      </c>
      <c r="E833" s="4" t="inlineStr">
        <is>
          <t>21º PAV.</t>
        </is>
      </c>
      <c r="F833" s="126" t="n">
        <v>46688</v>
      </c>
      <c r="G833" s="126" t="n">
        <v>46701</v>
      </c>
      <c r="H833" s="126" t="n">
        <v>46289</v>
      </c>
      <c r="I833" s="4" t="n">
        <v>0</v>
      </c>
      <c r="J833" s="4" t="n">
        <v>0</v>
      </c>
      <c r="K833" s="4" t="n">
        <v>0</v>
      </c>
      <c r="M833" s="2">
        <f>IF(C833="","",IFERROR(INDEX($S$5:$S$304,MATCH(C833,$R$5:$R$304,0))&amp;"","?"))</f>
        <v/>
      </c>
      <c r="N833" s="2">
        <f>IF(E833="","",IF(ISNUMBER(SEARCH("SUBSOLO",E833)),IFERROR(-VALUE(LEFT(E833,FIND("º",SUBSTITUTE(E833,"°","º"))-1)),-1),IF(LEFT(E833,6)="TÉRREO",0,IFERROR(VALUE(LEFT(E833,FIND("º",SUBSTITUTE(E833,"°","º"))-1)),""))))</f>
        <v/>
      </c>
      <c r="O833" s="2">
        <f>IF(OR(F833="",G833=""),"",IF(G833&lt;='RETRATO 2027'!$K$5,"CONCLUÍDA",IF(F833&lt;='RETRATO 2027'!$K$5,"EM ANDAMENTO","A INICIAR")))</f>
        <v/>
      </c>
    </row>
    <row r="834">
      <c r="B834" s="4" t="n">
        <v>29981001</v>
      </c>
      <c r="C834" s="4" t="inlineStr">
        <is>
          <t>DISTRIBUIÇÃO HIDROSSANITÁRIA</t>
        </is>
      </c>
      <c r="D834" s="4" t="inlineStr">
        <is>
          <t>-</t>
        </is>
      </c>
      <c r="E834" s="4" t="inlineStr">
        <is>
          <t>22º PAV.</t>
        </is>
      </c>
      <c r="F834" s="126" t="n">
        <v>46688</v>
      </c>
      <c r="G834" s="126" t="n">
        <v>46701</v>
      </c>
      <c r="H834" s="126" t="n">
        <v>46289</v>
      </c>
      <c r="I834" s="4" t="n">
        <v>0</v>
      </c>
      <c r="J834" s="4" t="n">
        <v>0</v>
      </c>
      <c r="K834" s="4" t="n">
        <v>0</v>
      </c>
      <c r="M834" s="2">
        <f>IF(C834="","",IFERROR(INDEX($S$5:$S$304,MATCH(C834,$R$5:$R$304,0))&amp;"","?"))</f>
        <v/>
      </c>
      <c r="N834" s="2">
        <f>IF(E834="","",IF(ISNUMBER(SEARCH("SUBSOLO",E834)),IFERROR(-VALUE(LEFT(E834,FIND("º",SUBSTITUTE(E834,"°","º"))-1)),-1),IF(LEFT(E834,6)="TÉRREO",0,IFERROR(VALUE(LEFT(E834,FIND("º",SUBSTITUTE(E834,"°","º"))-1)),""))))</f>
        <v/>
      </c>
      <c r="O834" s="2">
        <f>IF(OR(F834="",G834=""),"",IF(G834&lt;='RETRATO 2027'!$K$5,"CONCLUÍDA",IF(F834&lt;='RETRATO 2027'!$K$5,"EM ANDAMENTO","A INICIAR")))</f>
        <v/>
      </c>
    </row>
    <row r="835">
      <c r="B835" s="4" t="n">
        <v>29980970</v>
      </c>
      <c r="C835" s="4" t="inlineStr">
        <is>
          <t>DISTRIBUIÇÃO ELÉTRICA / QUADRO</t>
        </is>
      </c>
      <c r="D835" s="4" t="inlineStr">
        <is>
          <t>-</t>
        </is>
      </c>
      <c r="E835" s="4" t="inlineStr">
        <is>
          <t>22º PAV.</t>
        </is>
      </c>
      <c r="F835" s="126" t="n">
        <v>46688</v>
      </c>
      <c r="G835" s="126" t="n">
        <v>46701</v>
      </c>
      <c r="H835" s="126" t="n">
        <v>46289</v>
      </c>
      <c r="I835" s="4" t="n">
        <v>0</v>
      </c>
      <c r="J835" s="4" t="n">
        <v>0</v>
      </c>
      <c r="K835" s="4" t="n">
        <v>0</v>
      </c>
      <c r="M835" s="2">
        <f>IF(C835="","",IFERROR(INDEX($S$5:$S$304,MATCH(C835,$R$5:$R$304,0))&amp;"","?"))</f>
        <v/>
      </c>
      <c r="N835" s="2">
        <f>IF(E835="","",IF(ISNUMBER(SEARCH("SUBSOLO",E835)),IFERROR(-VALUE(LEFT(E835,FIND("º",SUBSTITUTE(E835,"°","º"))-1)),-1),IF(LEFT(E835,6)="TÉRREO",0,IFERROR(VALUE(LEFT(E835,FIND("º",SUBSTITUTE(E835,"°","º"))-1)),""))))</f>
        <v/>
      </c>
      <c r="O835" s="2">
        <f>IF(OR(F835="",G835=""),"",IF(G835&lt;='RETRATO 2027'!$K$5,"CONCLUÍDA",IF(F835&lt;='RETRATO 2027'!$K$5,"EM ANDAMENTO","A INICIAR")))</f>
        <v/>
      </c>
    </row>
    <row r="836">
      <c r="B836" s="4" t="n">
        <v>29981003</v>
      </c>
      <c r="C836" s="4" t="inlineStr">
        <is>
          <t>DISTRIBUIÇÃO DE GÁS</t>
        </is>
      </c>
      <c r="D836" s="4" t="inlineStr">
        <is>
          <t>-</t>
        </is>
      </c>
      <c r="E836" s="4" t="inlineStr">
        <is>
          <t>22º PAV.</t>
        </is>
      </c>
      <c r="F836" s="126" t="n">
        <v>46688</v>
      </c>
      <c r="G836" s="126" t="n">
        <v>46701</v>
      </c>
      <c r="H836" s="126" t="n">
        <v>46289</v>
      </c>
      <c r="I836" s="4" t="n">
        <v>0</v>
      </c>
      <c r="J836" s="4" t="n">
        <v>0</v>
      </c>
      <c r="K836" s="4" t="n">
        <v>0</v>
      </c>
      <c r="M836" s="2">
        <f>IF(C836="","",IFERROR(INDEX($S$5:$S$304,MATCH(C836,$R$5:$R$304,0))&amp;"","?"))</f>
        <v/>
      </c>
      <c r="N836" s="2">
        <f>IF(E836="","",IF(ISNUMBER(SEARCH("SUBSOLO",E836)),IFERROR(-VALUE(LEFT(E836,FIND("º",SUBSTITUTE(E836,"°","º"))-1)),-1),IF(LEFT(E836,6)="TÉRREO",0,IFERROR(VALUE(LEFT(E836,FIND("º",SUBSTITUTE(E836,"°","º"))-1)),""))))</f>
        <v/>
      </c>
      <c r="O836" s="2">
        <f>IF(OR(F836="",G836=""),"",IF(G836&lt;='RETRATO 2027'!$K$5,"CONCLUÍDA",IF(F836&lt;='RETRATO 2027'!$K$5,"EM ANDAMENTO","A INICIAR")))</f>
        <v/>
      </c>
    </row>
    <row r="837">
      <c r="B837" s="4" t="n">
        <v>29980950</v>
      </c>
      <c r="C837" s="4" t="inlineStr">
        <is>
          <t>TALISCAMENTO</t>
        </is>
      </c>
      <c r="D837" s="4" t="inlineStr">
        <is>
          <t>-</t>
        </is>
      </c>
      <c r="E837" s="4" t="inlineStr">
        <is>
          <t>23º PAV.</t>
        </is>
      </c>
      <c r="F837" s="126" t="n">
        <v>46688</v>
      </c>
      <c r="G837" s="126" t="n">
        <v>46701</v>
      </c>
      <c r="H837" s="126" t="n">
        <v>46289</v>
      </c>
      <c r="I837" s="4" t="n">
        <v>0</v>
      </c>
      <c r="J837" s="4" t="n">
        <v>0</v>
      </c>
      <c r="K837" s="4" t="n">
        <v>0</v>
      </c>
      <c r="M837" s="2">
        <f>IF(C837="","",IFERROR(INDEX($S$5:$S$304,MATCH(C837,$R$5:$R$304,0))&amp;"","?"))</f>
        <v/>
      </c>
      <c r="N837" s="2">
        <f>IF(E837="","",IF(ISNUMBER(SEARCH("SUBSOLO",E837)),IFERROR(-VALUE(LEFT(E837,FIND("º",SUBSTITUTE(E837,"°","º"))-1)),-1),IF(LEFT(E837,6)="TÉRREO",0,IFERROR(VALUE(LEFT(E837,FIND("º",SUBSTITUTE(E837,"°","º"))-1)),""))))</f>
        <v/>
      </c>
      <c r="O837" s="2">
        <f>IF(OR(F837="",G837=""),"",IF(G837&lt;='RETRATO 2027'!$K$5,"CONCLUÍDA",IF(F837&lt;='RETRATO 2027'!$K$5,"EM ANDAMENTO","A INICIAR")))</f>
        <v/>
      </c>
    </row>
    <row r="838">
      <c r="B838" s="4" t="n">
        <v>29980916</v>
      </c>
      <c r="C838" s="4" t="inlineStr">
        <is>
          <t>PRUMADA HIDROSSANITÁRIA</t>
        </is>
      </c>
      <c r="D838" s="4" t="inlineStr">
        <is>
          <t>-</t>
        </is>
      </c>
      <c r="E838" s="4" t="inlineStr">
        <is>
          <t>24º PAV.</t>
        </is>
      </c>
      <c r="F838" s="126" t="n">
        <v>46688</v>
      </c>
      <c r="G838" s="126" t="n">
        <v>46701</v>
      </c>
      <c r="H838" s="126" t="n">
        <v>46289</v>
      </c>
      <c r="I838" s="4" t="n">
        <v>0</v>
      </c>
      <c r="J838" s="4" t="n">
        <v>0</v>
      </c>
      <c r="K838" s="4" t="n">
        <v>0</v>
      </c>
      <c r="M838" s="2">
        <f>IF(C838="","",IFERROR(INDEX($S$5:$S$304,MATCH(C838,$R$5:$R$304,0))&amp;"","?"))</f>
        <v/>
      </c>
      <c r="N838" s="2">
        <f>IF(E838="","",IF(ISNUMBER(SEARCH("SUBSOLO",E838)),IFERROR(-VALUE(LEFT(E838,FIND("º",SUBSTITUTE(E838,"°","º"))-1)),-1),IF(LEFT(E838,6)="TÉRREO",0,IFERROR(VALUE(LEFT(E838,FIND("º",SUBSTITUTE(E838,"°","º"))-1)),""))))</f>
        <v/>
      </c>
      <c r="O838" s="2">
        <f>IF(OR(F838="",G838=""),"",IF(G838&lt;='RETRATO 2027'!$K$5,"CONCLUÍDA",IF(F838&lt;='RETRATO 2027'!$K$5,"EM ANDAMENTO","A INICIAR")))</f>
        <v/>
      </c>
    </row>
    <row r="839">
      <c r="B839" s="4" t="n">
        <v>30205783</v>
      </c>
      <c r="C839" s="4" t="inlineStr">
        <is>
          <t>TALISCAMENTO</t>
        </is>
      </c>
      <c r="D839" s="4" t="inlineStr">
        <is>
          <t>-</t>
        </is>
      </c>
      <c r="E839" s="4" t="inlineStr">
        <is>
          <t>TÉRREO - ACESSO COMERCIAL + DML + ARS + ÁREA TEC + LAVABO + DISPENSA</t>
        </is>
      </c>
      <c r="F839" s="126" t="n">
        <v>46692</v>
      </c>
      <c r="G839" s="126" t="n">
        <v>46707</v>
      </c>
      <c r="H839" s="126" t="n">
        <v>46289</v>
      </c>
      <c r="I839" s="4" t="n">
        <v>0</v>
      </c>
      <c r="J839" s="4" t="n">
        <v>0</v>
      </c>
      <c r="K839" s="4" t="n">
        <v>0</v>
      </c>
      <c r="M839" s="2">
        <f>IF(C839="","",IFERROR(INDEX($S$5:$S$304,MATCH(C839,$R$5:$R$304,0))&amp;"","?"))</f>
        <v/>
      </c>
      <c r="N839" s="2">
        <f>IF(E839="","",IF(ISNUMBER(SEARCH("SUBSOLO",E839)),IFERROR(-VALUE(LEFT(E839,FIND("º",SUBSTITUTE(E839,"°","º"))-1)),-1),IF(LEFT(E839,6)="TÉRREO",0,IFERROR(VALUE(LEFT(E839,FIND("º",SUBSTITUTE(E839,"°","º"))-1)),""))))</f>
        <v/>
      </c>
      <c r="O839" s="2">
        <f>IF(OR(F839="",G839=""),"",IF(G839&lt;='RETRATO 2027'!$K$5,"CONCLUÍDA",IF(F839&lt;='RETRATO 2027'!$K$5,"EM ANDAMENTO","A INICIAR")))</f>
        <v/>
      </c>
    </row>
    <row r="840">
      <c r="B840" s="4" t="n">
        <v>30205804</v>
      </c>
      <c r="C840" s="4" t="inlineStr">
        <is>
          <t>PRUMADA HIDROSSANITÁRIA</t>
        </is>
      </c>
      <c r="D840" s="4" t="inlineStr">
        <is>
          <t>-</t>
        </is>
      </c>
      <c r="E840" s="4" t="inlineStr">
        <is>
          <t>TÉRREO - HALL SOCIAL + ECLUSA + CIRCULAÇÃO</t>
        </is>
      </c>
      <c r="F840" s="126" t="n">
        <v>46692</v>
      </c>
      <c r="G840" s="126" t="n">
        <v>46707</v>
      </c>
      <c r="H840" s="126" t="n">
        <v>46289</v>
      </c>
      <c r="I840" s="4" t="n">
        <v>0</v>
      </c>
      <c r="J840" s="4" t="n">
        <v>0</v>
      </c>
      <c r="K840" s="4" t="n">
        <v>0</v>
      </c>
      <c r="M840" s="2">
        <f>IF(C840="","",IFERROR(INDEX($S$5:$S$304,MATCH(C840,$R$5:$R$304,0))&amp;"","?"))</f>
        <v/>
      </c>
      <c r="N840" s="2">
        <f>IF(E840="","",IF(ISNUMBER(SEARCH("SUBSOLO",E840)),IFERROR(-VALUE(LEFT(E840,FIND("º",SUBSTITUTE(E840,"°","º"))-1)),-1),IF(LEFT(E840,6)="TÉRREO",0,IFERROR(VALUE(LEFT(E840,FIND("º",SUBSTITUTE(E840,"°","º"))-1)),""))))</f>
        <v/>
      </c>
      <c r="O840" s="2">
        <f>IF(OR(F840="",G840=""),"",IF(G840&lt;='RETRATO 2027'!$K$5,"CONCLUÍDA",IF(F840&lt;='RETRATO 2027'!$K$5,"EM ANDAMENTO","A INICIAR")))</f>
        <v/>
      </c>
    </row>
    <row r="841">
      <c r="B841" s="4" t="n">
        <v>30205803</v>
      </c>
      <c r="C841" s="4" t="inlineStr">
        <is>
          <t>PRUMADA DE INCÊNDIO</t>
        </is>
      </c>
      <c r="D841" s="4" t="inlineStr">
        <is>
          <t>-</t>
        </is>
      </c>
      <c r="E841" s="4" t="inlineStr">
        <is>
          <t>TÉRREO - HALL SOCIAL + ECLUSA + CIRCULAÇÃO</t>
        </is>
      </c>
      <c r="F841" s="126" t="n">
        <v>46692</v>
      </c>
      <c r="G841" s="126" t="n">
        <v>46707</v>
      </c>
      <c r="H841" s="126" t="n">
        <v>46289</v>
      </c>
      <c r="I841" s="4" t="n">
        <v>0</v>
      </c>
      <c r="J841" s="4" t="n">
        <v>0</v>
      </c>
      <c r="K841" s="4" t="n">
        <v>0</v>
      </c>
      <c r="M841" s="2">
        <f>IF(C841="","",IFERROR(INDEX($S$5:$S$304,MATCH(C841,$R$5:$R$304,0))&amp;"","?"))</f>
        <v/>
      </c>
      <c r="N841" s="2">
        <f>IF(E841="","",IF(ISNUMBER(SEARCH("SUBSOLO",E841)),IFERROR(-VALUE(LEFT(E841,FIND("º",SUBSTITUTE(E841,"°","º"))-1)),-1),IF(LEFT(E841,6)="TÉRREO",0,IFERROR(VALUE(LEFT(E841,FIND("º",SUBSTITUTE(E841,"°","º"))-1)),""))))</f>
        <v/>
      </c>
      <c r="O841" s="2">
        <f>IF(OR(F841="",G841=""),"",IF(G841&lt;='RETRATO 2027'!$K$5,"CONCLUÍDA",IF(F841&lt;='RETRATO 2027'!$K$5,"EM ANDAMENTO","A INICIAR")))</f>
        <v/>
      </c>
    </row>
    <row r="842">
      <c r="B842" s="4" t="n">
        <v>30205805</v>
      </c>
      <c r="C842" s="4" t="inlineStr">
        <is>
          <t>ENCUNHAMENTO</t>
        </is>
      </c>
      <c r="D842" s="4" t="inlineStr">
        <is>
          <t>-</t>
        </is>
      </c>
      <c r="E842" s="4" t="inlineStr">
        <is>
          <t>TÉRREO - HALL SOCIAL + ECLUSA + CIRCULAÇÃO</t>
        </is>
      </c>
      <c r="F842" s="126" t="n">
        <v>46692</v>
      </c>
      <c r="G842" s="126" t="n">
        <v>46707</v>
      </c>
      <c r="H842" s="126" t="n">
        <v>46289</v>
      </c>
      <c r="I842" s="4" t="n">
        <v>0</v>
      </c>
      <c r="J842" s="4" t="n">
        <v>0</v>
      </c>
      <c r="K842" s="4" t="n">
        <v>0</v>
      </c>
      <c r="M842" s="2">
        <f>IF(C842="","",IFERROR(INDEX($S$5:$S$304,MATCH(C842,$R$5:$R$304,0))&amp;"","?"))</f>
        <v/>
      </c>
      <c r="N842" s="2">
        <f>IF(E842="","",IF(ISNUMBER(SEARCH("SUBSOLO",E842)),IFERROR(-VALUE(LEFT(E842,FIND("º",SUBSTITUTE(E842,"°","º"))-1)),-1),IF(LEFT(E842,6)="TÉRREO",0,IFERROR(VALUE(LEFT(E842,FIND("º",SUBSTITUTE(E842,"°","º"))-1)),""))))</f>
        <v/>
      </c>
      <c r="O842" s="2">
        <f>IF(OR(F842="",G842=""),"",IF(G842&lt;='RETRATO 2027'!$K$5,"CONCLUÍDA",IF(F842&lt;='RETRATO 2027'!$K$5,"EM ANDAMENTO","A INICIAR")))</f>
        <v/>
      </c>
    </row>
    <row r="843">
      <c r="B843" s="4" t="n">
        <v>30205834</v>
      </c>
      <c r="C843" s="4" t="inlineStr">
        <is>
          <t>ALVENARIA</t>
        </is>
      </c>
      <c r="D843" s="4" t="inlineStr">
        <is>
          <t>-</t>
        </is>
      </c>
      <c r="E843" s="4" t="inlineStr">
        <is>
          <t>1º PAV. (INTERMEDIÁRIO)</t>
        </is>
      </c>
      <c r="F843" s="126" t="n">
        <v>46692</v>
      </c>
      <c r="G843" s="126" t="n">
        <v>46714</v>
      </c>
      <c r="H843" s="126" t="n">
        <v>46289</v>
      </c>
      <c r="I843" s="4" t="n">
        <v>0</v>
      </c>
      <c r="J843" s="4" t="n">
        <v>0</v>
      </c>
      <c r="K843" s="4" t="n">
        <v>0</v>
      </c>
      <c r="M843" s="2">
        <f>IF(C843="","",IFERROR(INDEX($S$5:$S$304,MATCH(C843,$R$5:$R$304,0))&amp;"","?"))</f>
        <v/>
      </c>
      <c r="N843" s="2">
        <f>IF(E843="","",IF(ISNUMBER(SEARCH("SUBSOLO",E843)),IFERROR(-VALUE(LEFT(E843,FIND("º",SUBSTITUTE(E843,"°","º"))-1)),-1),IF(LEFT(E843,6)="TÉRREO",0,IFERROR(VALUE(LEFT(E843,FIND("º",SUBSTITUTE(E843,"°","º"))-1)),""))))</f>
        <v/>
      </c>
      <c r="O843" s="2">
        <f>IF(OR(F843="",G843=""),"",IF(G843&lt;='RETRATO 2027'!$K$5,"CONCLUÍDA",IF(F843&lt;='RETRATO 2027'!$K$5,"EM ANDAMENTO","A INICIAR")))</f>
        <v/>
      </c>
    </row>
    <row r="844">
      <c r="B844" s="4" t="n">
        <v>30171435</v>
      </c>
      <c r="C844" s="4" t="inlineStr">
        <is>
          <t>DISTRIBUIÇÃO ELÉTRICA / QUADRO</t>
        </is>
      </c>
      <c r="D844" s="4" t="inlineStr">
        <is>
          <t>-</t>
        </is>
      </c>
      <c r="E844" s="4" t="inlineStr">
        <is>
          <t>4º PAV - GARAGEM</t>
        </is>
      </c>
      <c r="F844" s="126" t="n">
        <v>46692</v>
      </c>
      <c r="G844" s="126" t="n">
        <v>46736</v>
      </c>
      <c r="H844" s="126" t="n">
        <v>46289</v>
      </c>
      <c r="I844" s="4" t="n">
        <v>0</v>
      </c>
      <c r="J844" s="4" t="n">
        <v>0</v>
      </c>
      <c r="K844" s="4" t="n">
        <v>0</v>
      </c>
      <c r="M844" s="2">
        <f>IF(C844="","",IFERROR(INDEX($S$5:$S$304,MATCH(C844,$R$5:$R$304,0))&amp;"","?"))</f>
        <v/>
      </c>
      <c r="N844" s="2">
        <f>IF(E844="","",IF(ISNUMBER(SEARCH("SUBSOLO",E844)),IFERROR(-VALUE(LEFT(E844,FIND("º",SUBSTITUTE(E844,"°","º"))-1)),-1),IF(LEFT(E844,6)="TÉRREO",0,IFERROR(VALUE(LEFT(E844,FIND("º",SUBSTITUTE(E844,"°","º"))-1)),""))))</f>
        <v/>
      </c>
      <c r="O844" s="2">
        <f>IF(OR(F844="",G844=""),"",IF(G844&lt;='RETRATO 2027'!$K$5,"CONCLUÍDA",IF(F844&lt;='RETRATO 2027'!$K$5,"EM ANDAMENTO","A INICIAR")))</f>
        <v/>
      </c>
    </row>
    <row r="845">
      <c r="B845" s="4" t="n">
        <v>30171420</v>
      </c>
      <c r="C845" s="4" t="inlineStr">
        <is>
          <t>DISTRIBUIÇÃO HIDRÁULICA</t>
        </is>
      </c>
      <c r="D845" s="4" t="inlineStr">
        <is>
          <t>-</t>
        </is>
      </c>
      <c r="E845" s="4" t="inlineStr">
        <is>
          <t>4º PAV - GARAGEM</t>
        </is>
      </c>
      <c r="F845" s="126" t="n">
        <v>46692</v>
      </c>
      <c r="G845" s="126" t="n">
        <v>46736</v>
      </c>
      <c r="H845" s="126" t="n">
        <v>46289</v>
      </c>
      <c r="I845" s="4" t="n">
        <v>0</v>
      </c>
      <c r="J845" s="4" t="n">
        <v>0</v>
      </c>
      <c r="K845" s="4" t="n">
        <v>0</v>
      </c>
      <c r="M845" s="2">
        <f>IF(C845="","",IFERROR(INDEX($S$5:$S$304,MATCH(C845,$R$5:$R$304,0))&amp;"","?"))</f>
        <v/>
      </c>
      <c r="N845" s="2">
        <f>IF(E845="","",IF(ISNUMBER(SEARCH("SUBSOLO",E845)),IFERROR(-VALUE(LEFT(E845,FIND("º",SUBSTITUTE(E845,"°","º"))-1)),-1),IF(LEFT(E845,6)="TÉRREO",0,IFERROR(VALUE(LEFT(E845,FIND("º",SUBSTITUTE(E845,"°","º"))-1)),""))))</f>
        <v/>
      </c>
      <c r="O845" s="2">
        <f>IF(OR(F845="",G845=""),"",IF(G845&lt;='RETRATO 2027'!$K$5,"CONCLUÍDA",IF(F845&lt;='RETRATO 2027'!$K$5,"EM ANDAMENTO","A INICIAR")))</f>
        <v/>
      </c>
    </row>
    <row r="846">
      <c r="B846" s="4" t="n">
        <v>29980915</v>
      </c>
      <c r="C846" s="4" t="inlineStr">
        <is>
          <t>ENCUNHAMENTO</t>
        </is>
      </c>
      <c r="D846" s="4" t="inlineStr">
        <is>
          <t>-</t>
        </is>
      </c>
      <c r="E846" s="4" t="inlineStr">
        <is>
          <t>24º PAV.</t>
        </is>
      </c>
      <c r="F846" s="126" t="n">
        <v>46692</v>
      </c>
      <c r="G846" s="126" t="n">
        <v>46703</v>
      </c>
      <c r="H846" s="126" t="n">
        <v>46289</v>
      </c>
      <c r="I846" s="4" t="n">
        <v>0</v>
      </c>
      <c r="J846" s="4" t="n">
        <v>0</v>
      </c>
      <c r="K846" s="4" t="n">
        <v>0</v>
      </c>
      <c r="M846" s="2">
        <f>IF(C846="","",IFERROR(INDEX($S$5:$S$304,MATCH(C846,$R$5:$R$304,0))&amp;"","?"))</f>
        <v/>
      </c>
      <c r="N846" s="2">
        <f>IF(E846="","",IF(ISNUMBER(SEARCH("SUBSOLO",E846)),IFERROR(-VALUE(LEFT(E846,FIND("º",SUBSTITUTE(E846,"°","º"))-1)),-1),IF(LEFT(E846,6)="TÉRREO",0,IFERROR(VALUE(LEFT(E846,FIND("º",SUBSTITUTE(E846,"°","º"))-1)),""))))</f>
        <v/>
      </c>
      <c r="O846" s="2">
        <f>IF(OR(F846="",G846=""),"",IF(G846&lt;='RETRATO 2027'!$K$5,"CONCLUÍDA",IF(F846&lt;='RETRATO 2027'!$K$5,"EM ANDAMENTO","A INICIAR")))</f>
        <v/>
      </c>
    </row>
    <row r="847">
      <c r="B847" s="4" t="n">
        <v>29941039</v>
      </c>
      <c r="C847" s="4" t="inlineStr">
        <is>
          <t>ESTRUTURA</t>
        </is>
      </c>
      <c r="D847" s="4" t="inlineStr">
        <is>
          <t>-</t>
        </is>
      </c>
      <c r="E847" s="4" t="inlineStr">
        <is>
          <t>29º PAV.</t>
        </is>
      </c>
      <c r="F847" s="126" t="n">
        <v>46692</v>
      </c>
      <c r="G847" s="126" t="n">
        <v>46703</v>
      </c>
      <c r="H847" s="126" t="n">
        <v>46289</v>
      </c>
      <c r="I847" s="4" t="n">
        <v>0</v>
      </c>
      <c r="J847" s="4" t="n">
        <v>0</v>
      </c>
      <c r="K847" s="4" t="n">
        <v>0</v>
      </c>
      <c r="M847" s="2">
        <f>IF(C847="","",IFERROR(INDEX($S$5:$S$304,MATCH(C847,$R$5:$R$304,0))&amp;"","?"))</f>
        <v/>
      </c>
      <c r="N847" s="2">
        <f>IF(E847="","",IF(ISNUMBER(SEARCH("SUBSOLO",E847)),IFERROR(-VALUE(LEFT(E847,FIND("º",SUBSTITUTE(E847,"°","º"))-1)),-1),IF(LEFT(E847,6)="TÉRREO",0,IFERROR(VALUE(LEFT(E847,FIND("º",SUBSTITUTE(E847,"°","º"))-1)),""))))</f>
        <v/>
      </c>
      <c r="O847" s="2">
        <f>IF(OR(F847="",G847=""),"",IF(G847&lt;='RETRATO 2027'!$K$5,"CONCLUÍDA",IF(F847&lt;='RETRATO 2027'!$K$5,"EM ANDAMENTO","A INICIAR")))</f>
        <v/>
      </c>
    </row>
    <row r="848">
      <c r="B848" s="4" t="n">
        <v>31529066</v>
      </c>
      <c r="C848" s="4" t="inlineStr">
        <is>
          <t>ESTRUTURA</t>
        </is>
      </c>
      <c r="D848" s="4" t="inlineStr">
        <is>
          <t>Forma</t>
        </is>
      </c>
      <c r="E848" s="4" t="inlineStr">
        <is>
          <t>29º PAV.</t>
        </is>
      </c>
      <c r="F848" s="126" t="n">
        <v>46692</v>
      </c>
      <c r="G848" s="126" t="n">
        <v>46699</v>
      </c>
      <c r="H848" s="126" t="n">
        <v>46289</v>
      </c>
      <c r="I848" s="4" t="n">
        <v>0</v>
      </c>
      <c r="J848" s="4" t="n">
        <v>0</v>
      </c>
      <c r="K848" s="4" t="n">
        <v>0</v>
      </c>
      <c r="M848" s="2">
        <f>IF(C848="","",IFERROR(INDEX($S$5:$S$304,MATCH(C848,$R$5:$R$304,0))&amp;"","?"))</f>
        <v/>
      </c>
      <c r="N848" s="2">
        <f>IF(E848="","",IF(ISNUMBER(SEARCH("SUBSOLO",E848)),IFERROR(-VALUE(LEFT(E848,FIND("º",SUBSTITUTE(E848,"°","º"))-1)),-1),IF(LEFT(E848,6)="TÉRREO",0,IFERROR(VALUE(LEFT(E848,FIND("º",SUBSTITUTE(E848,"°","º"))-1)),""))))</f>
        <v/>
      </c>
      <c r="O848" s="2">
        <f>IF(OR(F848="",G848=""),"",IF(G848&lt;='RETRATO 2027'!$K$5,"CONCLUÍDA",IF(F848&lt;='RETRATO 2027'!$K$5,"EM ANDAMENTO","A INICIAR")))</f>
        <v/>
      </c>
    </row>
    <row r="849">
      <c r="B849" s="4" t="n">
        <v>31529067</v>
      </c>
      <c r="C849" s="4" t="inlineStr">
        <is>
          <t>ESTRUTURA</t>
        </is>
      </c>
      <c r="D849" s="4" t="inlineStr">
        <is>
          <t>Armação</t>
        </is>
      </c>
      <c r="E849" s="4" t="inlineStr">
        <is>
          <t>29º PAV.</t>
        </is>
      </c>
      <c r="F849" s="126" t="n">
        <v>46700</v>
      </c>
      <c r="G849" s="126" t="n">
        <v>46702</v>
      </c>
      <c r="H849" s="126" t="n">
        <v>46289</v>
      </c>
      <c r="I849" s="4" t="n">
        <v>0</v>
      </c>
      <c r="J849" s="4" t="n">
        <v>0</v>
      </c>
      <c r="K849" s="4" t="n">
        <v>0</v>
      </c>
      <c r="M849" s="2">
        <f>IF(C849="","",IFERROR(INDEX($S$5:$S$304,MATCH(C849,$R$5:$R$304,0))&amp;"","?"))</f>
        <v/>
      </c>
      <c r="N849" s="2">
        <f>IF(E849="","",IF(ISNUMBER(SEARCH("SUBSOLO",E849)),IFERROR(-VALUE(LEFT(E849,FIND("º",SUBSTITUTE(E849,"°","º"))-1)),-1),IF(LEFT(E849,6)="TÉRREO",0,IFERROR(VALUE(LEFT(E849,FIND("º",SUBSTITUTE(E849,"°","º"))-1)),""))))</f>
        <v/>
      </c>
      <c r="O849" s="2">
        <f>IF(OR(F849="",G849=""),"",IF(G849&lt;='RETRATO 2027'!$K$5,"CONCLUÍDA",IF(F849&lt;='RETRATO 2027'!$K$5,"EM ANDAMENTO","A INICIAR")))</f>
        <v/>
      </c>
    </row>
    <row r="850">
      <c r="B850" s="4" t="n">
        <v>31529068</v>
      </c>
      <c r="C850" s="4" t="inlineStr">
        <is>
          <t>ESTRUTURA</t>
        </is>
      </c>
      <c r="D850" s="4" t="inlineStr">
        <is>
          <t>Concretagem</t>
        </is>
      </c>
      <c r="E850" s="4" t="inlineStr">
        <is>
          <t>29º PAV.</t>
        </is>
      </c>
      <c r="F850" s="126" t="n">
        <v>46703</v>
      </c>
      <c r="G850" s="126" t="n">
        <v>46703</v>
      </c>
      <c r="H850" s="126" t="n">
        <v>46289</v>
      </c>
      <c r="I850" s="4" t="n">
        <v>0</v>
      </c>
      <c r="J850" s="4" t="n">
        <v>0</v>
      </c>
      <c r="K850" s="4" t="n">
        <v>0</v>
      </c>
      <c r="M850" s="2">
        <f>IF(C850="","",IFERROR(INDEX($S$5:$S$304,MATCH(C850,$R$5:$R$304,0))&amp;"","?"))</f>
        <v/>
      </c>
      <c r="N850" s="2">
        <f>IF(E850="","",IF(ISNUMBER(SEARCH("SUBSOLO",E850)),IFERROR(-VALUE(LEFT(E850,FIND("º",SUBSTITUTE(E850,"°","º"))-1)),-1),IF(LEFT(E850,6)="TÉRREO",0,IFERROR(VALUE(LEFT(E850,FIND("º",SUBSTITUTE(E850,"°","º"))-1)),""))))</f>
        <v/>
      </c>
      <c r="O850" s="2">
        <f>IF(OR(F850="",G850=""),"",IF(G850&lt;='RETRATO 2027'!$K$5,"CONCLUÍDA",IF(F850&lt;='RETRATO 2027'!$K$5,"EM ANDAMENTO","A INICIAR")))</f>
        <v/>
      </c>
    </row>
    <row r="851">
      <c r="B851" s="4" t="n">
        <v>31529069</v>
      </c>
      <c r="C851" s="4" t="inlineStr">
        <is>
          <t>ESTRUTURA</t>
        </is>
      </c>
      <c r="D851" s="4" t="inlineStr">
        <is>
          <t>Polimento</t>
        </is>
      </c>
      <c r="E851" s="4" t="inlineStr">
        <is>
          <t>29º PAV.</t>
        </is>
      </c>
      <c r="F851" s="126" t="n">
        <v>46703</v>
      </c>
      <c r="G851" s="126" t="n">
        <v>46703</v>
      </c>
      <c r="H851" s="126" t="n">
        <v>46289</v>
      </c>
      <c r="I851" s="4" t="n">
        <v>0</v>
      </c>
      <c r="J851" s="4" t="n">
        <v>0</v>
      </c>
      <c r="K851" s="4" t="n">
        <v>0</v>
      </c>
      <c r="M851" s="2">
        <f>IF(C851="","",IFERROR(INDEX($S$5:$S$304,MATCH(C851,$R$5:$R$304,0))&amp;"","?"))</f>
        <v/>
      </c>
      <c r="N851" s="2">
        <f>IF(E851="","",IF(ISNUMBER(SEARCH("SUBSOLO",E851)),IFERROR(-VALUE(LEFT(E851,FIND("º",SUBSTITUTE(E851,"°","º"))-1)),-1),IF(LEFT(E851,6)="TÉRREO",0,IFERROR(VALUE(LEFT(E851,FIND("º",SUBSTITUTE(E851,"°","º"))-1)),""))))</f>
        <v/>
      </c>
      <c r="O851" s="2">
        <f>IF(OR(F851="",G851=""),"",IF(G851&lt;='RETRATO 2027'!$K$5,"CONCLUÍDA",IF(F851&lt;='RETRATO 2027'!$K$5,"EM ANDAMENTO","A INICIAR")))</f>
        <v/>
      </c>
    </row>
    <row r="852">
      <c r="B852" s="4" t="n">
        <v>30205746</v>
      </c>
      <c r="C852" s="4" t="inlineStr">
        <is>
          <t>IMPERMEABILIZAÇÃO</t>
        </is>
      </c>
      <c r="D852" s="4" t="inlineStr">
        <is>
          <t>-</t>
        </is>
      </c>
      <c r="E852" s="4" t="inlineStr">
        <is>
          <t>SUBSOLO</t>
        </is>
      </c>
      <c r="F852" s="126" t="n">
        <v>46694</v>
      </c>
      <c r="G852" s="126" t="n">
        <v>46708</v>
      </c>
      <c r="H852" s="126" t="n">
        <v>46289</v>
      </c>
      <c r="I852" s="4" t="n">
        <v>0</v>
      </c>
      <c r="J852" s="4" t="n">
        <v>0</v>
      </c>
      <c r="K852" s="4" t="n">
        <v>0</v>
      </c>
      <c r="M852" s="2">
        <f>IF(C852="","",IFERROR(INDEX($S$5:$S$304,MATCH(C852,$R$5:$R$304,0))&amp;"","?"))</f>
        <v/>
      </c>
      <c r="N852" s="2">
        <f>IF(E852="","",IF(ISNUMBER(SEARCH("SUBSOLO",E852)),IFERROR(-VALUE(LEFT(E852,FIND("º",SUBSTITUTE(E852,"°","º"))-1)),-1),IF(LEFT(E852,6)="TÉRREO",0,IFERROR(VALUE(LEFT(E852,FIND("º",SUBSTITUTE(E852,"°","º"))-1)),""))))</f>
        <v/>
      </c>
      <c r="O852" s="2">
        <f>IF(OR(F852="",G852=""),"",IF(G852&lt;='RETRATO 2027'!$K$5,"CONCLUÍDA",IF(F852&lt;='RETRATO 2027'!$K$5,"EM ANDAMENTO","A INICIAR")))</f>
        <v/>
      </c>
    </row>
    <row r="853">
      <c r="B853" s="4" t="n">
        <v>29980889</v>
      </c>
      <c r="C853" s="4" t="inlineStr">
        <is>
          <t>PRUMADA DE INCÊNDIO</t>
        </is>
      </c>
      <c r="D853" s="4" t="inlineStr">
        <is>
          <t>-</t>
        </is>
      </c>
      <c r="E853" s="4" t="inlineStr">
        <is>
          <t>25º PAV.</t>
        </is>
      </c>
      <c r="F853" s="126" t="n">
        <v>46696</v>
      </c>
      <c r="G853" s="126" t="n">
        <v>46709</v>
      </c>
      <c r="H853" s="126" t="n">
        <v>46289</v>
      </c>
      <c r="I853" s="4" t="n">
        <v>0</v>
      </c>
      <c r="J853" s="4" t="n">
        <v>0</v>
      </c>
      <c r="K853" s="4" t="n">
        <v>0</v>
      </c>
      <c r="M853" s="2">
        <f>IF(C853="","",IFERROR(INDEX($S$5:$S$304,MATCH(C853,$R$5:$R$304,0))&amp;"","?"))</f>
        <v/>
      </c>
      <c r="N853" s="2">
        <f>IF(E853="","",IF(ISNUMBER(SEARCH("SUBSOLO",E853)),IFERROR(-VALUE(LEFT(E853,FIND("º",SUBSTITUTE(E853,"°","º"))-1)),-1),IF(LEFT(E853,6)="TÉRREO",0,IFERROR(VALUE(LEFT(E853,FIND("º",SUBSTITUTE(E853,"°","º"))-1)),""))))</f>
        <v/>
      </c>
      <c r="O853" s="2">
        <f>IF(OR(F853="",G853=""),"",IF(G853&lt;='RETRATO 2027'!$K$5,"CONCLUÍDA",IF(F853&lt;='RETRATO 2027'!$K$5,"EM ANDAMENTO","A INICIAR")))</f>
        <v/>
      </c>
    </row>
    <row r="854">
      <c r="B854" s="4" t="n">
        <v>29980840</v>
      </c>
      <c r="C854" s="4" t="inlineStr">
        <is>
          <t>ALVENARIA</t>
        </is>
      </c>
      <c r="D854" s="4" t="inlineStr">
        <is>
          <t>-</t>
        </is>
      </c>
      <c r="E854" s="4" t="inlineStr">
        <is>
          <t>26º PAV.</t>
        </is>
      </c>
      <c r="F854" s="126" t="n">
        <v>46696</v>
      </c>
      <c r="G854" s="126" t="n">
        <v>46709</v>
      </c>
      <c r="H854" s="126" t="n">
        <v>46289</v>
      </c>
      <c r="I854" s="4" t="n">
        <v>0</v>
      </c>
      <c r="J854" s="4" t="n">
        <v>0</v>
      </c>
      <c r="K854" s="4" t="n">
        <v>0</v>
      </c>
      <c r="M854" s="2">
        <f>IF(C854="","",IFERROR(INDEX($S$5:$S$304,MATCH(C854,$R$5:$R$304,0))&amp;"","?"))</f>
        <v/>
      </c>
      <c r="N854" s="2">
        <f>IF(E854="","",IF(ISNUMBER(SEARCH("SUBSOLO",E854)),IFERROR(-VALUE(LEFT(E854,FIND("º",SUBSTITUTE(E854,"°","º"))-1)),-1),IF(LEFT(E854,6)="TÉRREO",0,IFERROR(VALUE(LEFT(E854,FIND("º",SUBSTITUTE(E854,"°","º"))-1)),""))))</f>
        <v/>
      </c>
      <c r="O854" s="2">
        <f>IF(OR(F854="",G854=""),"",IF(G854&lt;='RETRATO 2027'!$K$5,"CONCLUÍDA",IF(F854&lt;='RETRATO 2027'!$K$5,"EM ANDAMENTO","A INICIAR")))</f>
        <v/>
      </c>
    </row>
    <row r="855">
      <c r="B855" s="4" t="n">
        <v>31789447</v>
      </c>
      <c r="C855" s="4" t="inlineStr">
        <is>
          <t>FACHADA AERADA - F3 + F4 (1º ETAPA)</t>
        </is>
      </c>
      <c r="D855" s="4" t="inlineStr">
        <is>
          <t>-</t>
        </is>
      </c>
      <c r="E855" s="4" t="inlineStr">
        <is>
          <t>FACHADA</t>
        </is>
      </c>
      <c r="F855" s="126" t="n">
        <v>46699</v>
      </c>
      <c r="G855" s="126" t="n">
        <v>46764</v>
      </c>
      <c r="H855" s="126" t="n">
        <v>46289</v>
      </c>
      <c r="I855" s="4" t="n">
        <v>0</v>
      </c>
      <c r="J855" s="4" t="n">
        <v>0</v>
      </c>
      <c r="K855" s="4" t="n">
        <v>0</v>
      </c>
      <c r="M855" s="2">
        <f>IF(C855="","",IFERROR(INDEX($S$5:$S$304,MATCH(C855,$R$5:$R$304,0))&amp;"","?"))</f>
        <v/>
      </c>
      <c r="N855" s="2">
        <f>IF(E855="","",IF(ISNUMBER(SEARCH("SUBSOLO",E855)),IFERROR(-VALUE(LEFT(E855,FIND("º",SUBSTITUTE(E855,"°","º"))-1)),-1),IF(LEFT(E855,6)="TÉRREO",0,IFERROR(VALUE(LEFT(E855,FIND("º",SUBSTITUTE(E855,"°","º"))-1)),""))))</f>
        <v/>
      </c>
      <c r="O855" s="2">
        <f>IF(OR(F855="",G855=""),"",IF(G855&lt;='RETRATO 2027'!$K$5,"CONCLUÍDA",IF(F855&lt;='RETRATO 2027'!$K$5,"EM ANDAMENTO","A INICIAR")))</f>
        <v/>
      </c>
    </row>
    <row r="856">
      <c r="B856" s="4" t="n">
        <v>31790136</v>
      </c>
      <c r="C856" s="4" t="inlineStr">
        <is>
          <t>PEITORIS E REQUADROS DE FACHADA - F1 + F2 (1º ETAPA)</t>
        </is>
      </c>
      <c r="D856" s="4" t="inlineStr">
        <is>
          <t>-</t>
        </is>
      </c>
      <c r="E856" s="4" t="inlineStr">
        <is>
          <t>FACHADA</t>
        </is>
      </c>
      <c r="F856" s="126" t="n">
        <v>46699</v>
      </c>
      <c r="G856" s="126" t="n">
        <v>46727</v>
      </c>
      <c r="H856" s="126" t="n">
        <v>46289</v>
      </c>
      <c r="I856" s="4" t="n">
        <v>0</v>
      </c>
      <c r="J856" s="4" t="n">
        <v>0</v>
      </c>
      <c r="K856" s="4" t="n">
        <v>0</v>
      </c>
      <c r="M856" s="2">
        <f>IF(C856="","",IFERROR(INDEX($S$5:$S$304,MATCH(C856,$R$5:$R$304,0))&amp;"","?"))</f>
        <v/>
      </c>
      <c r="N856" s="2">
        <f>IF(E856="","",IF(ISNUMBER(SEARCH("SUBSOLO",E856)),IFERROR(-VALUE(LEFT(E856,FIND("º",SUBSTITUTE(E856,"°","º"))-1)),-1),IF(LEFT(E856,6)="TÉRREO",0,IFERROR(VALUE(LEFT(E856,FIND("º",SUBSTITUTE(E856,"°","º"))-1)),""))))</f>
        <v/>
      </c>
      <c r="O856" s="2">
        <f>IF(OR(F856="",G856=""),"",IF(G856&lt;='RETRATO 2027'!$K$5,"CONCLUÍDA",IF(F856&lt;='RETRATO 2027'!$K$5,"EM ANDAMENTO","A INICIAR")))</f>
        <v/>
      </c>
    </row>
    <row r="857">
      <c r="B857" s="4" t="n">
        <v>30205703</v>
      </c>
      <c r="C857" s="4" t="inlineStr">
        <is>
          <t>FORRO</t>
        </is>
      </c>
      <c r="D857" s="4" t="inlineStr">
        <is>
          <t>-</t>
        </is>
      </c>
      <c r="E857" s="4" t="inlineStr">
        <is>
          <t>TÉRREO - LOJA 1</t>
        </is>
      </c>
      <c r="F857" s="126" t="n">
        <v>46700</v>
      </c>
      <c r="G857" s="126" t="n">
        <v>46714</v>
      </c>
      <c r="H857" s="126" t="n">
        <v>46289</v>
      </c>
      <c r="I857" s="4" t="n">
        <v>0</v>
      </c>
      <c r="J857" s="4" t="n">
        <v>0</v>
      </c>
      <c r="K857" s="4" t="n">
        <v>0</v>
      </c>
      <c r="M857" s="2">
        <f>IF(C857="","",IFERROR(INDEX($S$5:$S$304,MATCH(C857,$R$5:$R$304,0))&amp;"","?"))</f>
        <v/>
      </c>
      <c r="N857" s="2">
        <f>IF(E857="","",IF(ISNUMBER(SEARCH("SUBSOLO",E857)),IFERROR(-VALUE(LEFT(E857,FIND("º",SUBSTITUTE(E857,"°","º"))-1)),-1),IF(LEFT(E857,6)="TÉRREO",0,IFERROR(VALUE(LEFT(E857,FIND("º",SUBSTITUTE(E857,"°","º"))-1)),""))))</f>
        <v/>
      </c>
      <c r="O857" s="2">
        <f>IF(OR(F857="",G857=""),"",IF(G857&lt;='RETRATO 2027'!$K$5,"CONCLUÍDA",IF(F857&lt;='RETRATO 2027'!$K$5,"EM ANDAMENTO","A INICIAR")))</f>
        <v/>
      </c>
    </row>
    <row r="858">
      <c r="B858" s="4" t="n">
        <v>30205675</v>
      </c>
      <c r="C858" s="4" t="inlineStr">
        <is>
          <t>BANCADAS</t>
        </is>
      </c>
      <c r="D858" s="4" t="inlineStr">
        <is>
          <t>-</t>
        </is>
      </c>
      <c r="E858" s="4" t="inlineStr">
        <is>
          <t>TÉRREO - LOJA 2</t>
        </is>
      </c>
      <c r="F858" s="126" t="n">
        <v>46700</v>
      </c>
      <c r="G858" s="126" t="n">
        <v>46714</v>
      </c>
      <c r="H858" s="126" t="n">
        <v>46289</v>
      </c>
      <c r="I858" s="4" t="n">
        <v>0</v>
      </c>
      <c r="J858" s="4" t="n">
        <v>0</v>
      </c>
      <c r="K858" s="4" t="n">
        <v>0</v>
      </c>
      <c r="M858" s="2">
        <f>IF(C858="","",IFERROR(INDEX($S$5:$S$304,MATCH(C858,$R$5:$R$304,0))&amp;"","?"))</f>
        <v/>
      </c>
      <c r="N858" s="2">
        <f>IF(E858="","",IF(ISNUMBER(SEARCH("SUBSOLO",E858)),IFERROR(-VALUE(LEFT(E858,FIND("º",SUBSTITUTE(E858,"°","º"))-1)),-1),IF(LEFT(E858,6)="TÉRREO",0,IFERROR(VALUE(LEFT(E858,FIND("º",SUBSTITUTE(E858,"°","º"))-1)),""))))</f>
        <v/>
      </c>
      <c r="O858" s="2">
        <f>IF(OR(F858="",G858=""),"",IF(G858&lt;='RETRATO 2027'!$K$5,"CONCLUÍDA",IF(F858&lt;='RETRATO 2027'!$K$5,"EM ANDAMENTO","A INICIAR")))</f>
        <v/>
      </c>
    </row>
    <row r="859">
      <c r="B859" s="4" t="n">
        <v>30205650</v>
      </c>
      <c r="C859" s="4" t="inlineStr">
        <is>
          <t>REVESTIMENTOS PORCELANATO PISO</t>
        </is>
      </c>
      <c r="D859" s="4" t="inlineStr">
        <is>
          <t>-</t>
        </is>
      </c>
      <c r="E859" s="4" t="inlineStr">
        <is>
          <t>TÉRREO - LOJA 3</t>
        </is>
      </c>
      <c r="F859" s="126" t="n">
        <v>46700</v>
      </c>
      <c r="G859" s="126" t="n">
        <v>46714</v>
      </c>
      <c r="H859" s="126" t="n">
        <v>46289</v>
      </c>
      <c r="I859" s="4" t="n">
        <v>0</v>
      </c>
      <c r="J859" s="4" t="n">
        <v>0</v>
      </c>
      <c r="K859" s="4" t="n">
        <v>0</v>
      </c>
      <c r="M859" s="2">
        <f>IF(C859="","",IFERROR(INDEX($S$5:$S$304,MATCH(C859,$R$5:$R$304,0))&amp;"","?"))</f>
        <v/>
      </c>
      <c r="N859" s="2">
        <f>IF(E859="","",IF(ISNUMBER(SEARCH("SUBSOLO",E859)),IFERROR(-VALUE(LEFT(E859,FIND("º",SUBSTITUTE(E859,"°","º"))-1)),-1),IF(LEFT(E859,6)="TÉRREO",0,IFERROR(VALUE(LEFT(E859,FIND("º",SUBSTITUTE(E859,"°","º"))-1)),""))))</f>
        <v/>
      </c>
      <c r="O859" s="2">
        <f>IF(OR(F859="",G859=""),"",IF(G859&lt;='RETRATO 2027'!$K$5,"CONCLUÍDA",IF(F859&lt;='RETRATO 2027'!$K$5,"EM ANDAMENTO","A INICIAR")))</f>
        <v/>
      </c>
    </row>
    <row r="860">
      <c r="B860" s="4" t="n">
        <v>30205627</v>
      </c>
      <c r="C860" s="4" t="inlineStr">
        <is>
          <t>REVESTIMENTO PORCELANATO PAREDE</t>
        </is>
      </c>
      <c r="D860" s="4" t="inlineStr">
        <is>
          <t>-</t>
        </is>
      </c>
      <c r="E860" s="4" t="inlineStr">
        <is>
          <t>TÉRREO - LOJA 4</t>
        </is>
      </c>
      <c r="F860" s="126" t="n">
        <v>46700</v>
      </c>
      <c r="G860" s="126" t="n">
        <v>46714</v>
      </c>
      <c r="H860" s="126" t="n">
        <v>46289</v>
      </c>
      <c r="I860" s="4" t="n">
        <v>0</v>
      </c>
      <c r="J860" s="4" t="n">
        <v>0</v>
      </c>
      <c r="K860" s="4" t="n">
        <v>0</v>
      </c>
      <c r="M860" s="2">
        <f>IF(C860="","",IFERROR(INDEX($S$5:$S$304,MATCH(C860,$R$5:$R$304,0))&amp;"","?"))</f>
        <v/>
      </c>
      <c r="N860" s="2">
        <f>IF(E860="","",IF(ISNUMBER(SEARCH("SUBSOLO",E860)),IFERROR(-VALUE(LEFT(E860,FIND("º",SUBSTITUTE(E860,"°","º"))-1)),-1),IF(LEFT(E860,6)="TÉRREO",0,IFERROR(VALUE(LEFT(E860,FIND("º",SUBSTITUTE(E860,"°","º"))-1)),""))))</f>
        <v/>
      </c>
      <c r="O860" s="2">
        <f>IF(OR(F860="",G860=""),"",IF(G860&lt;='RETRATO 2027'!$K$5,"CONCLUÍDA",IF(F860&lt;='RETRATO 2027'!$K$5,"EM ANDAMENTO","A INICIAR")))</f>
        <v/>
      </c>
    </row>
    <row r="861">
      <c r="B861" s="4" t="n">
        <v>30205593</v>
      </c>
      <c r="C861" s="4" t="inlineStr">
        <is>
          <t>DRYWALL</t>
        </is>
      </c>
      <c r="D861" s="4" t="inlineStr">
        <is>
          <t>-</t>
        </is>
      </c>
      <c r="E861" s="4" t="inlineStr">
        <is>
          <t>TÉRREO - LOJA 5</t>
        </is>
      </c>
      <c r="F861" s="126" t="n">
        <v>46700</v>
      </c>
      <c r="G861" s="126" t="n">
        <v>46714</v>
      </c>
      <c r="H861" s="126" t="n">
        <v>46289</v>
      </c>
      <c r="I861" s="4" t="n">
        <v>0</v>
      </c>
      <c r="J861" s="4" t="n">
        <v>0</v>
      </c>
      <c r="K861" s="4" t="n">
        <v>0</v>
      </c>
      <c r="M861" s="2">
        <f>IF(C861="","",IFERROR(INDEX($S$5:$S$304,MATCH(C861,$R$5:$R$304,0))&amp;"","?"))</f>
        <v/>
      </c>
      <c r="N861" s="2">
        <f>IF(E861="","",IF(ISNUMBER(SEARCH("SUBSOLO",E861)),IFERROR(-VALUE(LEFT(E861,FIND("º",SUBSTITUTE(E861,"°","º"))-1)),-1),IF(LEFT(E861,6)="TÉRREO",0,IFERROR(VALUE(LEFT(E861,FIND("º",SUBSTITUTE(E861,"°","º"))-1)),""))))</f>
        <v/>
      </c>
      <c r="O861" s="2">
        <f>IF(OR(F861="",G861=""),"",IF(G861&lt;='RETRATO 2027'!$K$5,"CONCLUÍDA",IF(F861&lt;='RETRATO 2027'!$K$5,"EM ANDAMENTO","A INICIAR")))</f>
        <v/>
      </c>
    </row>
    <row r="862">
      <c r="B862" s="4" t="n">
        <v>30205565</v>
      </c>
      <c r="C862" s="4" t="inlineStr">
        <is>
          <t>CONTRAPISO</t>
        </is>
      </c>
      <c r="D862" s="4" t="inlineStr">
        <is>
          <t>-</t>
        </is>
      </c>
      <c r="E862" s="4" t="inlineStr">
        <is>
          <t>TÉRREO - LOJA 6</t>
        </is>
      </c>
      <c r="F862" s="126" t="n">
        <v>46700</v>
      </c>
      <c r="G862" s="126" t="n">
        <v>46714</v>
      </c>
      <c r="H862" s="126" t="n">
        <v>46289</v>
      </c>
      <c r="I862" s="4" t="n">
        <v>0</v>
      </c>
      <c r="J862" s="4" t="n">
        <v>0</v>
      </c>
      <c r="K862" s="4" t="n">
        <v>0</v>
      </c>
      <c r="M862" s="2">
        <f>IF(C862="","",IFERROR(INDEX($S$5:$S$304,MATCH(C862,$R$5:$R$304,0))&amp;"","?"))</f>
        <v/>
      </c>
      <c r="N862" s="2">
        <f>IF(E862="","",IF(ISNUMBER(SEARCH("SUBSOLO",E862)),IFERROR(-VALUE(LEFT(E862,FIND("º",SUBSTITUTE(E862,"°","º"))-1)),-1),IF(LEFT(E862,6)="TÉRREO",0,IFERROR(VALUE(LEFT(E862,FIND("º",SUBSTITUTE(E862,"°","º"))-1)),""))))</f>
        <v/>
      </c>
      <c r="O862" s="2">
        <f>IF(OR(F862="",G862=""),"",IF(G862&lt;='RETRATO 2027'!$K$5,"CONCLUÍDA",IF(F862&lt;='RETRATO 2027'!$K$5,"EM ANDAMENTO","A INICIAR")))</f>
        <v/>
      </c>
    </row>
    <row r="863">
      <c r="B863" s="4" t="n">
        <v>31803890</v>
      </c>
      <c r="C863" s="4" t="inlineStr">
        <is>
          <t>FACHADA LOJA</t>
        </is>
      </c>
      <c r="D863" s="4" t="inlineStr">
        <is>
          <t>-</t>
        </is>
      </c>
      <c r="E863" s="4" t="inlineStr">
        <is>
          <t>TÉRREO - LOJA 6</t>
        </is>
      </c>
      <c r="F863" s="126" t="n">
        <v>46700</v>
      </c>
      <c r="G863" s="126" t="n">
        <v>46756</v>
      </c>
      <c r="H863" s="126" t="n">
        <v>46289</v>
      </c>
      <c r="I863" s="4" t="n">
        <v>0</v>
      </c>
      <c r="J863" s="4" t="n">
        <v>0</v>
      </c>
      <c r="K863" s="4" t="n">
        <v>0</v>
      </c>
      <c r="M863" s="2">
        <f>IF(C863="","",IFERROR(INDEX($S$5:$S$304,MATCH(C863,$R$5:$R$304,0))&amp;"","?"))</f>
        <v/>
      </c>
      <c r="N863" s="2">
        <f>IF(E863="","",IF(ISNUMBER(SEARCH("SUBSOLO",E863)),IFERROR(-VALUE(LEFT(E863,FIND("º",SUBSTITUTE(E863,"°","º"))-1)),-1),IF(LEFT(E863,6)="TÉRREO",0,IFERROR(VALUE(LEFT(E863,FIND("º",SUBSTITUTE(E863,"°","º"))-1)),""))))</f>
        <v/>
      </c>
      <c r="O863" s="2">
        <f>IF(OR(F863="",G863=""),"",IF(G863&lt;='RETRATO 2027'!$K$5,"CONCLUÍDA",IF(F863&lt;='RETRATO 2027'!$K$5,"EM ANDAMENTO","A INICIAR")))</f>
        <v/>
      </c>
    </row>
    <row r="864">
      <c r="B864" s="4" t="n">
        <v>30205534</v>
      </c>
      <c r="C864" s="4" t="inlineStr">
        <is>
          <t>REBOCO INTERNO</t>
        </is>
      </c>
      <c r="D864" s="4" t="inlineStr">
        <is>
          <t>-</t>
        </is>
      </c>
      <c r="E864" s="4" t="inlineStr">
        <is>
          <t>TÉRREO - LOJA 7</t>
        </is>
      </c>
      <c r="F864" s="126" t="n">
        <v>46700</v>
      </c>
      <c r="G864" s="126" t="n">
        <v>46714</v>
      </c>
      <c r="H864" s="126" t="n">
        <v>46289</v>
      </c>
      <c r="I864" s="4" t="n">
        <v>0</v>
      </c>
      <c r="J864" s="4" t="n">
        <v>0</v>
      </c>
      <c r="K864" s="4" t="n">
        <v>0</v>
      </c>
      <c r="M864" s="2">
        <f>IF(C864="","",IFERROR(INDEX($S$5:$S$304,MATCH(C864,$R$5:$R$304,0))&amp;"","?"))</f>
        <v/>
      </c>
      <c r="N864" s="2">
        <f>IF(E864="","",IF(ISNUMBER(SEARCH("SUBSOLO",E864)),IFERROR(-VALUE(LEFT(E864,FIND("º",SUBSTITUTE(E864,"°","º"))-1)),-1),IF(LEFT(E864,6)="TÉRREO",0,IFERROR(VALUE(LEFT(E864,FIND("º",SUBSTITUTE(E864,"°","º"))-1)),""))))</f>
        <v/>
      </c>
      <c r="O864" s="2">
        <f>IF(OR(F864="",G864=""),"",IF(G864&lt;='RETRATO 2027'!$K$5,"CONCLUÍDA",IF(F864&lt;='RETRATO 2027'!$K$5,"EM ANDAMENTO","A INICIAR")))</f>
        <v/>
      </c>
    </row>
    <row r="865">
      <c r="B865" s="4" t="n">
        <v>30171466</v>
      </c>
      <c r="C865" s="4" t="inlineStr">
        <is>
          <t>FIAÇÃO ELÉTRICA</t>
        </is>
      </c>
      <c r="D865" s="4" t="inlineStr">
        <is>
          <t>-</t>
        </is>
      </c>
      <c r="E865" s="4" t="inlineStr">
        <is>
          <t>2º PAV - GARAGEM</t>
        </is>
      </c>
      <c r="F865" s="126" t="n">
        <v>46701</v>
      </c>
      <c r="G865" s="126" t="n">
        <v>46772</v>
      </c>
      <c r="H865" s="126" t="n">
        <v>46289</v>
      </c>
      <c r="I865" s="4" t="n">
        <v>0</v>
      </c>
      <c r="J865" s="4" t="n">
        <v>0</v>
      </c>
      <c r="K865" s="4" t="n">
        <v>0</v>
      </c>
      <c r="M865" s="2">
        <f>IF(C865="","",IFERROR(INDEX($S$5:$S$304,MATCH(C865,$R$5:$R$304,0))&amp;"","?"))</f>
        <v/>
      </c>
      <c r="N865" s="2">
        <f>IF(E865="","",IF(ISNUMBER(SEARCH("SUBSOLO",E865)),IFERROR(-VALUE(LEFT(E865,FIND("º",SUBSTITUTE(E865,"°","º"))-1)),-1),IF(LEFT(E865,6)="TÉRREO",0,IFERROR(VALUE(LEFT(E865,FIND("º",SUBSTITUTE(E865,"°","º"))-1)),""))))</f>
        <v/>
      </c>
      <c r="O865" s="2">
        <f>IF(OR(F865="",G865=""),"",IF(G865&lt;='RETRATO 2027'!$K$5,"CONCLUÍDA",IF(F865&lt;='RETRATO 2027'!$K$5,"EM ANDAMENTO","A INICIAR")))</f>
        <v/>
      </c>
    </row>
    <row r="866">
      <c r="B866" s="4" t="n">
        <v>30171485</v>
      </c>
      <c r="C866" s="4" t="inlineStr">
        <is>
          <t>PRUMADA ELÉTRICA - CABOS</t>
        </is>
      </c>
      <c r="D866" s="4" t="inlineStr">
        <is>
          <t>-</t>
        </is>
      </c>
      <c r="E866" s="4" t="inlineStr">
        <is>
          <t>2º PAV - GARAGEM</t>
        </is>
      </c>
      <c r="F866" s="126" t="n">
        <v>46701</v>
      </c>
      <c r="G866" s="126" t="n">
        <v>46772</v>
      </c>
      <c r="H866" s="126" t="n">
        <v>46289</v>
      </c>
      <c r="I866" s="4" t="n">
        <v>0</v>
      </c>
      <c r="J866" s="4" t="n">
        <v>0</v>
      </c>
      <c r="K866" s="4" t="n">
        <v>0</v>
      </c>
      <c r="M866" s="2">
        <f>IF(C866="","",IFERROR(INDEX($S$5:$S$304,MATCH(C866,$R$5:$R$304,0))&amp;"","?"))</f>
        <v/>
      </c>
      <c r="N866" s="2">
        <f>IF(E866="","",IF(ISNUMBER(SEARCH("SUBSOLO",E866)),IFERROR(-VALUE(LEFT(E866,FIND("º",SUBSTITUTE(E866,"°","º"))-1)),-1),IF(LEFT(E866,6)="TÉRREO",0,IFERROR(VALUE(LEFT(E866,FIND("º",SUBSTITUTE(E866,"°","º"))-1)),""))))</f>
        <v/>
      </c>
      <c r="O866" s="2">
        <f>IF(OR(F866="",G866=""),"",IF(G866&lt;='RETRATO 2027'!$K$5,"CONCLUÍDA",IF(F866&lt;='RETRATO 2027'!$K$5,"EM ANDAMENTO","A INICIAR")))</f>
        <v/>
      </c>
    </row>
    <row r="867">
      <c r="B867" s="4" t="n">
        <v>30171468</v>
      </c>
      <c r="C867" s="4" t="inlineStr">
        <is>
          <t>SHAFT</t>
        </is>
      </c>
      <c r="D867" s="4" t="inlineStr">
        <is>
          <t>-</t>
        </is>
      </c>
      <c r="E867" s="4" t="inlineStr">
        <is>
          <t>2º PAV - GARAGEM</t>
        </is>
      </c>
      <c r="F867" s="126" t="n">
        <v>46701</v>
      </c>
      <c r="G867" s="126" t="n">
        <v>46730</v>
      </c>
      <c r="H867" s="126" t="n">
        <v>46289</v>
      </c>
      <c r="I867" s="4" t="n">
        <v>0</v>
      </c>
      <c r="J867" s="4" t="n">
        <v>0</v>
      </c>
      <c r="K867" s="4" t="n">
        <v>0</v>
      </c>
      <c r="M867" s="2">
        <f>IF(C867="","",IFERROR(INDEX($S$5:$S$304,MATCH(C867,$R$5:$R$304,0))&amp;"","?"))</f>
        <v/>
      </c>
      <c r="N867" s="2">
        <f>IF(E867="","",IF(ISNUMBER(SEARCH("SUBSOLO",E867)),IFERROR(-VALUE(LEFT(E867,FIND("º",SUBSTITUTE(E867,"°","º"))-1)),-1),IF(LEFT(E867,6)="TÉRREO",0,IFERROR(VALUE(LEFT(E867,FIND("º",SUBSTITUTE(E867,"°","º"))-1)),""))))</f>
        <v/>
      </c>
      <c r="O867" s="2">
        <f>IF(OR(F867="",G867=""),"",IF(G867&lt;='RETRATO 2027'!$K$5,"CONCLUÍDA",IF(F867&lt;='RETRATO 2027'!$K$5,"EM ANDAMENTO","A INICIAR")))</f>
        <v/>
      </c>
    </row>
    <row r="868">
      <c r="B868" s="4" t="n">
        <v>30214059</v>
      </c>
      <c r="C868" s="4" t="inlineStr">
        <is>
          <t>FIAÇÃO TELECOM/DADOS</t>
        </is>
      </c>
      <c r="D868" s="4" t="inlineStr">
        <is>
          <t>-</t>
        </is>
      </c>
      <c r="E868" s="4" t="inlineStr">
        <is>
          <t>2º PAV - GARAGEM</t>
        </is>
      </c>
      <c r="F868" s="126" t="n">
        <v>46701</v>
      </c>
      <c r="G868" s="126" t="n">
        <v>46715</v>
      </c>
      <c r="H868" s="126" t="n">
        <v>46289</v>
      </c>
      <c r="I868" s="4" t="n">
        <v>0</v>
      </c>
      <c r="J868" s="4" t="n">
        <v>0</v>
      </c>
      <c r="K868" s="4" t="n">
        <v>0</v>
      </c>
      <c r="M868" s="2">
        <f>IF(C868="","",IFERROR(INDEX($S$5:$S$304,MATCH(C868,$R$5:$R$304,0))&amp;"","?"))</f>
        <v/>
      </c>
      <c r="N868" s="2">
        <f>IF(E868="","",IF(ISNUMBER(SEARCH("SUBSOLO",E868)),IFERROR(-VALUE(LEFT(E868,FIND("º",SUBSTITUTE(E868,"°","º"))-1)),-1),IF(LEFT(E868,6)="TÉRREO",0,IFERROR(VALUE(LEFT(E868,FIND("º",SUBSTITUTE(E868,"°","º"))-1)),""))))</f>
        <v/>
      </c>
      <c r="O868" s="2">
        <f>IF(OR(F868="",G868=""),"",IF(G868&lt;='RETRATO 2027'!$K$5,"CONCLUÍDA",IF(F868&lt;='RETRATO 2027'!$K$5,"EM ANDAMENTO","A INICIAR")))</f>
        <v/>
      </c>
    </row>
    <row r="869">
      <c r="B869" s="4" t="n">
        <v>29981477</v>
      </c>
      <c r="C869" s="4" t="inlineStr">
        <is>
          <t>FORRO</t>
        </is>
      </c>
      <c r="D869" s="4" t="inlineStr">
        <is>
          <t>-</t>
        </is>
      </c>
      <c r="E869" s="4" t="inlineStr">
        <is>
          <t>9º PAV.</t>
        </is>
      </c>
      <c r="F869" s="126" t="n">
        <v>46702</v>
      </c>
      <c r="G869" s="126" t="n">
        <v>46715</v>
      </c>
      <c r="H869" s="126" t="n">
        <v>46289</v>
      </c>
      <c r="I869" s="4" t="n">
        <v>0</v>
      </c>
      <c r="J869" s="4" t="n">
        <v>0</v>
      </c>
      <c r="K869" s="4" t="n">
        <v>0</v>
      </c>
      <c r="M869" s="2">
        <f>IF(C869="","",IFERROR(INDEX($S$5:$S$304,MATCH(C869,$R$5:$R$304,0))&amp;"","?"))</f>
        <v/>
      </c>
      <c r="N869" s="2">
        <f>IF(E869="","",IF(ISNUMBER(SEARCH("SUBSOLO",E869)),IFERROR(-VALUE(LEFT(E869,FIND("º",SUBSTITUTE(E869,"°","º"))-1)),-1),IF(LEFT(E869,6)="TÉRREO",0,IFERROR(VALUE(LEFT(E869,FIND("º",SUBSTITUTE(E869,"°","º"))-1)),""))))</f>
        <v/>
      </c>
      <c r="O869" s="2">
        <f>IF(OR(F869="",G869=""),"",IF(G869&lt;='RETRATO 2027'!$K$5,"CONCLUÍDA",IF(F869&lt;='RETRATO 2027'!$K$5,"EM ANDAMENTO","A INICIAR")))</f>
        <v/>
      </c>
    </row>
    <row r="870">
      <c r="B870" s="4" t="n">
        <v>29981438</v>
      </c>
      <c r="C870" s="4" t="inlineStr">
        <is>
          <t>FIAÇÃO ELÉTRICA</t>
        </is>
      </c>
      <c r="D870" s="4" t="inlineStr">
        <is>
          <t>-</t>
        </is>
      </c>
      <c r="E870" s="4" t="inlineStr">
        <is>
          <t>10º PAV.</t>
        </is>
      </c>
      <c r="F870" s="126" t="n">
        <v>46702</v>
      </c>
      <c r="G870" s="126" t="n">
        <v>46715</v>
      </c>
      <c r="H870" s="126" t="n">
        <v>46289</v>
      </c>
      <c r="I870" s="4" t="n">
        <v>0</v>
      </c>
      <c r="J870" s="4" t="n">
        <v>0</v>
      </c>
      <c r="K870" s="4" t="n">
        <v>0</v>
      </c>
      <c r="M870" s="2">
        <f>IF(C870="","",IFERROR(INDEX($S$5:$S$304,MATCH(C870,$R$5:$R$304,0))&amp;"","?"))</f>
        <v/>
      </c>
      <c r="N870" s="2">
        <f>IF(E870="","",IF(ISNUMBER(SEARCH("SUBSOLO",E870)),IFERROR(-VALUE(LEFT(E870,FIND("º",SUBSTITUTE(E870,"°","º"))-1)),-1),IF(LEFT(E870,6)="TÉRREO",0,IFERROR(VALUE(LEFT(E870,FIND("º",SUBSTITUTE(E870,"°","º"))-1)),""))))</f>
        <v/>
      </c>
      <c r="O870" s="2">
        <f>IF(OR(F870="",G870=""),"",IF(G870&lt;='RETRATO 2027'!$K$5,"CONCLUÍDA",IF(F870&lt;='RETRATO 2027'!$K$5,"EM ANDAMENTO","A INICIAR")))</f>
        <v/>
      </c>
    </row>
    <row r="871">
      <c r="B871" s="4" t="n">
        <v>29981443</v>
      </c>
      <c r="C871" s="4" t="inlineStr">
        <is>
          <t>PRUMADA ELÉTRICA - CABOS</t>
        </is>
      </c>
      <c r="D871" s="4" t="inlineStr">
        <is>
          <t>-</t>
        </is>
      </c>
      <c r="E871" s="4" t="inlineStr">
        <is>
          <t>10º PAV.</t>
        </is>
      </c>
      <c r="F871" s="126" t="n">
        <v>46702</v>
      </c>
      <c r="G871" s="126" t="n">
        <v>46715</v>
      </c>
      <c r="H871" s="126" t="n">
        <v>46289</v>
      </c>
      <c r="I871" s="4" t="n">
        <v>0</v>
      </c>
      <c r="J871" s="4" t="n">
        <v>0</v>
      </c>
      <c r="K871" s="4" t="n">
        <v>0</v>
      </c>
      <c r="M871" s="2">
        <f>IF(C871="","",IFERROR(INDEX($S$5:$S$304,MATCH(C871,$R$5:$R$304,0))&amp;"","?"))</f>
        <v/>
      </c>
      <c r="N871" s="2">
        <f>IF(E871="","",IF(ISNUMBER(SEARCH("SUBSOLO",E871)),IFERROR(-VALUE(LEFT(E871,FIND("º",SUBSTITUTE(E871,"°","º"))-1)),-1),IF(LEFT(E871,6)="TÉRREO",0,IFERROR(VALUE(LEFT(E871,FIND("º",SUBSTITUTE(E871,"°","º"))-1)),""))))</f>
        <v/>
      </c>
      <c r="O871" s="2">
        <f>IF(OR(F871="",G871=""),"",IF(G871&lt;='RETRATO 2027'!$K$5,"CONCLUÍDA",IF(F871&lt;='RETRATO 2027'!$K$5,"EM ANDAMENTO","A INICIAR")))</f>
        <v/>
      </c>
    </row>
    <row r="872">
      <c r="B872" s="4" t="n">
        <v>30214072</v>
      </c>
      <c r="C872" s="4" t="inlineStr">
        <is>
          <t>FIAÇÃO TELECOM/DADOS</t>
        </is>
      </c>
      <c r="D872" s="4" t="inlineStr">
        <is>
          <t>-</t>
        </is>
      </c>
      <c r="E872" s="4" t="inlineStr">
        <is>
          <t>10º PAV.</t>
        </is>
      </c>
      <c r="F872" s="126" t="n">
        <v>46702</v>
      </c>
      <c r="G872" s="126" t="n">
        <v>46716</v>
      </c>
      <c r="H872" s="126" t="n">
        <v>46289</v>
      </c>
      <c r="I872" s="4" t="n">
        <v>0</v>
      </c>
      <c r="J872" s="4" t="n">
        <v>0</v>
      </c>
      <c r="K872" s="4" t="n">
        <v>0</v>
      </c>
      <c r="M872" s="2">
        <f>IF(C872="","",IFERROR(INDEX($S$5:$S$304,MATCH(C872,$R$5:$R$304,0))&amp;"","?"))</f>
        <v/>
      </c>
      <c r="N872" s="2">
        <f>IF(E872="","",IF(ISNUMBER(SEARCH("SUBSOLO",E872)),IFERROR(-VALUE(LEFT(E872,FIND("º",SUBSTITUTE(E872,"°","º"))-1)),-1),IF(LEFT(E872,6)="TÉRREO",0,IFERROR(VALUE(LEFT(E872,FIND("º",SUBSTITUTE(E872,"°","º"))-1)),""))))</f>
        <v/>
      </c>
      <c r="O872" s="2">
        <f>IF(OR(F872="",G872=""),"",IF(G872&lt;='RETRATO 2027'!$K$5,"CONCLUÍDA",IF(F872&lt;='RETRATO 2027'!$K$5,"EM ANDAMENTO","A INICIAR")))</f>
        <v/>
      </c>
    </row>
    <row r="873">
      <c r="B873" s="4" t="n">
        <v>29981385</v>
      </c>
      <c r="C873" s="4" t="inlineStr">
        <is>
          <t>BANCADAS</t>
        </is>
      </c>
      <c r="D873" s="4" t="inlineStr">
        <is>
          <t>-</t>
        </is>
      </c>
      <c r="E873" s="4" t="inlineStr">
        <is>
          <t>11º PAV.</t>
        </is>
      </c>
      <c r="F873" s="126" t="n">
        <v>46702</v>
      </c>
      <c r="G873" s="126" t="n">
        <v>46715</v>
      </c>
      <c r="H873" s="126" t="n">
        <v>46289</v>
      </c>
      <c r="I873" s="4" t="n">
        <v>0</v>
      </c>
      <c r="J873" s="4" t="n">
        <v>0</v>
      </c>
      <c r="K873" s="4" t="n">
        <v>0</v>
      </c>
      <c r="M873" s="2">
        <f>IF(C873="","",IFERROR(INDEX($S$5:$S$304,MATCH(C873,$R$5:$R$304,0))&amp;"","?"))</f>
        <v/>
      </c>
      <c r="N873" s="2">
        <f>IF(E873="","",IF(ISNUMBER(SEARCH("SUBSOLO",E873)),IFERROR(-VALUE(LEFT(E873,FIND("º",SUBSTITUTE(E873,"°","º"))-1)),-1),IF(LEFT(E873,6)="TÉRREO",0,IFERROR(VALUE(LEFT(E873,FIND("º",SUBSTITUTE(E873,"°","º"))-1)),""))))</f>
        <v/>
      </c>
      <c r="O873" s="2">
        <f>IF(OR(F873="",G873=""),"",IF(G873&lt;='RETRATO 2027'!$K$5,"CONCLUÍDA",IF(F873&lt;='RETRATO 2027'!$K$5,"EM ANDAMENTO","A INICIAR")))</f>
        <v/>
      </c>
    </row>
    <row r="874">
      <c r="B874" s="4" t="n">
        <v>29981347</v>
      </c>
      <c r="C874" s="4" t="inlineStr">
        <is>
          <t>REVESTIMENTOS PORCELANATO PISO</t>
        </is>
      </c>
      <c r="D874" s="4" t="inlineStr">
        <is>
          <t>-</t>
        </is>
      </c>
      <c r="E874" s="4" t="inlineStr">
        <is>
          <t>12º PAV.</t>
        </is>
      </c>
      <c r="F874" s="126" t="n">
        <v>46702</v>
      </c>
      <c r="G874" s="126" t="n">
        <v>46715</v>
      </c>
      <c r="H874" s="126" t="n">
        <v>46289</v>
      </c>
      <c r="I874" s="4" t="n">
        <v>0</v>
      </c>
      <c r="J874" s="4" t="n">
        <v>0</v>
      </c>
      <c r="K874" s="4" t="n">
        <v>0</v>
      </c>
      <c r="M874" s="2">
        <f>IF(C874="","",IFERROR(INDEX($S$5:$S$304,MATCH(C874,$R$5:$R$304,0))&amp;"","?"))</f>
        <v/>
      </c>
      <c r="N874" s="2">
        <f>IF(E874="","",IF(ISNUMBER(SEARCH("SUBSOLO",E874)),IFERROR(-VALUE(LEFT(E874,FIND("º",SUBSTITUTE(E874,"°","º"))-1)),-1),IF(LEFT(E874,6)="TÉRREO",0,IFERROR(VALUE(LEFT(E874,FIND("º",SUBSTITUTE(E874,"°","º"))-1)),""))))</f>
        <v/>
      </c>
      <c r="O874" s="2">
        <f>IF(OR(F874="",G874=""),"",IF(G874&lt;='RETRATO 2027'!$K$5,"CONCLUÍDA",IF(F874&lt;='RETRATO 2027'!$K$5,"EM ANDAMENTO","A INICIAR")))</f>
        <v/>
      </c>
    </row>
    <row r="875">
      <c r="B875" s="4" t="n">
        <v>29981326</v>
      </c>
      <c r="C875" s="4" t="inlineStr">
        <is>
          <t>REVESTIMENTO PORCELANATO PAREDE</t>
        </is>
      </c>
      <c r="D875" s="4" t="inlineStr">
        <is>
          <t>-</t>
        </is>
      </c>
      <c r="E875" s="4" t="inlineStr">
        <is>
          <t>13º PAV.</t>
        </is>
      </c>
      <c r="F875" s="126" t="n">
        <v>46702</v>
      </c>
      <c r="G875" s="126" t="n">
        <v>46715</v>
      </c>
      <c r="H875" s="126" t="n">
        <v>46289</v>
      </c>
      <c r="I875" s="4" t="n">
        <v>0</v>
      </c>
      <c r="J875" s="4" t="n">
        <v>0</v>
      </c>
      <c r="K875" s="4" t="n">
        <v>0</v>
      </c>
      <c r="M875" s="2">
        <f>IF(C875="","",IFERROR(INDEX($S$5:$S$304,MATCH(C875,$R$5:$R$304,0))&amp;"","?"))</f>
        <v/>
      </c>
      <c r="N875" s="2">
        <f>IF(E875="","",IF(ISNUMBER(SEARCH("SUBSOLO",E875)),IFERROR(-VALUE(LEFT(E875,FIND("º",SUBSTITUTE(E875,"°","º"))-1)),-1),IF(LEFT(E875,6)="TÉRREO",0,IFERROR(VALUE(LEFT(E875,FIND("º",SUBSTITUTE(E875,"°","º"))-1)),""))))</f>
        <v/>
      </c>
      <c r="O875" s="2">
        <f>IF(OR(F875="",G875=""),"",IF(G875&lt;='RETRATO 2027'!$K$5,"CONCLUÍDA",IF(F875&lt;='RETRATO 2027'!$K$5,"EM ANDAMENTO","A INICIAR")))</f>
        <v/>
      </c>
    </row>
    <row r="876">
      <c r="B876" s="4" t="n">
        <v>29981287</v>
      </c>
      <c r="C876" s="4" t="inlineStr">
        <is>
          <t>IMPERMEABILIZAÇÃO</t>
        </is>
      </c>
      <c r="D876" s="4" t="inlineStr">
        <is>
          <t>-</t>
        </is>
      </c>
      <c r="E876" s="4" t="inlineStr">
        <is>
          <t>14º PAV.</t>
        </is>
      </c>
      <c r="F876" s="126" t="n">
        <v>46702</v>
      </c>
      <c r="G876" s="126" t="n">
        <v>46715</v>
      </c>
      <c r="H876" s="126" t="n">
        <v>46289</v>
      </c>
      <c r="I876" s="4" t="n">
        <v>0</v>
      </c>
      <c r="J876" s="4" t="n">
        <v>0</v>
      </c>
      <c r="K876" s="4" t="n">
        <v>0</v>
      </c>
      <c r="M876" s="2">
        <f>IF(C876="","",IFERROR(INDEX($S$5:$S$304,MATCH(C876,$R$5:$R$304,0))&amp;"","?"))</f>
        <v/>
      </c>
      <c r="N876" s="2">
        <f>IF(E876="","",IF(ISNUMBER(SEARCH("SUBSOLO",E876)),IFERROR(-VALUE(LEFT(E876,FIND("º",SUBSTITUTE(E876,"°","º"))-1)),-1),IF(LEFT(E876,6)="TÉRREO",0,IFERROR(VALUE(LEFT(E876,FIND("º",SUBSTITUTE(E876,"°","º"))-1)),""))))</f>
        <v/>
      </c>
      <c r="O876" s="2">
        <f>IF(OR(F876="",G876=""),"",IF(G876&lt;='RETRATO 2027'!$K$5,"CONCLUÍDA",IF(F876&lt;='RETRATO 2027'!$K$5,"EM ANDAMENTO","A INICIAR")))</f>
        <v/>
      </c>
    </row>
    <row r="877">
      <c r="B877" s="4" t="n">
        <v>32750441</v>
      </c>
      <c r="C877" s="4" t="inlineStr">
        <is>
          <t>DRYWALL 2º FACE</t>
        </is>
      </c>
      <c r="D877" s="4" t="inlineStr">
        <is>
          <t>-</t>
        </is>
      </c>
      <c r="E877" s="4" t="inlineStr">
        <is>
          <t>15º PAV.</t>
        </is>
      </c>
      <c r="F877" s="126" t="n">
        <v>46702</v>
      </c>
      <c r="G877" s="126" t="n">
        <v>46715</v>
      </c>
      <c r="H877" s="126" t="n">
        <v>46289</v>
      </c>
      <c r="I877" s="4" t="n">
        <v>0</v>
      </c>
      <c r="J877" s="4" t="n">
        <v>0</v>
      </c>
      <c r="K877" s="4" t="n">
        <v>0</v>
      </c>
      <c r="M877" s="2">
        <f>IF(C877="","",IFERROR(INDEX($S$5:$S$304,MATCH(C877,$R$5:$R$304,0))&amp;"","?"))</f>
        <v/>
      </c>
      <c r="N877" s="2">
        <f>IF(E877="","",IF(ISNUMBER(SEARCH("SUBSOLO",E877)),IFERROR(-VALUE(LEFT(E877,FIND("º",SUBSTITUTE(E877,"°","º"))-1)),-1),IF(LEFT(E877,6)="TÉRREO",0,IFERROR(VALUE(LEFT(E877,FIND("º",SUBSTITUTE(E877,"°","º"))-1)),""))))</f>
        <v/>
      </c>
      <c r="O877" s="2">
        <f>IF(OR(F877="",G877=""),"",IF(G877&lt;='RETRATO 2027'!$K$5,"CONCLUÍDA",IF(F877&lt;='RETRATO 2027'!$K$5,"EM ANDAMENTO","A INICIAR")))</f>
        <v/>
      </c>
    </row>
    <row r="878">
      <c r="B878" s="4" t="n">
        <v>32750364</v>
      </c>
      <c r="C878" s="4" t="inlineStr">
        <is>
          <t>DISTRIBUIÇÃO DE GÁS - DRYWALL</t>
        </is>
      </c>
      <c r="D878" s="4" t="inlineStr">
        <is>
          <t>-</t>
        </is>
      </c>
      <c r="E878" s="4" t="inlineStr">
        <is>
          <t>16º PAV.</t>
        </is>
      </c>
      <c r="F878" s="126" t="n">
        <v>46702</v>
      </c>
      <c r="G878" s="126" t="n">
        <v>46715</v>
      </c>
      <c r="H878" s="126" t="n">
        <v>46289</v>
      </c>
      <c r="I878" s="4" t="n">
        <v>0</v>
      </c>
      <c r="J878" s="4" t="n">
        <v>0</v>
      </c>
      <c r="K878" s="4" t="n">
        <v>0</v>
      </c>
      <c r="M878" s="2">
        <f>IF(C878="","",IFERROR(INDEX($S$5:$S$304,MATCH(C878,$R$5:$R$304,0))&amp;"","?"))</f>
        <v/>
      </c>
      <c r="N878" s="2">
        <f>IF(E878="","",IF(ISNUMBER(SEARCH("SUBSOLO",E878)),IFERROR(-VALUE(LEFT(E878,FIND("º",SUBSTITUTE(E878,"°","º"))-1)),-1),IF(LEFT(E878,6)="TÉRREO",0,IFERROR(VALUE(LEFT(E878,FIND("º",SUBSTITUTE(E878,"°","º"))-1)),""))))</f>
        <v/>
      </c>
      <c r="O878" s="2">
        <f>IF(OR(F878="",G878=""),"",IF(G878&lt;='RETRATO 2027'!$K$5,"CONCLUÍDA",IF(F878&lt;='RETRATO 2027'!$K$5,"EM ANDAMENTO","A INICIAR")))</f>
        <v/>
      </c>
    </row>
    <row r="879">
      <c r="B879" s="4" t="n">
        <v>32750390</v>
      </c>
      <c r="C879" s="4" t="inlineStr">
        <is>
          <t>DISTRIBUIÇÃO ELÉTRICA/QUADRO - DRYWALL</t>
        </is>
      </c>
      <c r="D879" s="4" t="inlineStr">
        <is>
          <t>-</t>
        </is>
      </c>
      <c r="E879" s="4" t="inlineStr">
        <is>
          <t>16º PAV.</t>
        </is>
      </c>
      <c r="F879" s="126" t="n">
        <v>46702</v>
      </c>
      <c r="G879" s="126" t="n">
        <v>46715</v>
      </c>
      <c r="H879" s="126" t="n">
        <v>46289</v>
      </c>
      <c r="I879" s="4" t="n">
        <v>0</v>
      </c>
      <c r="J879" s="4" t="n">
        <v>0</v>
      </c>
      <c r="K879" s="4" t="n">
        <v>0</v>
      </c>
      <c r="M879" s="2">
        <f>IF(C879="","",IFERROR(INDEX($S$5:$S$304,MATCH(C879,$R$5:$R$304,0))&amp;"","?"))</f>
        <v/>
      </c>
      <c r="N879" s="2">
        <f>IF(E879="","",IF(ISNUMBER(SEARCH("SUBSOLO",E879)),IFERROR(-VALUE(LEFT(E879,FIND("º",SUBSTITUTE(E879,"°","º"))-1)),-1),IF(LEFT(E879,6)="TÉRREO",0,IFERROR(VALUE(LEFT(E879,FIND("º",SUBSTITUTE(E879,"°","º"))-1)),""))))</f>
        <v/>
      </c>
      <c r="O879" s="2">
        <f>IF(OR(F879="",G879=""),"",IF(G879&lt;='RETRATO 2027'!$K$5,"CONCLUÍDA",IF(F879&lt;='RETRATO 2027'!$K$5,"EM ANDAMENTO","A INICIAR")))</f>
        <v/>
      </c>
    </row>
    <row r="880">
      <c r="B880" s="4" t="n">
        <v>32750416</v>
      </c>
      <c r="C880" s="4" t="inlineStr">
        <is>
          <t>DISTRIBUIÇÃO HIDRÁULICA - DRYWALL</t>
        </is>
      </c>
      <c r="D880" s="4" t="inlineStr">
        <is>
          <t>-</t>
        </is>
      </c>
      <c r="E880" s="4" t="inlineStr">
        <is>
          <t>16º PAV.</t>
        </is>
      </c>
      <c r="F880" s="126" t="n">
        <v>46702</v>
      </c>
      <c r="G880" s="126" t="n">
        <v>46715</v>
      </c>
      <c r="H880" s="126" t="n">
        <v>46289</v>
      </c>
      <c r="I880" s="4" t="n">
        <v>0</v>
      </c>
      <c r="J880" s="4" t="n">
        <v>0</v>
      </c>
      <c r="K880" s="4" t="n">
        <v>0</v>
      </c>
      <c r="M880" s="2">
        <f>IF(C880="","",IFERROR(INDEX($S$5:$S$304,MATCH(C880,$R$5:$R$304,0))&amp;"","?"))</f>
        <v/>
      </c>
      <c r="N880" s="2">
        <f>IF(E880="","",IF(ISNUMBER(SEARCH("SUBSOLO",E880)),IFERROR(-VALUE(LEFT(E880,FIND("º",SUBSTITUTE(E880,"°","º"))-1)),-1),IF(LEFT(E880,6)="TÉRREO",0,IFERROR(VALUE(LEFT(E880,FIND("º",SUBSTITUTE(E880,"°","º"))-1)),""))))</f>
        <v/>
      </c>
      <c r="O880" s="2">
        <f>IF(OR(F880="",G880=""),"",IF(G880&lt;='RETRATO 2027'!$K$5,"CONCLUÍDA",IF(F880&lt;='RETRATO 2027'!$K$5,"EM ANDAMENTO","A INICIAR")))</f>
        <v/>
      </c>
    </row>
    <row r="881">
      <c r="B881" s="4" t="n">
        <v>33896834</v>
      </c>
      <c r="C881" s="4" t="inlineStr">
        <is>
          <t>INFRAESTRUTURA - AR CONDICIONADO</t>
        </is>
      </c>
      <c r="D881" s="4" t="inlineStr">
        <is>
          <t>-</t>
        </is>
      </c>
      <c r="E881" s="4" t="inlineStr">
        <is>
          <t>16º PAV.</t>
        </is>
      </c>
      <c r="F881" s="126" t="n">
        <v>46702</v>
      </c>
      <c r="G881" s="126" t="n">
        <v>46715</v>
      </c>
      <c r="H881" s="126" t="n">
        <v>46289</v>
      </c>
      <c r="I881" s="4" t="n">
        <v>0</v>
      </c>
      <c r="J881" s="4" t="n">
        <v>0</v>
      </c>
      <c r="K881" s="4" t="n">
        <v>0</v>
      </c>
      <c r="M881" s="2">
        <f>IF(C881="","",IFERROR(INDEX($S$5:$S$304,MATCH(C881,$R$5:$R$304,0))&amp;"","?"))</f>
        <v/>
      </c>
      <c r="N881" s="2">
        <f>IF(E881="","",IF(ISNUMBER(SEARCH("SUBSOLO",E881)),IFERROR(-VALUE(LEFT(E881,FIND("º",SUBSTITUTE(E881,"°","º"))-1)),-1),IF(LEFT(E881,6)="TÉRREO",0,IFERROR(VALUE(LEFT(E881,FIND("º",SUBSTITUTE(E881,"°","º"))-1)),""))))</f>
        <v/>
      </c>
      <c r="O881" s="2">
        <f>IF(OR(F881="",G881=""),"",IF(G881&lt;='RETRATO 2027'!$K$5,"CONCLUÍDA",IF(F881&lt;='RETRATO 2027'!$K$5,"EM ANDAMENTO","A INICIAR")))</f>
        <v/>
      </c>
    </row>
    <row r="882">
      <c r="B882" s="4" t="n">
        <v>32749860</v>
      </c>
      <c r="C882" s="4" t="inlineStr">
        <is>
          <t>DRYWALL 1º FACE</t>
        </is>
      </c>
      <c r="D882" s="4" t="inlineStr">
        <is>
          <t>-</t>
        </is>
      </c>
      <c r="E882" s="4" t="inlineStr">
        <is>
          <t>17º PAV.</t>
        </is>
      </c>
      <c r="F882" s="126" t="n">
        <v>46702</v>
      </c>
      <c r="G882" s="126" t="n">
        <v>46715</v>
      </c>
      <c r="H882" s="126" t="n">
        <v>46289</v>
      </c>
      <c r="I882" s="4" t="n">
        <v>0</v>
      </c>
      <c r="J882" s="4" t="n">
        <v>0</v>
      </c>
      <c r="K882" s="4" t="n">
        <v>0</v>
      </c>
      <c r="M882" s="2">
        <f>IF(C882="","",IFERROR(INDEX($S$5:$S$304,MATCH(C882,$R$5:$R$304,0))&amp;"","?"))</f>
        <v/>
      </c>
      <c r="N882" s="2">
        <f>IF(E882="","",IF(ISNUMBER(SEARCH("SUBSOLO",E882)),IFERROR(-VALUE(LEFT(E882,FIND("º",SUBSTITUTE(E882,"°","º"))-1)),-1),IF(LEFT(E882,6)="TÉRREO",0,IFERROR(VALUE(LEFT(E882,FIND("º",SUBSTITUTE(E882,"°","º"))-1)),""))))</f>
        <v/>
      </c>
      <c r="O882" s="2">
        <f>IF(OR(F882="",G882=""),"",IF(G882&lt;='RETRATO 2027'!$K$5,"CONCLUÍDA",IF(F882&lt;='RETRATO 2027'!$K$5,"EM ANDAMENTO","A INICIAR")))</f>
        <v/>
      </c>
    </row>
    <row r="883">
      <c r="B883" s="4" t="n">
        <v>29981140</v>
      </c>
      <c r="C883" s="4" t="inlineStr">
        <is>
          <t>CONTRAPISO</t>
        </is>
      </c>
      <c r="D883" s="4" t="inlineStr">
        <is>
          <t>-</t>
        </is>
      </c>
      <c r="E883" s="4" t="inlineStr">
        <is>
          <t>18º PAV.</t>
        </is>
      </c>
      <c r="F883" s="126" t="n">
        <v>46702</v>
      </c>
      <c r="G883" s="126" t="n">
        <v>46715</v>
      </c>
      <c r="H883" s="126" t="n">
        <v>46289</v>
      </c>
      <c r="I883" s="4" t="n">
        <v>0</v>
      </c>
      <c r="J883" s="4" t="n">
        <v>0</v>
      </c>
      <c r="K883" s="4" t="n">
        <v>0</v>
      </c>
      <c r="M883" s="2">
        <f>IF(C883="","",IFERROR(INDEX($S$5:$S$304,MATCH(C883,$R$5:$R$304,0))&amp;"","?"))</f>
        <v/>
      </c>
      <c r="N883" s="2">
        <f>IF(E883="","",IF(ISNUMBER(SEARCH("SUBSOLO",E883)),IFERROR(-VALUE(LEFT(E883,FIND("º",SUBSTITUTE(E883,"°","º"))-1)),-1),IF(LEFT(E883,6)="TÉRREO",0,IFERROR(VALUE(LEFT(E883,FIND("º",SUBSTITUTE(E883,"°","º"))-1)),""))))</f>
        <v/>
      </c>
      <c r="O883" s="2">
        <f>IF(OR(F883="",G883=""),"",IF(G883&lt;='RETRATO 2027'!$K$5,"CONCLUÍDA",IF(F883&lt;='RETRATO 2027'!$K$5,"EM ANDAMENTO","A INICIAR")))</f>
        <v/>
      </c>
    </row>
    <row r="884">
      <c r="B884" s="4" t="n">
        <v>29981043</v>
      </c>
      <c r="C884" s="4" t="inlineStr">
        <is>
          <t>SHAFT INTERNO INST. HIDRAÚLICAS</t>
        </is>
      </c>
      <c r="D884" s="4" t="inlineStr">
        <is>
          <t>-</t>
        </is>
      </c>
      <c r="E884" s="4" t="inlineStr">
        <is>
          <t>20º PAV.</t>
        </is>
      </c>
      <c r="F884" s="126" t="n">
        <v>46702</v>
      </c>
      <c r="G884" s="126" t="n">
        <v>46715</v>
      </c>
      <c r="H884" s="126" t="n">
        <v>46289</v>
      </c>
      <c r="I884" s="4" t="n">
        <v>0</v>
      </c>
      <c r="J884" s="4" t="n">
        <v>0</v>
      </c>
      <c r="K884" s="4" t="n">
        <v>0</v>
      </c>
      <c r="M884" s="2">
        <f>IF(C884="","",IFERROR(INDEX($S$5:$S$304,MATCH(C884,$R$5:$R$304,0))&amp;"","?"))</f>
        <v/>
      </c>
      <c r="N884" s="2">
        <f>IF(E884="","",IF(ISNUMBER(SEARCH("SUBSOLO",E884)),IFERROR(-VALUE(LEFT(E884,FIND("º",SUBSTITUTE(E884,"°","º"))-1)),-1),IF(LEFT(E884,6)="TÉRREO",0,IFERROR(VALUE(LEFT(E884,FIND("º",SUBSTITUTE(E884,"°","º"))-1)),""))))</f>
        <v/>
      </c>
      <c r="O884" s="2">
        <f>IF(OR(F884="",G884=""),"",IF(G884&lt;='RETRATO 2027'!$K$5,"CONCLUÍDA",IF(F884&lt;='RETRATO 2027'!$K$5,"EM ANDAMENTO","A INICIAR")))</f>
        <v/>
      </c>
    </row>
    <row r="885">
      <c r="B885" s="4" t="n">
        <v>29981076</v>
      </c>
      <c r="C885" s="4" t="inlineStr">
        <is>
          <t>PRUMADA ELÉTRICA - INFRA</t>
        </is>
      </c>
      <c r="D885" s="4" t="inlineStr">
        <is>
          <t>-</t>
        </is>
      </c>
      <c r="E885" s="4" t="inlineStr">
        <is>
          <t>20º PAV.</t>
        </is>
      </c>
      <c r="F885" s="126" t="n">
        <v>46702</v>
      </c>
      <c r="G885" s="126" t="n">
        <v>46715</v>
      </c>
      <c r="H885" s="126" t="n">
        <v>46289</v>
      </c>
      <c r="I885" s="4" t="n">
        <v>0</v>
      </c>
      <c r="J885" s="4" t="n">
        <v>0</v>
      </c>
      <c r="K885" s="4" t="n">
        <v>0</v>
      </c>
      <c r="M885" s="2">
        <f>IF(C885="","",IFERROR(INDEX($S$5:$S$304,MATCH(C885,$R$5:$R$304,0))&amp;"","?"))</f>
        <v/>
      </c>
      <c r="N885" s="2">
        <f>IF(E885="","",IF(ISNUMBER(SEARCH("SUBSOLO",E885)),IFERROR(-VALUE(LEFT(E885,FIND("º",SUBSTITUTE(E885,"°","º"))-1)),-1),IF(LEFT(E885,6)="TÉRREO",0,IFERROR(VALUE(LEFT(E885,FIND("º",SUBSTITUTE(E885,"°","º"))-1)),""))))</f>
        <v/>
      </c>
      <c r="O885" s="2">
        <f>IF(OR(F885="",G885=""),"",IF(G885&lt;='RETRATO 2027'!$K$5,"CONCLUÍDA",IF(F885&lt;='RETRATO 2027'!$K$5,"EM ANDAMENTO","A INICIAR")))</f>
        <v/>
      </c>
    </row>
    <row r="886">
      <c r="B886" s="4" t="n">
        <v>29981005</v>
      </c>
      <c r="C886" s="4" t="inlineStr">
        <is>
          <t>REBOCO INTERNO</t>
        </is>
      </c>
      <c r="D886" s="4" t="inlineStr">
        <is>
          <t>-</t>
        </is>
      </c>
      <c r="E886" s="4" t="inlineStr">
        <is>
          <t>21º PAV.</t>
        </is>
      </c>
      <c r="F886" s="126" t="n">
        <v>46702</v>
      </c>
      <c r="G886" s="126" t="n">
        <v>46715</v>
      </c>
      <c r="H886" s="126" t="n">
        <v>46289</v>
      </c>
      <c r="I886" s="4" t="n">
        <v>0</v>
      </c>
      <c r="J886" s="4" t="n">
        <v>0</v>
      </c>
      <c r="K886" s="4" t="n">
        <v>0</v>
      </c>
      <c r="M886" s="2">
        <f>IF(C886="","",IFERROR(INDEX($S$5:$S$304,MATCH(C886,$R$5:$R$304,0))&amp;"","?"))</f>
        <v/>
      </c>
      <c r="N886" s="2">
        <f>IF(E886="","",IF(ISNUMBER(SEARCH("SUBSOLO",E886)),IFERROR(-VALUE(LEFT(E886,FIND("º",SUBSTITUTE(E886,"°","º"))-1)),-1),IF(LEFT(E886,6)="TÉRREO",0,IFERROR(VALUE(LEFT(E886,FIND("º",SUBSTITUTE(E886,"°","º"))-1)),""))))</f>
        <v/>
      </c>
      <c r="O886" s="2">
        <f>IF(OR(F886="",G886=""),"",IF(G886&lt;='RETRATO 2027'!$K$5,"CONCLUÍDA",IF(F886&lt;='RETRATO 2027'!$K$5,"EM ANDAMENTO","A INICIAR")))</f>
        <v/>
      </c>
    </row>
    <row r="887">
      <c r="B887" s="4" t="n">
        <v>29980971</v>
      </c>
      <c r="C887" s="4" t="inlineStr">
        <is>
          <t>CONTRAMARCO</t>
        </is>
      </c>
      <c r="D887" s="4" t="inlineStr">
        <is>
          <t>-</t>
        </is>
      </c>
      <c r="E887" s="4" t="inlineStr">
        <is>
          <t>22º PAV.</t>
        </is>
      </c>
      <c r="F887" s="126" t="n">
        <v>46702</v>
      </c>
      <c r="G887" s="126" t="n">
        <v>46715</v>
      </c>
      <c r="H887" s="126" t="n">
        <v>46289</v>
      </c>
      <c r="I887" s="4" t="n">
        <v>0</v>
      </c>
      <c r="J887" s="4" t="n">
        <v>0</v>
      </c>
      <c r="K887" s="4" t="n">
        <v>0</v>
      </c>
      <c r="M887" s="2">
        <f>IF(C887="","",IFERROR(INDEX($S$5:$S$304,MATCH(C887,$R$5:$R$304,0))&amp;"","?"))</f>
        <v/>
      </c>
      <c r="N887" s="2">
        <f>IF(E887="","",IF(ISNUMBER(SEARCH("SUBSOLO",E887)),IFERROR(-VALUE(LEFT(E887,FIND("º",SUBSTITUTE(E887,"°","º"))-1)),-1),IF(LEFT(E887,6)="TÉRREO",0,IFERROR(VALUE(LEFT(E887,FIND("º",SUBSTITUTE(E887,"°","º"))-1)),""))))</f>
        <v/>
      </c>
      <c r="O887" s="2">
        <f>IF(OR(F887="",G887=""),"",IF(G887&lt;='RETRATO 2027'!$K$5,"CONCLUÍDA",IF(F887&lt;='RETRATO 2027'!$K$5,"EM ANDAMENTO","A INICIAR")))</f>
        <v/>
      </c>
    </row>
    <row r="888">
      <c r="B888" s="4" t="n">
        <v>29980964</v>
      </c>
      <c r="C888" s="4" t="inlineStr">
        <is>
          <t>DISTRIBUIÇÃO HIDROSSANITÁRIA</t>
        </is>
      </c>
      <c r="D888" s="4" t="inlineStr">
        <is>
          <t>-</t>
        </is>
      </c>
      <c r="E888" s="4" t="inlineStr">
        <is>
          <t>23º PAV.</t>
        </is>
      </c>
      <c r="F888" s="126" t="n">
        <v>46702</v>
      </c>
      <c r="G888" s="126" t="n">
        <v>46715</v>
      </c>
      <c r="H888" s="126" t="n">
        <v>46289</v>
      </c>
      <c r="I888" s="4" t="n">
        <v>0</v>
      </c>
      <c r="J888" s="4" t="n">
        <v>0</v>
      </c>
      <c r="K888" s="4" t="n">
        <v>0</v>
      </c>
      <c r="M888" s="2">
        <f>IF(C888="","",IFERROR(INDEX($S$5:$S$304,MATCH(C888,$R$5:$R$304,0))&amp;"","?"))</f>
        <v/>
      </c>
      <c r="N888" s="2">
        <f>IF(E888="","",IF(ISNUMBER(SEARCH("SUBSOLO",E888)),IFERROR(-VALUE(LEFT(E888,FIND("º",SUBSTITUTE(E888,"°","º"))-1)),-1),IF(LEFT(E888,6)="TÉRREO",0,IFERROR(VALUE(LEFT(E888,FIND("º",SUBSTITUTE(E888,"°","º"))-1)),""))))</f>
        <v/>
      </c>
      <c r="O888" s="2">
        <f>IF(OR(F888="",G888=""),"",IF(G888&lt;='RETRATO 2027'!$K$5,"CONCLUÍDA",IF(F888&lt;='RETRATO 2027'!$K$5,"EM ANDAMENTO","A INICIAR")))</f>
        <v/>
      </c>
    </row>
    <row r="889">
      <c r="B889" s="4" t="n">
        <v>29980933</v>
      </c>
      <c r="C889" s="4" t="inlineStr">
        <is>
          <t>DISTRIBUIÇÃO ELÉTRICA / QUADRO</t>
        </is>
      </c>
      <c r="D889" s="4" t="inlineStr">
        <is>
          <t>-</t>
        </is>
      </c>
      <c r="E889" s="4" t="inlineStr">
        <is>
          <t>23º PAV.</t>
        </is>
      </c>
      <c r="F889" s="126" t="n">
        <v>46702</v>
      </c>
      <c r="G889" s="126" t="n">
        <v>46715</v>
      </c>
      <c r="H889" s="126" t="n">
        <v>46289</v>
      </c>
      <c r="I889" s="4" t="n">
        <v>0</v>
      </c>
      <c r="J889" s="4" t="n">
        <v>0</v>
      </c>
      <c r="K889" s="4" t="n">
        <v>0</v>
      </c>
      <c r="M889" s="2">
        <f>IF(C889="","",IFERROR(INDEX($S$5:$S$304,MATCH(C889,$R$5:$R$304,0))&amp;"","?"))</f>
        <v/>
      </c>
      <c r="N889" s="2">
        <f>IF(E889="","",IF(ISNUMBER(SEARCH("SUBSOLO",E889)),IFERROR(-VALUE(LEFT(E889,FIND("º",SUBSTITUTE(E889,"°","º"))-1)),-1),IF(LEFT(E889,6)="TÉRREO",0,IFERROR(VALUE(LEFT(E889,FIND("º",SUBSTITUTE(E889,"°","º"))-1)),""))))</f>
        <v/>
      </c>
      <c r="O889" s="2">
        <f>IF(OR(F889="",G889=""),"",IF(G889&lt;='RETRATO 2027'!$K$5,"CONCLUÍDA",IF(F889&lt;='RETRATO 2027'!$K$5,"EM ANDAMENTO","A INICIAR")))</f>
        <v/>
      </c>
    </row>
    <row r="890">
      <c r="B890" s="4" t="n">
        <v>29980966</v>
      </c>
      <c r="C890" s="4" t="inlineStr">
        <is>
          <t>DISTRIBUIÇÃO DE GÁS</t>
        </is>
      </c>
      <c r="D890" s="4" t="inlineStr">
        <is>
          <t>-</t>
        </is>
      </c>
      <c r="E890" s="4" t="inlineStr">
        <is>
          <t>23º PAV.</t>
        </is>
      </c>
      <c r="F890" s="126" t="n">
        <v>46702</v>
      </c>
      <c r="G890" s="126" t="n">
        <v>46715</v>
      </c>
      <c r="H890" s="126" t="n">
        <v>46289</v>
      </c>
      <c r="I890" s="4" t="n">
        <v>0</v>
      </c>
      <c r="J890" s="4" t="n">
        <v>0</v>
      </c>
      <c r="K890" s="4" t="n">
        <v>0</v>
      </c>
      <c r="M890" s="2">
        <f>IF(C890="","",IFERROR(INDEX($S$5:$S$304,MATCH(C890,$R$5:$R$304,0))&amp;"","?"))</f>
        <v/>
      </c>
      <c r="N890" s="2">
        <f>IF(E890="","",IF(ISNUMBER(SEARCH("SUBSOLO",E890)),IFERROR(-VALUE(LEFT(E890,FIND("º",SUBSTITUTE(E890,"°","º"))-1)),-1),IF(LEFT(E890,6)="TÉRREO",0,IFERROR(VALUE(LEFT(E890,FIND("º",SUBSTITUTE(E890,"°","º"))-1)),""))))</f>
        <v/>
      </c>
      <c r="O890" s="2">
        <f>IF(OR(F890="",G890=""),"",IF(G890&lt;='RETRATO 2027'!$K$5,"CONCLUÍDA",IF(F890&lt;='RETRATO 2027'!$K$5,"EM ANDAMENTO","A INICIAR")))</f>
        <v/>
      </c>
    </row>
    <row r="891">
      <c r="B891" s="4" t="n">
        <v>29980913</v>
      </c>
      <c r="C891" s="4" t="inlineStr">
        <is>
          <t>TALISCAMENTO</t>
        </is>
      </c>
      <c r="D891" s="4" t="inlineStr">
        <is>
          <t>-</t>
        </is>
      </c>
      <c r="E891" s="4" t="inlineStr">
        <is>
          <t>24º PAV.</t>
        </is>
      </c>
      <c r="F891" s="126" t="n">
        <v>46702</v>
      </c>
      <c r="G891" s="126" t="n">
        <v>46715</v>
      </c>
      <c r="H891" s="126" t="n">
        <v>46289</v>
      </c>
      <c r="I891" s="4" t="n">
        <v>0</v>
      </c>
      <c r="J891" s="4" t="n">
        <v>0</v>
      </c>
      <c r="K891" s="4" t="n">
        <v>0</v>
      </c>
      <c r="M891" s="2">
        <f>IF(C891="","",IFERROR(INDEX($S$5:$S$304,MATCH(C891,$R$5:$R$304,0))&amp;"","?"))</f>
        <v/>
      </c>
      <c r="N891" s="2">
        <f>IF(E891="","",IF(ISNUMBER(SEARCH("SUBSOLO",E891)),IFERROR(-VALUE(LEFT(E891,FIND("º",SUBSTITUTE(E891,"°","º"))-1)),-1),IF(LEFT(E891,6)="TÉRREO",0,IFERROR(VALUE(LEFT(E891,FIND("º",SUBSTITUTE(E891,"°","º"))-1)),""))))</f>
        <v/>
      </c>
      <c r="O891" s="2">
        <f>IF(OR(F891="",G891=""),"",IF(G891&lt;='RETRATO 2027'!$K$5,"CONCLUÍDA",IF(F891&lt;='RETRATO 2027'!$K$5,"EM ANDAMENTO","A INICIAR")))</f>
        <v/>
      </c>
    </row>
    <row r="892">
      <c r="B892" s="4" t="n">
        <v>29980879</v>
      </c>
      <c r="C892" s="4" t="inlineStr">
        <is>
          <t>PRUMADA HIDROSSANITÁRIA</t>
        </is>
      </c>
      <c r="D892" s="4" t="inlineStr">
        <is>
          <t>-</t>
        </is>
      </c>
      <c r="E892" s="4" t="inlineStr">
        <is>
          <t>25º PAV.</t>
        </is>
      </c>
      <c r="F892" s="126" t="n">
        <v>46702</v>
      </c>
      <c r="G892" s="126" t="n">
        <v>46715</v>
      </c>
      <c r="H892" s="126" t="n">
        <v>46289</v>
      </c>
      <c r="I892" s="4" t="n">
        <v>0</v>
      </c>
      <c r="J892" s="4" t="n">
        <v>0</v>
      </c>
      <c r="K892" s="4" t="n">
        <v>0</v>
      </c>
      <c r="M892" s="2">
        <f>IF(C892="","",IFERROR(INDEX($S$5:$S$304,MATCH(C892,$R$5:$R$304,0))&amp;"","?"))</f>
        <v/>
      </c>
      <c r="N892" s="2">
        <f>IF(E892="","",IF(ISNUMBER(SEARCH("SUBSOLO",E892)),IFERROR(-VALUE(LEFT(E892,FIND("º",SUBSTITUTE(E892,"°","º"))-1)),-1),IF(LEFT(E892,6)="TÉRREO",0,IFERROR(VALUE(LEFT(E892,FIND("º",SUBSTITUTE(E892,"°","º"))-1)),""))))</f>
        <v/>
      </c>
      <c r="O892" s="2">
        <f>IF(OR(F892="",G892=""),"",IF(G892&lt;='RETRATO 2027'!$K$5,"CONCLUÍDA",IF(F892&lt;='RETRATO 2027'!$K$5,"EM ANDAMENTO","A INICIAR")))</f>
        <v/>
      </c>
    </row>
    <row r="893">
      <c r="B893" s="4" t="n">
        <v>29980878</v>
      </c>
      <c r="C893" s="4" t="inlineStr">
        <is>
          <t>ENCUNHAMENTO</t>
        </is>
      </c>
      <c r="D893" s="4" t="inlineStr">
        <is>
          <t>-</t>
        </is>
      </c>
      <c r="E893" s="4" t="inlineStr">
        <is>
          <t>25º PAV.</t>
        </is>
      </c>
      <c r="F893" s="126" t="n">
        <v>46707</v>
      </c>
      <c r="G893" s="126" t="n">
        <v>46717</v>
      </c>
      <c r="H893" s="126" t="n">
        <v>46289</v>
      </c>
      <c r="I893" s="4" t="n">
        <v>0</v>
      </c>
      <c r="J893" s="4" t="n">
        <v>0</v>
      </c>
      <c r="K893" s="4" t="n">
        <v>0</v>
      </c>
      <c r="M893" s="2">
        <f>IF(C893="","",IFERROR(INDEX($S$5:$S$304,MATCH(C893,$R$5:$R$304,0))&amp;"","?"))</f>
        <v/>
      </c>
      <c r="N893" s="2">
        <f>IF(E893="","",IF(ISNUMBER(SEARCH("SUBSOLO",E893)),IFERROR(-VALUE(LEFT(E893,FIND("º",SUBSTITUTE(E893,"°","º"))-1)),-1),IF(LEFT(E893,6)="TÉRREO",0,IFERROR(VALUE(LEFT(E893,FIND("º",SUBSTITUTE(E893,"°","º"))-1)),""))))</f>
        <v/>
      </c>
      <c r="O893" s="2">
        <f>IF(OR(F893="",G893=""),"",IF(G893&lt;='RETRATO 2027'!$K$5,"CONCLUÍDA",IF(F893&lt;='RETRATO 2027'!$K$5,"EM ANDAMENTO","A INICIAR")))</f>
        <v/>
      </c>
    </row>
    <row r="894">
      <c r="B894" s="4" t="n">
        <v>29941040</v>
      </c>
      <c r="C894" s="4" t="inlineStr">
        <is>
          <t>ESTRUTURA</t>
        </is>
      </c>
      <c r="D894" s="4" t="inlineStr">
        <is>
          <t>-</t>
        </is>
      </c>
      <c r="E894" s="4" t="inlineStr">
        <is>
          <t>30º PAV.</t>
        </is>
      </c>
      <c r="F894" s="126" t="n">
        <v>46707</v>
      </c>
      <c r="G894" s="126" t="n">
        <v>46717</v>
      </c>
      <c r="H894" s="126" t="n">
        <v>46289</v>
      </c>
      <c r="I894" s="4" t="n">
        <v>0</v>
      </c>
      <c r="J894" s="4" t="n">
        <v>0</v>
      </c>
      <c r="K894" s="4" t="n">
        <v>0</v>
      </c>
      <c r="M894" s="2">
        <f>IF(C894="","",IFERROR(INDEX($S$5:$S$304,MATCH(C894,$R$5:$R$304,0))&amp;"","?"))</f>
        <v/>
      </c>
      <c r="N894" s="2">
        <f>IF(E894="","",IF(ISNUMBER(SEARCH("SUBSOLO",E894)),IFERROR(-VALUE(LEFT(E894,FIND("º",SUBSTITUTE(E894,"°","º"))-1)),-1),IF(LEFT(E894,6)="TÉRREO",0,IFERROR(VALUE(LEFT(E894,FIND("º",SUBSTITUTE(E894,"°","º"))-1)),""))))</f>
        <v/>
      </c>
      <c r="O894" s="2">
        <f>IF(OR(F894="",G894=""),"",IF(G894&lt;='RETRATO 2027'!$K$5,"CONCLUÍDA",IF(F894&lt;='RETRATO 2027'!$K$5,"EM ANDAMENTO","A INICIAR")))</f>
        <v/>
      </c>
    </row>
    <row r="895">
      <c r="B895" s="4" t="n">
        <v>31529072</v>
      </c>
      <c r="C895" s="4" t="inlineStr">
        <is>
          <t>ESTRUTURA</t>
        </is>
      </c>
      <c r="D895" s="4" t="inlineStr">
        <is>
          <t>Forma</t>
        </is>
      </c>
      <c r="E895" s="4" t="inlineStr">
        <is>
          <t>30º PAV.</t>
        </is>
      </c>
      <c r="F895" s="126" t="n">
        <v>46707</v>
      </c>
      <c r="G895" s="126" t="n">
        <v>46713</v>
      </c>
      <c r="H895" s="126" t="n">
        <v>46289</v>
      </c>
      <c r="I895" s="4" t="n">
        <v>0</v>
      </c>
      <c r="J895" s="4" t="n">
        <v>0</v>
      </c>
      <c r="K895" s="4" t="n">
        <v>0</v>
      </c>
      <c r="M895" s="2">
        <f>IF(C895="","",IFERROR(INDEX($S$5:$S$304,MATCH(C895,$R$5:$R$304,0))&amp;"","?"))</f>
        <v/>
      </c>
      <c r="N895" s="2">
        <f>IF(E895="","",IF(ISNUMBER(SEARCH("SUBSOLO",E895)),IFERROR(-VALUE(LEFT(E895,FIND("º",SUBSTITUTE(E895,"°","º"))-1)),-1),IF(LEFT(E895,6)="TÉRREO",0,IFERROR(VALUE(LEFT(E895,FIND("º",SUBSTITUTE(E895,"°","º"))-1)),""))))</f>
        <v/>
      </c>
      <c r="O895" s="2">
        <f>IF(OR(F895="",G895=""),"",IF(G895&lt;='RETRATO 2027'!$K$5,"CONCLUÍDA",IF(F895&lt;='RETRATO 2027'!$K$5,"EM ANDAMENTO","A INICIAR")))</f>
        <v/>
      </c>
    </row>
    <row r="896">
      <c r="B896" s="4" t="n">
        <v>31529073</v>
      </c>
      <c r="C896" s="4" t="inlineStr">
        <is>
          <t>ESTRUTURA</t>
        </is>
      </c>
      <c r="D896" s="4" t="inlineStr">
        <is>
          <t>Armação</t>
        </is>
      </c>
      <c r="E896" s="4" t="inlineStr">
        <is>
          <t>30º PAV.</t>
        </is>
      </c>
      <c r="F896" s="126" t="n">
        <v>46714</v>
      </c>
      <c r="G896" s="126" t="n">
        <v>46716</v>
      </c>
      <c r="H896" s="126" t="n">
        <v>46289</v>
      </c>
      <c r="I896" s="4" t="n">
        <v>0</v>
      </c>
      <c r="J896" s="4" t="n">
        <v>0</v>
      </c>
      <c r="K896" s="4" t="n">
        <v>0</v>
      </c>
      <c r="M896" s="2">
        <f>IF(C896="","",IFERROR(INDEX($S$5:$S$304,MATCH(C896,$R$5:$R$304,0))&amp;"","?"))</f>
        <v/>
      </c>
      <c r="N896" s="2">
        <f>IF(E896="","",IF(ISNUMBER(SEARCH("SUBSOLO",E896)),IFERROR(-VALUE(LEFT(E896,FIND("º",SUBSTITUTE(E896,"°","º"))-1)),-1),IF(LEFT(E896,6)="TÉRREO",0,IFERROR(VALUE(LEFT(E896,FIND("º",SUBSTITUTE(E896,"°","º"))-1)),""))))</f>
        <v/>
      </c>
      <c r="O896" s="2">
        <f>IF(OR(F896="",G896=""),"",IF(G896&lt;='RETRATO 2027'!$K$5,"CONCLUÍDA",IF(F896&lt;='RETRATO 2027'!$K$5,"EM ANDAMENTO","A INICIAR")))</f>
        <v/>
      </c>
    </row>
    <row r="897">
      <c r="B897" s="4" t="n">
        <v>31529074</v>
      </c>
      <c r="C897" s="4" t="inlineStr">
        <is>
          <t>ESTRUTURA</t>
        </is>
      </c>
      <c r="D897" s="4" t="inlineStr">
        <is>
          <t>Concretagem</t>
        </is>
      </c>
      <c r="E897" s="4" t="inlineStr">
        <is>
          <t>30º PAV.</t>
        </is>
      </c>
      <c r="F897" s="126" t="n">
        <v>46717</v>
      </c>
      <c r="G897" s="126" t="n">
        <v>46717</v>
      </c>
      <c r="H897" s="126" t="n">
        <v>46289</v>
      </c>
      <c r="I897" s="4" t="n">
        <v>0</v>
      </c>
      <c r="J897" s="4" t="n">
        <v>0</v>
      </c>
      <c r="K897" s="4" t="n">
        <v>0</v>
      </c>
      <c r="M897" s="2">
        <f>IF(C897="","",IFERROR(INDEX($S$5:$S$304,MATCH(C897,$R$5:$R$304,0))&amp;"","?"))</f>
        <v/>
      </c>
      <c r="N897" s="2">
        <f>IF(E897="","",IF(ISNUMBER(SEARCH("SUBSOLO",E897)),IFERROR(-VALUE(LEFT(E897,FIND("º",SUBSTITUTE(E897,"°","º"))-1)),-1),IF(LEFT(E897,6)="TÉRREO",0,IFERROR(VALUE(LEFT(E897,FIND("º",SUBSTITUTE(E897,"°","º"))-1)),""))))</f>
        <v/>
      </c>
      <c r="O897" s="2">
        <f>IF(OR(F897="",G897=""),"",IF(G897&lt;='RETRATO 2027'!$K$5,"CONCLUÍDA",IF(F897&lt;='RETRATO 2027'!$K$5,"EM ANDAMENTO","A INICIAR")))</f>
        <v/>
      </c>
    </row>
    <row r="898">
      <c r="B898" s="4" t="n">
        <v>31529075</v>
      </c>
      <c r="C898" s="4" t="inlineStr">
        <is>
          <t>ESTRUTURA</t>
        </is>
      </c>
      <c r="D898" s="4" t="inlineStr">
        <is>
          <t>Polimento</t>
        </is>
      </c>
      <c r="E898" s="4" t="inlineStr">
        <is>
          <t>30º PAV.</t>
        </is>
      </c>
      <c r="F898" s="126" t="n">
        <v>46717</v>
      </c>
      <c r="G898" s="126" t="n">
        <v>46717</v>
      </c>
      <c r="H898" s="126" t="n">
        <v>46289</v>
      </c>
      <c r="I898" s="4" t="n">
        <v>0</v>
      </c>
      <c r="J898" s="4" t="n">
        <v>0</v>
      </c>
      <c r="K898" s="4" t="n">
        <v>0</v>
      </c>
      <c r="M898" s="2">
        <f>IF(C898="","",IFERROR(INDEX($S$5:$S$304,MATCH(C898,$R$5:$R$304,0))&amp;"","?"))</f>
        <v/>
      </c>
      <c r="N898" s="2">
        <f>IF(E898="","",IF(ISNUMBER(SEARCH("SUBSOLO",E898)),IFERROR(-VALUE(LEFT(E898,FIND("º",SUBSTITUTE(E898,"°","º"))-1)),-1),IF(LEFT(E898,6)="TÉRREO",0,IFERROR(VALUE(LEFT(E898,FIND("º",SUBSTITUTE(E898,"°","º"))-1)),""))))</f>
        <v/>
      </c>
      <c r="O898" s="2">
        <f>IF(OR(F898="",G898=""),"",IF(G898&lt;='RETRATO 2027'!$K$5,"CONCLUÍDA",IF(F898&lt;='RETRATO 2027'!$K$5,"EM ANDAMENTO","A INICIAR")))</f>
        <v/>
      </c>
    </row>
    <row r="899">
      <c r="B899" s="4" t="n">
        <v>30205784</v>
      </c>
      <c r="C899" s="4" t="inlineStr">
        <is>
          <t>DISTRIBUIÇÃO ELÉTRICA / QUADRO</t>
        </is>
      </c>
      <c r="D899" s="4" t="inlineStr">
        <is>
          <t>-</t>
        </is>
      </c>
      <c r="E899" s="4" t="inlineStr">
        <is>
          <t>TÉRREO - ACESSO COMERCIAL + DML + ARS + ÁREA TEC + LAVABO + DISPENSA</t>
        </is>
      </c>
      <c r="F899" s="126" t="n">
        <v>46708</v>
      </c>
      <c r="G899" s="126" t="n">
        <v>46728</v>
      </c>
      <c r="H899" s="126" t="n">
        <v>46289</v>
      </c>
      <c r="I899" s="4" t="n">
        <v>0</v>
      </c>
      <c r="J899" s="4" t="n">
        <v>0</v>
      </c>
      <c r="K899" s="4" t="n">
        <v>0</v>
      </c>
      <c r="M899" s="2">
        <f>IF(C899="","",IFERROR(INDEX($S$5:$S$304,MATCH(C899,$R$5:$R$304,0))&amp;"","?"))</f>
        <v/>
      </c>
      <c r="N899" s="2">
        <f>IF(E899="","",IF(ISNUMBER(SEARCH("SUBSOLO",E899)),IFERROR(-VALUE(LEFT(E899,FIND("º",SUBSTITUTE(E899,"°","º"))-1)),-1),IF(LEFT(E899,6)="TÉRREO",0,IFERROR(VALUE(LEFT(E899,FIND("º",SUBSTITUTE(E899,"°","º"))-1)),""))))</f>
        <v/>
      </c>
      <c r="O899" s="2">
        <f>IF(OR(F899="",G899=""),"",IF(G899&lt;='RETRATO 2027'!$K$5,"CONCLUÍDA",IF(F899&lt;='RETRATO 2027'!$K$5,"EM ANDAMENTO","A INICIAR")))</f>
        <v/>
      </c>
    </row>
    <row r="900">
      <c r="B900" s="4" t="n">
        <v>30205785</v>
      </c>
      <c r="C900" s="4" t="inlineStr">
        <is>
          <t>DISTRIBUIÇÃO HIDRÁULICA</t>
        </is>
      </c>
      <c r="D900" s="4" t="inlineStr">
        <is>
          <t>-</t>
        </is>
      </c>
      <c r="E900" s="4" t="inlineStr">
        <is>
          <t>TÉRREO - ACESSO COMERCIAL + DML + ARS + ÁREA TEC + LAVABO + DISPENSA</t>
        </is>
      </c>
      <c r="F900" s="126" t="n">
        <v>46708</v>
      </c>
      <c r="G900" s="126" t="n">
        <v>46728</v>
      </c>
      <c r="H900" s="126" t="n">
        <v>46289</v>
      </c>
      <c r="I900" s="4" t="n">
        <v>0</v>
      </c>
      <c r="J900" s="4" t="n">
        <v>0</v>
      </c>
      <c r="K900" s="4" t="n">
        <v>0</v>
      </c>
      <c r="M900" s="2">
        <f>IF(C900="","",IFERROR(INDEX($S$5:$S$304,MATCH(C900,$R$5:$R$304,0))&amp;"","?"))</f>
        <v/>
      </c>
      <c r="N900" s="2">
        <f>IF(E900="","",IF(ISNUMBER(SEARCH("SUBSOLO",E900)),IFERROR(-VALUE(LEFT(E900,FIND("º",SUBSTITUTE(E900,"°","º"))-1)),-1),IF(LEFT(E900,6)="TÉRREO",0,IFERROR(VALUE(LEFT(E900,FIND("º",SUBSTITUTE(E900,"°","º"))-1)),""))))</f>
        <v/>
      </c>
      <c r="O900" s="2">
        <f>IF(OR(F900="",G900=""),"",IF(G900&lt;='RETRATO 2027'!$K$5,"CONCLUÍDA",IF(F900&lt;='RETRATO 2027'!$K$5,"EM ANDAMENTO","A INICIAR")))</f>
        <v/>
      </c>
    </row>
    <row r="901">
      <c r="B901" s="4" t="n">
        <v>30205810</v>
      </c>
      <c r="C901" s="4" t="inlineStr">
        <is>
          <t>TALISCAMENTO</t>
        </is>
      </c>
      <c r="D901" s="4" t="inlineStr">
        <is>
          <t>-</t>
        </is>
      </c>
      <c r="E901" s="4" t="inlineStr">
        <is>
          <t>TÉRREO - HALL SOCIAL + ECLUSA + CIRCULAÇÃO</t>
        </is>
      </c>
      <c r="F901" s="126" t="n">
        <v>46708</v>
      </c>
      <c r="G901" s="126" t="n">
        <v>46721</v>
      </c>
      <c r="H901" s="126" t="n">
        <v>46289</v>
      </c>
      <c r="I901" s="4" t="n">
        <v>0</v>
      </c>
      <c r="J901" s="4" t="n">
        <v>0</v>
      </c>
      <c r="K901" s="4" t="n">
        <v>0</v>
      </c>
      <c r="M901" s="2">
        <f>IF(C901="","",IFERROR(INDEX($S$5:$S$304,MATCH(C901,$R$5:$R$304,0))&amp;"","?"))</f>
        <v/>
      </c>
      <c r="N901" s="2">
        <f>IF(E901="","",IF(ISNUMBER(SEARCH("SUBSOLO",E901)),IFERROR(-VALUE(LEFT(E901,FIND("º",SUBSTITUTE(E901,"°","º"))-1)),-1),IF(LEFT(E901,6)="TÉRREO",0,IFERROR(VALUE(LEFT(E901,FIND("º",SUBSTITUTE(E901,"°","º"))-1)),""))))</f>
        <v/>
      </c>
      <c r="O901" s="2">
        <f>IF(OR(F901="",G901=""),"",IF(G901&lt;='RETRATO 2027'!$K$5,"CONCLUÍDA",IF(F901&lt;='RETRATO 2027'!$K$5,"EM ANDAMENTO","A INICIAR")))</f>
        <v/>
      </c>
    </row>
    <row r="902">
      <c r="B902" s="4" t="n">
        <v>30205745</v>
      </c>
      <c r="C902" s="4" t="inlineStr">
        <is>
          <t>CONTRAPISO</t>
        </is>
      </c>
      <c r="D902" s="4" t="inlineStr">
        <is>
          <t>-</t>
        </is>
      </c>
      <c r="E902" s="4" t="inlineStr">
        <is>
          <t>SUBSOLO</t>
        </is>
      </c>
      <c r="F902" s="126" t="n">
        <v>46709</v>
      </c>
      <c r="G902" s="126" t="n">
        <v>46722</v>
      </c>
      <c r="H902" s="126" t="n">
        <v>46289</v>
      </c>
      <c r="I902" s="4" t="n">
        <v>0</v>
      </c>
      <c r="J902" s="4" t="n">
        <v>0</v>
      </c>
      <c r="K902" s="4" t="n">
        <v>0</v>
      </c>
      <c r="M902" s="2">
        <f>IF(C902="","",IFERROR(INDEX($S$5:$S$304,MATCH(C902,$R$5:$R$304,0))&amp;"","?"))</f>
        <v/>
      </c>
      <c r="N902" s="2">
        <f>IF(E902="","",IF(ISNUMBER(SEARCH("SUBSOLO",E902)),IFERROR(-VALUE(LEFT(E902,FIND("º",SUBSTITUTE(E902,"°","º"))-1)),-1),IF(LEFT(E902,6)="TÉRREO",0,IFERROR(VALUE(LEFT(E902,FIND("º",SUBSTITUTE(E902,"°","º"))-1)),""))))</f>
        <v/>
      </c>
      <c r="O902" s="2">
        <f>IF(OR(F902="",G902=""),"",IF(G902&lt;='RETRATO 2027'!$K$5,"CONCLUÍDA",IF(F902&lt;='RETRATO 2027'!$K$5,"EM ANDAMENTO","A INICIAR")))</f>
        <v/>
      </c>
    </row>
    <row r="903">
      <c r="B903" s="4" t="n">
        <v>29980852</v>
      </c>
      <c r="C903" s="4" t="inlineStr">
        <is>
          <t>PRUMADA DE INCÊNDIO</t>
        </is>
      </c>
      <c r="D903" s="4" t="inlineStr">
        <is>
          <t>-</t>
        </is>
      </c>
      <c r="E903" s="4" t="inlineStr">
        <is>
          <t>26º PAV.</t>
        </is>
      </c>
      <c r="F903" s="126" t="n">
        <v>46710</v>
      </c>
      <c r="G903" s="126" t="n">
        <v>46722</v>
      </c>
      <c r="H903" s="126" t="n">
        <v>46289</v>
      </c>
      <c r="I903" s="4" t="n">
        <v>0</v>
      </c>
      <c r="J903" s="4" t="n">
        <v>0</v>
      </c>
      <c r="K903" s="4" t="n">
        <v>0</v>
      </c>
      <c r="M903" s="2">
        <f>IF(C903="","",IFERROR(INDEX($S$5:$S$304,MATCH(C903,$R$5:$R$304,0))&amp;"","?"))</f>
        <v/>
      </c>
      <c r="N903" s="2">
        <f>IF(E903="","",IF(ISNUMBER(SEARCH("SUBSOLO",E903)),IFERROR(-VALUE(LEFT(E903,FIND("º",SUBSTITUTE(E903,"°","º"))-1)),-1),IF(LEFT(E903,6)="TÉRREO",0,IFERROR(VALUE(LEFT(E903,FIND("º",SUBSTITUTE(E903,"°","º"))-1)),""))))</f>
        <v/>
      </c>
      <c r="O903" s="2">
        <f>IF(OR(F903="",G903=""),"",IF(G903&lt;='RETRATO 2027'!$K$5,"CONCLUÍDA",IF(F903&lt;='RETRATO 2027'!$K$5,"EM ANDAMENTO","A INICIAR")))</f>
        <v/>
      </c>
    </row>
    <row r="904">
      <c r="B904" s="4" t="n">
        <v>29980803</v>
      </c>
      <c r="C904" s="4" t="inlineStr">
        <is>
          <t>ALVENARIA</t>
        </is>
      </c>
      <c r="D904" s="4" t="inlineStr">
        <is>
          <t>-</t>
        </is>
      </c>
      <c r="E904" s="4" t="inlineStr">
        <is>
          <t>27º PAV.</t>
        </is>
      </c>
      <c r="F904" s="126" t="n">
        <v>46710</v>
      </c>
      <c r="G904" s="126" t="n">
        <v>46722</v>
      </c>
      <c r="H904" s="126" t="n">
        <v>46289</v>
      </c>
      <c r="I904" s="4" t="n">
        <v>0</v>
      </c>
      <c r="J904" s="4" t="n">
        <v>0</v>
      </c>
      <c r="K904" s="4" t="n">
        <v>0</v>
      </c>
      <c r="M904" s="2">
        <f>IF(C904="","",IFERROR(INDEX($S$5:$S$304,MATCH(C904,$R$5:$R$304,0))&amp;"","?"))</f>
        <v/>
      </c>
      <c r="N904" s="2">
        <f>IF(E904="","",IF(ISNUMBER(SEARCH("SUBSOLO",E904)),IFERROR(-VALUE(LEFT(E904,FIND("º",SUBSTITUTE(E904,"°","º"))-1)),-1),IF(LEFT(E904,6)="TÉRREO",0,IFERROR(VALUE(LEFT(E904,FIND("º",SUBSTITUTE(E904,"°","º"))-1)),""))))</f>
        <v/>
      </c>
      <c r="O904" s="2">
        <f>IF(OR(F904="",G904=""),"",IF(G904&lt;='RETRATO 2027'!$K$5,"CONCLUÍDA",IF(F904&lt;='RETRATO 2027'!$K$5,"EM ANDAMENTO","A INICIAR")))</f>
        <v/>
      </c>
    </row>
    <row r="905">
      <c r="B905" s="4" t="n">
        <v>30205706</v>
      </c>
      <c r="C905" s="4" t="inlineStr">
        <is>
          <t>MASSA CORRIDA</t>
        </is>
      </c>
      <c r="D905" s="4" t="inlineStr">
        <is>
          <t>-</t>
        </is>
      </c>
      <c r="E905" s="4" t="inlineStr">
        <is>
          <t>TÉRREO - LOJA 1</t>
        </is>
      </c>
      <c r="F905" s="126" t="n">
        <v>46715</v>
      </c>
      <c r="G905" s="126" t="n">
        <v>46728</v>
      </c>
      <c r="H905" s="126" t="n">
        <v>46289</v>
      </c>
      <c r="I905" s="4" t="n">
        <v>0</v>
      </c>
      <c r="J905" s="4" t="n">
        <v>0</v>
      </c>
      <c r="K905" s="4" t="n">
        <v>0</v>
      </c>
      <c r="M905" s="2">
        <f>IF(C905="","",IFERROR(INDEX($S$5:$S$304,MATCH(C905,$R$5:$R$304,0))&amp;"","?"))</f>
        <v/>
      </c>
      <c r="N905" s="2">
        <f>IF(E905="","",IF(ISNUMBER(SEARCH("SUBSOLO",E905)),IFERROR(-VALUE(LEFT(E905,FIND("º",SUBSTITUTE(E905,"°","º"))-1)),-1),IF(LEFT(E905,6)="TÉRREO",0,IFERROR(VALUE(LEFT(E905,FIND("º",SUBSTITUTE(E905,"°","º"))-1)),""))))</f>
        <v/>
      </c>
      <c r="O905" s="2">
        <f>IF(OR(F905="",G905=""),"",IF(G905&lt;='RETRATO 2027'!$K$5,"CONCLUÍDA",IF(F905&lt;='RETRATO 2027'!$K$5,"EM ANDAMENTO","A INICIAR")))</f>
        <v/>
      </c>
    </row>
    <row r="906">
      <c r="B906" s="4" t="n">
        <v>30205676</v>
      </c>
      <c r="C906" s="4" t="inlineStr">
        <is>
          <t>FORRO</t>
        </is>
      </c>
      <c r="D906" s="4" t="inlineStr">
        <is>
          <t>-</t>
        </is>
      </c>
      <c r="E906" s="4" t="inlineStr">
        <is>
          <t>TÉRREO - LOJA 2</t>
        </is>
      </c>
      <c r="F906" s="126" t="n">
        <v>46715</v>
      </c>
      <c r="G906" s="126" t="n">
        <v>46728</v>
      </c>
      <c r="H906" s="126" t="n">
        <v>46289</v>
      </c>
      <c r="I906" s="4" t="n">
        <v>0</v>
      </c>
      <c r="J906" s="4" t="n">
        <v>0</v>
      </c>
      <c r="K906" s="4" t="n">
        <v>0</v>
      </c>
      <c r="M906" s="2">
        <f>IF(C906="","",IFERROR(INDEX($S$5:$S$304,MATCH(C906,$R$5:$R$304,0))&amp;"","?"))</f>
        <v/>
      </c>
      <c r="N906" s="2">
        <f>IF(E906="","",IF(ISNUMBER(SEARCH("SUBSOLO",E906)),IFERROR(-VALUE(LEFT(E906,FIND("º",SUBSTITUTE(E906,"°","º"))-1)),-1),IF(LEFT(E906,6)="TÉRREO",0,IFERROR(VALUE(LEFT(E906,FIND("º",SUBSTITUTE(E906,"°","º"))-1)),""))))</f>
        <v/>
      </c>
      <c r="O906" s="2">
        <f>IF(OR(F906="",G906=""),"",IF(G906&lt;='RETRATO 2027'!$K$5,"CONCLUÍDA",IF(F906&lt;='RETRATO 2027'!$K$5,"EM ANDAMENTO","A INICIAR")))</f>
        <v/>
      </c>
    </row>
    <row r="907">
      <c r="B907" s="4" t="n">
        <v>30205648</v>
      </c>
      <c r="C907" s="4" t="inlineStr">
        <is>
          <t>BANCADAS</t>
        </is>
      </c>
      <c r="D907" s="4" t="inlineStr">
        <is>
          <t>-</t>
        </is>
      </c>
      <c r="E907" s="4" t="inlineStr">
        <is>
          <t>TÉRREO - LOJA 3</t>
        </is>
      </c>
      <c r="F907" s="126" t="n">
        <v>46715</v>
      </c>
      <c r="G907" s="126" t="n">
        <v>46728</v>
      </c>
      <c r="H907" s="126" t="n">
        <v>46289</v>
      </c>
      <c r="I907" s="4" t="n">
        <v>0</v>
      </c>
      <c r="J907" s="4" t="n">
        <v>0</v>
      </c>
      <c r="K907" s="4" t="n">
        <v>0</v>
      </c>
      <c r="M907" s="2">
        <f>IF(C907="","",IFERROR(INDEX($S$5:$S$304,MATCH(C907,$R$5:$R$304,0))&amp;"","?"))</f>
        <v/>
      </c>
      <c r="N907" s="2">
        <f>IF(E907="","",IF(ISNUMBER(SEARCH("SUBSOLO",E907)),IFERROR(-VALUE(LEFT(E907,FIND("º",SUBSTITUTE(E907,"°","º"))-1)),-1),IF(LEFT(E907,6)="TÉRREO",0,IFERROR(VALUE(LEFT(E907,FIND("º",SUBSTITUTE(E907,"°","º"))-1)),""))))</f>
        <v/>
      </c>
      <c r="O907" s="2">
        <f>IF(OR(F907="",G907=""),"",IF(G907&lt;='RETRATO 2027'!$K$5,"CONCLUÍDA",IF(F907&lt;='RETRATO 2027'!$K$5,"EM ANDAMENTO","A INICIAR")))</f>
        <v/>
      </c>
    </row>
    <row r="908">
      <c r="B908" s="4" t="n">
        <v>30205623</v>
      </c>
      <c r="C908" s="4" t="inlineStr">
        <is>
          <t>REVESTIMENTOS PORCELANATO PISO</t>
        </is>
      </c>
      <c r="D908" s="4" t="inlineStr">
        <is>
          <t>-</t>
        </is>
      </c>
      <c r="E908" s="4" t="inlineStr">
        <is>
          <t>TÉRREO - LOJA 4</t>
        </is>
      </c>
      <c r="F908" s="126" t="n">
        <v>46715</v>
      </c>
      <c r="G908" s="126" t="n">
        <v>46728</v>
      </c>
      <c r="H908" s="126" t="n">
        <v>46289</v>
      </c>
      <c r="I908" s="4" t="n">
        <v>0</v>
      </c>
      <c r="J908" s="4" t="n">
        <v>0</v>
      </c>
      <c r="K908" s="4" t="n">
        <v>0</v>
      </c>
      <c r="M908" s="2">
        <f>IF(C908="","",IFERROR(INDEX($S$5:$S$304,MATCH(C908,$R$5:$R$304,0))&amp;"","?"))</f>
        <v/>
      </c>
      <c r="N908" s="2">
        <f>IF(E908="","",IF(ISNUMBER(SEARCH("SUBSOLO",E908)),IFERROR(-VALUE(LEFT(E908,FIND("º",SUBSTITUTE(E908,"°","º"))-1)),-1),IF(LEFT(E908,6)="TÉRREO",0,IFERROR(VALUE(LEFT(E908,FIND("º",SUBSTITUTE(E908,"°","º"))-1)),""))))</f>
        <v/>
      </c>
      <c r="O908" s="2">
        <f>IF(OR(F908="",G908=""),"",IF(G908&lt;='RETRATO 2027'!$K$5,"CONCLUÍDA",IF(F908&lt;='RETRATO 2027'!$K$5,"EM ANDAMENTO","A INICIAR")))</f>
        <v/>
      </c>
    </row>
    <row r="909">
      <c r="B909" s="4" t="n">
        <v>30205600</v>
      </c>
      <c r="C909" s="4" t="inlineStr">
        <is>
          <t>REVESTIMENTO PORCELANATO PAREDE</t>
        </is>
      </c>
      <c r="D909" s="4" t="inlineStr">
        <is>
          <t>-</t>
        </is>
      </c>
      <c r="E909" s="4" t="inlineStr">
        <is>
          <t>TÉRREO - LOJA 5</t>
        </is>
      </c>
      <c r="F909" s="126" t="n">
        <v>46715</v>
      </c>
      <c r="G909" s="126" t="n">
        <v>46728</v>
      </c>
      <c r="H909" s="126" t="n">
        <v>46289</v>
      </c>
      <c r="I909" s="4" t="n">
        <v>0</v>
      </c>
      <c r="J909" s="4" t="n">
        <v>0</v>
      </c>
      <c r="K909" s="4" t="n">
        <v>0</v>
      </c>
      <c r="M909" s="2">
        <f>IF(C909="","",IFERROR(INDEX($S$5:$S$304,MATCH(C909,$R$5:$R$304,0))&amp;"","?"))</f>
        <v/>
      </c>
      <c r="N909" s="2">
        <f>IF(E909="","",IF(ISNUMBER(SEARCH("SUBSOLO",E909)),IFERROR(-VALUE(LEFT(E909,FIND("º",SUBSTITUTE(E909,"°","º"))-1)),-1),IF(LEFT(E909,6)="TÉRREO",0,IFERROR(VALUE(LEFT(E909,FIND("º",SUBSTITUTE(E909,"°","º"))-1)),""))))</f>
        <v/>
      </c>
      <c r="O909" s="2">
        <f>IF(OR(F909="",G909=""),"",IF(G909&lt;='RETRATO 2027'!$K$5,"CONCLUÍDA",IF(F909&lt;='RETRATO 2027'!$K$5,"EM ANDAMENTO","A INICIAR")))</f>
        <v/>
      </c>
    </row>
    <row r="910">
      <c r="B910" s="4" t="n">
        <v>30205566</v>
      </c>
      <c r="C910" s="4" t="inlineStr">
        <is>
          <t>DRYWALL</t>
        </is>
      </c>
      <c r="D910" s="4" t="inlineStr">
        <is>
          <t>-</t>
        </is>
      </c>
      <c r="E910" s="4" t="inlineStr">
        <is>
          <t>TÉRREO - LOJA 6</t>
        </is>
      </c>
      <c r="F910" s="126" t="n">
        <v>46715</v>
      </c>
      <c r="G910" s="126" t="n">
        <v>46728</v>
      </c>
      <c r="H910" s="126" t="n">
        <v>46289</v>
      </c>
      <c r="I910" s="4" t="n">
        <v>0</v>
      </c>
      <c r="J910" s="4" t="n">
        <v>0</v>
      </c>
      <c r="K910" s="4" t="n">
        <v>0</v>
      </c>
      <c r="M910" s="2">
        <f>IF(C910="","",IFERROR(INDEX($S$5:$S$304,MATCH(C910,$R$5:$R$304,0))&amp;"","?"))</f>
        <v/>
      </c>
      <c r="N910" s="2">
        <f>IF(E910="","",IF(ISNUMBER(SEARCH("SUBSOLO",E910)),IFERROR(-VALUE(LEFT(E910,FIND("º",SUBSTITUTE(E910,"°","º"))-1)),-1),IF(LEFT(E910,6)="TÉRREO",0,IFERROR(VALUE(LEFT(E910,FIND("º",SUBSTITUTE(E910,"°","º"))-1)),""))))</f>
        <v/>
      </c>
      <c r="O910" s="2">
        <f>IF(OR(F910="",G910=""),"",IF(G910&lt;='RETRATO 2027'!$K$5,"CONCLUÍDA",IF(F910&lt;='RETRATO 2027'!$K$5,"EM ANDAMENTO","A INICIAR")))</f>
        <v/>
      </c>
    </row>
    <row r="911">
      <c r="B911" s="4" t="n">
        <v>30205538</v>
      </c>
      <c r="C911" s="4" t="inlineStr">
        <is>
          <t>CONTRAPISO</t>
        </is>
      </c>
      <c r="D911" s="4" t="inlineStr">
        <is>
          <t>-</t>
        </is>
      </c>
      <c r="E911" s="4" t="inlineStr">
        <is>
          <t>TÉRREO - LOJA 7</t>
        </is>
      </c>
      <c r="F911" s="126" t="n">
        <v>46715</v>
      </c>
      <c r="G911" s="126" t="n">
        <v>46728</v>
      </c>
      <c r="H911" s="126" t="n">
        <v>46289</v>
      </c>
      <c r="I911" s="4" t="n">
        <v>0</v>
      </c>
      <c r="J911" s="4" t="n">
        <v>0</v>
      </c>
      <c r="K911" s="4" t="n">
        <v>0</v>
      </c>
      <c r="M911" s="2">
        <f>IF(C911="","",IFERROR(INDEX($S$5:$S$304,MATCH(C911,$R$5:$R$304,0))&amp;"","?"))</f>
        <v/>
      </c>
      <c r="N911" s="2">
        <f>IF(E911="","",IF(ISNUMBER(SEARCH("SUBSOLO",E911)),IFERROR(-VALUE(LEFT(E911,FIND("º",SUBSTITUTE(E911,"°","º"))-1)),-1),IF(LEFT(E911,6)="TÉRREO",0,IFERROR(VALUE(LEFT(E911,FIND("º",SUBSTITUTE(E911,"°","º"))-1)),""))))</f>
        <v/>
      </c>
      <c r="O911" s="2">
        <f>IF(OR(F911="",G911=""),"",IF(G911&lt;='RETRATO 2027'!$K$5,"CONCLUÍDA",IF(F911&lt;='RETRATO 2027'!$K$5,"EM ANDAMENTO","A INICIAR")))</f>
        <v/>
      </c>
    </row>
    <row r="912">
      <c r="B912" s="4" t="n">
        <v>31803891</v>
      </c>
      <c r="C912" s="4" t="inlineStr">
        <is>
          <t>FACHADA LOJA</t>
        </is>
      </c>
      <c r="D912" s="4" t="inlineStr">
        <is>
          <t>-</t>
        </is>
      </c>
      <c r="E912" s="4" t="inlineStr">
        <is>
          <t>TÉRREO - LOJA 7</t>
        </is>
      </c>
      <c r="F912" s="126" t="n">
        <v>46715</v>
      </c>
      <c r="G912" s="126" t="n">
        <v>46770</v>
      </c>
      <c r="H912" s="126" t="n">
        <v>46289</v>
      </c>
      <c r="I912" s="4" t="n">
        <v>0</v>
      </c>
      <c r="J912" s="4" t="n">
        <v>0</v>
      </c>
      <c r="K912" s="4" t="n">
        <v>0</v>
      </c>
      <c r="M912" s="2">
        <f>IF(C912="","",IFERROR(INDEX($S$5:$S$304,MATCH(C912,$R$5:$R$304,0))&amp;"","?"))</f>
        <v/>
      </c>
      <c r="N912" s="2">
        <f>IF(E912="","",IF(ISNUMBER(SEARCH("SUBSOLO",E912)),IFERROR(-VALUE(LEFT(E912,FIND("º",SUBSTITUTE(E912,"°","º"))-1)),-1),IF(LEFT(E912,6)="TÉRREO",0,IFERROR(VALUE(LEFT(E912,FIND("º",SUBSTITUTE(E912,"°","º"))-1)),""))))</f>
        <v/>
      </c>
      <c r="O912" s="2">
        <f>IF(OR(F912="",G912=""),"",IF(G912&lt;='RETRATO 2027'!$K$5,"CONCLUÍDA",IF(F912&lt;='RETRATO 2027'!$K$5,"EM ANDAMENTO","A INICIAR")))</f>
        <v/>
      </c>
    </row>
    <row r="913">
      <c r="B913" s="4" t="n">
        <v>30208603</v>
      </c>
      <c r="C913" s="4" t="inlineStr">
        <is>
          <t>PRUMADA ELÉTRICA - INFRA</t>
        </is>
      </c>
      <c r="D913" s="4" t="inlineStr">
        <is>
          <t>-</t>
        </is>
      </c>
      <c r="E913" s="4" t="inlineStr">
        <is>
          <t>TÉRREO - GERAL</t>
        </is>
      </c>
      <c r="F913" s="126" t="n">
        <v>46715</v>
      </c>
      <c r="G913" s="126" t="n">
        <v>46728</v>
      </c>
      <c r="H913" s="126" t="n">
        <v>46289</v>
      </c>
      <c r="I913" s="4" t="n">
        <v>0</v>
      </c>
      <c r="J913" s="4" t="n">
        <v>0</v>
      </c>
      <c r="K913" s="4" t="n">
        <v>0</v>
      </c>
      <c r="M913" s="2">
        <f>IF(C913="","",IFERROR(INDEX($S$5:$S$304,MATCH(C913,$R$5:$R$304,0))&amp;"","?"))</f>
        <v/>
      </c>
      <c r="N913" s="2">
        <f>IF(E913="","",IF(ISNUMBER(SEARCH("SUBSOLO",E913)),IFERROR(-VALUE(LEFT(E913,FIND("º",SUBSTITUTE(E913,"°","º"))-1)),-1),IF(LEFT(E913,6)="TÉRREO",0,IFERROR(VALUE(LEFT(E913,FIND("º",SUBSTITUTE(E913,"°","º"))-1)),""))))</f>
        <v/>
      </c>
      <c r="O913" s="2">
        <f>IF(OR(F913="",G913=""),"",IF(G913&lt;='RETRATO 2027'!$K$5,"CONCLUÍDA",IF(F913&lt;='RETRATO 2027'!$K$5,"EM ANDAMENTO","A INICIAR")))</f>
        <v/>
      </c>
    </row>
    <row r="914">
      <c r="B914" s="4" t="n">
        <v>30205835</v>
      </c>
      <c r="C914" s="4" t="inlineStr">
        <is>
          <t>PRUMADA HIDROSSANITÁRIA</t>
        </is>
      </c>
      <c r="D914" s="4" t="inlineStr">
        <is>
          <t>-</t>
        </is>
      </c>
      <c r="E914" s="4" t="inlineStr">
        <is>
          <t>1º PAV. (INTERMEDIÁRIO)</t>
        </is>
      </c>
      <c r="F914" s="126" t="n">
        <v>46715</v>
      </c>
      <c r="G914" s="126" t="n">
        <v>46728</v>
      </c>
      <c r="H914" s="126" t="n">
        <v>46289</v>
      </c>
      <c r="I914" s="4" t="n">
        <v>0</v>
      </c>
      <c r="J914" s="4" t="n">
        <v>0</v>
      </c>
      <c r="K914" s="4" t="n">
        <v>0</v>
      </c>
      <c r="M914" s="2">
        <f>IF(C914="","",IFERROR(INDEX($S$5:$S$304,MATCH(C914,$R$5:$R$304,0))&amp;"","?"))</f>
        <v/>
      </c>
      <c r="N914" s="2">
        <f>IF(E914="","",IF(ISNUMBER(SEARCH("SUBSOLO",E914)),IFERROR(-VALUE(LEFT(E914,FIND("º",SUBSTITUTE(E914,"°","º"))-1)),-1),IF(LEFT(E914,6)="TÉRREO",0,IFERROR(VALUE(LEFT(E914,FIND("º",SUBSTITUTE(E914,"°","º"))-1)),""))))</f>
        <v/>
      </c>
      <c r="O914" s="2">
        <f>IF(OR(F914="",G914=""),"",IF(G914&lt;='RETRATO 2027'!$K$5,"CONCLUÍDA",IF(F914&lt;='RETRATO 2027'!$K$5,"EM ANDAMENTO","A INICIAR")))</f>
        <v/>
      </c>
    </row>
    <row r="915">
      <c r="B915" s="4" t="n">
        <v>30205836</v>
      </c>
      <c r="C915" s="4" t="inlineStr">
        <is>
          <t>ENCUNHAMENTO</t>
        </is>
      </c>
      <c r="D915" s="4" t="inlineStr">
        <is>
          <t>-</t>
        </is>
      </c>
      <c r="E915" s="4" t="inlineStr">
        <is>
          <t>1º PAV. (INTERMEDIÁRIO)</t>
        </is>
      </c>
      <c r="F915" s="126" t="n">
        <v>46715</v>
      </c>
      <c r="G915" s="126" t="n">
        <v>46728</v>
      </c>
      <c r="H915" s="126" t="n">
        <v>46289</v>
      </c>
      <c r="I915" s="4" t="n">
        <v>0</v>
      </c>
      <c r="J915" s="4" t="n">
        <v>0</v>
      </c>
      <c r="K915" s="4" t="n">
        <v>0</v>
      </c>
      <c r="M915" s="2">
        <f>IF(C915="","",IFERROR(INDEX($S$5:$S$304,MATCH(C915,$R$5:$R$304,0))&amp;"","?"))</f>
        <v/>
      </c>
      <c r="N915" s="2">
        <f>IF(E915="","",IF(ISNUMBER(SEARCH("SUBSOLO",E915)),IFERROR(-VALUE(LEFT(E915,FIND("º",SUBSTITUTE(E915,"°","º"))-1)),-1),IF(LEFT(E915,6)="TÉRREO",0,IFERROR(VALUE(LEFT(E915,FIND("º",SUBSTITUTE(E915,"°","º"))-1)),""))))</f>
        <v/>
      </c>
      <c r="O915" s="2">
        <f>IF(OR(F915="",G915=""),"",IF(G915&lt;='RETRATO 2027'!$K$5,"CONCLUÍDA",IF(F915&lt;='RETRATO 2027'!$K$5,"EM ANDAMENTO","A INICIAR")))</f>
        <v/>
      </c>
    </row>
    <row r="916">
      <c r="B916" s="4" t="n">
        <v>30205860</v>
      </c>
      <c r="C916" s="4" t="inlineStr">
        <is>
          <t>INSTALAÇÕES DE INCÊNDIO</t>
        </is>
      </c>
      <c r="D916" s="4" t="inlineStr">
        <is>
          <t>-</t>
        </is>
      </c>
      <c r="E916" s="4" t="inlineStr">
        <is>
          <t>1º PAV. (INTERMEDIÁRIO)</t>
        </is>
      </c>
      <c r="F916" s="126" t="n">
        <v>46715</v>
      </c>
      <c r="G916" s="126" t="n">
        <v>46728</v>
      </c>
      <c r="H916" s="126" t="n">
        <v>46289</v>
      </c>
      <c r="I916" s="4" t="n">
        <v>0</v>
      </c>
      <c r="J916" s="4" t="n">
        <v>0</v>
      </c>
      <c r="K916" s="4" t="n">
        <v>0</v>
      </c>
      <c r="M916" s="2">
        <f>IF(C916="","",IFERROR(INDEX($S$5:$S$304,MATCH(C916,$R$5:$R$304,0))&amp;"","?"))</f>
        <v/>
      </c>
      <c r="N916" s="2">
        <f>IF(E916="","",IF(ISNUMBER(SEARCH("SUBSOLO",E916)),IFERROR(-VALUE(LEFT(E916,FIND("º",SUBSTITUTE(E916,"°","º"))-1)),-1),IF(LEFT(E916,6)="TÉRREO",0,IFERROR(VALUE(LEFT(E916,FIND("º",SUBSTITUTE(E916,"°","º"))-1)),""))))</f>
        <v/>
      </c>
      <c r="O916" s="2">
        <f>IF(OR(F916="",G916=""),"",IF(G916&lt;='RETRATO 2027'!$K$5,"CONCLUÍDA",IF(F916&lt;='RETRATO 2027'!$K$5,"EM ANDAMENTO","A INICIAR")))</f>
        <v/>
      </c>
    </row>
    <row r="917">
      <c r="B917" s="4" t="n">
        <v>29981440</v>
      </c>
      <c r="C917" s="4" t="inlineStr">
        <is>
          <t>FORRO</t>
        </is>
      </c>
      <c r="D917" s="4" t="inlineStr">
        <is>
          <t>-</t>
        </is>
      </c>
      <c r="E917" s="4" t="inlineStr">
        <is>
          <t>10º PAV.</t>
        </is>
      </c>
      <c r="F917" s="126" t="n">
        <v>46716</v>
      </c>
      <c r="G917" s="126" t="n">
        <v>46728</v>
      </c>
      <c r="H917" s="126" t="n">
        <v>46289</v>
      </c>
      <c r="I917" s="4" t="n">
        <v>0</v>
      </c>
      <c r="J917" s="4" t="n">
        <v>0</v>
      </c>
      <c r="K917" s="4" t="n">
        <v>0</v>
      </c>
      <c r="M917" s="2">
        <f>IF(C917="","",IFERROR(INDEX($S$5:$S$304,MATCH(C917,$R$5:$R$304,0))&amp;"","?"))</f>
        <v/>
      </c>
      <c r="N917" s="2">
        <f>IF(E917="","",IF(ISNUMBER(SEARCH("SUBSOLO",E917)),IFERROR(-VALUE(LEFT(E917,FIND("º",SUBSTITUTE(E917,"°","º"))-1)),-1),IF(LEFT(E917,6)="TÉRREO",0,IFERROR(VALUE(LEFT(E917,FIND("º",SUBSTITUTE(E917,"°","º"))-1)),""))))</f>
        <v/>
      </c>
      <c r="O917" s="2">
        <f>IF(OR(F917="",G917=""),"",IF(G917&lt;='RETRATO 2027'!$K$5,"CONCLUÍDA",IF(F917&lt;='RETRATO 2027'!$K$5,"EM ANDAMENTO","A INICIAR")))</f>
        <v/>
      </c>
    </row>
    <row r="918">
      <c r="B918" s="4" t="n">
        <v>29981401</v>
      </c>
      <c r="C918" s="4" t="inlineStr">
        <is>
          <t>FIAÇÃO ELÉTRICA</t>
        </is>
      </c>
      <c r="D918" s="4" t="inlineStr">
        <is>
          <t>-</t>
        </is>
      </c>
      <c r="E918" s="4" t="inlineStr">
        <is>
          <t>11º PAV.</t>
        </is>
      </c>
      <c r="F918" s="126" t="n">
        <v>46716</v>
      </c>
      <c r="G918" s="126" t="n">
        <v>46728</v>
      </c>
      <c r="H918" s="126" t="n">
        <v>46289</v>
      </c>
      <c r="I918" s="4" t="n">
        <v>0</v>
      </c>
      <c r="J918" s="4" t="n">
        <v>0</v>
      </c>
      <c r="K918" s="4" t="n">
        <v>0</v>
      </c>
      <c r="M918" s="2">
        <f>IF(C918="","",IFERROR(INDEX($S$5:$S$304,MATCH(C918,$R$5:$R$304,0))&amp;"","?"))</f>
        <v/>
      </c>
      <c r="N918" s="2">
        <f>IF(E918="","",IF(ISNUMBER(SEARCH("SUBSOLO",E918)),IFERROR(-VALUE(LEFT(E918,FIND("º",SUBSTITUTE(E918,"°","º"))-1)),-1),IF(LEFT(E918,6)="TÉRREO",0,IFERROR(VALUE(LEFT(E918,FIND("º",SUBSTITUTE(E918,"°","º"))-1)),""))))</f>
        <v/>
      </c>
      <c r="O918" s="2">
        <f>IF(OR(F918="",G918=""),"",IF(G918&lt;='RETRATO 2027'!$K$5,"CONCLUÍDA",IF(F918&lt;='RETRATO 2027'!$K$5,"EM ANDAMENTO","A INICIAR")))</f>
        <v/>
      </c>
    </row>
    <row r="919">
      <c r="B919" s="4" t="n">
        <v>29981406</v>
      </c>
      <c r="C919" s="4" t="inlineStr">
        <is>
          <t>PRUMADA ELÉTRICA - CABOS</t>
        </is>
      </c>
      <c r="D919" s="4" t="inlineStr">
        <is>
          <t>-</t>
        </is>
      </c>
      <c r="E919" s="4" t="inlineStr">
        <is>
          <t>11º PAV.</t>
        </is>
      </c>
      <c r="F919" s="126" t="n">
        <v>46716</v>
      </c>
      <c r="G919" s="126" t="n">
        <v>46728</v>
      </c>
      <c r="H919" s="126" t="n">
        <v>46289</v>
      </c>
      <c r="I919" s="4" t="n">
        <v>0</v>
      </c>
      <c r="J919" s="4" t="n">
        <v>0</v>
      </c>
      <c r="K919" s="4" t="n">
        <v>0</v>
      </c>
      <c r="M919" s="2">
        <f>IF(C919="","",IFERROR(INDEX($S$5:$S$304,MATCH(C919,$R$5:$R$304,0))&amp;"","?"))</f>
        <v/>
      </c>
      <c r="N919" s="2">
        <f>IF(E919="","",IF(ISNUMBER(SEARCH("SUBSOLO",E919)),IFERROR(-VALUE(LEFT(E919,FIND("º",SUBSTITUTE(E919,"°","º"))-1)),-1),IF(LEFT(E919,6)="TÉRREO",0,IFERROR(VALUE(LEFT(E919,FIND("º",SUBSTITUTE(E919,"°","º"))-1)),""))))</f>
        <v/>
      </c>
      <c r="O919" s="2">
        <f>IF(OR(F919="",G919=""),"",IF(G919&lt;='RETRATO 2027'!$K$5,"CONCLUÍDA",IF(F919&lt;='RETRATO 2027'!$K$5,"EM ANDAMENTO","A INICIAR")))</f>
        <v/>
      </c>
    </row>
    <row r="920">
      <c r="B920" s="4" t="n">
        <v>30214073</v>
      </c>
      <c r="C920" s="4" t="inlineStr">
        <is>
          <t>FIAÇÃO TELECOM/DADOS</t>
        </is>
      </c>
      <c r="D920" s="4" t="inlineStr">
        <is>
          <t>-</t>
        </is>
      </c>
      <c r="E920" s="4" t="inlineStr">
        <is>
          <t>11º PAV.</t>
        </is>
      </c>
      <c r="F920" s="126" t="n">
        <v>46716</v>
      </c>
      <c r="G920" s="126" t="n">
        <v>46730</v>
      </c>
      <c r="H920" s="126" t="n">
        <v>46289</v>
      </c>
      <c r="I920" s="4" t="n">
        <v>0</v>
      </c>
      <c r="J920" s="4" t="n">
        <v>0</v>
      </c>
      <c r="K920" s="4" t="n">
        <v>0</v>
      </c>
      <c r="M920" s="2">
        <f>IF(C920="","",IFERROR(INDEX($S$5:$S$304,MATCH(C920,$R$5:$R$304,0))&amp;"","?"))</f>
        <v/>
      </c>
      <c r="N920" s="2">
        <f>IF(E920="","",IF(ISNUMBER(SEARCH("SUBSOLO",E920)),IFERROR(-VALUE(LEFT(E920,FIND("º",SUBSTITUTE(E920,"°","º"))-1)),-1),IF(LEFT(E920,6)="TÉRREO",0,IFERROR(VALUE(LEFT(E920,FIND("º",SUBSTITUTE(E920,"°","º"))-1)),""))))</f>
        <v/>
      </c>
      <c r="O920" s="2">
        <f>IF(OR(F920="",G920=""),"",IF(G920&lt;='RETRATO 2027'!$K$5,"CONCLUÍDA",IF(F920&lt;='RETRATO 2027'!$K$5,"EM ANDAMENTO","A INICIAR")))</f>
        <v/>
      </c>
    </row>
    <row r="921">
      <c r="B921" s="4" t="n">
        <v>29981348</v>
      </c>
      <c r="C921" s="4" t="inlineStr">
        <is>
          <t>BANCADAS</t>
        </is>
      </c>
      <c r="D921" s="4" t="inlineStr">
        <is>
          <t>-</t>
        </is>
      </c>
      <c r="E921" s="4" t="inlineStr">
        <is>
          <t>12º PAV.</t>
        </is>
      </c>
      <c r="F921" s="126" t="n">
        <v>46716</v>
      </c>
      <c r="G921" s="126" t="n">
        <v>46728</v>
      </c>
      <c r="H921" s="126" t="n">
        <v>46289</v>
      </c>
      <c r="I921" s="4" t="n">
        <v>0</v>
      </c>
      <c r="J921" s="4" t="n">
        <v>0</v>
      </c>
      <c r="K921" s="4" t="n">
        <v>0</v>
      </c>
      <c r="M921" s="2">
        <f>IF(C921="","",IFERROR(INDEX($S$5:$S$304,MATCH(C921,$R$5:$R$304,0))&amp;"","?"))</f>
        <v/>
      </c>
      <c r="N921" s="2">
        <f>IF(E921="","",IF(ISNUMBER(SEARCH("SUBSOLO",E921)),IFERROR(-VALUE(LEFT(E921,FIND("º",SUBSTITUTE(E921,"°","º"))-1)),-1),IF(LEFT(E921,6)="TÉRREO",0,IFERROR(VALUE(LEFT(E921,FIND("º",SUBSTITUTE(E921,"°","º"))-1)),""))))</f>
        <v/>
      </c>
      <c r="O921" s="2">
        <f>IF(OR(F921="",G921=""),"",IF(G921&lt;='RETRATO 2027'!$K$5,"CONCLUÍDA",IF(F921&lt;='RETRATO 2027'!$K$5,"EM ANDAMENTO","A INICIAR")))</f>
        <v/>
      </c>
    </row>
    <row r="922">
      <c r="B922" s="4" t="n">
        <v>29981310</v>
      </c>
      <c r="C922" s="4" t="inlineStr">
        <is>
          <t>REVESTIMENTOS PORCELANATO PISO</t>
        </is>
      </c>
      <c r="D922" s="4" t="inlineStr">
        <is>
          <t>-</t>
        </is>
      </c>
      <c r="E922" s="4" t="inlineStr">
        <is>
          <t>13º PAV.</t>
        </is>
      </c>
      <c r="F922" s="126" t="n">
        <v>46716</v>
      </c>
      <c r="G922" s="126" t="n">
        <v>46728</v>
      </c>
      <c r="H922" s="126" t="n">
        <v>46289</v>
      </c>
      <c r="I922" s="4" t="n">
        <v>0</v>
      </c>
      <c r="J922" s="4" t="n">
        <v>0</v>
      </c>
      <c r="K922" s="4" t="n">
        <v>0</v>
      </c>
      <c r="M922" s="2">
        <f>IF(C922="","",IFERROR(INDEX($S$5:$S$304,MATCH(C922,$R$5:$R$304,0))&amp;"","?"))</f>
        <v/>
      </c>
      <c r="N922" s="2">
        <f>IF(E922="","",IF(ISNUMBER(SEARCH("SUBSOLO",E922)),IFERROR(-VALUE(LEFT(E922,FIND("º",SUBSTITUTE(E922,"°","º"))-1)),-1),IF(LEFT(E922,6)="TÉRREO",0,IFERROR(VALUE(LEFT(E922,FIND("º",SUBSTITUTE(E922,"°","º"))-1)),""))))</f>
        <v/>
      </c>
      <c r="O922" s="2">
        <f>IF(OR(F922="",G922=""),"",IF(G922&lt;='RETRATO 2027'!$K$5,"CONCLUÍDA",IF(F922&lt;='RETRATO 2027'!$K$5,"EM ANDAMENTO","A INICIAR")))</f>
        <v/>
      </c>
    </row>
    <row r="923">
      <c r="B923" s="4" t="n">
        <v>29981289</v>
      </c>
      <c r="C923" s="4" t="inlineStr">
        <is>
          <t>REVESTIMENTO PORCELANATO PAREDE</t>
        </is>
      </c>
      <c r="D923" s="4" t="inlineStr">
        <is>
          <t>-</t>
        </is>
      </c>
      <c r="E923" s="4" t="inlineStr">
        <is>
          <t>14º PAV.</t>
        </is>
      </c>
      <c r="F923" s="126" t="n">
        <v>46716</v>
      </c>
      <c r="G923" s="126" t="n">
        <v>46728</v>
      </c>
      <c r="H923" s="126" t="n">
        <v>46289</v>
      </c>
      <c r="I923" s="4" t="n">
        <v>0</v>
      </c>
      <c r="J923" s="4" t="n">
        <v>0</v>
      </c>
      <c r="K923" s="4" t="n">
        <v>0</v>
      </c>
      <c r="M923" s="2">
        <f>IF(C923="","",IFERROR(INDEX($S$5:$S$304,MATCH(C923,$R$5:$R$304,0))&amp;"","?"))</f>
        <v/>
      </c>
      <c r="N923" s="2">
        <f>IF(E923="","",IF(ISNUMBER(SEARCH("SUBSOLO",E923)),IFERROR(-VALUE(LEFT(E923,FIND("º",SUBSTITUTE(E923,"°","º"))-1)),-1),IF(LEFT(E923,6)="TÉRREO",0,IFERROR(VALUE(LEFT(E923,FIND("º",SUBSTITUTE(E923,"°","º"))-1)),""))))</f>
        <v/>
      </c>
      <c r="O923" s="2">
        <f>IF(OR(F923="",G923=""),"",IF(G923&lt;='RETRATO 2027'!$K$5,"CONCLUÍDA",IF(F923&lt;='RETRATO 2027'!$K$5,"EM ANDAMENTO","A INICIAR")))</f>
        <v/>
      </c>
    </row>
    <row r="924">
      <c r="B924" s="4" t="n">
        <v>29981250</v>
      </c>
      <c r="C924" s="4" t="inlineStr">
        <is>
          <t>IMPERMEABILIZAÇÃO</t>
        </is>
      </c>
      <c r="D924" s="4" t="inlineStr">
        <is>
          <t>-</t>
        </is>
      </c>
      <c r="E924" s="4" t="inlineStr">
        <is>
          <t>15º PAV.</t>
        </is>
      </c>
      <c r="F924" s="126" t="n">
        <v>46716</v>
      </c>
      <c r="G924" s="126" t="n">
        <v>46728</v>
      </c>
      <c r="H924" s="126" t="n">
        <v>46289</v>
      </c>
      <c r="I924" s="4" t="n">
        <v>0</v>
      </c>
      <c r="J924" s="4" t="n">
        <v>0</v>
      </c>
      <c r="K924" s="4" t="n">
        <v>0</v>
      </c>
      <c r="M924" s="2">
        <f>IF(C924="","",IFERROR(INDEX($S$5:$S$304,MATCH(C924,$R$5:$R$304,0))&amp;"","?"))</f>
        <v/>
      </c>
      <c r="N924" s="2">
        <f>IF(E924="","",IF(ISNUMBER(SEARCH("SUBSOLO",E924)),IFERROR(-VALUE(LEFT(E924,FIND("º",SUBSTITUTE(E924,"°","º"))-1)),-1),IF(LEFT(E924,6)="TÉRREO",0,IFERROR(VALUE(LEFT(E924,FIND("º",SUBSTITUTE(E924,"°","º"))-1)),""))))</f>
        <v/>
      </c>
      <c r="O924" s="2">
        <f>IF(OR(F924="",G924=""),"",IF(G924&lt;='RETRATO 2027'!$K$5,"CONCLUÍDA",IF(F924&lt;='RETRATO 2027'!$K$5,"EM ANDAMENTO","A INICIAR")))</f>
        <v/>
      </c>
    </row>
    <row r="925">
      <c r="B925" s="4" t="n">
        <v>32750442</v>
      </c>
      <c r="C925" s="4" t="inlineStr">
        <is>
          <t>DRYWALL 2º FACE</t>
        </is>
      </c>
      <c r="D925" s="4" t="inlineStr">
        <is>
          <t>-</t>
        </is>
      </c>
      <c r="E925" s="4" t="inlineStr">
        <is>
          <t>16º PAV.</t>
        </is>
      </c>
      <c r="F925" s="126" t="n">
        <v>46716</v>
      </c>
      <c r="G925" s="126" t="n">
        <v>46728</v>
      </c>
      <c r="H925" s="126" t="n">
        <v>46289</v>
      </c>
      <c r="I925" s="4" t="n">
        <v>0</v>
      </c>
      <c r="J925" s="4" t="n">
        <v>0</v>
      </c>
      <c r="K925" s="4" t="n">
        <v>0</v>
      </c>
      <c r="M925" s="2">
        <f>IF(C925="","",IFERROR(INDEX($S$5:$S$304,MATCH(C925,$R$5:$R$304,0))&amp;"","?"))</f>
        <v/>
      </c>
      <c r="N925" s="2">
        <f>IF(E925="","",IF(ISNUMBER(SEARCH("SUBSOLO",E925)),IFERROR(-VALUE(LEFT(E925,FIND("º",SUBSTITUTE(E925,"°","º"))-1)),-1),IF(LEFT(E925,6)="TÉRREO",0,IFERROR(VALUE(LEFT(E925,FIND("º",SUBSTITUTE(E925,"°","º"))-1)),""))))</f>
        <v/>
      </c>
      <c r="O925" s="2">
        <f>IF(OR(F925="",G925=""),"",IF(G925&lt;='RETRATO 2027'!$K$5,"CONCLUÍDA",IF(F925&lt;='RETRATO 2027'!$K$5,"EM ANDAMENTO","A INICIAR")))</f>
        <v/>
      </c>
    </row>
    <row r="926">
      <c r="B926" s="4" t="n">
        <v>32750365</v>
      </c>
      <c r="C926" s="4" t="inlineStr">
        <is>
          <t>DISTRIBUIÇÃO DE GÁS - DRYWALL</t>
        </is>
      </c>
      <c r="D926" s="4" t="inlineStr">
        <is>
          <t>-</t>
        </is>
      </c>
      <c r="E926" s="4" t="inlineStr">
        <is>
          <t>17º PAV.</t>
        </is>
      </c>
      <c r="F926" s="126" t="n">
        <v>46716</v>
      </c>
      <c r="G926" s="126" t="n">
        <v>46728</v>
      </c>
      <c r="H926" s="126" t="n">
        <v>46289</v>
      </c>
      <c r="I926" s="4" t="n">
        <v>0</v>
      </c>
      <c r="J926" s="4" t="n">
        <v>0</v>
      </c>
      <c r="K926" s="4" t="n">
        <v>0</v>
      </c>
      <c r="M926" s="2">
        <f>IF(C926="","",IFERROR(INDEX($S$5:$S$304,MATCH(C926,$R$5:$R$304,0))&amp;"","?"))</f>
        <v/>
      </c>
      <c r="N926" s="2">
        <f>IF(E926="","",IF(ISNUMBER(SEARCH("SUBSOLO",E926)),IFERROR(-VALUE(LEFT(E926,FIND("º",SUBSTITUTE(E926,"°","º"))-1)),-1),IF(LEFT(E926,6)="TÉRREO",0,IFERROR(VALUE(LEFT(E926,FIND("º",SUBSTITUTE(E926,"°","º"))-1)),""))))</f>
        <v/>
      </c>
      <c r="O926" s="2">
        <f>IF(OR(F926="",G926=""),"",IF(G926&lt;='RETRATO 2027'!$K$5,"CONCLUÍDA",IF(F926&lt;='RETRATO 2027'!$K$5,"EM ANDAMENTO","A INICIAR")))</f>
        <v/>
      </c>
    </row>
    <row r="927">
      <c r="B927" s="4" t="n">
        <v>32750391</v>
      </c>
      <c r="C927" s="4" t="inlineStr">
        <is>
          <t>DISTRIBUIÇÃO ELÉTRICA/QUADRO - DRYWALL</t>
        </is>
      </c>
      <c r="D927" s="4" t="inlineStr">
        <is>
          <t>-</t>
        </is>
      </c>
      <c r="E927" s="4" t="inlineStr">
        <is>
          <t>17º PAV.</t>
        </is>
      </c>
      <c r="F927" s="126" t="n">
        <v>46716</v>
      </c>
      <c r="G927" s="126" t="n">
        <v>46728</v>
      </c>
      <c r="H927" s="126" t="n">
        <v>46289</v>
      </c>
      <c r="I927" s="4" t="n">
        <v>0</v>
      </c>
      <c r="J927" s="4" t="n">
        <v>0</v>
      </c>
      <c r="K927" s="4" t="n">
        <v>0</v>
      </c>
      <c r="M927" s="2">
        <f>IF(C927="","",IFERROR(INDEX($S$5:$S$304,MATCH(C927,$R$5:$R$304,0))&amp;"","?"))</f>
        <v/>
      </c>
      <c r="N927" s="2">
        <f>IF(E927="","",IF(ISNUMBER(SEARCH("SUBSOLO",E927)),IFERROR(-VALUE(LEFT(E927,FIND("º",SUBSTITUTE(E927,"°","º"))-1)),-1),IF(LEFT(E927,6)="TÉRREO",0,IFERROR(VALUE(LEFT(E927,FIND("º",SUBSTITUTE(E927,"°","º"))-1)),""))))</f>
        <v/>
      </c>
      <c r="O927" s="2">
        <f>IF(OR(F927="",G927=""),"",IF(G927&lt;='RETRATO 2027'!$K$5,"CONCLUÍDA",IF(F927&lt;='RETRATO 2027'!$K$5,"EM ANDAMENTO","A INICIAR")))</f>
        <v/>
      </c>
    </row>
    <row r="928">
      <c r="B928" s="4" t="n">
        <v>32750417</v>
      </c>
      <c r="C928" s="4" t="inlineStr">
        <is>
          <t>DISTRIBUIÇÃO HIDRÁULICA - DRYWALL</t>
        </is>
      </c>
      <c r="D928" s="4" t="inlineStr">
        <is>
          <t>-</t>
        </is>
      </c>
      <c r="E928" s="4" t="inlineStr">
        <is>
          <t>17º PAV.</t>
        </is>
      </c>
      <c r="F928" s="126" t="n">
        <v>46716</v>
      </c>
      <c r="G928" s="126" t="n">
        <v>46728</v>
      </c>
      <c r="H928" s="126" t="n">
        <v>46289</v>
      </c>
      <c r="I928" s="4" t="n">
        <v>0</v>
      </c>
      <c r="J928" s="4" t="n">
        <v>0</v>
      </c>
      <c r="K928" s="4" t="n">
        <v>0</v>
      </c>
      <c r="M928" s="2">
        <f>IF(C928="","",IFERROR(INDEX($S$5:$S$304,MATCH(C928,$R$5:$R$304,0))&amp;"","?"))</f>
        <v/>
      </c>
      <c r="N928" s="2">
        <f>IF(E928="","",IF(ISNUMBER(SEARCH("SUBSOLO",E928)),IFERROR(-VALUE(LEFT(E928,FIND("º",SUBSTITUTE(E928,"°","º"))-1)),-1),IF(LEFT(E928,6)="TÉRREO",0,IFERROR(VALUE(LEFT(E928,FIND("º",SUBSTITUTE(E928,"°","º"))-1)),""))))</f>
        <v/>
      </c>
      <c r="O928" s="2">
        <f>IF(OR(F928="",G928=""),"",IF(G928&lt;='RETRATO 2027'!$K$5,"CONCLUÍDA",IF(F928&lt;='RETRATO 2027'!$K$5,"EM ANDAMENTO","A INICIAR")))</f>
        <v/>
      </c>
    </row>
    <row r="929">
      <c r="B929" s="4" t="n">
        <v>33896835</v>
      </c>
      <c r="C929" s="4" t="inlineStr">
        <is>
          <t>INFRAESTRUTURA - AR CONDICIONADO</t>
        </is>
      </c>
      <c r="D929" s="4" t="inlineStr">
        <is>
          <t>-</t>
        </is>
      </c>
      <c r="E929" s="4" t="inlineStr">
        <is>
          <t>17º PAV.</t>
        </is>
      </c>
      <c r="F929" s="126" t="n">
        <v>46716</v>
      </c>
      <c r="G929" s="126" t="n">
        <v>46728</v>
      </c>
      <c r="H929" s="126" t="n">
        <v>46289</v>
      </c>
      <c r="I929" s="4" t="n">
        <v>0</v>
      </c>
      <c r="J929" s="4" t="n">
        <v>0</v>
      </c>
      <c r="K929" s="4" t="n">
        <v>0</v>
      </c>
      <c r="M929" s="2">
        <f>IF(C929="","",IFERROR(INDEX($S$5:$S$304,MATCH(C929,$R$5:$R$304,0))&amp;"","?"))</f>
        <v/>
      </c>
      <c r="N929" s="2">
        <f>IF(E929="","",IF(ISNUMBER(SEARCH("SUBSOLO",E929)),IFERROR(-VALUE(LEFT(E929,FIND("º",SUBSTITUTE(E929,"°","º"))-1)),-1),IF(LEFT(E929,6)="TÉRREO",0,IFERROR(VALUE(LEFT(E929,FIND("º",SUBSTITUTE(E929,"°","º"))-1)),""))))</f>
        <v/>
      </c>
      <c r="O929" s="2">
        <f>IF(OR(F929="",G929=""),"",IF(G929&lt;='RETRATO 2027'!$K$5,"CONCLUÍDA",IF(F929&lt;='RETRATO 2027'!$K$5,"EM ANDAMENTO","A INICIAR")))</f>
        <v/>
      </c>
    </row>
    <row r="930">
      <c r="B930" s="4" t="n">
        <v>32749861</v>
      </c>
      <c r="C930" s="4" t="inlineStr">
        <is>
          <t>DRYWALL 1º FACE</t>
        </is>
      </c>
      <c r="D930" s="4" t="inlineStr">
        <is>
          <t>-</t>
        </is>
      </c>
      <c r="E930" s="4" t="inlineStr">
        <is>
          <t>18º PAV.</t>
        </is>
      </c>
      <c r="F930" s="126" t="n">
        <v>46716</v>
      </c>
      <c r="G930" s="126" t="n">
        <v>46728</v>
      </c>
      <c r="H930" s="126" t="n">
        <v>46289</v>
      </c>
      <c r="I930" s="4" t="n">
        <v>0</v>
      </c>
      <c r="J930" s="4" t="n">
        <v>0</v>
      </c>
      <c r="K930" s="4" t="n">
        <v>0</v>
      </c>
      <c r="M930" s="2">
        <f>IF(C930="","",IFERROR(INDEX($S$5:$S$304,MATCH(C930,$R$5:$R$304,0))&amp;"","?"))</f>
        <v/>
      </c>
      <c r="N930" s="2">
        <f>IF(E930="","",IF(ISNUMBER(SEARCH("SUBSOLO",E930)),IFERROR(-VALUE(LEFT(E930,FIND("º",SUBSTITUTE(E930,"°","º"))-1)),-1),IF(LEFT(E930,6)="TÉRREO",0,IFERROR(VALUE(LEFT(E930,FIND("º",SUBSTITUTE(E930,"°","º"))-1)),""))))</f>
        <v/>
      </c>
      <c r="O930" s="2">
        <f>IF(OR(F930="",G930=""),"",IF(G930&lt;='RETRATO 2027'!$K$5,"CONCLUÍDA",IF(F930&lt;='RETRATO 2027'!$K$5,"EM ANDAMENTO","A INICIAR")))</f>
        <v/>
      </c>
    </row>
    <row r="931">
      <c r="B931" s="4" t="n">
        <v>29981066</v>
      </c>
      <c r="C931" s="4" t="inlineStr">
        <is>
          <t>CONTRAPISO</t>
        </is>
      </c>
      <c r="D931" s="4" t="inlineStr">
        <is>
          <t>-</t>
        </is>
      </c>
      <c r="E931" s="4" t="inlineStr">
        <is>
          <t>20º PAV.</t>
        </is>
      </c>
      <c r="F931" s="126" t="n">
        <v>46716</v>
      </c>
      <c r="G931" s="126" t="n">
        <v>46728</v>
      </c>
      <c r="H931" s="126" t="n">
        <v>46289</v>
      </c>
      <c r="I931" s="4" t="n">
        <v>0</v>
      </c>
      <c r="J931" s="4" t="n">
        <v>0</v>
      </c>
      <c r="K931" s="4" t="n">
        <v>0</v>
      </c>
      <c r="M931" s="2">
        <f>IF(C931="","",IFERROR(INDEX($S$5:$S$304,MATCH(C931,$R$5:$R$304,0))&amp;"","?"))</f>
        <v/>
      </c>
      <c r="N931" s="2">
        <f>IF(E931="","",IF(ISNUMBER(SEARCH("SUBSOLO",E931)),IFERROR(-VALUE(LEFT(E931,FIND("º",SUBSTITUTE(E931,"°","º"))-1)),-1),IF(LEFT(E931,6)="TÉRREO",0,IFERROR(VALUE(LEFT(E931,FIND("º",SUBSTITUTE(E931,"°","º"))-1)),""))))</f>
        <v/>
      </c>
      <c r="O931" s="2">
        <f>IF(OR(F931="",G931=""),"",IF(G931&lt;='RETRATO 2027'!$K$5,"CONCLUÍDA",IF(F931&lt;='RETRATO 2027'!$K$5,"EM ANDAMENTO","A INICIAR")))</f>
        <v/>
      </c>
    </row>
    <row r="932">
      <c r="B932" s="4" t="n">
        <v>29981006</v>
      </c>
      <c r="C932" s="4" t="inlineStr">
        <is>
          <t>SHAFT INTERNO INST. HIDRAÚLICAS</t>
        </is>
      </c>
      <c r="D932" s="4" t="inlineStr">
        <is>
          <t>-</t>
        </is>
      </c>
      <c r="E932" s="4" t="inlineStr">
        <is>
          <t>21º PAV.</t>
        </is>
      </c>
      <c r="F932" s="126" t="n">
        <v>46716</v>
      </c>
      <c r="G932" s="126" t="n">
        <v>46728</v>
      </c>
      <c r="H932" s="126" t="n">
        <v>46289</v>
      </c>
      <c r="I932" s="4" t="n">
        <v>0</v>
      </c>
      <c r="J932" s="4" t="n">
        <v>0</v>
      </c>
      <c r="K932" s="4" t="n">
        <v>0</v>
      </c>
      <c r="M932" s="2">
        <f>IF(C932="","",IFERROR(INDEX($S$5:$S$304,MATCH(C932,$R$5:$R$304,0))&amp;"","?"))</f>
        <v/>
      </c>
      <c r="N932" s="2">
        <f>IF(E932="","",IF(ISNUMBER(SEARCH("SUBSOLO",E932)),IFERROR(-VALUE(LEFT(E932,FIND("º",SUBSTITUTE(E932,"°","º"))-1)),-1),IF(LEFT(E932,6)="TÉRREO",0,IFERROR(VALUE(LEFT(E932,FIND("º",SUBSTITUTE(E932,"°","º"))-1)),""))))</f>
        <v/>
      </c>
      <c r="O932" s="2">
        <f>IF(OR(F932="",G932=""),"",IF(G932&lt;='RETRATO 2027'!$K$5,"CONCLUÍDA",IF(F932&lt;='RETRATO 2027'!$K$5,"EM ANDAMENTO","A INICIAR")))</f>
        <v/>
      </c>
    </row>
    <row r="933">
      <c r="B933" s="4" t="n">
        <v>29981039</v>
      </c>
      <c r="C933" s="4" t="inlineStr">
        <is>
          <t>PRUMADA ELÉTRICA - INFRA</t>
        </is>
      </c>
      <c r="D933" s="4" t="inlineStr">
        <is>
          <t>-</t>
        </is>
      </c>
      <c r="E933" s="4" t="inlineStr">
        <is>
          <t>21º PAV.</t>
        </is>
      </c>
      <c r="F933" s="126" t="n">
        <v>46716</v>
      </c>
      <c r="G933" s="126" t="n">
        <v>46728</v>
      </c>
      <c r="H933" s="126" t="n">
        <v>46289</v>
      </c>
      <c r="I933" s="4" t="n">
        <v>0</v>
      </c>
      <c r="J933" s="4" t="n">
        <v>0</v>
      </c>
      <c r="K933" s="4" t="n">
        <v>0</v>
      </c>
      <c r="M933" s="2">
        <f>IF(C933="","",IFERROR(INDEX($S$5:$S$304,MATCH(C933,$R$5:$R$304,0))&amp;"","?"))</f>
        <v/>
      </c>
      <c r="N933" s="2">
        <f>IF(E933="","",IF(ISNUMBER(SEARCH("SUBSOLO",E933)),IFERROR(-VALUE(LEFT(E933,FIND("º",SUBSTITUTE(E933,"°","º"))-1)),-1),IF(LEFT(E933,6)="TÉRREO",0,IFERROR(VALUE(LEFT(E933,FIND("º",SUBSTITUTE(E933,"°","º"))-1)),""))))</f>
        <v/>
      </c>
      <c r="O933" s="2">
        <f>IF(OR(F933="",G933=""),"",IF(G933&lt;='RETRATO 2027'!$K$5,"CONCLUÍDA",IF(F933&lt;='RETRATO 2027'!$K$5,"EM ANDAMENTO","A INICIAR")))</f>
        <v/>
      </c>
    </row>
    <row r="934">
      <c r="B934" s="4" t="n">
        <v>29980968</v>
      </c>
      <c r="C934" s="4" t="inlineStr">
        <is>
          <t>REBOCO INTERNO</t>
        </is>
      </c>
      <c r="D934" s="4" t="inlineStr">
        <is>
          <t>-</t>
        </is>
      </c>
      <c r="E934" s="4" t="inlineStr">
        <is>
          <t>22º PAV.</t>
        </is>
      </c>
      <c r="F934" s="126" t="n">
        <v>46716</v>
      </c>
      <c r="G934" s="126" t="n">
        <v>46728</v>
      </c>
      <c r="H934" s="126" t="n">
        <v>46289</v>
      </c>
      <c r="I934" s="4" t="n">
        <v>0</v>
      </c>
      <c r="J934" s="4" t="n">
        <v>0</v>
      </c>
      <c r="K934" s="4" t="n">
        <v>0</v>
      </c>
      <c r="M934" s="2">
        <f>IF(C934="","",IFERROR(INDEX($S$5:$S$304,MATCH(C934,$R$5:$R$304,0))&amp;"","?"))</f>
        <v/>
      </c>
      <c r="N934" s="2">
        <f>IF(E934="","",IF(ISNUMBER(SEARCH("SUBSOLO",E934)),IFERROR(-VALUE(LEFT(E934,FIND("º",SUBSTITUTE(E934,"°","º"))-1)),-1),IF(LEFT(E934,6)="TÉRREO",0,IFERROR(VALUE(LEFT(E934,FIND("º",SUBSTITUTE(E934,"°","º"))-1)),""))))</f>
        <v/>
      </c>
      <c r="O934" s="2">
        <f>IF(OR(F934="",G934=""),"",IF(G934&lt;='RETRATO 2027'!$K$5,"CONCLUÍDA",IF(F934&lt;='RETRATO 2027'!$K$5,"EM ANDAMENTO","A INICIAR")))</f>
        <v/>
      </c>
    </row>
    <row r="935">
      <c r="B935" s="4" t="n">
        <v>29980934</v>
      </c>
      <c r="C935" s="4" t="inlineStr">
        <is>
          <t>CONTRAMARCO</t>
        </is>
      </c>
      <c r="D935" s="4" t="inlineStr">
        <is>
          <t>-</t>
        </is>
      </c>
      <c r="E935" s="4" t="inlineStr">
        <is>
          <t>23º PAV.</t>
        </is>
      </c>
      <c r="F935" s="126" t="n">
        <v>46716</v>
      </c>
      <c r="G935" s="126" t="n">
        <v>46728</v>
      </c>
      <c r="H935" s="126" t="n">
        <v>46289</v>
      </c>
      <c r="I935" s="4" t="n">
        <v>0</v>
      </c>
      <c r="J935" s="4" t="n">
        <v>0</v>
      </c>
      <c r="K935" s="4" t="n">
        <v>0</v>
      </c>
      <c r="M935" s="2">
        <f>IF(C935="","",IFERROR(INDEX($S$5:$S$304,MATCH(C935,$R$5:$R$304,0))&amp;"","?"))</f>
        <v/>
      </c>
      <c r="N935" s="2">
        <f>IF(E935="","",IF(ISNUMBER(SEARCH("SUBSOLO",E935)),IFERROR(-VALUE(LEFT(E935,FIND("º",SUBSTITUTE(E935,"°","º"))-1)),-1),IF(LEFT(E935,6)="TÉRREO",0,IFERROR(VALUE(LEFT(E935,FIND("º",SUBSTITUTE(E935,"°","º"))-1)),""))))</f>
        <v/>
      </c>
      <c r="O935" s="2">
        <f>IF(OR(F935="",G935=""),"",IF(G935&lt;='RETRATO 2027'!$K$5,"CONCLUÍDA",IF(F935&lt;='RETRATO 2027'!$K$5,"EM ANDAMENTO","A INICIAR")))</f>
        <v/>
      </c>
    </row>
    <row r="936">
      <c r="B936" s="4" t="n">
        <v>29980927</v>
      </c>
      <c r="C936" s="4" t="inlineStr">
        <is>
          <t>DISTRIBUIÇÃO HIDROSSANITÁRIA</t>
        </is>
      </c>
      <c r="D936" s="4" t="inlineStr">
        <is>
          <t>-</t>
        </is>
      </c>
      <c r="E936" s="4" t="inlineStr">
        <is>
          <t>24º PAV.</t>
        </is>
      </c>
      <c r="F936" s="126" t="n">
        <v>46716</v>
      </c>
      <c r="G936" s="126" t="n">
        <v>46728</v>
      </c>
      <c r="H936" s="126" t="n">
        <v>46289</v>
      </c>
      <c r="I936" s="4" t="n">
        <v>0</v>
      </c>
      <c r="J936" s="4" t="n">
        <v>0</v>
      </c>
      <c r="K936" s="4" t="n">
        <v>0</v>
      </c>
      <c r="M936" s="2">
        <f>IF(C936="","",IFERROR(INDEX($S$5:$S$304,MATCH(C936,$R$5:$R$304,0))&amp;"","?"))</f>
        <v/>
      </c>
      <c r="N936" s="2">
        <f>IF(E936="","",IF(ISNUMBER(SEARCH("SUBSOLO",E936)),IFERROR(-VALUE(LEFT(E936,FIND("º",SUBSTITUTE(E936,"°","º"))-1)),-1),IF(LEFT(E936,6)="TÉRREO",0,IFERROR(VALUE(LEFT(E936,FIND("º",SUBSTITUTE(E936,"°","º"))-1)),""))))</f>
        <v/>
      </c>
      <c r="O936" s="2">
        <f>IF(OR(F936="",G936=""),"",IF(G936&lt;='RETRATO 2027'!$K$5,"CONCLUÍDA",IF(F936&lt;='RETRATO 2027'!$K$5,"EM ANDAMENTO","A INICIAR")))</f>
        <v/>
      </c>
    </row>
    <row r="937">
      <c r="B937" s="4" t="n">
        <v>29980896</v>
      </c>
      <c r="C937" s="4" t="inlineStr">
        <is>
          <t>DISTRIBUIÇÃO ELÉTRICA / QUADRO</t>
        </is>
      </c>
      <c r="D937" s="4" t="inlineStr">
        <is>
          <t>-</t>
        </is>
      </c>
      <c r="E937" s="4" t="inlineStr">
        <is>
          <t>24º PAV.</t>
        </is>
      </c>
      <c r="F937" s="126" t="n">
        <v>46716</v>
      </c>
      <c r="G937" s="126" t="n">
        <v>46728</v>
      </c>
      <c r="H937" s="126" t="n">
        <v>46289</v>
      </c>
      <c r="I937" s="4" t="n">
        <v>0</v>
      </c>
      <c r="J937" s="4" t="n">
        <v>0</v>
      </c>
      <c r="K937" s="4" t="n">
        <v>0</v>
      </c>
      <c r="M937" s="2">
        <f>IF(C937="","",IFERROR(INDEX($S$5:$S$304,MATCH(C937,$R$5:$R$304,0))&amp;"","?"))</f>
        <v/>
      </c>
      <c r="N937" s="2">
        <f>IF(E937="","",IF(ISNUMBER(SEARCH("SUBSOLO",E937)),IFERROR(-VALUE(LEFT(E937,FIND("º",SUBSTITUTE(E937,"°","º"))-1)),-1),IF(LEFT(E937,6)="TÉRREO",0,IFERROR(VALUE(LEFT(E937,FIND("º",SUBSTITUTE(E937,"°","º"))-1)),""))))</f>
        <v/>
      </c>
      <c r="O937" s="2">
        <f>IF(OR(F937="",G937=""),"",IF(G937&lt;='RETRATO 2027'!$K$5,"CONCLUÍDA",IF(F937&lt;='RETRATO 2027'!$K$5,"EM ANDAMENTO","A INICIAR")))</f>
        <v/>
      </c>
    </row>
    <row r="938">
      <c r="B938" s="4" t="n">
        <v>29980929</v>
      </c>
      <c r="C938" s="4" t="inlineStr">
        <is>
          <t>DISTRIBUIÇÃO DE GÁS</t>
        </is>
      </c>
      <c r="D938" s="4" t="inlineStr">
        <is>
          <t>-</t>
        </is>
      </c>
      <c r="E938" s="4" t="inlineStr">
        <is>
          <t>24º PAV.</t>
        </is>
      </c>
      <c r="F938" s="126" t="n">
        <v>46716</v>
      </c>
      <c r="G938" s="126" t="n">
        <v>46728</v>
      </c>
      <c r="H938" s="126" t="n">
        <v>46289</v>
      </c>
      <c r="I938" s="4" t="n">
        <v>0</v>
      </c>
      <c r="J938" s="4" t="n">
        <v>0</v>
      </c>
      <c r="K938" s="4" t="n">
        <v>0</v>
      </c>
      <c r="M938" s="2">
        <f>IF(C938="","",IFERROR(INDEX($S$5:$S$304,MATCH(C938,$R$5:$R$304,0))&amp;"","?"))</f>
        <v/>
      </c>
      <c r="N938" s="2">
        <f>IF(E938="","",IF(ISNUMBER(SEARCH("SUBSOLO",E938)),IFERROR(-VALUE(LEFT(E938,FIND("º",SUBSTITUTE(E938,"°","º"))-1)),-1),IF(LEFT(E938,6)="TÉRREO",0,IFERROR(VALUE(LEFT(E938,FIND("º",SUBSTITUTE(E938,"°","º"))-1)),""))))</f>
        <v/>
      </c>
      <c r="O938" s="2">
        <f>IF(OR(F938="",G938=""),"",IF(G938&lt;='RETRATO 2027'!$K$5,"CONCLUÍDA",IF(F938&lt;='RETRATO 2027'!$K$5,"EM ANDAMENTO","A INICIAR")))</f>
        <v/>
      </c>
    </row>
    <row r="939">
      <c r="B939" s="4" t="n">
        <v>29980876</v>
      </c>
      <c r="C939" s="4" t="inlineStr">
        <is>
          <t>TALISCAMENTO</t>
        </is>
      </c>
      <c r="D939" s="4" t="inlineStr">
        <is>
          <t>-</t>
        </is>
      </c>
      <c r="E939" s="4" t="inlineStr">
        <is>
          <t>25º PAV.</t>
        </is>
      </c>
      <c r="F939" s="126" t="n">
        <v>46716</v>
      </c>
      <c r="G939" s="126" t="n">
        <v>46728</v>
      </c>
      <c r="H939" s="126" t="n">
        <v>46289</v>
      </c>
      <c r="I939" s="4" t="n">
        <v>0</v>
      </c>
      <c r="J939" s="4" t="n">
        <v>0</v>
      </c>
      <c r="K939" s="4" t="n">
        <v>0</v>
      </c>
      <c r="M939" s="2">
        <f>IF(C939="","",IFERROR(INDEX($S$5:$S$304,MATCH(C939,$R$5:$R$304,0))&amp;"","?"))</f>
        <v/>
      </c>
      <c r="N939" s="2">
        <f>IF(E939="","",IF(ISNUMBER(SEARCH("SUBSOLO",E939)),IFERROR(-VALUE(LEFT(E939,FIND("º",SUBSTITUTE(E939,"°","º"))-1)),-1),IF(LEFT(E939,6)="TÉRREO",0,IFERROR(VALUE(LEFT(E939,FIND("º",SUBSTITUTE(E939,"°","º"))-1)),""))))</f>
        <v/>
      </c>
      <c r="O939" s="2">
        <f>IF(OR(F939="",G939=""),"",IF(G939&lt;='RETRATO 2027'!$K$5,"CONCLUÍDA",IF(F939&lt;='RETRATO 2027'!$K$5,"EM ANDAMENTO","A INICIAR")))</f>
        <v/>
      </c>
    </row>
    <row r="940">
      <c r="B940" s="4" t="n">
        <v>29980842</v>
      </c>
      <c r="C940" s="4" t="inlineStr">
        <is>
          <t>PRUMADA HIDROSSANITÁRIA</t>
        </is>
      </c>
      <c r="D940" s="4" t="inlineStr">
        <is>
          <t>-</t>
        </is>
      </c>
      <c r="E940" s="4" t="inlineStr">
        <is>
          <t>26º PAV.</t>
        </is>
      </c>
      <c r="F940" s="126" t="n">
        <v>46716</v>
      </c>
      <c r="G940" s="126" t="n">
        <v>46728</v>
      </c>
      <c r="H940" s="126" t="n">
        <v>46289</v>
      </c>
      <c r="I940" s="4" t="n">
        <v>0</v>
      </c>
      <c r="J940" s="4" t="n">
        <v>0</v>
      </c>
      <c r="K940" s="4" t="n">
        <v>0</v>
      </c>
      <c r="M940" s="2">
        <f>IF(C940="","",IFERROR(INDEX($S$5:$S$304,MATCH(C940,$R$5:$R$304,0))&amp;"","?"))</f>
        <v/>
      </c>
      <c r="N940" s="2">
        <f>IF(E940="","",IF(ISNUMBER(SEARCH("SUBSOLO",E940)),IFERROR(-VALUE(LEFT(E940,FIND("º",SUBSTITUTE(E940,"°","º"))-1)),-1),IF(LEFT(E940,6)="TÉRREO",0,IFERROR(VALUE(LEFT(E940,FIND("º",SUBSTITUTE(E940,"°","º"))-1)),""))))</f>
        <v/>
      </c>
      <c r="O940" s="2">
        <f>IF(OR(F940="",G940=""),"",IF(G940&lt;='RETRATO 2027'!$K$5,"CONCLUÍDA",IF(F940&lt;='RETRATO 2027'!$K$5,"EM ANDAMENTO","A INICIAR")))</f>
        <v/>
      </c>
    </row>
    <row r="941">
      <c r="B941" s="4" t="n">
        <v>29980841</v>
      </c>
      <c r="C941" s="4" t="inlineStr">
        <is>
          <t>ENCUNHAMENTO</t>
        </is>
      </c>
      <c r="D941" s="4" t="inlineStr">
        <is>
          <t>-</t>
        </is>
      </c>
      <c r="E941" s="4" t="inlineStr">
        <is>
          <t>26º PAV.</t>
        </is>
      </c>
      <c r="F941" s="126" t="n">
        <v>46720</v>
      </c>
      <c r="G941" s="126" t="n">
        <v>46731</v>
      </c>
      <c r="H941" s="126" t="n">
        <v>46289</v>
      </c>
      <c r="I941" s="4" t="n">
        <v>0</v>
      </c>
      <c r="J941" s="4" t="n">
        <v>0</v>
      </c>
      <c r="K941" s="4" t="n">
        <v>0</v>
      </c>
      <c r="M941" s="2">
        <f>IF(C941="","",IFERROR(INDEX($S$5:$S$304,MATCH(C941,$R$5:$R$304,0))&amp;"","?"))</f>
        <v/>
      </c>
      <c r="N941" s="2">
        <f>IF(E941="","",IF(ISNUMBER(SEARCH("SUBSOLO",E941)),IFERROR(-VALUE(LEFT(E941,FIND("º",SUBSTITUTE(E941,"°","º"))-1)),-1),IF(LEFT(E941,6)="TÉRREO",0,IFERROR(VALUE(LEFT(E941,FIND("º",SUBSTITUTE(E941,"°","º"))-1)),""))))</f>
        <v/>
      </c>
      <c r="O941" s="2">
        <f>IF(OR(F941="",G941=""),"",IF(G941&lt;='RETRATO 2027'!$K$5,"CONCLUÍDA",IF(F941&lt;='RETRATO 2027'!$K$5,"EM ANDAMENTO","A INICIAR")))</f>
        <v/>
      </c>
    </row>
    <row r="942">
      <c r="B942" s="4" t="n">
        <v>29941041</v>
      </c>
      <c r="C942" s="4" t="inlineStr">
        <is>
          <t>ESTRUTURA</t>
        </is>
      </c>
      <c r="D942" s="4" t="inlineStr">
        <is>
          <t>-</t>
        </is>
      </c>
      <c r="E942" s="4" t="inlineStr">
        <is>
          <t>31º PAV. - COBERTURA LINEAR</t>
        </is>
      </c>
      <c r="F942" s="126" t="n">
        <v>46720</v>
      </c>
      <c r="G942" s="126" t="n">
        <v>46736</v>
      </c>
      <c r="H942" s="126" t="n">
        <v>46289</v>
      </c>
      <c r="I942" s="4" t="n">
        <v>0</v>
      </c>
      <c r="J942" s="4" t="n">
        <v>0</v>
      </c>
      <c r="K942" s="4" t="n">
        <v>0</v>
      </c>
      <c r="M942" s="2">
        <f>IF(C942="","",IFERROR(INDEX($S$5:$S$304,MATCH(C942,$R$5:$R$304,0))&amp;"","?"))</f>
        <v/>
      </c>
      <c r="N942" s="2">
        <f>IF(E942="","",IF(ISNUMBER(SEARCH("SUBSOLO",E942)),IFERROR(-VALUE(LEFT(E942,FIND("º",SUBSTITUTE(E942,"°","º"))-1)),-1),IF(LEFT(E942,6)="TÉRREO",0,IFERROR(VALUE(LEFT(E942,FIND("º",SUBSTITUTE(E942,"°","º"))-1)),""))))</f>
        <v/>
      </c>
      <c r="O942" s="2">
        <f>IF(OR(F942="",G942=""),"",IF(G942&lt;='RETRATO 2027'!$K$5,"CONCLUÍDA",IF(F942&lt;='RETRATO 2027'!$K$5,"EM ANDAMENTO","A INICIAR")))</f>
        <v/>
      </c>
    </row>
    <row r="943">
      <c r="B943" s="4" t="n">
        <v>31529078</v>
      </c>
      <c r="C943" s="4" t="inlineStr">
        <is>
          <t>ESTRUTURA</t>
        </is>
      </c>
      <c r="D943" s="4" t="inlineStr">
        <is>
          <t>Forma</t>
        </is>
      </c>
      <c r="E943" s="4" t="inlineStr">
        <is>
          <t>31º PAV. - COBERTURA LINEAR</t>
        </is>
      </c>
      <c r="F943" s="126" t="n">
        <v>46720</v>
      </c>
      <c r="G943" s="126" t="n">
        <v>46728</v>
      </c>
      <c r="H943" s="126" t="n">
        <v>46289</v>
      </c>
      <c r="I943" s="4" t="n">
        <v>0</v>
      </c>
      <c r="J943" s="4" t="n">
        <v>0</v>
      </c>
      <c r="K943" s="4" t="n">
        <v>0</v>
      </c>
      <c r="M943" s="2">
        <f>IF(C943="","",IFERROR(INDEX($S$5:$S$304,MATCH(C943,$R$5:$R$304,0))&amp;"","?"))</f>
        <v/>
      </c>
      <c r="N943" s="2">
        <f>IF(E943="","",IF(ISNUMBER(SEARCH("SUBSOLO",E943)),IFERROR(-VALUE(LEFT(E943,FIND("º",SUBSTITUTE(E943,"°","º"))-1)),-1),IF(LEFT(E943,6)="TÉRREO",0,IFERROR(VALUE(LEFT(E943,FIND("º",SUBSTITUTE(E943,"°","º"))-1)),""))))</f>
        <v/>
      </c>
      <c r="O943" s="2">
        <f>IF(OR(F943="",G943=""),"",IF(G943&lt;='RETRATO 2027'!$K$5,"CONCLUÍDA",IF(F943&lt;='RETRATO 2027'!$K$5,"EM ANDAMENTO","A INICIAR")))</f>
        <v/>
      </c>
    </row>
    <row r="944">
      <c r="B944" s="4" t="n">
        <v>31529079</v>
      </c>
      <c r="C944" s="4" t="inlineStr">
        <is>
          <t>ESTRUTURA</t>
        </is>
      </c>
      <c r="D944" s="4" t="inlineStr">
        <is>
          <t>Armação</t>
        </is>
      </c>
      <c r="E944" s="4" t="inlineStr">
        <is>
          <t>31º PAV. - COBERTURA LINEAR</t>
        </is>
      </c>
      <c r="F944" s="126" t="n">
        <v>46730</v>
      </c>
      <c r="G944" s="126" t="n">
        <v>46735</v>
      </c>
      <c r="H944" s="126" t="n">
        <v>46289</v>
      </c>
      <c r="I944" s="4" t="n">
        <v>0</v>
      </c>
      <c r="J944" s="4" t="n">
        <v>0</v>
      </c>
      <c r="K944" s="4" t="n">
        <v>0</v>
      </c>
      <c r="M944" s="2">
        <f>IF(C944="","",IFERROR(INDEX($S$5:$S$304,MATCH(C944,$R$5:$R$304,0))&amp;"","?"))</f>
        <v/>
      </c>
      <c r="N944" s="2">
        <f>IF(E944="","",IF(ISNUMBER(SEARCH("SUBSOLO",E944)),IFERROR(-VALUE(LEFT(E944,FIND("º",SUBSTITUTE(E944,"°","º"))-1)),-1),IF(LEFT(E944,6)="TÉRREO",0,IFERROR(VALUE(LEFT(E944,FIND("º",SUBSTITUTE(E944,"°","º"))-1)),""))))</f>
        <v/>
      </c>
      <c r="O944" s="2">
        <f>IF(OR(F944="",G944=""),"",IF(G944&lt;='RETRATO 2027'!$K$5,"CONCLUÍDA",IF(F944&lt;='RETRATO 2027'!$K$5,"EM ANDAMENTO","A INICIAR")))</f>
        <v/>
      </c>
    </row>
    <row r="945">
      <c r="B945" s="4" t="n">
        <v>31529080</v>
      </c>
      <c r="C945" s="4" t="inlineStr">
        <is>
          <t>ESTRUTURA</t>
        </is>
      </c>
      <c r="D945" s="4" t="inlineStr">
        <is>
          <t>Concretagem</t>
        </is>
      </c>
      <c r="E945" s="4" t="inlineStr">
        <is>
          <t>31º PAV. - COBERTURA LINEAR</t>
        </is>
      </c>
      <c r="F945" s="126" t="n">
        <v>46736</v>
      </c>
      <c r="G945" s="126" t="n">
        <v>46736</v>
      </c>
      <c r="H945" s="126" t="n">
        <v>46289</v>
      </c>
      <c r="I945" s="4" t="n">
        <v>0</v>
      </c>
      <c r="J945" s="4" t="n">
        <v>0</v>
      </c>
      <c r="K945" s="4" t="n">
        <v>0</v>
      </c>
      <c r="M945" s="2">
        <f>IF(C945="","",IFERROR(INDEX($S$5:$S$304,MATCH(C945,$R$5:$R$304,0))&amp;"","?"))</f>
        <v/>
      </c>
      <c r="N945" s="2">
        <f>IF(E945="","",IF(ISNUMBER(SEARCH("SUBSOLO",E945)),IFERROR(-VALUE(LEFT(E945,FIND("º",SUBSTITUTE(E945,"°","º"))-1)),-1),IF(LEFT(E945,6)="TÉRREO",0,IFERROR(VALUE(LEFT(E945,FIND("º",SUBSTITUTE(E945,"°","º"))-1)),""))))</f>
        <v/>
      </c>
      <c r="O945" s="2">
        <f>IF(OR(F945="",G945=""),"",IF(G945&lt;='RETRATO 2027'!$K$5,"CONCLUÍDA",IF(F945&lt;='RETRATO 2027'!$K$5,"EM ANDAMENTO","A INICIAR")))</f>
        <v/>
      </c>
    </row>
    <row r="946">
      <c r="B946" s="4" t="n">
        <v>31529081</v>
      </c>
      <c r="C946" s="4" t="inlineStr">
        <is>
          <t>ESTRUTURA</t>
        </is>
      </c>
      <c r="D946" s="4" t="inlineStr">
        <is>
          <t>Polimento</t>
        </is>
      </c>
      <c r="E946" s="4" t="inlineStr">
        <is>
          <t>31º PAV. - COBERTURA LINEAR</t>
        </is>
      </c>
      <c r="F946" s="126" t="n">
        <v>46736</v>
      </c>
      <c r="G946" s="126" t="n">
        <v>46736</v>
      </c>
      <c r="H946" s="126" t="n">
        <v>46289</v>
      </c>
      <c r="I946" s="4" t="n">
        <v>0</v>
      </c>
      <c r="J946" s="4" t="n">
        <v>0</v>
      </c>
      <c r="K946" s="4" t="n">
        <v>0</v>
      </c>
      <c r="M946" s="2">
        <f>IF(C946="","",IFERROR(INDEX($S$5:$S$304,MATCH(C946,$R$5:$R$304,0))&amp;"","?"))</f>
        <v/>
      </c>
      <c r="N946" s="2">
        <f>IF(E946="","",IF(ISNUMBER(SEARCH("SUBSOLO",E946)),IFERROR(-VALUE(LEFT(E946,FIND("º",SUBSTITUTE(E946,"°","º"))-1)),-1),IF(LEFT(E946,6)="TÉRREO",0,IFERROR(VALUE(LEFT(E946,FIND("º",SUBSTITUTE(E946,"°","º"))-1)),""))))</f>
        <v/>
      </c>
      <c r="O946" s="2">
        <f>IF(OR(F946="",G946=""),"",IF(G946&lt;='RETRATO 2027'!$K$5,"CONCLUÍDA",IF(F946&lt;='RETRATO 2027'!$K$5,"EM ANDAMENTO","A INICIAR")))</f>
        <v/>
      </c>
    </row>
    <row r="947">
      <c r="B947" s="4" t="n">
        <v>34179690</v>
      </c>
      <c r="C947" s="4" t="inlineStr">
        <is>
          <t>PASSEIOS, MURETAS E RAMPAS</t>
        </is>
      </c>
      <c r="D947" s="4" t="inlineStr">
        <is>
          <t>-</t>
        </is>
      </c>
      <c r="E947" s="4" t="inlineStr">
        <is>
          <t>TÉRREO ÁREA EXTERNA - COMERCIAL</t>
        </is>
      </c>
      <c r="F947" s="126" t="n">
        <v>46721</v>
      </c>
      <c r="G947" s="126" t="n">
        <v>46821</v>
      </c>
      <c r="H947" s="126" t="n">
        <v>46289</v>
      </c>
      <c r="I947" s="4" t="n">
        <v>0</v>
      </c>
      <c r="J947" s="4" t="n">
        <v>0</v>
      </c>
      <c r="K947" s="4" t="n">
        <v>0</v>
      </c>
      <c r="M947" s="2">
        <f>IF(C947="","",IFERROR(INDEX($S$5:$S$304,MATCH(C947,$R$5:$R$304,0))&amp;"","?"))</f>
        <v/>
      </c>
      <c r="N947" s="2">
        <f>IF(E947="","",IF(ISNUMBER(SEARCH("SUBSOLO",E947)),IFERROR(-VALUE(LEFT(E947,FIND("º",SUBSTITUTE(E947,"°","º"))-1)),-1),IF(LEFT(E947,6)="TÉRREO",0,IFERROR(VALUE(LEFT(E947,FIND("º",SUBSTITUTE(E947,"°","º"))-1)),""))))</f>
        <v/>
      </c>
      <c r="O947" s="2">
        <f>IF(OR(F947="",G947=""),"",IF(G947&lt;='RETRATO 2027'!$K$5,"CONCLUÍDA",IF(F947&lt;='RETRATO 2027'!$K$5,"EM ANDAMENTO","A INICIAR")))</f>
        <v/>
      </c>
    </row>
    <row r="948">
      <c r="B948" s="4" t="n">
        <v>30205760</v>
      </c>
      <c r="C948" s="4" t="inlineStr">
        <is>
          <t>PASSEIOS, MURETAS E RAMPAS</t>
        </is>
      </c>
      <c r="D948" s="4" t="inlineStr">
        <is>
          <t>-</t>
        </is>
      </c>
      <c r="E948" s="4" t="inlineStr">
        <is>
          <t>TÉRREO - ÁREA EXTERNA RESIDENCIAL</t>
        </is>
      </c>
      <c r="F948" s="126" t="n">
        <v>46721</v>
      </c>
      <c r="G948" s="126" t="n">
        <v>46821</v>
      </c>
      <c r="H948" s="126" t="n">
        <v>46289</v>
      </c>
      <c r="I948" s="4" t="n">
        <v>0</v>
      </c>
      <c r="J948" s="4" t="n">
        <v>0</v>
      </c>
      <c r="K948" s="4" t="n">
        <v>0</v>
      </c>
      <c r="M948" s="2">
        <f>IF(C948="","",IFERROR(INDEX($S$5:$S$304,MATCH(C948,$R$5:$R$304,0))&amp;"","?"))</f>
        <v/>
      </c>
      <c r="N948" s="2">
        <f>IF(E948="","",IF(ISNUMBER(SEARCH("SUBSOLO",E948)),IFERROR(-VALUE(LEFT(E948,FIND("º",SUBSTITUTE(E948,"°","º"))-1)),-1),IF(LEFT(E948,6)="TÉRREO",0,IFERROR(VALUE(LEFT(E948,FIND("º",SUBSTITUTE(E948,"°","º"))-1)),""))))</f>
        <v/>
      </c>
      <c r="O948" s="2">
        <f>IF(OR(F948="",G948=""),"",IF(G948&lt;='RETRATO 2027'!$K$5,"CONCLUÍDA",IF(F948&lt;='RETRATO 2027'!$K$5,"EM ANDAMENTO","A INICIAR")))</f>
        <v/>
      </c>
    </row>
    <row r="949">
      <c r="B949" s="4" t="n">
        <v>30205749</v>
      </c>
      <c r="C949" s="4" t="inlineStr">
        <is>
          <t>REVESTIMENTO PORCELANATO PAREDE</t>
        </is>
      </c>
      <c r="D949" s="4" t="inlineStr">
        <is>
          <t>-</t>
        </is>
      </c>
      <c r="E949" s="4" t="inlineStr">
        <is>
          <t>SUBSOLO</t>
        </is>
      </c>
      <c r="F949" s="126" t="n">
        <v>46723</v>
      </c>
      <c r="G949" s="126" t="n">
        <v>46737</v>
      </c>
      <c r="H949" s="126" t="n">
        <v>46289</v>
      </c>
      <c r="I949" s="4" t="n">
        <v>0</v>
      </c>
      <c r="J949" s="4" t="n">
        <v>0</v>
      </c>
      <c r="K949" s="4" t="n">
        <v>0</v>
      </c>
      <c r="M949" s="2">
        <f>IF(C949="","",IFERROR(INDEX($S$5:$S$304,MATCH(C949,$R$5:$R$304,0))&amp;"","?"))</f>
        <v/>
      </c>
      <c r="N949" s="2">
        <f>IF(E949="","",IF(ISNUMBER(SEARCH("SUBSOLO",E949)),IFERROR(-VALUE(LEFT(E949,FIND("º",SUBSTITUTE(E949,"°","º"))-1)),-1),IF(LEFT(E949,6)="TÉRREO",0,IFERROR(VALUE(LEFT(E949,FIND("º",SUBSTITUTE(E949,"°","º"))-1)),""))))</f>
        <v/>
      </c>
      <c r="O949" s="2">
        <f>IF(OR(F949="",G949=""),"",IF(G949&lt;='RETRATO 2027'!$K$5,"CONCLUÍDA",IF(F949&lt;='RETRATO 2027'!$K$5,"EM ANDAMENTO","A INICIAR")))</f>
        <v/>
      </c>
    </row>
    <row r="950">
      <c r="B950" s="4" t="n">
        <v>29980815</v>
      </c>
      <c r="C950" s="4" t="inlineStr">
        <is>
          <t>PRUMADA DE INCÊNDIO</t>
        </is>
      </c>
      <c r="D950" s="4" t="inlineStr">
        <is>
          <t>-</t>
        </is>
      </c>
      <c r="E950" s="4" t="inlineStr">
        <is>
          <t>27º PAV.</t>
        </is>
      </c>
      <c r="F950" s="126" t="n">
        <v>46723</v>
      </c>
      <c r="G950" s="126" t="n">
        <v>46736</v>
      </c>
      <c r="H950" s="126" t="n">
        <v>46289</v>
      </c>
      <c r="I950" s="4" t="n">
        <v>0</v>
      </c>
      <c r="J950" s="4" t="n">
        <v>0</v>
      </c>
      <c r="K950" s="4" t="n">
        <v>0</v>
      </c>
      <c r="M950" s="2">
        <f>IF(C950="","",IFERROR(INDEX($S$5:$S$304,MATCH(C950,$R$5:$R$304,0))&amp;"","?"))</f>
        <v/>
      </c>
      <c r="N950" s="2">
        <f>IF(E950="","",IF(ISNUMBER(SEARCH("SUBSOLO",E950)),IFERROR(-VALUE(LEFT(E950,FIND("º",SUBSTITUTE(E950,"°","º"))-1)),-1),IF(LEFT(E950,6)="TÉRREO",0,IFERROR(VALUE(LEFT(E950,FIND("º",SUBSTITUTE(E950,"°","º"))-1)),""))))</f>
        <v/>
      </c>
      <c r="O950" s="2">
        <f>IF(OR(F950="",G950=""),"",IF(G950&lt;='RETRATO 2027'!$K$5,"CONCLUÍDA",IF(F950&lt;='RETRATO 2027'!$K$5,"EM ANDAMENTO","A INICIAR")))</f>
        <v/>
      </c>
    </row>
    <row r="951">
      <c r="B951" s="4" t="n">
        <v>29980766</v>
      </c>
      <c r="C951" s="4" t="inlineStr">
        <is>
          <t>ALVENARIA</t>
        </is>
      </c>
      <c r="D951" s="4" t="inlineStr">
        <is>
          <t>-</t>
        </is>
      </c>
      <c r="E951" s="4" t="inlineStr">
        <is>
          <t>28º PAV.</t>
        </is>
      </c>
      <c r="F951" s="126" t="n">
        <v>46723</v>
      </c>
      <c r="G951" s="126" t="n">
        <v>46736</v>
      </c>
      <c r="H951" s="126" t="n">
        <v>46289</v>
      </c>
      <c r="I951" s="4" t="n">
        <v>0</v>
      </c>
      <c r="J951" s="4" t="n">
        <v>0</v>
      </c>
      <c r="K951" s="4" t="n">
        <v>0</v>
      </c>
      <c r="M951" s="2">
        <f>IF(C951="","",IFERROR(INDEX($S$5:$S$304,MATCH(C951,$R$5:$R$304,0))&amp;"","?"))</f>
        <v/>
      </c>
      <c r="N951" s="2">
        <f>IF(E951="","",IF(ISNUMBER(SEARCH("SUBSOLO",E951)),IFERROR(-VALUE(LEFT(E951,FIND("º",SUBSTITUTE(E951,"°","º"))-1)),-1),IF(LEFT(E951,6)="TÉRREO",0,IFERROR(VALUE(LEFT(E951,FIND("º",SUBSTITUTE(E951,"°","º"))-1)),""))))</f>
        <v/>
      </c>
      <c r="O951" s="2">
        <f>IF(OR(F951="",G951=""),"",IF(G951&lt;='RETRATO 2027'!$K$5,"CONCLUÍDA",IF(F951&lt;='RETRATO 2027'!$K$5,"EM ANDAMENTO","A INICIAR")))</f>
        <v/>
      </c>
    </row>
    <row r="952">
      <c r="B952" s="4" t="n">
        <v>33898087</v>
      </c>
      <c r="C952" s="4" t="inlineStr">
        <is>
          <t>ESQUADRIA DE ALUMÍNIO</t>
        </is>
      </c>
      <c r="D952" s="4" t="inlineStr">
        <is>
          <t>-</t>
        </is>
      </c>
      <c r="E952" s="4" t="inlineStr">
        <is>
          <t>7º PAV.</t>
        </is>
      </c>
      <c r="F952" s="126" t="n">
        <v>46728</v>
      </c>
      <c r="G952" s="126" t="n">
        <v>46741</v>
      </c>
      <c r="H952" s="126" t="n">
        <v>46289</v>
      </c>
      <c r="I952" s="4" t="n">
        <v>0</v>
      </c>
      <c r="J952" s="4" t="n">
        <v>0</v>
      </c>
      <c r="K952" s="4" t="n">
        <v>0</v>
      </c>
      <c r="M952" s="2">
        <f>IF(C952="","",IFERROR(INDEX($S$5:$S$304,MATCH(C952,$R$5:$R$304,0))&amp;"","?"))</f>
        <v/>
      </c>
      <c r="N952" s="2">
        <f>IF(E952="","",IF(ISNUMBER(SEARCH("SUBSOLO",E952)),IFERROR(-VALUE(LEFT(E952,FIND("º",SUBSTITUTE(E952,"°","º"))-1)),-1),IF(LEFT(E952,6)="TÉRREO",0,IFERROR(VALUE(LEFT(E952,FIND("º",SUBSTITUTE(E952,"°","º"))-1)),""))))</f>
        <v/>
      </c>
      <c r="O952" s="2">
        <f>IF(OR(F952="",G952=""),"",IF(G952&lt;='RETRATO 2027'!$K$5,"CONCLUÍDA",IF(F952&lt;='RETRATO 2027'!$K$5,"EM ANDAMENTO","A INICIAR")))</f>
        <v/>
      </c>
    </row>
    <row r="953">
      <c r="B953" s="4" t="n">
        <v>30205679</v>
      </c>
      <c r="C953" s="4" t="inlineStr">
        <is>
          <t>MASSA CORRIDA</t>
        </is>
      </c>
      <c r="D953" s="4" t="inlineStr">
        <is>
          <t>-</t>
        </is>
      </c>
      <c r="E953" s="4" t="inlineStr">
        <is>
          <t>TÉRREO - LOJA 2</t>
        </is>
      </c>
      <c r="F953" s="126" t="n">
        <v>46730</v>
      </c>
      <c r="G953" s="126" t="n">
        <v>46743</v>
      </c>
      <c r="H953" s="126" t="n">
        <v>46289</v>
      </c>
      <c r="I953" s="4" t="n">
        <v>0</v>
      </c>
      <c r="J953" s="4" t="n">
        <v>0</v>
      </c>
      <c r="K953" s="4" t="n">
        <v>0</v>
      </c>
      <c r="M953" s="2">
        <f>IF(C953="","",IFERROR(INDEX($S$5:$S$304,MATCH(C953,$R$5:$R$304,0))&amp;"","?"))</f>
        <v/>
      </c>
      <c r="N953" s="2">
        <f>IF(E953="","",IF(ISNUMBER(SEARCH("SUBSOLO",E953)),IFERROR(-VALUE(LEFT(E953,FIND("º",SUBSTITUTE(E953,"°","º"))-1)),-1),IF(LEFT(E953,6)="TÉRREO",0,IFERROR(VALUE(LEFT(E953,FIND("º",SUBSTITUTE(E953,"°","º"))-1)),""))))</f>
        <v/>
      </c>
      <c r="O953" s="2">
        <f>IF(OR(F953="",G953=""),"",IF(G953&lt;='RETRATO 2027'!$K$5,"CONCLUÍDA",IF(F953&lt;='RETRATO 2027'!$K$5,"EM ANDAMENTO","A INICIAR")))</f>
        <v/>
      </c>
    </row>
    <row r="954">
      <c r="B954" s="4" t="n">
        <v>30205649</v>
      </c>
      <c r="C954" s="4" t="inlineStr">
        <is>
          <t>FORRO</t>
        </is>
      </c>
      <c r="D954" s="4" t="inlineStr">
        <is>
          <t>-</t>
        </is>
      </c>
      <c r="E954" s="4" t="inlineStr">
        <is>
          <t>TÉRREO - LOJA 3</t>
        </is>
      </c>
      <c r="F954" s="126" t="n">
        <v>46730</v>
      </c>
      <c r="G954" s="126" t="n">
        <v>46743</v>
      </c>
      <c r="H954" s="126" t="n">
        <v>46289</v>
      </c>
      <c r="I954" s="4" t="n">
        <v>0</v>
      </c>
      <c r="J954" s="4" t="n">
        <v>0</v>
      </c>
      <c r="K954" s="4" t="n">
        <v>0</v>
      </c>
      <c r="M954" s="2">
        <f>IF(C954="","",IFERROR(INDEX($S$5:$S$304,MATCH(C954,$R$5:$R$304,0))&amp;"","?"))</f>
        <v/>
      </c>
      <c r="N954" s="2">
        <f>IF(E954="","",IF(ISNUMBER(SEARCH("SUBSOLO",E954)),IFERROR(-VALUE(LEFT(E954,FIND("º",SUBSTITUTE(E954,"°","º"))-1)),-1),IF(LEFT(E954,6)="TÉRREO",0,IFERROR(VALUE(LEFT(E954,FIND("º",SUBSTITUTE(E954,"°","º"))-1)),""))))</f>
        <v/>
      </c>
      <c r="O954" s="2">
        <f>IF(OR(F954="",G954=""),"",IF(G954&lt;='RETRATO 2027'!$K$5,"CONCLUÍDA",IF(F954&lt;='RETRATO 2027'!$K$5,"EM ANDAMENTO","A INICIAR")))</f>
        <v/>
      </c>
    </row>
    <row r="955">
      <c r="B955" s="4" t="n">
        <v>30205621</v>
      </c>
      <c r="C955" s="4" t="inlineStr">
        <is>
          <t>BANCADAS</t>
        </is>
      </c>
      <c r="D955" s="4" t="inlineStr">
        <is>
          <t>-</t>
        </is>
      </c>
      <c r="E955" s="4" t="inlineStr">
        <is>
          <t>TÉRREO - LOJA 4</t>
        </is>
      </c>
      <c r="F955" s="126" t="n">
        <v>46730</v>
      </c>
      <c r="G955" s="126" t="n">
        <v>46743</v>
      </c>
      <c r="H955" s="126" t="n">
        <v>46289</v>
      </c>
      <c r="I955" s="4" t="n">
        <v>0</v>
      </c>
      <c r="J955" s="4" t="n">
        <v>0</v>
      </c>
      <c r="K955" s="4" t="n">
        <v>0</v>
      </c>
      <c r="M955" s="2">
        <f>IF(C955="","",IFERROR(INDEX($S$5:$S$304,MATCH(C955,$R$5:$R$304,0))&amp;"","?"))</f>
        <v/>
      </c>
      <c r="N955" s="2">
        <f>IF(E955="","",IF(ISNUMBER(SEARCH("SUBSOLO",E955)),IFERROR(-VALUE(LEFT(E955,FIND("º",SUBSTITUTE(E955,"°","º"))-1)),-1),IF(LEFT(E955,6)="TÉRREO",0,IFERROR(VALUE(LEFT(E955,FIND("º",SUBSTITUTE(E955,"°","º"))-1)),""))))</f>
        <v/>
      </c>
      <c r="O955" s="2">
        <f>IF(OR(F955="",G955=""),"",IF(G955&lt;='RETRATO 2027'!$K$5,"CONCLUÍDA",IF(F955&lt;='RETRATO 2027'!$K$5,"EM ANDAMENTO","A INICIAR")))</f>
        <v/>
      </c>
    </row>
    <row r="956">
      <c r="B956" s="4" t="n">
        <v>30205596</v>
      </c>
      <c r="C956" s="4" t="inlineStr">
        <is>
          <t>REVESTIMENTOS PORCELANATO PISO</t>
        </is>
      </c>
      <c r="D956" s="4" t="inlineStr">
        <is>
          <t>-</t>
        </is>
      </c>
      <c r="E956" s="4" t="inlineStr">
        <is>
          <t>TÉRREO - LOJA 5</t>
        </is>
      </c>
      <c r="F956" s="126" t="n">
        <v>46730</v>
      </c>
      <c r="G956" s="126" t="n">
        <v>46743</v>
      </c>
      <c r="H956" s="126" t="n">
        <v>46289</v>
      </c>
      <c r="I956" s="4" t="n">
        <v>0</v>
      </c>
      <c r="J956" s="4" t="n">
        <v>0</v>
      </c>
      <c r="K956" s="4" t="n">
        <v>0</v>
      </c>
      <c r="M956" s="2">
        <f>IF(C956="","",IFERROR(INDEX($S$5:$S$304,MATCH(C956,$R$5:$R$304,0))&amp;"","?"))</f>
        <v/>
      </c>
      <c r="N956" s="2">
        <f>IF(E956="","",IF(ISNUMBER(SEARCH("SUBSOLO",E956)),IFERROR(-VALUE(LEFT(E956,FIND("º",SUBSTITUTE(E956,"°","º"))-1)),-1),IF(LEFT(E956,6)="TÉRREO",0,IFERROR(VALUE(LEFT(E956,FIND("º",SUBSTITUTE(E956,"°","º"))-1)),""))))</f>
        <v/>
      </c>
      <c r="O956" s="2">
        <f>IF(OR(F956="",G956=""),"",IF(G956&lt;='RETRATO 2027'!$K$5,"CONCLUÍDA",IF(F956&lt;='RETRATO 2027'!$K$5,"EM ANDAMENTO","A INICIAR")))</f>
        <v/>
      </c>
    </row>
    <row r="957">
      <c r="B957" s="4" t="n">
        <v>30205573</v>
      </c>
      <c r="C957" s="4" t="inlineStr">
        <is>
          <t>REVESTIMENTO PORCELANATO PAREDE</t>
        </is>
      </c>
      <c r="D957" s="4" t="inlineStr">
        <is>
          <t>-</t>
        </is>
      </c>
      <c r="E957" s="4" t="inlineStr">
        <is>
          <t>TÉRREO - LOJA 6</t>
        </is>
      </c>
      <c r="F957" s="126" t="n">
        <v>46730</v>
      </c>
      <c r="G957" s="126" t="n">
        <v>46743</v>
      </c>
      <c r="H957" s="126" t="n">
        <v>46289</v>
      </c>
      <c r="I957" s="4" t="n">
        <v>0</v>
      </c>
      <c r="J957" s="4" t="n">
        <v>0</v>
      </c>
      <c r="K957" s="4" t="n">
        <v>0</v>
      </c>
      <c r="M957" s="2">
        <f>IF(C957="","",IFERROR(INDEX($S$5:$S$304,MATCH(C957,$R$5:$R$304,0))&amp;"","?"))</f>
        <v/>
      </c>
      <c r="N957" s="2">
        <f>IF(E957="","",IF(ISNUMBER(SEARCH("SUBSOLO",E957)),IFERROR(-VALUE(LEFT(E957,FIND("º",SUBSTITUTE(E957,"°","º"))-1)),-1),IF(LEFT(E957,6)="TÉRREO",0,IFERROR(VALUE(LEFT(E957,FIND("º",SUBSTITUTE(E957,"°","º"))-1)),""))))</f>
        <v/>
      </c>
      <c r="O957" s="2">
        <f>IF(OR(F957="",G957=""),"",IF(G957&lt;='RETRATO 2027'!$K$5,"CONCLUÍDA",IF(F957&lt;='RETRATO 2027'!$K$5,"EM ANDAMENTO","A INICIAR")))</f>
        <v/>
      </c>
    </row>
    <row r="958">
      <c r="B958" s="4" t="n">
        <v>30205539</v>
      </c>
      <c r="C958" s="4" t="inlineStr">
        <is>
          <t>DRYWALL</t>
        </is>
      </c>
      <c r="D958" s="4" t="inlineStr">
        <is>
          <t>-</t>
        </is>
      </c>
      <c r="E958" s="4" t="inlineStr">
        <is>
          <t>TÉRREO - LOJA 7</t>
        </is>
      </c>
      <c r="F958" s="126" t="n">
        <v>46730</v>
      </c>
      <c r="G958" s="126" t="n">
        <v>46743</v>
      </c>
      <c r="H958" s="126" t="n">
        <v>46289</v>
      </c>
      <c r="I958" s="4" t="n">
        <v>0</v>
      </c>
      <c r="J958" s="4" t="n">
        <v>0</v>
      </c>
      <c r="K958" s="4" t="n">
        <v>0</v>
      </c>
      <c r="M958" s="2">
        <f>IF(C958="","",IFERROR(INDEX($S$5:$S$304,MATCH(C958,$R$5:$R$304,0))&amp;"","?"))</f>
        <v/>
      </c>
      <c r="N958" s="2">
        <f>IF(E958="","",IF(ISNUMBER(SEARCH("SUBSOLO",E958)),IFERROR(-VALUE(LEFT(E958,FIND("º",SUBSTITUTE(E958,"°","º"))-1)),-1),IF(LEFT(E958,6)="TÉRREO",0,IFERROR(VALUE(LEFT(E958,FIND("º",SUBSTITUTE(E958,"°","º"))-1)),""))))</f>
        <v/>
      </c>
      <c r="O958" s="2">
        <f>IF(OR(F958="",G958=""),"",IF(G958&lt;='RETRATO 2027'!$K$5,"CONCLUÍDA",IF(F958&lt;='RETRATO 2027'!$K$5,"EM ANDAMENTO","A INICIAR")))</f>
        <v/>
      </c>
    </row>
    <row r="959">
      <c r="B959" s="4" t="n">
        <v>30205788</v>
      </c>
      <c r="C959" s="4" t="inlineStr">
        <is>
          <t>REBOCO INTERNO</t>
        </is>
      </c>
      <c r="D959" s="4" t="inlineStr">
        <is>
          <t>-</t>
        </is>
      </c>
      <c r="E959" s="4" t="inlineStr">
        <is>
          <t>TÉRREO - ACESSO COMERCIAL + DML + ARS + ÁREA TEC + LAVABO + DISPENSA</t>
        </is>
      </c>
      <c r="F959" s="126" t="n">
        <v>46730</v>
      </c>
      <c r="G959" s="126" t="n">
        <v>46758</v>
      </c>
      <c r="H959" s="126" t="n">
        <v>46289</v>
      </c>
      <c r="I959" s="4" t="n">
        <v>0</v>
      </c>
      <c r="J959" s="4" t="n">
        <v>0</v>
      </c>
      <c r="K959" s="4" t="n">
        <v>0</v>
      </c>
      <c r="M959" s="2">
        <f>IF(C959="","",IFERROR(INDEX($S$5:$S$304,MATCH(C959,$R$5:$R$304,0))&amp;"","?"))</f>
        <v/>
      </c>
      <c r="N959" s="2">
        <f>IF(E959="","",IF(ISNUMBER(SEARCH("SUBSOLO",E959)),IFERROR(-VALUE(LEFT(E959,FIND("º",SUBSTITUTE(E959,"°","º"))-1)),-1),IF(LEFT(E959,6)="TÉRREO",0,IFERROR(VALUE(LEFT(E959,FIND("º",SUBSTITUTE(E959,"°","º"))-1)),""))))</f>
        <v/>
      </c>
      <c r="O959" s="2">
        <f>IF(OR(F959="",G959=""),"",IF(G959&lt;='RETRATO 2027'!$K$5,"CONCLUÍDA",IF(F959&lt;='RETRATO 2027'!$K$5,"EM ANDAMENTO","A INICIAR")))</f>
        <v/>
      </c>
    </row>
    <row r="960">
      <c r="B960" s="4" t="n">
        <v>30205811</v>
      </c>
      <c r="C960" s="4" t="inlineStr">
        <is>
          <t>DISTRIBUIÇÃO ELÉTRICA / QUADRO</t>
        </is>
      </c>
      <c r="D960" s="4" t="inlineStr">
        <is>
          <t>-</t>
        </is>
      </c>
      <c r="E960" s="4" t="inlineStr">
        <is>
          <t>TÉRREO - HALL SOCIAL + ECLUSA + CIRCULAÇÃO</t>
        </is>
      </c>
      <c r="F960" s="126" t="n">
        <v>46730</v>
      </c>
      <c r="G960" s="126" t="n">
        <v>46738</v>
      </c>
      <c r="H960" s="126" t="n">
        <v>46289</v>
      </c>
      <c r="I960" s="4" t="n">
        <v>0</v>
      </c>
      <c r="J960" s="4" t="n">
        <v>0</v>
      </c>
      <c r="K960" s="4" t="n">
        <v>0</v>
      </c>
      <c r="M960" s="2">
        <f>IF(C960="","",IFERROR(INDEX($S$5:$S$304,MATCH(C960,$R$5:$R$304,0))&amp;"","?"))</f>
        <v/>
      </c>
      <c r="N960" s="2">
        <f>IF(E960="","",IF(ISNUMBER(SEARCH("SUBSOLO",E960)),IFERROR(-VALUE(LEFT(E960,FIND("º",SUBSTITUTE(E960,"°","º"))-1)),-1),IF(LEFT(E960,6)="TÉRREO",0,IFERROR(VALUE(LEFT(E960,FIND("º",SUBSTITUTE(E960,"°","º"))-1)),""))))</f>
        <v/>
      </c>
      <c r="O960" s="2">
        <f>IF(OR(F960="",G960=""),"",IF(G960&lt;='RETRATO 2027'!$K$5,"CONCLUÍDA",IF(F960&lt;='RETRATO 2027'!$K$5,"EM ANDAMENTO","A INICIAR")))</f>
        <v/>
      </c>
    </row>
    <row r="961">
      <c r="B961" s="4" t="n">
        <v>30205812</v>
      </c>
      <c r="C961" s="4" t="inlineStr">
        <is>
          <t>DISTRIBUIÇÃO HIDRÁULICA</t>
        </is>
      </c>
      <c r="D961" s="4" t="inlineStr">
        <is>
          <t>-</t>
        </is>
      </c>
      <c r="E961" s="4" t="inlineStr">
        <is>
          <t>TÉRREO - HALL SOCIAL + ECLUSA + CIRCULAÇÃO</t>
        </is>
      </c>
      <c r="F961" s="126" t="n">
        <v>46730</v>
      </c>
      <c r="G961" s="126" t="n">
        <v>46743</v>
      </c>
      <c r="H961" s="126" t="n">
        <v>46289</v>
      </c>
      <c r="I961" s="4" t="n">
        <v>0</v>
      </c>
      <c r="J961" s="4" t="n">
        <v>0</v>
      </c>
      <c r="K961" s="4" t="n">
        <v>0</v>
      </c>
      <c r="M961" s="2">
        <f>IF(C961="","",IFERROR(INDEX($S$5:$S$304,MATCH(C961,$R$5:$R$304,0))&amp;"","?"))</f>
        <v/>
      </c>
      <c r="N961" s="2">
        <f>IF(E961="","",IF(ISNUMBER(SEARCH("SUBSOLO",E961)),IFERROR(-VALUE(LEFT(E961,FIND("º",SUBSTITUTE(E961,"°","º"))-1)),-1),IF(LEFT(E961,6)="TÉRREO",0,IFERROR(VALUE(LEFT(E961,FIND("º",SUBSTITUTE(E961,"°","º"))-1)),""))))</f>
        <v/>
      </c>
      <c r="O961" s="2">
        <f>IF(OR(F961="",G961=""),"",IF(G961&lt;='RETRATO 2027'!$K$5,"CONCLUÍDA",IF(F961&lt;='RETRATO 2027'!$K$5,"EM ANDAMENTO","A INICIAR")))</f>
        <v/>
      </c>
    </row>
    <row r="962">
      <c r="B962" s="4" t="n">
        <v>30205841</v>
      </c>
      <c r="C962" s="4" t="inlineStr">
        <is>
          <t>TALISCAMENTO</t>
        </is>
      </c>
      <c r="D962" s="4" t="inlineStr">
        <is>
          <t>-</t>
        </is>
      </c>
      <c r="E962" s="4" t="inlineStr">
        <is>
          <t>1º PAV. (INTERMEDIÁRIO)</t>
        </is>
      </c>
      <c r="F962" s="126" t="n">
        <v>46730</v>
      </c>
      <c r="G962" s="126" t="n">
        <v>46743</v>
      </c>
      <c r="H962" s="126" t="n">
        <v>46289</v>
      </c>
      <c r="I962" s="4" t="n">
        <v>0</v>
      </c>
      <c r="J962" s="4" t="n">
        <v>0</v>
      </c>
      <c r="K962" s="4" t="n">
        <v>0</v>
      </c>
      <c r="M962" s="2">
        <f>IF(C962="","",IFERROR(INDEX($S$5:$S$304,MATCH(C962,$R$5:$R$304,0))&amp;"","?"))</f>
        <v/>
      </c>
      <c r="N962" s="2">
        <f>IF(E962="","",IF(ISNUMBER(SEARCH("SUBSOLO",E962)),IFERROR(-VALUE(LEFT(E962,FIND("º",SUBSTITUTE(E962,"°","º"))-1)),-1),IF(LEFT(E962,6)="TÉRREO",0,IFERROR(VALUE(LEFT(E962,FIND("º",SUBSTITUTE(E962,"°","º"))-1)),""))))</f>
        <v/>
      </c>
      <c r="O962" s="2">
        <f>IF(OR(F962="",G962=""),"",IF(G962&lt;='RETRATO 2027'!$K$5,"CONCLUÍDA",IF(F962&lt;='RETRATO 2027'!$K$5,"EM ANDAMENTO","A INICIAR")))</f>
        <v/>
      </c>
    </row>
    <row r="963">
      <c r="B963" s="4" t="n">
        <v>29981403</v>
      </c>
      <c r="C963" s="4" t="inlineStr">
        <is>
          <t>FORRO</t>
        </is>
      </c>
      <c r="D963" s="4" t="inlineStr">
        <is>
          <t>-</t>
        </is>
      </c>
      <c r="E963" s="4" t="inlineStr">
        <is>
          <t>11º PAV.</t>
        </is>
      </c>
      <c r="F963" s="126" t="n">
        <v>46730</v>
      </c>
      <c r="G963" s="126" t="n">
        <v>46742</v>
      </c>
      <c r="H963" s="126" t="n">
        <v>46289</v>
      </c>
      <c r="I963" s="4" t="n">
        <v>0</v>
      </c>
      <c r="J963" s="4" t="n">
        <v>0</v>
      </c>
      <c r="K963" s="4" t="n">
        <v>0</v>
      </c>
      <c r="M963" s="2">
        <f>IF(C963="","",IFERROR(INDEX($S$5:$S$304,MATCH(C963,$R$5:$R$304,0))&amp;"","?"))</f>
        <v/>
      </c>
      <c r="N963" s="2">
        <f>IF(E963="","",IF(ISNUMBER(SEARCH("SUBSOLO",E963)),IFERROR(-VALUE(LEFT(E963,FIND("º",SUBSTITUTE(E963,"°","º"))-1)),-1),IF(LEFT(E963,6)="TÉRREO",0,IFERROR(VALUE(LEFT(E963,FIND("º",SUBSTITUTE(E963,"°","º"))-1)),""))))</f>
        <v/>
      </c>
      <c r="O963" s="2">
        <f>IF(OR(F963="",G963=""),"",IF(G963&lt;='RETRATO 2027'!$K$5,"CONCLUÍDA",IF(F963&lt;='RETRATO 2027'!$K$5,"EM ANDAMENTO","A INICIAR")))</f>
        <v/>
      </c>
    </row>
    <row r="964">
      <c r="B964" s="4" t="n">
        <v>29981364</v>
      </c>
      <c r="C964" s="4" t="inlineStr">
        <is>
          <t>FIAÇÃO ELÉTRICA</t>
        </is>
      </c>
      <c r="D964" s="4" t="inlineStr">
        <is>
          <t>-</t>
        </is>
      </c>
      <c r="E964" s="4" t="inlineStr">
        <is>
          <t>12º PAV.</t>
        </is>
      </c>
      <c r="F964" s="126" t="n">
        <v>46730</v>
      </c>
      <c r="G964" s="126" t="n">
        <v>46742</v>
      </c>
      <c r="H964" s="126" t="n">
        <v>46289</v>
      </c>
      <c r="I964" s="4" t="n">
        <v>0</v>
      </c>
      <c r="J964" s="4" t="n">
        <v>0</v>
      </c>
      <c r="K964" s="4" t="n">
        <v>0</v>
      </c>
      <c r="M964" s="2">
        <f>IF(C964="","",IFERROR(INDEX($S$5:$S$304,MATCH(C964,$R$5:$R$304,0))&amp;"","?"))</f>
        <v/>
      </c>
      <c r="N964" s="2">
        <f>IF(E964="","",IF(ISNUMBER(SEARCH("SUBSOLO",E964)),IFERROR(-VALUE(LEFT(E964,FIND("º",SUBSTITUTE(E964,"°","º"))-1)),-1),IF(LEFT(E964,6)="TÉRREO",0,IFERROR(VALUE(LEFT(E964,FIND("º",SUBSTITUTE(E964,"°","º"))-1)),""))))</f>
        <v/>
      </c>
      <c r="O964" s="2">
        <f>IF(OR(F964="",G964=""),"",IF(G964&lt;='RETRATO 2027'!$K$5,"CONCLUÍDA",IF(F964&lt;='RETRATO 2027'!$K$5,"EM ANDAMENTO","A INICIAR")))</f>
        <v/>
      </c>
    </row>
    <row r="965">
      <c r="B965" s="4" t="n">
        <v>29981369</v>
      </c>
      <c r="C965" s="4" t="inlineStr">
        <is>
          <t>PRUMADA ELÉTRICA - CABOS</t>
        </is>
      </c>
      <c r="D965" s="4" t="inlineStr">
        <is>
          <t>-</t>
        </is>
      </c>
      <c r="E965" s="4" t="inlineStr">
        <is>
          <t>12º PAV.</t>
        </is>
      </c>
      <c r="F965" s="126" t="n">
        <v>46730</v>
      </c>
      <c r="G965" s="126" t="n">
        <v>46742</v>
      </c>
      <c r="H965" s="126" t="n">
        <v>46289</v>
      </c>
      <c r="I965" s="4" t="n">
        <v>0</v>
      </c>
      <c r="J965" s="4" t="n">
        <v>0</v>
      </c>
      <c r="K965" s="4" t="n">
        <v>0</v>
      </c>
      <c r="M965" s="2">
        <f>IF(C965="","",IFERROR(INDEX($S$5:$S$304,MATCH(C965,$R$5:$R$304,0))&amp;"","?"))</f>
        <v/>
      </c>
      <c r="N965" s="2">
        <f>IF(E965="","",IF(ISNUMBER(SEARCH("SUBSOLO",E965)),IFERROR(-VALUE(LEFT(E965,FIND("º",SUBSTITUTE(E965,"°","º"))-1)),-1),IF(LEFT(E965,6)="TÉRREO",0,IFERROR(VALUE(LEFT(E965,FIND("º",SUBSTITUTE(E965,"°","º"))-1)),""))))</f>
        <v/>
      </c>
      <c r="O965" s="2">
        <f>IF(OR(F965="",G965=""),"",IF(G965&lt;='RETRATO 2027'!$K$5,"CONCLUÍDA",IF(F965&lt;='RETRATO 2027'!$K$5,"EM ANDAMENTO","A INICIAR")))</f>
        <v/>
      </c>
    </row>
    <row r="966">
      <c r="B966" s="4" t="n">
        <v>30214074</v>
      </c>
      <c r="C966" s="4" t="inlineStr">
        <is>
          <t>FIAÇÃO TELECOM/DADOS</t>
        </is>
      </c>
      <c r="D966" s="4" t="inlineStr">
        <is>
          <t>-</t>
        </is>
      </c>
      <c r="E966" s="4" t="inlineStr">
        <is>
          <t>12º PAV.</t>
        </is>
      </c>
      <c r="F966" s="126" t="n">
        <v>46730</v>
      </c>
      <c r="G966" s="126" t="n">
        <v>46743</v>
      </c>
      <c r="H966" s="126" t="n">
        <v>46289</v>
      </c>
      <c r="I966" s="4" t="n">
        <v>0</v>
      </c>
      <c r="J966" s="4" t="n">
        <v>0</v>
      </c>
      <c r="K966" s="4" t="n">
        <v>0</v>
      </c>
      <c r="M966" s="2">
        <f>IF(C966="","",IFERROR(INDEX($S$5:$S$304,MATCH(C966,$R$5:$R$304,0))&amp;"","?"))</f>
        <v/>
      </c>
      <c r="N966" s="2">
        <f>IF(E966="","",IF(ISNUMBER(SEARCH("SUBSOLO",E966)),IFERROR(-VALUE(LEFT(E966,FIND("º",SUBSTITUTE(E966,"°","º"))-1)),-1),IF(LEFT(E966,6)="TÉRREO",0,IFERROR(VALUE(LEFT(E966,FIND("º",SUBSTITUTE(E966,"°","º"))-1)),""))))</f>
        <v/>
      </c>
      <c r="O966" s="2">
        <f>IF(OR(F966="",G966=""),"",IF(G966&lt;='RETRATO 2027'!$K$5,"CONCLUÍDA",IF(F966&lt;='RETRATO 2027'!$K$5,"EM ANDAMENTO","A INICIAR")))</f>
        <v/>
      </c>
    </row>
    <row r="967">
      <c r="B967" s="4" t="n">
        <v>29981311</v>
      </c>
      <c r="C967" s="4" t="inlineStr">
        <is>
          <t>BANCADAS</t>
        </is>
      </c>
      <c r="D967" s="4" t="inlineStr">
        <is>
          <t>-</t>
        </is>
      </c>
      <c r="E967" s="4" t="inlineStr">
        <is>
          <t>13º PAV.</t>
        </is>
      </c>
      <c r="F967" s="126" t="n">
        <v>46730</v>
      </c>
      <c r="G967" s="126" t="n">
        <v>46742</v>
      </c>
      <c r="H967" s="126" t="n">
        <v>46289</v>
      </c>
      <c r="I967" s="4" t="n">
        <v>0</v>
      </c>
      <c r="J967" s="4" t="n">
        <v>0</v>
      </c>
      <c r="K967" s="4" t="n">
        <v>0</v>
      </c>
      <c r="M967" s="2">
        <f>IF(C967="","",IFERROR(INDEX($S$5:$S$304,MATCH(C967,$R$5:$R$304,0))&amp;"","?"))</f>
        <v/>
      </c>
      <c r="N967" s="2">
        <f>IF(E967="","",IF(ISNUMBER(SEARCH("SUBSOLO",E967)),IFERROR(-VALUE(LEFT(E967,FIND("º",SUBSTITUTE(E967,"°","º"))-1)),-1),IF(LEFT(E967,6)="TÉRREO",0,IFERROR(VALUE(LEFT(E967,FIND("º",SUBSTITUTE(E967,"°","º"))-1)),""))))</f>
        <v/>
      </c>
      <c r="O967" s="2">
        <f>IF(OR(F967="",G967=""),"",IF(G967&lt;='RETRATO 2027'!$K$5,"CONCLUÍDA",IF(F967&lt;='RETRATO 2027'!$K$5,"EM ANDAMENTO","A INICIAR")))</f>
        <v/>
      </c>
    </row>
    <row r="968">
      <c r="B968" s="4" t="n">
        <v>29981273</v>
      </c>
      <c r="C968" s="4" t="inlineStr">
        <is>
          <t>REVESTIMENTOS PORCELANATO PISO</t>
        </is>
      </c>
      <c r="D968" s="4" t="inlineStr">
        <is>
          <t>-</t>
        </is>
      </c>
      <c r="E968" s="4" t="inlineStr">
        <is>
          <t>14º PAV.</t>
        </is>
      </c>
      <c r="F968" s="126" t="n">
        <v>46730</v>
      </c>
      <c r="G968" s="126" t="n">
        <v>46742</v>
      </c>
      <c r="H968" s="126" t="n">
        <v>46289</v>
      </c>
      <c r="I968" s="4" t="n">
        <v>0</v>
      </c>
      <c r="J968" s="4" t="n">
        <v>0</v>
      </c>
      <c r="K968" s="4" t="n">
        <v>0</v>
      </c>
      <c r="M968" s="2">
        <f>IF(C968="","",IFERROR(INDEX($S$5:$S$304,MATCH(C968,$R$5:$R$304,0))&amp;"","?"))</f>
        <v/>
      </c>
      <c r="N968" s="2">
        <f>IF(E968="","",IF(ISNUMBER(SEARCH("SUBSOLO",E968)),IFERROR(-VALUE(LEFT(E968,FIND("º",SUBSTITUTE(E968,"°","º"))-1)),-1),IF(LEFT(E968,6)="TÉRREO",0,IFERROR(VALUE(LEFT(E968,FIND("º",SUBSTITUTE(E968,"°","º"))-1)),""))))</f>
        <v/>
      </c>
      <c r="O968" s="2">
        <f>IF(OR(F968="",G968=""),"",IF(G968&lt;='RETRATO 2027'!$K$5,"CONCLUÍDA",IF(F968&lt;='RETRATO 2027'!$K$5,"EM ANDAMENTO","A INICIAR")))</f>
        <v/>
      </c>
    </row>
    <row r="969">
      <c r="B969" s="4" t="n">
        <v>29981252</v>
      </c>
      <c r="C969" s="4" t="inlineStr">
        <is>
          <t>REVESTIMENTO PORCELANATO PAREDE</t>
        </is>
      </c>
      <c r="D969" s="4" t="inlineStr">
        <is>
          <t>-</t>
        </is>
      </c>
      <c r="E969" s="4" t="inlineStr">
        <is>
          <t>15º PAV.</t>
        </is>
      </c>
      <c r="F969" s="126" t="n">
        <v>46730</v>
      </c>
      <c r="G969" s="126" t="n">
        <v>46742</v>
      </c>
      <c r="H969" s="126" t="n">
        <v>46289</v>
      </c>
      <c r="I969" s="4" t="n">
        <v>0</v>
      </c>
      <c r="J969" s="4" t="n">
        <v>0</v>
      </c>
      <c r="K969" s="4" t="n">
        <v>0</v>
      </c>
      <c r="M969" s="2">
        <f>IF(C969="","",IFERROR(INDEX($S$5:$S$304,MATCH(C969,$R$5:$R$304,0))&amp;"","?"))</f>
        <v/>
      </c>
      <c r="N969" s="2">
        <f>IF(E969="","",IF(ISNUMBER(SEARCH("SUBSOLO",E969)),IFERROR(-VALUE(LEFT(E969,FIND("º",SUBSTITUTE(E969,"°","º"))-1)),-1),IF(LEFT(E969,6)="TÉRREO",0,IFERROR(VALUE(LEFT(E969,FIND("º",SUBSTITUTE(E969,"°","º"))-1)),""))))</f>
        <v/>
      </c>
      <c r="O969" s="2">
        <f>IF(OR(F969="",G969=""),"",IF(G969&lt;='RETRATO 2027'!$K$5,"CONCLUÍDA",IF(F969&lt;='RETRATO 2027'!$K$5,"EM ANDAMENTO","A INICIAR")))</f>
        <v/>
      </c>
    </row>
    <row r="970">
      <c r="B970" s="4" t="n">
        <v>29981213</v>
      </c>
      <c r="C970" s="4" t="inlineStr">
        <is>
          <t>IMPERMEABILIZAÇÃO</t>
        </is>
      </c>
      <c r="D970" s="4" t="inlineStr">
        <is>
          <t>-</t>
        </is>
      </c>
      <c r="E970" s="4" t="inlineStr">
        <is>
          <t>16º PAV.</t>
        </is>
      </c>
      <c r="F970" s="126" t="n">
        <v>46730</v>
      </c>
      <c r="G970" s="126" t="n">
        <v>46742</v>
      </c>
      <c r="H970" s="126" t="n">
        <v>46289</v>
      </c>
      <c r="I970" s="4" t="n">
        <v>0</v>
      </c>
      <c r="J970" s="4" t="n">
        <v>0</v>
      </c>
      <c r="K970" s="4" t="n">
        <v>0</v>
      </c>
      <c r="M970" s="2">
        <f>IF(C970="","",IFERROR(INDEX($S$5:$S$304,MATCH(C970,$R$5:$R$304,0))&amp;"","?"))</f>
        <v/>
      </c>
      <c r="N970" s="2">
        <f>IF(E970="","",IF(ISNUMBER(SEARCH("SUBSOLO",E970)),IFERROR(-VALUE(LEFT(E970,FIND("º",SUBSTITUTE(E970,"°","º"))-1)),-1),IF(LEFT(E970,6)="TÉRREO",0,IFERROR(VALUE(LEFT(E970,FIND("º",SUBSTITUTE(E970,"°","º"))-1)),""))))</f>
        <v/>
      </c>
      <c r="O970" s="2">
        <f>IF(OR(F970="",G970=""),"",IF(G970&lt;='RETRATO 2027'!$K$5,"CONCLUÍDA",IF(F970&lt;='RETRATO 2027'!$K$5,"EM ANDAMENTO","A INICIAR")))</f>
        <v/>
      </c>
    </row>
    <row r="971">
      <c r="B971" s="4" t="n">
        <v>32750443</v>
      </c>
      <c r="C971" s="4" t="inlineStr">
        <is>
          <t>DRYWALL 2º FACE</t>
        </is>
      </c>
      <c r="D971" s="4" t="inlineStr">
        <is>
          <t>-</t>
        </is>
      </c>
      <c r="E971" s="4" t="inlineStr">
        <is>
          <t>17º PAV.</t>
        </is>
      </c>
      <c r="F971" s="126" t="n">
        <v>46730</v>
      </c>
      <c r="G971" s="126" t="n">
        <v>46742</v>
      </c>
      <c r="H971" s="126" t="n">
        <v>46289</v>
      </c>
      <c r="I971" s="4" t="n">
        <v>0</v>
      </c>
      <c r="J971" s="4" t="n">
        <v>0</v>
      </c>
      <c r="K971" s="4" t="n">
        <v>0</v>
      </c>
      <c r="M971" s="2">
        <f>IF(C971="","",IFERROR(INDEX($S$5:$S$304,MATCH(C971,$R$5:$R$304,0))&amp;"","?"))</f>
        <v/>
      </c>
      <c r="N971" s="2">
        <f>IF(E971="","",IF(ISNUMBER(SEARCH("SUBSOLO",E971)),IFERROR(-VALUE(LEFT(E971,FIND("º",SUBSTITUTE(E971,"°","º"))-1)),-1),IF(LEFT(E971,6)="TÉRREO",0,IFERROR(VALUE(LEFT(E971,FIND("º",SUBSTITUTE(E971,"°","º"))-1)),""))))</f>
        <v/>
      </c>
      <c r="O971" s="2">
        <f>IF(OR(F971="",G971=""),"",IF(G971&lt;='RETRATO 2027'!$K$5,"CONCLUÍDA",IF(F971&lt;='RETRATO 2027'!$K$5,"EM ANDAMENTO","A INICIAR")))</f>
        <v/>
      </c>
    </row>
    <row r="972">
      <c r="B972" s="4" t="n">
        <v>32750366</v>
      </c>
      <c r="C972" s="4" t="inlineStr">
        <is>
          <t>DISTRIBUIÇÃO DE GÁS - DRYWALL</t>
        </is>
      </c>
      <c r="D972" s="4" t="inlineStr">
        <is>
          <t>-</t>
        </is>
      </c>
      <c r="E972" s="4" t="inlineStr">
        <is>
          <t>18º PAV.</t>
        </is>
      </c>
      <c r="F972" s="126" t="n">
        <v>46730</v>
      </c>
      <c r="G972" s="126" t="n">
        <v>46742</v>
      </c>
      <c r="H972" s="126" t="n">
        <v>46289</v>
      </c>
      <c r="I972" s="4" t="n">
        <v>0</v>
      </c>
      <c r="J972" s="4" t="n">
        <v>0</v>
      </c>
      <c r="K972" s="4" t="n">
        <v>0</v>
      </c>
      <c r="M972" s="2">
        <f>IF(C972="","",IFERROR(INDEX($S$5:$S$304,MATCH(C972,$R$5:$R$304,0))&amp;"","?"))</f>
        <v/>
      </c>
      <c r="N972" s="2">
        <f>IF(E972="","",IF(ISNUMBER(SEARCH("SUBSOLO",E972)),IFERROR(-VALUE(LEFT(E972,FIND("º",SUBSTITUTE(E972,"°","º"))-1)),-1),IF(LEFT(E972,6)="TÉRREO",0,IFERROR(VALUE(LEFT(E972,FIND("º",SUBSTITUTE(E972,"°","º"))-1)),""))))</f>
        <v/>
      </c>
      <c r="O972" s="2">
        <f>IF(OR(F972="",G972=""),"",IF(G972&lt;='RETRATO 2027'!$K$5,"CONCLUÍDA",IF(F972&lt;='RETRATO 2027'!$K$5,"EM ANDAMENTO","A INICIAR")))</f>
        <v/>
      </c>
    </row>
    <row r="973">
      <c r="B973" s="4" t="n">
        <v>32750392</v>
      </c>
      <c r="C973" s="4" t="inlineStr">
        <is>
          <t>DISTRIBUIÇÃO ELÉTRICA/QUADRO - DRYWALL</t>
        </is>
      </c>
      <c r="D973" s="4" t="inlineStr">
        <is>
          <t>-</t>
        </is>
      </c>
      <c r="E973" s="4" t="inlineStr">
        <is>
          <t>18º PAV.</t>
        </is>
      </c>
      <c r="F973" s="126" t="n">
        <v>46730</v>
      </c>
      <c r="G973" s="126" t="n">
        <v>46742</v>
      </c>
      <c r="H973" s="126" t="n">
        <v>46289</v>
      </c>
      <c r="I973" s="4" t="n">
        <v>0</v>
      </c>
      <c r="J973" s="4" t="n">
        <v>0</v>
      </c>
      <c r="K973" s="4" t="n">
        <v>0</v>
      </c>
      <c r="M973" s="2">
        <f>IF(C973="","",IFERROR(INDEX($S$5:$S$304,MATCH(C973,$R$5:$R$304,0))&amp;"","?"))</f>
        <v/>
      </c>
      <c r="N973" s="2">
        <f>IF(E973="","",IF(ISNUMBER(SEARCH("SUBSOLO",E973)),IFERROR(-VALUE(LEFT(E973,FIND("º",SUBSTITUTE(E973,"°","º"))-1)),-1),IF(LEFT(E973,6)="TÉRREO",0,IFERROR(VALUE(LEFT(E973,FIND("º",SUBSTITUTE(E973,"°","º"))-1)),""))))</f>
        <v/>
      </c>
      <c r="O973" s="2">
        <f>IF(OR(F973="",G973=""),"",IF(G973&lt;='RETRATO 2027'!$K$5,"CONCLUÍDA",IF(F973&lt;='RETRATO 2027'!$K$5,"EM ANDAMENTO","A INICIAR")))</f>
        <v/>
      </c>
    </row>
    <row r="974">
      <c r="B974" s="4" t="n">
        <v>32750418</v>
      </c>
      <c r="C974" s="4" t="inlineStr">
        <is>
          <t>DISTRIBUIÇÃO HIDRÁULICA - DRYWALL</t>
        </is>
      </c>
      <c r="D974" s="4" t="inlineStr">
        <is>
          <t>-</t>
        </is>
      </c>
      <c r="E974" s="4" t="inlineStr">
        <is>
          <t>18º PAV.</t>
        </is>
      </c>
      <c r="F974" s="126" t="n">
        <v>46730</v>
      </c>
      <c r="G974" s="126" t="n">
        <v>46742</v>
      </c>
      <c r="H974" s="126" t="n">
        <v>46289</v>
      </c>
      <c r="I974" s="4" t="n">
        <v>0</v>
      </c>
      <c r="J974" s="4" t="n">
        <v>0</v>
      </c>
      <c r="K974" s="4" t="n">
        <v>0</v>
      </c>
      <c r="M974" s="2">
        <f>IF(C974="","",IFERROR(INDEX($S$5:$S$304,MATCH(C974,$R$5:$R$304,0))&amp;"","?"))</f>
        <v/>
      </c>
      <c r="N974" s="2">
        <f>IF(E974="","",IF(ISNUMBER(SEARCH("SUBSOLO",E974)),IFERROR(-VALUE(LEFT(E974,FIND("º",SUBSTITUTE(E974,"°","º"))-1)),-1),IF(LEFT(E974,6)="TÉRREO",0,IFERROR(VALUE(LEFT(E974,FIND("º",SUBSTITUTE(E974,"°","º"))-1)),""))))</f>
        <v/>
      </c>
      <c r="O974" s="2">
        <f>IF(OR(F974="",G974=""),"",IF(G974&lt;='RETRATO 2027'!$K$5,"CONCLUÍDA",IF(F974&lt;='RETRATO 2027'!$K$5,"EM ANDAMENTO","A INICIAR")))</f>
        <v/>
      </c>
    </row>
    <row r="975">
      <c r="B975" s="4" t="n">
        <v>33896836</v>
      </c>
      <c r="C975" s="4" t="inlineStr">
        <is>
          <t>INFRAESTRUTURA - AR CONDICIONADO</t>
        </is>
      </c>
      <c r="D975" s="4" t="inlineStr">
        <is>
          <t>-</t>
        </is>
      </c>
      <c r="E975" s="4" t="inlineStr">
        <is>
          <t>18º PAV.</t>
        </is>
      </c>
      <c r="F975" s="126" t="n">
        <v>46730</v>
      </c>
      <c r="G975" s="126" t="n">
        <v>46742</v>
      </c>
      <c r="H975" s="126" t="n">
        <v>46289</v>
      </c>
      <c r="I975" s="4" t="n">
        <v>0</v>
      </c>
      <c r="J975" s="4" t="n">
        <v>0</v>
      </c>
      <c r="K975" s="4" t="n">
        <v>0</v>
      </c>
      <c r="M975" s="2">
        <f>IF(C975="","",IFERROR(INDEX($S$5:$S$304,MATCH(C975,$R$5:$R$304,0))&amp;"","?"))</f>
        <v/>
      </c>
      <c r="N975" s="2">
        <f>IF(E975="","",IF(ISNUMBER(SEARCH("SUBSOLO",E975)),IFERROR(-VALUE(LEFT(E975,FIND("º",SUBSTITUTE(E975,"°","º"))-1)),-1),IF(LEFT(E975,6)="TÉRREO",0,IFERROR(VALUE(LEFT(E975,FIND("º",SUBSTITUTE(E975,"°","º"))-1)),""))))</f>
        <v/>
      </c>
      <c r="O975" s="2">
        <f>IF(OR(F975="",G975=""),"",IF(G975&lt;='RETRATO 2027'!$K$5,"CONCLUÍDA",IF(F975&lt;='RETRATO 2027'!$K$5,"EM ANDAMENTO","A INICIAR")))</f>
        <v/>
      </c>
    </row>
    <row r="976">
      <c r="B976" s="4" t="n">
        <v>32749863</v>
      </c>
      <c r="C976" s="4" t="inlineStr">
        <is>
          <t>DRYWALL 1º FACE</t>
        </is>
      </c>
      <c r="D976" s="4" t="inlineStr">
        <is>
          <t>-</t>
        </is>
      </c>
      <c r="E976" s="4" t="inlineStr">
        <is>
          <t>20º PAV.</t>
        </is>
      </c>
      <c r="F976" s="126" t="n">
        <v>46730</v>
      </c>
      <c r="G976" s="126" t="n">
        <v>46742</v>
      </c>
      <c r="H976" s="126" t="n">
        <v>46289</v>
      </c>
      <c r="I976" s="4" t="n">
        <v>0</v>
      </c>
      <c r="J976" s="4" t="n">
        <v>0</v>
      </c>
      <c r="K976" s="4" t="n">
        <v>0</v>
      </c>
      <c r="M976" s="2">
        <f>IF(C976="","",IFERROR(INDEX($S$5:$S$304,MATCH(C976,$R$5:$R$304,0))&amp;"","?"))</f>
        <v/>
      </c>
      <c r="N976" s="2">
        <f>IF(E976="","",IF(ISNUMBER(SEARCH("SUBSOLO",E976)),IFERROR(-VALUE(LEFT(E976,FIND("º",SUBSTITUTE(E976,"°","º"))-1)),-1),IF(LEFT(E976,6)="TÉRREO",0,IFERROR(VALUE(LEFT(E976,FIND("º",SUBSTITUTE(E976,"°","º"))-1)),""))))</f>
        <v/>
      </c>
      <c r="O976" s="2">
        <f>IF(OR(F976="",G976=""),"",IF(G976&lt;='RETRATO 2027'!$K$5,"CONCLUÍDA",IF(F976&lt;='RETRATO 2027'!$K$5,"EM ANDAMENTO","A INICIAR")))</f>
        <v/>
      </c>
    </row>
    <row r="977">
      <c r="B977" s="4" t="n">
        <v>29981029</v>
      </c>
      <c r="C977" s="4" t="inlineStr">
        <is>
          <t>CONTRAPISO</t>
        </is>
      </c>
      <c r="D977" s="4" t="inlineStr">
        <is>
          <t>-</t>
        </is>
      </c>
      <c r="E977" s="4" t="inlineStr">
        <is>
          <t>21º PAV.</t>
        </is>
      </c>
      <c r="F977" s="126" t="n">
        <v>46730</v>
      </c>
      <c r="G977" s="126" t="n">
        <v>46742</v>
      </c>
      <c r="H977" s="126" t="n">
        <v>46289</v>
      </c>
      <c r="I977" s="4" t="n">
        <v>0</v>
      </c>
      <c r="J977" s="4" t="n">
        <v>0</v>
      </c>
      <c r="K977" s="4" t="n">
        <v>0</v>
      </c>
      <c r="M977" s="2">
        <f>IF(C977="","",IFERROR(INDEX($S$5:$S$304,MATCH(C977,$R$5:$R$304,0))&amp;"","?"))</f>
        <v/>
      </c>
      <c r="N977" s="2">
        <f>IF(E977="","",IF(ISNUMBER(SEARCH("SUBSOLO",E977)),IFERROR(-VALUE(LEFT(E977,FIND("º",SUBSTITUTE(E977,"°","º"))-1)),-1),IF(LEFT(E977,6)="TÉRREO",0,IFERROR(VALUE(LEFT(E977,FIND("º",SUBSTITUTE(E977,"°","º"))-1)),""))))</f>
        <v/>
      </c>
      <c r="O977" s="2">
        <f>IF(OR(F977="",G977=""),"",IF(G977&lt;='RETRATO 2027'!$K$5,"CONCLUÍDA",IF(F977&lt;='RETRATO 2027'!$K$5,"EM ANDAMENTO","A INICIAR")))</f>
        <v/>
      </c>
    </row>
    <row r="978">
      <c r="B978" s="4" t="n">
        <v>29980969</v>
      </c>
      <c r="C978" s="4" t="inlineStr">
        <is>
          <t>SHAFT INTERNO INST. HIDRAÚLICAS</t>
        </is>
      </c>
      <c r="D978" s="4" t="inlineStr">
        <is>
          <t>-</t>
        </is>
      </c>
      <c r="E978" s="4" t="inlineStr">
        <is>
          <t>22º PAV.</t>
        </is>
      </c>
      <c r="F978" s="126" t="n">
        <v>46730</v>
      </c>
      <c r="G978" s="126" t="n">
        <v>46742</v>
      </c>
      <c r="H978" s="126" t="n">
        <v>46289</v>
      </c>
      <c r="I978" s="4" t="n">
        <v>0</v>
      </c>
      <c r="J978" s="4" t="n">
        <v>0</v>
      </c>
      <c r="K978" s="4" t="n">
        <v>0</v>
      </c>
      <c r="M978" s="2">
        <f>IF(C978="","",IFERROR(INDEX($S$5:$S$304,MATCH(C978,$R$5:$R$304,0))&amp;"","?"))</f>
        <v/>
      </c>
      <c r="N978" s="2">
        <f>IF(E978="","",IF(ISNUMBER(SEARCH("SUBSOLO",E978)),IFERROR(-VALUE(LEFT(E978,FIND("º",SUBSTITUTE(E978,"°","º"))-1)),-1),IF(LEFT(E978,6)="TÉRREO",0,IFERROR(VALUE(LEFT(E978,FIND("º",SUBSTITUTE(E978,"°","º"))-1)),""))))</f>
        <v/>
      </c>
      <c r="O978" s="2">
        <f>IF(OR(F978="",G978=""),"",IF(G978&lt;='RETRATO 2027'!$K$5,"CONCLUÍDA",IF(F978&lt;='RETRATO 2027'!$K$5,"EM ANDAMENTO","A INICIAR")))</f>
        <v/>
      </c>
    </row>
    <row r="979">
      <c r="B979" s="4" t="n">
        <v>29981002</v>
      </c>
      <c r="C979" s="4" t="inlineStr">
        <is>
          <t>PRUMADA ELÉTRICA - INFRA</t>
        </is>
      </c>
      <c r="D979" s="4" t="inlineStr">
        <is>
          <t>-</t>
        </is>
      </c>
      <c r="E979" s="4" t="inlineStr">
        <is>
          <t>22º PAV.</t>
        </is>
      </c>
      <c r="F979" s="126" t="n">
        <v>46730</v>
      </c>
      <c r="G979" s="126" t="n">
        <v>46742</v>
      </c>
      <c r="H979" s="126" t="n">
        <v>46289</v>
      </c>
      <c r="I979" s="4" t="n">
        <v>0</v>
      </c>
      <c r="J979" s="4" t="n">
        <v>0</v>
      </c>
      <c r="K979" s="4" t="n">
        <v>0</v>
      </c>
      <c r="M979" s="2">
        <f>IF(C979="","",IFERROR(INDEX($S$5:$S$304,MATCH(C979,$R$5:$R$304,0))&amp;"","?"))</f>
        <v/>
      </c>
      <c r="N979" s="2">
        <f>IF(E979="","",IF(ISNUMBER(SEARCH("SUBSOLO",E979)),IFERROR(-VALUE(LEFT(E979,FIND("º",SUBSTITUTE(E979,"°","º"))-1)),-1),IF(LEFT(E979,6)="TÉRREO",0,IFERROR(VALUE(LEFT(E979,FIND("º",SUBSTITUTE(E979,"°","º"))-1)),""))))</f>
        <v/>
      </c>
      <c r="O979" s="2">
        <f>IF(OR(F979="",G979=""),"",IF(G979&lt;='RETRATO 2027'!$K$5,"CONCLUÍDA",IF(F979&lt;='RETRATO 2027'!$K$5,"EM ANDAMENTO","A INICIAR")))</f>
        <v/>
      </c>
    </row>
    <row r="980">
      <c r="B980" s="4" t="n">
        <v>29980931</v>
      </c>
      <c r="C980" s="4" t="inlineStr">
        <is>
          <t>REBOCO INTERNO</t>
        </is>
      </c>
      <c r="D980" s="4" t="inlineStr">
        <is>
          <t>-</t>
        </is>
      </c>
      <c r="E980" s="4" t="inlineStr">
        <is>
          <t>23º PAV.</t>
        </is>
      </c>
      <c r="F980" s="126" t="n">
        <v>46730</v>
      </c>
      <c r="G980" s="126" t="n">
        <v>46742</v>
      </c>
      <c r="H980" s="126" t="n">
        <v>46289</v>
      </c>
      <c r="I980" s="4" t="n">
        <v>0</v>
      </c>
      <c r="J980" s="4" t="n">
        <v>0</v>
      </c>
      <c r="K980" s="4" t="n">
        <v>0</v>
      </c>
      <c r="M980" s="2">
        <f>IF(C980="","",IFERROR(INDEX($S$5:$S$304,MATCH(C980,$R$5:$R$304,0))&amp;"","?"))</f>
        <v/>
      </c>
      <c r="N980" s="2">
        <f>IF(E980="","",IF(ISNUMBER(SEARCH("SUBSOLO",E980)),IFERROR(-VALUE(LEFT(E980,FIND("º",SUBSTITUTE(E980,"°","º"))-1)),-1),IF(LEFT(E980,6)="TÉRREO",0,IFERROR(VALUE(LEFT(E980,FIND("º",SUBSTITUTE(E980,"°","º"))-1)),""))))</f>
        <v/>
      </c>
      <c r="O980" s="2">
        <f>IF(OR(F980="",G980=""),"",IF(G980&lt;='RETRATO 2027'!$K$5,"CONCLUÍDA",IF(F980&lt;='RETRATO 2027'!$K$5,"EM ANDAMENTO","A INICIAR")))</f>
        <v/>
      </c>
    </row>
    <row r="981">
      <c r="B981" s="4" t="n">
        <v>29980897</v>
      </c>
      <c r="C981" s="4" t="inlineStr">
        <is>
          <t>CONTRAMARCO</t>
        </is>
      </c>
      <c r="D981" s="4" t="inlineStr">
        <is>
          <t>-</t>
        </is>
      </c>
      <c r="E981" s="4" t="inlineStr">
        <is>
          <t>24º PAV.</t>
        </is>
      </c>
      <c r="F981" s="126" t="n">
        <v>46730</v>
      </c>
      <c r="G981" s="126" t="n">
        <v>46742</v>
      </c>
      <c r="H981" s="126" t="n">
        <v>46289</v>
      </c>
      <c r="I981" s="4" t="n">
        <v>0</v>
      </c>
      <c r="J981" s="4" t="n">
        <v>0</v>
      </c>
      <c r="K981" s="4" t="n">
        <v>0</v>
      </c>
      <c r="M981" s="2">
        <f>IF(C981="","",IFERROR(INDEX($S$5:$S$304,MATCH(C981,$R$5:$R$304,0))&amp;"","?"))</f>
        <v/>
      </c>
      <c r="N981" s="2">
        <f>IF(E981="","",IF(ISNUMBER(SEARCH("SUBSOLO",E981)),IFERROR(-VALUE(LEFT(E981,FIND("º",SUBSTITUTE(E981,"°","º"))-1)),-1),IF(LEFT(E981,6)="TÉRREO",0,IFERROR(VALUE(LEFT(E981,FIND("º",SUBSTITUTE(E981,"°","º"))-1)),""))))</f>
        <v/>
      </c>
      <c r="O981" s="2">
        <f>IF(OR(F981="",G981=""),"",IF(G981&lt;='RETRATO 2027'!$K$5,"CONCLUÍDA",IF(F981&lt;='RETRATO 2027'!$K$5,"EM ANDAMENTO","A INICIAR")))</f>
        <v/>
      </c>
    </row>
    <row r="982">
      <c r="B982" s="4" t="n">
        <v>29980890</v>
      </c>
      <c r="C982" s="4" t="inlineStr">
        <is>
          <t>DISTRIBUIÇÃO HIDROSSANITÁRIA</t>
        </is>
      </c>
      <c r="D982" s="4" t="inlineStr">
        <is>
          <t>-</t>
        </is>
      </c>
      <c r="E982" s="4" t="inlineStr">
        <is>
          <t>25º PAV.</t>
        </is>
      </c>
      <c r="F982" s="126" t="n">
        <v>46730</v>
      </c>
      <c r="G982" s="126" t="n">
        <v>46742</v>
      </c>
      <c r="H982" s="126" t="n">
        <v>46289</v>
      </c>
      <c r="I982" s="4" t="n">
        <v>0</v>
      </c>
      <c r="J982" s="4" t="n">
        <v>0</v>
      </c>
      <c r="K982" s="4" t="n">
        <v>0</v>
      </c>
      <c r="M982" s="2">
        <f>IF(C982="","",IFERROR(INDEX($S$5:$S$304,MATCH(C982,$R$5:$R$304,0))&amp;"","?"))</f>
        <v/>
      </c>
      <c r="N982" s="2">
        <f>IF(E982="","",IF(ISNUMBER(SEARCH("SUBSOLO",E982)),IFERROR(-VALUE(LEFT(E982,FIND("º",SUBSTITUTE(E982,"°","º"))-1)),-1),IF(LEFT(E982,6)="TÉRREO",0,IFERROR(VALUE(LEFT(E982,FIND("º",SUBSTITUTE(E982,"°","º"))-1)),""))))</f>
        <v/>
      </c>
      <c r="O982" s="2">
        <f>IF(OR(F982="",G982=""),"",IF(G982&lt;='RETRATO 2027'!$K$5,"CONCLUÍDA",IF(F982&lt;='RETRATO 2027'!$K$5,"EM ANDAMENTO","A INICIAR")))</f>
        <v/>
      </c>
    </row>
    <row r="983">
      <c r="B983" s="4" t="n">
        <v>29980859</v>
      </c>
      <c r="C983" s="4" t="inlineStr">
        <is>
          <t>DISTRIBUIÇÃO ELÉTRICA / QUADRO</t>
        </is>
      </c>
      <c r="D983" s="4" t="inlineStr">
        <is>
          <t>-</t>
        </is>
      </c>
      <c r="E983" s="4" t="inlineStr">
        <is>
          <t>25º PAV.</t>
        </is>
      </c>
      <c r="F983" s="126" t="n">
        <v>46730</v>
      </c>
      <c r="G983" s="126" t="n">
        <v>46742</v>
      </c>
      <c r="H983" s="126" t="n">
        <v>46289</v>
      </c>
      <c r="I983" s="4" t="n">
        <v>0</v>
      </c>
      <c r="J983" s="4" t="n">
        <v>0</v>
      </c>
      <c r="K983" s="4" t="n">
        <v>0</v>
      </c>
      <c r="M983" s="2">
        <f>IF(C983="","",IFERROR(INDEX($S$5:$S$304,MATCH(C983,$R$5:$R$304,0))&amp;"","?"))</f>
        <v/>
      </c>
      <c r="N983" s="2">
        <f>IF(E983="","",IF(ISNUMBER(SEARCH("SUBSOLO",E983)),IFERROR(-VALUE(LEFT(E983,FIND("º",SUBSTITUTE(E983,"°","º"))-1)),-1),IF(LEFT(E983,6)="TÉRREO",0,IFERROR(VALUE(LEFT(E983,FIND("º",SUBSTITUTE(E983,"°","º"))-1)),""))))</f>
        <v/>
      </c>
      <c r="O983" s="2">
        <f>IF(OR(F983="",G983=""),"",IF(G983&lt;='RETRATO 2027'!$K$5,"CONCLUÍDA",IF(F983&lt;='RETRATO 2027'!$K$5,"EM ANDAMENTO","A INICIAR")))</f>
        <v/>
      </c>
    </row>
    <row r="984">
      <c r="B984" s="4" t="n">
        <v>29980892</v>
      </c>
      <c r="C984" s="4" t="inlineStr">
        <is>
          <t>DISTRIBUIÇÃO DE GÁS</t>
        </is>
      </c>
      <c r="D984" s="4" t="inlineStr">
        <is>
          <t>-</t>
        </is>
      </c>
      <c r="E984" s="4" t="inlineStr">
        <is>
          <t>25º PAV.</t>
        </is>
      </c>
      <c r="F984" s="126" t="n">
        <v>46730</v>
      </c>
      <c r="G984" s="126" t="n">
        <v>46742</v>
      </c>
      <c r="H984" s="126" t="n">
        <v>46289</v>
      </c>
      <c r="I984" s="4" t="n">
        <v>0</v>
      </c>
      <c r="J984" s="4" t="n">
        <v>0</v>
      </c>
      <c r="K984" s="4" t="n">
        <v>0</v>
      </c>
      <c r="M984" s="2">
        <f>IF(C984="","",IFERROR(INDEX($S$5:$S$304,MATCH(C984,$R$5:$R$304,0))&amp;"","?"))</f>
        <v/>
      </c>
      <c r="N984" s="2">
        <f>IF(E984="","",IF(ISNUMBER(SEARCH("SUBSOLO",E984)),IFERROR(-VALUE(LEFT(E984,FIND("º",SUBSTITUTE(E984,"°","º"))-1)),-1),IF(LEFT(E984,6)="TÉRREO",0,IFERROR(VALUE(LEFT(E984,FIND("º",SUBSTITUTE(E984,"°","º"))-1)),""))))</f>
        <v/>
      </c>
      <c r="O984" s="2">
        <f>IF(OR(F984="",G984=""),"",IF(G984&lt;='RETRATO 2027'!$K$5,"CONCLUÍDA",IF(F984&lt;='RETRATO 2027'!$K$5,"EM ANDAMENTO","A INICIAR")))</f>
        <v/>
      </c>
    </row>
    <row r="985">
      <c r="B985" s="4" t="n">
        <v>29980839</v>
      </c>
      <c r="C985" s="4" t="inlineStr">
        <is>
          <t>TALISCAMENTO</t>
        </is>
      </c>
      <c r="D985" s="4" t="inlineStr">
        <is>
          <t>-</t>
        </is>
      </c>
      <c r="E985" s="4" t="inlineStr">
        <is>
          <t>26º PAV.</t>
        </is>
      </c>
      <c r="F985" s="126" t="n">
        <v>46730</v>
      </c>
      <c r="G985" s="126" t="n">
        <v>46742</v>
      </c>
      <c r="H985" s="126" t="n">
        <v>46289</v>
      </c>
      <c r="I985" s="4" t="n">
        <v>0</v>
      </c>
      <c r="J985" s="4" t="n">
        <v>0</v>
      </c>
      <c r="K985" s="4" t="n">
        <v>0</v>
      </c>
      <c r="M985" s="2">
        <f>IF(C985="","",IFERROR(INDEX($S$5:$S$304,MATCH(C985,$R$5:$R$304,0))&amp;"","?"))</f>
        <v/>
      </c>
      <c r="N985" s="2">
        <f>IF(E985="","",IF(ISNUMBER(SEARCH("SUBSOLO",E985)),IFERROR(-VALUE(LEFT(E985,FIND("º",SUBSTITUTE(E985,"°","º"))-1)),-1),IF(LEFT(E985,6)="TÉRREO",0,IFERROR(VALUE(LEFT(E985,FIND("º",SUBSTITUTE(E985,"°","º"))-1)),""))))</f>
        <v/>
      </c>
      <c r="O985" s="2">
        <f>IF(OR(F985="",G985=""),"",IF(G985&lt;='RETRATO 2027'!$K$5,"CONCLUÍDA",IF(F985&lt;='RETRATO 2027'!$K$5,"EM ANDAMENTO","A INICIAR")))</f>
        <v/>
      </c>
    </row>
    <row r="986">
      <c r="B986" s="4" t="n">
        <v>29980805</v>
      </c>
      <c r="C986" s="4" t="inlineStr">
        <is>
          <t>PRUMADA HIDROSSANITÁRIA</t>
        </is>
      </c>
      <c r="D986" s="4" t="inlineStr">
        <is>
          <t>-</t>
        </is>
      </c>
      <c r="E986" s="4" t="inlineStr">
        <is>
          <t>27º PAV.</t>
        </is>
      </c>
      <c r="F986" s="126" t="n">
        <v>46730</v>
      </c>
      <c r="G986" s="126" t="n">
        <v>46742</v>
      </c>
      <c r="H986" s="126" t="n">
        <v>46289</v>
      </c>
      <c r="I986" s="4" t="n">
        <v>0</v>
      </c>
      <c r="J986" s="4" t="n">
        <v>0</v>
      </c>
      <c r="K986" s="4" t="n">
        <v>0</v>
      </c>
      <c r="M986" s="2">
        <f>IF(C986="","",IFERROR(INDEX($S$5:$S$304,MATCH(C986,$R$5:$R$304,0))&amp;"","?"))</f>
        <v/>
      </c>
      <c r="N986" s="2">
        <f>IF(E986="","",IF(ISNUMBER(SEARCH("SUBSOLO",E986)),IFERROR(-VALUE(LEFT(E986,FIND("º",SUBSTITUTE(E986,"°","º"))-1)),-1),IF(LEFT(E986,6)="TÉRREO",0,IFERROR(VALUE(LEFT(E986,FIND("º",SUBSTITUTE(E986,"°","º"))-1)),""))))</f>
        <v/>
      </c>
      <c r="O986" s="2">
        <f>IF(OR(F986="",G986=""),"",IF(G986&lt;='RETRATO 2027'!$K$5,"CONCLUÍDA",IF(F986&lt;='RETRATO 2027'!$K$5,"EM ANDAMENTO","A INICIAR")))</f>
        <v/>
      </c>
    </row>
    <row r="987">
      <c r="B987" s="4" t="n">
        <v>29980804</v>
      </c>
      <c r="C987" s="4" t="inlineStr">
        <is>
          <t>ENCUNHAMENTO</t>
        </is>
      </c>
      <c r="D987" s="4" t="inlineStr">
        <is>
          <t>-</t>
        </is>
      </c>
      <c r="E987" s="4" t="inlineStr">
        <is>
          <t>27º PAV.</t>
        </is>
      </c>
      <c r="F987" s="126" t="n">
        <v>46734</v>
      </c>
      <c r="G987" s="126" t="n">
        <v>46744</v>
      </c>
      <c r="H987" s="126" t="n">
        <v>46289</v>
      </c>
      <c r="I987" s="4" t="n">
        <v>0</v>
      </c>
      <c r="J987" s="4" t="n">
        <v>0</v>
      </c>
      <c r="K987" s="4" t="n">
        <v>0</v>
      </c>
      <c r="M987" s="2">
        <f>IF(C987="","",IFERROR(INDEX($S$5:$S$304,MATCH(C987,$R$5:$R$304,0))&amp;"","?"))</f>
        <v/>
      </c>
      <c r="N987" s="2">
        <f>IF(E987="","",IF(ISNUMBER(SEARCH("SUBSOLO",E987)),IFERROR(-VALUE(LEFT(E987,FIND("º",SUBSTITUTE(E987,"°","º"))-1)),-1),IF(LEFT(E987,6)="TÉRREO",0,IFERROR(VALUE(LEFT(E987,FIND("º",SUBSTITUTE(E987,"°","º"))-1)),""))))</f>
        <v/>
      </c>
      <c r="O987" s="2">
        <f>IF(OR(F987="",G987=""),"",IF(G987&lt;='RETRATO 2027'!$K$5,"CONCLUÍDA",IF(F987&lt;='RETRATO 2027'!$K$5,"EM ANDAMENTO","A INICIAR")))</f>
        <v/>
      </c>
    </row>
    <row r="988">
      <c r="B988" s="4" t="n">
        <v>31789533</v>
      </c>
      <c r="C988" s="4" t="inlineStr">
        <is>
          <t>PREPARAÇÃO PARA FACHADA AERADA - F5 (1º ETAPA)</t>
        </is>
      </c>
      <c r="D988" s="4" t="inlineStr">
        <is>
          <t>-</t>
        </is>
      </c>
      <c r="E988" s="4" t="inlineStr">
        <is>
          <t>FACHADA</t>
        </is>
      </c>
      <c r="F988" s="126" t="n">
        <v>46735</v>
      </c>
      <c r="G988" s="126" t="n">
        <v>46763</v>
      </c>
      <c r="H988" s="126" t="n">
        <v>46289</v>
      </c>
      <c r="I988" s="4" t="n">
        <v>0</v>
      </c>
      <c r="J988" s="4" t="n">
        <v>0</v>
      </c>
      <c r="K988" s="4" t="n">
        <v>0</v>
      </c>
      <c r="M988" s="2">
        <f>IF(C988="","",IFERROR(INDEX($S$5:$S$304,MATCH(C988,$R$5:$R$304,0))&amp;"","?"))</f>
        <v/>
      </c>
      <c r="N988" s="2">
        <f>IF(E988="","",IF(ISNUMBER(SEARCH("SUBSOLO",E988)),IFERROR(-VALUE(LEFT(E988,FIND("º",SUBSTITUTE(E988,"°","º"))-1)),-1),IF(LEFT(E988,6)="TÉRREO",0,IFERROR(VALUE(LEFT(E988,FIND("º",SUBSTITUTE(E988,"°","º"))-1)),""))))</f>
        <v/>
      </c>
      <c r="O988" s="2">
        <f>IF(OR(F988="",G988=""),"",IF(G988&lt;='RETRATO 2027'!$K$5,"CONCLUÍDA",IF(F988&lt;='RETRATO 2027'!$K$5,"EM ANDAMENTO","A INICIAR")))</f>
        <v/>
      </c>
    </row>
    <row r="989">
      <c r="B989" s="4" t="n">
        <v>30205931</v>
      </c>
      <c r="C989" s="4" t="inlineStr">
        <is>
          <t>IMPERMEABILIZAÇÃO</t>
        </is>
      </c>
      <c r="D989" s="4" t="inlineStr">
        <is>
          <t>-</t>
        </is>
      </c>
      <c r="E989" s="4" t="inlineStr">
        <is>
          <t>3º PAV - GARAGEM</t>
        </is>
      </c>
      <c r="F989" s="126" t="n">
        <v>46737</v>
      </c>
      <c r="G989" s="126" t="n">
        <v>46758</v>
      </c>
      <c r="H989" s="126" t="n">
        <v>46289</v>
      </c>
      <c r="I989" s="4" t="n">
        <v>0</v>
      </c>
      <c r="J989" s="4" t="n">
        <v>0</v>
      </c>
      <c r="K989" s="4" t="n">
        <v>0</v>
      </c>
      <c r="M989" s="2">
        <f>IF(C989="","",IFERROR(INDEX($S$5:$S$304,MATCH(C989,$R$5:$R$304,0))&amp;"","?"))</f>
        <v/>
      </c>
      <c r="N989" s="2">
        <f>IF(E989="","",IF(ISNUMBER(SEARCH("SUBSOLO",E989)),IFERROR(-VALUE(LEFT(E989,FIND("º",SUBSTITUTE(E989,"°","º"))-1)),-1),IF(LEFT(E989,6)="TÉRREO",0,IFERROR(VALUE(LEFT(E989,FIND("º",SUBSTITUTE(E989,"°","º"))-1)),""))))</f>
        <v/>
      </c>
      <c r="O989" s="2">
        <f>IF(OR(F989="",G989=""),"",IF(G989&lt;='RETRATO 2027'!$K$5,"CONCLUÍDA",IF(F989&lt;='RETRATO 2027'!$K$5,"EM ANDAMENTO","A INICIAR")))</f>
        <v/>
      </c>
    </row>
    <row r="990">
      <c r="B990" s="4" t="n">
        <v>30171443</v>
      </c>
      <c r="C990" s="4" t="inlineStr">
        <is>
          <t>PRUMADA HIDROSSANITÁRIA</t>
        </is>
      </c>
      <c r="D990" s="4" t="inlineStr">
        <is>
          <t>-</t>
        </is>
      </c>
      <c r="E990" s="4" t="inlineStr">
        <is>
          <t>3º PAV - GARAGEM</t>
        </is>
      </c>
      <c r="F990" s="126" t="n">
        <v>46737</v>
      </c>
      <c r="G990" s="126" t="n">
        <v>46772</v>
      </c>
      <c r="H990" s="126" t="n">
        <v>46289</v>
      </c>
      <c r="I990" s="4" t="n">
        <v>0</v>
      </c>
      <c r="J990" s="4" t="n">
        <v>0</v>
      </c>
      <c r="K990" s="4" t="n">
        <v>0</v>
      </c>
      <c r="M990" s="2">
        <f>IF(C990="","",IFERROR(INDEX($S$5:$S$304,MATCH(C990,$R$5:$R$304,0))&amp;"","?"))</f>
        <v/>
      </c>
      <c r="N990" s="2">
        <f>IF(E990="","",IF(ISNUMBER(SEARCH("SUBSOLO",E990)),IFERROR(-VALUE(LEFT(E990,FIND("º",SUBSTITUTE(E990,"°","º"))-1)),-1),IF(LEFT(E990,6)="TÉRREO",0,IFERROR(VALUE(LEFT(E990,FIND("º",SUBSTITUTE(E990,"°","º"))-1)),""))))</f>
        <v/>
      </c>
      <c r="O990" s="2">
        <f>IF(OR(F990="",G990=""),"",IF(G990&lt;='RETRATO 2027'!$K$5,"CONCLUÍDA",IF(F990&lt;='RETRATO 2027'!$K$5,"EM ANDAMENTO","A INICIAR")))</f>
        <v/>
      </c>
    </row>
    <row r="991">
      <c r="B991" s="4" t="n">
        <v>30171444</v>
      </c>
      <c r="C991" s="4" t="inlineStr">
        <is>
          <t>PRUMADA ELÉTRICA - INFRA</t>
        </is>
      </c>
      <c r="D991" s="4" t="inlineStr">
        <is>
          <t>-</t>
        </is>
      </c>
      <c r="E991" s="4" t="inlineStr">
        <is>
          <t>3º PAV - GARAGEM</t>
        </is>
      </c>
      <c r="F991" s="126" t="n">
        <v>46737</v>
      </c>
      <c r="G991" s="126" t="n">
        <v>46772</v>
      </c>
      <c r="H991" s="126" t="n">
        <v>46289</v>
      </c>
      <c r="I991" s="4" t="n">
        <v>0</v>
      </c>
      <c r="J991" s="4" t="n">
        <v>0</v>
      </c>
      <c r="K991" s="4" t="n">
        <v>0</v>
      </c>
      <c r="M991" s="2">
        <f>IF(C991="","",IFERROR(INDEX($S$5:$S$304,MATCH(C991,$R$5:$R$304,0))&amp;"","?"))</f>
        <v/>
      </c>
      <c r="N991" s="2">
        <f>IF(E991="","",IF(ISNUMBER(SEARCH("SUBSOLO",E991)),IFERROR(-VALUE(LEFT(E991,FIND("º",SUBSTITUTE(E991,"°","º"))-1)),-1),IF(LEFT(E991,6)="TÉRREO",0,IFERROR(VALUE(LEFT(E991,FIND("º",SUBSTITUTE(E991,"°","º"))-1)),""))))</f>
        <v/>
      </c>
      <c r="O991" s="2">
        <f>IF(OR(F991="",G991=""),"",IF(G991&lt;='RETRATO 2027'!$K$5,"CONCLUÍDA",IF(F991&lt;='RETRATO 2027'!$K$5,"EM ANDAMENTO","A INICIAR")))</f>
        <v/>
      </c>
    </row>
    <row r="992">
      <c r="B992" s="4" t="n">
        <v>30171456</v>
      </c>
      <c r="C992" s="4" t="inlineStr">
        <is>
          <t>INSTALAÇÕES DE INCÊNDIO</t>
        </is>
      </c>
      <c r="D992" s="4" t="inlineStr">
        <is>
          <t>-</t>
        </is>
      </c>
      <c r="E992" s="4" t="inlineStr">
        <is>
          <t>3º PAV - GARAGEM</t>
        </is>
      </c>
      <c r="F992" s="126" t="n">
        <v>46737</v>
      </c>
      <c r="G992" s="126" t="n">
        <v>46772</v>
      </c>
      <c r="H992" s="126" t="n">
        <v>46289</v>
      </c>
      <c r="I992" s="4" t="n">
        <v>0</v>
      </c>
      <c r="J992" s="4" t="n">
        <v>0</v>
      </c>
      <c r="K992" s="4" t="n">
        <v>0</v>
      </c>
      <c r="M992" s="2">
        <f>IF(C992="","",IFERROR(INDEX($S$5:$S$304,MATCH(C992,$R$5:$R$304,0))&amp;"","?"))</f>
        <v/>
      </c>
      <c r="N992" s="2">
        <f>IF(E992="","",IF(ISNUMBER(SEARCH("SUBSOLO",E992)),IFERROR(-VALUE(LEFT(E992,FIND("º",SUBSTITUTE(E992,"°","º"))-1)),-1),IF(LEFT(E992,6)="TÉRREO",0,IFERROR(VALUE(LEFT(E992,FIND("º",SUBSTITUTE(E992,"°","º"))-1)),""))))</f>
        <v/>
      </c>
      <c r="O992" s="2">
        <f>IF(OR(F992="",G992=""),"",IF(G992&lt;='RETRATO 2027'!$K$5,"CONCLUÍDA",IF(F992&lt;='RETRATO 2027'!$K$5,"EM ANDAMENTO","A INICIAR")))</f>
        <v/>
      </c>
    </row>
    <row r="993">
      <c r="B993" s="4" t="n">
        <v>30171421</v>
      </c>
      <c r="C993" s="4" t="inlineStr">
        <is>
          <t>SERRALHERIA</t>
        </is>
      </c>
      <c r="D993" s="4" t="inlineStr">
        <is>
          <t>-</t>
        </is>
      </c>
      <c r="E993" s="4" t="inlineStr">
        <is>
          <t>4º PAV - GARAGEM</t>
        </is>
      </c>
      <c r="F993" s="126" t="n">
        <v>46737</v>
      </c>
      <c r="G993" s="126" t="n">
        <v>46758</v>
      </c>
      <c r="H993" s="126" t="n">
        <v>46289</v>
      </c>
      <c r="I993" s="4" t="n">
        <v>0</v>
      </c>
      <c r="J993" s="4" t="n">
        <v>0</v>
      </c>
      <c r="K993" s="4" t="n">
        <v>0</v>
      </c>
      <c r="M993" s="2">
        <f>IF(C993="","",IFERROR(INDEX($S$5:$S$304,MATCH(C993,$R$5:$R$304,0))&amp;"","?"))</f>
        <v/>
      </c>
      <c r="N993" s="2">
        <f>IF(E993="","",IF(ISNUMBER(SEARCH("SUBSOLO",E993)),IFERROR(-VALUE(LEFT(E993,FIND("º",SUBSTITUTE(E993,"°","º"))-1)),-1),IF(LEFT(E993,6)="TÉRREO",0,IFERROR(VALUE(LEFT(E993,FIND("º",SUBSTITUTE(E993,"°","º"))-1)),""))))</f>
        <v/>
      </c>
      <c r="O993" s="2">
        <f>IF(OR(F993="",G993=""),"",IF(G993&lt;='RETRATO 2027'!$K$5,"CONCLUÍDA",IF(F993&lt;='RETRATO 2027'!$K$5,"EM ANDAMENTO","A INICIAR")))</f>
        <v/>
      </c>
    </row>
    <row r="994">
      <c r="B994" s="4" t="n">
        <v>30171422</v>
      </c>
      <c r="C994" s="4" t="inlineStr">
        <is>
          <t>REBOCO INTERNO</t>
        </is>
      </c>
      <c r="D994" s="4" t="inlineStr">
        <is>
          <t>-</t>
        </is>
      </c>
      <c r="E994" s="4" t="inlineStr">
        <is>
          <t>4º PAV - GARAGEM</t>
        </is>
      </c>
      <c r="F994" s="126" t="n">
        <v>46737</v>
      </c>
      <c r="G994" s="126" t="n">
        <v>46806</v>
      </c>
      <c r="H994" s="126" t="n">
        <v>46289</v>
      </c>
      <c r="I994" s="4" t="n">
        <v>0</v>
      </c>
      <c r="J994" s="4" t="n">
        <v>0</v>
      </c>
      <c r="K994" s="4" t="n">
        <v>0</v>
      </c>
      <c r="M994" s="2">
        <f>IF(C994="","",IFERROR(INDEX($S$5:$S$304,MATCH(C994,$R$5:$R$304,0))&amp;"","?"))</f>
        <v/>
      </c>
      <c r="N994" s="2">
        <f>IF(E994="","",IF(ISNUMBER(SEARCH("SUBSOLO",E994)),IFERROR(-VALUE(LEFT(E994,FIND("º",SUBSTITUTE(E994,"°","º"))-1)),-1),IF(LEFT(E994,6)="TÉRREO",0,IFERROR(VALUE(LEFT(E994,FIND("º",SUBSTITUTE(E994,"°","º"))-1)),""))))</f>
        <v/>
      </c>
      <c r="O994" s="2">
        <f>IF(OR(F994="",G994=""),"",IF(G994&lt;='RETRATO 2027'!$K$5,"CONCLUÍDA",IF(F994&lt;='RETRATO 2027'!$K$5,"EM ANDAMENTO","A INICIAR")))</f>
        <v/>
      </c>
    </row>
    <row r="995">
      <c r="B995" s="4" t="n">
        <v>29980778</v>
      </c>
      <c r="C995" s="4" t="inlineStr">
        <is>
          <t>PRUMADA DE INCÊNDIO</t>
        </is>
      </c>
      <c r="D995" s="4" t="inlineStr">
        <is>
          <t>-</t>
        </is>
      </c>
      <c r="E995" s="4" t="inlineStr">
        <is>
          <t>28º PAV.</t>
        </is>
      </c>
      <c r="F995" s="126" t="n">
        <v>46737</v>
      </c>
      <c r="G995" s="126" t="n">
        <v>46757</v>
      </c>
      <c r="H995" s="126" t="n">
        <v>46289</v>
      </c>
      <c r="I995" s="4" t="n">
        <v>0</v>
      </c>
      <c r="J995" s="4" t="n">
        <v>0</v>
      </c>
      <c r="K995" s="4" t="n">
        <v>0</v>
      </c>
      <c r="M995" s="2">
        <f>IF(C995="","",IFERROR(INDEX($S$5:$S$304,MATCH(C995,$R$5:$R$304,0))&amp;"","?"))</f>
        <v/>
      </c>
      <c r="N995" s="2">
        <f>IF(E995="","",IF(ISNUMBER(SEARCH("SUBSOLO",E995)),IFERROR(-VALUE(LEFT(E995,FIND("º",SUBSTITUTE(E995,"°","º"))-1)),-1),IF(LEFT(E995,6)="TÉRREO",0,IFERROR(VALUE(LEFT(E995,FIND("º",SUBSTITUTE(E995,"°","º"))-1)),""))))</f>
        <v/>
      </c>
      <c r="O995" s="2">
        <f>IF(OR(F995="",G995=""),"",IF(G995&lt;='RETRATO 2027'!$K$5,"CONCLUÍDA",IF(F995&lt;='RETRATO 2027'!$K$5,"EM ANDAMENTO","A INICIAR")))</f>
        <v/>
      </c>
    </row>
    <row r="996">
      <c r="B996" s="4" t="n">
        <v>29980729</v>
      </c>
      <c r="C996" s="4" t="inlineStr">
        <is>
          <t>ALVENARIA</t>
        </is>
      </c>
      <c r="D996" s="4" t="inlineStr">
        <is>
          <t>-</t>
        </is>
      </c>
      <c r="E996" s="4" t="inlineStr">
        <is>
          <t>29º PAV.</t>
        </is>
      </c>
      <c r="F996" s="126" t="n">
        <v>46737</v>
      </c>
      <c r="G996" s="126" t="n">
        <v>46757</v>
      </c>
      <c r="H996" s="126" t="n">
        <v>46289</v>
      </c>
      <c r="I996" s="4" t="n">
        <v>0</v>
      </c>
      <c r="J996" s="4" t="n">
        <v>0</v>
      </c>
      <c r="K996" s="4" t="n">
        <v>0</v>
      </c>
      <c r="M996" s="2">
        <f>IF(C996="","",IFERROR(INDEX($S$5:$S$304,MATCH(C996,$R$5:$R$304,0))&amp;"","?"))</f>
        <v/>
      </c>
      <c r="N996" s="2">
        <f>IF(E996="","",IF(ISNUMBER(SEARCH("SUBSOLO",E996)),IFERROR(-VALUE(LEFT(E996,FIND("º",SUBSTITUTE(E996,"°","º"))-1)),-1),IF(LEFT(E996,6)="TÉRREO",0,IFERROR(VALUE(LEFT(E996,FIND("º",SUBSTITUTE(E996,"°","º"))-1)),""))))</f>
        <v/>
      </c>
      <c r="O996" s="2">
        <f>IF(OR(F996="",G996=""),"",IF(G996&lt;='RETRATO 2027'!$K$5,"CONCLUÍDA",IF(F996&lt;='RETRATO 2027'!$K$5,"EM ANDAMENTO","A INICIAR")))</f>
        <v/>
      </c>
    </row>
    <row r="997">
      <c r="B997" s="4" t="n">
        <v>29941166</v>
      </c>
      <c r="C997" s="4" t="inlineStr">
        <is>
          <t>ESTRUTURA</t>
        </is>
      </c>
      <c r="D997" s="4" t="inlineStr">
        <is>
          <t>-</t>
        </is>
      </c>
      <c r="E997" s="4" t="inlineStr">
        <is>
          <t>32º PAV - COBERTURA GERAL</t>
        </is>
      </c>
      <c r="F997" s="126" t="n">
        <v>46737</v>
      </c>
      <c r="G997" s="126" t="n">
        <v>46757</v>
      </c>
      <c r="H997" s="126" t="n">
        <v>46289</v>
      </c>
      <c r="I997" s="4" t="n">
        <v>0</v>
      </c>
      <c r="J997" s="4" t="n">
        <v>0</v>
      </c>
      <c r="K997" s="4" t="n">
        <v>0</v>
      </c>
      <c r="M997" s="2">
        <f>IF(C997="","",IFERROR(INDEX($S$5:$S$304,MATCH(C997,$R$5:$R$304,0))&amp;"","?"))</f>
        <v/>
      </c>
      <c r="N997" s="2">
        <f>IF(E997="","",IF(ISNUMBER(SEARCH("SUBSOLO",E997)),IFERROR(-VALUE(LEFT(E997,FIND("º",SUBSTITUTE(E997,"°","º"))-1)),-1),IF(LEFT(E997,6)="TÉRREO",0,IFERROR(VALUE(LEFT(E997,FIND("º",SUBSTITUTE(E997,"°","º"))-1)),""))))</f>
        <v/>
      </c>
      <c r="O997" s="2">
        <f>IF(OR(F997="",G997=""),"",IF(G997&lt;='RETRATO 2027'!$K$5,"CONCLUÍDA",IF(F997&lt;='RETRATO 2027'!$K$5,"EM ANDAMENTO","A INICIAR")))</f>
        <v/>
      </c>
    </row>
    <row r="998">
      <c r="B998" s="4" t="n">
        <v>31529082</v>
      </c>
      <c r="C998" s="4" t="inlineStr">
        <is>
          <t>ESTRUTURA</t>
        </is>
      </c>
      <c r="D998" s="4" t="inlineStr">
        <is>
          <t>Forma</t>
        </is>
      </c>
      <c r="E998" s="4" t="inlineStr">
        <is>
          <t>32º PAV - COBERTURA GERAL</t>
        </is>
      </c>
      <c r="F998" s="126" t="n">
        <v>46737</v>
      </c>
      <c r="G998" s="126" t="n">
        <v>46743</v>
      </c>
      <c r="H998" s="126" t="n">
        <v>46289</v>
      </c>
      <c r="I998" s="4" t="n">
        <v>0</v>
      </c>
      <c r="J998" s="4" t="n">
        <v>0</v>
      </c>
      <c r="K998" s="4" t="n">
        <v>0</v>
      </c>
      <c r="M998" s="2">
        <f>IF(C998="","",IFERROR(INDEX($S$5:$S$304,MATCH(C998,$R$5:$R$304,0))&amp;"","?"))</f>
        <v/>
      </c>
      <c r="N998" s="2">
        <f>IF(E998="","",IF(ISNUMBER(SEARCH("SUBSOLO",E998)),IFERROR(-VALUE(LEFT(E998,FIND("º",SUBSTITUTE(E998,"°","º"))-1)),-1),IF(LEFT(E998,6)="TÉRREO",0,IFERROR(VALUE(LEFT(E998,FIND("º",SUBSTITUTE(E998,"°","º"))-1)),""))))</f>
        <v/>
      </c>
      <c r="O998" s="2">
        <f>IF(OR(F998="",G998=""),"",IF(G998&lt;='RETRATO 2027'!$K$5,"CONCLUÍDA",IF(F998&lt;='RETRATO 2027'!$K$5,"EM ANDAMENTO","A INICIAR")))</f>
        <v/>
      </c>
    </row>
    <row r="999">
      <c r="B999" s="4" t="n">
        <v>31529083</v>
      </c>
      <c r="C999" s="4" t="inlineStr">
        <is>
          <t>ESTRUTURA</t>
        </is>
      </c>
      <c r="D999" s="4" t="inlineStr">
        <is>
          <t>Armação</t>
        </is>
      </c>
      <c r="E999" s="4" t="inlineStr">
        <is>
          <t>32º PAV - COBERTURA GERAL</t>
        </is>
      </c>
      <c r="F999" s="126" t="n">
        <v>46744</v>
      </c>
      <c r="G999" s="126" t="n">
        <v>46756</v>
      </c>
      <c r="H999" s="126" t="n">
        <v>46289</v>
      </c>
      <c r="I999" s="4" t="n">
        <v>0</v>
      </c>
      <c r="J999" s="4" t="n">
        <v>0</v>
      </c>
      <c r="K999" s="4" t="n">
        <v>0</v>
      </c>
      <c r="M999" s="2">
        <f>IF(C999="","",IFERROR(INDEX($S$5:$S$304,MATCH(C999,$R$5:$R$304,0))&amp;"","?"))</f>
        <v/>
      </c>
      <c r="N999" s="2">
        <f>IF(E999="","",IF(ISNUMBER(SEARCH("SUBSOLO",E999)),IFERROR(-VALUE(LEFT(E999,FIND("º",SUBSTITUTE(E999,"°","º"))-1)),-1),IF(LEFT(E999,6)="TÉRREO",0,IFERROR(VALUE(LEFT(E999,FIND("º",SUBSTITUTE(E999,"°","º"))-1)),""))))</f>
        <v/>
      </c>
      <c r="O999" s="2">
        <f>IF(OR(F999="",G999=""),"",IF(G999&lt;='RETRATO 2027'!$K$5,"CONCLUÍDA",IF(F999&lt;='RETRATO 2027'!$K$5,"EM ANDAMENTO","A INICIAR")))</f>
        <v/>
      </c>
    </row>
    <row r="1000">
      <c r="B1000" s="4" t="n">
        <v>31529084</v>
      </c>
      <c r="C1000" s="4" t="inlineStr">
        <is>
          <t>ESTRUTURA</t>
        </is>
      </c>
      <c r="D1000" s="4" t="inlineStr">
        <is>
          <t>Concretagem</t>
        </is>
      </c>
      <c r="E1000" s="4" t="inlineStr">
        <is>
          <t>32º PAV - COBERTURA GERAL</t>
        </is>
      </c>
      <c r="F1000" s="126" t="n">
        <v>46757</v>
      </c>
      <c r="G1000" s="126" t="n">
        <v>46757</v>
      </c>
      <c r="H1000" s="126" t="n">
        <v>46289</v>
      </c>
      <c r="I1000" s="4" t="n">
        <v>0</v>
      </c>
      <c r="J1000" s="4" t="n">
        <v>0</v>
      </c>
      <c r="K1000" s="4" t="n">
        <v>0</v>
      </c>
      <c r="M1000" s="2">
        <f>IF(C1000="","",IFERROR(INDEX($S$5:$S$304,MATCH(C1000,$R$5:$R$304,0))&amp;"","?"))</f>
        <v/>
      </c>
      <c r="N1000" s="2">
        <f>IF(E1000="","",IF(ISNUMBER(SEARCH("SUBSOLO",E1000)),IFERROR(-VALUE(LEFT(E1000,FIND("º",SUBSTITUTE(E1000,"°","º"))-1)),-1),IF(LEFT(E1000,6)="TÉRREO",0,IFERROR(VALUE(LEFT(E1000,FIND("º",SUBSTITUTE(E1000,"°","º"))-1)),""))))</f>
        <v/>
      </c>
      <c r="O1000" s="2">
        <f>IF(OR(F1000="",G1000=""),"",IF(G1000&lt;='RETRATO 2027'!$K$5,"CONCLUÍDA",IF(F1000&lt;='RETRATO 2027'!$K$5,"EM ANDAMENTO","A INICIAR")))</f>
        <v/>
      </c>
    </row>
    <row r="1001">
      <c r="B1001" s="4" t="n">
        <v>31529085</v>
      </c>
      <c r="C1001" s="4" t="inlineStr">
        <is>
          <t>ESTRUTURA</t>
        </is>
      </c>
      <c r="D1001" s="4" t="inlineStr">
        <is>
          <t>Polimento</t>
        </is>
      </c>
      <c r="E1001" s="4" t="inlineStr">
        <is>
          <t>32º PAV - COBERTURA GERAL</t>
        </is>
      </c>
      <c r="F1001" s="126" t="n">
        <v>46757</v>
      </c>
      <c r="G1001" s="126" t="n">
        <v>46757</v>
      </c>
      <c r="H1001" s="126" t="n">
        <v>46289</v>
      </c>
      <c r="I1001" s="4" t="n">
        <v>0</v>
      </c>
      <c r="J1001" s="4" t="n">
        <v>0</v>
      </c>
      <c r="K1001" s="4" t="n">
        <v>0</v>
      </c>
      <c r="M1001" s="2">
        <f>IF(C1001="","",IFERROR(INDEX($S$5:$S$304,MATCH(C1001,$R$5:$R$304,0))&amp;"","?"))</f>
        <v/>
      </c>
      <c r="N1001" s="2">
        <f>IF(E1001="","",IF(ISNUMBER(SEARCH("SUBSOLO",E1001)),IFERROR(-VALUE(LEFT(E1001,FIND("º",SUBSTITUTE(E1001,"°","º"))-1)),-1),IF(LEFT(E1001,6)="TÉRREO",0,IFERROR(VALUE(LEFT(E1001,FIND("º",SUBSTITUTE(E1001,"°","º"))-1)),""))))</f>
        <v/>
      </c>
      <c r="O1001" s="2">
        <f>IF(OR(F1001="",G1001=""),"",IF(G1001&lt;='RETRATO 2027'!$K$5,"CONCLUÍDA",IF(F1001&lt;='RETRATO 2027'!$K$5,"EM ANDAMENTO","A INICIAR")))</f>
        <v/>
      </c>
    </row>
    <row r="1002">
      <c r="B1002" s="4" t="n">
        <v>30205750</v>
      </c>
      <c r="C1002" s="4" t="inlineStr">
        <is>
          <t>REVESTIMENTOS PORCELANATO PISO</t>
        </is>
      </c>
      <c r="D1002" s="4" t="inlineStr">
        <is>
          <t>-</t>
        </is>
      </c>
      <c r="E1002" s="4" t="inlineStr">
        <is>
          <t>SUBSOLO</t>
        </is>
      </c>
      <c r="F1002" s="126" t="n">
        <v>46738</v>
      </c>
      <c r="G1002" s="126" t="n">
        <v>46759</v>
      </c>
      <c r="H1002" s="126" t="n">
        <v>46289</v>
      </c>
      <c r="I1002" s="4" t="n">
        <v>0</v>
      </c>
      <c r="J1002" s="4" t="n">
        <v>0</v>
      </c>
      <c r="K1002" s="4" t="n">
        <v>0</v>
      </c>
      <c r="M1002" s="2">
        <f>IF(C1002="","",IFERROR(INDEX($S$5:$S$304,MATCH(C1002,$R$5:$R$304,0))&amp;"","?"))</f>
        <v/>
      </c>
      <c r="N1002" s="2">
        <f>IF(E1002="","",IF(ISNUMBER(SEARCH("SUBSOLO",E1002)),IFERROR(-VALUE(LEFT(E1002,FIND("º",SUBSTITUTE(E1002,"°","º"))-1)),-1),IF(LEFT(E1002,6)="TÉRREO",0,IFERROR(VALUE(LEFT(E1002,FIND("º",SUBSTITUTE(E1002,"°","º"))-1)),""))))</f>
        <v/>
      </c>
      <c r="O1002" s="2">
        <f>IF(OR(F1002="",G1002=""),"",IF(G1002&lt;='RETRATO 2027'!$K$5,"CONCLUÍDA",IF(F1002&lt;='RETRATO 2027'!$K$5,"EM ANDAMENTO","A INICIAR")))</f>
        <v/>
      </c>
    </row>
    <row r="1003">
      <c r="B1003" s="4" t="n">
        <v>29981553</v>
      </c>
      <c r="C1003" s="4" t="inlineStr">
        <is>
          <t>MASSA CORRIDA</t>
        </is>
      </c>
      <c r="D1003" s="4" t="inlineStr">
        <is>
          <t>-</t>
        </is>
      </c>
      <c r="E1003" s="4" t="inlineStr">
        <is>
          <t>7º PAV.</t>
        </is>
      </c>
      <c r="F1003" s="126" t="n">
        <v>46742</v>
      </c>
      <c r="G1003" s="126" t="n">
        <v>46762</v>
      </c>
      <c r="H1003" s="126" t="n">
        <v>46289</v>
      </c>
      <c r="I1003" s="4" t="n">
        <v>0</v>
      </c>
      <c r="J1003" s="4" t="n">
        <v>0</v>
      </c>
      <c r="K1003" s="4" t="n">
        <v>0</v>
      </c>
      <c r="M1003" s="2">
        <f>IF(C1003="","",IFERROR(INDEX($S$5:$S$304,MATCH(C1003,$R$5:$R$304,0))&amp;"","?"))</f>
        <v/>
      </c>
      <c r="N1003" s="2">
        <f>IF(E1003="","",IF(ISNUMBER(SEARCH("SUBSOLO",E1003)),IFERROR(-VALUE(LEFT(E1003,FIND("º",SUBSTITUTE(E1003,"°","º"))-1)),-1),IF(LEFT(E1003,6)="TÉRREO",0,IFERROR(VALUE(LEFT(E1003,FIND("º",SUBSTITUTE(E1003,"°","º"))-1)),""))))</f>
        <v/>
      </c>
      <c r="O1003" s="2">
        <f>IF(OR(F1003="",G1003=""),"",IF(G1003&lt;='RETRATO 2027'!$K$5,"CONCLUÍDA",IF(F1003&lt;='RETRATO 2027'!$K$5,"EM ANDAMENTO","A INICIAR")))</f>
        <v/>
      </c>
    </row>
    <row r="1004">
      <c r="B1004" s="4" t="n">
        <v>33898089</v>
      </c>
      <c r="C1004" s="4" t="inlineStr">
        <is>
          <t>ESQUADRIA DE ALUMÍNIO</t>
        </is>
      </c>
      <c r="D1004" s="4" t="inlineStr">
        <is>
          <t>-</t>
        </is>
      </c>
      <c r="E1004" s="4" t="inlineStr">
        <is>
          <t>8º PAV.</t>
        </is>
      </c>
      <c r="F1004" s="126" t="n">
        <v>46742</v>
      </c>
      <c r="G1004" s="126" t="n">
        <v>46762</v>
      </c>
      <c r="H1004" s="126" t="n">
        <v>46289</v>
      </c>
      <c r="I1004" s="4" t="n">
        <v>0</v>
      </c>
      <c r="J1004" s="4" t="n">
        <v>0</v>
      </c>
      <c r="K1004" s="4" t="n">
        <v>0</v>
      </c>
      <c r="M1004" s="2">
        <f>IF(C1004="","",IFERROR(INDEX($S$5:$S$304,MATCH(C1004,$R$5:$R$304,0))&amp;"","?"))</f>
        <v/>
      </c>
      <c r="N1004" s="2">
        <f>IF(E1004="","",IF(ISNUMBER(SEARCH("SUBSOLO",E1004)),IFERROR(-VALUE(LEFT(E1004,FIND("º",SUBSTITUTE(E1004,"°","º"))-1)),-1),IF(LEFT(E1004,6)="TÉRREO",0,IFERROR(VALUE(LEFT(E1004,FIND("º",SUBSTITUTE(E1004,"°","º"))-1)),""))))</f>
        <v/>
      </c>
      <c r="O1004" s="2">
        <f>IF(OR(F1004="",G1004=""),"",IF(G1004&lt;='RETRATO 2027'!$K$5,"CONCLUÍDA",IF(F1004&lt;='RETRATO 2027'!$K$5,"EM ANDAMENTO","A INICIAR")))</f>
        <v/>
      </c>
    </row>
    <row r="1005">
      <c r="B1005" s="4" t="n">
        <v>30171398</v>
      </c>
      <c r="C1005" s="4" t="inlineStr">
        <is>
          <t>TALISCAMENTO</t>
        </is>
      </c>
      <c r="D1005" s="4" t="inlineStr">
        <is>
          <t>-</t>
        </is>
      </c>
      <c r="E1005" s="4" t="inlineStr">
        <is>
          <t>5º PAV - GARAGEM</t>
        </is>
      </c>
      <c r="F1005" s="126" t="n">
        <v>46743</v>
      </c>
      <c r="G1005" s="126" t="n">
        <v>46764</v>
      </c>
      <c r="H1005" s="126" t="n">
        <v>46289</v>
      </c>
      <c r="I1005" s="4" t="n">
        <v>0</v>
      </c>
      <c r="J1005" s="4" t="n">
        <v>0</v>
      </c>
      <c r="K1005" s="4" t="n">
        <v>0</v>
      </c>
      <c r="M1005" s="2">
        <f>IF(C1005="","",IFERROR(INDEX($S$5:$S$304,MATCH(C1005,$R$5:$R$304,0))&amp;"","?"))</f>
        <v/>
      </c>
      <c r="N1005" s="2">
        <f>IF(E1005="","",IF(ISNUMBER(SEARCH("SUBSOLO",E1005)),IFERROR(-VALUE(LEFT(E1005,FIND("º",SUBSTITUTE(E1005,"°","º"))-1)),-1),IF(LEFT(E1005,6)="TÉRREO",0,IFERROR(VALUE(LEFT(E1005,FIND("º",SUBSTITUTE(E1005,"°","º"))-1)),""))))</f>
        <v/>
      </c>
      <c r="O1005" s="2">
        <f>IF(OR(F1005="",G1005=""),"",IF(G1005&lt;='RETRATO 2027'!$K$5,"CONCLUÍDA",IF(F1005&lt;='RETRATO 2027'!$K$5,"EM ANDAMENTO","A INICIAR")))</f>
        <v/>
      </c>
    </row>
    <row r="1006">
      <c r="B1006" s="4" t="n">
        <v>30171404</v>
      </c>
      <c r="C1006" s="4" t="inlineStr">
        <is>
          <t>CHUMBAMENTO DE PCF</t>
        </is>
      </c>
      <c r="D1006" s="4" t="inlineStr">
        <is>
          <t>-</t>
        </is>
      </c>
      <c r="E1006" s="4" t="inlineStr">
        <is>
          <t>5º PAV - GARAGEM</t>
        </is>
      </c>
      <c r="F1006" s="126" t="n">
        <v>46743</v>
      </c>
      <c r="G1006" s="126" t="n">
        <v>46764</v>
      </c>
      <c r="H1006" s="126" t="n">
        <v>46289</v>
      </c>
      <c r="I1006" s="4" t="n">
        <v>0</v>
      </c>
      <c r="J1006" s="4" t="n">
        <v>0</v>
      </c>
      <c r="K1006" s="4" t="n">
        <v>0</v>
      </c>
      <c r="M1006" s="2">
        <f>IF(C1006="","",IFERROR(INDEX($S$5:$S$304,MATCH(C1006,$R$5:$R$304,0))&amp;"","?"))</f>
        <v/>
      </c>
      <c r="N1006" s="2">
        <f>IF(E1006="","",IF(ISNUMBER(SEARCH("SUBSOLO",E1006)),IFERROR(-VALUE(LEFT(E1006,FIND("º",SUBSTITUTE(E1006,"°","º"))-1)),-1),IF(LEFT(E1006,6)="TÉRREO",0,IFERROR(VALUE(LEFT(E1006,FIND("º",SUBSTITUTE(E1006,"°","º"))-1)),""))))</f>
        <v/>
      </c>
      <c r="O1006" s="2">
        <f>IF(OR(F1006="",G1006=""),"",IF(G1006&lt;='RETRATO 2027'!$K$5,"CONCLUÍDA",IF(F1006&lt;='RETRATO 2027'!$K$5,"EM ANDAMENTO","A INICIAR")))</f>
        <v/>
      </c>
    </row>
    <row r="1007">
      <c r="B1007" s="4" t="n">
        <v>30205878</v>
      </c>
      <c r="C1007" s="4" t="inlineStr">
        <is>
          <t>ALVENARIA</t>
        </is>
      </c>
      <c r="D1007" s="4" t="inlineStr">
        <is>
          <t>-</t>
        </is>
      </c>
      <c r="E1007" s="4" t="inlineStr">
        <is>
          <t>6º PAV (PILOTIS) - PLAYGROUND + TERRAÇO DESCOBERTO + QUADRA DE RECREAÇÃO</t>
        </is>
      </c>
      <c r="F1007" s="126" t="n">
        <v>46743</v>
      </c>
      <c r="G1007" s="126" t="n">
        <v>46780</v>
      </c>
      <c r="H1007" s="126" t="n">
        <v>46289</v>
      </c>
      <c r="I1007" s="4" t="n">
        <v>0</v>
      </c>
      <c r="J1007" s="4" t="n">
        <v>0</v>
      </c>
      <c r="K1007" s="4" t="n">
        <v>0</v>
      </c>
      <c r="M1007" s="2">
        <f>IF(C1007="","",IFERROR(INDEX($S$5:$S$304,MATCH(C1007,$R$5:$R$304,0))&amp;"","?"))</f>
        <v/>
      </c>
      <c r="N1007" s="2">
        <f>IF(E1007="","",IF(ISNUMBER(SEARCH("SUBSOLO",E1007)),IFERROR(-VALUE(LEFT(E1007,FIND("º",SUBSTITUTE(E1007,"°","º"))-1)),-1),IF(LEFT(E1007,6)="TÉRREO",0,IFERROR(VALUE(LEFT(E1007,FIND("º",SUBSTITUTE(E1007,"°","º"))-1)),""))))</f>
        <v/>
      </c>
      <c r="O1007" s="2">
        <f>IF(OR(F1007="",G1007=""),"",IF(G1007&lt;='RETRATO 2027'!$K$5,"CONCLUÍDA",IF(F1007&lt;='RETRATO 2027'!$K$5,"EM ANDAMENTO","A INICIAR")))</f>
        <v/>
      </c>
    </row>
    <row r="1008">
      <c r="B1008" s="4" t="n">
        <v>30206119</v>
      </c>
      <c r="C1008" s="4" t="inlineStr">
        <is>
          <t>ALVENARIA</t>
        </is>
      </c>
      <c r="D1008" s="4" t="inlineStr">
        <is>
          <t>-</t>
        </is>
      </c>
      <c r="E1008" s="4" t="inlineStr">
        <is>
          <t>6º PAV (PILOTIS) - ACADEMIA</t>
        </is>
      </c>
      <c r="F1008" s="126" t="n">
        <v>46743</v>
      </c>
      <c r="G1008" s="126" t="n">
        <v>46780</v>
      </c>
      <c r="H1008" s="126" t="n">
        <v>46289</v>
      </c>
      <c r="I1008" s="4" t="n">
        <v>0</v>
      </c>
      <c r="J1008" s="4" t="n">
        <v>0</v>
      </c>
      <c r="K1008" s="4" t="n">
        <v>0</v>
      </c>
      <c r="M1008" s="2">
        <f>IF(C1008="","",IFERROR(INDEX($S$5:$S$304,MATCH(C1008,$R$5:$R$304,0))&amp;"","?"))</f>
        <v/>
      </c>
      <c r="N1008" s="2">
        <f>IF(E1008="","",IF(ISNUMBER(SEARCH("SUBSOLO",E1008)),IFERROR(-VALUE(LEFT(E1008,FIND("º",SUBSTITUTE(E1008,"°","º"))-1)),-1),IF(LEFT(E1008,6)="TÉRREO",0,IFERROR(VALUE(LEFT(E1008,FIND("º",SUBSTITUTE(E1008,"°","º"))-1)),""))))</f>
        <v/>
      </c>
      <c r="O1008" s="2">
        <f>IF(OR(F1008="",G1008=""),"",IF(G1008&lt;='RETRATO 2027'!$K$5,"CONCLUÍDA",IF(F1008&lt;='RETRATO 2027'!$K$5,"EM ANDAMENTO","A INICIAR")))</f>
        <v/>
      </c>
    </row>
    <row r="1009">
      <c r="B1009" s="4" t="n">
        <v>30206082</v>
      </c>
      <c r="C1009" s="4" t="inlineStr">
        <is>
          <t>ALVENARIA</t>
        </is>
      </c>
      <c r="D1009" s="4" t="inlineStr">
        <is>
          <t>-</t>
        </is>
      </c>
      <c r="E1009" s="4" t="inlineStr">
        <is>
          <t>6º PAV (PILOTIS) - SAUNA + DUCHA</t>
        </is>
      </c>
      <c r="F1009" s="126" t="n">
        <v>46743</v>
      </c>
      <c r="G1009" s="126" t="n">
        <v>46780</v>
      </c>
      <c r="H1009" s="126" t="n">
        <v>46289</v>
      </c>
      <c r="I1009" s="4" t="n">
        <v>0</v>
      </c>
      <c r="J1009" s="4" t="n">
        <v>0</v>
      </c>
      <c r="K1009" s="4" t="n">
        <v>0</v>
      </c>
      <c r="M1009" s="2">
        <f>IF(C1009="","",IFERROR(INDEX($S$5:$S$304,MATCH(C1009,$R$5:$R$304,0))&amp;"","?"))</f>
        <v/>
      </c>
      <c r="N1009" s="2">
        <f>IF(E1009="","",IF(ISNUMBER(SEARCH("SUBSOLO",E1009)),IFERROR(-VALUE(LEFT(E1009,FIND("º",SUBSTITUTE(E1009,"°","º"))-1)),-1),IF(LEFT(E1009,6)="TÉRREO",0,IFERROR(VALUE(LEFT(E1009,FIND("º",SUBSTITUTE(E1009,"°","º"))-1)),""))))</f>
        <v/>
      </c>
      <c r="O1009" s="2">
        <f>IF(OR(F1009="",G1009=""),"",IF(G1009&lt;='RETRATO 2027'!$K$5,"CONCLUÍDA",IF(F1009&lt;='RETRATO 2027'!$K$5,"EM ANDAMENTO","A INICIAR")))</f>
        <v/>
      </c>
    </row>
    <row r="1010">
      <c r="B1010" s="4" t="n">
        <v>30206045</v>
      </c>
      <c r="C1010" s="4" t="inlineStr">
        <is>
          <t>ALVENARIA</t>
        </is>
      </c>
      <c r="D1010" s="4" t="inlineStr">
        <is>
          <t>-</t>
        </is>
      </c>
      <c r="E1010" s="4" t="inlineStr">
        <is>
          <t>6º PAV (PILOTIS) - CHURRASQUEIRA + IS MASC. PCD + IS FEM. PCD + CIRCULAÇÃO 1 + HALL 1</t>
        </is>
      </c>
      <c r="F1010" s="126" t="n">
        <v>46743</v>
      </c>
      <c r="G1010" s="126" t="n">
        <v>46780</v>
      </c>
      <c r="H1010" s="126" t="n">
        <v>46289</v>
      </c>
      <c r="I1010" s="4" t="n">
        <v>0</v>
      </c>
      <c r="J1010" s="4" t="n">
        <v>0</v>
      </c>
      <c r="K1010" s="4" t="n">
        <v>0</v>
      </c>
      <c r="M1010" s="2">
        <f>IF(C1010="","",IFERROR(INDEX($S$5:$S$304,MATCH(C1010,$R$5:$R$304,0))&amp;"","?"))</f>
        <v/>
      </c>
      <c r="N1010" s="2">
        <f>IF(E1010="","",IF(ISNUMBER(SEARCH("SUBSOLO",E1010)),IFERROR(-VALUE(LEFT(E1010,FIND("º",SUBSTITUTE(E1010,"°","º"))-1)),-1),IF(LEFT(E1010,6)="TÉRREO",0,IFERROR(VALUE(LEFT(E1010,FIND("º",SUBSTITUTE(E1010,"°","º"))-1)),""))))</f>
        <v/>
      </c>
      <c r="O1010" s="2">
        <f>IF(OR(F1010="",G1010=""),"",IF(G1010&lt;='RETRATO 2027'!$K$5,"CONCLUÍDA",IF(F1010&lt;='RETRATO 2027'!$K$5,"EM ANDAMENTO","A INICIAR")))</f>
        <v/>
      </c>
    </row>
    <row r="1011">
      <c r="B1011" s="4" t="n">
        <v>30206008</v>
      </c>
      <c r="C1011" s="4" t="inlineStr">
        <is>
          <t>ALVENARIA</t>
        </is>
      </c>
      <c r="D1011" s="4" t="inlineStr">
        <is>
          <t>-</t>
        </is>
      </c>
      <c r="E1011" s="4" t="inlineStr">
        <is>
          <t>6º PAV (PILOTIS) - COWORKING 1 E 2 + CIRC. 2 + HALL 2 + DML + VEST. MASC. + VEST. FEM</t>
        </is>
      </c>
      <c r="F1011" s="126" t="n">
        <v>46743</v>
      </c>
      <c r="G1011" s="126" t="n">
        <v>46780</v>
      </c>
      <c r="H1011" s="126" t="n">
        <v>46289</v>
      </c>
      <c r="I1011" s="4" t="n">
        <v>0</v>
      </c>
      <c r="J1011" s="4" t="n">
        <v>0</v>
      </c>
      <c r="K1011" s="4" t="n">
        <v>0</v>
      </c>
      <c r="M1011" s="2">
        <f>IF(C1011="","",IFERROR(INDEX($S$5:$S$304,MATCH(C1011,$R$5:$R$304,0))&amp;"","?"))</f>
        <v/>
      </c>
      <c r="N1011" s="2">
        <f>IF(E1011="","",IF(ISNUMBER(SEARCH("SUBSOLO",E1011)),IFERROR(-VALUE(LEFT(E1011,FIND("º",SUBSTITUTE(E1011,"°","º"))-1)),-1),IF(LEFT(E1011,6)="TÉRREO",0,IFERROR(VALUE(LEFT(E1011,FIND("º",SUBSTITUTE(E1011,"°","º"))-1)),""))))</f>
        <v/>
      </c>
      <c r="O1011" s="2">
        <f>IF(OR(F1011="",G1011=""),"",IF(G1011&lt;='RETRATO 2027'!$K$5,"CONCLUÍDA",IF(F1011&lt;='RETRATO 2027'!$K$5,"EM ANDAMENTO","A INICIAR")))</f>
        <v/>
      </c>
    </row>
    <row r="1012">
      <c r="B1012" s="4" t="n">
        <v>30205971</v>
      </c>
      <c r="C1012" s="4" t="inlineStr">
        <is>
          <t>ALVENARIA</t>
        </is>
      </c>
      <c r="D1012" s="4" t="inlineStr">
        <is>
          <t>-</t>
        </is>
      </c>
      <c r="E1012" s="4" t="inlineStr">
        <is>
          <t>6º PAV (PILOTIS) - LOUNGE + SALÃO + COZINHA + GOURMET + ESPAÇO KIDS</t>
        </is>
      </c>
      <c r="F1012" s="126" t="n">
        <v>46743</v>
      </c>
      <c r="G1012" s="126" t="n">
        <v>46780</v>
      </c>
      <c r="H1012" s="126" t="n">
        <v>46289</v>
      </c>
      <c r="I1012" s="4" t="n">
        <v>0</v>
      </c>
      <c r="J1012" s="4" t="n">
        <v>0</v>
      </c>
      <c r="K1012" s="4" t="n">
        <v>0</v>
      </c>
      <c r="M1012" s="2">
        <f>IF(C1012="","",IFERROR(INDEX($S$5:$S$304,MATCH(C1012,$R$5:$R$304,0))&amp;"","?"))</f>
        <v/>
      </c>
      <c r="N1012" s="2">
        <f>IF(E1012="","",IF(ISNUMBER(SEARCH("SUBSOLO",E1012)),IFERROR(-VALUE(LEFT(E1012,FIND("º",SUBSTITUTE(E1012,"°","º"))-1)),-1),IF(LEFT(E1012,6)="TÉRREO",0,IFERROR(VALUE(LEFT(E1012,FIND("º",SUBSTITUTE(E1012,"°","º"))-1)),""))))</f>
        <v/>
      </c>
      <c r="O1012" s="2">
        <f>IF(OR(F1012="",G1012=""),"",IF(G1012&lt;='RETRATO 2027'!$K$5,"CONCLUÍDA",IF(F1012&lt;='RETRATO 2027'!$K$5,"EM ANDAMENTO","A INICIAR")))</f>
        <v/>
      </c>
    </row>
    <row r="1013">
      <c r="B1013" s="4" t="n">
        <v>29981366</v>
      </c>
      <c r="C1013" s="4" t="inlineStr">
        <is>
          <t>FORRO</t>
        </is>
      </c>
      <c r="D1013" s="4" t="inlineStr">
        <is>
          <t>-</t>
        </is>
      </c>
      <c r="E1013" s="4" t="inlineStr">
        <is>
          <t>12º PAV.</t>
        </is>
      </c>
      <c r="F1013" s="126" t="n">
        <v>46743</v>
      </c>
      <c r="G1013" s="126" t="n">
        <v>46763</v>
      </c>
      <c r="H1013" s="126" t="n">
        <v>46289</v>
      </c>
      <c r="I1013" s="4" t="n">
        <v>0</v>
      </c>
      <c r="J1013" s="4" t="n">
        <v>0</v>
      </c>
      <c r="K1013" s="4" t="n">
        <v>0</v>
      </c>
      <c r="M1013" s="2">
        <f>IF(C1013="","",IFERROR(INDEX($S$5:$S$304,MATCH(C1013,$R$5:$R$304,0))&amp;"","?"))</f>
        <v/>
      </c>
      <c r="N1013" s="2">
        <f>IF(E1013="","",IF(ISNUMBER(SEARCH("SUBSOLO",E1013)),IFERROR(-VALUE(LEFT(E1013,FIND("º",SUBSTITUTE(E1013,"°","º"))-1)),-1),IF(LEFT(E1013,6)="TÉRREO",0,IFERROR(VALUE(LEFT(E1013,FIND("º",SUBSTITUTE(E1013,"°","º"))-1)),""))))</f>
        <v/>
      </c>
      <c r="O1013" s="2">
        <f>IF(OR(F1013="",G1013=""),"",IF(G1013&lt;='RETRATO 2027'!$K$5,"CONCLUÍDA",IF(F1013&lt;='RETRATO 2027'!$K$5,"EM ANDAMENTO","A INICIAR")))</f>
        <v/>
      </c>
    </row>
    <row r="1014">
      <c r="B1014" s="4" t="n">
        <v>29981327</v>
      </c>
      <c r="C1014" s="4" t="inlineStr">
        <is>
          <t>FIAÇÃO ELÉTRICA</t>
        </is>
      </c>
      <c r="D1014" s="4" t="inlineStr">
        <is>
          <t>-</t>
        </is>
      </c>
      <c r="E1014" s="4" t="inlineStr">
        <is>
          <t>13º PAV.</t>
        </is>
      </c>
      <c r="F1014" s="126" t="n">
        <v>46743</v>
      </c>
      <c r="G1014" s="126" t="n">
        <v>46763</v>
      </c>
      <c r="H1014" s="126" t="n">
        <v>46289</v>
      </c>
      <c r="I1014" s="4" t="n">
        <v>0</v>
      </c>
      <c r="J1014" s="4" t="n">
        <v>0</v>
      </c>
      <c r="K1014" s="4" t="n">
        <v>0</v>
      </c>
      <c r="M1014" s="2">
        <f>IF(C1014="","",IFERROR(INDEX($S$5:$S$304,MATCH(C1014,$R$5:$R$304,0))&amp;"","?"))</f>
        <v/>
      </c>
      <c r="N1014" s="2">
        <f>IF(E1014="","",IF(ISNUMBER(SEARCH("SUBSOLO",E1014)),IFERROR(-VALUE(LEFT(E1014,FIND("º",SUBSTITUTE(E1014,"°","º"))-1)),-1),IF(LEFT(E1014,6)="TÉRREO",0,IFERROR(VALUE(LEFT(E1014,FIND("º",SUBSTITUTE(E1014,"°","º"))-1)),""))))</f>
        <v/>
      </c>
      <c r="O1014" s="2">
        <f>IF(OR(F1014="",G1014=""),"",IF(G1014&lt;='RETRATO 2027'!$K$5,"CONCLUÍDA",IF(F1014&lt;='RETRATO 2027'!$K$5,"EM ANDAMENTO","A INICIAR")))</f>
        <v/>
      </c>
    </row>
    <row r="1015">
      <c r="B1015" s="4" t="n">
        <v>29981332</v>
      </c>
      <c r="C1015" s="4" t="inlineStr">
        <is>
          <t>PRUMADA ELÉTRICA - CABOS</t>
        </is>
      </c>
      <c r="D1015" s="4" t="inlineStr">
        <is>
          <t>-</t>
        </is>
      </c>
      <c r="E1015" s="4" t="inlineStr">
        <is>
          <t>13º PAV.</t>
        </is>
      </c>
      <c r="F1015" s="126" t="n">
        <v>46743</v>
      </c>
      <c r="G1015" s="126" t="n">
        <v>46763</v>
      </c>
      <c r="H1015" s="126" t="n">
        <v>46289</v>
      </c>
      <c r="I1015" s="4" t="n">
        <v>0</v>
      </c>
      <c r="J1015" s="4" t="n">
        <v>0</v>
      </c>
      <c r="K1015" s="4" t="n">
        <v>0</v>
      </c>
      <c r="M1015" s="2">
        <f>IF(C1015="","",IFERROR(INDEX($S$5:$S$304,MATCH(C1015,$R$5:$R$304,0))&amp;"","?"))</f>
        <v/>
      </c>
      <c r="N1015" s="2">
        <f>IF(E1015="","",IF(ISNUMBER(SEARCH("SUBSOLO",E1015)),IFERROR(-VALUE(LEFT(E1015,FIND("º",SUBSTITUTE(E1015,"°","º"))-1)),-1),IF(LEFT(E1015,6)="TÉRREO",0,IFERROR(VALUE(LEFT(E1015,FIND("º",SUBSTITUTE(E1015,"°","º"))-1)),""))))</f>
        <v/>
      </c>
      <c r="O1015" s="2">
        <f>IF(OR(F1015="",G1015=""),"",IF(G1015&lt;='RETRATO 2027'!$K$5,"CONCLUÍDA",IF(F1015&lt;='RETRATO 2027'!$K$5,"EM ANDAMENTO","A INICIAR")))</f>
        <v/>
      </c>
    </row>
    <row r="1016">
      <c r="B1016" s="4" t="n">
        <v>30214075</v>
      </c>
      <c r="C1016" s="4" t="inlineStr">
        <is>
          <t>FIAÇÃO TELECOM/DADOS</t>
        </is>
      </c>
      <c r="D1016" s="4" t="inlineStr">
        <is>
          <t>-</t>
        </is>
      </c>
      <c r="E1016" s="4" t="inlineStr">
        <is>
          <t>13º PAV.</t>
        </is>
      </c>
      <c r="F1016" s="126" t="n">
        <v>46743</v>
      </c>
      <c r="G1016" s="126" t="n">
        <v>46764</v>
      </c>
      <c r="H1016" s="126" t="n">
        <v>46289</v>
      </c>
      <c r="I1016" s="4" t="n">
        <v>0</v>
      </c>
      <c r="J1016" s="4" t="n">
        <v>0</v>
      </c>
      <c r="K1016" s="4" t="n">
        <v>0</v>
      </c>
      <c r="M1016" s="2">
        <f>IF(C1016="","",IFERROR(INDEX($S$5:$S$304,MATCH(C1016,$R$5:$R$304,0))&amp;"","?"))</f>
        <v/>
      </c>
      <c r="N1016" s="2">
        <f>IF(E1016="","",IF(ISNUMBER(SEARCH("SUBSOLO",E1016)),IFERROR(-VALUE(LEFT(E1016,FIND("º",SUBSTITUTE(E1016,"°","º"))-1)),-1),IF(LEFT(E1016,6)="TÉRREO",0,IFERROR(VALUE(LEFT(E1016,FIND("º",SUBSTITUTE(E1016,"°","º"))-1)),""))))</f>
        <v/>
      </c>
      <c r="O1016" s="2">
        <f>IF(OR(F1016="",G1016=""),"",IF(G1016&lt;='RETRATO 2027'!$K$5,"CONCLUÍDA",IF(F1016&lt;='RETRATO 2027'!$K$5,"EM ANDAMENTO","A INICIAR")))</f>
        <v/>
      </c>
    </row>
    <row r="1017">
      <c r="B1017" s="4" t="n">
        <v>29981274</v>
      </c>
      <c r="C1017" s="4" t="inlineStr">
        <is>
          <t>BANCADAS</t>
        </is>
      </c>
      <c r="D1017" s="4" t="inlineStr">
        <is>
          <t>-</t>
        </is>
      </c>
      <c r="E1017" s="4" t="inlineStr">
        <is>
          <t>14º PAV.</t>
        </is>
      </c>
      <c r="F1017" s="126" t="n">
        <v>46743</v>
      </c>
      <c r="G1017" s="126" t="n">
        <v>46763</v>
      </c>
      <c r="H1017" s="126" t="n">
        <v>46289</v>
      </c>
      <c r="I1017" s="4" t="n">
        <v>0</v>
      </c>
      <c r="J1017" s="4" t="n">
        <v>0</v>
      </c>
      <c r="K1017" s="4" t="n">
        <v>0</v>
      </c>
      <c r="M1017" s="2">
        <f>IF(C1017="","",IFERROR(INDEX($S$5:$S$304,MATCH(C1017,$R$5:$R$304,0))&amp;"","?"))</f>
        <v/>
      </c>
      <c r="N1017" s="2">
        <f>IF(E1017="","",IF(ISNUMBER(SEARCH("SUBSOLO",E1017)),IFERROR(-VALUE(LEFT(E1017,FIND("º",SUBSTITUTE(E1017,"°","º"))-1)),-1),IF(LEFT(E1017,6)="TÉRREO",0,IFERROR(VALUE(LEFT(E1017,FIND("º",SUBSTITUTE(E1017,"°","º"))-1)),""))))</f>
        <v/>
      </c>
      <c r="O1017" s="2">
        <f>IF(OR(F1017="",G1017=""),"",IF(G1017&lt;='RETRATO 2027'!$K$5,"CONCLUÍDA",IF(F1017&lt;='RETRATO 2027'!$K$5,"EM ANDAMENTO","A INICIAR")))</f>
        <v/>
      </c>
    </row>
    <row r="1018">
      <c r="B1018" s="4" t="n">
        <v>29981236</v>
      </c>
      <c r="C1018" s="4" t="inlineStr">
        <is>
          <t>REVESTIMENTOS PORCELANATO PISO</t>
        </is>
      </c>
      <c r="D1018" s="4" t="inlineStr">
        <is>
          <t>-</t>
        </is>
      </c>
      <c r="E1018" s="4" t="inlineStr">
        <is>
          <t>15º PAV.</t>
        </is>
      </c>
      <c r="F1018" s="126" t="n">
        <v>46743</v>
      </c>
      <c r="G1018" s="126" t="n">
        <v>46763</v>
      </c>
      <c r="H1018" s="126" t="n">
        <v>46289</v>
      </c>
      <c r="I1018" s="4" t="n">
        <v>0</v>
      </c>
      <c r="J1018" s="4" t="n">
        <v>0</v>
      </c>
      <c r="K1018" s="4" t="n">
        <v>0</v>
      </c>
      <c r="M1018" s="2">
        <f>IF(C1018="","",IFERROR(INDEX($S$5:$S$304,MATCH(C1018,$R$5:$R$304,0))&amp;"","?"))</f>
        <v/>
      </c>
      <c r="N1018" s="2">
        <f>IF(E1018="","",IF(ISNUMBER(SEARCH("SUBSOLO",E1018)),IFERROR(-VALUE(LEFT(E1018,FIND("º",SUBSTITUTE(E1018,"°","º"))-1)),-1),IF(LEFT(E1018,6)="TÉRREO",0,IFERROR(VALUE(LEFT(E1018,FIND("º",SUBSTITUTE(E1018,"°","º"))-1)),""))))</f>
        <v/>
      </c>
      <c r="O1018" s="2">
        <f>IF(OR(F1018="",G1018=""),"",IF(G1018&lt;='RETRATO 2027'!$K$5,"CONCLUÍDA",IF(F1018&lt;='RETRATO 2027'!$K$5,"EM ANDAMENTO","A INICIAR")))</f>
        <v/>
      </c>
    </row>
    <row r="1019">
      <c r="B1019" s="4" t="n">
        <v>29981215</v>
      </c>
      <c r="C1019" s="4" t="inlineStr">
        <is>
          <t>REVESTIMENTO PORCELANATO PAREDE</t>
        </is>
      </c>
      <c r="D1019" s="4" t="inlineStr">
        <is>
          <t>-</t>
        </is>
      </c>
      <c r="E1019" s="4" t="inlineStr">
        <is>
          <t>16º PAV.</t>
        </is>
      </c>
      <c r="F1019" s="126" t="n">
        <v>46743</v>
      </c>
      <c r="G1019" s="126" t="n">
        <v>46763</v>
      </c>
      <c r="H1019" s="126" t="n">
        <v>46289</v>
      </c>
      <c r="I1019" s="4" t="n">
        <v>0</v>
      </c>
      <c r="J1019" s="4" t="n">
        <v>0</v>
      </c>
      <c r="K1019" s="4" t="n">
        <v>0</v>
      </c>
      <c r="M1019" s="2">
        <f>IF(C1019="","",IFERROR(INDEX($S$5:$S$304,MATCH(C1019,$R$5:$R$304,0))&amp;"","?"))</f>
        <v/>
      </c>
      <c r="N1019" s="2">
        <f>IF(E1019="","",IF(ISNUMBER(SEARCH("SUBSOLO",E1019)),IFERROR(-VALUE(LEFT(E1019,FIND("º",SUBSTITUTE(E1019,"°","º"))-1)),-1),IF(LEFT(E1019,6)="TÉRREO",0,IFERROR(VALUE(LEFT(E1019,FIND("º",SUBSTITUTE(E1019,"°","º"))-1)),""))))</f>
        <v/>
      </c>
      <c r="O1019" s="2">
        <f>IF(OR(F1019="",G1019=""),"",IF(G1019&lt;='RETRATO 2027'!$K$5,"CONCLUÍDA",IF(F1019&lt;='RETRATO 2027'!$K$5,"EM ANDAMENTO","A INICIAR")))</f>
        <v/>
      </c>
    </row>
    <row r="1020">
      <c r="B1020" s="4" t="n">
        <v>29981176</v>
      </c>
      <c r="C1020" s="4" t="inlineStr">
        <is>
          <t>IMPERMEABILIZAÇÃO</t>
        </is>
      </c>
      <c r="D1020" s="4" t="inlineStr">
        <is>
          <t>-</t>
        </is>
      </c>
      <c r="E1020" s="4" t="inlineStr">
        <is>
          <t>17º PAV.</t>
        </is>
      </c>
      <c r="F1020" s="126" t="n">
        <v>46743</v>
      </c>
      <c r="G1020" s="126" t="n">
        <v>46763</v>
      </c>
      <c r="H1020" s="126" t="n">
        <v>46289</v>
      </c>
      <c r="I1020" s="4" t="n">
        <v>0</v>
      </c>
      <c r="J1020" s="4" t="n">
        <v>0</v>
      </c>
      <c r="K1020" s="4" t="n">
        <v>0</v>
      </c>
      <c r="M1020" s="2">
        <f>IF(C1020="","",IFERROR(INDEX($S$5:$S$304,MATCH(C1020,$R$5:$R$304,0))&amp;"","?"))</f>
        <v/>
      </c>
      <c r="N1020" s="2">
        <f>IF(E1020="","",IF(ISNUMBER(SEARCH("SUBSOLO",E1020)),IFERROR(-VALUE(LEFT(E1020,FIND("º",SUBSTITUTE(E1020,"°","º"))-1)),-1),IF(LEFT(E1020,6)="TÉRREO",0,IFERROR(VALUE(LEFT(E1020,FIND("º",SUBSTITUTE(E1020,"°","º"))-1)),""))))</f>
        <v/>
      </c>
      <c r="O1020" s="2">
        <f>IF(OR(F1020="",G1020=""),"",IF(G1020&lt;='RETRATO 2027'!$K$5,"CONCLUÍDA",IF(F1020&lt;='RETRATO 2027'!$K$5,"EM ANDAMENTO","A INICIAR")))</f>
        <v/>
      </c>
    </row>
    <row r="1021">
      <c r="B1021" s="4" t="n">
        <v>32750444</v>
      </c>
      <c r="C1021" s="4" t="inlineStr">
        <is>
          <t>DRYWALL 2º FACE</t>
        </is>
      </c>
      <c r="D1021" s="4" t="inlineStr">
        <is>
          <t>-</t>
        </is>
      </c>
      <c r="E1021" s="4" t="inlineStr">
        <is>
          <t>18º PAV.</t>
        </is>
      </c>
      <c r="F1021" s="126" t="n">
        <v>46743</v>
      </c>
      <c r="G1021" s="126" t="n">
        <v>46763</v>
      </c>
      <c r="H1021" s="126" t="n">
        <v>46289</v>
      </c>
      <c r="I1021" s="4" t="n">
        <v>0</v>
      </c>
      <c r="J1021" s="4" t="n">
        <v>0</v>
      </c>
      <c r="K1021" s="4" t="n">
        <v>0</v>
      </c>
      <c r="M1021" s="2">
        <f>IF(C1021="","",IFERROR(INDEX($S$5:$S$304,MATCH(C1021,$R$5:$R$304,0))&amp;"","?"))</f>
        <v/>
      </c>
      <c r="N1021" s="2">
        <f>IF(E1021="","",IF(ISNUMBER(SEARCH("SUBSOLO",E1021)),IFERROR(-VALUE(LEFT(E1021,FIND("º",SUBSTITUTE(E1021,"°","º"))-1)),-1),IF(LEFT(E1021,6)="TÉRREO",0,IFERROR(VALUE(LEFT(E1021,FIND("º",SUBSTITUTE(E1021,"°","º"))-1)),""))))</f>
        <v/>
      </c>
      <c r="O1021" s="2">
        <f>IF(OR(F1021="",G1021=""),"",IF(G1021&lt;='RETRATO 2027'!$K$5,"CONCLUÍDA",IF(F1021&lt;='RETRATO 2027'!$K$5,"EM ANDAMENTO","A INICIAR")))</f>
        <v/>
      </c>
    </row>
    <row r="1022">
      <c r="B1022" s="4" t="n">
        <v>32750368</v>
      </c>
      <c r="C1022" s="4" t="inlineStr">
        <is>
          <t>DISTRIBUIÇÃO DE GÁS - DRYWALL</t>
        </is>
      </c>
      <c r="D1022" s="4" t="inlineStr">
        <is>
          <t>-</t>
        </is>
      </c>
      <c r="E1022" s="4" t="inlineStr">
        <is>
          <t>20º PAV.</t>
        </is>
      </c>
      <c r="F1022" s="126" t="n">
        <v>46743</v>
      </c>
      <c r="G1022" s="126" t="n">
        <v>46763</v>
      </c>
      <c r="H1022" s="126" t="n">
        <v>46289</v>
      </c>
      <c r="I1022" s="4" t="n">
        <v>0</v>
      </c>
      <c r="J1022" s="4" t="n">
        <v>0</v>
      </c>
      <c r="K1022" s="4" t="n">
        <v>0</v>
      </c>
      <c r="M1022" s="2">
        <f>IF(C1022="","",IFERROR(INDEX($S$5:$S$304,MATCH(C1022,$R$5:$R$304,0))&amp;"","?"))</f>
        <v/>
      </c>
      <c r="N1022" s="2">
        <f>IF(E1022="","",IF(ISNUMBER(SEARCH("SUBSOLO",E1022)),IFERROR(-VALUE(LEFT(E1022,FIND("º",SUBSTITUTE(E1022,"°","º"))-1)),-1),IF(LEFT(E1022,6)="TÉRREO",0,IFERROR(VALUE(LEFT(E1022,FIND("º",SUBSTITUTE(E1022,"°","º"))-1)),""))))</f>
        <v/>
      </c>
      <c r="O1022" s="2">
        <f>IF(OR(F1022="",G1022=""),"",IF(G1022&lt;='RETRATO 2027'!$K$5,"CONCLUÍDA",IF(F1022&lt;='RETRATO 2027'!$K$5,"EM ANDAMENTO","A INICIAR")))</f>
        <v/>
      </c>
    </row>
    <row r="1023">
      <c r="B1023" s="4" t="n">
        <v>32750394</v>
      </c>
      <c r="C1023" s="4" t="inlineStr">
        <is>
          <t>DISTRIBUIÇÃO ELÉTRICA/QUADRO - DRYWALL</t>
        </is>
      </c>
      <c r="D1023" s="4" t="inlineStr">
        <is>
          <t>-</t>
        </is>
      </c>
      <c r="E1023" s="4" t="inlineStr">
        <is>
          <t>20º PAV.</t>
        </is>
      </c>
      <c r="F1023" s="126" t="n">
        <v>46743</v>
      </c>
      <c r="G1023" s="126" t="n">
        <v>46763</v>
      </c>
      <c r="H1023" s="126" t="n">
        <v>46289</v>
      </c>
      <c r="I1023" s="4" t="n">
        <v>0</v>
      </c>
      <c r="J1023" s="4" t="n">
        <v>0</v>
      </c>
      <c r="K1023" s="4" t="n">
        <v>0</v>
      </c>
      <c r="M1023" s="2">
        <f>IF(C1023="","",IFERROR(INDEX($S$5:$S$304,MATCH(C1023,$R$5:$R$304,0))&amp;"","?"))</f>
        <v/>
      </c>
      <c r="N1023" s="2">
        <f>IF(E1023="","",IF(ISNUMBER(SEARCH("SUBSOLO",E1023)),IFERROR(-VALUE(LEFT(E1023,FIND("º",SUBSTITUTE(E1023,"°","º"))-1)),-1),IF(LEFT(E1023,6)="TÉRREO",0,IFERROR(VALUE(LEFT(E1023,FIND("º",SUBSTITUTE(E1023,"°","º"))-1)),""))))</f>
        <v/>
      </c>
      <c r="O1023" s="2">
        <f>IF(OR(F1023="",G1023=""),"",IF(G1023&lt;='RETRATO 2027'!$K$5,"CONCLUÍDA",IF(F1023&lt;='RETRATO 2027'!$K$5,"EM ANDAMENTO","A INICIAR")))</f>
        <v/>
      </c>
    </row>
    <row r="1024">
      <c r="B1024" s="4" t="n">
        <v>32750420</v>
      </c>
      <c r="C1024" s="4" t="inlineStr">
        <is>
          <t>DISTRIBUIÇÃO HIDRÁULICA - DRYWALL</t>
        </is>
      </c>
      <c r="D1024" s="4" t="inlineStr">
        <is>
          <t>-</t>
        </is>
      </c>
      <c r="E1024" s="4" t="inlineStr">
        <is>
          <t>20º PAV.</t>
        </is>
      </c>
      <c r="F1024" s="126" t="n">
        <v>46743</v>
      </c>
      <c r="G1024" s="126" t="n">
        <v>46763</v>
      </c>
      <c r="H1024" s="126" t="n">
        <v>46289</v>
      </c>
      <c r="I1024" s="4" t="n">
        <v>0</v>
      </c>
      <c r="J1024" s="4" t="n">
        <v>0</v>
      </c>
      <c r="K1024" s="4" t="n">
        <v>0</v>
      </c>
      <c r="M1024" s="2">
        <f>IF(C1024="","",IFERROR(INDEX($S$5:$S$304,MATCH(C1024,$R$5:$R$304,0))&amp;"","?"))</f>
        <v/>
      </c>
      <c r="N1024" s="2">
        <f>IF(E1024="","",IF(ISNUMBER(SEARCH("SUBSOLO",E1024)),IFERROR(-VALUE(LEFT(E1024,FIND("º",SUBSTITUTE(E1024,"°","º"))-1)),-1),IF(LEFT(E1024,6)="TÉRREO",0,IFERROR(VALUE(LEFT(E1024,FIND("º",SUBSTITUTE(E1024,"°","º"))-1)),""))))</f>
        <v/>
      </c>
      <c r="O1024" s="2">
        <f>IF(OR(F1024="",G1024=""),"",IF(G1024&lt;='RETRATO 2027'!$K$5,"CONCLUÍDA",IF(F1024&lt;='RETRATO 2027'!$K$5,"EM ANDAMENTO","A INICIAR")))</f>
        <v/>
      </c>
    </row>
    <row r="1025">
      <c r="B1025" s="4" t="n">
        <v>33896838</v>
      </c>
      <c r="C1025" s="4" t="inlineStr">
        <is>
          <t>INFRAESTRUTURA - AR CONDICIONADO</t>
        </is>
      </c>
      <c r="D1025" s="4" t="inlineStr">
        <is>
          <t>-</t>
        </is>
      </c>
      <c r="E1025" s="4" t="inlineStr">
        <is>
          <t>20º PAV.</t>
        </is>
      </c>
      <c r="F1025" s="126" t="n">
        <v>46743</v>
      </c>
      <c r="G1025" s="126" t="n">
        <v>46763</v>
      </c>
      <c r="H1025" s="126" t="n">
        <v>46289</v>
      </c>
      <c r="I1025" s="4" t="n">
        <v>0</v>
      </c>
      <c r="J1025" s="4" t="n">
        <v>0</v>
      </c>
      <c r="K1025" s="4" t="n">
        <v>0</v>
      </c>
      <c r="M1025" s="2">
        <f>IF(C1025="","",IFERROR(INDEX($S$5:$S$304,MATCH(C1025,$R$5:$R$304,0))&amp;"","?"))</f>
        <v/>
      </c>
      <c r="N1025" s="2">
        <f>IF(E1025="","",IF(ISNUMBER(SEARCH("SUBSOLO",E1025)),IFERROR(-VALUE(LEFT(E1025,FIND("º",SUBSTITUTE(E1025,"°","º"))-1)),-1),IF(LEFT(E1025,6)="TÉRREO",0,IFERROR(VALUE(LEFT(E1025,FIND("º",SUBSTITUTE(E1025,"°","º"))-1)),""))))</f>
        <v/>
      </c>
      <c r="O1025" s="2">
        <f>IF(OR(F1025="",G1025=""),"",IF(G1025&lt;='RETRATO 2027'!$K$5,"CONCLUÍDA",IF(F1025&lt;='RETRATO 2027'!$K$5,"EM ANDAMENTO","A INICIAR")))</f>
        <v/>
      </c>
    </row>
    <row r="1026">
      <c r="B1026" s="4" t="n">
        <v>32749864</v>
      </c>
      <c r="C1026" s="4" t="inlineStr">
        <is>
          <t>DRYWALL 1º FACE</t>
        </is>
      </c>
      <c r="D1026" s="4" t="inlineStr">
        <is>
          <t>-</t>
        </is>
      </c>
      <c r="E1026" s="4" t="inlineStr">
        <is>
          <t>21º PAV.</t>
        </is>
      </c>
      <c r="F1026" s="126" t="n">
        <v>46743</v>
      </c>
      <c r="G1026" s="126" t="n">
        <v>46763</v>
      </c>
      <c r="H1026" s="126" t="n">
        <v>46289</v>
      </c>
      <c r="I1026" s="4" t="n">
        <v>0</v>
      </c>
      <c r="J1026" s="4" t="n">
        <v>0</v>
      </c>
      <c r="K1026" s="4" t="n">
        <v>0</v>
      </c>
      <c r="M1026" s="2">
        <f>IF(C1026="","",IFERROR(INDEX($S$5:$S$304,MATCH(C1026,$R$5:$R$304,0))&amp;"","?"))</f>
        <v/>
      </c>
      <c r="N1026" s="2">
        <f>IF(E1026="","",IF(ISNUMBER(SEARCH("SUBSOLO",E1026)),IFERROR(-VALUE(LEFT(E1026,FIND("º",SUBSTITUTE(E1026,"°","º"))-1)),-1),IF(LEFT(E1026,6)="TÉRREO",0,IFERROR(VALUE(LEFT(E1026,FIND("º",SUBSTITUTE(E1026,"°","º"))-1)),""))))</f>
        <v/>
      </c>
      <c r="O1026" s="2">
        <f>IF(OR(F1026="",G1026=""),"",IF(G1026&lt;='RETRATO 2027'!$K$5,"CONCLUÍDA",IF(F1026&lt;='RETRATO 2027'!$K$5,"EM ANDAMENTO","A INICIAR")))</f>
        <v/>
      </c>
    </row>
    <row r="1027">
      <c r="B1027" s="4" t="n">
        <v>29980992</v>
      </c>
      <c r="C1027" s="4" t="inlineStr">
        <is>
          <t>CONTRAPISO</t>
        </is>
      </c>
      <c r="D1027" s="4" t="inlineStr">
        <is>
          <t>-</t>
        </is>
      </c>
      <c r="E1027" s="4" t="inlineStr">
        <is>
          <t>22º PAV.</t>
        </is>
      </c>
      <c r="F1027" s="126" t="n">
        <v>46743</v>
      </c>
      <c r="G1027" s="126" t="n">
        <v>46763</v>
      </c>
      <c r="H1027" s="126" t="n">
        <v>46289</v>
      </c>
      <c r="I1027" s="4" t="n">
        <v>0</v>
      </c>
      <c r="J1027" s="4" t="n">
        <v>0</v>
      </c>
      <c r="K1027" s="4" t="n">
        <v>0</v>
      </c>
      <c r="M1027" s="2">
        <f>IF(C1027="","",IFERROR(INDEX($S$5:$S$304,MATCH(C1027,$R$5:$R$304,0))&amp;"","?"))</f>
        <v/>
      </c>
      <c r="N1027" s="2">
        <f>IF(E1027="","",IF(ISNUMBER(SEARCH("SUBSOLO",E1027)),IFERROR(-VALUE(LEFT(E1027,FIND("º",SUBSTITUTE(E1027,"°","º"))-1)),-1),IF(LEFT(E1027,6)="TÉRREO",0,IFERROR(VALUE(LEFT(E1027,FIND("º",SUBSTITUTE(E1027,"°","º"))-1)),""))))</f>
        <v/>
      </c>
      <c r="O1027" s="2">
        <f>IF(OR(F1027="",G1027=""),"",IF(G1027&lt;='RETRATO 2027'!$K$5,"CONCLUÍDA",IF(F1027&lt;='RETRATO 2027'!$K$5,"EM ANDAMENTO","A INICIAR")))</f>
        <v/>
      </c>
    </row>
    <row r="1028">
      <c r="B1028" s="4" t="n">
        <v>29980932</v>
      </c>
      <c r="C1028" s="4" t="inlineStr">
        <is>
          <t>SHAFT INTERNO INST. HIDRAÚLICAS</t>
        </is>
      </c>
      <c r="D1028" s="4" t="inlineStr">
        <is>
          <t>-</t>
        </is>
      </c>
      <c r="E1028" s="4" t="inlineStr">
        <is>
          <t>23º PAV.</t>
        </is>
      </c>
      <c r="F1028" s="126" t="n">
        <v>46743</v>
      </c>
      <c r="G1028" s="126" t="n">
        <v>46763</v>
      </c>
      <c r="H1028" s="126" t="n">
        <v>46289</v>
      </c>
      <c r="I1028" s="4" t="n">
        <v>0</v>
      </c>
      <c r="J1028" s="4" t="n">
        <v>0</v>
      </c>
      <c r="K1028" s="4" t="n">
        <v>0</v>
      </c>
      <c r="M1028" s="2">
        <f>IF(C1028="","",IFERROR(INDEX($S$5:$S$304,MATCH(C1028,$R$5:$R$304,0))&amp;"","?"))</f>
        <v/>
      </c>
      <c r="N1028" s="2">
        <f>IF(E1028="","",IF(ISNUMBER(SEARCH("SUBSOLO",E1028)),IFERROR(-VALUE(LEFT(E1028,FIND("º",SUBSTITUTE(E1028,"°","º"))-1)),-1),IF(LEFT(E1028,6)="TÉRREO",0,IFERROR(VALUE(LEFT(E1028,FIND("º",SUBSTITUTE(E1028,"°","º"))-1)),""))))</f>
        <v/>
      </c>
      <c r="O1028" s="2">
        <f>IF(OR(F1028="",G1028=""),"",IF(G1028&lt;='RETRATO 2027'!$K$5,"CONCLUÍDA",IF(F1028&lt;='RETRATO 2027'!$K$5,"EM ANDAMENTO","A INICIAR")))</f>
        <v/>
      </c>
    </row>
    <row r="1029">
      <c r="B1029" s="4" t="n">
        <v>29980965</v>
      </c>
      <c r="C1029" s="4" t="inlineStr">
        <is>
          <t>PRUMADA ELÉTRICA - INFRA</t>
        </is>
      </c>
      <c r="D1029" s="4" t="inlineStr">
        <is>
          <t>-</t>
        </is>
      </c>
      <c r="E1029" s="4" t="inlineStr">
        <is>
          <t>23º PAV.</t>
        </is>
      </c>
      <c r="F1029" s="126" t="n">
        <v>46743</v>
      </c>
      <c r="G1029" s="126" t="n">
        <v>46763</v>
      </c>
      <c r="H1029" s="126" t="n">
        <v>46289</v>
      </c>
      <c r="I1029" s="4" t="n">
        <v>0</v>
      </c>
      <c r="J1029" s="4" t="n">
        <v>0</v>
      </c>
      <c r="K1029" s="4" t="n">
        <v>0</v>
      </c>
      <c r="M1029" s="2">
        <f>IF(C1029="","",IFERROR(INDEX($S$5:$S$304,MATCH(C1029,$R$5:$R$304,0))&amp;"","?"))</f>
        <v/>
      </c>
      <c r="N1029" s="2">
        <f>IF(E1029="","",IF(ISNUMBER(SEARCH("SUBSOLO",E1029)),IFERROR(-VALUE(LEFT(E1029,FIND("º",SUBSTITUTE(E1029,"°","º"))-1)),-1),IF(LEFT(E1029,6)="TÉRREO",0,IFERROR(VALUE(LEFT(E1029,FIND("º",SUBSTITUTE(E1029,"°","º"))-1)),""))))</f>
        <v/>
      </c>
      <c r="O1029" s="2">
        <f>IF(OR(F1029="",G1029=""),"",IF(G1029&lt;='RETRATO 2027'!$K$5,"CONCLUÍDA",IF(F1029&lt;='RETRATO 2027'!$K$5,"EM ANDAMENTO","A INICIAR")))</f>
        <v/>
      </c>
    </row>
    <row r="1030">
      <c r="B1030" s="4" t="n">
        <v>29980894</v>
      </c>
      <c r="C1030" s="4" t="inlineStr">
        <is>
          <t>REBOCO INTERNO</t>
        </is>
      </c>
      <c r="D1030" s="4" t="inlineStr">
        <is>
          <t>-</t>
        </is>
      </c>
      <c r="E1030" s="4" t="inlineStr">
        <is>
          <t>24º PAV.</t>
        </is>
      </c>
      <c r="F1030" s="126" t="n">
        <v>46743</v>
      </c>
      <c r="G1030" s="126" t="n">
        <v>46763</v>
      </c>
      <c r="H1030" s="126" t="n">
        <v>46289</v>
      </c>
      <c r="I1030" s="4" t="n">
        <v>0</v>
      </c>
      <c r="J1030" s="4" t="n">
        <v>0</v>
      </c>
      <c r="K1030" s="4" t="n">
        <v>0</v>
      </c>
      <c r="M1030" s="2">
        <f>IF(C1030="","",IFERROR(INDEX($S$5:$S$304,MATCH(C1030,$R$5:$R$304,0))&amp;"","?"))</f>
        <v/>
      </c>
      <c r="N1030" s="2">
        <f>IF(E1030="","",IF(ISNUMBER(SEARCH("SUBSOLO",E1030)),IFERROR(-VALUE(LEFT(E1030,FIND("º",SUBSTITUTE(E1030,"°","º"))-1)),-1),IF(LEFT(E1030,6)="TÉRREO",0,IFERROR(VALUE(LEFT(E1030,FIND("º",SUBSTITUTE(E1030,"°","º"))-1)),""))))</f>
        <v/>
      </c>
      <c r="O1030" s="2">
        <f>IF(OR(F1030="",G1030=""),"",IF(G1030&lt;='RETRATO 2027'!$K$5,"CONCLUÍDA",IF(F1030&lt;='RETRATO 2027'!$K$5,"EM ANDAMENTO","A INICIAR")))</f>
        <v/>
      </c>
    </row>
    <row r="1031">
      <c r="B1031" s="4" t="n">
        <v>29980860</v>
      </c>
      <c r="C1031" s="4" t="inlineStr">
        <is>
          <t>CONTRAMARCO</t>
        </is>
      </c>
      <c r="D1031" s="4" t="inlineStr">
        <is>
          <t>-</t>
        </is>
      </c>
      <c r="E1031" s="4" t="inlineStr">
        <is>
          <t>25º PAV.</t>
        </is>
      </c>
      <c r="F1031" s="126" t="n">
        <v>46743</v>
      </c>
      <c r="G1031" s="126" t="n">
        <v>46763</v>
      </c>
      <c r="H1031" s="126" t="n">
        <v>46289</v>
      </c>
      <c r="I1031" s="4" t="n">
        <v>0</v>
      </c>
      <c r="J1031" s="4" t="n">
        <v>0</v>
      </c>
      <c r="K1031" s="4" t="n">
        <v>0</v>
      </c>
      <c r="M1031" s="2">
        <f>IF(C1031="","",IFERROR(INDEX($S$5:$S$304,MATCH(C1031,$R$5:$R$304,0))&amp;"","?"))</f>
        <v/>
      </c>
      <c r="N1031" s="2">
        <f>IF(E1031="","",IF(ISNUMBER(SEARCH("SUBSOLO",E1031)),IFERROR(-VALUE(LEFT(E1031,FIND("º",SUBSTITUTE(E1031,"°","º"))-1)),-1),IF(LEFT(E1031,6)="TÉRREO",0,IFERROR(VALUE(LEFT(E1031,FIND("º",SUBSTITUTE(E1031,"°","º"))-1)),""))))</f>
        <v/>
      </c>
      <c r="O1031" s="2">
        <f>IF(OR(F1031="",G1031=""),"",IF(G1031&lt;='RETRATO 2027'!$K$5,"CONCLUÍDA",IF(F1031&lt;='RETRATO 2027'!$K$5,"EM ANDAMENTO","A INICIAR")))</f>
        <v/>
      </c>
    </row>
    <row r="1032">
      <c r="B1032" s="4" t="n">
        <v>29980853</v>
      </c>
      <c r="C1032" s="4" t="inlineStr">
        <is>
          <t>DISTRIBUIÇÃO HIDROSSANITÁRIA</t>
        </is>
      </c>
      <c r="D1032" s="4" t="inlineStr">
        <is>
          <t>-</t>
        </is>
      </c>
      <c r="E1032" s="4" t="inlineStr">
        <is>
          <t>26º PAV.</t>
        </is>
      </c>
      <c r="F1032" s="126" t="n">
        <v>46743</v>
      </c>
      <c r="G1032" s="126" t="n">
        <v>46763</v>
      </c>
      <c r="H1032" s="126" t="n">
        <v>46289</v>
      </c>
      <c r="I1032" s="4" t="n">
        <v>0</v>
      </c>
      <c r="J1032" s="4" t="n">
        <v>0</v>
      </c>
      <c r="K1032" s="4" t="n">
        <v>0</v>
      </c>
      <c r="M1032" s="2">
        <f>IF(C1032="","",IFERROR(INDEX($S$5:$S$304,MATCH(C1032,$R$5:$R$304,0))&amp;"","?"))</f>
        <v/>
      </c>
      <c r="N1032" s="2">
        <f>IF(E1032="","",IF(ISNUMBER(SEARCH("SUBSOLO",E1032)),IFERROR(-VALUE(LEFT(E1032,FIND("º",SUBSTITUTE(E1032,"°","º"))-1)),-1),IF(LEFT(E1032,6)="TÉRREO",0,IFERROR(VALUE(LEFT(E1032,FIND("º",SUBSTITUTE(E1032,"°","º"))-1)),""))))</f>
        <v/>
      </c>
      <c r="O1032" s="2">
        <f>IF(OR(F1032="",G1032=""),"",IF(G1032&lt;='RETRATO 2027'!$K$5,"CONCLUÍDA",IF(F1032&lt;='RETRATO 2027'!$K$5,"EM ANDAMENTO","A INICIAR")))</f>
        <v/>
      </c>
    </row>
    <row r="1033">
      <c r="B1033" s="4" t="n">
        <v>29980822</v>
      </c>
      <c r="C1033" s="4" t="inlineStr">
        <is>
          <t>DISTRIBUIÇÃO ELÉTRICA / QUADRO</t>
        </is>
      </c>
      <c r="D1033" s="4" t="inlineStr">
        <is>
          <t>-</t>
        </is>
      </c>
      <c r="E1033" s="4" t="inlineStr">
        <is>
          <t>26º PAV.</t>
        </is>
      </c>
      <c r="F1033" s="126" t="n">
        <v>46743</v>
      </c>
      <c r="G1033" s="126" t="n">
        <v>46763</v>
      </c>
      <c r="H1033" s="126" t="n">
        <v>46289</v>
      </c>
      <c r="I1033" s="4" t="n">
        <v>0</v>
      </c>
      <c r="J1033" s="4" t="n">
        <v>0</v>
      </c>
      <c r="K1033" s="4" t="n">
        <v>0</v>
      </c>
      <c r="M1033" s="2">
        <f>IF(C1033="","",IFERROR(INDEX($S$5:$S$304,MATCH(C1033,$R$5:$R$304,0))&amp;"","?"))</f>
        <v/>
      </c>
      <c r="N1033" s="2">
        <f>IF(E1033="","",IF(ISNUMBER(SEARCH("SUBSOLO",E1033)),IFERROR(-VALUE(LEFT(E1033,FIND("º",SUBSTITUTE(E1033,"°","º"))-1)),-1),IF(LEFT(E1033,6)="TÉRREO",0,IFERROR(VALUE(LEFT(E1033,FIND("º",SUBSTITUTE(E1033,"°","º"))-1)),""))))</f>
        <v/>
      </c>
      <c r="O1033" s="2">
        <f>IF(OR(F1033="",G1033=""),"",IF(G1033&lt;='RETRATO 2027'!$K$5,"CONCLUÍDA",IF(F1033&lt;='RETRATO 2027'!$K$5,"EM ANDAMENTO","A INICIAR")))</f>
        <v/>
      </c>
    </row>
    <row r="1034">
      <c r="B1034" s="4" t="n">
        <v>29980855</v>
      </c>
      <c r="C1034" s="4" t="inlineStr">
        <is>
          <t>DISTRIBUIÇÃO DE GÁS</t>
        </is>
      </c>
      <c r="D1034" s="4" t="inlineStr">
        <is>
          <t>-</t>
        </is>
      </c>
      <c r="E1034" s="4" t="inlineStr">
        <is>
          <t>26º PAV.</t>
        </is>
      </c>
      <c r="F1034" s="126" t="n">
        <v>46743</v>
      </c>
      <c r="G1034" s="126" t="n">
        <v>46763</v>
      </c>
      <c r="H1034" s="126" t="n">
        <v>46289</v>
      </c>
      <c r="I1034" s="4" t="n">
        <v>0</v>
      </c>
      <c r="J1034" s="4" t="n">
        <v>0</v>
      </c>
      <c r="K1034" s="4" t="n">
        <v>0</v>
      </c>
      <c r="M1034" s="2">
        <f>IF(C1034="","",IFERROR(INDEX($S$5:$S$304,MATCH(C1034,$R$5:$R$304,0))&amp;"","?"))</f>
        <v/>
      </c>
      <c r="N1034" s="2">
        <f>IF(E1034="","",IF(ISNUMBER(SEARCH("SUBSOLO",E1034)),IFERROR(-VALUE(LEFT(E1034,FIND("º",SUBSTITUTE(E1034,"°","º"))-1)),-1),IF(LEFT(E1034,6)="TÉRREO",0,IFERROR(VALUE(LEFT(E1034,FIND("º",SUBSTITUTE(E1034,"°","º"))-1)),""))))</f>
        <v/>
      </c>
      <c r="O1034" s="2">
        <f>IF(OR(F1034="",G1034=""),"",IF(G1034&lt;='RETRATO 2027'!$K$5,"CONCLUÍDA",IF(F1034&lt;='RETRATO 2027'!$K$5,"EM ANDAMENTO","A INICIAR")))</f>
        <v/>
      </c>
    </row>
    <row r="1035">
      <c r="B1035" s="4" t="n">
        <v>29980802</v>
      </c>
      <c r="C1035" s="4" t="inlineStr">
        <is>
          <t>TALISCAMENTO</t>
        </is>
      </c>
      <c r="D1035" s="4" t="inlineStr">
        <is>
          <t>-</t>
        </is>
      </c>
      <c r="E1035" s="4" t="inlineStr">
        <is>
          <t>27º PAV.</t>
        </is>
      </c>
      <c r="F1035" s="126" t="n">
        <v>46743</v>
      </c>
      <c r="G1035" s="126" t="n">
        <v>46763</v>
      </c>
      <c r="H1035" s="126" t="n">
        <v>46289</v>
      </c>
      <c r="I1035" s="4" t="n">
        <v>0</v>
      </c>
      <c r="J1035" s="4" t="n">
        <v>0</v>
      </c>
      <c r="K1035" s="4" t="n">
        <v>0</v>
      </c>
      <c r="M1035" s="2">
        <f>IF(C1035="","",IFERROR(INDEX($S$5:$S$304,MATCH(C1035,$R$5:$R$304,0))&amp;"","?"))</f>
        <v/>
      </c>
      <c r="N1035" s="2">
        <f>IF(E1035="","",IF(ISNUMBER(SEARCH("SUBSOLO",E1035)),IFERROR(-VALUE(LEFT(E1035,FIND("º",SUBSTITUTE(E1035,"°","º"))-1)),-1),IF(LEFT(E1035,6)="TÉRREO",0,IFERROR(VALUE(LEFT(E1035,FIND("º",SUBSTITUTE(E1035,"°","º"))-1)),""))))</f>
        <v/>
      </c>
      <c r="O1035" s="2">
        <f>IF(OR(F1035="",G1035=""),"",IF(G1035&lt;='RETRATO 2027'!$K$5,"CONCLUÍDA",IF(F1035&lt;='RETRATO 2027'!$K$5,"EM ANDAMENTO","A INICIAR")))</f>
        <v/>
      </c>
    </row>
    <row r="1036">
      <c r="B1036" s="4" t="n">
        <v>29980768</v>
      </c>
      <c r="C1036" s="4" t="inlineStr">
        <is>
          <t>PRUMADA HIDROSSANITÁRIA</t>
        </is>
      </c>
      <c r="D1036" s="4" t="inlineStr">
        <is>
          <t>-</t>
        </is>
      </c>
      <c r="E1036" s="4" t="inlineStr">
        <is>
          <t>28º PAV.</t>
        </is>
      </c>
      <c r="F1036" s="126" t="n">
        <v>46743</v>
      </c>
      <c r="G1036" s="126" t="n">
        <v>46763</v>
      </c>
      <c r="H1036" s="126" t="n">
        <v>46289</v>
      </c>
      <c r="I1036" s="4" t="n">
        <v>0</v>
      </c>
      <c r="J1036" s="4" t="n">
        <v>0</v>
      </c>
      <c r="K1036" s="4" t="n">
        <v>0</v>
      </c>
      <c r="M1036" s="2">
        <f>IF(C1036="","",IFERROR(INDEX($S$5:$S$304,MATCH(C1036,$R$5:$R$304,0))&amp;"","?"))</f>
        <v/>
      </c>
      <c r="N1036" s="2">
        <f>IF(E1036="","",IF(ISNUMBER(SEARCH("SUBSOLO",E1036)),IFERROR(-VALUE(LEFT(E1036,FIND("º",SUBSTITUTE(E1036,"°","º"))-1)),-1),IF(LEFT(E1036,6)="TÉRREO",0,IFERROR(VALUE(LEFT(E1036,FIND("º",SUBSTITUTE(E1036,"°","º"))-1)),""))))</f>
        <v/>
      </c>
      <c r="O1036" s="2">
        <f>IF(OR(F1036="",G1036=""),"",IF(G1036&lt;='RETRATO 2027'!$K$5,"CONCLUÍDA",IF(F1036&lt;='RETRATO 2027'!$K$5,"EM ANDAMENTO","A INICIAR")))</f>
        <v/>
      </c>
    </row>
    <row r="1037">
      <c r="B1037" s="4" t="n">
        <v>30205652</v>
      </c>
      <c r="C1037" s="4" t="inlineStr">
        <is>
          <t>MASSA CORRIDA</t>
        </is>
      </c>
      <c r="D1037" s="4" t="inlineStr">
        <is>
          <t>-</t>
        </is>
      </c>
      <c r="E1037" s="4" t="inlineStr">
        <is>
          <t>TÉRREO - LOJA 3</t>
        </is>
      </c>
      <c r="F1037" s="126" t="n">
        <v>46744</v>
      </c>
      <c r="G1037" s="126" t="n">
        <v>46765</v>
      </c>
      <c r="H1037" s="126" t="n">
        <v>46289</v>
      </c>
      <c r="I1037" s="4" t="n">
        <v>0</v>
      </c>
      <c r="J1037" s="4" t="n">
        <v>0</v>
      </c>
      <c r="K1037" s="4" t="n">
        <v>0</v>
      </c>
      <c r="M1037" s="2">
        <f>IF(C1037="","",IFERROR(INDEX($S$5:$S$304,MATCH(C1037,$R$5:$R$304,0))&amp;"","?"))</f>
        <v/>
      </c>
      <c r="N1037" s="2">
        <f>IF(E1037="","",IF(ISNUMBER(SEARCH("SUBSOLO",E1037)),IFERROR(-VALUE(LEFT(E1037,FIND("º",SUBSTITUTE(E1037,"°","º"))-1)),-1),IF(LEFT(E1037,6)="TÉRREO",0,IFERROR(VALUE(LEFT(E1037,FIND("º",SUBSTITUTE(E1037,"°","º"))-1)),""))))</f>
        <v/>
      </c>
      <c r="O1037" s="2">
        <f>IF(OR(F1037="",G1037=""),"",IF(G1037&lt;='RETRATO 2027'!$K$5,"CONCLUÍDA",IF(F1037&lt;='RETRATO 2027'!$K$5,"EM ANDAMENTO","A INICIAR")))</f>
        <v/>
      </c>
    </row>
    <row r="1038">
      <c r="B1038" s="4" t="n">
        <v>30205622</v>
      </c>
      <c r="C1038" s="4" t="inlineStr">
        <is>
          <t>FORRO</t>
        </is>
      </c>
      <c r="D1038" s="4" t="inlineStr">
        <is>
          <t>-</t>
        </is>
      </c>
      <c r="E1038" s="4" t="inlineStr">
        <is>
          <t>TÉRREO - LOJA 4</t>
        </is>
      </c>
      <c r="F1038" s="126" t="n">
        <v>46744</v>
      </c>
      <c r="G1038" s="126" t="n">
        <v>46765</v>
      </c>
      <c r="H1038" s="126" t="n">
        <v>46289</v>
      </c>
      <c r="I1038" s="4" t="n">
        <v>0</v>
      </c>
      <c r="J1038" s="4" t="n">
        <v>0</v>
      </c>
      <c r="K1038" s="4" t="n">
        <v>0</v>
      </c>
      <c r="M1038" s="2">
        <f>IF(C1038="","",IFERROR(INDEX($S$5:$S$304,MATCH(C1038,$R$5:$R$304,0))&amp;"","?"))</f>
        <v/>
      </c>
      <c r="N1038" s="2">
        <f>IF(E1038="","",IF(ISNUMBER(SEARCH("SUBSOLO",E1038)),IFERROR(-VALUE(LEFT(E1038,FIND("º",SUBSTITUTE(E1038,"°","º"))-1)),-1),IF(LEFT(E1038,6)="TÉRREO",0,IFERROR(VALUE(LEFT(E1038,FIND("º",SUBSTITUTE(E1038,"°","º"))-1)),""))))</f>
        <v/>
      </c>
      <c r="O1038" s="2">
        <f>IF(OR(F1038="",G1038=""),"",IF(G1038&lt;='RETRATO 2027'!$K$5,"CONCLUÍDA",IF(F1038&lt;='RETRATO 2027'!$K$5,"EM ANDAMENTO","A INICIAR")))</f>
        <v/>
      </c>
    </row>
    <row r="1039">
      <c r="B1039" s="4" t="n">
        <v>30205594</v>
      </c>
      <c r="C1039" s="4" t="inlineStr">
        <is>
          <t>BANCADAS</t>
        </is>
      </c>
      <c r="D1039" s="4" t="inlineStr">
        <is>
          <t>-</t>
        </is>
      </c>
      <c r="E1039" s="4" t="inlineStr">
        <is>
          <t>TÉRREO - LOJA 5</t>
        </is>
      </c>
      <c r="F1039" s="126" t="n">
        <v>46744</v>
      </c>
      <c r="G1039" s="126" t="n">
        <v>46765</v>
      </c>
      <c r="H1039" s="126" t="n">
        <v>46289</v>
      </c>
      <c r="I1039" s="4" t="n">
        <v>0</v>
      </c>
      <c r="J1039" s="4" t="n">
        <v>0</v>
      </c>
      <c r="K1039" s="4" t="n">
        <v>0</v>
      </c>
      <c r="M1039" s="2">
        <f>IF(C1039="","",IFERROR(INDEX($S$5:$S$304,MATCH(C1039,$R$5:$R$304,0))&amp;"","?"))</f>
        <v/>
      </c>
      <c r="N1039" s="2">
        <f>IF(E1039="","",IF(ISNUMBER(SEARCH("SUBSOLO",E1039)),IFERROR(-VALUE(LEFT(E1039,FIND("º",SUBSTITUTE(E1039,"°","º"))-1)),-1),IF(LEFT(E1039,6)="TÉRREO",0,IFERROR(VALUE(LEFT(E1039,FIND("º",SUBSTITUTE(E1039,"°","º"))-1)),""))))</f>
        <v/>
      </c>
      <c r="O1039" s="2">
        <f>IF(OR(F1039="",G1039=""),"",IF(G1039&lt;='RETRATO 2027'!$K$5,"CONCLUÍDA",IF(F1039&lt;='RETRATO 2027'!$K$5,"EM ANDAMENTO","A INICIAR")))</f>
        <v/>
      </c>
    </row>
    <row r="1040">
      <c r="B1040" s="4" t="n">
        <v>30205569</v>
      </c>
      <c r="C1040" s="4" t="inlineStr">
        <is>
          <t>REVESTIMENTOS PORCELANATO PISO</t>
        </is>
      </c>
      <c r="D1040" s="4" t="inlineStr">
        <is>
          <t>-</t>
        </is>
      </c>
      <c r="E1040" s="4" t="inlineStr">
        <is>
          <t>TÉRREO - LOJA 6</t>
        </is>
      </c>
      <c r="F1040" s="126" t="n">
        <v>46744</v>
      </c>
      <c r="G1040" s="126" t="n">
        <v>46765</v>
      </c>
      <c r="H1040" s="126" t="n">
        <v>46289</v>
      </c>
      <c r="I1040" s="4" t="n">
        <v>0</v>
      </c>
      <c r="J1040" s="4" t="n">
        <v>0</v>
      </c>
      <c r="K1040" s="4" t="n">
        <v>0</v>
      </c>
      <c r="M1040" s="2">
        <f>IF(C1040="","",IFERROR(INDEX($S$5:$S$304,MATCH(C1040,$R$5:$R$304,0))&amp;"","?"))</f>
        <v/>
      </c>
      <c r="N1040" s="2">
        <f>IF(E1040="","",IF(ISNUMBER(SEARCH("SUBSOLO",E1040)),IFERROR(-VALUE(LEFT(E1040,FIND("º",SUBSTITUTE(E1040,"°","º"))-1)),-1),IF(LEFT(E1040,6)="TÉRREO",0,IFERROR(VALUE(LEFT(E1040,FIND("º",SUBSTITUTE(E1040,"°","º"))-1)),""))))</f>
        <v/>
      </c>
      <c r="O1040" s="2">
        <f>IF(OR(F1040="",G1040=""),"",IF(G1040&lt;='RETRATO 2027'!$K$5,"CONCLUÍDA",IF(F1040&lt;='RETRATO 2027'!$K$5,"EM ANDAMENTO","A INICIAR")))</f>
        <v/>
      </c>
    </row>
    <row r="1041">
      <c r="B1041" s="4" t="n">
        <v>30205546</v>
      </c>
      <c r="C1041" s="4" t="inlineStr">
        <is>
          <t>REVESTIMENTO PORCELANATO PAREDE</t>
        </is>
      </c>
      <c r="D1041" s="4" t="inlineStr">
        <is>
          <t>-</t>
        </is>
      </c>
      <c r="E1041" s="4" t="inlineStr">
        <is>
          <t>TÉRREO - LOJA 7</t>
        </is>
      </c>
      <c r="F1041" s="126" t="n">
        <v>46744</v>
      </c>
      <c r="G1041" s="126" t="n">
        <v>46765</v>
      </c>
      <c r="H1041" s="126" t="n">
        <v>46289</v>
      </c>
      <c r="I1041" s="4" t="n">
        <v>0</v>
      </c>
      <c r="J1041" s="4" t="n">
        <v>0</v>
      </c>
      <c r="K1041" s="4" t="n">
        <v>0</v>
      </c>
      <c r="M1041" s="2">
        <f>IF(C1041="","",IFERROR(INDEX($S$5:$S$304,MATCH(C1041,$R$5:$R$304,0))&amp;"","?"))</f>
        <v/>
      </c>
      <c r="N1041" s="2">
        <f>IF(E1041="","",IF(ISNUMBER(SEARCH("SUBSOLO",E1041)),IFERROR(-VALUE(LEFT(E1041,FIND("º",SUBSTITUTE(E1041,"°","º"))-1)),-1),IF(LEFT(E1041,6)="TÉRREO",0,IFERROR(VALUE(LEFT(E1041,FIND("º",SUBSTITUTE(E1041,"°","º"))-1)),""))))</f>
        <v/>
      </c>
      <c r="O1041" s="2">
        <f>IF(OR(F1041="",G1041=""),"",IF(G1041&lt;='RETRATO 2027'!$K$5,"CONCLUÍDA",IF(F1041&lt;='RETRATO 2027'!$K$5,"EM ANDAMENTO","A INICIAR")))</f>
        <v/>
      </c>
    </row>
    <row r="1042">
      <c r="B1042" s="4" t="n">
        <v>30205842</v>
      </c>
      <c r="C1042" s="4" t="inlineStr">
        <is>
          <t>DISTRIBUIÇÃO ELÉTRICA / QUADRO</t>
        </is>
      </c>
      <c r="D1042" s="4" t="inlineStr">
        <is>
          <t>-</t>
        </is>
      </c>
      <c r="E1042" s="4" t="inlineStr">
        <is>
          <t>1º PAV. (INTERMEDIÁRIO)</t>
        </is>
      </c>
      <c r="F1042" s="126" t="n">
        <v>46744</v>
      </c>
      <c r="G1042" s="126" t="n">
        <v>46762</v>
      </c>
      <c r="H1042" s="126" t="n">
        <v>46289</v>
      </c>
      <c r="I1042" s="4" t="n">
        <v>0</v>
      </c>
      <c r="J1042" s="4" t="n">
        <v>0</v>
      </c>
      <c r="K1042" s="4" t="n">
        <v>0</v>
      </c>
      <c r="M1042" s="2">
        <f>IF(C1042="","",IFERROR(INDEX($S$5:$S$304,MATCH(C1042,$R$5:$R$304,0))&amp;"","?"))</f>
        <v/>
      </c>
      <c r="N1042" s="2">
        <f>IF(E1042="","",IF(ISNUMBER(SEARCH("SUBSOLO",E1042)),IFERROR(-VALUE(LEFT(E1042,FIND("º",SUBSTITUTE(E1042,"°","º"))-1)),-1),IF(LEFT(E1042,6)="TÉRREO",0,IFERROR(VALUE(LEFT(E1042,FIND("º",SUBSTITUTE(E1042,"°","º"))-1)),""))))</f>
        <v/>
      </c>
      <c r="O1042" s="2">
        <f>IF(OR(F1042="",G1042=""),"",IF(G1042&lt;='RETRATO 2027'!$K$5,"CONCLUÍDA",IF(F1042&lt;='RETRATO 2027'!$K$5,"EM ANDAMENTO","A INICIAR")))</f>
        <v/>
      </c>
    </row>
    <row r="1043">
      <c r="B1043" s="4" t="n">
        <v>30205843</v>
      </c>
      <c r="C1043" s="4" t="inlineStr">
        <is>
          <t>DISTRIBUIÇÃO HIDRÁULICA</t>
        </is>
      </c>
      <c r="D1043" s="4" t="inlineStr">
        <is>
          <t>-</t>
        </is>
      </c>
      <c r="E1043" s="4" t="inlineStr">
        <is>
          <t>1º PAV. (INTERMEDIÁRIO)</t>
        </is>
      </c>
      <c r="F1043" s="126" t="n">
        <v>46744</v>
      </c>
      <c r="G1043" s="126" t="n">
        <v>46765</v>
      </c>
      <c r="H1043" s="126" t="n">
        <v>46289</v>
      </c>
      <c r="I1043" s="4" t="n">
        <v>0</v>
      </c>
      <c r="J1043" s="4" t="n">
        <v>0</v>
      </c>
      <c r="K1043" s="4" t="n">
        <v>0</v>
      </c>
      <c r="M1043" s="2">
        <f>IF(C1043="","",IFERROR(INDEX($S$5:$S$304,MATCH(C1043,$R$5:$R$304,0))&amp;"","?"))</f>
        <v/>
      </c>
      <c r="N1043" s="2">
        <f>IF(E1043="","",IF(ISNUMBER(SEARCH("SUBSOLO",E1043)),IFERROR(-VALUE(LEFT(E1043,FIND("º",SUBSTITUTE(E1043,"°","º"))-1)),-1),IF(LEFT(E1043,6)="TÉRREO",0,IFERROR(VALUE(LEFT(E1043,FIND("º",SUBSTITUTE(E1043,"°","º"))-1)),""))))</f>
        <v/>
      </c>
      <c r="O1043" s="2">
        <f>IF(OR(F1043="",G1043=""),"",IF(G1043&lt;='RETRATO 2027'!$K$5,"CONCLUÍDA",IF(F1043&lt;='RETRATO 2027'!$K$5,"EM ANDAMENTO","A INICIAR")))</f>
        <v/>
      </c>
    </row>
    <row r="1044">
      <c r="B1044" s="4" t="n">
        <v>30208607</v>
      </c>
      <c r="C1044" s="4" t="inlineStr">
        <is>
          <t>ALVENARIA</t>
        </is>
      </c>
      <c r="D1044" s="4" t="inlineStr">
        <is>
          <t>-</t>
        </is>
      </c>
      <c r="E1044" s="4" t="inlineStr">
        <is>
          <t>6º PAV (PILOTIS) - PISCINA + PRAINHA + DECK</t>
        </is>
      </c>
      <c r="F1044" s="126" t="n">
        <v>46755</v>
      </c>
      <c r="G1044" s="126" t="n">
        <v>46784</v>
      </c>
      <c r="H1044" s="126" t="n">
        <v>46289</v>
      </c>
      <c r="I1044" s="4" t="n">
        <v>0</v>
      </c>
      <c r="J1044" s="4" t="n">
        <v>0</v>
      </c>
      <c r="K1044" s="4" t="n">
        <v>0</v>
      </c>
      <c r="M1044" s="2">
        <f>IF(C1044="","",IFERROR(INDEX($S$5:$S$304,MATCH(C1044,$R$5:$R$304,0))&amp;"","?"))</f>
        <v/>
      </c>
      <c r="N1044" s="2">
        <f>IF(E1044="","",IF(ISNUMBER(SEARCH("SUBSOLO",E1044)),IFERROR(-VALUE(LEFT(E1044,FIND("º",SUBSTITUTE(E1044,"°","º"))-1)),-1),IF(LEFT(E1044,6)="TÉRREO",0,IFERROR(VALUE(LEFT(E1044,FIND("º",SUBSTITUTE(E1044,"°","º"))-1)),""))))</f>
        <v/>
      </c>
      <c r="O1044" s="2">
        <f>IF(OR(F1044="",G1044=""),"",IF(G1044&lt;='RETRATO 2027'!$K$5,"CONCLUÍDA",IF(F1044&lt;='RETRATO 2027'!$K$5,"EM ANDAMENTO","A INICIAR")))</f>
        <v/>
      </c>
    </row>
    <row r="1045">
      <c r="B1045" s="4" t="n">
        <v>29980767</v>
      </c>
      <c r="C1045" s="4" t="inlineStr">
        <is>
          <t>ENCUNHAMENTO</t>
        </is>
      </c>
      <c r="D1045" s="4" t="inlineStr">
        <is>
          <t>-</t>
        </is>
      </c>
      <c r="E1045" s="4" t="inlineStr">
        <is>
          <t>28º PAV.</t>
        </is>
      </c>
      <c r="F1045" s="126" t="n">
        <v>46755</v>
      </c>
      <c r="G1045" s="126" t="n">
        <v>46765</v>
      </c>
      <c r="H1045" s="126" t="n">
        <v>46289</v>
      </c>
      <c r="I1045" s="4" t="n">
        <v>0</v>
      </c>
      <c r="J1045" s="4" t="n">
        <v>0</v>
      </c>
      <c r="K1045" s="4" t="n">
        <v>0</v>
      </c>
      <c r="M1045" s="2">
        <f>IF(C1045="","",IFERROR(INDEX($S$5:$S$304,MATCH(C1045,$R$5:$R$304,0))&amp;"","?"))</f>
        <v/>
      </c>
      <c r="N1045" s="2">
        <f>IF(E1045="","",IF(ISNUMBER(SEARCH("SUBSOLO",E1045)),IFERROR(-VALUE(LEFT(E1045,FIND("º",SUBSTITUTE(E1045,"°","º"))-1)),-1),IF(LEFT(E1045,6)="TÉRREO",0,IFERROR(VALUE(LEFT(E1045,FIND("º",SUBSTITUTE(E1045,"°","º"))-1)),""))))</f>
        <v/>
      </c>
      <c r="O1045" s="2">
        <f>IF(OR(F1045="",G1045=""),"",IF(G1045&lt;='RETRATO 2027'!$K$5,"CONCLUÍDA",IF(F1045&lt;='RETRATO 2027'!$K$5,"EM ANDAMENTO","A INICIAR")))</f>
        <v/>
      </c>
    </row>
    <row r="1046">
      <c r="B1046" s="4" t="n">
        <v>31790140</v>
      </c>
      <c r="C1046" s="4" t="inlineStr">
        <is>
          <t>PEITORIS E REQUADROS DE FACHADA - F3 + F4 (1º ETAPA)</t>
        </is>
      </c>
      <c r="D1046" s="4" t="inlineStr">
        <is>
          <t>-</t>
        </is>
      </c>
      <c r="E1046" s="4" t="inlineStr">
        <is>
          <t>FACHADA</t>
        </is>
      </c>
      <c r="F1046" s="126" t="n">
        <v>46757</v>
      </c>
      <c r="G1046" s="126" t="n">
        <v>46784</v>
      </c>
      <c r="H1046" s="126" t="n">
        <v>46289</v>
      </c>
      <c r="I1046" s="4" t="n">
        <v>0</v>
      </c>
      <c r="J1046" s="4" t="n">
        <v>0</v>
      </c>
      <c r="K1046" s="4" t="n">
        <v>0</v>
      </c>
      <c r="M1046" s="2">
        <f>IF(C1046="","",IFERROR(INDEX($S$5:$S$304,MATCH(C1046,$R$5:$R$304,0))&amp;"","?"))</f>
        <v/>
      </c>
      <c r="N1046" s="2">
        <f>IF(E1046="","",IF(ISNUMBER(SEARCH("SUBSOLO",E1046)),IFERROR(-VALUE(LEFT(E1046,FIND("º",SUBSTITUTE(E1046,"°","º"))-1)),-1),IF(LEFT(E1046,6)="TÉRREO",0,IFERROR(VALUE(LEFT(E1046,FIND("º",SUBSTITUTE(E1046,"°","º"))-1)),""))))</f>
        <v/>
      </c>
      <c r="O1046" s="2">
        <f>IF(OR(F1046="",G1046=""),"",IF(G1046&lt;='RETRATO 2027'!$K$5,"CONCLUÍDA",IF(F1046&lt;='RETRATO 2027'!$K$5,"EM ANDAMENTO","A INICIAR")))</f>
        <v/>
      </c>
    </row>
    <row r="1047">
      <c r="B1047" s="4" t="n">
        <v>29980741</v>
      </c>
      <c r="C1047" s="4" t="inlineStr">
        <is>
          <t>PRUMADA DE INCÊNDIO</t>
        </is>
      </c>
      <c r="D1047" s="4" t="inlineStr">
        <is>
          <t>-</t>
        </is>
      </c>
      <c r="E1047" s="4" t="inlineStr">
        <is>
          <t>29º PAV.</t>
        </is>
      </c>
      <c r="F1047" s="126" t="n">
        <v>46758</v>
      </c>
      <c r="G1047" s="126" t="n">
        <v>46770</v>
      </c>
      <c r="H1047" s="126" t="n">
        <v>46289</v>
      </c>
      <c r="I1047" s="4" t="n">
        <v>0</v>
      </c>
      <c r="J1047" s="4" t="n">
        <v>0</v>
      </c>
      <c r="K1047" s="4" t="n">
        <v>0</v>
      </c>
      <c r="M1047" s="2">
        <f>IF(C1047="","",IFERROR(INDEX($S$5:$S$304,MATCH(C1047,$R$5:$R$304,0))&amp;"","?"))</f>
        <v/>
      </c>
      <c r="N1047" s="2">
        <f>IF(E1047="","",IF(ISNUMBER(SEARCH("SUBSOLO",E1047)),IFERROR(-VALUE(LEFT(E1047,FIND("º",SUBSTITUTE(E1047,"°","º"))-1)),-1),IF(LEFT(E1047,6)="TÉRREO",0,IFERROR(VALUE(LEFT(E1047,FIND("º",SUBSTITUTE(E1047,"°","º"))-1)),""))))</f>
        <v/>
      </c>
      <c r="O1047" s="2">
        <f>IF(OR(F1047="",G1047=""),"",IF(G1047&lt;='RETRATO 2027'!$K$5,"CONCLUÍDA",IF(F1047&lt;='RETRATO 2027'!$K$5,"EM ANDAMENTO","A INICIAR")))</f>
        <v/>
      </c>
    </row>
    <row r="1048">
      <c r="B1048" s="4" t="n">
        <v>29980692</v>
      </c>
      <c r="C1048" s="4" t="inlineStr">
        <is>
          <t>ALVENARIA</t>
        </is>
      </c>
      <c r="D1048" s="4" t="inlineStr">
        <is>
          <t>-</t>
        </is>
      </c>
      <c r="E1048" s="4" t="inlineStr">
        <is>
          <t>30º PAV.</t>
        </is>
      </c>
      <c r="F1048" s="126" t="n">
        <v>46758</v>
      </c>
      <c r="G1048" s="126" t="n">
        <v>46770</v>
      </c>
      <c r="H1048" s="126" t="n">
        <v>46289</v>
      </c>
      <c r="I1048" s="4" t="n">
        <v>0</v>
      </c>
      <c r="J1048" s="4" t="n">
        <v>0</v>
      </c>
      <c r="K1048" s="4" t="n">
        <v>0</v>
      </c>
      <c r="M1048" s="2">
        <f>IF(C1048="","",IFERROR(INDEX($S$5:$S$304,MATCH(C1048,$R$5:$R$304,0))&amp;"","?"))</f>
        <v/>
      </c>
      <c r="N1048" s="2">
        <f>IF(E1048="","",IF(ISNUMBER(SEARCH("SUBSOLO",E1048)),IFERROR(-VALUE(LEFT(E1048,FIND("º",SUBSTITUTE(E1048,"°","º"))-1)),-1),IF(LEFT(E1048,6)="TÉRREO",0,IFERROR(VALUE(LEFT(E1048,FIND("º",SUBSTITUTE(E1048,"°","º"))-1)),""))))</f>
        <v/>
      </c>
      <c r="O1048" s="2">
        <f>IF(OR(F1048="",G1048=""),"",IF(G1048&lt;='RETRATO 2027'!$K$5,"CONCLUÍDA",IF(F1048&lt;='RETRATO 2027'!$K$5,"EM ANDAMENTO","A INICIAR")))</f>
        <v/>
      </c>
    </row>
    <row r="1049">
      <c r="B1049" s="4" t="n">
        <v>29941193</v>
      </c>
      <c r="C1049" s="4" t="inlineStr">
        <is>
          <t>ESTRUTURA</t>
        </is>
      </c>
      <c r="D1049" s="4" t="inlineStr">
        <is>
          <t>-</t>
        </is>
      </c>
      <c r="E1049" s="4" t="inlineStr">
        <is>
          <t>33º PAV - BARRILETE</t>
        </is>
      </c>
      <c r="F1049" s="126" t="n">
        <v>46758</v>
      </c>
      <c r="G1049" s="126" t="n">
        <v>46770</v>
      </c>
      <c r="H1049" s="126" t="n">
        <v>46289</v>
      </c>
      <c r="I1049" s="4" t="n">
        <v>0</v>
      </c>
      <c r="J1049" s="4" t="n">
        <v>0</v>
      </c>
      <c r="K1049" s="4" t="n">
        <v>0</v>
      </c>
      <c r="M1049" s="2">
        <f>IF(C1049="","",IFERROR(INDEX($S$5:$S$304,MATCH(C1049,$R$5:$R$304,0))&amp;"","?"))</f>
        <v/>
      </c>
      <c r="N1049" s="2">
        <f>IF(E1049="","",IF(ISNUMBER(SEARCH("SUBSOLO",E1049)),IFERROR(-VALUE(LEFT(E1049,FIND("º",SUBSTITUTE(E1049,"°","º"))-1)),-1),IF(LEFT(E1049,6)="TÉRREO",0,IFERROR(VALUE(LEFT(E1049,FIND("º",SUBSTITUTE(E1049,"°","º"))-1)),""))))</f>
        <v/>
      </c>
      <c r="O1049" s="2">
        <f>IF(OR(F1049="",G1049=""),"",IF(G1049&lt;='RETRATO 2027'!$K$5,"CONCLUÍDA",IF(F1049&lt;='RETRATO 2027'!$K$5,"EM ANDAMENTO","A INICIAR")))</f>
        <v/>
      </c>
    </row>
    <row r="1050">
      <c r="B1050" s="4" t="n">
        <v>31529086</v>
      </c>
      <c r="C1050" s="4" t="inlineStr">
        <is>
          <t>ESTRUTURA</t>
        </is>
      </c>
      <c r="D1050" s="4" t="inlineStr">
        <is>
          <t>Forma</t>
        </is>
      </c>
      <c r="E1050" s="4" t="inlineStr">
        <is>
          <t>33º PAV - BARRILETE</t>
        </is>
      </c>
      <c r="F1050" s="126" t="n">
        <v>46758</v>
      </c>
      <c r="G1050" s="126" t="n">
        <v>46764</v>
      </c>
      <c r="H1050" s="126" t="n">
        <v>46289</v>
      </c>
      <c r="I1050" s="4" t="n">
        <v>0</v>
      </c>
      <c r="J1050" s="4" t="n">
        <v>0</v>
      </c>
      <c r="K1050" s="4" t="n">
        <v>0</v>
      </c>
      <c r="M1050" s="2">
        <f>IF(C1050="","",IFERROR(INDEX($S$5:$S$304,MATCH(C1050,$R$5:$R$304,0))&amp;"","?"))</f>
        <v/>
      </c>
      <c r="N1050" s="2">
        <f>IF(E1050="","",IF(ISNUMBER(SEARCH("SUBSOLO",E1050)),IFERROR(-VALUE(LEFT(E1050,FIND("º",SUBSTITUTE(E1050,"°","º"))-1)),-1),IF(LEFT(E1050,6)="TÉRREO",0,IFERROR(VALUE(LEFT(E1050,FIND("º",SUBSTITUTE(E1050,"°","º"))-1)),""))))</f>
        <v/>
      </c>
      <c r="O1050" s="2">
        <f>IF(OR(F1050="",G1050=""),"",IF(G1050&lt;='RETRATO 2027'!$K$5,"CONCLUÍDA",IF(F1050&lt;='RETRATO 2027'!$K$5,"EM ANDAMENTO","A INICIAR")))</f>
        <v/>
      </c>
    </row>
    <row r="1051">
      <c r="B1051" s="4" t="n">
        <v>31529087</v>
      </c>
      <c r="C1051" s="4" t="inlineStr">
        <is>
          <t>ESTRUTURA</t>
        </is>
      </c>
      <c r="D1051" s="4" t="inlineStr">
        <is>
          <t>Armação</t>
        </is>
      </c>
      <c r="E1051" s="4" t="inlineStr">
        <is>
          <t>33º PAV - BARRILETE</t>
        </is>
      </c>
      <c r="F1051" s="126" t="n">
        <v>46765</v>
      </c>
      <c r="G1051" s="126" t="n">
        <v>46769</v>
      </c>
      <c r="H1051" s="126" t="n">
        <v>46289</v>
      </c>
      <c r="I1051" s="4" t="n">
        <v>0</v>
      </c>
      <c r="J1051" s="4" t="n">
        <v>0</v>
      </c>
      <c r="K1051" s="4" t="n">
        <v>0</v>
      </c>
      <c r="M1051" s="2">
        <f>IF(C1051="","",IFERROR(INDEX($S$5:$S$304,MATCH(C1051,$R$5:$R$304,0))&amp;"","?"))</f>
        <v/>
      </c>
      <c r="N1051" s="2">
        <f>IF(E1051="","",IF(ISNUMBER(SEARCH("SUBSOLO",E1051)),IFERROR(-VALUE(LEFT(E1051,FIND("º",SUBSTITUTE(E1051,"°","º"))-1)),-1),IF(LEFT(E1051,6)="TÉRREO",0,IFERROR(VALUE(LEFT(E1051,FIND("º",SUBSTITUTE(E1051,"°","º"))-1)),""))))</f>
        <v/>
      </c>
      <c r="O1051" s="2">
        <f>IF(OR(F1051="",G1051=""),"",IF(G1051&lt;='RETRATO 2027'!$K$5,"CONCLUÍDA",IF(F1051&lt;='RETRATO 2027'!$K$5,"EM ANDAMENTO","A INICIAR")))</f>
        <v/>
      </c>
    </row>
    <row r="1052">
      <c r="B1052" s="4" t="n">
        <v>31529088</v>
      </c>
      <c r="C1052" s="4" t="inlineStr">
        <is>
          <t>ESTRUTURA</t>
        </is>
      </c>
      <c r="D1052" s="4" t="inlineStr">
        <is>
          <t>Concretagem</t>
        </is>
      </c>
      <c r="E1052" s="4" t="inlineStr">
        <is>
          <t>33º PAV - BARRILETE</t>
        </is>
      </c>
      <c r="F1052" s="126" t="n">
        <v>46770</v>
      </c>
      <c r="G1052" s="126" t="n">
        <v>46770</v>
      </c>
      <c r="H1052" s="126" t="n">
        <v>46289</v>
      </c>
      <c r="I1052" s="4" t="n">
        <v>0</v>
      </c>
      <c r="J1052" s="4" t="n">
        <v>0</v>
      </c>
      <c r="K1052" s="4" t="n">
        <v>0</v>
      </c>
      <c r="M1052" s="2">
        <f>IF(C1052="","",IFERROR(INDEX($S$5:$S$304,MATCH(C1052,$R$5:$R$304,0))&amp;"","?"))</f>
        <v/>
      </c>
      <c r="N1052" s="2">
        <f>IF(E1052="","",IF(ISNUMBER(SEARCH("SUBSOLO",E1052)),IFERROR(-VALUE(LEFT(E1052,FIND("º",SUBSTITUTE(E1052,"°","º"))-1)),-1),IF(LEFT(E1052,6)="TÉRREO",0,IFERROR(VALUE(LEFT(E1052,FIND("º",SUBSTITUTE(E1052,"°","º"))-1)),""))))</f>
        <v/>
      </c>
      <c r="O1052" s="2">
        <f>IF(OR(F1052="",G1052=""),"",IF(G1052&lt;='RETRATO 2027'!$K$5,"CONCLUÍDA",IF(F1052&lt;='RETRATO 2027'!$K$5,"EM ANDAMENTO","A INICIAR")))</f>
        <v/>
      </c>
    </row>
    <row r="1053">
      <c r="B1053" s="4" t="n">
        <v>31529089</v>
      </c>
      <c r="C1053" s="4" t="inlineStr">
        <is>
          <t>ESTRUTURA</t>
        </is>
      </c>
      <c r="D1053" s="4" t="inlineStr">
        <is>
          <t>Polimento</t>
        </is>
      </c>
      <c r="E1053" s="4" t="inlineStr">
        <is>
          <t>33º PAV - BARRILETE</t>
        </is>
      </c>
      <c r="F1053" s="126" t="n">
        <v>46770</v>
      </c>
      <c r="G1053" s="126" t="n">
        <v>46770</v>
      </c>
      <c r="H1053" s="126" t="n">
        <v>46289</v>
      </c>
      <c r="I1053" s="4" t="n">
        <v>0</v>
      </c>
      <c r="J1053" s="4" t="n">
        <v>0</v>
      </c>
      <c r="K1053" s="4" t="n">
        <v>0</v>
      </c>
      <c r="M1053" s="2">
        <f>IF(C1053="","",IFERROR(INDEX($S$5:$S$304,MATCH(C1053,$R$5:$R$304,0))&amp;"","?"))</f>
        <v/>
      </c>
      <c r="N1053" s="2">
        <f>IF(E1053="","",IF(ISNUMBER(SEARCH("SUBSOLO",E1053)),IFERROR(-VALUE(LEFT(E1053,FIND("º",SUBSTITUTE(E1053,"°","º"))-1)),-1),IF(LEFT(E1053,6)="TÉRREO",0,IFERROR(VALUE(LEFT(E1053,FIND("º",SUBSTITUTE(E1053,"°","º"))-1)),""))))</f>
        <v/>
      </c>
      <c r="O1053" s="2">
        <f>IF(OR(F1053="",G1053=""),"",IF(G1053&lt;='RETRATO 2027'!$K$5,"CONCLUÍDA",IF(F1053&lt;='RETRATO 2027'!$K$5,"EM ANDAMENTO","A INICIAR")))</f>
        <v/>
      </c>
    </row>
    <row r="1054">
      <c r="B1054" s="4" t="n">
        <v>30205792</v>
      </c>
      <c r="C1054" s="4" t="inlineStr">
        <is>
          <t>CONTRAPISO</t>
        </is>
      </c>
      <c r="D1054" s="4" t="inlineStr">
        <is>
          <t>-</t>
        </is>
      </c>
      <c r="E1054" s="4" t="inlineStr">
        <is>
          <t>TÉRREO - ACESSO COMERCIAL + DML + ARS + ÁREA TEC + LAVABO + DISPENSA</t>
        </is>
      </c>
      <c r="F1054" s="126" t="n">
        <v>46759</v>
      </c>
      <c r="G1054" s="126" t="n">
        <v>46772</v>
      </c>
      <c r="H1054" s="126" t="n">
        <v>46289</v>
      </c>
      <c r="I1054" s="4" t="n">
        <v>0</v>
      </c>
      <c r="J1054" s="4" t="n">
        <v>0</v>
      </c>
      <c r="K1054" s="4" t="n">
        <v>0</v>
      </c>
      <c r="M1054" s="2">
        <f>IF(C1054="","",IFERROR(INDEX($S$5:$S$304,MATCH(C1054,$R$5:$R$304,0))&amp;"","?"))</f>
        <v/>
      </c>
      <c r="N1054" s="2">
        <f>IF(E1054="","",IF(ISNUMBER(SEARCH("SUBSOLO",E1054)),IFERROR(-VALUE(LEFT(E1054,FIND("º",SUBSTITUTE(E1054,"°","º"))-1)),-1),IF(LEFT(E1054,6)="TÉRREO",0,IFERROR(VALUE(LEFT(E1054,FIND("º",SUBSTITUTE(E1054,"°","º"))-1)),""))))</f>
        <v/>
      </c>
      <c r="O1054" s="2">
        <f>IF(OR(F1054="",G1054=""),"",IF(G1054&lt;='RETRATO 2027'!$K$5,"CONCLUÍDA",IF(F1054&lt;='RETRATO 2027'!$K$5,"EM ANDAMENTO","A INICIAR")))</f>
        <v/>
      </c>
    </row>
    <row r="1055">
      <c r="B1055" s="4" t="n">
        <v>30205815</v>
      </c>
      <c r="C1055" s="4" t="inlineStr">
        <is>
          <t>REBOCO INTERNO</t>
        </is>
      </c>
      <c r="D1055" s="4" t="inlineStr">
        <is>
          <t>-</t>
        </is>
      </c>
      <c r="E1055" s="4" t="inlineStr">
        <is>
          <t>TÉRREO - HALL SOCIAL + ECLUSA + CIRCULAÇÃO</t>
        </is>
      </c>
      <c r="F1055" s="126" t="n">
        <v>46759</v>
      </c>
      <c r="G1055" s="126" t="n">
        <v>46772</v>
      </c>
      <c r="H1055" s="126" t="n">
        <v>46289</v>
      </c>
      <c r="I1055" s="4" t="n">
        <v>0</v>
      </c>
      <c r="J1055" s="4" t="n">
        <v>0</v>
      </c>
      <c r="K1055" s="4" t="n">
        <v>0</v>
      </c>
      <c r="M1055" s="2">
        <f>IF(C1055="","",IFERROR(INDEX($S$5:$S$304,MATCH(C1055,$R$5:$R$304,0))&amp;"","?"))</f>
        <v/>
      </c>
      <c r="N1055" s="2">
        <f>IF(E1055="","",IF(ISNUMBER(SEARCH("SUBSOLO",E1055)),IFERROR(-VALUE(LEFT(E1055,FIND("º",SUBSTITUTE(E1055,"°","º"))-1)),-1),IF(LEFT(E1055,6)="TÉRREO",0,IFERROR(VALUE(LEFT(E1055,FIND("º",SUBSTITUTE(E1055,"°","º"))-1)),""))))</f>
        <v/>
      </c>
      <c r="O1055" s="2">
        <f>IF(OR(F1055="",G1055=""),"",IF(G1055&lt;='RETRATO 2027'!$K$5,"CONCLUÍDA",IF(F1055&lt;='RETRATO 2027'!$K$5,"EM ANDAMENTO","A INICIAR")))</f>
        <v/>
      </c>
    </row>
    <row r="1056">
      <c r="B1056" s="4" t="n">
        <v>30171399</v>
      </c>
      <c r="C1056" s="4" t="inlineStr">
        <is>
          <t>ENCUNHAMENTO</t>
        </is>
      </c>
      <c r="D1056" s="4" t="inlineStr">
        <is>
          <t>-</t>
        </is>
      </c>
      <c r="E1056" s="4" t="inlineStr">
        <is>
          <t>5º PAV - GARAGEM</t>
        </is>
      </c>
      <c r="F1056" s="126" t="n">
        <v>46759</v>
      </c>
      <c r="G1056" s="126" t="n">
        <v>46772</v>
      </c>
      <c r="H1056" s="126" t="n">
        <v>46289</v>
      </c>
      <c r="I1056" s="4" t="n">
        <v>0</v>
      </c>
      <c r="J1056" s="4" t="n">
        <v>0</v>
      </c>
      <c r="K1056" s="4" t="n">
        <v>0</v>
      </c>
      <c r="M1056" s="2">
        <f>IF(C1056="","",IFERROR(INDEX($S$5:$S$304,MATCH(C1056,$R$5:$R$304,0))&amp;"","?"))</f>
        <v/>
      </c>
      <c r="N1056" s="2">
        <f>IF(E1056="","",IF(ISNUMBER(SEARCH("SUBSOLO",E1056)),IFERROR(-VALUE(LEFT(E1056,FIND("º",SUBSTITUTE(E1056,"°","º"))-1)),-1),IF(LEFT(E1056,6)="TÉRREO",0,IFERROR(VALUE(LEFT(E1056,FIND("º",SUBSTITUTE(E1056,"°","º"))-1)),""))))</f>
        <v/>
      </c>
      <c r="O1056" s="2">
        <f>IF(OR(F1056="",G1056=""),"",IF(G1056&lt;='RETRATO 2027'!$K$5,"CONCLUÍDA",IF(F1056&lt;='RETRATO 2027'!$K$5,"EM ANDAMENTO","A INICIAR")))</f>
        <v/>
      </c>
    </row>
    <row r="1057">
      <c r="B1057" s="4" t="n">
        <v>30205751</v>
      </c>
      <c r="C1057" s="4" t="inlineStr">
        <is>
          <t>BANCADAS</t>
        </is>
      </c>
      <c r="D1057" s="4" t="inlineStr">
        <is>
          <t>-</t>
        </is>
      </c>
      <c r="E1057" s="4" t="inlineStr">
        <is>
          <t>SUBSOLO</t>
        </is>
      </c>
      <c r="F1057" s="126" t="n">
        <v>46762</v>
      </c>
      <c r="G1057" s="126" t="n">
        <v>46773</v>
      </c>
      <c r="H1057" s="126" t="n">
        <v>46289</v>
      </c>
      <c r="I1057" s="4" t="n">
        <v>0</v>
      </c>
      <c r="J1057" s="4" t="n">
        <v>0</v>
      </c>
      <c r="K1057" s="4" t="n">
        <v>0</v>
      </c>
      <c r="M1057" s="2">
        <f>IF(C1057="","",IFERROR(INDEX($S$5:$S$304,MATCH(C1057,$R$5:$R$304,0))&amp;"","?"))</f>
        <v/>
      </c>
      <c r="N1057" s="2">
        <f>IF(E1057="","",IF(ISNUMBER(SEARCH("SUBSOLO",E1057)),IFERROR(-VALUE(LEFT(E1057,FIND("º",SUBSTITUTE(E1057,"°","º"))-1)),-1),IF(LEFT(E1057,6)="TÉRREO",0,IFERROR(VALUE(LEFT(E1057,FIND("º",SUBSTITUTE(E1057,"°","º"))-1)),""))))</f>
        <v/>
      </c>
      <c r="O1057" s="2">
        <f>IF(OR(F1057="",G1057=""),"",IF(G1057&lt;='RETRATO 2027'!$K$5,"CONCLUÍDA",IF(F1057&lt;='RETRATO 2027'!$K$5,"EM ANDAMENTO","A INICIAR")))</f>
        <v/>
      </c>
    </row>
    <row r="1058">
      <c r="B1058" s="4" t="n">
        <v>30171512</v>
      </c>
      <c r="C1058" s="4" t="inlineStr">
        <is>
          <t>MASSA CORRIDA</t>
        </is>
      </c>
      <c r="D1058" s="4" t="inlineStr">
        <is>
          <t>-</t>
        </is>
      </c>
      <c r="E1058" s="4" t="inlineStr">
        <is>
          <t>HALL - APTOS</t>
        </is>
      </c>
      <c r="F1058" s="126" t="n">
        <v>46763</v>
      </c>
      <c r="G1058" s="126" t="n">
        <v>47084</v>
      </c>
      <c r="H1058" s="126" t="n">
        <v>46289</v>
      </c>
      <c r="I1058" s="4" t="n">
        <v>0</v>
      </c>
      <c r="J1058" s="4" t="n">
        <v>0</v>
      </c>
      <c r="K1058" s="4" t="n">
        <v>0</v>
      </c>
      <c r="M1058" s="2">
        <f>IF(C1058="","",IFERROR(INDEX($S$5:$S$304,MATCH(C1058,$R$5:$R$304,0))&amp;"","?"))</f>
        <v/>
      </c>
      <c r="N1058" s="2">
        <f>IF(E1058="","",IF(ISNUMBER(SEARCH("SUBSOLO",E1058)),IFERROR(-VALUE(LEFT(E1058,FIND("º",SUBSTITUTE(E1058,"°","º"))-1)),-1),IF(LEFT(E1058,6)="TÉRREO",0,IFERROR(VALUE(LEFT(E1058,FIND("º",SUBSTITUTE(E1058,"°","º"))-1)),""))))</f>
        <v/>
      </c>
      <c r="O1058" s="2">
        <f>IF(OR(F1058="",G1058=""),"",IF(G1058&lt;='RETRATO 2027'!$K$5,"CONCLUÍDA",IF(F1058&lt;='RETRATO 2027'!$K$5,"EM ANDAMENTO","A INICIAR")))</f>
        <v/>
      </c>
    </row>
    <row r="1059">
      <c r="B1059" s="4" t="n">
        <v>29981527</v>
      </c>
      <c r="C1059" s="4" t="inlineStr">
        <is>
          <t>PINTURA 1º DEMÃO</t>
        </is>
      </c>
      <c r="D1059" s="4" t="inlineStr">
        <is>
          <t>-</t>
        </is>
      </c>
      <c r="E1059" s="4" t="inlineStr">
        <is>
          <t>7º PAV.</t>
        </is>
      </c>
      <c r="F1059" s="126" t="n">
        <v>46763</v>
      </c>
      <c r="G1059" s="126" t="n">
        <v>46773</v>
      </c>
      <c r="H1059" s="126" t="n">
        <v>46289</v>
      </c>
      <c r="I1059" s="4" t="n">
        <v>0</v>
      </c>
      <c r="J1059" s="4" t="n">
        <v>0</v>
      </c>
      <c r="K1059" s="4" t="n">
        <v>0</v>
      </c>
      <c r="M1059" s="2">
        <f>IF(C1059="","",IFERROR(INDEX($S$5:$S$304,MATCH(C1059,$R$5:$R$304,0))&amp;"","?"))</f>
        <v/>
      </c>
      <c r="N1059" s="2">
        <f>IF(E1059="","",IF(ISNUMBER(SEARCH("SUBSOLO",E1059)),IFERROR(-VALUE(LEFT(E1059,FIND("º",SUBSTITUTE(E1059,"°","º"))-1)),-1),IF(LEFT(E1059,6)="TÉRREO",0,IFERROR(VALUE(LEFT(E1059,FIND("º",SUBSTITUTE(E1059,"°","º"))-1)),""))))</f>
        <v/>
      </c>
      <c r="O1059" s="2">
        <f>IF(OR(F1059="",G1059=""),"",IF(G1059&lt;='RETRATO 2027'!$K$5,"CONCLUÍDA",IF(F1059&lt;='RETRATO 2027'!$K$5,"EM ANDAMENTO","A INICIAR")))</f>
        <v/>
      </c>
    </row>
    <row r="1060">
      <c r="B1060" s="4" t="n">
        <v>29981516</v>
      </c>
      <c r="C1060" s="4" t="inlineStr">
        <is>
          <t>MASSA CORRIDA</t>
        </is>
      </c>
      <c r="D1060" s="4" t="inlineStr">
        <is>
          <t>-</t>
        </is>
      </c>
      <c r="E1060" s="4" t="inlineStr">
        <is>
          <t>8º PAV.</t>
        </is>
      </c>
      <c r="F1060" s="126" t="n">
        <v>46763</v>
      </c>
      <c r="G1060" s="126" t="n">
        <v>46773</v>
      </c>
      <c r="H1060" s="126" t="n">
        <v>46289</v>
      </c>
      <c r="I1060" s="4" t="n">
        <v>0</v>
      </c>
      <c r="J1060" s="4" t="n">
        <v>0</v>
      </c>
      <c r="K1060" s="4" t="n">
        <v>0</v>
      </c>
      <c r="M1060" s="2">
        <f>IF(C1060="","",IFERROR(INDEX($S$5:$S$304,MATCH(C1060,$R$5:$R$304,0))&amp;"","?"))</f>
        <v/>
      </c>
      <c r="N1060" s="2">
        <f>IF(E1060="","",IF(ISNUMBER(SEARCH("SUBSOLO",E1060)),IFERROR(-VALUE(LEFT(E1060,FIND("º",SUBSTITUTE(E1060,"°","º"))-1)),-1),IF(LEFT(E1060,6)="TÉRREO",0,IFERROR(VALUE(LEFT(E1060,FIND("º",SUBSTITUTE(E1060,"°","º"))-1)),""))))</f>
        <v/>
      </c>
      <c r="O1060" s="2">
        <f>IF(OR(F1060="",G1060=""),"",IF(G1060&lt;='RETRATO 2027'!$K$5,"CONCLUÍDA",IF(F1060&lt;='RETRATO 2027'!$K$5,"EM ANDAMENTO","A INICIAR")))</f>
        <v/>
      </c>
    </row>
    <row r="1061">
      <c r="B1061" s="4" t="n">
        <v>33898090</v>
      </c>
      <c r="C1061" s="4" t="inlineStr">
        <is>
          <t>ESQUADRIA DE ALUMÍNIO</t>
        </is>
      </c>
      <c r="D1061" s="4" t="inlineStr">
        <is>
          <t>-</t>
        </is>
      </c>
      <c r="E1061" s="4" t="inlineStr">
        <is>
          <t>9º PAV.</t>
        </is>
      </c>
      <c r="F1061" s="126" t="n">
        <v>46763</v>
      </c>
      <c r="G1061" s="126" t="n">
        <v>46773</v>
      </c>
      <c r="H1061" s="126" t="n">
        <v>46289</v>
      </c>
      <c r="I1061" s="4" t="n">
        <v>0</v>
      </c>
      <c r="J1061" s="4" t="n">
        <v>0</v>
      </c>
      <c r="K1061" s="4" t="n">
        <v>0</v>
      </c>
      <c r="M1061" s="2">
        <f>IF(C1061="","",IFERROR(INDEX($S$5:$S$304,MATCH(C1061,$R$5:$R$304,0))&amp;"","?"))</f>
        <v/>
      </c>
      <c r="N1061" s="2">
        <f>IF(E1061="","",IF(ISNUMBER(SEARCH("SUBSOLO",E1061)),IFERROR(-VALUE(LEFT(E1061,FIND("º",SUBSTITUTE(E1061,"°","º"))-1)),-1),IF(LEFT(E1061,6)="TÉRREO",0,IFERROR(VALUE(LEFT(E1061,FIND("º",SUBSTITUTE(E1061,"°","º"))-1)),""))))</f>
        <v/>
      </c>
      <c r="O1061" s="2">
        <f>IF(OR(F1061="",G1061=""),"",IF(G1061&lt;='RETRATO 2027'!$K$5,"CONCLUÍDA",IF(F1061&lt;='RETRATO 2027'!$K$5,"EM ANDAMENTO","A INICIAR")))</f>
        <v/>
      </c>
    </row>
    <row r="1062">
      <c r="B1062" s="4" t="n">
        <v>29981329</v>
      </c>
      <c r="C1062" s="4" t="inlineStr">
        <is>
          <t>FORRO</t>
        </is>
      </c>
      <c r="D1062" s="4" t="inlineStr">
        <is>
          <t>-</t>
        </is>
      </c>
      <c r="E1062" s="4" t="inlineStr">
        <is>
          <t>13º PAV.</t>
        </is>
      </c>
      <c r="F1062" s="126" t="n">
        <v>46764</v>
      </c>
      <c r="G1062" s="126" t="n">
        <v>46776</v>
      </c>
      <c r="H1062" s="126" t="n">
        <v>46289</v>
      </c>
      <c r="I1062" s="4" t="n">
        <v>0</v>
      </c>
      <c r="J1062" s="4" t="n">
        <v>0</v>
      </c>
      <c r="K1062" s="4" t="n">
        <v>0</v>
      </c>
      <c r="M1062" s="2">
        <f>IF(C1062="","",IFERROR(INDEX($S$5:$S$304,MATCH(C1062,$R$5:$R$304,0))&amp;"","?"))</f>
        <v/>
      </c>
      <c r="N1062" s="2">
        <f>IF(E1062="","",IF(ISNUMBER(SEARCH("SUBSOLO",E1062)),IFERROR(-VALUE(LEFT(E1062,FIND("º",SUBSTITUTE(E1062,"°","º"))-1)),-1),IF(LEFT(E1062,6)="TÉRREO",0,IFERROR(VALUE(LEFT(E1062,FIND("º",SUBSTITUTE(E1062,"°","º"))-1)),""))))</f>
        <v/>
      </c>
      <c r="O1062" s="2">
        <f>IF(OR(F1062="",G1062=""),"",IF(G1062&lt;='RETRATO 2027'!$K$5,"CONCLUÍDA",IF(F1062&lt;='RETRATO 2027'!$K$5,"EM ANDAMENTO","A INICIAR")))</f>
        <v/>
      </c>
    </row>
    <row r="1063">
      <c r="B1063" s="4" t="n">
        <v>29981290</v>
      </c>
      <c r="C1063" s="4" t="inlineStr">
        <is>
          <t>FIAÇÃO ELÉTRICA</t>
        </is>
      </c>
      <c r="D1063" s="4" t="inlineStr">
        <is>
          <t>-</t>
        </is>
      </c>
      <c r="E1063" s="4" t="inlineStr">
        <is>
          <t>14º PAV.</t>
        </is>
      </c>
      <c r="F1063" s="126" t="n">
        <v>46764</v>
      </c>
      <c r="G1063" s="126" t="n">
        <v>46776</v>
      </c>
      <c r="H1063" s="126" t="n">
        <v>46289</v>
      </c>
      <c r="I1063" s="4" t="n">
        <v>0</v>
      </c>
      <c r="J1063" s="4" t="n">
        <v>0</v>
      </c>
      <c r="K1063" s="4" t="n">
        <v>0</v>
      </c>
      <c r="M1063" s="2">
        <f>IF(C1063="","",IFERROR(INDEX($S$5:$S$304,MATCH(C1063,$R$5:$R$304,0))&amp;"","?"))</f>
        <v/>
      </c>
      <c r="N1063" s="2">
        <f>IF(E1063="","",IF(ISNUMBER(SEARCH("SUBSOLO",E1063)),IFERROR(-VALUE(LEFT(E1063,FIND("º",SUBSTITUTE(E1063,"°","º"))-1)),-1),IF(LEFT(E1063,6)="TÉRREO",0,IFERROR(VALUE(LEFT(E1063,FIND("º",SUBSTITUTE(E1063,"°","º"))-1)),""))))</f>
        <v/>
      </c>
      <c r="O1063" s="2">
        <f>IF(OR(F1063="",G1063=""),"",IF(G1063&lt;='RETRATO 2027'!$K$5,"CONCLUÍDA",IF(F1063&lt;='RETRATO 2027'!$K$5,"EM ANDAMENTO","A INICIAR")))</f>
        <v/>
      </c>
    </row>
    <row r="1064">
      <c r="B1064" s="4" t="n">
        <v>29981295</v>
      </c>
      <c r="C1064" s="4" t="inlineStr">
        <is>
          <t>PRUMADA ELÉTRICA - CABOS</t>
        </is>
      </c>
      <c r="D1064" s="4" t="inlineStr">
        <is>
          <t>-</t>
        </is>
      </c>
      <c r="E1064" s="4" t="inlineStr">
        <is>
          <t>14º PAV.</t>
        </is>
      </c>
      <c r="F1064" s="126" t="n">
        <v>46764</v>
      </c>
      <c r="G1064" s="126" t="n">
        <v>46776</v>
      </c>
      <c r="H1064" s="126" t="n">
        <v>46289</v>
      </c>
      <c r="I1064" s="4" t="n">
        <v>0</v>
      </c>
      <c r="J1064" s="4" t="n">
        <v>0</v>
      </c>
      <c r="K1064" s="4" t="n">
        <v>0</v>
      </c>
      <c r="M1064" s="2">
        <f>IF(C1064="","",IFERROR(INDEX($S$5:$S$304,MATCH(C1064,$R$5:$R$304,0))&amp;"","?"))</f>
        <v/>
      </c>
      <c r="N1064" s="2">
        <f>IF(E1064="","",IF(ISNUMBER(SEARCH("SUBSOLO",E1064)),IFERROR(-VALUE(LEFT(E1064,FIND("º",SUBSTITUTE(E1064,"°","º"))-1)),-1),IF(LEFT(E1064,6)="TÉRREO",0,IFERROR(VALUE(LEFT(E1064,FIND("º",SUBSTITUTE(E1064,"°","º"))-1)),""))))</f>
        <v/>
      </c>
      <c r="O1064" s="2">
        <f>IF(OR(F1064="",G1064=""),"",IF(G1064&lt;='RETRATO 2027'!$K$5,"CONCLUÍDA",IF(F1064&lt;='RETRATO 2027'!$K$5,"EM ANDAMENTO","A INICIAR")))</f>
        <v/>
      </c>
    </row>
    <row r="1065">
      <c r="B1065" s="4" t="n">
        <v>30214076</v>
      </c>
      <c r="C1065" s="4" t="inlineStr">
        <is>
          <t>FIAÇÃO TELECOM/DADOS</t>
        </is>
      </c>
      <c r="D1065" s="4" t="inlineStr">
        <is>
          <t>-</t>
        </is>
      </c>
      <c r="E1065" s="4" t="inlineStr">
        <is>
          <t>14º PAV.</t>
        </is>
      </c>
      <c r="F1065" s="126" t="n">
        <v>46764</v>
      </c>
      <c r="G1065" s="126" t="n">
        <v>46777</v>
      </c>
      <c r="H1065" s="126" t="n">
        <v>46289</v>
      </c>
      <c r="I1065" s="4" t="n">
        <v>0</v>
      </c>
      <c r="J1065" s="4" t="n">
        <v>0</v>
      </c>
      <c r="K1065" s="4" t="n">
        <v>0</v>
      </c>
      <c r="M1065" s="2">
        <f>IF(C1065="","",IFERROR(INDEX($S$5:$S$304,MATCH(C1065,$R$5:$R$304,0))&amp;"","?"))</f>
        <v/>
      </c>
      <c r="N1065" s="2">
        <f>IF(E1065="","",IF(ISNUMBER(SEARCH("SUBSOLO",E1065)),IFERROR(-VALUE(LEFT(E1065,FIND("º",SUBSTITUTE(E1065,"°","º"))-1)),-1),IF(LEFT(E1065,6)="TÉRREO",0,IFERROR(VALUE(LEFT(E1065,FIND("º",SUBSTITUTE(E1065,"°","º"))-1)),""))))</f>
        <v/>
      </c>
      <c r="O1065" s="2">
        <f>IF(OR(F1065="",G1065=""),"",IF(G1065&lt;='RETRATO 2027'!$K$5,"CONCLUÍDA",IF(F1065&lt;='RETRATO 2027'!$K$5,"EM ANDAMENTO","A INICIAR")))</f>
        <v/>
      </c>
    </row>
    <row r="1066">
      <c r="B1066" s="4" t="n">
        <v>29981237</v>
      </c>
      <c r="C1066" s="4" t="inlineStr">
        <is>
          <t>BANCADAS</t>
        </is>
      </c>
      <c r="D1066" s="4" t="inlineStr">
        <is>
          <t>-</t>
        </is>
      </c>
      <c r="E1066" s="4" t="inlineStr">
        <is>
          <t>15º PAV.</t>
        </is>
      </c>
      <c r="F1066" s="126" t="n">
        <v>46764</v>
      </c>
      <c r="G1066" s="126" t="n">
        <v>46776</v>
      </c>
      <c r="H1066" s="126" t="n">
        <v>46289</v>
      </c>
      <c r="I1066" s="4" t="n">
        <v>0</v>
      </c>
      <c r="J1066" s="4" t="n">
        <v>0</v>
      </c>
      <c r="K1066" s="4" t="n">
        <v>0</v>
      </c>
      <c r="M1066" s="2">
        <f>IF(C1066="","",IFERROR(INDEX($S$5:$S$304,MATCH(C1066,$R$5:$R$304,0))&amp;"","?"))</f>
        <v/>
      </c>
      <c r="N1066" s="2">
        <f>IF(E1066="","",IF(ISNUMBER(SEARCH("SUBSOLO",E1066)),IFERROR(-VALUE(LEFT(E1066,FIND("º",SUBSTITUTE(E1066,"°","º"))-1)),-1),IF(LEFT(E1066,6)="TÉRREO",0,IFERROR(VALUE(LEFT(E1066,FIND("º",SUBSTITUTE(E1066,"°","º"))-1)),""))))</f>
        <v/>
      </c>
      <c r="O1066" s="2">
        <f>IF(OR(F1066="",G1066=""),"",IF(G1066&lt;='RETRATO 2027'!$K$5,"CONCLUÍDA",IF(F1066&lt;='RETRATO 2027'!$K$5,"EM ANDAMENTO","A INICIAR")))</f>
        <v/>
      </c>
    </row>
    <row r="1067">
      <c r="B1067" s="4" t="n">
        <v>29981199</v>
      </c>
      <c r="C1067" s="4" t="inlineStr">
        <is>
          <t>REVESTIMENTOS PORCELANATO PISO</t>
        </is>
      </c>
      <c r="D1067" s="4" t="inlineStr">
        <is>
          <t>-</t>
        </is>
      </c>
      <c r="E1067" s="4" t="inlineStr">
        <is>
          <t>16º PAV.</t>
        </is>
      </c>
      <c r="F1067" s="126" t="n">
        <v>46764</v>
      </c>
      <c r="G1067" s="126" t="n">
        <v>46776</v>
      </c>
      <c r="H1067" s="126" t="n">
        <v>46289</v>
      </c>
      <c r="I1067" s="4" t="n">
        <v>0</v>
      </c>
      <c r="J1067" s="4" t="n">
        <v>0</v>
      </c>
      <c r="K1067" s="4" t="n">
        <v>0</v>
      </c>
      <c r="M1067" s="2">
        <f>IF(C1067="","",IFERROR(INDEX($S$5:$S$304,MATCH(C1067,$R$5:$R$304,0))&amp;"","?"))</f>
        <v/>
      </c>
      <c r="N1067" s="2">
        <f>IF(E1067="","",IF(ISNUMBER(SEARCH("SUBSOLO",E1067)),IFERROR(-VALUE(LEFT(E1067,FIND("º",SUBSTITUTE(E1067,"°","º"))-1)),-1),IF(LEFT(E1067,6)="TÉRREO",0,IFERROR(VALUE(LEFT(E1067,FIND("º",SUBSTITUTE(E1067,"°","º"))-1)),""))))</f>
        <v/>
      </c>
      <c r="O1067" s="2">
        <f>IF(OR(F1067="",G1067=""),"",IF(G1067&lt;='RETRATO 2027'!$K$5,"CONCLUÍDA",IF(F1067&lt;='RETRATO 2027'!$K$5,"EM ANDAMENTO","A INICIAR")))</f>
        <v/>
      </c>
    </row>
    <row r="1068">
      <c r="B1068" s="4" t="n">
        <v>29981178</v>
      </c>
      <c r="C1068" s="4" t="inlineStr">
        <is>
          <t>REVESTIMENTO PORCELANATO PAREDE</t>
        </is>
      </c>
      <c r="D1068" s="4" t="inlineStr">
        <is>
          <t>-</t>
        </is>
      </c>
      <c r="E1068" s="4" t="inlineStr">
        <is>
          <t>17º PAV.</t>
        </is>
      </c>
      <c r="F1068" s="126" t="n">
        <v>46764</v>
      </c>
      <c r="G1068" s="126" t="n">
        <v>46776</v>
      </c>
      <c r="H1068" s="126" t="n">
        <v>46289</v>
      </c>
      <c r="I1068" s="4" t="n">
        <v>0</v>
      </c>
      <c r="J1068" s="4" t="n">
        <v>0</v>
      </c>
      <c r="K1068" s="4" t="n">
        <v>0</v>
      </c>
      <c r="M1068" s="2">
        <f>IF(C1068="","",IFERROR(INDEX($S$5:$S$304,MATCH(C1068,$R$5:$R$304,0))&amp;"","?"))</f>
        <v/>
      </c>
      <c r="N1068" s="2">
        <f>IF(E1068="","",IF(ISNUMBER(SEARCH("SUBSOLO",E1068)),IFERROR(-VALUE(LEFT(E1068,FIND("º",SUBSTITUTE(E1068,"°","º"))-1)),-1),IF(LEFT(E1068,6)="TÉRREO",0,IFERROR(VALUE(LEFT(E1068,FIND("º",SUBSTITUTE(E1068,"°","º"))-1)),""))))</f>
        <v/>
      </c>
      <c r="O1068" s="2">
        <f>IF(OR(F1068="",G1068=""),"",IF(G1068&lt;='RETRATO 2027'!$K$5,"CONCLUÍDA",IF(F1068&lt;='RETRATO 2027'!$K$5,"EM ANDAMENTO","A INICIAR")))</f>
        <v/>
      </c>
    </row>
    <row r="1069">
      <c r="B1069" s="4" t="n">
        <v>29981139</v>
      </c>
      <c r="C1069" s="4" t="inlineStr">
        <is>
          <t>IMPERMEABILIZAÇÃO</t>
        </is>
      </c>
      <c r="D1069" s="4" t="inlineStr">
        <is>
          <t>-</t>
        </is>
      </c>
      <c r="E1069" s="4" t="inlineStr">
        <is>
          <t>18º PAV.</t>
        </is>
      </c>
      <c r="F1069" s="126" t="n">
        <v>46764</v>
      </c>
      <c r="G1069" s="126" t="n">
        <v>46776</v>
      </c>
      <c r="H1069" s="126" t="n">
        <v>46289</v>
      </c>
      <c r="I1069" s="4" t="n">
        <v>0</v>
      </c>
      <c r="J1069" s="4" t="n">
        <v>0</v>
      </c>
      <c r="K1069" s="4" t="n">
        <v>0</v>
      </c>
      <c r="M1069" s="2">
        <f>IF(C1069="","",IFERROR(INDEX($S$5:$S$304,MATCH(C1069,$R$5:$R$304,0))&amp;"","?"))</f>
        <v/>
      </c>
      <c r="N1069" s="2">
        <f>IF(E1069="","",IF(ISNUMBER(SEARCH("SUBSOLO",E1069)),IFERROR(-VALUE(LEFT(E1069,FIND("º",SUBSTITUTE(E1069,"°","º"))-1)),-1),IF(LEFT(E1069,6)="TÉRREO",0,IFERROR(VALUE(LEFT(E1069,FIND("º",SUBSTITUTE(E1069,"°","º"))-1)),""))))</f>
        <v/>
      </c>
      <c r="O1069" s="2">
        <f>IF(OR(F1069="",G1069=""),"",IF(G1069&lt;='RETRATO 2027'!$K$5,"CONCLUÍDA",IF(F1069&lt;='RETRATO 2027'!$K$5,"EM ANDAMENTO","A INICIAR")))</f>
        <v/>
      </c>
    </row>
    <row r="1070">
      <c r="B1070" s="4" t="n">
        <v>32750446</v>
      </c>
      <c r="C1070" s="4" t="inlineStr">
        <is>
          <t>DRYWALL 2º FACE</t>
        </is>
      </c>
      <c r="D1070" s="4" t="inlineStr">
        <is>
          <t>-</t>
        </is>
      </c>
      <c r="E1070" s="4" t="inlineStr">
        <is>
          <t>20º PAV.</t>
        </is>
      </c>
      <c r="F1070" s="126" t="n">
        <v>46764</v>
      </c>
      <c r="G1070" s="126" t="n">
        <v>46776</v>
      </c>
      <c r="H1070" s="126" t="n">
        <v>46289</v>
      </c>
      <c r="I1070" s="4" t="n">
        <v>0</v>
      </c>
      <c r="J1070" s="4" t="n">
        <v>0</v>
      </c>
      <c r="K1070" s="4" t="n">
        <v>0</v>
      </c>
      <c r="M1070" s="2">
        <f>IF(C1070="","",IFERROR(INDEX($S$5:$S$304,MATCH(C1070,$R$5:$R$304,0))&amp;"","?"))</f>
        <v/>
      </c>
      <c r="N1070" s="2">
        <f>IF(E1070="","",IF(ISNUMBER(SEARCH("SUBSOLO",E1070)),IFERROR(-VALUE(LEFT(E1070,FIND("º",SUBSTITUTE(E1070,"°","º"))-1)),-1),IF(LEFT(E1070,6)="TÉRREO",0,IFERROR(VALUE(LEFT(E1070,FIND("º",SUBSTITUTE(E1070,"°","º"))-1)),""))))</f>
        <v/>
      </c>
      <c r="O1070" s="2">
        <f>IF(OR(F1070="",G1070=""),"",IF(G1070&lt;='RETRATO 2027'!$K$5,"CONCLUÍDA",IF(F1070&lt;='RETRATO 2027'!$K$5,"EM ANDAMENTO","A INICIAR")))</f>
        <v/>
      </c>
    </row>
    <row r="1071">
      <c r="B1071" s="4" t="n">
        <v>32750369</v>
      </c>
      <c r="C1071" s="4" t="inlineStr">
        <is>
          <t>DISTRIBUIÇÃO DE GÁS - DRYWALL</t>
        </is>
      </c>
      <c r="D1071" s="4" t="inlineStr">
        <is>
          <t>-</t>
        </is>
      </c>
      <c r="E1071" s="4" t="inlineStr">
        <is>
          <t>21º PAV.</t>
        </is>
      </c>
      <c r="F1071" s="126" t="n">
        <v>46764</v>
      </c>
      <c r="G1071" s="126" t="n">
        <v>46776</v>
      </c>
      <c r="H1071" s="126" t="n">
        <v>46289</v>
      </c>
      <c r="I1071" s="4" t="n">
        <v>0</v>
      </c>
      <c r="J1071" s="4" t="n">
        <v>0</v>
      </c>
      <c r="K1071" s="4" t="n">
        <v>0</v>
      </c>
      <c r="M1071" s="2">
        <f>IF(C1071="","",IFERROR(INDEX($S$5:$S$304,MATCH(C1071,$R$5:$R$304,0))&amp;"","?"))</f>
        <v/>
      </c>
      <c r="N1071" s="2">
        <f>IF(E1071="","",IF(ISNUMBER(SEARCH("SUBSOLO",E1071)),IFERROR(-VALUE(LEFT(E1071,FIND("º",SUBSTITUTE(E1071,"°","º"))-1)),-1),IF(LEFT(E1071,6)="TÉRREO",0,IFERROR(VALUE(LEFT(E1071,FIND("º",SUBSTITUTE(E1071,"°","º"))-1)),""))))</f>
        <v/>
      </c>
      <c r="O1071" s="2">
        <f>IF(OR(F1071="",G1071=""),"",IF(G1071&lt;='RETRATO 2027'!$K$5,"CONCLUÍDA",IF(F1071&lt;='RETRATO 2027'!$K$5,"EM ANDAMENTO","A INICIAR")))</f>
        <v/>
      </c>
    </row>
    <row r="1072">
      <c r="B1072" s="4" t="n">
        <v>32750395</v>
      </c>
      <c r="C1072" s="4" t="inlineStr">
        <is>
          <t>DISTRIBUIÇÃO ELÉTRICA/QUADRO - DRYWALL</t>
        </is>
      </c>
      <c r="D1072" s="4" t="inlineStr">
        <is>
          <t>-</t>
        </is>
      </c>
      <c r="E1072" s="4" t="inlineStr">
        <is>
          <t>21º PAV.</t>
        </is>
      </c>
      <c r="F1072" s="126" t="n">
        <v>46764</v>
      </c>
      <c r="G1072" s="126" t="n">
        <v>46776</v>
      </c>
      <c r="H1072" s="126" t="n">
        <v>46289</v>
      </c>
      <c r="I1072" s="4" t="n">
        <v>0</v>
      </c>
      <c r="J1072" s="4" t="n">
        <v>0</v>
      </c>
      <c r="K1072" s="4" t="n">
        <v>0</v>
      </c>
      <c r="M1072" s="2">
        <f>IF(C1072="","",IFERROR(INDEX($S$5:$S$304,MATCH(C1072,$R$5:$R$304,0))&amp;"","?"))</f>
        <v/>
      </c>
      <c r="N1072" s="2">
        <f>IF(E1072="","",IF(ISNUMBER(SEARCH("SUBSOLO",E1072)),IFERROR(-VALUE(LEFT(E1072,FIND("º",SUBSTITUTE(E1072,"°","º"))-1)),-1),IF(LEFT(E1072,6)="TÉRREO",0,IFERROR(VALUE(LEFT(E1072,FIND("º",SUBSTITUTE(E1072,"°","º"))-1)),""))))</f>
        <v/>
      </c>
      <c r="O1072" s="2">
        <f>IF(OR(F1072="",G1072=""),"",IF(G1072&lt;='RETRATO 2027'!$K$5,"CONCLUÍDA",IF(F1072&lt;='RETRATO 2027'!$K$5,"EM ANDAMENTO","A INICIAR")))</f>
        <v/>
      </c>
    </row>
    <row r="1073">
      <c r="B1073" s="4" t="n">
        <v>32750421</v>
      </c>
      <c r="C1073" s="4" t="inlineStr">
        <is>
          <t>DISTRIBUIÇÃO HIDRÁULICA - DRYWALL</t>
        </is>
      </c>
      <c r="D1073" s="4" t="inlineStr">
        <is>
          <t>-</t>
        </is>
      </c>
      <c r="E1073" s="4" t="inlineStr">
        <is>
          <t>21º PAV.</t>
        </is>
      </c>
      <c r="F1073" s="126" t="n">
        <v>46764</v>
      </c>
      <c r="G1073" s="126" t="n">
        <v>46776</v>
      </c>
      <c r="H1073" s="126" t="n">
        <v>46289</v>
      </c>
      <c r="I1073" s="4" t="n">
        <v>0</v>
      </c>
      <c r="J1073" s="4" t="n">
        <v>0</v>
      </c>
      <c r="K1073" s="4" t="n">
        <v>0</v>
      </c>
      <c r="M1073" s="2">
        <f>IF(C1073="","",IFERROR(INDEX($S$5:$S$304,MATCH(C1073,$R$5:$R$304,0))&amp;"","?"))</f>
        <v/>
      </c>
      <c r="N1073" s="2">
        <f>IF(E1073="","",IF(ISNUMBER(SEARCH("SUBSOLO",E1073)),IFERROR(-VALUE(LEFT(E1073,FIND("º",SUBSTITUTE(E1073,"°","º"))-1)),-1),IF(LEFT(E1073,6)="TÉRREO",0,IFERROR(VALUE(LEFT(E1073,FIND("º",SUBSTITUTE(E1073,"°","º"))-1)),""))))</f>
        <v/>
      </c>
      <c r="O1073" s="2">
        <f>IF(OR(F1073="",G1073=""),"",IF(G1073&lt;='RETRATO 2027'!$K$5,"CONCLUÍDA",IF(F1073&lt;='RETRATO 2027'!$K$5,"EM ANDAMENTO","A INICIAR")))</f>
        <v/>
      </c>
    </row>
    <row r="1074">
      <c r="B1074" s="4" t="n">
        <v>33896839</v>
      </c>
      <c r="C1074" s="4" t="inlineStr">
        <is>
          <t>INFRAESTRUTURA - AR CONDICIONADO</t>
        </is>
      </c>
      <c r="D1074" s="4" t="inlineStr">
        <is>
          <t>-</t>
        </is>
      </c>
      <c r="E1074" s="4" t="inlineStr">
        <is>
          <t>21º PAV.</t>
        </is>
      </c>
      <c r="F1074" s="126" t="n">
        <v>46764</v>
      </c>
      <c r="G1074" s="126" t="n">
        <v>46776</v>
      </c>
      <c r="H1074" s="126" t="n">
        <v>46289</v>
      </c>
      <c r="I1074" s="4" t="n">
        <v>0</v>
      </c>
      <c r="J1074" s="4" t="n">
        <v>0</v>
      </c>
      <c r="K1074" s="4" t="n">
        <v>0</v>
      </c>
      <c r="M1074" s="2">
        <f>IF(C1074="","",IFERROR(INDEX($S$5:$S$304,MATCH(C1074,$R$5:$R$304,0))&amp;"","?"))</f>
        <v/>
      </c>
      <c r="N1074" s="2">
        <f>IF(E1074="","",IF(ISNUMBER(SEARCH("SUBSOLO",E1074)),IFERROR(-VALUE(LEFT(E1074,FIND("º",SUBSTITUTE(E1074,"°","º"))-1)),-1),IF(LEFT(E1074,6)="TÉRREO",0,IFERROR(VALUE(LEFT(E1074,FIND("º",SUBSTITUTE(E1074,"°","º"))-1)),""))))</f>
        <v/>
      </c>
      <c r="O1074" s="2">
        <f>IF(OR(F1074="",G1074=""),"",IF(G1074&lt;='RETRATO 2027'!$K$5,"CONCLUÍDA",IF(F1074&lt;='RETRATO 2027'!$K$5,"EM ANDAMENTO","A INICIAR")))</f>
        <v/>
      </c>
    </row>
    <row r="1075">
      <c r="B1075" s="4" t="n">
        <v>32749865</v>
      </c>
      <c r="C1075" s="4" t="inlineStr">
        <is>
          <t>DRYWALL 1º FACE</t>
        </is>
      </c>
      <c r="D1075" s="4" t="inlineStr">
        <is>
          <t>-</t>
        </is>
      </c>
      <c r="E1075" s="4" t="inlineStr">
        <is>
          <t>22º PAV.</t>
        </is>
      </c>
      <c r="F1075" s="126" t="n">
        <v>46764</v>
      </c>
      <c r="G1075" s="126" t="n">
        <v>46776</v>
      </c>
      <c r="H1075" s="126" t="n">
        <v>46289</v>
      </c>
      <c r="I1075" s="4" t="n">
        <v>0</v>
      </c>
      <c r="J1075" s="4" t="n">
        <v>0</v>
      </c>
      <c r="K1075" s="4" t="n">
        <v>0</v>
      </c>
      <c r="M1075" s="2">
        <f>IF(C1075="","",IFERROR(INDEX($S$5:$S$304,MATCH(C1075,$R$5:$R$304,0))&amp;"","?"))</f>
        <v/>
      </c>
      <c r="N1075" s="2">
        <f>IF(E1075="","",IF(ISNUMBER(SEARCH("SUBSOLO",E1075)),IFERROR(-VALUE(LEFT(E1075,FIND("º",SUBSTITUTE(E1075,"°","º"))-1)),-1),IF(LEFT(E1075,6)="TÉRREO",0,IFERROR(VALUE(LEFT(E1075,FIND("º",SUBSTITUTE(E1075,"°","º"))-1)),""))))</f>
        <v/>
      </c>
      <c r="O1075" s="2">
        <f>IF(OR(F1075="",G1075=""),"",IF(G1075&lt;='RETRATO 2027'!$K$5,"CONCLUÍDA",IF(F1075&lt;='RETRATO 2027'!$K$5,"EM ANDAMENTO","A INICIAR")))</f>
        <v/>
      </c>
    </row>
    <row r="1076">
      <c r="B1076" s="4" t="n">
        <v>29980955</v>
      </c>
      <c r="C1076" s="4" t="inlineStr">
        <is>
          <t>CONTRAPISO</t>
        </is>
      </c>
      <c r="D1076" s="4" t="inlineStr">
        <is>
          <t>-</t>
        </is>
      </c>
      <c r="E1076" s="4" t="inlineStr">
        <is>
          <t>23º PAV.</t>
        </is>
      </c>
      <c r="F1076" s="126" t="n">
        <v>46764</v>
      </c>
      <c r="G1076" s="126" t="n">
        <v>46776</v>
      </c>
      <c r="H1076" s="126" t="n">
        <v>46289</v>
      </c>
      <c r="I1076" s="4" t="n">
        <v>0</v>
      </c>
      <c r="J1076" s="4" t="n">
        <v>0</v>
      </c>
      <c r="K1076" s="4" t="n">
        <v>0</v>
      </c>
      <c r="M1076" s="2">
        <f>IF(C1076="","",IFERROR(INDEX($S$5:$S$304,MATCH(C1076,$R$5:$R$304,0))&amp;"","?"))</f>
        <v/>
      </c>
      <c r="N1076" s="2">
        <f>IF(E1076="","",IF(ISNUMBER(SEARCH("SUBSOLO",E1076)),IFERROR(-VALUE(LEFT(E1076,FIND("º",SUBSTITUTE(E1076,"°","º"))-1)),-1),IF(LEFT(E1076,6)="TÉRREO",0,IFERROR(VALUE(LEFT(E1076,FIND("º",SUBSTITUTE(E1076,"°","º"))-1)),""))))</f>
        <v/>
      </c>
      <c r="O1076" s="2">
        <f>IF(OR(F1076="",G1076=""),"",IF(G1076&lt;='RETRATO 2027'!$K$5,"CONCLUÍDA",IF(F1076&lt;='RETRATO 2027'!$K$5,"EM ANDAMENTO","A INICIAR")))</f>
        <v/>
      </c>
    </row>
    <row r="1077">
      <c r="B1077" s="4" t="n">
        <v>29980895</v>
      </c>
      <c r="C1077" s="4" t="inlineStr">
        <is>
          <t>SHAFT INTERNO INST. HIDRAÚLICAS</t>
        </is>
      </c>
      <c r="D1077" s="4" t="inlineStr">
        <is>
          <t>-</t>
        </is>
      </c>
      <c r="E1077" s="4" t="inlineStr">
        <is>
          <t>24º PAV.</t>
        </is>
      </c>
      <c r="F1077" s="126" t="n">
        <v>46764</v>
      </c>
      <c r="G1077" s="126" t="n">
        <v>46776</v>
      </c>
      <c r="H1077" s="126" t="n">
        <v>46289</v>
      </c>
      <c r="I1077" s="4" t="n">
        <v>0</v>
      </c>
      <c r="J1077" s="4" t="n">
        <v>0</v>
      </c>
      <c r="K1077" s="4" t="n">
        <v>0</v>
      </c>
      <c r="M1077" s="2">
        <f>IF(C1077="","",IFERROR(INDEX($S$5:$S$304,MATCH(C1077,$R$5:$R$304,0))&amp;"","?"))</f>
        <v/>
      </c>
      <c r="N1077" s="2">
        <f>IF(E1077="","",IF(ISNUMBER(SEARCH("SUBSOLO",E1077)),IFERROR(-VALUE(LEFT(E1077,FIND("º",SUBSTITUTE(E1077,"°","º"))-1)),-1),IF(LEFT(E1077,6)="TÉRREO",0,IFERROR(VALUE(LEFT(E1077,FIND("º",SUBSTITUTE(E1077,"°","º"))-1)),""))))</f>
        <v/>
      </c>
      <c r="O1077" s="2">
        <f>IF(OR(F1077="",G1077=""),"",IF(G1077&lt;='RETRATO 2027'!$K$5,"CONCLUÍDA",IF(F1077&lt;='RETRATO 2027'!$K$5,"EM ANDAMENTO","A INICIAR")))</f>
        <v/>
      </c>
    </row>
    <row r="1078">
      <c r="B1078" s="4" t="n">
        <v>29980928</v>
      </c>
      <c r="C1078" s="4" t="inlineStr">
        <is>
          <t>PRUMADA ELÉTRICA - INFRA</t>
        </is>
      </c>
      <c r="D1078" s="4" t="inlineStr">
        <is>
          <t>-</t>
        </is>
      </c>
      <c r="E1078" s="4" t="inlineStr">
        <is>
          <t>24º PAV.</t>
        </is>
      </c>
      <c r="F1078" s="126" t="n">
        <v>46764</v>
      </c>
      <c r="G1078" s="126" t="n">
        <v>46776</v>
      </c>
      <c r="H1078" s="126" t="n">
        <v>46289</v>
      </c>
      <c r="I1078" s="4" t="n">
        <v>0</v>
      </c>
      <c r="J1078" s="4" t="n">
        <v>0</v>
      </c>
      <c r="K1078" s="4" t="n">
        <v>0</v>
      </c>
      <c r="M1078" s="2">
        <f>IF(C1078="","",IFERROR(INDEX($S$5:$S$304,MATCH(C1078,$R$5:$R$304,0))&amp;"","?"))</f>
        <v/>
      </c>
      <c r="N1078" s="2">
        <f>IF(E1078="","",IF(ISNUMBER(SEARCH("SUBSOLO",E1078)),IFERROR(-VALUE(LEFT(E1078,FIND("º",SUBSTITUTE(E1078,"°","º"))-1)),-1),IF(LEFT(E1078,6)="TÉRREO",0,IFERROR(VALUE(LEFT(E1078,FIND("º",SUBSTITUTE(E1078,"°","º"))-1)),""))))</f>
        <v/>
      </c>
      <c r="O1078" s="2">
        <f>IF(OR(F1078="",G1078=""),"",IF(G1078&lt;='RETRATO 2027'!$K$5,"CONCLUÍDA",IF(F1078&lt;='RETRATO 2027'!$K$5,"EM ANDAMENTO","A INICIAR")))</f>
        <v/>
      </c>
    </row>
    <row r="1079">
      <c r="B1079" s="4" t="n">
        <v>29980857</v>
      </c>
      <c r="C1079" s="4" t="inlineStr">
        <is>
          <t>REBOCO INTERNO</t>
        </is>
      </c>
      <c r="D1079" s="4" t="inlineStr">
        <is>
          <t>-</t>
        </is>
      </c>
      <c r="E1079" s="4" t="inlineStr">
        <is>
          <t>25º PAV.</t>
        </is>
      </c>
      <c r="F1079" s="126" t="n">
        <v>46764</v>
      </c>
      <c r="G1079" s="126" t="n">
        <v>46776</v>
      </c>
      <c r="H1079" s="126" t="n">
        <v>46289</v>
      </c>
      <c r="I1079" s="4" t="n">
        <v>0</v>
      </c>
      <c r="J1079" s="4" t="n">
        <v>0</v>
      </c>
      <c r="K1079" s="4" t="n">
        <v>0</v>
      </c>
      <c r="M1079" s="2">
        <f>IF(C1079="","",IFERROR(INDEX($S$5:$S$304,MATCH(C1079,$R$5:$R$304,0))&amp;"","?"))</f>
        <v/>
      </c>
      <c r="N1079" s="2">
        <f>IF(E1079="","",IF(ISNUMBER(SEARCH("SUBSOLO",E1079)),IFERROR(-VALUE(LEFT(E1079,FIND("º",SUBSTITUTE(E1079,"°","º"))-1)),-1),IF(LEFT(E1079,6)="TÉRREO",0,IFERROR(VALUE(LEFT(E1079,FIND("º",SUBSTITUTE(E1079,"°","º"))-1)),""))))</f>
        <v/>
      </c>
      <c r="O1079" s="2">
        <f>IF(OR(F1079="",G1079=""),"",IF(G1079&lt;='RETRATO 2027'!$K$5,"CONCLUÍDA",IF(F1079&lt;='RETRATO 2027'!$K$5,"EM ANDAMENTO","A INICIAR")))</f>
        <v/>
      </c>
    </row>
    <row r="1080">
      <c r="B1080" s="4" t="n">
        <v>29980823</v>
      </c>
      <c r="C1080" s="4" t="inlineStr">
        <is>
          <t>CONTRAMARCO</t>
        </is>
      </c>
      <c r="D1080" s="4" t="inlineStr">
        <is>
          <t>-</t>
        </is>
      </c>
      <c r="E1080" s="4" t="inlineStr">
        <is>
          <t>26º PAV.</t>
        </is>
      </c>
      <c r="F1080" s="126" t="n">
        <v>46764</v>
      </c>
      <c r="G1080" s="126" t="n">
        <v>46776</v>
      </c>
      <c r="H1080" s="126" t="n">
        <v>46289</v>
      </c>
      <c r="I1080" s="4" t="n">
        <v>0</v>
      </c>
      <c r="J1080" s="4" t="n">
        <v>0</v>
      </c>
      <c r="K1080" s="4" t="n">
        <v>0</v>
      </c>
      <c r="M1080" s="2">
        <f>IF(C1080="","",IFERROR(INDEX($S$5:$S$304,MATCH(C1080,$R$5:$R$304,0))&amp;"","?"))</f>
        <v/>
      </c>
      <c r="N1080" s="2">
        <f>IF(E1080="","",IF(ISNUMBER(SEARCH("SUBSOLO",E1080)),IFERROR(-VALUE(LEFT(E1080,FIND("º",SUBSTITUTE(E1080,"°","º"))-1)),-1),IF(LEFT(E1080,6)="TÉRREO",0,IFERROR(VALUE(LEFT(E1080,FIND("º",SUBSTITUTE(E1080,"°","º"))-1)),""))))</f>
        <v/>
      </c>
      <c r="O1080" s="2">
        <f>IF(OR(F1080="",G1080=""),"",IF(G1080&lt;='RETRATO 2027'!$K$5,"CONCLUÍDA",IF(F1080&lt;='RETRATO 2027'!$K$5,"EM ANDAMENTO","A INICIAR")))</f>
        <v/>
      </c>
    </row>
    <row r="1081">
      <c r="B1081" s="4" t="n">
        <v>29980816</v>
      </c>
      <c r="C1081" s="4" t="inlineStr">
        <is>
          <t>DISTRIBUIÇÃO HIDROSSANITÁRIA</t>
        </is>
      </c>
      <c r="D1081" s="4" t="inlineStr">
        <is>
          <t>-</t>
        </is>
      </c>
      <c r="E1081" s="4" t="inlineStr">
        <is>
          <t>27º PAV.</t>
        </is>
      </c>
      <c r="F1081" s="126" t="n">
        <v>46764</v>
      </c>
      <c r="G1081" s="126" t="n">
        <v>46776</v>
      </c>
      <c r="H1081" s="126" t="n">
        <v>46289</v>
      </c>
      <c r="I1081" s="4" t="n">
        <v>0</v>
      </c>
      <c r="J1081" s="4" t="n">
        <v>0</v>
      </c>
      <c r="K1081" s="4" t="n">
        <v>0</v>
      </c>
      <c r="M1081" s="2">
        <f>IF(C1081="","",IFERROR(INDEX($S$5:$S$304,MATCH(C1081,$R$5:$R$304,0))&amp;"","?"))</f>
        <v/>
      </c>
      <c r="N1081" s="2">
        <f>IF(E1081="","",IF(ISNUMBER(SEARCH("SUBSOLO",E1081)),IFERROR(-VALUE(LEFT(E1081,FIND("º",SUBSTITUTE(E1081,"°","º"))-1)),-1),IF(LEFT(E1081,6)="TÉRREO",0,IFERROR(VALUE(LEFT(E1081,FIND("º",SUBSTITUTE(E1081,"°","º"))-1)),""))))</f>
        <v/>
      </c>
      <c r="O1081" s="2">
        <f>IF(OR(F1081="",G1081=""),"",IF(G1081&lt;='RETRATO 2027'!$K$5,"CONCLUÍDA",IF(F1081&lt;='RETRATO 2027'!$K$5,"EM ANDAMENTO","A INICIAR")))</f>
        <v/>
      </c>
    </row>
    <row r="1082">
      <c r="B1082" s="4" t="n">
        <v>29980785</v>
      </c>
      <c r="C1082" s="4" t="inlineStr">
        <is>
          <t>DISTRIBUIÇÃO ELÉTRICA / QUADRO</t>
        </is>
      </c>
      <c r="D1082" s="4" t="inlineStr">
        <is>
          <t>-</t>
        </is>
      </c>
      <c r="E1082" s="4" t="inlineStr">
        <is>
          <t>27º PAV.</t>
        </is>
      </c>
      <c r="F1082" s="126" t="n">
        <v>46764</v>
      </c>
      <c r="G1082" s="126" t="n">
        <v>46776</v>
      </c>
      <c r="H1082" s="126" t="n">
        <v>46289</v>
      </c>
      <c r="I1082" s="4" t="n">
        <v>0</v>
      </c>
      <c r="J1082" s="4" t="n">
        <v>0</v>
      </c>
      <c r="K1082" s="4" t="n">
        <v>0</v>
      </c>
      <c r="M1082" s="2">
        <f>IF(C1082="","",IFERROR(INDEX($S$5:$S$304,MATCH(C1082,$R$5:$R$304,0))&amp;"","?"))</f>
        <v/>
      </c>
      <c r="N1082" s="2">
        <f>IF(E1082="","",IF(ISNUMBER(SEARCH("SUBSOLO",E1082)),IFERROR(-VALUE(LEFT(E1082,FIND("º",SUBSTITUTE(E1082,"°","º"))-1)),-1),IF(LEFT(E1082,6)="TÉRREO",0,IFERROR(VALUE(LEFT(E1082,FIND("º",SUBSTITUTE(E1082,"°","º"))-1)),""))))</f>
        <v/>
      </c>
      <c r="O1082" s="2">
        <f>IF(OR(F1082="",G1082=""),"",IF(G1082&lt;='RETRATO 2027'!$K$5,"CONCLUÍDA",IF(F1082&lt;='RETRATO 2027'!$K$5,"EM ANDAMENTO","A INICIAR")))</f>
        <v/>
      </c>
    </row>
    <row r="1083">
      <c r="B1083" s="4" t="n">
        <v>29980818</v>
      </c>
      <c r="C1083" s="4" t="inlineStr">
        <is>
          <t>DISTRIBUIÇÃO DE GÁS</t>
        </is>
      </c>
      <c r="D1083" s="4" t="inlineStr">
        <is>
          <t>-</t>
        </is>
      </c>
      <c r="E1083" s="4" t="inlineStr">
        <is>
          <t>27º PAV.</t>
        </is>
      </c>
      <c r="F1083" s="126" t="n">
        <v>46764</v>
      </c>
      <c r="G1083" s="126" t="n">
        <v>46776</v>
      </c>
      <c r="H1083" s="126" t="n">
        <v>46289</v>
      </c>
      <c r="I1083" s="4" t="n">
        <v>0</v>
      </c>
      <c r="J1083" s="4" t="n">
        <v>0</v>
      </c>
      <c r="K1083" s="4" t="n">
        <v>0</v>
      </c>
      <c r="M1083" s="2">
        <f>IF(C1083="","",IFERROR(INDEX($S$5:$S$304,MATCH(C1083,$R$5:$R$304,0))&amp;"","?"))</f>
        <v/>
      </c>
      <c r="N1083" s="2">
        <f>IF(E1083="","",IF(ISNUMBER(SEARCH("SUBSOLO",E1083)),IFERROR(-VALUE(LEFT(E1083,FIND("º",SUBSTITUTE(E1083,"°","º"))-1)),-1),IF(LEFT(E1083,6)="TÉRREO",0,IFERROR(VALUE(LEFT(E1083,FIND("º",SUBSTITUTE(E1083,"°","º"))-1)),""))))</f>
        <v/>
      </c>
      <c r="O1083" s="2">
        <f>IF(OR(F1083="",G1083=""),"",IF(G1083&lt;='RETRATO 2027'!$K$5,"CONCLUÍDA",IF(F1083&lt;='RETRATO 2027'!$K$5,"EM ANDAMENTO","A INICIAR")))</f>
        <v/>
      </c>
    </row>
    <row r="1084">
      <c r="B1084" s="4" t="n">
        <v>29980765</v>
      </c>
      <c r="C1084" s="4" t="inlineStr">
        <is>
          <t>TALISCAMENTO</t>
        </is>
      </c>
      <c r="D1084" s="4" t="inlineStr">
        <is>
          <t>-</t>
        </is>
      </c>
      <c r="E1084" s="4" t="inlineStr">
        <is>
          <t>28º PAV.</t>
        </is>
      </c>
      <c r="F1084" s="126" t="n">
        <v>46764</v>
      </c>
      <c r="G1084" s="126" t="n">
        <v>46776</v>
      </c>
      <c r="H1084" s="126" t="n">
        <v>46289</v>
      </c>
      <c r="I1084" s="4" t="n">
        <v>0</v>
      </c>
      <c r="J1084" s="4" t="n">
        <v>0</v>
      </c>
      <c r="K1084" s="4" t="n">
        <v>0</v>
      </c>
      <c r="M1084" s="2">
        <f>IF(C1084="","",IFERROR(INDEX($S$5:$S$304,MATCH(C1084,$R$5:$R$304,0))&amp;"","?"))</f>
        <v/>
      </c>
      <c r="N1084" s="2">
        <f>IF(E1084="","",IF(ISNUMBER(SEARCH("SUBSOLO",E1084)),IFERROR(-VALUE(LEFT(E1084,FIND("º",SUBSTITUTE(E1084,"°","º"))-1)),-1),IF(LEFT(E1084,6)="TÉRREO",0,IFERROR(VALUE(LEFT(E1084,FIND("º",SUBSTITUTE(E1084,"°","º"))-1)),""))))</f>
        <v/>
      </c>
      <c r="O1084" s="2">
        <f>IF(OR(F1084="",G1084=""),"",IF(G1084&lt;='RETRATO 2027'!$K$5,"CONCLUÍDA",IF(F1084&lt;='RETRATO 2027'!$K$5,"EM ANDAMENTO","A INICIAR")))</f>
        <v/>
      </c>
    </row>
    <row r="1085">
      <c r="B1085" s="4" t="n">
        <v>29980731</v>
      </c>
      <c r="C1085" s="4" t="inlineStr">
        <is>
          <t>PRUMADA HIDROSSANITÁRIA</t>
        </is>
      </c>
      <c r="D1085" s="4" t="inlineStr">
        <is>
          <t>-</t>
        </is>
      </c>
      <c r="E1085" s="4" t="inlineStr">
        <is>
          <t>29º PAV.</t>
        </is>
      </c>
      <c r="F1085" s="126" t="n">
        <v>46764</v>
      </c>
      <c r="G1085" s="126" t="n">
        <v>46776</v>
      </c>
      <c r="H1085" s="126" t="n">
        <v>46289</v>
      </c>
      <c r="I1085" s="4" t="n">
        <v>0</v>
      </c>
      <c r="J1085" s="4" t="n">
        <v>0</v>
      </c>
      <c r="K1085" s="4" t="n">
        <v>0</v>
      </c>
      <c r="M1085" s="2">
        <f>IF(C1085="","",IFERROR(INDEX($S$5:$S$304,MATCH(C1085,$R$5:$R$304,0))&amp;"","?"))</f>
        <v/>
      </c>
      <c r="N1085" s="2">
        <f>IF(E1085="","",IF(ISNUMBER(SEARCH("SUBSOLO",E1085)),IFERROR(-VALUE(LEFT(E1085,FIND("º",SUBSTITUTE(E1085,"°","º"))-1)),-1),IF(LEFT(E1085,6)="TÉRREO",0,IFERROR(VALUE(LEFT(E1085,FIND("º",SUBSTITUTE(E1085,"°","º"))-1)),""))))</f>
        <v/>
      </c>
      <c r="O1085" s="2">
        <f>IF(OR(F1085="",G1085=""),"",IF(G1085&lt;='RETRATO 2027'!$K$5,"CONCLUÍDA",IF(F1085&lt;='RETRATO 2027'!$K$5,"EM ANDAMENTO","A INICIAR")))</f>
        <v/>
      </c>
    </row>
    <row r="1086">
      <c r="B1086" s="4" t="n">
        <v>30171407</v>
      </c>
      <c r="C1086" s="4" t="inlineStr">
        <is>
          <t>DISTRIBUIÇÃO ELÉTRICA / QUADRO</t>
        </is>
      </c>
      <c r="D1086" s="4" t="inlineStr">
        <is>
          <t>-</t>
        </is>
      </c>
      <c r="E1086" s="4" t="inlineStr">
        <is>
          <t>5º PAV - GARAGEM</t>
        </is>
      </c>
      <c r="F1086" s="126" t="n">
        <v>46765</v>
      </c>
      <c r="G1086" s="126" t="n">
        <v>46806</v>
      </c>
      <c r="H1086" s="126" t="n">
        <v>46289</v>
      </c>
      <c r="I1086" s="4" t="n">
        <v>0</v>
      </c>
      <c r="J1086" s="4" t="n">
        <v>0</v>
      </c>
      <c r="K1086" s="4" t="n">
        <v>0</v>
      </c>
      <c r="M1086" s="2">
        <f>IF(C1086="","",IFERROR(INDEX($S$5:$S$304,MATCH(C1086,$R$5:$R$304,0))&amp;"","?"))</f>
        <v/>
      </c>
      <c r="N1086" s="2">
        <f>IF(E1086="","",IF(ISNUMBER(SEARCH("SUBSOLO",E1086)),IFERROR(-VALUE(LEFT(E1086,FIND("º",SUBSTITUTE(E1086,"°","º"))-1)),-1),IF(LEFT(E1086,6)="TÉRREO",0,IFERROR(VALUE(LEFT(E1086,FIND("º",SUBSTITUTE(E1086,"°","º"))-1)),""))))</f>
        <v/>
      </c>
      <c r="O1086" s="2">
        <f>IF(OR(F1086="",G1086=""),"",IF(G1086&lt;='RETRATO 2027'!$K$5,"CONCLUÍDA",IF(F1086&lt;='RETRATO 2027'!$K$5,"EM ANDAMENTO","A INICIAR")))</f>
        <v/>
      </c>
    </row>
    <row r="1087">
      <c r="B1087" s="4" t="n">
        <v>30171392</v>
      </c>
      <c r="C1087" s="4" t="inlineStr">
        <is>
          <t>DISTRIBUIÇÃO HIDRÁULICA</t>
        </is>
      </c>
      <c r="D1087" s="4" t="inlineStr">
        <is>
          <t>-</t>
        </is>
      </c>
      <c r="E1087" s="4" t="inlineStr">
        <is>
          <t>5º PAV - GARAGEM</t>
        </is>
      </c>
      <c r="F1087" s="126" t="n">
        <v>46765</v>
      </c>
      <c r="G1087" s="126" t="n">
        <v>46806</v>
      </c>
      <c r="H1087" s="126" t="n">
        <v>46289</v>
      </c>
      <c r="I1087" s="4" t="n">
        <v>0</v>
      </c>
      <c r="J1087" s="4" t="n">
        <v>0</v>
      </c>
      <c r="K1087" s="4" t="n">
        <v>0</v>
      </c>
      <c r="M1087" s="2">
        <f>IF(C1087="","",IFERROR(INDEX($S$5:$S$304,MATCH(C1087,$R$5:$R$304,0))&amp;"","?"))</f>
        <v/>
      </c>
      <c r="N1087" s="2">
        <f>IF(E1087="","",IF(ISNUMBER(SEARCH("SUBSOLO",E1087)),IFERROR(-VALUE(LEFT(E1087,FIND("º",SUBSTITUTE(E1087,"°","º"))-1)),-1),IF(LEFT(E1087,6)="TÉRREO",0,IFERROR(VALUE(LEFT(E1087,FIND("º",SUBSTITUTE(E1087,"°","º"))-1)),""))))</f>
        <v/>
      </c>
      <c r="O1087" s="2">
        <f>IF(OR(F1087="",G1087=""),"",IF(G1087&lt;='RETRATO 2027'!$K$5,"CONCLUÍDA",IF(F1087&lt;='RETRATO 2027'!$K$5,"EM ANDAMENTO","A INICIAR")))</f>
        <v/>
      </c>
    </row>
    <row r="1088">
      <c r="B1088" s="4" t="n">
        <v>31789531</v>
      </c>
      <c r="C1088" s="4" t="inlineStr">
        <is>
          <t>FACHADA AERADA - F5 (1º ETAPA)</t>
        </is>
      </c>
      <c r="D1088" s="4" t="inlineStr">
        <is>
          <t>-</t>
        </is>
      </c>
      <c r="E1088" s="4" t="inlineStr">
        <is>
          <t>FACHADA</t>
        </is>
      </c>
      <c r="F1088" s="126" t="n">
        <v>46765</v>
      </c>
      <c r="G1088" s="126" t="n">
        <v>46834</v>
      </c>
      <c r="H1088" s="126" t="n">
        <v>46289</v>
      </c>
      <c r="I1088" s="4" t="n">
        <v>0</v>
      </c>
      <c r="J1088" s="4" t="n">
        <v>0</v>
      </c>
      <c r="K1088" s="4" t="n">
        <v>0</v>
      </c>
      <c r="M1088" s="2">
        <f>IF(C1088="","",IFERROR(INDEX($S$5:$S$304,MATCH(C1088,$R$5:$R$304,0))&amp;"","?"))</f>
        <v/>
      </c>
      <c r="N1088" s="2">
        <f>IF(E1088="","",IF(ISNUMBER(SEARCH("SUBSOLO",E1088)),IFERROR(-VALUE(LEFT(E1088,FIND("º",SUBSTITUTE(E1088,"°","º"))-1)),-1),IF(LEFT(E1088,6)="TÉRREO",0,IFERROR(VALUE(LEFT(E1088,FIND("º",SUBSTITUTE(E1088,"°","º"))-1)),""))))</f>
        <v/>
      </c>
      <c r="O1088" s="2">
        <f>IF(OR(F1088="",G1088=""),"",IF(G1088&lt;='RETRATO 2027'!$K$5,"CONCLUÍDA",IF(F1088&lt;='RETRATO 2027'!$K$5,"EM ANDAMENTO","A INICIAR")))</f>
        <v/>
      </c>
    </row>
    <row r="1089">
      <c r="B1089" s="4" t="n">
        <v>30205625</v>
      </c>
      <c r="C1089" s="4" t="inlineStr">
        <is>
          <t>MASSA CORRIDA</t>
        </is>
      </c>
      <c r="D1089" s="4" t="inlineStr">
        <is>
          <t>-</t>
        </is>
      </c>
      <c r="E1089" s="4" t="inlineStr">
        <is>
          <t>TÉRREO - LOJA 4</t>
        </is>
      </c>
      <c r="F1089" s="126" t="n">
        <v>46766</v>
      </c>
      <c r="G1089" s="126" t="n">
        <v>46779</v>
      </c>
      <c r="H1089" s="126" t="n">
        <v>46289</v>
      </c>
      <c r="I1089" s="4" t="n">
        <v>0</v>
      </c>
      <c r="J1089" s="4" t="n">
        <v>0</v>
      </c>
      <c r="K1089" s="4" t="n">
        <v>0</v>
      </c>
      <c r="M1089" s="2">
        <f>IF(C1089="","",IFERROR(INDEX($S$5:$S$304,MATCH(C1089,$R$5:$R$304,0))&amp;"","?"))</f>
        <v/>
      </c>
      <c r="N1089" s="2">
        <f>IF(E1089="","",IF(ISNUMBER(SEARCH("SUBSOLO",E1089)),IFERROR(-VALUE(LEFT(E1089,FIND("º",SUBSTITUTE(E1089,"°","º"))-1)),-1),IF(LEFT(E1089,6)="TÉRREO",0,IFERROR(VALUE(LEFT(E1089,FIND("º",SUBSTITUTE(E1089,"°","º"))-1)),""))))</f>
        <v/>
      </c>
      <c r="O1089" s="2">
        <f>IF(OR(F1089="",G1089=""),"",IF(G1089&lt;='RETRATO 2027'!$K$5,"CONCLUÍDA",IF(F1089&lt;='RETRATO 2027'!$K$5,"EM ANDAMENTO","A INICIAR")))</f>
        <v/>
      </c>
    </row>
    <row r="1090">
      <c r="B1090" s="4" t="n">
        <v>30205595</v>
      </c>
      <c r="C1090" s="4" t="inlineStr">
        <is>
          <t>FORRO</t>
        </is>
      </c>
      <c r="D1090" s="4" t="inlineStr">
        <is>
          <t>-</t>
        </is>
      </c>
      <c r="E1090" s="4" t="inlineStr">
        <is>
          <t>TÉRREO - LOJA 5</t>
        </is>
      </c>
      <c r="F1090" s="126" t="n">
        <v>46766</v>
      </c>
      <c r="G1090" s="126" t="n">
        <v>46779</v>
      </c>
      <c r="H1090" s="126" t="n">
        <v>46289</v>
      </c>
      <c r="I1090" s="4" t="n">
        <v>0</v>
      </c>
      <c r="J1090" s="4" t="n">
        <v>0</v>
      </c>
      <c r="K1090" s="4" t="n">
        <v>0</v>
      </c>
      <c r="M1090" s="2">
        <f>IF(C1090="","",IFERROR(INDEX($S$5:$S$304,MATCH(C1090,$R$5:$R$304,0))&amp;"","?"))</f>
        <v/>
      </c>
      <c r="N1090" s="2">
        <f>IF(E1090="","",IF(ISNUMBER(SEARCH("SUBSOLO",E1090)),IFERROR(-VALUE(LEFT(E1090,FIND("º",SUBSTITUTE(E1090,"°","º"))-1)),-1),IF(LEFT(E1090,6)="TÉRREO",0,IFERROR(VALUE(LEFT(E1090,FIND("º",SUBSTITUTE(E1090,"°","º"))-1)),""))))</f>
        <v/>
      </c>
      <c r="O1090" s="2">
        <f>IF(OR(F1090="",G1090=""),"",IF(G1090&lt;='RETRATO 2027'!$K$5,"CONCLUÍDA",IF(F1090&lt;='RETRATO 2027'!$K$5,"EM ANDAMENTO","A INICIAR")))</f>
        <v/>
      </c>
    </row>
    <row r="1091">
      <c r="B1091" s="4" t="n">
        <v>30205567</v>
      </c>
      <c r="C1091" s="4" t="inlineStr">
        <is>
          <t>BANCADAS</t>
        </is>
      </c>
      <c r="D1091" s="4" t="inlineStr">
        <is>
          <t>-</t>
        </is>
      </c>
      <c r="E1091" s="4" t="inlineStr">
        <is>
          <t>TÉRREO - LOJA 6</t>
        </is>
      </c>
      <c r="F1091" s="126" t="n">
        <v>46766</v>
      </c>
      <c r="G1091" s="126" t="n">
        <v>46779</v>
      </c>
      <c r="H1091" s="126" t="n">
        <v>46289</v>
      </c>
      <c r="I1091" s="4" t="n">
        <v>0</v>
      </c>
      <c r="J1091" s="4" t="n">
        <v>0</v>
      </c>
      <c r="K1091" s="4" t="n">
        <v>0</v>
      </c>
      <c r="M1091" s="2">
        <f>IF(C1091="","",IFERROR(INDEX($S$5:$S$304,MATCH(C1091,$R$5:$R$304,0))&amp;"","?"))</f>
        <v/>
      </c>
      <c r="N1091" s="2">
        <f>IF(E1091="","",IF(ISNUMBER(SEARCH("SUBSOLO",E1091)),IFERROR(-VALUE(LEFT(E1091,FIND("º",SUBSTITUTE(E1091,"°","º"))-1)),-1),IF(LEFT(E1091,6)="TÉRREO",0,IFERROR(VALUE(LEFT(E1091,FIND("º",SUBSTITUTE(E1091,"°","º"))-1)),""))))</f>
        <v/>
      </c>
      <c r="O1091" s="2">
        <f>IF(OR(F1091="",G1091=""),"",IF(G1091&lt;='RETRATO 2027'!$K$5,"CONCLUÍDA",IF(F1091&lt;='RETRATO 2027'!$K$5,"EM ANDAMENTO","A INICIAR")))</f>
        <v/>
      </c>
    </row>
    <row r="1092">
      <c r="B1092" s="4" t="n">
        <v>30205542</v>
      </c>
      <c r="C1092" s="4" t="inlineStr">
        <is>
          <t>REVESTIMENTOS PORCELANATO PISO</t>
        </is>
      </c>
      <c r="D1092" s="4" t="inlineStr">
        <is>
          <t>-</t>
        </is>
      </c>
      <c r="E1092" s="4" t="inlineStr">
        <is>
          <t>TÉRREO - LOJA 7</t>
        </is>
      </c>
      <c r="F1092" s="126" t="n">
        <v>46766</v>
      </c>
      <c r="G1092" s="126" t="n">
        <v>46779</v>
      </c>
      <c r="H1092" s="126" t="n">
        <v>46289</v>
      </c>
      <c r="I1092" s="4" t="n">
        <v>0</v>
      </c>
      <c r="J1092" s="4" t="n">
        <v>0</v>
      </c>
      <c r="K1092" s="4" t="n">
        <v>0</v>
      </c>
      <c r="M1092" s="2">
        <f>IF(C1092="","",IFERROR(INDEX($S$5:$S$304,MATCH(C1092,$R$5:$R$304,0))&amp;"","?"))</f>
        <v/>
      </c>
      <c r="N1092" s="2">
        <f>IF(E1092="","",IF(ISNUMBER(SEARCH("SUBSOLO",E1092)),IFERROR(-VALUE(LEFT(E1092,FIND("º",SUBSTITUTE(E1092,"°","º"))-1)),-1),IF(LEFT(E1092,6)="TÉRREO",0,IFERROR(VALUE(LEFT(E1092,FIND("º",SUBSTITUTE(E1092,"°","º"))-1)),""))))</f>
        <v/>
      </c>
      <c r="O1092" s="2">
        <f>IF(OR(F1092="",G1092=""),"",IF(G1092&lt;='RETRATO 2027'!$K$5,"CONCLUÍDA",IF(F1092&lt;='RETRATO 2027'!$K$5,"EM ANDAMENTO","A INICIAR")))</f>
        <v/>
      </c>
    </row>
    <row r="1093">
      <c r="B1093" s="4" t="n">
        <v>30205846</v>
      </c>
      <c r="C1093" s="4" t="inlineStr">
        <is>
          <t>REBOCO INTERNO</t>
        </is>
      </c>
      <c r="D1093" s="4" t="inlineStr">
        <is>
          <t>-</t>
        </is>
      </c>
      <c r="E1093" s="4" t="inlineStr">
        <is>
          <t>1º PAV. (INTERMEDIÁRIO)</t>
        </is>
      </c>
      <c r="F1093" s="126" t="n">
        <v>46766</v>
      </c>
      <c r="G1093" s="126" t="n">
        <v>46786</v>
      </c>
      <c r="H1093" s="126" t="n">
        <v>46289</v>
      </c>
      <c r="I1093" s="4" t="n">
        <v>0</v>
      </c>
      <c r="J1093" s="4" t="n">
        <v>0</v>
      </c>
      <c r="K1093" s="4" t="n">
        <v>0</v>
      </c>
      <c r="M1093" s="2">
        <f>IF(C1093="","",IFERROR(INDEX($S$5:$S$304,MATCH(C1093,$R$5:$R$304,0))&amp;"","?"))</f>
        <v/>
      </c>
      <c r="N1093" s="2">
        <f>IF(E1093="","",IF(ISNUMBER(SEARCH("SUBSOLO",E1093)),IFERROR(-VALUE(LEFT(E1093,FIND("º",SUBSTITUTE(E1093,"°","º"))-1)),-1),IF(LEFT(E1093,6)="TÉRREO",0,IFERROR(VALUE(LEFT(E1093,FIND("º",SUBSTITUTE(E1093,"°","º"))-1)),""))))</f>
        <v/>
      </c>
      <c r="O1093" s="2">
        <f>IF(OR(F1093="",G1093=""),"",IF(G1093&lt;='RETRATO 2027'!$K$5,"CONCLUÍDA",IF(F1093&lt;='RETRATO 2027'!$K$5,"EM ANDAMENTO","A INICIAR")))</f>
        <v/>
      </c>
    </row>
    <row r="1094">
      <c r="B1094" s="4" t="n">
        <v>29980730</v>
      </c>
      <c r="C1094" s="4" t="inlineStr">
        <is>
          <t>ENCUNHAMENTO</t>
        </is>
      </c>
      <c r="D1094" s="4" t="inlineStr">
        <is>
          <t>-</t>
        </is>
      </c>
      <c r="E1094" s="4" t="inlineStr">
        <is>
          <t>29º PAV.</t>
        </is>
      </c>
      <c r="F1094" s="126" t="n">
        <v>46766</v>
      </c>
      <c r="G1094" s="126" t="n">
        <v>46778</v>
      </c>
      <c r="H1094" s="126" t="n">
        <v>46289</v>
      </c>
      <c r="I1094" s="4" t="n">
        <v>0</v>
      </c>
      <c r="J1094" s="4" t="n">
        <v>0</v>
      </c>
      <c r="K1094" s="4" t="n">
        <v>0</v>
      </c>
      <c r="M1094" s="2">
        <f>IF(C1094="","",IFERROR(INDEX($S$5:$S$304,MATCH(C1094,$R$5:$R$304,0))&amp;"","?"))</f>
        <v/>
      </c>
      <c r="N1094" s="2">
        <f>IF(E1094="","",IF(ISNUMBER(SEARCH("SUBSOLO",E1094)),IFERROR(-VALUE(LEFT(E1094,FIND("º",SUBSTITUTE(E1094,"°","º"))-1)),-1),IF(LEFT(E1094,6)="TÉRREO",0,IFERROR(VALUE(LEFT(E1094,FIND("º",SUBSTITUTE(E1094,"°","º"))-1)),""))))</f>
        <v/>
      </c>
      <c r="O1094" s="2">
        <f>IF(OR(F1094="",G1094=""),"",IF(G1094&lt;='RETRATO 2027'!$K$5,"CONCLUÍDA",IF(F1094&lt;='RETRATO 2027'!$K$5,"EM ANDAMENTO","A INICIAR")))</f>
        <v/>
      </c>
    </row>
    <row r="1095">
      <c r="B1095" s="4" t="n">
        <v>30205754</v>
      </c>
      <c r="C1095" s="4" t="inlineStr">
        <is>
          <t>GERADOR/TRANSFORMADOR</t>
        </is>
      </c>
      <c r="D1095" s="4" t="inlineStr">
        <is>
          <t>-</t>
        </is>
      </c>
      <c r="E1095" s="4" t="inlineStr">
        <is>
          <t>SUBSOLO</t>
        </is>
      </c>
      <c r="F1095" s="126" t="n">
        <v>46769</v>
      </c>
      <c r="G1095" s="126" t="n">
        <v>46813</v>
      </c>
      <c r="H1095" s="126" t="n">
        <v>46289</v>
      </c>
      <c r="I1095" s="4" t="n">
        <v>0</v>
      </c>
      <c r="J1095" s="4" t="n">
        <v>0</v>
      </c>
      <c r="K1095" s="4" t="n">
        <v>0</v>
      </c>
      <c r="M1095" s="2">
        <f>IF(C1095="","",IFERROR(INDEX($S$5:$S$304,MATCH(C1095,$R$5:$R$304,0))&amp;"","?"))</f>
        <v/>
      </c>
      <c r="N1095" s="2">
        <f>IF(E1095="","",IF(ISNUMBER(SEARCH("SUBSOLO",E1095)),IFERROR(-VALUE(LEFT(E1095,FIND("º",SUBSTITUTE(E1095,"°","º"))-1)),-1),IF(LEFT(E1095,6)="TÉRREO",0,IFERROR(VALUE(LEFT(E1095,FIND("º",SUBSTITUTE(E1095,"°","º"))-1)),""))))</f>
        <v/>
      </c>
      <c r="O1095" s="2">
        <f>IF(OR(F1095="",G1095=""),"",IF(G1095&lt;='RETRATO 2027'!$K$5,"CONCLUÍDA",IF(F1095&lt;='RETRATO 2027'!$K$5,"EM ANDAMENTO","A INICIAR")))</f>
        <v/>
      </c>
    </row>
    <row r="1096">
      <c r="B1096" s="4" t="n">
        <v>29980704</v>
      </c>
      <c r="C1096" s="4" t="inlineStr">
        <is>
          <t>PRUMADA DE INCÊNDIO</t>
        </is>
      </c>
      <c r="D1096" s="4" t="inlineStr">
        <is>
          <t>-</t>
        </is>
      </c>
      <c r="E1096" s="4" t="inlineStr">
        <is>
          <t>30º PAV.</t>
        </is>
      </c>
      <c r="F1096" s="126" t="n">
        <v>46771</v>
      </c>
      <c r="G1096" s="126" t="n">
        <v>46783</v>
      </c>
      <c r="H1096" s="126" t="n">
        <v>46289</v>
      </c>
      <c r="I1096" s="4" t="n">
        <v>0</v>
      </c>
      <c r="J1096" s="4" t="n">
        <v>0</v>
      </c>
      <c r="K1096" s="4" t="n">
        <v>0</v>
      </c>
      <c r="M1096" s="2">
        <f>IF(C1096="","",IFERROR(INDEX($S$5:$S$304,MATCH(C1096,$R$5:$R$304,0))&amp;"","?"))</f>
        <v/>
      </c>
      <c r="N1096" s="2">
        <f>IF(E1096="","",IF(ISNUMBER(SEARCH("SUBSOLO",E1096)),IFERROR(-VALUE(LEFT(E1096,FIND("º",SUBSTITUTE(E1096,"°","º"))-1)),-1),IF(LEFT(E1096,6)="TÉRREO",0,IFERROR(VALUE(LEFT(E1096,FIND("º",SUBSTITUTE(E1096,"°","º"))-1)),""))))</f>
        <v/>
      </c>
      <c r="O1096" s="2">
        <f>IF(OR(F1096="",G1096=""),"",IF(G1096&lt;='RETRATO 2027'!$K$5,"CONCLUÍDA",IF(F1096&lt;='RETRATO 2027'!$K$5,"EM ANDAMENTO","A INICIAR")))</f>
        <v/>
      </c>
    </row>
    <row r="1097">
      <c r="B1097" s="4" t="n">
        <v>29980655</v>
      </c>
      <c r="C1097" s="4" t="inlineStr">
        <is>
          <t>ALVENARIA</t>
        </is>
      </c>
      <c r="D1097" s="4" t="inlineStr">
        <is>
          <t>-</t>
        </is>
      </c>
      <c r="E1097" s="4" t="inlineStr">
        <is>
          <t>31º PAV. - COBERTURA LINEAR</t>
        </is>
      </c>
      <c r="F1097" s="126" t="n">
        <v>46771</v>
      </c>
      <c r="G1097" s="126" t="n">
        <v>46783</v>
      </c>
      <c r="H1097" s="126" t="n">
        <v>46289</v>
      </c>
      <c r="I1097" s="4" t="n">
        <v>0</v>
      </c>
      <c r="J1097" s="4" t="n">
        <v>0</v>
      </c>
      <c r="K1097" s="4" t="n">
        <v>0</v>
      </c>
      <c r="M1097" s="2">
        <f>IF(C1097="","",IFERROR(INDEX($S$5:$S$304,MATCH(C1097,$R$5:$R$304,0))&amp;"","?"))</f>
        <v/>
      </c>
      <c r="N1097" s="2">
        <f>IF(E1097="","",IF(ISNUMBER(SEARCH("SUBSOLO",E1097)),IFERROR(-VALUE(LEFT(E1097,FIND("º",SUBSTITUTE(E1097,"°","º"))-1)),-1),IF(LEFT(E1097,6)="TÉRREO",0,IFERROR(VALUE(LEFT(E1097,FIND("º",SUBSTITUTE(E1097,"°","º"))-1)),""))))</f>
        <v/>
      </c>
      <c r="O1097" s="2">
        <f>IF(OR(F1097="",G1097=""),"",IF(G1097&lt;='RETRATO 2027'!$K$5,"CONCLUÍDA",IF(F1097&lt;='RETRATO 2027'!$K$5,"EM ANDAMENTO","A INICIAR")))</f>
        <v/>
      </c>
    </row>
    <row r="1098">
      <c r="B1098" s="4" t="n">
        <v>29941196</v>
      </c>
      <c r="C1098" s="4" t="inlineStr">
        <is>
          <t>ESTRUTURA</t>
        </is>
      </c>
      <c r="D1098" s="4" t="inlineStr">
        <is>
          <t>-</t>
        </is>
      </c>
      <c r="E1098" s="4" t="inlineStr">
        <is>
          <t>34º PAV - RESERVATÓRIO</t>
        </is>
      </c>
      <c r="F1098" s="126" t="n">
        <v>46771</v>
      </c>
      <c r="G1098" s="126" t="n">
        <v>46794</v>
      </c>
      <c r="H1098" s="126" t="n">
        <v>46289</v>
      </c>
      <c r="I1098" s="4" t="n">
        <v>0</v>
      </c>
      <c r="J1098" s="4" t="n">
        <v>0</v>
      </c>
      <c r="K1098" s="4" t="n">
        <v>0</v>
      </c>
      <c r="M1098" s="2">
        <f>IF(C1098="","",IFERROR(INDEX($S$5:$S$304,MATCH(C1098,$R$5:$R$304,0))&amp;"","?"))</f>
        <v/>
      </c>
      <c r="N1098" s="2">
        <f>IF(E1098="","",IF(ISNUMBER(SEARCH("SUBSOLO",E1098)),IFERROR(-VALUE(LEFT(E1098,FIND("º",SUBSTITUTE(E1098,"°","º"))-1)),-1),IF(LEFT(E1098,6)="TÉRREO",0,IFERROR(VALUE(LEFT(E1098,FIND("º",SUBSTITUTE(E1098,"°","º"))-1)),""))))</f>
        <v/>
      </c>
      <c r="O1098" s="2">
        <f>IF(OR(F1098="",G1098=""),"",IF(G1098&lt;='RETRATO 2027'!$K$5,"CONCLUÍDA",IF(F1098&lt;='RETRATO 2027'!$K$5,"EM ANDAMENTO","A INICIAR")))</f>
        <v/>
      </c>
    </row>
    <row r="1099">
      <c r="B1099" s="4" t="n">
        <v>31529090</v>
      </c>
      <c r="C1099" s="4" t="inlineStr">
        <is>
          <t>ESTRUTURA</t>
        </is>
      </c>
      <c r="D1099" s="4" t="inlineStr">
        <is>
          <t>Forma</t>
        </is>
      </c>
      <c r="E1099" s="4" t="inlineStr">
        <is>
          <t>34º PAV - RESERVATÓRIO</t>
        </is>
      </c>
      <c r="F1099" s="126" t="n">
        <v>46771</v>
      </c>
      <c r="G1099" s="126" t="n">
        <v>46786</v>
      </c>
      <c r="H1099" s="126" t="n">
        <v>46289</v>
      </c>
      <c r="I1099" s="4" t="n">
        <v>0</v>
      </c>
      <c r="J1099" s="4" t="n">
        <v>0</v>
      </c>
      <c r="K1099" s="4" t="n">
        <v>0</v>
      </c>
      <c r="M1099" s="2">
        <f>IF(C1099="","",IFERROR(INDEX($S$5:$S$304,MATCH(C1099,$R$5:$R$304,0))&amp;"","?"))</f>
        <v/>
      </c>
      <c r="N1099" s="2">
        <f>IF(E1099="","",IF(ISNUMBER(SEARCH("SUBSOLO",E1099)),IFERROR(-VALUE(LEFT(E1099,FIND("º",SUBSTITUTE(E1099,"°","º"))-1)),-1),IF(LEFT(E1099,6)="TÉRREO",0,IFERROR(VALUE(LEFT(E1099,FIND("º",SUBSTITUTE(E1099,"°","º"))-1)),""))))</f>
        <v/>
      </c>
      <c r="O1099" s="2">
        <f>IF(OR(F1099="",G1099=""),"",IF(G1099&lt;='RETRATO 2027'!$K$5,"CONCLUÍDA",IF(F1099&lt;='RETRATO 2027'!$K$5,"EM ANDAMENTO","A INICIAR")))</f>
        <v/>
      </c>
    </row>
    <row r="1100">
      <c r="B1100" s="4" t="n">
        <v>31529091</v>
      </c>
      <c r="C1100" s="4" t="inlineStr">
        <is>
          <t>ESTRUTURA</t>
        </is>
      </c>
      <c r="D1100" s="4" t="inlineStr">
        <is>
          <t>Armação</t>
        </is>
      </c>
      <c r="E1100" s="4" t="inlineStr">
        <is>
          <t>34º PAV - RESERVATÓRIO</t>
        </is>
      </c>
      <c r="F1100" s="126" t="n">
        <v>46787</v>
      </c>
      <c r="G1100" s="126" t="n">
        <v>46793</v>
      </c>
      <c r="H1100" s="126" t="n">
        <v>46289</v>
      </c>
      <c r="I1100" s="4" t="n">
        <v>0</v>
      </c>
      <c r="J1100" s="4" t="n">
        <v>0</v>
      </c>
      <c r="K1100" s="4" t="n">
        <v>0</v>
      </c>
      <c r="M1100" s="2">
        <f>IF(C1100="","",IFERROR(INDEX($S$5:$S$304,MATCH(C1100,$R$5:$R$304,0))&amp;"","?"))</f>
        <v/>
      </c>
      <c r="N1100" s="2">
        <f>IF(E1100="","",IF(ISNUMBER(SEARCH("SUBSOLO",E1100)),IFERROR(-VALUE(LEFT(E1100,FIND("º",SUBSTITUTE(E1100,"°","º"))-1)),-1),IF(LEFT(E1100,6)="TÉRREO",0,IFERROR(VALUE(LEFT(E1100,FIND("º",SUBSTITUTE(E1100,"°","º"))-1)),""))))</f>
        <v/>
      </c>
      <c r="O1100" s="2">
        <f>IF(OR(F1100="",G1100=""),"",IF(G1100&lt;='RETRATO 2027'!$K$5,"CONCLUÍDA",IF(F1100&lt;='RETRATO 2027'!$K$5,"EM ANDAMENTO","A INICIAR")))</f>
        <v/>
      </c>
    </row>
    <row r="1101">
      <c r="B1101" s="4" t="n">
        <v>31529092</v>
      </c>
      <c r="C1101" s="4" t="inlineStr">
        <is>
          <t>ESTRUTURA</t>
        </is>
      </c>
      <c r="D1101" s="4" t="inlineStr">
        <is>
          <t>Concretagem</t>
        </is>
      </c>
      <c r="E1101" s="4" t="inlineStr">
        <is>
          <t>34º PAV - RESERVATÓRIO</t>
        </is>
      </c>
      <c r="F1101" s="126" t="n">
        <v>46794</v>
      </c>
      <c r="G1101" s="126" t="n">
        <v>46794</v>
      </c>
      <c r="H1101" s="126" t="n">
        <v>46289</v>
      </c>
      <c r="I1101" s="4" t="n">
        <v>0</v>
      </c>
      <c r="J1101" s="4" t="n">
        <v>0</v>
      </c>
      <c r="K1101" s="4" t="n">
        <v>0</v>
      </c>
      <c r="M1101" s="2">
        <f>IF(C1101="","",IFERROR(INDEX($S$5:$S$304,MATCH(C1101,$R$5:$R$304,0))&amp;"","?"))</f>
        <v/>
      </c>
      <c r="N1101" s="2">
        <f>IF(E1101="","",IF(ISNUMBER(SEARCH("SUBSOLO",E1101)),IFERROR(-VALUE(LEFT(E1101,FIND("º",SUBSTITUTE(E1101,"°","º"))-1)),-1),IF(LEFT(E1101,6)="TÉRREO",0,IFERROR(VALUE(LEFT(E1101,FIND("º",SUBSTITUTE(E1101,"°","º"))-1)),""))))</f>
        <v/>
      </c>
      <c r="O1101" s="2">
        <f>IF(OR(F1101="",G1101=""),"",IF(G1101&lt;='RETRATO 2027'!$K$5,"CONCLUÍDA",IF(F1101&lt;='RETRATO 2027'!$K$5,"EM ANDAMENTO","A INICIAR")))</f>
        <v/>
      </c>
    </row>
    <row r="1102">
      <c r="B1102" s="4" t="n">
        <v>31529093</v>
      </c>
      <c r="C1102" s="4" t="inlineStr">
        <is>
          <t>ESTRUTURA</t>
        </is>
      </c>
      <c r="D1102" s="4" t="inlineStr">
        <is>
          <t>Polimento</t>
        </is>
      </c>
      <c r="E1102" s="4" t="inlineStr">
        <is>
          <t>34º PAV - RESERVATÓRIO</t>
        </is>
      </c>
      <c r="F1102" s="126" t="n">
        <v>46794</v>
      </c>
      <c r="G1102" s="126" t="n">
        <v>46794</v>
      </c>
      <c r="H1102" s="126" t="n">
        <v>46289</v>
      </c>
      <c r="I1102" s="4" t="n">
        <v>0</v>
      </c>
      <c r="J1102" s="4" t="n">
        <v>0</v>
      </c>
      <c r="K1102" s="4" t="n">
        <v>0</v>
      </c>
      <c r="M1102" s="2">
        <f>IF(C1102="","",IFERROR(INDEX($S$5:$S$304,MATCH(C1102,$R$5:$R$304,0))&amp;"","?"))</f>
        <v/>
      </c>
      <c r="N1102" s="2">
        <f>IF(E1102="","",IF(ISNUMBER(SEARCH("SUBSOLO",E1102)),IFERROR(-VALUE(LEFT(E1102,FIND("º",SUBSTITUTE(E1102,"°","º"))-1)),-1),IF(LEFT(E1102,6)="TÉRREO",0,IFERROR(VALUE(LEFT(E1102,FIND("º",SUBSTITUTE(E1102,"°","º"))-1)),""))))</f>
        <v/>
      </c>
      <c r="O1102" s="2">
        <f>IF(OR(F1102="",G1102=""),"",IF(G1102&lt;='RETRATO 2027'!$K$5,"CONCLUÍDA",IF(F1102&lt;='RETRATO 2027'!$K$5,"EM ANDAMENTO","A INICIAR")))</f>
        <v/>
      </c>
    </row>
    <row r="1103">
      <c r="B1103" s="4" t="n">
        <v>30205793</v>
      </c>
      <c r="C1103" s="4" t="inlineStr">
        <is>
          <t>DRYWALL</t>
        </is>
      </c>
      <c r="D1103" s="4" t="inlineStr">
        <is>
          <t>-</t>
        </is>
      </c>
      <c r="E1103" s="4" t="inlineStr">
        <is>
          <t>TÉRREO - ACESSO COMERCIAL + DML + ARS + ÁREA TEC + LAVABO + DISPENSA</t>
        </is>
      </c>
      <c r="F1103" s="126" t="n">
        <v>46773</v>
      </c>
      <c r="G1103" s="126" t="n">
        <v>46786</v>
      </c>
      <c r="H1103" s="126" t="n">
        <v>46289</v>
      </c>
      <c r="I1103" s="4" t="n">
        <v>0</v>
      </c>
      <c r="J1103" s="4" t="n">
        <v>0</v>
      </c>
      <c r="K1103" s="4" t="n">
        <v>0</v>
      </c>
      <c r="M1103" s="2">
        <f>IF(C1103="","",IFERROR(INDEX($S$5:$S$304,MATCH(C1103,$R$5:$R$304,0))&amp;"","?"))</f>
        <v/>
      </c>
      <c r="N1103" s="2">
        <f>IF(E1103="","",IF(ISNUMBER(SEARCH("SUBSOLO",E1103)),IFERROR(-VALUE(LEFT(E1103,FIND("º",SUBSTITUTE(E1103,"°","º"))-1)),-1),IF(LEFT(E1103,6)="TÉRREO",0,IFERROR(VALUE(LEFT(E1103,FIND("º",SUBSTITUTE(E1103,"°","º"))-1)),""))))</f>
        <v/>
      </c>
      <c r="O1103" s="2">
        <f>IF(OR(F1103="",G1103=""),"",IF(G1103&lt;='RETRATO 2027'!$K$5,"CONCLUÍDA",IF(F1103&lt;='RETRATO 2027'!$K$5,"EM ANDAMENTO","A INICIAR")))</f>
        <v/>
      </c>
    </row>
    <row r="1104">
      <c r="B1104" s="4" t="n">
        <v>30205819</v>
      </c>
      <c r="C1104" s="4" t="inlineStr">
        <is>
          <t>CONTRAPISO</t>
        </is>
      </c>
      <c r="D1104" s="4" t="inlineStr">
        <is>
          <t>-</t>
        </is>
      </c>
      <c r="E1104" s="4" t="inlineStr">
        <is>
          <t>TÉRREO - HALL SOCIAL + ECLUSA + CIRCULAÇÃO</t>
        </is>
      </c>
      <c r="F1104" s="126" t="n">
        <v>46773</v>
      </c>
      <c r="G1104" s="126" t="n">
        <v>46786</v>
      </c>
      <c r="H1104" s="126" t="n">
        <v>46289</v>
      </c>
      <c r="I1104" s="4" t="n">
        <v>0</v>
      </c>
      <c r="J1104" s="4" t="n">
        <v>0</v>
      </c>
      <c r="K1104" s="4" t="n">
        <v>0</v>
      </c>
      <c r="M1104" s="2">
        <f>IF(C1104="","",IFERROR(INDEX($S$5:$S$304,MATCH(C1104,$R$5:$R$304,0))&amp;"","?"))</f>
        <v/>
      </c>
      <c r="N1104" s="2">
        <f>IF(E1104="","",IF(ISNUMBER(SEARCH("SUBSOLO",E1104)),IFERROR(-VALUE(LEFT(E1104,FIND("º",SUBSTITUTE(E1104,"°","º"))-1)),-1),IF(LEFT(E1104,6)="TÉRREO",0,IFERROR(VALUE(LEFT(E1104,FIND("º",SUBSTITUTE(E1104,"°","º"))-1)),""))))</f>
        <v/>
      </c>
      <c r="O1104" s="2">
        <f>IF(OR(F1104="",G1104=""),"",IF(G1104&lt;='RETRATO 2027'!$K$5,"CONCLUÍDA",IF(F1104&lt;='RETRATO 2027'!$K$5,"EM ANDAMENTO","A INICIAR")))</f>
        <v/>
      </c>
    </row>
    <row r="1105">
      <c r="B1105" s="4" t="n">
        <v>30171470</v>
      </c>
      <c r="C1105" s="4" t="inlineStr">
        <is>
          <t>DISJUNTORES / MIOLOS</t>
        </is>
      </c>
      <c r="D1105" s="4" t="inlineStr">
        <is>
          <t>-</t>
        </is>
      </c>
      <c r="E1105" s="4" t="inlineStr">
        <is>
          <t>2º PAV - GARAGEM</t>
        </is>
      </c>
      <c r="F1105" s="126" t="n">
        <v>46773</v>
      </c>
      <c r="G1105" s="126" t="n">
        <v>46800</v>
      </c>
      <c r="H1105" s="126" t="n">
        <v>46289</v>
      </c>
      <c r="I1105" s="4" t="n">
        <v>0</v>
      </c>
      <c r="J1105" s="4" t="n">
        <v>0</v>
      </c>
      <c r="K1105" s="4" t="n">
        <v>0</v>
      </c>
      <c r="M1105" s="2">
        <f>IF(C1105="","",IFERROR(INDEX($S$5:$S$304,MATCH(C1105,$R$5:$R$304,0))&amp;"","?"))</f>
        <v/>
      </c>
      <c r="N1105" s="2">
        <f>IF(E1105="","",IF(ISNUMBER(SEARCH("SUBSOLO",E1105)),IFERROR(-VALUE(LEFT(E1105,FIND("º",SUBSTITUTE(E1105,"°","º"))-1)),-1),IF(LEFT(E1105,6)="TÉRREO",0,IFERROR(VALUE(LEFT(E1105,FIND("º",SUBSTITUTE(E1105,"°","º"))-1)),""))))</f>
        <v/>
      </c>
      <c r="O1105" s="2">
        <f>IF(OR(F1105="",G1105=""),"",IF(G1105&lt;='RETRATO 2027'!$K$5,"CONCLUÍDA",IF(F1105&lt;='RETRATO 2027'!$K$5,"EM ANDAMENTO","A INICIAR")))</f>
        <v/>
      </c>
    </row>
    <row r="1106">
      <c r="B1106" s="4" t="n">
        <v>30171467</v>
      </c>
      <c r="C1106" s="4" t="inlineStr">
        <is>
          <t>INSTALAÇÃO DE LUMINÁRIAS E SENSORES</t>
        </is>
      </c>
      <c r="D1106" s="4" t="inlineStr">
        <is>
          <t>-</t>
        </is>
      </c>
      <c r="E1106" s="4" t="inlineStr">
        <is>
          <t>2º PAV - GARAGEM</t>
        </is>
      </c>
      <c r="F1106" s="126" t="n">
        <v>46773</v>
      </c>
      <c r="G1106" s="126" t="n">
        <v>46800</v>
      </c>
      <c r="H1106" s="126" t="n">
        <v>46289</v>
      </c>
      <c r="I1106" s="4" t="n">
        <v>0</v>
      </c>
      <c r="J1106" s="4" t="n">
        <v>0</v>
      </c>
      <c r="K1106" s="4" t="n">
        <v>0</v>
      </c>
      <c r="M1106" s="2">
        <f>IF(C1106="","",IFERROR(INDEX($S$5:$S$304,MATCH(C1106,$R$5:$R$304,0))&amp;"","?"))</f>
        <v/>
      </c>
      <c r="N1106" s="2">
        <f>IF(E1106="","",IF(ISNUMBER(SEARCH("SUBSOLO",E1106)),IFERROR(-VALUE(LEFT(E1106,FIND("º",SUBSTITUTE(E1106,"°","º"))-1)),-1),IF(LEFT(E1106,6)="TÉRREO",0,IFERROR(VALUE(LEFT(E1106,FIND("º",SUBSTITUTE(E1106,"°","º"))-1)),""))))</f>
        <v/>
      </c>
      <c r="O1106" s="2">
        <f>IF(OR(F1106="",G1106=""),"",IF(G1106&lt;='RETRATO 2027'!$K$5,"CONCLUÍDA",IF(F1106&lt;='RETRATO 2027'!$K$5,"EM ANDAMENTO","A INICIAR")))</f>
        <v/>
      </c>
    </row>
    <row r="1107">
      <c r="B1107" s="4" t="n">
        <v>30171438</v>
      </c>
      <c r="C1107" s="4" t="inlineStr">
        <is>
          <t>FIAÇÃO ELÉTRICA</t>
        </is>
      </c>
      <c r="D1107" s="4" t="inlineStr">
        <is>
          <t>-</t>
        </is>
      </c>
      <c r="E1107" s="4" t="inlineStr">
        <is>
          <t>3º PAV - GARAGEM</t>
        </is>
      </c>
      <c r="F1107" s="126" t="n">
        <v>46773</v>
      </c>
      <c r="G1107" s="126" t="n">
        <v>46834</v>
      </c>
      <c r="H1107" s="126" t="n">
        <v>46289</v>
      </c>
      <c r="I1107" s="4" t="n">
        <v>0</v>
      </c>
      <c r="J1107" s="4" t="n">
        <v>0</v>
      </c>
      <c r="K1107" s="4" t="n">
        <v>0</v>
      </c>
      <c r="M1107" s="2">
        <f>IF(C1107="","",IFERROR(INDEX($S$5:$S$304,MATCH(C1107,$R$5:$R$304,0))&amp;"","?"))</f>
        <v/>
      </c>
      <c r="N1107" s="2">
        <f>IF(E1107="","",IF(ISNUMBER(SEARCH("SUBSOLO",E1107)),IFERROR(-VALUE(LEFT(E1107,FIND("º",SUBSTITUTE(E1107,"°","º"))-1)),-1),IF(LEFT(E1107,6)="TÉRREO",0,IFERROR(VALUE(LEFT(E1107,FIND("º",SUBSTITUTE(E1107,"°","º"))-1)),""))))</f>
        <v/>
      </c>
      <c r="O1107" s="2">
        <f>IF(OR(F1107="",G1107=""),"",IF(G1107&lt;='RETRATO 2027'!$K$5,"CONCLUÍDA",IF(F1107&lt;='RETRATO 2027'!$K$5,"EM ANDAMENTO","A INICIAR")))</f>
        <v/>
      </c>
    </row>
    <row r="1108">
      <c r="B1108" s="4" t="n">
        <v>30171457</v>
      </c>
      <c r="C1108" s="4" t="inlineStr">
        <is>
          <t>PRUMADA ELÉTRICA - CABOS</t>
        </is>
      </c>
      <c r="D1108" s="4" t="inlineStr">
        <is>
          <t>-</t>
        </is>
      </c>
      <c r="E1108" s="4" t="inlineStr">
        <is>
          <t>3º PAV - GARAGEM</t>
        </is>
      </c>
      <c r="F1108" s="126" t="n">
        <v>46773</v>
      </c>
      <c r="G1108" s="126" t="n">
        <v>46834</v>
      </c>
      <c r="H1108" s="126" t="n">
        <v>46289</v>
      </c>
      <c r="I1108" s="4" t="n">
        <v>0</v>
      </c>
      <c r="J1108" s="4" t="n">
        <v>0</v>
      </c>
      <c r="K1108" s="4" t="n">
        <v>0</v>
      </c>
      <c r="M1108" s="2">
        <f>IF(C1108="","",IFERROR(INDEX($S$5:$S$304,MATCH(C1108,$R$5:$R$304,0))&amp;"","?"))</f>
        <v/>
      </c>
      <c r="N1108" s="2">
        <f>IF(E1108="","",IF(ISNUMBER(SEARCH("SUBSOLO",E1108)),IFERROR(-VALUE(LEFT(E1108,FIND("º",SUBSTITUTE(E1108,"°","º"))-1)),-1),IF(LEFT(E1108,6)="TÉRREO",0,IFERROR(VALUE(LEFT(E1108,FIND("º",SUBSTITUTE(E1108,"°","º"))-1)),""))))</f>
        <v/>
      </c>
      <c r="O1108" s="2">
        <f>IF(OR(F1108="",G1108=""),"",IF(G1108&lt;='RETRATO 2027'!$K$5,"CONCLUÍDA",IF(F1108&lt;='RETRATO 2027'!$K$5,"EM ANDAMENTO","A INICIAR")))</f>
        <v/>
      </c>
    </row>
    <row r="1109">
      <c r="B1109" s="4" t="n">
        <v>30171440</v>
      </c>
      <c r="C1109" s="4" t="inlineStr">
        <is>
          <t>SHAFT</t>
        </is>
      </c>
      <c r="D1109" s="4" t="inlineStr">
        <is>
          <t>-</t>
        </is>
      </c>
      <c r="E1109" s="4" t="inlineStr">
        <is>
          <t>3º PAV - GARAGEM</t>
        </is>
      </c>
      <c r="F1109" s="126" t="n">
        <v>46773</v>
      </c>
      <c r="G1109" s="126" t="n">
        <v>46800</v>
      </c>
      <c r="H1109" s="126" t="n">
        <v>46289</v>
      </c>
      <c r="I1109" s="4" t="n">
        <v>0</v>
      </c>
      <c r="J1109" s="4" t="n">
        <v>0</v>
      </c>
      <c r="K1109" s="4" t="n">
        <v>0</v>
      </c>
      <c r="M1109" s="2">
        <f>IF(C1109="","",IFERROR(INDEX($S$5:$S$304,MATCH(C1109,$R$5:$R$304,0))&amp;"","?"))</f>
        <v/>
      </c>
      <c r="N1109" s="2">
        <f>IF(E1109="","",IF(ISNUMBER(SEARCH("SUBSOLO",E1109)),IFERROR(-VALUE(LEFT(E1109,FIND("º",SUBSTITUTE(E1109,"°","º"))-1)),-1),IF(LEFT(E1109,6)="TÉRREO",0,IFERROR(VALUE(LEFT(E1109,FIND("º",SUBSTITUTE(E1109,"°","º"))-1)),""))))</f>
        <v/>
      </c>
      <c r="O1109" s="2">
        <f>IF(OR(F1109="",G1109=""),"",IF(G1109&lt;='RETRATO 2027'!$K$5,"CONCLUÍDA",IF(F1109&lt;='RETRATO 2027'!$K$5,"EM ANDAMENTO","A INICIAR")))</f>
        <v/>
      </c>
    </row>
    <row r="1110">
      <c r="B1110" s="4" t="n">
        <v>30214060</v>
      </c>
      <c r="C1110" s="4" t="inlineStr">
        <is>
          <t>FIAÇÃO TELECOM/DADOS</t>
        </is>
      </c>
      <c r="D1110" s="4" t="inlineStr">
        <is>
          <t>-</t>
        </is>
      </c>
      <c r="E1110" s="4" t="inlineStr">
        <is>
          <t>3º PAV - GARAGEM</t>
        </is>
      </c>
      <c r="F1110" s="126" t="n">
        <v>46773</v>
      </c>
      <c r="G1110" s="126" t="n">
        <v>46786</v>
      </c>
      <c r="H1110" s="126" t="n">
        <v>46289</v>
      </c>
      <c r="I1110" s="4" t="n">
        <v>0</v>
      </c>
      <c r="J1110" s="4" t="n">
        <v>0</v>
      </c>
      <c r="K1110" s="4" t="n">
        <v>0</v>
      </c>
      <c r="M1110" s="2">
        <f>IF(C1110="","",IFERROR(INDEX($S$5:$S$304,MATCH(C1110,$R$5:$R$304,0))&amp;"","?"))</f>
        <v/>
      </c>
      <c r="N1110" s="2">
        <f>IF(E1110="","",IF(ISNUMBER(SEARCH("SUBSOLO",E1110)),IFERROR(-VALUE(LEFT(E1110,FIND("º",SUBSTITUTE(E1110,"°","º"))-1)),-1),IF(LEFT(E1110,6)="TÉRREO",0,IFERROR(VALUE(LEFT(E1110,FIND("º",SUBSTITUTE(E1110,"°","º"))-1)),""))))</f>
        <v/>
      </c>
      <c r="O1110" s="2">
        <f>IF(OR(F1110="",G1110=""),"",IF(G1110&lt;='RETRATO 2027'!$K$5,"CONCLUÍDA",IF(F1110&lt;='RETRATO 2027'!$K$5,"EM ANDAMENTO","A INICIAR")))</f>
        <v/>
      </c>
    </row>
    <row r="1111">
      <c r="B1111" s="4" t="n">
        <v>30205710</v>
      </c>
      <c r="C1111" s="4" t="inlineStr">
        <is>
          <t>FIAÇÃO ELÉTRICA</t>
        </is>
      </c>
      <c r="D1111" s="4" t="inlineStr">
        <is>
          <t>-</t>
        </is>
      </c>
      <c r="E1111" s="4" t="inlineStr">
        <is>
          <t>SUBSOLO</t>
        </is>
      </c>
      <c r="F1111" s="126" t="n">
        <v>46776</v>
      </c>
      <c r="G1111" s="126" t="n">
        <v>46805</v>
      </c>
      <c r="H1111" s="126" t="n">
        <v>46289</v>
      </c>
      <c r="I1111" s="4" t="n">
        <v>0</v>
      </c>
      <c r="J1111" s="4" t="n">
        <v>0</v>
      </c>
      <c r="K1111" s="4" t="n">
        <v>0</v>
      </c>
      <c r="M1111" s="2">
        <f>IF(C1111="","",IFERROR(INDEX($S$5:$S$304,MATCH(C1111,$R$5:$R$304,0))&amp;"","?"))</f>
        <v/>
      </c>
      <c r="N1111" s="2">
        <f>IF(E1111="","",IF(ISNUMBER(SEARCH("SUBSOLO",E1111)),IFERROR(-VALUE(LEFT(E1111,FIND("º",SUBSTITUTE(E1111,"°","º"))-1)),-1),IF(LEFT(E1111,6)="TÉRREO",0,IFERROR(VALUE(LEFT(E1111,FIND("º",SUBSTITUTE(E1111,"°","º"))-1)),""))))</f>
        <v/>
      </c>
      <c r="O1111" s="2">
        <f>IF(OR(F1111="",G1111=""),"",IF(G1111&lt;='RETRATO 2027'!$K$5,"CONCLUÍDA",IF(F1111&lt;='RETRATO 2027'!$K$5,"EM ANDAMENTO","A INICIAR")))</f>
        <v/>
      </c>
    </row>
    <row r="1112">
      <c r="B1112" s="4" t="n">
        <v>30214057</v>
      </c>
      <c r="C1112" s="4" t="inlineStr">
        <is>
          <t>FIAÇÃO TELECOM/DADOS</t>
        </is>
      </c>
      <c r="D1112" s="4" t="inlineStr">
        <is>
          <t>-</t>
        </is>
      </c>
      <c r="E1112" s="4" t="inlineStr">
        <is>
          <t>SUBSOLO</t>
        </is>
      </c>
      <c r="F1112" s="126" t="n">
        <v>46776</v>
      </c>
      <c r="G1112" s="126" t="n">
        <v>46787</v>
      </c>
      <c r="H1112" s="126" t="n">
        <v>46289</v>
      </c>
      <c r="I1112" s="4" t="n">
        <v>0</v>
      </c>
      <c r="J1112" s="4" t="n">
        <v>0</v>
      </c>
      <c r="K1112" s="4" t="n">
        <v>0</v>
      </c>
      <c r="M1112" s="2">
        <f>IF(C1112="","",IFERROR(INDEX($S$5:$S$304,MATCH(C1112,$R$5:$R$304,0))&amp;"","?"))</f>
        <v/>
      </c>
      <c r="N1112" s="2">
        <f>IF(E1112="","",IF(ISNUMBER(SEARCH("SUBSOLO",E1112)),IFERROR(-VALUE(LEFT(E1112,FIND("º",SUBSTITUTE(E1112,"°","º"))-1)),-1),IF(LEFT(E1112,6)="TÉRREO",0,IFERROR(VALUE(LEFT(E1112,FIND("º",SUBSTITUTE(E1112,"°","º"))-1)),""))))</f>
        <v/>
      </c>
      <c r="O1112" s="2">
        <f>IF(OR(F1112="",G1112=""),"",IF(G1112&lt;='RETRATO 2027'!$K$5,"CONCLUÍDA",IF(F1112&lt;='RETRATO 2027'!$K$5,"EM ANDAMENTO","A INICIAR")))</f>
        <v/>
      </c>
    </row>
    <row r="1113">
      <c r="B1113" s="4" t="n">
        <v>30171506</v>
      </c>
      <c r="C1113" s="4" t="inlineStr">
        <is>
          <t>PINTURA 1º DEMÃO</t>
        </is>
      </c>
      <c r="D1113" s="4" t="inlineStr">
        <is>
          <t>-</t>
        </is>
      </c>
      <c r="E1113" s="4" t="inlineStr">
        <is>
          <t>HALL - APTOS</t>
        </is>
      </c>
      <c r="F1113" s="126" t="n">
        <v>46776</v>
      </c>
      <c r="G1113" s="126" t="n">
        <v>47123</v>
      </c>
      <c r="H1113" s="126" t="n">
        <v>46289</v>
      </c>
      <c r="I1113" s="4" t="n">
        <v>0</v>
      </c>
      <c r="J1113" s="4" t="n">
        <v>0</v>
      </c>
      <c r="K1113" s="4" t="n">
        <v>0</v>
      </c>
      <c r="M1113" s="2">
        <f>IF(C1113="","",IFERROR(INDEX($S$5:$S$304,MATCH(C1113,$R$5:$R$304,0))&amp;"","?"))</f>
        <v/>
      </c>
      <c r="N1113" s="2">
        <f>IF(E1113="","",IF(ISNUMBER(SEARCH("SUBSOLO",E1113)),IFERROR(-VALUE(LEFT(E1113,FIND("º",SUBSTITUTE(E1113,"°","º"))-1)),-1),IF(LEFT(E1113,6)="TÉRREO",0,IFERROR(VALUE(LEFT(E1113,FIND("º",SUBSTITUTE(E1113,"°","º"))-1)),""))))</f>
        <v/>
      </c>
      <c r="O1113" s="2">
        <f>IF(OR(F1113="",G1113=""),"",IF(G1113&lt;='RETRATO 2027'!$K$5,"CONCLUÍDA",IF(F1113&lt;='RETRATO 2027'!$K$5,"EM ANDAMENTO","A INICIAR")))</f>
        <v/>
      </c>
    </row>
    <row r="1114">
      <c r="B1114" s="4" t="n">
        <v>29981528</v>
      </c>
      <c r="C1114" s="4" t="inlineStr">
        <is>
          <t>PISO VINÍLICO / LAMINADO</t>
        </is>
      </c>
      <c r="D1114" s="4" t="inlineStr">
        <is>
          <t>-</t>
        </is>
      </c>
      <c r="E1114" s="4" t="inlineStr">
        <is>
          <t>7º PAV.</t>
        </is>
      </c>
      <c r="F1114" s="126" t="n">
        <v>46776</v>
      </c>
      <c r="G1114" s="126" t="n">
        <v>46786</v>
      </c>
      <c r="H1114" s="126" t="n">
        <v>46289</v>
      </c>
      <c r="I1114" s="4" t="n">
        <v>0</v>
      </c>
      <c r="J1114" s="4" t="n">
        <v>0</v>
      </c>
      <c r="K1114" s="4" t="n">
        <v>0</v>
      </c>
      <c r="M1114" s="2">
        <f>IF(C1114="","",IFERROR(INDEX($S$5:$S$304,MATCH(C1114,$R$5:$R$304,0))&amp;"","?"))</f>
        <v/>
      </c>
      <c r="N1114" s="2">
        <f>IF(E1114="","",IF(ISNUMBER(SEARCH("SUBSOLO",E1114)),IFERROR(-VALUE(LEFT(E1114,FIND("º",SUBSTITUTE(E1114,"°","º"))-1)),-1),IF(LEFT(E1114,6)="TÉRREO",0,IFERROR(VALUE(LEFT(E1114,FIND("º",SUBSTITUTE(E1114,"°","º"))-1)),""))))</f>
        <v/>
      </c>
      <c r="O1114" s="2">
        <f>IF(OR(F1114="",G1114=""),"",IF(G1114&lt;='RETRATO 2027'!$K$5,"CONCLUÍDA",IF(F1114&lt;='RETRATO 2027'!$K$5,"EM ANDAMENTO","A INICIAR")))</f>
        <v/>
      </c>
    </row>
    <row r="1115">
      <c r="B1115" s="4" t="n">
        <v>29981490</v>
      </c>
      <c r="C1115" s="4" t="inlineStr">
        <is>
          <t>PINTURA 1º DEMÃO</t>
        </is>
      </c>
      <c r="D1115" s="4" t="inlineStr">
        <is>
          <t>-</t>
        </is>
      </c>
      <c r="E1115" s="4" t="inlineStr">
        <is>
          <t>8º PAV.</t>
        </is>
      </c>
      <c r="F1115" s="126" t="n">
        <v>46776</v>
      </c>
      <c r="G1115" s="126" t="n">
        <v>46786</v>
      </c>
      <c r="H1115" s="126" t="n">
        <v>46289</v>
      </c>
      <c r="I1115" s="4" t="n">
        <v>0</v>
      </c>
      <c r="J1115" s="4" t="n">
        <v>0</v>
      </c>
      <c r="K1115" s="4" t="n">
        <v>0</v>
      </c>
      <c r="M1115" s="2">
        <f>IF(C1115="","",IFERROR(INDEX($S$5:$S$304,MATCH(C1115,$R$5:$R$304,0))&amp;"","?"))</f>
        <v/>
      </c>
      <c r="N1115" s="2">
        <f>IF(E1115="","",IF(ISNUMBER(SEARCH("SUBSOLO",E1115)),IFERROR(-VALUE(LEFT(E1115,FIND("º",SUBSTITUTE(E1115,"°","º"))-1)),-1),IF(LEFT(E1115,6)="TÉRREO",0,IFERROR(VALUE(LEFT(E1115,FIND("º",SUBSTITUTE(E1115,"°","º"))-1)),""))))</f>
        <v/>
      </c>
      <c r="O1115" s="2">
        <f>IF(OR(F1115="",G1115=""),"",IF(G1115&lt;='RETRATO 2027'!$K$5,"CONCLUÍDA",IF(F1115&lt;='RETRATO 2027'!$K$5,"EM ANDAMENTO","A INICIAR")))</f>
        <v/>
      </c>
    </row>
    <row r="1116">
      <c r="B1116" s="4" t="n">
        <v>29981479</v>
      </c>
      <c r="C1116" s="4" t="inlineStr">
        <is>
          <t>MASSA CORRIDA</t>
        </is>
      </c>
      <c r="D1116" s="4" t="inlineStr">
        <is>
          <t>-</t>
        </is>
      </c>
      <c r="E1116" s="4" t="inlineStr">
        <is>
          <t>9º PAV.</t>
        </is>
      </c>
      <c r="F1116" s="126" t="n">
        <v>46776</v>
      </c>
      <c r="G1116" s="126" t="n">
        <v>46786</v>
      </c>
      <c r="H1116" s="126" t="n">
        <v>46289</v>
      </c>
      <c r="I1116" s="4" t="n">
        <v>0</v>
      </c>
      <c r="J1116" s="4" t="n">
        <v>0</v>
      </c>
      <c r="K1116" s="4" t="n">
        <v>0</v>
      </c>
      <c r="M1116" s="2">
        <f>IF(C1116="","",IFERROR(INDEX($S$5:$S$304,MATCH(C1116,$R$5:$R$304,0))&amp;"","?"))</f>
        <v/>
      </c>
      <c r="N1116" s="2">
        <f>IF(E1116="","",IF(ISNUMBER(SEARCH("SUBSOLO",E1116)),IFERROR(-VALUE(LEFT(E1116,FIND("º",SUBSTITUTE(E1116,"°","º"))-1)),-1),IF(LEFT(E1116,6)="TÉRREO",0,IFERROR(VALUE(LEFT(E1116,FIND("º",SUBSTITUTE(E1116,"°","º"))-1)),""))))</f>
        <v/>
      </c>
      <c r="O1116" s="2">
        <f>IF(OR(F1116="",G1116=""),"",IF(G1116&lt;='RETRATO 2027'!$K$5,"CONCLUÍDA",IF(F1116&lt;='RETRATO 2027'!$K$5,"EM ANDAMENTO","A INICIAR")))</f>
        <v/>
      </c>
    </row>
    <row r="1117">
      <c r="B1117" s="4" t="n">
        <v>33898091</v>
      </c>
      <c r="C1117" s="4" t="inlineStr">
        <is>
          <t>ESQUADRIA DE ALUMÍNIO</t>
        </is>
      </c>
      <c r="D1117" s="4" t="inlineStr">
        <is>
          <t>-</t>
        </is>
      </c>
      <c r="E1117" s="4" t="inlineStr">
        <is>
          <t>10º PAV.</t>
        </is>
      </c>
      <c r="F1117" s="126" t="n">
        <v>46776</v>
      </c>
      <c r="G1117" s="126" t="n">
        <v>46786</v>
      </c>
      <c r="H1117" s="126" t="n">
        <v>46289</v>
      </c>
      <c r="I1117" s="4" t="n">
        <v>0</v>
      </c>
      <c r="J1117" s="4" t="n">
        <v>0</v>
      </c>
      <c r="K1117" s="4" t="n">
        <v>0</v>
      </c>
      <c r="M1117" s="2">
        <f>IF(C1117="","",IFERROR(INDEX($S$5:$S$304,MATCH(C1117,$R$5:$R$304,0))&amp;"","?"))</f>
        <v/>
      </c>
      <c r="N1117" s="2">
        <f>IF(E1117="","",IF(ISNUMBER(SEARCH("SUBSOLO",E1117)),IFERROR(-VALUE(LEFT(E1117,FIND("º",SUBSTITUTE(E1117,"°","º"))-1)),-1),IF(LEFT(E1117,6)="TÉRREO",0,IFERROR(VALUE(LEFT(E1117,FIND("º",SUBSTITUTE(E1117,"°","º"))-1)),""))))</f>
        <v/>
      </c>
      <c r="O1117" s="2">
        <f>IF(OR(F1117="",G1117=""),"",IF(G1117&lt;='RETRATO 2027'!$K$5,"CONCLUÍDA",IF(F1117&lt;='RETRATO 2027'!$K$5,"EM ANDAMENTO","A INICIAR")))</f>
        <v/>
      </c>
    </row>
    <row r="1118">
      <c r="B1118" s="4" t="n">
        <v>29981292</v>
      </c>
      <c r="C1118" s="4" t="inlineStr">
        <is>
          <t>FORRO</t>
        </is>
      </c>
      <c r="D1118" s="4" t="inlineStr">
        <is>
          <t>-</t>
        </is>
      </c>
      <c r="E1118" s="4" t="inlineStr">
        <is>
          <t>14º PAV.</t>
        </is>
      </c>
      <c r="F1118" s="126" t="n">
        <v>46777</v>
      </c>
      <c r="G1118" s="126" t="n">
        <v>46787</v>
      </c>
      <c r="H1118" s="126" t="n">
        <v>46289</v>
      </c>
      <c r="I1118" s="4" t="n">
        <v>0</v>
      </c>
      <c r="J1118" s="4" t="n">
        <v>0</v>
      </c>
      <c r="K1118" s="4" t="n">
        <v>0</v>
      </c>
      <c r="M1118" s="2">
        <f>IF(C1118="","",IFERROR(INDEX($S$5:$S$304,MATCH(C1118,$R$5:$R$304,0))&amp;"","?"))</f>
        <v/>
      </c>
      <c r="N1118" s="2">
        <f>IF(E1118="","",IF(ISNUMBER(SEARCH("SUBSOLO",E1118)),IFERROR(-VALUE(LEFT(E1118,FIND("º",SUBSTITUTE(E1118,"°","º"))-1)),-1),IF(LEFT(E1118,6)="TÉRREO",0,IFERROR(VALUE(LEFT(E1118,FIND("º",SUBSTITUTE(E1118,"°","º"))-1)),""))))</f>
        <v/>
      </c>
      <c r="O1118" s="2">
        <f>IF(OR(F1118="",G1118=""),"",IF(G1118&lt;='RETRATO 2027'!$K$5,"CONCLUÍDA",IF(F1118&lt;='RETRATO 2027'!$K$5,"EM ANDAMENTO","A INICIAR")))</f>
        <v/>
      </c>
    </row>
    <row r="1119">
      <c r="B1119" s="4" t="n">
        <v>29981253</v>
      </c>
      <c r="C1119" s="4" t="inlineStr">
        <is>
          <t>FIAÇÃO ELÉTRICA</t>
        </is>
      </c>
      <c r="D1119" s="4" t="inlineStr">
        <is>
          <t>-</t>
        </is>
      </c>
      <c r="E1119" s="4" t="inlineStr">
        <is>
          <t>15º PAV.</t>
        </is>
      </c>
      <c r="F1119" s="126" t="n">
        <v>46777</v>
      </c>
      <c r="G1119" s="126" t="n">
        <v>46787</v>
      </c>
      <c r="H1119" s="126" t="n">
        <v>46289</v>
      </c>
      <c r="I1119" s="4" t="n">
        <v>0</v>
      </c>
      <c r="J1119" s="4" t="n">
        <v>0</v>
      </c>
      <c r="K1119" s="4" t="n">
        <v>0</v>
      </c>
      <c r="M1119" s="2">
        <f>IF(C1119="","",IFERROR(INDEX($S$5:$S$304,MATCH(C1119,$R$5:$R$304,0))&amp;"","?"))</f>
        <v/>
      </c>
      <c r="N1119" s="2">
        <f>IF(E1119="","",IF(ISNUMBER(SEARCH("SUBSOLO",E1119)),IFERROR(-VALUE(LEFT(E1119,FIND("º",SUBSTITUTE(E1119,"°","º"))-1)),-1),IF(LEFT(E1119,6)="TÉRREO",0,IFERROR(VALUE(LEFT(E1119,FIND("º",SUBSTITUTE(E1119,"°","º"))-1)),""))))</f>
        <v/>
      </c>
      <c r="O1119" s="2">
        <f>IF(OR(F1119="",G1119=""),"",IF(G1119&lt;='RETRATO 2027'!$K$5,"CONCLUÍDA",IF(F1119&lt;='RETRATO 2027'!$K$5,"EM ANDAMENTO","A INICIAR")))</f>
        <v/>
      </c>
    </row>
    <row r="1120">
      <c r="B1120" s="4" t="n">
        <v>29981258</v>
      </c>
      <c r="C1120" s="4" t="inlineStr">
        <is>
          <t>PRUMADA ELÉTRICA - CABOS</t>
        </is>
      </c>
      <c r="D1120" s="4" t="inlineStr">
        <is>
          <t>-</t>
        </is>
      </c>
      <c r="E1120" s="4" t="inlineStr">
        <is>
          <t>15º PAV.</t>
        </is>
      </c>
      <c r="F1120" s="126" t="n">
        <v>46777</v>
      </c>
      <c r="G1120" s="126" t="n">
        <v>46787</v>
      </c>
      <c r="H1120" s="126" t="n">
        <v>46289</v>
      </c>
      <c r="I1120" s="4" t="n">
        <v>0</v>
      </c>
      <c r="J1120" s="4" t="n">
        <v>0</v>
      </c>
      <c r="K1120" s="4" t="n">
        <v>0</v>
      </c>
      <c r="M1120" s="2">
        <f>IF(C1120="","",IFERROR(INDEX($S$5:$S$304,MATCH(C1120,$R$5:$R$304,0))&amp;"","?"))</f>
        <v/>
      </c>
      <c r="N1120" s="2">
        <f>IF(E1120="","",IF(ISNUMBER(SEARCH("SUBSOLO",E1120)),IFERROR(-VALUE(LEFT(E1120,FIND("º",SUBSTITUTE(E1120,"°","º"))-1)),-1),IF(LEFT(E1120,6)="TÉRREO",0,IFERROR(VALUE(LEFT(E1120,FIND("º",SUBSTITUTE(E1120,"°","º"))-1)),""))))</f>
        <v/>
      </c>
      <c r="O1120" s="2">
        <f>IF(OR(F1120="",G1120=""),"",IF(G1120&lt;='RETRATO 2027'!$K$5,"CONCLUÍDA",IF(F1120&lt;='RETRATO 2027'!$K$5,"EM ANDAMENTO","A INICIAR")))</f>
        <v/>
      </c>
    </row>
    <row r="1121">
      <c r="B1121" s="4" t="n">
        <v>30214077</v>
      </c>
      <c r="C1121" s="4" t="inlineStr">
        <is>
          <t>FIAÇÃO TELECOM/DADOS</t>
        </is>
      </c>
      <c r="D1121" s="4" t="inlineStr">
        <is>
          <t>-</t>
        </is>
      </c>
      <c r="E1121" s="4" t="inlineStr">
        <is>
          <t>15º PAV.</t>
        </is>
      </c>
      <c r="F1121" s="126" t="n">
        <v>46777</v>
      </c>
      <c r="G1121" s="126" t="n">
        <v>46790</v>
      </c>
      <c r="H1121" s="126" t="n">
        <v>46289</v>
      </c>
      <c r="I1121" s="4" t="n">
        <v>0</v>
      </c>
      <c r="J1121" s="4" t="n">
        <v>0</v>
      </c>
      <c r="K1121" s="4" t="n">
        <v>0</v>
      </c>
      <c r="M1121" s="2">
        <f>IF(C1121="","",IFERROR(INDEX($S$5:$S$304,MATCH(C1121,$R$5:$R$304,0))&amp;"","?"))</f>
        <v/>
      </c>
      <c r="N1121" s="2">
        <f>IF(E1121="","",IF(ISNUMBER(SEARCH("SUBSOLO",E1121)),IFERROR(-VALUE(LEFT(E1121,FIND("º",SUBSTITUTE(E1121,"°","º"))-1)),-1),IF(LEFT(E1121,6)="TÉRREO",0,IFERROR(VALUE(LEFT(E1121,FIND("º",SUBSTITUTE(E1121,"°","º"))-1)),""))))</f>
        <v/>
      </c>
      <c r="O1121" s="2">
        <f>IF(OR(F1121="",G1121=""),"",IF(G1121&lt;='RETRATO 2027'!$K$5,"CONCLUÍDA",IF(F1121&lt;='RETRATO 2027'!$K$5,"EM ANDAMENTO","A INICIAR")))</f>
        <v/>
      </c>
    </row>
    <row r="1122">
      <c r="B1122" s="4" t="n">
        <v>29981200</v>
      </c>
      <c r="C1122" s="4" t="inlineStr">
        <is>
          <t>BANCADAS</t>
        </is>
      </c>
      <c r="D1122" s="4" t="inlineStr">
        <is>
          <t>-</t>
        </is>
      </c>
      <c r="E1122" s="4" t="inlineStr">
        <is>
          <t>16º PAV.</t>
        </is>
      </c>
      <c r="F1122" s="126" t="n">
        <v>46777</v>
      </c>
      <c r="G1122" s="126" t="n">
        <v>46787</v>
      </c>
      <c r="H1122" s="126" t="n">
        <v>46289</v>
      </c>
      <c r="I1122" s="4" t="n">
        <v>0</v>
      </c>
      <c r="J1122" s="4" t="n">
        <v>0</v>
      </c>
      <c r="K1122" s="4" t="n">
        <v>0</v>
      </c>
      <c r="M1122" s="2">
        <f>IF(C1122="","",IFERROR(INDEX($S$5:$S$304,MATCH(C1122,$R$5:$R$304,0))&amp;"","?"))</f>
        <v/>
      </c>
      <c r="N1122" s="2">
        <f>IF(E1122="","",IF(ISNUMBER(SEARCH("SUBSOLO",E1122)),IFERROR(-VALUE(LEFT(E1122,FIND("º",SUBSTITUTE(E1122,"°","º"))-1)),-1),IF(LEFT(E1122,6)="TÉRREO",0,IFERROR(VALUE(LEFT(E1122,FIND("º",SUBSTITUTE(E1122,"°","º"))-1)),""))))</f>
        <v/>
      </c>
      <c r="O1122" s="2">
        <f>IF(OR(F1122="",G1122=""),"",IF(G1122&lt;='RETRATO 2027'!$K$5,"CONCLUÍDA",IF(F1122&lt;='RETRATO 2027'!$K$5,"EM ANDAMENTO","A INICIAR")))</f>
        <v/>
      </c>
    </row>
    <row r="1123">
      <c r="B1123" s="4" t="n">
        <v>29981162</v>
      </c>
      <c r="C1123" s="4" t="inlineStr">
        <is>
          <t>REVESTIMENTOS PORCELANATO PISO</t>
        </is>
      </c>
      <c r="D1123" s="4" t="inlineStr">
        <is>
          <t>-</t>
        </is>
      </c>
      <c r="E1123" s="4" t="inlineStr">
        <is>
          <t>17º PAV.</t>
        </is>
      </c>
      <c r="F1123" s="126" t="n">
        <v>46777</v>
      </c>
      <c r="G1123" s="126" t="n">
        <v>46787</v>
      </c>
      <c r="H1123" s="126" t="n">
        <v>46289</v>
      </c>
      <c r="I1123" s="4" t="n">
        <v>0</v>
      </c>
      <c r="J1123" s="4" t="n">
        <v>0</v>
      </c>
      <c r="K1123" s="4" t="n">
        <v>0</v>
      </c>
      <c r="M1123" s="2">
        <f>IF(C1123="","",IFERROR(INDEX($S$5:$S$304,MATCH(C1123,$R$5:$R$304,0))&amp;"","?"))</f>
        <v/>
      </c>
      <c r="N1123" s="2">
        <f>IF(E1123="","",IF(ISNUMBER(SEARCH("SUBSOLO",E1123)),IFERROR(-VALUE(LEFT(E1123,FIND("º",SUBSTITUTE(E1123,"°","º"))-1)),-1),IF(LEFT(E1123,6)="TÉRREO",0,IFERROR(VALUE(LEFT(E1123,FIND("º",SUBSTITUTE(E1123,"°","º"))-1)),""))))</f>
        <v/>
      </c>
      <c r="O1123" s="2">
        <f>IF(OR(F1123="",G1123=""),"",IF(G1123&lt;='RETRATO 2027'!$K$5,"CONCLUÍDA",IF(F1123&lt;='RETRATO 2027'!$K$5,"EM ANDAMENTO","A INICIAR")))</f>
        <v/>
      </c>
    </row>
    <row r="1124">
      <c r="B1124" s="4" t="n">
        <v>29981141</v>
      </c>
      <c r="C1124" s="4" t="inlineStr">
        <is>
          <t>REVESTIMENTO PORCELANATO PAREDE</t>
        </is>
      </c>
      <c r="D1124" s="4" t="inlineStr">
        <is>
          <t>-</t>
        </is>
      </c>
      <c r="E1124" s="4" t="inlineStr">
        <is>
          <t>18º PAV.</t>
        </is>
      </c>
      <c r="F1124" s="126" t="n">
        <v>46777</v>
      </c>
      <c r="G1124" s="126" t="n">
        <v>46787</v>
      </c>
      <c r="H1124" s="126" t="n">
        <v>46289</v>
      </c>
      <c r="I1124" s="4" t="n">
        <v>0</v>
      </c>
      <c r="J1124" s="4" t="n">
        <v>0</v>
      </c>
      <c r="K1124" s="4" t="n">
        <v>0</v>
      </c>
      <c r="M1124" s="2">
        <f>IF(C1124="","",IFERROR(INDEX($S$5:$S$304,MATCH(C1124,$R$5:$R$304,0))&amp;"","?"))</f>
        <v/>
      </c>
      <c r="N1124" s="2">
        <f>IF(E1124="","",IF(ISNUMBER(SEARCH("SUBSOLO",E1124)),IFERROR(-VALUE(LEFT(E1124,FIND("º",SUBSTITUTE(E1124,"°","º"))-1)),-1),IF(LEFT(E1124,6)="TÉRREO",0,IFERROR(VALUE(LEFT(E1124,FIND("º",SUBSTITUTE(E1124,"°","º"))-1)),""))))</f>
        <v/>
      </c>
      <c r="O1124" s="2">
        <f>IF(OR(F1124="",G1124=""),"",IF(G1124&lt;='RETRATO 2027'!$K$5,"CONCLUÍDA",IF(F1124&lt;='RETRATO 2027'!$K$5,"EM ANDAMENTO","A INICIAR")))</f>
        <v/>
      </c>
    </row>
    <row r="1125">
      <c r="B1125" s="4" t="n">
        <v>29981065</v>
      </c>
      <c r="C1125" s="4" t="inlineStr">
        <is>
          <t>IMPERMEABILIZAÇÃO</t>
        </is>
      </c>
      <c r="D1125" s="4" t="inlineStr">
        <is>
          <t>-</t>
        </is>
      </c>
      <c r="E1125" s="4" t="inlineStr">
        <is>
          <t>20º PAV.</t>
        </is>
      </c>
      <c r="F1125" s="126" t="n">
        <v>46777</v>
      </c>
      <c r="G1125" s="126" t="n">
        <v>46787</v>
      </c>
      <c r="H1125" s="126" t="n">
        <v>46289</v>
      </c>
      <c r="I1125" s="4" t="n">
        <v>0</v>
      </c>
      <c r="J1125" s="4" t="n">
        <v>0</v>
      </c>
      <c r="K1125" s="4" t="n">
        <v>0</v>
      </c>
      <c r="M1125" s="2">
        <f>IF(C1125="","",IFERROR(INDEX($S$5:$S$304,MATCH(C1125,$R$5:$R$304,0))&amp;"","?"))</f>
        <v/>
      </c>
      <c r="N1125" s="2">
        <f>IF(E1125="","",IF(ISNUMBER(SEARCH("SUBSOLO",E1125)),IFERROR(-VALUE(LEFT(E1125,FIND("º",SUBSTITUTE(E1125,"°","º"))-1)),-1),IF(LEFT(E1125,6)="TÉRREO",0,IFERROR(VALUE(LEFT(E1125,FIND("º",SUBSTITUTE(E1125,"°","º"))-1)),""))))</f>
        <v/>
      </c>
      <c r="O1125" s="2">
        <f>IF(OR(F1125="",G1125=""),"",IF(G1125&lt;='RETRATO 2027'!$K$5,"CONCLUÍDA",IF(F1125&lt;='RETRATO 2027'!$K$5,"EM ANDAMENTO","A INICIAR")))</f>
        <v/>
      </c>
    </row>
    <row r="1126">
      <c r="B1126" s="4" t="n">
        <v>32750447</v>
      </c>
      <c r="C1126" s="4" t="inlineStr">
        <is>
          <t>DRYWALL 2º FACE</t>
        </is>
      </c>
      <c r="D1126" s="4" t="inlineStr">
        <is>
          <t>-</t>
        </is>
      </c>
      <c r="E1126" s="4" t="inlineStr">
        <is>
          <t>21º PAV.</t>
        </is>
      </c>
      <c r="F1126" s="126" t="n">
        <v>46777</v>
      </c>
      <c r="G1126" s="126" t="n">
        <v>46787</v>
      </c>
      <c r="H1126" s="126" t="n">
        <v>46289</v>
      </c>
      <c r="I1126" s="4" t="n">
        <v>0</v>
      </c>
      <c r="J1126" s="4" t="n">
        <v>0</v>
      </c>
      <c r="K1126" s="4" t="n">
        <v>0</v>
      </c>
      <c r="M1126" s="2">
        <f>IF(C1126="","",IFERROR(INDEX($S$5:$S$304,MATCH(C1126,$R$5:$R$304,0))&amp;"","?"))</f>
        <v/>
      </c>
      <c r="N1126" s="2">
        <f>IF(E1126="","",IF(ISNUMBER(SEARCH("SUBSOLO",E1126)),IFERROR(-VALUE(LEFT(E1126,FIND("º",SUBSTITUTE(E1126,"°","º"))-1)),-1),IF(LEFT(E1126,6)="TÉRREO",0,IFERROR(VALUE(LEFT(E1126,FIND("º",SUBSTITUTE(E1126,"°","º"))-1)),""))))</f>
        <v/>
      </c>
      <c r="O1126" s="2">
        <f>IF(OR(F1126="",G1126=""),"",IF(G1126&lt;='RETRATO 2027'!$K$5,"CONCLUÍDA",IF(F1126&lt;='RETRATO 2027'!$K$5,"EM ANDAMENTO","A INICIAR")))</f>
        <v/>
      </c>
    </row>
    <row r="1127">
      <c r="B1127" s="4" t="n">
        <v>32750370</v>
      </c>
      <c r="C1127" s="4" t="inlineStr">
        <is>
          <t>DISTRIBUIÇÃO DE GÁS - DRYWALL</t>
        </is>
      </c>
      <c r="D1127" s="4" t="inlineStr">
        <is>
          <t>-</t>
        </is>
      </c>
      <c r="E1127" s="4" t="inlineStr">
        <is>
          <t>22º PAV.</t>
        </is>
      </c>
      <c r="F1127" s="126" t="n">
        <v>46777</v>
      </c>
      <c r="G1127" s="126" t="n">
        <v>46787</v>
      </c>
      <c r="H1127" s="126" t="n">
        <v>46289</v>
      </c>
      <c r="I1127" s="4" t="n">
        <v>0</v>
      </c>
      <c r="J1127" s="4" t="n">
        <v>0</v>
      </c>
      <c r="K1127" s="4" t="n">
        <v>0</v>
      </c>
      <c r="M1127" s="2">
        <f>IF(C1127="","",IFERROR(INDEX($S$5:$S$304,MATCH(C1127,$R$5:$R$304,0))&amp;"","?"))</f>
        <v/>
      </c>
      <c r="N1127" s="2">
        <f>IF(E1127="","",IF(ISNUMBER(SEARCH("SUBSOLO",E1127)),IFERROR(-VALUE(LEFT(E1127,FIND("º",SUBSTITUTE(E1127,"°","º"))-1)),-1),IF(LEFT(E1127,6)="TÉRREO",0,IFERROR(VALUE(LEFT(E1127,FIND("º",SUBSTITUTE(E1127,"°","º"))-1)),""))))</f>
        <v/>
      </c>
      <c r="O1127" s="2">
        <f>IF(OR(F1127="",G1127=""),"",IF(G1127&lt;='RETRATO 2027'!$K$5,"CONCLUÍDA",IF(F1127&lt;='RETRATO 2027'!$K$5,"EM ANDAMENTO","A INICIAR")))</f>
        <v/>
      </c>
    </row>
    <row r="1128">
      <c r="B1128" s="4" t="n">
        <v>32750396</v>
      </c>
      <c r="C1128" s="4" t="inlineStr">
        <is>
          <t>DISTRIBUIÇÃO ELÉTRICA/QUADRO - DRYWALL</t>
        </is>
      </c>
      <c r="D1128" s="4" t="inlineStr">
        <is>
          <t>-</t>
        </is>
      </c>
      <c r="E1128" s="4" t="inlineStr">
        <is>
          <t>22º PAV.</t>
        </is>
      </c>
      <c r="F1128" s="126" t="n">
        <v>46777</v>
      </c>
      <c r="G1128" s="126" t="n">
        <v>46787</v>
      </c>
      <c r="H1128" s="126" t="n">
        <v>46289</v>
      </c>
      <c r="I1128" s="4" t="n">
        <v>0</v>
      </c>
      <c r="J1128" s="4" t="n">
        <v>0</v>
      </c>
      <c r="K1128" s="4" t="n">
        <v>0</v>
      </c>
      <c r="M1128" s="2">
        <f>IF(C1128="","",IFERROR(INDEX($S$5:$S$304,MATCH(C1128,$R$5:$R$304,0))&amp;"","?"))</f>
        <v/>
      </c>
      <c r="N1128" s="2">
        <f>IF(E1128="","",IF(ISNUMBER(SEARCH("SUBSOLO",E1128)),IFERROR(-VALUE(LEFT(E1128,FIND("º",SUBSTITUTE(E1128,"°","º"))-1)),-1),IF(LEFT(E1128,6)="TÉRREO",0,IFERROR(VALUE(LEFT(E1128,FIND("º",SUBSTITUTE(E1128,"°","º"))-1)),""))))</f>
        <v/>
      </c>
      <c r="O1128" s="2">
        <f>IF(OR(F1128="",G1128=""),"",IF(G1128&lt;='RETRATO 2027'!$K$5,"CONCLUÍDA",IF(F1128&lt;='RETRATO 2027'!$K$5,"EM ANDAMENTO","A INICIAR")))</f>
        <v/>
      </c>
    </row>
    <row r="1129">
      <c r="B1129" s="4" t="n">
        <v>32750422</v>
      </c>
      <c r="C1129" s="4" t="inlineStr">
        <is>
          <t>DISTRIBUIÇÃO HIDRÁULICA - DRYWALL</t>
        </is>
      </c>
      <c r="D1129" s="4" t="inlineStr">
        <is>
          <t>-</t>
        </is>
      </c>
      <c r="E1129" s="4" t="inlineStr">
        <is>
          <t>22º PAV.</t>
        </is>
      </c>
      <c r="F1129" s="126" t="n">
        <v>46777</v>
      </c>
      <c r="G1129" s="126" t="n">
        <v>46787</v>
      </c>
      <c r="H1129" s="126" t="n">
        <v>46289</v>
      </c>
      <c r="I1129" s="4" t="n">
        <v>0</v>
      </c>
      <c r="J1129" s="4" t="n">
        <v>0</v>
      </c>
      <c r="K1129" s="4" t="n">
        <v>0</v>
      </c>
      <c r="M1129" s="2">
        <f>IF(C1129="","",IFERROR(INDEX($S$5:$S$304,MATCH(C1129,$R$5:$R$304,0))&amp;"","?"))</f>
        <v/>
      </c>
      <c r="N1129" s="2">
        <f>IF(E1129="","",IF(ISNUMBER(SEARCH("SUBSOLO",E1129)),IFERROR(-VALUE(LEFT(E1129,FIND("º",SUBSTITUTE(E1129,"°","º"))-1)),-1),IF(LEFT(E1129,6)="TÉRREO",0,IFERROR(VALUE(LEFT(E1129,FIND("º",SUBSTITUTE(E1129,"°","º"))-1)),""))))</f>
        <v/>
      </c>
      <c r="O1129" s="2">
        <f>IF(OR(F1129="",G1129=""),"",IF(G1129&lt;='RETRATO 2027'!$K$5,"CONCLUÍDA",IF(F1129&lt;='RETRATO 2027'!$K$5,"EM ANDAMENTO","A INICIAR")))</f>
        <v/>
      </c>
    </row>
    <row r="1130">
      <c r="B1130" s="4" t="n">
        <v>33896840</v>
      </c>
      <c r="C1130" s="4" t="inlineStr">
        <is>
          <t>INFRAESTRUTURA - AR CONDICIONADO</t>
        </is>
      </c>
      <c r="D1130" s="4" t="inlineStr">
        <is>
          <t>-</t>
        </is>
      </c>
      <c r="E1130" s="4" t="inlineStr">
        <is>
          <t>22º PAV.</t>
        </is>
      </c>
      <c r="F1130" s="126" t="n">
        <v>46777</v>
      </c>
      <c r="G1130" s="126" t="n">
        <v>46787</v>
      </c>
      <c r="H1130" s="126" t="n">
        <v>46289</v>
      </c>
      <c r="I1130" s="4" t="n">
        <v>0</v>
      </c>
      <c r="J1130" s="4" t="n">
        <v>0</v>
      </c>
      <c r="K1130" s="4" t="n">
        <v>0</v>
      </c>
      <c r="M1130" s="2">
        <f>IF(C1130="","",IFERROR(INDEX($S$5:$S$304,MATCH(C1130,$R$5:$R$304,0))&amp;"","?"))</f>
        <v/>
      </c>
      <c r="N1130" s="2">
        <f>IF(E1130="","",IF(ISNUMBER(SEARCH("SUBSOLO",E1130)),IFERROR(-VALUE(LEFT(E1130,FIND("º",SUBSTITUTE(E1130,"°","º"))-1)),-1),IF(LEFT(E1130,6)="TÉRREO",0,IFERROR(VALUE(LEFT(E1130,FIND("º",SUBSTITUTE(E1130,"°","º"))-1)),""))))</f>
        <v/>
      </c>
      <c r="O1130" s="2">
        <f>IF(OR(F1130="",G1130=""),"",IF(G1130&lt;='RETRATO 2027'!$K$5,"CONCLUÍDA",IF(F1130&lt;='RETRATO 2027'!$K$5,"EM ANDAMENTO","A INICIAR")))</f>
        <v/>
      </c>
    </row>
    <row r="1131">
      <c r="B1131" s="4" t="n">
        <v>32749866</v>
      </c>
      <c r="C1131" s="4" t="inlineStr">
        <is>
          <t>DRYWALL 1º FACE</t>
        </is>
      </c>
      <c r="D1131" s="4" t="inlineStr">
        <is>
          <t>-</t>
        </is>
      </c>
      <c r="E1131" s="4" t="inlineStr">
        <is>
          <t>23º PAV.</t>
        </is>
      </c>
      <c r="F1131" s="126" t="n">
        <v>46777</v>
      </c>
      <c r="G1131" s="126" t="n">
        <v>46787</v>
      </c>
      <c r="H1131" s="126" t="n">
        <v>46289</v>
      </c>
      <c r="I1131" s="4" t="n">
        <v>0</v>
      </c>
      <c r="J1131" s="4" t="n">
        <v>0</v>
      </c>
      <c r="K1131" s="4" t="n">
        <v>0</v>
      </c>
      <c r="M1131" s="2">
        <f>IF(C1131="","",IFERROR(INDEX($S$5:$S$304,MATCH(C1131,$R$5:$R$304,0))&amp;"","?"))</f>
        <v/>
      </c>
      <c r="N1131" s="2">
        <f>IF(E1131="","",IF(ISNUMBER(SEARCH("SUBSOLO",E1131)),IFERROR(-VALUE(LEFT(E1131,FIND("º",SUBSTITUTE(E1131,"°","º"))-1)),-1),IF(LEFT(E1131,6)="TÉRREO",0,IFERROR(VALUE(LEFT(E1131,FIND("º",SUBSTITUTE(E1131,"°","º"))-1)),""))))</f>
        <v/>
      </c>
      <c r="O1131" s="2">
        <f>IF(OR(F1131="",G1131=""),"",IF(G1131&lt;='RETRATO 2027'!$K$5,"CONCLUÍDA",IF(F1131&lt;='RETRATO 2027'!$K$5,"EM ANDAMENTO","A INICIAR")))</f>
        <v/>
      </c>
    </row>
    <row r="1132">
      <c r="B1132" s="4" t="n">
        <v>29980918</v>
      </c>
      <c r="C1132" s="4" t="inlineStr">
        <is>
          <t>CONTRAPISO</t>
        </is>
      </c>
      <c r="D1132" s="4" t="inlineStr">
        <is>
          <t>-</t>
        </is>
      </c>
      <c r="E1132" s="4" t="inlineStr">
        <is>
          <t>24º PAV.</t>
        </is>
      </c>
      <c r="F1132" s="126" t="n">
        <v>46777</v>
      </c>
      <c r="G1132" s="126" t="n">
        <v>46787</v>
      </c>
      <c r="H1132" s="126" t="n">
        <v>46289</v>
      </c>
      <c r="I1132" s="4" t="n">
        <v>0</v>
      </c>
      <c r="J1132" s="4" t="n">
        <v>0</v>
      </c>
      <c r="K1132" s="4" t="n">
        <v>0</v>
      </c>
      <c r="M1132" s="2">
        <f>IF(C1132="","",IFERROR(INDEX($S$5:$S$304,MATCH(C1132,$R$5:$R$304,0))&amp;"","?"))</f>
        <v/>
      </c>
      <c r="N1132" s="2">
        <f>IF(E1132="","",IF(ISNUMBER(SEARCH("SUBSOLO",E1132)),IFERROR(-VALUE(LEFT(E1132,FIND("º",SUBSTITUTE(E1132,"°","º"))-1)),-1),IF(LEFT(E1132,6)="TÉRREO",0,IFERROR(VALUE(LEFT(E1132,FIND("º",SUBSTITUTE(E1132,"°","º"))-1)),""))))</f>
        <v/>
      </c>
      <c r="O1132" s="2">
        <f>IF(OR(F1132="",G1132=""),"",IF(G1132&lt;='RETRATO 2027'!$K$5,"CONCLUÍDA",IF(F1132&lt;='RETRATO 2027'!$K$5,"EM ANDAMENTO","A INICIAR")))</f>
        <v/>
      </c>
    </row>
    <row r="1133">
      <c r="B1133" s="4" t="n">
        <v>29980858</v>
      </c>
      <c r="C1133" s="4" t="inlineStr">
        <is>
          <t>SHAFT INTERNO INST. HIDRAÚLICAS</t>
        </is>
      </c>
      <c r="D1133" s="4" t="inlineStr">
        <is>
          <t>-</t>
        </is>
      </c>
      <c r="E1133" s="4" t="inlineStr">
        <is>
          <t>25º PAV.</t>
        </is>
      </c>
      <c r="F1133" s="126" t="n">
        <v>46777</v>
      </c>
      <c r="G1133" s="126" t="n">
        <v>46787</v>
      </c>
      <c r="H1133" s="126" t="n">
        <v>46289</v>
      </c>
      <c r="I1133" s="4" t="n">
        <v>0</v>
      </c>
      <c r="J1133" s="4" t="n">
        <v>0</v>
      </c>
      <c r="K1133" s="4" t="n">
        <v>0</v>
      </c>
      <c r="M1133" s="2">
        <f>IF(C1133="","",IFERROR(INDEX($S$5:$S$304,MATCH(C1133,$R$5:$R$304,0))&amp;"","?"))</f>
        <v/>
      </c>
      <c r="N1133" s="2">
        <f>IF(E1133="","",IF(ISNUMBER(SEARCH("SUBSOLO",E1133)),IFERROR(-VALUE(LEFT(E1133,FIND("º",SUBSTITUTE(E1133,"°","º"))-1)),-1),IF(LEFT(E1133,6)="TÉRREO",0,IFERROR(VALUE(LEFT(E1133,FIND("º",SUBSTITUTE(E1133,"°","º"))-1)),""))))</f>
        <v/>
      </c>
      <c r="O1133" s="2">
        <f>IF(OR(F1133="",G1133=""),"",IF(G1133&lt;='RETRATO 2027'!$K$5,"CONCLUÍDA",IF(F1133&lt;='RETRATO 2027'!$K$5,"EM ANDAMENTO","A INICIAR")))</f>
        <v/>
      </c>
    </row>
    <row r="1134">
      <c r="B1134" s="4" t="n">
        <v>29980891</v>
      </c>
      <c r="C1134" s="4" t="inlineStr">
        <is>
          <t>PRUMADA ELÉTRICA - INFRA</t>
        </is>
      </c>
      <c r="D1134" s="4" t="inlineStr">
        <is>
          <t>-</t>
        </is>
      </c>
      <c r="E1134" s="4" t="inlineStr">
        <is>
          <t>25º PAV.</t>
        </is>
      </c>
      <c r="F1134" s="126" t="n">
        <v>46777</v>
      </c>
      <c r="G1134" s="126" t="n">
        <v>46787</v>
      </c>
      <c r="H1134" s="126" t="n">
        <v>46289</v>
      </c>
      <c r="I1134" s="4" t="n">
        <v>0</v>
      </c>
      <c r="J1134" s="4" t="n">
        <v>0</v>
      </c>
      <c r="K1134" s="4" t="n">
        <v>0</v>
      </c>
      <c r="M1134" s="2">
        <f>IF(C1134="","",IFERROR(INDEX($S$5:$S$304,MATCH(C1134,$R$5:$R$304,0))&amp;"","?"))</f>
        <v/>
      </c>
      <c r="N1134" s="2">
        <f>IF(E1134="","",IF(ISNUMBER(SEARCH("SUBSOLO",E1134)),IFERROR(-VALUE(LEFT(E1134,FIND("º",SUBSTITUTE(E1134,"°","º"))-1)),-1),IF(LEFT(E1134,6)="TÉRREO",0,IFERROR(VALUE(LEFT(E1134,FIND("º",SUBSTITUTE(E1134,"°","º"))-1)),""))))</f>
        <v/>
      </c>
      <c r="O1134" s="2">
        <f>IF(OR(F1134="",G1134=""),"",IF(G1134&lt;='RETRATO 2027'!$K$5,"CONCLUÍDA",IF(F1134&lt;='RETRATO 2027'!$K$5,"EM ANDAMENTO","A INICIAR")))</f>
        <v/>
      </c>
    </row>
    <row r="1135">
      <c r="B1135" s="4" t="n">
        <v>29980820</v>
      </c>
      <c r="C1135" s="4" t="inlineStr">
        <is>
          <t>REBOCO INTERNO</t>
        </is>
      </c>
      <c r="D1135" s="4" t="inlineStr">
        <is>
          <t>-</t>
        </is>
      </c>
      <c r="E1135" s="4" t="inlineStr">
        <is>
          <t>26º PAV.</t>
        </is>
      </c>
      <c r="F1135" s="126" t="n">
        <v>46777</v>
      </c>
      <c r="G1135" s="126" t="n">
        <v>46787</v>
      </c>
      <c r="H1135" s="126" t="n">
        <v>46289</v>
      </c>
      <c r="I1135" s="4" t="n">
        <v>0</v>
      </c>
      <c r="J1135" s="4" t="n">
        <v>0</v>
      </c>
      <c r="K1135" s="4" t="n">
        <v>0</v>
      </c>
      <c r="M1135" s="2">
        <f>IF(C1135="","",IFERROR(INDEX($S$5:$S$304,MATCH(C1135,$R$5:$R$304,0))&amp;"","?"))</f>
        <v/>
      </c>
      <c r="N1135" s="2">
        <f>IF(E1135="","",IF(ISNUMBER(SEARCH("SUBSOLO",E1135)),IFERROR(-VALUE(LEFT(E1135,FIND("º",SUBSTITUTE(E1135,"°","º"))-1)),-1),IF(LEFT(E1135,6)="TÉRREO",0,IFERROR(VALUE(LEFT(E1135,FIND("º",SUBSTITUTE(E1135,"°","º"))-1)),""))))</f>
        <v/>
      </c>
      <c r="O1135" s="2">
        <f>IF(OR(F1135="",G1135=""),"",IF(G1135&lt;='RETRATO 2027'!$K$5,"CONCLUÍDA",IF(F1135&lt;='RETRATO 2027'!$K$5,"EM ANDAMENTO","A INICIAR")))</f>
        <v/>
      </c>
    </row>
    <row r="1136">
      <c r="B1136" s="4" t="n">
        <v>29980786</v>
      </c>
      <c r="C1136" s="4" t="inlineStr">
        <is>
          <t>CONTRAMARCO</t>
        </is>
      </c>
      <c r="D1136" s="4" t="inlineStr">
        <is>
          <t>-</t>
        </is>
      </c>
      <c r="E1136" s="4" t="inlineStr">
        <is>
          <t>27º PAV.</t>
        </is>
      </c>
      <c r="F1136" s="126" t="n">
        <v>46777</v>
      </c>
      <c r="G1136" s="126" t="n">
        <v>46787</v>
      </c>
      <c r="H1136" s="126" t="n">
        <v>46289</v>
      </c>
      <c r="I1136" s="4" t="n">
        <v>0</v>
      </c>
      <c r="J1136" s="4" t="n">
        <v>0</v>
      </c>
      <c r="K1136" s="4" t="n">
        <v>0</v>
      </c>
      <c r="M1136" s="2">
        <f>IF(C1136="","",IFERROR(INDEX($S$5:$S$304,MATCH(C1136,$R$5:$R$304,0))&amp;"","?"))</f>
        <v/>
      </c>
      <c r="N1136" s="2">
        <f>IF(E1136="","",IF(ISNUMBER(SEARCH("SUBSOLO",E1136)),IFERROR(-VALUE(LEFT(E1136,FIND("º",SUBSTITUTE(E1136,"°","º"))-1)),-1),IF(LEFT(E1136,6)="TÉRREO",0,IFERROR(VALUE(LEFT(E1136,FIND("º",SUBSTITUTE(E1136,"°","º"))-1)),""))))</f>
        <v/>
      </c>
      <c r="O1136" s="2">
        <f>IF(OR(F1136="",G1136=""),"",IF(G1136&lt;='RETRATO 2027'!$K$5,"CONCLUÍDA",IF(F1136&lt;='RETRATO 2027'!$K$5,"EM ANDAMENTO","A INICIAR")))</f>
        <v/>
      </c>
    </row>
    <row r="1137">
      <c r="B1137" s="4" t="n">
        <v>29980779</v>
      </c>
      <c r="C1137" s="4" t="inlineStr">
        <is>
          <t>DISTRIBUIÇÃO HIDROSSANITÁRIA</t>
        </is>
      </c>
      <c r="D1137" s="4" t="inlineStr">
        <is>
          <t>-</t>
        </is>
      </c>
      <c r="E1137" s="4" t="inlineStr">
        <is>
          <t>28º PAV.</t>
        </is>
      </c>
      <c r="F1137" s="126" t="n">
        <v>46777</v>
      </c>
      <c r="G1137" s="126" t="n">
        <v>46787</v>
      </c>
      <c r="H1137" s="126" t="n">
        <v>46289</v>
      </c>
      <c r="I1137" s="4" t="n">
        <v>0</v>
      </c>
      <c r="J1137" s="4" t="n">
        <v>0</v>
      </c>
      <c r="K1137" s="4" t="n">
        <v>0</v>
      </c>
      <c r="M1137" s="2">
        <f>IF(C1137="","",IFERROR(INDEX($S$5:$S$304,MATCH(C1137,$R$5:$R$304,0))&amp;"","?"))</f>
        <v/>
      </c>
      <c r="N1137" s="2">
        <f>IF(E1137="","",IF(ISNUMBER(SEARCH("SUBSOLO",E1137)),IFERROR(-VALUE(LEFT(E1137,FIND("º",SUBSTITUTE(E1137,"°","º"))-1)),-1),IF(LEFT(E1137,6)="TÉRREO",0,IFERROR(VALUE(LEFT(E1137,FIND("º",SUBSTITUTE(E1137,"°","º"))-1)),""))))</f>
        <v/>
      </c>
      <c r="O1137" s="2">
        <f>IF(OR(F1137="",G1137=""),"",IF(G1137&lt;='RETRATO 2027'!$K$5,"CONCLUÍDA",IF(F1137&lt;='RETRATO 2027'!$K$5,"EM ANDAMENTO","A INICIAR")))</f>
        <v/>
      </c>
    </row>
    <row r="1138">
      <c r="B1138" s="4" t="n">
        <v>29980748</v>
      </c>
      <c r="C1138" s="4" t="inlineStr">
        <is>
          <t>DISTRIBUIÇÃO ELÉTRICA / QUADRO</t>
        </is>
      </c>
      <c r="D1138" s="4" t="inlineStr">
        <is>
          <t>-</t>
        </is>
      </c>
      <c r="E1138" s="4" t="inlineStr">
        <is>
          <t>28º PAV.</t>
        </is>
      </c>
      <c r="F1138" s="126" t="n">
        <v>46777</v>
      </c>
      <c r="G1138" s="126" t="n">
        <v>46787</v>
      </c>
      <c r="H1138" s="126" t="n">
        <v>46289</v>
      </c>
      <c r="I1138" s="4" t="n">
        <v>0</v>
      </c>
      <c r="J1138" s="4" t="n">
        <v>0</v>
      </c>
      <c r="K1138" s="4" t="n">
        <v>0</v>
      </c>
      <c r="M1138" s="2">
        <f>IF(C1138="","",IFERROR(INDEX($S$5:$S$304,MATCH(C1138,$R$5:$R$304,0))&amp;"","?"))</f>
        <v/>
      </c>
      <c r="N1138" s="2">
        <f>IF(E1138="","",IF(ISNUMBER(SEARCH("SUBSOLO",E1138)),IFERROR(-VALUE(LEFT(E1138,FIND("º",SUBSTITUTE(E1138,"°","º"))-1)),-1),IF(LEFT(E1138,6)="TÉRREO",0,IFERROR(VALUE(LEFT(E1138,FIND("º",SUBSTITUTE(E1138,"°","º"))-1)),""))))</f>
        <v/>
      </c>
      <c r="O1138" s="2">
        <f>IF(OR(F1138="",G1138=""),"",IF(G1138&lt;='RETRATO 2027'!$K$5,"CONCLUÍDA",IF(F1138&lt;='RETRATO 2027'!$K$5,"EM ANDAMENTO","A INICIAR")))</f>
        <v/>
      </c>
    </row>
    <row r="1139">
      <c r="B1139" s="4" t="n">
        <v>29980781</v>
      </c>
      <c r="C1139" s="4" t="inlineStr">
        <is>
          <t>DISTRIBUIÇÃO DE GÁS</t>
        </is>
      </c>
      <c r="D1139" s="4" t="inlineStr">
        <is>
          <t>-</t>
        </is>
      </c>
      <c r="E1139" s="4" t="inlineStr">
        <is>
          <t>28º PAV.</t>
        </is>
      </c>
      <c r="F1139" s="126" t="n">
        <v>46777</v>
      </c>
      <c r="G1139" s="126" t="n">
        <v>46787</v>
      </c>
      <c r="H1139" s="126" t="n">
        <v>46289</v>
      </c>
      <c r="I1139" s="4" t="n">
        <v>0</v>
      </c>
      <c r="J1139" s="4" t="n">
        <v>0</v>
      </c>
      <c r="K1139" s="4" t="n">
        <v>0</v>
      </c>
      <c r="M1139" s="2">
        <f>IF(C1139="","",IFERROR(INDEX($S$5:$S$304,MATCH(C1139,$R$5:$R$304,0))&amp;"","?"))</f>
        <v/>
      </c>
      <c r="N1139" s="2">
        <f>IF(E1139="","",IF(ISNUMBER(SEARCH("SUBSOLO",E1139)),IFERROR(-VALUE(LEFT(E1139,FIND("º",SUBSTITUTE(E1139,"°","º"))-1)),-1),IF(LEFT(E1139,6)="TÉRREO",0,IFERROR(VALUE(LEFT(E1139,FIND("º",SUBSTITUTE(E1139,"°","º"))-1)),""))))</f>
        <v/>
      </c>
      <c r="O1139" s="2">
        <f>IF(OR(F1139="",G1139=""),"",IF(G1139&lt;='RETRATO 2027'!$K$5,"CONCLUÍDA",IF(F1139&lt;='RETRATO 2027'!$K$5,"EM ANDAMENTO","A INICIAR")))</f>
        <v/>
      </c>
    </row>
    <row r="1140">
      <c r="B1140" s="4" t="n">
        <v>29980728</v>
      </c>
      <c r="C1140" s="4" t="inlineStr">
        <is>
          <t>TALISCAMENTO</t>
        </is>
      </c>
      <c r="D1140" s="4" t="inlineStr">
        <is>
          <t>-</t>
        </is>
      </c>
      <c r="E1140" s="4" t="inlineStr">
        <is>
          <t>29º PAV.</t>
        </is>
      </c>
      <c r="F1140" s="126" t="n">
        <v>46777</v>
      </c>
      <c r="G1140" s="126" t="n">
        <v>46787</v>
      </c>
      <c r="H1140" s="126" t="n">
        <v>46289</v>
      </c>
      <c r="I1140" s="4" t="n">
        <v>0</v>
      </c>
      <c r="J1140" s="4" t="n">
        <v>0</v>
      </c>
      <c r="K1140" s="4" t="n">
        <v>0</v>
      </c>
      <c r="M1140" s="2">
        <f>IF(C1140="","",IFERROR(INDEX($S$5:$S$304,MATCH(C1140,$R$5:$R$304,0))&amp;"","?"))</f>
        <v/>
      </c>
      <c r="N1140" s="2">
        <f>IF(E1140="","",IF(ISNUMBER(SEARCH("SUBSOLO",E1140)),IFERROR(-VALUE(LEFT(E1140,FIND("º",SUBSTITUTE(E1140,"°","º"))-1)),-1),IF(LEFT(E1140,6)="TÉRREO",0,IFERROR(VALUE(LEFT(E1140,FIND("º",SUBSTITUTE(E1140,"°","º"))-1)),""))))</f>
        <v/>
      </c>
      <c r="O1140" s="2">
        <f>IF(OR(F1140="",G1140=""),"",IF(G1140&lt;='RETRATO 2027'!$K$5,"CONCLUÍDA",IF(F1140&lt;='RETRATO 2027'!$K$5,"EM ANDAMENTO","A INICIAR")))</f>
        <v/>
      </c>
    </row>
    <row r="1141">
      <c r="B1141" s="4" t="n">
        <v>29980694</v>
      </c>
      <c r="C1141" s="4" t="inlineStr">
        <is>
          <t>PRUMADA HIDROSSANITÁRIA</t>
        </is>
      </c>
      <c r="D1141" s="4" t="inlineStr">
        <is>
          <t>-</t>
        </is>
      </c>
      <c r="E1141" s="4" t="inlineStr">
        <is>
          <t>30º PAV.</t>
        </is>
      </c>
      <c r="F1141" s="126" t="n">
        <v>46777</v>
      </c>
      <c r="G1141" s="126" t="n">
        <v>46787</v>
      </c>
      <c r="H1141" s="126" t="n">
        <v>46289</v>
      </c>
      <c r="I1141" s="4" t="n">
        <v>0</v>
      </c>
      <c r="J1141" s="4" t="n">
        <v>0</v>
      </c>
      <c r="K1141" s="4" t="n">
        <v>0</v>
      </c>
      <c r="M1141" s="2">
        <f>IF(C1141="","",IFERROR(INDEX($S$5:$S$304,MATCH(C1141,$R$5:$R$304,0))&amp;"","?"))</f>
        <v/>
      </c>
      <c r="N1141" s="2">
        <f>IF(E1141="","",IF(ISNUMBER(SEARCH("SUBSOLO",E1141)),IFERROR(-VALUE(LEFT(E1141,FIND("º",SUBSTITUTE(E1141,"°","º"))-1)),-1),IF(LEFT(E1141,6)="TÉRREO",0,IFERROR(VALUE(LEFT(E1141,FIND("º",SUBSTITUTE(E1141,"°","º"))-1)),""))))</f>
        <v/>
      </c>
      <c r="O1141" s="2">
        <f>IF(OR(F1141="",G1141=""),"",IF(G1141&lt;='RETRATO 2027'!$K$5,"CONCLUÍDA",IF(F1141&lt;='RETRATO 2027'!$K$5,"EM ANDAMENTO","A INICIAR")))</f>
        <v/>
      </c>
    </row>
    <row r="1142">
      <c r="B1142" s="4" t="n">
        <v>29980693</v>
      </c>
      <c r="C1142" s="4" t="inlineStr">
        <is>
          <t>ENCUNHAMENTO</t>
        </is>
      </c>
      <c r="D1142" s="4" t="inlineStr">
        <is>
          <t>-</t>
        </is>
      </c>
      <c r="E1142" s="4" t="inlineStr">
        <is>
          <t>30º PAV.</t>
        </is>
      </c>
      <c r="F1142" s="126" t="n">
        <v>46779</v>
      </c>
      <c r="G1142" s="126" t="n">
        <v>46791</v>
      </c>
      <c r="H1142" s="126" t="n">
        <v>46289</v>
      </c>
      <c r="I1142" s="4" t="n">
        <v>0</v>
      </c>
      <c r="J1142" s="4" t="n">
        <v>0</v>
      </c>
      <c r="K1142" s="4" t="n">
        <v>0</v>
      </c>
      <c r="M1142" s="2">
        <f>IF(C1142="","",IFERROR(INDEX($S$5:$S$304,MATCH(C1142,$R$5:$R$304,0))&amp;"","?"))</f>
        <v/>
      </c>
      <c r="N1142" s="2">
        <f>IF(E1142="","",IF(ISNUMBER(SEARCH("SUBSOLO",E1142)),IFERROR(-VALUE(LEFT(E1142,FIND("º",SUBSTITUTE(E1142,"°","º"))-1)),-1),IF(LEFT(E1142,6)="TÉRREO",0,IFERROR(VALUE(LEFT(E1142,FIND("º",SUBSTITUTE(E1142,"°","º"))-1)),""))))</f>
        <v/>
      </c>
      <c r="O1142" s="2">
        <f>IF(OR(F1142="",G1142=""),"",IF(G1142&lt;='RETRATO 2027'!$K$5,"CONCLUÍDA",IF(F1142&lt;='RETRATO 2027'!$K$5,"EM ANDAMENTO","A INICIAR")))</f>
        <v/>
      </c>
    </row>
    <row r="1143">
      <c r="B1143" s="4" t="n">
        <v>30205598</v>
      </c>
      <c r="C1143" s="4" t="inlineStr">
        <is>
          <t>MASSA CORRIDA</t>
        </is>
      </c>
      <c r="D1143" s="4" t="inlineStr">
        <is>
          <t>-</t>
        </is>
      </c>
      <c r="E1143" s="4" t="inlineStr">
        <is>
          <t>TÉRREO - LOJA 5</t>
        </is>
      </c>
      <c r="F1143" s="126" t="n">
        <v>46780</v>
      </c>
      <c r="G1143" s="126" t="n">
        <v>46793</v>
      </c>
      <c r="H1143" s="126" t="n">
        <v>46289</v>
      </c>
      <c r="I1143" s="4" t="n">
        <v>0</v>
      </c>
      <c r="J1143" s="4" t="n">
        <v>0</v>
      </c>
      <c r="K1143" s="4" t="n">
        <v>0</v>
      </c>
      <c r="M1143" s="2">
        <f>IF(C1143="","",IFERROR(INDEX($S$5:$S$304,MATCH(C1143,$R$5:$R$304,0))&amp;"","?"))</f>
        <v/>
      </c>
      <c r="N1143" s="2">
        <f>IF(E1143="","",IF(ISNUMBER(SEARCH("SUBSOLO",E1143)),IFERROR(-VALUE(LEFT(E1143,FIND("º",SUBSTITUTE(E1143,"°","º"))-1)),-1),IF(LEFT(E1143,6)="TÉRREO",0,IFERROR(VALUE(LEFT(E1143,FIND("º",SUBSTITUTE(E1143,"°","º"))-1)),""))))</f>
        <v/>
      </c>
      <c r="O1143" s="2">
        <f>IF(OR(F1143="",G1143=""),"",IF(G1143&lt;='RETRATO 2027'!$K$5,"CONCLUÍDA",IF(F1143&lt;='RETRATO 2027'!$K$5,"EM ANDAMENTO","A INICIAR")))</f>
        <v/>
      </c>
    </row>
    <row r="1144">
      <c r="B1144" s="4" t="n">
        <v>30205568</v>
      </c>
      <c r="C1144" s="4" t="inlineStr">
        <is>
          <t>FORRO</t>
        </is>
      </c>
      <c r="D1144" s="4" t="inlineStr">
        <is>
          <t>-</t>
        </is>
      </c>
      <c r="E1144" s="4" t="inlineStr">
        <is>
          <t>TÉRREO - LOJA 6</t>
        </is>
      </c>
      <c r="F1144" s="126" t="n">
        <v>46780</v>
      </c>
      <c r="G1144" s="126" t="n">
        <v>46793</v>
      </c>
      <c r="H1144" s="126" t="n">
        <v>46289</v>
      </c>
      <c r="I1144" s="4" t="n">
        <v>0</v>
      </c>
      <c r="J1144" s="4" t="n">
        <v>0</v>
      </c>
      <c r="K1144" s="4" t="n">
        <v>0</v>
      </c>
      <c r="M1144" s="2">
        <f>IF(C1144="","",IFERROR(INDEX($S$5:$S$304,MATCH(C1144,$R$5:$R$304,0))&amp;"","?"))</f>
        <v/>
      </c>
      <c r="N1144" s="2">
        <f>IF(E1144="","",IF(ISNUMBER(SEARCH("SUBSOLO",E1144)),IFERROR(-VALUE(LEFT(E1144,FIND("º",SUBSTITUTE(E1144,"°","º"))-1)),-1),IF(LEFT(E1144,6)="TÉRREO",0,IFERROR(VALUE(LEFT(E1144,FIND("º",SUBSTITUTE(E1144,"°","º"))-1)),""))))</f>
        <v/>
      </c>
      <c r="O1144" s="2">
        <f>IF(OR(F1144="",G1144=""),"",IF(G1144&lt;='RETRATO 2027'!$K$5,"CONCLUÍDA",IF(F1144&lt;='RETRATO 2027'!$K$5,"EM ANDAMENTO","A INICIAR")))</f>
        <v/>
      </c>
    </row>
    <row r="1145">
      <c r="B1145" s="4" t="n">
        <v>30205540</v>
      </c>
      <c r="C1145" s="4" t="inlineStr">
        <is>
          <t>BANCADAS</t>
        </is>
      </c>
      <c r="D1145" s="4" t="inlineStr">
        <is>
          <t>-</t>
        </is>
      </c>
      <c r="E1145" s="4" t="inlineStr">
        <is>
          <t>TÉRREO - LOJA 7</t>
        </is>
      </c>
      <c r="F1145" s="126" t="n">
        <v>46780</v>
      </c>
      <c r="G1145" s="126" t="n">
        <v>46793</v>
      </c>
      <c r="H1145" s="126" t="n">
        <v>46289</v>
      </c>
      <c r="I1145" s="4" t="n">
        <v>0</v>
      </c>
      <c r="J1145" s="4" t="n">
        <v>0</v>
      </c>
      <c r="K1145" s="4" t="n">
        <v>0</v>
      </c>
      <c r="M1145" s="2">
        <f>IF(C1145="","",IFERROR(INDEX($S$5:$S$304,MATCH(C1145,$R$5:$R$304,0))&amp;"","?"))</f>
        <v/>
      </c>
      <c r="N1145" s="2">
        <f>IF(E1145="","",IF(ISNUMBER(SEARCH("SUBSOLO",E1145)),IFERROR(-VALUE(LEFT(E1145,FIND("º",SUBSTITUTE(E1145,"°","º"))-1)),-1),IF(LEFT(E1145,6)="TÉRREO",0,IFERROR(VALUE(LEFT(E1145,FIND("º",SUBSTITUTE(E1145,"°","º"))-1)),""))))</f>
        <v/>
      </c>
      <c r="O1145" s="2">
        <f>IF(OR(F1145="",G1145=""),"",IF(G1145&lt;='RETRATO 2027'!$K$5,"CONCLUÍDA",IF(F1145&lt;='RETRATO 2027'!$K$5,"EM ANDAMENTO","A INICIAR")))</f>
        <v/>
      </c>
    </row>
    <row r="1146">
      <c r="B1146" s="4" t="n">
        <v>30206136</v>
      </c>
      <c r="C1146" s="4" t="inlineStr">
        <is>
          <t>INSTALAÇÕES INCÊNDIO</t>
        </is>
      </c>
      <c r="D1146" s="4" t="inlineStr">
        <is>
          <t>-</t>
        </is>
      </c>
      <c r="E1146" s="4" t="inlineStr">
        <is>
          <t>6º PAV - PILOTIS</t>
        </is>
      </c>
      <c r="F1146" s="126" t="n">
        <v>46783</v>
      </c>
      <c r="G1146" s="126" t="n">
        <v>46801</v>
      </c>
      <c r="H1146" s="126" t="n">
        <v>46289</v>
      </c>
      <c r="I1146" s="4" t="n">
        <v>0</v>
      </c>
      <c r="J1146" s="4" t="n">
        <v>0</v>
      </c>
      <c r="K1146" s="4" t="n">
        <v>0</v>
      </c>
      <c r="M1146" s="2">
        <f>IF(C1146="","",IFERROR(INDEX($S$5:$S$304,MATCH(C1146,$R$5:$R$304,0))&amp;"","?"))</f>
        <v/>
      </c>
      <c r="N1146" s="2">
        <f>IF(E1146="","",IF(ISNUMBER(SEARCH("SUBSOLO",E1146)),IFERROR(-VALUE(LEFT(E1146,FIND("º",SUBSTITUTE(E1146,"°","º"))-1)),-1),IF(LEFT(E1146,6)="TÉRREO",0,IFERROR(VALUE(LEFT(E1146,FIND("º",SUBSTITUTE(E1146,"°","º"))-1)),""))))</f>
        <v/>
      </c>
      <c r="O1146" s="2">
        <f>IF(OR(F1146="",G1146=""),"",IF(G1146&lt;='RETRATO 2027'!$K$5,"CONCLUÍDA",IF(F1146&lt;='RETRATO 2027'!$K$5,"EM ANDAMENTO","A INICIAR")))</f>
        <v/>
      </c>
    </row>
    <row r="1147">
      <c r="B1147" s="4" t="n">
        <v>30205876</v>
      </c>
      <c r="C1147" s="4" t="inlineStr">
        <is>
          <t>INSTALAÇÕES ELÉTRICAS</t>
        </is>
      </c>
      <c r="D1147" s="4" t="inlineStr">
        <is>
          <t>-</t>
        </is>
      </c>
      <c r="E1147" s="4" t="inlineStr">
        <is>
          <t>6º PAV (PILOTIS) - PLAYGROUND + TERRAÇO DESCOBERTO + QUADRA DE RECREAÇÃO</t>
        </is>
      </c>
      <c r="F1147" s="126" t="n">
        <v>46783</v>
      </c>
      <c r="G1147" s="126" t="n">
        <v>46827</v>
      </c>
      <c r="H1147" s="126" t="n">
        <v>46289</v>
      </c>
      <c r="I1147" s="4" t="n">
        <v>0</v>
      </c>
      <c r="J1147" s="4" t="n">
        <v>0</v>
      </c>
      <c r="K1147" s="4" t="n">
        <v>0</v>
      </c>
      <c r="M1147" s="2">
        <f>IF(C1147="","",IFERROR(INDEX($S$5:$S$304,MATCH(C1147,$R$5:$R$304,0))&amp;"","?"))</f>
        <v/>
      </c>
      <c r="N1147" s="2">
        <f>IF(E1147="","",IF(ISNUMBER(SEARCH("SUBSOLO",E1147)),IFERROR(-VALUE(LEFT(E1147,FIND("º",SUBSTITUTE(E1147,"°","º"))-1)),-1),IF(LEFT(E1147,6)="TÉRREO",0,IFERROR(VALUE(LEFT(E1147,FIND("º",SUBSTITUTE(E1147,"°","º"))-1)),""))))</f>
        <v/>
      </c>
      <c r="O1147" s="2">
        <f>IF(OR(F1147="",G1147=""),"",IF(G1147&lt;='RETRATO 2027'!$K$5,"CONCLUÍDA",IF(F1147&lt;='RETRATO 2027'!$K$5,"EM ANDAMENTO","A INICIAR")))</f>
        <v/>
      </c>
    </row>
    <row r="1148">
      <c r="B1148" s="4" t="n">
        <v>30205877</v>
      </c>
      <c r="C1148" s="4" t="inlineStr">
        <is>
          <t>INSTALAÇÕES HIDRÁULICAS</t>
        </is>
      </c>
      <c r="D1148" s="4" t="inlineStr">
        <is>
          <t>-</t>
        </is>
      </c>
      <c r="E1148" s="4" t="inlineStr">
        <is>
          <t>6º PAV (PILOTIS) - PLAYGROUND + TERRAÇO DESCOBERTO + QUADRA DE RECREAÇÃO</t>
        </is>
      </c>
      <c r="F1148" s="126" t="n">
        <v>46783</v>
      </c>
      <c r="G1148" s="126" t="n">
        <v>46827</v>
      </c>
      <c r="H1148" s="126" t="n">
        <v>46289</v>
      </c>
      <c r="I1148" s="4" t="n">
        <v>0</v>
      </c>
      <c r="J1148" s="4" t="n">
        <v>0</v>
      </c>
      <c r="K1148" s="4" t="n">
        <v>0</v>
      </c>
      <c r="M1148" s="2">
        <f>IF(C1148="","",IFERROR(INDEX($S$5:$S$304,MATCH(C1148,$R$5:$R$304,0))&amp;"","?"))</f>
        <v/>
      </c>
      <c r="N1148" s="2">
        <f>IF(E1148="","",IF(ISNUMBER(SEARCH("SUBSOLO",E1148)),IFERROR(-VALUE(LEFT(E1148,FIND("º",SUBSTITUTE(E1148,"°","º"))-1)),-1),IF(LEFT(E1148,6)="TÉRREO",0,IFERROR(VALUE(LEFT(E1148,FIND("º",SUBSTITUTE(E1148,"°","º"))-1)),""))))</f>
        <v/>
      </c>
      <c r="O1148" s="2">
        <f>IF(OR(F1148="",G1148=""),"",IF(G1148&lt;='RETRATO 2027'!$K$5,"CONCLUÍDA",IF(F1148&lt;='RETRATO 2027'!$K$5,"EM ANDAMENTO","A INICIAR")))</f>
        <v/>
      </c>
    </row>
    <row r="1149">
      <c r="B1149" s="4" t="n">
        <v>30206121</v>
      </c>
      <c r="C1149" s="4" t="inlineStr">
        <is>
          <t>PRUMADA HIDROSSANITÁRIA</t>
        </is>
      </c>
      <c r="D1149" s="4" t="inlineStr">
        <is>
          <t>-</t>
        </is>
      </c>
      <c r="E1149" s="4" t="inlineStr">
        <is>
          <t>6º PAV (PILOTIS) - ACADEMIA</t>
        </is>
      </c>
      <c r="F1149" s="126" t="n">
        <v>46783</v>
      </c>
      <c r="G1149" s="126" t="n">
        <v>46794</v>
      </c>
      <c r="H1149" s="126" t="n">
        <v>46289</v>
      </c>
      <c r="I1149" s="4" t="n">
        <v>0</v>
      </c>
      <c r="J1149" s="4" t="n">
        <v>0</v>
      </c>
      <c r="K1149" s="4" t="n">
        <v>0</v>
      </c>
      <c r="M1149" s="2">
        <f>IF(C1149="","",IFERROR(INDEX($S$5:$S$304,MATCH(C1149,$R$5:$R$304,0))&amp;"","?"))</f>
        <v/>
      </c>
      <c r="N1149" s="2">
        <f>IF(E1149="","",IF(ISNUMBER(SEARCH("SUBSOLO",E1149)),IFERROR(-VALUE(LEFT(E1149,FIND("º",SUBSTITUTE(E1149,"°","º"))-1)),-1),IF(LEFT(E1149,6)="TÉRREO",0,IFERROR(VALUE(LEFT(E1149,FIND("º",SUBSTITUTE(E1149,"°","º"))-1)),""))))</f>
        <v/>
      </c>
      <c r="O1149" s="2">
        <f>IF(OR(F1149="",G1149=""),"",IF(G1149&lt;='RETRATO 2027'!$K$5,"CONCLUÍDA",IF(F1149&lt;='RETRATO 2027'!$K$5,"EM ANDAMENTO","A INICIAR")))</f>
        <v/>
      </c>
    </row>
    <row r="1150">
      <c r="B1150" s="4" t="n">
        <v>30206047</v>
      </c>
      <c r="C1150" s="4" t="inlineStr">
        <is>
          <t>PRUMADA HIDROSSANITÁRIA</t>
        </is>
      </c>
      <c r="D1150" s="4" t="inlineStr">
        <is>
          <t>-</t>
        </is>
      </c>
      <c r="E1150" s="4" t="inlineStr">
        <is>
          <t>6º PAV (PILOTIS) - CHURRASQUEIRA + IS MASC. PCD + IS FEM. PCD + CIRCULAÇÃO 1 + HALL 1</t>
        </is>
      </c>
      <c r="F1150" s="126" t="n">
        <v>46783</v>
      </c>
      <c r="G1150" s="126" t="n">
        <v>46794</v>
      </c>
      <c r="H1150" s="126" t="n">
        <v>46289</v>
      </c>
      <c r="I1150" s="4" t="n">
        <v>0</v>
      </c>
      <c r="J1150" s="4" t="n">
        <v>0</v>
      </c>
      <c r="K1150" s="4" t="n">
        <v>0</v>
      </c>
      <c r="M1150" s="2">
        <f>IF(C1150="","",IFERROR(INDEX($S$5:$S$304,MATCH(C1150,$R$5:$R$304,0))&amp;"","?"))</f>
        <v/>
      </c>
      <c r="N1150" s="2">
        <f>IF(E1150="","",IF(ISNUMBER(SEARCH("SUBSOLO",E1150)),IFERROR(-VALUE(LEFT(E1150,FIND("º",SUBSTITUTE(E1150,"°","º"))-1)),-1),IF(LEFT(E1150,6)="TÉRREO",0,IFERROR(VALUE(LEFT(E1150,FIND("º",SUBSTITUTE(E1150,"°","º"))-1)),""))))</f>
        <v/>
      </c>
      <c r="O1150" s="2">
        <f>IF(OR(F1150="",G1150=""),"",IF(G1150&lt;='RETRATO 2027'!$K$5,"CONCLUÍDA",IF(F1150&lt;='RETRATO 2027'!$K$5,"EM ANDAMENTO","A INICIAR")))</f>
        <v/>
      </c>
    </row>
    <row r="1151">
      <c r="B1151" s="4" t="n">
        <v>30209539</v>
      </c>
      <c r="C1151" s="4" t="inlineStr">
        <is>
          <t>INST. MÓDULOS CHURRASQUEIRA</t>
        </is>
      </c>
      <c r="D1151" s="4" t="inlineStr">
        <is>
          <t>-</t>
        </is>
      </c>
      <c r="E1151" s="4" t="inlineStr">
        <is>
          <t>6º PAV (PILOTIS) - CHURRASQUEIRA + IS MASC. PCD + IS FEM. PCD + CIRCULAÇÃO 1 + HALL 1</t>
        </is>
      </c>
      <c r="F1151" s="126" t="n">
        <v>46783</v>
      </c>
      <c r="G1151" s="126" t="n">
        <v>46787</v>
      </c>
      <c r="H1151" s="126" t="n">
        <v>46289</v>
      </c>
      <c r="I1151" s="4" t="n">
        <v>0</v>
      </c>
      <c r="J1151" s="4" t="n">
        <v>0</v>
      </c>
      <c r="K1151" s="4" t="n">
        <v>0</v>
      </c>
      <c r="M1151" s="2">
        <f>IF(C1151="","",IFERROR(INDEX($S$5:$S$304,MATCH(C1151,$R$5:$R$304,0))&amp;"","?"))</f>
        <v/>
      </c>
      <c r="N1151" s="2">
        <f>IF(E1151="","",IF(ISNUMBER(SEARCH("SUBSOLO",E1151)),IFERROR(-VALUE(LEFT(E1151,FIND("º",SUBSTITUTE(E1151,"°","º"))-1)),-1),IF(LEFT(E1151,6)="TÉRREO",0,IFERROR(VALUE(LEFT(E1151,FIND("º",SUBSTITUTE(E1151,"°","º"))-1)),""))))</f>
        <v/>
      </c>
      <c r="O1151" s="2">
        <f>IF(OR(F1151="",G1151=""),"",IF(G1151&lt;='RETRATO 2027'!$K$5,"CONCLUÍDA",IF(F1151&lt;='RETRATO 2027'!$K$5,"EM ANDAMENTO","A INICIAR")))</f>
        <v/>
      </c>
    </row>
    <row r="1152">
      <c r="B1152" s="4" t="n">
        <v>29980667</v>
      </c>
      <c r="C1152" s="4" t="inlineStr">
        <is>
          <t>PRUMADA DE INCÊNDIO</t>
        </is>
      </c>
      <c r="D1152" s="4" t="inlineStr">
        <is>
          <t>-</t>
        </is>
      </c>
      <c r="E1152" s="4" t="inlineStr">
        <is>
          <t>31º PAV. - COBERTURA LINEAR</t>
        </is>
      </c>
      <c r="F1152" s="126" t="n">
        <v>46784</v>
      </c>
      <c r="G1152" s="126" t="n">
        <v>46794</v>
      </c>
      <c r="H1152" s="126" t="n">
        <v>46289</v>
      </c>
      <c r="I1152" s="4" t="n">
        <v>0</v>
      </c>
      <c r="J1152" s="4" t="n">
        <v>0</v>
      </c>
      <c r="K1152" s="4" t="n">
        <v>0</v>
      </c>
      <c r="M1152" s="2">
        <f>IF(C1152="","",IFERROR(INDEX($S$5:$S$304,MATCH(C1152,$R$5:$R$304,0))&amp;"","?"))</f>
        <v/>
      </c>
      <c r="N1152" s="2">
        <f>IF(E1152="","",IF(ISNUMBER(SEARCH("SUBSOLO",E1152)),IFERROR(-VALUE(LEFT(E1152,FIND("º",SUBSTITUTE(E1152,"°","º"))-1)),-1),IF(LEFT(E1152,6)="TÉRREO",0,IFERROR(VALUE(LEFT(E1152,FIND("º",SUBSTITUTE(E1152,"°","º"))-1)),""))))</f>
        <v/>
      </c>
      <c r="O1152" s="2">
        <f>IF(OR(F1152="",G1152=""),"",IF(G1152&lt;='RETRATO 2027'!$K$5,"CONCLUÍDA",IF(F1152&lt;='RETRATO 2027'!$K$5,"EM ANDAMENTO","A INICIAR")))</f>
        <v/>
      </c>
    </row>
    <row r="1153">
      <c r="B1153" s="4" t="n">
        <v>29980618</v>
      </c>
      <c r="C1153" s="4" t="inlineStr">
        <is>
          <t>ALVENARIA</t>
        </is>
      </c>
      <c r="D1153" s="4" t="inlineStr">
        <is>
          <t>-</t>
        </is>
      </c>
      <c r="E1153" s="4" t="inlineStr">
        <is>
          <t>32º PAV - COBERTURA GERAL</t>
        </is>
      </c>
      <c r="F1153" s="126" t="n">
        <v>46784</v>
      </c>
      <c r="G1153" s="126" t="n">
        <v>46794</v>
      </c>
      <c r="H1153" s="126" t="n">
        <v>46289</v>
      </c>
      <c r="I1153" s="4" t="n">
        <v>0</v>
      </c>
      <c r="J1153" s="4" t="n">
        <v>0</v>
      </c>
      <c r="K1153" s="4" t="n">
        <v>0</v>
      </c>
      <c r="M1153" s="2">
        <f>IF(C1153="","",IFERROR(INDEX($S$5:$S$304,MATCH(C1153,$R$5:$R$304,0))&amp;"","?"))</f>
        <v/>
      </c>
      <c r="N1153" s="2">
        <f>IF(E1153="","",IF(ISNUMBER(SEARCH("SUBSOLO",E1153)),IFERROR(-VALUE(LEFT(E1153,FIND("º",SUBSTITUTE(E1153,"°","º"))-1)),-1),IF(LEFT(E1153,6)="TÉRREO",0,IFERROR(VALUE(LEFT(E1153,FIND("º",SUBSTITUTE(E1153,"°","º"))-1)),""))))</f>
        <v/>
      </c>
      <c r="O1153" s="2">
        <f>IF(OR(F1153="",G1153=""),"",IF(G1153&lt;='RETRATO 2027'!$K$5,"CONCLUÍDA",IF(F1153&lt;='RETRATO 2027'!$K$5,"EM ANDAMENTO","A INICIAR")))</f>
        <v/>
      </c>
    </row>
    <row r="1154">
      <c r="B1154" s="4" t="n">
        <v>30208605</v>
      </c>
      <c r="C1154" s="4" t="inlineStr">
        <is>
          <t>INSTALAÇÕES ELÉTRICAS</t>
        </is>
      </c>
      <c r="D1154" s="4" t="inlineStr">
        <is>
          <t>-</t>
        </is>
      </c>
      <c r="E1154" s="4" t="inlineStr">
        <is>
          <t>6º PAV (PILOTIS) - PISCINA + PRAINHA + DECK</t>
        </is>
      </c>
      <c r="F1154" s="126" t="n">
        <v>46785</v>
      </c>
      <c r="G1154" s="126" t="n">
        <v>46814</v>
      </c>
      <c r="H1154" s="126" t="n">
        <v>46289</v>
      </c>
      <c r="I1154" s="4" t="n">
        <v>0</v>
      </c>
      <c r="J1154" s="4" t="n">
        <v>0</v>
      </c>
      <c r="K1154" s="4" t="n">
        <v>0</v>
      </c>
      <c r="M1154" s="2">
        <f>IF(C1154="","",IFERROR(INDEX($S$5:$S$304,MATCH(C1154,$R$5:$R$304,0))&amp;"","?"))</f>
        <v/>
      </c>
      <c r="N1154" s="2">
        <f>IF(E1154="","",IF(ISNUMBER(SEARCH("SUBSOLO",E1154)),IFERROR(-VALUE(LEFT(E1154,FIND("º",SUBSTITUTE(E1154,"°","º"))-1)),-1),IF(LEFT(E1154,6)="TÉRREO",0,IFERROR(VALUE(LEFT(E1154,FIND("º",SUBSTITUTE(E1154,"°","º"))-1)),""))))</f>
        <v/>
      </c>
      <c r="O1154" s="2">
        <f>IF(OR(F1154="",G1154=""),"",IF(G1154&lt;='RETRATO 2027'!$K$5,"CONCLUÍDA",IF(F1154&lt;='RETRATO 2027'!$K$5,"EM ANDAMENTO","A INICIAR")))</f>
        <v/>
      </c>
    </row>
    <row r="1155">
      <c r="B1155" s="4" t="n">
        <v>30208606</v>
      </c>
      <c r="C1155" s="4" t="inlineStr">
        <is>
          <t>INSTALAÇÕES HIDRÁULICAS</t>
        </is>
      </c>
      <c r="D1155" s="4" t="inlineStr">
        <is>
          <t>-</t>
        </is>
      </c>
      <c r="E1155" s="4" t="inlineStr">
        <is>
          <t>6º PAV (PILOTIS) - PISCINA + PRAINHA + DECK</t>
        </is>
      </c>
      <c r="F1155" s="126" t="n">
        <v>46785</v>
      </c>
      <c r="G1155" s="126" t="n">
        <v>46814</v>
      </c>
      <c r="H1155" s="126" t="n">
        <v>46289</v>
      </c>
      <c r="I1155" s="4" t="n">
        <v>0</v>
      </c>
      <c r="J1155" s="4" t="n">
        <v>0</v>
      </c>
      <c r="K1155" s="4" t="n">
        <v>0</v>
      </c>
      <c r="M1155" s="2">
        <f>IF(C1155="","",IFERROR(INDEX($S$5:$S$304,MATCH(C1155,$R$5:$R$304,0))&amp;"","?"))</f>
        <v/>
      </c>
      <c r="N1155" s="2">
        <f>IF(E1155="","",IF(ISNUMBER(SEARCH("SUBSOLO",E1155)),IFERROR(-VALUE(LEFT(E1155,FIND("º",SUBSTITUTE(E1155,"°","º"))-1)),-1),IF(LEFT(E1155,6)="TÉRREO",0,IFERROR(VALUE(LEFT(E1155,FIND("º",SUBSTITUTE(E1155,"°","º"))-1)),""))))</f>
        <v/>
      </c>
      <c r="O1155" s="2">
        <f>IF(OR(F1155="",G1155=""),"",IF(G1155&lt;='RETRATO 2027'!$K$5,"CONCLUÍDA",IF(F1155&lt;='RETRATO 2027'!$K$5,"EM ANDAMENTO","A INICIAR")))</f>
        <v/>
      </c>
    </row>
    <row r="1156">
      <c r="B1156" s="4" t="n">
        <v>30205800</v>
      </c>
      <c r="C1156" s="4" t="inlineStr">
        <is>
          <t>REVESTIMENTO PORCELANATO PAREDE</t>
        </is>
      </c>
      <c r="D1156" s="4" t="inlineStr">
        <is>
          <t>-</t>
        </is>
      </c>
      <c r="E1156" s="4" t="inlineStr">
        <is>
          <t>TÉRREO - ACESSO COMERCIAL + DML + ARS + ÁREA TEC + LAVABO + DISPENSA</t>
        </is>
      </c>
      <c r="F1156" s="126" t="n">
        <v>46787</v>
      </c>
      <c r="G1156" s="126" t="n">
        <v>46800</v>
      </c>
      <c r="H1156" s="126" t="n">
        <v>46289</v>
      </c>
      <c r="I1156" s="4" t="n">
        <v>0</v>
      </c>
      <c r="J1156" s="4" t="n">
        <v>0</v>
      </c>
      <c r="K1156" s="4" t="n">
        <v>0</v>
      </c>
      <c r="M1156" s="2">
        <f>IF(C1156="","",IFERROR(INDEX($S$5:$S$304,MATCH(C1156,$R$5:$R$304,0))&amp;"","?"))</f>
        <v/>
      </c>
      <c r="N1156" s="2">
        <f>IF(E1156="","",IF(ISNUMBER(SEARCH("SUBSOLO",E1156)),IFERROR(-VALUE(LEFT(E1156,FIND("º",SUBSTITUTE(E1156,"°","º"))-1)),-1),IF(LEFT(E1156,6)="TÉRREO",0,IFERROR(VALUE(LEFT(E1156,FIND("º",SUBSTITUTE(E1156,"°","º"))-1)),""))))</f>
        <v/>
      </c>
      <c r="O1156" s="2">
        <f>IF(OR(F1156="",G1156=""),"",IF(G1156&lt;='RETRATO 2027'!$K$5,"CONCLUÍDA",IF(F1156&lt;='RETRATO 2027'!$K$5,"EM ANDAMENTO","A INICIAR")))</f>
        <v/>
      </c>
    </row>
    <row r="1157">
      <c r="B1157" s="4" t="n">
        <v>30205820</v>
      </c>
      <c r="C1157" s="4" t="inlineStr">
        <is>
          <t>DRYWALL</t>
        </is>
      </c>
      <c r="D1157" s="4" t="inlineStr">
        <is>
          <t>-</t>
        </is>
      </c>
      <c r="E1157" s="4" t="inlineStr">
        <is>
          <t>TÉRREO - HALL SOCIAL + ECLUSA + CIRCULAÇÃO</t>
        </is>
      </c>
      <c r="F1157" s="126" t="n">
        <v>46787</v>
      </c>
      <c r="G1157" s="126" t="n">
        <v>46800</v>
      </c>
      <c r="H1157" s="126" t="n">
        <v>46289</v>
      </c>
      <c r="I1157" s="4" t="n">
        <v>0</v>
      </c>
      <c r="J1157" s="4" t="n">
        <v>0</v>
      </c>
      <c r="K1157" s="4" t="n">
        <v>0</v>
      </c>
      <c r="M1157" s="2">
        <f>IF(C1157="","",IFERROR(INDEX($S$5:$S$304,MATCH(C1157,$R$5:$R$304,0))&amp;"","?"))</f>
        <v/>
      </c>
      <c r="N1157" s="2">
        <f>IF(E1157="","",IF(ISNUMBER(SEARCH("SUBSOLO",E1157)),IFERROR(-VALUE(LEFT(E1157,FIND("º",SUBSTITUTE(E1157,"°","º"))-1)),-1),IF(LEFT(E1157,6)="TÉRREO",0,IFERROR(VALUE(LEFT(E1157,FIND("º",SUBSTITUTE(E1157,"°","º"))-1)),""))))</f>
        <v/>
      </c>
      <c r="O1157" s="2">
        <f>IF(OR(F1157="",G1157=""),"",IF(G1157&lt;='RETRATO 2027'!$K$5,"CONCLUÍDA",IF(F1157&lt;='RETRATO 2027'!$K$5,"EM ANDAMENTO","A INICIAR")))</f>
        <v/>
      </c>
    </row>
    <row r="1158">
      <c r="B1158" s="4" t="n">
        <v>30205850</v>
      </c>
      <c r="C1158" s="4" t="inlineStr">
        <is>
          <t>CONTRAPISO</t>
        </is>
      </c>
      <c r="D1158" s="4" t="inlineStr">
        <is>
          <t>-</t>
        </is>
      </c>
      <c r="E1158" s="4" t="inlineStr">
        <is>
          <t>1º PAV. (INTERMEDIÁRIO)</t>
        </is>
      </c>
      <c r="F1158" s="126" t="n">
        <v>46787</v>
      </c>
      <c r="G1158" s="126" t="n">
        <v>46800</v>
      </c>
      <c r="H1158" s="126" t="n">
        <v>46289</v>
      </c>
      <c r="I1158" s="4" t="n">
        <v>0</v>
      </c>
      <c r="J1158" s="4" t="n">
        <v>0</v>
      </c>
      <c r="K1158" s="4" t="n">
        <v>0</v>
      </c>
      <c r="M1158" s="2">
        <f>IF(C1158="","",IFERROR(INDEX($S$5:$S$304,MATCH(C1158,$R$5:$R$304,0))&amp;"","?"))</f>
        <v/>
      </c>
      <c r="N1158" s="2">
        <f>IF(E1158="","",IF(ISNUMBER(SEARCH("SUBSOLO",E1158)),IFERROR(-VALUE(LEFT(E1158,FIND("º",SUBSTITUTE(E1158,"°","º"))-1)),-1),IF(LEFT(E1158,6)="TÉRREO",0,IFERROR(VALUE(LEFT(E1158,FIND("º",SUBSTITUTE(E1158,"°","º"))-1)),""))))</f>
        <v/>
      </c>
      <c r="O1158" s="2">
        <f>IF(OR(F1158="",G1158=""),"",IF(G1158&lt;='RETRATO 2027'!$K$5,"CONCLUÍDA",IF(F1158&lt;='RETRATO 2027'!$K$5,"EM ANDAMENTO","A INICIAR")))</f>
        <v/>
      </c>
    </row>
    <row r="1159">
      <c r="B1159" s="4" t="n">
        <v>30208601</v>
      </c>
      <c r="C1159" s="4" t="inlineStr">
        <is>
          <t>PRUMADA ELÉTRICA - INFRA</t>
        </is>
      </c>
      <c r="D1159" s="4" t="inlineStr">
        <is>
          <t>-</t>
        </is>
      </c>
      <c r="E1159" s="4" t="inlineStr">
        <is>
          <t>1º PAV. (INTERMEDIÁRIO)</t>
        </is>
      </c>
      <c r="F1159" s="126" t="n">
        <v>46787</v>
      </c>
      <c r="G1159" s="126" t="n">
        <v>46800</v>
      </c>
      <c r="H1159" s="126" t="n">
        <v>46289</v>
      </c>
      <c r="I1159" s="4" t="n">
        <v>0</v>
      </c>
      <c r="J1159" s="4" t="n">
        <v>0</v>
      </c>
      <c r="K1159" s="4" t="n">
        <v>0</v>
      </c>
      <c r="M1159" s="2">
        <f>IF(C1159="","",IFERROR(INDEX($S$5:$S$304,MATCH(C1159,$R$5:$R$304,0))&amp;"","?"))</f>
        <v/>
      </c>
      <c r="N1159" s="2">
        <f>IF(E1159="","",IF(ISNUMBER(SEARCH("SUBSOLO",E1159)),IFERROR(-VALUE(LEFT(E1159,FIND("º",SUBSTITUTE(E1159,"°","º"))-1)),-1),IF(LEFT(E1159,6)="TÉRREO",0,IFERROR(VALUE(LEFT(E1159,FIND("º",SUBSTITUTE(E1159,"°","º"))-1)),""))))</f>
        <v/>
      </c>
      <c r="O1159" s="2">
        <f>IF(OR(F1159="",G1159=""),"",IF(G1159&lt;='RETRATO 2027'!$K$5,"CONCLUÍDA",IF(F1159&lt;='RETRATO 2027'!$K$5,"EM ANDAMENTO","A INICIAR")))</f>
        <v/>
      </c>
    </row>
    <row r="1160">
      <c r="B1160" s="4" t="n">
        <v>29981529</v>
      </c>
      <c r="C1160" s="4" t="inlineStr">
        <is>
          <t>ESQUADRIA MADEIRA</t>
        </is>
      </c>
      <c r="D1160" s="4" t="inlineStr">
        <is>
          <t>-</t>
        </is>
      </c>
      <c r="E1160" s="4" t="inlineStr">
        <is>
          <t>7º PAV.</t>
        </is>
      </c>
      <c r="F1160" s="126" t="n">
        <v>46787</v>
      </c>
      <c r="G1160" s="126" t="n">
        <v>46799</v>
      </c>
      <c r="H1160" s="126" t="n">
        <v>46289</v>
      </c>
      <c r="I1160" s="4" t="n">
        <v>0</v>
      </c>
      <c r="J1160" s="4" t="n">
        <v>0</v>
      </c>
      <c r="K1160" s="4" t="n">
        <v>0</v>
      </c>
      <c r="M1160" s="2">
        <f>IF(C1160="","",IFERROR(INDEX($S$5:$S$304,MATCH(C1160,$R$5:$R$304,0))&amp;"","?"))</f>
        <v/>
      </c>
      <c r="N1160" s="2">
        <f>IF(E1160="","",IF(ISNUMBER(SEARCH("SUBSOLO",E1160)),IFERROR(-VALUE(LEFT(E1160,FIND("º",SUBSTITUTE(E1160,"°","º"))-1)),-1),IF(LEFT(E1160,6)="TÉRREO",0,IFERROR(VALUE(LEFT(E1160,FIND("º",SUBSTITUTE(E1160,"°","º"))-1)),""))))</f>
        <v/>
      </c>
      <c r="O1160" s="2">
        <f>IF(OR(F1160="",G1160=""),"",IF(G1160&lt;='RETRATO 2027'!$K$5,"CONCLUÍDA",IF(F1160&lt;='RETRATO 2027'!$K$5,"EM ANDAMENTO","A INICIAR")))</f>
        <v/>
      </c>
    </row>
    <row r="1161">
      <c r="B1161" s="4" t="n">
        <v>29981491</v>
      </c>
      <c r="C1161" s="4" t="inlineStr">
        <is>
          <t>PISO VINÍLICO / LAMINADO</t>
        </is>
      </c>
      <c r="D1161" s="4" t="inlineStr">
        <is>
          <t>-</t>
        </is>
      </c>
      <c r="E1161" s="4" t="inlineStr">
        <is>
          <t>8º PAV.</t>
        </is>
      </c>
      <c r="F1161" s="126" t="n">
        <v>46787</v>
      </c>
      <c r="G1161" s="126" t="n">
        <v>46799</v>
      </c>
      <c r="H1161" s="126" t="n">
        <v>46289</v>
      </c>
      <c r="I1161" s="4" t="n">
        <v>0</v>
      </c>
      <c r="J1161" s="4" t="n">
        <v>0</v>
      </c>
      <c r="K1161" s="4" t="n">
        <v>0</v>
      </c>
      <c r="M1161" s="2">
        <f>IF(C1161="","",IFERROR(INDEX($S$5:$S$304,MATCH(C1161,$R$5:$R$304,0))&amp;"","?"))</f>
        <v/>
      </c>
      <c r="N1161" s="2">
        <f>IF(E1161="","",IF(ISNUMBER(SEARCH("SUBSOLO",E1161)),IFERROR(-VALUE(LEFT(E1161,FIND("º",SUBSTITUTE(E1161,"°","º"))-1)),-1),IF(LEFT(E1161,6)="TÉRREO",0,IFERROR(VALUE(LEFT(E1161,FIND("º",SUBSTITUTE(E1161,"°","º"))-1)),""))))</f>
        <v/>
      </c>
      <c r="O1161" s="2">
        <f>IF(OR(F1161="",G1161=""),"",IF(G1161&lt;='RETRATO 2027'!$K$5,"CONCLUÍDA",IF(F1161&lt;='RETRATO 2027'!$K$5,"EM ANDAMENTO","A INICIAR")))</f>
        <v/>
      </c>
    </row>
    <row r="1162">
      <c r="B1162" s="4" t="n">
        <v>29981453</v>
      </c>
      <c r="C1162" s="4" t="inlineStr">
        <is>
          <t>PINTURA 1º DEMÃO</t>
        </is>
      </c>
      <c r="D1162" s="4" t="inlineStr">
        <is>
          <t>-</t>
        </is>
      </c>
      <c r="E1162" s="4" t="inlineStr">
        <is>
          <t>9º PAV.</t>
        </is>
      </c>
      <c r="F1162" s="126" t="n">
        <v>46787</v>
      </c>
      <c r="G1162" s="126" t="n">
        <v>46799</v>
      </c>
      <c r="H1162" s="126" t="n">
        <v>46289</v>
      </c>
      <c r="I1162" s="4" t="n">
        <v>0</v>
      </c>
      <c r="J1162" s="4" t="n">
        <v>0</v>
      </c>
      <c r="K1162" s="4" t="n">
        <v>0</v>
      </c>
      <c r="M1162" s="2">
        <f>IF(C1162="","",IFERROR(INDEX($S$5:$S$304,MATCH(C1162,$R$5:$R$304,0))&amp;"","?"))</f>
        <v/>
      </c>
      <c r="N1162" s="2">
        <f>IF(E1162="","",IF(ISNUMBER(SEARCH("SUBSOLO",E1162)),IFERROR(-VALUE(LEFT(E1162,FIND("º",SUBSTITUTE(E1162,"°","º"))-1)),-1),IF(LEFT(E1162,6)="TÉRREO",0,IFERROR(VALUE(LEFT(E1162,FIND("º",SUBSTITUTE(E1162,"°","º"))-1)),""))))</f>
        <v/>
      </c>
      <c r="O1162" s="2">
        <f>IF(OR(F1162="",G1162=""),"",IF(G1162&lt;='RETRATO 2027'!$K$5,"CONCLUÍDA",IF(F1162&lt;='RETRATO 2027'!$K$5,"EM ANDAMENTO","A INICIAR")))</f>
        <v/>
      </c>
    </row>
    <row r="1163">
      <c r="B1163" s="4" t="n">
        <v>29981442</v>
      </c>
      <c r="C1163" s="4" t="inlineStr">
        <is>
          <t>MASSA CORRIDA</t>
        </is>
      </c>
      <c r="D1163" s="4" t="inlineStr">
        <is>
          <t>-</t>
        </is>
      </c>
      <c r="E1163" s="4" t="inlineStr">
        <is>
          <t>10º PAV.</t>
        </is>
      </c>
      <c r="F1163" s="126" t="n">
        <v>46787</v>
      </c>
      <c r="G1163" s="126" t="n">
        <v>46799</v>
      </c>
      <c r="H1163" s="126" t="n">
        <v>46289</v>
      </c>
      <c r="I1163" s="4" t="n">
        <v>0</v>
      </c>
      <c r="J1163" s="4" t="n">
        <v>0</v>
      </c>
      <c r="K1163" s="4" t="n">
        <v>0</v>
      </c>
      <c r="M1163" s="2">
        <f>IF(C1163="","",IFERROR(INDEX($S$5:$S$304,MATCH(C1163,$R$5:$R$304,0))&amp;"","?"))</f>
        <v/>
      </c>
      <c r="N1163" s="2">
        <f>IF(E1163="","",IF(ISNUMBER(SEARCH("SUBSOLO",E1163)),IFERROR(-VALUE(LEFT(E1163,FIND("º",SUBSTITUTE(E1163,"°","º"))-1)),-1),IF(LEFT(E1163,6)="TÉRREO",0,IFERROR(VALUE(LEFT(E1163,FIND("º",SUBSTITUTE(E1163,"°","º"))-1)),""))))</f>
        <v/>
      </c>
      <c r="O1163" s="2">
        <f>IF(OR(F1163="",G1163=""),"",IF(G1163&lt;='RETRATO 2027'!$K$5,"CONCLUÍDA",IF(F1163&lt;='RETRATO 2027'!$K$5,"EM ANDAMENTO","A INICIAR")))</f>
        <v/>
      </c>
    </row>
    <row r="1164">
      <c r="B1164" s="4" t="n">
        <v>33898092</v>
      </c>
      <c r="C1164" s="4" t="inlineStr">
        <is>
          <t>ESQUADRIA DE ALUMÍNIO</t>
        </is>
      </c>
      <c r="D1164" s="4" t="inlineStr">
        <is>
          <t>-</t>
        </is>
      </c>
      <c r="E1164" s="4" t="inlineStr">
        <is>
          <t>11º PAV.</t>
        </is>
      </c>
      <c r="F1164" s="126" t="n">
        <v>46787</v>
      </c>
      <c r="G1164" s="126" t="n">
        <v>46799</v>
      </c>
      <c r="H1164" s="126" t="n">
        <v>46289</v>
      </c>
      <c r="I1164" s="4" t="n">
        <v>0</v>
      </c>
      <c r="J1164" s="4" t="n">
        <v>0</v>
      </c>
      <c r="K1164" s="4" t="n">
        <v>0</v>
      </c>
      <c r="M1164" s="2">
        <f>IF(C1164="","",IFERROR(INDEX($S$5:$S$304,MATCH(C1164,$R$5:$R$304,0))&amp;"","?"))</f>
        <v/>
      </c>
      <c r="N1164" s="2">
        <f>IF(E1164="","",IF(ISNUMBER(SEARCH("SUBSOLO",E1164)),IFERROR(-VALUE(LEFT(E1164,FIND("º",SUBSTITUTE(E1164,"°","º"))-1)),-1),IF(LEFT(E1164,6)="TÉRREO",0,IFERROR(VALUE(LEFT(E1164,FIND("º",SUBSTITUTE(E1164,"°","º"))-1)),""))))</f>
        <v/>
      </c>
      <c r="O1164" s="2">
        <f>IF(OR(F1164="",G1164=""),"",IF(G1164&lt;='RETRATO 2027'!$K$5,"CONCLUÍDA",IF(F1164&lt;='RETRATO 2027'!$K$5,"EM ANDAMENTO","A INICIAR")))</f>
        <v/>
      </c>
    </row>
    <row r="1165">
      <c r="B1165" s="4" t="n">
        <v>29981255</v>
      </c>
      <c r="C1165" s="4" t="inlineStr">
        <is>
          <t>FORRO</t>
        </is>
      </c>
      <c r="D1165" s="4" t="inlineStr">
        <is>
          <t>-</t>
        </is>
      </c>
      <c r="E1165" s="4" t="inlineStr">
        <is>
          <t>15º PAV.</t>
        </is>
      </c>
      <c r="F1165" s="126" t="n">
        <v>46790</v>
      </c>
      <c r="G1165" s="126" t="n">
        <v>46800</v>
      </c>
      <c r="H1165" s="126" t="n">
        <v>46289</v>
      </c>
      <c r="I1165" s="4" t="n">
        <v>0</v>
      </c>
      <c r="J1165" s="4" t="n">
        <v>0</v>
      </c>
      <c r="K1165" s="4" t="n">
        <v>0</v>
      </c>
      <c r="M1165" s="2">
        <f>IF(C1165="","",IFERROR(INDEX($S$5:$S$304,MATCH(C1165,$R$5:$R$304,0))&amp;"","?"))</f>
        <v/>
      </c>
      <c r="N1165" s="2">
        <f>IF(E1165="","",IF(ISNUMBER(SEARCH("SUBSOLO",E1165)),IFERROR(-VALUE(LEFT(E1165,FIND("º",SUBSTITUTE(E1165,"°","º"))-1)),-1),IF(LEFT(E1165,6)="TÉRREO",0,IFERROR(VALUE(LEFT(E1165,FIND("º",SUBSTITUTE(E1165,"°","º"))-1)),""))))</f>
        <v/>
      </c>
      <c r="O1165" s="2">
        <f>IF(OR(F1165="",G1165=""),"",IF(G1165&lt;='RETRATO 2027'!$K$5,"CONCLUÍDA",IF(F1165&lt;='RETRATO 2027'!$K$5,"EM ANDAMENTO","A INICIAR")))</f>
        <v/>
      </c>
    </row>
    <row r="1166">
      <c r="B1166" s="4" t="n">
        <v>29981216</v>
      </c>
      <c r="C1166" s="4" t="inlineStr">
        <is>
          <t>FIAÇÃO ELÉTRICA</t>
        </is>
      </c>
      <c r="D1166" s="4" t="inlineStr">
        <is>
          <t>-</t>
        </is>
      </c>
      <c r="E1166" s="4" t="inlineStr">
        <is>
          <t>16º PAV.</t>
        </is>
      </c>
      <c r="F1166" s="126" t="n">
        <v>46790</v>
      </c>
      <c r="G1166" s="126" t="n">
        <v>46800</v>
      </c>
      <c r="H1166" s="126" t="n">
        <v>46289</v>
      </c>
      <c r="I1166" s="4" t="n">
        <v>0</v>
      </c>
      <c r="J1166" s="4" t="n">
        <v>0</v>
      </c>
      <c r="K1166" s="4" t="n">
        <v>0</v>
      </c>
      <c r="M1166" s="2">
        <f>IF(C1166="","",IFERROR(INDEX($S$5:$S$304,MATCH(C1166,$R$5:$R$304,0))&amp;"","?"))</f>
        <v/>
      </c>
      <c r="N1166" s="2">
        <f>IF(E1166="","",IF(ISNUMBER(SEARCH("SUBSOLO",E1166)),IFERROR(-VALUE(LEFT(E1166,FIND("º",SUBSTITUTE(E1166,"°","º"))-1)),-1),IF(LEFT(E1166,6)="TÉRREO",0,IFERROR(VALUE(LEFT(E1166,FIND("º",SUBSTITUTE(E1166,"°","º"))-1)),""))))</f>
        <v/>
      </c>
      <c r="O1166" s="2">
        <f>IF(OR(F1166="",G1166=""),"",IF(G1166&lt;='RETRATO 2027'!$K$5,"CONCLUÍDA",IF(F1166&lt;='RETRATO 2027'!$K$5,"EM ANDAMENTO","A INICIAR")))</f>
        <v/>
      </c>
    </row>
    <row r="1167">
      <c r="B1167" s="4" t="n">
        <v>29981221</v>
      </c>
      <c r="C1167" s="4" t="inlineStr">
        <is>
          <t>PRUMADA ELÉTRICA - CABOS</t>
        </is>
      </c>
      <c r="D1167" s="4" t="inlineStr">
        <is>
          <t>-</t>
        </is>
      </c>
      <c r="E1167" s="4" t="inlineStr">
        <is>
          <t>16º PAV.</t>
        </is>
      </c>
      <c r="F1167" s="126" t="n">
        <v>46790</v>
      </c>
      <c r="G1167" s="126" t="n">
        <v>46800</v>
      </c>
      <c r="H1167" s="126" t="n">
        <v>46289</v>
      </c>
      <c r="I1167" s="4" t="n">
        <v>0</v>
      </c>
      <c r="J1167" s="4" t="n">
        <v>0</v>
      </c>
      <c r="K1167" s="4" t="n">
        <v>0</v>
      </c>
      <c r="M1167" s="2">
        <f>IF(C1167="","",IFERROR(INDEX($S$5:$S$304,MATCH(C1167,$R$5:$R$304,0))&amp;"","?"))</f>
        <v/>
      </c>
      <c r="N1167" s="2">
        <f>IF(E1167="","",IF(ISNUMBER(SEARCH("SUBSOLO",E1167)),IFERROR(-VALUE(LEFT(E1167,FIND("º",SUBSTITUTE(E1167,"°","º"))-1)),-1),IF(LEFT(E1167,6)="TÉRREO",0,IFERROR(VALUE(LEFT(E1167,FIND("º",SUBSTITUTE(E1167,"°","º"))-1)),""))))</f>
        <v/>
      </c>
      <c r="O1167" s="2">
        <f>IF(OR(F1167="",G1167=""),"",IF(G1167&lt;='RETRATO 2027'!$K$5,"CONCLUÍDA",IF(F1167&lt;='RETRATO 2027'!$K$5,"EM ANDAMENTO","A INICIAR")))</f>
        <v/>
      </c>
    </row>
    <row r="1168">
      <c r="B1168" s="4" t="n">
        <v>30214078</v>
      </c>
      <c r="C1168" s="4" t="inlineStr">
        <is>
          <t>FIAÇÃO TELECOM/DADOS</t>
        </is>
      </c>
      <c r="D1168" s="4" t="inlineStr">
        <is>
          <t>-</t>
        </is>
      </c>
      <c r="E1168" s="4" t="inlineStr">
        <is>
          <t>16º PAV.</t>
        </is>
      </c>
      <c r="F1168" s="126" t="n">
        <v>46790</v>
      </c>
      <c r="G1168" s="126" t="n">
        <v>46801</v>
      </c>
      <c r="H1168" s="126" t="n">
        <v>46289</v>
      </c>
      <c r="I1168" s="4" t="n">
        <v>0</v>
      </c>
      <c r="J1168" s="4" t="n">
        <v>0</v>
      </c>
      <c r="K1168" s="4" t="n">
        <v>0</v>
      </c>
      <c r="M1168" s="2">
        <f>IF(C1168="","",IFERROR(INDEX($S$5:$S$304,MATCH(C1168,$R$5:$R$304,0))&amp;"","?"))</f>
        <v/>
      </c>
      <c r="N1168" s="2">
        <f>IF(E1168="","",IF(ISNUMBER(SEARCH("SUBSOLO",E1168)),IFERROR(-VALUE(LEFT(E1168,FIND("º",SUBSTITUTE(E1168,"°","º"))-1)),-1),IF(LEFT(E1168,6)="TÉRREO",0,IFERROR(VALUE(LEFT(E1168,FIND("º",SUBSTITUTE(E1168,"°","º"))-1)),""))))</f>
        <v/>
      </c>
      <c r="O1168" s="2">
        <f>IF(OR(F1168="",G1168=""),"",IF(G1168&lt;='RETRATO 2027'!$K$5,"CONCLUÍDA",IF(F1168&lt;='RETRATO 2027'!$K$5,"EM ANDAMENTO","A INICIAR")))</f>
        <v/>
      </c>
    </row>
    <row r="1169">
      <c r="B1169" s="4" t="n">
        <v>29981163</v>
      </c>
      <c r="C1169" s="4" t="inlineStr">
        <is>
          <t>BANCADAS</t>
        </is>
      </c>
      <c r="D1169" s="4" t="inlineStr">
        <is>
          <t>-</t>
        </is>
      </c>
      <c r="E1169" s="4" t="inlineStr">
        <is>
          <t>17º PAV.</t>
        </is>
      </c>
      <c r="F1169" s="126" t="n">
        <v>46790</v>
      </c>
      <c r="G1169" s="126" t="n">
        <v>46800</v>
      </c>
      <c r="H1169" s="126" t="n">
        <v>46289</v>
      </c>
      <c r="I1169" s="4" t="n">
        <v>0</v>
      </c>
      <c r="J1169" s="4" t="n">
        <v>0</v>
      </c>
      <c r="K1169" s="4" t="n">
        <v>0</v>
      </c>
      <c r="M1169" s="2">
        <f>IF(C1169="","",IFERROR(INDEX($S$5:$S$304,MATCH(C1169,$R$5:$R$304,0))&amp;"","?"))</f>
        <v/>
      </c>
      <c r="N1169" s="2">
        <f>IF(E1169="","",IF(ISNUMBER(SEARCH("SUBSOLO",E1169)),IFERROR(-VALUE(LEFT(E1169,FIND("º",SUBSTITUTE(E1169,"°","º"))-1)),-1),IF(LEFT(E1169,6)="TÉRREO",0,IFERROR(VALUE(LEFT(E1169,FIND("º",SUBSTITUTE(E1169,"°","º"))-1)),""))))</f>
        <v/>
      </c>
      <c r="O1169" s="2">
        <f>IF(OR(F1169="",G1169=""),"",IF(G1169&lt;='RETRATO 2027'!$K$5,"CONCLUÍDA",IF(F1169&lt;='RETRATO 2027'!$K$5,"EM ANDAMENTO","A INICIAR")))</f>
        <v/>
      </c>
    </row>
    <row r="1170">
      <c r="B1170" s="4" t="n">
        <v>29981125</v>
      </c>
      <c r="C1170" s="4" t="inlineStr">
        <is>
          <t>REVESTIMENTOS PORCELANATO PISO</t>
        </is>
      </c>
      <c r="D1170" s="4" t="inlineStr">
        <is>
          <t>-</t>
        </is>
      </c>
      <c r="E1170" s="4" t="inlineStr">
        <is>
          <t>18º PAV.</t>
        </is>
      </c>
      <c r="F1170" s="126" t="n">
        <v>46790</v>
      </c>
      <c r="G1170" s="126" t="n">
        <v>46800</v>
      </c>
      <c r="H1170" s="126" t="n">
        <v>46289</v>
      </c>
      <c r="I1170" s="4" t="n">
        <v>0</v>
      </c>
      <c r="J1170" s="4" t="n">
        <v>0</v>
      </c>
      <c r="K1170" s="4" t="n">
        <v>0</v>
      </c>
      <c r="M1170" s="2">
        <f>IF(C1170="","",IFERROR(INDEX($S$5:$S$304,MATCH(C1170,$R$5:$R$304,0))&amp;"","?"))</f>
        <v/>
      </c>
      <c r="N1170" s="2">
        <f>IF(E1170="","",IF(ISNUMBER(SEARCH("SUBSOLO",E1170)),IFERROR(-VALUE(LEFT(E1170,FIND("º",SUBSTITUTE(E1170,"°","º"))-1)),-1),IF(LEFT(E1170,6)="TÉRREO",0,IFERROR(VALUE(LEFT(E1170,FIND("º",SUBSTITUTE(E1170,"°","º"))-1)),""))))</f>
        <v/>
      </c>
      <c r="O1170" s="2">
        <f>IF(OR(F1170="",G1170=""),"",IF(G1170&lt;='RETRATO 2027'!$K$5,"CONCLUÍDA",IF(F1170&lt;='RETRATO 2027'!$K$5,"EM ANDAMENTO","A INICIAR")))</f>
        <v/>
      </c>
    </row>
    <row r="1171">
      <c r="B1171" s="4" t="n">
        <v>29981067</v>
      </c>
      <c r="C1171" s="4" t="inlineStr">
        <is>
          <t>REVESTIMENTO PORCELANATO PAREDE</t>
        </is>
      </c>
      <c r="D1171" s="4" t="inlineStr">
        <is>
          <t>-</t>
        </is>
      </c>
      <c r="E1171" s="4" t="inlineStr">
        <is>
          <t>20º PAV.</t>
        </is>
      </c>
      <c r="F1171" s="126" t="n">
        <v>46790</v>
      </c>
      <c r="G1171" s="126" t="n">
        <v>46800</v>
      </c>
      <c r="H1171" s="126" t="n">
        <v>46289</v>
      </c>
      <c r="I1171" s="4" t="n">
        <v>0</v>
      </c>
      <c r="J1171" s="4" t="n">
        <v>0</v>
      </c>
      <c r="K1171" s="4" t="n">
        <v>0</v>
      </c>
      <c r="M1171" s="2">
        <f>IF(C1171="","",IFERROR(INDEX($S$5:$S$304,MATCH(C1171,$R$5:$R$304,0))&amp;"","?"))</f>
        <v/>
      </c>
      <c r="N1171" s="2">
        <f>IF(E1171="","",IF(ISNUMBER(SEARCH("SUBSOLO",E1171)),IFERROR(-VALUE(LEFT(E1171,FIND("º",SUBSTITUTE(E1171,"°","º"))-1)),-1),IF(LEFT(E1171,6)="TÉRREO",0,IFERROR(VALUE(LEFT(E1171,FIND("º",SUBSTITUTE(E1171,"°","º"))-1)),""))))</f>
        <v/>
      </c>
      <c r="O1171" s="2">
        <f>IF(OR(F1171="",G1171=""),"",IF(G1171&lt;='RETRATO 2027'!$K$5,"CONCLUÍDA",IF(F1171&lt;='RETRATO 2027'!$K$5,"EM ANDAMENTO","A INICIAR")))</f>
        <v/>
      </c>
    </row>
    <row r="1172">
      <c r="B1172" s="4" t="n">
        <v>29981028</v>
      </c>
      <c r="C1172" s="4" t="inlineStr">
        <is>
          <t>IMPERMEABILIZAÇÃO</t>
        </is>
      </c>
      <c r="D1172" s="4" t="inlineStr">
        <is>
          <t>-</t>
        </is>
      </c>
      <c r="E1172" s="4" t="inlineStr">
        <is>
          <t>21º PAV.</t>
        </is>
      </c>
      <c r="F1172" s="126" t="n">
        <v>46790</v>
      </c>
      <c r="G1172" s="126" t="n">
        <v>46800</v>
      </c>
      <c r="H1172" s="126" t="n">
        <v>46289</v>
      </c>
      <c r="I1172" s="4" t="n">
        <v>0</v>
      </c>
      <c r="J1172" s="4" t="n">
        <v>0</v>
      </c>
      <c r="K1172" s="4" t="n">
        <v>0</v>
      </c>
      <c r="M1172" s="2">
        <f>IF(C1172="","",IFERROR(INDEX($S$5:$S$304,MATCH(C1172,$R$5:$R$304,0))&amp;"","?"))</f>
        <v/>
      </c>
      <c r="N1172" s="2">
        <f>IF(E1172="","",IF(ISNUMBER(SEARCH("SUBSOLO",E1172)),IFERROR(-VALUE(LEFT(E1172,FIND("º",SUBSTITUTE(E1172,"°","º"))-1)),-1),IF(LEFT(E1172,6)="TÉRREO",0,IFERROR(VALUE(LEFT(E1172,FIND("º",SUBSTITUTE(E1172,"°","º"))-1)),""))))</f>
        <v/>
      </c>
      <c r="O1172" s="2">
        <f>IF(OR(F1172="",G1172=""),"",IF(G1172&lt;='RETRATO 2027'!$K$5,"CONCLUÍDA",IF(F1172&lt;='RETRATO 2027'!$K$5,"EM ANDAMENTO","A INICIAR")))</f>
        <v/>
      </c>
    </row>
    <row r="1173">
      <c r="B1173" s="4" t="n">
        <v>32750448</v>
      </c>
      <c r="C1173" s="4" t="inlineStr">
        <is>
          <t>DRYWALL 2º FACE</t>
        </is>
      </c>
      <c r="D1173" s="4" t="inlineStr">
        <is>
          <t>-</t>
        </is>
      </c>
      <c r="E1173" s="4" t="inlineStr">
        <is>
          <t>22º PAV.</t>
        </is>
      </c>
      <c r="F1173" s="126" t="n">
        <v>46790</v>
      </c>
      <c r="G1173" s="126" t="n">
        <v>46800</v>
      </c>
      <c r="H1173" s="126" t="n">
        <v>46289</v>
      </c>
      <c r="I1173" s="4" t="n">
        <v>0</v>
      </c>
      <c r="J1173" s="4" t="n">
        <v>0</v>
      </c>
      <c r="K1173" s="4" t="n">
        <v>0</v>
      </c>
      <c r="M1173" s="2">
        <f>IF(C1173="","",IFERROR(INDEX($S$5:$S$304,MATCH(C1173,$R$5:$R$304,0))&amp;"","?"))</f>
        <v/>
      </c>
      <c r="N1173" s="2">
        <f>IF(E1173="","",IF(ISNUMBER(SEARCH("SUBSOLO",E1173)),IFERROR(-VALUE(LEFT(E1173,FIND("º",SUBSTITUTE(E1173,"°","º"))-1)),-1),IF(LEFT(E1173,6)="TÉRREO",0,IFERROR(VALUE(LEFT(E1173,FIND("º",SUBSTITUTE(E1173,"°","º"))-1)),""))))</f>
        <v/>
      </c>
      <c r="O1173" s="2">
        <f>IF(OR(F1173="",G1173=""),"",IF(G1173&lt;='RETRATO 2027'!$K$5,"CONCLUÍDA",IF(F1173&lt;='RETRATO 2027'!$K$5,"EM ANDAMENTO","A INICIAR")))</f>
        <v/>
      </c>
    </row>
    <row r="1174">
      <c r="B1174" s="4" t="n">
        <v>32750371</v>
      </c>
      <c r="C1174" s="4" t="inlineStr">
        <is>
          <t>DISTRIBUIÇÃO DE GÁS - DRYWALL</t>
        </is>
      </c>
      <c r="D1174" s="4" t="inlineStr">
        <is>
          <t>-</t>
        </is>
      </c>
      <c r="E1174" s="4" t="inlineStr">
        <is>
          <t>23º PAV.</t>
        </is>
      </c>
      <c r="F1174" s="126" t="n">
        <v>46790</v>
      </c>
      <c r="G1174" s="126" t="n">
        <v>46800</v>
      </c>
      <c r="H1174" s="126" t="n">
        <v>46289</v>
      </c>
      <c r="I1174" s="4" t="n">
        <v>0</v>
      </c>
      <c r="J1174" s="4" t="n">
        <v>0</v>
      </c>
      <c r="K1174" s="4" t="n">
        <v>0</v>
      </c>
      <c r="M1174" s="2">
        <f>IF(C1174="","",IFERROR(INDEX($S$5:$S$304,MATCH(C1174,$R$5:$R$304,0))&amp;"","?"))</f>
        <v/>
      </c>
      <c r="N1174" s="2">
        <f>IF(E1174="","",IF(ISNUMBER(SEARCH("SUBSOLO",E1174)),IFERROR(-VALUE(LEFT(E1174,FIND("º",SUBSTITUTE(E1174,"°","º"))-1)),-1),IF(LEFT(E1174,6)="TÉRREO",0,IFERROR(VALUE(LEFT(E1174,FIND("º",SUBSTITUTE(E1174,"°","º"))-1)),""))))</f>
        <v/>
      </c>
      <c r="O1174" s="2">
        <f>IF(OR(F1174="",G1174=""),"",IF(G1174&lt;='RETRATO 2027'!$K$5,"CONCLUÍDA",IF(F1174&lt;='RETRATO 2027'!$K$5,"EM ANDAMENTO","A INICIAR")))</f>
        <v/>
      </c>
    </row>
    <row r="1175">
      <c r="B1175" s="4" t="n">
        <v>32750397</v>
      </c>
      <c r="C1175" s="4" t="inlineStr">
        <is>
          <t>DISTRIBUIÇÃO ELÉTRICA/QUADRO - DRYWALL</t>
        </is>
      </c>
      <c r="D1175" s="4" t="inlineStr">
        <is>
          <t>-</t>
        </is>
      </c>
      <c r="E1175" s="4" t="inlineStr">
        <is>
          <t>23º PAV.</t>
        </is>
      </c>
      <c r="F1175" s="126" t="n">
        <v>46790</v>
      </c>
      <c r="G1175" s="126" t="n">
        <v>46800</v>
      </c>
      <c r="H1175" s="126" t="n">
        <v>46289</v>
      </c>
      <c r="I1175" s="4" t="n">
        <v>0</v>
      </c>
      <c r="J1175" s="4" t="n">
        <v>0</v>
      </c>
      <c r="K1175" s="4" t="n">
        <v>0</v>
      </c>
      <c r="M1175" s="2">
        <f>IF(C1175="","",IFERROR(INDEX($S$5:$S$304,MATCH(C1175,$R$5:$R$304,0))&amp;"","?"))</f>
        <v/>
      </c>
      <c r="N1175" s="2">
        <f>IF(E1175="","",IF(ISNUMBER(SEARCH("SUBSOLO",E1175)),IFERROR(-VALUE(LEFT(E1175,FIND("º",SUBSTITUTE(E1175,"°","º"))-1)),-1),IF(LEFT(E1175,6)="TÉRREO",0,IFERROR(VALUE(LEFT(E1175,FIND("º",SUBSTITUTE(E1175,"°","º"))-1)),""))))</f>
        <v/>
      </c>
      <c r="O1175" s="2">
        <f>IF(OR(F1175="",G1175=""),"",IF(G1175&lt;='RETRATO 2027'!$K$5,"CONCLUÍDA",IF(F1175&lt;='RETRATO 2027'!$K$5,"EM ANDAMENTO","A INICIAR")))</f>
        <v/>
      </c>
    </row>
    <row r="1176">
      <c r="B1176" s="4" t="n">
        <v>32750423</v>
      </c>
      <c r="C1176" s="4" t="inlineStr">
        <is>
          <t>DISTRIBUIÇÃO HIDRÁULICA - DRYWALL</t>
        </is>
      </c>
      <c r="D1176" s="4" t="inlineStr">
        <is>
          <t>-</t>
        </is>
      </c>
      <c r="E1176" s="4" t="inlineStr">
        <is>
          <t>23º PAV.</t>
        </is>
      </c>
      <c r="F1176" s="126" t="n">
        <v>46790</v>
      </c>
      <c r="G1176" s="126" t="n">
        <v>46800</v>
      </c>
      <c r="H1176" s="126" t="n">
        <v>46289</v>
      </c>
      <c r="I1176" s="4" t="n">
        <v>0</v>
      </c>
      <c r="J1176" s="4" t="n">
        <v>0</v>
      </c>
      <c r="K1176" s="4" t="n">
        <v>0</v>
      </c>
      <c r="M1176" s="2">
        <f>IF(C1176="","",IFERROR(INDEX($S$5:$S$304,MATCH(C1176,$R$5:$R$304,0))&amp;"","?"))</f>
        <v/>
      </c>
      <c r="N1176" s="2">
        <f>IF(E1176="","",IF(ISNUMBER(SEARCH("SUBSOLO",E1176)),IFERROR(-VALUE(LEFT(E1176,FIND("º",SUBSTITUTE(E1176,"°","º"))-1)),-1),IF(LEFT(E1176,6)="TÉRREO",0,IFERROR(VALUE(LEFT(E1176,FIND("º",SUBSTITUTE(E1176,"°","º"))-1)),""))))</f>
        <v/>
      </c>
      <c r="O1176" s="2">
        <f>IF(OR(F1176="",G1176=""),"",IF(G1176&lt;='RETRATO 2027'!$K$5,"CONCLUÍDA",IF(F1176&lt;='RETRATO 2027'!$K$5,"EM ANDAMENTO","A INICIAR")))</f>
        <v/>
      </c>
    </row>
    <row r="1177">
      <c r="B1177" s="4" t="n">
        <v>33896841</v>
      </c>
      <c r="C1177" s="4" t="inlineStr">
        <is>
          <t>INFRAESTRUTURA - AR CONDICIONADO</t>
        </is>
      </c>
      <c r="D1177" s="4" t="inlineStr">
        <is>
          <t>-</t>
        </is>
      </c>
      <c r="E1177" s="4" t="inlineStr">
        <is>
          <t>23º PAV.</t>
        </is>
      </c>
      <c r="F1177" s="126" t="n">
        <v>46790</v>
      </c>
      <c r="G1177" s="126" t="n">
        <v>46800</v>
      </c>
      <c r="H1177" s="126" t="n">
        <v>46289</v>
      </c>
      <c r="I1177" s="4" t="n">
        <v>0</v>
      </c>
      <c r="J1177" s="4" t="n">
        <v>0</v>
      </c>
      <c r="K1177" s="4" t="n">
        <v>0</v>
      </c>
      <c r="M1177" s="2">
        <f>IF(C1177="","",IFERROR(INDEX($S$5:$S$304,MATCH(C1177,$R$5:$R$304,0))&amp;"","?"))</f>
        <v/>
      </c>
      <c r="N1177" s="2">
        <f>IF(E1177="","",IF(ISNUMBER(SEARCH("SUBSOLO",E1177)),IFERROR(-VALUE(LEFT(E1177,FIND("º",SUBSTITUTE(E1177,"°","º"))-1)),-1),IF(LEFT(E1177,6)="TÉRREO",0,IFERROR(VALUE(LEFT(E1177,FIND("º",SUBSTITUTE(E1177,"°","º"))-1)),""))))</f>
        <v/>
      </c>
      <c r="O1177" s="2">
        <f>IF(OR(F1177="",G1177=""),"",IF(G1177&lt;='RETRATO 2027'!$K$5,"CONCLUÍDA",IF(F1177&lt;='RETRATO 2027'!$K$5,"EM ANDAMENTO","A INICIAR")))</f>
        <v/>
      </c>
    </row>
    <row r="1178">
      <c r="B1178" s="4" t="n">
        <v>32749867</v>
      </c>
      <c r="C1178" s="4" t="inlineStr">
        <is>
          <t>DRYWALL 1º FACE</t>
        </is>
      </c>
      <c r="D1178" s="4" t="inlineStr">
        <is>
          <t>-</t>
        </is>
      </c>
      <c r="E1178" s="4" t="inlineStr">
        <is>
          <t>24º PAV.</t>
        </is>
      </c>
      <c r="F1178" s="126" t="n">
        <v>46790</v>
      </c>
      <c r="G1178" s="126" t="n">
        <v>46800</v>
      </c>
      <c r="H1178" s="126" t="n">
        <v>46289</v>
      </c>
      <c r="I1178" s="4" t="n">
        <v>0</v>
      </c>
      <c r="J1178" s="4" t="n">
        <v>0</v>
      </c>
      <c r="K1178" s="4" t="n">
        <v>0</v>
      </c>
      <c r="M1178" s="2">
        <f>IF(C1178="","",IFERROR(INDEX($S$5:$S$304,MATCH(C1178,$R$5:$R$304,0))&amp;"","?"))</f>
        <v/>
      </c>
      <c r="N1178" s="2">
        <f>IF(E1178="","",IF(ISNUMBER(SEARCH("SUBSOLO",E1178)),IFERROR(-VALUE(LEFT(E1178,FIND("º",SUBSTITUTE(E1178,"°","º"))-1)),-1),IF(LEFT(E1178,6)="TÉRREO",0,IFERROR(VALUE(LEFT(E1178,FIND("º",SUBSTITUTE(E1178,"°","º"))-1)),""))))</f>
        <v/>
      </c>
      <c r="O1178" s="2">
        <f>IF(OR(F1178="",G1178=""),"",IF(G1178&lt;='RETRATO 2027'!$K$5,"CONCLUÍDA",IF(F1178&lt;='RETRATO 2027'!$K$5,"EM ANDAMENTO","A INICIAR")))</f>
        <v/>
      </c>
    </row>
    <row r="1179">
      <c r="B1179" s="4" t="n">
        <v>29980881</v>
      </c>
      <c r="C1179" s="4" t="inlineStr">
        <is>
          <t>CONTRAPISO</t>
        </is>
      </c>
      <c r="D1179" s="4" t="inlineStr">
        <is>
          <t>-</t>
        </is>
      </c>
      <c r="E1179" s="4" t="inlineStr">
        <is>
          <t>25º PAV.</t>
        </is>
      </c>
      <c r="F1179" s="126" t="n">
        <v>46790</v>
      </c>
      <c r="G1179" s="126" t="n">
        <v>46800</v>
      </c>
      <c r="H1179" s="126" t="n">
        <v>46289</v>
      </c>
      <c r="I1179" s="4" t="n">
        <v>0</v>
      </c>
      <c r="J1179" s="4" t="n">
        <v>0</v>
      </c>
      <c r="K1179" s="4" t="n">
        <v>0</v>
      </c>
      <c r="M1179" s="2">
        <f>IF(C1179="","",IFERROR(INDEX($S$5:$S$304,MATCH(C1179,$R$5:$R$304,0))&amp;"","?"))</f>
        <v/>
      </c>
      <c r="N1179" s="2">
        <f>IF(E1179="","",IF(ISNUMBER(SEARCH("SUBSOLO",E1179)),IFERROR(-VALUE(LEFT(E1179,FIND("º",SUBSTITUTE(E1179,"°","º"))-1)),-1),IF(LEFT(E1179,6)="TÉRREO",0,IFERROR(VALUE(LEFT(E1179,FIND("º",SUBSTITUTE(E1179,"°","º"))-1)),""))))</f>
        <v/>
      </c>
      <c r="O1179" s="2">
        <f>IF(OR(F1179="",G1179=""),"",IF(G1179&lt;='RETRATO 2027'!$K$5,"CONCLUÍDA",IF(F1179&lt;='RETRATO 2027'!$K$5,"EM ANDAMENTO","A INICIAR")))</f>
        <v/>
      </c>
    </row>
    <row r="1180">
      <c r="B1180" s="4" t="n">
        <v>29980821</v>
      </c>
      <c r="C1180" s="4" t="inlineStr">
        <is>
          <t>SHAFT INTERNO INST. HIDRAÚLICAS</t>
        </is>
      </c>
      <c r="D1180" s="4" t="inlineStr">
        <is>
          <t>-</t>
        </is>
      </c>
      <c r="E1180" s="4" t="inlineStr">
        <is>
          <t>26º PAV.</t>
        </is>
      </c>
      <c r="F1180" s="126" t="n">
        <v>46790</v>
      </c>
      <c r="G1180" s="126" t="n">
        <v>46800</v>
      </c>
      <c r="H1180" s="126" t="n">
        <v>46289</v>
      </c>
      <c r="I1180" s="4" t="n">
        <v>0</v>
      </c>
      <c r="J1180" s="4" t="n">
        <v>0</v>
      </c>
      <c r="K1180" s="4" t="n">
        <v>0</v>
      </c>
      <c r="M1180" s="2">
        <f>IF(C1180="","",IFERROR(INDEX($S$5:$S$304,MATCH(C1180,$R$5:$R$304,0))&amp;"","?"))</f>
        <v/>
      </c>
      <c r="N1180" s="2">
        <f>IF(E1180="","",IF(ISNUMBER(SEARCH("SUBSOLO",E1180)),IFERROR(-VALUE(LEFT(E1180,FIND("º",SUBSTITUTE(E1180,"°","º"))-1)),-1),IF(LEFT(E1180,6)="TÉRREO",0,IFERROR(VALUE(LEFT(E1180,FIND("º",SUBSTITUTE(E1180,"°","º"))-1)),""))))</f>
        <v/>
      </c>
      <c r="O1180" s="2">
        <f>IF(OR(F1180="",G1180=""),"",IF(G1180&lt;='RETRATO 2027'!$K$5,"CONCLUÍDA",IF(F1180&lt;='RETRATO 2027'!$K$5,"EM ANDAMENTO","A INICIAR")))</f>
        <v/>
      </c>
    </row>
    <row r="1181">
      <c r="B1181" s="4" t="n">
        <v>29980854</v>
      </c>
      <c r="C1181" s="4" t="inlineStr">
        <is>
          <t>PRUMADA ELÉTRICA - INFRA</t>
        </is>
      </c>
      <c r="D1181" s="4" t="inlineStr">
        <is>
          <t>-</t>
        </is>
      </c>
      <c r="E1181" s="4" t="inlineStr">
        <is>
          <t>26º PAV.</t>
        </is>
      </c>
      <c r="F1181" s="126" t="n">
        <v>46790</v>
      </c>
      <c r="G1181" s="126" t="n">
        <v>46800</v>
      </c>
      <c r="H1181" s="126" t="n">
        <v>46289</v>
      </c>
      <c r="I1181" s="4" t="n">
        <v>0</v>
      </c>
      <c r="J1181" s="4" t="n">
        <v>0</v>
      </c>
      <c r="K1181" s="4" t="n">
        <v>0</v>
      </c>
      <c r="M1181" s="2">
        <f>IF(C1181="","",IFERROR(INDEX($S$5:$S$304,MATCH(C1181,$R$5:$R$304,0))&amp;"","?"))</f>
        <v/>
      </c>
      <c r="N1181" s="2">
        <f>IF(E1181="","",IF(ISNUMBER(SEARCH("SUBSOLO",E1181)),IFERROR(-VALUE(LEFT(E1181,FIND("º",SUBSTITUTE(E1181,"°","º"))-1)),-1),IF(LEFT(E1181,6)="TÉRREO",0,IFERROR(VALUE(LEFT(E1181,FIND("º",SUBSTITUTE(E1181,"°","º"))-1)),""))))</f>
        <v/>
      </c>
      <c r="O1181" s="2">
        <f>IF(OR(F1181="",G1181=""),"",IF(G1181&lt;='RETRATO 2027'!$K$5,"CONCLUÍDA",IF(F1181&lt;='RETRATO 2027'!$K$5,"EM ANDAMENTO","A INICIAR")))</f>
        <v/>
      </c>
    </row>
    <row r="1182">
      <c r="B1182" s="4" t="n">
        <v>29980783</v>
      </c>
      <c r="C1182" s="4" t="inlineStr">
        <is>
          <t>REBOCO INTERNO</t>
        </is>
      </c>
      <c r="D1182" s="4" t="inlineStr">
        <is>
          <t>-</t>
        </is>
      </c>
      <c r="E1182" s="4" t="inlineStr">
        <is>
          <t>27º PAV.</t>
        </is>
      </c>
      <c r="F1182" s="126" t="n">
        <v>46790</v>
      </c>
      <c r="G1182" s="126" t="n">
        <v>46800</v>
      </c>
      <c r="H1182" s="126" t="n">
        <v>46289</v>
      </c>
      <c r="I1182" s="4" t="n">
        <v>0</v>
      </c>
      <c r="J1182" s="4" t="n">
        <v>0</v>
      </c>
      <c r="K1182" s="4" t="n">
        <v>0</v>
      </c>
      <c r="M1182" s="2">
        <f>IF(C1182="","",IFERROR(INDEX($S$5:$S$304,MATCH(C1182,$R$5:$R$304,0))&amp;"","?"))</f>
        <v/>
      </c>
      <c r="N1182" s="2">
        <f>IF(E1182="","",IF(ISNUMBER(SEARCH("SUBSOLO",E1182)),IFERROR(-VALUE(LEFT(E1182,FIND("º",SUBSTITUTE(E1182,"°","º"))-1)),-1),IF(LEFT(E1182,6)="TÉRREO",0,IFERROR(VALUE(LEFT(E1182,FIND("º",SUBSTITUTE(E1182,"°","º"))-1)),""))))</f>
        <v/>
      </c>
      <c r="O1182" s="2">
        <f>IF(OR(F1182="",G1182=""),"",IF(G1182&lt;='RETRATO 2027'!$K$5,"CONCLUÍDA",IF(F1182&lt;='RETRATO 2027'!$K$5,"EM ANDAMENTO","A INICIAR")))</f>
        <v/>
      </c>
    </row>
    <row r="1183">
      <c r="B1183" s="4" t="n">
        <v>29980749</v>
      </c>
      <c r="C1183" s="4" t="inlineStr">
        <is>
          <t>CONTRAMARCO</t>
        </is>
      </c>
      <c r="D1183" s="4" t="inlineStr">
        <is>
          <t>-</t>
        </is>
      </c>
      <c r="E1183" s="4" t="inlineStr">
        <is>
          <t>28º PAV.</t>
        </is>
      </c>
      <c r="F1183" s="126" t="n">
        <v>46790</v>
      </c>
      <c r="G1183" s="126" t="n">
        <v>46800</v>
      </c>
      <c r="H1183" s="126" t="n">
        <v>46289</v>
      </c>
      <c r="I1183" s="4" t="n">
        <v>0</v>
      </c>
      <c r="J1183" s="4" t="n">
        <v>0</v>
      </c>
      <c r="K1183" s="4" t="n">
        <v>0</v>
      </c>
      <c r="M1183" s="2">
        <f>IF(C1183="","",IFERROR(INDEX($S$5:$S$304,MATCH(C1183,$R$5:$R$304,0))&amp;"","?"))</f>
        <v/>
      </c>
      <c r="N1183" s="2">
        <f>IF(E1183="","",IF(ISNUMBER(SEARCH("SUBSOLO",E1183)),IFERROR(-VALUE(LEFT(E1183,FIND("º",SUBSTITUTE(E1183,"°","º"))-1)),-1),IF(LEFT(E1183,6)="TÉRREO",0,IFERROR(VALUE(LEFT(E1183,FIND("º",SUBSTITUTE(E1183,"°","º"))-1)),""))))</f>
        <v/>
      </c>
      <c r="O1183" s="2">
        <f>IF(OR(F1183="",G1183=""),"",IF(G1183&lt;='RETRATO 2027'!$K$5,"CONCLUÍDA",IF(F1183&lt;='RETRATO 2027'!$K$5,"EM ANDAMENTO","A INICIAR")))</f>
        <v/>
      </c>
    </row>
    <row r="1184">
      <c r="B1184" s="4" t="n">
        <v>29980742</v>
      </c>
      <c r="C1184" s="4" t="inlineStr">
        <is>
          <t>DISTRIBUIÇÃO HIDROSSANITÁRIA</t>
        </is>
      </c>
      <c r="D1184" s="4" t="inlineStr">
        <is>
          <t>-</t>
        </is>
      </c>
      <c r="E1184" s="4" t="inlineStr">
        <is>
          <t>29º PAV.</t>
        </is>
      </c>
      <c r="F1184" s="126" t="n">
        <v>46790</v>
      </c>
      <c r="G1184" s="126" t="n">
        <v>46800</v>
      </c>
      <c r="H1184" s="126" t="n">
        <v>46289</v>
      </c>
      <c r="I1184" s="4" t="n">
        <v>0</v>
      </c>
      <c r="J1184" s="4" t="n">
        <v>0</v>
      </c>
      <c r="K1184" s="4" t="n">
        <v>0</v>
      </c>
      <c r="M1184" s="2">
        <f>IF(C1184="","",IFERROR(INDEX($S$5:$S$304,MATCH(C1184,$R$5:$R$304,0))&amp;"","?"))</f>
        <v/>
      </c>
      <c r="N1184" s="2">
        <f>IF(E1184="","",IF(ISNUMBER(SEARCH("SUBSOLO",E1184)),IFERROR(-VALUE(LEFT(E1184,FIND("º",SUBSTITUTE(E1184,"°","º"))-1)),-1),IF(LEFT(E1184,6)="TÉRREO",0,IFERROR(VALUE(LEFT(E1184,FIND("º",SUBSTITUTE(E1184,"°","º"))-1)),""))))</f>
        <v/>
      </c>
      <c r="O1184" s="2">
        <f>IF(OR(F1184="",G1184=""),"",IF(G1184&lt;='RETRATO 2027'!$K$5,"CONCLUÍDA",IF(F1184&lt;='RETRATO 2027'!$K$5,"EM ANDAMENTO","A INICIAR")))</f>
        <v/>
      </c>
    </row>
    <row r="1185">
      <c r="B1185" s="4" t="n">
        <v>29980711</v>
      </c>
      <c r="C1185" s="4" t="inlineStr">
        <is>
          <t>DISTRIBUIÇÃO ELÉTRICA / QUADRO</t>
        </is>
      </c>
      <c r="D1185" s="4" t="inlineStr">
        <is>
          <t>-</t>
        </is>
      </c>
      <c r="E1185" s="4" t="inlineStr">
        <is>
          <t>29º PAV.</t>
        </is>
      </c>
      <c r="F1185" s="126" t="n">
        <v>46790</v>
      </c>
      <c r="G1185" s="126" t="n">
        <v>46800</v>
      </c>
      <c r="H1185" s="126" t="n">
        <v>46289</v>
      </c>
      <c r="I1185" s="4" t="n">
        <v>0</v>
      </c>
      <c r="J1185" s="4" t="n">
        <v>0</v>
      </c>
      <c r="K1185" s="4" t="n">
        <v>0</v>
      </c>
      <c r="M1185" s="2">
        <f>IF(C1185="","",IFERROR(INDEX($S$5:$S$304,MATCH(C1185,$R$5:$R$304,0))&amp;"","?"))</f>
        <v/>
      </c>
      <c r="N1185" s="2">
        <f>IF(E1185="","",IF(ISNUMBER(SEARCH("SUBSOLO",E1185)),IFERROR(-VALUE(LEFT(E1185,FIND("º",SUBSTITUTE(E1185,"°","º"))-1)),-1),IF(LEFT(E1185,6)="TÉRREO",0,IFERROR(VALUE(LEFT(E1185,FIND("º",SUBSTITUTE(E1185,"°","º"))-1)),""))))</f>
        <v/>
      </c>
      <c r="O1185" s="2">
        <f>IF(OR(F1185="",G1185=""),"",IF(G1185&lt;='RETRATO 2027'!$K$5,"CONCLUÍDA",IF(F1185&lt;='RETRATO 2027'!$K$5,"EM ANDAMENTO","A INICIAR")))</f>
        <v/>
      </c>
    </row>
    <row r="1186">
      <c r="B1186" s="4" t="n">
        <v>29980744</v>
      </c>
      <c r="C1186" s="4" t="inlineStr">
        <is>
          <t>DISTRIBUIÇÃO DE GÁS</t>
        </is>
      </c>
      <c r="D1186" s="4" t="inlineStr">
        <is>
          <t>-</t>
        </is>
      </c>
      <c r="E1186" s="4" t="inlineStr">
        <is>
          <t>29º PAV.</t>
        </is>
      </c>
      <c r="F1186" s="126" t="n">
        <v>46790</v>
      </c>
      <c r="G1186" s="126" t="n">
        <v>46800</v>
      </c>
      <c r="H1186" s="126" t="n">
        <v>46289</v>
      </c>
      <c r="I1186" s="4" t="n">
        <v>0</v>
      </c>
      <c r="J1186" s="4" t="n">
        <v>0</v>
      </c>
      <c r="K1186" s="4" t="n">
        <v>0</v>
      </c>
      <c r="M1186" s="2">
        <f>IF(C1186="","",IFERROR(INDEX($S$5:$S$304,MATCH(C1186,$R$5:$R$304,0))&amp;"","?"))</f>
        <v/>
      </c>
      <c r="N1186" s="2">
        <f>IF(E1186="","",IF(ISNUMBER(SEARCH("SUBSOLO",E1186)),IFERROR(-VALUE(LEFT(E1186,FIND("º",SUBSTITUTE(E1186,"°","º"))-1)),-1),IF(LEFT(E1186,6)="TÉRREO",0,IFERROR(VALUE(LEFT(E1186,FIND("º",SUBSTITUTE(E1186,"°","º"))-1)),""))))</f>
        <v/>
      </c>
      <c r="O1186" s="2">
        <f>IF(OR(F1186="",G1186=""),"",IF(G1186&lt;='RETRATO 2027'!$K$5,"CONCLUÍDA",IF(F1186&lt;='RETRATO 2027'!$K$5,"EM ANDAMENTO","A INICIAR")))</f>
        <v/>
      </c>
    </row>
    <row r="1187">
      <c r="B1187" s="4" t="n">
        <v>29980691</v>
      </c>
      <c r="C1187" s="4" t="inlineStr">
        <is>
          <t>TALISCAMENTO</t>
        </is>
      </c>
      <c r="D1187" s="4" t="inlineStr">
        <is>
          <t>-</t>
        </is>
      </c>
      <c r="E1187" s="4" t="inlineStr">
        <is>
          <t>30º PAV.</t>
        </is>
      </c>
      <c r="F1187" s="126" t="n">
        <v>46790</v>
      </c>
      <c r="G1187" s="126" t="n">
        <v>46800</v>
      </c>
      <c r="H1187" s="126" t="n">
        <v>46289</v>
      </c>
      <c r="I1187" s="4" t="n">
        <v>0</v>
      </c>
      <c r="J1187" s="4" t="n">
        <v>0</v>
      </c>
      <c r="K1187" s="4" t="n">
        <v>0</v>
      </c>
      <c r="M1187" s="2">
        <f>IF(C1187="","",IFERROR(INDEX($S$5:$S$304,MATCH(C1187,$R$5:$R$304,0))&amp;"","?"))</f>
        <v/>
      </c>
      <c r="N1187" s="2">
        <f>IF(E1187="","",IF(ISNUMBER(SEARCH("SUBSOLO",E1187)),IFERROR(-VALUE(LEFT(E1187,FIND("º",SUBSTITUTE(E1187,"°","º"))-1)),-1),IF(LEFT(E1187,6)="TÉRREO",0,IFERROR(VALUE(LEFT(E1187,FIND("º",SUBSTITUTE(E1187,"°","º"))-1)),""))))</f>
        <v/>
      </c>
      <c r="O1187" s="2">
        <f>IF(OR(F1187="",G1187=""),"",IF(G1187&lt;='RETRATO 2027'!$K$5,"CONCLUÍDA",IF(F1187&lt;='RETRATO 2027'!$K$5,"EM ANDAMENTO","A INICIAR")))</f>
        <v/>
      </c>
    </row>
    <row r="1188">
      <c r="B1188" s="4" t="n">
        <v>29980657</v>
      </c>
      <c r="C1188" s="4" t="inlineStr">
        <is>
          <t>PRUMADA HIDROSSANITÁRIA</t>
        </is>
      </c>
      <c r="D1188" s="4" t="inlineStr">
        <is>
          <t>-</t>
        </is>
      </c>
      <c r="E1188" s="4" t="inlineStr">
        <is>
          <t>31º PAV. - COBERTURA LINEAR</t>
        </is>
      </c>
      <c r="F1188" s="126" t="n">
        <v>46790</v>
      </c>
      <c r="G1188" s="126" t="n">
        <v>46800</v>
      </c>
      <c r="H1188" s="126" t="n">
        <v>46289</v>
      </c>
      <c r="I1188" s="4" t="n">
        <v>0</v>
      </c>
      <c r="J1188" s="4" t="n">
        <v>0</v>
      </c>
      <c r="K1188" s="4" t="n">
        <v>0</v>
      </c>
      <c r="M1188" s="2">
        <f>IF(C1188="","",IFERROR(INDEX($S$5:$S$304,MATCH(C1188,$R$5:$R$304,0))&amp;"","?"))</f>
        <v/>
      </c>
      <c r="N1188" s="2">
        <f>IF(E1188="","",IF(ISNUMBER(SEARCH("SUBSOLO",E1188)),IFERROR(-VALUE(LEFT(E1188,FIND("º",SUBSTITUTE(E1188,"°","º"))-1)),-1),IF(LEFT(E1188,6)="TÉRREO",0,IFERROR(VALUE(LEFT(E1188,FIND("º",SUBSTITUTE(E1188,"°","º"))-1)),""))))</f>
        <v/>
      </c>
      <c r="O1188" s="2">
        <f>IF(OR(F1188="",G1188=""),"",IF(G1188&lt;='RETRATO 2027'!$K$5,"CONCLUÍDA",IF(F1188&lt;='RETRATO 2027'!$K$5,"EM ANDAMENTO","A INICIAR")))</f>
        <v/>
      </c>
    </row>
    <row r="1189">
      <c r="B1189" s="4" t="n">
        <v>30206120</v>
      </c>
      <c r="C1189" s="4" t="inlineStr">
        <is>
          <t>ENCUNHAMENTO</t>
        </is>
      </c>
      <c r="D1189" s="4" t="inlineStr">
        <is>
          <t>-</t>
        </is>
      </c>
      <c r="E1189" s="4" t="inlineStr">
        <is>
          <t>6º PAV (PILOTIS) - ACADEMIA</t>
        </is>
      </c>
      <c r="F1189" s="126" t="n">
        <v>46791</v>
      </c>
      <c r="G1189" s="126" t="n">
        <v>46804</v>
      </c>
      <c r="H1189" s="126" t="n">
        <v>46289</v>
      </c>
      <c r="I1189" s="4" t="n">
        <v>0</v>
      </c>
      <c r="J1189" s="4" t="n">
        <v>0</v>
      </c>
      <c r="K1189" s="4" t="n">
        <v>0</v>
      </c>
      <c r="M1189" s="2">
        <f>IF(C1189="","",IFERROR(INDEX($S$5:$S$304,MATCH(C1189,$R$5:$R$304,0))&amp;"","?"))</f>
        <v/>
      </c>
      <c r="N1189" s="2">
        <f>IF(E1189="","",IF(ISNUMBER(SEARCH("SUBSOLO",E1189)),IFERROR(-VALUE(LEFT(E1189,FIND("º",SUBSTITUTE(E1189,"°","º"))-1)),-1),IF(LEFT(E1189,6)="TÉRREO",0,IFERROR(VALUE(LEFT(E1189,FIND("º",SUBSTITUTE(E1189,"°","º"))-1)),""))))</f>
        <v/>
      </c>
      <c r="O1189" s="2">
        <f>IF(OR(F1189="",G1189=""),"",IF(G1189&lt;='RETRATO 2027'!$K$5,"CONCLUÍDA",IF(F1189&lt;='RETRATO 2027'!$K$5,"EM ANDAMENTO","A INICIAR")))</f>
        <v/>
      </c>
    </row>
    <row r="1190">
      <c r="B1190" s="4" t="n">
        <v>29980656</v>
      </c>
      <c r="C1190" s="4" t="inlineStr">
        <is>
          <t>ENCUNHAMENTO</t>
        </is>
      </c>
      <c r="D1190" s="4" t="inlineStr">
        <is>
          <t>-</t>
        </is>
      </c>
      <c r="E1190" s="4" t="inlineStr">
        <is>
          <t>31º PAV. - COBERTURA LINEAR</t>
        </is>
      </c>
      <c r="F1190" s="126" t="n">
        <v>46792</v>
      </c>
      <c r="G1190" s="126" t="n">
        <v>46804</v>
      </c>
      <c r="H1190" s="126" t="n">
        <v>46289</v>
      </c>
      <c r="I1190" s="4" t="n">
        <v>0</v>
      </c>
      <c r="J1190" s="4" t="n">
        <v>0</v>
      </c>
      <c r="K1190" s="4" t="n">
        <v>0</v>
      </c>
      <c r="M1190" s="2">
        <f>IF(C1190="","",IFERROR(INDEX($S$5:$S$304,MATCH(C1190,$R$5:$R$304,0))&amp;"","?"))</f>
        <v/>
      </c>
      <c r="N1190" s="2">
        <f>IF(E1190="","",IF(ISNUMBER(SEARCH("SUBSOLO",E1190)),IFERROR(-VALUE(LEFT(E1190,FIND("º",SUBSTITUTE(E1190,"°","º"))-1)),-1),IF(LEFT(E1190,6)="TÉRREO",0,IFERROR(VALUE(LEFT(E1190,FIND("º",SUBSTITUTE(E1190,"°","º"))-1)),""))))</f>
        <v/>
      </c>
      <c r="O1190" s="2">
        <f>IF(OR(F1190="",G1190=""),"",IF(G1190&lt;='RETRATO 2027'!$K$5,"CONCLUÍDA",IF(F1190&lt;='RETRATO 2027'!$K$5,"EM ANDAMENTO","A INICIAR")))</f>
        <v/>
      </c>
    </row>
    <row r="1191">
      <c r="B1191" s="4" t="n">
        <v>30205571</v>
      </c>
      <c r="C1191" s="4" t="inlineStr">
        <is>
          <t>MASSA CORRIDA</t>
        </is>
      </c>
      <c r="D1191" s="4" t="inlineStr">
        <is>
          <t>-</t>
        </is>
      </c>
      <c r="E1191" s="4" t="inlineStr">
        <is>
          <t>TÉRREO - LOJA 6</t>
        </is>
      </c>
      <c r="F1191" s="126" t="n">
        <v>46794</v>
      </c>
      <c r="G1191" s="126" t="n">
        <v>46807</v>
      </c>
      <c r="H1191" s="126" t="n">
        <v>46289</v>
      </c>
      <c r="I1191" s="4" t="n">
        <v>0</v>
      </c>
      <c r="J1191" s="4" t="n">
        <v>0</v>
      </c>
      <c r="K1191" s="4" t="n">
        <v>0</v>
      </c>
      <c r="M1191" s="2">
        <f>IF(C1191="","",IFERROR(INDEX($S$5:$S$304,MATCH(C1191,$R$5:$R$304,0))&amp;"","?"))</f>
        <v/>
      </c>
      <c r="N1191" s="2">
        <f>IF(E1191="","",IF(ISNUMBER(SEARCH("SUBSOLO",E1191)),IFERROR(-VALUE(LEFT(E1191,FIND("º",SUBSTITUTE(E1191,"°","º"))-1)),-1),IF(LEFT(E1191,6)="TÉRREO",0,IFERROR(VALUE(LEFT(E1191,FIND("º",SUBSTITUTE(E1191,"°","º"))-1)),""))))</f>
        <v/>
      </c>
      <c r="O1191" s="2">
        <f>IF(OR(F1191="",G1191=""),"",IF(G1191&lt;='RETRATO 2027'!$K$5,"CONCLUÍDA",IF(F1191&lt;='RETRATO 2027'!$K$5,"EM ANDAMENTO","A INICIAR")))</f>
        <v/>
      </c>
    </row>
    <row r="1192">
      <c r="B1192" s="4" t="n">
        <v>30205541</v>
      </c>
      <c r="C1192" s="4" t="inlineStr">
        <is>
          <t>FORRO</t>
        </is>
      </c>
      <c r="D1192" s="4" t="inlineStr">
        <is>
          <t>-</t>
        </is>
      </c>
      <c r="E1192" s="4" t="inlineStr">
        <is>
          <t>TÉRREO - LOJA 7</t>
        </is>
      </c>
      <c r="F1192" s="126" t="n">
        <v>46794</v>
      </c>
      <c r="G1192" s="126" t="n">
        <v>46807</v>
      </c>
      <c r="H1192" s="126" t="n">
        <v>46289</v>
      </c>
      <c r="I1192" s="4" t="n">
        <v>0</v>
      </c>
      <c r="J1192" s="4" t="n">
        <v>0</v>
      </c>
      <c r="K1192" s="4" t="n">
        <v>0</v>
      </c>
      <c r="M1192" s="2">
        <f>IF(C1192="","",IFERROR(INDEX($S$5:$S$304,MATCH(C1192,$R$5:$R$304,0))&amp;"","?"))</f>
        <v/>
      </c>
      <c r="N1192" s="2">
        <f>IF(E1192="","",IF(ISNUMBER(SEARCH("SUBSOLO",E1192)),IFERROR(-VALUE(LEFT(E1192,FIND("º",SUBSTITUTE(E1192,"°","º"))-1)),-1),IF(LEFT(E1192,6)="TÉRREO",0,IFERROR(VALUE(LEFT(E1192,FIND("º",SUBSTITUTE(E1192,"°","º"))-1)),""))))</f>
        <v/>
      </c>
      <c r="O1192" s="2">
        <f>IF(OR(F1192="",G1192=""),"",IF(G1192&lt;='RETRATO 2027'!$K$5,"CONCLUÍDA",IF(F1192&lt;='RETRATO 2027'!$K$5,"EM ANDAMENTO","A INICIAR")))</f>
        <v/>
      </c>
    </row>
    <row r="1193">
      <c r="B1193" s="4" t="n">
        <v>30171514</v>
      </c>
      <c r="C1193" s="4" t="inlineStr">
        <is>
          <t>PLACAS E IDEINTIFIC. VISUAIS</t>
        </is>
      </c>
      <c r="D1193" s="4" t="inlineStr">
        <is>
          <t>-</t>
        </is>
      </c>
      <c r="E1193" s="4" t="inlineStr">
        <is>
          <t>HALL - APTOS</t>
        </is>
      </c>
      <c r="F1193" s="126" t="n">
        <v>46794</v>
      </c>
      <c r="G1193" s="126" t="n">
        <v>47143</v>
      </c>
      <c r="H1193" s="126" t="n">
        <v>46289</v>
      </c>
      <c r="I1193" s="4" t="n">
        <v>0</v>
      </c>
      <c r="J1193" s="4" t="n">
        <v>0</v>
      </c>
      <c r="K1193" s="4" t="n">
        <v>0</v>
      </c>
      <c r="M1193" s="2">
        <f>IF(C1193="","",IFERROR(INDEX($S$5:$S$304,MATCH(C1193,$R$5:$R$304,0))&amp;"","?"))</f>
        <v/>
      </c>
      <c r="N1193" s="2">
        <f>IF(E1193="","",IF(ISNUMBER(SEARCH("SUBSOLO",E1193)),IFERROR(-VALUE(LEFT(E1193,FIND("º",SUBSTITUTE(E1193,"°","º"))-1)),-1),IF(LEFT(E1193,6)="TÉRREO",0,IFERROR(VALUE(LEFT(E1193,FIND("º",SUBSTITUTE(E1193,"°","º"))-1)),""))))</f>
        <v/>
      </c>
      <c r="O1193" s="2">
        <f>IF(OR(F1193="",G1193=""),"",IF(G1193&lt;='RETRATO 2027'!$K$5,"CONCLUÍDA",IF(F1193&lt;='RETRATO 2027'!$K$5,"EM ANDAMENTO","A INICIAR")))</f>
        <v/>
      </c>
    </row>
    <row r="1194">
      <c r="B1194" s="4" t="n">
        <v>30171507</v>
      </c>
      <c r="C1194" s="4" t="inlineStr">
        <is>
          <t>INSTALAÇÃO DE LUMINÁRIAS</t>
        </is>
      </c>
      <c r="D1194" s="4" t="inlineStr">
        <is>
          <t>-</t>
        </is>
      </c>
      <c r="E1194" s="4" t="inlineStr">
        <is>
          <t>HALL - APTOS</t>
        </is>
      </c>
      <c r="F1194" s="126" t="n">
        <v>46794</v>
      </c>
      <c r="G1194" s="126" t="n">
        <v>47143</v>
      </c>
      <c r="H1194" s="126" t="n">
        <v>46289</v>
      </c>
      <c r="I1194" s="4" t="n">
        <v>0</v>
      </c>
      <c r="J1194" s="4" t="n">
        <v>0</v>
      </c>
      <c r="K1194" s="4" t="n">
        <v>0</v>
      </c>
      <c r="M1194" s="2">
        <f>IF(C1194="","",IFERROR(INDEX($S$5:$S$304,MATCH(C1194,$R$5:$R$304,0))&amp;"","?"))</f>
        <v/>
      </c>
      <c r="N1194" s="2">
        <f>IF(E1194="","",IF(ISNUMBER(SEARCH("SUBSOLO",E1194)),IFERROR(-VALUE(LEFT(E1194,FIND("º",SUBSTITUTE(E1194,"°","º"))-1)),-1),IF(LEFT(E1194,6)="TÉRREO",0,IFERROR(VALUE(LEFT(E1194,FIND("º",SUBSTITUTE(E1194,"°","º"))-1)),""))))</f>
        <v/>
      </c>
      <c r="O1194" s="2">
        <f>IF(OR(F1194="",G1194=""),"",IF(G1194&lt;='RETRATO 2027'!$K$5,"CONCLUÍDA",IF(F1194&lt;='RETRATO 2027'!$K$5,"EM ANDAMENTO","A INICIAR")))</f>
        <v/>
      </c>
    </row>
    <row r="1195">
      <c r="B1195" s="4" t="n">
        <v>30206118</v>
      </c>
      <c r="C1195" s="4" t="inlineStr">
        <is>
          <t>TALISCAMENTO</t>
        </is>
      </c>
      <c r="D1195" s="4" t="inlineStr">
        <is>
          <t>-</t>
        </is>
      </c>
      <c r="E1195" s="4" t="inlineStr">
        <is>
          <t>6º PAV (PILOTIS) - ACADEMIA</t>
        </is>
      </c>
      <c r="F1195" s="126" t="n">
        <v>46797</v>
      </c>
      <c r="G1195" s="126" t="n">
        <v>46808</v>
      </c>
      <c r="H1195" s="126" t="n">
        <v>46289</v>
      </c>
      <c r="I1195" s="4" t="n">
        <v>0</v>
      </c>
      <c r="J1195" s="4" t="n">
        <v>0</v>
      </c>
      <c r="K1195" s="4" t="n">
        <v>0</v>
      </c>
      <c r="M1195" s="2">
        <f>IF(C1195="","",IFERROR(INDEX($S$5:$S$304,MATCH(C1195,$R$5:$R$304,0))&amp;"","?"))</f>
        <v/>
      </c>
      <c r="N1195" s="2">
        <f>IF(E1195="","",IF(ISNUMBER(SEARCH("SUBSOLO",E1195)),IFERROR(-VALUE(LEFT(E1195,FIND("º",SUBSTITUTE(E1195,"°","º"))-1)),-1),IF(LEFT(E1195,6)="TÉRREO",0,IFERROR(VALUE(LEFT(E1195,FIND("º",SUBSTITUTE(E1195,"°","º"))-1)),""))))</f>
        <v/>
      </c>
      <c r="O1195" s="2">
        <f>IF(OR(F1195="",G1195=""),"",IF(G1195&lt;='RETRATO 2027'!$K$5,"CONCLUÍDA",IF(F1195&lt;='RETRATO 2027'!$K$5,"EM ANDAMENTO","A INICIAR")))</f>
        <v/>
      </c>
    </row>
    <row r="1196">
      <c r="B1196" s="4" t="n">
        <v>30206084</v>
      </c>
      <c r="C1196" s="4" t="inlineStr">
        <is>
          <t>PRUMADA HIDROSSANITÁRIA</t>
        </is>
      </c>
      <c r="D1196" s="4" t="inlineStr">
        <is>
          <t>-</t>
        </is>
      </c>
      <c r="E1196" s="4" t="inlineStr">
        <is>
          <t>6º PAV (PILOTIS) - SAUNA + DUCHA</t>
        </is>
      </c>
      <c r="F1196" s="126" t="n">
        <v>46797</v>
      </c>
      <c r="G1196" s="126" t="n">
        <v>46808</v>
      </c>
      <c r="H1196" s="126" t="n">
        <v>46289</v>
      </c>
      <c r="I1196" s="4" t="n">
        <v>0</v>
      </c>
      <c r="J1196" s="4" t="n">
        <v>0</v>
      </c>
      <c r="K1196" s="4" t="n">
        <v>0</v>
      </c>
      <c r="M1196" s="2">
        <f>IF(C1196="","",IFERROR(INDEX($S$5:$S$304,MATCH(C1196,$R$5:$R$304,0))&amp;"","?"))</f>
        <v/>
      </c>
      <c r="N1196" s="2">
        <f>IF(E1196="","",IF(ISNUMBER(SEARCH("SUBSOLO",E1196)),IFERROR(-VALUE(LEFT(E1196,FIND("º",SUBSTITUTE(E1196,"°","º"))-1)),-1),IF(LEFT(E1196,6)="TÉRREO",0,IFERROR(VALUE(LEFT(E1196,FIND("º",SUBSTITUTE(E1196,"°","º"))-1)),""))))</f>
        <v/>
      </c>
      <c r="O1196" s="2">
        <f>IF(OR(F1196="",G1196=""),"",IF(G1196&lt;='RETRATO 2027'!$K$5,"CONCLUÍDA",IF(F1196&lt;='RETRATO 2027'!$K$5,"EM ANDAMENTO","A INICIAR")))</f>
        <v/>
      </c>
    </row>
    <row r="1197">
      <c r="B1197" s="4" t="n">
        <v>30206010</v>
      </c>
      <c r="C1197" s="4" t="inlineStr">
        <is>
          <t>PRUMADA HIDROSSANITÁRIA</t>
        </is>
      </c>
      <c r="D1197" s="4" t="inlineStr">
        <is>
          <t>-</t>
        </is>
      </c>
      <c r="E1197" s="4" t="inlineStr">
        <is>
          <t>6º PAV (PILOTIS) - COWORKING 1 E 2 + CIRC. 2 + HALL 2 + DML + VEST. MASC. + VEST. FEM</t>
        </is>
      </c>
      <c r="F1197" s="126" t="n">
        <v>46797</v>
      </c>
      <c r="G1197" s="126" t="n">
        <v>46808</v>
      </c>
      <c r="H1197" s="126" t="n">
        <v>46289</v>
      </c>
      <c r="I1197" s="4" t="n">
        <v>0</v>
      </c>
      <c r="J1197" s="4" t="n">
        <v>0</v>
      </c>
      <c r="K1197" s="4" t="n">
        <v>0</v>
      </c>
      <c r="M1197" s="2">
        <f>IF(C1197="","",IFERROR(INDEX($S$5:$S$304,MATCH(C1197,$R$5:$R$304,0))&amp;"","?"))</f>
        <v/>
      </c>
      <c r="N1197" s="2">
        <f>IF(E1197="","",IF(ISNUMBER(SEARCH("SUBSOLO",E1197)),IFERROR(-VALUE(LEFT(E1197,FIND("º",SUBSTITUTE(E1197,"°","º"))-1)),-1),IF(LEFT(E1197,6)="TÉRREO",0,IFERROR(VALUE(LEFT(E1197,FIND("º",SUBSTITUTE(E1197,"°","º"))-1)),""))))</f>
        <v/>
      </c>
      <c r="O1197" s="2">
        <f>IF(OR(F1197="",G1197=""),"",IF(G1197&lt;='RETRATO 2027'!$K$5,"CONCLUÍDA",IF(F1197&lt;='RETRATO 2027'!$K$5,"EM ANDAMENTO","A INICIAR")))</f>
        <v/>
      </c>
    </row>
    <row r="1198">
      <c r="B1198" s="4" t="n">
        <v>30171513</v>
      </c>
      <c r="C1198" s="4" t="inlineStr">
        <is>
          <t>INSTALAÇÃO DE PCF (FOLHA)</t>
        </is>
      </c>
      <c r="D1198" s="4" t="inlineStr">
        <is>
          <t>-</t>
        </is>
      </c>
      <c r="E1198" s="4" t="inlineStr">
        <is>
          <t>HALL - APTOS</t>
        </is>
      </c>
      <c r="F1198" s="126" t="n">
        <v>46797</v>
      </c>
      <c r="G1198" s="126" t="n">
        <v>47134</v>
      </c>
      <c r="H1198" s="126" t="n">
        <v>46289</v>
      </c>
      <c r="I1198" s="4" t="n">
        <v>0</v>
      </c>
      <c r="J1198" s="4" t="n">
        <v>0</v>
      </c>
      <c r="K1198" s="4" t="n">
        <v>0</v>
      </c>
      <c r="M1198" s="2">
        <f>IF(C1198="","",IFERROR(INDEX($S$5:$S$304,MATCH(C1198,$R$5:$R$304,0))&amp;"","?"))</f>
        <v/>
      </c>
      <c r="N1198" s="2">
        <f>IF(E1198="","",IF(ISNUMBER(SEARCH("SUBSOLO",E1198)),IFERROR(-VALUE(LEFT(E1198,FIND("º",SUBSTITUTE(E1198,"°","º"))-1)),-1),IF(LEFT(E1198,6)="TÉRREO",0,IFERROR(VALUE(LEFT(E1198,FIND("º",SUBSTITUTE(E1198,"°","º"))-1)),""))))</f>
        <v/>
      </c>
      <c r="O1198" s="2">
        <f>IF(OR(F1198="",G1198=""),"",IF(G1198&lt;='RETRATO 2027'!$K$5,"CONCLUÍDA",IF(F1198&lt;='RETRATO 2027'!$K$5,"EM ANDAMENTO","A INICIAR")))</f>
        <v/>
      </c>
    </row>
    <row r="1199">
      <c r="B1199" s="4" t="n">
        <v>30171515</v>
      </c>
      <c r="C1199" s="4" t="inlineStr">
        <is>
          <t>MARCENARIA - SHAFTS</t>
        </is>
      </c>
      <c r="D1199" s="4" t="inlineStr">
        <is>
          <t>-</t>
        </is>
      </c>
      <c r="E1199" s="4" t="inlineStr">
        <is>
          <t>HALL - APTOS</t>
        </is>
      </c>
      <c r="F1199" s="126" t="n">
        <v>46797</v>
      </c>
      <c r="G1199" s="126" t="n">
        <v>47134</v>
      </c>
      <c r="H1199" s="126" t="n">
        <v>46289</v>
      </c>
      <c r="I1199" s="4" t="n">
        <v>0</v>
      </c>
      <c r="J1199" s="4" t="n">
        <v>0</v>
      </c>
      <c r="K1199" s="4" t="n">
        <v>0</v>
      </c>
      <c r="M1199" s="2">
        <f>IF(C1199="","",IFERROR(INDEX($S$5:$S$304,MATCH(C1199,$R$5:$R$304,0))&amp;"","?"))</f>
        <v/>
      </c>
      <c r="N1199" s="2">
        <f>IF(E1199="","",IF(ISNUMBER(SEARCH("SUBSOLO",E1199)),IFERROR(-VALUE(LEFT(E1199,FIND("º",SUBSTITUTE(E1199,"°","º"))-1)),-1),IF(LEFT(E1199,6)="TÉRREO",0,IFERROR(VALUE(LEFT(E1199,FIND("º",SUBSTITUTE(E1199,"°","º"))-1)),""))))</f>
        <v/>
      </c>
      <c r="O1199" s="2">
        <f>IF(OR(F1199="",G1199=""),"",IF(G1199&lt;='RETRATO 2027'!$K$5,"CONCLUÍDA",IF(F1199&lt;='RETRATO 2027'!$K$5,"EM ANDAMENTO","A INICIAR")))</f>
        <v/>
      </c>
    </row>
    <row r="1200">
      <c r="B1200" s="4" t="n">
        <v>29980630</v>
      </c>
      <c r="C1200" s="4" t="inlineStr">
        <is>
          <t>PRUMADA DE INCÊNDIO</t>
        </is>
      </c>
      <c r="D1200" s="4" t="inlineStr">
        <is>
          <t>-</t>
        </is>
      </c>
      <c r="E1200" s="4" t="inlineStr">
        <is>
          <t>32º PAV - COBERTURA GERAL</t>
        </is>
      </c>
      <c r="F1200" s="126" t="n">
        <v>46797</v>
      </c>
      <c r="G1200" s="126" t="n">
        <v>46807</v>
      </c>
      <c r="H1200" s="126" t="n">
        <v>46289</v>
      </c>
      <c r="I1200" s="4" t="n">
        <v>0</v>
      </c>
      <c r="J1200" s="4" t="n">
        <v>0</v>
      </c>
      <c r="K1200" s="4" t="n">
        <v>0</v>
      </c>
      <c r="M1200" s="2">
        <f>IF(C1200="","",IFERROR(INDEX($S$5:$S$304,MATCH(C1200,$R$5:$R$304,0))&amp;"","?"))</f>
        <v/>
      </c>
      <c r="N1200" s="2">
        <f>IF(E1200="","",IF(ISNUMBER(SEARCH("SUBSOLO",E1200)),IFERROR(-VALUE(LEFT(E1200,FIND("º",SUBSTITUTE(E1200,"°","º"))-1)),-1),IF(LEFT(E1200,6)="TÉRREO",0,IFERROR(VALUE(LEFT(E1200,FIND("º",SUBSTITUTE(E1200,"°","º"))-1)),""))))</f>
        <v/>
      </c>
      <c r="O1200" s="2">
        <f>IF(OR(F1200="",G1200=""),"",IF(G1200&lt;='RETRATO 2027'!$K$5,"CONCLUÍDA",IF(F1200&lt;='RETRATO 2027'!$K$5,"EM ANDAMENTO","A INICIAR")))</f>
        <v/>
      </c>
    </row>
    <row r="1201">
      <c r="B1201" s="4" t="n">
        <v>30210365</v>
      </c>
      <c r="C1201" s="4" t="inlineStr">
        <is>
          <t>PREPARAÇÃO - POÇO DE ELEVADOR</t>
        </is>
      </c>
      <c r="D1201" s="4" t="inlineStr">
        <is>
          <t>-</t>
        </is>
      </c>
      <c r="E1201" s="4" t="inlineStr">
        <is>
          <t>ELEVADORES</t>
        </is>
      </c>
      <c r="F1201" s="126" t="n">
        <v>46797</v>
      </c>
      <c r="G1201" s="126" t="n">
        <v>46891</v>
      </c>
      <c r="H1201" s="126" t="n">
        <v>46289</v>
      </c>
      <c r="I1201" s="4" t="n">
        <v>0</v>
      </c>
      <c r="J1201" s="4" t="n">
        <v>0</v>
      </c>
      <c r="K1201" s="4" t="n">
        <v>0</v>
      </c>
      <c r="M1201" s="2">
        <f>IF(C1201="","",IFERROR(INDEX($S$5:$S$304,MATCH(C1201,$R$5:$R$304,0))&amp;"","?"))</f>
        <v/>
      </c>
      <c r="N1201" s="2">
        <f>IF(E1201="","",IF(ISNUMBER(SEARCH("SUBSOLO",E1201)),IFERROR(-VALUE(LEFT(E1201,FIND("º",SUBSTITUTE(E1201,"°","º"))-1)),-1),IF(LEFT(E1201,6)="TÉRREO",0,IFERROR(VALUE(LEFT(E1201,FIND("º",SUBSTITUTE(E1201,"°","º"))-1)),""))))</f>
        <v/>
      </c>
      <c r="O1201" s="2">
        <f>IF(OR(F1201="",G1201=""),"",IF(G1201&lt;='RETRATO 2027'!$K$5,"CONCLUÍDA",IF(F1201&lt;='RETRATO 2027'!$K$5,"EM ANDAMENTO","A INICIAR")))</f>
        <v/>
      </c>
    </row>
    <row r="1202">
      <c r="B1202" s="4" t="n">
        <v>31790050</v>
      </c>
      <c r="C1202" s="4" t="inlineStr">
        <is>
          <t>PREPARAÇÃO PARA FACHADA AERADA - F1 + F2 (2º ETAPA)</t>
        </is>
      </c>
      <c r="D1202" s="4" t="inlineStr">
        <is>
          <t>-</t>
        </is>
      </c>
      <c r="E1202" s="4" t="inlineStr">
        <is>
          <t>FACHADA</t>
        </is>
      </c>
      <c r="F1202" s="126" t="n">
        <v>46797</v>
      </c>
      <c r="G1202" s="126" t="n">
        <v>46822</v>
      </c>
      <c r="H1202" s="126" t="n">
        <v>46289</v>
      </c>
      <c r="I1202" s="4" t="n">
        <v>0</v>
      </c>
      <c r="J1202" s="4" t="n">
        <v>0</v>
      </c>
      <c r="K1202" s="4" t="n">
        <v>0</v>
      </c>
      <c r="M1202" s="2">
        <f>IF(C1202="","",IFERROR(INDEX($S$5:$S$304,MATCH(C1202,$R$5:$R$304,0))&amp;"","?"))</f>
        <v/>
      </c>
      <c r="N1202" s="2">
        <f>IF(E1202="","",IF(ISNUMBER(SEARCH("SUBSOLO",E1202)),IFERROR(-VALUE(LEFT(E1202,FIND("º",SUBSTITUTE(E1202,"°","º"))-1)),-1),IF(LEFT(E1202,6)="TÉRREO",0,IFERROR(VALUE(LEFT(E1202,FIND("º",SUBSTITUTE(E1202,"°","º"))-1)),""))))</f>
        <v/>
      </c>
      <c r="O1202" s="2">
        <f>IF(OR(F1202="",G1202=""),"",IF(G1202&lt;='RETRATO 2027'!$K$5,"CONCLUÍDA",IF(F1202&lt;='RETRATO 2027'!$K$5,"EM ANDAMENTO","A INICIAR")))</f>
        <v/>
      </c>
    </row>
    <row r="1203">
      <c r="B1203" s="4" t="n">
        <v>30205698</v>
      </c>
      <c r="C1203" s="4" t="inlineStr">
        <is>
          <t>ESQUADRIA DE ALUMÍNIO</t>
        </is>
      </c>
      <c r="D1203" s="4" t="inlineStr">
        <is>
          <t>-</t>
        </is>
      </c>
      <c r="E1203" s="4" t="inlineStr">
        <is>
          <t>TÉRREO - LOJA 1</t>
        </is>
      </c>
      <c r="F1203" s="126" t="n">
        <v>46799</v>
      </c>
      <c r="G1203" s="126" t="n">
        <v>46826</v>
      </c>
      <c r="H1203" s="126" t="n">
        <v>46289</v>
      </c>
      <c r="I1203" s="4" t="n">
        <v>0</v>
      </c>
      <c r="J1203" s="4" t="n">
        <v>0</v>
      </c>
      <c r="K1203" s="4" t="n">
        <v>0</v>
      </c>
      <c r="M1203" s="2">
        <f>IF(C1203="","",IFERROR(INDEX($S$5:$S$304,MATCH(C1203,$R$5:$R$304,0))&amp;"","?"))</f>
        <v/>
      </c>
      <c r="N1203" s="2">
        <f>IF(E1203="","",IF(ISNUMBER(SEARCH("SUBSOLO",E1203)),IFERROR(-VALUE(LEFT(E1203,FIND("º",SUBSTITUTE(E1203,"°","º"))-1)),-1),IF(LEFT(E1203,6)="TÉRREO",0,IFERROR(VALUE(LEFT(E1203,FIND("º",SUBSTITUTE(E1203,"°","º"))-1)),""))))</f>
        <v/>
      </c>
      <c r="O1203" s="2">
        <f>IF(OR(F1203="",G1203=""),"",IF(G1203&lt;='RETRATO 2027'!$K$5,"CONCLUÍDA",IF(F1203&lt;='RETRATO 2027'!$K$5,"EM ANDAMENTO","A INICIAR")))</f>
        <v/>
      </c>
    </row>
    <row r="1204">
      <c r="B1204" s="4" t="n">
        <v>30205671</v>
      </c>
      <c r="C1204" s="4" t="inlineStr">
        <is>
          <t>ESQUADRIA DE ALUMÍNIO</t>
        </is>
      </c>
      <c r="D1204" s="4" t="inlineStr">
        <is>
          <t>-</t>
        </is>
      </c>
      <c r="E1204" s="4" t="inlineStr">
        <is>
          <t>TÉRREO - LOJA 2</t>
        </is>
      </c>
      <c r="F1204" s="126" t="n">
        <v>46799</v>
      </c>
      <c r="G1204" s="126" t="n">
        <v>46826</v>
      </c>
      <c r="H1204" s="126" t="n">
        <v>46289</v>
      </c>
      <c r="I1204" s="4" t="n">
        <v>0</v>
      </c>
      <c r="J1204" s="4" t="n">
        <v>0</v>
      </c>
      <c r="K1204" s="4" t="n">
        <v>0</v>
      </c>
      <c r="M1204" s="2">
        <f>IF(C1204="","",IFERROR(INDEX($S$5:$S$304,MATCH(C1204,$R$5:$R$304,0))&amp;"","?"))</f>
        <v/>
      </c>
      <c r="N1204" s="2">
        <f>IF(E1204="","",IF(ISNUMBER(SEARCH("SUBSOLO",E1204)),IFERROR(-VALUE(LEFT(E1204,FIND("º",SUBSTITUTE(E1204,"°","º"))-1)),-1),IF(LEFT(E1204,6)="TÉRREO",0,IFERROR(VALUE(LEFT(E1204,FIND("º",SUBSTITUTE(E1204,"°","º"))-1)),""))))</f>
        <v/>
      </c>
      <c r="O1204" s="2">
        <f>IF(OR(F1204="",G1204=""),"",IF(G1204&lt;='RETRATO 2027'!$K$5,"CONCLUÍDA",IF(F1204&lt;='RETRATO 2027'!$K$5,"EM ANDAMENTO","A INICIAR")))</f>
        <v/>
      </c>
    </row>
    <row r="1205">
      <c r="B1205" s="4" t="n">
        <v>30205644</v>
      </c>
      <c r="C1205" s="4" t="inlineStr">
        <is>
          <t>ESQUADRIA DE ALUMÍNIO</t>
        </is>
      </c>
      <c r="D1205" s="4" t="inlineStr">
        <is>
          <t>-</t>
        </is>
      </c>
      <c r="E1205" s="4" t="inlineStr">
        <is>
          <t>TÉRREO - LOJA 3</t>
        </is>
      </c>
      <c r="F1205" s="126" t="n">
        <v>46799</v>
      </c>
      <c r="G1205" s="126" t="n">
        <v>46826</v>
      </c>
      <c r="H1205" s="126" t="n">
        <v>46289</v>
      </c>
      <c r="I1205" s="4" t="n">
        <v>0</v>
      </c>
      <c r="J1205" s="4" t="n">
        <v>0</v>
      </c>
      <c r="K1205" s="4" t="n">
        <v>0</v>
      </c>
      <c r="M1205" s="2">
        <f>IF(C1205="","",IFERROR(INDEX($S$5:$S$304,MATCH(C1205,$R$5:$R$304,0))&amp;"","?"))</f>
        <v/>
      </c>
      <c r="N1205" s="2">
        <f>IF(E1205="","",IF(ISNUMBER(SEARCH("SUBSOLO",E1205)),IFERROR(-VALUE(LEFT(E1205,FIND("º",SUBSTITUTE(E1205,"°","º"))-1)),-1),IF(LEFT(E1205,6)="TÉRREO",0,IFERROR(VALUE(LEFT(E1205,FIND("º",SUBSTITUTE(E1205,"°","º"))-1)),""))))</f>
        <v/>
      </c>
      <c r="O1205" s="2">
        <f>IF(OR(F1205="",G1205=""),"",IF(G1205&lt;='RETRATO 2027'!$K$5,"CONCLUÍDA",IF(F1205&lt;='RETRATO 2027'!$K$5,"EM ANDAMENTO","A INICIAR")))</f>
        <v/>
      </c>
    </row>
    <row r="1206">
      <c r="B1206" s="4" t="n">
        <v>30205617</v>
      </c>
      <c r="C1206" s="4" t="inlineStr">
        <is>
          <t>ESQUADRIA DE ALUMÍNIO</t>
        </is>
      </c>
      <c r="D1206" s="4" t="inlineStr">
        <is>
          <t>-</t>
        </is>
      </c>
      <c r="E1206" s="4" t="inlineStr">
        <is>
          <t>TÉRREO - LOJA 4</t>
        </is>
      </c>
      <c r="F1206" s="126" t="n">
        <v>46799</v>
      </c>
      <c r="G1206" s="126" t="n">
        <v>46826</v>
      </c>
      <c r="H1206" s="126" t="n">
        <v>46289</v>
      </c>
      <c r="I1206" s="4" t="n">
        <v>0</v>
      </c>
      <c r="J1206" s="4" t="n">
        <v>0</v>
      </c>
      <c r="K1206" s="4" t="n">
        <v>0</v>
      </c>
      <c r="M1206" s="2">
        <f>IF(C1206="","",IFERROR(INDEX($S$5:$S$304,MATCH(C1206,$R$5:$R$304,0))&amp;"","?"))</f>
        <v/>
      </c>
      <c r="N1206" s="2">
        <f>IF(E1206="","",IF(ISNUMBER(SEARCH("SUBSOLO",E1206)),IFERROR(-VALUE(LEFT(E1206,FIND("º",SUBSTITUTE(E1206,"°","º"))-1)),-1),IF(LEFT(E1206,6)="TÉRREO",0,IFERROR(VALUE(LEFT(E1206,FIND("º",SUBSTITUTE(E1206,"°","º"))-1)),""))))</f>
        <v/>
      </c>
      <c r="O1206" s="2">
        <f>IF(OR(F1206="",G1206=""),"",IF(G1206&lt;='RETRATO 2027'!$K$5,"CONCLUÍDA",IF(F1206&lt;='RETRATO 2027'!$K$5,"EM ANDAMENTO","A INICIAR")))</f>
        <v/>
      </c>
    </row>
    <row r="1207">
      <c r="B1207" s="4" t="n">
        <v>30205590</v>
      </c>
      <c r="C1207" s="4" t="inlineStr">
        <is>
          <t>ESQUADRIA DE ALUMÍNIO</t>
        </is>
      </c>
      <c r="D1207" s="4" t="inlineStr">
        <is>
          <t>-</t>
        </is>
      </c>
      <c r="E1207" s="4" t="inlineStr">
        <is>
          <t>TÉRREO - LOJA 5</t>
        </is>
      </c>
      <c r="F1207" s="126" t="n">
        <v>46799</v>
      </c>
      <c r="G1207" s="126" t="n">
        <v>46826</v>
      </c>
      <c r="H1207" s="126" t="n">
        <v>46289</v>
      </c>
      <c r="I1207" s="4" t="n">
        <v>0</v>
      </c>
      <c r="J1207" s="4" t="n">
        <v>0</v>
      </c>
      <c r="K1207" s="4" t="n">
        <v>0</v>
      </c>
      <c r="M1207" s="2">
        <f>IF(C1207="","",IFERROR(INDEX($S$5:$S$304,MATCH(C1207,$R$5:$R$304,0))&amp;"","?"))</f>
        <v/>
      </c>
      <c r="N1207" s="2">
        <f>IF(E1207="","",IF(ISNUMBER(SEARCH("SUBSOLO",E1207)),IFERROR(-VALUE(LEFT(E1207,FIND("º",SUBSTITUTE(E1207,"°","º"))-1)),-1),IF(LEFT(E1207,6)="TÉRREO",0,IFERROR(VALUE(LEFT(E1207,FIND("º",SUBSTITUTE(E1207,"°","º"))-1)),""))))</f>
        <v/>
      </c>
      <c r="O1207" s="2">
        <f>IF(OR(F1207="",G1207=""),"",IF(G1207&lt;='RETRATO 2027'!$K$5,"CONCLUÍDA",IF(F1207&lt;='RETRATO 2027'!$K$5,"EM ANDAMENTO","A INICIAR")))</f>
        <v/>
      </c>
    </row>
    <row r="1208">
      <c r="B1208" s="4" t="n">
        <v>29981530</v>
      </c>
      <c r="C1208" s="4" t="inlineStr">
        <is>
          <t>RODAPÉ MADEIRA / PVC</t>
        </is>
      </c>
      <c r="D1208" s="4" t="inlineStr">
        <is>
          <t>-</t>
        </is>
      </c>
      <c r="E1208" s="4" t="inlineStr">
        <is>
          <t>7º PAV.</t>
        </is>
      </c>
      <c r="F1208" s="126" t="n">
        <v>46800</v>
      </c>
      <c r="G1208" s="126" t="n">
        <v>46812</v>
      </c>
      <c r="H1208" s="126" t="n">
        <v>46289</v>
      </c>
      <c r="I1208" s="4" t="n">
        <v>0</v>
      </c>
      <c r="J1208" s="4" t="n">
        <v>0</v>
      </c>
      <c r="K1208" s="4" t="n">
        <v>0</v>
      </c>
      <c r="M1208" s="2">
        <f>IF(C1208="","",IFERROR(INDEX($S$5:$S$304,MATCH(C1208,$R$5:$R$304,0))&amp;"","?"))</f>
        <v/>
      </c>
      <c r="N1208" s="2">
        <f>IF(E1208="","",IF(ISNUMBER(SEARCH("SUBSOLO",E1208)),IFERROR(-VALUE(LEFT(E1208,FIND("º",SUBSTITUTE(E1208,"°","º"))-1)),-1),IF(LEFT(E1208,6)="TÉRREO",0,IFERROR(VALUE(LEFT(E1208,FIND("º",SUBSTITUTE(E1208,"°","º"))-1)),""))))</f>
        <v/>
      </c>
      <c r="O1208" s="2">
        <f>IF(OR(F1208="",G1208=""),"",IF(G1208&lt;='RETRATO 2027'!$K$5,"CONCLUÍDA",IF(F1208&lt;='RETRATO 2027'!$K$5,"EM ANDAMENTO","A INICIAR")))</f>
        <v/>
      </c>
    </row>
    <row r="1209">
      <c r="B1209" s="4" t="n">
        <v>29981492</v>
      </c>
      <c r="C1209" s="4" t="inlineStr">
        <is>
          <t>ESQUADRIA MADEIRA</t>
        </is>
      </c>
      <c r="D1209" s="4" t="inlineStr">
        <is>
          <t>-</t>
        </is>
      </c>
      <c r="E1209" s="4" t="inlineStr">
        <is>
          <t>8º PAV.</t>
        </is>
      </c>
      <c r="F1209" s="126" t="n">
        <v>46800</v>
      </c>
      <c r="G1209" s="126" t="n">
        <v>46812</v>
      </c>
      <c r="H1209" s="126" t="n">
        <v>46289</v>
      </c>
      <c r="I1209" s="4" t="n">
        <v>0</v>
      </c>
      <c r="J1209" s="4" t="n">
        <v>0</v>
      </c>
      <c r="K1209" s="4" t="n">
        <v>0</v>
      </c>
      <c r="M1209" s="2">
        <f>IF(C1209="","",IFERROR(INDEX($S$5:$S$304,MATCH(C1209,$R$5:$R$304,0))&amp;"","?"))</f>
        <v/>
      </c>
      <c r="N1209" s="2">
        <f>IF(E1209="","",IF(ISNUMBER(SEARCH("SUBSOLO",E1209)),IFERROR(-VALUE(LEFT(E1209,FIND("º",SUBSTITUTE(E1209,"°","º"))-1)),-1),IF(LEFT(E1209,6)="TÉRREO",0,IFERROR(VALUE(LEFT(E1209,FIND("º",SUBSTITUTE(E1209,"°","º"))-1)),""))))</f>
        <v/>
      </c>
      <c r="O1209" s="2">
        <f>IF(OR(F1209="",G1209=""),"",IF(G1209&lt;='RETRATO 2027'!$K$5,"CONCLUÍDA",IF(F1209&lt;='RETRATO 2027'!$K$5,"EM ANDAMENTO","A INICIAR")))</f>
        <v/>
      </c>
    </row>
    <row r="1210">
      <c r="B1210" s="4" t="n">
        <v>29981454</v>
      </c>
      <c r="C1210" s="4" t="inlineStr">
        <is>
          <t>PISO VINÍLICO / LAMINADO</t>
        </is>
      </c>
      <c r="D1210" s="4" t="inlineStr">
        <is>
          <t>-</t>
        </is>
      </c>
      <c r="E1210" s="4" t="inlineStr">
        <is>
          <t>9º PAV.</t>
        </is>
      </c>
      <c r="F1210" s="126" t="n">
        <v>46800</v>
      </c>
      <c r="G1210" s="126" t="n">
        <v>46812</v>
      </c>
      <c r="H1210" s="126" t="n">
        <v>46289</v>
      </c>
      <c r="I1210" s="4" t="n">
        <v>0</v>
      </c>
      <c r="J1210" s="4" t="n">
        <v>0</v>
      </c>
      <c r="K1210" s="4" t="n">
        <v>0</v>
      </c>
      <c r="M1210" s="2">
        <f>IF(C1210="","",IFERROR(INDEX($S$5:$S$304,MATCH(C1210,$R$5:$R$304,0))&amp;"","?"))</f>
        <v/>
      </c>
      <c r="N1210" s="2">
        <f>IF(E1210="","",IF(ISNUMBER(SEARCH("SUBSOLO",E1210)),IFERROR(-VALUE(LEFT(E1210,FIND("º",SUBSTITUTE(E1210,"°","º"))-1)),-1),IF(LEFT(E1210,6)="TÉRREO",0,IFERROR(VALUE(LEFT(E1210,FIND("º",SUBSTITUTE(E1210,"°","º"))-1)),""))))</f>
        <v/>
      </c>
      <c r="O1210" s="2">
        <f>IF(OR(F1210="",G1210=""),"",IF(G1210&lt;='RETRATO 2027'!$K$5,"CONCLUÍDA",IF(F1210&lt;='RETRATO 2027'!$K$5,"EM ANDAMENTO","A INICIAR")))</f>
        <v/>
      </c>
    </row>
    <row r="1211">
      <c r="B1211" s="4" t="n">
        <v>29981416</v>
      </c>
      <c r="C1211" s="4" t="inlineStr">
        <is>
          <t>PINTURA 1º DEMÃO</t>
        </is>
      </c>
      <c r="D1211" s="4" t="inlineStr">
        <is>
          <t>-</t>
        </is>
      </c>
      <c r="E1211" s="4" t="inlineStr">
        <is>
          <t>10º PAV.</t>
        </is>
      </c>
      <c r="F1211" s="126" t="n">
        <v>46800</v>
      </c>
      <c r="G1211" s="126" t="n">
        <v>46812</v>
      </c>
      <c r="H1211" s="126" t="n">
        <v>46289</v>
      </c>
      <c r="I1211" s="4" t="n">
        <v>0</v>
      </c>
      <c r="J1211" s="4" t="n">
        <v>0</v>
      </c>
      <c r="K1211" s="4" t="n">
        <v>0</v>
      </c>
      <c r="M1211" s="2">
        <f>IF(C1211="","",IFERROR(INDEX($S$5:$S$304,MATCH(C1211,$R$5:$R$304,0))&amp;"","?"))</f>
        <v/>
      </c>
      <c r="N1211" s="2">
        <f>IF(E1211="","",IF(ISNUMBER(SEARCH("SUBSOLO",E1211)),IFERROR(-VALUE(LEFT(E1211,FIND("º",SUBSTITUTE(E1211,"°","º"))-1)),-1),IF(LEFT(E1211,6)="TÉRREO",0,IFERROR(VALUE(LEFT(E1211,FIND("º",SUBSTITUTE(E1211,"°","º"))-1)),""))))</f>
        <v/>
      </c>
      <c r="O1211" s="2">
        <f>IF(OR(F1211="",G1211=""),"",IF(G1211&lt;='RETRATO 2027'!$K$5,"CONCLUÍDA",IF(F1211&lt;='RETRATO 2027'!$K$5,"EM ANDAMENTO","A INICIAR")))</f>
        <v/>
      </c>
    </row>
    <row r="1212">
      <c r="B1212" s="4" t="n">
        <v>29981405</v>
      </c>
      <c r="C1212" s="4" t="inlineStr">
        <is>
          <t>MASSA CORRIDA</t>
        </is>
      </c>
      <c r="D1212" s="4" t="inlineStr">
        <is>
          <t>-</t>
        </is>
      </c>
      <c r="E1212" s="4" t="inlineStr">
        <is>
          <t>11º PAV.</t>
        </is>
      </c>
      <c r="F1212" s="126" t="n">
        <v>46800</v>
      </c>
      <c r="G1212" s="126" t="n">
        <v>46812</v>
      </c>
      <c r="H1212" s="126" t="n">
        <v>46289</v>
      </c>
      <c r="I1212" s="4" t="n">
        <v>0</v>
      </c>
      <c r="J1212" s="4" t="n">
        <v>0</v>
      </c>
      <c r="K1212" s="4" t="n">
        <v>0</v>
      </c>
      <c r="M1212" s="2">
        <f>IF(C1212="","",IFERROR(INDEX($S$5:$S$304,MATCH(C1212,$R$5:$R$304,0))&amp;"","?"))</f>
        <v/>
      </c>
      <c r="N1212" s="2">
        <f>IF(E1212="","",IF(ISNUMBER(SEARCH("SUBSOLO",E1212)),IFERROR(-VALUE(LEFT(E1212,FIND("º",SUBSTITUTE(E1212,"°","º"))-1)),-1),IF(LEFT(E1212,6)="TÉRREO",0,IFERROR(VALUE(LEFT(E1212,FIND("º",SUBSTITUTE(E1212,"°","º"))-1)),""))))</f>
        <v/>
      </c>
      <c r="O1212" s="2">
        <f>IF(OR(F1212="",G1212=""),"",IF(G1212&lt;='RETRATO 2027'!$K$5,"CONCLUÍDA",IF(F1212&lt;='RETRATO 2027'!$K$5,"EM ANDAMENTO","A INICIAR")))</f>
        <v/>
      </c>
    </row>
    <row r="1213">
      <c r="B1213" s="4" t="n">
        <v>33898093</v>
      </c>
      <c r="C1213" s="4" t="inlineStr">
        <is>
          <t>ESQUADRIA DE ALUMÍNIO</t>
        </is>
      </c>
      <c r="D1213" s="4" t="inlineStr">
        <is>
          <t>-</t>
        </is>
      </c>
      <c r="E1213" s="4" t="inlineStr">
        <is>
          <t>12º PAV.</t>
        </is>
      </c>
      <c r="F1213" s="126" t="n">
        <v>46800</v>
      </c>
      <c r="G1213" s="126" t="n">
        <v>46812</v>
      </c>
      <c r="H1213" s="126" t="n">
        <v>46289</v>
      </c>
      <c r="I1213" s="4" t="n">
        <v>0</v>
      </c>
      <c r="J1213" s="4" t="n">
        <v>0</v>
      </c>
      <c r="K1213" s="4" t="n">
        <v>0</v>
      </c>
      <c r="M1213" s="2">
        <f>IF(C1213="","",IFERROR(INDEX($S$5:$S$304,MATCH(C1213,$R$5:$R$304,0))&amp;"","?"))</f>
        <v/>
      </c>
      <c r="N1213" s="2">
        <f>IF(E1213="","",IF(ISNUMBER(SEARCH("SUBSOLO",E1213)),IFERROR(-VALUE(LEFT(E1213,FIND("º",SUBSTITUTE(E1213,"°","º"))-1)),-1),IF(LEFT(E1213,6)="TÉRREO",0,IFERROR(VALUE(LEFT(E1213,FIND("º",SUBSTITUTE(E1213,"°","º"))-1)),""))))</f>
        <v/>
      </c>
      <c r="O1213" s="2">
        <f>IF(OR(F1213="",G1213=""),"",IF(G1213&lt;='RETRATO 2027'!$K$5,"CONCLUÍDA",IF(F1213&lt;='RETRATO 2027'!$K$5,"EM ANDAMENTO","A INICIAR")))</f>
        <v/>
      </c>
    </row>
    <row r="1214">
      <c r="B1214" s="4" t="n">
        <v>30205796</v>
      </c>
      <c r="C1214" s="4" t="inlineStr">
        <is>
          <t>REVESTIMENTOS PORCELANATO PISO</t>
        </is>
      </c>
      <c r="D1214" s="4" t="inlineStr">
        <is>
          <t>-</t>
        </is>
      </c>
      <c r="E1214" s="4" t="inlineStr">
        <is>
          <t>TÉRREO - ACESSO COMERCIAL + DML + ARS + ÁREA TEC + LAVABO + DISPENSA</t>
        </is>
      </c>
      <c r="F1214" s="126" t="n">
        <v>46801</v>
      </c>
      <c r="G1214" s="126" t="n">
        <v>46821</v>
      </c>
      <c r="H1214" s="126" t="n">
        <v>46289</v>
      </c>
      <c r="I1214" s="4" t="n">
        <v>0</v>
      </c>
      <c r="J1214" s="4" t="n">
        <v>0</v>
      </c>
      <c r="K1214" s="4" t="n">
        <v>0</v>
      </c>
      <c r="M1214" s="2">
        <f>IF(C1214="","",IFERROR(INDEX($S$5:$S$304,MATCH(C1214,$R$5:$R$304,0))&amp;"","?"))</f>
        <v/>
      </c>
      <c r="N1214" s="2">
        <f>IF(E1214="","",IF(ISNUMBER(SEARCH("SUBSOLO",E1214)),IFERROR(-VALUE(LEFT(E1214,FIND("º",SUBSTITUTE(E1214,"°","º"))-1)),-1),IF(LEFT(E1214,6)="TÉRREO",0,IFERROR(VALUE(LEFT(E1214,FIND("º",SUBSTITUTE(E1214,"°","º"))-1)),""))))</f>
        <v/>
      </c>
      <c r="O1214" s="2">
        <f>IF(OR(F1214="",G1214=""),"",IF(G1214&lt;='RETRATO 2027'!$K$5,"CONCLUÍDA",IF(F1214&lt;='RETRATO 2027'!$K$5,"EM ANDAMENTO","A INICIAR")))</f>
        <v/>
      </c>
    </row>
    <row r="1215">
      <c r="B1215" s="4" t="n">
        <v>30205851</v>
      </c>
      <c r="C1215" s="4" t="inlineStr">
        <is>
          <t>DRYWALL</t>
        </is>
      </c>
      <c r="D1215" s="4" t="inlineStr">
        <is>
          <t>-</t>
        </is>
      </c>
      <c r="E1215" s="4" t="inlineStr">
        <is>
          <t>1º PAV. (INTERMEDIÁRIO)</t>
        </is>
      </c>
      <c r="F1215" s="126" t="n">
        <v>46801</v>
      </c>
      <c r="G1215" s="126" t="n">
        <v>46814</v>
      </c>
      <c r="H1215" s="126" t="n">
        <v>46289</v>
      </c>
      <c r="I1215" s="4" t="n">
        <v>0</v>
      </c>
      <c r="J1215" s="4" t="n">
        <v>0</v>
      </c>
      <c r="K1215" s="4" t="n">
        <v>0</v>
      </c>
      <c r="M1215" s="2">
        <f>IF(C1215="","",IFERROR(INDEX($S$5:$S$304,MATCH(C1215,$R$5:$R$304,0))&amp;"","?"))</f>
        <v/>
      </c>
      <c r="N1215" s="2">
        <f>IF(E1215="","",IF(ISNUMBER(SEARCH("SUBSOLO",E1215)),IFERROR(-VALUE(LEFT(E1215,FIND("º",SUBSTITUTE(E1215,"°","º"))-1)),-1),IF(LEFT(E1215,6)="TÉRREO",0,IFERROR(VALUE(LEFT(E1215,FIND("º",SUBSTITUTE(E1215,"°","º"))-1)),""))))</f>
        <v/>
      </c>
      <c r="O1215" s="2">
        <f>IF(OR(F1215="",G1215=""),"",IF(G1215&lt;='RETRATO 2027'!$K$5,"CONCLUÍDA",IF(F1215&lt;='RETRATO 2027'!$K$5,"EM ANDAMENTO","A INICIAR")))</f>
        <v/>
      </c>
    </row>
    <row r="1216">
      <c r="B1216" s="4" t="n">
        <v>29981218</v>
      </c>
      <c r="C1216" s="4" t="inlineStr">
        <is>
          <t>FORRO</t>
        </is>
      </c>
      <c r="D1216" s="4" t="inlineStr">
        <is>
          <t>-</t>
        </is>
      </c>
      <c r="E1216" s="4" t="inlineStr">
        <is>
          <t>16º PAV.</t>
        </is>
      </c>
      <c r="F1216" s="126" t="n">
        <v>46801</v>
      </c>
      <c r="G1216" s="126" t="n">
        <v>46813</v>
      </c>
      <c r="H1216" s="126" t="n">
        <v>46289</v>
      </c>
      <c r="I1216" s="4" t="n">
        <v>0</v>
      </c>
      <c r="J1216" s="4" t="n">
        <v>0</v>
      </c>
      <c r="K1216" s="4" t="n">
        <v>0</v>
      </c>
      <c r="M1216" s="2">
        <f>IF(C1216="","",IFERROR(INDEX($S$5:$S$304,MATCH(C1216,$R$5:$R$304,0))&amp;"","?"))</f>
        <v/>
      </c>
      <c r="N1216" s="2">
        <f>IF(E1216="","",IF(ISNUMBER(SEARCH("SUBSOLO",E1216)),IFERROR(-VALUE(LEFT(E1216,FIND("º",SUBSTITUTE(E1216,"°","º"))-1)),-1),IF(LEFT(E1216,6)="TÉRREO",0,IFERROR(VALUE(LEFT(E1216,FIND("º",SUBSTITUTE(E1216,"°","º"))-1)),""))))</f>
        <v/>
      </c>
      <c r="O1216" s="2">
        <f>IF(OR(F1216="",G1216=""),"",IF(G1216&lt;='RETRATO 2027'!$K$5,"CONCLUÍDA",IF(F1216&lt;='RETRATO 2027'!$K$5,"EM ANDAMENTO","A INICIAR")))</f>
        <v/>
      </c>
    </row>
    <row r="1217">
      <c r="B1217" s="4" t="n">
        <v>29981179</v>
      </c>
      <c r="C1217" s="4" t="inlineStr">
        <is>
          <t>FIAÇÃO ELÉTRICA</t>
        </is>
      </c>
      <c r="D1217" s="4" t="inlineStr">
        <is>
          <t>-</t>
        </is>
      </c>
      <c r="E1217" s="4" t="inlineStr">
        <is>
          <t>17º PAV.</t>
        </is>
      </c>
      <c r="F1217" s="126" t="n">
        <v>46801</v>
      </c>
      <c r="G1217" s="126" t="n">
        <v>46813</v>
      </c>
      <c r="H1217" s="126" t="n">
        <v>46289</v>
      </c>
      <c r="I1217" s="4" t="n">
        <v>0</v>
      </c>
      <c r="J1217" s="4" t="n">
        <v>0</v>
      </c>
      <c r="K1217" s="4" t="n">
        <v>0</v>
      </c>
      <c r="M1217" s="2">
        <f>IF(C1217="","",IFERROR(INDEX($S$5:$S$304,MATCH(C1217,$R$5:$R$304,0))&amp;"","?"))</f>
        <v/>
      </c>
      <c r="N1217" s="2">
        <f>IF(E1217="","",IF(ISNUMBER(SEARCH("SUBSOLO",E1217)),IFERROR(-VALUE(LEFT(E1217,FIND("º",SUBSTITUTE(E1217,"°","º"))-1)),-1),IF(LEFT(E1217,6)="TÉRREO",0,IFERROR(VALUE(LEFT(E1217,FIND("º",SUBSTITUTE(E1217,"°","º"))-1)),""))))</f>
        <v/>
      </c>
      <c r="O1217" s="2">
        <f>IF(OR(F1217="",G1217=""),"",IF(G1217&lt;='RETRATO 2027'!$K$5,"CONCLUÍDA",IF(F1217&lt;='RETRATO 2027'!$K$5,"EM ANDAMENTO","A INICIAR")))</f>
        <v/>
      </c>
    </row>
    <row r="1218">
      <c r="B1218" s="4" t="n">
        <v>29981184</v>
      </c>
      <c r="C1218" s="4" t="inlineStr">
        <is>
          <t>PRUMADA ELÉTRICA - CABOS</t>
        </is>
      </c>
      <c r="D1218" s="4" t="inlineStr">
        <is>
          <t>-</t>
        </is>
      </c>
      <c r="E1218" s="4" t="inlineStr">
        <is>
          <t>17º PAV.</t>
        </is>
      </c>
      <c r="F1218" s="126" t="n">
        <v>46801</v>
      </c>
      <c r="G1218" s="126" t="n">
        <v>46813</v>
      </c>
      <c r="H1218" s="126" t="n">
        <v>46289</v>
      </c>
      <c r="I1218" s="4" t="n">
        <v>0</v>
      </c>
      <c r="J1218" s="4" t="n">
        <v>0</v>
      </c>
      <c r="K1218" s="4" t="n">
        <v>0</v>
      </c>
      <c r="M1218" s="2">
        <f>IF(C1218="","",IFERROR(INDEX($S$5:$S$304,MATCH(C1218,$R$5:$R$304,0))&amp;"","?"))</f>
        <v/>
      </c>
      <c r="N1218" s="2">
        <f>IF(E1218="","",IF(ISNUMBER(SEARCH("SUBSOLO",E1218)),IFERROR(-VALUE(LEFT(E1218,FIND("º",SUBSTITUTE(E1218,"°","º"))-1)),-1),IF(LEFT(E1218,6)="TÉRREO",0,IFERROR(VALUE(LEFT(E1218,FIND("º",SUBSTITUTE(E1218,"°","º"))-1)),""))))</f>
        <v/>
      </c>
      <c r="O1218" s="2">
        <f>IF(OR(F1218="",G1218=""),"",IF(G1218&lt;='RETRATO 2027'!$K$5,"CONCLUÍDA",IF(F1218&lt;='RETRATO 2027'!$K$5,"EM ANDAMENTO","A INICIAR")))</f>
        <v/>
      </c>
    </row>
    <row r="1219">
      <c r="B1219" s="4" t="n">
        <v>30214079</v>
      </c>
      <c r="C1219" s="4" t="inlineStr">
        <is>
          <t>FIAÇÃO TELECOM/DADOS</t>
        </is>
      </c>
      <c r="D1219" s="4" t="inlineStr">
        <is>
          <t>-</t>
        </is>
      </c>
      <c r="E1219" s="4" t="inlineStr">
        <is>
          <t>17º PAV.</t>
        </is>
      </c>
      <c r="F1219" s="126" t="n">
        <v>46801</v>
      </c>
      <c r="G1219" s="126" t="n">
        <v>46814</v>
      </c>
      <c r="H1219" s="126" t="n">
        <v>46289</v>
      </c>
      <c r="I1219" s="4" t="n">
        <v>0</v>
      </c>
      <c r="J1219" s="4" t="n">
        <v>0</v>
      </c>
      <c r="K1219" s="4" t="n">
        <v>0</v>
      </c>
      <c r="M1219" s="2">
        <f>IF(C1219="","",IFERROR(INDEX($S$5:$S$304,MATCH(C1219,$R$5:$R$304,0))&amp;"","?"))</f>
        <v/>
      </c>
      <c r="N1219" s="2">
        <f>IF(E1219="","",IF(ISNUMBER(SEARCH("SUBSOLO",E1219)),IFERROR(-VALUE(LEFT(E1219,FIND("º",SUBSTITUTE(E1219,"°","º"))-1)),-1),IF(LEFT(E1219,6)="TÉRREO",0,IFERROR(VALUE(LEFT(E1219,FIND("º",SUBSTITUTE(E1219,"°","º"))-1)),""))))</f>
        <v/>
      </c>
      <c r="O1219" s="2">
        <f>IF(OR(F1219="",G1219=""),"",IF(G1219&lt;='RETRATO 2027'!$K$5,"CONCLUÍDA",IF(F1219&lt;='RETRATO 2027'!$K$5,"EM ANDAMENTO","A INICIAR")))</f>
        <v/>
      </c>
    </row>
    <row r="1220">
      <c r="B1220" s="4" t="n">
        <v>29981126</v>
      </c>
      <c r="C1220" s="4" t="inlineStr">
        <is>
          <t>BANCADAS</t>
        </is>
      </c>
      <c r="D1220" s="4" t="inlineStr">
        <is>
          <t>-</t>
        </is>
      </c>
      <c r="E1220" s="4" t="inlineStr">
        <is>
          <t>18º PAV.</t>
        </is>
      </c>
      <c r="F1220" s="126" t="n">
        <v>46801</v>
      </c>
      <c r="G1220" s="126" t="n">
        <v>46813</v>
      </c>
      <c r="H1220" s="126" t="n">
        <v>46289</v>
      </c>
      <c r="I1220" s="4" t="n">
        <v>0</v>
      </c>
      <c r="J1220" s="4" t="n">
        <v>0</v>
      </c>
      <c r="K1220" s="4" t="n">
        <v>0</v>
      </c>
      <c r="M1220" s="2">
        <f>IF(C1220="","",IFERROR(INDEX($S$5:$S$304,MATCH(C1220,$R$5:$R$304,0))&amp;"","?"))</f>
        <v/>
      </c>
      <c r="N1220" s="2">
        <f>IF(E1220="","",IF(ISNUMBER(SEARCH("SUBSOLO",E1220)),IFERROR(-VALUE(LEFT(E1220,FIND("º",SUBSTITUTE(E1220,"°","º"))-1)),-1),IF(LEFT(E1220,6)="TÉRREO",0,IFERROR(VALUE(LEFT(E1220,FIND("º",SUBSTITUTE(E1220,"°","º"))-1)),""))))</f>
        <v/>
      </c>
      <c r="O1220" s="2">
        <f>IF(OR(F1220="",G1220=""),"",IF(G1220&lt;='RETRATO 2027'!$K$5,"CONCLUÍDA",IF(F1220&lt;='RETRATO 2027'!$K$5,"EM ANDAMENTO","A INICIAR")))</f>
        <v/>
      </c>
    </row>
    <row r="1221">
      <c r="B1221" s="4" t="n">
        <v>29981051</v>
      </c>
      <c r="C1221" s="4" t="inlineStr">
        <is>
          <t>REVESTIMENTOS PORCELANATO PISO</t>
        </is>
      </c>
      <c r="D1221" s="4" t="inlineStr">
        <is>
          <t>-</t>
        </is>
      </c>
      <c r="E1221" s="4" t="inlineStr">
        <is>
          <t>20º PAV.</t>
        </is>
      </c>
      <c r="F1221" s="126" t="n">
        <v>46801</v>
      </c>
      <c r="G1221" s="126" t="n">
        <v>46813</v>
      </c>
      <c r="H1221" s="126" t="n">
        <v>46289</v>
      </c>
      <c r="I1221" s="4" t="n">
        <v>0</v>
      </c>
      <c r="J1221" s="4" t="n">
        <v>0</v>
      </c>
      <c r="K1221" s="4" t="n">
        <v>0</v>
      </c>
      <c r="M1221" s="2">
        <f>IF(C1221="","",IFERROR(INDEX($S$5:$S$304,MATCH(C1221,$R$5:$R$304,0))&amp;"","?"))</f>
        <v/>
      </c>
      <c r="N1221" s="2">
        <f>IF(E1221="","",IF(ISNUMBER(SEARCH("SUBSOLO",E1221)),IFERROR(-VALUE(LEFT(E1221,FIND("º",SUBSTITUTE(E1221,"°","º"))-1)),-1),IF(LEFT(E1221,6)="TÉRREO",0,IFERROR(VALUE(LEFT(E1221,FIND("º",SUBSTITUTE(E1221,"°","º"))-1)),""))))</f>
        <v/>
      </c>
      <c r="O1221" s="2">
        <f>IF(OR(F1221="",G1221=""),"",IF(G1221&lt;='RETRATO 2027'!$K$5,"CONCLUÍDA",IF(F1221&lt;='RETRATO 2027'!$K$5,"EM ANDAMENTO","A INICIAR")))</f>
        <v/>
      </c>
    </row>
    <row r="1222">
      <c r="B1222" s="4" t="n">
        <v>29981030</v>
      </c>
      <c r="C1222" s="4" t="inlineStr">
        <is>
          <t>REVESTIMENTO PORCELANATO PAREDE</t>
        </is>
      </c>
      <c r="D1222" s="4" t="inlineStr">
        <is>
          <t>-</t>
        </is>
      </c>
      <c r="E1222" s="4" t="inlineStr">
        <is>
          <t>21º PAV.</t>
        </is>
      </c>
      <c r="F1222" s="126" t="n">
        <v>46801</v>
      </c>
      <c r="G1222" s="126" t="n">
        <v>46813</v>
      </c>
      <c r="H1222" s="126" t="n">
        <v>46289</v>
      </c>
      <c r="I1222" s="4" t="n">
        <v>0</v>
      </c>
      <c r="J1222" s="4" t="n">
        <v>0</v>
      </c>
      <c r="K1222" s="4" t="n">
        <v>0</v>
      </c>
      <c r="M1222" s="2">
        <f>IF(C1222="","",IFERROR(INDEX($S$5:$S$304,MATCH(C1222,$R$5:$R$304,0))&amp;"","?"))</f>
        <v/>
      </c>
      <c r="N1222" s="2">
        <f>IF(E1222="","",IF(ISNUMBER(SEARCH("SUBSOLO",E1222)),IFERROR(-VALUE(LEFT(E1222,FIND("º",SUBSTITUTE(E1222,"°","º"))-1)),-1),IF(LEFT(E1222,6)="TÉRREO",0,IFERROR(VALUE(LEFT(E1222,FIND("º",SUBSTITUTE(E1222,"°","º"))-1)),""))))</f>
        <v/>
      </c>
      <c r="O1222" s="2">
        <f>IF(OR(F1222="",G1222=""),"",IF(G1222&lt;='RETRATO 2027'!$K$5,"CONCLUÍDA",IF(F1222&lt;='RETRATO 2027'!$K$5,"EM ANDAMENTO","A INICIAR")))</f>
        <v/>
      </c>
    </row>
    <row r="1223">
      <c r="B1223" s="4" t="n">
        <v>29980991</v>
      </c>
      <c r="C1223" s="4" t="inlineStr">
        <is>
          <t>IMPERMEABILIZAÇÃO</t>
        </is>
      </c>
      <c r="D1223" s="4" t="inlineStr">
        <is>
          <t>-</t>
        </is>
      </c>
      <c r="E1223" s="4" t="inlineStr">
        <is>
          <t>22º PAV.</t>
        </is>
      </c>
      <c r="F1223" s="126" t="n">
        <v>46801</v>
      </c>
      <c r="G1223" s="126" t="n">
        <v>46813</v>
      </c>
      <c r="H1223" s="126" t="n">
        <v>46289</v>
      </c>
      <c r="I1223" s="4" t="n">
        <v>0</v>
      </c>
      <c r="J1223" s="4" t="n">
        <v>0</v>
      </c>
      <c r="K1223" s="4" t="n">
        <v>0</v>
      </c>
      <c r="M1223" s="2">
        <f>IF(C1223="","",IFERROR(INDEX($S$5:$S$304,MATCH(C1223,$R$5:$R$304,0))&amp;"","?"))</f>
        <v/>
      </c>
      <c r="N1223" s="2">
        <f>IF(E1223="","",IF(ISNUMBER(SEARCH("SUBSOLO",E1223)),IFERROR(-VALUE(LEFT(E1223,FIND("º",SUBSTITUTE(E1223,"°","º"))-1)),-1),IF(LEFT(E1223,6)="TÉRREO",0,IFERROR(VALUE(LEFT(E1223,FIND("º",SUBSTITUTE(E1223,"°","º"))-1)),""))))</f>
        <v/>
      </c>
      <c r="O1223" s="2">
        <f>IF(OR(F1223="",G1223=""),"",IF(G1223&lt;='RETRATO 2027'!$K$5,"CONCLUÍDA",IF(F1223&lt;='RETRATO 2027'!$K$5,"EM ANDAMENTO","A INICIAR")))</f>
        <v/>
      </c>
    </row>
    <row r="1224">
      <c r="B1224" s="4" t="n">
        <v>32750449</v>
      </c>
      <c r="C1224" s="4" t="inlineStr">
        <is>
          <t>DRYWALL 2º FACE</t>
        </is>
      </c>
      <c r="D1224" s="4" t="inlineStr">
        <is>
          <t>-</t>
        </is>
      </c>
      <c r="E1224" s="4" t="inlineStr">
        <is>
          <t>23º PAV.</t>
        </is>
      </c>
      <c r="F1224" s="126" t="n">
        <v>46801</v>
      </c>
      <c r="G1224" s="126" t="n">
        <v>46813</v>
      </c>
      <c r="H1224" s="126" t="n">
        <v>46289</v>
      </c>
      <c r="I1224" s="4" t="n">
        <v>0</v>
      </c>
      <c r="J1224" s="4" t="n">
        <v>0</v>
      </c>
      <c r="K1224" s="4" t="n">
        <v>0</v>
      </c>
      <c r="M1224" s="2">
        <f>IF(C1224="","",IFERROR(INDEX($S$5:$S$304,MATCH(C1224,$R$5:$R$304,0))&amp;"","?"))</f>
        <v/>
      </c>
      <c r="N1224" s="2">
        <f>IF(E1224="","",IF(ISNUMBER(SEARCH("SUBSOLO",E1224)),IFERROR(-VALUE(LEFT(E1224,FIND("º",SUBSTITUTE(E1224,"°","º"))-1)),-1),IF(LEFT(E1224,6)="TÉRREO",0,IFERROR(VALUE(LEFT(E1224,FIND("º",SUBSTITUTE(E1224,"°","º"))-1)),""))))</f>
        <v/>
      </c>
      <c r="O1224" s="2">
        <f>IF(OR(F1224="",G1224=""),"",IF(G1224&lt;='RETRATO 2027'!$K$5,"CONCLUÍDA",IF(F1224&lt;='RETRATO 2027'!$K$5,"EM ANDAMENTO","A INICIAR")))</f>
        <v/>
      </c>
    </row>
    <row r="1225">
      <c r="B1225" s="4" t="n">
        <v>32750372</v>
      </c>
      <c r="C1225" s="4" t="inlineStr">
        <is>
          <t>DISTRIBUIÇÃO DE GÁS - DRYWALL</t>
        </is>
      </c>
      <c r="D1225" s="4" t="inlineStr">
        <is>
          <t>-</t>
        </is>
      </c>
      <c r="E1225" s="4" t="inlineStr">
        <is>
          <t>24º PAV.</t>
        </is>
      </c>
      <c r="F1225" s="126" t="n">
        <v>46801</v>
      </c>
      <c r="G1225" s="126" t="n">
        <v>46813</v>
      </c>
      <c r="H1225" s="126" t="n">
        <v>46289</v>
      </c>
      <c r="I1225" s="4" t="n">
        <v>0</v>
      </c>
      <c r="J1225" s="4" t="n">
        <v>0</v>
      </c>
      <c r="K1225" s="4" t="n">
        <v>0</v>
      </c>
      <c r="M1225" s="2">
        <f>IF(C1225="","",IFERROR(INDEX($S$5:$S$304,MATCH(C1225,$R$5:$R$304,0))&amp;"","?"))</f>
        <v/>
      </c>
      <c r="N1225" s="2">
        <f>IF(E1225="","",IF(ISNUMBER(SEARCH("SUBSOLO",E1225)),IFERROR(-VALUE(LEFT(E1225,FIND("º",SUBSTITUTE(E1225,"°","º"))-1)),-1),IF(LEFT(E1225,6)="TÉRREO",0,IFERROR(VALUE(LEFT(E1225,FIND("º",SUBSTITUTE(E1225,"°","º"))-1)),""))))</f>
        <v/>
      </c>
      <c r="O1225" s="2">
        <f>IF(OR(F1225="",G1225=""),"",IF(G1225&lt;='RETRATO 2027'!$K$5,"CONCLUÍDA",IF(F1225&lt;='RETRATO 2027'!$K$5,"EM ANDAMENTO","A INICIAR")))</f>
        <v/>
      </c>
    </row>
    <row r="1226">
      <c r="B1226" s="4" t="n">
        <v>32750398</v>
      </c>
      <c r="C1226" s="4" t="inlineStr">
        <is>
          <t>DISTRIBUIÇÃO ELÉTRICA/QUADRO - DRYWALL</t>
        </is>
      </c>
      <c r="D1226" s="4" t="inlineStr">
        <is>
          <t>-</t>
        </is>
      </c>
      <c r="E1226" s="4" t="inlineStr">
        <is>
          <t>24º PAV.</t>
        </is>
      </c>
      <c r="F1226" s="126" t="n">
        <v>46801</v>
      </c>
      <c r="G1226" s="126" t="n">
        <v>46813</v>
      </c>
      <c r="H1226" s="126" t="n">
        <v>46289</v>
      </c>
      <c r="I1226" s="4" t="n">
        <v>0</v>
      </c>
      <c r="J1226" s="4" t="n">
        <v>0</v>
      </c>
      <c r="K1226" s="4" t="n">
        <v>0</v>
      </c>
      <c r="M1226" s="2">
        <f>IF(C1226="","",IFERROR(INDEX($S$5:$S$304,MATCH(C1226,$R$5:$R$304,0))&amp;"","?"))</f>
        <v/>
      </c>
      <c r="N1226" s="2">
        <f>IF(E1226="","",IF(ISNUMBER(SEARCH("SUBSOLO",E1226)),IFERROR(-VALUE(LEFT(E1226,FIND("º",SUBSTITUTE(E1226,"°","º"))-1)),-1),IF(LEFT(E1226,6)="TÉRREO",0,IFERROR(VALUE(LEFT(E1226,FIND("º",SUBSTITUTE(E1226,"°","º"))-1)),""))))</f>
        <v/>
      </c>
      <c r="O1226" s="2">
        <f>IF(OR(F1226="",G1226=""),"",IF(G1226&lt;='RETRATO 2027'!$K$5,"CONCLUÍDA",IF(F1226&lt;='RETRATO 2027'!$K$5,"EM ANDAMENTO","A INICIAR")))</f>
        <v/>
      </c>
    </row>
    <row r="1227">
      <c r="B1227" s="4" t="n">
        <v>32750424</v>
      </c>
      <c r="C1227" s="4" t="inlineStr">
        <is>
          <t>DISTRIBUIÇÃO HIDRÁULICA - DRYWALL</t>
        </is>
      </c>
      <c r="D1227" s="4" t="inlineStr">
        <is>
          <t>-</t>
        </is>
      </c>
      <c r="E1227" s="4" t="inlineStr">
        <is>
          <t>24º PAV.</t>
        </is>
      </c>
      <c r="F1227" s="126" t="n">
        <v>46801</v>
      </c>
      <c r="G1227" s="126" t="n">
        <v>46813</v>
      </c>
      <c r="H1227" s="126" t="n">
        <v>46289</v>
      </c>
      <c r="I1227" s="4" t="n">
        <v>0</v>
      </c>
      <c r="J1227" s="4" t="n">
        <v>0</v>
      </c>
      <c r="K1227" s="4" t="n">
        <v>0</v>
      </c>
      <c r="M1227" s="2">
        <f>IF(C1227="","",IFERROR(INDEX($S$5:$S$304,MATCH(C1227,$R$5:$R$304,0))&amp;"","?"))</f>
        <v/>
      </c>
      <c r="N1227" s="2">
        <f>IF(E1227="","",IF(ISNUMBER(SEARCH("SUBSOLO",E1227)),IFERROR(-VALUE(LEFT(E1227,FIND("º",SUBSTITUTE(E1227,"°","º"))-1)),-1),IF(LEFT(E1227,6)="TÉRREO",0,IFERROR(VALUE(LEFT(E1227,FIND("º",SUBSTITUTE(E1227,"°","º"))-1)),""))))</f>
        <v/>
      </c>
      <c r="O1227" s="2">
        <f>IF(OR(F1227="",G1227=""),"",IF(G1227&lt;='RETRATO 2027'!$K$5,"CONCLUÍDA",IF(F1227&lt;='RETRATO 2027'!$K$5,"EM ANDAMENTO","A INICIAR")))</f>
        <v/>
      </c>
    </row>
    <row r="1228">
      <c r="B1228" s="4" t="n">
        <v>33896842</v>
      </c>
      <c r="C1228" s="4" t="inlineStr">
        <is>
          <t>INFRAESTRUTURA - AR CONDICIONADO</t>
        </is>
      </c>
      <c r="D1228" s="4" t="inlineStr">
        <is>
          <t>-</t>
        </is>
      </c>
      <c r="E1228" s="4" t="inlineStr">
        <is>
          <t>24º PAV.</t>
        </is>
      </c>
      <c r="F1228" s="126" t="n">
        <v>46801</v>
      </c>
      <c r="G1228" s="126" t="n">
        <v>46813</v>
      </c>
      <c r="H1228" s="126" t="n">
        <v>46289</v>
      </c>
      <c r="I1228" s="4" t="n">
        <v>0</v>
      </c>
      <c r="J1228" s="4" t="n">
        <v>0</v>
      </c>
      <c r="K1228" s="4" t="n">
        <v>0</v>
      </c>
      <c r="M1228" s="2">
        <f>IF(C1228="","",IFERROR(INDEX($S$5:$S$304,MATCH(C1228,$R$5:$R$304,0))&amp;"","?"))</f>
        <v/>
      </c>
      <c r="N1228" s="2">
        <f>IF(E1228="","",IF(ISNUMBER(SEARCH("SUBSOLO",E1228)),IFERROR(-VALUE(LEFT(E1228,FIND("º",SUBSTITUTE(E1228,"°","º"))-1)),-1),IF(LEFT(E1228,6)="TÉRREO",0,IFERROR(VALUE(LEFT(E1228,FIND("º",SUBSTITUTE(E1228,"°","º"))-1)),""))))</f>
        <v/>
      </c>
      <c r="O1228" s="2">
        <f>IF(OR(F1228="",G1228=""),"",IF(G1228&lt;='RETRATO 2027'!$K$5,"CONCLUÍDA",IF(F1228&lt;='RETRATO 2027'!$K$5,"EM ANDAMENTO","A INICIAR")))</f>
        <v/>
      </c>
    </row>
    <row r="1229">
      <c r="B1229" s="4" t="n">
        <v>32749868</v>
      </c>
      <c r="C1229" s="4" t="inlineStr">
        <is>
          <t>DRYWALL 1º FACE</t>
        </is>
      </c>
      <c r="D1229" s="4" t="inlineStr">
        <is>
          <t>-</t>
        </is>
      </c>
      <c r="E1229" s="4" t="inlineStr">
        <is>
          <t>25º PAV.</t>
        </is>
      </c>
      <c r="F1229" s="126" t="n">
        <v>46801</v>
      </c>
      <c r="G1229" s="126" t="n">
        <v>46813</v>
      </c>
      <c r="H1229" s="126" t="n">
        <v>46289</v>
      </c>
      <c r="I1229" s="4" t="n">
        <v>0</v>
      </c>
      <c r="J1229" s="4" t="n">
        <v>0</v>
      </c>
      <c r="K1229" s="4" t="n">
        <v>0</v>
      </c>
      <c r="M1229" s="2">
        <f>IF(C1229="","",IFERROR(INDEX($S$5:$S$304,MATCH(C1229,$R$5:$R$304,0))&amp;"","?"))</f>
        <v/>
      </c>
      <c r="N1229" s="2">
        <f>IF(E1229="","",IF(ISNUMBER(SEARCH("SUBSOLO",E1229)),IFERROR(-VALUE(LEFT(E1229,FIND("º",SUBSTITUTE(E1229,"°","º"))-1)),-1),IF(LEFT(E1229,6)="TÉRREO",0,IFERROR(VALUE(LEFT(E1229,FIND("º",SUBSTITUTE(E1229,"°","º"))-1)),""))))</f>
        <v/>
      </c>
      <c r="O1229" s="2">
        <f>IF(OR(F1229="",G1229=""),"",IF(G1229&lt;='RETRATO 2027'!$K$5,"CONCLUÍDA",IF(F1229&lt;='RETRATO 2027'!$K$5,"EM ANDAMENTO","A INICIAR")))</f>
        <v/>
      </c>
    </row>
    <row r="1230">
      <c r="B1230" s="4" t="n">
        <v>29980844</v>
      </c>
      <c r="C1230" s="4" t="inlineStr">
        <is>
          <t>CONTRAPISO</t>
        </is>
      </c>
      <c r="D1230" s="4" t="inlineStr">
        <is>
          <t>-</t>
        </is>
      </c>
      <c r="E1230" s="4" t="inlineStr">
        <is>
          <t>26º PAV.</t>
        </is>
      </c>
      <c r="F1230" s="126" t="n">
        <v>46801</v>
      </c>
      <c r="G1230" s="126" t="n">
        <v>46813</v>
      </c>
      <c r="H1230" s="126" t="n">
        <v>46289</v>
      </c>
      <c r="I1230" s="4" t="n">
        <v>0</v>
      </c>
      <c r="J1230" s="4" t="n">
        <v>0</v>
      </c>
      <c r="K1230" s="4" t="n">
        <v>0</v>
      </c>
      <c r="M1230" s="2">
        <f>IF(C1230="","",IFERROR(INDEX($S$5:$S$304,MATCH(C1230,$R$5:$R$304,0))&amp;"","?"))</f>
        <v/>
      </c>
      <c r="N1230" s="2">
        <f>IF(E1230="","",IF(ISNUMBER(SEARCH("SUBSOLO",E1230)),IFERROR(-VALUE(LEFT(E1230,FIND("º",SUBSTITUTE(E1230,"°","º"))-1)),-1),IF(LEFT(E1230,6)="TÉRREO",0,IFERROR(VALUE(LEFT(E1230,FIND("º",SUBSTITUTE(E1230,"°","º"))-1)),""))))</f>
        <v/>
      </c>
      <c r="O1230" s="2">
        <f>IF(OR(F1230="",G1230=""),"",IF(G1230&lt;='RETRATO 2027'!$K$5,"CONCLUÍDA",IF(F1230&lt;='RETRATO 2027'!$K$5,"EM ANDAMENTO","A INICIAR")))</f>
        <v/>
      </c>
    </row>
    <row r="1231">
      <c r="B1231" s="4" t="n">
        <v>29980784</v>
      </c>
      <c r="C1231" s="4" t="inlineStr">
        <is>
          <t>SHAFT INTERNO INST. HIDRAÚLICAS</t>
        </is>
      </c>
      <c r="D1231" s="4" t="inlineStr">
        <is>
          <t>-</t>
        </is>
      </c>
      <c r="E1231" s="4" t="inlineStr">
        <is>
          <t>27º PAV.</t>
        </is>
      </c>
      <c r="F1231" s="126" t="n">
        <v>46801</v>
      </c>
      <c r="G1231" s="126" t="n">
        <v>46813</v>
      </c>
      <c r="H1231" s="126" t="n">
        <v>46289</v>
      </c>
      <c r="I1231" s="4" t="n">
        <v>0</v>
      </c>
      <c r="J1231" s="4" t="n">
        <v>0</v>
      </c>
      <c r="K1231" s="4" t="n">
        <v>0</v>
      </c>
      <c r="M1231" s="2">
        <f>IF(C1231="","",IFERROR(INDEX($S$5:$S$304,MATCH(C1231,$R$5:$R$304,0))&amp;"","?"))</f>
        <v/>
      </c>
      <c r="N1231" s="2">
        <f>IF(E1231="","",IF(ISNUMBER(SEARCH("SUBSOLO",E1231)),IFERROR(-VALUE(LEFT(E1231,FIND("º",SUBSTITUTE(E1231,"°","º"))-1)),-1),IF(LEFT(E1231,6)="TÉRREO",0,IFERROR(VALUE(LEFT(E1231,FIND("º",SUBSTITUTE(E1231,"°","º"))-1)),""))))</f>
        <v/>
      </c>
      <c r="O1231" s="2">
        <f>IF(OR(F1231="",G1231=""),"",IF(G1231&lt;='RETRATO 2027'!$K$5,"CONCLUÍDA",IF(F1231&lt;='RETRATO 2027'!$K$5,"EM ANDAMENTO","A INICIAR")))</f>
        <v/>
      </c>
    </row>
    <row r="1232">
      <c r="B1232" s="4" t="n">
        <v>29980817</v>
      </c>
      <c r="C1232" s="4" t="inlineStr">
        <is>
          <t>PRUMADA ELÉTRICA - INFRA</t>
        </is>
      </c>
      <c r="D1232" s="4" t="inlineStr">
        <is>
          <t>-</t>
        </is>
      </c>
      <c r="E1232" s="4" t="inlineStr">
        <is>
          <t>27º PAV.</t>
        </is>
      </c>
      <c r="F1232" s="126" t="n">
        <v>46801</v>
      </c>
      <c r="G1232" s="126" t="n">
        <v>46813</v>
      </c>
      <c r="H1232" s="126" t="n">
        <v>46289</v>
      </c>
      <c r="I1232" s="4" t="n">
        <v>0</v>
      </c>
      <c r="J1232" s="4" t="n">
        <v>0</v>
      </c>
      <c r="K1232" s="4" t="n">
        <v>0</v>
      </c>
      <c r="M1232" s="2">
        <f>IF(C1232="","",IFERROR(INDEX($S$5:$S$304,MATCH(C1232,$R$5:$R$304,0))&amp;"","?"))</f>
        <v/>
      </c>
      <c r="N1232" s="2">
        <f>IF(E1232="","",IF(ISNUMBER(SEARCH("SUBSOLO",E1232)),IFERROR(-VALUE(LEFT(E1232,FIND("º",SUBSTITUTE(E1232,"°","º"))-1)),-1),IF(LEFT(E1232,6)="TÉRREO",0,IFERROR(VALUE(LEFT(E1232,FIND("º",SUBSTITUTE(E1232,"°","º"))-1)),""))))</f>
        <v/>
      </c>
      <c r="O1232" s="2">
        <f>IF(OR(F1232="",G1232=""),"",IF(G1232&lt;='RETRATO 2027'!$K$5,"CONCLUÍDA",IF(F1232&lt;='RETRATO 2027'!$K$5,"EM ANDAMENTO","A INICIAR")))</f>
        <v/>
      </c>
    </row>
    <row r="1233">
      <c r="B1233" s="4" t="n">
        <v>29980746</v>
      </c>
      <c r="C1233" s="4" t="inlineStr">
        <is>
          <t>REBOCO INTERNO</t>
        </is>
      </c>
      <c r="D1233" s="4" t="inlineStr">
        <is>
          <t>-</t>
        </is>
      </c>
      <c r="E1233" s="4" t="inlineStr">
        <is>
          <t>28º PAV.</t>
        </is>
      </c>
      <c r="F1233" s="126" t="n">
        <v>46801</v>
      </c>
      <c r="G1233" s="126" t="n">
        <v>46813</v>
      </c>
      <c r="H1233" s="126" t="n">
        <v>46289</v>
      </c>
      <c r="I1233" s="4" t="n">
        <v>0</v>
      </c>
      <c r="J1233" s="4" t="n">
        <v>0</v>
      </c>
      <c r="K1233" s="4" t="n">
        <v>0</v>
      </c>
      <c r="M1233" s="2">
        <f>IF(C1233="","",IFERROR(INDEX($S$5:$S$304,MATCH(C1233,$R$5:$R$304,0))&amp;"","?"))</f>
        <v/>
      </c>
      <c r="N1233" s="2">
        <f>IF(E1233="","",IF(ISNUMBER(SEARCH("SUBSOLO",E1233)),IFERROR(-VALUE(LEFT(E1233,FIND("º",SUBSTITUTE(E1233,"°","º"))-1)),-1),IF(LEFT(E1233,6)="TÉRREO",0,IFERROR(VALUE(LEFT(E1233,FIND("º",SUBSTITUTE(E1233,"°","º"))-1)),""))))</f>
        <v/>
      </c>
      <c r="O1233" s="2">
        <f>IF(OR(F1233="",G1233=""),"",IF(G1233&lt;='RETRATO 2027'!$K$5,"CONCLUÍDA",IF(F1233&lt;='RETRATO 2027'!$K$5,"EM ANDAMENTO","A INICIAR")))</f>
        <v/>
      </c>
    </row>
    <row r="1234">
      <c r="B1234" s="4" t="n">
        <v>29980712</v>
      </c>
      <c r="C1234" s="4" t="inlineStr">
        <is>
          <t>CONTRAMARCO</t>
        </is>
      </c>
      <c r="D1234" s="4" t="inlineStr">
        <is>
          <t>-</t>
        </is>
      </c>
      <c r="E1234" s="4" t="inlineStr">
        <is>
          <t>29º PAV.</t>
        </is>
      </c>
      <c r="F1234" s="126" t="n">
        <v>46801</v>
      </c>
      <c r="G1234" s="126" t="n">
        <v>46813</v>
      </c>
      <c r="H1234" s="126" t="n">
        <v>46289</v>
      </c>
      <c r="I1234" s="4" t="n">
        <v>0</v>
      </c>
      <c r="J1234" s="4" t="n">
        <v>0</v>
      </c>
      <c r="K1234" s="4" t="n">
        <v>0</v>
      </c>
      <c r="M1234" s="2">
        <f>IF(C1234="","",IFERROR(INDEX($S$5:$S$304,MATCH(C1234,$R$5:$R$304,0))&amp;"","?"))</f>
        <v/>
      </c>
      <c r="N1234" s="2">
        <f>IF(E1234="","",IF(ISNUMBER(SEARCH("SUBSOLO",E1234)),IFERROR(-VALUE(LEFT(E1234,FIND("º",SUBSTITUTE(E1234,"°","º"))-1)),-1),IF(LEFT(E1234,6)="TÉRREO",0,IFERROR(VALUE(LEFT(E1234,FIND("º",SUBSTITUTE(E1234,"°","º"))-1)),""))))</f>
        <v/>
      </c>
      <c r="O1234" s="2">
        <f>IF(OR(F1234="",G1234=""),"",IF(G1234&lt;='RETRATO 2027'!$K$5,"CONCLUÍDA",IF(F1234&lt;='RETRATO 2027'!$K$5,"EM ANDAMENTO","A INICIAR")))</f>
        <v/>
      </c>
    </row>
    <row r="1235">
      <c r="B1235" s="4" t="n">
        <v>29980705</v>
      </c>
      <c r="C1235" s="4" t="inlineStr">
        <is>
          <t>DISTRIBUIÇÃO HIDROSSANITÁRIA</t>
        </is>
      </c>
      <c r="D1235" s="4" t="inlineStr">
        <is>
          <t>-</t>
        </is>
      </c>
      <c r="E1235" s="4" t="inlineStr">
        <is>
          <t>30º PAV.</t>
        </is>
      </c>
      <c r="F1235" s="126" t="n">
        <v>46801</v>
      </c>
      <c r="G1235" s="126" t="n">
        <v>46813</v>
      </c>
      <c r="H1235" s="126" t="n">
        <v>46289</v>
      </c>
      <c r="I1235" s="4" t="n">
        <v>0</v>
      </c>
      <c r="J1235" s="4" t="n">
        <v>0</v>
      </c>
      <c r="K1235" s="4" t="n">
        <v>0</v>
      </c>
      <c r="M1235" s="2">
        <f>IF(C1235="","",IFERROR(INDEX($S$5:$S$304,MATCH(C1235,$R$5:$R$304,0))&amp;"","?"))</f>
        <v/>
      </c>
      <c r="N1235" s="2">
        <f>IF(E1235="","",IF(ISNUMBER(SEARCH("SUBSOLO",E1235)),IFERROR(-VALUE(LEFT(E1235,FIND("º",SUBSTITUTE(E1235,"°","º"))-1)),-1),IF(LEFT(E1235,6)="TÉRREO",0,IFERROR(VALUE(LEFT(E1235,FIND("º",SUBSTITUTE(E1235,"°","º"))-1)),""))))</f>
        <v/>
      </c>
      <c r="O1235" s="2">
        <f>IF(OR(F1235="",G1235=""),"",IF(G1235&lt;='RETRATO 2027'!$K$5,"CONCLUÍDA",IF(F1235&lt;='RETRATO 2027'!$K$5,"EM ANDAMENTO","A INICIAR")))</f>
        <v/>
      </c>
    </row>
    <row r="1236">
      <c r="B1236" s="4" t="n">
        <v>29980674</v>
      </c>
      <c r="C1236" s="4" t="inlineStr">
        <is>
          <t>DISTRIBUIÇÃO ELÉTRICA / QUADRO</t>
        </is>
      </c>
      <c r="D1236" s="4" t="inlineStr">
        <is>
          <t>-</t>
        </is>
      </c>
      <c r="E1236" s="4" t="inlineStr">
        <is>
          <t>30º PAV.</t>
        </is>
      </c>
      <c r="F1236" s="126" t="n">
        <v>46801</v>
      </c>
      <c r="G1236" s="126" t="n">
        <v>46813</v>
      </c>
      <c r="H1236" s="126" t="n">
        <v>46289</v>
      </c>
      <c r="I1236" s="4" t="n">
        <v>0</v>
      </c>
      <c r="J1236" s="4" t="n">
        <v>0</v>
      </c>
      <c r="K1236" s="4" t="n">
        <v>0</v>
      </c>
      <c r="M1236" s="2">
        <f>IF(C1236="","",IFERROR(INDEX($S$5:$S$304,MATCH(C1236,$R$5:$R$304,0))&amp;"","?"))</f>
        <v/>
      </c>
      <c r="N1236" s="2">
        <f>IF(E1236="","",IF(ISNUMBER(SEARCH("SUBSOLO",E1236)),IFERROR(-VALUE(LEFT(E1236,FIND("º",SUBSTITUTE(E1236,"°","º"))-1)),-1),IF(LEFT(E1236,6)="TÉRREO",0,IFERROR(VALUE(LEFT(E1236,FIND("º",SUBSTITUTE(E1236,"°","º"))-1)),""))))</f>
        <v/>
      </c>
      <c r="O1236" s="2">
        <f>IF(OR(F1236="",G1236=""),"",IF(G1236&lt;='RETRATO 2027'!$K$5,"CONCLUÍDA",IF(F1236&lt;='RETRATO 2027'!$K$5,"EM ANDAMENTO","A INICIAR")))</f>
        <v/>
      </c>
    </row>
    <row r="1237">
      <c r="B1237" s="4" t="n">
        <v>29980707</v>
      </c>
      <c r="C1237" s="4" t="inlineStr">
        <is>
          <t>DISTRIBUIÇÃO DE GÁS</t>
        </is>
      </c>
      <c r="D1237" s="4" t="inlineStr">
        <is>
          <t>-</t>
        </is>
      </c>
      <c r="E1237" s="4" t="inlineStr">
        <is>
          <t>30º PAV.</t>
        </is>
      </c>
      <c r="F1237" s="126" t="n">
        <v>46801</v>
      </c>
      <c r="G1237" s="126" t="n">
        <v>46813</v>
      </c>
      <c r="H1237" s="126" t="n">
        <v>46289</v>
      </c>
      <c r="I1237" s="4" t="n">
        <v>0</v>
      </c>
      <c r="J1237" s="4" t="n">
        <v>0</v>
      </c>
      <c r="K1237" s="4" t="n">
        <v>0</v>
      </c>
      <c r="M1237" s="2">
        <f>IF(C1237="","",IFERROR(INDEX($S$5:$S$304,MATCH(C1237,$R$5:$R$304,0))&amp;"","?"))</f>
        <v/>
      </c>
      <c r="N1237" s="2">
        <f>IF(E1237="","",IF(ISNUMBER(SEARCH("SUBSOLO",E1237)),IFERROR(-VALUE(LEFT(E1237,FIND("º",SUBSTITUTE(E1237,"°","º"))-1)),-1),IF(LEFT(E1237,6)="TÉRREO",0,IFERROR(VALUE(LEFT(E1237,FIND("º",SUBSTITUTE(E1237,"°","º"))-1)),""))))</f>
        <v/>
      </c>
      <c r="O1237" s="2">
        <f>IF(OR(F1237="",G1237=""),"",IF(G1237&lt;='RETRATO 2027'!$K$5,"CONCLUÍDA",IF(F1237&lt;='RETRATO 2027'!$K$5,"EM ANDAMENTO","A INICIAR")))</f>
        <v/>
      </c>
    </row>
    <row r="1238">
      <c r="B1238" s="4" t="n">
        <v>29980654</v>
      </c>
      <c r="C1238" s="4" t="inlineStr">
        <is>
          <t>TALISCAMENTO</t>
        </is>
      </c>
      <c r="D1238" s="4" t="inlineStr">
        <is>
          <t>-</t>
        </is>
      </c>
      <c r="E1238" s="4" t="inlineStr">
        <is>
          <t>31º PAV. - COBERTURA LINEAR</t>
        </is>
      </c>
      <c r="F1238" s="126" t="n">
        <v>46801</v>
      </c>
      <c r="G1238" s="126" t="n">
        <v>46813</v>
      </c>
      <c r="H1238" s="126" t="n">
        <v>46289</v>
      </c>
      <c r="I1238" s="4" t="n">
        <v>0</v>
      </c>
      <c r="J1238" s="4" t="n">
        <v>0</v>
      </c>
      <c r="K1238" s="4" t="n">
        <v>0</v>
      </c>
      <c r="M1238" s="2">
        <f>IF(C1238="","",IFERROR(INDEX($S$5:$S$304,MATCH(C1238,$R$5:$R$304,0))&amp;"","?"))</f>
        <v/>
      </c>
      <c r="N1238" s="2">
        <f>IF(E1238="","",IF(ISNUMBER(SEARCH("SUBSOLO",E1238)),IFERROR(-VALUE(LEFT(E1238,FIND("º",SUBSTITUTE(E1238,"°","º"))-1)),-1),IF(LEFT(E1238,6)="TÉRREO",0,IFERROR(VALUE(LEFT(E1238,FIND("º",SUBSTITUTE(E1238,"°","º"))-1)),""))))</f>
        <v/>
      </c>
      <c r="O1238" s="2">
        <f>IF(OR(F1238="",G1238=""),"",IF(G1238&lt;='RETRATO 2027'!$K$5,"CONCLUÍDA",IF(F1238&lt;='RETRATO 2027'!$K$5,"EM ANDAMENTO","A INICIAR")))</f>
        <v/>
      </c>
    </row>
    <row r="1239">
      <c r="B1239" s="4" t="n">
        <v>29980620</v>
      </c>
      <c r="C1239" s="4" t="inlineStr">
        <is>
          <t>PRUMADA HIDROSSANITÁRIA</t>
        </is>
      </c>
      <c r="D1239" s="4" t="inlineStr">
        <is>
          <t>-</t>
        </is>
      </c>
      <c r="E1239" s="4" t="inlineStr">
        <is>
          <t>32º PAV - COBERTURA GERAL</t>
        </is>
      </c>
      <c r="F1239" s="126" t="n">
        <v>46801</v>
      </c>
      <c r="G1239" s="126" t="n">
        <v>46813</v>
      </c>
      <c r="H1239" s="126" t="n">
        <v>46289</v>
      </c>
      <c r="I1239" s="4" t="n">
        <v>0</v>
      </c>
      <c r="J1239" s="4" t="n">
        <v>0</v>
      </c>
      <c r="K1239" s="4" t="n">
        <v>0</v>
      </c>
      <c r="M1239" s="2">
        <f>IF(C1239="","",IFERROR(INDEX($S$5:$S$304,MATCH(C1239,$R$5:$R$304,0))&amp;"","?"))</f>
        <v/>
      </c>
      <c r="N1239" s="2">
        <f>IF(E1239="","",IF(ISNUMBER(SEARCH("SUBSOLO",E1239)),IFERROR(-VALUE(LEFT(E1239,FIND("º",SUBSTITUTE(E1239,"°","º"))-1)),-1),IF(LEFT(E1239,6)="TÉRREO",0,IFERROR(VALUE(LEFT(E1239,FIND("º",SUBSTITUTE(E1239,"°","º"))-1)),""))))</f>
        <v/>
      </c>
      <c r="O1239" s="2">
        <f>IF(OR(F1239="",G1239=""),"",IF(G1239&lt;='RETRATO 2027'!$K$5,"CONCLUÍDA",IF(F1239&lt;='RETRATO 2027'!$K$5,"EM ANDAMENTO","A INICIAR")))</f>
        <v/>
      </c>
    </row>
    <row r="1240">
      <c r="B1240" s="4" t="n">
        <v>30206083</v>
      </c>
      <c r="C1240" s="4" t="inlineStr">
        <is>
          <t>ENCUNHAMENTO</t>
        </is>
      </c>
      <c r="D1240" s="4" t="inlineStr">
        <is>
          <t>-</t>
        </is>
      </c>
      <c r="E1240" s="4" t="inlineStr">
        <is>
          <t>6º PAV (PILOTIS) - SAUNA + DUCHA</t>
        </is>
      </c>
      <c r="F1240" s="126" t="n">
        <v>46805</v>
      </c>
      <c r="G1240" s="126" t="n">
        <v>46818</v>
      </c>
      <c r="H1240" s="126" t="n">
        <v>46289</v>
      </c>
      <c r="I1240" s="4" t="n">
        <v>0</v>
      </c>
      <c r="J1240" s="4" t="n">
        <v>0</v>
      </c>
      <c r="K1240" s="4" t="n">
        <v>0</v>
      </c>
      <c r="M1240" s="2">
        <f>IF(C1240="","",IFERROR(INDEX($S$5:$S$304,MATCH(C1240,$R$5:$R$304,0))&amp;"","?"))</f>
        <v/>
      </c>
      <c r="N1240" s="2">
        <f>IF(E1240="","",IF(ISNUMBER(SEARCH("SUBSOLO",E1240)),IFERROR(-VALUE(LEFT(E1240,FIND("º",SUBSTITUTE(E1240,"°","º"))-1)),-1),IF(LEFT(E1240,6)="TÉRREO",0,IFERROR(VALUE(LEFT(E1240,FIND("º",SUBSTITUTE(E1240,"°","º"))-1)),""))))</f>
        <v/>
      </c>
      <c r="O1240" s="2">
        <f>IF(OR(F1240="",G1240=""),"",IF(G1240&lt;='RETRATO 2027'!$K$5,"CONCLUÍDA",IF(F1240&lt;='RETRATO 2027'!$K$5,"EM ANDAMENTO","A INICIAR")))</f>
        <v/>
      </c>
    </row>
    <row r="1241">
      <c r="B1241" s="4" t="n">
        <v>30171651</v>
      </c>
      <c r="C1241" s="4" t="inlineStr">
        <is>
          <t>INSTALAÇÃO DE CORRIMÃO (SERRALHERIA)</t>
        </is>
      </c>
      <c r="D1241" s="4" t="inlineStr">
        <is>
          <t>-</t>
        </is>
      </c>
      <c r="E1241" s="4" t="inlineStr">
        <is>
          <t>CX DE ESCADA DE INCÊND.</t>
        </is>
      </c>
      <c r="F1241" s="126" t="n">
        <v>46805</v>
      </c>
      <c r="G1241" s="126" t="n">
        <v>46877</v>
      </c>
      <c r="H1241" s="126" t="n">
        <v>46289</v>
      </c>
      <c r="I1241" s="4" t="n">
        <v>0</v>
      </c>
      <c r="J1241" s="4" t="n">
        <v>0</v>
      </c>
      <c r="K1241" s="4" t="n">
        <v>0</v>
      </c>
      <c r="M1241" s="2">
        <f>IF(C1241="","",IFERROR(INDEX($S$5:$S$304,MATCH(C1241,$R$5:$R$304,0))&amp;"","?"))</f>
        <v/>
      </c>
      <c r="N1241" s="2">
        <f>IF(E1241="","",IF(ISNUMBER(SEARCH("SUBSOLO",E1241)),IFERROR(-VALUE(LEFT(E1241,FIND("º",SUBSTITUTE(E1241,"°","º"))-1)),-1),IF(LEFT(E1241,6)="TÉRREO",0,IFERROR(VALUE(LEFT(E1241,FIND("º",SUBSTITUTE(E1241,"°","º"))-1)),""))))</f>
        <v/>
      </c>
      <c r="O1241" s="2">
        <f>IF(OR(F1241="",G1241=""),"",IF(G1241&lt;='RETRATO 2027'!$K$5,"CONCLUÍDA",IF(F1241&lt;='RETRATO 2027'!$K$5,"EM ANDAMENTO","A INICIAR")))</f>
        <v/>
      </c>
    </row>
    <row r="1242">
      <c r="B1242" s="4" t="n">
        <v>29980619</v>
      </c>
      <c r="C1242" s="4" t="inlineStr">
        <is>
          <t>ENCUNHAMENTO</t>
        </is>
      </c>
      <c r="D1242" s="4" t="inlineStr">
        <is>
          <t>-</t>
        </is>
      </c>
      <c r="E1242" s="4" t="inlineStr">
        <is>
          <t>32º PAV - COBERTURA GERAL</t>
        </is>
      </c>
      <c r="F1242" s="126" t="n">
        <v>46805</v>
      </c>
      <c r="G1242" s="126" t="n">
        <v>46815</v>
      </c>
      <c r="H1242" s="126" t="n">
        <v>46289</v>
      </c>
      <c r="I1242" s="4" t="n">
        <v>0</v>
      </c>
      <c r="J1242" s="4" t="n">
        <v>0</v>
      </c>
      <c r="K1242" s="4" t="n">
        <v>0</v>
      </c>
      <c r="M1242" s="2">
        <f>IF(C1242="","",IFERROR(INDEX($S$5:$S$304,MATCH(C1242,$R$5:$R$304,0))&amp;"","?"))</f>
        <v/>
      </c>
      <c r="N1242" s="2">
        <f>IF(E1242="","",IF(ISNUMBER(SEARCH("SUBSOLO",E1242)),IFERROR(-VALUE(LEFT(E1242,FIND("º",SUBSTITUTE(E1242,"°","º"))-1)),-1),IF(LEFT(E1242,6)="TÉRREO",0,IFERROR(VALUE(LEFT(E1242,FIND("º",SUBSTITUTE(E1242,"°","º"))-1)),""))))</f>
        <v/>
      </c>
      <c r="O1242" s="2">
        <f>IF(OR(F1242="",G1242=""),"",IF(G1242&lt;='RETRATO 2027'!$K$5,"CONCLUÍDA",IF(F1242&lt;='RETRATO 2027'!$K$5,"EM ANDAMENTO","A INICIAR")))</f>
        <v/>
      </c>
    </row>
    <row r="1243">
      <c r="B1243" s="4" t="n">
        <v>30205748</v>
      </c>
      <c r="C1243" s="4" t="inlineStr">
        <is>
          <t>FORRO</t>
        </is>
      </c>
      <c r="D1243" s="4" t="inlineStr">
        <is>
          <t>-</t>
        </is>
      </c>
      <c r="E1243" s="4" t="inlineStr">
        <is>
          <t>SUBSOLO</t>
        </is>
      </c>
      <c r="F1243" s="126" t="n">
        <v>46806</v>
      </c>
      <c r="G1243" s="126" t="n">
        <v>46850</v>
      </c>
      <c r="H1243" s="126" t="n">
        <v>46289</v>
      </c>
      <c r="I1243" s="4" t="n">
        <v>0</v>
      </c>
      <c r="J1243" s="4" t="n">
        <v>0</v>
      </c>
      <c r="K1243" s="4" t="n">
        <v>0</v>
      </c>
      <c r="M1243" s="2">
        <f>IF(C1243="","",IFERROR(INDEX($S$5:$S$304,MATCH(C1243,$R$5:$R$304,0))&amp;"","?"))</f>
        <v/>
      </c>
      <c r="N1243" s="2">
        <f>IF(E1243="","",IF(ISNUMBER(SEARCH("SUBSOLO",E1243)),IFERROR(-VALUE(LEFT(E1243,FIND("º",SUBSTITUTE(E1243,"°","º"))-1)),-1),IF(LEFT(E1243,6)="TÉRREO",0,IFERROR(VALUE(LEFT(E1243,FIND("º",SUBSTITUTE(E1243,"°","º"))-1)),""))))</f>
        <v/>
      </c>
      <c r="O1243" s="2">
        <f>IF(OR(F1243="",G1243=""),"",IF(G1243&lt;='RETRATO 2027'!$K$5,"CONCLUÍDA",IF(F1243&lt;='RETRATO 2027'!$K$5,"EM ANDAMENTO","A INICIAR")))</f>
        <v/>
      </c>
    </row>
    <row r="1244">
      <c r="B1244" s="4" t="n">
        <v>30205714</v>
      </c>
      <c r="C1244" s="4" t="inlineStr">
        <is>
          <t>DISJUNTORES / MIOLOS</t>
        </is>
      </c>
      <c r="D1244" s="4" t="inlineStr">
        <is>
          <t>-</t>
        </is>
      </c>
      <c r="E1244" s="4" t="inlineStr">
        <is>
          <t>SUBSOLO</t>
        </is>
      </c>
      <c r="F1244" s="126" t="n">
        <v>46806</v>
      </c>
      <c r="G1244" s="126" t="n">
        <v>46835</v>
      </c>
      <c r="H1244" s="126" t="n">
        <v>46289</v>
      </c>
      <c r="I1244" s="4" t="n">
        <v>0</v>
      </c>
      <c r="J1244" s="4" t="n">
        <v>0</v>
      </c>
      <c r="K1244" s="4" t="n">
        <v>0</v>
      </c>
      <c r="M1244" s="2">
        <f>IF(C1244="","",IFERROR(INDEX($S$5:$S$304,MATCH(C1244,$R$5:$R$304,0))&amp;"","?"))</f>
        <v/>
      </c>
      <c r="N1244" s="2">
        <f>IF(E1244="","",IF(ISNUMBER(SEARCH("SUBSOLO",E1244)),IFERROR(-VALUE(LEFT(E1244,FIND("º",SUBSTITUTE(E1244,"°","º"))-1)),-1),IF(LEFT(E1244,6)="TÉRREO",0,IFERROR(VALUE(LEFT(E1244,FIND("º",SUBSTITUTE(E1244,"°","º"))-1)),""))))</f>
        <v/>
      </c>
      <c r="O1244" s="2">
        <f>IF(OR(F1244="",G1244=""),"",IF(G1244&lt;='RETRATO 2027'!$K$5,"CONCLUÍDA",IF(F1244&lt;='RETRATO 2027'!$K$5,"EM ANDAMENTO","A INICIAR")))</f>
        <v/>
      </c>
    </row>
    <row r="1245">
      <c r="B1245" s="4" t="n">
        <v>30205711</v>
      </c>
      <c r="C1245" s="4" t="inlineStr">
        <is>
          <t>INSTALAÇÃO DE LUMINÁRIAS E SENSORES</t>
        </is>
      </c>
      <c r="D1245" s="4" t="inlineStr">
        <is>
          <t>-</t>
        </is>
      </c>
      <c r="E1245" s="4" t="inlineStr">
        <is>
          <t>SUBSOLO</t>
        </is>
      </c>
      <c r="F1245" s="126" t="n">
        <v>46806</v>
      </c>
      <c r="G1245" s="126" t="n">
        <v>46812</v>
      </c>
      <c r="H1245" s="126" t="n">
        <v>46289</v>
      </c>
      <c r="I1245" s="4" t="n">
        <v>0</v>
      </c>
      <c r="J1245" s="4" t="n">
        <v>0</v>
      </c>
      <c r="K1245" s="4" t="n">
        <v>0</v>
      </c>
      <c r="M1245" s="2">
        <f>IF(C1245="","",IFERROR(INDEX($S$5:$S$304,MATCH(C1245,$R$5:$R$304,0))&amp;"","?"))</f>
        <v/>
      </c>
      <c r="N1245" s="2">
        <f>IF(E1245="","",IF(ISNUMBER(SEARCH("SUBSOLO",E1245)),IFERROR(-VALUE(LEFT(E1245,FIND("º",SUBSTITUTE(E1245,"°","º"))-1)),-1),IF(LEFT(E1245,6)="TÉRREO",0,IFERROR(VALUE(LEFT(E1245,FIND("º",SUBSTITUTE(E1245,"°","º"))-1)),""))))</f>
        <v/>
      </c>
      <c r="O1245" s="2">
        <f>IF(OR(F1245="",G1245=""),"",IF(G1245&lt;='RETRATO 2027'!$K$5,"CONCLUÍDA",IF(F1245&lt;='RETRATO 2027'!$K$5,"EM ANDAMENTO","A INICIAR")))</f>
        <v/>
      </c>
    </row>
    <row r="1246">
      <c r="B1246" s="4" t="n">
        <v>30205932</v>
      </c>
      <c r="C1246" s="4" t="inlineStr">
        <is>
          <t>IMPERMEABILIZAÇÃO</t>
        </is>
      </c>
      <c r="D1246" s="4" t="inlineStr">
        <is>
          <t>-</t>
        </is>
      </c>
      <c r="E1246" s="4" t="inlineStr">
        <is>
          <t>4º PAV - GARAGEM</t>
        </is>
      </c>
      <c r="F1246" s="126" t="n">
        <v>46807</v>
      </c>
      <c r="G1246" s="126" t="n">
        <v>46820</v>
      </c>
      <c r="H1246" s="126" t="n">
        <v>46289</v>
      </c>
      <c r="I1246" s="4" t="n">
        <v>0</v>
      </c>
      <c r="J1246" s="4" t="n">
        <v>0</v>
      </c>
      <c r="K1246" s="4" t="n">
        <v>0</v>
      </c>
      <c r="M1246" s="2">
        <f>IF(C1246="","",IFERROR(INDEX($S$5:$S$304,MATCH(C1246,$R$5:$R$304,0))&amp;"","?"))</f>
        <v/>
      </c>
      <c r="N1246" s="2">
        <f>IF(E1246="","",IF(ISNUMBER(SEARCH("SUBSOLO",E1246)),IFERROR(-VALUE(LEFT(E1246,FIND("º",SUBSTITUTE(E1246,"°","º"))-1)),-1),IF(LEFT(E1246,6)="TÉRREO",0,IFERROR(VALUE(LEFT(E1246,FIND("º",SUBSTITUTE(E1246,"°","º"))-1)),""))))</f>
        <v/>
      </c>
      <c r="O1246" s="2">
        <f>IF(OR(F1246="",G1246=""),"",IF(G1246&lt;='RETRATO 2027'!$K$5,"CONCLUÍDA",IF(F1246&lt;='RETRATO 2027'!$K$5,"EM ANDAMENTO","A INICIAR")))</f>
        <v/>
      </c>
    </row>
    <row r="1247">
      <c r="B1247" s="4" t="n">
        <v>30171415</v>
      </c>
      <c r="C1247" s="4" t="inlineStr">
        <is>
          <t>PRUMADA HIDROSSANITÁRIA</t>
        </is>
      </c>
      <c r="D1247" s="4" t="inlineStr">
        <is>
          <t>-</t>
        </is>
      </c>
      <c r="E1247" s="4" t="inlineStr">
        <is>
          <t>4º PAV - GARAGEM</t>
        </is>
      </c>
      <c r="F1247" s="126" t="n">
        <v>46807</v>
      </c>
      <c r="G1247" s="126" t="n">
        <v>46834</v>
      </c>
      <c r="H1247" s="126" t="n">
        <v>46289</v>
      </c>
      <c r="I1247" s="4" t="n">
        <v>0</v>
      </c>
      <c r="J1247" s="4" t="n">
        <v>0</v>
      </c>
      <c r="K1247" s="4" t="n">
        <v>0</v>
      </c>
      <c r="M1247" s="2">
        <f>IF(C1247="","",IFERROR(INDEX($S$5:$S$304,MATCH(C1247,$R$5:$R$304,0))&amp;"","?"))</f>
        <v/>
      </c>
      <c r="N1247" s="2">
        <f>IF(E1247="","",IF(ISNUMBER(SEARCH("SUBSOLO",E1247)),IFERROR(-VALUE(LEFT(E1247,FIND("º",SUBSTITUTE(E1247,"°","º"))-1)),-1),IF(LEFT(E1247,6)="TÉRREO",0,IFERROR(VALUE(LEFT(E1247,FIND("º",SUBSTITUTE(E1247,"°","º"))-1)),""))))</f>
        <v/>
      </c>
      <c r="O1247" s="2">
        <f>IF(OR(F1247="",G1247=""),"",IF(G1247&lt;='RETRATO 2027'!$K$5,"CONCLUÍDA",IF(F1247&lt;='RETRATO 2027'!$K$5,"EM ANDAMENTO","A INICIAR")))</f>
        <v/>
      </c>
    </row>
    <row r="1248">
      <c r="B1248" s="4" t="n">
        <v>30171416</v>
      </c>
      <c r="C1248" s="4" t="inlineStr">
        <is>
          <t>PRUMADA ELÉTRICA - INFRA</t>
        </is>
      </c>
      <c r="D1248" s="4" t="inlineStr">
        <is>
          <t>-</t>
        </is>
      </c>
      <c r="E1248" s="4" t="inlineStr">
        <is>
          <t>4º PAV - GARAGEM</t>
        </is>
      </c>
      <c r="F1248" s="126" t="n">
        <v>46807</v>
      </c>
      <c r="G1248" s="126" t="n">
        <v>46834</v>
      </c>
      <c r="H1248" s="126" t="n">
        <v>46289</v>
      </c>
      <c r="I1248" s="4" t="n">
        <v>0</v>
      </c>
      <c r="J1248" s="4" t="n">
        <v>0</v>
      </c>
      <c r="K1248" s="4" t="n">
        <v>0</v>
      </c>
      <c r="M1248" s="2">
        <f>IF(C1248="","",IFERROR(INDEX($S$5:$S$304,MATCH(C1248,$R$5:$R$304,0))&amp;"","?"))</f>
        <v/>
      </c>
      <c r="N1248" s="2">
        <f>IF(E1248="","",IF(ISNUMBER(SEARCH("SUBSOLO",E1248)),IFERROR(-VALUE(LEFT(E1248,FIND("º",SUBSTITUTE(E1248,"°","º"))-1)),-1),IF(LEFT(E1248,6)="TÉRREO",0,IFERROR(VALUE(LEFT(E1248,FIND("º",SUBSTITUTE(E1248,"°","º"))-1)),""))))</f>
        <v/>
      </c>
      <c r="O1248" s="2">
        <f>IF(OR(F1248="",G1248=""),"",IF(G1248&lt;='RETRATO 2027'!$K$5,"CONCLUÍDA",IF(F1248&lt;='RETRATO 2027'!$K$5,"EM ANDAMENTO","A INICIAR")))</f>
        <v/>
      </c>
    </row>
    <row r="1249">
      <c r="B1249" s="4" t="n">
        <v>30171428</v>
      </c>
      <c r="C1249" s="4" t="inlineStr">
        <is>
          <t>INSTALAÇÕES DE INCÊNDIO</t>
        </is>
      </c>
      <c r="D1249" s="4" t="inlineStr">
        <is>
          <t>-</t>
        </is>
      </c>
      <c r="E1249" s="4" t="inlineStr">
        <is>
          <t>4º PAV - GARAGEM</t>
        </is>
      </c>
      <c r="F1249" s="126" t="n">
        <v>46807</v>
      </c>
      <c r="G1249" s="126" t="n">
        <v>46834</v>
      </c>
      <c r="H1249" s="126" t="n">
        <v>46289</v>
      </c>
      <c r="I1249" s="4" t="n">
        <v>0</v>
      </c>
      <c r="J1249" s="4" t="n">
        <v>0</v>
      </c>
      <c r="K1249" s="4" t="n">
        <v>0</v>
      </c>
      <c r="M1249" s="2">
        <f>IF(C1249="","",IFERROR(INDEX($S$5:$S$304,MATCH(C1249,$R$5:$R$304,0))&amp;"","?"))</f>
        <v/>
      </c>
      <c r="N1249" s="2">
        <f>IF(E1249="","",IF(ISNUMBER(SEARCH("SUBSOLO",E1249)),IFERROR(-VALUE(LEFT(E1249,FIND("º",SUBSTITUTE(E1249,"°","º"))-1)),-1),IF(LEFT(E1249,6)="TÉRREO",0,IFERROR(VALUE(LEFT(E1249,FIND("º",SUBSTITUTE(E1249,"°","º"))-1)),""))))</f>
        <v/>
      </c>
      <c r="O1249" s="2">
        <f>IF(OR(F1249="",G1249=""),"",IF(G1249&lt;='RETRATO 2027'!$K$5,"CONCLUÍDA",IF(F1249&lt;='RETRATO 2027'!$K$5,"EM ANDAMENTO","A INICIAR")))</f>
        <v/>
      </c>
    </row>
    <row r="1250">
      <c r="B1250" s="4" t="n">
        <v>30171393</v>
      </c>
      <c r="C1250" s="4" t="inlineStr">
        <is>
          <t>SERRALHERIA</t>
        </is>
      </c>
      <c r="D1250" s="4" t="inlineStr">
        <is>
          <t>-</t>
        </is>
      </c>
      <c r="E1250" s="4" t="inlineStr">
        <is>
          <t>5º PAV - GARAGEM</t>
        </is>
      </c>
      <c r="F1250" s="126" t="n">
        <v>46807</v>
      </c>
      <c r="G1250" s="126" t="n">
        <v>46820</v>
      </c>
      <c r="H1250" s="126" t="n">
        <v>46289</v>
      </c>
      <c r="I1250" s="4" t="n">
        <v>0</v>
      </c>
      <c r="J1250" s="4" t="n">
        <v>0</v>
      </c>
      <c r="K1250" s="4" t="n">
        <v>0</v>
      </c>
      <c r="M1250" s="2">
        <f>IF(C1250="","",IFERROR(INDEX($S$5:$S$304,MATCH(C1250,$R$5:$R$304,0))&amp;"","?"))</f>
        <v/>
      </c>
      <c r="N1250" s="2">
        <f>IF(E1250="","",IF(ISNUMBER(SEARCH("SUBSOLO",E1250)),IFERROR(-VALUE(LEFT(E1250,FIND("º",SUBSTITUTE(E1250,"°","º"))-1)),-1),IF(LEFT(E1250,6)="TÉRREO",0,IFERROR(VALUE(LEFT(E1250,FIND("º",SUBSTITUTE(E1250,"°","º"))-1)),""))))</f>
        <v/>
      </c>
      <c r="O1250" s="2">
        <f>IF(OR(F1250="",G1250=""),"",IF(G1250&lt;='RETRATO 2027'!$K$5,"CONCLUÍDA",IF(F1250&lt;='RETRATO 2027'!$K$5,"EM ANDAMENTO","A INICIAR")))</f>
        <v/>
      </c>
    </row>
    <row r="1251">
      <c r="B1251" s="4" t="n">
        <v>30171394</v>
      </c>
      <c r="C1251" s="4" t="inlineStr">
        <is>
          <t>REBOCO INTERNO</t>
        </is>
      </c>
      <c r="D1251" s="4" t="inlineStr">
        <is>
          <t>-</t>
        </is>
      </c>
      <c r="E1251" s="4" t="inlineStr">
        <is>
          <t>5º PAV - GARAGEM</t>
        </is>
      </c>
      <c r="F1251" s="126" t="n">
        <v>46807</v>
      </c>
      <c r="G1251" s="126" t="n">
        <v>46870</v>
      </c>
      <c r="H1251" s="126" t="n">
        <v>46289</v>
      </c>
      <c r="I1251" s="4" t="n">
        <v>0</v>
      </c>
      <c r="J1251" s="4" t="n">
        <v>0</v>
      </c>
      <c r="K1251" s="4" t="n">
        <v>0</v>
      </c>
      <c r="M1251" s="2">
        <f>IF(C1251="","",IFERROR(INDEX($S$5:$S$304,MATCH(C1251,$R$5:$R$304,0))&amp;"","?"))</f>
        <v/>
      </c>
      <c r="N1251" s="2">
        <f>IF(E1251="","",IF(ISNUMBER(SEARCH("SUBSOLO",E1251)),IFERROR(-VALUE(LEFT(E1251,FIND("º",SUBSTITUTE(E1251,"°","º"))-1)),-1),IF(LEFT(E1251,6)="TÉRREO",0,IFERROR(VALUE(LEFT(E1251,FIND("º",SUBSTITUTE(E1251,"°","º"))-1)),""))))</f>
        <v/>
      </c>
      <c r="O1251" s="2">
        <f>IF(OR(F1251="",G1251=""),"",IF(G1251&lt;='RETRATO 2027'!$K$5,"CONCLUÍDA",IF(F1251&lt;='RETRATO 2027'!$K$5,"EM ANDAMENTO","A INICIAR")))</f>
        <v/>
      </c>
    </row>
    <row r="1252">
      <c r="B1252" s="4" t="n">
        <v>30205563</v>
      </c>
      <c r="C1252" s="4" t="inlineStr">
        <is>
          <t>ESQUADRIA DE ALUMÍNIO</t>
        </is>
      </c>
      <c r="D1252" s="4" t="inlineStr">
        <is>
          <t>-</t>
        </is>
      </c>
      <c r="E1252" s="4" t="inlineStr">
        <is>
          <t>TÉRREO - LOJA 6</t>
        </is>
      </c>
      <c r="F1252" s="126" t="n">
        <v>46808</v>
      </c>
      <c r="G1252" s="126" t="n">
        <v>46835</v>
      </c>
      <c r="H1252" s="126" t="n">
        <v>46289</v>
      </c>
      <c r="I1252" s="4" t="n">
        <v>0</v>
      </c>
      <c r="J1252" s="4" t="n">
        <v>0</v>
      </c>
      <c r="K1252" s="4" t="n">
        <v>0</v>
      </c>
      <c r="M1252" s="2">
        <f>IF(C1252="","",IFERROR(INDEX($S$5:$S$304,MATCH(C1252,$R$5:$R$304,0))&amp;"","?"))</f>
        <v/>
      </c>
      <c r="N1252" s="2">
        <f>IF(E1252="","",IF(ISNUMBER(SEARCH("SUBSOLO",E1252)),IFERROR(-VALUE(LEFT(E1252,FIND("º",SUBSTITUTE(E1252,"°","º"))-1)),-1),IF(LEFT(E1252,6)="TÉRREO",0,IFERROR(VALUE(LEFT(E1252,FIND("º",SUBSTITUTE(E1252,"°","º"))-1)),""))))</f>
        <v/>
      </c>
      <c r="O1252" s="2">
        <f>IF(OR(F1252="",G1252=""),"",IF(G1252&lt;='RETRATO 2027'!$K$5,"CONCLUÍDA",IF(F1252&lt;='RETRATO 2027'!$K$5,"EM ANDAMENTO","A INICIAR")))</f>
        <v/>
      </c>
    </row>
    <row r="1253">
      <c r="B1253" s="4" t="n">
        <v>30205544</v>
      </c>
      <c r="C1253" s="4" t="inlineStr">
        <is>
          <t>MASSA CORRIDA</t>
        </is>
      </c>
      <c r="D1253" s="4" t="inlineStr">
        <is>
          <t>-</t>
        </is>
      </c>
      <c r="E1253" s="4" t="inlineStr">
        <is>
          <t>TÉRREO - LOJA 7</t>
        </is>
      </c>
      <c r="F1253" s="126" t="n">
        <v>46808</v>
      </c>
      <c r="G1253" s="126" t="n">
        <v>46821</v>
      </c>
      <c r="H1253" s="126" t="n">
        <v>46289</v>
      </c>
      <c r="I1253" s="4" t="n">
        <v>0</v>
      </c>
      <c r="J1253" s="4" t="n">
        <v>0</v>
      </c>
      <c r="K1253" s="4" t="n">
        <v>0</v>
      </c>
      <c r="M1253" s="2">
        <f>IF(C1253="","",IFERROR(INDEX($S$5:$S$304,MATCH(C1253,$R$5:$R$304,0))&amp;"","?"))</f>
        <v/>
      </c>
      <c r="N1253" s="2">
        <f>IF(E1253="","",IF(ISNUMBER(SEARCH("SUBSOLO",E1253)),IFERROR(-VALUE(LEFT(E1253,FIND("º",SUBSTITUTE(E1253,"°","º"))-1)),-1),IF(LEFT(E1253,6)="TÉRREO",0,IFERROR(VALUE(LEFT(E1253,FIND("º",SUBSTITUTE(E1253,"°","º"))-1)),""))))</f>
        <v/>
      </c>
      <c r="O1253" s="2">
        <f>IF(OR(F1253="",G1253=""),"",IF(G1253&lt;='RETRATO 2027'!$K$5,"CONCLUÍDA",IF(F1253&lt;='RETRATO 2027'!$K$5,"EM ANDAMENTO","A INICIAR")))</f>
        <v/>
      </c>
    </row>
    <row r="1254">
      <c r="B1254" s="4" t="n">
        <v>30206130</v>
      </c>
      <c r="C1254" s="4" t="inlineStr">
        <is>
          <t>DISTRIBUIÇÃO HIDROSSANITÁRIA</t>
        </is>
      </c>
      <c r="D1254" s="4" t="inlineStr">
        <is>
          <t>-</t>
        </is>
      </c>
      <c r="E1254" s="4" t="inlineStr">
        <is>
          <t>6º PAV (PILOTIS) - ACADEMIA</t>
        </is>
      </c>
      <c r="F1254" s="126" t="n">
        <v>46811</v>
      </c>
      <c r="G1254" s="126" t="n">
        <v>46822</v>
      </c>
      <c r="H1254" s="126" t="n">
        <v>46289</v>
      </c>
      <c r="I1254" s="4" t="n">
        <v>0</v>
      </c>
      <c r="J1254" s="4" t="n">
        <v>0</v>
      </c>
      <c r="K1254" s="4" t="n">
        <v>0</v>
      </c>
      <c r="M1254" s="2">
        <f>IF(C1254="","",IFERROR(INDEX($S$5:$S$304,MATCH(C1254,$R$5:$R$304,0))&amp;"","?"))</f>
        <v/>
      </c>
      <c r="N1254" s="2">
        <f>IF(E1254="","",IF(ISNUMBER(SEARCH("SUBSOLO",E1254)),IFERROR(-VALUE(LEFT(E1254,FIND("º",SUBSTITUTE(E1254,"°","º"))-1)),-1),IF(LEFT(E1254,6)="TÉRREO",0,IFERROR(VALUE(LEFT(E1254,FIND("º",SUBSTITUTE(E1254,"°","º"))-1)),""))))</f>
        <v/>
      </c>
      <c r="O1254" s="2">
        <f>IF(OR(F1254="",G1254=""),"",IF(G1254&lt;='RETRATO 2027'!$K$5,"CONCLUÍDA",IF(F1254&lt;='RETRATO 2027'!$K$5,"EM ANDAMENTO","A INICIAR")))</f>
        <v/>
      </c>
    </row>
    <row r="1255">
      <c r="B1255" s="4" t="n">
        <v>30206101</v>
      </c>
      <c r="C1255" s="4" t="inlineStr">
        <is>
          <t>DISTRIBUIÇÃO ELÉTRICA / QUADRO</t>
        </is>
      </c>
      <c r="D1255" s="4" t="inlineStr">
        <is>
          <t>-</t>
        </is>
      </c>
      <c r="E1255" s="4" t="inlineStr">
        <is>
          <t>6º PAV (PILOTIS) - ACADEMIA</t>
        </is>
      </c>
      <c r="F1255" s="126" t="n">
        <v>46811</v>
      </c>
      <c r="G1255" s="126" t="n">
        <v>46822</v>
      </c>
      <c r="H1255" s="126" t="n">
        <v>46289</v>
      </c>
      <c r="I1255" s="4" t="n">
        <v>0</v>
      </c>
      <c r="J1255" s="4" t="n">
        <v>0</v>
      </c>
      <c r="K1255" s="4" t="n">
        <v>0</v>
      </c>
      <c r="M1255" s="2">
        <f>IF(C1255="","",IFERROR(INDEX($S$5:$S$304,MATCH(C1255,$R$5:$R$304,0))&amp;"","?"))</f>
        <v/>
      </c>
      <c r="N1255" s="2">
        <f>IF(E1255="","",IF(ISNUMBER(SEARCH("SUBSOLO",E1255)),IFERROR(-VALUE(LEFT(E1255,FIND("º",SUBSTITUTE(E1255,"°","º"))-1)),-1),IF(LEFT(E1255,6)="TÉRREO",0,IFERROR(VALUE(LEFT(E1255,FIND("º",SUBSTITUTE(E1255,"°","º"))-1)),""))))</f>
        <v/>
      </c>
      <c r="O1255" s="2">
        <f>IF(OR(F1255="",G1255=""),"",IF(G1255&lt;='RETRATO 2027'!$K$5,"CONCLUÍDA",IF(F1255&lt;='RETRATO 2027'!$K$5,"EM ANDAMENTO","A INICIAR")))</f>
        <v/>
      </c>
    </row>
    <row r="1256">
      <c r="B1256" s="4" t="n">
        <v>30206081</v>
      </c>
      <c r="C1256" s="4" t="inlineStr">
        <is>
          <t>TALISCAMENTO</t>
        </is>
      </c>
      <c r="D1256" s="4" t="inlineStr">
        <is>
          <t>-</t>
        </is>
      </c>
      <c r="E1256" s="4" t="inlineStr">
        <is>
          <t>6º PAV (PILOTIS) - SAUNA + DUCHA</t>
        </is>
      </c>
      <c r="F1256" s="126" t="n">
        <v>46811</v>
      </c>
      <c r="G1256" s="126" t="n">
        <v>46822</v>
      </c>
      <c r="H1256" s="126" t="n">
        <v>46289</v>
      </c>
      <c r="I1256" s="4" t="n">
        <v>0</v>
      </c>
      <c r="J1256" s="4" t="n">
        <v>0</v>
      </c>
      <c r="K1256" s="4" t="n">
        <v>0</v>
      </c>
      <c r="M1256" s="2">
        <f>IF(C1256="","",IFERROR(INDEX($S$5:$S$304,MATCH(C1256,$R$5:$R$304,0))&amp;"","?"))</f>
        <v/>
      </c>
      <c r="N1256" s="2">
        <f>IF(E1256="","",IF(ISNUMBER(SEARCH("SUBSOLO",E1256)),IFERROR(-VALUE(LEFT(E1256,FIND("º",SUBSTITUTE(E1256,"°","º"))-1)),-1),IF(LEFT(E1256,6)="TÉRREO",0,IFERROR(VALUE(LEFT(E1256,FIND("º",SUBSTITUTE(E1256,"°","º"))-1)),""))))</f>
        <v/>
      </c>
      <c r="O1256" s="2">
        <f>IF(OR(F1256="",G1256=""),"",IF(G1256&lt;='RETRATO 2027'!$K$5,"CONCLUÍDA",IF(F1256&lt;='RETRATO 2027'!$K$5,"EM ANDAMENTO","A INICIAR")))</f>
        <v/>
      </c>
    </row>
    <row r="1257">
      <c r="B1257" s="4" t="n">
        <v>30205973</v>
      </c>
      <c r="C1257" s="4" t="inlineStr">
        <is>
          <t>PRUMADA HIDROSSANITÁRIA</t>
        </is>
      </c>
      <c r="D1257" s="4" t="inlineStr">
        <is>
          <t>-</t>
        </is>
      </c>
      <c r="E1257" s="4" t="inlineStr">
        <is>
          <t>6º PAV (PILOTIS) - LOUNGE + SALÃO + COZINHA + GOURMET + ESPAÇO KIDS</t>
        </is>
      </c>
      <c r="F1257" s="126" t="n">
        <v>46811</v>
      </c>
      <c r="G1257" s="126" t="n">
        <v>46822</v>
      </c>
      <c r="H1257" s="126" t="n">
        <v>46289</v>
      </c>
      <c r="I1257" s="4" t="n">
        <v>0</v>
      </c>
      <c r="J1257" s="4" t="n">
        <v>0</v>
      </c>
      <c r="K1257" s="4" t="n">
        <v>0</v>
      </c>
      <c r="M1257" s="2">
        <f>IF(C1257="","",IFERROR(INDEX($S$5:$S$304,MATCH(C1257,$R$5:$R$304,0))&amp;"","?"))</f>
        <v/>
      </c>
      <c r="N1257" s="2">
        <f>IF(E1257="","",IF(ISNUMBER(SEARCH("SUBSOLO",E1257)),IFERROR(-VALUE(LEFT(E1257,FIND("º",SUBSTITUTE(E1257,"°","º"))-1)),-1),IF(LEFT(E1257,6)="TÉRREO",0,IFERROR(VALUE(LEFT(E1257,FIND("º",SUBSTITUTE(E1257,"°","º"))-1)),""))))</f>
        <v/>
      </c>
      <c r="O1257" s="2">
        <f>IF(OR(F1257="",G1257=""),"",IF(G1257&lt;='RETRATO 2027'!$K$5,"CONCLUÍDA",IF(F1257&lt;='RETRATO 2027'!$K$5,"EM ANDAMENTO","A INICIAR")))</f>
        <v/>
      </c>
    </row>
    <row r="1258">
      <c r="B1258" s="4" t="n">
        <v>29981531</v>
      </c>
      <c r="C1258" s="4" t="inlineStr">
        <is>
          <t>LOUÇAS</t>
        </is>
      </c>
      <c r="D1258" s="4" t="inlineStr">
        <is>
          <t>-</t>
        </is>
      </c>
      <c r="E1258" s="4" t="inlineStr">
        <is>
          <t>7º PAV.</t>
        </is>
      </c>
      <c r="F1258" s="126" t="n">
        <v>46813</v>
      </c>
      <c r="G1258" s="126" t="n">
        <v>46825</v>
      </c>
      <c r="H1258" s="126" t="n">
        <v>46289</v>
      </c>
      <c r="I1258" s="4" t="n">
        <v>0</v>
      </c>
      <c r="J1258" s="4" t="n">
        <v>0</v>
      </c>
      <c r="K1258" s="4" t="n">
        <v>0</v>
      </c>
      <c r="M1258" s="2">
        <f>IF(C1258="","",IFERROR(INDEX($S$5:$S$304,MATCH(C1258,$R$5:$R$304,0))&amp;"","?"))</f>
        <v/>
      </c>
      <c r="N1258" s="2">
        <f>IF(E1258="","",IF(ISNUMBER(SEARCH("SUBSOLO",E1258)),IFERROR(-VALUE(LEFT(E1258,FIND("º",SUBSTITUTE(E1258,"°","º"))-1)),-1),IF(LEFT(E1258,6)="TÉRREO",0,IFERROR(VALUE(LEFT(E1258,FIND("º",SUBSTITUTE(E1258,"°","º"))-1)),""))))</f>
        <v/>
      </c>
      <c r="O1258" s="2">
        <f>IF(OR(F1258="",G1258=""),"",IF(G1258&lt;='RETRATO 2027'!$K$5,"CONCLUÍDA",IF(F1258&lt;='RETRATO 2027'!$K$5,"EM ANDAMENTO","A INICIAR")))</f>
        <v/>
      </c>
    </row>
    <row r="1259">
      <c r="B1259" s="4" t="n">
        <v>29981536</v>
      </c>
      <c r="C1259" s="4" t="inlineStr">
        <is>
          <t>METAIS</t>
        </is>
      </c>
      <c r="D1259" s="4" t="inlineStr">
        <is>
          <t>-</t>
        </is>
      </c>
      <c r="E1259" s="4" t="inlineStr">
        <is>
          <t>7º PAV.</t>
        </is>
      </c>
      <c r="F1259" s="126" t="n">
        <v>46813</v>
      </c>
      <c r="G1259" s="126" t="n">
        <v>46825</v>
      </c>
      <c r="H1259" s="126" t="n">
        <v>46289</v>
      </c>
      <c r="I1259" s="4" t="n">
        <v>0</v>
      </c>
      <c r="J1259" s="4" t="n">
        <v>0</v>
      </c>
      <c r="K1259" s="4" t="n">
        <v>0</v>
      </c>
      <c r="M1259" s="2">
        <f>IF(C1259="","",IFERROR(INDEX($S$5:$S$304,MATCH(C1259,$R$5:$R$304,0))&amp;"","?"))</f>
        <v/>
      </c>
      <c r="N1259" s="2">
        <f>IF(E1259="","",IF(ISNUMBER(SEARCH("SUBSOLO",E1259)),IFERROR(-VALUE(LEFT(E1259,FIND("º",SUBSTITUTE(E1259,"°","º"))-1)),-1),IF(LEFT(E1259,6)="TÉRREO",0,IFERROR(VALUE(LEFT(E1259,FIND("º",SUBSTITUTE(E1259,"°","º"))-1)),""))))</f>
        <v/>
      </c>
      <c r="O1259" s="2">
        <f>IF(OR(F1259="",G1259=""),"",IF(G1259&lt;='RETRATO 2027'!$K$5,"CONCLUÍDA",IF(F1259&lt;='RETRATO 2027'!$K$5,"EM ANDAMENTO","A INICIAR")))</f>
        <v/>
      </c>
    </row>
    <row r="1260">
      <c r="B1260" s="4" t="n">
        <v>29981535</v>
      </c>
      <c r="C1260" s="4" t="inlineStr">
        <is>
          <t>DISJUNTORES / MIOLOS</t>
        </is>
      </c>
      <c r="D1260" s="4" t="inlineStr">
        <is>
          <t>-</t>
        </is>
      </c>
      <c r="E1260" s="4" t="inlineStr">
        <is>
          <t>7º PAV.</t>
        </is>
      </c>
      <c r="F1260" s="126" t="n">
        <v>46813</v>
      </c>
      <c r="G1260" s="126" t="n">
        <v>46825</v>
      </c>
      <c r="H1260" s="126" t="n">
        <v>46289</v>
      </c>
      <c r="I1260" s="4" t="n">
        <v>0</v>
      </c>
      <c r="J1260" s="4" t="n">
        <v>0</v>
      </c>
      <c r="K1260" s="4" t="n">
        <v>0</v>
      </c>
      <c r="M1260" s="2">
        <f>IF(C1260="","",IFERROR(INDEX($S$5:$S$304,MATCH(C1260,$R$5:$R$304,0))&amp;"","?"))</f>
        <v/>
      </c>
      <c r="N1260" s="2">
        <f>IF(E1260="","",IF(ISNUMBER(SEARCH("SUBSOLO",E1260)),IFERROR(-VALUE(LEFT(E1260,FIND("º",SUBSTITUTE(E1260,"°","º"))-1)),-1),IF(LEFT(E1260,6)="TÉRREO",0,IFERROR(VALUE(LEFT(E1260,FIND("º",SUBSTITUTE(E1260,"°","º"))-1)),""))))</f>
        <v/>
      </c>
      <c r="O1260" s="2">
        <f>IF(OR(F1260="",G1260=""),"",IF(G1260&lt;='RETRATO 2027'!$K$5,"CONCLUÍDA",IF(F1260&lt;='RETRATO 2027'!$K$5,"EM ANDAMENTO","A INICIAR")))</f>
        <v/>
      </c>
    </row>
    <row r="1261">
      <c r="B1261" s="4" t="n">
        <v>29981534</v>
      </c>
      <c r="C1261" s="4" t="inlineStr">
        <is>
          <t>COMUNICAÇÃO E ALARME</t>
        </is>
      </c>
      <c r="D1261" s="4" t="inlineStr">
        <is>
          <t>-</t>
        </is>
      </c>
      <c r="E1261" s="4" t="inlineStr">
        <is>
          <t>7º PAV.</t>
        </is>
      </c>
      <c r="F1261" s="126" t="n">
        <v>46813</v>
      </c>
      <c r="G1261" s="126" t="n">
        <v>46825</v>
      </c>
      <c r="H1261" s="126" t="n">
        <v>46289</v>
      </c>
      <c r="I1261" s="4" t="n">
        <v>0</v>
      </c>
      <c r="J1261" s="4" t="n">
        <v>0</v>
      </c>
      <c r="K1261" s="4" t="n">
        <v>0</v>
      </c>
      <c r="M1261" s="2">
        <f>IF(C1261="","",IFERROR(INDEX($S$5:$S$304,MATCH(C1261,$R$5:$R$304,0))&amp;"","?"))</f>
        <v/>
      </c>
      <c r="N1261" s="2">
        <f>IF(E1261="","",IF(ISNUMBER(SEARCH("SUBSOLO",E1261)),IFERROR(-VALUE(LEFT(E1261,FIND("º",SUBSTITUTE(E1261,"°","º"))-1)),-1),IF(LEFT(E1261,6)="TÉRREO",0,IFERROR(VALUE(LEFT(E1261,FIND("º",SUBSTITUTE(E1261,"°","º"))-1)),""))))</f>
        <v/>
      </c>
      <c r="O1261" s="2">
        <f>IF(OR(F1261="",G1261=""),"",IF(G1261&lt;='RETRATO 2027'!$K$5,"CONCLUÍDA",IF(F1261&lt;='RETRATO 2027'!$K$5,"EM ANDAMENTO","A INICIAR")))</f>
        <v/>
      </c>
    </row>
    <row r="1262">
      <c r="B1262" s="4" t="n">
        <v>29981493</v>
      </c>
      <c r="C1262" s="4" t="inlineStr">
        <is>
          <t>RODAPÉ MADEIRA / PVC</t>
        </is>
      </c>
      <c r="D1262" s="4" t="inlineStr">
        <is>
          <t>-</t>
        </is>
      </c>
      <c r="E1262" s="4" t="inlineStr">
        <is>
          <t>8º PAV.</t>
        </is>
      </c>
      <c r="F1262" s="126" t="n">
        <v>46813</v>
      </c>
      <c r="G1262" s="126" t="n">
        <v>46825</v>
      </c>
      <c r="H1262" s="126" t="n">
        <v>46289</v>
      </c>
      <c r="I1262" s="4" t="n">
        <v>0</v>
      </c>
      <c r="J1262" s="4" t="n">
        <v>0</v>
      </c>
      <c r="K1262" s="4" t="n">
        <v>0</v>
      </c>
      <c r="M1262" s="2">
        <f>IF(C1262="","",IFERROR(INDEX($S$5:$S$304,MATCH(C1262,$R$5:$R$304,0))&amp;"","?"))</f>
        <v/>
      </c>
      <c r="N1262" s="2">
        <f>IF(E1262="","",IF(ISNUMBER(SEARCH("SUBSOLO",E1262)),IFERROR(-VALUE(LEFT(E1262,FIND("º",SUBSTITUTE(E1262,"°","º"))-1)),-1),IF(LEFT(E1262,6)="TÉRREO",0,IFERROR(VALUE(LEFT(E1262,FIND("º",SUBSTITUTE(E1262,"°","º"))-1)),""))))</f>
        <v/>
      </c>
      <c r="O1262" s="2">
        <f>IF(OR(F1262="",G1262=""),"",IF(G1262&lt;='RETRATO 2027'!$K$5,"CONCLUÍDA",IF(F1262&lt;='RETRATO 2027'!$K$5,"EM ANDAMENTO","A INICIAR")))</f>
        <v/>
      </c>
    </row>
    <row r="1263">
      <c r="B1263" s="4" t="n">
        <v>29981455</v>
      </c>
      <c r="C1263" s="4" t="inlineStr">
        <is>
          <t>ESQUADRIA MADEIRA</t>
        </is>
      </c>
      <c r="D1263" s="4" t="inlineStr">
        <is>
          <t>-</t>
        </is>
      </c>
      <c r="E1263" s="4" t="inlineStr">
        <is>
          <t>9º PAV.</t>
        </is>
      </c>
      <c r="F1263" s="126" t="n">
        <v>46813</v>
      </c>
      <c r="G1263" s="126" t="n">
        <v>46825</v>
      </c>
      <c r="H1263" s="126" t="n">
        <v>46289</v>
      </c>
      <c r="I1263" s="4" t="n">
        <v>0</v>
      </c>
      <c r="J1263" s="4" t="n">
        <v>0</v>
      </c>
      <c r="K1263" s="4" t="n">
        <v>0</v>
      </c>
      <c r="M1263" s="2">
        <f>IF(C1263="","",IFERROR(INDEX($S$5:$S$304,MATCH(C1263,$R$5:$R$304,0))&amp;"","?"))</f>
        <v/>
      </c>
      <c r="N1263" s="2">
        <f>IF(E1263="","",IF(ISNUMBER(SEARCH("SUBSOLO",E1263)),IFERROR(-VALUE(LEFT(E1263,FIND("º",SUBSTITUTE(E1263,"°","º"))-1)),-1),IF(LEFT(E1263,6)="TÉRREO",0,IFERROR(VALUE(LEFT(E1263,FIND("º",SUBSTITUTE(E1263,"°","º"))-1)),""))))</f>
        <v/>
      </c>
      <c r="O1263" s="2">
        <f>IF(OR(F1263="",G1263=""),"",IF(G1263&lt;='RETRATO 2027'!$K$5,"CONCLUÍDA",IF(F1263&lt;='RETRATO 2027'!$K$5,"EM ANDAMENTO","A INICIAR")))</f>
        <v/>
      </c>
    </row>
    <row r="1264">
      <c r="B1264" s="4" t="n">
        <v>29981417</v>
      </c>
      <c r="C1264" s="4" t="inlineStr">
        <is>
          <t>PISO VINÍLICO / LAMINADO</t>
        </is>
      </c>
      <c r="D1264" s="4" t="inlineStr">
        <is>
          <t>-</t>
        </is>
      </c>
      <c r="E1264" s="4" t="inlineStr">
        <is>
          <t>10º PAV.</t>
        </is>
      </c>
      <c r="F1264" s="126" t="n">
        <v>46813</v>
      </c>
      <c r="G1264" s="126" t="n">
        <v>46825</v>
      </c>
      <c r="H1264" s="126" t="n">
        <v>46289</v>
      </c>
      <c r="I1264" s="4" t="n">
        <v>0</v>
      </c>
      <c r="J1264" s="4" t="n">
        <v>0</v>
      </c>
      <c r="K1264" s="4" t="n">
        <v>0</v>
      </c>
      <c r="M1264" s="2">
        <f>IF(C1264="","",IFERROR(INDEX($S$5:$S$304,MATCH(C1264,$R$5:$R$304,0))&amp;"","?"))</f>
        <v/>
      </c>
      <c r="N1264" s="2">
        <f>IF(E1264="","",IF(ISNUMBER(SEARCH("SUBSOLO",E1264)),IFERROR(-VALUE(LEFT(E1264,FIND("º",SUBSTITUTE(E1264,"°","º"))-1)),-1),IF(LEFT(E1264,6)="TÉRREO",0,IFERROR(VALUE(LEFT(E1264,FIND("º",SUBSTITUTE(E1264,"°","º"))-1)),""))))</f>
        <v/>
      </c>
      <c r="O1264" s="2">
        <f>IF(OR(F1264="",G1264=""),"",IF(G1264&lt;='RETRATO 2027'!$K$5,"CONCLUÍDA",IF(F1264&lt;='RETRATO 2027'!$K$5,"EM ANDAMENTO","A INICIAR")))</f>
        <v/>
      </c>
    </row>
    <row r="1265">
      <c r="B1265" s="4" t="n">
        <v>29981379</v>
      </c>
      <c r="C1265" s="4" t="inlineStr">
        <is>
          <t>PINTURA 1º DEMÃO</t>
        </is>
      </c>
      <c r="D1265" s="4" t="inlineStr">
        <is>
          <t>-</t>
        </is>
      </c>
      <c r="E1265" s="4" t="inlineStr">
        <is>
          <t>11º PAV.</t>
        </is>
      </c>
      <c r="F1265" s="126" t="n">
        <v>46813</v>
      </c>
      <c r="G1265" s="126" t="n">
        <v>46825</v>
      </c>
      <c r="H1265" s="126" t="n">
        <v>46289</v>
      </c>
      <c r="I1265" s="4" t="n">
        <v>0</v>
      </c>
      <c r="J1265" s="4" t="n">
        <v>0</v>
      </c>
      <c r="K1265" s="4" t="n">
        <v>0</v>
      </c>
      <c r="M1265" s="2">
        <f>IF(C1265="","",IFERROR(INDEX($S$5:$S$304,MATCH(C1265,$R$5:$R$304,0))&amp;"","?"))</f>
        <v/>
      </c>
      <c r="N1265" s="2">
        <f>IF(E1265="","",IF(ISNUMBER(SEARCH("SUBSOLO",E1265)),IFERROR(-VALUE(LEFT(E1265,FIND("º",SUBSTITUTE(E1265,"°","º"))-1)),-1),IF(LEFT(E1265,6)="TÉRREO",0,IFERROR(VALUE(LEFT(E1265,FIND("º",SUBSTITUTE(E1265,"°","º"))-1)),""))))</f>
        <v/>
      </c>
      <c r="O1265" s="2">
        <f>IF(OR(F1265="",G1265=""),"",IF(G1265&lt;='RETRATO 2027'!$K$5,"CONCLUÍDA",IF(F1265&lt;='RETRATO 2027'!$K$5,"EM ANDAMENTO","A INICIAR")))</f>
        <v/>
      </c>
    </row>
    <row r="1266">
      <c r="B1266" s="4" t="n">
        <v>29981368</v>
      </c>
      <c r="C1266" s="4" t="inlineStr">
        <is>
          <t>MASSA CORRIDA</t>
        </is>
      </c>
      <c r="D1266" s="4" t="inlineStr">
        <is>
          <t>-</t>
        </is>
      </c>
      <c r="E1266" s="4" t="inlineStr">
        <is>
          <t>12º PAV.</t>
        </is>
      </c>
      <c r="F1266" s="126" t="n">
        <v>46813</v>
      </c>
      <c r="G1266" s="126" t="n">
        <v>46825</v>
      </c>
      <c r="H1266" s="126" t="n">
        <v>46289</v>
      </c>
      <c r="I1266" s="4" t="n">
        <v>0</v>
      </c>
      <c r="J1266" s="4" t="n">
        <v>0</v>
      </c>
      <c r="K1266" s="4" t="n">
        <v>0</v>
      </c>
      <c r="M1266" s="2">
        <f>IF(C1266="","",IFERROR(INDEX($S$5:$S$304,MATCH(C1266,$R$5:$R$304,0))&amp;"","?"))</f>
        <v/>
      </c>
      <c r="N1266" s="2">
        <f>IF(E1266="","",IF(ISNUMBER(SEARCH("SUBSOLO",E1266)),IFERROR(-VALUE(LEFT(E1266,FIND("º",SUBSTITUTE(E1266,"°","º"))-1)),-1),IF(LEFT(E1266,6)="TÉRREO",0,IFERROR(VALUE(LEFT(E1266,FIND("º",SUBSTITUTE(E1266,"°","º"))-1)),""))))</f>
        <v/>
      </c>
      <c r="O1266" s="2">
        <f>IF(OR(F1266="",G1266=""),"",IF(G1266&lt;='RETRATO 2027'!$K$5,"CONCLUÍDA",IF(F1266&lt;='RETRATO 2027'!$K$5,"EM ANDAMENTO","A INICIAR")))</f>
        <v/>
      </c>
    </row>
    <row r="1267">
      <c r="B1267" s="4" t="n">
        <v>33898094</v>
      </c>
      <c r="C1267" s="4" t="inlineStr">
        <is>
          <t>ESQUADRIA DE ALUMÍNIO</t>
        </is>
      </c>
      <c r="D1267" s="4" t="inlineStr">
        <is>
          <t>-</t>
        </is>
      </c>
      <c r="E1267" s="4" t="inlineStr">
        <is>
          <t>13º PAV.</t>
        </is>
      </c>
      <c r="F1267" s="126" t="n">
        <v>46813</v>
      </c>
      <c r="G1267" s="126" t="n">
        <v>46825</v>
      </c>
      <c r="H1267" s="126" t="n">
        <v>46289</v>
      </c>
      <c r="I1267" s="4" t="n">
        <v>0</v>
      </c>
      <c r="J1267" s="4" t="n">
        <v>0</v>
      </c>
      <c r="K1267" s="4" t="n">
        <v>0</v>
      </c>
      <c r="M1267" s="2">
        <f>IF(C1267="","",IFERROR(INDEX($S$5:$S$304,MATCH(C1267,$R$5:$R$304,0))&amp;"","?"))</f>
        <v/>
      </c>
      <c r="N1267" s="2">
        <f>IF(E1267="","",IF(ISNUMBER(SEARCH("SUBSOLO",E1267)),IFERROR(-VALUE(LEFT(E1267,FIND("º",SUBSTITUTE(E1267,"°","º"))-1)),-1),IF(LEFT(E1267,6)="TÉRREO",0,IFERROR(VALUE(LEFT(E1267,FIND("º",SUBSTITUTE(E1267,"°","º"))-1)),""))))</f>
        <v/>
      </c>
      <c r="O1267" s="2">
        <f>IF(OR(F1267="",G1267=""),"",IF(G1267&lt;='RETRATO 2027'!$K$5,"CONCLUÍDA",IF(F1267&lt;='RETRATO 2027'!$K$5,"EM ANDAMENTO","A INICIAR")))</f>
        <v/>
      </c>
    </row>
    <row r="1268">
      <c r="B1268" s="4" t="n">
        <v>30205729</v>
      </c>
      <c r="C1268" s="4" t="inlineStr">
        <is>
          <t>PRUMADA ELÉTRICA - CABOS</t>
        </is>
      </c>
      <c r="D1268" s="4" t="inlineStr">
        <is>
          <t>-</t>
        </is>
      </c>
      <c r="E1268" s="4" t="inlineStr">
        <is>
          <t>SUBSOLO</t>
        </is>
      </c>
      <c r="F1268" s="126" t="n">
        <v>46814</v>
      </c>
      <c r="G1268" s="126" t="n">
        <v>46843</v>
      </c>
      <c r="H1268" s="126" t="n">
        <v>46289</v>
      </c>
      <c r="I1268" s="4" t="n">
        <v>0</v>
      </c>
      <c r="J1268" s="4" t="n">
        <v>0</v>
      </c>
      <c r="K1268" s="4" t="n">
        <v>0</v>
      </c>
      <c r="M1268" s="2">
        <f>IF(C1268="","",IFERROR(INDEX($S$5:$S$304,MATCH(C1268,$R$5:$R$304,0))&amp;"","?"))</f>
        <v/>
      </c>
      <c r="N1268" s="2">
        <f>IF(E1268="","",IF(ISNUMBER(SEARCH("SUBSOLO",E1268)),IFERROR(-VALUE(LEFT(E1268,FIND("º",SUBSTITUTE(E1268,"°","º"))-1)),-1),IF(LEFT(E1268,6)="TÉRREO",0,IFERROR(VALUE(LEFT(E1268,FIND("º",SUBSTITUTE(E1268,"°","º"))-1)),""))))</f>
        <v/>
      </c>
      <c r="O1268" s="2">
        <f>IF(OR(F1268="",G1268=""),"",IF(G1268&lt;='RETRATO 2027'!$K$5,"CONCLUÍDA",IF(F1268&lt;='RETRATO 2027'!$K$5,"EM ANDAMENTO","A INICIAR")))</f>
        <v/>
      </c>
    </row>
    <row r="1269">
      <c r="B1269" s="4" t="n">
        <v>29981181</v>
      </c>
      <c r="C1269" s="4" t="inlineStr">
        <is>
          <t>FORRO</t>
        </is>
      </c>
      <c r="D1269" s="4" t="inlineStr">
        <is>
          <t>-</t>
        </is>
      </c>
      <c r="E1269" s="4" t="inlineStr">
        <is>
          <t>17º PAV.</t>
        </is>
      </c>
      <c r="F1269" s="126" t="n">
        <v>46814</v>
      </c>
      <c r="G1269" s="126" t="n">
        <v>46826</v>
      </c>
      <c r="H1269" s="126" t="n">
        <v>46289</v>
      </c>
      <c r="I1269" s="4" t="n">
        <v>0</v>
      </c>
      <c r="J1269" s="4" t="n">
        <v>0</v>
      </c>
      <c r="K1269" s="4" t="n">
        <v>0</v>
      </c>
      <c r="M1269" s="2">
        <f>IF(C1269="","",IFERROR(INDEX($S$5:$S$304,MATCH(C1269,$R$5:$R$304,0))&amp;"","?"))</f>
        <v/>
      </c>
      <c r="N1269" s="2">
        <f>IF(E1269="","",IF(ISNUMBER(SEARCH("SUBSOLO",E1269)),IFERROR(-VALUE(LEFT(E1269,FIND("º",SUBSTITUTE(E1269,"°","º"))-1)),-1),IF(LEFT(E1269,6)="TÉRREO",0,IFERROR(VALUE(LEFT(E1269,FIND("º",SUBSTITUTE(E1269,"°","º"))-1)),""))))</f>
        <v/>
      </c>
      <c r="O1269" s="2">
        <f>IF(OR(F1269="",G1269=""),"",IF(G1269&lt;='RETRATO 2027'!$K$5,"CONCLUÍDA",IF(F1269&lt;='RETRATO 2027'!$K$5,"EM ANDAMENTO","A INICIAR")))</f>
        <v/>
      </c>
    </row>
    <row r="1270">
      <c r="B1270" s="4" t="n">
        <v>29981142</v>
      </c>
      <c r="C1270" s="4" t="inlineStr">
        <is>
          <t>FIAÇÃO ELÉTRICA</t>
        </is>
      </c>
      <c r="D1270" s="4" t="inlineStr">
        <is>
          <t>-</t>
        </is>
      </c>
      <c r="E1270" s="4" t="inlineStr">
        <is>
          <t>18º PAV.</t>
        </is>
      </c>
      <c r="F1270" s="126" t="n">
        <v>46814</v>
      </c>
      <c r="G1270" s="126" t="n">
        <v>46826</v>
      </c>
      <c r="H1270" s="126" t="n">
        <v>46289</v>
      </c>
      <c r="I1270" s="4" t="n">
        <v>0</v>
      </c>
      <c r="J1270" s="4" t="n">
        <v>0</v>
      </c>
      <c r="K1270" s="4" t="n">
        <v>0</v>
      </c>
      <c r="M1270" s="2">
        <f>IF(C1270="","",IFERROR(INDEX($S$5:$S$304,MATCH(C1270,$R$5:$R$304,0))&amp;"","?"))</f>
        <v/>
      </c>
      <c r="N1270" s="2">
        <f>IF(E1270="","",IF(ISNUMBER(SEARCH("SUBSOLO",E1270)),IFERROR(-VALUE(LEFT(E1270,FIND("º",SUBSTITUTE(E1270,"°","º"))-1)),-1),IF(LEFT(E1270,6)="TÉRREO",0,IFERROR(VALUE(LEFT(E1270,FIND("º",SUBSTITUTE(E1270,"°","º"))-1)),""))))</f>
        <v/>
      </c>
      <c r="O1270" s="2">
        <f>IF(OR(F1270="",G1270=""),"",IF(G1270&lt;='RETRATO 2027'!$K$5,"CONCLUÍDA",IF(F1270&lt;='RETRATO 2027'!$K$5,"EM ANDAMENTO","A INICIAR")))</f>
        <v/>
      </c>
    </row>
    <row r="1271">
      <c r="B1271" s="4" t="n">
        <v>29981147</v>
      </c>
      <c r="C1271" s="4" t="inlineStr">
        <is>
          <t>PRUMADA ELÉTRICA - CABOS</t>
        </is>
      </c>
      <c r="D1271" s="4" t="inlineStr">
        <is>
          <t>-</t>
        </is>
      </c>
      <c r="E1271" s="4" t="inlineStr">
        <is>
          <t>18º PAV.</t>
        </is>
      </c>
      <c r="F1271" s="126" t="n">
        <v>46814</v>
      </c>
      <c r="G1271" s="126" t="n">
        <v>46826</v>
      </c>
      <c r="H1271" s="126" t="n">
        <v>46289</v>
      </c>
      <c r="I1271" s="4" t="n">
        <v>0</v>
      </c>
      <c r="J1271" s="4" t="n">
        <v>0</v>
      </c>
      <c r="K1271" s="4" t="n">
        <v>0</v>
      </c>
      <c r="M1271" s="2">
        <f>IF(C1271="","",IFERROR(INDEX($S$5:$S$304,MATCH(C1271,$R$5:$R$304,0))&amp;"","?"))</f>
        <v/>
      </c>
      <c r="N1271" s="2">
        <f>IF(E1271="","",IF(ISNUMBER(SEARCH("SUBSOLO",E1271)),IFERROR(-VALUE(LEFT(E1271,FIND("º",SUBSTITUTE(E1271,"°","º"))-1)),-1),IF(LEFT(E1271,6)="TÉRREO",0,IFERROR(VALUE(LEFT(E1271,FIND("º",SUBSTITUTE(E1271,"°","º"))-1)),""))))</f>
        <v/>
      </c>
      <c r="O1271" s="2">
        <f>IF(OR(F1271="",G1271=""),"",IF(G1271&lt;='RETRATO 2027'!$K$5,"CONCLUÍDA",IF(F1271&lt;='RETRATO 2027'!$K$5,"EM ANDAMENTO","A INICIAR")))</f>
        <v/>
      </c>
    </row>
    <row r="1272">
      <c r="B1272" s="4" t="n">
        <v>30214080</v>
      </c>
      <c r="C1272" s="4" t="inlineStr">
        <is>
          <t>FIAÇÃO TELECOM/DADOS</t>
        </is>
      </c>
      <c r="D1272" s="4" t="inlineStr">
        <is>
          <t>-</t>
        </is>
      </c>
      <c r="E1272" s="4" t="inlineStr">
        <is>
          <t>18º PAV.</t>
        </is>
      </c>
      <c r="F1272" s="126" t="n">
        <v>46814</v>
      </c>
      <c r="G1272" s="126" t="n">
        <v>46827</v>
      </c>
      <c r="H1272" s="126" t="n">
        <v>46289</v>
      </c>
      <c r="I1272" s="4" t="n">
        <v>0</v>
      </c>
      <c r="J1272" s="4" t="n">
        <v>0</v>
      </c>
      <c r="K1272" s="4" t="n">
        <v>0</v>
      </c>
      <c r="M1272" s="2">
        <f>IF(C1272="","",IFERROR(INDEX($S$5:$S$304,MATCH(C1272,$R$5:$R$304,0))&amp;"","?"))</f>
        <v/>
      </c>
      <c r="N1272" s="2">
        <f>IF(E1272="","",IF(ISNUMBER(SEARCH("SUBSOLO",E1272)),IFERROR(-VALUE(LEFT(E1272,FIND("º",SUBSTITUTE(E1272,"°","º"))-1)),-1),IF(LEFT(E1272,6)="TÉRREO",0,IFERROR(VALUE(LEFT(E1272,FIND("º",SUBSTITUTE(E1272,"°","º"))-1)),""))))</f>
        <v/>
      </c>
      <c r="O1272" s="2">
        <f>IF(OR(F1272="",G1272=""),"",IF(G1272&lt;='RETRATO 2027'!$K$5,"CONCLUÍDA",IF(F1272&lt;='RETRATO 2027'!$K$5,"EM ANDAMENTO","A INICIAR")))</f>
        <v/>
      </c>
    </row>
    <row r="1273">
      <c r="B1273" s="4" t="n">
        <v>29981052</v>
      </c>
      <c r="C1273" s="4" t="inlineStr">
        <is>
          <t>BANCADAS</t>
        </is>
      </c>
      <c r="D1273" s="4" t="inlineStr">
        <is>
          <t>-</t>
        </is>
      </c>
      <c r="E1273" s="4" t="inlineStr">
        <is>
          <t>20º PAV.</t>
        </is>
      </c>
      <c r="F1273" s="126" t="n">
        <v>46814</v>
      </c>
      <c r="G1273" s="126" t="n">
        <v>46826</v>
      </c>
      <c r="H1273" s="126" t="n">
        <v>46289</v>
      </c>
      <c r="I1273" s="4" t="n">
        <v>0</v>
      </c>
      <c r="J1273" s="4" t="n">
        <v>0</v>
      </c>
      <c r="K1273" s="4" t="n">
        <v>0</v>
      </c>
      <c r="M1273" s="2">
        <f>IF(C1273="","",IFERROR(INDEX($S$5:$S$304,MATCH(C1273,$R$5:$R$304,0))&amp;"","?"))</f>
        <v/>
      </c>
      <c r="N1273" s="2">
        <f>IF(E1273="","",IF(ISNUMBER(SEARCH("SUBSOLO",E1273)),IFERROR(-VALUE(LEFT(E1273,FIND("º",SUBSTITUTE(E1273,"°","º"))-1)),-1),IF(LEFT(E1273,6)="TÉRREO",0,IFERROR(VALUE(LEFT(E1273,FIND("º",SUBSTITUTE(E1273,"°","º"))-1)),""))))</f>
        <v/>
      </c>
      <c r="O1273" s="2">
        <f>IF(OR(F1273="",G1273=""),"",IF(G1273&lt;='RETRATO 2027'!$K$5,"CONCLUÍDA",IF(F1273&lt;='RETRATO 2027'!$K$5,"EM ANDAMENTO","A INICIAR")))</f>
        <v/>
      </c>
    </row>
    <row r="1274">
      <c r="B1274" s="4" t="n">
        <v>29981014</v>
      </c>
      <c r="C1274" s="4" t="inlineStr">
        <is>
          <t>REVESTIMENTOS PORCELANATO PISO</t>
        </is>
      </c>
      <c r="D1274" s="4" t="inlineStr">
        <is>
          <t>-</t>
        </is>
      </c>
      <c r="E1274" s="4" t="inlineStr">
        <is>
          <t>21º PAV.</t>
        </is>
      </c>
      <c r="F1274" s="126" t="n">
        <v>46814</v>
      </c>
      <c r="G1274" s="126" t="n">
        <v>46826</v>
      </c>
      <c r="H1274" s="126" t="n">
        <v>46289</v>
      </c>
      <c r="I1274" s="4" t="n">
        <v>0</v>
      </c>
      <c r="J1274" s="4" t="n">
        <v>0</v>
      </c>
      <c r="K1274" s="4" t="n">
        <v>0</v>
      </c>
      <c r="M1274" s="2">
        <f>IF(C1274="","",IFERROR(INDEX($S$5:$S$304,MATCH(C1274,$R$5:$R$304,0))&amp;"","?"))</f>
        <v/>
      </c>
      <c r="N1274" s="2">
        <f>IF(E1274="","",IF(ISNUMBER(SEARCH("SUBSOLO",E1274)),IFERROR(-VALUE(LEFT(E1274,FIND("º",SUBSTITUTE(E1274,"°","º"))-1)),-1),IF(LEFT(E1274,6)="TÉRREO",0,IFERROR(VALUE(LEFT(E1274,FIND("º",SUBSTITUTE(E1274,"°","º"))-1)),""))))</f>
        <v/>
      </c>
      <c r="O1274" s="2">
        <f>IF(OR(F1274="",G1274=""),"",IF(G1274&lt;='RETRATO 2027'!$K$5,"CONCLUÍDA",IF(F1274&lt;='RETRATO 2027'!$K$5,"EM ANDAMENTO","A INICIAR")))</f>
        <v/>
      </c>
    </row>
    <row r="1275">
      <c r="B1275" s="4" t="n">
        <v>29980993</v>
      </c>
      <c r="C1275" s="4" t="inlineStr">
        <is>
          <t>REVESTIMENTO PORCELANATO PAREDE</t>
        </is>
      </c>
      <c r="D1275" s="4" t="inlineStr">
        <is>
          <t>-</t>
        </is>
      </c>
      <c r="E1275" s="4" t="inlineStr">
        <is>
          <t>22º PAV.</t>
        </is>
      </c>
      <c r="F1275" s="126" t="n">
        <v>46814</v>
      </c>
      <c r="G1275" s="126" t="n">
        <v>46826</v>
      </c>
      <c r="H1275" s="126" t="n">
        <v>46289</v>
      </c>
      <c r="I1275" s="4" t="n">
        <v>0</v>
      </c>
      <c r="J1275" s="4" t="n">
        <v>0</v>
      </c>
      <c r="K1275" s="4" t="n">
        <v>0</v>
      </c>
      <c r="M1275" s="2">
        <f>IF(C1275="","",IFERROR(INDEX($S$5:$S$304,MATCH(C1275,$R$5:$R$304,0))&amp;"","?"))</f>
        <v/>
      </c>
      <c r="N1275" s="2">
        <f>IF(E1275="","",IF(ISNUMBER(SEARCH("SUBSOLO",E1275)),IFERROR(-VALUE(LEFT(E1275,FIND("º",SUBSTITUTE(E1275,"°","º"))-1)),-1),IF(LEFT(E1275,6)="TÉRREO",0,IFERROR(VALUE(LEFT(E1275,FIND("º",SUBSTITUTE(E1275,"°","º"))-1)),""))))</f>
        <v/>
      </c>
      <c r="O1275" s="2">
        <f>IF(OR(F1275="",G1275=""),"",IF(G1275&lt;='RETRATO 2027'!$K$5,"CONCLUÍDA",IF(F1275&lt;='RETRATO 2027'!$K$5,"EM ANDAMENTO","A INICIAR")))</f>
        <v/>
      </c>
    </row>
    <row r="1276">
      <c r="B1276" s="4" t="n">
        <v>29980954</v>
      </c>
      <c r="C1276" s="4" t="inlineStr">
        <is>
          <t>IMPERMEABILIZAÇÃO</t>
        </is>
      </c>
      <c r="D1276" s="4" t="inlineStr">
        <is>
          <t>-</t>
        </is>
      </c>
      <c r="E1276" s="4" t="inlineStr">
        <is>
          <t>23º PAV.</t>
        </is>
      </c>
      <c r="F1276" s="126" t="n">
        <v>46814</v>
      </c>
      <c r="G1276" s="126" t="n">
        <v>46826</v>
      </c>
      <c r="H1276" s="126" t="n">
        <v>46289</v>
      </c>
      <c r="I1276" s="4" t="n">
        <v>0</v>
      </c>
      <c r="J1276" s="4" t="n">
        <v>0</v>
      </c>
      <c r="K1276" s="4" t="n">
        <v>0</v>
      </c>
      <c r="M1276" s="2">
        <f>IF(C1276="","",IFERROR(INDEX($S$5:$S$304,MATCH(C1276,$R$5:$R$304,0))&amp;"","?"))</f>
        <v/>
      </c>
      <c r="N1276" s="2">
        <f>IF(E1276="","",IF(ISNUMBER(SEARCH("SUBSOLO",E1276)),IFERROR(-VALUE(LEFT(E1276,FIND("º",SUBSTITUTE(E1276,"°","º"))-1)),-1),IF(LEFT(E1276,6)="TÉRREO",0,IFERROR(VALUE(LEFT(E1276,FIND("º",SUBSTITUTE(E1276,"°","º"))-1)),""))))</f>
        <v/>
      </c>
      <c r="O1276" s="2">
        <f>IF(OR(F1276="",G1276=""),"",IF(G1276&lt;='RETRATO 2027'!$K$5,"CONCLUÍDA",IF(F1276&lt;='RETRATO 2027'!$K$5,"EM ANDAMENTO","A INICIAR")))</f>
        <v/>
      </c>
    </row>
    <row r="1277">
      <c r="B1277" s="4" t="n">
        <v>32750450</v>
      </c>
      <c r="C1277" s="4" t="inlineStr">
        <is>
          <t>DRYWALL 2º FACE</t>
        </is>
      </c>
      <c r="D1277" s="4" t="inlineStr">
        <is>
          <t>-</t>
        </is>
      </c>
      <c r="E1277" s="4" t="inlineStr">
        <is>
          <t>24º PAV.</t>
        </is>
      </c>
      <c r="F1277" s="126" t="n">
        <v>46814</v>
      </c>
      <c r="G1277" s="126" t="n">
        <v>46826</v>
      </c>
      <c r="H1277" s="126" t="n">
        <v>46289</v>
      </c>
      <c r="I1277" s="4" t="n">
        <v>0</v>
      </c>
      <c r="J1277" s="4" t="n">
        <v>0</v>
      </c>
      <c r="K1277" s="4" t="n">
        <v>0</v>
      </c>
      <c r="M1277" s="2">
        <f>IF(C1277="","",IFERROR(INDEX($S$5:$S$304,MATCH(C1277,$R$5:$R$304,0))&amp;"","?"))</f>
        <v/>
      </c>
      <c r="N1277" s="2">
        <f>IF(E1277="","",IF(ISNUMBER(SEARCH("SUBSOLO",E1277)),IFERROR(-VALUE(LEFT(E1277,FIND("º",SUBSTITUTE(E1277,"°","º"))-1)),-1),IF(LEFT(E1277,6)="TÉRREO",0,IFERROR(VALUE(LEFT(E1277,FIND("º",SUBSTITUTE(E1277,"°","º"))-1)),""))))</f>
        <v/>
      </c>
      <c r="O1277" s="2">
        <f>IF(OR(F1277="",G1277=""),"",IF(G1277&lt;='RETRATO 2027'!$K$5,"CONCLUÍDA",IF(F1277&lt;='RETRATO 2027'!$K$5,"EM ANDAMENTO","A INICIAR")))</f>
        <v/>
      </c>
    </row>
    <row r="1278">
      <c r="B1278" s="4" t="n">
        <v>32750373</v>
      </c>
      <c r="C1278" s="4" t="inlineStr">
        <is>
          <t>DISTRIBUIÇÃO DE GÁS - DRYWALL</t>
        </is>
      </c>
      <c r="D1278" s="4" t="inlineStr">
        <is>
          <t>-</t>
        </is>
      </c>
      <c r="E1278" s="4" t="inlineStr">
        <is>
          <t>25º PAV.</t>
        </is>
      </c>
      <c r="F1278" s="126" t="n">
        <v>46814</v>
      </c>
      <c r="G1278" s="126" t="n">
        <v>46826</v>
      </c>
      <c r="H1278" s="126" t="n">
        <v>46289</v>
      </c>
      <c r="I1278" s="4" t="n">
        <v>0</v>
      </c>
      <c r="J1278" s="4" t="n">
        <v>0</v>
      </c>
      <c r="K1278" s="4" t="n">
        <v>0</v>
      </c>
      <c r="M1278" s="2">
        <f>IF(C1278="","",IFERROR(INDEX($S$5:$S$304,MATCH(C1278,$R$5:$R$304,0))&amp;"","?"))</f>
        <v/>
      </c>
      <c r="N1278" s="2">
        <f>IF(E1278="","",IF(ISNUMBER(SEARCH("SUBSOLO",E1278)),IFERROR(-VALUE(LEFT(E1278,FIND("º",SUBSTITUTE(E1278,"°","º"))-1)),-1),IF(LEFT(E1278,6)="TÉRREO",0,IFERROR(VALUE(LEFT(E1278,FIND("º",SUBSTITUTE(E1278,"°","º"))-1)),""))))</f>
        <v/>
      </c>
      <c r="O1278" s="2">
        <f>IF(OR(F1278="",G1278=""),"",IF(G1278&lt;='RETRATO 2027'!$K$5,"CONCLUÍDA",IF(F1278&lt;='RETRATO 2027'!$K$5,"EM ANDAMENTO","A INICIAR")))</f>
        <v/>
      </c>
    </row>
    <row r="1279">
      <c r="B1279" s="4" t="n">
        <v>32750399</v>
      </c>
      <c r="C1279" s="4" t="inlineStr">
        <is>
          <t>DISTRIBUIÇÃO ELÉTRICA/QUADRO - DRYWALL</t>
        </is>
      </c>
      <c r="D1279" s="4" t="inlineStr">
        <is>
          <t>-</t>
        </is>
      </c>
      <c r="E1279" s="4" t="inlineStr">
        <is>
          <t>25º PAV.</t>
        </is>
      </c>
      <c r="F1279" s="126" t="n">
        <v>46814</v>
      </c>
      <c r="G1279" s="126" t="n">
        <v>46826</v>
      </c>
      <c r="H1279" s="126" t="n">
        <v>46289</v>
      </c>
      <c r="I1279" s="4" t="n">
        <v>0</v>
      </c>
      <c r="J1279" s="4" t="n">
        <v>0</v>
      </c>
      <c r="K1279" s="4" t="n">
        <v>0</v>
      </c>
      <c r="M1279" s="2">
        <f>IF(C1279="","",IFERROR(INDEX($S$5:$S$304,MATCH(C1279,$R$5:$R$304,0))&amp;"","?"))</f>
        <v/>
      </c>
      <c r="N1279" s="2">
        <f>IF(E1279="","",IF(ISNUMBER(SEARCH("SUBSOLO",E1279)),IFERROR(-VALUE(LEFT(E1279,FIND("º",SUBSTITUTE(E1279,"°","º"))-1)),-1),IF(LEFT(E1279,6)="TÉRREO",0,IFERROR(VALUE(LEFT(E1279,FIND("º",SUBSTITUTE(E1279,"°","º"))-1)),""))))</f>
        <v/>
      </c>
      <c r="O1279" s="2">
        <f>IF(OR(F1279="",G1279=""),"",IF(G1279&lt;='RETRATO 2027'!$K$5,"CONCLUÍDA",IF(F1279&lt;='RETRATO 2027'!$K$5,"EM ANDAMENTO","A INICIAR")))</f>
        <v/>
      </c>
    </row>
    <row r="1280">
      <c r="B1280" s="4" t="n">
        <v>32750425</v>
      </c>
      <c r="C1280" s="4" t="inlineStr">
        <is>
          <t>DISTRIBUIÇÃO HIDRÁULICA - DRYWALL</t>
        </is>
      </c>
      <c r="D1280" s="4" t="inlineStr">
        <is>
          <t>-</t>
        </is>
      </c>
      <c r="E1280" s="4" t="inlineStr">
        <is>
          <t>25º PAV.</t>
        </is>
      </c>
      <c r="F1280" s="126" t="n">
        <v>46814</v>
      </c>
      <c r="G1280" s="126" t="n">
        <v>46826</v>
      </c>
      <c r="H1280" s="126" t="n">
        <v>46289</v>
      </c>
      <c r="I1280" s="4" t="n">
        <v>0</v>
      </c>
      <c r="J1280" s="4" t="n">
        <v>0</v>
      </c>
      <c r="K1280" s="4" t="n">
        <v>0</v>
      </c>
      <c r="M1280" s="2">
        <f>IF(C1280="","",IFERROR(INDEX($S$5:$S$304,MATCH(C1280,$R$5:$R$304,0))&amp;"","?"))</f>
        <v/>
      </c>
      <c r="N1280" s="2">
        <f>IF(E1280="","",IF(ISNUMBER(SEARCH("SUBSOLO",E1280)),IFERROR(-VALUE(LEFT(E1280,FIND("º",SUBSTITUTE(E1280,"°","º"))-1)),-1),IF(LEFT(E1280,6)="TÉRREO",0,IFERROR(VALUE(LEFT(E1280,FIND("º",SUBSTITUTE(E1280,"°","º"))-1)),""))))</f>
        <v/>
      </c>
      <c r="O1280" s="2">
        <f>IF(OR(F1280="",G1280=""),"",IF(G1280&lt;='RETRATO 2027'!$K$5,"CONCLUÍDA",IF(F1280&lt;='RETRATO 2027'!$K$5,"EM ANDAMENTO","A INICIAR")))</f>
        <v/>
      </c>
    </row>
    <row r="1281">
      <c r="B1281" s="4" t="n">
        <v>33896843</v>
      </c>
      <c r="C1281" s="4" t="inlineStr">
        <is>
          <t>INFRAESTRUTURA - AR CONDICIONADO</t>
        </is>
      </c>
      <c r="D1281" s="4" t="inlineStr">
        <is>
          <t>-</t>
        </is>
      </c>
      <c r="E1281" s="4" t="inlineStr">
        <is>
          <t>25º PAV.</t>
        </is>
      </c>
      <c r="F1281" s="126" t="n">
        <v>46814</v>
      </c>
      <c r="G1281" s="126" t="n">
        <v>46826</v>
      </c>
      <c r="H1281" s="126" t="n">
        <v>46289</v>
      </c>
      <c r="I1281" s="4" t="n">
        <v>0</v>
      </c>
      <c r="J1281" s="4" t="n">
        <v>0</v>
      </c>
      <c r="K1281" s="4" t="n">
        <v>0</v>
      </c>
      <c r="M1281" s="2">
        <f>IF(C1281="","",IFERROR(INDEX($S$5:$S$304,MATCH(C1281,$R$5:$R$304,0))&amp;"","?"))</f>
        <v/>
      </c>
      <c r="N1281" s="2">
        <f>IF(E1281="","",IF(ISNUMBER(SEARCH("SUBSOLO",E1281)),IFERROR(-VALUE(LEFT(E1281,FIND("º",SUBSTITUTE(E1281,"°","º"))-1)),-1),IF(LEFT(E1281,6)="TÉRREO",0,IFERROR(VALUE(LEFT(E1281,FIND("º",SUBSTITUTE(E1281,"°","º"))-1)),""))))</f>
        <v/>
      </c>
      <c r="O1281" s="2">
        <f>IF(OR(F1281="",G1281=""),"",IF(G1281&lt;='RETRATO 2027'!$K$5,"CONCLUÍDA",IF(F1281&lt;='RETRATO 2027'!$K$5,"EM ANDAMENTO","A INICIAR")))</f>
        <v/>
      </c>
    </row>
    <row r="1282">
      <c r="B1282" s="4" t="n">
        <v>32749869</v>
      </c>
      <c r="C1282" s="4" t="inlineStr">
        <is>
          <t>DRYWALL 1º FACE</t>
        </is>
      </c>
      <c r="D1282" s="4" t="inlineStr">
        <is>
          <t>-</t>
        </is>
      </c>
      <c r="E1282" s="4" t="inlineStr">
        <is>
          <t>26º PAV.</t>
        </is>
      </c>
      <c r="F1282" s="126" t="n">
        <v>46814</v>
      </c>
      <c r="G1282" s="126" t="n">
        <v>46826</v>
      </c>
      <c r="H1282" s="126" t="n">
        <v>46289</v>
      </c>
      <c r="I1282" s="4" t="n">
        <v>0</v>
      </c>
      <c r="J1282" s="4" t="n">
        <v>0</v>
      </c>
      <c r="K1282" s="4" t="n">
        <v>0</v>
      </c>
      <c r="M1282" s="2">
        <f>IF(C1282="","",IFERROR(INDEX($S$5:$S$304,MATCH(C1282,$R$5:$R$304,0))&amp;"","?"))</f>
        <v/>
      </c>
      <c r="N1282" s="2">
        <f>IF(E1282="","",IF(ISNUMBER(SEARCH("SUBSOLO",E1282)),IFERROR(-VALUE(LEFT(E1282,FIND("º",SUBSTITUTE(E1282,"°","º"))-1)),-1),IF(LEFT(E1282,6)="TÉRREO",0,IFERROR(VALUE(LEFT(E1282,FIND("º",SUBSTITUTE(E1282,"°","º"))-1)),""))))</f>
        <v/>
      </c>
      <c r="O1282" s="2">
        <f>IF(OR(F1282="",G1282=""),"",IF(G1282&lt;='RETRATO 2027'!$K$5,"CONCLUÍDA",IF(F1282&lt;='RETRATO 2027'!$K$5,"EM ANDAMENTO","A INICIAR")))</f>
        <v/>
      </c>
    </row>
    <row r="1283">
      <c r="B1283" s="4" t="n">
        <v>29980807</v>
      </c>
      <c r="C1283" s="4" t="inlineStr">
        <is>
          <t>CONTRAPISO</t>
        </is>
      </c>
      <c r="D1283" s="4" t="inlineStr">
        <is>
          <t>-</t>
        </is>
      </c>
      <c r="E1283" s="4" t="inlineStr">
        <is>
          <t>27º PAV.</t>
        </is>
      </c>
      <c r="F1283" s="126" t="n">
        <v>46814</v>
      </c>
      <c r="G1283" s="126" t="n">
        <v>46826</v>
      </c>
      <c r="H1283" s="126" t="n">
        <v>46289</v>
      </c>
      <c r="I1283" s="4" t="n">
        <v>0</v>
      </c>
      <c r="J1283" s="4" t="n">
        <v>0</v>
      </c>
      <c r="K1283" s="4" t="n">
        <v>0</v>
      </c>
      <c r="M1283" s="2">
        <f>IF(C1283="","",IFERROR(INDEX($S$5:$S$304,MATCH(C1283,$R$5:$R$304,0))&amp;"","?"))</f>
        <v/>
      </c>
      <c r="N1283" s="2">
        <f>IF(E1283="","",IF(ISNUMBER(SEARCH("SUBSOLO",E1283)),IFERROR(-VALUE(LEFT(E1283,FIND("º",SUBSTITUTE(E1283,"°","º"))-1)),-1),IF(LEFT(E1283,6)="TÉRREO",0,IFERROR(VALUE(LEFT(E1283,FIND("º",SUBSTITUTE(E1283,"°","º"))-1)),""))))</f>
        <v/>
      </c>
      <c r="O1283" s="2">
        <f>IF(OR(F1283="",G1283=""),"",IF(G1283&lt;='RETRATO 2027'!$K$5,"CONCLUÍDA",IF(F1283&lt;='RETRATO 2027'!$K$5,"EM ANDAMENTO","A INICIAR")))</f>
        <v/>
      </c>
    </row>
    <row r="1284">
      <c r="B1284" s="4" t="n">
        <v>29980747</v>
      </c>
      <c r="C1284" s="4" t="inlineStr">
        <is>
          <t>SHAFT INTERNO INST. HIDRAÚLICAS</t>
        </is>
      </c>
      <c r="D1284" s="4" t="inlineStr">
        <is>
          <t>-</t>
        </is>
      </c>
      <c r="E1284" s="4" t="inlineStr">
        <is>
          <t>28º PAV.</t>
        </is>
      </c>
      <c r="F1284" s="126" t="n">
        <v>46814</v>
      </c>
      <c r="G1284" s="126" t="n">
        <v>46826</v>
      </c>
      <c r="H1284" s="126" t="n">
        <v>46289</v>
      </c>
      <c r="I1284" s="4" t="n">
        <v>0</v>
      </c>
      <c r="J1284" s="4" t="n">
        <v>0</v>
      </c>
      <c r="K1284" s="4" t="n">
        <v>0</v>
      </c>
      <c r="M1284" s="2">
        <f>IF(C1284="","",IFERROR(INDEX($S$5:$S$304,MATCH(C1284,$R$5:$R$304,0))&amp;"","?"))</f>
        <v/>
      </c>
      <c r="N1284" s="2">
        <f>IF(E1284="","",IF(ISNUMBER(SEARCH("SUBSOLO",E1284)),IFERROR(-VALUE(LEFT(E1284,FIND("º",SUBSTITUTE(E1284,"°","º"))-1)),-1),IF(LEFT(E1284,6)="TÉRREO",0,IFERROR(VALUE(LEFT(E1284,FIND("º",SUBSTITUTE(E1284,"°","º"))-1)),""))))</f>
        <v/>
      </c>
      <c r="O1284" s="2">
        <f>IF(OR(F1284="",G1284=""),"",IF(G1284&lt;='RETRATO 2027'!$K$5,"CONCLUÍDA",IF(F1284&lt;='RETRATO 2027'!$K$5,"EM ANDAMENTO","A INICIAR")))</f>
        <v/>
      </c>
    </row>
    <row r="1285">
      <c r="B1285" s="4" t="n">
        <v>29980780</v>
      </c>
      <c r="C1285" s="4" t="inlineStr">
        <is>
          <t>PRUMADA ELÉTRICA - INFRA</t>
        </is>
      </c>
      <c r="D1285" s="4" t="inlineStr">
        <is>
          <t>-</t>
        </is>
      </c>
      <c r="E1285" s="4" t="inlineStr">
        <is>
          <t>28º PAV.</t>
        </is>
      </c>
      <c r="F1285" s="126" t="n">
        <v>46814</v>
      </c>
      <c r="G1285" s="126" t="n">
        <v>46826</v>
      </c>
      <c r="H1285" s="126" t="n">
        <v>46289</v>
      </c>
      <c r="I1285" s="4" t="n">
        <v>0</v>
      </c>
      <c r="J1285" s="4" t="n">
        <v>0</v>
      </c>
      <c r="K1285" s="4" t="n">
        <v>0</v>
      </c>
      <c r="M1285" s="2">
        <f>IF(C1285="","",IFERROR(INDEX($S$5:$S$304,MATCH(C1285,$R$5:$R$304,0))&amp;"","?"))</f>
        <v/>
      </c>
      <c r="N1285" s="2">
        <f>IF(E1285="","",IF(ISNUMBER(SEARCH("SUBSOLO",E1285)),IFERROR(-VALUE(LEFT(E1285,FIND("º",SUBSTITUTE(E1285,"°","º"))-1)),-1),IF(LEFT(E1285,6)="TÉRREO",0,IFERROR(VALUE(LEFT(E1285,FIND("º",SUBSTITUTE(E1285,"°","º"))-1)),""))))</f>
        <v/>
      </c>
      <c r="O1285" s="2">
        <f>IF(OR(F1285="",G1285=""),"",IF(G1285&lt;='RETRATO 2027'!$K$5,"CONCLUÍDA",IF(F1285&lt;='RETRATO 2027'!$K$5,"EM ANDAMENTO","A INICIAR")))</f>
        <v/>
      </c>
    </row>
    <row r="1286">
      <c r="B1286" s="4" t="n">
        <v>29980709</v>
      </c>
      <c r="C1286" s="4" t="inlineStr">
        <is>
          <t>REBOCO INTERNO</t>
        </is>
      </c>
      <c r="D1286" s="4" t="inlineStr">
        <is>
          <t>-</t>
        </is>
      </c>
      <c r="E1286" s="4" t="inlineStr">
        <is>
          <t>29º PAV.</t>
        </is>
      </c>
      <c r="F1286" s="126" t="n">
        <v>46814</v>
      </c>
      <c r="G1286" s="126" t="n">
        <v>46826</v>
      </c>
      <c r="H1286" s="126" t="n">
        <v>46289</v>
      </c>
      <c r="I1286" s="4" t="n">
        <v>0</v>
      </c>
      <c r="J1286" s="4" t="n">
        <v>0</v>
      </c>
      <c r="K1286" s="4" t="n">
        <v>0</v>
      </c>
      <c r="M1286" s="2">
        <f>IF(C1286="","",IFERROR(INDEX($S$5:$S$304,MATCH(C1286,$R$5:$R$304,0))&amp;"","?"))</f>
        <v/>
      </c>
      <c r="N1286" s="2">
        <f>IF(E1286="","",IF(ISNUMBER(SEARCH("SUBSOLO",E1286)),IFERROR(-VALUE(LEFT(E1286,FIND("º",SUBSTITUTE(E1286,"°","º"))-1)),-1),IF(LEFT(E1286,6)="TÉRREO",0,IFERROR(VALUE(LEFT(E1286,FIND("º",SUBSTITUTE(E1286,"°","º"))-1)),""))))</f>
        <v/>
      </c>
      <c r="O1286" s="2">
        <f>IF(OR(F1286="",G1286=""),"",IF(G1286&lt;='RETRATO 2027'!$K$5,"CONCLUÍDA",IF(F1286&lt;='RETRATO 2027'!$K$5,"EM ANDAMENTO","A INICIAR")))</f>
        <v/>
      </c>
    </row>
    <row r="1287">
      <c r="B1287" s="4" t="n">
        <v>29980675</v>
      </c>
      <c r="C1287" s="4" t="inlineStr">
        <is>
          <t>CONTRAMARCO</t>
        </is>
      </c>
      <c r="D1287" s="4" t="inlineStr">
        <is>
          <t>-</t>
        </is>
      </c>
      <c r="E1287" s="4" t="inlineStr">
        <is>
          <t>30º PAV.</t>
        </is>
      </c>
      <c r="F1287" s="126" t="n">
        <v>46814</v>
      </c>
      <c r="G1287" s="126" t="n">
        <v>46826</v>
      </c>
      <c r="H1287" s="126" t="n">
        <v>46289</v>
      </c>
      <c r="I1287" s="4" t="n">
        <v>0</v>
      </c>
      <c r="J1287" s="4" t="n">
        <v>0</v>
      </c>
      <c r="K1287" s="4" t="n">
        <v>0</v>
      </c>
      <c r="M1287" s="2">
        <f>IF(C1287="","",IFERROR(INDEX($S$5:$S$304,MATCH(C1287,$R$5:$R$304,0))&amp;"","?"))</f>
        <v/>
      </c>
      <c r="N1287" s="2">
        <f>IF(E1287="","",IF(ISNUMBER(SEARCH("SUBSOLO",E1287)),IFERROR(-VALUE(LEFT(E1287,FIND("º",SUBSTITUTE(E1287,"°","º"))-1)),-1),IF(LEFT(E1287,6)="TÉRREO",0,IFERROR(VALUE(LEFT(E1287,FIND("º",SUBSTITUTE(E1287,"°","º"))-1)),""))))</f>
        <v/>
      </c>
      <c r="O1287" s="2">
        <f>IF(OR(F1287="",G1287=""),"",IF(G1287&lt;='RETRATO 2027'!$K$5,"CONCLUÍDA",IF(F1287&lt;='RETRATO 2027'!$K$5,"EM ANDAMENTO","A INICIAR")))</f>
        <v/>
      </c>
    </row>
    <row r="1288">
      <c r="B1288" s="4" t="n">
        <v>29980668</v>
      </c>
      <c r="C1288" s="4" t="inlineStr">
        <is>
          <t>DISTRIBUIÇÃO HIDROSSANITÁRIA</t>
        </is>
      </c>
      <c r="D1288" s="4" t="inlineStr">
        <is>
          <t>-</t>
        </is>
      </c>
      <c r="E1288" s="4" t="inlineStr">
        <is>
          <t>31º PAV. - COBERTURA LINEAR</t>
        </is>
      </c>
      <c r="F1288" s="126" t="n">
        <v>46814</v>
      </c>
      <c r="G1288" s="126" t="n">
        <v>46826</v>
      </c>
      <c r="H1288" s="126" t="n">
        <v>46289</v>
      </c>
      <c r="I1288" s="4" t="n">
        <v>0</v>
      </c>
      <c r="J1288" s="4" t="n">
        <v>0</v>
      </c>
      <c r="K1288" s="4" t="n">
        <v>0</v>
      </c>
      <c r="M1288" s="2">
        <f>IF(C1288="","",IFERROR(INDEX($S$5:$S$304,MATCH(C1288,$R$5:$R$304,0))&amp;"","?"))</f>
        <v/>
      </c>
      <c r="N1288" s="2">
        <f>IF(E1288="","",IF(ISNUMBER(SEARCH("SUBSOLO",E1288)),IFERROR(-VALUE(LEFT(E1288,FIND("º",SUBSTITUTE(E1288,"°","º"))-1)),-1),IF(LEFT(E1288,6)="TÉRREO",0,IFERROR(VALUE(LEFT(E1288,FIND("º",SUBSTITUTE(E1288,"°","º"))-1)),""))))</f>
        <v/>
      </c>
      <c r="O1288" s="2">
        <f>IF(OR(F1288="",G1288=""),"",IF(G1288&lt;='RETRATO 2027'!$K$5,"CONCLUÍDA",IF(F1288&lt;='RETRATO 2027'!$K$5,"EM ANDAMENTO","A INICIAR")))</f>
        <v/>
      </c>
    </row>
    <row r="1289">
      <c r="B1289" s="4" t="n">
        <v>29980637</v>
      </c>
      <c r="C1289" s="4" t="inlineStr">
        <is>
          <t>DISTRIBUIÇÃO ELÉTRICA / QUADRO</t>
        </is>
      </c>
      <c r="D1289" s="4" t="inlineStr">
        <is>
          <t>-</t>
        </is>
      </c>
      <c r="E1289" s="4" t="inlineStr">
        <is>
          <t>31º PAV. - COBERTURA LINEAR</t>
        </is>
      </c>
      <c r="F1289" s="126" t="n">
        <v>46814</v>
      </c>
      <c r="G1289" s="126" t="n">
        <v>46826</v>
      </c>
      <c r="H1289" s="126" t="n">
        <v>46289</v>
      </c>
      <c r="I1289" s="4" t="n">
        <v>0</v>
      </c>
      <c r="J1289" s="4" t="n">
        <v>0</v>
      </c>
      <c r="K1289" s="4" t="n">
        <v>0</v>
      </c>
      <c r="M1289" s="2">
        <f>IF(C1289="","",IFERROR(INDEX($S$5:$S$304,MATCH(C1289,$R$5:$R$304,0))&amp;"","?"))</f>
        <v/>
      </c>
      <c r="N1289" s="2">
        <f>IF(E1289="","",IF(ISNUMBER(SEARCH("SUBSOLO",E1289)),IFERROR(-VALUE(LEFT(E1289,FIND("º",SUBSTITUTE(E1289,"°","º"))-1)),-1),IF(LEFT(E1289,6)="TÉRREO",0,IFERROR(VALUE(LEFT(E1289,FIND("º",SUBSTITUTE(E1289,"°","º"))-1)),""))))</f>
        <v/>
      </c>
      <c r="O1289" s="2">
        <f>IF(OR(F1289="",G1289=""),"",IF(G1289&lt;='RETRATO 2027'!$K$5,"CONCLUÍDA",IF(F1289&lt;='RETRATO 2027'!$K$5,"EM ANDAMENTO","A INICIAR")))</f>
        <v/>
      </c>
    </row>
    <row r="1290">
      <c r="B1290" s="4" t="n">
        <v>29980670</v>
      </c>
      <c r="C1290" s="4" t="inlineStr">
        <is>
          <t>DISTRIBUIÇÃO DE GÁS</t>
        </is>
      </c>
      <c r="D1290" s="4" t="inlineStr">
        <is>
          <t>-</t>
        </is>
      </c>
      <c r="E1290" s="4" t="inlineStr">
        <is>
          <t>31º PAV. - COBERTURA LINEAR</t>
        </is>
      </c>
      <c r="F1290" s="126" t="n">
        <v>46814</v>
      </c>
      <c r="G1290" s="126" t="n">
        <v>46826</v>
      </c>
      <c r="H1290" s="126" t="n">
        <v>46289</v>
      </c>
      <c r="I1290" s="4" t="n">
        <v>0</v>
      </c>
      <c r="J1290" s="4" t="n">
        <v>0</v>
      </c>
      <c r="K1290" s="4" t="n">
        <v>0</v>
      </c>
      <c r="M1290" s="2">
        <f>IF(C1290="","",IFERROR(INDEX($S$5:$S$304,MATCH(C1290,$R$5:$R$304,0))&amp;"","?"))</f>
        <v/>
      </c>
      <c r="N1290" s="2">
        <f>IF(E1290="","",IF(ISNUMBER(SEARCH("SUBSOLO",E1290)),IFERROR(-VALUE(LEFT(E1290,FIND("º",SUBSTITUTE(E1290,"°","º"))-1)),-1),IF(LEFT(E1290,6)="TÉRREO",0,IFERROR(VALUE(LEFT(E1290,FIND("º",SUBSTITUTE(E1290,"°","º"))-1)),""))))</f>
        <v/>
      </c>
      <c r="O1290" s="2">
        <f>IF(OR(F1290="",G1290=""),"",IF(G1290&lt;='RETRATO 2027'!$K$5,"CONCLUÍDA",IF(F1290&lt;='RETRATO 2027'!$K$5,"EM ANDAMENTO","A INICIAR")))</f>
        <v/>
      </c>
    </row>
    <row r="1291">
      <c r="B1291" s="4" t="n">
        <v>29980617</v>
      </c>
      <c r="C1291" s="4" t="inlineStr">
        <is>
          <t>TALISCAMENTO</t>
        </is>
      </c>
      <c r="D1291" s="4" t="inlineStr">
        <is>
          <t>-</t>
        </is>
      </c>
      <c r="E1291" s="4" t="inlineStr">
        <is>
          <t>32º PAV - COBERTURA GERAL</t>
        </is>
      </c>
      <c r="F1291" s="126" t="n">
        <v>46814</v>
      </c>
      <c r="G1291" s="126" t="n">
        <v>46826</v>
      </c>
      <c r="H1291" s="126" t="n">
        <v>46289</v>
      </c>
      <c r="I1291" s="4" t="n">
        <v>0</v>
      </c>
      <c r="J1291" s="4" t="n">
        <v>0</v>
      </c>
      <c r="K1291" s="4" t="n">
        <v>0</v>
      </c>
      <c r="M1291" s="2">
        <f>IF(C1291="","",IFERROR(INDEX($S$5:$S$304,MATCH(C1291,$R$5:$R$304,0))&amp;"","?"))</f>
        <v/>
      </c>
      <c r="N1291" s="2">
        <f>IF(E1291="","",IF(ISNUMBER(SEARCH("SUBSOLO",E1291)),IFERROR(-VALUE(LEFT(E1291,FIND("º",SUBSTITUTE(E1291,"°","º"))-1)),-1),IF(LEFT(E1291,6)="TÉRREO",0,IFERROR(VALUE(LEFT(E1291,FIND("º",SUBSTITUTE(E1291,"°","º"))-1)),""))))</f>
        <v/>
      </c>
      <c r="O1291" s="2">
        <f>IF(OR(F1291="",G1291=""),"",IF(G1291&lt;='RETRATO 2027'!$K$5,"CONCLUÍDA",IF(F1291&lt;='RETRATO 2027'!$K$5,"EM ANDAMENTO","A INICIAR")))</f>
        <v/>
      </c>
    </row>
    <row r="1292">
      <c r="B1292" s="4" t="n">
        <v>30205858</v>
      </c>
      <c r="C1292" s="4" t="inlineStr">
        <is>
          <t>REVESTIMENTO PORCELANATO PAREDE</t>
        </is>
      </c>
      <c r="D1292" s="4" t="inlineStr">
        <is>
          <t>-</t>
        </is>
      </c>
      <c r="E1292" s="4" t="inlineStr">
        <is>
          <t>1º PAV. (INTERMEDIÁRIO)</t>
        </is>
      </c>
      <c r="F1292" s="126" t="n">
        <v>46815</v>
      </c>
      <c r="G1292" s="126" t="n">
        <v>46835</v>
      </c>
      <c r="H1292" s="126" t="n">
        <v>46289</v>
      </c>
      <c r="I1292" s="4" t="n">
        <v>0</v>
      </c>
      <c r="J1292" s="4" t="n">
        <v>0</v>
      </c>
      <c r="K1292" s="4" t="n">
        <v>0</v>
      </c>
      <c r="M1292" s="2">
        <f>IF(C1292="","",IFERROR(INDEX($S$5:$S$304,MATCH(C1292,$R$5:$R$304,0))&amp;"","?"))</f>
        <v/>
      </c>
      <c r="N1292" s="2">
        <f>IF(E1292="","",IF(ISNUMBER(SEARCH("SUBSOLO",E1292)),IFERROR(-VALUE(LEFT(E1292,FIND("º",SUBSTITUTE(E1292,"°","º"))-1)),-1),IF(LEFT(E1292,6)="TÉRREO",0,IFERROR(VALUE(LEFT(E1292,FIND("º",SUBSTITUTE(E1292,"°","º"))-1)),""))))</f>
        <v/>
      </c>
      <c r="O1292" s="2">
        <f>IF(OR(F1292="",G1292=""),"",IF(G1292&lt;='RETRATO 2027'!$K$5,"CONCLUÍDA",IF(F1292&lt;='RETRATO 2027'!$K$5,"EM ANDAMENTO","A INICIAR")))</f>
        <v/>
      </c>
    </row>
    <row r="1293">
      <c r="B1293" s="4" t="n">
        <v>30208608</v>
      </c>
      <c r="C1293" s="4" t="inlineStr">
        <is>
          <t>REBOCO EXTERNO</t>
        </is>
      </c>
      <c r="D1293" s="4" t="inlineStr">
        <is>
          <t>-</t>
        </is>
      </c>
      <c r="E1293" s="4" t="inlineStr">
        <is>
          <t>6º PAV (PILOTIS) - PISCINA + PRAINHA + DECK</t>
        </is>
      </c>
      <c r="F1293" s="126" t="n">
        <v>46815</v>
      </c>
      <c r="G1293" s="126" t="n">
        <v>46828</v>
      </c>
      <c r="H1293" s="126" t="n">
        <v>46289</v>
      </c>
      <c r="I1293" s="4" t="n">
        <v>0</v>
      </c>
      <c r="J1293" s="4" t="n">
        <v>0</v>
      </c>
      <c r="K1293" s="4" t="n">
        <v>0</v>
      </c>
      <c r="M1293" s="2">
        <f>IF(C1293="","",IFERROR(INDEX($S$5:$S$304,MATCH(C1293,$R$5:$R$304,0))&amp;"","?"))</f>
        <v/>
      </c>
      <c r="N1293" s="2">
        <f>IF(E1293="","",IF(ISNUMBER(SEARCH("SUBSOLO",E1293)),IFERROR(-VALUE(LEFT(E1293,FIND("º",SUBSTITUTE(E1293,"°","º"))-1)),-1),IF(LEFT(E1293,6)="TÉRREO",0,IFERROR(VALUE(LEFT(E1293,FIND("º",SUBSTITUTE(E1293,"°","º"))-1)),""))))</f>
        <v/>
      </c>
      <c r="O1293" s="2">
        <f>IF(OR(F1293="",G1293=""),"",IF(G1293&lt;='RETRATO 2027'!$K$5,"CONCLUÍDA",IF(F1293&lt;='RETRATO 2027'!$K$5,"EM ANDAMENTO","A INICIAR")))</f>
        <v/>
      </c>
    </row>
    <row r="1294">
      <c r="B1294" s="4" t="n">
        <v>30206046</v>
      </c>
      <c r="C1294" s="4" t="inlineStr">
        <is>
          <t>ENCUNHAMENTO</t>
        </is>
      </c>
      <c r="D1294" s="4" t="inlineStr">
        <is>
          <t>-</t>
        </is>
      </c>
      <c r="E1294" s="4" t="inlineStr">
        <is>
          <t>6º PAV (PILOTIS) - CHURRASQUEIRA + IS MASC. PCD + IS FEM. PCD + CIRCULAÇÃO 1 + HALL 1</t>
        </is>
      </c>
      <c r="F1294" s="126" t="n">
        <v>46819</v>
      </c>
      <c r="G1294" s="126" t="n">
        <v>46832</v>
      </c>
      <c r="H1294" s="126" t="n">
        <v>46289</v>
      </c>
      <c r="I1294" s="4" t="n">
        <v>0</v>
      </c>
      <c r="J1294" s="4" t="n">
        <v>0</v>
      </c>
      <c r="K1294" s="4" t="n">
        <v>0</v>
      </c>
      <c r="M1294" s="2">
        <f>IF(C1294="","",IFERROR(INDEX($S$5:$S$304,MATCH(C1294,$R$5:$R$304,0))&amp;"","?"))</f>
        <v/>
      </c>
      <c r="N1294" s="2">
        <f>IF(E1294="","",IF(ISNUMBER(SEARCH("SUBSOLO",E1294)),IFERROR(-VALUE(LEFT(E1294,FIND("º",SUBSTITUTE(E1294,"°","º"))-1)),-1),IF(LEFT(E1294,6)="TÉRREO",0,IFERROR(VALUE(LEFT(E1294,FIND("º",SUBSTITUTE(E1294,"°","º"))-1)),""))))</f>
        <v/>
      </c>
      <c r="O1294" s="2">
        <f>IF(OR(F1294="",G1294=""),"",IF(G1294&lt;='RETRATO 2027'!$K$5,"CONCLUÍDA",IF(F1294&lt;='RETRATO 2027'!$K$5,"EM ANDAMENTO","A INICIAR")))</f>
        <v/>
      </c>
    </row>
    <row r="1295">
      <c r="B1295" s="4" t="n">
        <v>30205536</v>
      </c>
      <c r="C1295" s="4" t="inlineStr">
        <is>
          <t>ESQUADRIA DE ALUMÍNIO</t>
        </is>
      </c>
      <c r="D1295" s="4" t="inlineStr">
        <is>
          <t>-</t>
        </is>
      </c>
      <c r="E1295" s="4" t="inlineStr">
        <is>
          <t>TÉRREO - LOJA 7</t>
        </is>
      </c>
      <c r="F1295" s="126" t="n">
        <v>46822</v>
      </c>
      <c r="G1295" s="126" t="n">
        <v>46849</v>
      </c>
      <c r="H1295" s="126" t="n">
        <v>46289</v>
      </c>
      <c r="I1295" s="4" t="n">
        <v>0</v>
      </c>
      <c r="J1295" s="4" t="n">
        <v>0</v>
      </c>
      <c r="K1295" s="4" t="n">
        <v>0</v>
      </c>
      <c r="M1295" s="2">
        <f>IF(C1295="","",IFERROR(INDEX($S$5:$S$304,MATCH(C1295,$R$5:$R$304,0))&amp;"","?"))</f>
        <v/>
      </c>
      <c r="N1295" s="2">
        <f>IF(E1295="","",IF(ISNUMBER(SEARCH("SUBSOLO",E1295)),IFERROR(-VALUE(LEFT(E1295,FIND("º",SUBSTITUTE(E1295,"°","º"))-1)),-1),IF(LEFT(E1295,6)="TÉRREO",0,IFERROR(VALUE(LEFT(E1295,FIND("º",SUBSTITUTE(E1295,"°","º"))-1)),""))))</f>
        <v/>
      </c>
      <c r="O1295" s="2">
        <f>IF(OR(F1295="",G1295=""),"",IF(G1295&lt;='RETRATO 2027'!$K$5,"CONCLUÍDA",IF(F1295&lt;='RETRATO 2027'!$K$5,"EM ANDAMENTO","A INICIAR")))</f>
        <v/>
      </c>
    </row>
    <row r="1296">
      <c r="B1296" s="4" t="n">
        <v>30205794</v>
      </c>
      <c r="C1296" s="4" t="inlineStr">
        <is>
          <t>BANCADAS</t>
        </is>
      </c>
      <c r="D1296" s="4" t="inlineStr">
        <is>
          <t>-</t>
        </is>
      </c>
      <c r="E1296" s="4" t="inlineStr">
        <is>
          <t>TÉRREO - ACESSO COMERCIAL + DML + ARS + ÁREA TEC + LAVABO + DISPENSA</t>
        </is>
      </c>
      <c r="F1296" s="126" t="n">
        <v>46822</v>
      </c>
      <c r="G1296" s="126" t="n">
        <v>46835</v>
      </c>
      <c r="H1296" s="126" t="n">
        <v>46289</v>
      </c>
      <c r="I1296" s="4" t="n">
        <v>0</v>
      </c>
      <c r="J1296" s="4" t="n">
        <v>0</v>
      </c>
      <c r="K1296" s="4" t="n">
        <v>0</v>
      </c>
      <c r="M1296" s="2">
        <f>IF(C1296="","",IFERROR(INDEX($S$5:$S$304,MATCH(C1296,$R$5:$R$304,0))&amp;"","?"))</f>
        <v/>
      </c>
      <c r="N1296" s="2">
        <f>IF(E1296="","",IF(ISNUMBER(SEARCH("SUBSOLO",E1296)),IFERROR(-VALUE(LEFT(E1296,FIND("º",SUBSTITUTE(E1296,"°","º"))-1)),-1),IF(LEFT(E1296,6)="TÉRREO",0,IFERROR(VALUE(LEFT(E1296,FIND("º",SUBSTITUTE(E1296,"°","º"))-1)),""))))</f>
        <v/>
      </c>
      <c r="O1296" s="2">
        <f>IF(OR(F1296="",G1296=""),"",IF(G1296&lt;='RETRATO 2027'!$K$5,"CONCLUÍDA",IF(F1296&lt;='RETRATO 2027'!$K$5,"EM ANDAMENTO","A INICIAR")))</f>
        <v/>
      </c>
    </row>
    <row r="1297">
      <c r="B1297" s="4" t="n">
        <v>30205827</v>
      </c>
      <c r="C1297" s="4" t="inlineStr">
        <is>
          <t>REVESTIMENTO PORCELANATO PAREDE</t>
        </is>
      </c>
      <c r="D1297" s="4" t="inlineStr">
        <is>
          <t>-</t>
        </is>
      </c>
      <c r="E1297" s="4" t="inlineStr">
        <is>
          <t>TÉRREO - HALL SOCIAL + ECLUSA + CIRCULAÇÃO</t>
        </is>
      </c>
      <c r="F1297" s="126" t="n">
        <v>46822</v>
      </c>
      <c r="G1297" s="126" t="n">
        <v>46835</v>
      </c>
      <c r="H1297" s="126" t="n">
        <v>46289</v>
      </c>
      <c r="I1297" s="4" t="n">
        <v>0</v>
      </c>
      <c r="J1297" s="4" t="n">
        <v>0</v>
      </c>
      <c r="K1297" s="4" t="n">
        <v>0</v>
      </c>
      <c r="M1297" s="2">
        <f>IF(C1297="","",IFERROR(INDEX($S$5:$S$304,MATCH(C1297,$R$5:$R$304,0))&amp;"","?"))</f>
        <v/>
      </c>
      <c r="N1297" s="2">
        <f>IF(E1297="","",IF(ISNUMBER(SEARCH("SUBSOLO",E1297)),IFERROR(-VALUE(LEFT(E1297,FIND("º",SUBSTITUTE(E1297,"°","º"))-1)),-1),IF(LEFT(E1297,6)="TÉRREO",0,IFERROR(VALUE(LEFT(E1297,FIND("º",SUBSTITUTE(E1297,"°","º"))-1)),""))))</f>
        <v/>
      </c>
      <c r="O1297" s="2">
        <f>IF(OR(F1297="",G1297=""),"",IF(G1297&lt;='RETRATO 2027'!$K$5,"CONCLUÍDA",IF(F1297&lt;='RETRATO 2027'!$K$5,"EM ANDAMENTO","A INICIAR")))</f>
        <v/>
      </c>
    </row>
    <row r="1298">
      <c r="B1298" s="4" t="n">
        <v>34179693</v>
      </c>
      <c r="C1298" s="4" t="inlineStr">
        <is>
          <t>IMPERMEABILIZAÇÃO</t>
        </is>
      </c>
      <c r="D1298" s="4" t="inlineStr">
        <is>
          <t>-</t>
        </is>
      </c>
      <c r="E1298" s="4" t="inlineStr">
        <is>
          <t>TÉRREO ÁREA EXTERNA - COMERCIAL</t>
        </is>
      </c>
      <c r="F1298" s="126" t="n">
        <v>46822</v>
      </c>
      <c r="G1298" s="126" t="n">
        <v>46918</v>
      </c>
      <c r="H1298" s="126" t="n">
        <v>46289</v>
      </c>
      <c r="I1298" s="4" t="n">
        <v>0</v>
      </c>
      <c r="J1298" s="4" t="n">
        <v>0</v>
      </c>
      <c r="K1298" s="4" t="n">
        <v>0</v>
      </c>
      <c r="M1298" s="2">
        <f>IF(C1298="","",IFERROR(INDEX($S$5:$S$304,MATCH(C1298,$R$5:$R$304,0))&amp;"","?"))</f>
        <v/>
      </c>
      <c r="N1298" s="2">
        <f>IF(E1298="","",IF(ISNUMBER(SEARCH("SUBSOLO",E1298)),IFERROR(-VALUE(LEFT(E1298,FIND("º",SUBSTITUTE(E1298,"°","º"))-1)),-1),IF(LEFT(E1298,6)="TÉRREO",0,IFERROR(VALUE(LEFT(E1298,FIND("º",SUBSTITUTE(E1298,"°","º"))-1)),""))))</f>
        <v/>
      </c>
      <c r="O1298" s="2">
        <f>IF(OR(F1298="",G1298=""),"",IF(G1298&lt;='RETRATO 2027'!$K$5,"CONCLUÍDA",IF(F1298&lt;='RETRATO 2027'!$K$5,"EM ANDAMENTO","A INICIAR")))</f>
        <v/>
      </c>
    </row>
    <row r="1299">
      <c r="B1299" s="4" t="n">
        <v>30205759</v>
      </c>
      <c r="C1299" s="4" t="inlineStr">
        <is>
          <t>IMPERMEABILIZAÇÃO</t>
        </is>
      </c>
      <c r="D1299" s="4" t="inlineStr">
        <is>
          <t>-</t>
        </is>
      </c>
      <c r="E1299" s="4" t="inlineStr">
        <is>
          <t>TÉRREO - ÁREA EXTERNA RESIDENCIAL</t>
        </is>
      </c>
      <c r="F1299" s="126" t="n">
        <v>46822</v>
      </c>
      <c r="G1299" s="126" t="n">
        <v>46918</v>
      </c>
      <c r="H1299" s="126" t="n">
        <v>46289</v>
      </c>
      <c r="I1299" s="4" t="n">
        <v>0</v>
      </c>
      <c r="J1299" s="4" t="n">
        <v>0</v>
      </c>
      <c r="K1299" s="4" t="n">
        <v>0</v>
      </c>
      <c r="M1299" s="2">
        <f>IF(C1299="","",IFERROR(INDEX($S$5:$S$304,MATCH(C1299,$R$5:$R$304,0))&amp;"","?"))</f>
        <v/>
      </c>
      <c r="N1299" s="2">
        <f>IF(E1299="","",IF(ISNUMBER(SEARCH("SUBSOLO",E1299)),IFERROR(-VALUE(LEFT(E1299,FIND("º",SUBSTITUTE(E1299,"°","º"))-1)),-1),IF(LEFT(E1299,6)="TÉRREO",0,IFERROR(VALUE(LEFT(E1299,FIND("º",SUBSTITUTE(E1299,"°","º"))-1)),""))))</f>
        <v/>
      </c>
      <c r="O1299" s="2">
        <f>IF(OR(F1299="",G1299=""),"",IF(G1299&lt;='RETRATO 2027'!$K$5,"CONCLUÍDA",IF(F1299&lt;='RETRATO 2027'!$K$5,"EM ANDAMENTO","A INICIAR")))</f>
        <v/>
      </c>
    </row>
    <row r="1300">
      <c r="B1300" s="4" t="n">
        <v>30206102</v>
      </c>
      <c r="C1300" s="4" t="inlineStr">
        <is>
          <t>CONTRAMARCO</t>
        </is>
      </c>
      <c r="D1300" s="4" t="inlineStr">
        <is>
          <t>-</t>
        </is>
      </c>
      <c r="E1300" s="4" t="inlineStr">
        <is>
          <t>6º PAV (PILOTIS) - ACADEMIA</t>
        </is>
      </c>
      <c r="F1300" s="126" t="n">
        <v>46825</v>
      </c>
      <c r="G1300" s="126" t="n">
        <v>46829</v>
      </c>
      <c r="H1300" s="126" t="n">
        <v>46289</v>
      </c>
      <c r="I1300" s="4" t="n">
        <v>0</v>
      </c>
      <c r="J1300" s="4" t="n">
        <v>0</v>
      </c>
      <c r="K1300" s="4" t="n">
        <v>0</v>
      </c>
      <c r="M1300" s="2">
        <f>IF(C1300="","",IFERROR(INDEX($S$5:$S$304,MATCH(C1300,$R$5:$R$304,0))&amp;"","?"))</f>
        <v/>
      </c>
      <c r="N1300" s="2">
        <f>IF(E1300="","",IF(ISNUMBER(SEARCH("SUBSOLO",E1300)),IFERROR(-VALUE(LEFT(E1300,FIND("º",SUBSTITUTE(E1300,"°","º"))-1)),-1),IF(LEFT(E1300,6)="TÉRREO",0,IFERROR(VALUE(LEFT(E1300,FIND("º",SUBSTITUTE(E1300,"°","º"))-1)),""))))</f>
        <v/>
      </c>
      <c r="O1300" s="2">
        <f>IF(OR(F1300="",G1300=""),"",IF(G1300&lt;='RETRATO 2027'!$K$5,"CONCLUÍDA",IF(F1300&lt;='RETRATO 2027'!$K$5,"EM ANDAMENTO","A INICIAR")))</f>
        <v/>
      </c>
    </row>
    <row r="1301">
      <c r="B1301" s="4" t="n">
        <v>30206093</v>
      </c>
      <c r="C1301" s="4" t="inlineStr">
        <is>
          <t>DISTRIBUIÇÃO HIDROSSANITÁRIA</t>
        </is>
      </c>
      <c r="D1301" s="4" t="inlineStr">
        <is>
          <t>-</t>
        </is>
      </c>
      <c r="E1301" s="4" t="inlineStr">
        <is>
          <t>6º PAV (PILOTIS) - SAUNA + DUCHA</t>
        </is>
      </c>
      <c r="F1301" s="126" t="n">
        <v>46825</v>
      </c>
      <c r="G1301" s="126" t="n">
        <v>46836</v>
      </c>
      <c r="H1301" s="126" t="n">
        <v>46289</v>
      </c>
      <c r="I1301" s="4" t="n">
        <v>0</v>
      </c>
      <c r="J1301" s="4" t="n">
        <v>0</v>
      </c>
      <c r="K1301" s="4" t="n">
        <v>0</v>
      </c>
      <c r="M1301" s="2">
        <f>IF(C1301="","",IFERROR(INDEX($S$5:$S$304,MATCH(C1301,$R$5:$R$304,0))&amp;"","?"))</f>
        <v/>
      </c>
      <c r="N1301" s="2">
        <f>IF(E1301="","",IF(ISNUMBER(SEARCH("SUBSOLO",E1301)),IFERROR(-VALUE(LEFT(E1301,FIND("º",SUBSTITUTE(E1301,"°","º"))-1)),-1),IF(LEFT(E1301,6)="TÉRREO",0,IFERROR(VALUE(LEFT(E1301,FIND("º",SUBSTITUTE(E1301,"°","º"))-1)),""))))</f>
        <v/>
      </c>
      <c r="O1301" s="2">
        <f>IF(OR(F1301="",G1301=""),"",IF(G1301&lt;='RETRATO 2027'!$K$5,"CONCLUÍDA",IF(F1301&lt;='RETRATO 2027'!$K$5,"EM ANDAMENTO","A INICIAR")))</f>
        <v/>
      </c>
    </row>
    <row r="1302">
      <c r="B1302" s="4" t="n">
        <v>30206064</v>
      </c>
      <c r="C1302" s="4" t="inlineStr">
        <is>
          <t>DISTRIBUIÇÃO ELÉTRICA / QUADRO</t>
        </is>
      </c>
      <c r="D1302" s="4" t="inlineStr">
        <is>
          <t>-</t>
        </is>
      </c>
      <c r="E1302" s="4" t="inlineStr">
        <is>
          <t>6º PAV (PILOTIS) - SAUNA + DUCHA</t>
        </is>
      </c>
      <c r="F1302" s="126" t="n">
        <v>46825</v>
      </c>
      <c r="G1302" s="126" t="n">
        <v>46836</v>
      </c>
      <c r="H1302" s="126" t="n">
        <v>46289</v>
      </c>
      <c r="I1302" s="4" t="n">
        <v>0</v>
      </c>
      <c r="J1302" s="4" t="n">
        <v>0</v>
      </c>
      <c r="K1302" s="4" t="n">
        <v>0</v>
      </c>
      <c r="M1302" s="2">
        <f>IF(C1302="","",IFERROR(INDEX($S$5:$S$304,MATCH(C1302,$R$5:$R$304,0))&amp;"","?"))</f>
        <v/>
      </c>
      <c r="N1302" s="2">
        <f>IF(E1302="","",IF(ISNUMBER(SEARCH("SUBSOLO",E1302)),IFERROR(-VALUE(LEFT(E1302,FIND("º",SUBSTITUTE(E1302,"°","º"))-1)),-1),IF(LEFT(E1302,6)="TÉRREO",0,IFERROR(VALUE(LEFT(E1302,FIND("º",SUBSTITUTE(E1302,"°","º"))-1)),""))))</f>
        <v/>
      </c>
      <c r="O1302" s="2">
        <f>IF(OR(F1302="",G1302=""),"",IF(G1302&lt;='RETRATO 2027'!$K$5,"CONCLUÍDA",IF(F1302&lt;='RETRATO 2027'!$K$5,"EM ANDAMENTO","A INICIAR")))</f>
        <v/>
      </c>
    </row>
    <row r="1303">
      <c r="B1303" s="4" t="n">
        <v>30206044</v>
      </c>
      <c r="C1303" s="4" t="inlineStr">
        <is>
          <t>TALISCAMENTO</t>
        </is>
      </c>
      <c r="D1303" s="4" t="inlineStr">
        <is>
          <t>-</t>
        </is>
      </c>
      <c r="E1303" s="4" t="inlineStr">
        <is>
          <t>6º PAV (PILOTIS) - CHURRASQUEIRA + IS MASC. PCD + IS FEM. PCD + CIRCULAÇÃO 1 + HALL 1</t>
        </is>
      </c>
      <c r="F1303" s="126" t="n">
        <v>46825</v>
      </c>
      <c r="G1303" s="126" t="n">
        <v>46836</v>
      </c>
      <c r="H1303" s="126" t="n">
        <v>46289</v>
      </c>
      <c r="I1303" s="4" t="n">
        <v>0</v>
      </c>
      <c r="J1303" s="4" t="n">
        <v>0</v>
      </c>
      <c r="K1303" s="4" t="n">
        <v>0</v>
      </c>
      <c r="M1303" s="2">
        <f>IF(C1303="","",IFERROR(INDEX($S$5:$S$304,MATCH(C1303,$R$5:$R$304,0))&amp;"","?"))</f>
        <v/>
      </c>
      <c r="N1303" s="2">
        <f>IF(E1303="","",IF(ISNUMBER(SEARCH("SUBSOLO",E1303)),IFERROR(-VALUE(LEFT(E1303,FIND("º",SUBSTITUTE(E1303,"°","º"))-1)),-1),IF(LEFT(E1303,6)="TÉRREO",0,IFERROR(VALUE(LEFT(E1303,FIND("º",SUBSTITUTE(E1303,"°","º"))-1)),""))))</f>
        <v/>
      </c>
      <c r="O1303" s="2">
        <f>IF(OR(F1303="",G1303=""),"",IF(G1303&lt;='RETRATO 2027'!$K$5,"CONCLUÍDA",IF(F1303&lt;='RETRATO 2027'!$K$5,"EM ANDAMENTO","A INICIAR")))</f>
        <v/>
      </c>
    </row>
    <row r="1304">
      <c r="B1304" s="4" t="n">
        <v>31790592</v>
      </c>
      <c r="C1304" s="4" t="inlineStr">
        <is>
          <t>FACHADA AERADA - F1 + F2 (2º ETAPA)</t>
        </is>
      </c>
      <c r="D1304" s="4" t="inlineStr">
        <is>
          <t>-</t>
        </is>
      </c>
      <c r="E1304" s="4" t="inlineStr">
        <is>
          <t>FACHADA</t>
        </is>
      </c>
      <c r="F1304" s="126" t="n">
        <v>46825</v>
      </c>
      <c r="G1304" s="126" t="n">
        <v>46868</v>
      </c>
      <c r="H1304" s="126" t="n">
        <v>46289</v>
      </c>
      <c r="I1304" s="4" t="n">
        <v>0</v>
      </c>
      <c r="J1304" s="4" t="n">
        <v>0</v>
      </c>
      <c r="K1304" s="4" t="n">
        <v>0</v>
      </c>
      <c r="M1304" s="2">
        <f>IF(C1304="","",IFERROR(INDEX($S$5:$S$304,MATCH(C1304,$R$5:$R$304,0))&amp;"","?"))</f>
        <v/>
      </c>
      <c r="N1304" s="2">
        <f>IF(E1304="","",IF(ISNUMBER(SEARCH("SUBSOLO",E1304)),IFERROR(-VALUE(LEFT(E1304,FIND("º",SUBSTITUTE(E1304,"°","º"))-1)),-1),IF(LEFT(E1304,6)="TÉRREO",0,IFERROR(VALUE(LEFT(E1304,FIND("º",SUBSTITUTE(E1304,"°","º"))-1)),""))))</f>
        <v/>
      </c>
      <c r="O1304" s="2">
        <f>IF(OR(F1304="",G1304=""),"",IF(G1304&lt;='RETRATO 2027'!$K$5,"CONCLUÍDA",IF(F1304&lt;='RETRATO 2027'!$K$5,"EM ANDAMENTO","A INICIAR")))</f>
        <v/>
      </c>
    </row>
    <row r="1305">
      <c r="B1305" s="4" t="n">
        <v>29981537</v>
      </c>
      <c r="C1305" s="4" t="inlineStr">
        <is>
          <t>LIMPEZA GROSSA</t>
        </is>
      </c>
      <c r="D1305" s="4" t="inlineStr">
        <is>
          <t>-</t>
        </is>
      </c>
      <c r="E1305" s="4" t="inlineStr">
        <is>
          <t>7º PAV.</t>
        </is>
      </c>
      <c r="F1305" s="126" t="n">
        <v>46826</v>
      </c>
      <c r="G1305" s="126" t="n">
        <v>46836</v>
      </c>
      <c r="H1305" s="126" t="n">
        <v>46289</v>
      </c>
      <c r="I1305" s="4" t="n">
        <v>0</v>
      </c>
      <c r="J1305" s="4" t="n">
        <v>0</v>
      </c>
      <c r="K1305" s="4" t="n">
        <v>0</v>
      </c>
      <c r="M1305" s="2">
        <f>IF(C1305="","",IFERROR(INDEX($S$5:$S$304,MATCH(C1305,$R$5:$R$304,0))&amp;"","?"))</f>
        <v/>
      </c>
      <c r="N1305" s="2">
        <f>IF(E1305="","",IF(ISNUMBER(SEARCH("SUBSOLO",E1305)),IFERROR(-VALUE(LEFT(E1305,FIND("º",SUBSTITUTE(E1305,"°","º"))-1)),-1),IF(LEFT(E1305,6)="TÉRREO",0,IFERROR(VALUE(LEFT(E1305,FIND("º",SUBSTITUTE(E1305,"°","º"))-1)),""))))</f>
        <v/>
      </c>
      <c r="O1305" s="2">
        <f>IF(OR(F1305="",G1305=""),"",IF(G1305&lt;='RETRATO 2027'!$K$5,"CONCLUÍDA",IF(F1305&lt;='RETRATO 2027'!$K$5,"EM ANDAMENTO","A INICIAR")))</f>
        <v/>
      </c>
    </row>
    <row r="1306">
      <c r="B1306" s="4" t="n">
        <v>29981494</v>
      </c>
      <c r="C1306" s="4" t="inlineStr">
        <is>
          <t>LOUÇAS</t>
        </is>
      </c>
      <c r="D1306" s="4" t="inlineStr">
        <is>
          <t>-</t>
        </is>
      </c>
      <c r="E1306" s="4" t="inlineStr">
        <is>
          <t>8º PAV.</t>
        </is>
      </c>
      <c r="F1306" s="126" t="n">
        <v>46826</v>
      </c>
      <c r="G1306" s="126" t="n">
        <v>46836</v>
      </c>
      <c r="H1306" s="126" t="n">
        <v>46289</v>
      </c>
      <c r="I1306" s="4" t="n">
        <v>0</v>
      </c>
      <c r="J1306" s="4" t="n">
        <v>0</v>
      </c>
      <c r="K1306" s="4" t="n">
        <v>0</v>
      </c>
      <c r="M1306" s="2">
        <f>IF(C1306="","",IFERROR(INDEX($S$5:$S$304,MATCH(C1306,$R$5:$R$304,0))&amp;"","?"))</f>
        <v/>
      </c>
      <c r="N1306" s="2">
        <f>IF(E1306="","",IF(ISNUMBER(SEARCH("SUBSOLO",E1306)),IFERROR(-VALUE(LEFT(E1306,FIND("º",SUBSTITUTE(E1306,"°","º"))-1)),-1),IF(LEFT(E1306,6)="TÉRREO",0,IFERROR(VALUE(LEFT(E1306,FIND("º",SUBSTITUTE(E1306,"°","º"))-1)),""))))</f>
        <v/>
      </c>
      <c r="O1306" s="2">
        <f>IF(OR(F1306="",G1306=""),"",IF(G1306&lt;='RETRATO 2027'!$K$5,"CONCLUÍDA",IF(F1306&lt;='RETRATO 2027'!$K$5,"EM ANDAMENTO","A INICIAR")))</f>
        <v/>
      </c>
    </row>
    <row r="1307">
      <c r="B1307" s="4" t="n">
        <v>29981499</v>
      </c>
      <c r="C1307" s="4" t="inlineStr">
        <is>
          <t>METAIS</t>
        </is>
      </c>
      <c r="D1307" s="4" t="inlineStr">
        <is>
          <t>-</t>
        </is>
      </c>
      <c r="E1307" s="4" t="inlineStr">
        <is>
          <t>8º PAV.</t>
        </is>
      </c>
      <c r="F1307" s="126" t="n">
        <v>46826</v>
      </c>
      <c r="G1307" s="126" t="n">
        <v>46836</v>
      </c>
      <c r="H1307" s="126" t="n">
        <v>46289</v>
      </c>
      <c r="I1307" s="4" t="n">
        <v>0</v>
      </c>
      <c r="J1307" s="4" t="n">
        <v>0</v>
      </c>
      <c r="K1307" s="4" t="n">
        <v>0</v>
      </c>
      <c r="M1307" s="2">
        <f>IF(C1307="","",IFERROR(INDEX($S$5:$S$304,MATCH(C1307,$R$5:$R$304,0))&amp;"","?"))</f>
        <v/>
      </c>
      <c r="N1307" s="2">
        <f>IF(E1307="","",IF(ISNUMBER(SEARCH("SUBSOLO",E1307)),IFERROR(-VALUE(LEFT(E1307,FIND("º",SUBSTITUTE(E1307,"°","º"))-1)),-1),IF(LEFT(E1307,6)="TÉRREO",0,IFERROR(VALUE(LEFT(E1307,FIND("º",SUBSTITUTE(E1307,"°","º"))-1)),""))))</f>
        <v/>
      </c>
      <c r="O1307" s="2">
        <f>IF(OR(F1307="",G1307=""),"",IF(G1307&lt;='RETRATO 2027'!$K$5,"CONCLUÍDA",IF(F1307&lt;='RETRATO 2027'!$K$5,"EM ANDAMENTO","A INICIAR")))</f>
        <v/>
      </c>
    </row>
    <row r="1308">
      <c r="B1308" s="4" t="n">
        <v>29981498</v>
      </c>
      <c r="C1308" s="4" t="inlineStr">
        <is>
          <t>DISJUNTORES / MIOLOS</t>
        </is>
      </c>
      <c r="D1308" s="4" t="inlineStr">
        <is>
          <t>-</t>
        </is>
      </c>
      <c r="E1308" s="4" t="inlineStr">
        <is>
          <t>8º PAV.</t>
        </is>
      </c>
      <c r="F1308" s="126" t="n">
        <v>46826</v>
      </c>
      <c r="G1308" s="126" t="n">
        <v>46836</v>
      </c>
      <c r="H1308" s="126" t="n">
        <v>46289</v>
      </c>
      <c r="I1308" s="4" t="n">
        <v>0</v>
      </c>
      <c r="J1308" s="4" t="n">
        <v>0</v>
      </c>
      <c r="K1308" s="4" t="n">
        <v>0</v>
      </c>
      <c r="M1308" s="2">
        <f>IF(C1308="","",IFERROR(INDEX($S$5:$S$304,MATCH(C1308,$R$5:$R$304,0))&amp;"","?"))</f>
        <v/>
      </c>
      <c r="N1308" s="2">
        <f>IF(E1308="","",IF(ISNUMBER(SEARCH("SUBSOLO",E1308)),IFERROR(-VALUE(LEFT(E1308,FIND("º",SUBSTITUTE(E1308,"°","º"))-1)),-1),IF(LEFT(E1308,6)="TÉRREO",0,IFERROR(VALUE(LEFT(E1308,FIND("º",SUBSTITUTE(E1308,"°","º"))-1)),""))))</f>
        <v/>
      </c>
      <c r="O1308" s="2">
        <f>IF(OR(F1308="",G1308=""),"",IF(G1308&lt;='RETRATO 2027'!$K$5,"CONCLUÍDA",IF(F1308&lt;='RETRATO 2027'!$K$5,"EM ANDAMENTO","A INICIAR")))</f>
        <v/>
      </c>
    </row>
    <row r="1309">
      <c r="B1309" s="4" t="n">
        <v>29981497</v>
      </c>
      <c r="C1309" s="4" t="inlineStr">
        <is>
          <t>COMUNICAÇÃO E ALARME</t>
        </is>
      </c>
      <c r="D1309" s="4" t="inlineStr">
        <is>
          <t>-</t>
        </is>
      </c>
      <c r="E1309" s="4" t="inlineStr">
        <is>
          <t>8º PAV.</t>
        </is>
      </c>
      <c r="F1309" s="126" t="n">
        <v>46826</v>
      </c>
      <c r="G1309" s="126" t="n">
        <v>46836</v>
      </c>
      <c r="H1309" s="126" t="n">
        <v>46289</v>
      </c>
      <c r="I1309" s="4" t="n">
        <v>0</v>
      </c>
      <c r="J1309" s="4" t="n">
        <v>0</v>
      </c>
      <c r="K1309" s="4" t="n">
        <v>0</v>
      </c>
      <c r="M1309" s="2">
        <f>IF(C1309="","",IFERROR(INDEX($S$5:$S$304,MATCH(C1309,$R$5:$R$304,0))&amp;"","?"))</f>
        <v/>
      </c>
      <c r="N1309" s="2">
        <f>IF(E1309="","",IF(ISNUMBER(SEARCH("SUBSOLO",E1309)),IFERROR(-VALUE(LEFT(E1309,FIND("º",SUBSTITUTE(E1309,"°","º"))-1)),-1),IF(LEFT(E1309,6)="TÉRREO",0,IFERROR(VALUE(LEFT(E1309,FIND("º",SUBSTITUTE(E1309,"°","º"))-1)),""))))</f>
        <v/>
      </c>
      <c r="O1309" s="2">
        <f>IF(OR(F1309="",G1309=""),"",IF(G1309&lt;='RETRATO 2027'!$K$5,"CONCLUÍDA",IF(F1309&lt;='RETRATO 2027'!$K$5,"EM ANDAMENTO","A INICIAR")))</f>
        <v/>
      </c>
    </row>
    <row r="1310">
      <c r="B1310" s="4" t="n">
        <v>29981456</v>
      </c>
      <c r="C1310" s="4" t="inlineStr">
        <is>
          <t>RODAPÉ MADEIRA / PVC</t>
        </is>
      </c>
      <c r="D1310" s="4" t="inlineStr">
        <is>
          <t>-</t>
        </is>
      </c>
      <c r="E1310" s="4" t="inlineStr">
        <is>
          <t>9º PAV.</t>
        </is>
      </c>
      <c r="F1310" s="126" t="n">
        <v>46826</v>
      </c>
      <c r="G1310" s="126" t="n">
        <v>46836</v>
      </c>
      <c r="H1310" s="126" t="n">
        <v>46289</v>
      </c>
      <c r="I1310" s="4" t="n">
        <v>0</v>
      </c>
      <c r="J1310" s="4" t="n">
        <v>0</v>
      </c>
      <c r="K1310" s="4" t="n">
        <v>0</v>
      </c>
      <c r="M1310" s="2">
        <f>IF(C1310="","",IFERROR(INDEX($S$5:$S$304,MATCH(C1310,$R$5:$R$304,0))&amp;"","?"))</f>
        <v/>
      </c>
      <c r="N1310" s="2">
        <f>IF(E1310="","",IF(ISNUMBER(SEARCH("SUBSOLO",E1310)),IFERROR(-VALUE(LEFT(E1310,FIND("º",SUBSTITUTE(E1310,"°","º"))-1)),-1),IF(LEFT(E1310,6)="TÉRREO",0,IFERROR(VALUE(LEFT(E1310,FIND("º",SUBSTITUTE(E1310,"°","º"))-1)),""))))</f>
        <v/>
      </c>
      <c r="O1310" s="2">
        <f>IF(OR(F1310="",G1310=""),"",IF(G1310&lt;='RETRATO 2027'!$K$5,"CONCLUÍDA",IF(F1310&lt;='RETRATO 2027'!$K$5,"EM ANDAMENTO","A INICIAR")))</f>
        <v/>
      </c>
    </row>
    <row r="1311">
      <c r="B1311" s="4" t="n">
        <v>29981418</v>
      </c>
      <c r="C1311" s="4" t="inlineStr">
        <is>
          <t>ESQUADRIA MADEIRA</t>
        </is>
      </c>
      <c r="D1311" s="4" t="inlineStr">
        <is>
          <t>-</t>
        </is>
      </c>
      <c r="E1311" s="4" t="inlineStr">
        <is>
          <t>10º PAV.</t>
        </is>
      </c>
      <c r="F1311" s="126" t="n">
        <v>46826</v>
      </c>
      <c r="G1311" s="126" t="n">
        <v>46836</v>
      </c>
      <c r="H1311" s="126" t="n">
        <v>46289</v>
      </c>
      <c r="I1311" s="4" t="n">
        <v>0</v>
      </c>
      <c r="J1311" s="4" t="n">
        <v>0</v>
      </c>
      <c r="K1311" s="4" t="n">
        <v>0</v>
      </c>
      <c r="M1311" s="2">
        <f>IF(C1311="","",IFERROR(INDEX($S$5:$S$304,MATCH(C1311,$R$5:$R$304,0))&amp;"","?"))</f>
        <v/>
      </c>
      <c r="N1311" s="2">
        <f>IF(E1311="","",IF(ISNUMBER(SEARCH("SUBSOLO",E1311)),IFERROR(-VALUE(LEFT(E1311,FIND("º",SUBSTITUTE(E1311,"°","º"))-1)),-1),IF(LEFT(E1311,6)="TÉRREO",0,IFERROR(VALUE(LEFT(E1311,FIND("º",SUBSTITUTE(E1311,"°","º"))-1)),""))))</f>
        <v/>
      </c>
      <c r="O1311" s="2">
        <f>IF(OR(F1311="",G1311=""),"",IF(G1311&lt;='RETRATO 2027'!$K$5,"CONCLUÍDA",IF(F1311&lt;='RETRATO 2027'!$K$5,"EM ANDAMENTO","A INICIAR")))</f>
        <v/>
      </c>
    </row>
    <row r="1312">
      <c r="B1312" s="4" t="n">
        <v>29981380</v>
      </c>
      <c r="C1312" s="4" t="inlineStr">
        <is>
          <t>PISO VINÍLICO / LAMINADO</t>
        </is>
      </c>
      <c r="D1312" s="4" t="inlineStr">
        <is>
          <t>-</t>
        </is>
      </c>
      <c r="E1312" s="4" t="inlineStr">
        <is>
          <t>11º PAV.</t>
        </is>
      </c>
      <c r="F1312" s="126" t="n">
        <v>46826</v>
      </c>
      <c r="G1312" s="126" t="n">
        <v>46836</v>
      </c>
      <c r="H1312" s="126" t="n">
        <v>46289</v>
      </c>
      <c r="I1312" s="4" t="n">
        <v>0</v>
      </c>
      <c r="J1312" s="4" t="n">
        <v>0</v>
      </c>
      <c r="K1312" s="4" t="n">
        <v>0</v>
      </c>
      <c r="M1312" s="2">
        <f>IF(C1312="","",IFERROR(INDEX($S$5:$S$304,MATCH(C1312,$R$5:$R$304,0))&amp;"","?"))</f>
        <v/>
      </c>
      <c r="N1312" s="2">
        <f>IF(E1312="","",IF(ISNUMBER(SEARCH("SUBSOLO",E1312)),IFERROR(-VALUE(LEFT(E1312,FIND("º",SUBSTITUTE(E1312,"°","º"))-1)),-1),IF(LEFT(E1312,6)="TÉRREO",0,IFERROR(VALUE(LEFT(E1312,FIND("º",SUBSTITUTE(E1312,"°","º"))-1)),""))))</f>
        <v/>
      </c>
      <c r="O1312" s="2">
        <f>IF(OR(F1312="",G1312=""),"",IF(G1312&lt;='RETRATO 2027'!$K$5,"CONCLUÍDA",IF(F1312&lt;='RETRATO 2027'!$K$5,"EM ANDAMENTO","A INICIAR")))</f>
        <v/>
      </c>
    </row>
    <row r="1313">
      <c r="B1313" s="4" t="n">
        <v>29981342</v>
      </c>
      <c r="C1313" s="4" t="inlineStr">
        <is>
          <t>PINTURA 1º DEMÃO</t>
        </is>
      </c>
      <c r="D1313" s="4" t="inlineStr">
        <is>
          <t>-</t>
        </is>
      </c>
      <c r="E1313" s="4" t="inlineStr">
        <is>
          <t>12º PAV.</t>
        </is>
      </c>
      <c r="F1313" s="126" t="n">
        <v>46826</v>
      </c>
      <c r="G1313" s="126" t="n">
        <v>46836</v>
      </c>
      <c r="H1313" s="126" t="n">
        <v>46289</v>
      </c>
      <c r="I1313" s="4" t="n">
        <v>0</v>
      </c>
      <c r="J1313" s="4" t="n">
        <v>0</v>
      </c>
      <c r="K1313" s="4" t="n">
        <v>0</v>
      </c>
      <c r="M1313" s="2">
        <f>IF(C1313="","",IFERROR(INDEX($S$5:$S$304,MATCH(C1313,$R$5:$R$304,0))&amp;"","?"))</f>
        <v/>
      </c>
      <c r="N1313" s="2">
        <f>IF(E1313="","",IF(ISNUMBER(SEARCH("SUBSOLO",E1313)),IFERROR(-VALUE(LEFT(E1313,FIND("º",SUBSTITUTE(E1313,"°","º"))-1)),-1),IF(LEFT(E1313,6)="TÉRREO",0,IFERROR(VALUE(LEFT(E1313,FIND("º",SUBSTITUTE(E1313,"°","º"))-1)),""))))</f>
        <v/>
      </c>
      <c r="O1313" s="2">
        <f>IF(OR(F1313="",G1313=""),"",IF(G1313&lt;='RETRATO 2027'!$K$5,"CONCLUÍDA",IF(F1313&lt;='RETRATO 2027'!$K$5,"EM ANDAMENTO","A INICIAR")))</f>
        <v/>
      </c>
    </row>
    <row r="1314">
      <c r="B1314" s="4" t="n">
        <v>29981331</v>
      </c>
      <c r="C1314" s="4" t="inlineStr">
        <is>
          <t>MASSA CORRIDA</t>
        </is>
      </c>
      <c r="D1314" s="4" t="inlineStr">
        <is>
          <t>-</t>
        </is>
      </c>
      <c r="E1314" s="4" t="inlineStr">
        <is>
          <t>13º PAV.</t>
        </is>
      </c>
      <c r="F1314" s="126" t="n">
        <v>46826</v>
      </c>
      <c r="G1314" s="126" t="n">
        <v>46836</v>
      </c>
      <c r="H1314" s="126" t="n">
        <v>46289</v>
      </c>
      <c r="I1314" s="4" t="n">
        <v>0</v>
      </c>
      <c r="J1314" s="4" t="n">
        <v>0</v>
      </c>
      <c r="K1314" s="4" t="n">
        <v>0</v>
      </c>
      <c r="M1314" s="2">
        <f>IF(C1314="","",IFERROR(INDEX($S$5:$S$304,MATCH(C1314,$R$5:$R$304,0))&amp;"","?"))</f>
        <v/>
      </c>
      <c r="N1314" s="2">
        <f>IF(E1314="","",IF(ISNUMBER(SEARCH("SUBSOLO",E1314)),IFERROR(-VALUE(LEFT(E1314,FIND("º",SUBSTITUTE(E1314,"°","º"))-1)),-1),IF(LEFT(E1314,6)="TÉRREO",0,IFERROR(VALUE(LEFT(E1314,FIND("º",SUBSTITUTE(E1314,"°","º"))-1)),""))))</f>
        <v/>
      </c>
      <c r="O1314" s="2">
        <f>IF(OR(F1314="",G1314=""),"",IF(G1314&lt;='RETRATO 2027'!$K$5,"CONCLUÍDA",IF(F1314&lt;='RETRATO 2027'!$K$5,"EM ANDAMENTO","A INICIAR")))</f>
        <v/>
      </c>
    </row>
    <row r="1315">
      <c r="B1315" s="4" t="n">
        <v>33898095</v>
      </c>
      <c r="C1315" s="4" t="inlineStr">
        <is>
          <t>ESQUADRIA DE ALUMÍNIO</t>
        </is>
      </c>
      <c r="D1315" s="4" t="inlineStr">
        <is>
          <t>-</t>
        </is>
      </c>
      <c r="E1315" s="4" t="inlineStr">
        <is>
          <t>14º PAV.</t>
        </is>
      </c>
      <c r="F1315" s="126" t="n">
        <v>46826</v>
      </c>
      <c r="G1315" s="126" t="n">
        <v>46836</v>
      </c>
      <c r="H1315" s="126" t="n">
        <v>46289</v>
      </c>
      <c r="I1315" s="4" t="n">
        <v>0</v>
      </c>
      <c r="J1315" s="4" t="n">
        <v>0</v>
      </c>
      <c r="K1315" s="4" t="n">
        <v>0</v>
      </c>
      <c r="M1315" s="2">
        <f>IF(C1315="","",IFERROR(INDEX($S$5:$S$304,MATCH(C1315,$R$5:$R$304,0))&amp;"","?"))</f>
        <v/>
      </c>
      <c r="N1315" s="2">
        <f>IF(E1315="","",IF(ISNUMBER(SEARCH("SUBSOLO",E1315)),IFERROR(-VALUE(LEFT(E1315,FIND("º",SUBSTITUTE(E1315,"°","º"))-1)),-1),IF(LEFT(E1315,6)="TÉRREO",0,IFERROR(VALUE(LEFT(E1315,FIND("º",SUBSTITUTE(E1315,"°","º"))-1)),""))))</f>
        <v/>
      </c>
      <c r="O1315" s="2">
        <f>IF(OR(F1315="",G1315=""),"",IF(G1315&lt;='RETRATO 2027'!$K$5,"CONCLUÍDA",IF(F1315&lt;='RETRATO 2027'!$K$5,"EM ANDAMENTO","A INICIAR")))</f>
        <v/>
      </c>
    </row>
    <row r="1316">
      <c r="B1316" s="4" t="n">
        <v>30205699</v>
      </c>
      <c r="C1316" s="4" t="inlineStr">
        <is>
          <t>PINTURA 1º DEMÃO</t>
        </is>
      </c>
      <c r="D1316" s="4" t="inlineStr">
        <is>
          <t>-</t>
        </is>
      </c>
      <c r="E1316" s="4" t="inlineStr">
        <is>
          <t>TÉRREO - LOJA 1</t>
        </is>
      </c>
      <c r="F1316" s="126" t="n">
        <v>46827</v>
      </c>
      <c r="G1316" s="126" t="n">
        <v>46840</v>
      </c>
      <c r="H1316" s="126" t="n">
        <v>46289</v>
      </c>
      <c r="I1316" s="4" t="n">
        <v>0</v>
      </c>
      <c r="J1316" s="4" t="n">
        <v>0</v>
      </c>
      <c r="K1316" s="4" t="n">
        <v>0</v>
      </c>
      <c r="M1316" s="2">
        <f>IF(C1316="","",IFERROR(INDEX($S$5:$S$304,MATCH(C1316,$R$5:$R$304,0))&amp;"","?"))</f>
        <v/>
      </c>
      <c r="N1316" s="2">
        <f>IF(E1316="","",IF(ISNUMBER(SEARCH("SUBSOLO",E1316)),IFERROR(-VALUE(LEFT(E1316,FIND("º",SUBSTITUTE(E1316,"°","º"))-1)),-1),IF(LEFT(E1316,6)="TÉRREO",0,IFERROR(VALUE(LEFT(E1316,FIND("º",SUBSTITUTE(E1316,"°","º"))-1)),""))))</f>
        <v/>
      </c>
      <c r="O1316" s="2">
        <f>IF(OR(F1316="",G1316=""),"",IF(G1316&lt;='RETRATO 2027'!$K$5,"CONCLUÍDA",IF(F1316&lt;='RETRATO 2027'!$K$5,"EM ANDAMENTO","A INICIAR")))</f>
        <v/>
      </c>
    </row>
    <row r="1317">
      <c r="B1317" s="4" t="n">
        <v>29981144</v>
      </c>
      <c r="C1317" s="4" t="inlineStr">
        <is>
          <t>FORRO</t>
        </is>
      </c>
      <c r="D1317" s="4" t="inlineStr">
        <is>
          <t>-</t>
        </is>
      </c>
      <c r="E1317" s="4" t="inlineStr">
        <is>
          <t>18º PAV.</t>
        </is>
      </c>
      <c r="F1317" s="126" t="n">
        <v>46827</v>
      </c>
      <c r="G1317" s="126" t="n">
        <v>46839</v>
      </c>
      <c r="H1317" s="126" t="n">
        <v>46289</v>
      </c>
      <c r="I1317" s="4" t="n">
        <v>0</v>
      </c>
      <c r="J1317" s="4" t="n">
        <v>0</v>
      </c>
      <c r="K1317" s="4" t="n">
        <v>0</v>
      </c>
      <c r="M1317" s="2">
        <f>IF(C1317="","",IFERROR(INDEX($S$5:$S$304,MATCH(C1317,$R$5:$R$304,0))&amp;"","?"))</f>
        <v/>
      </c>
      <c r="N1317" s="2">
        <f>IF(E1317="","",IF(ISNUMBER(SEARCH("SUBSOLO",E1317)),IFERROR(-VALUE(LEFT(E1317,FIND("º",SUBSTITUTE(E1317,"°","º"))-1)),-1),IF(LEFT(E1317,6)="TÉRREO",0,IFERROR(VALUE(LEFT(E1317,FIND("º",SUBSTITUTE(E1317,"°","º"))-1)),""))))</f>
        <v/>
      </c>
      <c r="O1317" s="2">
        <f>IF(OR(F1317="",G1317=""),"",IF(G1317&lt;='RETRATO 2027'!$K$5,"CONCLUÍDA",IF(F1317&lt;='RETRATO 2027'!$K$5,"EM ANDAMENTO","A INICIAR")))</f>
        <v/>
      </c>
    </row>
    <row r="1318">
      <c r="B1318" s="4" t="n">
        <v>29981068</v>
      </c>
      <c r="C1318" s="4" t="inlineStr">
        <is>
          <t>FIAÇÃO ELÉTRICA</t>
        </is>
      </c>
      <c r="D1318" s="4" t="inlineStr">
        <is>
          <t>-</t>
        </is>
      </c>
      <c r="E1318" s="4" t="inlineStr">
        <is>
          <t>20º PAV.</t>
        </is>
      </c>
      <c r="F1318" s="126" t="n">
        <v>46827</v>
      </c>
      <c r="G1318" s="126" t="n">
        <v>46839</v>
      </c>
      <c r="H1318" s="126" t="n">
        <v>46289</v>
      </c>
      <c r="I1318" s="4" t="n">
        <v>0</v>
      </c>
      <c r="J1318" s="4" t="n">
        <v>0</v>
      </c>
      <c r="K1318" s="4" t="n">
        <v>0</v>
      </c>
      <c r="M1318" s="2">
        <f>IF(C1318="","",IFERROR(INDEX($S$5:$S$304,MATCH(C1318,$R$5:$R$304,0))&amp;"","?"))</f>
        <v/>
      </c>
      <c r="N1318" s="2">
        <f>IF(E1318="","",IF(ISNUMBER(SEARCH("SUBSOLO",E1318)),IFERROR(-VALUE(LEFT(E1318,FIND("º",SUBSTITUTE(E1318,"°","º"))-1)),-1),IF(LEFT(E1318,6)="TÉRREO",0,IFERROR(VALUE(LEFT(E1318,FIND("º",SUBSTITUTE(E1318,"°","º"))-1)),""))))</f>
        <v/>
      </c>
      <c r="O1318" s="2">
        <f>IF(OR(F1318="",G1318=""),"",IF(G1318&lt;='RETRATO 2027'!$K$5,"CONCLUÍDA",IF(F1318&lt;='RETRATO 2027'!$K$5,"EM ANDAMENTO","A INICIAR")))</f>
        <v/>
      </c>
    </row>
    <row r="1319">
      <c r="B1319" s="4" t="n">
        <v>29981073</v>
      </c>
      <c r="C1319" s="4" t="inlineStr">
        <is>
          <t>PRUMADA ELÉTRICA - CABOS</t>
        </is>
      </c>
      <c r="D1319" s="4" t="inlineStr">
        <is>
          <t>-</t>
        </is>
      </c>
      <c r="E1319" s="4" t="inlineStr">
        <is>
          <t>20º PAV.</t>
        </is>
      </c>
      <c r="F1319" s="126" t="n">
        <v>46827</v>
      </c>
      <c r="G1319" s="126" t="n">
        <v>46839</v>
      </c>
      <c r="H1319" s="126" t="n">
        <v>46289</v>
      </c>
      <c r="I1319" s="4" t="n">
        <v>0</v>
      </c>
      <c r="J1319" s="4" t="n">
        <v>0</v>
      </c>
      <c r="K1319" s="4" t="n">
        <v>0</v>
      </c>
      <c r="M1319" s="2">
        <f>IF(C1319="","",IFERROR(INDEX($S$5:$S$304,MATCH(C1319,$R$5:$R$304,0))&amp;"","?"))</f>
        <v/>
      </c>
      <c r="N1319" s="2">
        <f>IF(E1319="","",IF(ISNUMBER(SEARCH("SUBSOLO",E1319)),IFERROR(-VALUE(LEFT(E1319,FIND("º",SUBSTITUTE(E1319,"°","º"))-1)),-1),IF(LEFT(E1319,6)="TÉRREO",0,IFERROR(VALUE(LEFT(E1319,FIND("º",SUBSTITUTE(E1319,"°","º"))-1)),""))))</f>
        <v/>
      </c>
      <c r="O1319" s="2">
        <f>IF(OR(F1319="",G1319=""),"",IF(G1319&lt;='RETRATO 2027'!$K$5,"CONCLUÍDA",IF(F1319&lt;='RETRATO 2027'!$K$5,"EM ANDAMENTO","A INICIAR")))</f>
        <v/>
      </c>
    </row>
    <row r="1320">
      <c r="B1320" s="4" t="n">
        <v>30214082</v>
      </c>
      <c r="C1320" s="4" t="inlineStr">
        <is>
          <t>FIAÇÃO TELECOM/DADOS</t>
        </is>
      </c>
      <c r="D1320" s="4" t="inlineStr">
        <is>
          <t>-</t>
        </is>
      </c>
      <c r="E1320" s="4" t="inlineStr">
        <is>
          <t>20º PAV.</t>
        </is>
      </c>
      <c r="F1320" s="126" t="n">
        <v>46827</v>
      </c>
      <c r="G1320" s="126" t="n">
        <v>46840</v>
      </c>
      <c r="H1320" s="126" t="n">
        <v>46289</v>
      </c>
      <c r="I1320" s="4" t="n">
        <v>0</v>
      </c>
      <c r="J1320" s="4" t="n">
        <v>0</v>
      </c>
      <c r="K1320" s="4" t="n">
        <v>0</v>
      </c>
      <c r="M1320" s="2">
        <f>IF(C1320="","",IFERROR(INDEX($S$5:$S$304,MATCH(C1320,$R$5:$R$304,0))&amp;"","?"))</f>
        <v/>
      </c>
      <c r="N1320" s="2">
        <f>IF(E1320="","",IF(ISNUMBER(SEARCH("SUBSOLO",E1320)),IFERROR(-VALUE(LEFT(E1320,FIND("º",SUBSTITUTE(E1320,"°","º"))-1)),-1),IF(LEFT(E1320,6)="TÉRREO",0,IFERROR(VALUE(LEFT(E1320,FIND("º",SUBSTITUTE(E1320,"°","º"))-1)),""))))</f>
        <v/>
      </c>
      <c r="O1320" s="2">
        <f>IF(OR(F1320="",G1320=""),"",IF(G1320&lt;='RETRATO 2027'!$K$5,"CONCLUÍDA",IF(F1320&lt;='RETRATO 2027'!$K$5,"EM ANDAMENTO","A INICIAR")))</f>
        <v/>
      </c>
    </row>
    <row r="1321">
      <c r="B1321" s="4" t="n">
        <v>29981015</v>
      </c>
      <c r="C1321" s="4" t="inlineStr">
        <is>
          <t>BANCADAS</t>
        </is>
      </c>
      <c r="D1321" s="4" t="inlineStr">
        <is>
          <t>-</t>
        </is>
      </c>
      <c r="E1321" s="4" t="inlineStr">
        <is>
          <t>21º PAV.</t>
        </is>
      </c>
      <c r="F1321" s="126" t="n">
        <v>46827</v>
      </c>
      <c r="G1321" s="126" t="n">
        <v>46839</v>
      </c>
      <c r="H1321" s="126" t="n">
        <v>46289</v>
      </c>
      <c r="I1321" s="4" t="n">
        <v>0</v>
      </c>
      <c r="J1321" s="4" t="n">
        <v>0</v>
      </c>
      <c r="K1321" s="4" t="n">
        <v>0</v>
      </c>
      <c r="M1321" s="2">
        <f>IF(C1321="","",IFERROR(INDEX($S$5:$S$304,MATCH(C1321,$R$5:$R$304,0))&amp;"","?"))</f>
        <v/>
      </c>
      <c r="N1321" s="2">
        <f>IF(E1321="","",IF(ISNUMBER(SEARCH("SUBSOLO",E1321)),IFERROR(-VALUE(LEFT(E1321,FIND("º",SUBSTITUTE(E1321,"°","º"))-1)),-1),IF(LEFT(E1321,6)="TÉRREO",0,IFERROR(VALUE(LEFT(E1321,FIND("º",SUBSTITUTE(E1321,"°","º"))-1)),""))))</f>
        <v/>
      </c>
      <c r="O1321" s="2">
        <f>IF(OR(F1321="",G1321=""),"",IF(G1321&lt;='RETRATO 2027'!$K$5,"CONCLUÍDA",IF(F1321&lt;='RETRATO 2027'!$K$5,"EM ANDAMENTO","A INICIAR")))</f>
        <v/>
      </c>
    </row>
    <row r="1322">
      <c r="B1322" s="4" t="n">
        <v>29980977</v>
      </c>
      <c r="C1322" s="4" t="inlineStr">
        <is>
          <t>REVESTIMENTOS PORCELANATO PISO</t>
        </is>
      </c>
      <c r="D1322" s="4" t="inlineStr">
        <is>
          <t>-</t>
        </is>
      </c>
      <c r="E1322" s="4" t="inlineStr">
        <is>
          <t>22º PAV.</t>
        </is>
      </c>
      <c r="F1322" s="126" t="n">
        <v>46827</v>
      </c>
      <c r="G1322" s="126" t="n">
        <v>46839</v>
      </c>
      <c r="H1322" s="126" t="n">
        <v>46289</v>
      </c>
      <c r="I1322" s="4" t="n">
        <v>0</v>
      </c>
      <c r="J1322" s="4" t="n">
        <v>0</v>
      </c>
      <c r="K1322" s="4" t="n">
        <v>0</v>
      </c>
      <c r="M1322" s="2">
        <f>IF(C1322="","",IFERROR(INDEX($S$5:$S$304,MATCH(C1322,$R$5:$R$304,0))&amp;"","?"))</f>
        <v/>
      </c>
      <c r="N1322" s="2">
        <f>IF(E1322="","",IF(ISNUMBER(SEARCH("SUBSOLO",E1322)),IFERROR(-VALUE(LEFT(E1322,FIND("º",SUBSTITUTE(E1322,"°","º"))-1)),-1),IF(LEFT(E1322,6)="TÉRREO",0,IFERROR(VALUE(LEFT(E1322,FIND("º",SUBSTITUTE(E1322,"°","º"))-1)),""))))</f>
        <v/>
      </c>
      <c r="O1322" s="2">
        <f>IF(OR(F1322="",G1322=""),"",IF(G1322&lt;='RETRATO 2027'!$K$5,"CONCLUÍDA",IF(F1322&lt;='RETRATO 2027'!$K$5,"EM ANDAMENTO","A INICIAR")))</f>
        <v/>
      </c>
    </row>
    <row r="1323">
      <c r="B1323" s="4" t="n">
        <v>29980956</v>
      </c>
      <c r="C1323" s="4" t="inlineStr">
        <is>
          <t>REVESTIMENTO PORCELANATO PAREDE</t>
        </is>
      </c>
      <c r="D1323" s="4" t="inlineStr">
        <is>
          <t>-</t>
        </is>
      </c>
      <c r="E1323" s="4" t="inlineStr">
        <is>
          <t>23º PAV.</t>
        </is>
      </c>
      <c r="F1323" s="126" t="n">
        <v>46827</v>
      </c>
      <c r="G1323" s="126" t="n">
        <v>46839</v>
      </c>
      <c r="H1323" s="126" t="n">
        <v>46289</v>
      </c>
      <c r="I1323" s="4" t="n">
        <v>0</v>
      </c>
      <c r="J1323" s="4" t="n">
        <v>0</v>
      </c>
      <c r="K1323" s="4" t="n">
        <v>0</v>
      </c>
      <c r="M1323" s="2">
        <f>IF(C1323="","",IFERROR(INDEX($S$5:$S$304,MATCH(C1323,$R$5:$R$304,0))&amp;"","?"))</f>
        <v/>
      </c>
      <c r="N1323" s="2">
        <f>IF(E1323="","",IF(ISNUMBER(SEARCH("SUBSOLO",E1323)),IFERROR(-VALUE(LEFT(E1323,FIND("º",SUBSTITUTE(E1323,"°","º"))-1)),-1),IF(LEFT(E1323,6)="TÉRREO",0,IFERROR(VALUE(LEFT(E1323,FIND("º",SUBSTITUTE(E1323,"°","º"))-1)),""))))</f>
        <v/>
      </c>
      <c r="O1323" s="2">
        <f>IF(OR(F1323="",G1323=""),"",IF(G1323&lt;='RETRATO 2027'!$K$5,"CONCLUÍDA",IF(F1323&lt;='RETRATO 2027'!$K$5,"EM ANDAMENTO","A INICIAR")))</f>
        <v/>
      </c>
    </row>
    <row r="1324">
      <c r="B1324" s="4" t="n">
        <v>29980917</v>
      </c>
      <c r="C1324" s="4" t="inlineStr">
        <is>
          <t>IMPERMEABILIZAÇÃO</t>
        </is>
      </c>
      <c r="D1324" s="4" t="inlineStr">
        <is>
          <t>-</t>
        </is>
      </c>
      <c r="E1324" s="4" t="inlineStr">
        <is>
          <t>24º PAV.</t>
        </is>
      </c>
      <c r="F1324" s="126" t="n">
        <v>46827</v>
      </c>
      <c r="G1324" s="126" t="n">
        <v>46839</v>
      </c>
      <c r="H1324" s="126" t="n">
        <v>46289</v>
      </c>
      <c r="I1324" s="4" t="n">
        <v>0</v>
      </c>
      <c r="J1324" s="4" t="n">
        <v>0</v>
      </c>
      <c r="K1324" s="4" t="n">
        <v>0</v>
      </c>
      <c r="M1324" s="2">
        <f>IF(C1324="","",IFERROR(INDEX($S$5:$S$304,MATCH(C1324,$R$5:$R$304,0))&amp;"","?"))</f>
        <v/>
      </c>
      <c r="N1324" s="2">
        <f>IF(E1324="","",IF(ISNUMBER(SEARCH("SUBSOLO",E1324)),IFERROR(-VALUE(LEFT(E1324,FIND("º",SUBSTITUTE(E1324,"°","º"))-1)),-1),IF(LEFT(E1324,6)="TÉRREO",0,IFERROR(VALUE(LEFT(E1324,FIND("º",SUBSTITUTE(E1324,"°","º"))-1)),""))))</f>
        <v/>
      </c>
      <c r="O1324" s="2">
        <f>IF(OR(F1324="",G1324=""),"",IF(G1324&lt;='RETRATO 2027'!$K$5,"CONCLUÍDA",IF(F1324&lt;='RETRATO 2027'!$K$5,"EM ANDAMENTO","A INICIAR")))</f>
        <v/>
      </c>
    </row>
    <row r="1325">
      <c r="B1325" s="4" t="n">
        <v>32750451</v>
      </c>
      <c r="C1325" s="4" t="inlineStr">
        <is>
          <t>DRYWALL 2º FACE</t>
        </is>
      </c>
      <c r="D1325" s="4" t="inlineStr">
        <is>
          <t>-</t>
        </is>
      </c>
      <c r="E1325" s="4" t="inlineStr">
        <is>
          <t>25º PAV.</t>
        </is>
      </c>
      <c r="F1325" s="126" t="n">
        <v>46827</v>
      </c>
      <c r="G1325" s="126" t="n">
        <v>46839</v>
      </c>
      <c r="H1325" s="126" t="n">
        <v>46289</v>
      </c>
      <c r="I1325" s="4" t="n">
        <v>0</v>
      </c>
      <c r="J1325" s="4" t="n">
        <v>0</v>
      </c>
      <c r="K1325" s="4" t="n">
        <v>0</v>
      </c>
      <c r="M1325" s="2">
        <f>IF(C1325="","",IFERROR(INDEX($S$5:$S$304,MATCH(C1325,$R$5:$R$304,0))&amp;"","?"))</f>
        <v/>
      </c>
      <c r="N1325" s="2">
        <f>IF(E1325="","",IF(ISNUMBER(SEARCH("SUBSOLO",E1325)),IFERROR(-VALUE(LEFT(E1325,FIND("º",SUBSTITUTE(E1325,"°","º"))-1)),-1),IF(LEFT(E1325,6)="TÉRREO",0,IFERROR(VALUE(LEFT(E1325,FIND("º",SUBSTITUTE(E1325,"°","º"))-1)),""))))</f>
        <v/>
      </c>
      <c r="O1325" s="2">
        <f>IF(OR(F1325="",G1325=""),"",IF(G1325&lt;='RETRATO 2027'!$K$5,"CONCLUÍDA",IF(F1325&lt;='RETRATO 2027'!$K$5,"EM ANDAMENTO","A INICIAR")))</f>
        <v/>
      </c>
    </row>
    <row r="1326">
      <c r="B1326" s="4" t="n">
        <v>32750374</v>
      </c>
      <c r="C1326" s="4" t="inlineStr">
        <is>
          <t>DISTRIBUIÇÃO DE GÁS - DRYWALL</t>
        </is>
      </c>
      <c r="D1326" s="4" t="inlineStr">
        <is>
          <t>-</t>
        </is>
      </c>
      <c r="E1326" s="4" t="inlineStr">
        <is>
          <t>26º PAV.</t>
        </is>
      </c>
      <c r="F1326" s="126" t="n">
        <v>46827</v>
      </c>
      <c r="G1326" s="126" t="n">
        <v>46839</v>
      </c>
      <c r="H1326" s="126" t="n">
        <v>46289</v>
      </c>
      <c r="I1326" s="4" t="n">
        <v>0</v>
      </c>
      <c r="J1326" s="4" t="n">
        <v>0</v>
      </c>
      <c r="K1326" s="4" t="n">
        <v>0</v>
      </c>
      <c r="M1326" s="2">
        <f>IF(C1326="","",IFERROR(INDEX($S$5:$S$304,MATCH(C1326,$R$5:$R$304,0))&amp;"","?"))</f>
        <v/>
      </c>
      <c r="N1326" s="2">
        <f>IF(E1326="","",IF(ISNUMBER(SEARCH("SUBSOLO",E1326)),IFERROR(-VALUE(LEFT(E1326,FIND("º",SUBSTITUTE(E1326,"°","º"))-1)),-1),IF(LEFT(E1326,6)="TÉRREO",0,IFERROR(VALUE(LEFT(E1326,FIND("º",SUBSTITUTE(E1326,"°","º"))-1)),""))))</f>
        <v/>
      </c>
      <c r="O1326" s="2">
        <f>IF(OR(F1326="",G1326=""),"",IF(G1326&lt;='RETRATO 2027'!$K$5,"CONCLUÍDA",IF(F1326&lt;='RETRATO 2027'!$K$5,"EM ANDAMENTO","A INICIAR")))</f>
        <v/>
      </c>
    </row>
    <row r="1327">
      <c r="B1327" s="4" t="n">
        <v>32750400</v>
      </c>
      <c r="C1327" s="4" t="inlineStr">
        <is>
          <t>DISTRIBUIÇÃO ELÉTRICA/QUADRO - DRYWALL</t>
        </is>
      </c>
      <c r="D1327" s="4" t="inlineStr">
        <is>
          <t>-</t>
        </is>
      </c>
      <c r="E1327" s="4" t="inlineStr">
        <is>
          <t>26º PAV.</t>
        </is>
      </c>
      <c r="F1327" s="126" t="n">
        <v>46827</v>
      </c>
      <c r="G1327" s="126" t="n">
        <v>46839</v>
      </c>
      <c r="H1327" s="126" t="n">
        <v>46289</v>
      </c>
      <c r="I1327" s="4" t="n">
        <v>0</v>
      </c>
      <c r="J1327" s="4" t="n">
        <v>0</v>
      </c>
      <c r="K1327" s="4" t="n">
        <v>0</v>
      </c>
      <c r="M1327" s="2">
        <f>IF(C1327="","",IFERROR(INDEX($S$5:$S$304,MATCH(C1327,$R$5:$R$304,0))&amp;"","?"))</f>
        <v/>
      </c>
      <c r="N1327" s="2">
        <f>IF(E1327="","",IF(ISNUMBER(SEARCH("SUBSOLO",E1327)),IFERROR(-VALUE(LEFT(E1327,FIND("º",SUBSTITUTE(E1327,"°","º"))-1)),-1),IF(LEFT(E1327,6)="TÉRREO",0,IFERROR(VALUE(LEFT(E1327,FIND("º",SUBSTITUTE(E1327,"°","º"))-1)),""))))</f>
        <v/>
      </c>
      <c r="O1327" s="2">
        <f>IF(OR(F1327="",G1327=""),"",IF(G1327&lt;='RETRATO 2027'!$K$5,"CONCLUÍDA",IF(F1327&lt;='RETRATO 2027'!$K$5,"EM ANDAMENTO","A INICIAR")))</f>
        <v/>
      </c>
    </row>
    <row r="1328">
      <c r="B1328" s="4" t="n">
        <v>32750426</v>
      </c>
      <c r="C1328" s="4" t="inlineStr">
        <is>
          <t>DISTRIBUIÇÃO HIDRÁULICA - DRYWALL</t>
        </is>
      </c>
      <c r="D1328" s="4" t="inlineStr">
        <is>
          <t>-</t>
        </is>
      </c>
      <c r="E1328" s="4" t="inlineStr">
        <is>
          <t>26º PAV.</t>
        </is>
      </c>
      <c r="F1328" s="126" t="n">
        <v>46827</v>
      </c>
      <c r="G1328" s="126" t="n">
        <v>46839</v>
      </c>
      <c r="H1328" s="126" t="n">
        <v>46289</v>
      </c>
      <c r="I1328" s="4" t="n">
        <v>0</v>
      </c>
      <c r="J1328" s="4" t="n">
        <v>0</v>
      </c>
      <c r="K1328" s="4" t="n">
        <v>0</v>
      </c>
      <c r="M1328" s="2">
        <f>IF(C1328="","",IFERROR(INDEX($S$5:$S$304,MATCH(C1328,$R$5:$R$304,0))&amp;"","?"))</f>
        <v/>
      </c>
      <c r="N1328" s="2">
        <f>IF(E1328="","",IF(ISNUMBER(SEARCH("SUBSOLO",E1328)),IFERROR(-VALUE(LEFT(E1328,FIND("º",SUBSTITUTE(E1328,"°","º"))-1)),-1),IF(LEFT(E1328,6)="TÉRREO",0,IFERROR(VALUE(LEFT(E1328,FIND("º",SUBSTITUTE(E1328,"°","º"))-1)),""))))</f>
        <v/>
      </c>
      <c r="O1328" s="2">
        <f>IF(OR(F1328="",G1328=""),"",IF(G1328&lt;='RETRATO 2027'!$K$5,"CONCLUÍDA",IF(F1328&lt;='RETRATO 2027'!$K$5,"EM ANDAMENTO","A INICIAR")))</f>
        <v/>
      </c>
    </row>
    <row r="1329">
      <c r="B1329" s="4" t="n">
        <v>33896844</v>
      </c>
      <c r="C1329" s="4" t="inlineStr">
        <is>
          <t>INFRAESTRUTURA - AR CONDICIONADO</t>
        </is>
      </c>
      <c r="D1329" s="4" t="inlineStr">
        <is>
          <t>-</t>
        </is>
      </c>
      <c r="E1329" s="4" t="inlineStr">
        <is>
          <t>26º PAV.</t>
        </is>
      </c>
      <c r="F1329" s="126" t="n">
        <v>46827</v>
      </c>
      <c r="G1329" s="126" t="n">
        <v>46839</v>
      </c>
      <c r="H1329" s="126" t="n">
        <v>46289</v>
      </c>
      <c r="I1329" s="4" t="n">
        <v>0</v>
      </c>
      <c r="J1329" s="4" t="n">
        <v>0</v>
      </c>
      <c r="K1329" s="4" t="n">
        <v>0</v>
      </c>
      <c r="M1329" s="2">
        <f>IF(C1329="","",IFERROR(INDEX($S$5:$S$304,MATCH(C1329,$R$5:$R$304,0))&amp;"","?"))</f>
        <v/>
      </c>
      <c r="N1329" s="2">
        <f>IF(E1329="","",IF(ISNUMBER(SEARCH("SUBSOLO",E1329)),IFERROR(-VALUE(LEFT(E1329,FIND("º",SUBSTITUTE(E1329,"°","º"))-1)),-1),IF(LEFT(E1329,6)="TÉRREO",0,IFERROR(VALUE(LEFT(E1329,FIND("º",SUBSTITUTE(E1329,"°","º"))-1)),""))))</f>
        <v/>
      </c>
      <c r="O1329" s="2">
        <f>IF(OR(F1329="",G1329=""),"",IF(G1329&lt;='RETRATO 2027'!$K$5,"CONCLUÍDA",IF(F1329&lt;='RETRATO 2027'!$K$5,"EM ANDAMENTO","A INICIAR")))</f>
        <v/>
      </c>
    </row>
    <row r="1330">
      <c r="B1330" s="4" t="n">
        <v>32749870</v>
      </c>
      <c r="C1330" s="4" t="inlineStr">
        <is>
          <t>DRYWALL 1º FACE</t>
        </is>
      </c>
      <c r="D1330" s="4" t="inlineStr">
        <is>
          <t>-</t>
        </is>
      </c>
      <c r="E1330" s="4" t="inlineStr">
        <is>
          <t>27º PAV.</t>
        </is>
      </c>
      <c r="F1330" s="126" t="n">
        <v>46827</v>
      </c>
      <c r="G1330" s="126" t="n">
        <v>46839</v>
      </c>
      <c r="H1330" s="126" t="n">
        <v>46289</v>
      </c>
      <c r="I1330" s="4" t="n">
        <v>0</v>
      </c>
      <c r="J1330" s="4" t="n">
        <v>0</v>
      </c>
      <c r="K1330" s="4" t="n">
        <v>0</v>
      </c>
      <c r="M1330" s="2">
        <f>IF(C1330="","",IFERROR(INDEX($S$5:$S$304,MATCH(C1330,$R$5:$R$304,0))&amp;"","?"))</f>
        <v/>
      </c>
      <c r="N1330" s="2">
        <f>IF(E1330="","",IF(ISNUMBER(SEARCH("SUBSOLO",E1330)),IFERROR(-VALUE(LEFT(E1330,FIND("º",SUBSTITUTE(E1330,"°","º"))-1)),-1),IF(LEFT(E1330,6)="TÉRREO",0,IFERROR(VALUE(LEFT(E1330,FIND("º",SUBSTITUTE(E1330,"°","º"))-1)),""))))</f>
        <v/>
      </c>
      <c r="O1330" s="2">
        <f>IF(OR(F1330="",G1330=""),"",IF(G1330&lt;='RETRATO 2027'!$K$5,"CONCLUÍDA",IF(F1330&lt;='RETRATO 2027'!$K$5,"EM ANDAMENTO","A INICIAR")))</f>
        <v/>
      </c>
    </row>
    <row r="1331">
      <c r="B1331" s="4" t="n">
        <v>29980770</v>
      </c>
      <c r="C1331" s="4" t="inlineStr">
        <is>
          <t>CONTRAPISO</t>
        </is>
      </c>
      <c r="D1331" s="4" t="inlineStr">
        <is>
          <t>-</t>
        </is>
      </c>
      <c r="E1331" s="4" t="inlineStr">
        <is>
          <t>28º PAV.</t>
        </is>
      </c>
      <c r="F1331" s="126" t="n">
        <v>46827</v>
      </c>
      <c r="G1331" s="126" t="n">
        <v>46839</v>
      </c>
      <c r="H1331" s="126" t="n">
        <v>46289</v>
      </c>
      <c r="I1331" s="4" t="n">
        <v>0</v>
      </c>
      <c r="J1331" s="4" t="n">
        <v>0</v>
      </c>
      <c r="K1331" s="4" t="n">
        <v>0</v>
      </c>
      <c r="M1331" s="2">
        <f>IF(C1331="","",IFERROR(INDEX($S$5:$S$304,MATCH(C1331,$R$5:$R$304,0))&amp;"","?"))</f>
        <v/>
      </c>
      <c r="N1331" s="2">
        <f>IF(E1331="","",IF(ISNUMBER(SEARCH("SUBSOLO",E1331)),IFERROR(-VALUE(LEFT(E1331,FIND("º",SUBSTITUTE(E1331,"°","º"))-1)),-1),IF(LEFT(E1331,6)="TÉRREO",0,IFERROR(VALUE(LEFT(E1331,FIND("º",SUBSTITUTE(E1331,"°","º"))-1)),""))))</f>
        <v/>
      </c>
      <c r="O1331" s="2">
        <f>IF(OR(F1331="",G1331=""),"",IF(G1331&lt;='RETRATO 2027'!$K$5,"CONCLUÍDA",IF(F1331&lt;='RETRATO 2027'!$K$5,"EM ANDAMENTO","A INICIAR")))</f>
        <v/>
      </c>
    </row>
    <row r="1332">
      <c r="B1332" s="4" t="n">
        <v>29980710</v>
      </c>
      <c r="C1332" s="4" t="inlineStr">
        <is>
          <t>SHAFT INTERNO INST. HIDRAÚLICAS</t>
        </is>
      </c>
      <c r="D1332" s="4" t="inlineStr">
        <is>
          <t>-</t>
        </is>
      </c>
      <c r="E1332" s="4" t="inlineStr">
        <is>
          <t>29º PAV.</t>
        </is>
      </c>
      <c r="F1332" s="126" t="n">
        <v>46827</v>
      </c>
      <c r="G1332" s="126" t="n">
        <v>46839</v>
      </c>
      <c r="H1332" s="126" t="n">
        <v>46289</v>
      </c>
      <c r="I1332" s="4" t="n">
        <v>0</v>
      </c>
      <c r="J1332" s="4" t="n">
        <v>0</v>
      </c>
      <c r="K1332" s="4" t="n">
        <v>0</v>
      </c>
      <c r="M1332" s="2">
        <f>IF(C1332="","",IFERROR(INDEX($S$5:$S$304,MATCH(C1332,$R$5:$R$304,0))&amp;"","?"))</f>
        <v/>
      </c>
      <c r="N1332" s="2">
        <f>IF(E1332="","",IF(ISNUMBER(SEARCH("SUBSOLO",E1332)),IFERROR(-VALUE(LEFT(E1332,FIND("º",SUBSTITUTE(E1332,"°","º"))-1)),-1),IF(LEFT(E1332,6)="TÉRREO",0,IFERROR(VALUE(LEFT(E1332,FIND("º",SUBSTITUTE(E1332,"°","º"))-1)),""))))</f>
        <v/>
      </c>
      <c r="O1332" s="2">
        <f>IF(OR(F1332="",G1332=""),"",IF(G1332&lt;='RETRATO 2027'!$K$5,"CONCLUÍDA",IF(F1332&lt;='RETRATO 2027'!$K$5,"EM ANDAMENTO","A INICIAR")))</f>
        <v/>
      </c>
    </row>
    <row r="1333">
      <c r="B1333" s="4" t="n">
        <v>29980743</v>
      </c>
      <c r="C1333" s="4" t="inlineStr">
        <is>
          <t>PRUMADA ELÉTRICA - INFRA</t>
        </is>
      </c>
      <c r="D1333" s="4" t="inlineStr">
        <is>
          <t>-</t>
        </is>
      </c>
      <c r="E1333" s="4" t="inlineStr">
        <is>
          <t>29º PAV.</t>
        </is>
      </c>
      <c r="F1333" s="126" t="n">
        <v>46827</v>
      </c>
      <c r="G1333" s="126" t="n">
        <v>46839</v>
      </c>
      <c r="H1333" s="126" t="n">
        <v>46289</v>
      </c>
      <c r="I1333" s="4" t="n">
        <v>0</v>
      </c>
      <c r="J1333" s="4" t="n">
        <v>0</v>
      </c>
      <c r="K1333" s="4" t="n">
        <v>0</v>
      </c>
      <c r="M1333" s="2">
        <f>IF(C1333="","",IFERROR(INDEX($S$5:$S$304,MATCH(C1333,$R$5:$R$304,0))&amp;"","?"))</f>
        <v/>
      </c>
      <c r="N1333" s="2">
        <f>IF(E1333="","",IF(ISNUMBER(SEARCH("SUBSOLO",E1333)),IFERROR(-VALUE(LEFT(E1333,FIND("º",SUBSTITUTE(E1333,"°","º"))-1)),-1),IF(LEFT(E1333,6)="TÉRREO",0,IFERROR(VALUE(LEFT(E1333,FIND("º",SUBSTITUTE(E1333,"°","º"))-1)),""))))</f>
        <v/>
      </c>
      <c r="O1333" s="2">
        <f>IF(OR(F1333="",G1333=""),"",IF(G1333&lt;='RETRATO 2027'!$K$5,"CONCLUÍDA",IF(F1333&lt;='RETRATO 2027'!$K$5,"EM ANDAMENTO","A INICIAR")))</f>
        <v/>
      </c>
    </row>
    <row r="1334">
      <c r="B1334" s="4" t="n">
        <v>29980672</v>
      </c>
      <c r="C1334" s="4" t="inlineStr">
        <is>
          <t>REBOCO INTERNO</t>
        </is>
      </c>
      <c r="D1334" s="4" t="inlineStr">
        <is>
          <t>-</t>
        </is>
      </c>
      <c r="E1334" s="4" t="inlineStr">
        <is>
          <t>30º PAV.</t>
        </is>
      </c>
      <c r="F1334" s="126" t="n">
        <v>46827</v>
      </c>
      <c r="G1334" s="126" t="n">
        <v>46839</v>
      </c>
      <c r="H1334" s="126" t="n">
        <v>46289</v>
      </c>
      <c r="I1334" s="4" t="n">
        <v>0</v>
      </c>
      <c r="J1334" s="4" t="n">
        <v>0</v>
      </c>
      <c r="K1334" s="4" t="n">
        <v>0</v>
      </c>
      <c r="M1334" s="2">
        <f>IF(C1334="","",IFERROR(INDEX($S$5:$S$304,MATCH(C1334,$R$5:$R$304,0))&amp;"","?"))</f>
        <v/>
      </c>
      <c r="N1334" s="2">
        <f>IF(E1334="","",IF(ISNUMBER(SEARCH("SUBSOLO",E1334)),IFERROR(-VALUE(LEFT(E1334,FIND("º",SUBSTITUTE(E1334,"°","º"))-1)),-1),IF(LEFT(E1334,6)="TÉRREO",0,IFERROR(VALUE(LEFT(E1334,FIND("º",SUBSTITUTE(E1334,"°","º"))-1)),""))))</f>
        <v/>
      </c>
      <c r="O1334" s="2">
        <f>IF(OR(F1334="",G1334=""),"",IF(G1334&lt;='RETRATO 2027'!$K$5,"CONCLUÍDA",IF(F1334&lt;='RETRATO 2027'!$K$5,"EM ANDAMENTO","A INICIAR")))</f>
        <v/>
      </c>
    </row>
    <row r="1335">
      <c r="B1335" s="4" t="n">
        <v>29980638</v>
      </c>
      <c r="C1335" s="4" t="inlineStr">
        <is>
          <t>CONTRAMARCO</t>
        </is>
      </c>
      <c r="D1335" s="4" t="inlineStr">
        <is>
          <t>-</t>
        </is>
      </c>
      <c r="E1335" s="4" t="inlineStr">
        <is>
          <t>31º PAV. - COBERTURA LINEAR</t>
        </is>
      </c>
      <c r="F1335" s="126" t="n">
        <v>46827</v>
      </c>
      <c r="G1335" s="126" t="n">
        <v>46839</v>
      </c>
      <c r="H1335" s="126" t="n">
        <v>46289</v>
      </c>
      <c r="I1335" s="4" t="n">
        <v>0</v>
      </c>
      <c r="J1335" s="4" t="n">
        <v>0</v>
      </c>
      <c r="K1335" s="4" t="n">
        <v>0</v>
      </c>
      <c r="M1335" s="2">
        <f>IF(C1335="","",IFERROR(INDEX($S$5:$S$304,MATCH(C1335,$R$5:$R$304,0))&amp;"","?"))</f>
        <v/>
      </c>
      <c r="N1335" s="2">
        <f>IF(E1335="","",IF(ISNUMBER(SEARCH("SUBSOLO",E1335)),IFERROR(-VALUE(LEFT(E1335,FIND("º",SUBSTITUTE(E1335,"°","º"))-1)),-1),IF(LEFT(E1335,6)="TÉRREO",0,IFERROR(VALUE(LEFT(E1335,FIND("º",SUBSTITUTE(E1335,"°","º"))-1)),""))))</f>
        <v/>
      </c>
      <c r="O1335" s="2">
        <f>IF(OR(F1335="",G1335=""),"",IF(G1335&lt;='RETRATO 2027'!$K$5,"CONCLUÍDA",IF(F1335&lt;='RETRATO 2027'!$K$5,"EM ANDAMENTO","A INICIAR")))</f>
        <v/>
      </c>
    </row>
    <row r="1336">
      <c r="B1336" s="4" t="n">
        <v>29980631</v>
      </c>
      <c r="C1336" s="4" t="inlineStr">
        <is>
          <t>DISTRIBUIÇÃO HIDROSSANITÁRIA</t>
        </is>
      </c>
      <c r="D1336" s="4" t="inlineStr">
        <is>
          <t>-</t>
        </is>
      </c>
      <c r="E1336" s="4" t="inlineStr">
        <is>
          <t>32º PAV - COBERTURA GERAL</t>
        </is>
      </c>
      <c r="F1336" s="126" t="n">
        <v>46827</v>
      </c>
      <c r="G1336" s="126" t="n">
        <v>46839</v>
      </c>
      <c r="H1336" s="126" t="n">
        <v>46289</v>
      </c>
      <c r="I1336" s="4" t="n">
        <v>0</v>
      </c>
      <c r="J1336" s="4" t="n">
        <v>0</v>
      </c>
      <c r="K1336" s="4" t="n">
        <v>0</v>
      </c>
      <c r="M1336" s="2">
        <f>IF(C1336="","",IFERROR(INDEX($S$5:$S$304,MATCH(C1336,$R$5:$R$304,0))&amp;"","?"))</f>
        <v/>
      </c>
      <c r="N1336" s="2">
        <f>IF(E1336="","",IF(ISNUMBER(SEARCH("SUBSOLO",E1336)),IFERROR(-VALUE(LEFT(E1336,FIND("º",SUBSTITUTE(E1336,"°","º"))-1)),-1),IF(LEFT(E1336,6)="TÉRREO",0,IFERROR(VALUE(LEFT(E1336,FIND("º",SUBSTITUTE(E1336,"°","º"))-1)),""))))</f>
        <v/>
      </c>
      <c r="O1336" s="2">
        <f>IF(OR(F1336="",G1336=""),"",IF(G1336&lt;='RETRATO 2027'!$K$5,"CONCLUÍDA",IF(F1336&lt;='RETRATO 2027'!$K$5,"EM ANDAMENTO","A INICIAR")))</f>
        <v/>
      </c>
    </row>
    <row r="1337">
      <c r="B1337" s="4" t="n">
        <v>29980600</v>
      </c>
      <c r="C1337" s="4" t="inlineStr">
        <is>
          <t>DISTRIBUIÇÃO ELÉTRICA / QUADRO</t>
        </is>
      </c>
      <c r="D1337" s="4" t="inlineStr">
        <is>
          <t>-</t>
        </is>
      </c>
      <c r="E1337" s="4" t="inlineStr">
        <is>
          <t>32º PAV - COBERTURA GERAL</t>
        </is>
      </c>
      <c r="F1337" s="126" t="n">
        <v>46827</v>
      </c>
      <c r="G1337" s="126" t="n">
        <v>46839</v>
      </c>
      <c r="H1337" s="126" t="n">
        <v>46289</v>
      </c>
      <c r="I1337" s="4" t="n">
        <v>0</v>
      </c>
      <c r="J1337" s="4" t="n">
        <v>0</v>
      </c>
      <c r="K1337" s="4" t="n">
        <v>0</v>
      </c>
      <c r="M1337" s="2">
        <f>IF(C1337="","",IFERROR(INDEX($S$5:$S$304,MATCH(C1337,$R$5:$R$304,0))&amp;"","?"))</f>
        <v/>
      </c>
      <c r="N1337" s="2">
        <f>IF(E1337="","",IF(ISNUMBER(SEARCH("SUBSOLO",E1337)),IFERROR(-VALUE(LEFT(E1337,FIND("º",SUBSTITUTE(E1337,"°","º"))-1)),-1),IF(LEFT(E1337,6)="TÉRREO",0,IFERROR(VALUE(LEFT(E1337,FIND("º",SUBSTITUTE(E1337,"°","º"))-1)),""))))</f>
        <v/>
      </c>
      <c r="O1337" s="2">
        <f>IF(OR(F1337="",G1337=""),"",IF(G1337&lt;='RETRATO 2027'!$K$5,"CONCLUÍDA",IF(F1337&lt;='RETRATO 2027'!$K$5,"EM ANDAMENTO","A INICIAR")))</f>
        <v/>
      </c>
    </row>
    <row r="1338">
      <c r="B1338" s="4" t="n">
        <v>29980633</v>
      </c>
      <c r="C1338" s="4" t="inlineStr">
        <is>
          <t>DISTRIBUIÇÃO DE GÁS</t>
        </is>
      </c>
      <c r="D1338" s="4" t="inlineStr">
        <is>
          <t>-</t>
        </is>
      </c>
      <c r="E1338" s="4" t="inlineStr">
        <is>
          <t>32º PAV - COBERTURA GERAL</t>
        </is>
      </c>
      <c r="F1338" s="126" t="n">
        <v>46827</v>
      </c>
      <c r="G1338" s="126" t="n">
        <v>46839</v>
      </c>
      <c r="H1338" s="126" t="n">
        <v>46289</v>
      </c>
      <c r="I1338" s="4" t="n">
        <v>0</v>
      </c>
      <c r="J1338" s="4" t="n">
        <v>0</v>
      </c>
      <c r="K1338" s="4" t="n">
        <v>0</v>
      </c>
      <c r="M1338" s="2">
        <f>IF(C1338="","",IFERROR(INDEX($S$5:$S$304,MATCH(C1338,$R$5:$R$304,0))&amp;"","?"))</f>
        <v/>
      </c>
      <c r="N1338" s="2">
        <f>IF(E1338="","",IF(ISNUMBER(SEARCH("SUBSOLO",E1338)),IFERROR(-VALUE(LEFT(E1338,FIND("º",SUBSTITUTE(E1338,"°","º"))-1)),-1),IF(LEFT(E1338,6)="TÉRREO",0,IFERROR(VALUE(LEFT(E1338,FIND("º",SUBSTITUTE(E1338,"°","º"))-1)),""))))</f>
        <v/>
      </c>
      <c r="O1338" s="2">
        <f>IF(OR(F1338="",G1338=""),"",IF(G1338&lt;='RETRATO 2027'!$K$5,"CONCLUÍDA",IF(F1338&lt;='RETRATO 2027'!$K$5,"EM ANDAMENTO","A INICIAR")))</f>
        <v/>
      </c>
    </row>
    <row r="1339">
      <c r="B1339" s="4" t="n">
        <v>31790148</v>
      </c>
      <c r="C1339" s="4" t="inlineStr">
        <is>
          <t>PEITORIS E REQUADROS DE FACHADA - F5 (1º ETAPA)</t>
        </is>
      </c>
      <c r="D1339" s="4" t="inlineStr">
        <is>
          <t>-</t>
        </is>
      </c>
      <c r="E1339" s="4" t="inlineStr">
        <is>
          <t>FACHADA</t>
        </is>
      </c>
      <c r="F1339" s="126" t="n">
        <v>46827</v>
      </c>
      <c r="G1339" s="126" t="n">
        <v>46862</v>
      </c>
      <c r="H1339" s="126" t="n">
        <v>46289</v>
      </c>
      <c r="I1339" s="4" t="n">
        <v>0</v>
      </c>
      <c r="J1339" s="4" t="n">
        <v>0</v>
      </c>
      <c r="K1339" s="4" t="n">
        <v>0</v>
      </c>
      <c r="M1339" s="2">
        <f>IF(C1339="","",IFERROR(INDEX($S$5:$S$304,MATCH(C1339,$R$5:$R$304,0))&amp;"","?"))</f>
        <v/>
      </c>
      <c r="N1339" s="2">
        <f>IF(E1339="","",IF(ISNUMBER(SEARCH("SUBSOLO",E1339)),IFERROR(-VALUE(LEFT(E1339,FIND("º",SUBSTITUTE(E1339,"°","º"))-1)),-1),IF(LEFT(E1339,6)="TÉRREO",0,IFERROR(VALUE(LEFT(E1339,FIND("º",SUBSTITUTE(E1339,"°","º"))-1)),""))))</f>
        <v/>
      </c>
      <c r="O1339" s="2">
        <f>IF(OR(F1339="",G1339=""),"",IF(G1339&lt;='RETRATO 2027'!$K$5,"CONCLUÍDA",IF(F1339&lt;='RETRATO 2027'!$K$5,"EM ANDAMENTO","A INICIAR")))</f>
        <v/>
      </c>
    </row>
    <row r="1340">
      <c r="B1340" s="4" t="n">
        <v>30205879</v>
      </c>
      <c r="C1340" s="4" t="inlineStr">
        <is>
          <t>REBOCO EXTERNO</t>
        </is>
      </c>
      <c r="D1340" s="4" t="inlineStr">
        <is>
          <t>-</t>
        </is>
      </c>
      <c r="E1340" s="4" t="inlineStr">
        <is>
          <t>6º PAV (PILOTIS) - PLAYGROUND + TERRAÇO DESCOBERTO + QUADRA DE RECREAÇÃO</t>
        </is>
      </c>
      <c r="F1340" s="126" t="n">
        <v>46828</v>
      </c>
      <c r="G1340" s="126" t="n">
        <v>46877</v>
      </c>
      <c r="H1340" s="126" t="n">
        <v>46289</v>
      </c>
      <c r="I1340" s="4" t="n">
        <v>0</v>
      </c>
      <c r="J1340" s="4" t="n">
        <v>0</v>
      </c>
      <c r="K1340" s="4" t="n">
        <v>0</v>
      </c>
      <c r="M1340" s="2">
        <f>IF(C1340="","",IFERROR(INDEX($S$5:$S$304,MATCH(C1340,$R$5:$R$304,0))&amp;"","?"))</f>
        <v/>
      </c>
      <c r="N1340" s="2">
        <f>IF(E1340="","",IF(ISNUMBER(SEARCH("SUBSOLO",E1340)),IFERROR(-VALUE(LEFT(E1340,FIND("º",SUBSTITUTE(E1340,"°","º"))-1)),-1),IF(LEFT(E1340,6)="TÉRREO",0,IFERROR(VALUE(LEFT(E1340,FIND("º",SUBSTITUTE(E1340,"°","º"))-1)),""))))</f>
        <v/>
      </c>
      <c r="O1340" s="2">
        <f>IF(OR(F1340="",G1340=""),"",IF(G1340&lt;='RETRATO 2027'!$K$5,"CONCLUÍDA",IF(F1340&lt;='RETRATO 2027'!$K$5,"EM ANDAMENTO","A INICIAR")))</f>
        <v/>
      </c>
    </row>
    <row r="1341">
      <c r="B1341" s="4" t="n">
        <v>30208609</v>
      </c>
      <c r="C1341" s="4" t="inlineStr">
        <is>
          <t>IMPERMEABILIZAÇÃO</t>
        </is>
      </c>
      <c r="D1341" s="4" t="inlineStr">
        <is>
          <t>-</t>
        </is>
      </c>
      <c r="E1341" s="4" t="inlineStr">
        <is>
          <t>6º PAV (PILOTIS) - PISCINA + PRAINHA + DECK</t>
        </is>
      </c>
      <c r="F1341" s="126" t="n">
        <v>46829</v>
      </c>
      <c r="G1341" s="126" t="n">
        <v>46882</v>
      </c>
      <c r="H1341" s="126" t="n">
        <v>46289</v>
      </c>
      <c r="I1341" s="4" t="n">
        <v>0</v>
      </c>
      <c r="J1341" s="4" t="n">
        <v>0</v>
      </c>
      <c r="K1341" s="4" t="n">
        <v>0</v>
      </c>
      <c r="M1341" s="2">
        <f>IF(C1341="","",IFERROR(INDEX($S$5:$S$304,MATCH(C1341,$R$5:$R$304,0))&amp;"","?"))</f>
        <v/>
      </c>
      <c r="N1341" s="2">
        <f>IF(E1341="","",IF(ISNUMBER(SEARCH("SUBSOLO",E1341)),IFERROR(-VALUE(LEFT(E1341,FIND("º",SUBSTITUTE(E1341,"°","º"))-1)),-1),IF(LEFT(E1341,6)="TÉRREO",0,IFERROR(VALUE(LEFT(E1341,FIND("º",SUBSTITUTE(E1341,"°","º"))-1)),""))))</f>
        <v/>
      </c>
      <c r="O1341" s="2">
        <f>IF(OR(F1341="",G1341=""),"",IF(G1341&lt;='RETRATO 2027'!$K$5,"CONCLUÍDA",IF(F1341&lt;='RETRATO 2027'!$K$5,"EM ANDAMENTO","A INICIAR")))</f>
        <v/>
      </c>
    </row>
    <row r="1342">
      <c r="B1342" s="4" t="n">
        <v>13636002</v>
      </c>
      <c r="C1342" s="4" t="inlineStr">
        <is>
          <t>IMPERMEABILIZAÇÃO</t>
        </is>
      </c>
      <c r="D1342" s="4" t="inlineStr">
        <is>
          <t>Teste de carga</t>
        </is>
      </c>
      <c r="E1342" s="4" t="inlineStr">
        <is>
          <t>6º PAV (PILOTIS) - PISCINA + PRAINHA + DECK</t>
        </is>
      </c>
      <c r="F1342" s="126" t="n">
        <v>46829</v>
      </c>
      <c r="G1342" s="126" t="n">
        <v>46835</v>
      </c>
      <c r="H1342" s="126" t="n">
        <v>46289</v>
      </c>
      <c r="I1342" s="4" t="n">
        <v>0</v>
      </c>
      <c r="J1342" s="4" t="n">
        <v>0</v>
      </c>
      <c r="K1342" s="4" t="n">
        <v>0</v>
      </c>
      <c r="M1342" s="2">
        <f>IF(C1342="","",IFERROR(INDEX($S$5:$S$304,MATCH(C1342,$R$5:$R$304,0))&amp;"","?"))</f>
        <v/>
      </c>
      <c r="N1342" s="2">
        <f>IF(E1342="","",IF(ISNUMBER(SEARCH("SUBSOLO",E1342)),IFERROR(-VALUE(LEFT(E1342,FIND("º",SUBSTITUTE(E1342,"°","º"))-1)),-1),IF(LEFT(E1342,6)="TÉRREO",0,IFERROR(VALUE(LEFT(E1342,FIND("º",SUBSTITUTE(E1342,"°","º"))-1)),""))))</f>
        <v/>
      </c>
      <c r="O1342" s="2">
        <f>IF(OR(F1342="",G1342=""),"",IF(G1342&lt;='RETRATO 2027'!$K$5,"CONCLUÍDA",IF(F1342&lt;='RETRATO 2027'!$K$5,"EM ANDAMENTO","A INICIAR")))</f>
        <v/>
      </c>
    </row>
    <row r="1343">
      <c r="B1343" s="4" t="n">
        <v>13636003</v>
      </c>
      <c r="C1343" s="4" t="inlineStr">
        <is>
          <t>IMPERMEABILIZAÇÃO</t>
        </is>
      </c>
      <c r="D1343" s="4" t="inlineStr">
        <is>
          <t>Preparação</t>
        </is>
      </c>
      <c r="E1343" s="4" t="inlineStr">
        <is>
          <t>6º PAV (PILOTIS) - PISCINA + PRAINHA + DECK</t>
        </is>
      </c>
      <c r="F1343" s="126" t="n">
        <v>46836</v>
      </c>
      <c r="G1343" s="126" t="n">
        <v>46842</v>
      </c>
      <c r="H1343" s="126" t="n">
        <v>46289</v>
      </c>
      <c r="I1343" s="4" t="n">
        <v>0</v>
      </c>
      <c r="J1343" s="4" t="n">
        <v>0</v>
      </c>
      <c r="K1343" s="4" t="n">
        <v>0</v>
      </c>
      <c r="M1343" s="2">
        <f>IF(C1343="","",IFERROR(INDEX($S$5:$S$304,MATCH(C1343,$R$5:$R$304,0))&amp;"","?"))</f>
        <v/>
      </c>
      <c r="N1343" s="2">
        <f>IF(E1343="","",IF(ISNUMBER(SEARCH("SUBSOLO",E1343)),IFERROR(-VALUE(LEFT(E1343,FIND("º",SUBSTITUTE(E1343,"°","º"))-1)),-1),IF(LEFT(E1343,6)="TÉRREO",0,IFERROR(VALUE(LEFT(E1343,FIND("º",SUBSTITUTE(E1343,"°","º"))-1)),""))))</f>
        <v/>
      </c>
      <c r="O1343" s="2">
        <f>IF(OR(F1343="",G1343=""),"",IF(G1343&lt;='RETRATO 2027'!$K$5,"CONCLUÍDA",IF(F1343&lt;='RETRATO 2027'!$K$5,"EM ANDAMENTO","A INICIAR")))</f>
        <v/>
      </c>
    </row>
    <row r="1344">
      <c r="B1344" s="4" t="n">
        <v>13636004</v>
      </c>
      <c r="C1344" s="4" t="inlineStr">
        <is>
          <t>IMPERMEABILIZAÇÃO</t>
        </is>
      </c>
      <c r="D1344" s="4" t="inlineStr">
        <is>
          <t>Impermeabilização</t>
        </is>
      </c>
      <c r="E1344" s="4" t="inlineStr">
        <is>
          <t>6º PAV (PILOTIS) - PISCINA + PRAINHA + DECK</t>
        </is>
      </c>
      <c r="F1344" s="126" t="n">
        <v>46843</v>
      </c>
      <c r="G1344" s="126" t="n">
        <v>46867</v>
      </c>
      <c r="H1344" s="126" t="n">
        <v>46289</v>
      </c>
      <c r="I1344" s="4" t="n">
        <v>0</v>
      </c>
      <c r="J1344" s="4" t="n">
        <v>0</v>
      </c>
      <c r="K1344" s="4" t="n">
        <v>0</v>
      </c>
      <c r="M1344" s="2">
        <f>IF(C1344="","",IFERROR(INDEX($S$5:$S$304,MATCH(C1344,$R$5:$R$304,0))&amp;"","?"))</f>
        <v/>
      </c>
      <c r="N1344" s="2">
        <f>IF(E1344="","",IF(ISNUMBER(SEARCH("SUBSOLO",E1344)),IFERROR(-VALUE(LEFT(E1344,FIND("º",SUBSTITUTE(E1344,"°","º"))-1)),-1),IF(LEFT(E1344,6)="TÉRREO",0,IFERROR(VALUE(LEFT(E1344,FIND("º",SUBSTITUTE(E1344,"°","º"))-1)),""))))</f>
        <v/>
      </c>
      <c r="O1344" s="2">
        <f>IF(OR(F1344="",G1344=""),"",IF(G1344&lt;='RETRATO 2027'!$K$5,"CONCLUÍDA",IF(F1344&lt;='RETRATO 2027'!$K$5,"EM ANDAMENTO","A INICIAR")))</f>
        <v/>
      </c>
    </row>
    <row r="1345">
      <c r="B1345" s="4" t="n">
        <v>13636005</v>
      </c>
      <c r="C1345" s="4" t="inlineStr">
        <is>
          <t>IMPERMEABILIZAÇÃO</t>
        </is>
      </c>
      <c r="D1345" s="4" t="inlineStr">
        <is>
          <t>Proteção mecânica</t>
        </is>
      </c>
      <c r="E1345" s="4" t="inlineStr">
        <is>
          <t>6º PAV (PILOTIS) - PISCINA + PRAINHA + DECK</t>
        </is>
      </c>
      <c r="F1345" s="126" t="n">
        <v>46868</v>
      </c>
      <c r="G1345" s="126" t="n">
        <v>46882</v>
      </c>
      <c r="H1345" s="126" t="n">
        <v>46289</v>
      </c>
      <c r="I1345" s="4" t="n">
        <v>0</v>
      </c>
      <c r="J1345" s="4" t="n">
        <v>0</v>
      </c>
      <c r="K1345" s="4" t="n">
        <v>0</v>
      </c>
      <c r="M1345" s="2">
        <f>IF(C1345="","",IFERROR(INDEX($S$5:$S$304,MATCH(C1345,$R$5:$R$304,0))&amp;"","?"))</f>
        <v/>
      </c>
      <c r="N1345" s="2">
        <f>IF(E1345="","",IF(ISNUMBER(SEARCH("SUBSOLO",E1345)),IFERROR(-VALUE(LEFT(E1345,FIND("º",SUBSTITUTE(E1345,"°","º"))-1)),-1),IF(LEFT(E1345,6)="TÉRREO",0,IFERROR(VALUE(LEFT(E1345,FIND("º",SUBSTITUTE(E1345,"°","º"))-1)),""))))</f>
        <v/>
      </c>
      <c r="O1345" s="2">
        <f>IF(OR(F1345="",G1345=""),"",IF(G1345&lt;='RETRATO 2027'!$K$5,"CONCLUÍDA",IF(F1345&lt;='RETRATO 2027'!$K$5,"EM ANDAMENTO","A INICIAR")))</f>
        <v/>
      </c>
    </row>
    <row r="1346">
      <c r="B1346" s="4" t="n">
        <v>30206099</v>
      </c>
      <c r="C1346" s="4" t="inlineStr">
        <is>
          <t>REBOCO INTERNO</t>
        </is>
      </c>
      <c r="D1346" s="4" t="inlineStr">
        <is>
          <t>-</t>
        </is>
      </c>
      <c r="E1346" s="4" t="inlineStr">
        <is>
          <t>6º PAV (PILOTIS) - ACADEMIA</t>
        </is>
      </c>
      <c r="F1346" s="126" t="n">
        <v>46832</v>
      </c>
      <c r="G1346" s="126" t="n">
        <v>46843</v>
      </c>
      <c r="H1346" s="126" t="n">
        <v>46289</v>
      </c>
      <c r="I1346" s="4" t="n">
        <v>0</v>
      </c>
      <c r="J1346" s="4" t="n">
        <v>0</v>
      </c>
      <c r="K1346" s="4" t="n">
        <v>0</v>
      </c>
      <c r="M1346" s="2">
        <f>IF(C1346="","",IFERROR(INDEX($S$5:$S$304,MATCH(C1346,$R$5:$R$304,0))&amp;"","?"))</f>
        <v/>
      </c>
      <c r="N1346" s="2">
        <f>IF(E1346="","",IF(ISNUMBER(SEARCH("SUBSOLO",E1346)),IFERROR(-VALUE(LEFT(E1346,FIND("º",SUBSTITUTE(E1346,"°","º"))-1)),-1),IF(LEFT(E1346,6)="TÉRREO",0,IFERROR(VALUE(LEFT(E1346,FIND("º",SUBSTITUTE(E1346,"°","º"))-1)),""))))</f>
        <v/>
      </c>
      <c r="O1346" s="2">
        <f>IF(OR(F1346="",G1346=""),"",IF(G1346&lt;='RETRATO 2027'!$K$5,"CONCLUÍDA",IF(F1346&lt;='RETRATO 2027'!$K$5,"EM ANDAMENTO","A INICIAR")))</f>
        <v/>
      </c>
    </row>
    <row r="1347">
      <c r="B1347" s="4" t="n">
        <v>30206009</v>
      </c>
      <c r="C1347" s="4" t="inlineStr">
        <is>
          <t>ENCUNHAMENTO</t>
        </is>
      </c>
      <c r="D1347" s="4" t="inlineStr">
        <is>
          <t>-</t>
        </is>
      </c>
      <c r="E1347" s="4" t="inlineStr">
        <is>
          <t>6º PAV (PILOTIS) - COWORKING 1 E 2 + CIRC. 2 + HALL 2 + DML + VEST. MASC. + VEST. FEM</t>
        </is>
      </c>
      <c r="F1347" s="126" t="n">
        <v>46833</v>
      </c>
      <c r="G1347" s="126" t="n">
        <v>46846</v>
      </c>
      <c r="H1347" s="126" t="n">
        <v>46289</v>
      </c>
      <c r="I1347" s="4" t="n">
        <v>0</v>
      </c>
      <c r="J1347" s="4" t="n">
        <v>0</v>
      </c>
      <c r="K1347" s="4" t="n">
        <v>0</v>
      </c>
      <c r="M1347" s="2">
        <f>IF(C1347="","",IFERROR(INDEX($S$5:$S$304,MATCH(C1347,$R$5:$R$304,0))&amp;"","?"))</f>
        <v/>
      </c>
      <c r="N1347" s="2">
        <f>IF(E1347="","",IF(ISNUMBER(SEARCH("SUBSOLO",E1347)),IFERROR(-VALUE(LEFT(E1347,FIND("º",SUBSTITUTE(E1347,"°","º"))-1)),-1),IF(LEFT(E1347,6)="TÉRREO",0,IFERROR(VALUE(LEFT(E1347,FIND("º",SUBSTITUTE(E1347,"°","º"))-1)),""))))</f>
        <v/>
      </c>
      <c r="O1347" s="2">
        <f>IF(OR(F1347="",G1347=""),"",IF(G1347&lt;='RETRATO 2027'!$K$5,"CONCLUÍDA",IF(F1347&lt;='RETRATO 2027'!$K$5,"EM ANDAMENTO","A INICIAR")))</f>
        <v/>
      </c>
    </row>
    <row r="1348">
      <c r="B1348" s="4" t="n">
        <v>30210371</v>
      </c>
      <c r="C1348" s="4" t="inlineStr">
        <is>
          <t>ALVENARIA</t>
        </is>
      </c>
      <c r="D1348" s="4" t="inlineStr">
        <is>
          <t>-</t>
        </is>
      </c>
      <c r="E1348" s="4" t="inlineStr">
        <is>
          <t>33º PAV - BARRILETE</t>
        </is>
      </c>
      <c r="F1348" s="126" t="n">
        <v>46833</v>
      </c>
      <c r="G1348" s="126" t="n">
        <v>46853</v>
      </c>
      <c r="H1348" s="126" t="n">
        <v>46289</v>
      </c>
      <c r="I1348" s="4" t="n">
        <v>0</v>
      </c>
      <c r="J1348" s="4" t="n">
        <v>0</v>
      </c>
      <c r="K1348" s="4" t="n">
        <v>0</v>
      </c>
      <c r="M1348" s="2">
        <f>IF(C1348="","",IFERROR(INDEX($S$5:$S$304,MATCH(C1348,$R$5:$R$304,0))&amp;"","?"))</f>
        <v/>
      </c>
      <c r="N1348" s="2">
        <f>IF(E1348="","",IF(ISNUMBER(SEARCH("SUBSOLO",E1348)),IFERROR(-VALUE(LEFT(E1348,FIND("º",SUBSTITUTE(E1348,"°","º"))-1)),-1),IF(LEFT(E1348,6)="TÉRREO",0,IFERROR(VALUE(LEFT(E1348,FIND("º",SUBSTITUTE(E1348,"°","º"))-1)),""))))</f>
        <v/>
      </c>
      <c r="O1348" s="2">
        <f>IF(OR(F1348="",G1348=""),"",IF(G1348&lt;='RETRATO 2027'!$K$5,"CONCLUÍDA",IF(F1348&lt;='RETRATO 2027'!$K$5,"EM ANDAMENTO","A INICIAR")))</f>
        <v/>
      </c>
    </row>
    <row r="1349">
      <c r="B1349" s="4" t="n">
        <v>30171442</v>
      </c>
      <c r="C1349" s="4" t="inlineStr">
        <is>
          <t>DISJUNTORES / MIOLOS</t>
        </is>
      </c>
      <c r="D1349" s="4" t="inlineStr">
        <is>
          <t>-</t>
        </is>
      </c>
      <c r="E1349" s="4" t="inlineStr">
        <is>
          <t>3º PAV - GARAGEM</t>
        </is>
      </c>
      <c r="F1349" s="126" t="n">
        <v>46835</v>
      </c>
      <c r="G1349" s="126" t="n">
        <v>46863</v>
      </c>
      <c r="H1349" s="126" t="n">
        <v>46289</v>
      </c>
      <c r="I1349" s="4" t="n">
        <v>0</v>
      </c>
      <c r="J1349" s="4" t="n">
        <v>0</v>
      </c>
      <c r="K1349" s="4" t="n">
        <v>0</v>
      </c>
      <c r="M1349" s="2">
        <f>IF(C1349="","",IFERROR(INDEX($S$5:$S$304,MATCH(C1349,$R$5:$R$304,0))&amp;"","?"))</f>
        <v/>
      </c>
      <c r="N1349" s="2">
        <f>IF(E1349="","",IF(ISNUMBER(SEARCH("SUBSOLO",E1349)),IFERROR(-VALUE(LEFT(E1349,FIND("º",SUBSTITUTE(E1349,"°","º"))-1)),-1),IF(LEFT(E1349,6)="TÉRREO",0,IFERROR(VALUE(LEFT(E1349,FIND("º",SUBSTITUTE(E1349,"°","º"))-1)),""))))</f>
        <v/>
      </c>
      <c r="O1349" s="2">
        <f>IF(OR(F1349="",G1349=""),"",IF(G1349&lt;='RETRATO 2027'!$K$5,"CONCLUÍDA",IF(F1349&lt;='RETRATO 2027'!$K$5,"EM ANDAMENTO","A INICIAR")))</f>
        <v/>
      </c>
    </row>
    <row r="1350">
      <c r="B1350" s="4" t="n">
        <v>30171439</v>
      </c>
      <c r="C1350" s="4" t="inlineStr">
        <is>
          <t>INSTALAÇÃO DE LUMINÁRIAS E SENSORES</t>
        </is>
      </c>
      <c r="D1350" s="4" t="inlineStr">
        <is>
          <t>-</t>
        </is>
      </c>
      <c r="E1350" s="4" t="inlineStr">
        <is>
          <t>3º PAV - GARAGEM</t>
        </is>
      </c>
      <c r="F1350" s="126" t="n">
        <v>46835</v>
      </c>
      <c r="G1350" s="126" t="n">
        <v>46863</v>
      </c>
      <c r="H1350" s="126" t="n">
        <v>46289</v>
      </c>
      <c r="I1350" s="4" t="n">
        <v>0</v>
      </c>
      <c r="J1350" s="4" t="n">
        <v>0</v>
      </c>
      <c r="K1350" s="4" t="n">
        <v>0</v>
      </c>
      <c r="M1350" s="2">
        <f>IF(C1350="","",IFERROR(INDEX($S$5:$S$304,MATCH(C1350,$R$5:$R$304,0))&amp;"","?"))</f>
        <v/>
      </c>
      <c r="N1350" s="2">
        <f>IF(E1350="","",IF(ISNUMBER(SEARCH("SUBSOLO",E1350)),IFERROR(-VALUE(LEFT(E1350,FIND("º",SUBSTITUTE(E1350,"°","º"))-1)),-1),IF(LEFT(E1350,6)="TÉRREO",0,IFERROR(VALUE(LEFT(E1350,FIND("º",SUBSTITUTE(E1350,"°","º"))-1)),""))))</f>
        <v/>
      </c>
      <c r="O1350" s="2">
        <f>IF(OR(F1350="",G1350=""),"",IF(G1350&lt;='RETRATO 2027'!$K$5,"CONCLUÍDA",IF(F1350&lt;='RETRATO 2027'!$K$5,"EM ANDAMENTO","A INICIAR")))</f>
        <v/>
      </c>
    </row>
    <row r="1351">
      <c r="B1351" s="4" t="n">
        <v>30171410</v>
      </c>
      <c r="C1351" s="4" t="inlineStr">
        <is>
          <t>FIAÇÃO ELÉTRICA</t>
        </is>
      </c>
      <c r="D1351" s="4" t="inlineStr">
        <is>
          <t>-</t>
        </is>
      </c>
      <c r="E1351" s="4" t="inlineStr">
        <is>
          <t>4º PAV - GARAGEM</t>
        </is>
      </c>
      <c r="F1351" s="126" t="n">
        <v>46835</v>
      </c>
      <c r="G1351" s="126" t="n">
        <v>46899</v>
      </c>
      <c r="H1351" s="126" t="n">
        <v>46289</v>
      </c>
      <c r="I1351" s="4" t="n">
        <v>0</v>
      </c>
      <c r="J1351" s="4" t="n">
        <v>0</v>
      </c>
      <c r="K1351" s="4" t="n">
        <v>0</v>
      </c>
      <c r="M1351" s="2">
        <f>IF(C1351="","",IFERROR(INDEX($S$5:$S$304,MATCH(C1351,$R$5:$R$304,0))&amp;"","?"))</f>
        <v/>
      </c>
      <c r="N1351" s="2">
        <f>IF(E1351="","",IF(ISNUMBER(SEARCH("SUBSOLO",E1351)),IFERROR(-VALUE(LEFT(E1351,FIND("º",SUBSTITUTE(E1351,"°","º"))-1)),-1),IF(LEFT(E1351,6)="TÉRREO",0,IFERROR(VALUE(LEFT(E1351,FIND("º",SUBSTITUTE(E1351,"°","º"))-1)),""))))</f>
        <v/>
      </c>
      <c r="O1351" s="2">
        <f>IF(OR(F1351="",G1351=""),"",IF(G1351&lt;='RETRATO 2027'!$K$5,"CONCLUÍDA",IF(F1351&lt;='RETRATO 2027'!$K$5,"EM ANDAMENTO","A INICIAR")))</f>
        <v/>
      </c>
    </row>
    <row r="1352">
      <c r="B1352" s="4" t="n">
        <v>30171429</v>
      </c>
      <c r="C1352" s="4" t="inlineStr">
        <is>
          <t>PRUMADA ELÉTRICA - CABOS</t>
        </is>
      </c>
      <c r="D1352" s="4" t="inlineStr">
        <is>
          <t>-</t>
        </is>
      </c>
      <c r="E1352" s="4" t="inlineStr">
        <is>
          <t>4º PAV - GARAGEM</t>
        </is>
      </c>
      <c r="F1352" s="126" t="n">
        <v>46835</v>
      </c>
      <c r="G1352" s="126" t="n">
        <v>46899</v>
      </c>
      <c r="H1352" s="126" t="n">
        <v>46289</v>
      </c>
      <c r="I1352" s="4" t="n">
        <v>0</v>
      </c>
      <c r="J1352" s="4" t="n">
        <v>0</v>
      </c>
      <c r="K1352" s="4" t="n">
        <v>0</v>
      </c>
      <c r="M1352" s="2">
        <f>IF(C1352="","",IFERROR(INDEX($S$5:$S$304,MATCH(C1352,$R$5:$R$304,0))&amp;"","?"))</f>
        <v/>
      </c>
      <c r="N1352" s="2">
        <f>IF(E1352="","",IF(ISNUMBER(SEARCH("SUBSOLO",E1352)),IFERROR(-VALUE(LEFT(E1352,FIND("º",SUBSTITUTE(E1352,"°","º"))-1)),-1),IF(LEFT(E1352,6)="TÉRREO",0,IFERROR(VALUE(LEFT(E1352,FIND("º",SUBSTITUTE(E1352,"°","º"))-1)),""))))</f>
        <v/>
      </c>
      <c r="O1352" s="2">
        <f>IF(OR(F1352="",G1352=""),"",IF(G1352&lt;='RETRATO 2027'!$K$5,"CONCLUÍDA",IF(F1352&lt;='RETRATO 2027'!$K$5,"EM ANDAMENTO","A INICIAR")))</f>
        <v/>
      </c>
    </row>
    <row r="1353">
      <c r="B1353" s="4" t="n">
        <v>30171412</v>
      </c>
      <c r="C1353" s="4" t="inlineStr">
        <is>
          <t>SHAFT</t>
        </is>
      </c>
      <c r="D1353" s="4" t="inlineStr">
        <is>
          <t>-</t>
        </is>
      </c>
      <c r="E1353" s="4" t="inlineStr">
        <is>
          <t>4º PAV - GARAGEM</t>
        </is>
      </c>
      <c r="F1353" s="126" t="n">
        <v>46835</v>
      </c>
      <c r="G1353" s="126" t="n">
        <v>46863</v>
      </c>
      <c r="H1353" s="126" t="n">
        <v>46289</v>
      </c>
      <c r="I1353" s="4" t="n">
        <v>0</v>
      </c>
      <c r="J1353" s="4" t="n">
        <v>0</v>
      </c>
      <c r="K1353" s="4" t="n">
        <v>0</v>
      </c>
      <c r="M1353" s="2">
        <f>IF(C1353="","",IFERROR(INDEX($S$5:$S$304,MATCH(C1353,$R$5:$R$304,0))&amp;"","?"))</f>
        <v/>
      </c>
      <c r="N1353" s="2">
        <f>IF(E1353="","",IF(ISNUMBER(SEARCH("SUBSOLO",E1353)),IFERROR(-VALUE(LEFT(E1353,FIND("º",SUBSTITUTE(E1353,"°","º"))-1)),-1),IF(LEFT(E1353,6)="TÉRREO",0,IFERROR(VALUE(LEFT(E1353,FIND("º",SUBSTITUTE(E1353,"°","º"))-1)),""))))</f>
        <v/>
      </c>
      <c r="O1353" s="2">
        <f>IF(OR(F1353="",G1353=""),"",IF(G1353&lt;='RETRATO 2027'!$K$5,"CONCLUÍDA",IF(F1353&lt;='RETRATO 2027'!$K$5,"EM ANDAMENTO","A INICIAR")))</f>
        <v/>
      </c>
    </row>
    <row r="1354">
      <c r="B1354" s="4" t="n">
        <v>30214061</v>
      </c>
      <c r="C1354" s="4" t="inlineStr">
        <is>
          <t>FIAÇÃO TELECOM/DADOS</t>
        </is>
      </c>
      <c r="D1354" s="4" t="inlineStr">
        <is>
          <t>-</t>
        </is>
      </c>
      <c r="E1354" s="4" t="inlineStr">
        <is>
          <t>4º PAV - GARAGEM</t>
        </is>
      </c>
      <c r="F1354" s="126" t="n">
        <v>46835</v>
      </c>
      <c r="G1354" s="126" t="n">
        <v>46848</v>
      </c>
      <c r="H1354" s="126" t="n">
        <v>46289</v>
      </c>
      <c r="I1354" s="4" t="n">
        <v>0</v>
      </c>
      <c r="J1354" s="4" t="n">
        <v>0</v>
      </c>
      <c r="K1354" s="4" t="n">
        <v>0</v>
      </c>
      <c r="M1354" s="2">
        <f>IF(C1354="","",IFERROR(INDEX($S$5:$S$304,MATCH(C1354,$R$5:$R$304,0))&amp;"","?"))</f>
        <v/>
      </c>
      <c r="N1354" s="2">
        <f>IF(E1354="","",IF(ISNUMBER(SEARCH("SUBSOLO",E1354)),IFERROR(-VALUE(LEFT(E1354,FIND("º",SUBSTITUTE(E1354,"°","º"))-1)),-1),IF(LEFT(E1354,6)="TÉRREO",0,IFERROR(VALUE(LEFT(E1354,FIND("º",SUBSTITUTE(E1354,"°","º"))-1)),""))))</f>
        <v/>
      </c>
      <c r="O1354" s="2">
        <f>IF(OR(F1354="",G1354=""),"",IF(G1354&lt;='RETRATO 2027'!$K$5,"CONCLUÍDA",IF(F1354&lt;='RETRATO 2027'!$K$5,"EM ANDAMENTO","A INICIAR")))</f>
        <v/>
      </c>
    </row>
    <row r="1355">
      <c r="B1355" s="4" t="n">
        <v>29981099</v>
      </c>
      <c r="C1355" s="4" t="inlineStr">
        <is>
          <t>ALVENARIA</t>
        </is>
      </c>
      <c r="D1355" s="4" t="inlineStr">
        <is>
          <t>-</t>
        </is>
      </c>
      <c r="E1355" s="4" t="inlineStr">
        <is>
          <t>19º PAV.</t>
        </is>
      </c>
      <c r="F1355" s="126" t="n">
        <v>46835</v>
      </c>
      <c r="G1355" s="126" t="n">
        <v>46847</v>
      </c>
      <c r="H1355" s="126" t="n">
        <v>46289</v>
      </c>
      <c r="I1355" s="4" t="n">
        <v>0</v>
      </c>
      <c r="J1355" s="4" t="n">
        <v>0</v>
      </c>
      <c r="K1355" s="4" t="n">
        <v>0</v>
      </c>
      <c r="M1355" s="2">
        <f>IF(C1355="","",IFERROR(INDEX($S$5:$S$304,MATCH(C1355,$R$5:$R$304,0))&amp;"","?"))</f>
        <v/>
      </c>
      <c r="N1355" s="2">
        <f>IF(E1355="","",IF(ISNUMBER(SEARCH("SUBSOLO",E1355)),IFERROR(-VALUE(LEFT(E1355,FIND("º",SUBSTITUTE(E1355,"°","º"))-1)),-1),IF(LEFT(E1355,6)="TÉRREO",0,IFERROR(VALUE(LEFT(E1355,FIND("º",SUBSTITUTE(E1355,"°","º"))-1)),""))))</f>
        <v/>
      </c>
      <c r="O1355" s="2">
        <f>IF(OR(F1355="",G1355=""),"",IF(G1355&lt;='RETRATO 2027'!$K$5,"CONCLUÍDA",IF(F1355&lt;='RETRATO 2027'!$K$5,"EM ANDAMENTO","A INICIAR")))</f>
        <v/>
      </c>
    </row>
    <row r="1356">
      <c r="B1356" s="4" t="n">
        <v>30205713</v>
      </c>
      <c r="C1356" s="4" t="inlineStr">
        <is>
          <t>POLIMENTO DE PISO</t>
        </is>
      </c>
      <c r="D1356" s="4" t="inlineStr">
        <is>
          <t>-</t>
        </is>
      </c>
      <c r="E1356" s="4" t="inlineStr">
        <is>
          <t>SUBSOLO</t>
        </is>
      </c>
      <c r="F1356" s="126" t="n">
        <v>46836</v>
      </c>
      <c r="G1356" s="126" t="n">
        <v>46856</v>
      </c>
      <c r="H1356" s="126" t="n">
        <v>46289</v>
      </c>
      <c r="I1356" s="4" t="n">
        <v>0</v>
      </c>
      <c r="J1356" s="4" t="n">
        <v>0</v>
      </c>
      <c r="K1356" s="4" t="n">
        <v>0</v>
      </c>
      <c r="M1356" s="2">
        <f>IF(C1356="","",IFERROR(INDEX($S$5:$S$304,MATCH(C1356,$R$5:$R$304,0))&amp;"","?"))</f>
        <v/>
      </c>
      <c r="N1356" s="2">
        <f>IF(E1356="","",IF(ISNUMBER(SEARCH("SUBSOLO",E1356)),IFERROR(-VALUE(LEFT(E1356,FIND("º",SUBSTITUTE(E1356,"°","º"))-1)),-1),IF(LEFT(E1356,6)="TÉRREO",0,IFERROR(VALUE(LEFT(E1356,FIND("º",SUBSTITUTE(E1356,"°","º"))-1)),""))))</f>
        <v/>
      </c>
      <c r="O1356" s="2">
        <f>IF(OR(F1356="",G1356=""),"",IF(G1356&lt;='RETRATO 2027'!$K$5,"CONCLUÍDA",IF(F1356&lt;='RETRATO 2027'!$K$5,"EM ANDAMENTO","A INICIAR")))</f>
        <v/>
      </c>
    </row>
    <row r="1357">
      <c r="B1357" s="4" t="n">
        <v>30205829</v>
      </c>
      <c r="C1357" s="4" t="inlineStr">
        <is>
          <t>FIAÇÃO ELÉTRICA</t>
        </is>
      </c>
      <c r="D1357" s="4" t="inlineStr">
        <is>
          <t>-</t>
        </is>
      </c>
      <c r="E1357" s="4" t="inlineStr">
        <is>
          <t>TÉRREO - ACESSO COMERCIAL + DML + ARS + ÁREA TEC + LAVABO + DISPENSA</t>
        </is>
      </c>
      <c r="F1357" s="126" t="n">
        <v>46836</v>
      </c>
      <c r="G1357" s="126" t="n">
        <v>46849</v>
      </c>
      <c r="H1357" s="126" t="n">
        <v>46289</v>
      </c>
      <c r="I1357" s="4" t="n">
        <v>0</v>
      </c>
      <c r="J1357" s="4" t="n">
        <v>0</v>
      </c>
      <c r="K1357" s="4" t="n">
        <v>0</v>
      </c>
      <c r="M1357" s="2">
        <f>IF(C1357="","",IFERROR(INDEX($S$5:$S$304,MATCH(C1357,$R$5:$R$304,0))&amp;"","?"))</f>
        <v/>
      </c>
      <c r="N1357" s="2">
        <f>IF(E1357="","",IF(ISNUMBER(SEARCH("SUBSOLO",E1357)),IFERROR(-VALUE(LEFT(E1357,FIND("º",SUBSTITUTE(E1357,"°","º"))-1)),-1),IF(LEFT(E1357,6)="TÉRREO",0,IFERROR(VALUE(LEFT(E1357,FIND("º",SUBSTITUTE(E1357,"°","º"))-1)),""))))</f>
        <v/>
      </c>
      <c r="O1357" s="2">
        <f>IF(OR(F1357="",G1357=""),"",IF(G1357&lt;='RETRATO 2027'!$K$5,"CONCLUÍDA",IF(F1357&lt;='RETRATO 2027'!$K$5,"EM ANDAMENTO","A INICIAR")))</f>
        <v/>
      </c>
    </row>
    <row r="1358">
      <c r="B1358" s="4" t="n">
        <v>30205823</v>
      </c>
      <c r="C1358" s="4" t="inlineStr">
        <is>
          <t>REVESTIMENTOS PORCELANATO PISO</t>
        </is>
      </c>
      <c r="D1358" s="4" t="inlineStr">
        <is>
          <t>-</t>
        </is>
      </c>
      <c r="E1358" s="4" t="inlineStr">
        <is>
          <t>TÉRREO - HALL SOCIAL + ECLUSA + CIRCULAÇÃO</t>
        </is>
      </c>
      <c r="F1358" s="126" t="n">
        <v>46836</v>
      </c>
      <c r="G1358" s="126" t="n">
        <v>46849</v>
      </c>
      <c r="H1358" s="126" t="n">
        <v>46289</v>
      </c>
      <c r="I1358" s="4" t="n">
        <v>0</v>
      </c>
      <c r="J1358" s="4" t="n">
        <v>0</v>
      </c>
      <c r="K1358" s="4" t="n">
        <v>0</v>
      </c>
      <c r="M1358" s="2">
        <f>IF(C1358="","",IFERROR(INDEX($S$5:$S$304,MATCH(C1358,$R$5:$R$304,0))&amp;"","?"))</f>
        <v/>
      </c>
      <c r="N1358" s="2">
        <f>IF(E1358="","",IF(ISNUMBER(SEARCH("SUBSOLO",E1358)),IFERROR(-VALUE(LEFT(E1358,FIND("º",SUBSTITUTE(E1358,"°","º"))-1)),-1),IF(LEFT(E1358,6)="TÉRREO",0,IFERROR(VALUE(LEFT(E1358,FIND("º",SUBSTITUTE(E1358,"°","º"))-1)),""))))</f>
        <v/>
      </c>
      <c r="O1358" s="2">
        <f>IF(OR(F1358="",G1358=""),"",IF(G1358&lt;='RETRATO 2027'!$K$5,"CONCLUÍDA",IF(F1358&lt;='RETRATO 2027'!$K$5,"EM ANDAMENTO","A INICIAR")))</f>
        <v/>
      </c>
    </row>
    <row r="1359">
      <c r="B1359" s="4" t="n">
        <v>30205854</v>
      </c>
      <c r="C1359" s="4" t="inlineStr">
        <is>
          <t>REVESTIMENTOS PORCELANATO PISO</t>
        </is>
      </c>
      <c r="D1359" s="4" t="inlineStr">
        <is>
          <t>-</t>
        </is>
      </c>
      <c r="E1359" s="4" t="inlineStr">
        <is>
          <t>1º PAV. (INTERMEDIÁRIO)</t>
        </is>
      </c>
      <c r="F1359" s="126" t="n">
        <v>46836</v>
      </c>
      <c r="G1359" s="126" t="n">
        <v>46856</v>
      </c>
      <c r="H1359" s="126" t="n">
        <v>46289</v>
      </c>
      <c r="I1359" s="4" t="n">
        <v>0</v>
      </c>
      <c r="J1359" s="4" t="n">
        <v>0</v>
      </c>
      <c r="K1359" s="4" t="n">
        <v>0</v>
      </c>
      <c r="M1359" s="2">
        <f>IF(C1359="","",IFERROR(INDEX($S$5:$S$304,MATCH(C1359,$R$5:$R$304,0))&amp;"","?"))</f>
        <v/>
      </c>
      <c r="N1359" s="2">
        <f>IF(E1359="","",IF(ISNUMBER(SEARCH("SUBSOLO",E1359)),IFERROR(-VALUE(LEFT(E1359,FIND("º",SUBSTITUTE(E1359,"°","º"))-1)),-1),IF(LEFT(E1359,6)="TÉRREO",0,IFERROR(VALUE(LEFT(E1359,FIND("º",SUBSTITUTE(E1359,"°","º"))-1)),""))))</f>
        <v/>
      </c>
      <c r="O1359" s="2">
        <f>IF(OR(F1359="",G1359=""),"",IF(G1359&lt;='RETRATO 2027'!$K$5,"CONCLUÍDA",IF(F1359&lt;='RETRATO 2027'!$K$5,"EM ANDAMENTO","A INICIAR")))</f>
        <v/>
      </c>
    </row>
    <row r="1360">
      <c r="B1360" s="4" t="n">
        <v>31791084</v>
      </c>
      <c r="C1360" s="4" t="inlineStr">
        <is>
          <t>PREPARAÇÃO PARA FACHADA AERADA - F3 + F4 (2º ETAPA)</t>
        </is>
      </c>
      <c r="D1360" s="4" t="inlineStr">
        <is>
          <t>-</t>
        </is>
      </c>
      <c r="E1360" s="4" t="inlineStr">
        <is>
          <t>FACHADA</t>
        </is>
      </c>
      <c r="F1360" s="126" t="n">
        <v>46836</v>
      </c>
      <c r="G1360" s="126" t="n">
        <v>46867</v>
      </c>
      <c r="H1360" s="126" t="n">
        <v>46289</v>
      </c>
      <c r="I1360" s="4" t="n">
        <v>0</v>
      </c>
      <c r="J1360" s="4" t="n">
        <v>0</v>
      </c>
      <c r="K1360" s="4" t="n">
        <v>0</v>
      </c>
      <c r="M1360" s="2">
        <f>IF(C1360="","",IFERROR(INDEX($S$5:$S$304,MATCH(C1360,$R$5:$R$304,0))&amp;"","?"))</f>
        <v/>
      </c>
      <c r="N1360" s="2">
        <f>IF(E1360="","",IF(ISNUMBER(SEARCH("SUBSOLO",E1360)),IFERROR(-VALUE(LEFT(E1360,FIND("º",SUBSTITUTE(E1360,"°","º"))-1)),-1),IF(LEFT(E1360,6)="TÉRREO",0,IFERROR(VALUE(LEFT(E1360,FIND("º",SUBSTITUTE(E1360,"°","º"))-1)),""))))</f>
        <v/>
      </c>
      <c r="O1360" s="2">
        <f>IF(OR(F1360="",G1360=""),"",IF(G1360&lt;='RETRATO 2027'!$K$5,"CONCLUÍDA",IF(F1360&lt;='RETRATO 2027'!$K$5,"EM ANDAMENTO","A INICIAR")))</f>
        <v/>
      </c>
    </row>
    <row r="1361">
      <c r="B1361" s="4" t="n">
        <v>30206065</v>
      </c>
      <c r="C1361" s="4" t="inlineStr">
        <is>
          <t>CONTRAMARCO</t>
        </is>
      </c>
      <c r="D1361" s="4" t="inlineStr">
        <is>
          <t>-</t>
        </is>
      </c>
      <c r="E1361" s="4" t="inlineStr">
        <is>
          <t>6º PAV (PILOTIS) - SAUNA + DUCHA</t>
        </is>
      </c>
      <c r="F1361" s="126" t="n">
        <v>46839</v>
      </c>
      <c r="G1361" s="126" t="n">
        <v>46843</v>
      </c>
      <c r="H1361" s="126" t="n">
        <v>46289</v>
      </c>
      <c r="I1361" s="4" t="n">
        <v>0</v>
      </c>
      <c r="J1361" s="4" t="n">
        <v>0</v>
      </c>
      <c r="K1361" s="4" t="n">
        <v>0</v>
      </c>
      <c r="M1361" s="2">
        <f>IF(C1361="","",IFERROR(INDEX($S$5:$S$304,MATCH(C1361,$R$5:$R$304,0))&amp;"","?"))</f>
        <v/>
      </c>
      <c r="N1361" s="2">
        <f>IF(E1361="","",IF(ISNUMBER(SEARCH("SUBSOLO",E1361)),IFERROR(-VALUE(LEFT(E1361,FIND("º",SUBSTITUTE(E1361,"°","º"))-1)),-1),IF(LEFT(E1361,6)="TÉRREO",0,IFERROR(VALUE(LEFT(E1361,FIND("º",SUBSTITUTE(E1361,"°","º"))-1)),""))))</f>
        <v/>
      </c>
      <c r="O1361" s="2">
        <f>IF(OR(F1361="",G1361=""),"",IF(G1361&lt;='RETRATO 2027'!$K$5,"CONCLUÍDA",IF(F1361&lt;='RETRATO 2027'!$K$5,"EM ANDAMENTO","A INICIAR")))</f>
        <v/>
      </c>
    </row>
    <row r="1362">
      <c r="B1362" s="4" t="n">
        <v>30206056</v>
      </c>
      <c r="C1362" s="4" t="inlineStr">
        <is>
          <t>DISTRIBUIÇÃO HIDROSSANITÁRIA</t>
        </is>
      </c>
      <c r="D1362" s="4" t="inlineStr">
        <is>
          <t>-</t>
        </is>
      </c>
      <c r="E1362" s="4" t="inlineStr">
        <is>
          <t>6º PAV (PILOTIS) - CHURRASQUEIRA + IS MASC. PCD + IS FEM. PCD + CIRCULAÇÃO 1 + HALL 1</t>
        </is>
      </c>
      <c r="F1362" s="126" t="n">
        <v>46839</v>
      </c>
      <c r="G1362" s="126" t="n">
        <v>46850</v>
      </c>
      <c r="H1362" s="126" t="n">
        <v>46289</v>
      </c>
      <c r="I1362" s="4" t="n">
        <v>0</v>
      </c>
      <c r="J1362" s="4" t="n">
        <v>0</v>
      </c>
      <c r="K1362" s="4" t="n">
        <v>0</v>
      </c>
      <c r="M1362" s="2">
        <f>IF(C1362="","",IFERROR(INDEX($S$5:$S$304,MATCH(C1362,$R$5:$R$304,0))&amp;"","?"))</f>
        <v/>
      </c>
      <c r="N1362" s="2">
        <f>IF(E1362="","",IF(ISNUMBER(SEARCH("SUBSOLO",E1362)),IFERROR(-VALUE(LEFT(E1362,FIND("º",SUBSTITUTE(E1362,"°","º"))-1)),-1),IF(LEFT(E1362,6)="TÉRREO",0,IFERROR(VALUE(LEFT(E1362,FIND("º",SUBSTITUTE(E1362,"°","º"))-1)),""))))</f>
        <v/>
      </c>
      <c r="O1362" s="2">
        <f>IF(OR(F1362="",G1362=""),"",IF(G1362&lt;='RETRATO 2027'!$K$5,"CONCLUÍDA",IF(F1362&lt;='RETRATO 2027'!$K$5,"EM ANDAMENTO","A INICIAR")))</f>
        <v/>
      </c>
    </row>
    <row r="1363">
      <c r="B1363" s="4" t="n">
        <v>30206027</v>
      </c>
      <c r="C1363" s="4" t="inlineStr">
        <is>
          <t>DISTRIBUIÇÃO ELÉTRICA / QUADRO</t>
        </is>
      </c>
      <c r="D1363" s="4" t="inlineStr">
        <is>
          <t>-</t>
        </is>
      </c>
      <c r="E1363" s="4" t="inlineStr">
        <is>
          <t>6º PAV (PILOTIS) - CHURRASQUEIRA + IS MASC. PCD + IS FEM. PCD + CIRCULAÇÃO 1 + HALL 1</t>
        </is>
      </c>
      <c r="F1363" s="126" t="n">
        <v>46839</v>
      </c>
      <c r="G1363" s="126" t="n">
        <v>46850</v>
      </c>
      <c r="H1363" s="126" t="n">
        <v>46289</v>
      </c>
      <c r="I1363" s="4" t="n">
        <v>0</v>
      </c>
      <c r="J1363" s="4" t="n">
        <v>0</v>
      </c>
      <c r="K1363" s="4" t="n">
        <v>0</v>
      </c>
      <c r="M1363" s="2">
        <f>IF(C1363="","",IFERROR(INDEX($S$5:$S$304,MATCH(C1363,$R$5:$R$304,0))&amp;"","?"))</f>
        <v/>
      </c>
      <c r="N1363" s="2">
        <f>IF(E1363="","",IF(ISNUMBER(SEARCH("SUBSOLO",E1363)),IFERROR(-VALUE(LEFT(E1363,FIND("º",SUBSTITUTE(E1363,"°","º"))-1)),-1),IF(LEFT(E1363,6)="TÉRREO",0,IFERROR(VALUE(LEFT(E1363,FIND("º",SUBSTITUTE(E1363,"°","º"))-1)),""))))</f>
        <v/>
      </c>
      <c r="O1363" s="2">
        <f>IF(OR(F1363="",G1363=""),"",IF(G1363&lt;='RETRATO 2027'!$K$5,"CONCLUÍDA",IF(F1363&lt;='RETRATO 2027'!$K$5,"EM ANDAMENTO","A INICIAR")))</f>
        <v/>
      </c>
    </row>
    <row r="1364">
      <c r="B1364" s="4" t="n">
        <v>30206057</v>
      </c>
      <c r="C1364" s="4" t="inlineStr">
        <is>
          <t>DISTRIBUIÇÃO DE GÁS</t>
        </is>
      </c>
      <c r="D1364" s="4" t="inlineStr">
        <is>
          <t>-</t>
        </is>
      </c>
      <c r="E1364" s="4" t="inlineStr">
        <is>
          <t>6º PAV (PILOTIS) - CHURRASQUEIRA + IS MASC. PCD + IS FEM. PCD + CIRCULAÇÃO 1 + HALL 1</t>
        </is>
      </c>
      <c r="F1364" s="126" t="n">
        <v>46839</v>
      </c>
      <c r="G1364" s="126" t="n">
        <v>46850</v>
      </c>
      <c r="H1364" s="126" t="n">
        <v>46289</v>
      </c>
      <c r="I1364" s="4" t="n">
        <v>0</v>
      </c>
      <c r="J1364" s="4" t="n">
        <v>0</v>
      </c>
      <c r="K1364" s="4" t="n">
        <v>0</v>
      </c>
      <c r="M1364" s="2">
        <f>IF(C1364="","",IFERROR(INDEX($S$5:$S$304,MATCH(C1364,$R$5:$R$304,0))&amp;"","?"))</f>
        <v/>
      </c>
      <c r="N1364" s="2">
        <f>IF(E1364="","",IF(ISNUMBER(SEARCH("SUBSOLO",E1364)),IFERROR(-VALUE(LEFT(E1364,FIND("º",SUBSTITUTE(E1364,"°","º"))-1)),-1),IF(LEFT(E1364,6)="TÉRREO",0,IFERROR(VALUE(LEFT(E1364,FIND("º",SUBSTITUTE(E1364,"°","º"))-1)),""))))</f>
        <v/>
      </c>
      <c r="O1364" s="2">
        <f>IF(OR(F1364="",G1364=""),"",IF(G1364&lt;='RETRATO 2027'!$K$5,"CONCLUÍDA",IF(F1364&lt;='RETRATO 2027'!$K$5,"EM ANDAMENTO","A INICIAR")))</f>
        <v/>
      </c>
    </row>
    <row r="1365">
      <c r="B1365" s="4" t="n">
        <v>30206007</v>
      </c>
      <c r="C1365" s="4" t="inlineStr">
        <is>
          <t>TALISCAMENTO</t>
        </is>
      </c>
      <c r="D1365" s="4" t="inlineStr">
        <is>
          <t>-</t>
        </is>
      </c>
      <c r="E1365" s="4" t="inlineStr">
        <is>
          <t>6º PAV (PILOTIS) - COWORKING 1 E 2 + CIRC. 2 + HALL 2 + DML + VEST. MASC. + VEST. FEM</t>
        </is>
      </c>
      <c r="F1365" s="126" t="n">
        <v>46839</v>
      </c>
      <c r="G1365" s="126" t="n">
        <v>46850</v>
      </c>
      <c r="H1365" s="126" t="n">
        <v>46289</v>
      </c>
      <c r="I1365" s="4" t="n">
        <v>0</v>
      </c>
      <c r="J1365" s="4" t="n">
        <v>0</v>
      </c>
      <c r="K1365" s="4" t="n">
        <v>0</v>
      </c>
      <c r="M1365" s="2">
        <f>IF(C1365="","",IFERROR(INDEX($S$5:$S$304,MATCH(C1365,$R$5:$R$304,0))&amp;"","?"))</f>
        <v/>
      </c>
      <c r="N1365" s="2">
        <f>IF(E1365="","",IF(ISNUMBER(SEARCH("SUBSOLO",E1365)),IFERROR(-VALUE(LEFT(E1365,FIND("º",SUBSTITUTE(E1365,"°","º"))-1)),-1),IF(LEFT(E1365,6)="TÉRREO",0,IFERROR(VALUE(LEFT(E1365,FIND("º",SUBSTITUTE(E1365,"°","º"))-1)),""))))</f>
        <v/>
      </c>
      <c r="O1365" s="2">
        <f>IF(OR(F1365="",G1365=""),"",IF(G1365&lt;='RETRATO 2027'!$K$5,"CONCLUÍDA",IF(F1365&lt;='RETRATO 2027'!$K$5,"EM ANDAMENTO","A INICIAR")))</f>
        <v/>
      </c>
    </row>
    <row r="1366">
      <c r="B1366" s="4" t="n">
        <v>29981538</v>
      </c>
      <c r="C1366" s="4" t="inlineStr">
        <is>
          <t>PINTURA 2º DEMÃO</t>
        </is>
      </c>
      <c r="D1366" s="4" t="inlineStr">
        <is>
          <t>-</t>
        </is>
      </c>
      <c r="E1366" s="4" t="inlineStr">
        <is>
          <t>7º PAV.</t>
        </is>
      </c>
      <c r="F1366" s="126" t="n">
        <v>46839</v>
      </c>
      <c r="G1366" s="126" t="n">
        <v>46849</v>
      </c>
      <c r="H1366" s="126" t="n">
        <v>46289</v>
      </c>
      <c r="I1366" s="4" t="n">
        <v>0</v>
      </c>
      <c r="J1366" s="4" t="n">
        <v>0</v>
      </c>
      <c r="K1366" s="4" t="n">
        <v>0</v>
      </c>
      <c r="M1366" s="2">
        <f>IF(C1366="","",IFERROR(INDEX($S$5:$S$304,MATCH(C1366,$R$5:$R$304,0))&amp;"","?"))</f>
        <v/>
      </c>
      <c r="N1366" s="2">
        <f>IF(E1366="","",IF(ISNUMBER(SEARCH("SUBSOLO",E1366)),IFERROR(-VALUE(LEFT(E1366,FIND("º",SUBSTITUTE(E1366,"°","º"))-1)),-1),IF(LEFT(E1366,6)="TÉRREO",0,IFERROR(VALUE(LEFT(E1366,FIND("º",SUBSTITUTE(E1366,"°","º"))-1)),""))))</f>
        <v/>
      </c>
      <c r="O1366" s="2">
        <f>IF(OR(F1366="",G1366=""),"",IF(G1366&lt;='RETRATO 2027'!$K$5,"CONCLUÍDA",IF(F1366&lt;='RETRATO 2027'!$K$5,"EM ANDAMENTO","A INICIAR")))</f>
        <v/>
      </c>
    </row>
    <row r="1367">
      <c r="B1367" s="4" t="n">
        <v>33919785</v>
      </c>
      <c r="C1367" s="4" t="inlineStr">
        <is>
          <t>TEXTURA - EXTERNA</t>
        </is>
      </c>
      <c r="D1367" s="4" t="inlineStr">
        <is>
          <t>-</t>
        </is>
      </c>
      <c r="E1367" s="4" t="inlineStr">
        <is>
          <t>7º PAV.</t>
        </is>
      </c>
      <c r="F1367" s="126" t="n">
        <v>46839</v>
      </c>
      <c r="G1367" s="126" t="n">
        <v>46849</v>
      </c>
      <c r="H1367" s="126" t="n">
        <v>46289</v>
      </c>
      <c r="I1367" s="4" t="n">
        <v>0</v>
      </c>
      <c r="J1367" s="4" t="n">
        <v>0</v>
      </c>
      <c r="K1367" s="4" t="n">
        <v>0</v>
      </c>
      <c r="M1367" s="2">
        <f>IF(C1367="","",IFERROR(INDEX($S$5:$S$304,MATCH(C1367,$R$5:$R$304,0))&amp;"","?"))</f>
        <v/>
      </c>
      <c r="N1367" s="2">
        <f>IF(E1367="","",IF(ISNUMBER(SEARCH("SUBSOLO",E1367)),IFERROR(-VALUE(LEFT(E1367,FIND("º",SUBSTITUTE(E1367,"°","º"))-1)),-1),IF(LEFT(E1367,6)="TÉRREO",0,IFERROR(VALUE(LEFT(E1367,FIND("º",SUBSTITUTE(E1367,"°","º"))-1)),""))))</f>
        <v/>
      </c>
      <c r="O1367" s="2">
        <f>IF(OR(F1367="",G1367=""),"",IF(G1367&lt;='RETRATO 2027'!$K$5,"CONCLUÍDA",IF(F1367&lt;='RETRATO 2027'!$K$5,"EM ANDAMENTO","A INICIAR")))</f>
        <v/>
      </c>
    </row>
    <row r="1368">
      <c r="B1368" s="4" t="n">
        <v>29981500</v>
      </c>
      <c r="C1368" s="4" t="inlineStr">
        <is>
          <t>LIMPEZA GROSSA</t>
        </is>
      </c>
      <c r="D1368" s="4" t="inlineStr">
        <is>
          <t>-</t>
        </is>
      </c>
      <c r="E1368" s="4" t="inlineStr">
        <is>
          <t>8º PAV.</t>
        </is>
      </c>
      <c r="F1368" s="126" t="n">
        <v>46839</v>
      </c>
      <c r="G1368" s="126" t="n">
        <v>46849</v>
      </c>
      <c r="H1368" s="126" t="n">
        <v>46289</v>
      </c>
      <c r="I1368" s="4" t="n">
        <v>0</v>
      </c>
      <c r="J1368" s="4" t="n">
        <v>0</v>
      </c>
      <c r="K1368" s="4" t="n">
        <v>0</v>
      </c>
      <c r="M1368" s="2">
        <f>IF(C1368="","",IFERROR(INDEX($S$5:$S$304,MATCH(C1368,$R$5:$R$304,0))&amp;"","?"))</f>
        <v/>
      </c>
      <c r="N1368" s="2">
        <f>IF(E1368="","",IF(ISNUMBER(SEARCH("SUBSOLO",E1368)),IFERROR(-VALUE(LEFT(E1368,FIND("º",SUBSTITUTE(E1368,"°","º"))-1)),-1),IF(LEFT(E1368,6)="TÉRREO",0,IFERROR(VALUE(LEFT(E1368,FIND("º",SUBSTITUTE(E1368,"°","º"))-1)),""))))</f>
        <v/>
      </c>
      <c r="O1368" s="2">
        <f>IF(OR(F1368="",G1368=""),"",IF(G1368&lt;='RETRATO 2027'!$K$5,"CONCLUÍDA",IF(F1368&lt;='RETRATO 2027'!$K$5,"EM ANDAMENTO","A INICIAR")))</f>
        <v/>
      </c>
    </row>
    <row r="1369">
      <c r="B1369" s="4" t="n">
        <v>29981457</v>
      </c>
      <c r="C1369" s="4" t="inlineStr">
        <is>
          <t>LOUÇAS</t>
        </is>
      </c>
      <c r="D1369" s="4" t="inlineStr">
        <is>
          <t>-</t>
        </is>
      </c>
      <c r="E1369" s="4" t="inlineStr">
        <is>
          <t>9º PAV.</t>
        </is>
      </c>
      <c r="F1369" s="126" t="n">
        <v>46839</v>
      </c>
      <c r="G1369" s="126" t="n">
        <v>46849</v>
      </c>
      <c r="H1369" s="126" t="n">
        <v>46289</v>
      </c>
      <c r="I1369" s="4" t="n">
        <v>0</v>
      </c>
      <c r="J1369" s="4" t="n">
        <v>0</v>
      </c>
      <c r="K1369" s="4" t="n">
        <v>0</v>
      </c>
      <c r="M1369" s="2">
        <f>IF(C1369="","",IFERROR(INDEX($S$5:$S$304,MATCH(C1369,$R$5:$R$304,0))&amp;"","?"))</f>
        <v/>
      </c>
      <c r="N1369" s="2">
        <f>IF(E1369="","",IF(ISNUMBER(SEARCH("SUBSOLO",E1369)),IFERROR(-VALUE(LEFT(E1369,FIND("º",SUBSTITUTE(E1369,"°","º"))-1)),-1),IF(LEFT(E1369,6)="TÉRREO",0,IFERROR(VALUE(LEFT(E1369,FIND("º",SUBSTITUTE(E1369,"°","º"))-1)),""))))</f>
        <v/>
      </c>
      <c r="O1369" s="2">
        <f>IF(OR(F1369="",G1369=""),"",IF(G1369&lt;='RETRATO 2027'!$K$5,"CONCLUÍDA",IF(F1369&lt;='RETRATO 2027'!$K$5,"EM ANDAMENTO","A INICIAR")))</f>
        <v/>
      </c>
    </row>
    <row r="1370">
      <c r="B1370" s="4" t="n">
        <v>29981462</v>
      </c>
      <c r="C1370" s="4" t="inlineStr">
        <is>
          <t>METAIS</t>
        </is>
      </c>
      <c r="D1370" s="4" t="inlineStr">
        <is>
          <t>-</t>
        </is>
      </c>
      <c r="E1370" s="4" t="inlineStr">
        <is>
          <t>9º PAV.</t>
        </is>
      </c>
      <c r="F1370" s="126" t="n">
        <v>46839</v>
      </c>
      <c r="G1370" s="126" t="n">
        <v>46849</v>
      </c>
      <c r="H1370" s="126" t="n">
        <v>46289</v>
      </c>
      <c r="I1370" s="4" t="n">
        <v>0</v>
      </c>
      <c r="J1370" s="4" t="n">
        <v>0</v>
      </c>
      <c r="K1370" s="4" t="n">
        <v>0</v>
      </c>
      <c r="M1370" s="2">
        <f>IF(C1370="","",IFERROR(INDEX($S$5:$S$304,MATCH(C1370,$R$5:$R$304,0))&amp;"","?"))</f>
        <v/>
      </c>
      <c r="N1370" s="2">
        <f>IF(E1370="","",IF(ISNUMBER(SEARCH("SUBSOLO",E1370)),IFERROR(-VALUE(LEFT(E1370,FIND("º",SUBSTITUTE(E1370,"°","º"))-1)),-1),IF(LEFT(E1370,6)="TÉRREO",0,IFERROR(VALUE(LEFT(E1370,FIND("º",SUBSTITUTE(E1370,"°","º"))-1)),""))))</f>
        <v/>
      </c>
      <c r="O1370" s="2">
        <f>IF(OR(F1370="",G1370=""),"",IF(G1370&lt;='RETRATO 2027'!$K$5,"CONCLUÍDA",IF(F1370&lt;='RETRATO 2027'!$K$5,"EM ANDAMENTO","A INICIAR")))</f>
        <v/>
      </c>
    </row>
    <row r="1371">
      <c r="B1371" s="4" t="n">
        <v>29981461</v>
      </c>
      <c r="C1371" s="4" t="inlineStr">
        <is>
          <t>DISJUNTORES / MIOLOS</t>
        </is>
      </c>
      <c r="D1371" s="4" t="inlineStr">
        <is>
          <t>-</t>
        </is>
      </c>
      <c r="E1371" s="4" t="inlineStr">
        <is>
          <t>9º PAV.</t>
        </is>
      </c>
      <c r="F1371" s="126" t="n">
        <v>46839</v>
      </c>
      <c r="G1371" s="126" t="n">
        <v>46849</v>
      </c>
      <c r="H1371" s="126" t="n">
        <v>46289</v>
      </c>
      <c r="I1371" s="4" t="n">
        <v>0</v>
      </c>
      <c r="J1371" s="4" t="n">
        <v>0</v>
      </c>
      <c r="K1371" s="4" t="n">
        <v>0</v>
      </c>
      <c r="M1371" s="2">
        <f>IF(C1371="","",IFERROR(INDEX($S$5:$S$304,MATCH(C1371,$R$5:$R$304,0))&amp;"","?"))</f>
        <v/>
      </c>
      <c r="N1371" s="2">
        <f>IF(E1371="","",IF(ISNUMBER(SEARCH("SUBSOLO",E1371)),IFERROR(-VALUE(LEFT(E1371,FIND("º",SUBSTITUTE(E1371,"°","º"))-1)),-1),IF(LEFT(E1371,6)="TÉRREO",0,IFERROR(VALUE(LEFT(E1371,FIND("º",SUBSTITUTE(E1371,"°","º"))-1)),""))))</f>
        <v/>
      </c>
      <c r="O1371" s="2">
        <f>IF(OR(F1371="",G1371=""),"",IF(G1371&lt;='RETRATO 2027'!$K$5,"CONCLUÍDA",IF(F1371&lt;='RETRATO 2027'!$K$5,"EM ANDAMENTO","A INICIAR")))</f>
        <v/>
      </c>
    </row>
    <row r="1372">
      <c r="B1372" s="4" t="n">
        <v>29981460</v>
      </c>
      <c r="C1372" s="4" t="inlineStr">
        <is>
          <t>COMUNICAÇÃO E ALARME</t>
        </is>
      </c>
      <c r="D1372" s="4" t="inlineStr">
        <is>
          <t>-</t>
        </is>
      </c>
      <c r="E1372" s="4" t="inlineStr">
        <is>
          <t>9º PAV.</t>
        </is>
      </c>
      <c r="F1372" s="126" t="n">
        <v>46839</v>
      </c>
      <c r="G1372" s="126" t="n">
        <v>46849</v>
      </c>
      <c r="H1372" s="126" t="n">
        <v>46289</v>
      </c>
      <c r="I1372" s="4" t="n">
        <v>0</v>
      </c>
      <c r="J1372" s="4" t="n">
        <v>0</v>
      </c>
      <c r="K1372" s="4" t="n">
        <v>0</v>
      </c>
      <c r="M1372" s="2">
        <f>IF(C1372="","",IFERROR(INDEX($S$5:$S$304,MATCH(C1372,$R$5:$R$304,0))&amp;"","?"))</f>
        <v/>
      </c>
      <c r="N1372" s="2">
        <f>IF(E1372="","",IF(ISNUMBER(SEARCH("SUBSOLO",E1372)),IFERROR(-VALUE(LEFT(E1372,FIND("º",SUBSTITUTE(E1372,"°","º"))-1)),-1),IF(LEFT(E1372,6)="TÉRREO",0,IFERROR(VALUE(LEFT(E1372,FIND("º",SUBSTITUTE(E1372,"°","º"))-1)),""))))</f>
        <v/>
      </c>
      <c r="O1372" s="2">
        <f>IF(OR(F1372="",G1372=""),"",IF(G1372&lt;='RETRATO 2027'!$K$5,"CONCLUÍDA",IF(F1372&lt;='RETRATO 2027'!$K$5,"EM ANDAMENTO","A INICIAR")))</f>
        <v/>
      </c>
    </row>
    <row r="1373">
      <c r="B1373" s="4" t="n">
        <v>29981419</v>
      </c>
      <c r="C1373" s="4" t="inlineStr">
        <is>
          <t>RODAPÉ MADEIRA / PVC</t>
        </is>
      </c>
      <c r="D1373" s="4" t="inlineStr">
        <is>
          <t>-</t>
        </is>
      </c>
      <c r="E1373" s="4" t="inlineStr">
        <is>
          <t>10º PAV.</t>
        </is>
      </c>
      <c r="F1373" s="126" t="n">
        <v>46839</v>
      </c>
      <c r="G1373" s="126" t="n">
        <v>46849</v>
      </c>
      <c r="H1373" s="126" t="n">
        <v>46289</v>
      </c>
      <c r="I1373" s="4" t="n">
        <v>0</v>
      </c>
      <c r="J1373" s="4" t="n">
        <v>0</v>
      </c>
      <c r="K1373" s="4" t="n">
        <v>0</v>
      </c>
      <c r="M1373" s="2">
        <f>IF(C1373="","",IFERROR(INDEX($S$5:$S$304,MATCH(C1373,$R$5:$R$304,0))&amp;"","?"))</f>
        <v/>
      </c>
      <c r="N1373" s="2">
        <f>IF(E1373="","",IF(ISNUMBER(SEARCH("SUBSOLO",E1373)),IFERROR(-VALUE(LEFT(E1373,FIND("º",SUBSTITUTE(E1373,"°","º"))-1)),-1),IF(LEFT(E1373,6)="TÉRREO",0,IFERROR(VALUE(LEFT(E1373,FIND("º",SUBSTITUTE(E1373,"°","º"))-1)),""))))</f>
        <v/>
      </c>
      <c r="O1373" s="2">
        <f>IF(OR(F1373="",G1373=""),"",IF(G1373&lt;='RETRATO 2027'!$K$5,"CONCLUÍDA",IF(F1373&lt;='RETRATO 2027'!$K$5,"EM ANDAMENTO","A INICIAR")))</f>
        <v/>
      </c>
    </row>
    <row r="1374">
      <c r="B1374" s="4" t="n">
        <v>29981381</v>
      </c>
      <c r="C1374" s="4" t="inlineStr">
        <is>
          <t>ESQUADRIA MADEIRA</t>
        </is>
      </c>
      <c r="D1374" s="4" t="inlineStr">
        <is>
          <t>-</t>
        </is>
      </c>
      <c r="E1374" s="4" t="inlineStr">
        <is>
          <t>11º PAV.</t>
        </is>
      </c>
      <c r="F1374" s="126" t="n">
        <v>46839</v>
      </c>
      <c r="G1374" s="126" t="n">
        <v>46849</v>
      </c>
      <c r="H1374" s="126" t="n">
        <v>46289</v>
      </c>
      <c r="I1374" s="4" t="n">
        <v>0</v>
      </c>
      <c r="J1374" s="4" t="n">
        <v>0</v>
      </c>
      <c r="K1374" s="4" t="n">
        <v>0</v>
      </c>
      <c r="M1374" s="2">
        <f>IF(C1374="","",IFERROR(INDEX($S$5:$S$304,MATCH(C1374,$R$5:$R$304,0))&amp;"","?"))</f>
        <v/>
      </c>
      <c r="N1374" s="2">
        <f>IF(E1374="","",IF(ISNUMBER(SEARCH("SUBSOLO",E1374)),IFERROR(-VALUE(LEFT(E1374,FIND("º",SUBSTITUTE(E1374,"°","º"))-1)),-1),IF(LEFT(E1374,6)="TÉRREO",0,IFERROR(VALUE(LEFT(E1374,FIND("º",SUBSTITUTE(E1374,"°","º"))-1)),""))))</f>
        <v/>
      </c>
      <c r="O1374" s="2">
        <f>IF(OR(F1374="",G1374=""),"",IF(G1374&lt;='RETRATO 2027'!$K$5,"CONCLUÍDA",IF(F1374&lt;='RETRATO 2027'!$K$5,"EM ANDAMENTO","A INICIAR")))</f>
        <v/>
      </c>
    </row>
    <row r="1375">
      <c r="B1375" s="4" t="n">
        <v>29981343</v>
      </c>
      <c r="C1375" s="4" t="inlineStr">
        <is>
          <t>PISO VINÍLICO / LAMINADO</t>
        </is>
      </c>
      <c r="D1375" s="4" t="inlineStr">
        <is>
          <t>-</t>
        </is>
      </c>
      <c r="E1375" s="4" t="inlineStr">
        <is>
          <t>12º PAV.</t>
        </is>
      </c>
      <c r="F1375" s="126" t="n">
        <v>46839</v>
      </c>
      <c r="G1375" s="126" t="n">
        <v>46849</v>
      </c>
      <c r="H1375" s="126" t="n">
        <v>46289</v>
      </c>
      <c r="I1375" s="4" t="n">
        <v>0</v>
      </c>
      <c r="J1375" s="4" t="n">
        <v>0</v>
      </c>
      <c r="K1375" s="4" t="n">
        <v>0</v>
      </c>
      <c r="M1375" s="2">
        <f>IF(C1375="","",IFERROR(INDEX($S$5:$S$304,MATCH(C1375,$R$5:$R$304,0))&amp;"","?"))</f>
        <v/>
      </c>
      <c r="N1375" s="2">
        <f>IF(E1375="","",IF(ISNUMBER(SEARCH("SUBSOLO",E1375)),IFERROR(-VALUE(LEFT(E1375,FIND("º",SUBSTITUTE(E1375,"°","º"))-1)),-1),IF(LEFT(E1375,6)="TÉRREO",0,IFERROR(VALUE(LEFT(E1375,FIND("º",SUBSTITUTE(E1375,"°","º"))-1)),""))))</f>
        <v/>
      </c>
      <c r="O1375" s="2">
        <f>IF(OR(F1375="",G1375=""),"",IF(G1375&lt;='RETRATO 2027'!$K$5,"CONCLUÍDA",IF(F1375&lt;='RETRATO 2027'!$K$5,"EM ANDAMENTO","A INICIAR")))</f>
        <v/>
      </c>
    </row>
    <row r="1376">
      <c r="B1376" s="4" t="n">
        <v>29981305</v>
      </c>
      <c r="C1376" s="4" t="inlineStr">
        <is>
          <t>PINTURA 1º DEMÃO</t>
        </is>
      </c>
      <c r="D1376" s="4" t="inlineStr">
        <is>
          <t>-</t>
        </is>
      </c>
      <c r="E1376" s="4" t="inlineStr">
        <is>
          <t>13º PAV.</t>
        </is>
      </c>
      <c r="F1376" s="126" t="n">
        <v>46839</v>
      </c>
      <c r="G1376" s="126" t="n">
        <v>46849</v>
      </c>
      <c r="H1376" s="126" t="n">
        <v>46289</v>
      </c>
      <c r="I1376" s="4" t="n">
        <v>0</v>
      </c>
      <c r="J1376" s="4" t="n">
        <v>0</v>
      </c>
      <c r="K1376" s="4" t="n">
        <v>0</v>
      </c>
      <c r="M1376" s="2">
        <f>IF(C1376="","",IFERROR(INDEX($S$5:$S$304,MATCH(C1376,$R$5:$R$304,0))&amp;"","?"))</f>
        <v/>
      </c>
      <c r="N1376" s="2">
        <f>IF(E1376="","",IF(ISNUMBER(SEARCH("SUBSOLO",E1376)),IFERROR(-VALUE(LEFT(E1376,FIND("º",SUBSTITUTE(E1376,"°","º"))-1)),-1),IF(LEFT(E1376,6)="TÉRREO",0,IFERROR(VALUE(LEFT(E1376,FIND("º",SUBSTITUTE(E1376,"°","º"))-1)),""))))</f>
        <v/>
      </c>
      <c r="O1376" s="2">
        <f>IF(OR(F1376="",G1376=""),"",IF(G1376&lt;='RETRATO 2027'!$K$5,"CONCLUÍDA",IF(F1376&lt;='RETRATO 2027'!$K$5,"EM ANDAMENTO","A INICIAR")))</f>
        <v/>
      </c>
    </row>
    <row r="1377">
      <c r="B1377" s="4" t="n">
        <v>29981294</v>
      </c>
      <c r="C1377" s="4" t="inlineStr">
        <is>
          <t>MASSA CORRIDA</t>
        </is>
      </c>
      <c r="D1377" s="4" t="inlineStr">
        <is>
          <t>-</t>
        </is>
      </c>
      <c r="E1377" s="4" t="inlineStr">
        <is>
          <t>14º PAV.</t>
        </is>
      </c>
      <c r="F1377" s="126" t="n">
        <v>46839</v>
      </c>
      <c r="G1377" s="126" t="n">
        <v>46849</v>
      </c>
      <c r="H1377" s="126" t="n">
        <v>46289</v>
      </c>
      <c r="I1377" s="4" t="n">
        <v>0</v>
      </c>
      <c r="J1377" s="4" t="n">
        <v>0</v>
      </c>
      <c r="K1377" s="4" t="n">
        <v>0</v>
      </c>
      <c r="M1377" s="2">
        <f>IF(C1377="","",IFERROR(INDEX($S$5:$S$304,MATCH(C1377,$R$5:$R$304,0))&amp;"","?"))</f>
        <v/>
      </c>
      <c r="N1377" s="2">
        <f>IF(E1377="","",IF(ISNUMBER(SEARCH("SUBSOLO",E1377)),IFERROR(-VALUE(LEFT(E1377,FIND("º",SUBSTITUTE(E1377,"°","º"))-1)),-1),IF(LEFT(E1377,6)="TÉRREO",0,IFERROR(VALUE(LEFT(E1377,FIND("º",SUBSTITUTE(E1377,"°","º"))-1)),""))))</f>
        <v/>
      </c>
      <c r="O1377" s="2">
        <f>IF(OR(F1377="",G1377=""),"",IF(G1377&lt;='RETRATO 2027'!$K$5,"CONCLUÍDA",IF(F1377&lt;='RETRATO 2027'!$K$5,"EM ANDAMENTO","A INICIAR")))</f>
        <v/>
      </c>
    </row>
    <row r="1378">
      <c r="B1378" s="4" t="n">
        <v>33898096</v>
      </c>
      <c r="C1378" s="4" t="inlineStr">
        <is>
          <t>ESQUADRIA DE ALUMÍNIO</t>
        </is>
      </c>
      <c r="D1378" s="4" t="inlineStr">
        <is>
          <t>-</t>
        </is>
      </c>
      <c r="E1378" s="4" t="inlineStr">
        <is>
          <t>15º PAV.</t>
        </is>
      </c>
      <c r="F1378" s="126" t="n">
        <v>46839</v>
      </c>
      <c r="G1378" s="126" t="n">
        <v>46849</v>
      </c>
      <c r="H1378" s="126" t="n">
        <v>46289</v>
      </c>
      <c r="I1378" s="4" t="n">
        <v>0</v>
      </c>
      <c r="J1378" s="4" t="n">
        <v>0</v>
      </c>
      <c r="K1378" s="4" t="n">
        <v>0</v>
      </c>
      <c r="M1378" s="2">
        <f>IF(C1378="","",IFERROR(INDEX($S$5:$S$304,MATCH(C1378,$R$5:$R$304,0))&amp;"","?"))</f>
        <v/>
      </c>
      <c r="N1378" s="2">
        <f>IF(E1378="","",IF(ISNUMBER(SEARCH("SUBSOLO",E1378)),IFERROR(-VALUE(LEFT(E1378,FIND("º",SUBSTITUTE(E1378,"°","º"))-1)),-1),IF(LEFT(E1378,6)="TÉRREO",0,IFERROR(VALUE(LEFT(E1378,FIND("º",SUBSTITUTE(E1378,"°","º"))-1)),""))))</f>
        <v/>
      </c>
      <c r="O1378" s="2">
        <f>IF(OR(F1378="",G1378=""),"",IF(G1378&lt;='RETRATO 2027'!$K$5,"CONCLUÍDA",IF(F1378&lt;='RETRATO 2027'!$K$5,"EM ANDAMENTO","A INICIAR")))</f>
        <v/>
      </c>
    </row>
    <row r="1379">
      <c r="B1379" s="4" t="n">
        <v>29981070</v>
      </c>
      <c r="C1379" s="4" t="inlineStr">
        <is>
          <t>FORRO</t>
        </is>
      </c>
      <c r="D1379" s="4" t="inlineStr">
        <is>
          <t>-</t>
        </is>
      </c>
      <c r="E1379" s="4" t="inlineStr">
        <is>
          <t>20º PAV.</t>
        </is>
      </c>
      <c r="F1379" s="126" t="n">
        <v>46840</v>
      </c>
      <c r="G1379" s="126" t="n">
        <v>46850</v>
      </c>
      <c r="H1379" s="126" t="n">
        <v>46289</v>
      </c>
      <c r="I1379" s="4" t="n">
        <v>0</v>
      </c>
      <c r="J1379" s="4" t="n">
        <v>0</v>
      </c>
      <c r="K1379" s="4" t="n">
        <v>0</v>
      </c>
      <c r="M1379" s="2">
        <f>IF(C1379="","",IFERROR(INDEX($S$5:$S$304,MATCH(C1379,$R$5:$R$304,0))&amp;"","?"))</f>
        <v/>
      </c>
      <c r="N1379" s="2">
        <f>IF(E1379="","",IF(ISNUMBER(SEARCH("SUBSOLO",E1379)),IFERROR(-VALUE(LEFT(E1379,FIND("º",SUBSTITUTE(E1379,"°","º"))-1)),-1),IF(LEFT(E1379,6)="TÉRREO",0,IFERROR(VALUE(LEFT(E1379,FIND("º",SUBSTITUTE(E1379,"°","º"))-1)),""))))</f>
        <v/>
      </c>
      <c r="O1379" s="2">
        <f>IF(OR(F1379="",G1379=""),"",IF(G1379&lt;='RETRATO 2027'!$K$5,"CONCLUÍDA",IF(F1379&lt;='RETRATO 2027'!$K$5,"EM ANDAMENTO","A INICIAR")))</f>
        <v/>
      </c>
    </row>
    <row r="1380">
      <c r="B1380" s="4" t="n">
        <v>29981031</v>
      </c>
      <c r="C1380" s="4" t="inlineStr">
        <is>
          <t>FIAÇÃO ELÉTRICA</t>
        </is>
      </c>
      <c r="D1380" s="4" t="inlineStr">
        <is>
          <t>-</t>
        </is>
      </c>
      <c r="E1380" s="4" t="inlineStr">
        <is>
          <t>21º PAV.</t>
        </is>
      </c>
      <c r="F1380" s="126" t="n">
        <v>46840</v>
      </c>
      <c r="G1380" s="126" t="n">
        <v>46850</v>
      </c>
      <c r="H1380" s="126" t="n">
        <v>46289</v>
      </c>
      <c r="I1380" s="4" t="n">
        <v>0</v>
      </c>
      <c r="J1380" s="4" t="n">
        <v>0</v>
      </c>
      <c r="K1380" s="4" t="n">
        <v>0</v>
      </c>
      <c r="M1380" s="2">
        <f>IF(C1380="","",IFERROR(INDEX($S$5:$S$304,MATCH(C1380,$R$5:$R$304,0))&amp;"","?"))</f>
        <v/>
      </c>
      <c r="N1380" s="2">
        <f>IF(E1380="","",IF(ISNUMBER(SEARCH("SUBSOLO",E1380)),IFERROR(-VALUE(LEFT(E1380,FIND("º",SUBSTITUTE(E1380,"°","º"))-1)),-1),IF(LEFT(E1380,6)="TÉRREO",0,IFERROR(VALUE(LEFT(E1380,FIND("º",SUBSTITUTE(E1380,"°","º"))-1)),""))))</f>
        <v/>
      </c>
      <c r="O1380" s="2">
        <f>IF(OR(F1380="",G1380=""),"",IF(G1380&lt;='RETRATO 2027'!$K$5,"CONCLUÍDA",IF(F1380&lt;='RETRATO 2027'!$K$5,"EM ANDAMENTO","A INICIAR")))</f>
        <v/>
      </c>
    </row>
    <row r="1381">
      <c r="B1381" s="4" t="n">
        <v>29981036</v>
      </c>
      <c r="C1381" s="4" t="inlineStr">
        <is>
          <t>PRUMADA ELÉTRICA - CABOS</t>
        </is>
      </c>
      <c r="D1381" s="4" t="inlineStr">
        <is>
          <t>-</t>
        </is>
      </c>
      <c r="E1381" s="4" t="inlineStr">
        <is>
          <t>21º PAV.</t>
        </is>
      </c>
      <c r="F1381" s="126" t="n">
        <v>46840</v>
      </c>
      <c r="G1381" s="126" t="n">
        <v>46850</v>
      </c>
      <c r="H1381" s="126" t="n">
        <v>46289</v>
      </c>
      <c r="I1381" s="4" t="n">
        <v>0</v>
      </c>
      <c r="J1381" s="4" t="n">
        <v>0</v>
      </c>
      <c r="K1381" s="4" t="n">
        <v>0</v>
      </c>
      <c r="M1381" s="2">
        <f>IF(C1381="","",IFERROR(INDEX($S$5:$S$304,MATCH(C1381,$R$5:$R$304,0))&amp;"","?"))</f>
        <v/>
      </c>
      <c r="N1381" s="2">
        <f>IF(E1381="","",IF(ISNUMBER(SEARCH("SUBSOLO",E1381)),IFERROR(-VALUE(LEFT(E1381,FIND("º",SUBSTITUTE(E1381,"°","º"))-1)),-1),IF(LEFT(E1381,6)="TÉRREO",0,IFERROR(VALUE(LEFT(E1381,FIND("º",SUBSTITUTE(E1381,"°","º"))-1)),""))))</f>
        <v/>
      </c>
      <c r="O1381" s="2">
        <f>IF(OR(F1381="",G1381=""),"",IF(G1381&lt;='RETRATO 2027'!$K$5,"CONCLUÍDA",IF(F1381&lt;='RETRATO 2027'!$K$5,"EM ANDAMENTO","A INICIAR")))</f>
        <v/>
      </c>
    </row>
    <row r="1382">
      <c r="B1382" s="4" t="n">
        <v>30214083</v>
      </c>
      <c r="C1382" s="4" t="inlineStr">
        <is>
          <t>FIAÇÃO TELECOM/DADOS</t>
        </is>
      </c>
      <c r="D1382" s="4" t="inlineStr">
        <is>
          <t>-</t>
        </is>
      </c>
      <c r="E1382" s="4" t="inlineStr">
        <is>
          <t>21º PAV.</t>
        </is>
      </c>
      <c r="F1382" s="126" t="n">
        <v>46840</v>
      </c>
      <c r="G1382" s="126" t="n">
        <v>46853</v>
      </c>
      <c r="H1382" s="126" t="n">
        <v>46289</v>
      </c>
      <c r="I1382" s="4" t="n">
        <v>0</v>
      </c>
      <c r="J1382" s="4" t="n">
        <v>0</v>
      </c>
      <c r="K1382" s="4" t="n">
        <v>0</v>
      </c>
      <c r="M1382" s="2">
        <f>IF(C1382="","",IFERROR(INDEX($S$5:$S$304,MATCH(C1382,$R$5:$R$304,0))&amp;"","?"))</f>
        <v/>
      </c>
      <c r="N1382" s="2">
        <f>IF(E1382="","",IF(ISNUMBER(SEARCH("SUBSOLO",E1382)),IFERROR(-VALUE(LEFT(E1382,FIND("º",SUBSTITUTE(E1382,"°","º"))-1)),-1),IF(LEFT(E1382,6)="TÉRREO",0,IFERROR(VALUE(LEFT(E1382,FIND("º",SUBSTITUTE(E1382,"°","º"))-1)),""))))</f>
        <v/>
      </c>
      <c r="O1382" s="2">
        <f>IF(OR(F1382="",G1382=""),"",IF(G1382&lt;='RETRATO 2027'!$K$5,"CONCLUÍDA",IF(F1382&lt;='RETRATO 2027'!$K$5,"EM ANDAMENTO","A INICIAR")))</f>
        <v/>
      </c>
    </row>
    <row r="1383">
      <c r="B1383" s="4" t="n">
        <v>29980978</v>
      </c>
      <c r="C1383" s="4" t="inlineStr">
        <is>
          <t>BANCADAS</t>
        </is>
      </c>
      <c r="D1383" s="4" t="inlineStr">
        <is>
          <t>-</t>
        </is>
      </c>
      <c r="E1383" s="4" t="inlineStr">
        <is>
          <t>22º PAV.</t>
        </is>
      </c>
      <c r="F1383" s="126" t="n">
        <v>46840</v>
      </c>
      <c r="G1383" s="126" t="n">
        <v>46850</v>
      </c>
      <c r="H1383" s="126" t="n">
        <v>46289</v>
      </c>
      <c r="I1383" s="4" t="n">
        <v>0</v>
      </c>
      <c r="J1383" s="4" t="n">
        <v>0</v>
      </c>
      <c r="K1383" s="4" t="n">
        <v>0</v>
      </c>
      <c r="M1383" s="2">
        <f>IF(C1383="","",IFERROR(INDEX($S$5:$S$304,MATCH(C1383,$R$5:$R$304,0))&amp;"","?"))</f>
        <v/>
      </c>
      <c r="N1383" s="2">
        <f>IF(E1383="","",IF(ISNUMBER(SEARCH("SUBSOLO",E1383)),IFERROR(-VALUE(LEFT(E1383,FIND("º",SUBSTITUTE(E1383,"°","º"))-1)),-1),IF(LEFT(E1383,6)="TÉRREO",0,IFERROR(VALUE(LEFT(E1383,FIND("º",SUBSTITUTE(E1383,"°","º"))-1)),""))))</f>
        <v/>
      </c>
      <c r="O1383" s="2">
        <f>IF(OR(F1383="",G1383=""),"",IF(G1383&lt;='RETRATO 2027'!$K$5,"CONCLUÍDA",IF(F1383&lt;='RETRATO 2027'!$K$5,"EM ANDAMENTO","A INICIAR")))</f>
        <v/>
      </c>
    </row>
    <row r="1384">
      <c r="B1384" s="4" t="n">
        <v>29980940</v>
      </c>
      <c r="C1384" s="4" t="inlineStr">
        <is>
          <t>REVESTIMENTOS PORCELANATO PISO</t>
        </is>
      </c>
      <c r="D1384" s="4" t="inlineStr">
        <is>
          <t>-</t>
        </is>
      </c>
      <c r="E1384" s="4" t="inlineStr">
        <is>
          <t>23º PAV.</t>
        </is>
      </c>
      <c r="F1384" s="126" t="n">
        <v>46840</v>
      </c>
      <c r="G1384" s="126" t="n">
        <v>46850</v>
      </c>
      <c r="H1384" s="126" t="n">
        <v>46289</v>
      </c>
      <c r="I1384" s="4" t="n">
        <v>0</v>
      </c>
      <c r="J1384" s="4" t="n">
        <v>0</v>
      </c>
      <c r="K1384" s="4" t="n">
        <v>0</v>
      </c>
      <c r="M1384" s="2">
        <f>IF(C1384="","",IFERROR(INDEX($S$5:$S$304,MATCH(C1384,$R$5:$R$304,0))&amp;"","?"))</f>
        <v/>
      </c>
      <c r="N1384" s="2">
        <f>IF(E1384="","",IF(ISNUMBER(SEARCH("SUBSOLO",E1384)),IFERROR(-VALUE(LEFT(E1384,FIND("º",SUBSTITUTE(E1384,"°","º"))-1)),-1),IF(LEFT(E1384,6)="TÉRREO",0,IFERROR(VALUE(LEFT(E1384,FIND("º",SUBSTITUTE(E1384,"°","º"))-1)),""))))</f>
        <v/>
      </c>
      <c r="O1384" s="2">
        <f>IF(OR(F1384="",G1384=""),"",IF(G1384&lt;='RETRATO 2027'!$K$5,"CONCLUÍDA",IF(F1384&lt;='RETRATO 2027'!$K$5,"EM ANDAMENTO","A INICIAR")))</f>
        <v/>
      </c>
    </row>
    <row r="1385">
      <c r="B1385" s="4" t="n">
        <v>29980919</v>
      </c>
      <c r="C1385" s="4" t="inlineStr">
        <is>
          <t>REVESTIMENTO PORCELANATO PAREDE</t>
        </is>
      </c>
      <c r="D1385" s="4" t="inlineStr">
        <is>
          <t>-</t>
        </is>
      </c>
      <c r="E1385" s="4" t="inlineStr">
        <is>
          <t>24º PAV.</t>
        </is>
      </c>
      <c r="F1385" s="126" t="n">
        <v>46840</v>
      </c>
      <c r="G1385" s="126" t="n">
        <v>46850</v>
      </c>
      <c r="H1385" s="126" t="n">
        <v>46289</v>
      </c>
      <c r="I1385" s="4" t="n">
        <v>0</v>
      </c>
      <c r="J1385" s="4" t="n">
        <v>0</v>
      </c>
      <c r="K1385" s="4" t="n">
        <v>0</v>
      </c>
      <c r="M1385" s="2">
        <f>IF(C1385="","",IFERROR(INDEX($S$5:$S$304,MATCH(C1385,$R$5:$R$304,0))&amp;"","?"))</f>
        <v/>
      </c>
      <c r="N1385" s="2">
        <f>IF(E1385="","",IF(ISNUMBER(SEARCH("SUBSOLO",E1385)),IFERROR(-VALUE(LEFT(E1385,FIND("º",SUBSTITUTE(E1385,"°","º"))-1)),-1),IF(LEFT(E1385,6)="TÉRREO",0,IFERROR(VALUE(LEFT(E1385,FIND("º",SUBSTITUTE(E1385,"°","º"))-1)),""))))</f>
        <v/>
      </c>
      <c r="O1385" s="2">
        <f>IF(OR(F1385="",G1385=""),"",IF(G1385&lt;='RETRATO 2027'!$K$5,"CONCLUÍDA",IF(F1385&lt;='RETRATO 2027'!$K$5,"EM ANDAMENTO","A INICIAR")))</f>
        <v/>
      </c>
    </row>
    <row r="1386">
      <c r="B1386" s="4" t="n">
        <v>29980880</v>
      </c>
      <c r="C1386" s="4" t="inlineStr">
        <is>
          <t>IMPERMEABILIZAÇÃO</t>
        </is>
      </c>
      <c r="D1386" s="4" t="inlineStr">
        <is>
          <t>-</t>
        </is>
      </c>
      <c r="E1386" s="4" t="inlineStr">
        <is>
          <t>25º PAV.</t>
        </is>
      </c>
      <c r="F1386" s="126" t="n">
        <v>46840</v>
      </c>
      <c r="G1386" s="126" t="n">
        <v>46850</v>
      </c>
      <c r="H1386" s="126" t="n">
        <v>46289</v>
      </c>
      <c r="I1386" s="4" t="n">
        <v>0</v>
      </c>
      <c r="J1386" s="4" t="n">
        <v>0</v>
      </c>
      <c r="K1386" s="4" t="n">
        <v>0</v>
      </c>
      <c r="M1386" s="2">
        <f>IF(C1386="","",IFERROR(INDEX($S$5:$S$304,MATCH(C1386,$R$5:$R$304,0))&amp;"","?"))</f>
        <v/>
      </c>
      <c r="N1386" s="2">
        <f>IF(E1386="","",IF(ISNUMBER(SEARCH("SUBSOLO",E1386)),IFERROR(-VALUE(LEFT(E1386,FIND("º",SUBSTITUTE(E1386,"°","º"))-1)),-1),IF(LEFT(E1386,6)="TÉRREO",0,IFERROR(VALUE(LEFT(E1386,FIND("º",SUBSTITUTE(E1386,"°","º"))-1)),""))))</f>
        <v/>
      </c>
      <c r="O1386" s="2">
        <f>IF(OR(F1386="",G1386=""),"",IF(G1386&lt;='RETRATO 2027'!$K$5,"CONCLUÍDA",IF(F1386&lt;='RETRATO 2027'!$K$5,"EM ANDAMENTO","A INICIAR")))</f>
        <v/>
      </c>
    </row>
    <row r="1387">
      <c r="B1387" s="4" t="n">
        <v>32750452</v>
      </c>
      <c r="C1387" s="4" t="inlineStr">
        <is>
          <t>DRYWALL 2º FACE</t>
        </is>
      </c>
      <c r="D1387" s="4" t="inlineStr">
        <is>
          <t>-</t>
        </is>
      </c>
      <c r="E1387" s="4" t="inlineStr">
        <is>
          <t>26º PAV.</t>
        </is>
      </c>
      <c r="F1387" s="126" t="n">
        <v>46840</v>
      </c>
      <c r="G1387" s="126" t="n">
        <v>46850</v>
      </c>
      <c r="H1387" s="126" t="n">
        <v>46289</v>
      </c>
      <c r="I1387" s="4" t="n">
        <v>0</v>
      </c>
      <c r="J1387" s="4" t="n">
        <v>0</v>
      </c>
      <c r="K1387" s="4" t="n">
        <v>0</v>
      </c>
      <c r="M1387" s="2">
        <f>IF(C1387="","",IFERROR(INDEX($S$5:$S$304,MATCH(C1387,$R$5:$R$304,0))&amp;"","?"))</f>
        <v/>
      </c>
      <c r="N1387" s="2">
        <f>IF(E1387="","",IF(ISNUMBER(SEARCH("SUBSOLO",E1387)),IFERROR(-VALUE(LEFT(E1387,FIND("º",SUBSTITUTE(E1387,"°","º"))-1)),-1),IF(LEFT(E1387,6)="TÉRREO",0,IFERROR(VALUE(LEFT(E1387,FIND("º",SUBSTITUTE(E1387,"°","º"))-1)),""))))</f>
        <v/>
      </c>
      <c r="O1387" s="2">
        <f>IF(OR(F1387="",G1387=""),"",IF(G1387&lt;='RETRATO 2027'!$K$5,"CONCLUÍDA",IF(F1387&lt;='RETRATO 2027'!$K$5,"EM ANDAMENTO","A INICIAR")))</f>
        <v/>
      </c>
    </row>
    <row r="1388">
      <c r="B1388" s="4" t="n">
        <v>32750375</v>
      </c>
      <c r="C1388" s="4" t="inlineStr">
        <is>
          <t>DISTRIBUIÇÃO DE GÁS - DRYWALL</t>
        </is>
      </c>
      <c r="D1388" s="4" t="inlineStr">
        <is>
          <t>-</t>
        </is>
      </c>
      <c r="E1388" s="4" t="inlineStr">
        <is>
          <t>27º PAV.</t>
        </is>
      </c>
      <c r="F1388" s="126" t="n">
        <v>46840</v>
      </c>
      <c r="G1388" s="126" t="n">
        <v>46850</v>
      </c>
      <c r="H1388" s="126" t="n">
        <v>46289</v>
      </c>
      <c r="I1388" s="4" t="n">
        <v>0</v>
      </c>
      <c r="J1388" s="4" t="n">
        <v>0</v>
      </c>
      <c r="K1388" s="4" t="n">
        <v>0</v>
      </c>
      <c r="M1388" s="2">
        <f>IF(C1388="","",IFERROR(INDEX($S$5:$S$304,MATCH(C1388,$R$5:$R$304,0))&amp;"","?"))</f>
        <v/>
      </c>
      <c r="N1388" s="2">
        <f>IF(E1388="","",IF(ISNUMBER(SEARCH("SUBSOLO",E1388)),IFERROR(-VALUE(LEFT(E1388,FIND("º",SUBSTITUTE(E1388,"°","º"))-1)),-1),IF(LEFT(E1388,6)="TÉRREO",0,IFERROR(VALUE(LEFT(E1388,FIND("º",SUBSTITUTE(E1388,"°","º"))-1)),""))))</f>
        <v/>
      </c>
      <c r="O1388" s="2">
        <f>IF(OR(F1388="",G1388=""),"",IF(G1388&lt;='RETRATO 2027'!$K$5,"CONCLUÍDA",IF(F1388&lt;='RETRATO 2027'!$K$5,"EM ANDAMENTO","A INICIAR")))</f>
        <v/>
      </c>
    </row>
    <row r="1389">
      <c r="B1389" s="4" t="n">
        <v>32750401</v>
      </c>
      <c r="C1389" s="4" t="inlineStr">
        <is>
          <t>DISTRIBUIÇÃO ELÉTRICA/QUADRO - DRYWALL</t>
        </is>
      </c>
      <c r="D1389" s="4" t="inlineStr">
        <is>
          <t>-</t>
        </is>
      </c>
      <c r="E1389" s="4" t="inlineStr">
        <is>
          <t>27º PAV.</t>
        </is>
      </c>
      <c r="F1389" s="126" t="n">
        <v>46840</v>
      </c>
      <c r="G1389" s="126" t="n">
        <v>46850</v>
      </c>
      <c r="H1389" s="126" t="n">
        <v>46289</v>
      </c>
      <c r="I1389" s="4" t="n">
        <v>0</v>
      </c>
      <c r="J1389" s="4" t="n">
        <v>0</v>
      </c>
      <c r="K1389" s="4" t="n">
        <v>0</v>
      </c>
      <c r="M1389" s="2">
        <f>IF(C1389="","",IFERROR(INDEX($S$5:$S$304,MATCH(C1389,$R$5:$R$304,0))&amp;"","?"))</f>
        <v/>
      </c>
      <c r="N1389" s="2">
        <f>IF(E1389="","",IF(ISNUMBER(SEARCH("SUBSOLO",E1389)),IFERROR(-VALUE(LEFT(E1389,FIND("º",SUBSTITUTE(E1389,"°","º"))-1)),-1),IF(LEFT(E1389,6)="TÉRREO",0,IFERROR(VALUE(LEFT(E1389,FIND("º",SUBSTITUTE(E1389,"°","º"))-1)),""))))</f>
        <v/>
      </c>
      <c r="O1389" s="2">
        <f>IF(OR(F1389="",G1389=""),"",IF(G1389&lt;='RETRATO 2027'!$K$5,"CONCLUÍDA",IF(F1389&lt;='RETRATO 2027'!$K$5,"EM ANDAMENTO","A INICIAR")))</f>
        <v/>
      </c>
    </row>
    <row r="1390">
      <c r="B1390" s="4" t="n">
        <v>32750427</v>
      </c>
      <c r="C1390" s="4" t="inlineStr">
        <is>
          <t>DISTRIBUIÇÃO HIDRÁULICA - DRYWALL</t>
        </is>
      </c>
      <c r="D1390" s="4" t="inlineStr">
        <is>
          <t>-</t>
        </is>
      </c>
      <c r="E1390" s="4" t="inlineStr">
        <is>
          <t>27º PAV.</t>
        </is>
      </c>
      <c r="F1390" s="126" t="n">
        <v>46840</v>
      </c>
      <c r="G1390" s="126" t="n">
        <v>46850</v>
      </c>
      <c r="H1390" s="126" t="n">
        <v>46289</v>
      </c>
      <c r="I1390" s="4" t="n">
        <v>0</v>
      </c>
      <c r="J1390" s="4" t="n">
        <v>0</v>
      </c>
      <c r="K1390" s="4" t="n">
        <v>0</v>
      </c>
      <c r="M1390" s="2">
        <f>IF(C1390="","",IFERROR(INDEX($S$5:$S$304,MATCH(C1390,$R$5:$R$304,0))&amp;"","?"))</f>
        <v/>
      </c>
      <c r="N1390" s="2">
        <f>IF(E1390="","",IF(ISNUMBER(SEARCH("SUBSOLO",E1390)),IFERROR(-VALUE(LEFT(E1390,FIND("º",SUBSTITUTE(E1390,"°","º"))-1)),-1),IF(LEFT(E1390,6)="TÉRREO",0,IFERROR(VALUE(LEFT(E1390,FIND("º",SUBSTITUTE(E1390,"°","º"))-1)),""))))</f>
        <v/>
      </c>
      <c r="O1390" s="2">
        <f>IF(OR(F1390="",G1390=""),"",IF(G1390&lt;='RETRATO 2027'!$K$5,"CONCLUÍDA",IF(F1390&lt;='RETRATO 2027'!$K$5,"EM ANDAMENTO","A INICIAR")))</f>
        <v/>
      </c>
    </row>
    <row r="1391">
      <c r="B1391" s="4" t="n">
        <v>33896845</v>
      </c>
      <c r="C1391" s="4" t="inlineStr">
        <is>
          <t>INFRAESTRUTURA - AR CONDICIONADO</t>
        </is>
      </c>
      <c r="D1391" s="4" t="inlineStr">
        <is>
          <t>-</t>
        </is>
      </c>
      <c r="E1391" s="4" t="inlineStr">
        <is>
          <t>27º PAV.</t>
        </is>
      </c>
      <c r="F1391" s="126" t="n">
        <v>46840</v>
      </c>
      <c r="G1391" s="126" t="n">
        <v>46850</v>
      </c>
      <c r="H1391" s="126" t="n">
        <v>46289</v>
      </c>
      <c r="I1391" s="4" t="n">
        <v>0</v>
      </c>
      <c r="J1391" s="4" t="n">
        <v>0</v>
      </c>
      <c r="K1391" s="4" t="n">
        <v>0</v>
      </c>
      <c r="M1391" s="2">
        <f>IF(C1391="","",IFERROR(INDEX($S$5:$S$304,MATCH(C1391,$R$5:$R$304,0))&amp;"","?"))</f>
        <v/>
      </c>
      <c r="N1391" s="2">
        <f>IF(E1391="","",IF(ISNUMBER(SEARCH("SUBSOLO",E1391)),IFERROR(-VALUE(LEFT(E1391,FIND("º",SUBSTITUTE(E1391,"°","º"))-1)),-1),IF(LEFT(E1391,6)="TÉRREO",0,IFERROR(VALUE(LEFT(E1391,FIND("º",SUBSTITUTE(E1391,"°","º"))-1)),""))))</f>
        <v/>
      </c>
      <c r="O1391" s="2">
        <f>IF(OR(F1391="",G1391=""),"",IF(G1391&lt;='RETRATO 2027'!$K$5,"CONCLUÍDA",IF(F1391&lt;='RETRATO 2027'!$K$5,"EM ANDAMENTO","A INICIAR")))</f>
        <v/>
      </c>
    </row>
    <row r="1392">
      <c r="B1392" s="4" t="n">
        <v>32749871</v>
      </c>
      <c r="C1392" s="4" t="inlineStr">
        <is>
          <t>DRYWALL 1º FACE</t>
        </is>
      </c>
      <c r="D1392" s="4" t="inlineStr">
        <is>
          <t>-</t>
        </is>
      </c>
      <c r="E1392" s="4" t="inlineStr">
        <is>
          <t>28º PAV.</t>
        </is>
      </c>
      <c r="F1392" s="126" t="n">
        <v>46840</v>
      </c>
      <c r="G1392" s="126" t="n">
        <v>46850</v>
      </c>
      <c r="H1392" s="126" t="n">
        <v>46289</v>
      </c>
      <c r="I1392" s="4" t="n">
        <v>0</v>
      </c>
      <c r="J1392" s="4" t="n">
        <v>0</v>
      </c>
      <c r="K1392" s="4" t="n">
        <v>0</v>
      </c>
      <c r="M1392" s="2">
        <f>IF(C1392="","",IFERROR(INDEX($S$5:$S$304,MATCH(C1392,$R$5:$R$304,0))&amp;"","?"))</f>
        <v/>
      </c>
      <c r="N1392" s="2">
        <f>IF(E1392="","",IF(ISNUMBER(SEARCH("SUBSOLO",E1392)),IFERROR(-VALUE(LEFT(E1392,FIND("º",SUBSTITUTE(E1392,"°","º"))-1)),-1),IF(LEFT(E1392,6)="TÉRREO",0,IFERROR(VALUE(LEFT(E1392,FIND("º",SUBSTITUTE(E1392,"°","º"))-1)),""))))</f>
        <v/>
      </c>
      <c r="O1392" s="2">
        <f>IF(OR(F1392="",G1392=""),"",IF(G1392&lt;='RETRATO 2027'!$K$5,"CONCLUÍDA",IF(F1392&lt;='RETRATO 2027'!$K$5,"EM ANDAMENTO","A INICIAR")))</f>
        <v/>
      </c>
    </row>
    <row r="1393">
      <c r="B1393" s="4" t="n">
        <v>29980733</v>
      </c>
      <c r="C1393" s="4" t="inlineStr">
        <is>
          <t>CONTRAPISO</t>
        </is>
      </c>
      <c r="D1393" s="4" t="inlineStr">
        <is>
          <t>-</t>
        </is>
      </c>
      <c r="E1393" s="4" t="inlineStr">
        <is>
          <t>29º PAV.</t>
        </is>
      </c>
      <c r="F1393" s="126" t="n">
        <v>46840</v>
      </c>
      <c r="G1393" s="126" t="n">
        <v>46850</v>
      </c>
      <c r="H1393" s="126" t="n">
        <v>46289</v>
      </c>
      <c r="I1393" s="4" t="n">
        <v>0</v>
      </c>
      <c r="J1393" s="4" t="n">
        <v>0</v>
      </c>
      <c r="K1393" s="4" t="n">
        <v>0</v>
      </c>
      <c r="M1393" s="2">
        <f>IF(C1393="","",IFERROR(INDEX($S$5:$S$304,MATCH(C1393,$R$5:$R$304,0))&amp;"","?"))</f>
        <v/>
      </c>
      <c r="N1393" s="2">
        <f>IF(E1393="","",IF(ISNUMBER(SEARCH("SUBSOLO",E1393)),IFERROR(-VALUE(LEFT(E1393,FIND("º",SUBSTITUTE(E1393,"°","º"))-1)),-1),IF(LEFT(E1393,6)="TÉRREO",0,IFERROR(VALUE(LEFT(E1393,FIND("º",SUBSTITUTE(E1393,"°","º"))-1)),""))))</f>
        <v/>
      </c>
      <c r="O1393" s="2">
        <f>IF(OR(F1393="",G1393=""),"",IF(G1393&lt;='RETRATO 2027'!$K$5,"CONCLUÍDA",IF(F1393&lt;='RETRATO 2027'!$K$5,"EM ANDAMENTO","A INICIAR")))</f>
        <v/>
      </c>
    </row>
    <row r="1394">
      <c r="B1394" s="4" t="n">
        <v>29980673</v>
      </c>
      <c r="C1394" s="4" t="inlineStr">
        <is>
          <t>SHAFT INTERNO INST. HIDRAÚLICAS</t>
        </is>
      </c>
      <c r="D1394" s="4" t="inlineStr">
        <is>
          <t>-</t>
        </is>
      </c>
      <c r="E1394" s="4" t="inlineStr">
        <is>
          <t>30º PAV.</t>
        </is>
      </c>
      <c r="F1394" s="126" t="n">
        <v>46840</v>
      </c>
      <c r="G1394" s="126" t="n">
        <v>46850</v>
      </c>
      <c r="H1394" s="126" t="n">
        <v>46289</v>
      </c>
      <c r="I1394" s="4" t="n">
        <v>0</v>
      </c>
      <c r="J1394" s="4" t="n">
        <v>0</v>
      </c>
      <c r="K1394" s="4" t="n">
        <v>0</v>
      </c>
      <c r="M1394" s="2">
        <f>IF(C1394="","",IFERROR(INDEX($S$5:$S$304,MATCH(C1394,$R$5:$R$304,0))&amp;"","?"))</f>
        <v/>
      </c>
      <c r="N1394" s="2">
        <f>IF(E1394="","",IF(ISNUMBER(SEARCH("SUBSOLO",E1394)),IFERROR(-VALUE(LEFT(E1394,FIND("º",SUBSTITUTE(E1394,"°","º"))-1)),-1),IF(LEFT(E1394,6)="TÉRREO",0,IFERROR(VALUE(LEFT(E1394,FIND("º",SUBSTITUTE(E1394,"°","º"))-1)),""))))</f>
        <v/>
      </c>
      <c r="O1394" s="2">
        <f>IF(OR(F1394="",G1394=""),"",IF(G1394&lt;='RETRATO 2027'!$K$5,"CONCLUÍDA",IF(F1394&lt;='RETRATO 2027'!$K$5,"EM ANDAMENTO","A INICIAR")))</f>
        <v/>
      </c>
    </row>
    <row r="1395">
      <c r="B1395" s="4" t="n">
        <v>29980706</v>
      </c>
      <c r="C1395" s="4" t="inlineStr">
        <is>
          <t>PRUMADA ELÉTRICA - INFRA</t>
        </is>
      </c>
      <c r="D1395" s="4" t="inlineStr">
        <is>
          <t>-</t>
        </is>
      </c>
      <c r="E1395" s="4" t="inlineStr">
        <is>
          <t>30º PAV.</t>
        </is>
      </c>
      <c r="F1395" s="126" t="n">
        <v>46840</v>
      </c>
      <c r="G1395" s="126" t="n">
        <v>46850</v>
      </c>
      <c r="H1395" s="126" t="n">
        <v>46289</v>
      </c>
      <c r="I1395" s="4" t="n">
        <v>0</v>
      </c>
      <c r="J1395" s="4" t="n">
        <v>0</v>
      </c>
      <c r="K1395" s="4" t="n">
        <v>0</v>
      </c>
      <c r="M1395" s="2">
        <f>IF(C1395="","",IFERROR(INDEX($S$5:$S$304,MATCH(C1395,$R$5:$R$304,0))&amp;"","?"))</f>
        <v/>
      </c>
      <c r="N1395" s="2">
        <f>IF(E1395="","",IF(ISNUMBER(SEARCH("SUBSOLO",E1395)),IFERROR(-VALUE(LEFT(E1395,FIND("º",SUBSTITUTE(E1395,"°","º"))-1)),-1),IF(LEFT(E1395,6)="TÉRREO",0,IFERROR(VALUE(LEFT(E1395,FIND("º",SUBSTITUTE(E1395,"°","º"))-1)),""))))</f>
        <v/>
      </c>
      <c r="O1395" s="2">
        <f>IF(OR(F1395="",G1395=""),"",IF(G1395&lt;='RETRATO 2027'!$K$5,"CONCLUÍDA",IF(F1395&lt;='RETRATO 2027'!$K$5,"EM ANDAMENTO","A INICIAR")))</f>
        <v/>
      </c>
    </row>
    <row r="1396">
      <c r="B1396" s="4" t="n">
        <v>29980635</v>
      </c>
      <c r="C1396" s="4" t="inlineStr">
        <is>
          <t>REBOCO INTERNO</t>
        </is>
      </c>
      <c r="D1396" s="4" t="inlineStr">
        <is>
          <t>-</t>
        </is>
      </c>
      <c r="E1396" s="4" t="inlineStr">
        <is>
          <t>31º PAV. - COBERTURA LINEAR</t>
        </is>
      </c>
      <c r="F1396" s="126" t="n">
        <v>46840</v>
      </c>
      <c r="G1396" s="126" t="n">
        <v>46850</v>
      </c>
      <c r="H1396" s="126" t="n">
        <v>46289</v>
      </c>
      <c r="I1396" s="4" t="n">
        <v>0</v>
      </c>
      <c r="J1396" s="4" t="n">
        <v>0</v>
      </c>
      <c r="K1396" s="4" t="n">
        <v>0</v>
      </c>
      <c r="M1396" s="2">
        <f>IF(C1396="","",IFERROR(INDEX($S$5:$S$304,MATCH(C1396,$R$5:$R$304,0))&amp;"","?"))</f>
        <v/>
      </c>
      <c r="N1396" s="2">
        <f>IF(E1396="","",IF(ISNUMBER(SEARCH("SUBSOLO",E1396)),IFERROR(-VALUE(LEFT(E1396,FIND("º",SUBSTITUTE(E1396,"°","º"))-1)),-1),IF(LEFT(E1396,6)="TÉRREO",0,IFERROR(VALUE(LEFT(E1396,FIND("º",SUBSTITUTE(E1396,"°","º"))-1)),""))))</f>
        <v/>
      </c>
      <c r="O1396" s="2">
        <f>IF(OR(F1396="",G1396=""),"",IF(G1396&lt;='RETRATO 2027'!$K$5,"CONCLUÍDA",IF(F1396&lt;='RETRATO 2027'!$K$5,"EM ANDAMENTO","A INICIAR")))</f>
        <v/>
      </c>
    </row>
    <row r="1397">
      <c r="B1397" s="4" t="n">
        <v>29980601</v>
      </c>
      <c r="C1397" s="4" t="inlineStr">
        <is>
          <t>CONTRAMARCO</t>
        </is>
      </c>
      <c r="D1397" s="4" t="inlineStr">
        <is>
          <t>-</t>
        </is>
      </c>
      <c r="E1397" s="4" t="inlineStr">
        <is>
          <t>32º PAV - COBERTURA GERAL</t>
        </is>
      </c>
      <c r="F1397" s="126" t="n">
        <v>46840</v>
      </c>
      <c r="G1397" s="126" t="n">
        <v>46850</v>
      </c>
      <c r="H1397" s="126" t="n">
        <v>46289</v>
      </c>
      <c r="I1397" s="4" t="n">
        <v>0</v>
      </c>
      <c r="J1397" s="4" t="n">
        <v>0</v>
      </c>
      <c r="K1397" s="4" t="n">
        <v>0</v>
      </c>
      <c r="M1397" s="2">
        <f>IF(C1397="","",IFERROR(INDEX($S$5:$S$304,MATCH(C1397,$R$5:$R$304,0))&amp;"","?"))</f>
        <v/>
      </c>
      <c r="N1397" s="2">
        <f>IF(E1397="","",IF(ISNUMBER(SEARCH("SUBSOLO",E1397)),IFERROR(-VALUE(LEFT(E1397,FIND("º",SUBSTITUTE(E1397,"°","º"))-1)),-1),IF(LEFT(E1397,6)="TÉRREO",0,IFERROR(VALUE(LEFT(E1397,FIND("º",SUBSTITUTE(E1397,"°","º"))-1)),""))))</f>
        <v/>
      </c>
      <c r="O1397" s="2">
        <f>IF(OR(F1397="",G1397=""),"",IF(G1397&lt;='RETRATO 2027'!$K$5,"CONCLUÍDA",IF(F1397&lt;='RETRATO 2027'!$K$5,"EM ANDAMENTO","A INICIAR")))</f>
        <v/>
      </c>
    </row>
    <row r="1398">
      <c r="B1398" s="4" t="n">
        <v>30211208</v>
      </c>
      <c r="C1398" s="4" t="inlineStr">
        <is>
          <t>INSTALAÇÕES HIDRÁULICAS</t>
        </is>
      </c>
      <c r="D1398" s="4" t="inlineStr">
        <is>
          <t>-</t>
        </is>
      </c>
      <c r="E1398" s="4" t="inlineStr">
        <is>
          <t>34º PAV - RESERVATÓRIO</t>
        </is>
      </c>
      <c r="F1398" s="126" t="n">
        <v>46840</v>
      </c>
      <c r="G1398" s="126" t="n">
        <v>46861</v>
      </c>
      <c r="H1398" s="126" t="n">
        <v>46289</v>
      </c>
      <c r="I1398" s="4" t="n">
        <v>0</v>
      </c>
      <c r="J1398" s="4" t="n">
        <v>0</v>
      </c>
      <c r="K1398" s="4" t="n">
        <v>0</v>
      </c>
      <c r="M1398" s="2">
        <f>IF(C1398="","",IFERROR(INDEX($S$5:$S$304,MATCH(C1398,$R$5:$R$304,0))&amp;"","?"))</f>
        <v/>
      </c>
      <c r="N1398" s="2">
        <f>IF(E1398="","",IF(ISNUMBER(SEARCH("SUBSOLO",E1398)),IFERROR(-VALUE(LEFT(E1398,FIND("º",SUBSTITUTE(E1398,"°","º"))-1)),-1),IF(LEFT(E1398,6)="TÉRREO",0,IFERROR(VALUE(LEFT(E1398,FIND("º",SUBSTITUTE(E1398,"°","º"))-1)),""))))</f>
        <v/>
      </c>
      <c r="O1398" s="2">
        <f>IF(OR(F1398="",G1398=""),"",IF(G1398&lt;='RETRATO 2027'!$K$5,"CONCLUÍDA",IF(F1398&lt;='RETRATO 2027'!$K$5,"EM ANDAMENTO","A INICIAR")))</f>
        <v/>
      </c>
    </row>
    <row r="1399">
      <c r="B1399" s="4" t="n">
        <v>30205690</v>
      </c>
      <c r="C1399" s="4" t="inlineStr">
        <is>
          <t>ESQUADRIA MADEIRA</t>
        </is>
      </c>
      <c r="D1399" s="4" t="inlineStr">
        <is>
          <t>-</t>
        </is>
      </c>
      <c r="E1399" s="4" t="inlineStr">
        <is>
          <t>TÉRREO - LOJA 1</t>
        </is>
      </c>
      <c r="F1399" s="126" t="n">
        <v>46841</v>
      </c>
      <c r="G1399" s="126" t="n">
        <v>46854</v>
      </c>
      <c r="H1399" s="126" t="n">
        <v>46289</v>
      </c>
      <c r="I1399" s="4" t="n">
        <v>0</v>
      </c>
      <c r="J1399" s="4" t="n">
        <v>0</v>
      </c>
      <c r="K1399" s="4" t="n">
        <v>0</v>
      </c>
      <c r="M1399" s="2">
        <f>IF(C1399="","",IFERROR(INDEX($S$5:$S$304,MATCH(C1399,$R$5:$R$304,0))&amp;"","?"))</f>
        <v/>
      </c>
      <c r="N1399" s="2">
        <f>IF(E1399="","",IF(ISNUMBER(SEARCH("SUBSOLO",E1399)),IFERROR(-VALUE(LEFT(E1399,FIND("º",SUBSTITUTE(E1399,"°","º"))-1)),-1),IF(LEFT(E1399,6)="TÉRREO",0,IFERROR(VALUE(LEFT(E1399,FIND("º",SUBSTITUTE(E1399,"°","º"))-1)),""))))</f>
        <v/>
      </c>
      <c r="O1399" s="2">
        <f>IF(OR(F1399="",G1399=""),"",IF(G1399&lt;='RETRATO 2027'!$K$5,"CONCLUÍDA",IF(F1399&lt;='RETRATO 2027'!$K$5,"EM ANDAMENTO","A INICIAR")))</f>
        <v/>
      </c>
    </row>
    <row r="1400">
      <c r="B1400" s="4" t="n">
        <v>30205689</v>
      </c>
      <c r="C1400" s="4" t="inlineStr">
        <is>
          <t>LOUÇAS</t>
        </is>
      </c>
      <c r="D1400" s="4" t="inlineStr">
        <is>
          <t>-</t>
        </is>
      </c>
      <c r="E1400" s="4" t="inlineStr">
        <is>
          <t>TÉRREO - LOJA 1</t>
        </is>
      </c>
      <c r="F1400" s="126" t="n">
        <v>46841</v>
      </c>
      <c r="G1400" s="126" t="n">
        <v>46854</v>
      </c>
      <c r="H1400" s="126" t="n">
        <v>46289</v>
      </c>
      <c r="I1400" s="4" t="n">
        <v>0</v>
      </c>
      <c r="J1400" s="4" t="n">
        <v>0</v>
      </c>
      <c r="K1400" s="4" t="n">
        <v>0</v>
      </c>
      <c r="M1400" s="2">
        <f>IF(C1400="","",IFERROR(INDEX($S$5:$S$304,MATCH(C1400,$R$5:$R$304,0))&amp;"","?"))</f>
        <v/>
      </c>
      <c r="N1400" s="2">
        <f>IF(E1400="","",IF(ISNUMBER(SEARCH("SUBSOLO",E1400)),IFERROR(-VALUE(LEFT(E1400,FIND("º",SUBSTITUTE(E1400,"°","º"))-1)),-1),IF(LEFT(E1400,6)="TÉRREO",0,IFERROR(VALUE(LEFT(E1400,FIND("º",SUBSTITUTE(E1400,"°","º"))-1)),""))))</f>
        <v/>
      </c>
      <c r="O1400" s="2">
        <f>IF(OR(F1400="",G1400=""),"",IF(G1400&lt;='RETRATO 2027'!$K$5,"CONCLUÍDA",IF(F1400&lt;='RETRATO 2027'!$K$5,"EM ANDAMENTO","A INICIAR")))</f>
        <v/>
      </c>
    </row>
    <row r="1401">
      <c r="B1401" s="4" t="n">
        <v>30205687</v>
      </c>
      <c r="C1401" s="4" t="inlineStr">
        <is>
          <t>METAIS</t>
        </is>
      </c>
      <c r="D1401" s="4" t="inlineStr">
        <is>
          <t>-</t>
        </is>
      </c>
      <c r="E1401" s="4" t="inlineStr">
        <is>
          <t>TÉRREO - LOJA 1</t>
        </is>
      </c>
      <c r="F1401" s="126" t="n">
        <v>46841</v>
      </c>
      <c r="G1401" s="126" t="n">
        <v>46854</v>
      </c>
      <c r="H1401" s="126" t="n">
        <v>46289</v>
      </c>
      <c r="I1401" s="4" t="n">
        <v>0</v>
      </c>
      <c r="J1401" s="4" t="n">
        <v>0</v>
      </c>
      <c r="K1401" s="4" t="n">
        <v>0</v>
      </c>
      <c r="M1401" s="2">
        <f>IF(C1401="","",IFERROR(INDEX($S$5:$S$304,MATCH(C1401,$R$5:$R$304,0))&amp;"","?"))</f>
        <v/>
      </c>
      <c r="N1401" s="2">
        <f>IF(E1401="","",IF(ISNUMBER(SEARCH("SUBSOLO",E1401)),IFERROR(-VALUE(LEFT(E1401,FIND("º",SUBSTITUTE(E1401,"°","º"))-1)),-1),IF(LEFT(E1401,6)="TÉRREO",0,IFERROR(VALUE(LEFT(E1401,FIND("º",SUBSTITUTE(E1401,"°","º"))-1)),""))))</f>
        <v/>
      </c>
      <c r="O1401" s="2">
        <f>IF(OR(F1401="",G1401=""),"",IF(G1401&lt;='RETRATO 2027'!$K$5,"CONCLUÍDA",IF(F1401&lt;='RETRATO 2027'!$K$5,"EM ANDAMENTO","A INICIAR")))</f>
        <v/>
      </c>
    </row>
    <row r="1402">
      <c r="B1402" s="4" t="n">
        <v>30205672</v>
      </c>
      <c r="C1402" s="4" t="inlineStr">
        <is>
          <t>PINTURA 1º DEMÃO</t>
        </is>
      </c>
      <c r="D1402" s="4" t="inlineStr">
        <is>
          <t>-</t>
        </is>
      </c>
      <c r="E1402" s="4" t="inlineStr">
        <is>
          <t>TÉRREO - LOJA 2</t>
        </is>
      </c>
      <c r="F1402" s="126" t="n">
        <v>46841</v>
      </c>
      <c r="G1402" s="126" t="n">
        <v>46854</v>
      </c>
      <c r="H1402" s="126" t="n">
        <v>46289</v>
      </c>
      <c r="I1402" s="4" t="n">
        <v>0</v>
      </c>
      <c r="J1402" s="4" t="n">
        <v>0</v>
      </c>
      <c r="K1402" s="4" t="n">
        <v>0</v>
      </c>
      <c r="M1402" s="2">
        <f>IF(C1402="","",IFERROR(INDEX($S$5:$S$304,MATCH(C1402,$R$5:$R$304,0))&amp;"","?"))</f>
        <v/>
      </c>
      <c r="N1402" s="2">
        <f>IF(E1402="","",IF(ISNUMBER(SEARCH("SUBSOLO",E1402)),IFERROR(-VALUE(LEFT(E1402,FIND("º",SUBSTITUTE(E1402,"°","º"))-1)),-1),IF(LEFT(E1402,6)="TÉRREO",0,IFERROR(VALUE(LEFT(E1402,FIND("º",SUBSTITUTE(E1402,"°","º"))-1)),""))))</f>
        <v/>
      </c>
      <c r="O1402" s="2">
        <f>IF(OR(F1402="",G1402=""),"",IF(G1402&lt;='RETRATO 2027'!$K$5,"CONCLUÍDA",IF(F1402&lt;='RETRATO 2027'!$K$5,"EM ANDAMENTO","A INICIAR")))</f>
        <v/>
      </c>
    </row>
    <row r="1403">
      <c r="B1403" s="4" t="n">
        <v>30210378</v>
      </c>
      <c r="C1403" s="4" t="inlineStr">
        <is>
          <t>PONTOS DE ANCORAGEM INOX</t>
        </is>
      </c>
      <c r="D1403" s="4" t="inlineStr">
        <is>
          <t>-</t>
        </is>
      </c>
      <c r="E1403" s="4" t="inlineStr">
        <is>
          <t>34º PAV - RESERVATÓRIO</t>
        </is>
      </c>
      <c r="F1403" s="126" t="n">
        <v>46841</v>
      </c>
      <c r="G1403" s="126" t="n">
        <v>46847</v>
      </c>
      <c r="H1403" s="126" t="n">
        <v>46289</v>
      </c>
      <c r="I1403" s="4" t="n">
        <v>0</v>
      </c>
      <c r="J1403" s="4" t="n">
        <v>0</v>
      </c>
      <c r="K1403" s="4" t="n">
        <v>0</v>
      </c>
      <c r="M1403" s="2">
        <f>IF(C1403="","",IFERROR(INDEX($S$5:$S$304,MATCH(C1403,$R$5:$R$304,0))&amp;"","?"))</f>
        <v/>
      </c>
      <c r="N1403" s="2">
        <f>IF(E1403="","",IF(ISNUMBER(SEARCH("SUBSOLO",E1403)),IFERROR(-VALUE(LEFT(E1403,FIND("º",SUBSTITUTE(E1403,"°","º"))-1)),-1),IF(LEFT(E1403,6)="TÉRREO",0,IFERROR(VALUE(LEFT(E1403,FIND("º",SUBSTITUTE(E1403,"°","º"))-1)),""))))</f>
        <v/>
      </c>
      <c r="O1403" s="2">
        <f>IF(OR(F1403="",G1403=""),"",IF(G1403&lt;='RETRATO 2027'!$K$5,"CONCLUÍDA",IF(F1403&lt;='RETRATO 2027'!$K$5,"EM ANDAMENTO","A INICIAR")))</f>
        <v/>
      </c>
    </row>
    <row r="1404">
      <c r="B1404" s="4" t="n">
        <v>30206100</v>
      </c>
      <c r="C1404" s="4" t="inlineStr">
        <is>
          <t>SHAFT INTERNO INST. HIDRAÚLICAS</t>
        </is>
      </c>
      <c r="D1404" s="4" t="inlineStr">
        <is>
          <t>-</t>
        </is>
      </c>
      <c r="E1404" s="4" t="inlineStr">
        <is>
          <t>6º PAV (PILOTIS) - ACADEMIA</t>
        </is>
      </c>
      <c r="F1404" s="126" t="n">
        <v>46846</v>
      </c>
      <c r="G1404" s="126" t="n">
        <v>46860</v>
      </c>
      <c r="H1404" s="126" t="n">
        <v>46289</v>
      </c>
      <c r="I1404" s="4" t="n">
        <v>0</v>
      </c>
      <c r="J1404" s="4" t="n">
        <v>0</v>
      </c>
      <c r="K1404" s="4" t="n">
        <v>0</v>
      </c>
      <c r="M1404" s="2">
        <f>IF(C1404="","",IFERROR(INDEX($S$5:$S$304,MATCH(C1404,$R$5:$R$304,0))&amp;"","?"))</f>
        <v/>
      </c>
      <c r="N1404" s="2">
        <f>IF(E1404="","",IF(ISNUMBER(SEARCH("SUBSOLO",E1404)),IFERROR(-VALUE(LEFT(E1404,FIND("º",SUBSTITUTE(E1404,"°","º"))-1)),-1),IF(LEFT(E1404,6)="TÉRREO",0,IFERROR(VALUE(LEFT(E1404,FIND("º",SUBSTITUTE(E1404,"°","º"))-1)),""))))</f>
        <v/>
      </c>
      <c r="O1404" s="2">
        <f>IF(OR(F1404="",G1404=""),"",IF(G1404&lt;='RETRATO 2027'!$K$5,"CONCLUÍDA",IF(F1404&lt;='RETRATO 2027'!$K$5,"EM ANDAMENTO","A INICIAR")))</f>
        <v/>
      </c>
    </row>
    <row r="1405">
      <c r="B1405" s="4" t="n">
        <v>30206062</v>
      </c>
      <c r="C1405" s="4" t="inlineStr">
        <is>
          <t>REBOCO INTERNO</t>
        </is>
      </c>
      <c r="D1405" s="4" t="inlineStr">
        <is>
          <t>-</t>
        </is>
      </c>
      <c r="E1405" s="4" t="inlineStr">
        <is>
          <t>6º PAV (PILOTIS) - SAUNA + DUCHA</t>
        </is>
      </c>
      <c r="F1405" s="126" t="n">
        <v>46846</v>
      </c>
      <c r="G1405" s="126" t="n">
        <v>46860</v>
      </c>
      <c r="H1405" s="126" t="n">
        <v>46289</v>
      </c>
      <c r="I1405" s="4" t="n">
        <v>0</v>
      </c>
      <c r="J1405" s="4" t="n">
        <v>0</v>
      </c>
      <c r="K1405" s="4" t="n">
        <v>0</v>
      </c>
      <c r="M1405" s="2">
        <f>IF(C1405="","",IFERROR(INDEX($S$5:$S$304,MATCH(C1405,$R$5:$R$304,0))&amp;"","?"))</f>
        <v/>
      </c>
      <c r="N1405" s="2">
        <f>IF(E1405="","",IF(ISNUMBER(SEARCH("SUBSOLO",E1405)),IFERROR(-VALUE(LEFT(E1405,FIND("º",SUBSTITUTE(E1405,"°","º"))-1)),-1),IF(LEFT(E1405,6)="TÉRREO",0,IFERROR(VALUE(LEFT(E1405,FIND("º",SUBSTITUTE(E1405,"°","º"))-1)),""))))</f>
        <v/>
      </c>
      <c r="O1405" s="2">
        <f>IF(OR(F1405="",G1405=""),"",IF(G1405&lt;='RETRATO 2027'!$K$5,"CONCLUÍDA",IF(F1405&lt;='RETRATO 2027'!$K$5,"EM ANDAMENTO","A INICIAR")))</f>
        <v/>
      </c>
    </row>
    <row r="1406">
      <c r="B1406" s="4" t="n">
        <v>30205972</v>
      </c>
      <c r="C1406" s="4" t="inlineStr">
        <is>
          <t>ENCUNHAMENTO</t>
        </is>
      </c>
      <c r="D1406" s="4" t="inlineStr">
        <is>
          <t>-</t>
        </is>
      </c>
      <c r="E1406" s="4" t="inlineStr">
        <is>
          <t>6º PAV (PILOTIS) - LOUNGE + SALÃO + COZINHA + GOURMET + ESPAÇO KIDS</t>
        </is>
      </c>
      <c r="F1406" s="126" t="n">
        <v>46847</v>
      </c>
      <c r="G1406" s="126" t="n">
        <v>46861</v>
      </c>
      <c r="H1406" s="126" t="n">
        <v>46289</v>
      </c>
      <c r="I1406" s="4" t="n">
        <v>0</v>
      </c>
      <c r="J1406" s="4" t="n">
        <v>0</v>
      </c>
      <c r="K1406" s="4" t="n">
        <v>0</v>
      </c>
      <c r="M1406" s="2">
        <f>IF(C1406="","",IFERROR(INDEX($S$5:$S$304,MATCH(C1406,$R$5:$R$304,0))&amp;"","?"))</f>
        <v/>
      </c>
      <c r="N1406" s="2">
        <f>IF(E1406="","",IF(ISNUMBER(SEARCH("SUBSOLO",E1406)),IFERROR(-VALUE(LEFT(E1406,FIND("º",SUBSTITUTE(E1406,"°","º"))-1)),-1),IF(LEFT(E1406,6)="TÉRREO",0,IFERROR(VALUE(LEFT(E1406,FIND("º",SUBSTITUTE(E1406,"°","º"))-1)),""))))</f>
        <v/>
      </c>
      <c r="O1406" s="2">
        <f>IF(OR(F1406="",G1406=""),"",IF(G1406&lt;='RETRATO 2027'!$K$5,"CONCLUÍDA",IF(F1406&lt;='RETRATO 2027'!$K$5,"EM ANDAMENTO","A INICIAR")))</f>
        <v/>
      </c>
    </row>
    <row r="1407">
      <c r="B1407" s="4" t="n">
        <v>29981111</v>
      </c>
      <c r="C1407" s="4" t="inlineStr">
        <is>
          <t>PRUMADA DE INCÊNDIO</t>
        </is>
      </c>
      <c r="D1407" s="4" t="inlineStr">
        <is>
          <t>-</t>
        </is>
      </c>
      <c r="E1407" s="4" t="inlineStr">
        <is>
          <t>19º PAV.</t>
        </is>
      </c>
      <c r="F1407" s="126" t="n">
        <v>46848</v>
      </c>
      <c r="G1407" s="126" t="n">
        <v>46861</v>
      </c>
      <c r="H1407" s="126" t="n">
        <v>46289</v>
      </c>
      <c r="I1407" s="4" t="n">
        <v>0</v>
      </c>
      <c r="J1407" s="4" t="n">
        <v>0</v>
      </c>
      <c r="K1407" s="4" t="n">
        <v>0</v>
      </c>
      <c r="M1407" s="2">
        <f>IF(C1407="","",IFERROR(INDEX($S$5:$S$304,MATCH(C1407,$R$5:$R$304,0))&amp;"","?"))</f>
        <v/>
      </c>
      <c r="N1407" s="2">
        <f>IF(E1407="","",IF(ISNUMBER(SEARCH("SUBSOLO",E1407)),IFERROR(-VALUE(LEFT(E1407,FIND("º",SUBSTITUTE(E1407,"°","º"))-1)),-1),IF(LEFT(E1407,6)="TÉRREO",0,IFERROR(VALUE(LEFT(E1407,FIND("º",SUBSTITUTE(E1407,"°","º"))-1)),""))))</f>
        <v/>
      </c>
      <c r="O1407" s="2">
        <f>IF(OR(F1407="",G1407=""),"",IF(G1407&lt;='RETRATO 2027'!$K$5,"CONCLUÍDA",IF(F1407&lt;='RETRATO 2027'!$K$5,"EM ANDAMENTO","A INICIAR")))</f>
        <v/>
      </c>
    </row>
    <row r="1408">
      <c r="B1408" s="4" t="n">
        <v>30205795</v>
      </c>
      <c r="C1408" s="4" t="inlineStr">
        <is>
          <t>FORRO</t>
        </is>
      </c>
      <c r="D1408" s="4" t="inlineStr">
        <is>
          <t>-</t>
        </is>
      </c>
      <c r="E1408" s="4" t="inlineStr">
        <is>
          <t>TÉRREO - ACESSO COMERCIAL + DML + ARS + ÁREA TEC + LAVABO + DISPENSA</t>
        </is>
      </c>
      <c r="F1408" s="126" t="n">
        <v>46850</v>
      </c>
      <c r="G1408" s="126" t="n">
        <v>46867</v>
      </c>
      <c r="H1408" s="126" t="n">
        <v>46289</v>
      </c>
      <c r="I1408" s="4" t="n">
        <v>0</v>
      </c>
      <c r="J1408" s="4" t="n">
        <v>0</v>
      </c>
      <c r="K1408" s="4" t="n">
        <v>0</v>
      </c>
      <c r="M1408" s="2">
        <f>IF(C1408="","",IFERROR(INDEX($S$5:$S$304,MATCH(C1408,$R$5:$R$304,0))&amp;"","?"))</f>
        <v/>
      </c>
      <c r="N1408" s="2">
        <f>IF(E1408="","",IF(ISNUMBER(SEARCH("SUBSOLO",E1408)),IFERROR(-VALUE(LEFT(E1408,FIND("º",SUBSTITUTE(E1408,"°","º"))-1)),-1),IF(LEFT(E1408,6)="TÉRREO",0,IFERROR(VALUE(LEFT(E1408,FIND("º",SUBSTITUTE(E1408,"°","º"))-1)),""))))</f>
        <v/>
      </c>
      <c r="O1408" s="2">
        <f>IF(OR(F1408="",G1408=""),"",IF(G1408&lt;='RETRATO 2027'!$K$5,"CONCLUÍDA",IF(F1408&lt;='RETRATO 2027'!$K$5,"EM ANDAMENTO","A INICIAR")))</f>
        <v/>
      </c>
    </row>
    <row r="1409">
      <c r="B1409" s="4" t="n">
        <v>30205821</v>
      </c>
      <c r="C1409" s="4" t="inlineStr">
        <is>
          <t>BANCADAS</t>
        </is>
      </c>
      <c r="D1409" s="4" t="inlineStr">
        <is>
          <t>-</t>
        </is>
      </c>
      <c r="E1409" s="4" t="inlineStr">
        <is>
          <t>TÉRREO - HALL SOCIAL + ECLUSA + CIRCULAÇÃO</t>
        </is>
      </c>
      <c r="F1409" s="126" t="n">
        <v>46850</v>
      </c>
      <c r="G1409" s="126" t="n">
        <v>46867</v>
      </c>
      <c r="H1409" s="126" t="n">
        <v>46289</v>
      </c>
      <c r="I1409" s="4" t="n">
        <v>0</v>
      </c>
      <c r="J1409" s="4" t="n">
        <v>0</v>
      </c>
      <c r="K1409" s="4" t="n">
        <v>0</v>
      </c>
      <c r="M1409" s="2">
        <f>IF(C1409="","",IFERROR(INDEX($S$5:$S$304,MATCH(C1409,$R$5:$R$304,0))&amp;"","?"))</f>
        <v/>
      </c>
      <c r="N1409" s="2">
        <f>IF(E1409="","",IF(ISNUMBER(SEARCH("SUBSOLO",E1409)),IFERROR(-VALUE(LEFT(E1409,FIND("º",SUBSTITUTE(E1409,"°","º"))-1)),-1),IF(LEFT(E1409,6)="TÉRREO",0,IFERROR(VALUE(LEFT(E1409,FIND("º",SUBSTITUTE(E1409,"°","º"))-1)),""))))</f>
        <v/>
      </c>
      <c r="O1409" s="2">
        <f>IF(OR(F1409="",G1409=""),"",IF(G1409&lt;='RETRATO 2027'!$K$5,"CONCLUÍDA",IF(F1409&lt;='RETRATO 2027'!$K$5,"EM ANDAMENTO","A INICIAR")))</f>
        <v/>
      </c>
    </row>
    <row r="1410">
      <c r="B1410" s="4" t="n">
        <v>29981541</v>
      </c>
      <c r="C1410" s="4" t="inlineStr">
        <is>
          <t>ACABAMENTOS ELÉTRICOS</t>
        </is>
      </c>
      <c r="D1410" s="4" t="inlineStr">
        <is>
          <t>-</t>
        </is>
      </c>
      <c r="E1410" s="4" t="inlineStr">
        <is>
          <t>7º PAV.</t>
        </is>
      </c>
      <c r="F1410" s="126" t="n">
        <v>46850</v>
      </c>
      <c r="G1410" s="126" t="n">
        <v>46863</v>
      </c>
      <c r="H1410" s="126" t="n">
        <v>46289</v>
      </c>
      <c r="I1410" s="4" t="n">
        <v>0</v>
      </c>
      <c r="J1410" s="4" t="n">
        <v>0</v>
      </c>
      <c r="K1410" s="4" t="n">
        <v>0</v>
      </c>
      <c r="M1410" s="2">
        <f>IF(C1410="","",IFERROR(INDEX($S$5:$S$304,MATCH(C1410,$R$5:$R$304,0))&amp;"","?"))</f>
        <v/>
      </c>
      <c r="N1410" s="2">
        <f>IF(E1410="","",IF(ISNUMBER(SEARCH("SUBSOLO",E1410)),IFERROR(-VALUE(LEFT(E1410,FIND("º",SUBSTITUTE(E1410,"°","º"))-1)),-1),IF(LEFT(E1410,6)="TÉRREO",0,IFERROR(VALUE(LEFT(E1410,FIND("º",SUBSTITUTE(E1410,"°","º"))-1)),""))))</f>
        <v/>
      </c>
      <c r="O1410" s="2">
        <f>IF(OR(F1410="",G1410=""),"",IF(G1410&lt;='RETRATO 2027'!$K$5,"CONCLUÍDA",IF(F1410&lt;='RETRATO 2027'!$K$5,"EM ANDAMENTO","A INICIAR")))</f>
        <v/>
      </c>
    </row>
    <row r="1411">
      <c r="B1411" s="4" t="n">
        <v>29981501</v>
      </c>
      <c r="C1411" s="4" t="inlineStr">
        <is>
          <t>PINTURA 2º DEMÃO</t>
        </is>
      </c>
      <c r="D1411" s="4" t="inlineStr">
        <is>
          <t>-</t>
        </is>
      </c>
      <c r="E1411" s="4" t="inlineStr">
        <is>
          <t>8º PAV.</t>
        </is>
      </c>
      <c r="F1411" s="126" t="n">
        <v>46850</v>
      </c>
      <c r="G1411" s="126" t="n">
        <v>46863</v>
      </c>
      <c r="H1411" s="126" t="n">
        <v>46289</v>
      </c>
      <c r="I1411" s="4" t="n">
        <v>0</v>
      </c>
      <c r="J1411" s="4" t="n">
        <v>0</v>
      </c>
      <c r="K1411" s="4" t="n">
        <v>0</v>
      </c>
      <c r="M1411" s="2">
        <f>IF(C1411="","",IFERROR(INDEX($S$5:$S$304,MATCH(C1411,$R$5:$R$304,0))&amp;"","?"))</f>
        <v/>
      </c>
      <c r="N1411" s="2">
        <f>IF(E1411="","",IF(ISNUMBER(SEARCH("SUBSOLO",E1411)),IFERROR(-VALUE(LEFT(E1411,FIND("º",SUBSTITUTE(E1411,"°","º"))-1)),-1),IF(LEFT(E1411,6)="TÉRREO",0,IFERROR(VALUE(LEFT(E1411,FIND("º",SUBSTITUTE(E1411,"°","º"))-1)),""))))</f>
        <v/>
      </c>
      <c r="O1411" s="2">
        <f>IF(OR(F1411="",G1411=""),"",IF(G1411&lt;='RETRATO 2027'!$K$5,"CONCLUÍDA",IF(F1411&lt;='RETRATO 2027'!$K$5,"EM ANDAMENTO","A INICIAR")))</f>
        <v/>
      </c>
    </row>
    <row r="1412">
      <c r="B1412" s="4" t="n">
        <v>33919786</v>
      </c>
      <c r="C1412" s="4" t="inlineStr">
        <is>
          <t>TEXTURA - EXTERNA</t>
        </is>
      </c>
      <c r="D1412" s="4" t="inlineStr">
        <is>
          <t>-</t>
        </is>
      </c>
      <c r="E1412" s="4" t="inlineStr">
        <is>
          <t>8º PAV.</t>
        </is>
      </c>
      <c r="F1412" s="126" t="n">
        <v>46850</v>
      </c>
      <c r="G1412" s="126" t="n">
        <v>46863</v>
      </c>
      <c r="H1412" s="126" t="n">
        <v>46289</v>
      </c>
      <c r="I1412" s="4" t="n">
        <v>0</v>
      </c>
      <c r="J1412" s="4" t="n">
        <v>0</v>
      </c>
      <c r="K1412" s="4" t="n">
        <v>0</v>
      </c>
      <c r="M1412" s="2">
        <f>IF(C1412="","",IFERROR(INDEX($S$5:$S$304,MATCH(C1412,$R$5:$R$304,0))&amp;"","?"))</f>
        <v/>
      </c>
      <c r="N1412" s="2">
        <f>IF(E1412="","",IF(ISNUMBER(SEARCH("SUBSOLO",E1412)),IFERROR(-VALUE(LEFT(E1412,FIND("º",SUBSTITUTE(E1412,"°","º"))-1)),-1),IF(LEFT(E1412,6)="TÉRREO",0,IFERROR(VALUE(LEFT(E1412,FIND("º",SUBSTITUTE(E1412,"°","º"))-1)),""))))</f>
        <v/>
      </c>
      <c r="O1412" s="2">
        <f>IF(OR(F1412="",G1412=""),"",IF(G1412&lt;='RETRATO 2027'!$K$5,"CONCLUÍDA",IF(F1412&lt;='RETRATO 2027'!$K$5,"EM ANDAMENTO","A INICIAR")))</f>
        <v/>
      </c>
    </row>
    <row r="1413">
      <c r="B1413" s="4" t="n">
        <v>29981463</v>
      </c>
      <c r="C1413" s="4" t="inlineStr">
        <is>
          <t>LIMPEZA GROSSA</t>
        </is>
      </c>
      <c r="D1413" s="4" t="inlineStr">
        <is>
          <t>-</t>
        </is>
      </c>
      <c r="E1413" s="4" t="inlineStr">
        <is>
          <t>9º PAV.</t>
        </is>
      </c>
      <c r="F1413" s="126" t="n">
        <v>46850</v>
      </c>
      <c r="G1413" s="126" t="n">
        <v>46863</v>
      </c>
      <c r="H1413" s="126" t="n">
        <v>46289</v>
      </c>
      <c r="I1413" s="4" t="n">
        <v>0</v>
      </c>
      <c r="J1413" s="4" t="n">
        <v>0</v>
      </c>
      <c r="K1413" s="4" t="n">
        <v>0</v>
      </c>
      <c r="M1413" s="2">
        <f>IF(C1413="","",IFERROR(INDEX($S$5:$S$304,MATCH(C1413,$R$5:$R$304,0))&amp;"","?"))</f>
        <v/>
      </c>
      <c r="N1413" s="2">
        <f>IF(E1413="","",IF(ISNUMBER(SEARCH("SUBSOLO",E1413)),IFERROR(-VALUE(LEFT(E1413,FIND("º",SUBSTITUTE(E1413,"°","º"))-1)),-1),IF(LEFT(E1413,6)="TÉRREO",0,IFERROR(VALUE(LEFT(E1413,FIND("º",SUBSTITUTE(E1413,"°","º"))-1)),""))))</f>
        <v/>
      </c>
      <c r="O1413" s="2">
        <f>IF(OR(F1413="",G1413=""),"",IF(G1413&lt;='RETRATO 2027'!$K$5,"CONCLUÍDA",IF(F1413&lt;='RETRATO 2027'!$K$5,"EM ANDAMENTO","A INICIAR")))</f>
        <v/>
      </c>
    </row>
    <row r="1414">
      <c r="B1414" s="4" t="n">
        <v>29981420</v>
      </c>
      <c r="C1414" s="4" t="inlineStr">
        <is>
          <t>LOUÇAS</t>
        </is>
      </c>
      <c r="D1414" s="4" t="inlineStr">
        <is>
          <t>-</t>
        </is>
      </c>
      <c r="E1414" s="4" t="inlineStr">
        <is>
          <t>10º PAV.</t>
        </is>
      </c>
      <c r="F1414" s="126" t="n">
        <v>46850</v>
      </c>
      <c r="G1414" s="126" t="n">
        <v>46863</v>
      </c>
      <c r="H1414" s="126" t="n">
        <v>46289</v>
      </c>
      <c r="I1414" s="4" t="n">
        <v>0</v>
      </c>
      <c r="J1414" s="4" t="n">
        <v>0</v>
      </c>
      <c r="K1414" s="4" t="n">
        <v>0</v>
      </c>
      <c r="M1414" s="2">
        <f>IF(C1414="","",IFERROR(INDEX($S$5:$S$304,MATCH(C1414,$R$5:$R$304,0))&amp;"","?"))</f>
        <v/>
      </c>
      <c r="N1414" s="2">
        <f>IF(E1414="","",IF(ISNUMBER(SEARCH("SUBSOLO",E1414)),IFERROR(-VALUE(LEFT(E1414,FIND("º",SUBSTITUTE(E1414,"°","º"))-1)),-1),IF(LEFT(E1414,6)="TÉRREO",0,IFERROR(VALUE(LEFT(E1414,FIND("º",SUBSTITUTE(E1414,"°","º"))-1)),""))))</f>
        <v/>
      </c>
      <c r="O1414" s="2">
        <f>IF(OR(F1414="",G1414=""),"",IF(G1414&lt;='RETRATO 2027'!$K$5,"CONCLUÍDA",IF(F1414&lt;='RETRATO 2027'!$K$5,"EM ANDAMENTO","A INICIAR")))</f>
        <v/>
      </c>
    </row>
    <row r="1415">
      <c r="B1415" s="4" t="n">
        <v>29981425</v>
      </c>
      <c r="C1415" s="4" t="inlineStr">
        <is>
          <t>METAIS</t>
        </is>
      </c>
      <c r="D1415" s="4" t="inlineStr">
        <is>
          <t>-</t>
        </is>
      </c>
      <c r="E1415" s="4" t="inlineStr">
        <is>
          <t>10º PAV.</t>
        </is>
      </c>
      <c r="F1415" s="126" t="n">
        <v>46850</v>
      </c>
      <c r="G1415" s="126" t="n">
        <v>46863</v>
      </c>
      <c r="H1415" s="126" t="n">
        <v>46289</v>
      </c>
      <c r="I1415" s="4" t="n">
        <v>0</v>
      </c>
      <c r="J1415" s="4" t="n">
        <v>0</v>
      </c>
      <c r="K1415" s="4" t="n">
        <v>0</v>
      </c>
      <c r="M1415" s="2">
        <f>IF(C1415="","",IFERROR(INDEX($S$5:$S$304,MATCH(C1415,$R$5:$R$304,0))&amp;"","?"))</f>
        <v/>
      </c>
      <c r="N1415" s="2">
        <f>IF(E1415="","",IF(ISNUMBER(SEARCH("SUBSOLO",E1415)),IFERROR(-VALUE(LEFT(E1415,FIND("º",SUBSTITUTE(E1415,"°","º"))-1)),-1),IF(LEFT(E1415,6)="TÉRREO",0,IFERROR(VALUE(LEFT(E1415,FIND("º",SUBSTITUTE(E1415,"°","º"))-1)),""))))</f>
        <v/>
      </c>
      <c r="O1415" s="2">
        <f>IF(OR(F1415="",G1415=""),"",IF(G1415&lt;='RETRATO 2027'!$K$5,"CONCLUÍDA",IF(F1415&lt;='RETRATO 2027'!$K$5,"EM ANDAMENTO","A INICIAR")))</f>
        <v/>
      </c>
    </row>
    <row r="1416">
      <c r="B1416" s="4" t="n">
        <v>29981424</v>
      </c>
      <c r="C1416" s="4" t="inlineStr">
        <is>
          <t>DISJUNTORES / MIOLOS</t>
        </is>
      </c>
      <c r="D1416" s="4" t="inlineStr">
        <is>
          <t>-</t>
        </is>
      </c>
      <c r="E1416" s="4" t="inlineStr">
        <is>
          <t>10º PAV.</t>
        </is>
      </c>
      <c r="F1416" s="126" t="n">
        <v>46850</v>
      </c>
      <c r="G1416" s="126" t="n">
        <v>46863</v>
      </c>
      <c r="H1416" s="126" t="n">
        <v>46289</v>
      </c>
      <c r="I1416" s="4" t="n">
        <v>0</v>
      </c>
      <c r="J1416" s="4" t="n">
        <v>0</v>
      </c>
      <c r="K1416" s="4" t="n">
        <v>0</v>
      </c>
      <c r="M1416" s="2">
        <f>IF(C1416="","",IFERROR(INDEX($S$5:$S$304,MATCH(C1416,$R$5:$R$304,0))&amp;"","?"))</f>
        <v/>
      </c>
      <c r="N1416" s="2">
        <f>IF(E1416="","",IF(ISNUMBER(SEARCH("SUBSOLO",E1416)),IFERROR(-VALUE(LEFT(E1416,FIND("º",SUBSTITUTE(E1416,"°","º"))-1)),-1),IF(LEFT(E1416,6)="TÉRREO",0,IFERROR(VALUE(LEFT(E1416,FIND("º",SUBSTITUTE(E1416,"°","º"))-1)),""))))</f>
        <v/>
      </c>
      <c r="O1416" s="2">
        <f>IF(OR(F1416="",G1416=""),"",IF(G1416&lt;='RETRATO 2027'!$K$5,"CONCLUÍDA",IF(F1416&lt;='RETRATO 2027'!$K$5,"EM ANDAMENTO","A INICIAR")))</f>
        <v/>
      </c>
    </row>
    <row r="1417">
      <c r="B1417" s="4" t="n">
        <v>29981423</v>
      </c>
      <c r="C1417" s="4" t="inlineStr">
        <is>
          <t>COMUNICAÇÃO E ALARME</t>
        </is>
      </c>
      <c r="D1417" s="4" t="inlineStr">
        <is>
          <t>-</t>
        </is>
      </c>
      <c r="E1417" s="4" t="inlineStr">
        <is>
          <t>10º PAV.</t>
        </is>
      </c>
      <c r="F1417" s="126" t="n">
        <v>46850</v>
      </c>
      <c r="G1417" s="126" t="n">
        <v>46863</v>
      </c>
      <c r="H1417" s="126" t="n">
        <v>46289</v>
      </c>
      <c r="I1417" s="4" t="n">
        <v>0</v>
      </c>
      <c r="J1417" s="4" t="n">
        <v>0</v>
      </c>
      <c r="K1417" s="4" t="n">
        <v>0</v>
      </c>
      <c r="M1417" s="2">
        <f>IF(C1417="","",IFERROR(INDEX($S$5:$S$304,MATCH(C1417,$R$5:$R$304,0))&amp;"","?"))</f>
        <v/>
      </c>
      <c r="N1417" s="2">
        <f>IF(E1417="","",IF(ISNUMBER(SEARCH("SUBSOLO",E1417)),IFERROR(-VALUE(LEFT(E1417,FIND("º",SUBSTITUTE(E1417,"°","º"))-1)),-1),IF(LEFT(E1417,6)="TÉRREO",0,IFERROR(VALUE(LEFT(E1417,FIND("º",SUBSTITUTE(E1417,"°","º"))-1)),""))))</f>
        <v/>
      </c>
      <c r="O1417" s="2">
        <f>IF(OR(F1417="",G1417=""),"",IF(G1417&lt;='RETRATO 2027'!$K$5,"CONCLUÍDA",IF(F1417&lt;='RETRATO 2027'!$K$5,"EM ANDAMENTO","A INICIAR")))</f>
        <v/>
      </c>
    </row>
    <row r="1418">
      <c r="B1418" s="4" t="n">
        <v>29981382</v>
      </c>
      <c r="C1418" s="4" t="inlineStr">
        <is>
          <t>RODAPÉ MADEIRA / PVC</t>
        </is>
      </c>
      <c r="D1418" s="4" t="inlineStr">
        <is>
          <t>-</t>
        </is>
      </c>
      <c r="E1418" s="4" t="inlineStr">
        <is>
          <t>11º PAV.</t>
        </is>
      </c>
      <c r="F1418" s="126" t="n">
        <v>46850</v>
      </c>
      <c r="G1418" s="126" t="n">
        <v>46863</v>
      </c>
      <c r="H1418" s="126" t="n">
        <v>46289</v>
      </c>
      <c r="I1418" s="4" t="n">
        <v>0</v>
      </c>
      <c r="J1418" s="4" t="n">
        <v>0</v>
      </c>
      <c r="K1418" s="4" t="n">
        <v>0</v>
      </c>
      <c r="M1418" s="2">
        <f>IF(C1418="","",IFERROR(INDEX($S$5:$S$304,MATCH(C1418,$R$5:$R$304,0))&amp;"","?"))</f>
        <v/>
      </c>
      <c r="N1418" s="2">
        <f>IF(E1418="","",IF(ISNUMBER(SEARCH("SUBSOLO",E1418)),IFERROR(-VALUE(LEFT(E1418,FIND("º",SUBSTITUTE(E1418,"°","º"))-1)),-1),IF(LEFT(E1418,6)="TÉRREO",0,IFERROR(VALUE(LEFT(E1418,FIND("º",SUBSTITUTE(E1418,"°","º"))-1)),""))))</f>
        <v/>
      </c>
      <c r="O1418" s="2">
        <f>IF(OR(F1418="",G1418=""),"",IF(G1418&lt;='RETRATO 2027'!$K$5,"CONCLUÍDA",IF(F1418&lt;='RETRATO 2027'!$K$5,"EM ANDAMENTO","A INICIAR")))</f>
        <v/>
      </c>
    </row>
    <row r="1419">
      <c r="B1419" s="4" t="n">
        <v>29981344</v>
      </c>
      <c r="C1419" s="4" t="inlineStr">
        <is>
          <t>ESQUADRIA MADEIRA</t>
        </is>
      </c>
      <c r="D1419" s="4" t="inlineStr">
        <is>
          <t>-</t>
        </is>
      </c>
      <c r="E1419" s="4" t="inlineStr">
        <is>
          <t>12º PAV.</t>
        </is>
      </c>
      <c r="F1419" s="126" t="n">
        <v>46850</v>
      </c>
      <c r="G1419" s="126" t="n">
        <v>46863</v>
      </c>
      <c r="H1419" s="126" t="n">
        <v>46289</v>
      </c>
      <c r="I1419" s="4" t="n">
        <v>0</v>
      </c>
      <c r="J1419" s="4" t="n">
        <v>0</v>
      </c>
      <c r="K1419" s="4" t="n">
        <v>0</v>
      </c>
      <c r="M1419" s="2">
        <f>IF(C1419="","",IFERROR(INDEX($S$5:$S$304,MATCH(C1419,$R$5:$R$304,0))&amp;"","?"))</f>
        <v/>
      </c>
      <c r="N1419" s="2">
        <f>IF(E1419="","",IF(ISNUMBER(SEARCH("SUBSOLO",E1419)),IFERROR(-VALUE(LEFT(E1419,FIND("º",SUBSTITUTE(E1419,"°","º"))-1)),-1),IF(LEFT(E1419,6)="TÉRREO",0,IFERROR(VALUE(LEFT(E1419,FIND("º",SUBSTITUTE(E1419,"°","º"))-1)),""))))</f>
        <v/>
      </c>
      <c r="O1419" s="2">
        <f>IF(OR(F1419="",G1419=""),"",IF(G1419&lt;='RETRATO 2027'!$K$5,"CONCLUÍDA",IF(F1419&lt;='RETRATO 2027'!$K$5,"EM ANDAMENTO","A INICIAR")))</f>
        <v/>
      </c>
    </row>
    <row r="1420">
      <c r="B1420" s="4" t="n">
        <v>29981306</v>
      </c>
      <c r="C1420" s="4" t="inlineStr">
        <is>
          <t>PISO VINÍLICO / LAMINADO</t>
        </is>
      </c>
      <c r="D1420" s="4" t="inlineStr">
        <is>
          <t>-</t>
        </is>
      </c>
      <c r="E1420" s="4" t="inlineStr">
        <is>
          <t>13º PAV.</t>
        </is>
      </c>
      <c r="F1420" s="126" t="n">
        <v>46850</v>
      </c>
      <c r="G1420" s="126" t="n">
        <v>46863</v>
      </c>
      <c r="H1420" s="126" t="n">
        <v>46289</v>
      </c>
      <c r="I1420" s="4" t="n">
        <v>0</v>
      </c>
      <c r="J1420" s="4" t="n">
        <v>0</v>
      </c>
      <c r="K1420" s="4" t="n">
        <v>0</v>
      </c>
      <c r="M1420" s="2">
        <f>IF(C1420="","",IFERROR(INDEX($S$5:$S$304,MATCH(C1420,$R$5:$R$304,0))&amp;"","?"))</f>
        <v/>
      </c>
      <c r="N1420" s="2">
        <f>IF(E1420="","",IF(ISNUMBER(SEARCH("SUBSOLO",E1420)),IFERROR(-VALUE(LEFT(E1420,FIND("º",SUBSTITUTE(E1420,"°","º"))-1)),-1),IF(LEFT(E1420,6)="TÉRREO",0,IFERROR(VALUE(LEFT(E1420,FIND("º",SUBSTITUTE(E1420,"°","º"))-1)),""))))</f>
        <v/>
      </c>
      <c r="O1420" s="2">
        <f>IF(OR(F1420="",G1420=""),"",IF(G1420&lt;='RETRATO 2027'!$K$5,"CONCLUÍDA",IF(F1420&lt;='RETRATO 2027'!$K$5,"EM ANDAMENTO","A INICIAR")))</f>
        <v/>
      </c>
    </row>
    <row r="1421">
      <c r="B1421" s="4" t="n">
        <v>29981268</v>
      </c>
      <c r="C1421" s="4" t="inlineStr">
        <is>
          <t>PINTURA 1º DEMÃO</t>
        </is>
      </c>
      <c r="D1421" s="4" t="inlineStr">
        <is>
          <t>-</t>
        </is>
      </c>
      <c r="E1421" s="4" t="inlineStr">
        <is>
          <t>14º PAV.</t>
        </is>
      </c>
      <c r="F1421" s="126" t="n">
        <v>46850</v>
      </c>
      <c r="G1421" s="126" t="n">
        <v>46863</v>
      </c>
      <c r="H1421" s="126" t="n">
        <v>46289</v>
      </c>
      <c r="I1421" s="4" t="n">
        <v>0</v>
      </c>
      <c r="J1421" s="4" t="n">
        <v>0</v>
      </c>
      <c r="K1421" s="4" t="n">
        <v>0</v>
      </c>
      <c r="M1421" s="2">
        <f>IF(C1421="","",IFERROR(INDEX($S$5:$S$304,MATCH(C1421,$R$5:$R$304,0))&amp;"","?"))</f>
        <v/>
      </c>
      <c r="N1421" s="2">
        <f>IF(E1421="","",IF(ISNUMBER(SEARCH("SUBSOLO",E1421)),IFERROR(-VALUE(LEFT(E1421,FIND("º",SUBSTITUTE(E1421,"°","º"))-1)),-1),IF(LEFT(E1421,6)="TÉRREO",0,IFERROR(VALUE(LEFT(E1421,FIND("º",SUBSTITUTE(E1421,"°","º"))-1)),""))))</f>
        <v/>
      </c>
      <c r="O1421" s="2">
        <f>IF(OR(F1421="",G1421=""),"",IF(G1421&lt;='RETRATO 2027'!$K$5,"CONCLUÍDA",IF(F1421&lt;='RETRATO 2027'!$K$5,"EM ANDAMENTO","A INICIAR")))</f>
        <v/>
      </c>
    </row>
    <row r="1422">
      <c r="B1422" s="4" t="n">
        <v>29981257</v>
      </c>
      <c r="C1422" s="4" t="inlineStr">
        <is>
          <t>MASSA CORRIDA</t>
        </is>
      </c>
      <c r="D1422" s="4" t="inlineStr">
        <is>
          <t>-</t>
        </is>
      </c>
      <c r="E1422" s="4" t="inlineStr">
        <is>
          <t>15º PAV.</t>
        </is>
      </c>
      <c r="F1422" s="126" t="n">
        <v>46850</v>
      </c>
      <c r="G1422" s="126" t="n">
        <v>46863</v>
      </c>
      <c r="H1422" s="126" t="n">
        <v>46289</v>
      </c>
      <c r="I1422" s="4" t="n">
        <v>0</v>
      </c>
      <c r="J1422" s="4" t="n">
        <v>0</v>
      </c>
      <c r="K1422" s="4" t="n">
        <v>0</v>
      </c>
      <c r="M1422" s="2">
        <f>IF(C1422="","",IFERROR(INDEX($S$5:$S$304,MATCH(C1422,$R$5:$R$304,0))&amp;"","?"))</f>
        <v/>
      </c>
      <c r="N1422" s="2">
        <f>IF(E1422="","",IF(ISNUMBER(SEARCH("SUBSOLO",E1422)),IFERROR(-VALUE(LEFT(E1422,FIND("º",SUBSTITUTE(E1422,"°","º"))-1)),-1),IF(LEFT(E1422,6)="TÉRREO",0,IFERROR(VALUE(LEFT(E1422,FIND("º",SUBSTITUTE(E1422,"°","º"))-1)),""))))</f>
        <v/>
      </c>
      <c r="O1422" s="2">
        <f>IF(OR(F1422="",G1422=""),"",IF(G1422&lt;='RETRATO 2027'!$K$5,"CONCLUÍDA",IF(F1422&lt;='RETRATO 2027'!$K$5,"EM ANDAMENTO","A INICIAR")))</f>
        <v/>
      </c>
    </row>
    <row r="1423">
      <c r="B1423" s="4" t="n">
        <v>33898097</v>
      </c>
      <c r="C1423" s="4" t="inlineStr">
        <is>
          <t>ESQUADRIA DE ALUMÍNIO</t>
        </is>
      </c>
      <c r="D1423" s="4" t="inlineStr">
        <is>
          <t>-</t>
        </is>
      </c>
      <c r="E1423" s="4" t="inlineStr">
        <is>
          <t>16º PAV.</t>
        </is>
      </c>
      <c r="F1423" s="126" t="n">
        <v>46850</v>
      </c>
      <c r="G1423" s="126" t="n">
        <v>46863</v>
      </c>
      <c r="H1423" s="126" t="n">
        <v>46289</v>
      </c>
      <c r="I1423" s="4" t="n">
        <v>0</v>
      </c>
      <c r="J1423" s="4" t="n">
        <v>0</v>
      </c>
      <c r="K1423" s="4" t="n">
        <v>0</v>
      </c>
      <c r="M1423" s="2">
        <f>IF(C1423="","",IFERROR(INDEX($S$5:$S$304,MATCH(C1423,$R$5:$R$304,0))&amp;"","?"))</f>
        <v/>
      </c>
      <c r="N1423" s="2">
        <f>IF(E1423="","",IF(ISNUMBER(SEARCH("SUBSOLO",E1423)),IFERROR(-VALUE(LEFT(E1423,FIND("º",SUBSTITUTE(E1423,"°","º"))-1)),-1),IF(LEFT(E1423,6)="TÉRREO",0,IFERROR(VALUE(LEFT(E1423,FIND("º",SUBSTITUTE(E1423,"°","º"))-1)),""))))</f>
        <v/>
      </c>
      <c r="O1423" s="2">
        <f>IF(OR(F1423="",G1423=""),"",IF(G1423&lt;='RETRATO 2027'!$K$5,"CONCLUÍDA",IF(F1423&lt;='RETRATO 2027'!$K$5,"EM ANDAMENTO","A INICIAR")))</f>
        <v/>
      </c>
    </row>
    <row r="1424">
      <c r="B1424" s="4" t="n">
        <v>30206028</v>
      </c>
      <c r="C1424" s="4" t="inlineStr">
        <is>
          <t>CONTRAMARCO</t>
        </is>
      </c>
      <c r="D1424" s="4" t="inlineStr">
        <is>
          <t>-</t>
        </is>
      </c>
      <c r="E1424" s="4" t="inlineStr">
        <is>
          <t>6º PAV (PILOTIS) - CHURRASQUEIRA + IS MASC. PCD + IS FEM. PCD + CIRCULAÇÃO 1 + HALL 1</t>
        </is>
      </c>
      <c r="F1424" s="126" t="n">
        <v>46853</v>
      </c>
      <c r="G1424" s="126" t="n">
        <v>46860</v>
      </c>
      <c r="H1424" s="126" t="n">
        <v>46289</v>
      </c>
      <c r="I1424" s="4" t="n">
        <v>0</v>
      </c>
      <c r="J1424" s="4" t="n">
        <v>0</v>
      </c>
      <c r="K1424" s="4" t="n">
        <v>0</v>
      </c>
      <c r="M1424" s="2">
        <f>IF(C1424="","",IFERROR(INDEX($S$5:$S$304,MATCH(C1424,$R$5:$R$304,0))&amp;"","?"))</f>
        <v/>
      </c>
      <c r="N1424" s="2">
        <f>IF(E1424="","",IF(ISNUMBER(SEARCH("SUBSOLO",E1424)),IFERROR(-VALUE(LEFT(E1424,FIND("º",SUBSTITUTE(E1424,"°","º"))-1)),-1),IF(LEFT(E1424,6)="TÉRREO",0,IFERROR(VALUE(LEFT(E1424,FIND("º",SUBSTITUTE(E1424,"°","º"))-1)),""))))</f>
        <v/>
      </c>
      <c r="O1424" s="2">
        <f>IF(OR(F1424="",G1424=""),"",IF(G1424&lt;='RETRATO 2027'!$K$5,"CONCLUÍDA",IF(F1424&lt;='RETRATO 2027'!$K$5,"EM ANDAMENTO","A INICIAR")))</f>
        <v/>
      </c>
    </row>
    <row r="1425">
      <c r="B1425" s="4" t="n">
        <v>30206019</v>
      </c>
      <c r="C1425" s="4" t="inlineStr">
        <is>
          <t>DISTRIBUIÇÃO HIDROSSANITÁRIA</t>
        </is>
      </c>
      <c r="D1425" s="4" t="inlineStr">
        <is>
          <t>-</t>
        </is>
      </c>
      <c r="E1425" s="4" t="inlineStr">
        <is>
          <t>6º PAV (PILOTIS) - COWORKING 1 E 2 + CIRC. 2 + HALL 2 + DML + VEST. MASC. + VEST. FEM</t>
        </is>
      </c>
      <c r="F1425" s="126" t="n">
        <v>46853</v>
      </c>
      <c r="G1425" s="126" t="n">
        <v>46868</v>
      </c>
      <c r="H1425" s="126" t="n">
        <v>46289</v>
      </c>
      <c r="I1425" s="4" t="n">
        <v>0</v>
      </c>
      <c r="J1425" s="4" t="n">
        <v>0</v>
      </c>
      <c r="K1425" s="4" t="n">
        <v>0</v>
      </c>
      <c r="M1425" s="2">
        <f>IF(C1425="","",IFERROR(INDEX($S$5:$S$304,MATCH(C1425,$R$5:$R$304,0))&amp;"","?"))</f>
        <v/>
      </c>
      <c r="N1425" s="2">
        <f>IF(E1425="","",IF(ISNUMBER(SEARCH("SUBSOLO",E1425)),IFERROR(-VALUE(LEFT(E1425,FIND("º",SUBSTITUTE(E1425,"°","º"))-1)),-1),IF(LEFT(E1425,6)="TÉRREO",0,IFERROR(VALUE(LEFT(E1425,FIND("º",SUBSTITUTE(E1425,"°","º"))-1)),""))))</f>
        <v/>
      </c>
      <c r="O1425" s="2">
        <f>IF(OR(F1425="",G1425=""),"",IF(G1425&lt;='RETRATO 2027'!$K$5,"CONCLUÍDA",IF(F1425&lt;='RETRATO 2027'!$K$5,"EM ANDAMENTO","A INICIAR")))</f>
        <v/>
      </c>
    </row>
    <row r="1426">
      <c r="B1426" s="4" t="n">
        <v>30205990</v>
      </c>
      <c r="C1426" s="4" t="inlineStr">
        <is>
          <t>DISTRIBUIÇÃO ELÉTRICA / QUADRO</t>
        </is>
      </c>
      <c r="D1426" s="4" t="inlineStr">
        <is>
          <t>-</t>
        </is>
      </c>
      <c r="E1426" s="4" t="inlineStr">
        <is>
          <t>6º PAV (PILOTIS) - COWORKING 1 E 2 + CIRC. 2 + HALL 2 + DML + VEST. MASC. + VEST. FEM</t>
        </is>
      </c>
      <c r="F1426" s="126" t="n">
        <v>46853</v>
      </c>
      <c r="G1426" s="126" t="n">
        <v>46868</v>
      </c>
      <c r="H1426" s="126" t="n">
        <v>46289</v>
      </c>
      <c r="I1426" s="4" t="n">
        <v>0</v>
      </c>
      <c r="J1426" s="4" t="n">
        <v>0</v>
      </c>
      <c r="K1426" s="4" t="n">
        <v>0</v>
      </c>
      <c r="M1426" s="2">
        <f>IF(C1426="","",IFERROR(INDEX($S$5:$S$304,MATCH(C1426,$R$5:$R$304,0))&amp;"","?"))</f>
        <v/>
      </c>
      <c r="N1426" s="2">
        <f>IF(E1426="","",IF(ISNUMBER(SEARCH("SUBSOLO",E1426)),IFERROR(-VALUE(LEFT(E1426,FIND("º",SUBSTITUTE(E1426,"°","º"))-1)),-1),IF(LEFT(E1426,6)="TÉRREO",0,IFERROR(VALUE(LEFT(E1426,FIND("º",SUBSTITUTE(E1426,"°","º"))-1)),""))))</f>
        <v/>
      </c>
      <c r="O1426" s="2">
        <f>IF(OR(F1426="",G1426=""),"",IF(G1426&lt;='RETRATO 2027'!$K$5,"CONCLUÍDA",IF(F1426&lt;='RETRATO 2027'!$K$5,"EM ANDAMENTO","A INICIAR")))</f>
        <v/>
      </c>
    </row>
    <row r="1427">
      <c r="B1427" s="4" t="n">
        <v>30205970</v>
      </c>
      <c r="C1427" s="4" t="inlineStr">
        <is>
          <t>TALISCAMENTO</t>
        </is>
      </c>
      <c r="D1427" s="4" t="inlineStr">
        <is>
          <t>-</t>
        </is>
      </c>
      <c r="E1427" s="4" t="inlineStr">
        <is>
          <t>6º PAV (PILOTIS) - LOUNGE + SALÃO + COZINHA + GOURMET + ESPAÇO KIDS</t>
        </is>
      </c>
      <c r="F1427" s="126" t="n">
        <v>46853</v>
      </c>
      <c r="G1427" s="126" t="n">
        <v>46868</v>
      </c>
      <c r="H1427" s="126" t="n">
        <v>46289</v>
      </c>
      <c r="I1427" s="4" t="n">
        <v>0</v>
      </c>
      <c r="J1427" s="4" t="n">
        <v>0</v>
      </c>
      <c r="K1427" s="4" t="n">
        <v>0</v>
      </c>
      <c r="M1427" s="2">
        <f>IF(C1427="","",IFERROR(INDEX($S$5:$S$304,MATCH(C1427,$R$5:$R$304,0))&amp;"","?"))</f>
        <v/>
      </c>
      <c r="N1427" s="2">
        <f>IF(E1427="","",IF(ISNUMBER(SEARCH("SUBSOLO",E1427)),IFERROR(-VALUE(LEFT(E1427,FIND("º",SUBSTITUTE(E1427,"°","º"))-1)),-1),IF(LEFT(E1427,6)="TÉRREO",0,IFERROR(VALUE(LEFT(E1427,FIND("º",SUBSTITUTE(E1427,"°","º"))-1)),""))))</f>
        <v/>
      </c>
      <c r="O1427" s="2">
        <f>IF(OR(F1427="",G1427=""),"",IF(G1427&lt;='RETRATO 2027'!$K$5,"CONCLUÍDA",IF(F1427&lt;='RETRATO 2027'!$K$5,"EM ANDAMENTO","A INICIAR")))</f>
        <v/>
      </c>
    </row>
    <row r="1428">
      <c r="B1428" s="4" t="n">
        <v>29981033</v>
      </c>
      <c r="C1428" s="4" t="inlineStr">
        <is>
          <t>FORRO</t>
        </is>
      </c>
      <c r="D1428" s="4" t="inlineStr">
        <is>
          <t>-</t>
        </is>
      </c>
      <c r="E1428" s="4" t="inlineStr">
        <is>
          <t>21º PAV.</t>
        </is>
      </c>
      <c r="F1428" s="126" t="n">
        <v>46853</v>
      </c>
      <c r="G1428" s="126" t="n">
        <v>46867</v>
      </c>
      <c r="H1428" s="126" t="n">
        <v>46289</v>
      </c>
      <c r="I1428" s="4" t="n">
        <v>0</v>
      </c>
      <c r="J1428" s="4" t="n">
        <v>0</v>
      </c>
      <c r="K1428" s="4" t="n">
        <v>0</v>
      </c>
      <c r="M1428" s="2">
        <f>IF(C1428="","",IFERROR(INDEX($S$5:$S$304,MATCH(C1428,$R$5:$R$304,0))&amp;"","?"))</f>
        <v/>
      </c>
      <c r="N1428" s="2">
        <f>IF(E1428="","",IF(ISNUMBER(SEARCH("SUBSOLO",E1428)),IFERROR(-VALUE(LEFT(E1428,FIND("º",SUBSTITUTE(E1428,"°","º"))-1)),-1),IF(LEFT(E1428,6)="TÉRREO",0,IFERROR(VALUE(LEFT(E1428,FIND("º",SUBSTITUTE(E1428,"°","º"))-1)),""))))</f>
        <v/>
      </c>
      <c r="O1428" s="2">
        <f>IF(OR(F1428="",G1428=""),"",IF(G1428&lt;='RETRATO 2027'!$K$5,"CONCLUÍDA",IF(F1428&lt;='RETRATO 2027'!$K$5,"EM ANDAMENTO","A INICIAR")))</f>
        <v/>
      </c>
    </row>
    <row r="1429">
      <c r="B1429" s="4" t="n">
        <v>29980994</v>
      </c>
      <c r="C1429" s="4" t="inlineStr">
        <is>
          <t>FIAÇÃO ELÉTRICA</t>
        </is>
      </c>
      <c r="D1429" s="4" t="inlineStr">
        <is>
          <t>-</t>
        </is>
      </c>
      <c r="E1429" s="4" t="inlineStr">
        <is>
          <t>22º PAV.</t>
        </is>
      </c>
      <c r="F1429" s="126" t="n">
        <v>46853</v>
      </c>
      <c r="G1429" s="126" t="n">
        <v>46867</v>
      </c>
      <c r="H1429" s="126" t="n">
        <v>46289</v>
      </c>
      <c r="I1429" s="4" t="n">
        <v>0</v>
      </c>
      <c r="J1429" s="4" t="n">
        <v>0</v>
      </c>
      <c r="K1429" s="4" t="n">
        <v>0</v>
      </c>
      <c r="M1429" s="2">
        <f>IF(C1429="","",IFERROR(INDEX($S$5:$S$304,MATCH(C1429,$R$5:$R$304,0))&amp;"","?"))</f>
        <v/>
      </c>
      <c r="N1429" s="2">
        <f>IF(E1429="","",IF(ISNUMBER(SEARCH("SUBSOLO",E1429)),IFERROR(-VALUE(LEFT(E1429,FIND("º",SUBSTITUTE(E1429,"°","º"))-1)),-1),IF(LEFT(E1429,6)="TÉRREO",0,IFERROR(VALUE(LEFT(E1429,FIND("º",SUBSTITUTE(E1429,"°","º"))-1)),""))))</f>
        <v/>
      </c>
      <c r="O1429" s="2">
        <f>IF(OR(F1429="",G1429=""),"",IF(G1429&lt;='RETRATO 2027'!$K$5,"CONCLUÍDA",IF(F1429&lt;='RETRATO 2027'!$K$5,"EM ANDAMENTO","A INICIAR")))</f>
        <v/>
      </c>
    </row>
    <row r="1430">
      <c r="B1430" s="4" t="n">
        <v>29980999</v>
      </c>
      <c r="C1430" s="4" t="inlineStr">
        <is>
          <t>PRUMADA ELÉTRICA - CABOS</t>
        </is>
      </c>
      <c r="D1430" s="4" t="inlineStr">
        <is>
          <t>-</t>
        </is>
      </c>
      <c r="E1430" s="4" t="inlineStr">
        <is>
          <t>22º PAV.</t>
        </is>
      </c>
      <c r="F1430" s="126" t="n">
        <v>46853</v>
      </c>
      <c r="G1430" s="126" t="n">
        <v>46867</v>
      </c>
      <c r="H1430" s="126" t="n">
        <v>46289</v>
      </c>
      <c r="I1430" s="4" t="n">
        <v>0</v>
      </c>
      <c r="J1430" s="4" t="n">
        <v>0</v>
      </c>
      <c r="K1430" s="4" t="n">
        <v>0</v>
      </c>
      <c r="M1430" s="2">
        <f>IF(C1430="","",IFERROR(INDEX($S$5:$S$304,MATCH(C1430,$R$5:$R$304,0))&amp;"","?"))</f>
        <v/>
      </c>
      <c r="N1430" s="2">
        <f>IF(E1430="","",IF(ISNUMBER(SEARCH("SUBSOLO",E1430)),IFERROR(-VALUE(LEFT(E1430,FIND("º",SUBSTITUTE(E1430,"°","º"))-1)),-1),IF(LEFT(E1430,6)="TÉRREO",0,IFERROR(VALUE(LEFT(E1430,FIND("º",SUBSTITUTE(E1430,"°","º"))-1)),""))))</f>
        <v/>
      </c>
      <c r="O1430" s="2">
        <f>IF(OR(F1430="",G1430=""),"",IF(G1430&lt;='RETRATO 2027'!$K$5,"CONCLUÍDA",IF(F1430&lt;='RETRATO 2027'!$K$5,"EM ANDAMENTO","A INICIAR")))</f>
        <v/>
      </c>
    </row>
    <row r="1431">
      <c r="B1431" s="4" t="n">
        <v>30214084</v>
      </c>
      <c r="C1431" s="4" t="inlineStr">
        <is>
          <t>FIAÇÃO TELECOM/DADOS</t>
        </is>
      </c>
      <c r="D1431" s="4" t="inlineStr">
        <is>
          <t>-</t>
        </is>
      </c>
      <c r="E1431" s="4" t="inlineStr">
        <is>
          <t>22º PAV.</t>
        </is>
      </c>
      <c r="F1431" s="126" t="n">
        <v>46853</v>
      </c>
      <c r="G1431" s="126" t="n">
        <v>46868</v>
      </c>
      <c r="H1431" s="126" t="n">
        <v>46289</v>
      </c>
      <c r="I1431" s="4" t="n">
        <v>0</v>
      </c>
      <c r="J1431" s="4" t="n">
        <v>0</v>
      </c>
      <c r="K1431" s="4" t="n">
        <v>0</v>
      </c>
      <c r="M1431" s="2">
        <f>IF(C1431="","",IFERROR(INDEX($S$5:$S$304,MATCH(C1431,$R$5:$R$304,0))&amp;"","?"))</f>
        <v/>
      </c>
      <c r="N1431" s="2">
        <f>IF(E1431="","",IF(ISNUMBER(SEARCH("SUBSOLO",E1431)),IFERROR(-VALUE(LEFT(E1431,FIND("º",SUBSTITUTE(E1431,"°","º"))-1)),-1),IF(LEFT(E1431,6)="TÉRREO",0,IFERROR(VALUE(LEFT(E1431,FIND("º",SUBSTITUTE(E1431,"°","º"))-1)),""))))</f>
        <v/>
      </c>
      <c r="O1431" s="2">
        <f>IF(OR(F1431="",G1431=""),"",IF(G1431&lt;='RETRATO 2027'!$K$5,"CONCLUÍDA",IF(F1431&lt;='RETRATO 2027'!$K$5,"EM ANDAMENTO","A INICIAR")))</f>
        <v/>
      </c>
    </row>
    <row r="1432">
      <c r="B1432" s="4" t="n">
        <v>29980941</v>
      </c>
      <c r="C1432" s="4" t="inlineStr">
        <is>
          <t>BANCADAS</t>
        </is>
      </c>
      <c r="D1432" s="4" t="inlineStr">
        <is>
          <t>-</t>
        </is>
      </c>
      <c r="E1432" s="4" t="inlineStr">
        <is>
          <t>23º PAV.</t>
        </is>
      </c>
      <c r="F1432" s="126" t="n">
        <v>46853</v>
      </c>
      <c r="G1432" s="126" t="n">
        <v>46867</v>
      </c>
      <c r="H1432" s="126" t="n">
        <v>46289</v>
      </c>
      <c r="I1432" s="4" t="n">
        <v>0</v>
      </c>
      <c r="J1432" s="4" t="n">
        <v>0</v>
      </c>
      <c r="K1432" s="4" t="n">
        <v>0</v>
      </c>
      <c r="M1432" s="2">
        <f>IF(C1432="","",IFERROR(INDEX($S$5:$S$304,MATCH(C1432,$R$5:$R$304,0))&amp;"","?"))</f>
        <v/>
      </c>
      <c r="N1432" s="2">
        <f>IF(E1432="","",IF(ISNUMBER(SEARCH("SUBSOLO",E1432)),IFERROR(-VALUE(LEFT(E1432,FIND("º",SUBSTITUTE(E1432,"°","º"))-1)),-1),IF(LEFT(E1432,6)="TÉRREO",0,IFERROR(VALUE(LEFT(E1432,FIND("º",SUBSTITUTE(E1432,"°","º"))-1)),""))))</f>
        <v/>
      </c>
      <c r="O1432" s="2">
        <f>IF(OR(F1432="",G1432=""),"",IF(G1432&lt;='RETRATO 2027'!$K$5,"CONCLUÍDA",IF(F1432&lt;='RETRATO 2027'!$K$5,"EM ANDAMENTO","A INICIAR")))</f>
        <v/>
      </c>
    </row>
    <row r="1433">
      <c r="B1433" s="4" t="n">
        <v>29980903</v>
      </c>
      <c r="C1433" s="4" t="inlineStr">
        <is>
          <t>REVESTIMENTOS PORCELANATO PISO</t>
        </is>
      </c>
      <c r="D1433" s="4" t="inlineStr">
        <is>
          <t>-</t>
        </is>
      </c>
      <c r="E1433" s="4" t="inlineStr">
        <is>
          <t>24º PAV.</t>
        </is>
      </c>
      <c r="F1433" s="126" t="n">
        <v>46853</v>
      </c>
      <c r="G1433" s="126" t="n">
        <v>46867</v>
      </c>
      <c r="H1433" s="126" t="n">
        <v>46289</v>
      </c>
      <c r="I1433" s="4" t="n">
        <v>0</v>
      </c>
      <c r="J1433" s="4" t="n">
        <v>0</v>
      </c>
      <c r="K1433" s="4" t="n">
        <v>0</v>
      </c>
      <c r="M1433" s="2">
        <f>IF(C1433="","",IFERROR(INDEX($S$5:$S$304,MATCH(C1433,$R$5:$R$304,0))&amp;"","?"))</f>
        <v/>
      </c>
      <c r="N1433" s="2">
        <f>IF(E1433="","",IF(ISNUMBER(SEARCH("SUBSOLO",E1433)),IFERROR(-VALUE(LEFT(E1433,FIND("º",SUBSTITUTE(E1433,"°","º"))-1)),-1),IF(LEFT(E1433,6)="TÉRREO",0,IFERROR(VALUE(LEFT(E1433,FIND("º",SUBSTITUTE(E1433,"°","º"))-1)),""))))</f>
        <v/>
      </c>
      <c r="O1433" s="2">
        <f>IF(OR(F1433="",G1433=""),"",IF(G1433&lt;='RETRATO 2027'!$K$5,"CONCLUÍDA",IF(F1433&lt;='RETRATO 2027'!$K$5,"EM ANDAMENTO","A INICIAR")))</f>
        <v/>
      </c>
    </row>
    <row r="1434">
      <c r="B1434" s="4" t="n">
        <v>29980882</v>
      </c>
      <c r="C1434" s="4" t="inlineStr">
        <is>
          <t>REVESTIMENTO PORCELANATO PAREDE</t>
        </is>
      </c>
      <c r="D1434" s="4" t="inlineStr">
        <is>
          <t>-</t>
        </is>
      </c>
      <c r="E1434" s="4" t="inlineStr">
        <is>
          <t>25º PAV.</t>
        </is>
      </c>
      <c r="F1434" s="126" t="n">
        <v>46853</v>
      </c>
      <c r="G1434" s="126" t="n">
        <v>46867</v>
      </c>
      <c r="H1434" s="126" t="n">
        <v>46289</v>
      </c>
      <c r="I1434" s="4" t="n">
        <v>0</v>
      </c>
      <c r="J1434" s="4" t="n">
        <v>0</v>
      </c>
      <c r="K1434" s="4" t="n">
        <v>0</v>
      </c>
      <c r="M1434" s="2">
        <f>IF(C1434="","",IFERROR(INDEX($S$5:$S$304,MATCH(C1434,$R$5:$R$304,0))&amp;"","?"))</f>
        <v/>
      </c>
      <c r="N1434" s="2">
        <f>IF(E1434="","",IF(ISNUMBER(SEARCH("SUBSOLO",E1434)),IFERROR(-VALUE(LEFT(E1434,FIND("º",SUBSTITUTE(E1434,"°","º"))-1)),-1),IF(LEFT(E1434,6)="TÉRREO",0,IFERROR(VALUE(LEFT(E1434,FIND("º",SUBSTITUTE(E1434,"°","º"))-1)),""))))</f>
        <v/>
      </c>
      <c r="O1434" s="2">
        <f>IF(OR(F1434="",G1434=""),"",IF(G1434&lt;='RETRATO 2027'!$K$5,"CONCLUÍDA",IF(F1434&lt;='RETRATO 2027'!$K$5,"EM ANDAMENTO","A INICIAR")))</f>
        <v/>
      </c>
    </row>
    <row r="1435">
      <c r="B1435" s="4" t="n">
        <v>29980843</v>
      </c>
      <c r="C1435" s="4" t="inlineStr">
        <is>
          <t>IMPERMEABILIZAÇÃO</t>
        </is>
      </c>
      <c r="D1435" s="4" t="inlineStr">
        <is>
          <t>-</t>
        </is>
      </c>
      <c r="E1435" s="4" t="inlineStr">
        <is>
          <t>26º PAV.</t>
        </is>
      </c>
      <c r="F1435" s="126" t="n">
        <v>46853</v>
      </c>
      <c r="G1435" s="126" t="n">
        <v>46867</v>
      </c>
      <c r="H1435" s="126" t="n">
        <v>46289</v>
      </c>
      <c r="I1435" s="4" t="n">
        <v>0</v>
      </c>
      <c r="J1435" s="4" t="n">
        <v>0</v>
      </c>
      <c r="K1435" s="4" t="n">
        <v>0</v>
      </c>
      <c r="M1435" s="2">
        <f>IF(C1435="","",IFERROR(INDEX($S$5:$S$304,MATCH(C1435,$R$5:$R$304,0))&amp;"","?"))</f>
        <v/>
      </c>
      <c r="N1435" s="2">
        <f>IF(E1435="","",IF(ISNUMBER(SEARCH("SUBSOLO",E1435)),IFERROR(-VALUE(LEFT(E1435,FIND("º",SUBSTITUTE(E1435,"°","º"))-1)),-1),IF(LEFT(E1435,6)="TÉRREO",0,IFERROR(VALUE(LEFT(E1435,FIND("º",SUBSTITUTE(E1435,"°","º"))-1)),""))))</f>
        <v/>
      </c>
      <c r="O1435" s="2">
        <f>IF(OR(F1435="",G1435=""),"",IF(G1435&lt;='RETRATO 2027'!$K$5,"CONCLUÍDA",IF(F1435&lt;='RETRATO 2027'!$K$5,"EM ANDAMENTO","A INICIAR")))</f>
        <v/>
      </c>
    </row>
    <row r="1436">
      <c r="B1436" s="4" t="n">
        <v>32750453</v>
      </c>
      <c r="C1436" s="4" t="inlineStr">
        <is>
          <t>DRYWALL 2º FACE</t>
        </is>
      </c>
      <c r="D1436" s="4" t="inlineStr">
        <is>
          <t>-</t>
        </is>
      </c>
      <c r="E1436" s="4" t="inlineStr">
        <is>
          <t>27º PAV.</t>
        </is>
      </c>
      <c r="F1436" s="126" t="n">
        <v>46853</v>
      </c>
      <c r="G1436" s="126" t="n">
        <v>46867</v>
      </c>
      <c r="H1436" s="126" t="n">
        <v>46289</v>
      </c>
      <c r="I1436" s="4" t="n">
        <v>0</v>
      </c>
      <c r="J1436" s="4" t="n">
        <v>0</v>
      </c>
      <c r="K1436" s="4" t="n">
        <v>0</v>
      </c>
      <c r="M1436" s="2">
        <f>IF(C1436="","",IFERROR(INDEX($S$5:$S$304,MATCH(C1436,$R$5:$R$304,0))&amp;"","?"))</f>
        <v/>
      </c>
      <c r="N1436" s="2">
        <f>IF(E1436="","",IF(ISNUMBER(SEARCH("SUBSOLO",E1436)),IFERROR(-VALUE(LEFT(E1436,FIND("º",SUBSTITUTE(E1436,"°","º"))-1)),-1),IF(LEFT(E1436,6)="TÉRREO",0,IFERROR(VALUE(LEFT(E1436,FIND("º",SUBSTITUTE(E1436,"°","º"))-1)),""))))</f>
        <v/>
      </c>
      <c r="O1436" s="2">
        <f>IF(OR(F1436="",G1436=""),"",IF(G1436&lt;='RETRATO 2027'!$K$5,"CONCLUÍDA",IF(F1436&lt;='RETRATO 2027'!$K$5,"EM ANDAMENTO","A INICIAR")))</f>
        <v/>
      </c>
    </row>
    <row r="1437">
      <c r="B1437" s="4" t="n">
        <v>32750376</v>
      </c>
      <c r="C1437" s="4" t="inlineStr">
        <is>
          <t>DISTRIBUIÇÃO DE GÁS - DRYWALL</t>
        </is>
      </c>
      <c r="D1437" s="4" t="inlineStr">
        <is>
          <t>-</t>
        </is>
      </c>
      <c r="E1437" s="4" t="inlineStr">
        <is>
          <t>28º PAV.</t>
        </is>
      </c>
      <c r="F1437" s="126" t="n">
        <v>46853</v>
      </c>
      <c r="G1437" s="126" t="n">
        <v>46867</v>
      </c>
      <c r="H1437" s="126" t="n">
        <v>46289</v>
      </c>
      <c r="I1437" s="4" t="n">
        <v>0</v>
      </c>
      <c r="J1437" s="4" t="n">
        <v>0</v>
      </c>
      <c r="K1437" s="4" t="n">
        <v>0</v>
      </c>
      <c r="M1437" s="2">
        <f>IF(C1437="","",IFERROR(INDEX($S$5:$S$304,MATCH(C1437,$R$5:$R$304,0))&amp;"","?"))</f>
        <v/>
      </c>
      <c r="N1437" s="2">
        <f>IF(E1437="","",IF(ISNUMBER(SEARCH("SUBSOLO",E1437)),IFERROR(-VALUE(LEFT(E1437,FIND("º",SUBSTITUTE(E1437,"°","º"))-1)),-1),IF(LEFT(E1437,6)="TÉRREO",0,IFERROR(VALUE(LEFT(E1437,FIND("º",SUBSTITUTE(E1437,"°","º"))-1)),""))))</f>
        <v/>
      </c>
      <c r="O1437" s="2">
        <f>IF(OR(F1437="",G1437=""),"",IF(G1437&lt;='RETRATO 2027'!$K$5,"CONCLUÍDA",IF(F1437&lt;='RETRATO 2027'!$K$5,"EM ANDAMENTO","A INICIAR")))</f>
        <v/>
      </c>
    </row>
    <row r="1438">
      <c r="B1438" s="4" t="n">
        <v>32750402</v>
      </c>
      <c r="C1438" s="4" t="inlineStr">
        <is>
          <t>DISTRIBUIÇÃO ELÉTRICA/QUADRO - DRYWALL</t>
        </is>
      </c>
      <c r="D1438" s="4" t="inlineStr">
        <is>
          <t>-</t>
        </is>
      </c>
      <c r="E1438" s="4" t="inlineStr">
        <is>
          <t>28º PAV.</t>
        </is>
      </c>
      <c r="F1438" s="126" t="n">
        <v>46853</v>
      </c>
      <c r="G1438" s="126" t="n">
        <v>46867</v>
      </c>
      <c r="H1438" s="126" t="n">
        <v>46289</v>
      </c>
      <c r="I1438" s="4" t="n">
        <v>0</v>
      </c>
      <c r="J1438" s="4" t="n">
        <v>0</v>
      </c>
      <c r="K1438" s="4" t="n">
        <v>0</v>
      </c>
      <c r="M1438" s="2">
        <f>IF(C1438="","",IFERROR(INDEX($S$5:$S$304,MATCH(C1438,$R$5:$R$304,0))&amp;"","?"))</f>
        <v/>
      </c>
      <c r="N1438" s="2">
        <f>IF(E1438="","",IF(ISNUMBER(SEARCH("SUBSOLO",E1438)),IFERROR(-VALUE(LEFT(E1438,FIND("º",SUBSTITUTE(E1438,"°","º"))-1)),-1),IF(LEFT(E1438,6)="TÉRREO",0,IFERROR(VALUE(LEFT(E1438,FIND("º",SUBSTITUTE(E1438,"°","º"))-1)),""))))</f>
        <v/>
      </c>
      <c r="O1438" s="2">
        <f>IF(OR(F1438="",G1438=""),"",IF(G1438&lt;='RETRATO 2027'!$K$5,"CONCLUÍDA",IF(F1438&lt;='RETRATO 2027'!$K$5,"EM ANDAMENTO","A INICIAR")))</f>
        <v/>
      </c>
    </row>
    <row r="1439">
      <c r="B1439" s="4" t="n">
        <v>32750428</v>
      </c>
      <c r="C1439" s="4" t="inlineStr">
        <is>
          <t>DISTRIBUIÇÃO HIDRÁULICA - DRYWALL</t>
        </is>
      </c>
      <c r="D1439" s="4" t="inlineStr">
        <is>
          <t>-</t>
        </is>
      </c>
      <c r="E1439" s="4" t="inlineStr">
        <is>
          <t>28º PAV.</t>
        </is>
      </c>
      <c r="F1439" s="126" t="n">
        <v>46853</v>
      </c>
      <c r="G1439" s="126" t="n">
        <v>46867</v>
      </c>
      <c r="H1439" s="126" t="n">
        <v>46289</v>
      </c>
      <c r="I1439" s="4" t="n">
        <v>0</v>
      </c>
      <c r="J1439" s="4" t="n">
        <v>0</v>
      </c>
      <c r="K1439" s="4" t="n">
        <v>0</v>
      </c>
      <c r="M1439" s="2">
        <f>IF(C1439="","",IFERROR(INDEX($S$5:$S$304,MATCH(C1439,$R$5:$R$304,0))&amp;"","?"))</f>
        <v/>
      </c>
      <c r="N1439" s="2">
        <f>IF(E1439="","",IF(ISNUMBER(SEARCH("SUBSOLO",E1439)),IFERROR(-VALUE(LEFT(E1439,FIND("º",SUBSTITUTE(E1439,"°","º"))-1)),-1),IF(LEFT(E1439,6)="TÉRREO",0,IFERROR(VALUE(LEFT(E1439,FIND("º",SUBSTITUTE(E1439,"°","º"))-1)),""))))</f>
        <v/>
      </c>
      <c r="O1439" s="2">
        <f>IF(OR(F1439="",G1439=""),"",IF(G1439&lt;='RETRATO 2027'!$K$5,"CONCLUÍDA",IF(F1439&lt;='RETRATO 2027'!$K$5,"EM ANDAMENTO","A INICIAR")))</f>
        <v/>
      </c>
    </row>
    <row r="1440">
      <c r="B1440" s="4" t="n">
        <v>33896846</v>
      </c>
      <c r="C1440" s="4" t="inlineStr">
        <is>
          <t>INFRAESTRUTURA - AR CONDICIONADO</t>
        </is>
      </c>
      <c r="D1440" s="4" t="inlineStr">
        <is>
          <t>-</t>
        </is>
      </c>
      <c r="E1440" s="4" t="inlineStr">
        <is>
          <t>28º PAV.</t>
        </is>
      </c>
      <c r="F1440" s="126" t="n">
        <v>46853</v>
      </c>
      <c r="G1440" s="126" t="n">
        <v>46867</v>
      </c>
      <c r="H1440" s="126" t="n">
        <v>46289</v>
      </c>
      <c r="I1440" s="4" t="n">
        <v>0</v>
      </c>
      <c r="J1440" s="4" t="n">
        <v>0</v>
      </c>
      <c r="K1440" s="4" t="n">
        <v>0</v>
      </c>
      <c r="M1440" s="2">
        <f>IF(C1440="","",IFERROR(INDEX($S$5:$S$304,MATCH(C1440,$R$5:$R$304,0))&amp;"","?"))</f>
        <v/>
      </c>
      <c r="N1440" s="2">
        <f>IF(E1440="","",IF(ISNUMBER(SEARCH("SUBSOLO",E1440)),IFERROR(-VALUE(LEFT(E1440,FIND("º",SUBSTITUTE(E1440,"°","º"))-1)),-1),IF(LEFT(E1440,6)="TÉRREO",0,IFERROR(VALUE(LEFT(E1440,FIND("º",SUBSTITUTE(E1440,"°","º"))-1)),""))))</f>
        <v/>
      </c>
      <c r="O1440" s="2">
        <f>IF(OR(F1440="",G1440=""),"",IF(G1440&lt;='RETRATO 2027'!$K$5,"CONCLUÍDA",IF(F1440&lt;='RETRATO 2027'!$K$5,"EM ANDAMENTO","A INICIAR")))</f>
        <v/>
      </c>
    </row>
    <row r="1441">
      <c r="B1441" s="4" t="n">
        <v>32749872</v>
      </c>
      <c r="C1441" s="4" t="inlineStr">
        <is>
          <t>DRYWALL 1º FACE</t>
        </is>
      </c>
      <c r="D1441" s="4" t="inlineStr">
        <is>
          <t>-</t>
        </is>
      </c>
      <c r="E1441" s="4" t="inlineStr">
        <is>
          <t>29º PAV.</t>
        </is>
      </c>
      <c r="F1441" s="126" t="n">
        <v>46853</v>
      </c>
      <c r="G1441" s="126" t="n">
        <v>46867</v>
      </c>
      <c r="H1441" s="126" t="n">
        <v>46289</v>
      </c>
      <c r="I1441" s="4" t="n">
        <v>0</v>
      </c>
      <c r="J1441" s="4" t="n">
        <v>0</v>
      </c>
      <c r="K1441" s="4" t="n">
        <v>0</v>
      </c>
      <c r="M1441" s="2">
        <f>IF(C1441="","",IFERROR(INDEX($S$5:$S$304,MATCH(C1441,$R$5:$R$304,0))&amp;"","?"))</f>
        <v/>
      </c>
      <c r="N1441" s="2">
        <f>IF(E1441="","",IF(ISNUMBER(SEARCH("SUBSOLO",E1441)),IFERROR(-VALUE(LEFT(E1441,FIND("º",SUBSTITUTE(E1441,"°","º"))-1)),-1),IF(LEFT(E1441,6)="TÉRREO",0,IFERROR(VALUE(LEFT(E1441,FIND("º",SUBSTITUTE(E1441,"°","º"))-1)),""))))</f>
        <v/>
      </c>
      <c r="O1441" s="2">
        <f>IF(OR(F1441="",G1441=""),"",IF(G1441&lt;='RETRATO 2027'!$K$5,"CONCLUÍDA",IF(F1441&lt;='RETRATO 2027'!$K$5,"EM ANDAMENTO","A INICIAR")))</f>
        <v/>
      </c>
    </row>
    <row r="1442">
      <c r="B1442" s="4" t="n">
        <v>29980696</v>
      </c>
      <c r="C1442" s="4" t="inlineStr">
        <is>
          <t>CONTRAPISO</t>
        </is>
      </c>
      <c r="D1442" s="4" t="inlineStr">
        <is>
          <t>-</t>
        </is>
      </c>
      <c r="E1442" s="4" t="inlineStr">
        <is>
          <t>30º PAV.</t>
        </is>
      </c>
      <c r="F1442" s="126" t="n">
        <v>46853</v>
      </c>
      <c r="G1442" s="126" t="n">
        <v>46867</v>
      </c>
      <c r="H1442" s="126" t="n">
        <v>46289</v>
      </c>
      <c r="I1442" s="4" t="n">
        <v>0</v>
      </c>
      <c r="J1442" s="4" t="n">
        <v>0</v>
      </c>
      <c r="K1442" s="4" t="n">
        <v>0</v>
      </c>
      <c r="M1442" s="2">
        <f>IF(C1442="","",IFERROR(INDEX($S$5:$S$304,MATCH(C1442,$R$5:$R$304,0))&amp;"","?"))</f>
        <v/>
      </c>
      <c r="N1442" s="2">
        <f>IF(E1442="","",IF(ISNUMBER(SEARCH("SUBSOLO",E1442)),IFERROR(-VALUE(LEFT(E1442,FIND("º",SUBSTITUTE(E1442,"°","º"))-1)),-1),IF(LEFT(E1442,6)="TÉRREO",0,IFERROR(VALUE(LEFT(E1442,FIND("º",SUBSTITUTE(E1442,"°","º"))-1)),""))))</f>
        <v/>
      </c>
      <c r="O1442" s="2">
        <f>IF(OR(F1442="",G1442=""),"",IF(G1442&lt;='RETRATO 2027'!$K$5,"CONCLUÍDA",IF(F1442&lt;='RETRATO 2027'!$K$5,"EM ANDAMENTO","A INICIAR")))</f>
        <v/>
      </c>
    </row>
    <row r="1443">
      <c r="B1443" s="4" t="n">
        <v>29980636</v>
      </c>
      <c r="C1443" s="4" t="inlineStr">
        <is>
          <t>SHAFT INTERNO INST. HIDRAÚLICAS</t>
        </is>
      </c>
      <c r="D1443" s="4" t="inlineStr">
        <is>
          <t>-</t>
        </is>
      </c>
      <c r="E1443" s="4" t="inlineStr">
        <is>
          <t>31º PAV. - COBERTURA LINEAR</t>
        </is>
      </c>
      <c r="F1443" s="126" t="n">
        <v>46853</v>
      </c>
      <c r="G1443" s="126" t="n">
        <v>46867</v>
      </c>
      <c r="H1443" s="126" t="n">
        <v>46289</v>
      </c>
      <c r="I1443" s="4" t="n">
        <v>0</v>
      </c>
      <c r="J1443" s="4" t="n">
        <v>0</v>
      </c>
      <c r="K1443" s="4" t="n">
        <v>0</v>
      </c>
      <c r="M1443" s="2">
        <f>IF(C1443="","",IFERROR(INDEX($S$5:$S$304,MATCH(C1443,$R$5:$R$304,0))&amp;"","?"))</f>
        <v/>
      </c>
      <c r="N1443" s="2">
        <f>IF(E1443="","",IF(ISNUMBER(SEARCH("SUBSOLO",E1443)),IFERROR(-VALUE(LEFT(E1443,FIND("º",SUBSTITUTE(E1443,"°","º"))-1)),-1),IF(LEFT(E1443,6)="TÉRREO",0,IFERROR(VALUE(LEFT(E1443,FIND("º",SUBSTITUTE(E1443,"°","º"))-1)),""))))</f>
        <v/>
      </c>
      <c r="O1443" s="2">
        <f>IF(OR(F1443="",G1443=""),"",IF(G1443&lt;='RETRATO 2027'!$K$5,"CONCLUÍDA",IF(F1443&lt;='RETRATO 2027'!$K$5,"EM ANDAMENTO","A INICIAR")))</f>
        <v/>
      </c>
    </row>
    <row r="1444">
      <c r="B1444" s="4" t="n">
        <v>29980669</v>
      </c>
      <c r="C1444" s="4" t="inlineStr">
        <is>
          <t>PRUMADA ELÉTRICA - INFRA</t>
        </is>
      </c>
      <c r="D1444" s="4" t="inlineStr">
        <is>
          <t>-</t>
        </is>
      </c>
      <c r="E1444" s="4" t="inlineStr">
        <is>
          <t>31º PAV. - COBERTURA LINEAR</t>
        </is>
      </c>
      <c r="F1444" s="126" t="n">
        <v>46853</v>
      </c>
      <c r="G1444" s="126" t="n">
        <v>46867</v>
      </c>
      <c r="H1444" s="126" t="n">
        <v>46289</v>
      </c>
      <c r="I1444" s="4" t="n">
        <v>0</v>
      </c>
      <c r="J1444" s="4" t="n">
        <v>0</v>
      </c>
      <c r="K1444" s="4" t="n">
        <v>0</v>
      </c>
      <c r="M1444" s="2">
        <f>IF(C1444="","",IFERROR(INDEX($S$5:$S$304,MATCH(C1444,$R$5:$R$304,0))&amp;"","?"))</f>
        <v/>
      </c>
      <c r="N1444" s="2">
        <f>IF(E1444="","",IF(ISNUMBER(SEARCH("SUBSOLO",E1444)),IFERROR(-VALUE(LEFT(E1444,FIND("º",SUBSTITUTE(E1444,"°","º"))-1)),-1),IF(LEFT(E1444,6)="TÉRREO",0,IFERROR(VALUE(LEFT(E1444,FIND("º",SUBSTITUTE(E1444,"°","º"))-1)),""))))</f>
        <v/>
      </c>
      <c r="O1444" s="2">
        <f>IF(OR(F1444="",G1444=""),"",IF(G1444&lt;='RETRATO 2027'!$K$5,"CONCLUÍDA",IF(F1444&lt;='RETRATO 2027'!$K$5,"EM ANDAMENTO","A INICIAR")))</f>
        <v/>
      </c>
    </row>
    <row r="1445">
      <c r="B1445" s="4" t="n">
        <v>29980598</v>
      </c>
      <c r="C1445" s="4" t="inlineStr">
        <is>
          <t>REBOCO INTERNO</t>
        </is>
      </c>
      <c r="D1445" s="4" t="inlineStr">
        <is>
          <t>-</t>
        </is>
      </c>
      <c r="E1445" s="4" t="inlineStr">
        <is>
          <t>32º PAV - COBERTURA GERAL</t>
        </is>
      </c>
      <c r="F1445" s="126" t="n">
        <v>46853</v>
      </c>
      <c r="G1445" s="126" t="n">
        <v>46867</v>
      </c>
      <c r="H1445" s="126" t="n">
        <v>46289</v>
      </c>
      <c r="I1445" s="4" t="n">
        <v>0</v>
      </c>
      <c r="J1445" s="4" t="n">
        <v>0</v>
      </c>
      <c r="K1445" s="4" t="n">
        <v>0</v>
      </c>
      <c r="M1445" s="2">
        <f>IF(C1445="","",IFERROR(INDEX($S$5:$S$304,MATCH(C1445,$R$5:$R$304,0))&amp;"","?"))</f>
        <v/>
      </c>
      <c r="N1445" s="2">
        <f>IF(E1445="","",IF(ISNUMBER(SEARCH("SUBSOLO",E1445)),IFERROR(-VALUE(LEFT(E1445,FIND("º",SUBSTITUTE(E1445,"°","º"))-1)),-1),IF(LEFT(E1445,6)="TÉRREO",0,IFERROR(VALUE(LEFT(E1445,FIND("º",SUBSTITUTE(E1445,"°","º"))-1)),""))))</f>
        <v/>
      </c>
      <c r="O1445" s="2">
        <f>IF(OR(F1445="",G1445=""),"",IF(G1445&lt;='RETRATO 2027'!$K$5,"CONCLUÍDA",IF(F1445&lt;='RETRATO 2027'!$K$5,"EM ANDAMENTO","A INICIAR")))</f>
        <v/>
      </c>
    </row>
    <row r="1446">
      <c r="B1446" s="4" t="n">
        <v>29981101</v>
      </c>
      <c r="C1446" s="4" t="inlineStr">
        <is>
          <t>PRUMADA HIDROSSANITÁRIA</t>
        </is>
      </c>
      <c r="D1446" s="4" t="inlineStr">
        <is>
          <t>-</t>
        </is>
      </c>
      <c r="E1446" s="4" t="inlineStr">
        <is>
          <t>19º PAV.</t>
        </is>
      </c>
      <c r="F1446" s="126" t="n">
        <v>46854</v>
      </c>
      <c r="G1446" s="126" t="n">
        <v>46868</v>
      </c>
      <c r="H1446" s="126" t="n">
        <v>46289</v>
      </c>
      <c r="I1446" s="4" t="n">
        <v>0</v>
      </c>
      <c r="J1446" s="4" t="n">
        <v>0</v>
      </c>
      <c r="K1446" s="4" t="n">
        <v>0</v>
      </c>
      <c r="M1446" s="2">
        <f>IF(C1446="","",IFERROR(INDEX($S$5:$S$304,MATCH(C1446,$R$5:$R$304,0))&amp;"","?"))</f>
        <v/>
      </c>
      <c r="N1446" s="2">
        <f>IF(E1446="","",IF(ISNUMBER(SEARCH("SUBSOLO",E1446)),IFERROR(-VALUE(LEFT(E1446,FIND("º",SUBSTITUTE(E1446,"°","º"))-1)),-1),IF(LEFT(E1446,6)="TÉRREO",0,IFERROR(VALUE(LEFT(E1446,FIND("º",SUBSTITUTE(E1446,"°","º"))-1)),""))))</f>
        <v/>
      </c>
      <c r="O1446" s="2">
        <f>IF(OR(F1446="",G1446=""),"",IF(G1446&lt;='RETRATO 2027'!$K$5,"CONCLUÍDA",IF(F1446&lt;='RETRATO 2027'!$K$5,"EM ANDAMENTO","A INICIAR")))</f>
        <v/>
      </c>
    </row>
    <row r="1447">
      <c r="B1447" s="4" t="n">
        <v>30210372</v>
      </c>
      <c r="C1447" s="4" t="inlineStr">
        <is>
          <t>INSTALAÇÕES ELÉTRICAS</t>
        </is>
      </c>
      <c r="D1447" s="4" t="inlineStr">
        <is>
          <t>-</t>
        </is>
      </c>
      <c r="E1447" s="4" t="inlineStr">
        <is>
          <t>33º PAV - BARRILETE</t>
        </is>
      </c>
      <c r="F1447" s="126" t="n">
        <v>46854</v>
      </c>
      <c r="G1447" s="126" t="n">
        <v>46903</v>
      </c>
      <c r="H1447" s="126" t="n">
        <v>46289</v>
      </c>
      <c r="I1447" s="4" t="n">
        <v>0</v>
      </c>
      <c r="J1447" s="4" t="n">
        <v>0</v>
      </c>
      <c r="K1447" s="4" t="n">
        <v>0</v>
      </c>
      <c r="M1447" s="2">
        <f>IF(C1447="","",IFERROR(INDEX($S$5:$S$304,MATCH(C1447,$R$5:$R$304,0))&amp;"","?"))</f>
        <v/>
      </c>
      <c r="N1447" s="2">
        <f>IF(E1447="","",IF(ISNUMBER(SEARCH("SUBSOLO",E1447)),IFERROR(-VALUE(LEFT(E1447,FIND("º",SUBSTITUTE(E1447,"°","º"))-1)),-1),IF(LEFT(E1447,6)="TÉRREO",0,IFERROR(VALUE(LEFT(E1447,FIND("º",SUBSTITUTE(E1447,"°","º"))-1)),""))))</f>
        <v/>
      </c>
      <c r="O1447" s="2">
        <f>IF(OR(F1447="",G1447=""),"",IF(G1447&lt;='RETRATO 2027'!$K$5,"CONCLUÍDA",IF(F1447&lt;='RETRATO 2027'!$K$5,"EM ANDAMENTO","A INICIAR")))</f>
        <v/>
      </c>
    </row>
    <row r="1448">
      <c r="B1448" s="4" t="n">
        <v>30210373</v>
      </c>
      <c r="C1448" s="4" t="inlineStr">
        <is>
          <t>INSTALAÇÕES HIDRÁULICAS</t>
        </is>
      </c>
      <c r="D1448" s="4" t="inlineStr">
        <is>
          <t>-</t>
        </is>
      </c>
      <c r="E1448" s="4" t="inlineStr">
        <is>
          <t>33º PAV - BARRILETE</t>
        </is>
      </c>
      <c r="F1448" s="126" t="n">
        <v>46854</v>
      </c>
      <c r="G1448" s="126" t="n">
        <v>46903</v>
      </c>
      <c r="H1448" s="126" t="n">
        <v>46289</v>
      </c>
      <c r="I1448" s="4" t="n">
        <v>0</v>
      </c>
      <c r="J1448" s="4" t="n">
        <v>0</v>
      </c>
      <c r="K1448" s="4" t="n">
        <v>0</v>
      </c>
      <c r="M1448" s="2">
        <f>IF(C1448="","",IFERROR(INDEX($S$5:$S$304,MATCH(C1448,$R$5:$R$304,0))&amp;"","?"))</f>
        <v/>
      </c>
      <c r="N1448" s="2">
        <f>IF(E1448="","",IF(ISNUMBER(SEARCH("SUBSOLO",E1448)),IFERROR(-VALUE(LEFT(E1448,FIND("º",SUBSTITUTE(E1448,"°","º"))-1)),-1),IF(LEFT(E1448,6)="TÉRREO",0,IFERROR(VALUE(LEFT(E1448,FIND("º",SUBSTITUTE(E1448,"°","º"))-1)),""))))</f>
        <v/>
      </c>
      <c r="O1448" s="2">
        <f>IF(OR(F1448="",G1448=""),"",IF(G1448&lt;='RETRATO 2027'!$K$5,"CONCLUÍDA",IF(F1448&lt;='RETRATO 2027'!$K$5,"EM ANDAMENTO","A INICIAR")))</f>
        <v/>
      </c>
    </row>
    <row r="1449">
      <c r="B1449" s="4" t="n">
        <v>30211205</v>
      </c>
      <c r="C1449" s="4" t="inlineStr">
        <is>
          <t>ALVENARIA</t>
        </is>
      </c>
      <c r="D1449" s="4" t="inlineStr">
        <is>
          <t>-</t>
        </is>
      </c>
      <c r="E1449" s="4" t="inlineStr">
        <is>
          <t>34º PAV - RESERVATÓRIO</t>
        </is>
      </c>
      <c r="F1449" s="126" t="n">
        <v>46854</v>
      </c>
      <c r="G1449" s="126" t="n">
        <v>46877</v>
      </c>
      <c r="H1449" s="126" t="n">
        <v>46289</v>
      </c>
      <c r="I1449" s="4" t="n">
        <v>0</v>
      </c>
      <c r="J1449" s="4" t="n">
        <v>0</v>
      </c>
      <c r="K1449" s="4" t="n">
        <v>0</v>
      </c>
      <c r="M1449" s="2">
        <f>IF(C1449="","",IFERROR(INDEX($S$5:$S$304,MATCH(C1449,$R$5:$R$304,0))&amp;"","?"))</f>
        <v/>
      </c>
      <c r="N1449" s="2">
        <f>IF(E1449="","",IF(ISNUMBER(SEARCH("SUBSOLO",E1449)),IFERROR(-VALUE(LEFT(E1449,FIND("º",SUBSTITUTE(E1449,"°","º"))-1)),-1),IF(LEFT(E1449,6)="TÉRREO",0,IFERROR(VALUE(LEFT(E1449,FIND("º",SUBSTITUTE(E1449,"°","º"))-1)),""))))</f>
        <v/>
      </c>
      <c r="O1449" s="2">
        <f>IF(OR(F1449="",G1449=""),"",IF(G1449&lt;='RETRATO 2027'!$K$5,"CONCLUÍDA",IF(F1449&lt;='RETRATO 2027'!$K$5,"EM ANDAMENTO","A INICIAR")))</f>
        <v/>
      </c>
    </row>
    <row r="1450">
      <c r="B1450" s="4" t="n">
        <v>30205688</v>
      </c>
      <c r="C1450" s="4" t="inlineStr">
        <is>
          <t>DISJUNTORES / MIOLOS</t>
        </is>
      </c>
      <c r="D1450" s="4" t="inlineStr">
        <is>
          <t>-</t>
        </is>
      </c>
      <c r="E1450" s="4" t="inlineStr">
        <is>
          <t>TÉRREO - LOJA 1</t>
        </is>
      </c>
      <c r="F1450" s="126" t="n">
        <v>46855</v>
      </c>
      <c r="G1450" s="126" t="n">
        <v>46862</v>
      </c>
      <c r="H1450" s="126" t="n">
        <v>46289</v>
      </c>
      <c r="I1450" s="4" t="n">
        <v>0</v>
      </c>
      <c r="J1450" s="4" t="n">
        <v>0</v>
      </c>
      <c r="K1450" s="4" t="n">
        <v>0</v>
      </c>
      <c r="M1450" s="2">
        <f>IF(C1450="","",IFERROR(INDEX($S$5:$S$304,MATCH(C1450,$R$5:$R$304,0))&amp;"","?"))</f>
        <v/>
      </c>
      <c r="N1450" s="2">
        <f>IF(E1450="","",IF(ISNUMBER(SEARCH("SUBSOLO",E1450)),IFERROR(-VALUE(LEFT(E1450,FIND("º",SUBSTITUTE(E1450,"°","º"))-1)),-1),IF(LEFT(E1450,6)="TÉRREO",0,IFERROR(VALUE(LEFT(E1450,FIND("º",SUBSTITUTE(E1450,"°","º"))-1)),""))))</f>
        <v/>
      </c>
      <c r="O1450" s="2">
        <f>IF(OR(F1450="",G1450=""),"",IF(G1450&lt;='RETRATO 2027'!$K$5,"CONCLUÍDA",IF(F1450&lt;='RETRATO 2027'!$K$5,"EM ANDAMENTO","A INICIAR")))</f>
        <v/>
      </c>
    </row>
    <row r="1451">
      <c r="B1451" s="4" t="n">
        <v>30205663</v>
      </c>
      <c r="C1451" s="4" t="inlineStr">
        <is>
          <t>ESQUADRIA MADEIRA</t>
        </is>
      </c>
      <c r="D1451" s="4" t="inlineStr">
        <is>
          <t>-</t>
        </is>
      </c>
      <c r="E1451" s="4" t="inlineStr">
        <is>
          <t>TÉRREO - LOJA 2</t>
        </is>
      </c>
      <c r="F1451" s="126" t="n">
        <v>46855</v>
      </c>
      <c r="G1451" s="126" t="n">
        <v>46870</v>
      </c>
      <c r="H1451" s="126" t="n">
        <v>46289</v>
      </c>
      <c r="I1451" s="4" t="n">
        <v>0</v>
      </c>
      <c r="J1451" s="4" t="n">
        <v>0</v>
      </c>
      <c r="K1451" s="4" t="n">
        <v>0</v>
      </c>
      <c r="M1451" s="2">
        <f>IF(C1451="","",IFERROR(INDEX($S$5:$S$304,MATCH(C1451,$R$5:$R$304,0))&amp;"","?"))</f>
        <v/>
      </c>
      <c r="N1451" s="2">
        <f>IF(E1451="","",IF(ISNUMBER(SEARCH("SUBSOLO",E1451)),IFERROR(-VALUE(LEFT(E1451,FIND("º",SUBSTITUTE(E1451,"°","º"))-1)),-1),IF(LEFT(E1451,6)="TÉRREO",0,IFERROR(VALUE(LEFT(E1451,FIND("º",SUBSTITUTE(E1451,"°","º"))-1)),""))))</f>
        <v/>
      </c>
      <c r="O1451" s="2">
        <f>IF(OR(F1451="",G1451=""),"",IF(G1451&lt;='RETRATO 2027'!$K$5,"CONCLUÍDA",IF(F1451&lt;='RETRATO 2027'!$K$5,"EM ANDAMENTO","A INICIAR")))</f>
        <v/>
      </c>
    </row>
    <row r="1452">
      <c r="B1452" s="4" t="n">
        <v>30205662</v>
      </c>
      <c r="C1452" s="4" t="inlineStr">
        <is>
          <t>LOUÇAS</t>
        </is>
      </c>
      <c r="D1452" s="4" t="inlineStr">
        <is>
          <t>-</t>
        </is>
      </c>
      <c r="E1452" s="4" t="inlineStr">
        <is>
          <t>TÉRREO - LOJA 2</t>
        </is>
      </c>
      <c r="F1452" s="126" t="n">
        <v>46855</v>
      </c>
      <c r="G1452" s="126" t="n">
        <v>46870</v>
      </c>
      <c r="H1452" s="126" t="n">
        <v>46289</v>
      </c>
      <c r="I1452" s="4" t="n">
        <v>0</v>
      </c>
      <c r="J1452" s="4" t="n">
        <v>0</v>
      </c>
      <c r="K1452" s="4" t="n">
        <v>0</v>
      </c>
      <c r="M1452" s="2">
        <f>IF(C1452="","",IFERROR(INDEX($S$5:$S$304,MATCH(C1452,$R$5:$R$304,0))&amp;"","?"))</f>
        <v/>
      </c>
      <c r="N1452" s="2">
        <f>IF(E1452="","",IF(ISNUMBER(SEARCH("SUBSOLO",E1452)),IFERROR(-VALUE(LEFT(E1452,FIND("º",SUBSTITUTE(E1452,"°","º"))-1)),-1),IF(LEFT(E1452,6)="TÉRREO",0,IFERROR(VALUE(LEFT(E1452,FIND("º",SUBSTITUTE(E1452,"°","º"))-1)),""))))</f>
        <v/>
      </c>
      <c r="O1452" s="2">
        <f>IF(OR(F1452="",G1452=""),"",IF(G1452&lt;='RETRATO 2027'!$K$5,"CONCLUÍDA",IF(F1452&lt;='RETRATO 2027'!$K$5,"EM ANDAMENTO","A INICIAR")))</f>
        <v/>
      </c>
    </row>
    <row r="1453">
      <c r="B1453" s="4" t="n">
        <v>30205660</v>
      </c>
      <c r="C1453" s="4" t="inlineStr">
        <is>
          <t>METAIS</t>
        </is>
      </c>
      <c r="D1453" s="4" t="inlineStr">
        <is>
          <t>-</t>
        </is>
      </c>
      <c r="E1453" s="4" t="inlineStr">
        <is>
          <t>TÉRREO - LOJA 2</t>
        </is>
      </c>
      <c r="F1453" s="126" t="n">
        <v>46855</v>
      </c>
      <c r="G1453" s="126" t="n">
        <v>46870</v>
      </c>
      <c r="H1453" s="126" t="n">
        <v>46289</v>
      </c>
      <c r="I1453" s="4" t="n">
        <v>0</v>
      </c>
      <c r="J1453" s="4" t="n">
        <v>0</v>
      </c>
      <c r="K1453" s="4" t="n">
        <v>0</v>
      </c>
      <c r="M1453" s="2">
        <f>IF(C1453="","",IFERROR(INDEX($S$5:$S$304,MATCH(C1453,$R$5:$R$304,0))&amp;"","?"))</f>
        <v/>
      </c>
      <c r="N1453" s="2">
        <f>IF(E1453="","",IF(ISNUMBER(SEARCH("SUBSOLO",E1453)),IFERROR(-VALUE(LEFT(E1453,FIND("º",SUBSTITUTE(E1453,"°","º"))-1)),-1),IF(LEFT(E1453,6)="TÉRREO",0,IFERROR(VALUE(LEFT(E1453,FIND("º",SUBSTITUTE(E1453,"°","º"))-1)),""))))</f>
        <v/>
      </c>
      <c r="O1453" s="2">
        <f>IF(OR(F1453="",G1453=""),"",IF(G1453&lt;='RETRATO 2027'!$K$5,"CONCLUÍDA",IF(F1453&lt;='RETRATO 2027'!$K$5,"EM ANDAMENTO","A INICIAR")))</f>
        <v/>
      </c>
    </row>
    <row r="1454">
      <c r="B1454" s="4" t="n">
        <v>30205645</v>
      </c>
      <c r="C1454" s="4" t="inlineStr">
        <is>
          <t>PINTURA 1º DEMÃO</t>
        </is>
      </c>
      <c r="D1454" s="4" t="inlineStr">
        <is>
          <t>-</t>
        </is>
      </c>
      <c r="E1454" s="4" t="inlineStr">
        <is>
          <t>TÉRREO - LOJA 3</t>
        </is>
      </c>
      <c r="F1454" s="126" t="n">
        <v>46855</v>
      </c>
      <c r="G1454" s="126" t="n">
        <v>46870</v>
      </c>
      <c r="H1454" s="126" t="n">
        <v>46289</v>
      </c>
      <c r="I1454" s="4" t="n">
        <v>0</v>
      </c>
      <c r="J1454" s="4" t="n">
        <v>0</v>
      </c>
      <c r="K1454" s="4" t="n">
        <v>0</v>
      </c>
      <c r="M1454" s="2">
        <f>IF(C1454="","",IFERROR(INDEX($S$5:$S$304,MATCH(C1454,$R$5:$R$304,0))&amp;"","?"))</f>
        <v/>
      </c>
      <c r="N1454" s="2">
        <f>IF(E1454="","",IF(ISNUMBER(SEARCH("SUBSOLO",E1454)),IFERROR(-VALUE(LEFT(E1454,FIND("º",SUBSTITUTE(E1454,"°","º"))-1)),-1),IF(LEFT(E1454,6)="TÉRREO",0,IFERROR(VALUE(LEFT(E1454,FIND("º",SUBSTITUTE(E1454,"°","º"))-1)),""))))</f>
        <v/>
      </c>
      <c r="O1454" s="2">
        <f>IF(OR(F1454="",G1454=""),"",IF(G1454&lt;='RETRATO 2027'!$K$5,"CONCLUÍDA",IF(F1454&lt;='RETRATO 2027'!$K$5,"EM ANDAMENTO","A INICIAR")))</f>
        <v/>
      </c>
    </row>
    <row r="1455">
      <c r="B1455" s="4" t="n">
        <v>29981100</v>
      </c>
      <c r="C1455" s="4" t="inlineStr">
        <is>
          <t>ENCUNHAMENTO</t>
        </is>
      </c>
      <c r="D1455" s="4" t="inlineStr">
        <is>
          <t>-</t>
        </is>
      </c>
      <c r="E1455" s="4" t="inlineStr">
        <is>
          <t>19º PAV.</t>
        </is>
      </c>
      <c r="F1455" s="126" t="n">
        <v>46856</v>
      </c>
      <c r="G1455" s="126" t="n">
        <v>46870</v>
      </c>
      <c r="H1455" s="126" t="n">
        <v>46289</v>
      </c>
      <c r="I1455" s="4" t="n">
        <v>0</v>
      </c>
      <c r="J1455" s="4" t="n">
        <v>0</v>
      </c>
      <c r="K1455" s="4" t="n">
        <v>0</v>
      </c>
      <c r="M1455" s="2">
        <f>IF(C1455="","",IFERROR(INDEX($S$5:$S$304,MATCH(C1455,$R$5:$R$304,0))&amp;"","?"))</f>
        <v/>
      </c>
      <c r="N1455" s="2">
        <f>IF(E1455="","",IF(ISNUMBER(SEARCH("SUBSOLO",E1455)),IFERROR(-VALUE(LEFT(E1455,FIND("º",SUBSTITUTE(E1455,"°","º"))-1)),-1),IF(LEFT(E1455,6)="TÉRREO",0,IFERROR(VALUE(LEFT(E1455,FIND("º",SUBSTITUTE(E1455,"°","º"))-1)),""))))</f>
        <v/>
      </c>
      <c r="O1455" s="2">
        <f>IF(OR(F1455="",G1455=""),"",IF(G1455&lt;='RETRATO 2027'!$K$5,"CONCLUÍDA",IF(F1455&lt;='RETRATO 2027'!$K$5,"EM ANDAMENTO","A INICIAR")))</f>
        <v/>
      </c>
    </row>
    <row r="1456">
      <c r="B1456" s="4" t="n">
        <v>30205717</v>
      </c>
      <c r="C1456" s="4" t="inlineStr">
        <is>
          <t>TEXTURA - 1º DEMÃO</t>
        </is>
      </c>
      <c r="D1456" s="4" t="inlineStr">
        <is>
          <t>-</t>
        </is>
      </c>
      <c r="E1456" s="4" t="inlineStr">
        <is>
          <t>SUBSOLO</t>
        </is>
      </c>
      <c r="F1456" s="126" t="n">
        <v>46860</v>
      </c>
      <c r="G1456" s="126" t="n">
        <v>46891</v>
      </c>
      <c r="H1456" s="126" t="n">
        <v>46289</v>
      </c>
      <c r="I1456" s="4" t="n">
        <v>0</v>
      </c>
      <c r="J1456" s="4" t="n">
        <v>0</v>
      </c>
      <c r="K1456" s="4" t="n">
        <v>0</v>
      </c>
      <c r="M1456" s="2">
        <f>IF(C1456="","",IFERROR(INDEX($S$5:$S$304,MATCH(C1456,$R$5:$R$304,0))&amp;"","?"))</f>
        <v/>
      </c>
      <c r="N1456" s="2">
        <f>IF(E1456="","",IF(ISNUMBER(SEARCH("SUBSOLO",E1456)),IFERROR(-VALUE(LEFT(E1456,FIND("º",SUBSTITUTE(E1456,"°","º"))-1)),-1),IF(LEFT(E1456,6)="TÉRREO",0,IFERROR(VALUE(LEFT(E1456,FIND("º",SUBSTITUTE(E1456,"°","º"))-1)),""))))</f>
        <v/>
      </c>
      <c r="O1456" s="2">
        <f>IF(OR(F1456="",G1456=""),"",IF(G1456&lt;='RETRATO 2027'!$K$5,"CONCLUÍDA",IF(F1456&lt;='RETRATO 2027'!$K$5,"EM ANDAMENTO","A INICIAR")))</f>
        <v/>
      </c>
    </row>
    <row r="1457">
      <c r="B1457" s="4" t="n">
        <v>30205733</v>
      </c>
      <c r="C1457" s="4" t="inlineStr">
        <is>
          <t>PINTURA DE TUBULAÇÕES (PAREDE E TETO)</t>
        </is>
      </c>
      <c r="D1457" s="4" t="inlineStr">
        <is>
          <t>-</t>
        </is>
      </c>
      <c r="E1457" s="4" t="inlineStr">
        <is>
          <t>SUBSOLO</t>
        </is>
      </c>
      <c r="F1457" s="126" t="n">
        <v>46860</v>
      </c>
      <c r="G1457" s="126" t="n">
        <v>46891</v>
      </c>
      <c r="H1457" s="126" t="n">
        <v>46289</v>
      </c>
      <c r="I1457" s="4" t="n">
        <v>0</v>
      </c>
      <c r="J1457" s="4" t="n">
        <v>0</v>
      </c>
      <c r="K1457" s="4" t="n">
        <v>0</v>
      </c>
      <c r="M1457" s="2">
        <f>IF(C1457="","",IFERROR(INDEX($S$5:$S$304,MATCH(C1457,$R$5:$R$304,0))&amp;"","?"))</f>
        <v/>
      </c>
      <c r="N1457" s="2">
        <f>IF(E1457="","",IF(ISNUMBER(SEARCH("SUBSOLO",E1457)),IFERROR(-VALUE(LEFT(E1457,FIND("º",SUBSTITUTE(E1457,"°","º"))-1)),-1),IF(LEFT(E1457,6)="TÉRREO",0,IFERROR(VALUE(LEFT(E1457,FIND("º",SUBSTITUTE(E1457,"°","º"))-1)),""))))</f>
        <v/>
      </c>
      <c r="O1457" s="2">
        <f>IF(OR(F1457="",G1457=""),"",IF(G1457&lt;='RETRATO 2027'!$K$5,"CONCLUÍDA",IF(F1457&lt;='RETRATO 2027'!$K$5,"EM ANDAMENTO","A INICIAR")))</f>
        <v/>
      </c>
    </row>
    <row r="1458">
      <c r="B1458" s="4" t="n">
        <v>30205852</v>
      </c>
      <c r="C1458" s="4" t="inlineStr">
        <is>
          <t>BANCADAS</t>
        </is>
      </c>
      <c r="D1458" s="4" t="inlineStr">
        <is>
          <t>-</t>
        </is>
      </c>
      <c r="E1458" s="4" t="inlineStr">
        <is>
          <t>1º PAV. (INTERMEDIÁRIO)</t>
        </is>
      </c>
      <c r="F1458" s="126" t="n">
        <v>46860</v>
      </c>
      <c r="G1458" s="126" t="n">
        <v>46875</v>
      </c>
      <c r="H1458" s="126" t="n">
        <v>46289</v>
      </c>
      <c r="I1458" s="4" t="n">
        <v>0</v>
      </c>
      <c r="J1458" s="4" t="n">
        <v>0</v>
      </c>
      <c r="K1458" s="4" t="n">
        <v>0</v>
      </c>
      <c r="M1458" s="2">
        <f>IF(C1458="","",IFERROR(INDEX($S$5:$S$304,MATCH(C1458,$R$5:$R$304,0))&amp;"","?"))</f>
        <v/>
      </c>
      <c r="N1458" s="2">
        <f>IF(E1458="","",IF(ISNUMBER(SEARCH("SUBSOLO",E1458)),IFERROR(-VALUE(LEFT(E1458,FIND("º",SUBSTITUTE(E1458,"°","º"))-1)),-1),IF(LEFT(E1458,6)="TÉRREO",0,IFERROR(VALUE(LEFT(E1458,FIND("º",SUBSTITUTE(E1458,"°","º"))-1)),""))))</f>
        <v/>
      </c>
      <c r="O1458" s="2">
        <f>IF(OR(F1458="",G1458=""),"",IF(G1458&lt;='RETRATO 2027'!$K$5,"CONCLUÍDA",IF(F1458&lt;='RETRATO 2027'!$K$5,"EM ANDAMENTO","A INICIAR")))</f>
        <v/>
      </c>
    </row>
    <row r="1459">
      <c r="B1459" s="4" t="n">
        <v>31791437</v>
      </c>
      <c r="C1459" s="4" t="inlineStr">
        <is>
          <t>PEITORIS E REQUADROS DE FACHADA - F1 + F2 (2º ETAPA)</t>
        </is>
      </c>
      <c r="D1459" s="4" t="inlineStr">
        <is>
          <t>-</t>
        </is>
      </c>
      <c r="E1459" s="4" t="inlineStr">
        <is>
          <t>FACHADA</t>
        </is>
      </c>
      <c r="F1459" s="126" t="n">
        <v>46860</v>
      </c>
      <c r="G1459" s="126" t="n">
        <v>46882</v>
      </c>
      <c r="H1459" s="126" t="n">
        <v>46289</v>
      </c>
      <c r="I1459" s="4" t="n">
        <v>0</v>
      </c>
      <c r="J1459" s="4" t="n">
        <v>0</v>
      </c>
      <c r="K1459" s="4" t="n">
        <v>0</v>
      </c>
      <c r="M1459" s="2">
        <f>IF(C1459="","",IFERROR(INDEX($S$5:$S$304,MATCH(C1459,$R$5:$R$304,0))&amp;"","?"))</f>
        <v/>
      </c>
      <c r="N1459" s="2">
        <f>IF(E1459="","",IF(ISNUMBER(SEARCH("SUBSOLO",E1459)),IFERROR(-VALUE(LEFT(E1459,FIND("º",SUBSTITUTE(E1459,"°","º"))-1)),-1),IF(LEFT(E1459,6)="TÉRREO",0,IFERROR(VALUE(LEFT(E1459,FIND("º",SUBSTITUTE(E1459,"°","º"))-1)),""))))</f>
        <v/>
      </c>
      <c r="O1459" s="2">
        <f>IF(OR(F1459="",G1459=""),"",IF(G1459&lt;='RETRATO 2027'!$K$5,"CONCLUÍDA",IF(F1459&lt;='RETRATO 2027'!$K$5,"EM ANDAMENTO","A INICIAR")))</f>
        <v/>
      </c>
    </row>
    <row r="1460">
      <c r="B1460" s="4" t="n">
        <v>30206123</v>
      </c>
      <c r="C1460" s="4" t="inlineStr">
        <is>
          <t>CONTRAPISO</t>
        </is>
      </c>
      <c r="D1460" s="4" t="inlineStr">
        <is>
          <t>-</t>
        </is>
      </c>
      <c r="E1460" s="4" t="inlineStr">
        <is>
          <t>6º PAV (PILOTIS) - ACADEMIA</t>
        </is>
      </c>
      <c r="F1460" s="126" t="n">
        <v>46861</v>
      </c>
      <c r="G1460" s="126" t="n">
        <v>46876</v>
      </c>
      <c r="H1460" s="126" t="n">
        <v>46289</v>
      </c>
      <c r="I1460" s="4" t="n">
        <v>0</v>
      </c>
      <c r="J1460" s="4" t="n">
        <v>0</v>
      </c>
      <c r="K1460" s="4" t="n">
        <v>0</v>
      </c>
      <c r="M1460" s="2">
        <f>IF(C1460="","",IFERROR(INDEX($S$5:$S$304,MATCH(C1460,$R$5:$R$304,0))&amp;"","?"))</f>
        <v/>
      </c>
      <c r="N1460" s="2">
        <f>IF(E1460="","",IF(ISNUMBER(SEARCH("SUBSOLO",E1460)),IFERROR(-VALUE(LEFT(E1460,FIND("º",SUBSTITUTE(E1460,"°","º"))-1)),-1),IF(LEFT(E1460,6)="TÉRREO",0,IFERROR(VALUE(LEFT(E1460,FIND("º",SUBSTITUTE(E1460,"°","º"))-1)),""))))</f>
        <v/>
      </c>
      <c r="O1460" s="2">
        <f>IF(OR(F1460="",G1460=""),"",IF(G1460&lt;='RETRATO 2027'!$K$5,"CONCLUÍDA",IF(F1460&lt;='RETRATO 2027'!$K$5,"EM ANDAMENTO","A INICIAR")))</f>
        <v/>
      </c>
    </row>
    <row r="1461">
      <c r="B1461" s="4" t="n">
        <v>30206063</v>
      </c>
      <c r="C1461" s="4" t="inlineStr">
        <is>
          <t>SHAFT INTERNO INST. HIDRAÚLICAS</t>
        </is>
      </c>
      <c r="D1461" s="4" t="inlineStr">
        <is>
          <t>-</t>
        </is>
      </c>
      <c r="E1461" s="4" t="inlineStr">
        <is>
          <t>6º PAV (PILOTIS) - SAUNA + DUCHA</t>
        </is>
      </c>
      <c r="F1461" s="126" t="n">
        <v>46861</v>
      </c>
      <c r="G1461" s="126" t="n">
        <v>46876</v>
      </c>
      <c r="H1461" s="126" t="n">
        <v>46289</v>
      </c>
      <c r="I1461" s="4" t="n">
        <v>0</v>
      </c>
      <c r="J1461" s="4" t="n">
        <v>0</v>
      </c>
      <c r="K1461" s="4" t="n">
        <v>0</v>
      </c>
      <c r="M1461" s="2">
        <f>IF(C1461="","",IFERROR(INDEX($S$5:$S$304,MATCH(C1461,$R$5:$R$304,0))&amp;"","?"))</f>
        <v/>
      </c>
      <c r="N1461" s="2">
        <f>IF(E1461="","",IF(ISNUMBER(SEARCH("SUBSOLO",E1461)),IFERROR(-VALUE(LEFT(E1461,FIND("º",SUBSTITUTE(E1461,"°","º"))-1)),-1),IF(LEFT(E1461,6)="TÉRREO",0,IFERROR(VALUE(LEFT(E1461,FIND("º",SUBSTITUTE(E1461,"°","º"))-1)),""))))</f>
        <v/>
      </c>
      <c r="O1461" s="2">
        <f>IF(OR(F1461="",G1461=""),"",IF(G1461&lt;='RETRATO 2027'!$K$5,"CONCLUÍDA",IF(F1461&lt;='RETRATO 2027'!$K$5,"EM ANDAMENTO","A INICIAR")))</f>
        <v/>
      </c>
    </row>
    <row r="1462">
      <c r="B1462" s="4" t="n">
        <v>30206025</v>
      </c>
      <c r="C1462" s="4" t="inlineStr">
        <is>
          <t>REBOCO INTERNO</t>
        </is>
      </c>
      <c r="D1462" s="4" t="inlineStr">
        <is>
          <t>-</t>
        </is>
      </c>
      <c r="E1462" s="4" t="inlineStr">
        <is>
          <t>6º PAV (PILOTIS) - CHURRASQUEIRA + IS MASC. PCD + IS FEM. PCD + CIRCULAÇÃO 1 + HALL 1</t>
        </is>
      </c>
      <c r="F1462" s="126" t="n">
        <v>46861</v>
      </c>
      <c r="G1462" s="126" t="n">
        <v>46876</v>
      </c>
      <c r="H1462" s="126" t="n">
        <v>46289</v>
      </c>
      <c r="I1462" s="4" t="n">
        <v>0</v>
      </c>
      <c r="J1462" s="4" t="n">
        <v>0</v>
      </c>
      <c r="K1462" s="4" t="n">
        <v>0</v>
      </c>
      <c r="M1462" s="2">
        <f>IF(C1462="","",IFERROR(INDEX($S$5:$S$304,MATCH(C1462,$R$5:$R$304,0))&amp;"","?"))</f>
        <v/>
      </c>
      <c r="N1462" s="2">
        <f>IF(E1462="","",IF(ISNUMBER(SEARCH("SUBSOLO",E1462)),IFERROR(-VALUE(LEFT(E1462,FIND("º",SUBSTITUTE(E1462,"°","º"))-1)),-1),IF(LEFT(E1462,6)="TÉRREO",0,IFERROR(VALUE(LEFT(E1462,FIND("º",SUBSTITUTE(E1462,"°","º"))-1)),""))))</f>
        <v/>
      </c>
      <c r="O1462" s="2">
        <f>IF(OR(F1462="",G1462=""),"",IF(G1462&lt;='RETRATO 2027'!$K$5,"CONCLUÍDA",IF(F1462&lt;='RETRATO 2027'!$K$5,"EM ANDAMENTO","A INICIAR")))</f>
        <v/>
      </c>
    </row>
    <row r="1463">
      <c r="B1463" s="4" t="n">
        <v>30205707</v>
      </c>
      <c r="C1463" s="4" t="inlineStr">
        <is>
          <t>LIMPEZA GROSSA</t>
        </is>
      </c>
      <c r="D1463" s="4" t="inlineStr">
        <is>
          <t>-</t>
        </is>
      </c>
      <c r="E1463" s="4" t="inlineStr">
        <is>
          <t>TÉRREO - LOJA 1</t>
        </is>
      </c>
      <c r="F1463" s="126" t="n">
        <v>46863</v>
      </c>
      <c r="G1463" s="126" t="n">
        <v>46878</v>
      </c>
      <c r="H1463" s="126" t="n">
        <v>46289</v>
      </c>
      <c r="I1463" s="4" t="n">
        <v>0</v>
      </c>
      <c r="J1463" s="4" t="n">
        <v>0</v>
      </c>
      <c r="K1463" s="4" t="n">
        <v>0</v>
      </c>
      <c r="M1463" s="2">
        <f>IF(C1463="","",IFERROR(INDEX($S$5:$S$304,MATCH(C1463,$R$5:$R$304,0))&amp;"","?"))</f>
        <v/>
      </c>
      <c r="N1463" s="2">
        <f>IF(E1463="","",IF(ISNUMBER(SEARCH("SUBSOLO",E1463)),IFERROR(-VALUE(LEFT(E1463,FIND("º",SUBSTITUTE(E1463,"°","º"))-1)),-1),IF(LEFT(E1463,6)="TÉRREO",0,IFERROR(VALUE(LEFT(E1463,FIND("º",SUBSTITUTE(E1463,"°","º"))-1)),""))))</f>
        <v/>
      </c>
      <c r="O1463" s="2">
        <f>IF(OR(F1463="",G1463=""),"",IF(G1463&lt;='RETRATO 2027'!$K$5,"CONCLUÍDA",IF(F1463&lt;='RETRATO 2027'!$K$5,"EM ANDAMENTO","A INICIAR")))</f>
        <v/>
      </c>
    </row>
    <row r="1464">
      <c r="B1464" s="4" t="n">
        <v>30171516</v>
      </c>
      <c r="C1464" s="4" t="inlineStr">
        <is>
          <t>PINTURA 2º DEMÃO</t>
        </is>
      </c>
      <c r="D1464" s="4" t="inlineStr">
        <is>
          <t>-</t>
        </is>
      </c>
      <c r="E1464" s="4" t="inlineStr">
        <is>
          <t>HALL - APTOS</t>
        </is>
      </c>
      <c r="F1464" s="126" t="n">
        <v>46867</v>
      </c>
      <c r="G1464" s="126" t="n">
        <v>47165</v>
      </c>
      <c r="H1464" s="126" t="n">
        <v>46289</v>
      </c>
      <c r="I1464" s="4" t="n">
        <v>0</v>
      </c>
      <c r="J1464" s="4" t="n">
        <v>0</v>
      </c>
      <c r="K1464" s="4" t="n">
        <v>0</v>
      </c>
      <c r="M1464" s="2">
        <f>IF(C1464="","",IFERROR(INDEX($S$5:$S$304,MATCH(C1464,$R$5:$R$304,0))&amp;"","?"))</f>
        <v/>
      </c>
      <c r="N1464" s="2">
        <f>IF(E1464="","",IF(ISNUMBER(SEARCH("SUBSOLO",E1464)),IFERROR(-VALUE(LEFT(E1464,FIND("º",SUBSTITUTE(E1464,"°","º"))-1)),-1),IF(LEFT(E1464,6)="TÉRREO",0,IFERROR(VALUE(LEFT(E1464,FIND("º",SUBSTITUTE(E1464,"°","º"))-1)),""))))</f>
        <v/>
      </c>
      <c r="O1464" s="2">
        <f>IF(OR(F1464="",G1464=""),"",IF(G1464&lt;='RETRATO 2027'!$K$5,"CONCLUÍDA",IF(F1464&lt;='RETRATO 2027'!$K$5,"EM ANDAMENTO","A INICIAR")))</f>
        <v/>
      </c>
    </row>
    <row r="1465">
      <c r="B1465" s="4" t="n">
        <v>29981539</v>
      </c>
      <c r="C1465" s="4" t="inlineStr">
        <is>
          <t>CHECKLIST</t>
        </is>
      </c>
      <c r="D1465" s="4" t="inlineStr">
        <is>
          <t>-</t>
        </is>
      </c>
      <c r="E1465" s="4" t="inlineStr">
        <is>
          <t>7º PAV.</t>
        </is>
      </c>
      <c r="F1465" s="126" t="n">
        <v>46867</v>
      </c>
      <c r="G1465" s="126" t="n">
        <v>46871</v>
      </c>
      <c r="H1465" s="126" t="n">
        <v>46289</v>
      </c>
      <c r="I1465" s="4" t="n">
        <v>0</v>
      </c>
      <c r="J1465" s="4" t="n">
        <v>0</v>
      </c>
      <c r="K1465" s="4" t="n">
        <v>0</v>
      </c>
      <c r="M1465" s="2">
        <f>IF(C1465="","",IFERROR(INDEX($S$5:$S$304,MATCH(C1465,$R$5:$R$304,0))&amp;"","?"))</f>
        <v/>
      </c>
      <c r="N1465" s="2">
        <f>IF(E1465="","",IF(ISNUMBER(SEARCH("SUBSOLO",E1465)),IFERROR(-VALUE(LEFT(E1465,FIND("º",SUBSTITUTE(E1465,"°","º"))-1)),-1),IF(LEFT(E1465,6)="TÉRREO",0,IFERROR(VALUE(LEFT(E1465,FIND("º",SUBSTITUTE(E1465,"°","º"))-1)),""))))</f>
        <v/>
      </c>
      <c r="O1465" s="2">
        <f>IF(OR(F1465="",G1465=""),"",IF(G1465&lt;='RETRATO 2027'!$K$5,"CONCLUÍDA",IF(F1465&lt;='RETRATO 2027'!$K$5,"EM ANDAMENTO","A INICIAR")))</f>
        <v/>
      </c>
    </row>
    <row r="1466">
      <c r="B1466" s="4" t="n">
        <v>29981504</v>
      </c>
      <c r="C1466" s="4" t="inlineStr">
        <is>
          <t>ACABAMENTOS ELÉTRICOS</t>
        </is>
      </c>
      <c r="D1466" s="4" t="inlineStr">
        <is>
          <t>-</t>
        </is>
      </c>
      <c r="E1466" s="4" t="inlineStr">
        <is>
          <t>8º PAV.</t>
        </is>
      </c>
      <c r="F1466" s="126" t="n">
        <v>46867</v>
      </c>
      <c r="G1466" s="126" t="n">
        <v>46878</v>
      </c>
      <c r="H1466" s="126" t="n">
        <v>46289</v>
      </c>
      <c r="I1466" s="4" t="n">
        <v>0</v>
      </c>
      <c r="J1466" s="4" t="n">
        <v>0</v>
      </c>
      <c r="K1466" s="4" t="n">
        <v>0</v>
      </c>
      <c r="M1466" s="2">
        <f>IF(C1466="","",IFERROR(INDEX($S$5:$S$304,MATCH(C1466,$R$5:$R$304,0))&amp;"","?"))</f>
        <v/>
      </c>
      <c r="N1466" s="2">
        <f>IF(E1466="","",IF(ISNUMBER(SEARCH("SUBSOLO",E1466)),IFERROR(-VALUE(LEFT(E1466,FIND("º",SUBSTITUTE(E1466,"°","º"))-1)),-1),IF(LEFT(E1466,6)="TÉRREO",0,IFERROR(VALUE(LEFT(E1466,FIND("º",SUBSTITUTE(E1466,"°","º"))-1)),""))))</f>
        <v/>
      </c>
      <c r="O1466" s="2">
        <f>IF(OR(F1466="",G1466=""),"",IF(G1466&lt;='RETRATO 2027'!$K$5,"CONCLUÍDA",IF(F1466&lt;='RETRATO 2027'!$K$5,"EM ANDAMENTO","A INICIAR")))</f>
        <v/>
      </c>
    </row>
    <row r="1467">
      <c r="B1467" s="4" t="n">
        <v>29981464</v>
      </c>
      <c r="C1467" s="4" t="inlineStr">
        <is>
          <t>PINTURA 2º DEMÃO</t>
        </is>
      </c>
      <c r="D1467" s="4" t="inlineStr">
        <is>
          <t>-</t>
        </is>
      </c>
      <c r="E1467" s="4" t="inlineStr">
        <is>
          <t>9º PAV.</t>
        </is>
      </c>
      <c r="F1467" s="126" t="n">
        <v>46867</v>
      </c>
      <c r="G1467" s="126" t="n">
        <v>46878</v>
      </c>
      <c r="H1467" s="126" t="n">
        <v>46289</v>
      </c>
      <c r="I1467" s="4" t="n">
        <v>0</v>
      </c>
      <c r="J1467" s="4" t="n">
        <v>0</v>
      </c>
      <c r="K1467" s="4" t="n">
        <v>0</v>
      </c>
      <c r="M1467" s="2">
        <f>IF(C1467="","",IFERROR(INDEX($S$5:$S$304,MATCH(C1467,$R$5:$R$304,0))&amp;"","?"))</f>
        <v/>
      </c>
      <c r="N1467" s="2">
        <f>IF(E1467="","",IF(ISNUMBER(SEARCH("SUBSOLO",E1467)),IFERROR(-VALUE(LEFT(E1467,FIND("º",SUBSTITUTE(E1467,"°","º"))-1)),-1),IF(LEFT(E1467,6)="TÉRREO",0,IFERROR(VALUE(LEFT(E1467,FIND("º",SUBSTITUTE(E1467,"°","º"))-1)),""))))</f>
        <v/>
      </c>
      <c r="O1467" s="2">
        <f>IF(OR(F1467="",G1467=""),"",IF(G1467&lt;='RETRATO 2027'!$K$5,"CONCLUÍDA",IF(F1467&lt;='RETRATO 2027'!$K$5,"EM ANDAMENTO","A INICIAR")))</f>
        <v/>
      </c>
    </row>
    <row r="1468">
      <c r="B1468" s="4" t="n">
        <v>33919787</v>
      </c>
      <c r="C1468" s="4" t="inlineStr">
        <is>
          <t>TEXTURA - EXTERNA</t>
        </is>
      </c>
      <c r="D1468" s="4" t="inlineStr">
        <is>
          <t>-</t>
        </is>
      </c>
      <c r="E1468" s="4" t="inlineStr">
        <is>
          <t>9º PAV.</t>
        </is>
      </c>
      <c r="F1468" s="126" t="n">
        <v>46867</v>
      </c>
      <c r="G1468" s="126" t="n">
        <v>46878</v>
      </c>
      <c r="H1468" s="126" t="n">
        <v>46289</v>
      </c>
      <c r="I1468" s="4" t="n">
        <v>0</v>
      </c>
      <c r="J1468" s="4" t="n">
        <v>0</v>
      </c>
      <c r="K1468" s="4" t="n">
        <v>0</v>
      </c>
      <c r="M1468" s="2">
        <f>IF(C1468="","",IFERROR(INDEX($S$5:$S$304,MATCH(C1468,$R$5:$R$304,0))&amp;"","?"))</f>
        <v/>
      </c>
      <c r="N1468" s="2">
        <f>IF(E1468="","",IF(ISNUMBER(SEARCH("SUBSOLO",E1468)),IFERROR(-VALUE(LEFT(E1468,FIND("º",SUBSTITUTE(E1468,"°","º"))-1)),-1),IF(LEFT(E1468,6)="TÉRREO",0,IFERROR(VALUE(LEFT(E1468,FIND("º",SUBSTITUTE(E1468,"°","º"))-1)),""))))</f>
        <v/>
      </c>
      <c r="O1468" s="2">
        <f>IF(OR(F1468="",G1468=""),"",IF(G1468&lt;='RETRATO 2027'!$K$5,"CONCLUÍDA",IF(F1468&lt;='RETRATO 2027'!$K$5,"EM ANDAMENTO","A INICIAR")))</f>
        <v/>
      </c>
    </row>
    <row r="1469">
      <c r="B1469" s="4" t="n">
        <v>29981426</v>
      </c>
      <c r="C1469" s="4" t="inlineStr">
        <is>
          <t>LIMPEZA GROSSA</t>
        </is>
      </c>
      <c r="D1469" s="4" t="inlineStr">
        <is>
          <t>-</t>
        </is>
      </c>
      <c r="E1469" s="4" t="inlineStr">
        <is>
          <t>10º PAV.</t>
        </is>
      </c>
      <c r="F1469" s="126" t="n">
        <v>46867</v>
      </c>
      <c r="G1469" s="126" t="n">
        <v>46878</v>
      </c>
      <c r="H1469" s="126" t="n">
        <v>46289</v>
      </c>
      <c r="I1469" s="4" t="n">
        <v>0</v>
      </c>
      <c r="J1469" s="4" t="n">
        <v>0</v>
      </c>
      <c r="K1469" s="4" t="n">
        <v>0</v>
      </c>
      <c r="M1469" s="2">
        <f>IF(C1469="","",IFERROR(INDEX($S$5:$S$304,MATCH(C1469,$R$5:$R$304,0))&amp;"","?"))</f>
        <v/>
      </c>
      <c r="N1469" s="2">
        <f>IF(E1469="","",IF(ISNUMBER(SEARCH("SUBSOLO",E1469)),IFERROR(-VALUE(LEFT(E1469,FIND("º",SUBSTITUTE(E1469,"°","º"))-1)),-1),IF(LEFT(E1469,6)="TÉRREO",0,IFERROR(VALUE(LEFT(E1469,FIND("º",SUBSTITUTE(E1469,"°","º"))-1)),""))))</f>
        <v/>
      </c>
      <c r="O1469" s="2">
        <f>IF(OR(F1469="",G1469=""),"",IF(G1469&lt;='RETRATO 2027'!$K$5,"CONCLUÍDA",IF(F1469&lt;='RETRATO 2027'!$K$5,"EM ANDAMENTO","A INICIAR")))</f>
        <v/>
      </c>
    </row>
    <row r="1470">
      <c r="B1470" s="4" t="n">
        <v>29981383</v>
      </c>
      <c r="C1470" s="4" t="inlineStr">
        <is>
          <t>LOUÇAS</t>
        </is>
      </c>
      <c r="D1470" s="4" t="inlineStr">
        <is>
          <t>-</t>
        </is>
      </c>
      <c r="E1470" s="4" t="inlineStr">
        <is>
          <t>11º PAV.</t>
        </is>
      </c>
      <c r="F1470" s="126" t="n">
        <v>46867</v>
      </c>
      <c r="G1470" s="126" t="n">
        <v>46878</v>
      </c>
      <c r="H1470" s="126" t="n">
        <v>46289</v>
      </c>
      <c r="I1470" s="4" t="n">
        <v>0</v>
      </c>
      <c r="J1470" s="4" t="n">
        <v>0</v>
      </c>
      <c r="K1470" s="4" t="n">
        <v>0</v>
      </c>
      <c r="M1470" s="2">
        <f>IF(C1470="","",IFERROR(INDEX($S$5:$S$304,MATCH(C1470,$R$5:$R$304,0))&amp;"","?"))</f>
        <v/>
      </c>
      <c r="N1470" s="2">
        <f>IF(E1470="","",IF(ISNUMBER(SEARCH("SUBSOLO",E1470)),IFERROR(-VALUE(LEFT(E1470,FIND("º",SUBSTITUTE(E1470,"°","º"))-1)),-1),IF(LEFT(E1470,6)="TÉRREO",0,IFERROR(VALUE(LEFT(E1470,FIND("º",SUBSTITUTE(E1470,"°","º"))-1)),""))))</f>
        <v/>
      </c>
      <c r="O1470" s="2">
        <f>IF(OR(F1470="",G1470=""),"",IF(G1470&lt;='RETRATO 2027'!$K$5,"CONCLUÍDA",IF(F1470&lt;='RETRATO 2027'!$K$5,"EM ANDAMENTO","A INICIAR")))</f>
        <v/>
      </c>
    </row>
    <row r="1471">
      <c r="B1471" s="4" t="n">
        <v>29981388</v>
      </c>
      <c r="C1471" s="4" t="inlineStr">
        <is>
          <t>METAIS</t>
        </is>
      </c>
      <c r="D1471" s="4" t="inlineStr">
        <is>
          <t>-</t>
        </is>
      </c>
      <c r="E1471" s="4" t="inlineStr">
        <is>
          <t>11º PAV.</t>
        </is>
      </c>
      <c r="F1471" s="126" t="n">
        <v>46867</v>
      </c>
      <c r="G1471" s="126" t="n">
        <v>46878</v>
      </c>
      <c r="H1471" s="126" t="n">
        <v>46289</v>
      </c>
      <c r="I1471" s="4" t="n">
        <v>0</v>
      </c>
      <c r="J1471" s="4" t="n">
        <v>0</v>
      </c>
      <c r="K1471" s="4" t="n">
        <v>0</v>
      </c>
      <c r="M1471" s="2">
        <f>IF(C1471="","",IFERROR(INDEX($S$5:$S$304,MATCH(C1471,$R$5:$R$304,0))&amp;"","?"))</f>
        <v/>
      </c>
      <c r="N1471" s="2">
        <f>IF(E1471="","",IF(ISNUMBER(SEARCH("SUBSOLO",E1471)),IFERROR(-VALUE(LEFT(E1471,FIND("º",SUBSTITUTE(E1471,"°","º"))-1)),-1),IF(LEFT(E1471,6)="TÉRREO",0,IFERROR(VALUE(LEFT(E1471,FIND("º",SUBSTITUTE(E1471,"°","º"))-1)),""))))</f>
        <v/>
      </c>
      <c r="O1471" s="2">
        <f>IF(OR(F1471="",G1471=""),"",IF(G1471&lt;='RETRATO 2027'!$K$5,"CONCLUÍDA",IF(F1471&lt;='RETRATO 2027'!$K$5,"EM ANDAMENTO","A INICIAR")))</f>
        <v/>
      </c>
    </row>
    <row r="1472">
      <c r="B1472" s="4" t="n">
        <v>29981387</v>
      </c>
      <c r="C1472" s="4" t="inlineStr">
        <is>
          <t>DISJUNTORES / MIOLOS</t>
        </is>
      </c>
      <c r="D1472" s="4" t="inlineStr">
        <is>
          <t>-</t>
        </is>
      </c>
      <c r="E1472" s="4" t="inlineStr">
        <is>
          <t>11º PAV.</t>
        </is>
      </c>
      <c r="F1472" s="126" t="n">
        <v>46867</v>
      </c>
      <c r="G1472" s="126" t="n">
        <v>46878</v>
      </c>
      <c r="H1472" s="126" t="n">
        <v>46289</v>
      </c>
      <c r="I1472" s="4" t="n">
        <v>0</v>
      </c>
      <c r="J1472" s="4" t="n">
        <v>0</v>
      </c>
      <c r="K1472" s="4" t="n">
        <v>0</v>
      </c>
      <c r="M1472" s="2">
        <f>IF(C1472="","",IFERROR(INDEX($S$5:$S$304,MATCH(C1472,$R$5:$R$304,0))&amp;"","?"))</f>
        <v/>
      </c>
      <c r="N1472" s="2">
        <f>IF(E1472="","",IF(ISNUMBER(SEARCH("SUBSOLO",E1472)),IFERROR(-VALUE(LEFT(E1472,FIND("º",SUBSTITUTE(E1472,"°","º"))-1)),-1),IF(LEFT(E1472,6)="TÉRREO",0,IFERROR(VALUE(LEFT(E1472,FIND("º",SUBSTITUTE(E1472,"°","º"))-1)),""))))</f>
        <v/>
      </c>
      <c r="O1472" s="2">
        <f>IF(OR(F1472="",G1472=""),"",IF(G1472&lt;='RETRATO 2027'!$K$5,"CONCLUÍDA",IF(F1472&lt;='RETRATO 2027'!$K$5,"EM ANDAMENTO","A INICIAR")))</f>
        <v/>
      </c>
    </row>
    <row r="1473">
      <c r="B1473" s="4" t="n">
        <v>29981386</v>
      </c>
      <c r="C1473" s="4" t="inlineStr">
        <is>
          <t>COMUNICAÇÃO E ALARME</t>
        </is>
      </c>
      <c r="D1473" s="4" t="inlineStr">
        <is>
          <t>-</t>
        </is>
      </c>
      <c r="E1473" s="4" t="inlineStr">
        <is>
          <t>11º PAV.</t>
        </is>
      </c>
      <c r="F1473" s="126" t="n">
        <v>46867</v>
      </c>
      <c r="G1473" s="126" t="n">
        <v>46878</v>
      </c>
      <c r="H1473" s="126" t="n">
        <v>46289</v>
      </c>
      <c r="I1473" s="4" t="n">
        <v>0</v>
      </c>
      <c r="J1473" s="4" t="n">
        <v>0</v>
      </c>
      <c r="K1473" s="4" t="n">
        <v>0</v>
      </c>
      <c r="M1473" s="2">
        <f>IF(C1473="","",IFERROR(INDEX($S$5:$S$304,MATCH(C1473,$R$5:$R$304,0))&amp;"","?"))</f>
        <v/>
      </c>
      <c r="N1473" s="2">
        <f>IF(E1473="","",IF(ISNUMBER(SEARCH("SUBSOLO",E1473)),IFERROR(-VALUE(LEFT(E1473,FIND("º",SUBSTITUTE(E1473,"°","º"))-1)),-1),IF(LEFT(E1473,6)="TÉRREO",0,IFERROR(VALUE(LEFT(E1473,FIND("º",SUBSTITUTE(E1473,"°","º"))-1)),""))))</f>
        <v/>
      </c>
      <c r="O1473" s="2">
        <f>IF(OR(F1473="",G1473=""),"",IF(G1473&lt;='RETRATO 2027'!$K$5,"CONCLUÍDA",IF(F1473&lt;='RETRATO 2027'!$K$5,"EM ANDAMENTO","A INICIAR")))</f>
        <v/>
      </c>
    </row>
    <row r="1474">
      <c r="B1474" s="4" t="n">
        <v>29981345</v>
      </c>
      <c r="C1474" s="4" t="inlineStr">
        <is>
          <t>RODAPÉ MADEIRA / PVC</t>
        </is>
      </c>
      <c r="D1474" s="4" t="inlineStr">
        <is>
          <t>-</t>
        </is>
      </c>
      <c r="E1474" s="4" t="inlineStr">
        <is>
          <t>12º PAV.</t>
        </is>
      </c>
      <c r="F1474" s="126" t="n">
        <v>46867</v>
      </c>
      <c r="G1474" s="126" t="n">
        <v>46878</v>
      </c>
      <c r="H1474" s="126" t="n">
        <v>46289</v>
      </c>
      <c r="I1474" s="4" t="n">
        <v>0</v>
      </c>
      <c r="J1474" s="4" t="n">
        <v>0</v>
      </c>
      <c r="K1474" s="4" t="n">
        <v>0</v>
      </c>
      <c r="M1474" s="2">
        <f>IF(C1474="","",IFERROR(INDEX($S$5:$S$304,MATCH(C1474,$R$5:$R$304,0))&amp;"","?"))</f>
        <v/>
      </c>
      <c r="N1474" s="2">
        <f>IF(E1474="","",IF(ISNUMBER(SEARCH("SUBSOLO",E1474)),IFERROR(-VALUE(LEFT(E1474,FIND("º",SUBSTITUTE(E1474,"°","º"))-1)),-1),IF(LEFT(E1474,6)="TÉRREO",0,IFERROR(VALUE(LEFT(E1474,FIND("º",SUBSTITUTE(E1474,"°","º"))-1)),""))))</f>
        <v/>
      </c>
      <c r="O1474" s="2">
        <f>IF(OR(F1474="",G1474=""),"",IF(G1474&lt;='RETRATO 2027'!$K$5,"CONCLUÍDA",IF(F1474&lt;='RETRATO 2027'!$K$5,"EM ANDAMENTO","A INICIAR")))</f>
        <v/>
      </c>
    </row>
    <row r="1475">
      <c r="B1475" s="4" t="n">
        <v>29981307</v>
      </c>
      <c r="C1475" s="4" t="inlineStr">
        <is>
          <t>ESQUADRIA MADEIRA</t>
        </is>
      </c>
      <c r="D1475" s="4" t="inlineStr">
        <is>
          <t>-</t>
        </is>
      </c>
      <c r="E1475" s="4" t="inlineStr">
        <is>
          <t>13º PAV.</t>
        </is>
      </c>
      <c r="F1475" s="126" t="n">
        <v>46867</v>
      </c>
      <c r="G1475" s="126" t="n">
        <v>46878</v>
      </c>
      <c r="H1475" s="126" t="n">
        <v>46289</v>
      </c>
      <c r="I1475" s="4" t="n">
        <v>0</v>
      </c>
      <c r="J1475" s="4" t="n">
        <v>0</v>
      </c>
      <c r="K1475" s="4" t="n">
        <v>0</v>
      </c>
      <c r="M1475" s="2">
        <f>IF(C1475="","",IFERROR(INDEX($S$5:$S$304,MATCH(C1475,$R$5:$R$304,0))&amp;"","?"))</f>
        <v/>
      </c>
      <c r="N1475" s="2">
        <f>IF(E1475="","",IF(ISNUMBER(SEARCH("SUBSOLO",E1475)),IFERROR(-VALUE(LEFT(E1475,FIND("º",SUBSTITUTE(E1475,"°","º"))-1)),-1),IF(LEFT(E1475,6)="TÉRREO",0,IFERROR(VALUE(LEFT(E1475,FIND("º",SUBSTITUTE(E1475,"°","º"))-1)),""))))</f>
        <v/>
      </c>
      <c r="O1475" s="2">
        <f>IF(OR(F1475="",G1475=""),"",IF(G1475&lt;='RETRATO 2027'!$K$5,"CONCLUÍDA",IF(F1475&lt;='RETRATO 2027'!$K$5,"EM ANDAMENTO","A INICIAR")))</f>
        <v/>
      </c>
    </row>
    <row r="1476">
      <c r="B1476" s="4" t="n">
        <v>29981269</v>
      </c>
      <c r="C1476" s="4" t="inlineStr">
        <is>
          <t>PISO VINÍLICO / LAMINADO</t>
        </is>
      </c>
      <c r="D1476" s="4" t="inlineStr">
        <is>
          <t>-</t>
        </is>
      </c>
      <c r="E1476" s="4" t="inlineStr">
        <is>
          <t>14º PAV.</t>
        </is>
      </c>
      <c r="F1476" s="126" t="n">
        <v>46867</v>
      </c>
      <c r="G1476" s="126" t="n">
        <v>46878</v>
      </c>
      <c r="H1476" s="126" t="n">
        <v>46289</v>
      </c>
      <c r="I1476" s="4" t="n">
        <v>0</v>
      </c>
      <c r="J1476" s="4" t="n">
        <v>0</v>
      </c>
      <c r="K1476" s="4" t="n">
        <v>0</v>
      </c>
      <c r="M1476" s="2">
        <f>IF(C1476="","",IFERROR(INDEX($S$5:$S$304,MATCH(C1476,$R$5:$R$304,0))&amp;"","?"))</f>
        <v/>
      </c>
      <c r="N1476" s="2">
        <f>IF(E1476="","",IF(ISNUMBER(SEARCH("SUBSOLO",E1476)),IFERROR(-VALUE(LEFT(E1476,FIND("º",SUBSTITUTE(E1476,"°","º"))-1)),-1),IF(LEFT(E1476,6)="TÉRREO",0,IFERROR(VALUE(LEFT(E1476,FIND("º",SUBSTITUTE(E1476,"°","º"))-1)),""))))</f>
        <v/>
      </c>
      <c r="O1476" s="2">
        <f>IF(OR(F1476="",G1476=""),"",IF(G1476&lt;='RETRATO 2027'!$K$5,"CONCLUÍDA",IF(F1476&lt;='RETRATO 2027'!$K$5,"EM ANDAMENTO","A INICIAR")))</f>
        <v/>
      </c>
    </row>
    <row r="1477">
      <c r="B1477" s="4" t="n">
        <v>29981231</v>
      </c>
      <c r="C1477" s="4" t="inlineStr">
        <is>
          <t>PINTURA 1º DEMÃO</t>
        </is>
      </c>
      <c r="D1477" s="4" t="inlineStr">
        <is>
          <t>-</t>
        </is>
      </c>
      <c r="E1477" s="4" t="inlineStr">
        <is>
          <t>15º PAV.</t>
        </is>
      </c>
      <c r="F1477" s="126" t="n">
        <v>46867</v>
      </c>
      <c r="G1477" s="126" t="n">
        <v>46878</v>
      </c>
      <c r="H1477" s="126" t="n">
        <v>46289</v>
      </c>
      <c r="I1477" s="4" t="n">
        <v>0</v>
      </c>
      <c r="J1477" s="4" t="n">
        <v>0</v>
      </c>
      <c r="K1477" s="4" t="n">
        <v>0</v>
      </c>
      <c r="M1477" s="2">
        <f>IF(C1477="","",IFERROR(INDEX($S$5:$S$304,MATCH(C1477,$R$5:$R$304,0))&amp;"","?"))</f>
        <v/>
      </c>
      <c r="N1477" s="2">
        <f>IF(E1477="","",IF(ISNUMBER(SEARCH("SUBSOLO",E1477)),IFERROR(-VALUE(LEFT(E1477,FIND("º",SUBSTITUTE(E1477,"°","º"))-1)),-1),IF(LEFT(E1477,6)="TÉRREO",0,IFERROR(VALUE(LEFT(E1477,FIND("º",SUBSTITUTE(E1477,"°","º"))-1)),""))))</f>
        <v/>
      </c>
      <c r="O1477" s="2">
        <f>IF(OR(F1477="",G1477=""),"",IF(G1477&lt;='RETRATO 2027'!$K$5,"CONCLUÍDA",IF(F1477&lt;='RETRATO 2027'!$K$5,"EM ANDAMENTO","A INICIAR")))</f>
        <v/>
      </c>
    </row>
    <row r="1478">
      <c r="B1478" s="4" t="n">
        <v>29981220</v>
      </c>
      <c r="C1478" s="4" t="inlineStr">
        <is>
          <t>MASSA CORRIDA</t>
        </is>
      </c>
      <c r="D1478" s="4" t="inlineStr">
        <is>
          <t>-</t>
        </is>
      </c>
      <c r="E1478" s="4" t="inlineStr">
        <is>
          <t>16º PAV.</t>
        </is>
      </c>
      <c r="F1478" s="126" t="n">
        <v>46867</v>
      </c>
      <c r="G1478" s="126" t="n">
        <v>46878</v>
      </c>
      <c r="H1478" s="126" t="n">
        <v>46289</v>
      </c>
      <c r="I1478" s="4" t="n">
        <v>0</v>
      </c>
      <c r="J1478" s="4" t="n">
        <v>0</v>
      </c>
      <c r="K1478" s="4" t="n">
        <v>0</v>
      </c>
      <c r="M1478" s="2">
        <f>IF(C1478="","",IFERROR(INDEX($S$5:$S$304,MATCH(C1478,$R$5:$R$304,0))&amp;"","?"))</f>
        <v/>
      </c>
      <c r="N1478" s="2">
        <f>IF(E1478="","",IF(ISNUMBER(SEARCH("SUBSOLO",E1478)),IFERROR(-VALUE(LEFT(E1478,FIND("º",SUBSTITUTE(E1478,"°","º"))-1)),-1),IF(LEFT(E1478,6)="TÉRREO",0,IFERROR(VALUE(LEFT(E1478,FIND("º",SUBSTITUTE(E1478,"°","º"))-1)),""))))</f>
        <v/>
      </c>
      <c r="O1478" s="2">
        <f>IF(OR(F1478="",G1478=""),"",IF(G1478&lt;='RETRATO 2027'!$K$5,"CONCLUÍDA",IF(F1478&lt;='RETRATO 2027'!$K$5,"EM ANDAMENTO","A INICIAR")))</f>
        <v/>
      </c>
    </row>
    <row r="1479">
      <c r="B1479" s="4" t="n">
        <v>33898098</v>
      </c>
      <c r="C1479" s="4" t="inlineStr">
        <is>
          <t>ESQUADRIA DE ALUMÍNIO</t>
        </is>
      </c>
      <c r="D1479" s="4" t="inlineStr">
        <is>
          <t>-</t>
        </is>
      </c>
      <c r="E1479" s="4" t="inlineStr">
        <is>
          <t>17º PAV.</t>
        </is>
      </c>
      <c r="F1479" s="126" t="n">
        <v>46867</v>
      </c>
      <c r="G1479" s="126" t="n">
        <v>46878</v>
      </c>
      <c r="H1479" s="126" t="n">
        <v>46289</v>
      </c>
      <c r="I1479" s="4" t="n">
        <v>0</v>
      </c>
      <c r="J1479" s="4" t="n">
        <v>0</v>
      </c>
      <c r="K1479" s="4" t="n">
        <v>0</v>
      </c>
      <c r="M1479" s="2">
        <f>IF(C1479="","",IFERROR(INDEX($S$5:$S$304,MATCH(C1479,$R$5:$R$304,0))&amp;"","?"))</f>
        <v/>
      </c>
      <c r="N1479" s="2">
        <f>IF(E1479="","",IF(ISNUMBER(SEARCH("SUBSOLO",E1479)),IFERROR(-VALUE(LEFT(E1479,FIND("º",SUBSTITUTE(E1479,"°","º"))-1)),-1),IF(LEFT(E1479,6)="TÉRREO",0,IFERROR(VALUE(LEFT(E1479,FIND("º",SUBSTITUTE(E1479,"°","º"))-1)),""))))</f>
        <v/>
      </c>
      <c r="O1479" s="2">
        <f>IF(OR(F1479="",G1479=""),"",IF(G1479&lt;='RETRATO 2027'!$K$5,"CONCLUÍDA",IF(F1479&lt;='RETRATO 2027'!$K$5,"EM ANDAMENTO","A INICIAR")))</f>
        <v/>
      </c>
    </row>
    <row r="1480">
      <c r="B1480" s="4" t="n">
        <v>30205798</v>
      </c>
      <c r="C1480" s="4" t="inlineStr">
        <is>
          <t>MASSA CORRIDA</t>
        </is>
      </c>
      <c r="D1480" s="4" t="inlineStr">
        <is>
          <t>-</t>
        </is>
      </c>
      <c r="E1480" s="4" t="inlineStr">
        <is>
          <t>TÉRREO - ACESSO COMERCIAL + DML + ARS + ÁREA TEC + LAVABO + DISPENSA</t>
        </is>
      </c>
      <c r="F1480" s="126" t="n">
        <v>46868</v>
      </c>
      <c r="G1480" s="126" t="n">
        <v>46889</v>
      </c>
      <c r="H1480" s="126" t="n">
        <v>46289</v>
      </c>
      <c r="I1480" s="4" t="n">
        <v>0</v>
      </c>
      <c r="J1480" s="4" t="n">
        <v>0</v>
      </c>
      <c r="K1480" s="4" t="n">
        <v>0</v>
      </c>
      <c r="M1480" s="2">
        <f>IF(C1480="","",IFERROR(INDEX($S$5:$S$304,MATCH(C1480,$R$5:$R$304,0))&amp;"","?"))</f>
        <v/>
      </c>
      <c r="N1480" s="2">
        <f>IF(E1480="","",IF(ISNUMBER(SEARCH("SUBSOLO",E1480)),IFERROR(-VALUE(LEFT(E1480,FIND("º",SUBSTITUTE(E1480,"°","º"))-1)),-1),IF(LEFT(E1480,6)="TÉRREO",0,IFERROR(VALUE(LEFT(E1480,FIND("º",SUBSTITUTE(E1480,"°","º"))-1)),""))))</f>
        <v/>
      </c>
      <c r="O1480" s="2">
        <f>IF(OR(F1480="",G1480=""),"",IF(G1480&lt;='RETRATO 2027'!$K$5,"CONCLUÍDA",IF(F1480&lt;='RETRATO 2027'!$K$5,"EM ANDAMENTO","A INICIAR")))</f>
        <v/>
      </c>
    </row>
    <row r="1481">
      <c r="B1481" s="4" t="n">
        <v>30205830</v>
      </c>
      <c r="C1481" s="4" t="inlineStr">
        <is>
          <t>FIAÇÃO ELÉTRICA</t>
        </is>
      </c>
      <c r="D1481" s="4" t="inlineStr">
        <is>
          <t>-</t>
        </is>
      </c>
      <c r="E1481" s="4" t="inlineStr">
        <is>
          <t>TÉRREO - HALL SOCIAL + ECLUSA + CIRCULAÇÃO</t>
        </is>
      </c>
      <c r="F1481" s="126" t="n">
        <v>46868</v>
      </c>
      <c r="G1481" s="126" t="n">
        <v>46882</v>
      </c>
      <c r="H1481" s="126" t="n">
        <v>46289</v>
      </c>
      <c r="I1481" s="4" t="n">
        <v>0</v>
      </c>
      <c r="J1481" s="4" t="n">
        <v>0</v>
      </c>
      <c r="K1481" s="4" t="n">
        <v>0</v>
      </c>
      <c r="M1481" s="2">
        <f>IF(C1481="","",IFERROR(INDEX($S$5:$S$304,MATCH(C1481,$R$5:$R$304,0))&amp;"","?"))</f>
        <v/>
      </c>
      <c r="N1481" s="2">
        <f>IF(E1481="","",IF(ISNUMBER(SEARCH("SUBSOLO",E1481)),IFERROR(-VALUE(LEFT(E1481,FIND("º",SUBSTITUTE(E1481,"°","º"))-1)),-1),IF(LEFT(E1481,6)="TÉRREO",0,IFERROR(VALUE(LEFT(E1481,FIND("º",SUBSTITUTE(E1481,"°","º"))-1)),""))))</f>
        <v/>
      </c>
      <c r="O1481" s="2">
        <f>IF(OR(F1481="",G1481=""),"",IF(G1481&lt;='RETRATO 2027'!$K$5,"CONCLUÍDA",IF(F1481&lt;='RETRATO 2027'!$K$5,"EM ANDAMENTO","A INICIAR")))</f>
        <v/>
      </c>
    </row>
    <row r="1482">
      <c r="B1482" s="4" t="n">
        <v>30171649</v>
      </c>
      <c r="C1482" s="4" t="inlineStr">
        <is>
          <t>FIAÇÃO ELÉTRICA</t>
        </is>
      </c>
      <c r="D1482" s="4" t="inlineStr">
        <is>
          <t>-</t>
        </is>
      </c>
      <c r="E1482" s="4" t="inlineStr">
        <is>
          <t>CX DE ESCADA DE INCÊND.</t>
        </is>
      </c>
      <c r="F1482" s="126" t="n">
        <v>46868</v>
      </c>
      <c r="G1482" s="126" t="n">
        <v>46974</v>
      </c>
      <c r="H1482" s="126" t="n">
        <v>46289</v>
      </c>
      <c r="I1482" s="4" t="n">
        <v>0</v>
      </c>
      <c r="J1482" s="4" t="n">
        <v>0</v>
      </c>
      <c r="K1482" s="4" t="n">
        <v>0</v>
      </c>
      <c r="M1482" s="2">
        <f>IF(C1482="","",IFERROR(INDEX($S$5:$S$304,MATCH(C1482,$R$5:$R$304,0))&amp;"","?"))</f>
        <v/>
      </c>
      <c r="N1482" s="2">
        <f>IF(E1482="","",IF(ISNUMBER(SEARCH("SUBSOLO",E1482)),IFERROR(-VALUE(LEFT(E1482,FIND("º",SUBSTITUTE(E1482,"°","º"))-1)),-1),IF(LEFT(E1482,6)="TÉRREO",0,IFERROR(VALUE(LEFT(E1482,FIND("º",SUBSTITUTE(E1482,"°","º"))-1)),""))))</f>
        <v/>
      </c>
      <c r="O1482" s="2">
        <f>IF(OR(F1482="",G1482=""),"",IF(G1482&lt;='RETRATO 2027'!$K$5,"CONCLUÍDA",IF(F1482&lt;='RETRATO 2027'!$K$5,"EM ANDAMENTO","A INICIAR")))</f>
        <v/>
      </c>
    </row>
    <row r="1483">
      <c r="B1483" s="4" t="n">
        <v>29980996</v>
      </c>
      <c r="C1483" s="4" t="inlineStr">
        <is>
          <t>FORRO</t>
        </is>
      </c>
      <c r="D1483" s="4" t="inlineStr">
        <is>
          <t>-</t>
        </is>
      </c>
      <c r="E1483" s="4" t="inlineStr">
        <is>
          <t>22º PAV.</t>
        </is>
      </c>
      <c r="F1483" s="126" t="n">
        <v>46868</v>
      </c>
      <c r="G1483" s="126" t="n">
        <v>46881</v>
      </c>
      <c r="H1483" s="126" t="n">
        <v>46289</v>
      </c>
      <c r="I1483" s="4" t="n">
        <v>0</v>
      </c>
      <c r="J1483" s="4" t="n">
        <v>0</v>
      </c>
      <c r="K1483" s="4" t="n">
        <v>0</v>
      </c>
      <c r="M1483" s="2">
        <f>IF(C1483="","",IFERROR(INDEX($S$5:$S$304,MATCH(C1483,$R$5:$R$304,0))&amp;"","?"))</f>
        <v/>
      </c>
      <c r="N1483" s="2">
        <f>IF(E1483="","",IF(ISNUMBER(SEARCH("SUBSOLO",E1483)),IFERROR(-VALUE(LEFT(E1483,FIND("º",SUBSTITUTE(E1483,"°","º"))-1)),-1),IF(LEFT(E1483,6)="TÉRREO",0,IFERROR(VALUE(LEFT(E1483,FIND("º",SUBSTITUTE(E1483,"°","º"))-1)),""))))</f>
        <v/>
      </c>
      <c r="O1483" s="2">
        <f>IF(OR(F1483="",G1483=""),"",IF(G1483&lt;='RETRATO 2027'!$K$5,"CONCLUÍDA",IF(F1483&lt;='RETRATO 2027'!$K$5,"EM ANDAMENTO","A INICIAR")))</f>
        <v/>
      </c>
    </row>
    <row r="1484">
      <c r="B1484" s="4" t="n">
        <v>29980957</v>
      </c>
      <c r="C1484" s="4" t="inlineStr">
        <is>
          <t>FIAÇÃO ELÉTRICA</t>
        </is>
      </c>
      <c r="D1484" s="4" t="inlineStr">
        <is>
          <t>-</t>
        </is>
      </c>
      <c r="E1484" s="4" t="inlineStr">
        <is>
          <t>23º PAV.</t>
        </is>
      </c>
      <c r="F1484" s="126" t="n">
        <v>46868</v>
      </c>
      <c r="G1484" s="126" t="n">
        <v>46881</v>
      </c>
      <c r="H1484" s="126" t="n">
        <v>46289</v>
      </c>
      <c r="I1484" s="4" t="n">
        <v>0</v>
      </c>
      <c r="J1484" s="4" t="n">
        <v>0</v>
      </c>
      <c r="K1484" s="4" t="n">
        <v>0</v>
      </c>
      <c r="M1484" s="2">
        <f>IF(C1484="","",IFERROR(INDEX($S$5:$S$304,MATCH(C1484,$R$5:$R$304,0))&amp;"","?"))</f>
        <v/>
      </c>
      <c r="N1484" s="2">
        <f>IF(E1484="","",IF(ISNUMBER(SEARCH("SUBSOLO",E1484)),IFERROR(-VALUE(LEFT(E1484,FIND("º",SUBSTITUTE(E1484,"°","º"))-1)),-1),IF(LEFT(E1484,6)="TÉRREO",0,IFERROR(VALUE(LEFT(E1484,FIND("º",SUBSTITUTE(E1484,"°","º"))-1)),""))))</f>
        <v/>
      </c>
      <c r="O1484" s="2">
        <f>IF(OR(F1484="",G1484=""),"",IF(G1484&lt;='RETRATO 2027'!$K$5,"CONCLUÍDA",IF(F1484&lt;='RETRATO 2027'!$K$5,"EM ANDAMENTO","A INICIAR")))</f>
        <v/>
      </c>
    </row>
    <row r="1485">
      <c r="B1485" s="4" t="n">
        <v>29980962</v>
      </c>
      <c r="C1485" s="4" t="inlineStr">
        <is>
          <t>PRUMADA ELÉTRICA - CABOS</t>
        </is>
      </c>
      <c r="D1485" s="4" t="inlineStr">
        <is>
          <t>-</t>
        </is>
      </c>
      <c r="E1485" s="4" t="inlineStr">
        <is>
          <t>23º PAV.</t>
        </is>
      </c>
      <c r="F1485" s="126" t="n">
        <v>46868</v>
      </c>
      <c r="G1485" s="126" t="n">
        <v>46881</v>
      </c>
      <c r="H1485" s="126" t="n">
        <v>46289</v>
      </c>
      <c r="I1485" s="4" t="n">
        <v>0</v>
      </c>
      <c r="J1485" s="4" t="n">
        <v>0</v>
      </c>
      <c r="K1485" s="4" t="n">
        <v>0</v>
      </c>
      <c r="M1485" s="2">
        <f>IF(C1485="","",IFERROR(INDEX($S$5:$S$304,MATCH(C1485,$R$5:$R$304,0))&amp;"","?"))</f>
        <v/>
      </c>
      <c r="N1485" s="2">
        <f>IF(E1485="","",IF(ISNUMBER(SEARCH("SUBSOLO",E1485)),IFERROR(-VALUE(LEFT(E1485,FIND("º",SUBSTITUTE(E1485,"°","º"))-1)),-1),IF(LEFT(E1485,6)="TÉRREO",0,IFERROR(VALUE(LEFT(E1485,FIND("º",SUBSTITUTE(E1485,"°","º"))-1)),""))))</f>
        <v/>
      </c>
      <c r="O1485" s="2">
        <f>IF(OR(F1485="",G1485=""),"",IF(G1485&lt;='RETRATO 2027'!$K$5,"CONCLUÍDA",IF(F1485&lt;='RETRATO 2027'!$K$5,"EM ANDAMENTO","A INICIAR")))</f>
        <v/>
      </c>
    </row>
    <row r="1486">
      <c r="B1486" s="4" t="n">
        <v>30214085</v>
      </c>
      <c r="C1486" s="4" t="inlineStr">
        <is>
          <t>FIAÇÃO TELECOM/DADOS</t>
        </is>
      </c>
      <c r="D1486" s="4" t="inlineStr">
        <is>
          <t>-</t>
        </is>
      </c>
      <c r="E1486" s="4" t="inlineStr">
        <is>
          <t>23º PAV.</t>
        </is>
      </c>
      <c r="F1486" s="126" t="n">
        <v>46868</v>
      </c>
      <c r="G1486" s="126" t="n">
        <v>46882</v>
      </c>
      <c r="H1486" s="126" t="n">
        <v>46289</v>
      </c>
      <c r="I1486" s="4" t="n">
        <v>0</v>
      </c>
      <c r="J1486" s="4" t="n">
        <v>0</v>
      </c>
      <c r="K1486" s="4" t="n">
        <v>0</v>
      </c>
      <c r="M1486" s="2">
        <f>IF(C1486="","",IFERROR(INDEX($S$5:$S$304,MATCH(C1486,$R$5:$R$304,0))&amp;"","?"))</f>
        <v/>
      </c>
      <c r="N1486" s="2">
        <f>IF(E1486="","",IF(ISNUMBER(SEARCH("SUBSOLO",E1486)),IFERROR(-VALUE(LEFT(E1486,FIND("º",SUBSTITUTE(E1486,"°","º"))-1)),-1),IF(LEFT(E1486,6)="TÉRREO",0,IFERROR(VALUE(LEFT(E1486,FIND("º",SUBSTITUTE(E1486,"°","º"))-1)),""))))</f>
        <v/>
      </c>
      <c r="O1486" s="2">
        <f>IF(OR(F1486="",G1486=""),"",IF(G1486&lt;='RETRATO 2027'!$K$5,"CONCLUÍDA",IF(F1486&lt;='RETRATO 2027'!$K$5,"EM ANDAMENTO","A INICIAR")))</f>
        <v/>
      </c>
    </row>
    <row r="1487">
      <c r="B1487" s="4" t="n">
        <v>29980904</v>
      </c>
      <c r="C1487" s="4" t="inlineStr">
        <is>
          <t>BANCADAS</t>
        </is>
      </c>
      <c r="D1487" s="4" t="inlineStr">
        <is>
          <t>-</t>
        </is>
      </c>
      <c r="E1487" s="4" t="inlineStr">
        <is>
          <t>24º PAV.</t>
        </is>
      </c>
      <c r="F1487" s="126" t="n">
        <v>46868</v>
      </c>
      <c r="G1487" s="126" t="n">
        <v>46881</v>
      </c>
      <c r="H1487" s="126" t="n">
        <v>46289</v>
      </c>
      <c r="I1487" s="4" t="n">
        <v>0</v>
      </c>
      <c r="J1487" s="4" t="n">
        <v>0</v>
      </c>
      <c r="K1487" s="4" t="n">
        <v>0</v>
      </c>
      <c r="M1487" s="2">
        <f>IF(C1487="","",IFERROR(INDEX($S$5:$S$304,MATCH(C1487,$R$5:$R$304,0))&amp;"","?"))</f>
        <v/>
      </c>
      <c r="N1487" s="2">
        <f>IF(E1487="","",IF(ISNUMBER(SEARCH("SUBSOLO",E1487)),IFERROR(-VALUE(LEFT(E1487,FIND("º",SUBSTITUTE(E1487,"°","º"))-1)),-1),IF(LEFT(E1487,6)="TÉRREO",0,IFERROR(VALUE(LEFT(E1487,FIND("º",SUBSTITUTE(E1487,"°","º"))-1)),""))))</f>
        <v/>
      </c>
      <c r="O1487" s="2">
        <f>IF(OR(F1487="",G1487=""),"",IF(G1487&lt;='RETRATO 2027'!$K$5,"CONCLUÍDA",IF(F1487&lt;='RETRATO 2027'!$K$5,"EM ANDAMENTO","A INICIAR")))</f>
        <v/>
      </c>
    </row>
    <row r="1488">
      <c r="B1488" s="4" t="n">
        <v>29980866</v>
      </c>
      <c r="C1488" s="4" t="inlineStr">
        <is>
          <t>REVESTIMENTOS PORCELANATO PISO</t>
        </is>
      </c>
      <c r="D1488" s="4" t="inlineStr">
        <is>
          <t>-</t>
        </is>
      </c>
      <c r="E1488" s="4" t="inlineStr">
        <is>
          <t>25º PAV.</t>
        </is>
      </c>
      <c r="F1488" s="126" t="n">
        <v>46868</v>
      </c>
      <c r="G1488" s="126" t="n">
        <v>46881</v>
      </c>
      <c r="H1488" s="126" t="n">
        <v>46289</v>
      </c>
      <c r="I1488" s="4" t="n">
        <v>0</v>
      </c>
      <c r="J1488" s="4" t="n">
        <v>0</v>
      </c>
      <c r="K1488" s="4" t="n">
        <v>0</v>
      </c>
      <c r="M1488" s="2">
        <f>IF(C1488="","",IFERROR(INDEX($S$5:$S$304,MATCH(C1488,$R$5:$R$304,0))&amp;"","?"))</f>
        <v/>
      </c>
      <c r="N1488" s="2">
        <f>IF(E1488="","",IF(ISNUMBER(SEARCH("SUBSOLO",E1488)),IFERROR(-VALUE(LEFT(E1488,FIND("º",SUBSTITUTE(E1488,"°","º"))-1)),-1),IF(LEFT(E1488,6)="TÉRREO",0,IFERROR(VALUE(LEFT(E1488,FIND("º",SUBSTITUTE(E1488,"°","º"))-1)),""))))</f>
        <v/>
      </c>
      <c r="O1488" s="2">
        <f>IF(OR(F1488="",G1488=""),"",IF(G1488&lt;='RETRATO 2027'!$K$5,"CONCLUÍDA",IF(F1488&lt;='RETRATO 2027'!$K$5,"EM ANDAMENTO","A INICIAR")))</f>
        <v/>
      </c>
    </row>
    <row r="1489">
      <c r="B1489" s="4" t="n">
        <v>29980845</v>
      </c>
      <c r="C1489" s="4" t="inlineStr">
        <is>
          <t>REVESTIMENTO PORCELANATO PAREDE</t>
        </is>
      </c>
      <c r="D1489" s="4" t="inlineStr">
        <is>
          <t>-</t>
        </is>
      </c>
      <c r="E1489" s="4" t="inlineStr">
        <is>
          <t>26º PAV.</t>
        </is>
      </c>
      <c r="F1489" s="126" t="n">
        <v>46868</v>
      </c>
      <c r="G1489" s="126" t="n">
        <v>46881</v>
      </c>
      <c r="H1489" s="126" t="n">
        <v>46289</v>
      </c>
      <c r="I1489" s="4" t="n">
        <v>0</v>
      </c>
      <c r="J1489" s="4" t="n">
        <v>0</v>
      </c>
      <c r="K1489" s="4" t="n">
        <v>0</v>
      </c>
      <c r="M1489" s="2">
        <f>IF(C1489="","",IFERROR(INDEX($S$5:$S$304,MATCH(C1489,$R$5:$R$304,0))&amp;"","?"))</f>
        <v/>
      </c>
      <c r="N1489" s="2">
        <f>IF(E1489="","",IF(ISNUMBER(SEARCH("SUBSOLO",E1489)),IFERROR(-VALUE(LEFT(E1489,FIND("º",SUBSTITUTE(E1489,"°","º"))-1)),-1),IF(LEFT(E1489,6)="TÉRREO",0,IFERROR(VALUE(LEFT(E1489,FIND("º",SUBSTITUTE(E1489,"°","º"))-1)),""))))</f>
        <v/>
      </c>
      <c r="O1489" s="2">
        <f>IF(OR(F1489="",G1489=""),"",IF(G1489&lt;='RETRATO 2027'!$K$5,"CONCLUÍDA",IF(F1489&lt;='RETRATO 2027'!$K$5,"EM ANDAMENTO","A INICIAR")))</f>
        <v/>
      </c>
    </row>
    <row r="1490">
      <c r="B1490" s="4" t="n">
        <v>29980806</v>
      </c>
      <c r="C1490" s="4" t="inlineStr">
        <is>
          <t>IMPERMEABILIZAÇÃO</t>
        </is>
      </c>
      <c r="D1490" s="4" t="inlineStr">
        <is>
          <t>-</t>
        </is>
      </c>
      <c r="E1490" s="4" t="inlineStr">
        <is>
          <t>27º PAV.</t>
        </is>
      </c>
      <c r="F1490" s="126" t="n">
        <v>46868</v>
      </c>
      <c r="G1490" s="126" t="n">
        <v>46881</v>
      </c>
      <c r="H1490" s="126" t="n">
        <v>46289</v>
      </c>
      <c r="I1490" s="4" t="n">
        <v>0</v>
      </c>
      <c r="J1490" s="4" t="n">
        <v>0</v>
      </c>
      <c r="K1490" s="4" t="n">
        <v>0</v>
      </c>
      <c r="M1490" s="2">
        <f>IF(C1490="","",IFERROR(INDEX($S$5:$S$304,MATCH(C1490,$R$5:$R$304,0))&amp;"","?"))</f>
        <v/>
      </c>
      <c r="N1490" s="2">
        <f>IF(E1490="","",IF(ISNUMBER(SEARCH("SUBSOLO",E1490)),IFERROR(-VALUE(LEFT(E1490,FIND("º",SUBSTITUTE(E1490,"°","º"))-1)),-1),IF(LEFT(E1490,6)="TÉRREO",0,IFERROR(VALUE(LEFT(E1490,FIND("º",SUBSTITUTE(E1490,"°","º"))-1)),""))))</f>
        <v/>
      </c>
      <c r="O1490" s="2">
        <f>IF(OR(F1490="",G1490=""),"",IF(G1490&lt;='RETRATO 2027'!$K$5,"CONCLUÍDA",IF(F1490&lt;='RETRATO 2027'!$K$5,"EM ANDAMENTO","A INICIAR")))</f>
        <v/>
      </c>
    </row>
    <row r="1491">
      <c r="B1491" s="4" t="n">
        <v>32750454</v>
      </c>
      <c r="C1491" s="4" t="inlineStr">
        <is>
          <t>DRYWALL 2º FACE</t>
        </is>
      </c>
      <c r="D1491" s="4" t="inlineStr">
        <is>
          <t>-</t>
        </is>
      </c>
      <c r="E1491" s="4" t="inlineStr">
        <is>
          <t>28º PAV.</t>
        </is>
      </c>
      <c r="F1491" s="126" t="n">
        <v>46868</v>
      </c>
      <c r="G1491" s="126" t="n">
        <v>46881</v>
      </c>
      <c r="H1491" s="126" t="n">
        <v>46289</v>
      </c>
      <c r="I1491" s="4" t="n">
        <v>0</v>
      </c>
      <c r="J1491" s="4" t="n">
        <v>0</v>
      </c>
      <c r="K1491" s="4" t="n">
        <v>0</v>
      </c>
      <c r="M1491" s="2">
        <f>IF(C1491="","",IFERROR(INDEX($S$5:$S$304,MATCH(C1491,$R$5:$R$304,0))&amp;"","?"))</f>
        <v/>
      </c>
      <c r="N1491" s="2">
        <f>IF(E1491="","",IF(ISNUMBER(SEARCH("SUBSOLO",E1491)),IFERROR(-VALUE(LEFT(E1491,FIND("º",SUBSTITUTE(E1491,"°","º"))-1)),-1),IF(LEFT(E1491,6)="TÉRREO",0,IFERROR(VALUE(LEFT(E1491,FIND("º",SUBSTITUTE(E1491,"°","º"))-1)),""))))</f>
        <v/>
      </c>
      <c r="O1491" s="2">
        <f>IF(OR(F1491="",G1491=""),"",IF(G1491&lt;='RETRATO 2027'!$K$5,"CONCLUÍDA",IF(F1491&lt;='RETRATO 2027'!$K$5,"EM ANDAMENTO","A INICIAR")))</f>
        <v/>
      </c>
    </row>
    <row r="1492">
      <c r="B1492" s="4" t="n">
        <v>32750377</v>
      </c>
      <c r="C1492" s="4" t="inlineStr">
        <is>
          <t>DISTRIBUIÇÃO DE GÁS - DRYWALL</t>
        </is>
      </c>
      <c r="D1492" s="4" t="inlineStr">
        <is>
          <t>-</t>
        </is>
      </c>
      <c r="E1492" s="4" t="inlineStr">
        <is>
          <t>29º PAV.</t>
        </is>
      </c>
      <c r="F1492" s="126" t="n">
        <v>46868</v>
      </c>
      <c r="G1492" s="126" t="n">
        <v>46881</v>
      </c>
      <c r="H1492" s="126" t="n">
        <v>46289</v>
      </c>
      <c r="I1492" s="4" t="n">
        <v>0</v>
      </c>
      <c r="J1492" s="4" t="n">
        <v>0</v>
      </c>
      <c r="K1492" s="4" t="n">
        <v>0</v>
      </c>
      <c r="M1492" s="2">
        <f>IF(C1492="","",IFERROR(INDEX($S$5:$S$304,MATCH(C1492,$R$5:$R$304,0))&amp;"","?"))</f>
        <v/>
      </c>
      <c r="N1492" s="2">
        <f>IF(E1492="","",IF(ISNUMBER(SEARCH("SUBSOLO",E1492)),IFERROR(-VALUE(LEFT(E1492,FIND("º",SUBSTITUTE(E1492,"°","º"))-1)),-1),IF(LEFT(E1492,6)="TÉRREO",0,IFERROR(VALUE(LEFT(E1492,FIND("º",SUBSTITUTE(E1492,"°","º"))-1)),""))))</f>
        <v/>
      </c>
      <c r="O1492" s="2">
        <f>IF(OR(F1492="",G1492=""),"",IF(G1492&lt;='RETRATO 2027'!$K$5,"CONCLUÍDA",IF(F1492&lt;='RETRATO 2027'!$K$5,"EM ANDAMENTO","A INICIAR")))</f>
        <v/>
      </c>
    </row>
    <row r="1493">
      <c r="B1493" s="4" t="n">
        <v>32750403</v>
      </c>
      <c r="C1493" s="4" t="inlineStr">
        <is>
          <t>DISTRIBUIÇÃO ELÉTRICA/QUADRO - DRYWALL</t>
        </is>
      </c>
      <c r="D1493" s="4" t="inlineStr">
        <is>
          <t>-</t>
        </is>
      </c>
      <c r="E1493" s="4" t="inlineStr">
        <is>
          <t>29º PAV.</t>
        </is>
      </c>
      <c r="F1493" s="126" t="n">
        <v>46868</v>
      </c>
      <c r="G1493" s="126" t="n">
        <v>46881</v>
      </c>
      <c r="H1493" s="126" t="n">
        <v>46289</v>
      </c>
      <c r="I1493" s="4" t="n">
        <v>0</v>
      </c>
      <c r="J1493" s="4" t="n">
        <v>0</v>
      </c>
      <c r="K1493" s="4" t="n">
        <v>0</v>
      </c>
      <c r="M1493" s="2">
        <f>IF(C1493="","",IFERROR(INDEX($S$5:$S$304,MATCH(C1493,$R$5:$R$304,0))&amp;"","?"))</f>
        <v/>
      </c>
      <c r="N1493" s="2">
        <f>IF(E1493="","",IF(ISNUMBER(SEARCH("SUBSOLO",E1493)),IFERROR(-VALUE(LEFT(E1493,FIND("º",SUBSTITUTE(E1493,"°","º"))-1)),-1),IF(LEFT(E1493,6)="TÉRREO",0,IFERROR(VALUE(LEFT(E1493,FIND("º",SUBSTITUTE(E1493,"°","º"))-1)),""))))</f>
        <v/>
      </c>
      <c r="O1493" s="2">
        <f>IF(OR(F1493="",G1493=""),"",IF(G1493&lt;='RETRATO 2027'!$K$5,"CONCLUÍDA",IF(F1493&lt;='RETRATO 2027'!$K$5,"EM ANDAMENTO","A INICIAR")))</f>
        <v/>
      </c>
    </row>
    <row r="1494">
      <c r="B1494" s="4" t="n">
        <v>32750429</v>
      </c>
      <c r="C1494" s="4" t="inlineStr">
        <is>
          <t>DISTRIBUIÇÃO HIDRÁULICA - DRYWALL</t>
        </is>
      </c>
      <c r="D1494" s="4" t="inlineStr">
        <is>
          <t>-</t>
        </is>
      </c>
      <c r="E1494" s="4" t="inlineStr">
        <is>
          <t>29º PAV.</t>
        </is>
      </c>
      <c r="F1494" s="126" t="n">
        <v>46868</v>
      </c>
      <c r="G1494" s="126" t="n">
        <v>46881</v>
      </c>
      <c r="H1494" s="126" t="n">
        <v>46289</v>
      </c>
      <c r="I1494" s="4" t="n">
        <v>0</v>
      </c>
      <c r="J1494" s="4" t="n">
        <v>0</v>
      </c>
      <c r="K1494" s="4" t="n">
        <v>0</v>
      </c>
      <c r="M1494" s="2">
        <f>IF(C1494="","",IFERROR(INDEX($S$5:$S$304,MATCH(C1494,$R$5:$R$304,0))&amp;"","?"))</f>
        <v/>
      </c>
      <c r="N1494" s="2">
        <f>IF(E1494="","",IF(ISNUMBER(SEARCH("SUBSOLO",E1494)),IFERROR(-VALUE(LEFT(E1494,FIND("º",SUBSTITUTE(E1494,"°","º"))-1)),-1),IF(LEFT(E1494,6)="TÉRREO",0,IFERROR(VALUE(LEFT(E1494,FIND("º",SUBSTITUTE(E1494,"°","º"))-1)),""))))</f>
        <v/>
      </c>
      <c r="O1494" s="2">
        <f>IF(OR(F1494="",G1494=""),"",IF(G1494&lt;='RETRATO 2027'!$K$5,"CONCLUÍDA",IF(F1494&lt;='RETRATO 2027'!$K$5,"EM ANDAMENTO","A INICIAR")))</f>
        <v/>
      </c>
    </row>
    <row r="1495">
      <c r="B1495" s="4" t="n">
        <v>33896847</v>
      </c>
      <c r="C1495" s="4" t="inlineStr">
        <is>
          <t>INFRAESTRUTURA - AR CONDICIONADO</t>
        </is>
      </c>
      <c r="D1495" s="4" t="inlineStr">
        <is>
          <t>-</t>
        </is>
      </c>
      <c r="E1495" s="4" t="inlineStr">
        <is>
          <t>29º PAV.</t>
        </is>
      </c>
      <c r="F1495" s="126" t="n">
        <v>46868</v>
      </c>
      <c r="G1495" s="126" t="n">
        <v>46881</v>
      </c>
      <c r="H1495" s="126" t="n">
        <v>46289</v>
      </c>
      <c r="I1495" s="4" t="n">
        <v>0</v>
      </c>
      <c r="J1495" s="4" t="n">
        <v>0</v>
      </c>
      <c r="K1495" s="4" t="n">
        <v>0</v>
      </c>
      <c r="M1495" s="2">
        <f>IF(C1495="","",IFERROR(INDEX($S$5:$S$304,MATCH(C1495,$R$5:$R$304,0))&amp;"","?"))</f>
        <v/>
      </c>
      <c r="N1495" s="2">
        <f>IF(E1495="","",IF(ISNUMBER(SEARCH("SUBSOLO",E1495)),IFERROR(-VALUE(LEFT(E1495,FIND("º",SUBSTITUTE(E1495,"°","º"))-1)),-1),IF(LEFT(E1495,6)="TÉRREO",0,IFERROR(VALUE(LEFT(E1495,FIND("º",SUBSTITUTE(E1495,"°","º"))-1)),""))))</f>
        <v/>
      </c>
      <c r="O1495" s="2">
        <f>IF(OR(F1495="",G1495=""),"",IF(G1495&lt;='RETRATO 2027'!$K$5,"CONCLUÍDA",IF(F1495&lt;='RETRATO 2027'!$K$5,"EM ANDAMENTO","A INICIAR")))</f>
        <v/>
      </c>
    </row>
    <row r="1496">
      <c r="B1496" s="4" t="n">
        <v>32749873</v>
      </c>
      <c r="C1496" s="4" t="inlineStr">
        <is>
          <t>DRYWALL 1º FACE</t>
        </is>
      </c>
      <c r="D1496" s="4" t="inlineStr">
        <is>
          <t>-</t>
        </is>
      </c>
      <c r="E1496" s="4" t="inlineStr">
        <is>
          <t>30º PAV.</t>
        </is>
      </c>
      <c r="F1496" s="126" t="n">
        <v>46868</v>
      </c>
      <c r="G1496" s="126" t="n">
        <v>46881</v>
      </c>
      <c r="H1496" s="126" t="n">
        <v>46289</v>
      </c>
      <c r="I1496" s="4" t="n">
        <v>0</v>
      </c>
      <c r="J1496" s="4" t="n">
        <v>0</v>
      </c>
      <c r="K1496" s="4" t="n">
        <v>0</v>
      </c>
      <c r="M1496" s="2">
        <f>IF(C1496="","",IFERROR(INDEX($S$5:$S$304,MATCH(C1496,$R$5:$R$304,0))&amp;"","?"))</f>
        <v/>
      </c>
      <c r="N1496" s="2">
        <f>IF(E1496="","",IF(ISNUMBER(SEARCH("SUBSOLO",E1496)),IFERROR(-VALUE(LEFT(E1496,FIND("º",SUBSTITUTE(E1496,"°","º"))-1)),-1),IF(LEFT(E1496,6)="TÉRREO",0,IFERROR(VALUE(LEFT(E1496,FIND("º",SUBSTITUTE(E1496,"°","º"))-1)),""))))</f>
        <v/>
      </c>
      <c r="O1496" s="2">
        <f>IF(OR(F1496="",G1496=""),"",IF(G1496&lt;='RETRATO 2027'!$K$5,"CONCLUÍDA",IF(F1496&lt;='RETRATO 2027'!$K$5,"EM ANDAMENTO","A INICIAR")))</f>
        <v/>
      </c>
    </row>
    <row r="1497">
      <c r="B1497" s="4" t="n">
        <v>29980659</v>
      </c>
      <c r="C1497" s="4" t="inlineStr">
        <is>
          <t>CONTRAPISO</t>
        </is>
      </c>
      <c r="D1497" s="4" t="inlineStr">
        <is>
          <t>-</t>
        </is>
      </c>
      <c r="E1497" s="4" t="inlineStr">
        <is>
          <t>31º PAV. - COBERTURA LINEAR</t>
        </is>
      </c>
      <c r="F1497" s="126" t="n">
        <v>46868</v>
      </c>
      <c r="G1497" s="126" t="n">
        <v>46881</v>
      </c>
      <c r="H1497" s="126" t="n">
        <v>46289</v>
      </c>
      <c r="I1497" s="4" t="n">
        <v>0</v>
      </c>
      <c r="J1497" s="4" t="n">
        <v>0</v>
      </c>
      <c r="K1497" s="4" t="n">
        <v>0</v>
      </c>
      <c r="M1497" s="2">
        <f>IF(C1497="","",IFERROR(INDEX($S$5:$S$304,MATCH(C1497,$R$5:$R$304,0))&amp;"","?"))</f>
        <v/>
      </c>
      <c r="N1497" s="2">
        <f>IF(E1497="","",IF(ISNUMBER(SEARCH("SUBSOLO",E1497)),IFERROR(-VALUE(LEFT(E1497,FIND("º",SUBSTITUTE(E1497,"°","º"))-1)),-1),IF(LEFT(E1497,6)="TÉRREO",0,IFERROR(VALUE(LEFT(E1497,FIND("º",SUBSTITUTE(E1497,"°","º"))-1)),""))))</f>
        <v/>
      </c>
      <c r="O1497" s="2">
        <f>IF(OR(F1497="",G1497=""),"",IF(G1497&lt;='RETRATO 2027'!$K$5,"CONCLUÍDA",IF(F1497&lt;='RETRATO 2027'!$K$5,"EM ANDAMENTO","A INICIAR")))</f>
        <v/>
      </c>
    </row>
    <row r="1498">
      <c r="B1498" s="4" t="n">
        <v>29980599</v>
      </c>
      <c r="C1498" s="4" t="inlineStr">
        <is>
          <t>SHAFT INTERNO INST. HIDRAÚLICAS</t>
        </is>
      </c>
      <c r="D1498" s="4" t="inlineStr">
        <is>
          <t>-</t>
        </is>
      </c>
      <c r="E1498" s="4" t="inlineStr">
        <is>
          <t>32º PAV - COBERTURA GERAL</t>
        </is>
      </c>
      <c r="F1498" s="126" t="n">
        <v>46868</v>
      </c>
      <c r="G1498" s="126" t="n">
        <v>46881</v>
      </c>
      <c r="H1498" s="126" t="n">
        <v>46289</v>
      </c>
      <c r="I1498" s="4" t="n">
        <v>0</v>
      </c>
      <c r="J1498" s="4" t="n">
        <v>0</v>
      </c>
      <c r="K1498" s="4" t="n">
        <v>0</v>
      </c>
      <c r="M1498" s="2">
        <f>IF(C1498="","",IFERROR(INDEX($S$5:$S$304,MATCH(C1498,$R$5:$R$304,0))&amp;"","?"))</f>
        <v/>
      </c>
      <c r="N1498" s="2">
        <f>IF(E1498="","",IF(ISNUMBER(SEARCH("SUBSOLO",E1498)),IFERROR(-VALUE(LEFT(E1498,FIND("º",SUBSTITUTE(E1498,"°","º"))-1)),-1),IF(LEFT(E1498,6)="TÉRREO",0,IFERROR(VALUE(LEFT(E1498,FIND("º",SUBSTITUTE(E1498,"°","º"))-1)),""))))</f>
        <v/>
      </c>
      <c r="O1498" s="2">
        <f>IF(OR(F1498="",G1498=""),"",IF(G1498&lt;='RETRATO 2027'!$K$5,"CONCLUÍDA",IF(F1498&lt;='RETRATO 2027'!$K$5,"EM ANDAMENTO","A INICIAR")))</f>
        <v/>
      </c>
    </row>
    <row r="1499">
      <c r="B1499" s="4" t="n">
        <v>29980632</v>
      </c>
      <c r="C1499" s="4" t="inlineStr">
        <is>
          <t>PRUMADA ELÉTRICA - INFRA</t>
        </is>
      </c>
      <c r="D1499" s="4" t="inlineStr">
        <is>
          <t>-</t>
        </is>
      </c>
      <c r="E1499" s="4" t="inlineStr">
        <is>
          <t>32º PAV - COBERTURA GERAL</t>
        </is>
      </c>
      <c r="F1499" s="126" t="n">
        <v>46868</v>
      </c>
      <c r="G1499" s="126" t="n">
        <v>46881</v>
      </c>
      <c r="H1499" s="126" t="n">
        <v>46289</v>
      </c>
      <c r="I1499" s="4" t="n">
        <v>0</v>
      </c>
      <c r="J1499" s="4" t="n">
        <v>0</v>
      </c>
      <c r="K1499" s="4" t="n">
        <v>0</v>
      </c>
      <c r="M1499" s="2">
        <f>IF(C1499="","",IFERROR(INDEX($S$5:$S$304,MATCH(C1499,$R$5:$R$304,0))&amp;"","?"))</f>
        <v/>
      </c>
      <c r="N1499" s="2">
        <f>IF(E1499="","",IF(ISNUMBER(SEARCH("SUBSOLO",E1499)),IFERROR(-VALUE(LEFT(E1499,FIND("º",SUBSTITUTE(E1499,"°","º"))-1)),-1),IF(LEFT(E1499,6)="TÉRREO",0,IFERROR(VALUE(LEFT(E1499,FIND("º",SUBSTITUTE(E1499,"°","º"))-1)),""))))</f>
        <v/>
      </c>
      <c r="O1499" s="2">
        <f>IF(OR(F1499="",G1499=""),"",IF(G1499&lt;='RETRATO 2027'!$K$5,"CONCLUÍDA",IF(F1499&lt;='RETRATO 2027'!$K$5,"EM ANDAMENTO","A INICIAR")))</f>
        <v/>
      </c>
    </row>
    <row r="1500">
      <c r="B1500" s="4" t="n">
        <v>30205991</v>
      </c>
      <c r="C1500" s="4" t="inlineStr">
        <is>
          <t>CONTRAMARCO</t>
        </is>
      </c>
      <c r="D1500" s="4" t="inlineStr">
        <is>
          <t>-</t>
        </is>
      </c>
      <c r="E1500" s="4" t="inlineStr">
        <is>
          <t>6º PAV (PILOTIS) - COWORKING 1 E 2 + CIRC. 2 + HALL 2 + DML + VEST. MASC. + VEST. FEM</t>
        </is>
      </c>
      <c r="F1500" s="126" t="n">
        <v>46869</v>
      </c>
      <c r="G1500" s="126" t="n">
        <v>46876</v>
      </c>
      <c r="H1500" s="126" t="n">
        <v>46289</v>
      </c>
      <c r="I1500" s="4" t="n">
        <v>0</v>
      </c>
      <c r="J1500" s="4" t="n">
        <v>0</v>
      </c>
      <c r="K1500" s="4" t="n">
        <v>0</v>
      </c>
      <c r="M1500" s="2">
        <f>IF(C1500="","",IFERROR(INDEX($S$5:$S$304,MATCH(C1500,$R$5:$R$304,0))&amp;"","?"))</f>
        <v/>
      </c>
      <c r="N1500" s="2">
        <f>IF(E1500="","",IF(ISNUMBER(SEARCH("SUBSOLO",E1500)),IFERROR(-VALUE(LEFT(E1500,FIND("º",SUBSTITUTE(E1500,"°","º"))-1)),-1),IF(LEFT(E1500,6)="TÉRREO",0,IFERROR(VALUE(LEFT(E1500,FIND("º",SUBSTITUTE(E1500,"°","º"))-1)),""))))</f>
        <v/>
      </c>
      <c r="O1500" s="2">
        <f>IF(OR(F1500="",G1500=""),"",IF(G1500&lt;='RETRATO 2027'!$K$5,"CONCLUÍDA",IF(F1500&lt;='RETRATO 2027'!$K$5,"EM ANDAMENTO","A INICIAR")))</f>
        <v/>
      </c>
    </row>
    <row r="1501">
      <c r="B1501" s="4" t="n">
        <v>30205982</v>
      </c>
      <c r="C1501" s="4" t="inlineStr">
        <is>
          <t>DISTRIBUIÇÃO HIDROSSANITÁRIA</t>
        </is>
      </c>
      <c r="D1501" s="4" t="inlineStr">
        <is>
          <t>-</t>
        </is>
      </c>
      <c r="E1501" s="4" t="inlineStr">
        <is>
          <t>6º PAV (PILOTIS) - LOUNGE + SALÃO + COZINHA + GOURMET + ESPAÇO KIDS</t>
        </is>
      </c>
      <c r="F1501" s="126" t="n">
        <v>46869</v>
      </c>
      <c r="G1501" s="126" t="n">
        <v>46883</v>
      </c>
      <c r="H1501" s="126" t="n">
        <v>46289</v>
      </c>
      <c r="I1501" s="4" t="n">
        <v>0</v>
      </c>
      <c r="J1501" s="4" t="n">
        <v>0</v>
      </c>
      <c r="K1501" s="4" t="n">
        <v>0</v>
      </c>
      <c r="M1501" s="2">
        <f>IF(C1501="","",IFERROR(INDEX($S$5:$S$304,MATCH(C1501,$R$5:$R$304,0))&amp;"","?"))</f>
        <v/>
      </c>
      <c r="N1501" s="2">
        <f>IF(E1501="","",IF(ISNUMBER(SEARCH("SUBSOLO",E1501)),IFERROR(-VALUE(LEFT(E1501,FIND("º",SUBSTITUTE(E1501,"°","º"))-1)),-1),IF(LEFT(E1501,6)="TÉRREO",0,IFERROR(VALUE(LEFT(E1501,FIND("º",SUBSTITUTE(E1501,"°","º"))-1)),""))))</f>
        <v/>
      </c>
      <c r="O1501" s="2">
        <f>IF(OR(F1501="",G1501=""),"",IF(G1501&lt;='RETRATO 2027'!$K$5,"CONCLUÍDA",IF(F1501&lt;='RETRATO 2027'!$K$5,"EM ANDAMENTO","A INICIAR")))</f>
        <v/>
      </c>
    </row>
    <row r="1502">
      <c r="B1502" s="4" t="n">
        <v>30205953</v>
      </c>
      <c r="C1502" s="4" t="inlineStr">
        <is>
          <t>DISTRIBUIÇÃO ELÉTRICA / QUADRO</t>
        </is>
      </c>
      <c r="D1502" s="4" t="inlineStr">
        <is>
          <t>-</t>
        </is>
      </c>
      <c r="E1502" s="4" t="inlineStr">
        <is>
          <t>6º PAV (PILOTIS) - LOUNGE + SALÃO + COZINHA + GOURMET + ESPAÇO KIDS</t>
        </is>
      </c>
      <c r="F1502" s="126" t="n">
        <v>46869</v>
      </c>
      <c r="G1502" s="126" t="n">
        <v>46883</v>
      </c>
      <c r="H1502" s="126" t="n">
        <v>46289</v>
      </c>
      <c r="I1502" s="4" t="n">
        <v>0</v>
      </c>
      <c r="J1502" s="4" t="n">
        <v>0</v>
      </c>
      <c r="K1502" s="4" t="n">
        <v>0</v>
      </c>
      <c r="M1502" s="2">
        <f>IF(C1502="","",IFERROR(INDEX($S$5:$S$304,MATCH(C1502,$R$5:$R$304,0))&amp;"","?"))</f>
        <v/>
      </c>
      <c r="N1502" s="2">
        <f>IF(E1502="","",IF(ISNUMBER(SEARCH("SUBSOLO",E1502)),IFERROR(-VALUE(LEFT(E1502,FIND("º",SUBSTITUTE(E1502,"°","º"))-1)),-1),IF(LEFT(E1502,6)="TÉRREO",0,IFERROR(VALUE(LEFT(E1502,FIND("º",SUBSTITUTE(E1502,"°","º"))-1)),""))))</f>
        <v/>
      </c>
      <c r="O1502" s="2">
        <f>IF(OR(F1502="",G1502=""),"",IF(G1502&lt;='RETRATO 2027'!$K$5,"CONCLUÍDA",IF(F1502&lt;='RETRATO 2027'!$K$5,"EM ANDAMENTO","A INICIAR")))</f>
        <v/>
      </c>
    </row>
    <row r="1503">
      <c r="B1503" s="4" t="n">
        <v>30205983</v>
      </c>
      <c r="C1503" s="4" t="inlineStr">
        <is>
          <t>DISTRIBUIÇÃO DE GÁS</t>
        </is>
      </c>
      <c r="D1503" s="4" t="inlineStr">
        <is>
          <t>-</t>
        </is>
      </c>
      <c r="E1503" s="4" t="inlineStr">
        <is>
          <t>6º PAV (PILOTIS) - LOUNGE + SALÃO + COZINHA + GOURMET + ESPAÇO KIDS</t>
        </is>
      </c>
      <c r="F1503" s="126" t="n">
        <v>46869</v>
      </c>
      <c r="G1503" s="126" t="n">
        <v>46883</v>
      </c>
      <c r="H1503" s="126" t="n">
        <v>46289</v>
      </c>
      <c r="I1503" s="4" t="n">
        <v>0</v>
      </c>
      <c r="J1503" s="4" t="n">
        <v>0</v>
      </c>
      <c r="K1503" s="4" t="n">
        <v>0</v>
      </c>
      <c r="M1503" s="2">
        <f>IF(C1503="","",IFERROR(INDEX($S$5:$S$304,MATCH(C1503,$R$5:$R$304,0))&amp;"","?"))</f>
        <v/>
      </c>
      <c r="N1503" s="2">
        <f>IF(E1503="","",IF(ISNUMBER(SEARCH("SUBSOLO",E1503)),IFERROR(-VALUE(LEFT(E1503,FIND("º",SUBSTITUTE(E1503,"°","º"))-1)),-1),IF(LEFT(E1503,6)="TÉRREO",0,IFERROR(VALUE(LEFT(E1503,FIND("º",SUBSTITUTE(E1503,"°","º"))-1)),""))))</f>
        <v/>
      </c>
      <c r="O1503" s="2">
        <f>IF(OR(F1503="",G1503=""),"",IF(G1503&lt;='RETRATO 2027'!$K$5,"CONCLUÍDA",IF(F1503&lt;='RETRATO 2027'!$K$5,"EM ANDAMENTO","A INICIAR")))</f>
        <v/>
      </c>
    </row>
    <row r="1504">
      <c r="B1504" s="4" t="n">
        <v>29981098</v>
      </c>
      <c r="C1504" s="4" t="inlineStr">
        <is>
          <t>TALISCAMENTO</t>
        </is>
      </c>
      <c r="D1504" s="4" t="inlineStr">
        <is>
          <t>-</t>
        </is>
      </c>
      <c r="E1504" s="4" t="inlineStr">
        <is>
          <t>19º PAV.</t>
        </is>
      </c>
      <c r="F1504" s="126" t="n">
        <v>46869</v>
      </c>
      <c r="G1504" s="126" t="n">
        <v>46882</v>
      </c>
      <c r="H1504" s="126" t="n">
        <v>46289</v>
      </c>
      <c r="I1504" s="4" t="n">
        <v>0</v>
      </c>
      <c r="J1504" s="4" t="n">
        <v>0</v>
      </c>
      <c r="K1504" s="4" t="n">
        <v>0</v>
      </c>
      <c r="M1504" s="2">
        <f>IF(C1504="","",IFERROR(INDEX($S$5:$S$304,MATCH(C1504,$R$5:$R$304,0))&amp;"","?"))</f>
        <v/>
      </c>
      <c r="N1504" s="2">
        <f>IF(E1504="","",IF(ISNUMBER(SEARCH("SUBSOLO",E1504)),IFERROR(-VALUE(LEFT(E1504,FIND("º",SUBSTITUTE(E1504,"°","º"))-1)),-1),IF(LEFT(E1504,6)="TÉRREO",0,IFERROR(VALUE(LEFT(E1504,FIND("º",SUBSTITUTE(E1504,"°","º"))-1)),""))))</f>
        <v/>
      </c>
      <c r="O1504" s="2">
        <f>IF(OR(F1504="",G1504=""),"",IF(G1504&lt;='RETRATO 2027'!$K$5,"CONCLUÍDA",IF(F1504&lt;='RETRATO 2027'!$K$5,"EM ANDAMENTO","A INICIAR")))</f>
        <v/>
      </c>
    </row>
    <row r="1505">
      <c r="B1505" s="4" t="n">
        <v>31790597</v>
      </c>
      <c r="C1505" s="4" t="inlineStr">
        <is>
          <t>FACHADA AERADA - F3 + F4 (2º ETAPA)</t>
        </is>
      </c>
      <c r="D1505" s="4" t="inlineStr">
        <is>
          <t>-</t>
        </is>
      </c>
      <c r="E1505" s="4" t="inlineStr">
        <is>
          <t>FACHADA</t>
        </is>
      </c>
      <c r="F1505" s="126" t="n">
        <v>46869</v>
      </c>
      <c r="G1505" s="126" t="n">
        <v>46911</v>
      </c>
      <c r="H1505" s="126" t="n">
        <v>46289</v>
      </c>
      <c r="I1505" s="4" t="n">
        <v>0</v>
      </c>
      <c r="J1505" s="4" t="n">
        <v>0</v>
      </c>
      <c r="K1505" s="4" t="n">
        <v>0</v>
      </c>
      <c r="M1505" s="2">
        <f>IF(C1505="","",IFERROR(INDEX($S$5:$S$304,MATCH(C1505,$R$5:$R$304,0))&amp;"","?"))</f>
        <v/>
      </c>
      <c r="N1505" s="2">
        <f>IF(E1505="","",IF(ISNUMBER(SEARCH("SUBSOLO",E1505)),IFERROR(-VALUE(LEFT(E1505,FIND("º",SUBSTITUTE(E1505,"°","º"))-1)),-1),IF(LEFT(E1505,6)="TÉRREO",0,IFERROR(VALUE(LEFT(E1505,FIND("º",SUBSTITUTE(E1505,"°","º"))-1)),""))))</f>
        <v/>
      </c>
      <c r="O1505" s="2">
        <f>IF(OR(F1505="",G1505=""),"",IF(G1505&lt;='RETRATO 2027'!$K$5,"CONCLUÍDA",IF(F1505&lt;='RETRATO 2027'!$K$5,"EM ANDAMENTO","A INICIAR")))</f>
        <v/>
      </c>
    </row>
    <row r="1506">
      <c r="B1506" s="4" t="n">
        <v>30205661</v>
      </c>
      <c r="C1506" s="4" t="inlineStr">
        <is>
          <t>DISJUNTORES / MIOLOS</t>
        </is>
      </c>
      <c r="D1506" s="4" t="inlineStr">
        <is>
          <t>-</t>
        </is>
      </c>
      <c r="E1506" s="4" t="inlineStr">
        <is>
          <t>TÉRREO - LOJA 2</t>
        </is>
      </c>
      <c r="F1506" s="126" t="n">
        <v>46871</v>
      </c>
      <c r="G1506" s="126" t="n">
        <v>46878</v>
      </c>
      <c r="H1506" s="126" t="n">
        <v>46289</v>
      </c>
      <c r="I1506" s="4" t="n">
        <v>0</v>
      </c>
      <c r="J1506" s="4" t="n">
        <v>0</v>
      </c>
      <c r="K1506" s="4" t="n">
        <v>0</v>
      </c>
      <c r="M1506" s="2">
        <f>IF(C1506="","",IFERROR(INDEX($S$5:$S$304,MATCH(C1506,$R$5:$R$304,0))&amp;"","?"))</f>
        <v/>
      </c>
      <c r="N1506" s="2">
        <f>IF(E1506="","",IF(ISNUMBER(SEARCH("SUBSOLO",E1506)),IFERROR(-VALUE(LEFT(E1506,FIND("º",SUBSTITUTE(E1506,"°","º"))-1)),-1),IF(LEFT(E1506,6)="TÉRREO",0,IFERROR(VALUE(LEFT(E1506,FIND("º",SUBSTITUTE(E1506,"°","º"))-1)),""))))</f>
        <v/>
      </c>
      <c r="O1506" s="2">
        <f>IF(OR(F1506="",G1506=""),"",IF(G1506&lt;='RETRATO 2027'!$K$5,"CONCLUÍDA",IF(F1506&lt;='RETRATO 2027'!$K$5,"EM ANDAMENTO","A INICIAR")))</f>
        <v/>
      </c>
    </row>
    <row r="1507">
      <c r="B1507" s="4" t="n">
        <v>30205636</v>
      </c>
      <c r="C1507" s="4" t="inlineStr">
        <is>
          <t>ESQUADRIA MADEIRA</t>
        </is>
      </c>
      <c r="D1507" s="4" t="inlineStr">
        <is>
          <t>-</t>
        </is>
      </c>
      <c r="E1507" s="4" t="inlineStr">
        <is>
          <t>TÉRREO - LOJA 3</t>
        </is>
      </c>
      <c r="F1507" s="126" t="n">
        <v>46871</v>
      </c>
      <c r="G1507" s="126" t="n">
        <v>46885</v>
      </c>
      <c r="H1507" s="126" t="n">
        <v>46289</v>
      </c>
      <c r="I1507" s="4" t="n">
        <v>0</v>
      </c>
      <c r="J1507" s="4" t="n">
        <v>0</v>
      </c>
      <c r="K1507" s="4" t="n">
        <v>0</v>
      </c>
      <c r="M1507" s="2">
        <f>IF(C1507="","",IFERROR(INDEX($S$5:$S$304,MATCH(C1507,$R$5:$R$304,0))&amp;"","?"))</f>
        <v/>
      </c>
      <c r="N1507" s="2">
        <f>IF(E1507="","",IF(ISNUMBER(SEARCH("SUBSOLO",E1507)),IFERROR(-VALUE(LEFT(E1507,FIND("º",SUBSTITUTE(E1507,"°","º"))-1)),-1),IF(LEFT(E1507,6)="TÉRREO",0,IFERROR(VALUE(LEFT(E1507,FIND("º",SUBSTITUTE(E1507,"°","º"))-1)),""))))</f>
        <v/>
      </c>
      <c r="O1507" s="2">
        <f>IF(OR(F1507="",G1507=""),"",IF(G1507&lt;='RETRATO 2027'!$K$5,"CONCLUÍDA",IF(F1507&lt;='RETRATO 2027'!$K$5,"EM ANDAMENTO","A INICIAR")))</f>
        <v/>
      </c>
    </row>
    <row r="1508">
      <c r="B1508" s="4" t="n">
        <v>30205635</v>
      </c>
      <c r="C1508" s="4" t="inlineStr">
        <is>
          <t>LOUÇAS</t>
        </is>
      </c>
      <c r="D1508" s="4" t="inlineStr">
        <is>
          <t>-</t>
        </is>
      </c>
      <c r="E1508" s="4" t="inlineStr">
        <is>
          <t>TÉRREO - LOJA 3</t>
        </is>
      </c>
      <c r="F1508" s="126" t="n">
        <v>46871</v>
      </c>
      <c r="G1508" s="126" t="n">
        <v>46885</v>
      </c>
      <c r="H1508" s="126" t="n">
        <v>46289</v>
      </c>
      <c r="I1508" s="4" t="n">
        <v>0</v>
      </c>
      <c r="J1508" s="4" t="n">
        <v>0</v>
      </c>
      <c r="K1508" s="4" t="n">
        <v>0</v>
      </c>
      <c r="M1508" s="2">
        <f>IF(C1508="","",IFERROR(INDEX($S$5:$S$304,MATCH(C1508,$R$5:$R$304,0))&amp;"","?"))</f>
        <v/>
      </c>
      <c r="N1508" s="2">
        <f>IF(E1508="","",IF(ISNUMBER(SEARCH("SUBSOLO",E1508)),IFERROR(-VALUE(LEFT(E1508,FIND("º",SUBSTITUTE(E1508,"°","º"))-1)),-1),IF(LEFT(E1508,6)="TÉRREO",0,IFERROR(VALUE(LEFT(E1508,FIND("º",SUBSTITUTE(E1508,"°","º"))-1)),""))))</f>
        <v/>
      </c>
      <c r="O1508" s="2">
        <f>IF(OR(F1508="",G1508=""),"",IF(G1508&lt;='RETRATO 2027'!$K$5,"CONCLUÍDA",IF(F1508&lt;='RETRATO 2027'!$K$5,"EM ANDAMENTO","A INICIAR")))</f>
        <v/>
      </c>
    </row>
    <row r="1509">
      <c r="B1509" s="4" t="n">
        <v>30205633</v>
      </c>
      <c r="C1509" s="4" t="inlineStr">
        <is>
          <t>METAIS</t>
        </is>
      </c>
      <c r="D1509" s="4" t="inlineStr">
        <is>
          <t>-</t>
        </is>
      </c>
      <c r="E1509" s="4" t="inlineStr">
        <is>
          <t>TÉRREO - LOJA 3</t>
        </is>
      </c>
      <c r="F1509" s="126" t="n">
        <v>46871</v>
      </c>
      <c r="G1509" s="126" t="n">
        <v>46885</v>
      </c>
      <c r="H1509" s="126" t="n">
        <v>46289</v>
      </c>
      <c r="I1509" s="4" t="n">
        <v>0</v>
      </c>
      <c r="J1509" s="4" t="n">
        <v>0</v>
      </c>
      <c r="K1509" s="4" t="n">
        <v>0</v>
      </c>
      <c r="M1509" s="2">
        <f>IF(C1509="","",IFERROR(INDEX($S$5:$S$304,MATCH(C1509,$R$5:$R$304,0))&amp;"","?"))</f>
        <v/>
      </c>
      <c r="N1509" s="2">
        <f>IF(E1509="","",IF(ISNUMBER(SEARCH("SUBSOLO",E1509)),IFERROR(-VALUE(LEFT(E1509,FIND("º",SUBSTITUTE(E1509,"°","º"))-1)),-1),IF(LEFT(E1509,6)="TÉRREO",0,IFERROR(VALUE(LEFT(E1509,FIND("º",SUBSTITUTE(E1509,"°","º"))-1)),""))))</f>
        <v/>
      </c>
      <c r="O1509" s="2">
        <f>IF(OR(F1509="",G1509=""),"",IF(G1509&lt;='RETRATO 2027'!$K$5,"CONCLUÍDA",IF(F1509&lt;='RETRATO 2027'!$K$5,"EM ANDAMENTO","A INICIAR")))</f>
        <v/>
      </c>
    </row>
    <row r="1510">
      <c r="B1510" s="4" t="n">
        <v>30205618</v>
      </c>
      <c r="C1510" s="4" t="inlineStr">
        <is>
          <t>PINTURA 1º DEMÃO</t>
        </is>
      </c>
      <c r="D1510" s="4" t="inlineStr">
        <is>
          <t>-</t>
        </is>
      </c>
      <c r="E1510" s="4" t="inlineStr">
        <is>
          <t>TÉRREO - LOJA 4</t>
        </is>
      </c>
      <c r="F1510" s="126" t="n">
        <v>46871</v>
      </c>
      <c r="G1510" s="126" t="n">
        <v>46885</v>
      </c>
      <c r="H1510" s="126" t="n">
        <v>46289</v>
      </c>
      <c r="I1510" s="4" t="n">
        <v>0</v>
      </c>
      <c r="J1510" s="4" t="n">
        <v>0</v>
      </c>
      <c r="K1510" s="4" t="n">
        <v>0</v>
      </c>
      <c r="M1510" s="2">
        <f>IF(C1510="","",IFERROR(INDEX($S$5:$S$304,MATCH(C1510,$R$5:$R$304,0))&amp;"","?"))</f>
        <v/>
      </c>
      <c r="N1510" s="2">
        <f>IF(E1510="","",IF(ISNUMBER(SEARCH("SUBSOLO",E1510)),IFERROR(-VALUE(LEFT(E1510,FIND("º",SUBSTITUTE(E1510,"°","º"))-1)),-1),IF(LEFT(E1510,6)="TÉRREO",0,IFERROR(VALUE(LEFT(E1510,FIND("º",SUBSTITUTE(E1510,"°","º"))-1)),""))))</f>
        <v/>
      </c>
      <c r="O1510" s="2">
        <f>IF(OR(F1510="",G1510=""),"",IF(G1510&lt;='RETRATO 2027'!$K$5,"CONCLUÍDA",IF(F1510&lt;='RETRATO 2027'!$K$5,"EM ANDAMENTO","A INICIAR")))</f>
        <v/>
      </c>
    </row>
    <row r="1511">
      <c r="B1511" s="4" t="n">
        <v>30205933</v>
      </c>
      <c r="C1511" s="4" t="inlineStr">
        <is>
          <t>IMPERMEABILIZAÇÃO</t>
        </is>
      </c>
      <c r="D1511" s="4" t="inlineStr">
        <is>
          <t>-</t>
        </is>
      </c>
      <c r="E1511" s="4" t="inlineStr">
        <is>
          <t>5º PAV - GARAGEM</t>
        </is>
      </c>
      <c r="F1511" s="126" t="n">
        <v>46871</v>
      </c>
      <c r="G1511" s="126" t="n">
        <v>46885</v>
      </c>
      <c r="H1511" s="126" t="n">
        <v>46289</v>
      </c>
      <c r="I1511" s="4" t="n">
        <v>0</v>
      </c>
      <c r="J1511" s="4" t="n">
        <v>0</v>
      </c>
      <c r="K1511" s="4" t="n">
        <v>0</v>
      </c>
      <c r="M1511" s="2">
        <f>IF(C1511="","",IFERROR(INDEX($S$5:$S$304,MATCH(C1511,$R$5:$R$304,0))&amp;"","?"))</f>
        <v/>
      </c>
      <c r="N1511" s="2">
        <f>IF(E1511="","",IF(ISNUMBER(SEARCH("SUBSOLO",E1511)),IFERROR(-VALUE(LEFT(E1511,FIND("º",SUBSTITUTE(E1511,"°","º"))-1)),-1),IF(LEFT(E1511,6)="TÉRREO",0,IFERROR(VALUE(LEFT(E1511,FIND("º",SUBSTITUTE(E1511,"°","º"))-1)),""))))</f>
        <v/>
      </c>
      <c r="O1511" s="2">
        <f>IF(OR(F1511="",G1511=""),"",IF(G1511&lt;='RETRATO 2027'!$K$5,"CONCLUÍDA",IF(F1511&lt;='RETRATO 2027'!$K$5,"EM ANDAMENTO","A INICIAR")))</f>
        <v/>
      </c>
    </row>
    <row r="1512">
      <c r="B1512" s="4" t="n">
        <v>30171387</v>
      </c>
      <c r="C1512" s="4" t="inlineStr">
        <is>
          <t>PRUMADA HIDROSSANITÁRIA</t>
        </is>
      </c>
      <c r="D1512" s="4" t="inlineStr">
        <is>
          <t>-</t>
        </is>
      </c>
      <c r="E1512" s="4" t="inlineStr">
        <is>
          <t>5º PAV - GARAGEM</t>
        </is>
      </c>
      <c r="F1512" s="126" t="n">
        <v>46871</v>
      </c>
      <c r="G1512" s="126" t="n">
        <v>46899</v>
      </c>
      <c r="H1512" s="126" t="n">
        <v>46289</v>
      </c>
      <c r="I1512" s="4" t="n">
        <v>0</v>
      </c>
      <c r="J1512" s="4" t="n">
        <v>0</v>
      </c>
      <c r="K1512" s="4" t="n">
        <v>0</v>
      </c>
      <c r="M1512" s="2">
        <f>IF(C1512="","",IFERROR(INDEX($S$5:$S$304,MATCH(C1512,$R$5:$R$304,0))&amp;"","?"))</f>
        <v/>
      </c>
      <c r="N1512" s="2">
        <f>IF(E1512="","",IF(ISNUMBER(SEARCH("SUBSOLO",E1512)),IFERROR(-VALUE(LEFT(E1512,FIND("º",SUBSTITUTE(E1512,"°","º"))-1)),-1),IF(LEFT(E1512,6)="TÉRREO",0,IFERROR(VALUE(LEFT(E1512,FIND("º",SUBSTITUTE(E1512,"°","º"))-1)),""))))</f>
        <v/>
      </c>
      <c r="O1512" s="2">
        <f>IF(OR(F1512="",G1512=""),"",IF(G1512&lt;='RETRATO 2027'!$K$5,"CONCLUÍDA",IF(F1512&lt;='RETRATO 2027'!$K$5,"EM ANDAMENTO","A INICIAR")))</f>
        <v/>
      </c>
    </row>
    <row r="1513">
      <c r="B1513" s="4" t="n">
        <v>30171388</v>
      </c>
      <c r="C1513" s="4" t="inlineStr">
        <is>
          <t>PRUMADA ELÉTRICA - INFRA</t>
        </is>
      </c>
      <c r="D1513" s="4" t="inlineStr">
        <is>
          <t>-</t>
        </is>
      </c>
      <c r="E1513" s="4" t="inlineStr">
        <is>
          <t>5º PAV - GARAGEM</t>
        </is>
      </c>
      <c r="F1513" s="126" t="n">
        <v>46871</v>
      </c>
      <c r="G1513" s="126" t="n">
        <v>46899</v>
      </c>
      <c r="H1513" s="126" t="n">
        <v>46289</v>
      </c>
      <c r="I1513" s="4" t="n">
        <v>0</v>
      </c>
      <c r="J1513" s="4" t="n">
        <v>0</v>
      </c>
      <c r="K1513" s="4" t="n">
        <v>0</v>
      </c>
      <c r="M1513" s="2">
        <f>IF(C1513="","",IFERROR(INDEX($S$5:$S$304,MATCH(C1513,$R$5:$R$304,0))&amp;"","?"))</f>
        <v/>
      </c>
      <c r="N1513" s="2">
        <f>IF(E1513="","",IF(ISNUMBER(SEARCH("SUBSOLO",E1513)),IFERROR(-VALUE(LEFT(E1513,FIND("º",SUBSTITUTE(E1513,"°","º"))-1)),-1),IF(LEFT(E1513,6)="TÉRREO",0,IFERROR(VALUE(LEFT(E1513,FIND("º",SUBSTITUTE(E1513,"°","º"))-1)),""))))</f>
        <v/>
      </c>
      <c r="O1513" s="2">
        <f>IF(OR(F1513="",G1513=""),"",IF(G1513&lt;='RETRATO 2027'!$K$5,"CONCLUÍDA",IF(F1513&lt;='RETRATO 2027'!$K$5,"EM ANDAMENTO","A INICIAR")))</f>
        <v/>
      </c>
    </row>
    <row r="1514">
      <c r="B1514" s="4" t="n">
        <v>30171400</v>
      </c>
      <c r="C1514" s="4" t="inlineStr">
        <is>
          <t>INSTALAÇÕES DE INCÊNDIO</t>
        </is>
      </c>
      <c r="D1514" s="4" t="inlineStr">
        <is>
          <t>-</t>
        </is>
      </c>
      <c r="E1514" s="4" t="inlineStr">
        <is>
          <t>5º PAV - GARAGEM</t>
        </is>
      </c>
      <c r="F1514" s="126" t="n">
        <v>46871</v>
      </c>
      <c r="G1514" s="126" t="n">
        <v>46899</v>
      </c>
      <c r="H1514" s="126" t="n">
        <v>46289</v>
      </c>
      <c r="I1514" s="4" t="n">
        <v>0</v>
      </c>
      <c r="J1514" s="4" t="n">
        <v>0</v>
      </c>
      <c r="K1514" s="4" t="n">
        <v>0</v>
      </c>
      <c r="M1514" s="2">
        <f>IF(C1514="","",IFERROR(INDEX($S$5:$S$304,MATCH(C1514,$R$5:$R$304,0))&amp;"","?"))</f>
        <v/>
      </c>
      <c r="N1514" s="2">
        <f>IF(E1514="","",IF(ISNUMBER(SEARCH("SUBSOLO",E1514)),IFERROR(-VALUE(LEFT(E1514,FIND("º",SUBSTITUTE(E1514,"°","º"))-1)),-1),IF(LEFT(E1514,6)="TÉRREO",0,IFERROR(VALUE(LEFT(E1514,FIND("º",SUBSTITUTE(E1514,"°","º"))-1)),""))))</f>
        <v/>
      </c>
      <c r="O1514" s="2">
        <f>IF(OR(F1514="",G1514=""),"",IF(G1514&lt;='RETRATO 2027'!$K$5,"CONCLUÍDA",IF(F1514&lt;='RETRATO 2027'!$K$5,"EM ANDAMENTO","A INICIAR")))</f>
        <v/>
      </c>
    </row>
    <row r="1515">
      <c r="B1515" s="4" t="n">
        <v>30171519</v>
      </c>
      <c r="C1515" s="4" t="inlineStr">
        <is>
          <t>REBOCO INTERNO</t>
        </is>
      </c>
      <c r="D1515" s="4" t="inlineStr">
        <is>
          <t>-</t>
        </is>
      </c>
      <c r="E1515" s="4" t="inlineStr">
        <is>
          <t>HALL - GARAGENS</t>
        </is>
      </c>
      <c r="F1515" s="126" t="n">
        <v>46871</v>
      </c>
      <c r="G1515" s="126" t="n">
        <v>46903</v>
      </c>
      <c r="H1515" s="126" t="n">
        <v>46289</v>
      </c>
      <c r="I1515" s="4" t="n">
        <v>0</v>
      </c>
      <c r="J1515" s="4" t="n">
        <v>0</v>
      </c>
      <c r="K1515" s="4" t="n">
        <v>0</v>
      </c>
      <c r="M1515" s="2">
        <f>IF(C1515="","",IFERROR(INDEX($S$5:$S$304,MATCH(C1515,$R$5:$R$304,0))&amp;"","?"))</f>
        <v/>
      </c>
      <c r="N1515" s="2">
        <f>IF(E1515="","",IF(ISNUMBER(SEARCH("SUBSOLO",E1515)),IFERROR(-VALUE(LEFT(E1515,FIND("º",SUBSTITUTE(E1515,"°","º"))-1)),-1),IF(LEFT(E1515,6)="TÉRREO",0,IFERROR(VALUE(LEFT(E1515,FIND("º",SUBSTITUTE(E1515,"°","º"))-1)),""))))</f>
        <v/>
      </c>
      <c r="O1515" s="2">
        <f>IF(OR(F1515="",G1515=""),"",IF(G1515&lt;='RETRATO 2027'!$K$5,"CONCLUÍDA",IF(F1515&lt;='RETRATO 2027'!$K$5,"EM ANDAMENTO","A INICIAR")))</f>
        <v/>
      </c>
    </row>
    <row r="1516">
      <c r="B1516" s="4" t="n">
        <v>29981540</v>
      </c>
      <c r="C1516" s="4" t="inlineStr">
        <is>
          <t>PINTURA 3º DEMÃO</t>
        </is>
      </c>
      <c r="D1516" s="4" t="inlineStr">
        <is>
          <t>-</t>
        </is>
      </c>
      <c r="E1516" s="4" t="inlineStr">
        <is>
          <t>7º PAV.</t>
        </is>
      </c>
      <c r="F1516" s="126" t="n">
        <v>46875</v>
      </c>
      <c r="G1516" s="126" t="n">
        <v>46885</v>
      </c>
      <c r="H1516" s="126" t="n">
        <v>46289</v>
      </c>
      <c r="I1516" s="4" t="n">
        <v>0</v>
      </c>
      <c r="J1516" s="4" t="n">
        <v>0</v>
      </c>
      <c r="K1516" s="4" t="n">
        <v>0</v>
      </c>
      <c r="M1516" s="2">
        <f>IF(C1516="","",IFERROR(INDEX($S$5:$S$304,MATCH(C1516,$R$5:$R$304,0))&amp;"","?"))</f>
        <v/>
      </c>
      <c r="N1516" s="2">
        <f>IF(E1516="","",IF(ISNUMBER(SEARCH("SUBSOLO",E1516)),IFERROR(-VALUE(LEFT(E1516,FIND("º",SUBSTITUTE(E1516,"°","º"))-1)),-1),IF(LEFT(E1516,6)="TÉRREO",0,IFERROR(VALUE(LEFT(E1516,FIND("º",SUBSTITUTE(E1516,"°","º"))-1)),""))))</f>
        <v/>
      </c>
      <c r="O1516" s="2">
        <f>IF(OR(F1516="",G1516=""),"",IF(G1516&lt;='RETRATO 2027'!$K$5,"CONCLUÍDA",IF(F1516&lt;='RETRATO 2027'!$K$5,"EM ANDAMENTO","A INICIAR")))</f>
        <v/>
      </c>
    </row>
    <row r="1517">
      <c r="B1517" s="4" t="n">
        <v>30205861</v>
      </c>
      <c r="C1517" s="4" t="inlineStr">
        <is>
          <t>FIAÇÃO ELÉTRICA</t>
        </is>
      </c>
      <c r="D1517" s="4" t="inlineStr">
        <is>
          <t>-</t>
        </is>
      </c>
      <c r="E1517" s="4" t="inlineStr">
        <is>
          <t>1º PAV. (INTERMEDIÁRIO)</t>
        </is>
      </c>
      <c r="F1517" s="126" t="n">
        <v>46876</v>
      </c>
      <c r="G1517" s="126" t="n">
        <v>46889</v>
      </c>
      <c r="H1517" s="126" t="n">
        <v>46289</v>
      </c>
      <c r="I1517" s="4" t="n">
        <v>0</v>
      </c>
      <c r="J1517" s="4" t="n">
        <v>0</v>
      </c>
      <c r="K1517" s="4" t="n">
        <v>0</v>
      </c>
      <c r="M1517" s="2">
        <f>IF(C1517="","",IFERROR(INDEX($S$5:$S$304,MATCH(C1517,$R$5:$R$304,0))&amp;"","?"))</f>
        <v/>
      </c>
      <c r="N1517" s="2">
        <f>IF(E1517="","",IF(ISNUMBER(SEARCH("SUBSOLO",E1517)),IFERROR(-VALUE(LEFT(E1517,FIND("º",SUBSTITUTE(E1517,"°","º"))-1)),-1),IF(LEFT(E1517,6)="TÉRREO",0,IFERROR(VALUE(LEFT(E1517,FIND("º",SUBSTITUTE(E1517,"°","º"))-1)),""))))</f>
        <v/>
      </c>
      <c r="O1517" s="2">
        <f>IF(OR(F1517="",G1517=""),"",IF(G1517&lt;='RETRATO 2027'!$K$5,"CONCLUÍDA",IF(F1517&lt;='RETRATO 2027'!$K$5,"EM ANDAMENTO","A INICIAR")))</f>
        <v/>
      </c>
    </row>
    <row r="1518">
      <c r="B1518" s="4" t="n">
        <v>30208602</v>
      </c>
      <c r="C1518" s="4" t="inlineStr">
        <is>
          <t>PRUMADA ELÉTRICA - CABOS</t>
        </is>
      </c>
      <c r="D1518" s="4" t="inlineStr">
        <is>
          <t>-</t>
        </is>
      </c>
      <c r="E1518" s="4" t="inlineStr">
        <is>
          <t>1º PAV. (INTERMEDIÁRIO)</t>
        </is>
      </c>
      <c r="F1518" s="126" t="n">
        <v>46876</v>
      </c>
      <c r="G1518" s="126" t="n">
        <v>46889</v>
      </c>
      <c r="H1518" s="126" t="n">
        <v>46289</v>
      </c>
      <c r="I1518" s="4" t="n">
        <v>0</v>
      </c>
      <c r="J1518" s="4" t="n">
        <v>0</v>
      </c>
      <c r="K1518" s="4" t="n">
        <v>0</v>
      </c>
      <c r="M1518" s="2">
        <f>IF(C1518="","",IFERROR(INDEX($S$5:$S$304,MATCH(C1518,$R$5:$R$304,0))&amp;"","?"))</f>
        <v/>
      </c>
      <c r="N1518" s="2">
        <f>IF(E1518="","",IF(ISNUMBER(SEARCH("SUBSOLO",E1518)),IFERROR(-VALUE(LEFT(E1518,FIND("º",SUBSTITUTE(E1518,"°","º"))-1)),-1),IF(LEFT(E1518,6)="TÉRREO",0,IFERROR(VALUE(LEFT(E1518,FIND("º",SUBSTITUTE(E1518,"°","º"))-1)),""))))</f>
        <v/>
      </c>
      <c r="O1518" s="2">
        <f>IF(OR(F1518="",G1518=""),"",IF(G1518&lt;='RETRATO 2027'!$K$5,"CONCLUÍDA",IF(F1518&lt;='RETRATO 2027'!$K$5,"EM ANDAMENTO","A INICIAR")))</f>
        <v/>
      </c>
    </row>
    <row r="1519">
      <c r="B1519" s="4" t="n">
        <v>30214058</v>
      </c>
      <c r="C1519" s="4" t="inlineStr">
        <is>
          <t>FIAÇÃO TELECOM/DADOS</t>
        </is>
      </c>
      <c r="D1519" s="4" t="inlineStr">
        <is>
          <t>-</t>
        </is>
      </c>
      <c r="E1519" s="4" t="inlineStr">
        <is>
          <t>1º PAV. (INTERMEDIÁRIO)</t>
        </is>
      </c>
      <c r="F1519" s="126" t="n">
        <v>46876</v>
      </c>
      <c r="G1519" s="126" t="n">
        <v>46889</v>
      </c>
      <c r="H1519" s="126" t="n">
        <v>46289</v>
      </c>
      <c r="I1519" s="4" t="n">
        <v>0</v>
      </c>
      <c r="J1519" s="4" t="n">
        <v>0</v>
      </c>
      <c r="K1519" s="4" t="n">
        <v>0</v>
      </c>
      <c r="M1519" s="2">
        <f>IF(C1519="","",IFERROR(INDEX($S$5:$S$304,MATCH(C1519,$R$5:$R$304,0))&amp;"","?"))</f>
        <v/>
      </c>
      <c r="N1519" s="2">
        <f>IF(E1519="","",IF(ISNUMBER(SEARCH("SUBSOLO",E1519)),IFERROR(-VALUE(LEFT(E1519,FIND("º",SUBSTITUTE(E1519,"°","º"))-1)),-1),IF(LEFT(E1519,6)="TÉRREO",0,IFERROR(VALUE(LEFT(E1519,FIND("º",SUBSTITUTE(E1519,"°","º"))-1)),""))))</f>
        <v/>
      </c>
      <c r="O1519" s="2">
        <f>IF(OR(F1519="",G1519=""),"",IF(G1519&lt;='RETRATO 2027'!$K$5,"CONCLUÍDA",IF(F1519&lt;='RETRATO 2027'!$K$5,"EM ANDAMENTO","A INICIAR")))</f>
        <v/>
      </c>
    </row>
    <row r="1520">
      <c r="B1520" s="4" t="n">
        <v>30208599</v>
      </c>
      <c r="C1520" s="4" t="inlineStr">
        <is>
          <t>PRUMADA ELÉTRICA - INFRA</t>
        </is>
      </c>
      <c r="D1520" s="4" t="inlineStr">
        <is>
          <t>-</t>
        </is>
      </c>
      <c r="E1520" s="4" t="inlineStr">
        <is>
          <t>6º PAV - PILOTIS</t>
        </is>
      </c>
      <c r="F1520" s="126" t="n">
        <v>46877</v>
      </c>
      <c r="G1520" s="126" t="n">
        <v>46890</v>
      </c>
      <c r="H1520" s="126" t="n">
        <v>46289</v>
      </c>
      <c r="I1520" s="4" t="n">
        <v>0</v>
      </c>
      <c r="J1520" s="4" t="n">
        <v>0</v>
      </c>
      <c r="K1520" s="4" t="n">
        <v>0</v>
      </c>
      <c r="M1520" s="2">
        <f>IF(C1520="","",IFERROR(INDEX($S$5:$S$304,MATCH(C1520,$R$5:$R$304,0))&amp;"","?"))</f>
        <v/>
      </c>
      <c r="N1520" s="2">
        <f>IF(E1520="","",IF(ISNUMBER(SEARCH("SUBSOLO",E1520)),IFERROR(-VALUE(LEFT(E1520,FIND("º",SUBSTITUTE(E1520,"°","º"))-1)),-1),IF(LEFT(E1520,6)="TÉRREO",0,IFERROR(VALUE(LEFT(E1520,FIND("º",SUBSTITUTE(E1520,"°","º"))-1)),""))))</f>
        <v/>
      </c>
      <c r="O1520" s="2">
        <f>IF(OR(F1520="",G1520=""),"",IF(G1520&lt;='RETRATO 2027'!$K$5,"CONCLUÍDA",IF(F1520&lt;='RETRATO 2027'!$K$5,"EM ANDAMENTO","A INICIAR")))</f>
        <v/>
      </c>
    </row>
    <row r="1521">
      <c r="B1521" s="4" t="n">
        <v>33897806</v>
      </c>
      <c r="C1521" s="4" t="inlineStr">
        <is>
          <t>INFRAESTRUTURA - AR CONDICIONADO</t>
        </is>
      </c>
      <c r="D1521" s="4" t="inlineStr">
        <is>
          <t>-</t>
        </is>
      </c>
      <c r="E1521" s="4" t="inlineStr">
        <is>
          <t>6º PAV (PILOTIS) - ACADEMIA</t>
        </is>
      </c>
      <c r="F1521" s="126" t="n">
        <v>46877</v>
      </c>
      <c r="G1521" s="126" t="n">
        <v>46890</v>
      </c>
      <c r="H1521" s="126" t="n">
        <v>46289</v>
      </c>
      <c r="I1521" s="4" t="n">
        <v>0</v>
      </c>
      <c r="J1521" s="4" t="n">
        <v>0</v>
      </c>
      <c r="K1521" s="4" t="n">
        <v>0</v>
      </c>
      <c r="M1521" s="2">
        <f>IF(C1521="","",IFERROR(INDEX($S$5:$S$304,MATCH(C1521,$R$5:$R$304,0))&amp;"","?"))</f>
        <v/>
      </c>
      <c r="N1521" s="2">
        <f>IF(E1521="","",IF(ISNUMBER(SEARCH("SUBSOLO",E1521)),IFERROR(-VALUE(LEFT(E1521,FIND("º",SUBSTITUTE(E1521,"°","º"))-1)),-1),IF(LEFT(E1521,6)="TÉRREO",0,IFERROR(VALUE(LEFT(E1521,FIND("º",SUBSTITUTE(E1521,"°","º"))-1)),""))))</f>
        <v/>
      </c>
      <c r="O1521" s="2">
        <f>IF(OR(F1521="",G1521=""),"",IF(G1521&lt;='RETRATO 2027'!$K$5,"CONCLUÍDA",IF(F1521&lt;='RETRATO 2027'!$K$5,"EM ANDAMENTO","A INICIAR")))</f>
        <v/>
      </c>
    </row>
    <row r="1522">
      <c r="B1522" s="4" t="n">
        <v>30206085</v>
      </c>
      <c r="C1522" s="4" t="inlineStr">
        <is>
          <t>IMPERMEABILIZAÇÃO</t>
        </is>
      </c>
      <c r="D1522" s="4" t="inlineStr">
        <is>
          <t>-</t>
        </is>
      </c>
      <c r="E1522" s="4" t="inlineStr">
        <is>
          <t>6º PAV (PILOTIS) - SAUNA + DUCHA</t>
        </is>
      </c>
      <c r="F1522" s="126" t="n">
        <v>46877</v>
      </c>
      <c r="G1522" s="126" t="n">
        <v>46890</v>
      </c>
      <c r="H1522" s="126" t="n">
        <v>46289</v>
      </c>
      <c r="I1522" s="4" t="n">
        <v>0</v>
      </c>
      <c r="J1522" s="4" t="n">
        <v>0</v>
      </c>
      <c r="K1522" s="4" t="n">
        <v>0</v>
      </c>
      <c r="M1522" s="2">
        <f>IF(C1522="","",IFERROR(INDEX($S$5:$S$304,MATCH(C1522,$R$5:$R$304,0))&amp;"","?"))</f>
        <v/>
      </c>
      <c r="N1522" s="2">
        <f>IF(E1522="","",IF(ISNUMBER(SEARCH("SUBSOLO",E1522)),IFERROR(-VALUE(LEFT(E1522,FIND("º",SUBSTITUTE(E1522,"°","º"))-1)),-1),IF(LEFT(E1522,6)="TÉRREO",0,IFERROR(VALUE(LEFT(E1522,FIND("º",SUBSTITUTE(E1522,"°","º"))-1)),""))))</f>
        <v/>
      </c>
      <c r="O1522" s="2">
        <f>IF(OR(F1522="",G1522=""),"",IF(G1522&lt;='RETRATO 2027'!$K$5,"CONCLUÍDA",IF(F1522&lt;='RETRATO 2027'!$K$5,"EM ANDAMENTO","A INICIAR")))</f>
        <v/>
      </c>
    </row>
    <row r="1523">
      <c r="B1523" s="4" t="n">
        <v>30206026</v>
      </c>
      <c r="C1523" s="4" t="inlineStr">
        <is>
          <t>SHAFT INTERNO INST. HIDRAÚLICAS</t>
        </is>
      </c>
      <c r="D1523" s="4" t="inlineStr">
        <is>
          <t>-</t>
        </is>
      </c>
      <c r="E1523" s="4" t="inlineStr">
        <is>
          <t>6º PAV (PILOTIS) - CHURRASQUEIRA + IS MASC. PCD + IS FEM. PCD + CIRCULAÇÃO 1 + HALL 1</t>
        </is>
      </c>
      <c r="F1523" s="126" t="n">
        <v>46877</v>
      </c>
      <c r="G1523" s="126" t="n">
        <v>46890</v>
      </c>
      <c r="H1523" s="126" t="n">
        <v>46289</v>
      </c>
      <c r="I1523" s="4" t="n">
        <v>0</v>
      </c>
      <c r="J1523" s="4" t="n">
        <v>0</v>
      </c>
      <c r="K1523" s="4" t="n">
        <v>0</v>
      </c>
      <c r="M1523" s="2">
        <f>IF(C1523="","",IFERROR(INDEX($S$5:$S$304,MATCH(C1523,$R$5:$R$304,0))&amp;"","?"))</f>
        <v/>
      </c>
      <c r="N1523" s="2">
        <f>IF(E1523="","",IF(ISNUMBER(SEARCH("SUBSOLO",E1523)),IFERROR(-VALUE(LEFT(E1523,FIND("º",SUBSTITUTE(E1523,"°","º"))-1)),-1),IF(LEFT(E1523,6)="TÉRREO",0,IFERROR(VALUE(LEFT(E1523,FIND("º",SUBSTITUTE(E1523,"°","º"))-1)),""))))</f>
        <v/>
      </c>
      <c r="O1523" s="2">
        <f>IF(OR(F1523="",G1523=""),"",IF(G1523&lt;='RETRATO 2027'!$K$5,"CONCLUÍDA",IF(F1523&lt;='RETRATO 2027'!$K$5,"EM ANDAMENTO","A INICIAR")))</f>
        <v/>
      </c>
    </row>
    <row r="1524">
      <c r="B1524" s="4" t="n">
        <v>30205988</v>
      </c>
      <c r="C1524" s="4" t="inlineStr">
        <is>
          <t>REBOCO INTERNO</t>
        </is>
      </c>
      <c r="D1524" s="4" t="inlineStr">
        <is>
          <t>-</t>
        </is>
      </c>
      <c r="E1524" s="4" t="inlineStr">
        <is>
          <t>6º PAV (PILOTIS) - COWORKING 1 E 2 + CIRC. 2 + HALL 2 + DML + VEST. MASC. + VEST. FEM</t>
        </is>
      </c>
      <c r="F1524" s="126" t="n">
        <v>46877</v>
      </c>
      <c r="G1524" s="126" t="n">
        <v>46890</v>
      </c>
      <c r="H1524" s="126" t="n">
        <v>46289</v>
      </c>
      <c r="I1524" s="4" t="n">
        <v>0</v>
      </c>
      <c r="J1524" s="4" t="n">
        <v>0</v>
      </c>
      <c r="K1524" s="4" t="n">
        <v>0</v>
      </c>
      <c r="M1524" s="2">
        <f>IF(C1524="","",IFERROR(INDEX($S$5:$S$304,MATCH(C1524,$R$5:$R$304,0))&amp;"","?"))</f>
        <v/>
      </c>
      <c r="N1524" s="2">
        <f>IF(E1524="","",IF(ISNUMBER(SEARCH("SUBSOLO",E1524)),IFERROR(-VALUE(LEFT(E1524,FIND("º",SUBSTITUTE(E1524,"°","º"))-1)),-1),IF(LEFT(E1524,6)="TÉRREO",0,IFERROR(VALUE(LEFT(E1524,FIND("º",SUBSTITUTE(E1524,"°","º"))-1)),""))))</f>
        <v/>
      </c>
      <c r="O1524" s="2">
        <f>IF(OR(F1524="",G1524=""),"",IF(G1524&lt;='RETRATO 2027'!$K$5,"CONCLUÍDA",IF(F1524&lt;='RETRATO 2027'!$K$5,"EM ANDAMENTO","A INICIAR")))</f>
        <v/>
      </c>
    </row>
    <row r="1525">
      <c r="B1525" s="4" t="n">
        <v>30205880</v>
      </c>
      <c r="C1525" s="4" t="inlineStr">
        <is>
          <t>IMPERMEABILIZAÇÃO</t>
        </is>
      </c>
      <c r="D1525" s="4" t="inlineStr">
        <is>
          <t>-</t>
        </is>
      </c>
      <c r="E1525" s="4" t="inlineStr">
        <is>
          <t>6º PAV (PILOTIS) - PLAYGROUND + TERRAÇO DESCOBERTO + QUADRA DE RECREAÇÃO</t>
        </is>
      </c>
      <c r="F1525" s="126" t="n">
        <v>46878</v>
      </c>
      <c r="G1525" s="126" t="n">
        <v>46940</v>
      </c>
      <c r="H1525" s="126" t="n">
        <v>46289</v>
      </c>
      <c r="I1525" s="4" t="n">
        <v>0</v>
      </c>
      <c r="J1525" s="4" t="n">
        <v>0</v>
      </c>
      <c r="K1525" s="4" t="n">
        <v>0</v>
      </c>
      <c r="M1525" s="2">
        <f>IF(C1525="","",IFERROR(INDEX($S$5:$S$304,MATCH(C1525,$R$5:$R$304,0))&amp;"","?"))</f>
        <v/>
      </c>
      <c r="N1525" s="2">
        <f>IF(E1525="","",IF(ISNUMBER(SEARCH("SUBSOLO",E1525)),IFERROR(-VALUE(LEFT(E1525,FIND("º",SUBSTITUTE(E1525,"°","º"))-1)),-1),IF(LEFT(E1525,6)="TÉRREO",0,IFERROR(VALUE(LEFT(E1525,FIND("º",SUBSTITUTE(E1525,"°","º"))-1)),""))))</f>
        <v/>
      </c>
      <c r="O1525" s="2">
        <f>IF(OR(F1525="",G1525=""),"",IF(G1525&lt;='RETRATO 2027'!$K$5,"CONCLUÍDA",IF(F1525&lt;='RETRATO 2027'!$K$5,"EM ANDAMENTO","A INICIAR")))</f>
        <v/>
      </c>
    </row>
    <row r="1526">
      <c r="B1526" s="4" t="n">
        <v>30171661</v>
      </c>
      <c r="C1526" s="4" t="inlineStr">
        <is>
          <t>PINTURA - CORRIMÃO</t>
        </is>
      </c>
      <c r="D1526" s="4" t="inlineStr">
        <is>
          <t>-</t>
        </is>
      </c>
      <c r="E1526" s="4" t="inlineStr">
        <is>
          <t>CX DE ESCADA DE INCÊND.</t>
        </is>
      </c>
      <c r="F1526" s="126" t="n">
        <v>46878</v>
      </c>
      <c r="G1526" s="126" t="n">
        <v>46905</v>
      </c>
      <c r="H1526" s="126" t="n">
        <v>46289</v>
      </c>
      <c r="I1526" s="4" t="n">
        <v>0</v>
      </c>
      <c r="J1526" s="4" t="n">
        <v>0</v>
      </c>
      <c r="K1526" s="4" t="n">
        <v>0</v>
      </c>
      <c r="M1526" s="2">
        <f>IF(C1526="","",IFERROR(INDEX($S$5:$S$304,MATCH(C1526,$R$5:$R$304,0))&amp;"","?"))</f>
        <v/>
      </c>
      <c r="N1526" s="2">
        <f>IF(E1526="","",IF(ISNUMBER(SEARCH("SUBSOLO",E1526)),IFERROR(-VALUE(LEFT(E1526,FIND("º",SUBSTITUTE(E1526,"°","º"))-1)),-1),IF(LEFT(E1526,6)="TÉRREO",0,IFERROR(VALUE(LEFT(E1526,FIND("º",SUBSTITUTE(E1526,"°","º"))-1)),""))))</f>
        <v/>
      </c>
      <c r="O1526" s="2">
        <f>IF(OR(F1526="",G1526=""),"",IF(G1526&lt;='RETRATO 2027'!$K$5,"CONCLUÍDA",IF(F1526&lt;='RETRATO 2027'!$K$5,"EM ANDAMENTO","A INICIAR")))</f>
        <v/>
      </c>
    </row>
    <row r="1527">
      <c r="B1527" s="4" t="n">
        <v>30211206</v>
      </c>
      <c r="C1527" s="4" t="inlineStr">
        <is>
          <t>REBOCO EXTERNO</t>
        </is>
      </c>
      <c r="D1527" s="4" t="inlineStr">
        <is>
          <t>-</t>
        </is>
      </c>
      <c r="E1527" s="4" t="inlineStr">
        <is>
          <t>34º PAV - RESERVATÓRIO</t>
        </is>
      </c>
      <c r="F1527" s="126" t="n">
        <v>46878</v>
      </c>
      <c r="G1527" s="126" t="n">
        <v>46898</v>
      </c>
      <c r="H1527" s="126" t="n">
        <v>46289</v>
      </c>
      <c r="I1527" s="4" t="n">
        <v>0</v>
      </c>
      <c r="J1527" s="4" t="n">
        <v>0</v>
      </c>
      <c r="K1527" s="4" t="n">
        <v>0</v>
      </c>
      <c r="M1527" s="2">
        <f>IF(C1527="","",IFERROR(INDEX($S$5:$S$304,MATCH(C1527,$R$5:$R$304,0))&amp;"","?"))</f>
        <v/>
      </c>
      <c r="N1527" s="2">
        <f>IF(E1527="","",IF(ISNUMBER(SEARCH("SUBSOLO",E1527)),IFERROR(-VALUE(LEFT(E1527,FIND("º",SUBSTITUTE(E1527,"°","º"))-1)),-1),IF(LEFT(E1527,6)="TÉRREO",0,IFERROR(VALUE(LEFT(E1527,FIND("º",SUBSTITUTE(E1527,"°","º"))-1)),""))))</f>
        <v/>
      </c>
      <c r="O1527" s="2">
        <f>IF(OR(F1527="",G1527=""),"",IF(G1527&lt;='RETRATO 2027'!$K$5,"CONCLUÍDA",IF(F1527&lt;='RETRATO 2027'!$K$5,"EM ANDAMENTO","A INICIAR")))</f>
        <v/>
      </c>
    </row>
    <row r="1528">
      <c r="B1528" s="4" t="n">
        <v>30205694</v>
      </c>
      <c r="C1528" s="4" t="inlineStr">
        <is>
          <t>PINTURA 2º DEMÃO</t>
        </is>
      </c>
      <c r="D1528" s="4" t="inlineStr">
        <is>
          <t>-</t>
        </is>
      </c>
      <c r="E1528" s="4" t="inlineStr">
        <is>
          <t>TÉRREO - LOJA 1</t>
        </is>
      </c>
      <c r="F1528" s="126" t="n">
        <v>46881</v>
      </c>
      <c r="G1528" s="126" t="n">
        <v>46892</v>
      </c>
      <c r="H1528" s="126" t="n">
        <v>46289</v>
      </c>
      <c r="I1528" s="4" t="n">
        <v>0</v>
      </c>
      <c r="J1528" s="4" t="n">
        <v>0</v>
      </c>
      <c r="K1528" s="4" t="n">
        <v>0</v>
      </c>
      <c r="M1528" s="2">
        <f>IF(C1528="","",IFERROR(INDEX($S$5:$S$304,MATCH(C1528,$R$5:$R$304,0))&amp;"","?"))</f>
        <v/>
      </c>
      <c r="N1528" s="2">
        <f>IF(E1528="","",IF(ISNUMBER(SEARCH("SUBSOLO",E1528)),IFERROR(-VALUE(LEFT(E1528,FIND("º",SUBSTITUTE(E1528,"°","º"))-1)),-1),IF(LEFT(E1528,6)="TÉRREO",0,IFERROR(VALUE(LEFT(E1528,FIND("º",SUBSTITUTE(E1528,"°","º"))-1)),""))))</f>
        <v/>
      </c>
      <c r="O1528" s="2">
        <f>IF(OR(F1528="",G1528=""),"",IF(G1528&lt;='RETRATO 2027'!$K$5,"CONCLUÍDA",IF(F1528&lt;='RETRATO 2027'!$K$5,"EM ANDAMENTO","A INICIAR")))</f>
        <v/>
      </c>
    </row>
    <row r="1529">
      <c r="B1529" s="4" t="n">
        <v>30205680</v>
      </c>
      <c r="C1529" s="4" t="inlineStr">
        <is>
          <t>LIMPEZA GROSSA</t>
        </is>
      </c>
      <c r="D1529" s="4" t="inlineStr">
        <is>
          <t>-</t>
        </is>
      </c>
      <c r="E1529" s="4" t="inlineStr">
        <is>
          <t>TÉRREO - LOJA 2</t>
        </is>
      </c>
      <c r="F1529" s="126" t="n">
        <v>46881</v>
      </c>
      <c r="G1529" s="126" t="n">
        <v>46892</v>
      </c>
      <c r="H1529" s="126" t="n">
        <v>46289</v>
      </c>
      <c r="I1529" s="4" t="n">
        <v>0</v>
      </c>
      <c r="J1529" s="4" t="n">
        <v>0</v>
      </c>
      <c r="K1529" s="4" t="n">
        <v>0</v>
      </c>
      <c r="M1529" s="2">
        <f>IF(C1529="","",IFERROR(INDEX($S$5:$S$304,MATCH(C1529,$R$5:$R$304,0))&amp;"","?"))</f>
        <v/>
      </c>
      <c r="N1529" s="2">
        <f>IF(E1529="","",IF(ISNUMBER(SEARCH("SUBSOLO",E1529)),IFERROR(-VALUE(LEFT(E1529,FIND("º",SUBSTITUTE(E1529,"°","º"))-1)),-1),IF(LEFT(E1529,6)="TÉRREO",0,IFERROR(VALUE(LEFT(E1529,FIND("º",SUBSTITUTE(E1529,"°","º"))-1)),""))))</f>
        <v/>
      </c>
      <c r="O1529" s="2">
        <f>IF(OR(F1529="",G1529=""),"",IF(G1529&lt;='RETRATO 2027'!$K$5,"CONCLUÍDA",IF(F1529&lt;='RETRATO 2027'!$K$5,"EM ANDAMENTO","A INICIAR")))</f>
        <v/>
      </c>
    </row>
    <row r="1530">
      <c r="B1530" s="4" t="n">
        <v>29981502</v>
      </c>
      <c r="C1530" s="4" t="inlineStr">
        <is>
          <t>CHECKLIST</t>
        </is>
      </c>
      <c r="D1530" s="4" t="inlineStr">
        <is>
          <t>-</t>
        </is>
      </c>
      <c r="E1530" s="4" t="inlineStr">
        <is>
          <t>8º PAV.</t>
        </is>
      </c>
      <c r="F1530" s="126" t="n">
        <v>46881</v>
      </c>
      <c r="G1530" s="126" t="n">
        <v>46885</v>
      </c>
      <c r="H1530" s="126" t="n">
        <v>46289</v>
      </c>
      <c r="I1530" s="4" t="n">
        <v>0</v>
      </c>
      <c r="J1530" s="4" t="n">
        <v>0</v>
      </c>
      <c r="K1530" s="4" t="n">
        <v>0</v>
      </c>
      <c r="M1530" s="2">
        <f>IF(C1530="","",IFERROR(INDEX($S$5:$S$304,MATCH(C1530,$R$5:$R$304,0))&amp;"","?"))</f>
        <v/>
      </c>
      <c r="N1530" s="2">
        <f>IF(E1530="","",IF(ISNUMBER(SEARCH("SUBSOLO",E1530)),IFERROR(-VALUE(LEFT(E1530,FIND("º",SUBSTITUTE(E1530,"°","º"))-1)),-1),IF(LEFT(E1530,6)="TÉRREO",0,IFERROR(VALUE(LEFT(E1530,FIND("º",SUBSTITUTE(E1530,"°","º"))-1)),""))))</f>
        <v/>
      </c>
      <c r="O1530" s="2">
        <f>IF(OR(F1530="",G1530=""),"",IF(G1530&lt;='RETRATO 2027'!$K$5,"CONCLUÍDA",IF(F1530&lt;='RETRATO 2027'!$K$5,"EM ANDAMENTO","A INICIAR")))</f>
        <v/>
      </c>
    </row>
    <row r="1531">
      <c r="B1531" s="4" t="n">
        <v>29981467</v>
      </c>
      <c r="C1531" s="4" t="inlineStr">
        <is>
          <t>ACABAMENTOS ELÉTRICOS</t>
        </is>
      </c>
      <c r="D1531" s="4" t="inlineStr">
        <is>
          <t>-</t>
        </is>
      </c>
      <c r="E1531" s="4" t="inlineStr">
        <is>
          <t>9º PAV.</t>
        </is>
      </c>
      <c r="F1531" s="126" t="n">
        <v>46881</v>
      </c>
      <c r="G1531" s="126" t="n">
        <v>46891</v>
      </c>
      <c r="H1531" s="126" t="n">
        <v>46289</v>
      </c>
      <c r="I1531" s="4" t="n">
        <v>0</v>
      </c>
      <c r="J1531" s="4" t="n">
        <v>0</v>
      </c>
      <c r="K1531" s="4" t="n">
        <v>0</v>
      </c>
      <c r="M1531" s="2">
        <f>IF(C1531="","",IFERROR(INDEX($S$5:$S$304,MATCH(C1531,$R$5:$R$304,0))&amp;"","?"))</f>
        <v/>
      </c>
      <c r="N1531" s="2">
        <f>IF(E1531="","",IF(ISNUMBER(SEARCH("SUBSOLO",E1531)),IFERROR(-VALUE(LEFT(E1531,FIND("º",SUBSTITUTE(E1531,"°","º"))-1)),-1),IF(LEFT(E1531,6)="TÉRREO",0,IFERROR(VALUE(LEFT(E1531,FIND("º",SUBSTITUTE(E1531,"°","º"))-1)),""))))</f>
        <v/>
      </c>
      <c r="O1531" s="2">
        <f>IF(OR(F1531="",G1531=""),"",IF(G1531&lt;='RETRATO 2027'!$K$5,"CONCLUÍDA",IF(F1531&lt;='RETRATO 2027'!$K$5,"EM ANDAMENTO","A INICIAR")))</f>
        <v/>
      </c>
    </row>
    <row r="1532">
      <c r="B1532" s="4" t="n">
        <v>29981427</v>
      </c>
      <c r="C1532" s="4" t="inlineStr">
        <is>
          <t>PINTURA 2º DEMÃO</t>
        </is>
      </c>
      <c r="D1532" s="4" t="inlineStr">
        <is>
          <t>-</t>
        </is>
      </c>
      <c r="E1532" s="4" t="inlineStr">
        <is>
          <t>10º PAV.</t>
        </is>
      </c>
      <c r="F1532" s="126" t="n">
        <v>46881</v>
      </c>
      <c r="G1532" s="126" t="n">
        <v>46891</v>
      </c>
      <c r="H1532" s="126" t="n">
        <v>46289</v>
      </c>
      <c r="I1532" s="4" t="n">
        <v>0</v>
      </c>
      <c r="J1532" s="4" t="n">
        <v>0</v>
      </c>
      <c r="K1532" s="4" t="n">
        <v>0</v>
      </c>
      <c r="M1532" s="2">
        <f>IF(C1532="","",IFERROR(INDEX($S$5:$S$304,MATCH(C1532,$R$5:$R$304,0))&amp;"","?"))</f>
        <v/>
      </c>
      <c r="N1532" s="2">
        <f>IF(E1532="","",IF(ISNUMBER(SEARCH("SUBSOLO",E1532)),IFERROR(-VALUE(LEFT(E1532,FIND("º",SUBSTITUTE(E1532,"°","º"))-1)),-1),IF(LEFT(E1532,6)="TÉRREO",0,IFERROR(VALUE(LEFT(E1532,FIND("º",SUBSTITUTE(E1532,"°","º"))-1)),""))))</f>
        <v/>
      </c>
      <c r="O1532" s="2">
        <f>IF(OR(F1532="",G1532=""),"",IF(G1532&lt;='RETRATO 2027'!$K$5,"CONCLUÍDA",IF(F1532&lt;='RETRATO 2027'!$K$5,"EM ANDAMENTO","A INICIAR")))</f>
        <v/>
      </c>
    </row>
    <row r="1533">
      <c r="B1533" s="4" t="n">
        <v>33919788</v>
      </c>
      <c r="C1533" s="4" t="inlineStr">
        <is>
          <t>TEXTURA - EXTERNA</t>
        </is>
      </c>
      <c r="D1533" s="4" t="inlineStr">
        <is>
          <t>-</t>
        </is>
      </c>
      <c r="E1533" s="4" t="inlineStr">
        <is>
          <t>10º PAV.</t>
        </is>
      </c>
      <c r="F1533" s="126" t="n">
        <v>46881</v>
      </c>
      <c r="G1533" s="126" t="n">
        <v>46891</v>
      </c>
      <c r="H1533" s="126" t="n">
        <v>46289</v>
      </c>
      <c r="I1533" s="4" t="n">
        <v>0</v>
      </c>
      <c r="J1533" s="4" t="n">
        <v>0</v>
      </c>
      <c r="K1533" s="4" t="n">
        <v>0</v>
      </c>
      <c r="M1533" s="2">
        <f>IF(C1533="","",IFERROR(INDEX($S$5:$S$304,MATCH(C1533,$R$5:$R$304,0))&amp;"","?"))</f>
        <v/>
      </c>
      <c r="N1533" s="2">
        <f>IF(E1533="","",IF(ISNUMBER(SEARCH("SUBSOLO",E1533)),IFERROR(-VALUE(LEFT(E1533,FIND("º",SUBSTITUTE(E1533,"°","º"))-1)),-1),IF(LEFT(E1533,6)="TÉRREO",0,IFERROR(VALUE(LEFT(E1533,FIND("º",SUBSTITUTE(E1533,"°","º"))-1)),""))))</f>
        <v/>
      </c>
      <c r="O1533" s="2">
        <f>IF(OR(F1533="",G1533=""),"",IF(G1533&lt;='RETRATO 2027'!$K$5,"CONCLUÍDA",IF(F1533&lt;='RETRATO 2027'!$K$5,"EM ANDAMENTO","A INICIAR")))</f>
        <v/>
      </c>
    </row>
    <row r="1534">
      <c r="B1534" s="4" t="n">
        <v>29981389</v>
      </c>
      <c r="C1534" s="4" t="inlineStr">
        <is>
          <t>LIMPEZA GROSSA</t>
        </is>
      </c>
      <c r="D1534" s="4" t="inlineStr">
        <is>
          <t>-</t>
        </is>
      </c>
      <c r="E1534" s="4" t="inlineStr">
        <is>
          <t>11º PAV.</t>
        </is>
      </c>
      <c r="F1534" s="126" t="n">
        <v>46881</v>
      </c>
      <c r="G1534" s="126" t="n">
        <v>46891</v>
      </c>
      <c r="H1534" s="126" t="n">
        <v>46289</v>
      </c>
      <c r="I1534" s="4" t="n">
        <v>0</v>
      </c>
      <c r="J1534" s="4" t="n">
        <v>0</v>
      </c>
      <c r="K1534" s="4" t="n">
        <v>0</v>
      </c>
      <c r="M1534" s="2">
        <f>IF(C1534="","",IFERROR(INDEX($S$5:$S$304,MATCH(C1534,$R$5:$R$304,0))&amp;"","?"))</f>
        <v/>
      </c>
      <c r="N1534" s="2">
        <f>IF(E1534="","",IF(ISNUMBER(SEARCH("SUBSOLO",E1534)),IFERROR(-VALUE(LEFT(E1534,FIND("º",SUBSTITUTE(E1534,"°","º"))-1)),-1),IF(LEFT(E1534,6)="TÉRREO",0,IFERROR(VALUE(LEFT(E1534,FIND("º",SUBSTITUTE(E1534,"°","º"))-1)),""))))</f>
        <v/>
      </c>
      <c r="O1534" s="2">
        <f>IF(OR(F1534="",G1534=""),"",IF(G1534&lt;='RETRATO 2027'!$K$5,"CONCLUÍDA",IF(F1534&lt;='RETRATO 2027'!$K$5,"EM ANDAMENTO","A INICIAR")))</f>
        <v/>
      </c>
    </row>
    <row r="1535">
      <c r="B1535" s="4" t="n">
        <v>29981346</v>
      </c>
      <c r="C1535" s="4" t="inlineStr">
        <is>
          <t>LOUÇAS</t>
        </is>
      </c>
      <c r="D1535" s="4" t="inlineStr">
        <is>
          <t>-</t>
        </is>
      </c>
      <c r="E1535" s="4" t="inlineStr">
        <is>
          <t>12º PAV.</t>
        </is>
      </c>
      <c r="F1535" s="126" t="n">
        <v>46881</v>
      </c>
      <c r="G1535" s="126" t="n">
        <v>46891</v>
      </c>
      <c r="H1535" s="126" t="n">
        <v>46289</v>
      </c>
      <c r="I1535" s="4" t="n">
        <v>0</v>
      </c>
      <c r="J1535" s="4" t="n">
        <v>0</v>
      </c>
      <c r="K1535" s="4" t="n">
        <v>0</v>
      </c>
      <c r="M1535" s="2">
        <f>IF(C1535="","",IFERROR(INDEX($S$5:$S$304,MATCH(C1535,$R$5:$R$304,0))&amp;"","?"))</f>
        <v/>
      </c>
      <c r="N1535" s="2">
        <f>IF(E1535="","",IF(ISNUMBER(SEARCH("SUBSOLO",E1535)),IFERROR(-VALUE(LEFT(E1535,FIND("º",SUBSTITUTE(E1535,"°","º"))-1)),-1),IF(LEFT(E1535,6)="TÉRREO",0,IFERROR(VALUE(LEFT(E1535,FIND("º",SUBSTITUTE(E1535,"°","º"))-1)),""))))</f>
        <v/>
      </c>
      <c r="O1535" s="2">
        <f>IF(OR(F1535="",G1535=""),"",IF(G1535&lt;='RETRATO 2027'!$K$5,"CONCLUÍDA",IF(F1535&lt;='RETRATO 2027'!$K$5,"EM ANDAMENTO","A INICIAR")))</f>
        <v/>
      </c>
    </row>
    <row r="1536">
      <c r="B1536" s="4" t="n">
        <v>29981351</v>
      </c>
      <c r="C1536" s="4" t="inlineStr">
        <is>
          <t>METAIS</t>
        </is>
      </c>
      <c r="D1536" s="4" t="inlineStr">
        <is>
          <t>-</t>
        </is>
      </c>
      <c r="E1536" s="4" t="inlineStr">
        <is>
          <t>12º PAV.</t>
        </is>
      </c>
      <c r="F1536" s="126" t="n">
        <v>46881</v>
      </c>
      <c r="G1536" s="126" t="n">
        <v>46891</v>
      </c>
      <c r="H1536" s="126" t="n">
        <v>46289</v>
      </c>
      <c r="I1536" s="4" t="n">
        <v>0</v>
      </c>
      <c r="J1536" s="4" t="n">
        <v>0</v>
      </c>
      <c r="K1536" s="4" t="n">
        <v>0</v>
      </c>
      <c r="M1536" s="2">
        <f>IF(C1536="","",IFERROR(INDEX($S$5:$S$304,MATCH(C1536,$R$5:$R$304,0))&amp;"","?"))</f>
        <v/>
      </c>
      <c r="N1536" s="2">
        <f>IF(E1536="","",IF(ISNUMBER(SEARCH("SUBSOLO",E1536)),IFERROR(-VALUE(LEFT(E1536,FIND("º",SUBSTITUTE(E1536,"°","º"))-1)),-1),IF(LEFT(E1536,6)="TÉRREO",0,IFERROR(VALUE(LEFT(E1536,FIND("º",SUBSTITUTE(E1536,"°","º"))-1)),""))))</f>
        <v/>
      </c>
      <c r="O1536" s="2">
        <f>IF(OR(F1536="",G1536=""),"",IF(G1536&lt;='RETRATO 2027'!$K$5,"CONCLUÍDA",IF(F1536&lt;='RETRATO 2027'!$K$5,"EM ANDAMENTO","A INICIAR")))</f>
        <v/>
      </c>
    </row>
    <row r="1537">
      <c r="B1537" s="4" t="n">
        <v>29981350</v>
      </c>
      <c r="C1537" s="4" t="inlineStr">
        <is>
          <t>DISJUNTORES / MIOLOS</t>
        </is>
      </c>
      <c r="D1537" s="4" t="inlineStr">
        <is>
          <t>-</t>
        </is>
      </c>
      <c r="E1537" s="4" t="inlineStr">
        <is>
          <t>12º PAV.</t>
        </is>
      </c>
      <c r="F1537" s="126" t="n">
        <v>46881</v>
      </c>
      <c r="G1537" s="126" t="n">
        <v>46891</v>
      </c>
      <c r="H1537" s="126" t="n">
        <v>46289</v>
      </c>
      <c r="I1537" s="4" t="n">
        <v>0</v>
      </c>
      <c r="J1537" s="4" t="n">
        <v>0</v>
      </c>
      <c r="K1537" s="4" t="n">
        <v>0</v>
      </c>
      <c r="M1537" s="2">
        <f>IF(C1537="","",IFERROR(INDEX($S$5:$S$304,MATCH(C1537,$R$5:$R$304,0))&amp;"","?"))</f>
        <v/>
      </c>
      <c r="N1537" s="2">
        <f>IF(E1537="","",IF(ISNUMBER(SEARCH("SUBSOLO",E1537)),IFERROR(-VALUE(LEFT(E1537,FIND("º",SUBSTITUTE(E1537,"°","º"))-1)),-1),IF(LEFT(E1537,6)="TÉRREO",0,IFERROR(VALUE(LEFT(E1537,FIND("º",SUBSTITUTE(E1537,"°","º"))-1)),""))))</f>
        <v/>
      </c>
      <c r="O1537" s="2">
        <f>IF(OR(F1537="",G1537=""),"",IF(G1537&lt;='RETRATO 2027'!$K$5,"CONCLUÍDA",IF(F1537&lt;='RETRATO 2027'!$K$5,"EM ANDAMENTO","A INICIAR")))</f>
        <v/>
      </c>
    </row>
    <row r="1538">
      <c r="B1538" s="4" t="n">
        <v>29981349</v>
      </c>
      <c r="C1538" s="4" t="inlineStr">
        <is>
          <t>COMUNICAÇÃO E ALARME</t>
        </is>
      </c>
      <c r="D1538" s="4" t="inlineStr">
        <is>
          <t>-</t>
        </is>
      </c>
      <c r="E1538" s="4" t="inlineStr">
        <is>
          <t>12º PAV.</t>
        </is>
      </c>
      <c r="F1538" s="126" t="n">
        <v>46881</v>
      </c>
      <c r="G1538" s="126" t="n">
        <v>46891</v>
      </c>
      <c r="H1538" s="126" t="n">
        <v>46289</v>
      </c>
      <c r="I1538" s="4" t="n">
        <v>0</v>
      </c>
      <c r="J1538" s="4" t="n">
        <v>0</v>
      </c>
      <c r="K1538" s="4" t="n">
        <v>0</v>
      </c>
      <c r="M1538" s="2">
        <f>IF(C1538="","",IFERROR(INDEX($S$5:$S$304,MATCH(C1538,$R$5:$R$304,0))&amp;"","?"))</f>
        <v/>
      </c>
      <c r="N1538" s="2">
        <f>IF(E1538="","",IF(ISNUMBER(SEARCH("SUBSOLO",E1538)),IFERROR(-VALUE(LEFT(E1538,FIND("º",SUBSTITUTE(E1538,"°","º"))-1)),-1),IF(LEFT(E1538,6)="TÉRREO",0,IFERROR(VALUE(LEFT(E1538,FIND("º",SUBSTITUTE(E1538,"°","º"))-1)),""))))</f>
        <v/>
      </c>
      <c r="O1538" s="2">
        <f>IF(OR(F1538="",G1538=""),"",IF(G1538&lt;='RETRATO 2027'!$K$5,"CONCLUÍDA",IF(F1538&lt;='RETRATO 2027'!$K$5,"EM ANDAMENTO","A INICIAR")))</f>
        <v/>
      </c>
    </row>
    <row r="1539">
      <c r="B1539" s="4" t="n">
        <v>29981308</v>
      </c>
      <c r="C1539" s="4" t="inlineStr">
        <is>
          <t>RODAPÉ MADEIRA / PVC</t>
        </is>
      </c>
      <c r="D1539" s="4" t="inlineStr">
        <is>
          <t>-</t>
        </is>
      </c>
      <c r="E1539" s="4" t="inlineStr">
        <is>
          <t>13º PAV.</t>
        </is>
      </c>
      <c r="F1539" s="126" t="n">
        <v>46881</v>
      </c>
      <c r="G1539" s="126" t="n">
        <v>46891</v>
      </c>
      <c r="H1539" s="126" t="n">
        <v>46289</v>
      </c>
      <c r="I1539" s="4" t="n">
        <v>0</v>
      </c>
      <c r="J1539" s="4" t="n">
        <v>0</v>
      </c>
      <c r="K1539" s="4" t="n">
        <v>0</v>
      </c>
      <c r="M1539" s="2">
        <f>IF(C1539="","",IFERROR(INDEX($S$5:$S$304,MATCH(C1539,$R$5:$R$304,0))&amp;"","?"))</f>
        <v/>
      </c>
      <c r="N1539" s="2">
        <f>IF(E1539="","",IF(ISNUMBER(SEARCH("SUBSOLO",E1539)),IFERROR(-VALUE(LEFT(E1539,FIND("º",SUBSTITUTE(E1539,"°","º"))-1)),-1),IF(LEFT(E1539,6)="TÉRREO",0,IFERROR(VALUE(LEFT(E1539,FIND("º",SUBSTITUTE(E1539,"°","º"))-1)),""))))</f>
        <v/>
      </c>
      <c r="O1539" s="2">
        <f>IF(OR(F1539="",G1539=""),"",IF(G1539&lt;='RETRATO 2027'!$K$5,"CONCLUÍDA",IF(F1539&lt;='RETRATO 2027'!$K$5,"EM ANDAMENTO","A INICIAR")))</f>
        <v/>
      </c>
    </row>
    <row r="1540">
      <c r="B1540" s="4" t="n">
        <v>29981270</v>
      </c>
      <c r="C1540" s="4" t="inlineStr">
        <is>
          <t>ESQUADRIA MADEIRA</t>
        </is>
      </c>
      <c r="D1540" s="4" t="inlineStr">
        <is>
          <t>-</t>
        </is>
      </c>
      <c r="E1540" s="4" t="inlineStr">
        <is>
          <t>14º PAV.</t>
        </is>
      </c>
      <c r="F1540" s="126" t="n">
        <v>46881</v>
      </c>
      <c r="G1540" s="126" t="n">
        <v>46891</v>
      </c>
      <c r="H1540" s="126" t="n">
        <v>46289</v>
      </c>
      <c r="I1540" s="4" t="n">
        <v>0</v>
      </c>
      <c r="J1540" s="4" t="n">
        <v>0</v>
      </c>
      <c r="K1540" s="4" t="n">
        <v>0</v>
      </c>
      <c r="M1540" s="2">
        <f>IF(C1540="","",IFERROR(INDEX($S$5:$S$304,MATCH(C1540,$R$5:$R$304,0))&amp;"","?"))</f>
        <v/>
      </c>
      <c r="N1540" s="2">
        <f>IF(E1540="","",IF(ISNUMBER(SEARCH("SUBSOLO",E1540)),IFERROR(-VALUE(LEFT(E1540,FIND("º",SUBSTITUTE(E1540,"°","º"))-1)),-1),IF(LEFT(E1540,6)="TÉRREO",0,IFERROR(VALUE(LEFT(E1540,FIND("º",SUBSTITUTE(E1540,"°","º"))-1)),""))))</f>
        <v/>
      </c>
      <c r="O1540" s="2">
        <f>IF(OR(F1540="",G1540=""),"",IF(G1540&lt;='RETRATO 2027'!$K$5,"CONCLUÍDA",IF(F1540&lt;='RETRATO 2027'!$K$5,"EM ANDAMENTO","A INICIAR")))</f>
        <v/>
      </c>
    </row>
    <row r="1541">
      <c r="B1541" s="4" t="n">
        <v>29981232</v>
      </c>
      <c r="C1541" s="4" t="inlineStr">
        <is>
          <t>PISO VINÍLICO / LAMINADO</t>
        </is>
      </c>
      <c r="D1541" s="4" t="inlineStr">
        <is>
          <t>-</t>
        </is>
      </c>
      <c r="E1541" s="4" t="inlineStr">
        <is>
          <t>15º PAV.</t>
        </is>
      </c>
      <c r="F1541" s="126" t="n">
        <v>46881</v>
      </c>
      <c r="G1541" s="126" t="n">
        <v>46891</v>
      </c>
      <c r="H1541" s="126" t="n">
        <v>46289</v>
      </c>
      <c r="I1541" s="4" t="n">
        <v>0</v>
      </c>
      <c r="J1541" s="4" t="n">
        <v>0</v>
      </c>
      <c r="K1541" s="4" t="n">
        <v>0</v>
      </c>
      <c r="M1541" s="2">
        <f>IF(C1541="","",IFERROR(INDEX($S$5:$S$304,MATCH(C1541,$R$5:$R$304,0))&amp;"","?"))</f>
        <v/>
      </c>
      <c r="N1541" s="2">
        <f>IF(E1541="","",IF(ISNUMBER(SEARCH("SUBSOLO",E1541)),IFERROR(-VALUE(LEFT(E1541,FIND("º",SUBSTITUTE(E1541,"°","º"))-1)),-1),IF(LEFT(E1541,6)="TÉRREO",0,IFERROR(VALUE(LEFT(E1541,FIND("º",SUBSTITUTE(E1541,"°","º"))-1)),""))))</f>
        <v/>
      </c>
      <c r="O1541" s="2">
        <f>IF(OR(F1541="",G1541=""),"",IF(G1541&lt;='RETRATO 2027'!$K$5,"CONCLUÍDA",IF(F1541&lt;='RETRATO 2027'!$K$5,"EM ANDAMENTO","A INICIAR")))</f>
        <v/>
      </c>
    </row>
    <row r="1542">
      <c r="B1542" s="4" t="n">
        <v>29981194</v>
      </c>
      <c r="C1542" s="4" t="inlineStr">
        <is>
          <t>PINTURA 1º DEMÃO</t>
        </is>
      </c>
      <c r="D1542" s="4" t="inlineStr">
        <is>
          <t>-</t>
        </is>
      </c>
      <c r="E1542" s="4" t="inlineStr">
        <is>
          <t>16º PAV.</t>
        </is>
      </c>
      <c r="F1542" s="126" t="n">
        <v>46881</v>
      </c>
      <c r="G1542" s="126" t="n">
        <v>46891</v>
      </c>
      <c r="H1542" s="126" t="n">
        <v>46289</v>
      </c>
      <c r="I1542" s="4" t="n">
        <v>0</v>
      </c>
      <c r="J1542" s="4" t="n">
        <v>0</v>
      </c>
      <c r="K1542" s="4" t="n">
        <v>0</v>
      </c>
      <c r="M1542" s="2">
        <f>IF(C1542="","",IFERROR(INDEX($S$5:$S$304,MATCH(C1542,$R$5:$R$304,0))&amp;"","?"))</f>
        <v/>
      </c>
      <c r="N1542" s="2">
        <f>IF(E1542="","",IF(ISNUMBER(SEARCH("SUBSOLO",E1542)),IFERROR(-VALUE(LEFT(E1542,FIND("º",SUBSTITUTE(E1542,"°","º"))-1)),-1),IF(LEFT(E1542,6)="TÉRREO",0,IFERROR(VALUE(LEFT(E1542,FIND("º",SUBSTITUTE(E1542,"°","º"))-1)),""))))</f>
        <v/>
      </c>
      <c r="O1542" s="2">
        <f>IF(OR(F1542="",G1542=""),"",IF(G1542&lt;='RETRATO 2027'!$K$5,"CONCLUÍDA",IF(F1542&lt;='RETRATO 2027'!$K$5,"EM ANDAMENTO","A INICIAR")))</f>
        <v/>
      </c>
    </row>
    <row r="1543">
      <c r="B1543" s="4" t="n">
        <v>29981183</v>
      </c>
      <c r="C1543" s="4" t="inlineStr">
        <is>
          <t>MASSA CORRIDA</t>
        </is>
      </c>
      <c r="D1543" s="4" t="inlineStr">
        <is>
          <t>-</t>
        </is>
      </c>
      <c r="E1543" s="4" t="inlineStr">
        <is>
          <t>17º PAV.</t>
        </is>
      </c>
      <c r="F1543" s="126" t="n">
        <v>46881</v>
      </c>
      <c r="G1543" s="126" t="n">
        <v>46891</v>
      </c>
      <c r="H1543" s="126" t="n">
        <v>46289</v>
      </c>
      <c r="I1543" s="4" t="n">
        <v>0</v>
      </c>
      <c r="J1543" s="4" t="n">
        <v>0</v>
      </c>
      <c r="K1543" s="4" t="n">
        <v>0</v>
      </c>
      <c r="M1543" s="2">
        <f>IF(C1543="","",IFERROR(INDEX($S$5:$S$304,MATCH(C1543,$R$5:$R$304,0))&amp;"","?"))</f>
        <v/>
      </c>
      <c r="N1543" s="2">
        <f>IF(E1543="","",IF(ISNUMBER(SEARCH("SUBSOLO",E1543)),IFERROR(-VALUE(LEFT(E1543,FIND("º",SUBSTITUTE(E1543,"°","º"))-1)),-1),IF(LEFT(E1543,6)="TÉRREO",0,IFERROR(VALUE(LEFT(E1543,FIND("º",SUBSTITUTE(E1543,"°","º"))-1)),""))))</f>
        <v/>
      </c>
      <c r="O1543" s="2">
        <f>IF(OR(F1543="",G1543=""),"",IF(G1543&lt;='RETRATO 2027'!$K$5,"CONCLUÍDA",IF(F1543&lt;='RETRATO 2027'!$K$5,"EM ANDAMENTO","A INICIAR")))</f>
        <v/>
      </c>
    </row>
    <row r="1544">
      <c r="B1544" s="4" t="n">
        <v>33898099</v>
      </c>
      <c r="C1544" s="4" t="inlineStr">
        <is>
          <t>ESQUADRIA DE ALUMÍNIO</t>
        </is>
      </c>
      <c r="D1544" s="4" t="inlineStr">
        <is>
          <t>-</t>
        </is>
      </c>
      <c r="E1544" s="4" t="inlineStr">
        <is>
          <t>18º PAV.</t>
        </is>
      </c>
      <c r="F1544" s="126" t="n">
        <v>46881</v>
      </c>
      <c r="G1544" s="126" t="n">
        <v>46891</v>
      </c>
      <c r="H1544" s="126" t="n">
        <v>46289</v>
      </c>
      <c r="I1544" s="4" t="n">
        <v>0</v>
      </c>
      <c r="J1544" s="4" t="n">
        <v>0</v>
      </c>
      <c r="K1544" s="4" t="n">
        <v>0</v>
      </c>
      <c r="M1544" s="2">
        <f>IF(C1544="","",IFERROR(INDEX($S$5:$S$304,MATCH(C1544,$R$5:$R$304,0))&amp;"","?"))</f>
        <v/>
      </c>
      <c r="N1544" s="2">
        <f>IF(E1544="","",IF(ISNUMBER(SEARCH("SUBSOLO",E1544)),IFERROR(-VALUE(LEFT(E1544,FIND("º",SUBSTITUTE(E1544,"°","º"))-1)),-1),IF(LEFT(E1544,6)="TÉRREO",0,IFERROR(VALUE(LEFT(E1544,FIND("º",SUBSTITUTE(E1544,"°","º"))-1)),""))))</f>
        <v/>
      </c>
      <c r="O1544" s="2">
        <f>IF(OR(F1544="",G1544=""),"",IF(G1544&lt;='RETRATO 2027'!$K$5,"CONCLUÍDA",IF(F1544&lt;='RETRATO 2027'!$K$5,"EM ANDAMENTO","A INICIAR")))</f>
        <v/>
      </c>
    </row>
    <row r="1545">
      <c r="B1545" s="4" t="n">
        <v>29980959</v>
      </c>
      <c r="C1545" s="4" t="inlineStr">
        <is>
          <t>FORRO</t>
        </is>
      </c>
      <c r="D1545" s="4" t="inlineStr">
        <is>
          <t>-</t>
        </is>
      </c>
      <c r="E1545" s="4" t="inlineStr">
        <is>
          <t>23º PAV.</t>
        </is>
      </c>
      <c r="F1545" s="126" t="n">
        <v>46882</v>
      </c>
      <c r="G1545" s="126" t="n">
        <v>46892</v>
      </c>
      <c r="H1545" s="126" t="n">
        <v>46289</v>
      </c>
      <c r="I1545" s="4" t="n">
        <v>0</v>
      </c>
      <c r="J1545" s="4" t="n">
        <v>0</v>
      </c>
      <c r="K1545" s="4" t="n">
        <v>0</v>
      </c>
      <c r="M1545" s="2">
        <f>IF(C1545="","",IFERROR(INDEX($S$5:$S$304,MATCH(C1545,$R$5:$R$304,0))&amp;"","?"))</f>
        <v/>
      </c>
      <c r="N1545" s="2">
        <f>IF(E1545="","",IF(ISNUMBER(SEARCH("SUBSOLO",E1545)),IFERROR(-VALUE(LEFT(E1545,FIND("º",SUBSTITUTE(E1545,"°","º"))-1)),-1),IF(LEFT(E1545,6)="TÉRREO",0,IFERROR(VALUE(LEFT(E1545,FIND("º",SUBSTITUTE(E1545,"°","º"))-1)),""))))</f>
        <v/>
      </c>
      <c r="O1545" s="2">
        <f>IF(OR(F1545="",G1545=""),"",IF(G1545&lt;='RETRATO 2027'!$K$5,"CONCLUÍDA",IF(F1545&lt;='RETRATO 2027'!$K$5,"EM ANDAMENTO","A INICIAR")))</f>
        <v/>
      </c>
    </row>
    <row r="1546">
      <c r="B1546" s="4" t="n">
        <v>29980920</v>
      </c>
      <c r="C1546" s="4" t="inlineStr">
        <is>
          <t>FIAÇÃO ELÉTRICA</t>
        </is>
      </c>
      <c r="D1546" s="4" t="inlineStr">
        <is>
          <t>-</t>
        </is>
      </c>
      <c r="E1546" s="4" t="inlineStr">
        <is>
          <t>24º PAV.</t>
        </is>
      </c>
      <c r="F1546" s="126" t="n">
        <v>46882</v>
      </c>
      <c r="G1546" s="126" t="n">
        <v>46892</v>
      </c>
      <c r="H1546" s="126" t="n">
        <v>46289</v>
      </c>
      <c r="I1546" s="4" t="n">
        <v>0</v>
      </c>
      <c r="J1546" s="4" t="n">
        <v>0</v>
      </c>
      <c r="K1546" s="4" t="n">
        <v>0</v>
      </c>
      <c r="M1546" s="2">
        <f>IF(C1546="","",IFERROR(INDEX($S$5:$S$304,MATCH(C1546,$R$5:$R$304,0))&amp;"","?"))</f>
        <v/>
      </c>
      <c r="N1546" s="2">
        <f>IF(E1546="","",IF(ISNUMBER(SEARCH("SUBSOLO",E1546)),IFERROR(-VALUE(LEFT(E1546,FIND("º",SUBSTITUTE(E1546,"°","º"))-1)),-1),IF(LEFT(E1546,6)="TÉRREO",0,IFERROR(VALUE(LEFT(E1546,FIND("º",SUBSTITUTE(E1546,"°","º"))-1)),""))))</f>
        <v/>
      </c>
      <c r="O1546" s="2">
        <f>IF(OR(F1546="",G1546=""),"",IF(G1546&lt;='RETRATO 2027'!$K$5,"CONCLUÍDA",IF(F1546&lt;='RETRATO 2027'!$K$5,"EM ANDAMENTO","A INICIAR")))</f>
        <v/>
      </c>
    </row>
    <row r="1547">
      <c r="B1547" s="4" t="n">
        <v>29980925</v>
      </c>
      <c r="C1547" s="4" t="inlineStr">
        <is>
          <t>PRUMADA ELÉTRICA - CABOS</t>
        </is>
      </c>
      <c r="D1547" s="4" t="inlineStr">
        <is>
          <t>-</t>
        </is>
      </c>
      <c r="E1547" s="4" t="inlineStr">
        <is>
          <t>24º PAV.</t>
        </is>
      </c>
      <c r="F1547" s="126" t="n">
        <v>46882</v>
      </c>
      <c r="G1547" s="126" t="n">
        <v>46892</v>
      </c>
      <c r="H1547" s="126" t="n">
        <v>46289</v>
      </c>
      <c r="I1547" s="4" t="n">
        <v>0</v>
      </c>
      <c r="J1547" s="4" t="n">
        <v>0</v>
      </c>
      <c r="K1547" s="4" t="n">
        <v>0</v>
      </c>
      <c r="M1547" s="2">
        <f>IF(C1547="","",IFERROR(INDEX($S$5:$S$304,MATCH(C1547,$R$5:$R$304,0))&amp;"","?"))</f>
        <v/>
      </c>
      <c r="N1547" s="2">
        <f>IF(E1547="","",IF(ISNUMBER(SEARCH("SUBSOLO",E1547)),IFERROR(-VALUE(LEFT(E1547,FIND("º",SUBSTITUTE(E1547,"°","º"))-1)),-1),IF(LEFT(E1547,6)="TÉRREO",0,IFERROR(VALUE(LEFT(E1547,FIND("º",SUBSTITUTE(E1547,"°","º"))-1)),""))))</f>
        <v/>
      </c>
      <c r="O1547" s="2">
        <f>IF(OR(F1547="",G1547=""),"",IF(G1547&lt;='RETRATO 2027'!$K$5,"CONCLUÍDA",IF(F1547&lt;='RETRATO 2027'!$K$5,"EM ANDAMENTO","A INICIAR")))</f>
        <v/>
      </c>
    </row>
    <row r="1548">
      <c r="B1548" s="4" t="n">
        <v>30214086</v>
      </c>
      <c r="C1548" s="4" t="inlineStr">
        <is>
          <t>FIAÇÃO TELECOM/DADOS</t>
        </is>
      </c>
      <c r="D1548" s="4" t="inlineStr">
        <is>
          <t>-</t>
        </is>
      </c>
      <c r="E1548" s="4" t="inlineStr">
        <is>
          <t>24º PAV.</t>
        </is>
      </c>
      <c r="F1548" s="126" t="n">
        <v>46882</v>
      </c>
      <c r="G1548" s="126" t="n">
        <v>46895</v>
      </c>
      <c r="H1548" s="126" t="n">
        <v>46289</v>
      </c>
      <c r="I1548" s="4" t="n">
        <v>0</v>
      </c>
      <c r="J1548" s="4" t="n">
        <v>0</v>
      </c>
      <c r="K1548" s="4" t="n">
        <v>0</v>
      </c>
      <c r="M1548" s="2">
        <f>IF(C1548="","",IFERROR(INDEX($S$5:$S$304,MATCH(C1548,$R$5:$R$304,0))&amp;"","?"))</f>
        <v/>
      </c>
      <c r="N1548" s="2">
        <f>IF(E1548="","",IF(ISNUMBER(SEARCH("SUBSOLO",E1548)),IFERROR(-VALUE(LEFT(E1548,FIND("º",SUBSTITUTE(E1548,"°","º"))-1)),-1),IF(LEFT(E1548,6)="TÉRREO",0,IFERROR(VALUE(LEFT(E1548,FIND("º",SUBSTITUTE(E1548,"°","º"))-1)),""))))</f>
        <v/>
      </c>
      <c r="O1548" s="2">
        <f>IF(OR(F1548="",G1548=""),"",IF(G1548&lt;='RETRATO 2027'!$K$5,"CONCLUÍDA",IF(F1548&lt;='RETRATO 2027'!$K$5,"EM ANDAMENTO","A INICIAR")))</f>
        <v/>
      </c>
    </row>
    <row r="1549">
      <c r="B1549" s="4" t="n">
        <v>29980867</v>
      </c>
      <c r="C1549" s="4" t="inlineStr">
        <is>
          <t>BANCADAS</t>
        </is>
      </c>
      <c r="D1549" s="4" t="inlineStr">
        <is>
          <t>-</t>
        </is>
      </c>
      <c r="E1549" s="4" t="inlineStr">
        <is>
          <t>25º PAV.</t>
        </is>
      </c>
      <c r="F1549" s="126" t="n">
        <v>46882</v>
      </c>
      <c r="G1549" s="126" t="n">
        <v>46892</v>
      </c>
      <c r="H1549" s="126" t="n">
        <v>46289</v>
      </c>
      <c r="I1549" s="4" t="n">
        <v>0</v>
      </c>
      <c r="J1549" s="4" t="n">
        <v>0</v>
      </c>
      <c r="K1549" s="4" t="n">
        <v>0</v>
      </c>
      <c r="M1549" s="2">
        <f>IF(C1549="","",IFERROR(INDEX($S$5:$S$304,MATCH(C1549,$R$5:$R$304,0))&amp;"","?"))</f>
        <v/>
      </c>
      <c r="N1549" s="2">
        <f>IF(E1549="","",IF(ISNUMBER(SEARCH("SUBSOLO",E1549)),IFERROR(-VALUE(LEFT(E1549,FIND("º",SUBSTITUTE(E1549,"°","º"))-1)),-1),IF(LEFT(E1549,6)="TÉRREO",0,IFERROR(VALUE(LEFT(E1549,FIND("º",SUBSTITUTE(E1549,"°","º"))-1)),""))))</f>
        <v/>
      </c>
      <c r="O1549" s="2">
        <f>IF(OR(F1549="",G1549=""),"",IF(G1549&lt;='RETRATO 2027'!$K$5,"CONCLUÍDA",IF(F1549&lt;='RETRATO 2027'!$K$5,"EM ANDAMENTO","A INICIAR")))</f>
        <v/>
      </c>
    </row>
    <row r="1550">
      <c r="B1550" s="4" t="n">
        <v>29980829</v>
      </c>
      <c r="C1550" s="4" t="inlineStr">
        <is>
          <t>REVESTIMENTOS PORCELANATO PISO</t>
        </is>
      </c>
      <c r="D1550" s="4" t="inlineStr">
        <is>
          <t>-</t>
        </is>
      </c>
      <c r="E1550" s="4" t="inlineStr">
        <is>
          <t>26º PAV.</t>
        </is>
      </c>
      <c r="F1550" s="126" t="n">
        <v>46882</v>
      </c>
      <c r="G1550" s="126" t="n">
        <v>46892</v>
      </c>
      <c r="H1550" s="126" t="n">
        <v>46289</v>
      </c>
      <c r="I1550" s="4" t="n">
        <v>0</v>
      </c>
      <c r="J1550" s="4" t="n">
        <v>0</v>
      </c>
      <c r="K1550" s="4" t="n">
        <v>0</v>
      </c>
      <c r="M1550" s="2">
        <f>IF(C1550="","",IFERROR(INDEX($S$5:$S$304,MATCH(C1550,$R$5:$R$304,0))&amp;"","?"))</f>
        <v/>
      </c>
      <c r="N1550" s="2">
        <f>IF(E1550="","",IF(ISNUMBER(SEARCH("SUBSOLO",E1550)),IFERROR(-VALUE(LEFT(E1550,FIND("º",SUBSTITUTE(E1550,"°","º"))-1)),-1),IF(LEFT(E1550,6)="TÉRREO",0,IFERROR(VALUE(LEFT(E1550,FIND("º",SUBSTITUTE(E1550,"°","º"))-1)),""))))</f>
        <v/>
      </c>
      <c r="O1550" s="2">
        <f>IF(OR(F1550="",G1550=""),"",IF(G1550&lt;='RETRATO 2027'!$K$5,"CONCLUÍDA",IF(F1550&lt;='RETRATO 2027'!$K$5,"EM ANDAMENTO","A INICIAR")))</f>
        <v/>
      </c>
    </row>
    <row r="1551">
      <c r="B1551" s="4" t="n">
        <v>29980808</v>
      </c>
      <c r="C1551" s="4" t="inlineStr">
        <is>
          <t>REVESTIMENTO PORCELANATO PAREDE</t>
        </is>
      </c>
      <c r="D1551" s="4" t="inlineStr">
        <is>
          <t>-</t>
        </is>
      </c>
      <c r="E1551" s="4" t="inlineStr">
        <is>
          <t>27º PAV.</t>
        </is>
      </c>
      <c r="F1551" s="126" t="n">
        <v>46882</v>
      </c>
      <c r="G1551" s="126" t="n">
        <v>46892</v>
      </c>
      <c r="H1551" s="126" t="n">
        <v>46289</v>
      </c>
      <c r="I1551" s="4" t="n">
        <v>0</v>
      </c>
      <c r="J1551" s="4" t="n">
        <v>0</v>
      </c>
      <c r="K1551" s="4" t="n">
        <v>0</v>
      </c>
      <c r="M1551" s="2">
        <f>IF(C1551="","",IFERROR(INDEX($S$5:$S$304,MATCH(C1551,$R$5:$R$304,0))&amp;"","?"))</f>
        <v/>
      </c>
      <c r="N1551" s="2">
        <f>IF(E1551="","",IF(ISNUMBER(SEARCH("SUBSOLO",E1551)),IFERROR(-VALUE(LEFT(E1551,FIND("º",SUBSTITUTE(E1551,"°","º"))-1)),-1),IF(LEFT(E1551,6)="TÉRREO",0,IFERROR(VALUE(LEFT(E1551,FIND("º",SUBSTITUTE(E1551,"°","º"))-1)),""))))</f>
        <v/>
      </c>
      <c r="O1551" s="2">
        <f>IF(OR(F1551="",G1551=""),"",IF(G1551&lt;='RETRATO 2027'!$K$5,"CONCLUÍDA",IF(F1551&lt;='RETRATO 2027'!$K$5,"EM ANDAMENTO","A INICIAR")))</f>
        <v/>
      </c>
    </row>
    <row r="1552">
      <c r="B1552" s="4" t="n">
        <v>29980769</v>
      </c>
      <c r="C1552" s="4" t="inlineStr">
        <is>
          <t>IMPERMEABILIZAÇÃO</t>
        </is>
      </c>
      <c r="D1552" s="4" t="inlineStr">
        <is>
          <t>-</t>
        </is>
      </c>
      <c r="E1552" s="4" t="inlineStr">
        <is>
          <t>28º PAV.</t>
        </is>
      </c>
      <c r="F1552" s="126" t="n">
        <v>46882</v>
      </c>
      <c r="G1552" s="126" t="n">
        <v>46892</v>
      </c>
      <c r="H1552" s="126" t="n">
        <v>46289</v>
      </c>
      <c r="I1552" s="4" t="n">
        <v>0</v>
      </c>
      <c r="J1552" s="4" t="n">
        <v>0</v>
      </c>
      <c r="K1552" s="4" t="n">
        <v>0</v>
      </c>
      <c r="M1552" s="2">
        <f>IF(C1552="","",IFERROR(INDEX($S$5:$S$304,MATCH(C1552,$R$5:$R$304,0))&amp;"","?"))</f>
        <v/>
      </c>
      <c r="N1552" s="2">
        <f>IF(E1552="","",IF(ISNUMBER(SEARCH("SUBSOLO",E1552)),IFERROR(-VALUE(LEFT(E1552,FIND("º",SUBSTITUTE(E1552,"°","º"))-1)),-1),IF(LEFT(E1552,6)="TÉRREO",0,IFERROR(VALUE(LEFT(E1552,FIND("º",SUBSTITUTE(E1552,"°","º"))-1)),""))))</f>
        <v/>
      </c>
      <c r="O1552" s="2">
        <f>IF(OR(F1552="",G1552=""),"",IF(G1552&lt;='RETRATO 2027'!$K$5,"CONCLUÍDA",IF(F1552&lt;='RETRATO 2027'!$K$5,"EM ANDAMENTO","A INICIAR")))</f>
        <v/>
      </c>
    </row>
    <row r="1553">
      <c r="B1553" s="4" t="n">
        <v>32750455</v>
      </c>
      <c r="C1553" s="4" t="inlineStr">
        <is>
          <t>DRYWALL 2º FACE</t>
        </is>
      </c>
      <c r="D1553" s="4" t="inlineStr">
        <is>
          <t>-</t>
        </is>
      </c>
      <c r="E1553" s="4" t="inlineStr">
        <is>
          <t>29º PAV.</t>
        </is>
      </c>
      <c r="F1553" s="126" t="n">
        <v>46882</v>
      </c>
      <c r="G1553" s="126" t="n">
        <v>46892</v>
      </c>
      <c r="H1553" s="126" t="n">
        <v>46289</v>
      </c>
      <c r="I1553" s="4" t="n">
        <v>0</v>
      </c>
      <c r="J1553" s="4" t="n">
        <v>0</v>
      </c>
      <c r="K1553" s="4" t="n">
        <v>0</v>
      </c>
      <c r="M1553" s="2">
        <f>IF(C1553="","",IFERROR(INDEX($S$5:$S$304,MATCH(C1553,$R$5:$R$304,0))&amp;"","?"))</f>
        <v/>
      </c>
      <c r="N1553" s="2">
        <f>IF(E1553="","",IF(ISNUMBER(SEARCH("SUBSOLO",E1553)),IFERROR(-VALUE(LEFT(E1553,FIND("º",SUBSTITUTE(E1553,"°","º"))-1)),-1),IF(LEFT(E1553,6)="TÉRREO",0,IFERROR(VALUE(LEFT(E1553,FIND("º",SUBSTITUTE(E1553,"°","º"))-1)),""))))</f>
        <v/>
      </c>
      <c r="O1553" s="2">
        <f>IF(OR(F1553="",G1553=""),"",IF(G1553&lt;='RETRATO 2027'!$K$5,"CONCLUÍDA",IF(F1553&lt;='RETRATO 2027'!$K$5,"EM ANDAMENTO","A INICIAR")))</f>
        <v/>
      </c>
    </row>
    <row r="1554">
      <c r="B1554" s="4" t="n">
        <v>32750378</v>
      </c>
      <c r="C1554" s="4" t="inlineStr">
        <is>
          <t>DISTRIBUIÇÃO DE GÁS - DRYWALL</t>
        </is>
      </c>
      <c r="D1554" s="4" t="inlineStr">
        <is>
          <t>-</t>
        </is>
      </c>
      <c r="E1554" s="4" t="inlineStr">
        <is>
          <t>30º PAV.</t>
        </is>
      </c>
      <c r="F1554" s="126" t="n">
        <v>46882</v>
      </c>
      <c r="G1554" s="126" t="n">
        <v>46892</v>
      </c>
      <c r="H1554" s="126" t="n">
        <v>46289</v>
      </c>
      <c r="I1554" s="4" t="n">
        <v>0</v>
      </c>
      <c r="J1554" s="4" t="n">
        <v>0</v>
      </c>
      <c r="K1554" s="4" t="n">
        <v>0</v>
      </c>
      <c r="M1554" s="2">
        <f>IF(C1554="","",IFERROR(INDEX($S$5:$S$304,MATCH(C1554,$R$5:$R$304,0))&amp;"","?"))</f>
        <v/>
      </c>
      <c r="N1554" s="2">
        <f>IF(E1554="","",IF(ISNUMBER(SEARCH("SUBSOLO",E1554)),IFERROR(-VALUE(LEFT(E1554,FIND("º",SUBSTITUTE(E1554,"°","º"))-1)),-1),IF(LEFT(E1554,6)="TÉRREO",0,IFERROR(VALUE(LEFT(E1554,FIND("º",SUBSTITUTE(E1554,"°","º"))-1)),""))))</f>
        <v/>
      </c>
      <c r="O1554" s="2">
        <f>IF(OR(F1554="",G1554=""),"",IF(G1554&lt;='RETRATO 2027'!$K$5,"CONCLUÍDA",IF(F1554&lt;='RETRATO 2027'!$K$5,"EM ANDAMENTO","A INICIAR")))</f>
        <v/>
      </c>
    </row>
    <row r="1555">
      <c r="B1555" s="4" t="n">
        <v>32750404</v>
      </c>
      <c r="C1555" s="4" t="inlineStr">
        <is>
          <t>DISTRIBUIÇÃO ELÉTRICA/QUADRO - DRYWALL</t>
        </is>
      </c>
      <c r="D1555" s="4" t="inlineStr">
        <is>
          <t>-</t>
        </is>
      </c>
      <c r="E1555" s="4" t="inlineStr">
        <is>
          <t>30º PAV.</t>
        </is>
      </c>
      <c r="F1555" s="126" t="n">
        <v>46882</v>
      </c>
      <c r="G1555" s="126" t="n">
        <v>46892</v>
      </c>
      <c r="H1555" s="126" t="n">
        <v>46289</v>
      </c>
      <c r="I1555" s="4" t="n">
        <v>0</v>
      </c>
      <c r="J1555" s="4" t="n">
        <v>0</v>
      </c>
      <c r="K1555" s="4" t="n">
        <v>0</v>
      </c>
      <c r="M1555" s="2">
        <f>IF(C1555="","",IFERROR(INDEX($S$5:$S$304,MATCH(C1555,$R$5:$R$304,0))&amp;"","?"))</f>
        <v/>
      </c>
      <c r="N1555" s="2">
        <f>IF(E1555="","",IF(ISNUMBER(SEARCH("SUBSOLO",E1555)),IFERROR(-VALUE(LEFT(E1555,FIND("º",SUBSTITUTE(E1555,"°","º"))-1)),-1),IF(LEFT(E1555,6)="TÉRREO",0,IFERROR(VALUE(LEFT(E1555,FIND("º",SUBSTITUTE(E1555,"°","º"))-1)),""))))</f>
        <v/>
      </c>
      <c r="O1555" s="2">
        <f>IF(OR(F1555="",G1555=""),"",IF(G1555&lt;='RETRATO 2027'!$K$5,"CONCLUÍDA",IF(F1555&lt;='RETRATO 2027'!$K$5,"EM ANDAMENTO","A INICIAR")))</f>
        <v/>
      </c>
    </row>
    <row r="1556">
      <c r="B1556" s="4" t="n">
        <v>32750430</v>
      </c>
      <c r="C1556" s="4" t="inlineStr">
        <is>
          <t>DISTRIBUIÇÃO HIDRÁULICA - DRYWALL</t>
        </is>
      </c>
      <c r="D1556" s="4" t="inlineStr">
        <is>
          <t>-</t>
        </is>
      </c>
      <c r="E1556" s="4" t="inlineStr">
        <is>
          <t>30º PAV.</t>
        </is>
      </c>
      <c r="F1556" s="126" t="n">
        <v>46882</v>
      </c>
      <c r="G1556" s="126" t="n">
        <v>46892</v>
      </c>
      <c r="H1556" s="126" t="n">
        <v>46289</v>
      </c>
      <c r="I1556" s="4" t="n">
        <v>0</v>
      </c>
      <c r="J1556" s="4" t="n">
        <v>0</v>
      </c>
      <c r="K1556" s="4" t="n">
        <v>0</v>
      </c>
      <c r="M1556" s="2">
        <f>IF(C1556="","",IFERROR(INDEX($S$5:$S$304,MATCH(C1556,$R$5:$R$304,0))&amp;"","?"))</f>
        <v/>
      </c>
      <c r="N1556" s="2">
        <f>IF(E1556="","",IF(ISNUMBER(SEARCH("SUBSOLO",E1556)),IFERROR(-VALUE(LEFT(E1556,FIND("º",SUBSTITUTE(E1556,"°","º"))-1)),-1),IF(LEFT(E1556,6)="TÉRREO",0,IFERROR(VALUE(LEFT(E1556,FIND("º",SUBSTITUTE(E1556,"°","º"))-1)),""))))</f>
        <v/>
      </c>
      <c r="O1556" s="2">
        <f>IF(OR(F1556="",G1556=""),"",IF(G1556&lt;='RETRATO 2027'!$K$5,"CONCLUÍDA",IF(F1556&lt;='RETRATO 2027'!$K$5,"EM ANDAMENTO","A INICIAR")))</f>
        <v/>
      </c>
    </row>
    <row r="1557">
      <c r="B1557" s="4" t="n">
        <v>33896848</v>
      </c>
      <c r="C1557" s="4" t="inlineStr">
        <is>
          <t>INFRAESTRUTURA - AR CONDICIONADO</t>
        </is>
      </c>
      <c r="D1557" s="4" t="inlineStr">
        <is>
          <t>-</t>
        </is>
      </c>
      <c r="E1557" s="4" t="inlineStr">
        <is>
          <t>30º PAV.</t>
        </is>
      </c>
      <c r="F1557" s="126" t="n">
        <v>46882</v>
      </c>
      <c r="G1557" s="126" t="n">
        <v>46892</v>
      </c>
      <c r="H1557" s="126" t="n">
        <v>46289</v>
      </c>
      <c r="I1557" s="4" t="n">
        <v>0</v>
      </c>
      <c r="J1557" s="4" t="n">
        <v>0</v>
      </c>
      <c r="K1557" s="4" t="n">
        <v>0</v>
      </c>
      <c r="M1557" s="2">
        <f>IF(C1557="","",IFERROR(INDEX($S$5:$S$304,MATCH(C1557,$R$5:$R$304,0))&amp;"","?"))</f>
        <v/>
      </c>
      <c r="N1557" s="2">
        <f>IF(E1557="","",IF(ISNUMBER(SEARCH("SUBSOLO",E1557)),IFERROR(-VALUE(LEFT(E1557,FIND("º",SUBSTITUTE(E1557,"°","º"))-1)),-1),IF(LEFT(E1557,6)="TÉRREO",0,IFERROR(VALUE(LEFT(E1557,FIND("º",SUBSTITUTE(E1557,"°","º"))-1)),""))))</f>
        <v/>
      </c>
      <c r="O1557" s="2">
        <f>IF(OR(F1557="",G1557=""),"",IF(G1557&lt;='RETRATO 2027'!$K$5,"CONCLUÍDA",IF(F1557&lt;='RETRATO 2027'!$K$5,"EM ANDAMENTO","A INICIAR")))</f>
        <v/>
      </c>
    </row>
    <row r="1558">
      <c r="B1558" s="4" t="n">
        <v>32749874</v>
      </c>
      <c r="C1558" s="4" t="inlineStr">
        <is>
          <t>DRYWALL 1º FACE</t>
        </is>
      </c>
      <c r="D1558" s="4" t="inlineStr">
        <is>
          <t>-</t>
        </is>
      </c>
      <c r="E1558" s="4" t="inlineStr">
        <is>
          <t>31º PAV. - COBERTURA LINEAR</t>
        </is>
      </c>
      <c r="F1558" s="126" t="n">
        <v>46882</v>
      </c>
      <c r="G1558" s="126" t="n">
        <v>46892</v>
      </c>
      <c r="H1558" s="126" t="n">
        <v>46289</v>
      </c>
      <c r="I1558" s="4" t="n">
        <v>0</v>
      </c>
      <c r="J1558" s="4" t="n">
        <v>0</v>
      </c>
      <c r="K1558" s="4" t="n">
        <v>0</v>
      </c>
      <c r="M1558" s="2">
        <f>IF(C1558="","",IFERROR(INDEX($S$5:$S$304,MATCH(C1558,$R$5:$R$304,0))&amp;"","?"))</f>
        <v/>
      </c>
      <c r="N1558" s="2">
        <f>IF(E1558="","",IF(ISNUMBER(SEARCH("SUBSOLO",E1558)),IFERROR(-VALUE(LEFT(E1558,FIND("º",SUBSTITUTE(E1558,"°","º"))-1)),-1),IF(LEFT(E1558,6)="TÉRREO",0,IFERROR(VALUE(LEFT(E1558,FIND("º",SUBSTITUTE(E1558,"°","º"))-1)),""))))</f>
        <v/>
      </c>
      <c r="O1558" s="2">
        <f>IF(OR(F1558="",G1558=""),"",IF(G1558&lt;='RETRATO 2027'!$K$5,"CONCLUÍDA",IF(F1558&lt;='RETRATO 2027'!$K$5,"EM ANDAMENTO","A INICIAR")))</f>
        <v/>
      </c>
    </row>
    <row r="1559">
      <c r="B1559" s="4" t="n">
        <v>29980622</v>
      </c>
      <c r="C1559" s="4" t="inlineStr">
        <is>
          <t>CONTRAPISO</t>
        </is>
      </c>
      <c r="D1559" s="4" t="inlineStr">
        <is>
          <t>-</t>
        </is>
      </c>
      <c r="E1559" s="4" t="inlineStr">
        <is>
          <t>32º PAV - COBERTURA GERAL</t>
        </is>
      </c>
      <c r="F1559" s="126" t="n">
        <v>46882</v>
      </c>
      <c r="G1559" s="126" t="n">
        <v>46892</v>
      </c>
      <c r="H1559" s="126" t="n">
        <v>46289</v>
      </c>
      <c r="I1559" s="4" t="n">
        <v>0</v>
      </c>
      <c r="J1559" s="4" t="n">
        <v>0</v>
      </c>
      <c r="K1559" s="4" t="n">
        <v>0</v>
      </c>
      <c r="M1559" s="2">
        <f>IF(C1559="","",IFERROR(INDEX($S$5:$S$304,MATCH(C1559,$R$5:$R$304,0))&amp;"","?"))</f>
        <v/>
      </c>
      <c r="N1559" s="2">
        <f>IF(E1559="","",IF(ISNUMBER(SEARCH("SUBSOLO",E1559)),IFERROR(-VALUE(LEFT(E1559,FIND("º",SUBSTITUTE(E1559,"°","º"))-1)),-1),IF(LEFT(E1559,6)="TÉRREO",0,IFERROR(VALUE(LEFT(E1559,FIND("º",SUBSTITUTE(E1559,"°","º"))-1)),""))))</f>
        <v/>
      </c>
      <c r="O1559" s="2">
        <f>IF(OR(F1559="",G1559=""),"",IF(G1559&lt;='RETRATO 2027'!$K$5,"CONCLUÍDA",IF(F1559&lt;='RETRATO 2027'!$K$5,"EM ANDAMENTO","A INICIAR")))</f>
        <v/>
      </c>
    </row>
    <row r="1560">
      <c r="B1560" s="4" t="n">
        <v>30205822</v>
      </c>
      <c r="C1560" s="4" t="inlineStr">
        <is>
          <t>FORRO</t>
        </is>
      </c>
      <c r="D1560" s="4" t="inlineStr">
        <is>
          <t>-</t>
        </is>
      </c>
      <c r="E1560" s="4" t="inlineStr">
        <is>
          <t>TÉRREO - HALL SOCIAL + ECLUSA + CIRCULAÇÃO</t>
        </is>
      </c>
      <c r="F1560" s="126" t="n">
        <v>46883</v>
      </c>
      <c r="G1560" s="126" t="n">
        <v>46896</v>
      </c>
      <c r="H1560" s="126" t="n">
        <v>46289</v>
      </c>
      <c r="I1560" s="4" t="n">
        <v>0</v>
      </c>
      <c r="J1560" s="4" t="n">
        <v>0</v>
      </c>
      <c r="K1560" s="4" t="n">
        <v>0</v>
      </c>
      <c r="M1560" s="2">
        <f>IF(C1560="","",IFERROR(INDEX($S$5:$S$304,MATCH(C1560,$R$5:$R$304,0))&amp;"","?"))</f>
        <v/>
      </c>
      <c r="N1560" s="2">
        <f>IF(E1560="","",IF(ISNUMBER(SEARCH("SUBSOLO",E1560)),IFERROR(-VALUE(LEFT(E1560,FIND("º",SUBSTITUTE(E1560,"°","º"))-1)),-1),IF(LEFT(E1560,6)="TÉRREO",0,IFERROR(VALUE(LEFT(E1560,FIND("º",SUBSTITUTE(E1560,"°","º"))-1)),""))))</f>
        <v/>
      </c>
      <c r="O1560" s="2">
        <f>IF(OR(F1560="",G1560=""),"",IF(G1560&lt;='RETRATO 2027'!$K$5,"CONCLUÍDA",IF(F1560&lt;='RETRATO 2027'!$K$5,"EM ANDAMENTO","A INICIAR")))</f>
        <v/>
      </c>
    </row>
    <row r="1561">
      <c r="B1561" s="4" t="n">
        <v>30208604</v>
      </c>
      <c r="C1561" s="4" t="inlineStr">
        <is>
          <t>PRUMADA ELÉTRICA - CABOS</t>
        </is>
      </c>
      <c r="D1561" s="4" t="inlineStr">
        <is>
          <t>-</t>
        </is>
      </c>
      <c r="E1561" s="4" t="inlineStr">
        <is>
          <t>TÉRREO - GERAL</t>
        </is>
      </c>
      <c r="F1561" s="126" t="n">
        <v>46883</v>
      </c>
      <c r="G1561" s="126" t="n">
        <v>46896</v>
      </c>
      <c r="H1561" s="126" t="n">
        <v>46289</v>
      </c>
      <c r="I1561" s="4" t="n">
        <v>0</v>
      </c>
      <c r="J1561" s="4" t="n">
        <v>0</v>
      </c>
      <c r="K1561" s="4" t="n">
        <v>0</v>
      </c>
      <c r="M1561" s="2">
        <f>IF(C1561="","",IFERROR(INDEX($S$5:$S$304,MATCH(C1561,$R$5:$R$304,0))&amp;"","?"))</f>
        <v/>
      </c>
      <c r="N1561" s="2">
        <f>IF(E1561="","",IF(ISNUMBER(SEARCH("SUBSOLO",E1561)),IFERROR(-VALUE(LEFT(E1561,FIND("º",SUBSTITUTE(E1561,"°","º"))-1)),-1),IF(LEFT(E1561,6)="TÉRREO",0,IFERROR(VALUE(LEFT(E1561,FIND("º",SUBSTITUTE(E1561,"°","º"))-1)),""))))</f>
        <v/>
      </c>
      <c r="O1561" s="2">
        <f>IF(OR(F1561="",G1561=""),"",IF(G1561&lt;='RETRATO 2027'!$K$5,"CONCLUÍDA",IF(F1561&lt;='RETRATO 2027'!$K$5,"EM ANDAMENTO","A INICIAR")))</f>
        <v/>
      </c>
    </row>
    <row r="1562">
      <c r="B1562" s="4" t="n">
        <v>30208610</v>
      </c>
      <c r="C1562" s="4" t="inlineStr">
        <is>
          <t>CONTRAPISO</t>
        </is>
      </c>
      <c r="D1562" s="4" t="inlineStr">
        <is>
          <t>-</t>
        </is>
      </c>
      <c r="E1562" s="4" t="inlineStr">
        <is>
          <t>6º PAV (PILOTIS) - PISCINA + PRAINHA + DECK</t>
        </is>
      </c>
      <c r="F1562" s="126" t="n">
        <v>46883</v>
      </c>
      <c r="G1562" s="126" t="n">
        <v>46903</v>
      </c>
      <c r="H1562" s="126" t="n">
        <v>46289</v>
      </c>
      <c r="I1562" s="4" t="n">
        <v>0</v>
      </c>
      <c r="J1562" s="4" t="n">
        <v>0</v>
      </c>
      <c r="K1562" s="4" t="n">
        <v>0</v>
      </c>
      <c r="M1562" s="2">
        <f>IF(C1562="","",IFERROR(INDEX($S$5:$S$304,MATCH(C1562,$R$5:$R$304,0))&amp;"","?"))</f>
        <v/>
      </c>
      <c r="N1562" s="2">
        <f>IF(E1562="","",IF(ISNUMBER(SEARCH("SUBSOLO",E1562)),IFERROR(-VALUE(LEFT(E1562,FIND("º",SUBSTITUTE(E1562,"°","º"))-1)),-1),IF(LEFT(E1562,6)="TÉRREO",0,IFERROR(VALUE(LEFT(E1562,FIND("º",SUBSTITUTE(E1562,"°","º"))-1)),""))))</f>
        <v/>
      </c>
      <c r="O1562" s="2">
        <f>IF(OR(F1562="",G1562=""),"",IF(G1562&lt;='RETRATO 2027'!$K$5,"CONCLUÍDA",IF(F1562&lt;='RETRATO 2027'!$K$5,"EM ANDAMENTO","A INICIAR")))</f>
        <v/>
      </c>
    </row>
    <row r="1563">
      <c r="B1563" s="4" t="n">
        <v>29981112</v>
      </c>
      <c r="C1563" s="4" t="inlineStr">
        <is>
          <t>DISTRIBUIÇÃO HIDROSSANITÁRIA</t>
        </is>
      </c>
      <c r="D1563" s="4" t="inlineStr">
        <is>
          <t>-</t>
        </is>
      </c>
      <c r="E1563" s="4" t="inlineStr">
        <is>
          <t>19º PAV.</t>
        </is>
      </c>
      <c r="F1563" s="126" t="n">
        <v>46883</v>
      </c>
      <c r="G1563" s="126" t="n">
        <v>46895</v>
      </c>
      <c r="H1563" s="126" t="n">
        <v>46289</v>
      </c>
      <c r="I1563" s="4" t="n">
        <v>0</v>
      </c>
      <c r="J1563" s="4" t="n">
        <v>0</v>
      </c>
      <c r="K1563" s="4" t="n">
        <v>0</v>
      </c>
      <c r="M1563" s="2">
        <f>IF(C1563="","",IFERROR(INDEX($S$5:$S$304,MATCH(C1563,$R$5:$R$304,0))&amp;"","?"))</f>
        <v/>
      </c>
      <c r="N1563" s="2">
        <f>IF(E1563="","",IF(ISNUMBER(SEARCH("SUBSOLO",E1563)),IFERROR(-VALUE(LEFT(E1563,FIND("º",SUBSTITUTE(E1563,"°","º"))-1)),-1),IF(LEFT(E1563,6)="TÉRREO",0,IFERROR(VALUE(LEFT(E1563,FIND("º",SUBSTITUTE(E1563,"°","º"))-1)),""))))</f>
        <v/>
      </c>
      <c r="O1563" s="2">
        <f>IF(OR(F1563="",G1563=""),"",IF(G1563&lt;='RETRATO 2027'!$K$5,"CONCLUÍDA",IF(F1563&lt;='RETRATO 2027'!$K$5,"EM ANDAMENTO","A INICIAR")))</f>
        <v/>
      </c>
    </row>
    <row r="1564">
      <c r="B1564" s="4" t="n">
        <v>29981081</v>
      </c>
      <c r="C1564" s="4" t="inlineStr">
        <is>
          <t>DISTRIBUIÇÃO ELÉTRICA / QUADRO</t>
        </is>
      </c>
      <c r="D1564" s="4" t="inlineStr">
        <is>
          <t>-</t>
        </is>
      </c>
      <c r="E1564" s="4" t="inlineStr">
        <is>
          <t>19º PAV.</t>
        </is>
      </c>
      <c r="F1564" s="126" t="n">
        <v>46883</v>
      </c>
      <c r="G1564" s="126" t="n">
        <v>46895</v>
      </c>
      <c r="H1564" s="126" t="n">
        <v>46289</v>
      </c>
      <c r="I1564" s="4" t="n">
        <v>0</v>
      </c>
      <c r="J1564" s="4" t="n">
        <v>0</v>
      </c>
      <c r="K1564" s="4" t="n">
        <v>0</v>
      </c>
      <c r="M1564" s="2">
        <f>IF(C1564="","",IFERROR(INDEX($S$5:$S$304,MATCH(C1564,$R$5:$R$304,0))&amp;"","?"))</f>
        <v/>
      </c>
      <c r="N1564" s="2">
        <f>IF(E1564="","",IF(ISNUMBER(SEARCH("SUBSOLO",E1564)),IFERROR(-VALUE(LEFT(E1564,FIND("º",SUBSTITUTE(E1564,"°","º"))-1)),-1),IF(LEFT(E1564,6)="TÉRREO",0,IFERROR(VALUE(LEFT(E1564,FIND("º",SUBSTITUTE(E1564,"°","º"))-1)),""))))</f>
        <v/>
      </c>
      <c r="O1564" s="2">
        <f>IF(OR(F1564="",G1564=""),"",IF(G1564&lt;='RETRATO 2027'!$K$5,"CONCLUÍDA",IF(F1564&lt;='RETRATO 2027'!$K$5,"EM ANDAMENTO","A INICIAR")))</f>
        <v/>
      </c>
    </row>
    <row r="1565">
      <c r="B1565" s="4" t="n">
        <v>29981114</v>
      </c>
      <c r="C1565" s="4" t="inlineStr">
        <is>
          <t>DISTRIBUIÇÃO DE GÁS</t>
        </is>
      </c>
      <c r="D1565" s="4" t="inlineStr">
        <is>
          <t>-</t>
        </is>
      </c>
      <c r="E1565" s="4" t="inlineStr">
        <is>
          <t>19º PAV.</t>
        </is>
      </c>
      <c r="F1565" s="126" t="n">
        <v>46883</v>
      </c>
      <c r="G1565" s="126" t="n">
        <v>46895</v>
      </c>
      <c r="H1565" s="126" t="n">
        <v>46289</v>
      </c>
      <c r="I1565" s="4" t="n">
        <v>0</v>
      </c>
      <c r="J1565" s="4" t="n">
        <v>0</v>
      </c>
      <c r="K1565" s="4" t="n">
        <v>0</v>
      </c>
      <c r="M1565" s="2">
        <f>IF(C1565="","",IFERROR(INDEX($S$5:$S$304,MATCH(C1565,$R$5:$R$304,0))&amp;"","?"))</f>
        <v/>
      </c>
      <c r="N1565" s="2">
        <f>IF(E1565="","",IF(ISNUMBER(SEARCH("SUBSOLO",E1565)),IFERROR(-VALUE(LEFT(E1565,FIND("º",SUBSTITUTE(E1565,"°","º"))-1)),-1),IF(LEFT(E1565,6)="TÉRREO",0,IFERROR(VALUE(LEFT(E1565,FIND("º",SUBSTITUTE(E1565,"°","º"))-1)),""))))</f>
        <v/>
      </c>
      <c r="O1565" s="2">
        <f>IF(OR(F1565="",G1565=""),"",IF(G1565&lt;='RETRATO 2027'!$K$5,"CONCLUÍDA",IF(F1565&lt;='RETRATO 2027'!$K$5,"EM ANDAMENTO","A INICIAR")))</f>
        <v/>
      </c>
    </row>
    <row r="1566">
      <c r="B1566" s="4" t="n">
        <v>31791087</v>
      </c>
      <c r="C1566" s="4" t="inlineStr">
        <is>
          <t>PREPARAÇÃO PARA FACHADA AERADA - F5 (2º ETAPA)</t>
        </is>
      </c>
      <c r="D1566" s="4" t="inlineStr">
        <is>
          <t>-</t>
        </is>
      </c>
      <c r="E1566" s="4" t="inlineStr">
        <is>
          <t>FACHADA</t>
        </is>
      </c>
      <c r="F1566" s="126" t="n">
        <v>46883</v>
      </c>
      <c r="G1566" s="126" t="n">
        <v>46910</v>
      </c>
      <c r="H1566" s="126" t="n">
        <v>46289</v>
      </c>
      <c r="I1566" s="4" t="n">
        <v>0</v>
      </c>
      <c r="J1566" s="4" t="n">
        <v>0</v>
      </c>
      <c r="K1566" s="4" t="n">
        <v>0</v>
      </c>
      <c r="M1566" s="2">
        <f>IF(C1566="","",IFERROR(INDEX($S$5:$S$304,MATCH(C1566,$R$5:$R$304,0))&amp;"","?"))</f>
        <v/>
      </c>
      <c r="N1566" s="2">
        <f>IF(E1566="","",IF(ISNUMBER(SEARCH("SUBSOLO",E1566)),IFERROR(-VALUE(LEFT(E1566,FIND("º",SUBSTITUTE(E1566,"°","º"))-1)),-1),IF(LEFT(E1566,6)="TÉRREO",0,IFERROR(VALUE(LEFT(E1566,FIND("º",SUBSTITUTE(E1566,"°","º"))-1)),""))))</f>
        <v/>
      </c>
      <c r="O1566" s="2">
        <f>IF(OR(F1566="",G1566=""),"",IF(G1566&lt;='RETRATO 2027'!$K$5,"CONCLUÍDA",IF(F1566&lt;='RETRATO 2027'!$K$5,"EM ANDAMENTO","A INICIAR")))</f>
        <v/>
      </c>
    </row>
    <row r="1567">
      <c r="B1567" s="4" t="n">
        <v>31800444</v>
      </c>
      <c r="C1567" s="4" t="inlineStr">
        <is>
          <t>INSTALAÇÃO DE SHADOWBOX E BRISE - F1 + F2</t>
        </is>
      </c>
      <c r="D1567" s="4" t="inlineStr">
        <is>
          <t>-</t>
        </is>
      </c>
      <c r="E1567" s="4" t="inlineStr">
        <is>
          <t>FACHADA</t>
        </is>
      </c>
      <c r="F1567" s="126" t="n">
        <v>46883</v>
      </c>
      <c r="G1567" s="126" t="n">
        <v>46925</v>
      </c>
      <c r="H1567" s="126" t="n">
        <v>46289</v>
      </c>
      <c r="I1567" s="4" t="n">
        <v>0</v>
      </c>
      <c r="J1567" s="4" t="n">
        <v>0</v>
      </c>
      <c r="K1567" s="4" t="n">
        <v>0</v>
      </c>
      <c r="M1567" s="2">
        <f>IF(C1567="","",IFERROR(INDEX($S$5:$S$304,MATCH(C1567,$R$5:$R$304,0))&amp;"","?"))</f>
        <v/>
      </c>
      <c r="N1567" s="2">
        <f>IF(E1567="","",IF(ISNUMBER(SEARCH("SUBSOLO",E1567)),IFERROR(-VALUE(LEFT(E1567,FIND("º",SUBSTITUTE(E1567,"°","º"))-1)),-1),IF(LEFT(E1567,6)="TÉRREO",0,IFERROR(VALUE(LEFT(E1567,FIND("º",SUBSTITUTE(E1567,"°","º"))-1)),""))))</f>
        <v/>
      </c>
      <c r="O1567" s="2">
        <f>IF(OR(F1567="",G1567=""),"",IF(G1567&lt;='RETRATO 2027'!$K$5,"CONCLUÍDA",IF(F1567&lt;='RETRATO 2027'!$K$5,"EM ANDAMENTO","A INICIAR")))</f>
        <v/>
      </c>
    </row>
    <row r="1568">
      <c r="B1568" s="4" t="n">
        <v>30205954</v>
      </c>
      <c r="C1568" s="4" t="inlineStr">
        <is>
          <t>CONTRAMARCO</t>
        </is>
      </c>
      <c r="D1568" s="4" t="inlineStr">
        <is>
          <t>-</t>
        </is>
      </c>
      <c r="E1568" s="4" t="inlineStr">
        <is>
          <t>6º PAV (PILOTIS) - LOUNGE + SALÃO + COZINHA + GOURMET + ESPAÇO KIDS</t>
        </is>
      </c>
      <c r="F1568" s="126" t="n">
        <v>46884</v>
      </c>
      <c r="G1568" s="126" t="n">
        <v>46890</v>
      </c>
      <c r="H1568" s="126" t="n">
        <v>46289</v>
      </c>
      <c r="I1568" s="4" t="n">
        <v>0</v>
      </c>
      <c r="J1568" s="4" t="n">
        <v>0</v>
      </c>
      <c r="K1568" s="4" t="n">
        <v>0</v>
      </c>
      <c r="M1568" s="2">
        <f>IF(C1568="","",IFERROR(INDEX($S$5:$S$304,MATCH(C1568,$R$5:$R$304,0))&amp;"","?"))</f>
        <v/>
      </c>
      <c r="N1568" s="2">
        <f>IF(E1568="","",IF(ISNUMBER(SEARCH("SUBSOLO",E1568)),IFERROR(-VALUE(LEFT(E1568,FIND("º",SUBSTITUTE(E1568,"°","º"))-1)),-1),IF(LEFT(E1568,6)="TÉRREO",0,IFERROR(VALUE(LEFT(E1568,FIND("º",SUBSTITUTE(E1568,"°","º"))-1)),""))))</f>
        <v/>
      </c>
      <c r="O1568" s="2">
        <f>IF(OR(F1568="",G1568=""),"",IF(G1568&lt;='RETRATO 2027'!$K$5,"CONCLUÍDA",IF(F1568&lt;='RETRATO 2027'!$K$5,"EM ANDAMENTO","A INICIAR")))</f>
        <v/>
      </c>
    </row>
    <row r="1569">
      <c r="B1569" s="4" t="n">
        <v>30205634</v>
      </c>
      <c r="C1569" s="4" t="inlineStr">
        <is>
          <t>DISJUNTORES / MIOLOS</t>
        </is>
      </c>
      <c r="D1569" s="4" t="inlineStr">
        <is>
          <t>-</t>
        </is>
      </c>
      <c r="E1569" s="4" t="inlineStr">
        <is>
          <t>TÉRREO - LOJA 3</t>
        </is>
      </c>
      <c r="F1569" s="126" t="n">
        <v>46888</v>
      </c>
      <c r="G1569" s="126" t="n">
        <v>46892</v>
      </c>
      <c r="H1569" s="126" t="n">
        <v>46289</v>
      </c>
      <c r="I1569" s="4" t="n">
        <v>0</v>
      </c>
      <c r="J1569" s="4" t="n">
        <v>0</v>
      </c>
      <c r="K1569" s="4" t="n">
        <v>0</v>
      </c>
      <c r="M1569" s="2">
        <f>IF(C1569="","",IFERROR(INDEX($S$5:$S$304,MATCH(C1569,$R$5:$R$304,0))&amp;"","?"))</f>
        <v/>
      </c>
      <c r="N1569" s="2">
        <f>IF(E1569="","",IF(ISNUMBER(SEARCH("SUBSOLO",E1569)),IFERROR(-VALUE(LEFT(E1569,FIND("º",SUBSTITUTE(E1569,"°","º"))-1)),-1),IF(LEFT(E1569,6)="TÉRREO",0,IFERROR(VALUE(LEFT(E1569,FIND("º",SUBSTITUTE(E1569,"°","º"))-1)),""))))</f>
        <v/>
      </c>
      <c r="O1569" s="2">
        <f>IF(OR(F1569="",G1569=""),"",IF(G1569&lt;='RETRATO 2027'!$K$5,"CONCLUÍDA",IF(F1569&lt;='RETRATO 2027'!$K$5,"EM ANDAMENTO","A INICIAR")))</f>
        <v/>
      </c>
    </row>
    <row r="1570">
      <c r="B1570" s="4" t="n">
        <v>30205609</v>
      </c>
      <c r="C1570" s="4" t="inlineStr">
        <is>
          <t>ESQUADRIA MADEIRA</t>
        </is>
      </c>
      <c r="D1570" s="4" t="inlineStr">
        <is>
          <t>-</t>
        </is>
      </c>
      <c r="E1570" s="4" t="inlineStr">
        <is>
          <t>TÉRREO - LOJA 4</t>
        </is>
      </c>
      <c r="F1570" s="126" t="n">
        <v>46888</v>
      </c>
      <c r="G1570" s="126" t="n">
        <v>46899</v>
      </c>
      <c r="H1570" s="126" t="n">
        <v>46289</v>
      </c>
      <c r="I1570" s="4" t="n">
        <v>0</v>
      </c>
      <c r="J1570" s="4" t="n">
        <v>0</v>
      </c>
      <c r="K1570" s="4" t="n">
        <v>0</v>
      </c>
      <c r="M1570" s="2">
        <f>IF(C1570="","",IFERROR(INDEX($S$5:$S$304,MATCH(C1570,$R$5:$R$304,0))&amp;"","?"))</f>
        <v/>
      </c>
      <c r="N1570" s="2">
        <f>IF(E1570="","",IF(ISNUMBER(SEARCH("SUBSOLO",E1570)),IFERROR(-VALUE(LEFT(E1570,FIND("º",SUBSTITUTE(E1570,"°","º"))-1)),-1),IF(LEFT(E1570,6)="TÉRREO",0,IFERROR(VALUE(LEFT(E1570,FIND("º",SUBSTITUTE(E1570,"°","º"))-1)),""))))</f>
        <v/>
      </c>
      <c r="O1570" s="2">
        <f>IF(OR(F1570="",G1570=""),"",IF(G1570&lt;='RETRATO 2027'!$K$5,"CONCLUÍDA",IF(F1570&lt;='RETRATO 2027'!$K$5,"EM ANDAMENTO","A INICIAR")))</f>
        <v/>
      </c>
    </row>
    <row r="1571">
      <c r="B1571" s="4" t="n">
        <v>30205608</v>
      </c>
      <c r="C1571" s="4" t="inlineStr">
        <is>
          <t>LOUÇAS</t>
        </is>
      </c>
      <c r="D1571" s="4" t="inlineStr">
        <is>
          <t>-</t>
        </is>
      </c>
      <c r="E1571" s="4" t="inlineStr">
        <is>
          <t>TÉRREO - LOJA 4</t>
        </is>
      </c>
      <c r="F1571" s="126" t="n">
        <v>46888</v>
      </c>
      <c r="G1571" s="126" t="n">
        <v>46899</v>
      </c>
      <c r="H1571" s="126" t="n">
        <v>46289</v>
      </c>
      <c r="I1571" s="4" t="n">
        <v>0</v>
      </c>
      <c r="J1571" s="4" t="n">
        <v>0</v>
      </c>
      <c r="K1571" s="4" t="n">
        <v>0</v>
      </c>
      <c r="M1571" s="2">
        <f>IF(C1571="","",IFERROR(INDEX($S$5:$S$304,MATCH(C1571,$R$5:$R$304,0))&amp;"","?"))</f>
        <v/>
      </c>
      <c r="N1571" s="2">
        <f>IF(E1571="","",IF(ISNUMBER(SEARCH("SUBSOLO",E1571)),IFERROR(-VALUE(LEFT(E1571,FIND("º",SUBSTITUTE(E1571,"°","º"))-1)),-1),IF(LEFT(E1571,6)="TÉRREO",0,IFERROR(VALUE(LEFT(E1571,FIND("º",SUBSTITUTE(E1571,"°","º"))-1)),""))))</f>
        <v/>
      </c>
      <c r="O1571" s="2">
        <f>IF(OR(F1571="",G1571=""),"",IF(G1571&lt;='RETRATO 2027'!$K$5,"CONCLUÍDA",IF(F1571&lt;='RETRATO 2027'!$K$5,"EM ANDAMENTO","A INICIAR")))</f>
        <v/>
      </c>
    </row>
    <row r="1572">
      <c r="B1572" s="4" t="n">
        <v>30205606</v>
      </c>
      <c r="C1572" s="4" t="inlineStr">
        <is>
          <t>METAIS</t>
        </is>
      </c>
      <c r="D1572" s="4" t="inlineStr">
        <is>
          <t>-</t>
        </is>
      </c>
      <c r="E1572" s="4" t="inlineStr">
        <is>
          <t>TÉRREO - LOJA 4</t>
        </is>
      </c>
      <c r="F1572" s="126" t="n">
        <v>46888</v>
      </c>
      <c r="G1572" s="126" t="n">
        <v>46899</v>
      </c>
      <c r="H1572" s="126" t="n">
        <v>46289</v>
      </c>
      <c r="I1572" s="4" t="n">
        <v>0</v>
      </c>
      <c r="J1572" s="4" t="n">
        <v>0</v>
      </c>
      <c r="K1572" s="4" t="n">
        <v>0</v>
      </c>
      <c r="M1572" s="2">
        <f>IF(C1572="","",IFERROR(INDEX($S$5:$S$304,MATCH(C1572,$R$5:$R$304,0))&amp;"","?"))</f>
        <v/>
      </c>
      <c r="N1572" s="2">
        <f>IF(E1572="","",IF(ISNUMBER(SEARCH("SUBSOLO",E1572)),IFERROR(-VALUE(LEFT(E1572,FIND("º",SUBSTITUTE(E1572,"°","º"))-1)),-1),IF(LEFT(E1572,6)="TÉRREO",0,IFERROR(VALUE(LEFT(E1572,FIND("º",SUBSTITUTE(E1572,"°","º"))-1)),""))))</f>
        <v/>
      </c>
      <c r="O1572" s="2">
        <f>IF(OR(F1572="",G1572=""),"",IF(G1572&lt;='RETRATO 2027'!$K$5,"CONCLUÍDA",IF(F1572&lt;='RETRATO 2027'!$K$5,"EM ANDAMENTO","A INICIAR")))</f>
        <v/>
      </c>
    </row>
    <row r="1573">
      <c r="B1573" s="4" t="n">
        <v>30205591</v>
      </c>
      <c r="C1573" s="4" t="inlineStr">
        <is>
          <t>PINTURA 1º DEMÃO</t>
        </is>
      </c>
      <c r="D1573" s="4" t="inlineStr">
        <is>
          <t>-</t>
        </is>
      </c>
      <c r="E1573" s="4" t="inlineStr">
        <is>
          <t>TÉRREO - LOJA 5</t>
        </is>
      </c>
      <c r="F1573" s="126" t="n">
        <v>46888</v>
      </c>
      <c r="G1573" s="126" t="n">
        <v>46899</v>
      </c>
      <c r="H1573" s="126" t="n">
        <v>46289</v>
      </c>
      <c r="I1573" s="4" t="n">
        <v>0</v>
      </c>
      <c r="J1573" s="4" t="n">
        <v>0</v>
      </c>
      <c r="K1573" s="4" t="n">
        <v>0</v>
      </c>
      <c r="M1573" s="2">
        <f>IF(C1573="","",IFERROR(INDEX($S$5:$S$304,MATCH(C1573,$R$5:$R$304,0))&amp;"","?"))</f>
        <v/>
      </c>
      <c r="N1573" s="2">
        <f>IF(E1573="","",IF(ISNUMBER(SEARCH("SUBSOLO",E1573)),IFERROR(-VALUE(LEFT(E1573,FIND("º",SUBSTITUTE(E1573,"°","º"))-1)),-1),IF(LEFT(E1573,6)="TÉRREO",0,IFERROR(VALUE(LEFT(E1573,FIND("º",SUBSTITUTE(E1573,"°","º"))-1)),""))))</f>
        <v/>
      </c>
      <c r="O1573" s="2">
        <f>IF(OR(F1573="",G1573=""),"",IF(G1573&lt;='RETRATO 2027'!$K$5,"CONCLUÍDA",IF(F1573&lt;='RETRATO 2027'!$K$5,"EM ANDAMENTO","A INICIAR")))</f>
        <v/>
      </c>
    </row>
    <row r="1574">
      <c r="B1574" s="4" t="n">
        <v>29981550</v>
      </c>
      <c r="C1574" s="4" t="inlineStr">
        <is>
          <t>LIMPEZA FINA</t>
        </is>
      </c>
      <c r="D1574" s="4" t="inlineStr">
        <is>
          <t>-</t>
        </is>
      </c>
      <c r="E1574" s="4" t="inlineStr">
        <is>
          <t>7º PAV.</t>
        </is>
      </c>
      <c r="F1574" s="126" t="n">
        <v>46888</v>
      </c>
      <c r="G1574" s="126" t="n">
        <v>46898</v>
      </c>
      <c r="H1574" s="126" t="n">
        <v>46289</v>
      </c>
      <c r="I1574" s="4" t="n">
        <v>0</v>
      </c>
      <c r="J1574" s="4" t="n">
        <v>0</v>
      </c>
      <c r="K1574" s="4" t="n">
        <v>0</v>
      </c>
      <c r="M1574" s="2">
        <f>IF(C1574="","",IFERROR(INDEX($S$5:$S$304,MATCH(C1574,$R$5:$R$304,0))&amp;"","?"))</f>
        <v/>
      </c>
      <c r="N1574" s="2">
        <f>IF(E1574="","",IF(ISNUMBER(SEARCH("SUBSOLO",E1574)),IFERROR(-VALUE(LEFT(E1574,FIND("º",SUBSTITUTE(E1574,"°","º"))-1)),-1),IF(LEFT(E1574,6)="TÉRREO",0,IFERROR(VALUE(LEFT(E1574,FIND("º",SUBSTITUTE(E1574,"°","º"))-1)),""))))</f>
        <v/>
      </c>
      <c r="O1574" s="2">
        <f>IF(OR(F1574="",G1574=""),"",IF(G1574&lt;='RETRATO 2027'!$K$5,"CONCLUÍDA",IF(F1574&lt;='RETRATO 2027'!$K$5,"EM ANDAMENTO","A INICIAR")))</f>
        <v/>
      </c>
    </row>
    <row r="1575">
      <c r="B1575" s="4" t="n">
        <v>29981503</v>
      </c>
      <c r="C1575" s="4" t="inlineStr">
        <is>
          <t>PINTURA 3º DEMÃO</t>
        </is>
      </c>
      <c r="D1575" s="4" t="inlineStr">
        <is>
          <t>-</t>
        </is>
      </c>
      <c r="E1575" s="4" t="inlineStr">
        <is>
          <t>8º PAV.</t>
        </is>
      </c>
      <c r="F1575" s="126" t="n">
        <v>46888</v>
      </c>
      <c r="G1575" s="126" t="n">
        <v>46898</v>
      </c>
      <c r="H1575" s="126" t="n">
        <v>46289</v>
      </c>
      <c r="I1575" s="4" t="n">
        <v>0</v>
      </c>
      <c r="J1575" s="4" t="n">
        <v>0</v>
      </c>
      <c r="K1575" s="4" t="n">
        <v>0</v>
      </c>
      <c r="M1575" s="2">
        <f>IF(C1575="","",IFERROR(INDEX($S$5:$S$304,MATCH(C1575,$R$5:$R$304,0))&amp;"","?"))</f>
        <v/>
      </c>
      <c r="N1575" s="2">
        <f>IF(E1575="","",IF(ISNUMBER(SEARCH("SUBSOLO",E1575)),IFERROR(-VALUE(LEFT(E1575,FIND("º",SUBSTITUTE(E1575,"°","º"))-1)),-1),IF(LEFT(E1575,6)="TÉRREO",0,IFERROR(VALUE(LEFT(E1575,FIND("º",SUBSTITUTE(E1575,"°","º"))-1)),""))))</f>
        <v/>
      </c>
      <c r="O1575" s="2">
        <f>IF(OR(F1575="",G1575=""),"",IF(G1575&lt;='RETRATO 2027'!$K$5,"CONCLUÍDA",IF(F1575&lt;='RETRATO 2027'!$K$5,"EM ANDAMENTO","A INICIAR")))</f>
        <v/>
      </c>
    </row>
    <row r="1576">
      <c r="B1576" s="4" t="n">
        <v>30205790</v>
      </c>
      <c r="C1576" s="4" t="inlineStr">
        <is>
          <t>ESQUADRIA DE ALUMÍNIO</t>
        </is>
      </c>
      <c r="D1576" s="4" t="inlineStr">
        <is>
          <t>-</t>
        </is>
      </c>
      <c r="E1576" s="4" t="inlineStr">
        <is>
          <t>TÉRREO - ACESSO COMERCIAL + DML + ARS + ÁREA TEC + LAVABO + DISPENSA</t>
        </is>
      </c>
      <c r="F1576" s="126" t="n">
        <v>46890</v>
      </c>
      <c r="G1576" s="126" t="n">
        <v>46910</v>
      </c>
      <c r="H1576" s="126" t="n">
        <v>46289</v>
      </c>
      <c r="I1576" s="4" t="n">
        <v>0</v>
      </c>
      <c r="J1576" s="4" t="n">
        <v>0</v>
      </c>
      <c r="K1576" s="4" t="n">
        <v>0</v>
      </c>
      <c r="M1576" s="2">
        <f>IF(C1576="","",IFERROR(INDEX($S$5:$S$304,MATCH(C1576,$R$5:$R$304,0))&amp;"","?"))</f>
        <v/>
      </c>
      <c r="N1576" s="2">
        <f>IF(E1576="","",IF(ISNUMBER(SEARCH("SUBSOLO",E1576)),IFERROR(-VALUE(LEFT(E1576,FIND("º",SUBSTITUTE(E1576,"°","º"))-1)),-1),IF(LEFT(E1576,6)="TÉRREO",0,IFERROR(VALUE(LEFT(E1576,FIND("º",SUBSTITUTE(E1576,"°","º"))-1)),""))))</f>
        <v/>
      </c>
      <c r="O1576" s="2">
        <f>IF(OR(F1576="",G1576=""),"",IF(G1576&lt;='RETRATO 2027'!$K$5,"CONCLUÍDA",IF(F1576&lt;='RETRATO 2027'!$K$5,"EM ANDAMENTO","A INICIAR")))</f>
        <v/>
      </c>
    </row>
    <row r="1577">
      <c r="B1577" s="4" t="n">
        <v>30205853</v>
      </c>
      <c r="C1577" s="4" t="inlineStr">
        <is>
          <t>FORRO</t>
        </is>
      </c>
      <c r="D1577" s="4" t="inlineStr">
        <is>
          <t>-</t>
        </is>
      </c>
      <c r="E1577" s="4" t="inlineStr">
        <is>
          <t>1º PAV. (INTERMEDIÁRIO)</t>
        </is>
      </c>
      <c r="F1577" s="126" t="n">
        <v>46890</v>
      </c>
      <c r="G1577" s="126" t="n">
        <v>46903</v>
      </c>
      <c r="H1577" s="126" t="n">
        <v>46289</v>
      </c>
      <c r="I1577" s="4" t="n">
        <v>0</v>
      </c>
      <c r="J1577" s="4" t="n">
        <v>0</v>
      </c>
      <c r="K1577" s="4" t="n">
        <v>0</v>
      </c>
      <c r="M1577" s="2">
        <f>IF(C1577="","",IFERROR(INDEX($S$5:$S$304,MATCH(C1577,$R$5:$R$304,0))&amp;"","?"))</f>
        <v/>
      </c>
      <c r="N1577" s="2">
        <f>IF(E1577="","",IF(ISNUMBER(SEARCH("SUBSOLO",E1577)),IFERROR(-VALUE(LEFT(E1577,FIND("º",SUBSTITUTE(E1577,"°","º"))-1)),-1),IF(LEFT(E1577,6)="TÉRREO",0,IFERROR(VALUE(LEFT(E1577,FIND("º",SUBSTITUTE(E1577,"°","º"))-1)),""))))</f>
        <v/>
      </c>
      <c r="O1577" s="2">
        <f>IF(OR(F1577="",G1577=""),"",IF(G1577&lt;='RETRATO 2027'!$K$5,"CONCLUÍDA",IF(F1577&lt;='RETRATO 2027'!$K$5,"EM ANDAMENTO","A INICIAR")))</f>
        <v/>
      </c>
    </row>
    <row r="1578">
      <c r="B1578" s="4" t="n">
        <v>30208615</v>
      </c>
      <c r="C1578" s="4" t="inlineStr">
        <is>
          <t>PISO EMBORRACHADO</t>
        </is>
      </c>
      <c r="D1578" s="4" t="inlineStr">
        <is>
          <t>-</t>
        </is>
      </c>
      <c r="E1578" s="4" t="inlineStr">
        <is>
          <t>6º PAV (PILOTIS) - ACADEMIA</t>
        </is>
      </c>
      <c r="F1578" s="126" t="n">
        <v>46891</v>
      </c>
      <c r="G1578" s="126" t="n">
        <v>46904</v>
      </c>
      <c r="H1578" s="126" t="n">
        <v>46289</v>
      </c>
      <c r="I1578" s="4" t="n">
        <v>0</v>
      </c>
      <c r="J1578" s="4" t="n">
        <v>0</v>
      </c>
      <c r="K1578" s="4" t="n">
        <v>0</v>
      </c>
      <c r="M1578" s="2">
        <f>IF(C1578="","",IFERROR(INDEX($S$5:$S$304,MATCH(C1578,$R$5:$R$304,0))&amp;"","?"))</f>
        <v/>
      </c>
      <c r="N1578" s="2">
        <f>IF(E1578="","",IF(ISNUMBER(SEARCH("SUBSOLO",E1578)),IFERROR(-VALUE(LEFT(E1578,FIND("º",SUBSTITUTE(E1578,"°","º"))-1)),-1),IF(LEFT(E1578,6)="TÉRREO",0,IFERROR(VALUE(LEFT(E1578,FIND("º",SUBSTITUTE(E1578,"°","º"))-1)),""))))</f>
        <v/>
      </c>
      <c r="O1578" s="2">
        <f>IF(OR(F1578="",G1578=""),"",IF(G1578&lt;='RETRATO 2027'!$K$5,"CONCLUÍDA",IF(F1578&lt;='RETRATO 2027'!$K$5,"EM ANDAMENTO","A INICIAR")))</f>
        <v/>
      </c>
    </row>
    <row r="1579">
      <c r="B1579" s="4" t="n">
        <v>30206086</v>
      </c>
      <c r="C1579" s="4" t="inlineStr">
        <is>
          <t>CONTRAPISO</t>
        </is>
      </c>
      <c r="D1579" s="4" t="inlineStr">
        <is>
          <t>-</t>
        </is>
      </c>
      <c r="E1579" s="4" t="inlineStr">
        <is>
          <t>6º PAV (PILOTIS) - SAUNA + DUCHA</t>
        </is>
      </c>
      <c r="F1579" s="126" t="n">
        <v>46891</v>
      </c>
      <c r="G1579" s="126" t="n">
        <v>46904</v>
      </c>
      <c r="H1579" s="126" t="n">
        <v>46289</v>
      </c>
      <c r="I1579" s="4" t="n">
        <v>0</v>
      </c>
      <c r="J1579" s="4" t="n">
        <v>0</v>
      </c>
      <c r="K1579" s="4" t="n">
        <v>0</v>
      </c>
      <c r="M1579" s="2">
        <f>IF(C1579="","",IFERROR(INDEX($S$5:$S$304,MATCH(C1579,$R$5:$R$304,0))&amp;"","?"))</f>
        <v/>
      </c>
      <c r="N1579" s="2">
        <f>IF(E1579="","",IF(ISNUMBER(SEARCH("SUBSOLO",E1579)),IFERROR(-VALUE(LEFT(E1579,FIND("º",SUBSTITUTE(E1579,"°","º"))-1)),-1),IF(LEFT(E1579,6)="TÉRREO",0,IFERROR(VALUE(LEFT(E1579,FIND("º",SUBSTITUTE(E1579,"°","º"))-1)),""))))</f>
        <v/>
      </c>
      <c r="O1579" s="2">
        <f>IF(OR(F1579="",G1579=""),"",IF(G1579&lt;='RETRATO 2027'!$K$5,"CONCLUÍDA",IF(F1579&lt;='RETRATO 2027'!$K$5,"EM ANDAMENTO","A INICIAR")))</f>
        <v/>
      </c>
    </row>
    <row r="1580">
      <c r="B1580" s="4" t="n">
        <v>30206048</v>
      </c>
      <c r="C1580" s="4" t="inlineStr">
        <is>
          <t>IMPERMEABILIZAÇÃO</t>
        </is>
      </c>
      <c r="D1580" s="4" t="inlineStr">
        <is>
          <t>-</t>
        </is>
      </c>
      <c r="E1580" s="4" t="inlineStr">
        <is>
          <t>6º PAV (PILOTIS) - CHURRASQUEIRA + IS MASC. PCD + IS FEM. PCD + CIRCULAÇÃO 1 + HALL 1</t>
        </is>
      </c>
      <c r="F1580" s="126" t="n">
        <v>46891</v>
      </c>
      <c r="G1580" s="126" t="n">
        <v>46904</v>
      </c>
      <c r="H1580" s="126" t="n">
        <v>46289</v>
      </c>
      <c r="I1580" s="4" t="n">
        <v>0</v>
      </c>
      <c r="J1580" s="4" t="n">
        <v>0</v>
      </c>
      <c r="K1580" s="4" t="n">
        <v>0</v>
      </c>
      <c r="M1580" s="2">
        <f>IF(C1580="","",IFERROR(INDEX($S$5:$S$304,MATCH(C1580,$R$5:$R$304,0))&amp;"","?"))</f>
        <v/>
      </c>
      <c r="N1580" s="2">
        <f>IF(E1580="","",IF(ISNUMBER(SEARCH("SUBSOLO",E1580)),IFERROR(-VALUE(LEFT(E1580,FIND("º",SUBSTITUTE(E1580,"°","º"))-1)),-1),IF(LEFT(E1580,6)="TÉRREO",0,IFERROR(VALUE(LEFT(E1580,FIND("º",SUBSTITUTE(E1580,"°","º"))-1)),""))))</f>
        <v/>
      </c>
      <c r="O1580" s="2">
        <f>IF(OR(F1580="",G1580=""),"",IF(G1580&lt;='RETRATO 2027'!$K$5,"CONCLUÍDA",IF(F1580&lt;='RETRATO 2027'!$K$5,"EM ANDAMENTO","A INICIAR")))</f>
        <v/>
      </c>
    </row>
    <row r="1581">
      <c r="B1581" s="4" t="n">
        <v>30205989</v>
      </c>
      <c r="C1581" s="4" t="inlineStr">
        <is>
          <t>SHAFT INTERNO INST. HIDRAÚLICAS</t>
        </is>
      </c>
      <c r="D1581" s="4" t="inlineStr">
        <is>
          <t>-</t>
        </is>
      </c>
      <c r="E1581" s="4" t="inlineStr">
        <is>
          <t>6º PAV (PILOTIS) - COWORKING 1 E 2 + CIRC. 2 + HALL 2 + DML + VEST. MASC. + VEST. FEM</t>
        </is>
      </c>
      <c r="F1581" s="126" t="n">
        <v>46891</v>
      </c>
      <c r="G1581" s="126" t="n">
        <v>46904</v>
      </c>
      <c r="H1581" s="126" t="n">
        <v>46289</v>
      </c>
      <c r="I1581" s="4" t="n">
        <v>0</v>
      </c>
      <c r="J1581" s="4" t="n">
        <v>0</v>
      </c>
      <c r="K1581" s="4" t="n">
        <v>0</v>
      </c>
      <c r="M1581" s="2">
        <f>IF(C1581="","",IFERROR(INDEX($S$5:$S$304,MATCH(C1581,$R$5:$R$304,0))&amp;"","?"))</f>
        <v/>
      </c>
      <c r="N1581" s="2">
        <f>IF(E1581="","",IF(ISNUMBER(SEARCH("SUBSOLO",E1581)),IFERROR(-VALUE(LEFT(E1581,FIND("º",SUBSTITUTE(E1581,"°","º"))-1)),-1),IF(LEFT(E1581,6)="TÉRREO",0,IFERROR(VALUE(LEFT(E1581,FIND("º",SUBSTITUTE(E1581,"°","º"))-1)),""))))</f>
        <v/>
      </c>
      <c r="O1581" s="2">
        <f>IF(OR(F1581="",G1581=""),"",IF(G1581&lt;='RETRATO 2027'!$K$5,"CONCLUÍDA",IF(F1581&lt;='RETRATO 2027'!$K$5,"EM ANDAMENTO","A INICIAR")))</f>
        <v/>
      </c>
    </row>
    <row r="1582">
      <c r="B1582" s="4" t="n">
        <v>30205951</v>
      </c>
      <c r="C1582" s="4" t="inlineStr">
        <is>
          <t>REBOCO INTERNO</t>
        </is>
      </c>
      <c r="D1582" s="4" t="inlineStr">
        <is>
          <t>-</t>
        </is>
      </c>
      <c r="E1582" s="4" t="inlineStr">
        <is>
          <t>6º PAV (PILOTIS) - LOUNGE + SALÃO + COZINHA + GOURMET + ESPAÇO KIDS</t>
        </is>
      </c>
      <c r="F1582" s="126" t="n">
        <v>46891</v>
      </c>
      <c r="G1582" s="126" t="n">
        <v>46904</v>
      </c>
      <c r="H1582" s="126" t="n">
        <v>46289</v>
      </c>
      <c r="I1582" s="4" t="n">
        <v>0</v>
      </c>
      <c r="J1582" s="4" t="n">
        <v>0</v>
      </c>
      <c r="K1582" s="4" t="n">
        <v>0</v>
      </c>
      <c r="M1582" s="2">
        <f>IF(C1582="","",IFERROR(INDEX($S$5:$S$304,MATCH(C1582,$R$5:$R$304,0))&amp;"","?"))</f>
        <v/>
      </c>
      <c r="N1582" s="2">
        <f>IF(E1582="","",IF(ISNUMBER(SEARCH("SUBSOLO",E1582)),IFERROR(-VALUE(LEFT(E1582,FIND("º",SUBSTITUTE(E1582,"°","º"))-1)),-1),IF(LEFT(E1582,6)="TÉRREO",0,IFERROR(VALUE(LEFT(E1582,FIND("º",SUBSTITUTE(E1582,"°","º"))-1)),""))))</f>
        <v/>
      </c>
      <c r="O1582" s="2">
        <f>IF(OR(F1582="",G1582=""),"",IF(G1582&lt;='RETRATO 2027'!$K$5,"CONCLUÍDA",IF(F1582&lt;='RETRATO 2027'!$K$5,"EM ANDAMENTO","A INICIAR")))</f>
        <v/>
      </c>
    </row>
    <row r="1583">
      <c r="B1583" s="4" t="n">
        <v>30205719</v>
      </c>
      <c r="C1583" s="4" t="inlineStr">
        <is>
          <t>ACABAMENTOS ELÉTRICOS</t>
        </is>
      </c>
      <c r="D1583" s="4" t="inlineStr">
        <is>
          <t>-</t>
        </is>
      </c>
      <c r="E1583" s="4" t="inlineStr">
        <is>
          <t>SUBSOLO</t>
        </is>
      </c>
      <c r="F1583" s="126" t="n">
        <v>46892</v>
      </c>
      <c r="G1583" s="126" t="n">
        <v>46905</v>
      </c>
      <c r="H1583" s="126" t="n">
        <v>46289</v>
      </c>
      <c r="I1583" s="4" t="n">
        <v>0</v>
      </c>
      <c r="J1583" s="4" t="n">
        <v>0</v>
      </c>
      <c r="K1583" s="4" t="n">
        <v>0</v>
      </c>
      <c r="M1583" s="2">
        <f>IF(C1583="","",IFERROR(INDEX($S$5:$S$304,MATCH(C1583,$R$5:$R$304,0))&amp;"","?"))</f>
        <v/>
      </c>
      <c r="N1583" s="2">
        <f>IF(E1583="","",IF(ISNUMBER(SEARCH("SUBSOLO",E1583)),IFERROR(-VALUE(LEFT(E1583,FIND("º",SUBSTITUTE(E1583,"°","º"))-1)),-1),IF(LEFT(E1583,6)="TÉRREO",0,IFERROR(VALUE(LEFT(E1583,FIND("º",SUBSTITUTE(E1583,"°","º"))-1)),""))))</f>
        <v/>
      </c>
      <c r="O1583" s="2">
        <f>IF(OR(F1583="",G1583=""),"",IF(G1583&lt;='RETRATO 2027'!$K$5,"CONCLUÍDA",IF(F1583&lt;='RETRATO 2027'!$K$5,"EM ANDAMENTO","A INICIAR")))</f>
        <v/>
      </c>
    </row>
    <row r="1584">
      <c r="B1584" s="4" t="n">
        <v>30205718</v>
      </c>
      <c r="C1584" s="4" t="inlineStr">
        <is>
          <t>DEMARCAÇÃO DE VAGAS</t>
        </is>
      </c>
      <c r="D1584" s="4" t="inlineStr">
        <is>
          <t>-</t>
        </is>
      </c>
      <c r="E1584" s="4" t="inlineStr">
        <is>
          <t>SUBSOLO</t>
        </is>
      </c>
      <c r="F1584" s="126" t="n">
        <v>46892</v>
      </c>
      <c r="G1584" s="126" t="n">
        <v>46912</v>
      </c>
      <c r="H1584" s="126" t="n">
        <v>46289</v>
      </c>
      <c r="I1584" s="4" t="n">
        <v>0</v>
      </c>
      <c r="J1584" s="4" t="n">
        <v>0</v>
      </c>
      <c r="K1584" s="4" t="n">
        <v>0</v>
      </c>
      <c r="M1584" s="2">
        <f>IF(C1584="","",IFERROR(INDEX($S$5:$S$304,MATCH(C1584,$R$5:$R$304,0))&amp;"","?"))</f>
        <v/>
      </c>
      <c r="N1584" s="2">
        <f>IF(E1584="","",IF(ISNUMBER(SEARCH("SUBSOLO",E1584)),IFERROR(-VALUE(LEFT(E1584,FIND("º",SUBSTITUTE(E1584,"°","º"))-1)),-1),IF(LEFT(E1584,6)="TÉRREO",0,IFERROR(VALUE(LEFT(E1584,FIND("º",SUBSTITUTE(E1584,"°","º"))-1)),""))))</f>
        <v/>
      </c>
      <c r="O1584" s="2">
        <f>IF(OR(F1584="",G1584=""),"",IF(G1584&lt;='RETRATO 2027'!$K$5,"CONCLUÍDA",IF(F1584&lt;='RETRATO 2027'!$K$5,"EM ANDAMENTO","A INICIAR")))</f>
        <v/>
      </c>
    </row>
    <row r="1585">
      <c r="B1585" s="4" t="n">
        <v>30205730</v>
      </c>
      <c r="C1585" s="4" t="inlineStr">
        <is>
          <t>INSTALAÇÃO DE METAIS</t>
        </is>
      </c>
      <c r="D1585" s="4" t="inlineStr">
        <is>
          <t>-</t>
        </is>
      </c>
      <c r="E1585" s="4" t="inlineStr">
        <is>
          <t>SUBSOLO</t>
        </is>
      </c>
      <c r="F1585" s="126" t="n">
        <v>46892</v>
      </c>
      <c r="G1585" s="126" t="n">
        <v>46905</v>
      </c>
      <c r="H1585" s="126" t="n">
        <v>46289</v>
      </c>
      <c r="I1585" s="4" t="n">
        <v>0</v>
      </c>
      <c r="J1585" s="4" t="n">
        <v>0</v>
      </c>
      <c r="K1585" s="4" t="n">
        <v>0</v>
      </c>
      <c r="M1585" s="2">
        <f>IF(C1585="","",IFERROR(INDEX($S$5:$S$304,MATCH(C1585,$R$5:$R$304,0))&amp;"","?"))</f>
        <v/>
      </c>
      <c r="N1585" s="2">
        <f>IF(E1585="","",IF(ISNUMBER(SEARCH("SUBSOLO",E1585)),IFERROR(-VALUE(LEFT(E1585,FIND("º",SUBSTITUTE(E1585,"°","º"))-1)),-1),IF(LEFT(E1585,6)="TÉRREO",0,IFERROR(VALUE(LEFT(E1585,FIND("º",SUBSTITUTE(E1585,"°","º"))-1)),""))))</f>
        <v/>
      </c>
      <c r="O1585" s="2">
        <f>IF(OR(F1585="",G1585=""),"",IF(G1585&lt;='RETRATO 2027'!$K$5,"CONCLUÍDA",IF(F1585&lt;='RETRATO 2027'!$K$5,"EM ANDAMENTO","A INICIAR")))</f>
        <v/>
      </c>
    </row>
    <row r="1586">
      <c r="B1586" s="4" t="n">
        <v>30205731</v>
      </c>
      <c r="C1586" s="4" t="inlineStr">
        <is>
          <t>INST. CARREGADOR DE VEÍCULOS</t>
        </is>
      </c>
      <c r="D1586" s="4" t="inlineStr">
        <is>
          <t>-</t>
        </is>
      </c>
      <c r="E1586" s="4" t="inlineStr">
        <is>
          <t>SUBSOLO</t>
        </is>
      </c>
      <c r="F1586" s="126" t="n">
        <v>46892</v>
      </c>
      <c r="G1586" s="126" t="n">
        <v>46905</v>
      </c>
      <c r="H1586" s="126" t="n">
        <v>46289</v>
      </c>
      <c r="I1586" s="4" t="n">
        <v>0</v>
      </c>
      <c r="J1586" s="4" t="n">
        <v>0</v>
      </c>
      <c r="K1586" s="4" t="n">
        <v>0</v>
      </c>
      <c r="M1586" s="2">
        <f>IF(C1586="","",IFERROR(INDEX($S$5:$S$304,MATCH(C1586,$R$5:$R$304,0))&amp;"","?"))</f>
        <v/>
      </c>
      <c r="N1586" s="2">
        <f>IF(E1586="","",IF(ISNUMBER(SEARCH("SUBSOLO",E1586)),IFERROR(-VALUE(LEFT(E1586,FIND("º",SUBSTITUTE(E1586,"°","º"))-1)),-1),IF(LEFT(E1586,6)="TÉRREO",0,IFERROR(VALUE(LEFT(E1586,FIND("º",SUBSTITUTE(E1586,"°","º"))-1)),""))))</f>
        <v/>
      </c>
      <c r="O1586" s="2">
        <f>IF(OR(F1586="",G1586=""),"",IF(G1586&lt;='RETRATO 2027'!$K$5,"CONCLUÍDA",IF(F1586&lt;='RETRATO 2027'!$K$5,"EM ANDAMENTO","A INICIAR")))</f>
        <v/>
      </c>
    </row>
    <row r="1587">
      <c r="B1587" s="4" t="n">
        <v>30205734</v>
      </c>
      <c r="C1587" s="4" t="inlineStr">
        <is>
          <t>PLACAS E IDEINTIFIC. VISUAIS</t>
        </is>
      </c>
      <c r="D1587" s="4" t="inlineStr">
        <is>
          <t>-</t>
        </is>
      </c>
      <c r="E1587" s="4" t="inlineStr">
        <is>
          <t>SUBSOLO</t>
        </is>
      </c>
      <c r="F1587" s="126" t="n">
        <v>46892</v>
      </c>
      <c r="G1587" s="126" t="n">
        <v>46905</v>
      </c>
      <c r="H1587" s="126" t="n">
        <v>46289</v>
      </c>
      <c r="I1587" s="4" t="n">
        <v>0</v>
      </c>
      <c r="J1587" s="4" t="n">
        <v>0</v>
      </c>
      <c r="K1587" s="4" t="n">
        <v>0</v>
      </c>
      <c r="M1587" s="2">
        <f>IF(C1587="","",IFERROR(INDEX($S$5:$S$304,MATCH(C1587,$R$5:$R$304,0))&amp;"","?"))</f>
        <v/>
      </c>
      <c r="N1587" s="2">
        <f>IF(E1587="","",IF(ISNUMBER(SEARCH("SUBSOLO",E1587)),IFERROR(-VALUE(LEFT(E1587,FIND("º",SUBSTITUTE(E1587,"°","º"))-1)),-1),IF(LEFT(E1587,6)="TÉRREO",0,IFERROR(VALUE(LEFT(E1587,FIND("º",SUBSTITUTE(E1587,"°","º"))-1)),""))))</f>
        <v/>
      </c>
      <c r="O1587" s="2">
        <f>IF(OR(F1587="",G1587=""),"",IF(G1587&lt;='RETRATO 2027'!$K$5,"CONCLUÍDA",IF(F1587&lt;='RETRATO 2027'!$K$5,"EM ANDAMENTO","A INICIAR")))</f>
        <v/>
      </c>
    </row>
    <row r="1588">
      <c r="B1588" s="4" t="n">
        <v>29981465</v>
      </c>
      <c r="C1588" s="4" t="inlineStr">
        <is>
          <t>CHECKLIST</t>
        </is>
      </c>
      <c r="D1588" s="4" t="inlineStr">
        <is>
          <t>-</t>
        </is>
      </c>
      <c r="E1588" s="4" t="inlineStr">
        <is>
          <t>9º PAV.</t>
        </is>
      </c>
      <c r="F1588" s="126" t="n">
        <v>46892</v>
      </c>
      <c r="G1588" s="126" t="n">
        <v>46898</v>
      </c>
      <c r="H1588" s="126" t="n">
        <v>46289</v>
      </c>
      <c r="I1588" s="4" t="n">
        <v>0</v>
      </c>
      <c r="J1588" s="4" t="n">
        <v>0</v>
      </c>
      <c r="K1588" s="4" t="n">
        <v>0</v>
      </c>
      <c r="M1588" s="2">
        <f>IF(C1588="","",IFERROR(INDEX($S$5:$S$304,MATCH(C1588,$R$5:$R$304,0))&amp;"","?"))</f>
        <v/>
      </c>
      <c r="N1588" s="2">
        <f>IF(E1588="","",IF(ISNUMBER(SEARCH("SUBSOLO",E1588)),IFERROR(-VALUE(LEFT(E1588,FIND("º",SUBSTITUTE(E1588,"°","º"))-1)),-1),IF(LEFT(E1588,6)="TÉRREO",0,IFERROR(VALUE(LEFT(E1588,FIND("º",SUBSTITUTE(E1588,"°","º"))-1)),""))))</f>
        <v/>
      </c>
      <c r="O1588" s="2">
        <f>IF(OR(F1588="",G1588=""),"",IF(G1588&lt;='RETRATO 2027'!$K$5,"CONCLUÍDA",IF(F1588&lt;='RETRATO 2027'!$K$5,"EM ANDAMENTO","A INICIAR")))</f>
        <v/>
      </c>
    </row>
    <row r="1589">
      <c r="B1589" s="4" t="n">
        <v>29981430</v>
      </c>
      <c r="C1589" s="4" t="inlineStr">
        <is>
          <t>ACABAMENTOS ELÉTRICOS</t>
        </is>
      </c>
      <c r="D1589" s="4" t="inlineStr">
        <is>
          <t>-</t>
        </is>
      </c>
      <c r="E1589" s="4" t="inlineStr">
        <is>
          <t>10º PAV.</t>
        </is>
      </c>
      <c r="F1589" s="126" t="n">
        <v>46892</v>
      </c>
      <c r="G1589" s="126" t="n">
        <v>46904</v>
      </c>
      <c r="H1589" s="126" t="n">
        <v>46289</v>
      </c>
      <c r="I1589" s="4" t="n">
        <v>0</v>
      </c>
      <c r="J1589" s="4" t="n">
        <v>0</v>
      </c>
      <c r="K1589" s="4" t="n">
        <v>0</v>
      </c>
      <c r="M1589" s="2">
        <f>IF(C1589="","",IFERROR(INDEX($S$5:$S$304,MATCH(C1589,$R$5:$R$304,0))&amp;"","?"))</f>
        <v/>
      </c>
      <c r="N1589" s="2">
        <f>IF(E1589="","",IF(ISNUMBER(SEARCH("SUBSOLO",E1589)),IFERROR(-VALUE(LEFT(E1589,FIND("º",SUBSTITUTE(E1589,"°","º"))-1)),-1),IF(LEFT(E1589,6)="TÉRREO",0,IFERROR(VALUE(LEFT(E1589,FIND("º",SUBSTITUTE(E1589,"°","º"))-1)),""))))</f>
        <v/>
      </c>
      <c r="O1589" s="2">
        <f>IF(OR(F1589="",G1589=""),"",IF(G1589&lt;='RETRATO 2027'!$K$5,"CONCLUÍDA",IF(F1589&lt;='RETRATO 2027'!$K$5,"EM ANDAMENTO","A INICIAR")))</f>
        <v/>
      </c>
    </row>
    <row r="1590">
      <c r="B1590" s="4" t="n">
        <v>29981390</v>
      </c>
      <c r="C1590" s="4" t="inlineStr">
        <is>
          <t>PINTURA 2º DEMÃO</t>
        </is>
      </c>
      <c r="D1590" s="4" t="inlineStr">
        <is>
          <t>-</t>
        </is>
      </c>
      <c r="E1590" s="4" t="inlineStr">
        <is>
          <t>11º PAV.</t>
        </is>
      </c>
      <c r="F1590" s="126" t="n">
        <v>46892</v>
      </c>
      <c r="G1590" s="126" t="n">
        <v>46904</v>
      </c>
      <c r="H1590" s="126" t="n">
        <v>46289</v>
      </c>
      <c r="I1590" s="4" t="n">
        <v>0</v>
      </c>
      <c r="J1590" s="4" t="n">
        <v>0</v>
      </c>
      <c r="K1590" s="4" t="n">
        <v>0</v>
      </c>
      <c r="M1590" s="2">
        <f>IF(C1590="","",IFERROR(INDEX($S$5:$S$304,MATCH(C1590,$R$5:$R$304,0))&amp;"","?"))</f>
        <v/>
      </c>
      <c r="N1590" s="2">
        <f>IF(E1590="","",IF(ISNUMBER(SEARCH("SUBSOLO",E1590)),IFERROR(-VALUE(LEFT(E1590,FIND("º",SUBSTITUTE(E1590,"°","º"))-1)),-1),IF(LEFT(E1590,6)="TÉRREO",0,IFERROR(VALUE(LEFT(E1590,FIND("º",SUBSTITUTE(E1590,"°","º"))-1)),""))))</f>
        <v/>
      </c>
      <c r="O1590" s="2">
        <f>IF(OR(F1590="",G1590=""),"",IF(G1590&lt;='RETRATO 2027'!$K$5,"CONCLUÍDA",IF(F1590&lt;='RETRATO 2027'!$K$5,"EM ANDAMENTO","A INICIAR")))</f>
        <v/>
      </c>
    </row>
    <row r="1591">
      <c r="B1591" s="4" t="n">
        <v>33919789</v>
      </c>
      <c r="C1591" s="4" t="inlineStr">
        <is>
          <t>TEXTURA - EXTERNA</t>
        </is>
      </c>
      <c r="D1591" s="4" t="inlineStr">
        <is>
          <t>-</t>
        </is>
      </c>
      <c r="E1591" s="4" t="inlineStr">
        <is>
          <t>11º PAV.</t>
        </is>
      </c>
      <c r="F1591" s="126" t="n">
        <v>46892</v>
      </c>
      <c r="G1591" s="126" t="n">
        <v>46904</v>
      </c>
      <c r="H1591" s="126" t="n">
        <v>46289</v>
      </c>
      <c r="I1591" s="4" t="n">
        <v>0</v>
      </c>
      <c r="J1591" s="4" t="n">
        <v>0</v>
      </c>
      <c r="K1591" s="4" t="n">
        <v>0</v>
      </c>
      <c r="M1591" s="2">
        <f>IF(C1591="","",IFERROR(INDEX($S$5:$S$304,MATCH(C1591,$R$5:$R$304,0))&amp;"","?"))</f>
        <v/>
      </c>
      <c r="N1591" s="2">
        <f>IF(E1591="","",IF(ISNUMBER(SEARCH("SUBSOLO",E1591)),IFERROR(-VALUE(LEFT(E1591,FIND("º",SUBSTITUTE(E1591,"°","º"))-1)),-1),IF(LEFT(E1591,6)="TÉRREO",0,IFERROR(VALUE(LEFT(E1591,FIND("º",SUBSTITUTE(E1591,"°","º"))-1)),""))))</f>
        <v/>
      </c>
      <c r="O1591" s="2">
        <f>IF(OR(F1591="",G1591=""),"",IF(G1591&lt;='RETRATO 2027'!$K$5,"CONCLUÍDA",IF(F1591&lt;='RETRATO 2027'!$K$5,"EM ANDAMENTO","A INICIAR")))</f>
        <v/>
      </c>
    </row>
    <row r="1592">
      <c r="B1592" s="4" t="n">
        <v>29981352</v>
      </c>
      <c r="C1592" s="4" t="inlineStr">
        <is>
          <t>LIMPEZA GROSSA</t>
        </is>
      </c>
      <c r="D1592" s="4" t="inlineStr">
        <is>
          <t>-</t>
        </is>
      </c>
      <c r="E1592" s="4" t="inlineStr">
        <is>
          <t>12º PAV.</t>
        </is>
      </c>
      <c r="F1592" s="126" t="n">
        <v>46892</v>
      </c>
      <c r="G1592" s="126" t="n">
        <v>46904</v>
      </c>
      <c r="H1592" s="126" t="n">
        <v>46289</v>
      </c>
      <c r="I1592" s="4" t="n">
        <v>0</v>
      </c>
      <c r="J1592" s="4" t="n">
        <v>0</v>
      </c>
      <c r="K1592" s="4" t="n">
        <v>0</v>
      </c>
      <c r="M1592" s="2">
        <f>IF(C1592="","",IFERROR(INDEX($S$5:$S$304,MATCH(C1592,$R$5:$R$304,0))&amp;"","?"))</f>
        <v/>
      </c>
      <c r="N1592" s="2">
        <f>IF(E1592="","",IF(ISNUMBER(SEARCH("SUBSOLO",E1592)),IFERROR(-VALUE(LEFT(E1592,FIND("º",SUBSTITUTE(E1592,"°","º"))-1)),-1),IF(LEFT(E1592,6)="TÉRREO",0,IFERROR(VALUE(LEFT(E1592,FIND("º",SUBSTITUTE(E1592,"°","º"))-1)),""))))</f>
        <v/>
      </c>
      <c r="O1592" s="2">
        <f>IF(OR(F1592="",G1592=""),"",IF(G1592&lt;='RETRATO 2027'!$K$5,"CONCLUÍDA",IF(F1592&lt;='RETRATO 2027'!$K$5,"EM ANDAMENTO","A INICIAR")))</f>
        <v/>
      </c>
    </row>
    <row r="1593">
      <c r="B1593" s="4" t="n">
        <v>29981309</v>
      </c>
      <c r="C1593" s="4" t="inlineStr">
        <is>
          <t>LOUÇAS</t>
        </is>
      </c>
      <c r="D1593" s="4" t="inlineStr">
        <is>
          <t>-</t>
        </is>
      </c>
      <c r="E1593" s="4" t="inlineStr">
        <is>
          <t>13º PAV.</t>
        </is>
      </c>
      <c r="F1593" s="126" t="n">
        <v>46892</v>
      </c>
      <c r="G1593" s="126" t="n">
        <v>46904</v>
      </c>
      <c r="H1593" s="126" t="n">
        <v>46289</v>
      </c>
      <c r="I1593" s="4" t="n">
        <v>0</v>
      </c>
      <c r="J1593" s="4" t="n">
        <v>0</v>
      </c>
      <c r="K1593" s="4" t="n">
        <v>0</v>
      </c>
      <c r="M1593" s="2">
        <f>IF(C1593="","",IFERROR(INDEX($S$5:$S$304,MATCH(C1593,$R$5:$R$304,0))&amp;"","?"))</f>
        <v/>
      </c>
      <c r="N1593" s="2">
        <f>IF(E1593="","",IF(ISNUMBER(SEARCH("SUBSOLO",E1593)),IFERROR(-VALUE(LEFT(E1593,FIND("º",SUBSTITUTE(E1593,"°","º"))-1)),-1),IF(LEFT(E1593,6)="TÉRREO",0,IFERROR(VALUE(LEFT(E1593,FIND("º",SUBSTITUTE(E1593,"°","º"))-1)),""))))</f>
        <v/>
      </c>
      <c r="O1593" s="2">
        <f>IF(OR(F1593="",G1593=""),"",IF(G1593&lt;='RETRATO 2027'!$K$5,"CONCLUÍDA",IF(F1593&lt;='RETRATO 2027'!$K$5,"EM ANDAMENTO","A INICIAR")))</f>
        <v/>
      </c>
    </row>
    <row r="1594">
      <c r="B1594" s="4" t="n">
        <v>29981314</v>
      </c>
      <c r="C1594" s="4" t="inlineStr">
        <is>
          <t>METAIS</t>
        </is>
      </c>
      <c r="D1594" s="4" t="inlineStr">
        <is>
          <t>-</t>
        </is>
      </c>
      <c r="E1594" s="4" t="inlineStr">
        <is>
          <t>13º PAV.</t>
        </is>
      </c>
      <c r="F1594" s="126" t="n">
        <v>46892</v>
      </c>
      <c r="G1594" s="126" t="n">
        <v>46904</v>
      </c>
      <c r="H1594" s="126" t="n">
        <v>46289</v>
      </c>
      <c r="I1594" s="4" t="n">
        <v>0</v>
      </c>
      <c r="J1594" s="4" t="n">
        <v>0</v>
      </c>
      <c r="K1594" s="4" t="n">
        <v>0</v>
      </c>
      <c r="M1594" s="2">
        <f>IF(C1594="","",IFERROR(INDEX($S$5:$S$304,MATCH(C1594,$R$5:$R$304,0))&amp;"","?"))</f>
        <v/>
      </c>
      <c r="N1594" s="2">
        <f>IF(E1594="","",IF(ISNUMBER(SEARCH("SUBSOLO",E1594)),IFERROR(-VALUE(LEFT(E1594,FIND("º",SUBSTITUTE(E1594,"°","º"))-1)),-1),IF(LEFT(E1594,6)="TÉRREO",0,IFERROR(VALUE(LEFT(E1594,FIND("º",SUBSTITUTE(E1594,"°","º"))-1)),""))))</f>
        <v/>
      </c>
      <c r="O1594" s="2">
        <f>IF(OR(F1594="",G1594=""),"",IF(G1594&lt;='RETRATO 2027'!$K$5,"CONCLUÍDA",IF(F1594&lt;='RETRATO 2027'!$K$5,"EM ANDAMENTO","A INICIAR")))</f>
        <v/>
      </c>
    </row>
    <row r="1595">
      <c r="B1595" s="4" t="n">
        <v>29981313</v>
      </c>
      <c r="C1595" s="4" t="inlineStr">
        <is>
          <t>DISJUNTORES / MIOLOS</t>
        </is>
      </c>
      <c r="D1595" s="4" t="inlineStr">
        <is>
          <t>-</t>
        </is>
      </c>
      <c r="E1595" s="4" t="inlineStr">
        <is>
          <t>13º PAV.</t>
        </is>
      </c>
      <c r="F1595" s="126" t="n">
        <v>46892</v>
      </c>
      <c r="G1595" s="126" t="n">
        <v>46904</v>
      </c>
      <c r="H1595" s="126" t="n">
        <v>46289</v>
      </c>
      <c r="I1595" s="4" t="n">
        <v>0</v>
      </c>
      <c r="J1595" s="4" t="n">
        <v>0</v>
      </c>
      <c r="K1595" s="4" t="n">
        <v>0</v>
      </c>
      <c r="M1595" s="2">
        <f>IF(C1595="","",IFERROR(INDEX($S$5:$S$304,MATCH(C1595,$R$5:$R$304,0))&amp;"","?"))</f>
        <v/>
      </c>
      <c r="N1595" s="2">
        <f>IF(E1595="","",IF(ISNUMBER(SEARCH("SUBSOLO",E1595)),IFERROR(-VALUE(LEFT(E1595,FIND("º",SUBSTITUTE(E1595,"°","º"))-1)),-1),IF(LEFT(E1595,6)="TÉRREO",0,IFERROR(VALUE(LEFT(E1595,FIND("º",SUBSTITUTE(E1595,"°","º"))-1)),""))))</f>
        <v/>
      </c>
      <c r="O1595" s="2">
        <f>IF(OR(F1595="",G1595=""),"",IF(G1595&lt;='RETRATO 2027'!$K$5,"CONCLUÍDA",IF(F1595&lt;='RETRATO 2027'!$K$5,"EM ANDAMENTO","A INICIAR")))</f>
        <v/>
      </c>
    </row>
    <row r="1596">
      <c r="B1596" s="4" t="n">
        <v>29981312</v>
      </c>
      <c r="C1596" s="4" t="inlineStr">
        <is>
          <t>COMUNICAÇÃO E ALARME</t>
        </is>
      </c>
      <c r="D1596" s="4" t="inlineStr">
        <is>
          <t>-</t>
        </is>
      </c>
      <c r="E1596" s="4" t="inlineStr">
        <is>
          <t>13º PAV.</t>
        </is>
      </c>
      <c r="F1596" s="126" t="n">
        <v>46892</v>
      </c>
      <c r="G1596" s="126" t="n">
        <v>46904</v>
      </c>
      <c r="H1596" s="126" t="n">
        <v>46289</v>
      </c>
      <c r="I1596" s="4" t="n">
        <v>0</v>
      </c>
      <c r="J1596" s="4" t="n">
        <v>0</v>
      </c>
      <c r="K1596" s="4" t="n">
        <v>0</v>
      </c>
      <c r="M1596" s="2">
        <f>IF(C1596="","",IFERROR(INDEX($S$5:$S$304,MATCH(C1596,$R$5:$R$304,0))&amp;"","?"))</f>
        <v/>
      </c>
      <c r="N1596" s="2">
        <f>IF(E1596="","",IF(ISNUMBER(SEARCH("SUBSOLO",E1596)),IFERROR(-VALUE(LEFT(E1596,FIND("º",SUBSTITUTE(E1596,"°","º"))-1)),-1),IF(LEFT(E1596,6)="TÉRREO",0,IFERROR(VALUE(LEFT(E1596,FIND("º",SUBSTITUTE(E1596,"°","º"))-1)),""))))</f>
        <v/>
      </c>
      <c r="O1596" s="2">
        <f>IF(OR(F1596="",G1596=""),"",IF(G1596&lt;='RETRATO 2027'!$K$5,"CONCLUÍDA",IF(F1596&lt;='RETRATO 2027'!$K$5,"EM ANDAMENTO","A INICIAR")))</f>
        <v/>
      </c>
    </row>
    <row r="1597">
      <c r="B1597" s="4" t="n">
        <v>29981271</v>
      </c>
      <c r="C1597" s="4" t="inlineStr">
        <is>
          <t>RODAPÉ MADEIRA / PVC</t>
        </is>
      </c>
      <c r="D1597" s="4" t="inlineStr">
        <is>
          <t>-</t>
        </is>
      </c>
      <c r="E1597" s="4" t="inlineStr">
        <is>
          <t>14º PAV.</t>
        </is>
      </c>
      <c r="F1597" s="126" t="n">
        <v>46892</v>
      </c>
      <c r="G1597" s="126" t="n">
        <v>46904</v>
      </c>
      <c r="H1597" s="126" t="n">
        <v>46289</v>
      </c>
      <c r="I1597" s="4" t="n">
        <v>0</v>
      </c>
      <c r="J1597" s="4" t="n">
        <v>0</v>
      </c>
      <c r="K1597" s="4" t="n">
        <v>0</v>
      </c>
      <c r="M1597" s="2">
        <f>IF(C1597="","",IFERROR(INDEX($S$5:$S$304,MATCH(C1597,$R$5:$R$304,0))&amp;"","?"))</f>
        <v/>
      </c>
      <c r="N1597" s="2">
        <f>IF(E1597="","",IF(ISNUMBER(SEARCH("SUBSOLO",E1597)),IFERROR(-VALUE(LEFT(E1597,FIND("º",SUBSTITUTE(E1597,"°","º"))-1)),-1),IF(LEFT(E1597,6)="TÉRREO",0,IFERROR(VALUE(LEFT(E1597,FIND("º",SUBSTITUTE(E1597,"°","º"))-1)),""))))</f>
        <v/>
      </c>
      <c r="O1597" s="2">
        <f>IF(OR(F1597="",G1597=""),"",IF(G1597&lt;='RETRATO 2027'!$K$5,"CONCLUÍDA",IF(F1597&lt;='RETRATO 2027'!$K$5,"EM ANDAMENTO","A INICIAR")))</f>
        <v/>
      </c>
    </row>
    <row r="1598">
      <c r="B1598" s="4" t="n">
        <v>29981233</v>
      </c>
      <c r="C1598" s="4" t="inlineStr">
        <is>
          <t>ESQUADRIA MADEIRA</t>
        </is>
      </c>
      <c r="D1598" s="4" t="inlineStr">
        <is>
          <t>-</t>
        </is>
      </c>
      <c r="E1598" s="4" t="inlineStr">
        <is>
          <t>15º PAV.</t>
        </is>
      </c>
      <c r="F1598" s="126" t="n">
        <v>46892</v>
      </c>
      <c r="G1598" s="126" t="n">
        <v>46904</v>
      </c>
      <c r="H1598" s="126" t="n">
        <v>46289</v>
      </c>
      <c r="I1598" s="4" t="n">
        <v>0</v>
      </c>
      <c r="J1598" s="4" t="n">
        <v>0</v>
      </c>
      <c r="K1598" s="4" t="n">
        <v>0</v>
      </c>
      <c r="M1598" s="2">
        <f>IF(C1598="","",IFERROR(INDEX($S$5:$S$304,MATCH(C1598,$R$5:$R$304,0))&amp;"","?"))</f>
        <v/>
      </c>
      <c r="N1598" s="2">
        <f>IF(E1598="","",IF(ISNUMBER(SEARCH("SUBSOLO",E1598)),IFERROR(-VALUE(LEFT(E1598,FIND("º",SUBSTITUTE(E1598,"°","º"))-1)),-1),IF(LEFT(E1598,6)="TÉRREO",0,IFERROR(VALUE(LEFT(E1598,FIND("º",SUBSTITUTE(E1598,"°","º"))-1)),""))))</f>
        <v/>
      </c>
      <c r="O1598" s="2">
        <f>IF(OR(F1598="",G1598=""),"",IF(G1598&lt;='RETRATO 2027'!$K$5,"CONCLUÍDA",IF(F1598&lt;='RETRATO 2027'!$K$5,"EM ANDAMENTO","A INICIAR")))</f>
        <v/>
      </c>
    </row>
    <row r="1599">
      <c r="B1599" s="4" t="n">
        <v>29981195</v>
      </c>
      <c r="C1599" s="4" t="inlineStr">
        <is>
          <t>PISO VINÍLICO / LAMINADO</t>
        </is>
      </c>
      <c r="D1599" s="4" t="inlineStr">
        <is>
          <t>-</t>
        </is>
      </c>
      <c r="E1599" s="4" t="inlineStr">
        <is>
          <t>16º PAV.</t>
        </is>
      </c>
      <c r="F1599" s="126" t="n">
        <v>46892</v>
      </c>
      <c r="G1599" s="126" t="n">
        <v>46904</v>
      </c>
      <c r="H1599" s="126" t="n">
        <v>46289</v>
      </c>
      <c r="I1599" s="4" t="n">
        <v>0</v>
      </c>
      <c r="J1599" s="4" t="n">
        <v>0</v>
      </c>
      <c r="K1599" s="4" t="n">
        <v>0</v>
      </c>
      <c r="M1599" s="2">
        <f>IF(C1599="","",IFERROR(INDEX($S$5:$S$304,MATCH(C1599,$R$5:$R$304,0))&amp;"","?"))</f>
        <v/>
      </c>
      <c r="N1599" s="2">
        <f>IF(E1599="","",IF(ISNUMBER(SEARCH("SUBSOLO",E1599)),IFERROR(-VALUE(LEFT(E1599,FIND("º",SUBSTITUTE(E1599,"°","º"))-1)),-1),IF(LEFT(E1599,6)="TÉRREO",0,IFERROR(VALUE(LEFT(E1599,FIND("º",SUBSTITUTE(E1599,"°","º"))-1)),""))))</f>
        <v/>
      </c>
      <c r="O1599" s="2">
        <f>IF(OR(F1599="",G1599=""),"",IF(G1599&lt;='RETRATO 2027'!$K$5,"CONCLUÍDA",IF(F1599&lt;='RETRATO 2027'!$K$5,"EM ANDAMENTO","A INICIAR")))</f>
        <v/>
      </c>
    </row>
    <row r="1600">
      <c r="B1600" s="4" t="n">
        <v>29981157</v>
      </c>
      <c r="C1600" s="4" t="inlineStr">
        <is>
          <t>PINTURA 1º DEMÃO</t>
        </is>
      </c>
      <c r="D1600" s="4" t="inlineStr">
        <is>
          <t>-</t>
        </is>
      </c>
      <c r="E1600" s="4" t="inlineStr">
        <is>
          <t>17º PAV.</t>
        </is>
      </c>
      <c r="F1600" s="126" t="n">
        <v>46892</v>
      </c>
      <c r="G1600" s="126" t="n">
        <v>46904</v>
      </c>
      <c r="H1600" s="126" t="n">
        <v>46289</v>
      </c>
      <c r="I1600" s="4" t="n">
        <v>0</v>
      </c>
      <c r="J1600" s="4" t="n">
        <v>0</v>
      </c>
      <c r="K1600" s="4" t="n">
        <v>0</v>
      </c>
      <c r="M1600" s="2">
        <f>IF(C1600="","",IFERROR(INDEX($S$5:$S$304,MATCH(C1600,$R$5:$R$304,0))&amp;"","?"))</f>
        <v/>
      </c>
      <c r="N1600" s="2">
        <f>IF(E1600="","",IF(ISNUMBER(SEARCH("SUBSOLO",E1600)),IFERROR(-VALUE(LEFT(E1600,FIND("º",SUBSTITUTE(E1600,"°","º"))-1)),-1),IF(LEFT(E1600,6)="TÉRREO",0,IFERROR(VALUE(LEFT(E1600,FIND("º",SUBSTITUTE(E1600,"°","º"))-1)),""))))</f>
        <v/>
      </c>
      <c r="O1600" s="2">
        <f>IF(OR(F1600="",G1600=""),"",IF(G1600&lt;='RETRATO 2027'!$K$5,"CONCLUÍDA",IF(F1600&lt;='RETRATO 2027'!$K$5,"EM ANDAMENTO","A INICIAR")))</f>
        <v/>
      </c>
    </row>
    <row r="1601">
      <c r="B1601" s="4" t="n">
        <v>29981146</v>
      </c>
      <c r="C1601" s="4" t="inlineStr">
        <is>
          <t>MASSA CORRIDA</t>
        </is>
      </c>
      <c r="D1601" s="4" t="inlineStr">
        <is>
          <t>-</t>
        </is>
      </c>
      <c r="E1601" s="4" t="inlineStr">
        <is>
          <t>18º PAV.</t>
        </is>
      </c>
      <c r="F1601" s="126" t="n">
        <v>46892</v>
      </c>
      <c r="G1601" s="126" t="n">
        <v>46904</v>
      </c>
      <c r="H1601" s="126" t="n">
        <v>46289</v>
      </c>
      <c r="I1601" s="4" t="n">
        <v>0</v>
      </c>
      <c r="J1601" s="4" t="n">
        <v>0</v>
      </c>
      <c r="K1601" s="4" t="n">
        <v>0</v>
      </c>
      <c r="M1601" s="2">
        <f>IF(C1601="","",IFERROR(INDEX($S$5:$S$304,MATCH(C1601,$R$5:$R$304,0))&amp;"","?"))</f>
        <v/>
      </c>
      <c r="N1601" s="2">
        <f>IF(E1601="","",IF(ISNUMBER(SEARCH("SUBSOLO",E1601)),IFERROR(-VALUE(LEFT(E1601,FIND("º",SUBSTITUTE(E1601,"°","º"))-1)),-1),IF(LEFT(E1601,6)="TÉRREO",0,IFERROR(VALUE(LEFT(E1601,FIND("º",SUBSTITUTE(E1601,"°","º"))-1)),""))))</f>
        <v/>
      </c>
      <c r="O1601" s="2">
        <f>IF(OR(F1601="",G1601=""),"",IF(G1601&lt;='RETRATO 2027'!$K$5,"CONCLUÍDA",IF(F1601&lt;='RETRATO 2027'!$K$5,"EM ANDAMENTO","A INICIAR")))</f>
        <v/>
      </c>
    </row>
    <row r="1602">
      <c r="B1602" s="4" t="n">
        <v>33898103</v>
      </c>
      <c r="C1602" s="4" t="inlineStr">
        <is>
          <t>ESQUADRIA DE ALUMÍNIO</t>
        </is>
      </c>
      <c r="D1602" s="4" t="inlineStr">
        <is>
          <t>-</t>
        </is>
      </c>
      <c r="E1602" s="4" t="inlineStr">
        <is>
          <t>20º PAV.</t>
        </is>
      </c>
      <c r="F1602" s="126" t="n">
        <v>46892</v>
      </c>
      <c r="G1602" s="126" t="n">
        <v>46904</v>
      </c>
      <c r="H1602" s="126" t="n">
        <v>46289</v>
      </c>
      <c r="I1602" s="4" t="n">
        <v>0</v>
      </c>
      <c r="J1602" s="4" t="n">
        <v>0</v>
      </c>
      <c r="K1602" s="4" t="n">
        <v>0</v>
      </c>
      <c r="M1602" s="2">
        <f>IF(C1602="","",IFERROR(INDEX($S$5:$S$304,MATCH(C1602,$R$5:$R$304,0))&amp;"","?"))</f>
        <v/>
      </c>
      <c r="N1602" s="2">
        <f>IF(E1602="","",IF(ISNUMBER(SEARCH("SUBSOLO",E1602)),IFERROR(-VALUE(LEFT(E1602,FIND("º",SUBSTITUTE(E1602,"°","º"))-1)),-1),IF(LEFT(E1602,6)="TÉRREO",0,IFERROR(VALUE(LEFT(E1602,FIND("º",SUBSTITUTE(E1602,"°","º"))-1)),""))))</f>
        <v/>
      </c>
      <c r="O1602" s="2">
        <f>IF(OR(F1602="",G1602=""),"",IF(G1602&lt;='RETRATO 2027'!$K$5,"CONCLUÍDA",IF(F1602&lt;='RETRATO 2027'!$K$5,"EM ANDAMENTO","A INICIAR")))</f>
        <v/>
      </c>
    </row>
    <row r="1603">
      <c r="B1603" s="4" t="n">
        <v>30210366</v>
      </c>
      <c r="C1603" s="4" t="inlineStr">
        <is>
          <t>MONTAGEM - ELEVADOR 1</t>
        </is>
      </c>
      <c r="D1603" s="4" t="inlineStr">
        <is>
          <t>-</t>
        </is>
      </c>
      <c r="E1603" s="4" t="inlineStr">
        <is>
          <t>ELEVADORES</t>
        </is>
      </c>
      <c r="F1603" s="126" t="n">
        <v>46892</v>
      </c>
      <c r="G1603" s="126" t="n">
        <v>46939</v>
      </c>
      <c r="H1603" s="126" t="n">
        <v>46289</v>
      </c>
      <c r="I1603" s="4" t="n">
        <v>0</v>
      </c>
      <c r="J1603" s="4" t="n">
        <v>0</v>
      </c>
      <c r="K1603" s="4" t="n">
        <v>0</v>
      </c>
      <c r="M1603" s="2">
        <f>IF(C1603="","",IFERROR(INDEX($S$5:$S$304,MATCH(C1603,$R$5:$R$304,0))&amp;"","?"))</f>
        <v/>
      </c>
      <c r="N1603" s="2">
        <f>IF(E1603="","",IF(ISNUMBER(SEARCH("SUBSOLO",E1603)),IFERROR(-VALUE(LEFT(E1603,FIND("º",SUBSTITUTE(E1603,"°","º"))-1)),-1),IF(LEFT(E1603,6)="TÉRREO",0,IFERROR(VALUE(LEFT(E1603,FIND("º",SUBSTITUTE(E1603,"°","º"))-1)),""))))</f>
        <v/>
      </c>
      <c r="O1603" s="2">
        <f>IF(OR(F1603="",G1603=""),"",IF(G1603&lt;='RETRATO 2027'!$K$5,"CONCLUÍDA",IF(F1603&lt;='RETRATO 2027'!$K$5,"EM ANDAMENTO","A INICIAR")))</f>
        <v/>
      </c>
    </row>
    <row r="1604">
      <c r="B1604" s="4" t="n">
        <v>30205695</v>
      </c>
      <c r="C1604" s="4" t="inlineStr">
        <is>
          <t>ACABAMENTOS ELÉTRICOS</t>
        </is>
      </c>
      <c r="D1604" s="4" t="inlineStr">
        <is>
          <t>-</t>
        </is>
      </c>
      <c r="E1604" s="4" t="inlineStr">
        <is>
          <t>TÉRREO - LOJA 1</t>
        </is>
      </c>
      <c r="F1604" s="126" t="n">
        <v>46895</v>
      </c>
      <c r="G1604" s="126" t="n">
        <v>46906</v>
      </c>
      <c r="H1604" s="126" t="n">
        <v>46289</v>
      </c>
      <c r="I1604" s="4" t="n">
        <v>0</v>
      </c>
      <c r="J1604" s="4" t="n">
        <v>0</v>
      </c>
      <c r="K1604" s="4" t="n">
        <v>0</v>
      </c>
      <c r="M1604" s="2">
        <f>IF(C1604="","",IFERROR(INDEX($S$5:$S$304,MATCH(C1604,$R$5:$R$304,0))&amp;"","?"))</f>
        <v/>
      </c>
      <c r="N1604" s="2">
        <f>IF(E1604="","",IF(ISNUMBER(SEARCH("SUBSOLO",E1604)),IFERROR(-VALUE(LEFT(E1604,FIND("º",SUBSTITUTE(E1604,"°","º"))-1)),-1),IF(LEFT(E1604,6)="TÉRREO",0,IFERROR(VALUE(LEFT(E1604,FIND("º",SUBSTITUTE(E1604,"°","º"))-1)),""))))</f>
        <v/>
      </c>
      <c r="O1604" s="2">
        <f>IF(OR(F1604="",G1604=""),"",IF(G1604&lt;='RETRATO 2027'!$K$5,"CONCLUÍDA",IF(F1604&lt;='RETRATO 2027'!$K$5,"EM ANDAMENTO","A INICIAR")))</f>
        <v/>
      </c>
    </row>
    <row r="1605">
      <c r="B1605" s="4" t="n">
        <v>30205667</v>
      </c>
      <c r="C1605" s="4" t="inlineStr">
        <is>
          <t>PINTURA 2º DEMÃO</t>
        </is>
      </c>
      <c r="D1605" s="4" t="inlineStr">
        <is>
          <t>-</t>
        </is>
      </c>
      <c r="E1605" s="4" t="inlineStr">
        <is>
          <t>TÉRREO - LOJA 2</t>
        </is>
      </c>
      <c r="F1605" s="126" t="n">
        <v>46895</v>
      </c>
      <c r="G1605" s="126" t="n">
        <v>46906</v>
      </c>
      <c r="H1605" s="126" t="n">
        <v>46289</v>
      </c>
      <c r="I1605" s="4" t="n">
        <v>0</v>
      </c>
      <c r="J1605" s="4" t="n">
        <v>0</v>
      </c>
      <c r="K1605" s="4" t="n">
        <v>0</v>
      </c>
      <c r="M1605" s="2">
        <f>IF(C1605="","",IFERROR(INDEX($S$5:$S$304,MATCH(C1605,$R$5:$R$304,0))&amp;"","?"))</f>
        <v/>
      </c>
      <c r="N1605" s="2">
        <f>IF(E1605="","",IF(ISNUMBER(SEARCH("SUBSOLO",E1605)),IFERROR(-VALUE(LEFT(E1605,FIND("º",SUBSTITUTE(E1605,"°","º"))-1)),-1),IF(LEFT(E1605,6)="TÉRREO",0,IFERROR(VALUE(LEFT(E1605,FIND("º",SUBSTITUTE(E1605,"°","º"))-1)),""))))</f>
        <v/>
      </c>
      <c r="O1605" s="2">
        <f>IF(OR(F1605="",G1605=""),"",IF(G1605&lt;='RETRATO 2027'!$K$5,"CONCLUÍDA",IF(F1605&lt;='RETRATO 2027'!$K$5,"EM ANDAMENTO","A INICIAR")))</f>
        <v/>
      </c>
    </row>
    <row r="1606">
      <c r="B1606" s="4" t="n">
        <v>30205653</v>
      </c>
      <c r="C1606" s="4" t="inlineStr">
        <is>
          <t>LIMPEZA GROSSA</t>
        </is>
      </c>
      <c r="D1606" s="4" t="inlineStr">
        <is>
          <t>-</t>
        </is>
      </c>
      <c r="E1606" s="4" t="inlineStr">
        <is>
          <t>TÉRREO - LOJA 3</t>
        </is>
      </c>
      <c r="F1606" s="126" t="n">
        <v>46895</v>
      </c>
      <c r="G1606" s="126" t="n">
        <v>46906</v>
      </c>
      <c r="H1606" s="126" t="n">
        <v>46289</v>
      </c>
      <c r="I1606" s="4" t="n">
        <v>0</v>
      </c>
      <c r="J1606" s="4" t="n">
        <v>0</v>
      </c>
      <c r="K1606" s="4" t="n">
        <v>0</v>
      </c>
      <c r="M1606" s="2">
        <f>IF(C1606="","",IFERROR(INDEX($S$5:$S$304,MATCH(C1606,$R$5:$R$304,0))&amp;"","?"))</f>
        <v/>
      </c>
      <c r="N1606" s="2">
        <f>IF(E1606="","",IF(ISNUMBER(SEARCH("SUBSOLO",E1606)),IFERROR(-VALUE(LEFT(E1606,FIND("º",SUBSTITUTE(E1606,"°","º"))-1)),-1),IF(LEFT(E1606,6)="TÉRREO",0,IFERROR(VALUE(LEFT(E1606,FIND("º",SUBSTITUTE(E1606,"°","º"))-1)),""))))</f>
        <v/>
      </c>
      <c r="O1606" s="2">
        <f>IF(OR(F1606="",G1606=""),"",IF(G1606&lt;='RETRATO 2027'!$K$5,"CONCLUÍDA",IF(F1606&lt;='RETRATO 2027'!$K$5,"EM ANDAMENTO","A INICIAR")))</f>
        <v/>
      </c>
    </row>
    <row r="1607">
      <c r="B1607" s="4" t="n">
        <v>30171510</v>
      </c>
      <c r="C1607" s="4" t="inlineStr">
        <is>
          <t>ACABAMENTOS ELÉTRICOS</t>
        </is>
      </c>
      <c r="D1607" s="4" t="inlineStr">
        <is>
          <t>-</t>
        </is>
      </c>
      <c r="E1607" s="4" t="inlineStr">
        <is>
          <t>HALL - APTOS</t>
        </is>
      </c>
      <c r="F1607" s="126" t="n">
        <v>46895</v>
      </c>
      <c r="G1607" s="126" t="n">
        <v>47176</v>
      </c>
      <c r="H1607" s="126" t="n">
        <v>46289</v>
      </c>
      <c r="I1607" s="4" t="n">
        <v>0</v>
      </c>
      <c r="J1607" s="4" t="n">
        <v>0</v>
      </c>
      <c r="K1607" s="4" t="n">
        <v>0</v>
      </c>
      <c r="M1607" s="2">
        <f>IF(C1607="","",IFERROR(INDEX($S$5:$S$304,MATCH(C1607,$R$5:$R$304,0))&amp;"","?"))</f>
        <v/>
      </c>
      <c r="N1607" s="2">
        <f>IF(E1607="","",IF(ISNUMBER(SEARCH("SUBSOLO",E1607)),IFERROR(-VALUE(LEFT(E1607,FIND("º",SUBSTITUTE(E1607,"°","º"))-1)),-1),IF(LEFT(E1607,6)="TÉRREO",0,IFERROR(VALUE(LEFT(E1607,FIND("º",SUBSTITUTE(E1607,"°","º"))-1)),""))))</f>
        <v/>
      </c>
      <c r="O1607" s="2">
        <f>IF(OR(F1607="",G1607=""),"",IF(G1607&lt;='RETRATO 2027'!$K$5,"CONCLUÍDA",IF(F1607&lt;='RETRATO 2027'!$K$5,"EM ANDAMENTO","A INICIAR")))</f>
        <v/>
      </c>
    </row>
    <row r="1608">
      <c r="B1608" s="4" t="n">
        <v>29980922</v>
      </c>
      <c r="C1608" s="4" t="inlineStr">
        <is>
          <t>FORRO</t>
        </is>
      </c>
      <c r="D1608" s="4" t="inlineStr">
        <is>
          <t>-</t>
        </is>
      </c>
      <c r="E1608" s="4" t="inlineStr">
        <is>
          <t>24º PAV.</t>
        </is>
      </c>
      <c r="F1608" s="126" t="n">
        <v>46895</v>
      </c>
      <c r="G1608" s="126" t="n">
        <v>46905</v>
      </c>
      <c r="H1608" s="126" t="n">
        <v>46289</v>
      </c>
      <c r="I1608" s="4" t="n">
        <v>0</v>
      </c>
      <c r="J1608" s="4" t="n">
        <v>0</v>
      </c>
      <c r="K1608" s="4" t="n">
        <v>0</v>
      </c>
      <c r="M1608" s="2">
        <f>IF(C1608="","",IFERROR(INDEX($S$5:$S$304,MATCH(C1608,$R$5:$R$304,0))&amp;"","?"))</f>
        <v/>
      </c>
      <c r="N1608" s="2">
        <f>IF(E1608="","",IF(ISNUMBER(SEARCH("SUBSOLO",E1608)),IFERROR(-VALUE(LEFT(E1608,FIND("º",SUBSTITUTE(E1608,"°","º"))-1)),-1),IF(LEFT(E1608,6)="TÉRREO",0,IFERROR(VALUE(LEFT(E1608,FIND("º",SUBSTITUTE(E1608,"°","º"))-1)),""))))</f>
        <v/>
      </c>
      <c r="O1608" s="2">
        <f>IF(OR(F1608="",G1608=""),"",IF(G1608&lt;='RETRATO 2027'!$K$5,"CONCLUÍDA",IF(F1608&lt;='RETRATO 2027'!$K$5,"EM ANDAMENTO","A INICIAR")))</f>
        <v/>
      </c>
    </row>
    <row r="1609">
      <c r="B1609" s="4" t="n">
        <v>29980883</v>
      </c>
      <c r="C1609" s="4" t="inlineStr">
        <is>
          <t>FIAÇÃO ELÉTRICA</t>
        </is>
      </c>
      <c r="D1609" s="4" t="inlineStr">
        <is>
          <t>-</t>
        </is>
      </c>
      <c r="E1609" s="4" t="inlineStr">
        <is>
          <t>25º PAV.</t>
        </is>
      </c>
      <c r="F1609" s="126" t="n">
        <v>46895</v>
      </c>
      <c r="G1609" s="126" t="n">
        <v>46905</v>
      </c>
      <c r="H1609" s="126" t="n">
        <v>46289</v>
      </c>
      <c r="I1609" s="4" t="n">
        <v>0</v>
      </c>
      <c r="J1609" s="4" t="n">
        <v>0</v>
      </c>
      <c r="K1609" s="4" t="n">
        <v>0</v>
      </c>
      <c r="M1609" s="2">
        <f>IF(C1609="","",IFERROR(INDEX($S$5:$S$304,MATCH(C1609,$R$5:$R$304,0))&amp;"","?"))</f>
        <v/>
      </c>
      <c r="N1609" s="2">
        <f>IF(E1609="","",IF(ISNUMBER(SEARCH("SUBSOLO",E1609)),IFERROR(-VALUE(LEFT(E1609,FIND("º",SUBSTITUTE(E1609,"°","º"))-1)),-1),IF(LEFT(E1609,6)="TÉRREO",0,IFERROR(VALUE(LEFT(E1609,FIND("º",SUBSTITUTE(E1609,"°","º"))-1)),""))))</f>
        <v/>
      </c>
      <c r="O1609" s="2">
        <f>IF(OR(F1609="",G1609=""),"",IF(G1609&lt;='RETRATO 2027'!$K$5,"CONCLUÍDA",IF(F1609&lt;='RETRATO 2027'!$K$5,"EM ANDAMENTO","A INICIAR")))</f>
        <v/>
      </c>
    </row>
    <row r="1610">
      <c r="B1610" s="4" t="n">
        <v>29980888</v>
      </c>
      <c r="C1610" s="4" t="inlineStr">
        <is>
          <t>PRUMADA ELÉTRICA - CABOS</t>
        </is>
      </c>
      <c r="D1610" s="4" t="inlineStr">
        <is>
          <t>-</t>
        </is>
      </c>
      <c r="E1610" s="4" t="inlineStr">
        <is>
          <t>25º PAV.</t>
        </is>
      </c>
      <c r="F1610" s="126" t="n">
        <v>46895</v>
      </c>
      <c r="G1610" s="126" t="n">
        <v>46905</v>
      </c>
      <c r="H1610" s="126" t="n">
        <v>46289</v>
      </c>
      <c r="I1610" s="4" t="n">
        <v>0</v>
      </c>
      <c r="J1610" s="4" t="n">
        <v>0</v>
      </c>
      <c r="K1610" s="4" t="n">
        <v>0</v>
      </c>
      <c r="M1610" s="2">
        <f>IF(C1610="","",IFERROR(INDEX($S$5:$S$304,MATCH(C1610,$R$5:$R$304,0))&amp;"","?"))</f>
        <v/>
      </c>
      <c r="N1610" s="2">
        <f>IF(E1610="","",IF(ISNUMBER(SEARCH("SUBSOLO",E1610)),IFERROR(-VALUE(LEFT(E1610,FIND("º",SUBSTITUTE(E1610,"°","º"))-1)),-1),IF(LEFT(E1610,6)="TÉRREO",0,IFERROR(VALUE(LEFT(E1610,FIND("º",SUBSTITUTE(E1610,"°","º"))-1)),""))))</f>
        <v/>
      </c>
      <c r="O1610" s="2">
        <f>IF(OR(F1610="",G1610=""),"",IF(G1610&lt;='RETRATO 2027'!$K$5,"CONCLUÍDA",IF(F1610&lt;='RETRATO 2027'!$K$5,"EM ANDAMENTO","A INICIAR")))</f>
        <v/>
      </c>
    </row>
    <row r="1611">
      <c r="B1611" s="4" t="n">
        <v>30214087</v>
      </c>
      <c r="C1611" s="4" t="inlineStr">
        <is>
          <t>FIAÇÃO TELECOM/DADOS</t>
        </is>
      </c>
      <c r="D1611" s="4" t="inlineStr">
        <is>
          <t>-</t>
        </is>
      </c>
      <c r="E1611" s="4" t="inlineStr">
        <is>
          <t>25º PAV.</t>
        </is>
      </c>
      <c r="F1611" s="126" t="n">
        <v>46895</v>
      </c>
      <c r="G1611" s="126" t="n">
        <v>46906</v>
      </c>
      <c r="H1611" s="126" t="n">
        <v>46289</v>
      </c>
      <c r="I1611" s="4" t="n">
        <v>0</v>
      </c>
      <c r="J1611" s="4" t="n">
        <v>0</v>
      </c>
      <c r="K1611" s="4" t="n">
        <v>0</v>
      </c>
      <c r="M1611" s="2">
        <f>IF(C1611="","",IFERROR(INDEX($S$5:$S$304,MATCH(C1611,$R$5:$R$304,0))&amp;"","?"))</f>
        <v/>
      </c>
      <c r="N1611" s="2">
        <f>IF(E1611="","",IF(ISNUMBER(SEARCH("SUBSOLO",E1611)),IFERROR(-VALUE(LEFT(E1611,FIND("º",SUBSTITUTE(E1611,"°","º"))-1)),-1),IF(LEFT(E1611,6)="TÉRREO",0,IFERROR(VALUE(LEFT(E1611,FIND("º",SUBSTITUTE(E1611,"°","º"))-1)),""))))</f>
        <v/>
      </c>
      <c r="O1611" s="2">
        <f>IF(OR(F1611="",G1611=""),"",IF(G1611&lt;='RETRATO 2027'!$K$5,"CONCLUÍDA",IF(F1611&lt;='RETRATO 2027'!$K$5,"EM ANDAMENTO","A INICIAR")))</f>
        <v/>
      </c>
    </row>
    <row r="1612">
      <c r="B1612" s="4" t="n">
        <v>29980830</v>
      </c>
      <c r="C1612" s="4" t="inlineStr">
        <is>
          <t>BANCADAS</t>
        </is>
      </c>
      <c r="D1612" s="4" t="inlineStr">
        <is>
          <t>-</t>
        </is>
      </c>
      <c r="E1612" s="4" t="inlineStr">
        <is>
          <t>26º PAV.</t>
        </is>
      </c>
      <c r="F1612" s="126" t="n">
        <v>46895</v>
      </c>
      <c r="G1612" s="126" t="n">
        <v>46905</v>
      </c>
      <c r="H1612" s="126" t="n">
        <v>46289</v>
      </c>
      <c r="I1612" s="4" t="n">
        <v>0</v>
      </c>
      <c r="J1612" s="4" t="n">
        <v>0</v>
      </c>
      <c r="K1612" s="4" t="n">
        <v>0</v>
      </c>
      <c r="M1612" s="2">
        <f>IF(C1612="","",IFERROR(INDEX($S$5:$S$304,MATCH(C1612,$R$5:$R$304,0))&amp;"","?"))</f>
        <v/>
      </c>
      <c r="N1612" s="2">
        <f>IF(E1612="","",IF(ISNUMBER(SEARCH("SUBSOLO",E1612)),IFERROR(-VALUE(LEFT(E1612,FIND("º",SUBSTITUTE(E1612,"°","º"))-1)),-1),IF(LEFT(E1612,6)="TÉRREO",0,IFERROR(VALUE(LEFT(E1612,FIND("º",SUBSTITUTE(E1612,"°","º"))-1)),""))))</f>
        <v/>
      </c>
      <c r="O1612" s="2">
        <f>IF(OR(F1612="",G1612=""),"",IF(G1612&lt;='RETRATO 2027'!$K$5,"CONCLUÍDA",IF(F1612&lt;='RETRATO 2027'!$K$5,"EM ANDAMENTO","A INICIAR")))</f>
        <v/>
      </c>
    </row>
    <row r="1613">
      <c r="B1613" s="4" t="n">
        <v>29980792</v>
      </c>
      <c r="C1613" s="4" t="inlineStr">
        <is>
          <t>REVESTIMENTOS PORCELANATO PISO</t>
        </is>
      </c>
      <c r="D1613" s="4" t="inlineStr">
        <is>
          <t>-</t>
        </is>
      </c>
      <c r="E1613" s="4" t="inlineStr">
        <is>
          <t>27º PAV.</t>
        </is>
      </c>
      <c r="F1613" s="126" t="n">
        <v>46895</v>
      </c>
      <c r="G1613" s="126" t="n">
        <v>46905</v>
      </c>
      <c r="H1613" s="126" t="n">
        <v>46289</v>
      </c>
      <c r="I1613" s="4" t="n">
        <v>0</v>
      </c>
      <c r="J1613" s="4" t="n">
        <v>0</v>
      </c>
      <c r="K1613" s="4" t="n">
        <v>0</v>
      </c>
      <c r="M1613" s="2">
        <f>IF(C1613="","",IFERROR(INDEX($S$5:$S$304,MATCH(C1613,$R$5:$R$304,0))&amp;"","?"))</f>
        <v/>
      </c>
      <c r="N1613" s="2">
        <f>IF(E1613="","",IF(ISNUMBER(SEARCH("SUBSOLO",E1613)),IFERROR(-VALUE(LEFT(E1613,FIND("º",SUBSTITUTE(E1613,"°","º"))-1)),-1),IF(LEFT(E1613,6)="TÉRREO",0,IFERROR(VALUE(LEFT(E1613,FIND("º",SUBSTITUTE(E1613,"°","º"))-1)),""))))</f>
        <v/>
      </c>
      <c r="O1613" s="2">
        <f>IF(OR(F1613="",G1613=""),"",IF(G1613&lt;='RETRATO 2027'!$K$5,"CONCLUÍDA",IF(F1613&lt;='RETRATO 2027'!$K$5,"EM ANDAMENTO","A INICIAR")))</f>
        <v/>
      </c>
    </row>
    <row r="1614">
      <c r="B1614" s="4" t="n">
        <v>29980771</v>
      </c>
      <c r="C1614" s="4" t="inlineStr">
        <is>
          <t>REVESTIMENTO PORCELANATO PAREDE</t>
        </is>
      </c>
      <c r="D1614" s="4" t="inlineStr">
        <is>
          <t>-</t>
        </is>
      </c>
      <c r="E1614" s="4" t="inlineStr">
        <is>
          <t>28º PAV.</t>
        </is>
      </c>
      <c r="F1614" s="126" t="n">
        <v>46895</v>
      </c>
      <c r="G1614" s="126" t="n">
        <v>46905</v>
      </c>
      <c r="H1614" s="126" t="n">
        <v>46289</v>
      </c>
      <c r="I1614" s="4" t="n">
        <v>0</v>
      </c>
      <c r="J1614" s="4" t="n">
        <v>0</v>
      </c>
      <c r="K1614" s="4" t="n">
        <v>0</v>
      </c>
      <c r="M1614" s="2">
        <f>IF(C1614="","",IFERROR(INDEX($S$5:$S$304,MATCH(C1614,$R$5:$R$304,0))&amp;"","?"))</f>
        <v/>
      </c>
      <c r="N1614" s="2">
        <f>IF(E1614="","",IF(ISNUMBER(SEARCH("SUBSOLO",E1614)),IFERROR(-VALUE(LEFT(E1614,FIND("º",SUBSTITUTE(E1614,"°","º"))-1)),-1),IF(LEFT(E1614,6)="TÉRREO",0,IFERROR(VALUE(LEFT(E1614,FIND("º",SUBSTITUTE(E1614,"°","º"))-1)),""))))</f>
        <v/>
      </c>
      <c r="O1614" s="2">
        <f>IF(OR(F1614="",G1614=""),"",IF(G1614&lt;='RETRATO 2027'!$K$5,"CONCLUÍDA",IF(F1614&lt;='RETRATO 2027'!$K$5,"EM ANDAMENTO","A INICIAR")))</f>
        <v/>
      </c>
    </row>
    <row r="1615">
      <c r="B1615" s="4" t="n">
        <v>29980732</v>
      </c>
      <c r="C1615" s="4" t="inlineStr">
        <is>
          <t>IMPERMEABILIZAÇÃO</t>
        </is>
      </c>
      <c r="D1615" s="4" t="inlineStr">
        <is>
          <t>-</t>
        </is>
      </c>
      <c r="E1615" s="4" t="inlineStr">
        <is>
          <t>29º PAV.</t>
        </is>
      </c>
      <c r="F1615" s="126" t="n">
        <v>46895</v>
      </c>
      <c r="G1615" s="126" t="n">
        <v>46905</v>
      </c>
      <c r="H1615" s="126" t="n">
        <v>46289</v>
      </c>
      <c r="I1615" s="4" t="n">
        <v>0</v>
      </c>
      <c r="J1615" s="4" t="n">
        <v>0</v>
      </c>
      <c r="K1615" s="4" t="n">
        <v>0</v>
      </c>
      <c r="M1615" s="2">
        <f>IF(C1615="","",IFERROR(INDEX($S$5:$S$304,MATCH(C1615,$R$5:$R$304,0))&amp;"","?"))</f>
        <v/>
      </c>
      <c r="N1615" s="2">
        <f>IF(E1615="","",IF(ISNUMBER(SEARCH("SUBSOLO",E1615)),IFERROR(-VALUE(LEFT(E1615,FIND("º",SUBSTITUTE(E1615,"°","º"))-1)),-1),IF(LEFT(E1615,6)="TÉRREO",0,IFERROR(VALUE(LEFT(E1615,FIND("º",SUBSTITUTE(E1615,"°","º"))-1)),""))))</f>
        <v/>
      </c>
      <c r="O1615" s="2">
        <f>IF(OR(F1615="",G1615=""),"",IF(G1615&lt;='RETRATO 2027'!$K$5,"CONCLUÍDA",IF(F1615&lt;='RETRATO 2027'!$K$5,"EM ANDAMENTO","A INICIAR")))</f>
        <v/>
      </c>
    </row>
    <row r="1616">
      <c r="B1616" s="4" t="n">
        <v>32750456</v>
      </c>
      <c r="C1616" s="4" t="inlineStr">
        <is>
          <t>DRYWALL 2º FACE</t>
        </is>
      </c>
      <c r="D1616" s="4" t="inlineStr">
        <is>
          <t>-</t>
        </is>
      </c>
      <c r="E1616" s="4" t="inlineStr">
        <is>
          <t>30º PAV.</t>
        </is>
      </c>
      <c r="F1616" s="126" t="n">
        <v>46895</v>
      </c>
      <c r="G1616" s="126" t="n">
        <v>46905</v>
      </c>
      <c r="H1616" s="126" t="n">
        <v>46289</v>
      </c>
      <c r="I1616" s="4" t="n">
        <v>0</v>
      </c>
      <c r="J1616" s="4" t="n">
        <v>0</v>
      </c>
      <c r="K1616" s="4" t="n">
        <v>0</v>
      </c>
      <c r="M1616" s="2">
        <f>IF(C1616="","",IFERROR(INDEX($S$5:$S$304,MATCH(C1616,$R$5:$R$304,0))&amp;"","?"))</f>
        <v/>
      </c>
      <c r="N1616" s="2">
        <f>IF(E1616="","",IF(ISNUMBER(SEARCH("SUBSOLO",E1616)),IFERROR(-VALUE(LEFT(E1616,FIND("º",SUBSTITUTE(E1616,"°","º"))-1)),-1),IF(LEFT(E1616,6)="TÉRREO",0,IFERROR(VALUE(LEFT(E1616,FIND("º",SUBSTITUTE(E1616,"°","º"))-1)),""))))</f>
        <v/>
      </c>
      <c r="O1616" s="2">
        <f>IF(OR(F1616="",G1616=""),"",IF(G1616&lt;='RETRATO 2027'!$K$5,"CONCLUÍDA",IF(F1616&lt;='RETRATO 2027'!$K$5,"EM ANDAMENTO","A INICIAR")))</f>
        <v/>
      </c>
    </row>
    <row r="1617">
      <c r="B1617" s="4" t="n">
        <v>32750379</v>
      </c>
      <c r="C1617" s="4" t="inlineStr">
        <is>
          <t>DISTRIBUIÇÃO DE GÁS - DRYWALL</t>
        </is>
      </c>
      <c r="D1617" s="4" t="inlineStr">
        <is>
          <t>-</t>
        </is>
      </c>
      <c r="E1617" s="4" t="inlineStr">
        <is>
          <t>31º PAV. - COBERTURA LINEAR</t>
        </is>
      </c>
      <c r="F1617" s="126" t="n">
        <v>46895</v>
      </c>
      <c r="G1617" s="126" t="n">
        <v>46905</v>
      </c>
      <c r="H1617" s="126" t="n">
        <v>46289</v>
      </c>
      <c r="I1617" s="4" t="n">
        <v>0</v>
      </c>
      <c r="J1617" s="4" t="n">
        <v>0</v>
      </c>
      <c r="K1617" s="4" t="n">
        <v>0</v>
      </c>
      <c r="M1617" s="2">
        <f>IF(C1617="","",IFERROR(INDEX($S$5:$S$304,MATCH(C1617,$R$5:$R$304,0))&amp;"","?"))</f>
        <v/>
      </c>
      <c r="N1617" s="2">
        <f>IF(E1617="","",IF(ISNUMBER(SEARCH("SUBSOLO",E1617)),IFERROR(-VALUE(LEFT(E1617,FIND("º",SUBSTITUTE(E1617,"°","º"))-1)),-1),IF(LEFT(E1617,6)="TÉRREO",0,IFERROR(VALUE(LEFT(E1617,FIND("º",SUBSTITUTE(E1617,"°","º"))-1)),""))))</f>
        <v/>
      </c>
      <c r="O1617" s="2">
        <f>IF(OR(F1617="",G1617=""),"",IF(G1617&lt;='RETRATO 2027'!$K$5,"CONCLUÍDA",IF(F1617&lt;='RETRATO 2027'!$K$5,"EM ANDAMENTO","A INICIAR")))</f>
        <v/>
      </c>
    </row>
    <row r="1618">
      <c r="B1618" s="4" t="n">
        <v>32750405</v>
      </c>
      <c r="C1618" s="4" t="inlineStr">
        <is>
          <t>DISTRIBUIÇÃO ELÉTRICA/QUADRO - DRYWALL</t>
        </is>
      </c>
      <c r="D1618" s="4" t="inlineStr">
        <is>
          <t>-</t>
        </is>
      </c>
      <c r="E1618" s="4" t="inlineStr">
        <is>
          <t>31º PAV. - COBERTURA LINEAR</t>
        </is>
      </c>
      <c r="F1618" s="126" t="n">
        <v>46895</v>
      </c>
      <c r="G1618" s="126" t="n">
        <v>46905</v>
      </c>
      <c r="H1618" s="126" t="n">
        <v>46289</v>
      </c>
      <c r="I1618" s="4" t="n">
        <v>0</v>
      </c>
      <c r="J1618" s="4" t="n">
        <v>0</v>
      </c>
      <c r="K1618" s="4" t="n">
        <v>0</v>
      </c>
      <c r="M1618" s="2">
        <f>IF(C1618="","",IFERROR(INDEX($S$5:$S$304,MATCH(C1618,$R$5:$R$304,0))&amp;"","?"))</f>
        <v/>
      </c>
      <c r="N1618" s="2">
        <f>IF(E1618="","",IF(ISNUMBER(SEARCH("SUBSOLO",E1618)),IFERROR(-VALUE(LEFT(E1618,FIND("º",SUBSTITUTE(E1618,"°","º"))-1)),-1),IF(LEFT(E1618,6)="TÉRREO",0,IFERROR(VALUE(LEFT(E1618,FIND("º",SUBSTITUTE(E1618,"°","º"))-1)),""))))</f>
        <v/>
      </c>
      <c r="O1618" s="2">
        <f>IF(OR(F1618="",G1618=""),"",IF(G1618&lt;='RETRATO 2027'!$K$5,"CONCLUÍDA",IF(F1618&lt;='RETRATO 2027'!$K$5,"EM ANDAMENTO","A INICIAR")))</f>
        <v/>
      </c>
    </row>
    <row r="1619">
      <c r="B1619" s="4" t="n">
        <v>32750431</v>
      </c>
      <c r="C1619" s="4" t="inlineStr">
        <is>
          <t>DISTRIBUIÇÃO HIDRÁULICA - DRYWALL</t>
        </is>
      </c>
      <c r="D1619" s="4" t="inlineStr">
        <is>
          <t>-</t>
        </is>
      </c>
      <c r="E1619" s="4" t="inlineStr">
        <is>
          <t>31º PAV. - COBERTURA LINEAR</t>
        </is>
      </c>
      <c r="F1619" s="126" t="n">
        <v>46895</v>
      </c>
      <c r="G1619" s="126" t="n">
        <v>46905</v>
      </c>
      <c r="H1619" s="126" t="n">
        <v>46289</v>
      </c>
      <c r="I1619" s="4" t="n">
        <v>0</v>
      </c>
      <c r="J1619" s="4" t="n">
        <v>0</v>
      </c>
      <c r="K1619" s="4" t="n">
        <v>0</v>
      </c>
      <c r="M1619" s="2">
        <f>IF(C1619="","",IFERROR(INDEX($S$5:$S$304,MATCH(C1619,$R$5:$R$304,0))&amp;"","?"))</f>
        <v/>
      </c>
      <c r="N1619" s="2">
        <f>IF(E1619="","",IF(ISNUMBER(SEARCH("SUBSOLO",E1619)),IFERROR(-VALUE(LEFT(E1619,FIND("º",SUBSTITUTE(E1619,"°","º"))-1)),-1),IF(LEFT(E1619,6)="TÉRREO",0,IFERROR(VALUE(LEFT(E1619,FIND("º",SUBSTITUTE(E1619,"°","º"))-1)),""))))</f>
        <v/>
      </c>
      <c r="O1619" s="2">
        <f>IF(OR(F1619="",G1619=""),"",IF(G1619&lt;='RETRATO 2027'!$K$5,"CONCLUÍDA",IF(F1619&lt;='RETRATO 2027'!$K$5,"EM ANDAMENTO","A INICIAR")))</f>
        <v/>
      </c>
    </row>
    <row r="1620">
      <c r="B1620" s="4" t="n">
        <v>33896849</v>
      </c>
      <c r="C1620" s="4" t="inlineStr">
        <is>
          <t>INFRAESTRUTURA - AR CONDICIONADO</t>
        </is>
      </c>
      <c r="D1620" s="4" t="inlineStr">
        <is>
          <t>-</t>
        </is>
      </c>
      <c r="E1620" s="4" t="inlineStr">
        <is>
          <t>31º PAV. - COBERTURA LINEAR</t>
        </is>
      </c>
      <c r="F1620" s="126" t="n">
        <v>46895</v>
      </c>
      <c r="G1620" s="126" t="n">
        <v>46905</v>
      </c>
      <c r="H1620" s="126" t="n">
        <v>46289</v>
      </c>
      <c r="I1620" s="4" t="n">
        <v>0</v>
      </c>
      <c r="J1620" s="4" t="n">
        <v>0</v>
      </c>
      <c r="K1620" s="4" t="n">
        <v>0</v>
      </c>
      <c r="M1620" s="2">
        <f>IF(C1620="","",IFERROR(INDEX($S$5:$S$304,MATCH(C1620,$R$5:$R$304,0))&amp;"","?"))</f>
        <v/>
      </c>
      <c r="N1620" s="2">
        <f>IF(E1620="","",IF(ISNUMBER(SEARCH("SUBSOLO",E1620)),IFERROR(-VALUE(LEFT(E1620,FIND("º",SUBSTITUTE(E1620,"°","º"))-1)),-1),IF(LEFT(E1620,6)="TÉRREO",0,IFERROR(VALUE(LEFT(E1620,FIND("º",SUBSTITUTE(E1620,"°","º"))-1)),""))))</f>
        <v/>
      </c>
      <c r="O1620" s="2">
        <f>IF(OR(F1620="",G1620=""),"",IF(G1620&lt;='RETRATO 2027'!$K$5,"CONCLUÍDA",IF(F1620&lt;='RETRATO 2027'!$K$5,"EM ANDAMENTO","A INICIAR")))</f>
        <v/>
      </c>
    </row>
    <row r="1621">
      <c r="B1621" s="4" t="n">
        <v>29981082</v>
      </c>
      <c r="C1621" s="4" t="inlineStr">
        <is>
          <t>CONTRAMARCO</t>
        </is>
      </c>
      <c r="D1621" s="4" t="inlineStr">
        <is>
          <t>-</t>
        </is>
      </c>
      <c r="E1621" s="4" t="inlineStr">
        <is>
          <t>19º PAV.</t>
        </is>
      </c>
      <c r="F1621" s="126" t="n">
        <v>46896</v>
      </c>
      <c r="G1621" s="126" t="n">
        <v>46906</v>
      </c>
      <c r="H1621" s="126" t="n">
        <v>46289</v>
      </c>
      <c r="I1621" s="4" t="n">
        <v>0</v>
      </c>
      <c r="J1621" s="4" t="n">
        <v>0</v>
      </c>
      <c r="K1621" s="4" t="n">
        <v>0</v>
      </c>
      <c r="M1621" s="2">
        <f>IF(C1621="","",IFERROR(INDEX($S$5:$S$304,MATCH(C1621,$R$5:$R$304,0))&amp;"","?"))</f>
        <v/>
      </c>
      <c r="N1621" s="2">
        <f>IF(E1621="","",IF(ISNUMBER(SEARCH("SUBSOLO",E1621)),IFERROR(-VALUE(LEFT(E1621,FIND("º",SUBSTITUTE(E1621,"°","º"))-1)),-1),IF(LEFT(E1621,6)="TÉRREO",0,IFERROR(VALUE(LEFT(E1621,FIND("º",SUBSTITUTE(E1621,"°","º"))-1)),""))))</f>
        <v/>
      </c>
      <c r="O1621" s="2">
        <f>IF(OR(F1621="",G1621=""),"",IF(G1621&lt;='RETRATO 2027'!$K$5,"CONCLUÍDA",IF(F1621&lt;='RETRATO 2027'!$K$5,"EM ANDAMENTO","A INICIAR")))</f>
        <v/>
      </c>
    </row>
    <row r="1622">
      <c r="B1622" s="4" t="n">
        <v>30205825</v>
      </c>
      <c r="C1622" s="4" t="inlineStr">
        <is>
          <t>MASSA CORRIDA</t>
        </is>
      </c>
      <c r="D1622" s="4" t="inlineStr">
        <is>
          <t>-</t>
        </is>
      </c>
      <c r="E1622" s="4" t="inlineStr">
        <is>
          <t>TÉRREO - HALL SOCIAL + ECLUSA + CIRCULAÇÃO</t>
        </is>
      </c>
      <c r="F1622" s="126" t="n">
        <v>46897</v>
      </c>
      <c r="G1622" s="126" t="n">
        <v>46910</v>
      </c>
      <c r="H1622" s="126" t="n">
        <v>46289</v>
      </c>
      <c r="I1622" s="4" t="n">
        <v>0</v>
      </c>
      <c r="J1622" s="4" t="n">
        <v>0</v>
      </c>
      <c r="K1622" s="4" t="n">
        <v>0</v>
      </c>
      <c r="M1622" s="2">
        <f>IF(C1622="","",IFERROR(INDEX($S$5:$S$304,MATCH(C1622,$R$5:$R$304,0))&amp;"","?"))</f>
        <v/>
      </c>
      <c r="N1622" s="2">
        <f>IF(E1622="","",IF(ISNUMBER(SEARCH("SUBSOLO",E1622)),IFERROR(-VALUE(LEFT(E1622,FIND("º",SUBSTITUTE(E1622,"°","º"))-1)),-1),IF(LEFT(E1622,6)="TÉRREO",0,IFERROR(VALUE(LEFT(E1622,FIND("º",SUBSTITUTE(E1622,"°","º"))-1)),""))))</f>
        <v/>
      </c>
      <c r="O1622" s="2">
        <f>IF(OR(F1622="",G1622=""),"",IF(G1622&lt;='RETRATO 2027'!$K$5,"CONCLUÍDA",IF(F1622&lt;='RETRATO 2027'!$K$5,"EM ANDAMENTO","A INICIAR")))</f>
        <v/>
      </c>
    </row>
    <row r="1623">
      <c r="B1623" s="4" t="n">
        <v>29981513</v>
      </c>
      <c r="C1623" s="4" t="inlineStr">
        <is>
          <t>LIMPEZA FINA</t>
        </is>
      </c>
      <c r="D1623" s="4" t="inlineStr">
        <is>
          <t>-</t>
        </is>
      </c>
      <c r="E1623" s="4" t="inlineStr">
        <is>
          <t>8º PAV.</t>
        </is>
      </c>
      <c r="F1623" s="126" t="n">
        <v>46899</v>
      </c>
      <c r="G1623" s="126" t="n">
        <v>46911</v>
      </c>
      <c r="H1623" s="126" t="n">
        <v>46289</v>
      </c>
      <c r="I1623" s="4" t="n">
        <v>0</v>
      </c>
      <c r="J1623" s="4" t="n">
        <v>0</v>
      </c>
      <c r="K1623" s="4" t="n">
        <v>0</v>
      </c>
      <c r="M1623" s="2">
        <f>IF(C1623="","",IFERROR(INDEX($S$5:$S$304,MATCH(C1623,$R$5:$R$304,0))&amp;"","?"))</f>
        <v/>
      </c>
      <c r="N1623" s="2">
        <f>IF(E1623="","",IF(ISNUMBER(SEARCH("SUBSOLO",E1623)),IFERROR(-VALUE(LEFT(E1623,FIND("º",SUBSTITUTE(E1623,"°","º"))-1)),-1),IF(LEFT(E1623,6)="TÉRREO",0,IFERROR(VALUE(LEFT(E1623,FIND("º",SUBSTITUTE(E1623,"°","º"))-1)),""))))</f>
        <v/>
      </c>
      <c r="O1623" s="2">
        <f>IF(OR(F1623="",G1623=""),"",IF(G1623&lt;='RETRATO 2027'!$K$5,"CONCLUÍDA",IF(F1623&lt;='RETRATO 2027'!$K$5,"EM ANDAMENTO","A INICIAR")))</f>
        <v/>
      </c>
    </row>
    <row r="1624">
      <c r="B1624" s="4" t="n">
        <v>29981466</v>
      </c>
      <c r="C1624" s="4" t="inlineStr">
        <is>
          <t>PINTURA 3º DEMÃO</t>
        </is>
      </c>
      <c r="D1624" s="4" t="inlineStr">
        <is>
          <t>-</t>
        </is>
      </c>
      <c r="E1624" s="4" t="inlineStr">
        <is>
          <t>9º PAV.</t>
        </is>
      </c>
      <c r="F1624" s="126" t="n">
        <v>46899</v>
      </c>
      <c r="G1624" s="126" t="n">
        <v>46911</v>
      </c>
      <c r="H1624" s="126" t="n">
        <v>46289</v>
      </c>
      <c r="I1624" s="4" t="n">
        <v>0</v>
      </c>
      <c r="J1624" s="4" t="n">
        <v>0</v>
      </c>
      <c r="K1624" s="4" t="n">
        <v>0</v>
      </c>
      <c r="M1624" s="2">
        <f>IF(C1624="","",IFERROR(INDEX($S$5:$S$304,MATCH(C1624,$R$5:$R$304,0))&amp;"","?"))</f>
        <v/>
      </c>
      <c r="N1624" s="2">
        <f>IF(E1624="","",IF(ISNUMBER(SEARCH("SUBSOLO",E1624)),IFERROR(-VALUE(LEFT(E1624,FIND("º",SUBSTITUTE(E1624,"°","º"))-1)),-1),IF(LEFT(E1624,6)="TÉRREO",0,IFERROR(VALUE(LEFT(E1624,FIND("º",SUBSTITUTE(E1624,"°","º"))-1)),""))))</f>
        <v/>
      </c>
      <c r="O1624" s="2">
        <f>IF(OR(F1624="",G1624=""),"",IF(G1624&lt;='RETRATO 2027'!$K$5,"CONCLUÍDA",IF(F1624&lt;='RETRATO 2027'!$K$5,"EM ANDAMENTO","A INICIAR")))</f>
        <v/>
      </c>
    </row>
    <row r="1625">
      <c r="B1625" s="4" t="n">
        <v>30211209</v>
      </c>
      <c r="C1625" s="4" t="inlineStr">
        <is>
          <t>SERRALHERIA</t>
        </is>
      </c>
      <c r="D1625" s="4" t="inlineStr">
        <is>
          <t>-</t>
        </is>
      </c>
      <c r="E1625" s="4" t="inlineStr">
        <is>
          <t>34º PAV - RESERVATÓRIO</t>
        </is>
      </c>
      <c r="F1625" s="126" t="n">
        <v>46899</v>
      </c>
      <c r="G1625" s="126" t="n">
        <v>46920</v>
      </c>
      <c r="H1625" s="126" t="n">
        <v>46289</v>
      </c>
      <c r="I1625" s="4" t="n">
        <v>0</v>
      </c>
      <c r="J1625" s="4" t="n">
        <v>0</v>
      </c>
      <c r="K1625" s="4" t="n">
        <v>0</v>
      </c>
      <c r="M1625" s="2">
        <f>IF(C1625="","",IFERROR(INDEX($S$5:$S$304,MATCH(C1625,$R$5:$R$304,0))&amp;"","?"))</f>
        <v/>
      </c>
      <c r="N1625" s="2">
        <f>IF(E1625="","",IF(ISNUMBER(SEARCH("SUBSOLO",E1625)),IFERROR(-VALUE(LEFT(E1625,FIND("º",SUBSTITUTE(E1625,"°","º"))-1)),-1),IF(LEFT(E1625,6)="TÉRREO",0,IFERROR(VALUE(LEFT(E1625,FIND("º",SUBSTITUTE(E1625,"°","º"))-1)),""))))</f>
        <v/>
      </c>
      <c r="O1625" s="2">
        <f>IF(OR(F1625="",G1625=""),"",IF(G1625&lt;='RETRATO 2027'!$K$5,"CONCLUÍDA",IF(F1625&lt;='RETRATO 2027'!$K$5,"EM ANDAMENTO","A INICIAR")))</f>
        <v/>
      </c>
    </row>
    <row r="1626">
      <c r="B1626" s="4" t="n">
        <v>30205607</v>
      </c>
      <c r="C1626" s="4" t="inlineStr">
        <is>
          <t>DISJUNTORES / MIOLOS</t>
        </is>
      </c>
      <c r="D1626" s="4" t="inlineStr">
        <is>
          <t>-</t>
        </is>
      </c>
      <c r="E1626" s="4" t="inlineStr">
        <is>
          <t>TÉRREO - LOJA 4</t>
        </is>
      </c>
      <c r="F1626" s="126" t="n">
        <v>46902</v>
      </c>
      <c r="G1626" s="126" t="n">
        <v>46906</v>
      </c>
      <c r="H1626" s="126" t="n">
        <v>46289</v>
      </c>
      <c r="I1626" s="4" t="n">
        <v>0</v>
      </c>
      <c r="J1626" s="4" t="n">
        <v>0</v>
      </c>
      <c r="K1626" s="4" t="n">
        <v>0</v>
      </c>
      <c r="M1626" s="2">
        <f>IF(C1626="","",IFERROR(INDEX($S$5:$S$304,MATCH(C1626,$R$5:$R$304,0))&amp;"","?"))</f>
        <v/>
      </c>
      <c r="N1626" s="2">
        <f>IF(E1626="","",IF(ISNUMBER(SEARCH("SUBSOLO",E1626)),IFERROR(-VALUE(LEFT(E1626,FIND("º",SUBSTITUTE(E1626,"°","º"))-1)),-1),IF(LEFT(E1626,6)="TÉRREO",0,IFERROR(VALUE(LEFT(E1626,FIND("º",SUBSTITUTE(E1626,"°","º"))-1)),""))))</f>
        <v/>
      </c>
      <c r="O1626" s="2">
        <f>IF(OR(F1626="",G1626=""),"",IF(G1626&lt;='RETRATO 2027'!$K$5,"CONCLUÍDA",IF(F1626&lt;='RETRATO 2027'!$K$5,"EM ANDAMENTO","A INICIAR")))</f>
        <v/>
      </c>
    </row>
    <row r="1627">
      <c r="B1627" s="4" t="n">
        <v>30205582</v>
      </c>
      <c r="C1627" s="4" t="inlineStr">
        <is>
          <t>ESQUADRIA MADEIRA</t>
        </is>
      </c>
      <c r="D1627" s="4" t="inlineStr">
        <is>
          <t>-</t>
        </is>
      </c>
      <c r="E1627" s="4" t="inlineStr">
        <is>
          <t>TÉRREO - LOJA 5</t>
        </is>
      </c>
      <c r="F1627" s="126" t="n">
        <v>46902</v>
      </c>
      <c r="G1627" s="126" t="n">
        <v>46913</v>
      </c>
      <c r="H1627" s="126" t="n">
        <v>46289</v>
      </c>
      <c r="I1627" s="4" t="n">
        <v>0</v>
      </c>
      <c r="J1627" s="4" t="n">
        <v>0</v>
      </c>
      <c r="K1627" s="4" t="n">
        <v>0</v>
      </c>
      <c r="M1627" s="2">
        <f>IF(C1627="","",IFERROR(INDEX($S$5:$S$304,MATCH(C1627,$R$5:$R$304,0))&amp;"","?"))</f>
        <v/>
      </c>
      <c r="N1627" s="2">
        <f>IF(E1627="","",IF(ISNUMBER(SEARCH("SUBSOLO",E1627)),IFERROR(-VALUE(LEFT(E1627,FIND("º",SUBSTITUTE(E1627,"°","º"))-1)),-1),IF(LEFT(E1627,6)="TÉRREO",0,IFERROR(VALUE(LEFT(E1627,FIND("º",SUBSTITUTE(E1627,"°","º"))-1)),""))))</f>
        <v/>
      </c>
      <c r="O1627" s="2">
        <f>IF(OR(F1627="",G1627=""),"",IF(G1627&lt;='RETRATO 2027'!$K$5,"CONCLUÍDA",IF(F1627&lt;='RETRATO 2027'!$K$5,"EM ANDAMENTO","A INICIAR")))</f>
        <v/>
      </c>
    </row>
    <row r="1628">
      <c r="B1628" s="4" t="n">
        <v>30205581</v>
      </c>
      <c r="C1628" s="4" t="inlineStr">
        <is>
          <t>LOUÇAS</t>
        </is>
      </c>
      <c r="D1628" s="4" t="inlineStr">
        <is>
          <t>-</t>
        </is>
      </c>
      <c r="E1628" s="4" t="inlineStr">
        <is>
          <t>TÉRREO - LOJA 5</t>
        </is>
      </c>
      <c r="F1628" s="126" t="n">
        <v>46902</v>
      </c>
      <c r="G1628" s="126" t="n">
        <v>46913</v>
      </c>
      <c r="H1628" s="126" t="n">
        <v>46289</v>
      </c>
      <c r="I1628" s="4" t="n">
        <v>0</v>
      </c>
      <c r="J1628" s="4" t="n">
        <v>0</v>
      </c>
      <c r="K1628" s="4" t="n">
        <v>0</v>
      </c>
      <c r="M1628" s="2">
        <f>IF(C1628="","",IFERROR(INDEX($S$5:$S$304,MATCH(C1628,$R$5:$R$304,0))&amp;"","?"))</f>
        <v/>
      </c>
      <c r="N1628" s="2">
        <f>IF(E1628="","",IF(ISNUMBER(SEARCH("SUBSOLO",E1628)),IFERROR(-VALUE(LEFT(E1628,FIND("º",SUBSTITUTE(E1628,"°","º"))-1)),-1),IF(LEFT(E1628,6)="TÉRREO",0,IFERROR(VALUE(LEFT(E1628,FIND("º",SUBSTITUTE(E1628,"°","º"))-1)),""))))</f>
        <v/>
      </c>
      <c r="O1628" s="2">
        <f>IF(OR(F1628="",G1628=""),"",IF(G1628&lt;='RETRATO 2027'!$K$5,"CONCLUÍDA",IF(F1628&lt;='RETRATO 2027'!$K$5,"EM ANDAMENTO","A INICIAR")))</f>
        <v/>
      </c>
    </row>
    <row r="1629">
      <c r="B1629" s="4" t="n">
        <v>30205579</v>
      </c>
      <c r="C1629" s="4" t="inlineStr">
        <is>
          <t>METAIS</t>
        </is>
      </c>
      <c r="D1629" s="4" t="inlineStr">
        <is>
          <t>-</t>
        </is>
      </c>
      <c r="E1629" s="4" t="inlineStr">
        <is>
          <t>TÉRREO - LOJA 5</t>
        </is>
      </c>
      <c r="F1629" s="126" t="n">
        <v>46902</v>
      </c>
      <c r="G1629" s="126" t="n">
        <v>46913</v>
      </c>
      <c r="H1629" s="126" t="n">
        <v>46289</v>
      </c>
      <c r="I1629" s="4" t="n">
        <v>0</v>
      </c>
      <c r="J1629" s="4" t="n">
        <v>0</v>
      </c>
      <c r="K1629" s="4" t="n">
        <v>0</v>
      </c>
      <c r="M1629" s="2">
        <f>IF(C1629="","",IFERROR(INDEX($S$5:$S$304,MATCH(C1629,$R$5:$R$304,0))&amp;"","?"))</f>
        <v/>
      </c>
      <c r="N1629" s="2">
        <f>IF(E1629="","",IF(ISNUMBER(SEARCH("SUBSOLO",E1629)),IFERROR(-VALUE(LEFT(E1629,FIND("º",SUBSTITUTE(E1629,"°","º"))-1)),-1),IF(LEFT(E1629,6)="TÉRREO",0,IFERROR(VALUE(LEFT(E1629,FIND("º",SUBSTITUTE(E1629,"°","º"))-1)),""))))</f>
        <v/>
      </c>
      <c r="O1629" s="2">
        <f>IF(OR(F1629="",G1629=""),"",IF(G1629&lt;='RETRATO 2027'!$K$5,"CONCLUÍDA",IF(F1629&lt;='RETRATO 2027'!$K$5,"EM ANDAMENTO","A INICIAR")))</f>
        <v/>
      </c>
    </row>
    <row r="1630">
      <c r="B1630" s="4" t="n">
        <v>30205564</v>
      </c>
      <c r="C1630" s="4" t="inlineStr">
        <is>
          <t>PINTURA 1º DEMÃO</t>
        </is>
      </c>
      <c r="D1630" s="4" t="inlineStr">
        <is>
          <t>-</t>
        </is>
      </c>
      <c r="E1630" s="4" t="inlineStr">
        <is>
          <t>TÉRREO - LOJA 6</t>
        </is>
      </c>
      <c r="F1630" s="126" t="n">
        <v>46902</v>
      </c>
      <c r="G1630" s="126" t="n">
        <v>46913</v>
      </c>
      <c r="H1630" s="126" t="n">
        <v>46289</v>
      </c>
      <c r="I1630" s="4" t="n">
        <v>0</v>
      </c>
      <c r="J1630" s="4" t="n">
        <v>0</v>
      </c>
      <c r="K1630" s="4" t="n">
        <v>0</v>
      </c>
      <c r="M1630" s="2">
        <f>IF(C1630="","",IFERROR(INDEX($S$5:$S$304,MATCH(C1630,$R$5:$R$304,0))&amp;"","?"))</f>
        <v/>
      </c>
      <c r="N1630" s="2">
        <f>IF(E1630="","",IF(ISNUMBER(SEARCH("SUBSOLO",E1630)),IFERROR(-VALUE(LEFT(E1630,FIND("º",SUBSTITUTE(E1630,"°","º"))-1)),-1),IF(LEFT(E1630,6)="TÉRREO",0,IFERROR(VALUE(LEFT(E1630,FIND("º",SUBSTITUTE(E1630,"°","º"))-1)),""))))</f>
        <v/>
      </c>
      <c r="O1630" s="2">
        <f>IF(OR(F1630="",G1630=""),"",IF(G1630&lt;='RETRATO 2027'!$K$5,"CONCLUÍDA",IF(F1630&lt;='RETRATO 2027'!$K$5,"EM ANDAMENTO","A INICIAR")))</f>
        <v/>
      </c>
    </row>
    <row r="1631">
      <c r="B1631" s="4" t="n">
        <v>30171414</v>
      </c>
      <c r="C1631" s="4" t="inlineStr">
        <is>
          <t>DISJUNTORES / MIOLOS</t>
        </is>
      </c>
      <c r="D1631" s="4" t="inlineStr">
        <is>
          <t>-</t>
        </is>
      </c>
      <c r="E1631" s="4" t="inlineStr">
        <is>
          <t>4º PAV - GARAGEM</t>
        </is>
      </c>
      <c r="F1631" s="126" t="n">
        <v>46902</v>
      </c>
      <c r="G1631" s="126" t="n">
        <v>46930</v>
      </c>
      <c r="H1631" s="126" t="n">
        <v>46289</v>
      </c>
      <c r="I1631" s="4" t="n">
        <v>0</v>
      </c>
      <c r="J1631" s="4" t="n">
        <v>0</v>
      </c>
      <c r="K1631" s="4" t="n">
        <v>0</v>
      </c>
      <c r="M1631" s="2">
        <f>IF(C1631="","",IFERROR(INDEX($S$5:$S$304,MATCH(C1631,$R$5:$R$304,0))&amp;"","?"))</f>
        <v/>
      </c>
      <c r="N1631" s="2">
        <f>IF(E1631="","",IF(ISNUMBER(SEARCH("SUBSOLO",E1631)),IFERROR(-VALUE(LEFT(E1631,FIND("º",SUBSTITUTE(E1631,"°","º"))-1)),-1),IF(LEFT(E1631,6)="TÉRREO",0,IFERROR(VALUE(LEFT(E1631,FIND("º",SUBSTITUTE(E1631,"°","º"))-1)),""))))</f>
        <v/>
      </c>
      <c r="O1631" s="2">
        <f>IF(OR(F1631="",G1631=""),"",IF(G1631&lt;='RETRATO 2027'!$K$5,"CONCLUÍDA",IF(F1631&lt;='RETRATO 2027'!$K$5,"EM ANDAMENTO","A INICIAR")))</f>
        <v/>
      </c>
    </row>
    <row r="1632">
      <c r="B1632" s="4" t="n">
        <v>30171411</v>
      </c>
      <c r="C1632" s="4" t="inlineStr">
        <is>
          <t>INSTALAÇÃO DE LUMINÁRIAS E SENSORES</t>
        </is>
      </c>
      <c r="D1632" s="4" t="inlineStr">
        <is>
          <t>-</t>
        </is>
      </c>
      <c r="E1632" s="4" t="inlineStr">
        <is>
          <t>4º PAV - GARAGEM</t>
        </is>
      </c>
      <c r="F1632" s="126" t="n">
        <v>46902</v>
      </c>
      <c r="G1632" s="126" t="n">
        <v>46930</v>
      </c>
      <c r="H1632" s="126" t="n">
        <v>46289</v>
      </c>
      <c r="I1632" s="4" t="n">
        <v>0</v>
      </c>
      <c r="J1632" s="4" t="n">
        <v>0</v>
      </c>
      <c r="K1632" s="4" t="n">
        <v>0</v>
      </c>
      <c r="M1632" s="2">
        <f>IF(C1632="","",IFERROR(INDEX($S$5:$S$304,MATCH(C1632,$R$5:$R$304,0))&amp;"","?"))</f>
        <v/>
      </c>
      <c r="N1632" s="2">
        <f>IF(E1632="","",IF(ISNUMBER(SEARCH("SUBSOLO",E1632)),IFERROR(-VALUE(LEFT(E1632,FIND("º",SUBSTITUTE(E1632,"°","º"))-1)),-1),IF(LEFT(E1632,6)="TÉRREO",0,IFERROR(VALUE(LEFT(E1632,FIND("º",SUBSTITUTE(E1632,"°","º"))-1)),""))))</f>
        <v/>
      </c>
      <c r="O1632" s="2">
        <f>IF(OR(F1632="",G1632=""),"",IF(G1632&lt;='RETRATO 2027'!$K$5,"CONCLUÍDA",IF(F1632&lt;='RETRATO 2027'!$K$5,"EM ANDAMENTO","A INICIAR")))</f>
        <v/>
      </c>
    </row>
    <row r="1633">
      <c r="B1633" s="4" t="n">
        <v>30171382</v>
      </c>
      <c r="C1633" s="4" t="inlineStr">
        <is>
          <t>FIAÇÃO ELÉTRICA</t>
        </is>
      </c>
      <c r="D1633" s="4" t="inlineStr">
        <is>
          <t>-</t>
        </is>
      </c>
      <c r="E1633" s="4" t="inlineStr">
        <is>
          <t>5º PAV - GARAGEM</t>
        </is>
      </c>
      <c r="F1633" s="126" t="n">
        <v>46902</v>
      </c>
      <c r="G1633" s="126" t="n">
        <v>46962</v>
      </c>
      <c r="H1633" s="126" t="n">
        <v>46289</v>
      </c>
      <c r="I1633" s="4" t="n">
        <v>0</v>
      </c>
      <c r="J1633" s="4" t="n">
        <v>0</v>
      </c>
      <c r="K1633" s="4" t="n">
        <v>0</v>
      </c>
      <c r="M1633" s="2">
        <f>IF(C1633="","",IFERROR(INDEX($S$5:$S$304,MATCH(C1633,$R$5:$R$304,0))&amp;"","?"))</f>
        <v/>
      </c>
      <c r="N1633" s="2">
        <f>IF(E1633="","",IF(ISNUMBER(SEARCH("SUBSOLO",E1633)),IFERROR(-VALUE(LEFT(E1633,FIND("º",SUBSTITUTE(E1633,"°","º"))-1)),-1),IF(LEFT(E1633,6)="TÉRREO",0,IFERROR(VALUE(LEFT(E1633,FIND("º",SUBSTITUTE(E1633,"°","º"))-1)),""))))</f>
        <v/>
      </c>
      <c r="O1633" s="2">
        <f>IF(OR(F1633="",G1633=""),"",IF(G1633&lt;='RETRATO 2027'!$K$5,"CONCLUÍDA",IF(F1633&lt;='RETRATO 2027'!$K$5,"EM ANDAMENTO","A INICIAR")))</f>
        <v/>
      </c>
    </row>
    <row r="1634">
      <c r="B1634" s="4" t="n">
        <v>30171401</v>
      </c>
      <c r="C1634" s="4" t="inlineStr">
        <is>
          <t>PRUMADA ELÉTRICA - CABOS</t>
        </is>
      </c>
      <c r="D1634" s="4" t="inlineStr">
        <is>
          <t>-</t>
        </is>
      </c>
      <c r="E1634" s="4" t="inlineStr">
        <is>
          <t>5º PAV - GARAGEM</t>
        </is>
      </c>
      <c r="F1634" s="126" t="n">
        <v>46902</v>
      </c>
      <c r="G1634" s="126" t="n">
        <v>46962</v>
      </c>
      <c r="H1634" s="126" t="n">
        <v>46289</v>
      </c>
      <c r="I1634" s="4" t="n">
        <v>0</v>
      </c>
      <c r="J1634" s="4" t="n">
        <v>0</v>
      </c>
      <c r="K1634" s="4" t="n">
        <v>0</v>
      </c>
      <c r="M1634" s="2">
        <f>IF(C1634="","",IFERROR(INDEX($S$5:$S$304,MATCH(C1634,$R$5:$R$304,0))&amp;"","?"))</f>
        <v/>
      </c>
      <c r="N1634" s="2">
        <f>IF(E1634="","",IF(ISNUMBER(SEARCH("SUBSOLO",E1634)),IFERROR(-VALUE(LEFT(E1634,FIND("º",SUBSTITUTE(E1634,"°","º"))-1)),-1),IF(LEFT(E1634,6)="TÉRREO",0,IFERROR(VALUE(LEFT(E1634,FIND("º",SUBSTITUTE(E1634,"°","º"))-1)),""))))</f>
        <v/>
      </c>
      <c r="O1634" s="2">
        <f>IF(OR(F1634="",G1634=""),"",IF(G1634&lt;='RETRATO 2027'!$K$5,"CONCLUÍDA",IF(F1634&lt;='RETRATO 2027'!$K$5,"EM ANDAMENTO","A INICIAR")))</f>
        <v/>
      </c>
    </row>
    <row r="1635">
      <c r="B1635" s="4" t="n">
        <v>30171384</v>
      </c>
      <c r="C1635" s="4" t="inlineStr">
        <is>
          <t>SHAFT</t>
        </is>
      </c>
      <c r="D1635" s="4" t="inlineStr">
        <is>
          <t>-</t>
        </is>
      </c>
      <c r="E1635" s="4" t="inlineStr">
        <is>
          <t>5º PAV - GARAGEM</t>
        </is>
      </c>
      <c r="F1635" s="126" t="n">
        <v>46902</v>
      </c>
      <c r="G1635" s="126" t="n">
        <v>46930</v>
      </c>
      <c r="H1635" s="126" t="n">
        <v>46289</v>
      </c>
      <c r="I1635" s="4" t="n">
        <v>0</v>
      </c>
      <c r="J1635" s="4" t="n">
        <v>0</v>
      </c>
      <c r="K1635" s="4" t="n">
        <v>0</v>
      </c>
      <c r="M1635" s="2">
        <f>IF(C1635="","",IFERROR(INDEX($S$5:$S$304,MATCH(C1635,$R$5:$R$304,0))&amp;"","?"))</f>
        <v/>
      </c>
      <c r="N1635" s="2">
        <f>IF(E1635="","",IF(ISNUMBER(SEARCH("SUBSOLO",E1635)),IFERROR(-VALUE(LEFT(E1635,FIND("º",SUBSTITUTE(E1635,"°","º"))-1)),-1),IF(LEFT(E1635,6)="TÉRREO",0,IFERROR(VALUE(LEFT(E1635,FIND("º",SUBSTITUTE(E1635,"°","º"))-1)),""))))</f>
        <v/>
      </c>
      <c r="O1635" s="2">
        <f>IF(OR(F1635="",G1635=""),"",IF(G1635&lt;='RETRATO 2027'!$K$5,"CONCLUÍDA",IF(F1635&lt;='RETRATO 2027'!$K$5,"EM ANDAMENTO","A INICIAR")))</f>
        <v/>
      </c>
    </row>
    <row r="1636">
      <c r="B1636" s="4" t="n">
        <v>30214062</v>
      </c>
      <c r="C1636" s="4" t="inlineStr">
        <is>
          <t>FIAÇÃO TELECOM/DADOS</t>
        </is>
      </c>
      <c r="D1636" s="4" t="inlineStr">
        <is>
          <t>-</t>
        </is>
      </c>
      <c r="E1636" s="4" t="inlineStr">
        <is>
          <t>5º PAV - GARAGEM</t>
        </is>
      </c>
      <c r="F1636" s="126" t="n">
        <v>46902</v>
      </c>
      <c r="G1636" s="126" t="n">
        <v>46913</v>
      </c>
      <c r="H1636" s="126" t="n">
        <v>46289</v>
      </c>
      <c r="I1636" s="4" t="n">
        <v>0</v>
      </c>
      <c r="J1636" s="4" t="n">
        <v>0</v>
      </c>
      <c r="K1636" s="4" t="n">
        <v>0</v>
      </c>
      <c r="M1636" s="2">
        <f>IF(C1636="","",IFERROR(INDEX($S$5:$S$304,MATCH(C1636,$R$5:$R$304,0))&amp;"","?"))</f>
        <v/>
      </c>
      <c r="N1636" s="2">
        <f>IF(E1636="","",IF(ISNUMBER(SEARCH("SUBSOLO",E1636)),IFERROR(-VALUE(LEFT(E1636,FIND("º",SUBSTITUTE(E1636,"°","º"))-1)),-1),IF(LEFT(E1636,6)="TÉRREO",0,IFERROR(VALUE(LEFT(E1636,FIND("º",SUBSTITUTE(E1636,"°","º"))-1)),""))))</f>
        <v/>
      </c>
      <c r="O1636" s="2">
        <f>IF(OR(F1636="",G1636=""),"",IF(G1636&lt;='RETRATO 2027'!$K$5,"CONCLUÍDA",IF(F1636&lt;='RETRATO 2027'!$K$5,"EM ANDAMENTO","A INICIAR")))</f>
        <v/>
      </c>
    </row>
    <row r="1637">
      <c r="B1637" s="4" t="n">
        <v>30205856</v>
      </c>
      <c r="C1637" s="4" t="inlineStr">
        <is>
          <t>MASSA CORRIDA</t>
        </is>
      </c>
      <c r="D1637" s="4" t="inlineStr">
        <is>
          <t>-</t>
        </is>
      </c>
      <c r="E1637" s="4" t="inlineStr">
        <is>
          <t>1º PAV. (INTERMEDIÁRIO)</t>
        </is>
      </c>
      <c r="F1637" s="126" t="n">
        <v>46904</v>
      </c>
      <c r="G1637" s="126" t="n">
        <v>46925</v>
      </c>
      <c r="H1637" s="126" t="n">
        <v>46289</v>
      </c>
      <c r="I1637" s="4" t="n">
        <v>0</v>
      </c>
      <c r="J1637" s="4" t="n">
        <v>0</v>
      </c>
      <c r="K1637" s="4" t="n">
        <v>0</v>
      </c>
      <c r="M1637" s="2">
        <f>IF(C1637="","",IFERROR(INDEX($S$5:$S$304,MATCH(C1637,$R$5:$R$304,0))&amp;"","?"))</f>
        <v/>
      </c>
      <c r="N1637" s="2">
        <f>IF(E1637="","",IF(ISNUMBER(SEARCH("SUBSOLO",E1637)),IFERROR(-VALUE(LEFT(E1637,FIND("º",SUBSTITUTE(E1637,"°","º"))-1)),-1),IF(LEFT(E1637,6)="TÉRREO",0,IFERROR(VALUE(LEFT(E1637,FIND("º",SUBSTITUTE(E1637,"°","º"))-1)),""))))</f>
        <v/>
      </c>
      <c r="O1637" s="2">
        <f>IF(OR(F1637="",G1637=""),"",IF(G1637&lt;='RETRATO 2027'!$K$5,"CONCLUÍDA",IF(F1637&lt;='RETRATO 2027'!$K$5,"EM ANDAMENTO","A INICIAR")))</f>
        <v/>
      </c>
    </row>
    <row r="1638">
      <c r="B1638" s="4" t="n">
        <v>30171525</v>
      </c>
      <c r="C1638" s="4" t="inlineStr">
        <is>
          <t>CONTRAPISO</t>
        </is>
      </c>
      <c r="D1638" s="4" t="inlineStr">
        <is>
          <t>-</t>
        </is>
      </c>
      <c r="E1638" s="4" t="inlineStr">
        <is>
          <t>HALL - GARAGENS</t>
        </is>
      </c>
      <c r="F1638" s="126" t="n">
        <v>46904</v>
      </c>
      <c r="G1638" s="126" t="n">
        <v>46917</v>
      </c>
      <c r="H1638" s="126" t="n">
        <v>46289</v>
      </c>
      <c r="I1638" s="4" t="n">
        <v>0</v>
      </c>
      <c r="J1638" s="4" t="n">
        <v>0</v>
      </c>
      <c r="K1638" s="4" t="n">
        <v>0</v>
      </c>
      <c r="M1638" s="2">
        <f>IF(C1638="","",IFERROR(INDEX($S$5:$S$304,MATCH(C1638,$R$5:$R$304,0))&amp;"","?"))</f>
        <v/>
      </c>
      <c r="N1638" s="2">
        <f>IF(E1638="","",IF(ISNUMBER(SEARCH("SUBSOLO",E1638)),IFERROR(-VALUE(LEFT(E1638,FIND("º",SUBSTITUTE(E1638,"°","º"))-1)),-1),IF(LEFT(E1638,6)="TÉRREO",0,IFERROR(VALUE(LEFT(E1638,FIND("º",SUBSTITUTE(E1638,"°","º"))-1)),""))))</f>
        <v/>
      </c>
      <c r="O1638" s="2">
        <f>IF(OR(F1638="",G1638=""),"",IF(G1638&lt;='RETRATO 2027'!$K$5,"CONCLUÍDA",IF(F1638&lt;='RETRATO 2027'!$K$5,"EM ANDAMENTO","A INICIAR")))</f>
        <v/>
      </c>
    </row>
    <row r="1639">
      <c r="B1639" s="4" t="n">
        <v>30171528</v>
      </c>
      <c r="C1639" s="4" t="inlineStr">
        <is>
          <t>PRUMADA ELÉTRICA - INFRA</t>
        </is>
      </c>
      <c r="D1639" s="4" t="inlineStr">
        <is>
          <t>-</t>
        </is>
      </c>
      <c r="E1639" s="4" t="inlineStr">
        <is>
          <t>HALL - GARAGENS</t>
        </is>
      </c>
      <c r="F1639" s="126" t="n">
        <v>46904</v>
      </c>
      <c r="G1639" s="126" t="n">
        <v>46934</v>
      </c>
      <c r="H1639" s="126" t="n">
        <v>46289</v>
      </c>
      <c r="I1639" s="4" t="n">
        <v>0</v>
      </c>
      <c r="J1639" s="4" t="n">
        <v>0</v>
      </c>
      <c r="K1639" s="4" t="n">
        <v>0</v>
      </c>
      <c r="M1639" s="2">
        <f>IF(C1639="","",IFERROR(INDEX($S$5:$S$304,MATCH(C1639,$R$5:$R$304,0))&amp;"","?"))</f>
        <v/>
      </c>
      <c r="N1639" s="2">
        <f>IF(E1639="","",IF(ISNUMBER(SEARCH("SUBSOLO",E1639)),IFERROR(-VALUE(LEFT(E1639,FIND("º",SUBSTITUTE(E1639,"°","º"))-1)),-1),IF(LEFT(E1639,6)="TÉRREO",0,IFERROR(VALUE(LEFT(E1639,FIND("º",SUBSTITUTE(E1639,"°","º"))-1)),""))))</f>
        <v/>
      </c>
      <c r="O1639" s="2">
        <f>IF(OR(F1639="",G1639=""),"",IF(G1639&lt;='RETRATO 2027'!$K$5,"CONCLUÍDA",IF(F1639&lt;='RETRATO 2027'!$K$5,"EM ANDAMENTO","A INICIAR")))</f>
        <v/>
      </c>
    </row>
    <row r="1640">
      <c r="B1640" s="4" t="n">
        <v>30208611</v>
      </c>
      <c r="C1640" s="4" t="inlineStr">
        <is>
          <t>REVESTIMENTO ACABAMENTO</t>
        </is>
      </c>
      <c r="D1640" s="4" t="inlineStr">
        <is>
          <t>-</t>
        </is>
      </c>
      <c r="E1640" s="4" t="inlineStr">
        <is>
          <t>6º PAV (PILOTIS) - PISCINA + PRAINHA + DECK</t>
        </is>
      </c>
      <c r="F1640" s="126" t="n">
        <v>46904</v>
      </c>
      <c r="G1640" s="126" t="n">
        <v>46966</v>
      </c>
      <c r="H1640" s="126" t="n">
        <v>46289</v>
      </c>
      <c r="I1640" s="4" t="n">
        <v>0</v>
      </c>
      <c r="J1640" s="4" t="n">
        <v>0</v>
      </c>
      <c r="K1640" s="4" t="n">
        <v>0</v>
      </c>
      <c r="M1640" s="2">
        <f>IF(C1640="","",IFERROR(INDEX($S$5:$S$304,MATCH(C1640,$R$5:$R$304,0))&amp;"","?"))</f>
        <v/>
      </c>
      <c r="N1640" s="2">
        <f>IF(E1640="","",IF(ISNUMBER(SEARCH("SUBSOLO",E1640)),IFERROR(-VALUE(LEFT(E1640,FIND("º",SUBSTITUTE(E1640,"°","º"))-1)),-1),IF(LEFT(E1640,6)="TÉRREO",0,IFERROR(VALUE(LEFT(E1640,FIND("º",SUBSTITUTE(E1640,"°","º"))-1)),""))))</f>
        <v/>
      </c>
      <c r="O1640" s="2">
        <f>IF(OR(F1640="",G1640=""),"",IF(G1640&lt;='RETRATO 2027'!$K$5,"CONCLUÍDA",IF(F1640&lt;='RETRATO 2027'!$K$5,"EM ANDAMENTO","A INICIAR")))</f>
        <v/>
      </c>
    </row>
    <row r="1641">
      <c r="B1641" s="4" t="n">
        <v>30210375</v>
      </c>
      <c r="C1641" s="4" t="inlineStr">
        <is>
          <t>REBOCO INTERNO</t>
        </is>
      </c>
      <c r="D1641" s="4" t="inlineStr">
        <is>
          <t>-</t>
        </is>
      </c>
      <c r="E1641" s="4" t="inlineStr">
        <is>
          <t>33º PAV - BARRILETE</t>
        </is>
      </c>
      <c r="F1641" s="126" t="n">
        <v>46904</v>
      </c>
      <c r="G1641" s="126" t="n">
        <v>46925</v>
      </c>
      <c r="H1641" s="126" t="n">
        <v>46289</v>
      </c>
      <c r="I1641" s="4" t="n">
        <v>0</v>
      </c>
      <c r="J1641" s="4" t="n">
        <v>0</v>
      </c>
      <c r="K1641" s="4" t="n">
        <v>0</v>
      </c>
      <c r="M1641" s="2">
        <f>IF(C1641="","",IFERROR(INDEX($S$5:$S$304,MATCH(C1641,$R$5:$R$304,0))&amp;"","?"))</f>
        <v/>
      </c>
      <c r="N1641" s="2">
        <f>IF(E1641="","",IF(ISNUMBER(SEARCH("SUBSOLO",E1641)),IFERROR(-VALUE(LEFT(E1641,FIND("º",SUBSTITUTE(E1641,"°","º"))-1)),-1),IF(LEFT(E1641,6)="TÉRREO",0,IFERROR(VALUE(LEFT(E1641,FIND("º",SUBSTITUTE(E1641,"°","º"))-1)),""))))</f>
        <v/>
      </c>
      <c r="O1641" s="2">
        <f>IF(OR(F1641="",G1641=""),"",IF(G1641&lt;='RETRATO 2027'!$K$5,"CONCLUÍDA",IF(F1641&lt;='RETRATO 2027'!$K$5,"EM ANDAMENTO","A INICIAR")))</f>
        <v/>
      </c>
    </row>
    <row r="1642">
      <c r="B1642" s="4" t="n">
        <v>31791439</v>
      </c>
      <c r="C1642" s="4" t="inlineStr">
        <is>
          <t>PEITORIS E REQUADROS DE FACHADA - F3 + F4 (2º ETAPA)</t>
        </is>
      </c>
      <c r="D1642" s="4" t="inlineStr">
        <is>
          <t>-</t>
        </is>
      </c>
      <c r="E1642" s="4" t="inlineStr">
        <is>
          <t>FACHADA</t>
        </is>
      </c>
      <c r="F1642" s="126" t="n">
        <v>46904</v>
      </c>
      <c r="G1642" s="126" t="n">
        <v>46925</v>
      </c>
      <c r="H1642" s="126" t="n">
        <v>46289</v>
      </c>
      <c r="I1642" s="4" t="n">
        <v>0</v>
      </c>
      <c r="J1642" s="4" t="n">
        <v>0</v>
      </c>
      <c r="K1642" s="4" t="n">
        <v>0</v>
      </c>
      <c r="M1642" s="2">
        <f>IF(C1642="","",IFERROR(INDEX($S$5:$S$304,MATCH(C1642,$R$5:$R$304,0))&amp;"","?"))</f>
        <v/>
      </c>
      <c r="N1642" s="2">
        <f>IF(E1642="","",IF(ISNUMBER(SEARCH("SUBSOLO",E1642)),IFERROR(-VALUE(LEFT(E1642,FIND("º",SUBSTITUTE(E1642,"°","º"))-1)),-1),IF(LEFT(E1642,6)="TÉRREO",0,IFERROR(VALUE(LEFT(E1642,FIND("º",SUBSTITUTE(E1642,"°","º"))-1)),""))))</f>
        <v/>
      </c>
      <c r="O1642" s="2">
        <f>IF(OR(F1642="",G1642=""),"",IF(G1642&lt;='RETRATO 2027'!$K$5,"CONCLUÍDA",IF(F1642&lt;='RETRATO 2027'!$K$5,"EM ANDAMENTO","A INICIAR")))</f>
        <v/>
      </c>
    </row>
    <row r="1643">
      <c r="B1643" s="4" t="n">
        <v>30206125</v>
      </c>
      <c r="C1643" s="4" t="inlineStr">
        <is>
          <t>FIAÇÃO ELÉTRICA</t>
        </is>
      </c>
      <c r="D1643" s="4" t="inlineStr">
        <is>
          <t>-</t>
        </is>
      </c>
      <c r="E1643" s="4" t="inlineStr">
        <is>
          <t>6º PAV (PILOTIS) - ACADEMIA</t>
        </is>
      </c>
      <c r="F1643" s="126" t="n">
        <v>46905</v>
      </c>
      <c r="G1643" s="126" t="n">
        <v>46918</v>
      </c>
      <c r="H1643" s="126" t="n">
        <v>46289</v>
      </c>
      <c r="I1643" s="4" t="n">
        <v>0</v>
      </c>
      <c r="J1643" s="4" t="n">
        <v>0</v>
      </c>
      <c r="K1643" s="4" t="n">
        <v>0</v>
      </c>
      <c r="M1643" s="2">
        <f>IF(C1643="","",IFERROR(INDEX($S$5:$S$304,MATCH(C1643,$R$5:$R$304,0))&amp;"","?"))</f>
        <v/>
      </c>
      <c r="N1643" s="2">
        <f>IF(E1643="","",IF(ISNUMBER(SEARCH("SUBSOLO",E1643)),IFERROR(-VALUE(LEFT(E1643,FIND("º",SUBSTITUTE(E1643,"°","º"))-1)),-1),IF(LEFT(E1643,6)="TÉRREO",0,IFERROR(VALUE(LEFT(E1643,FIND("º",SUBSTITUTE(E1643,"°","º"))-1)),""))))</f>
        <v/>
      </c>
      <c r="O1643" s="2">
        <f>IF(OR(F1643="",G1643=""),"",IF(G1643&lt;='RETRATO 2027'!$K$5,"CONCLUÍDA",IF(F1643&lt;='RETRATO 2027'!$K$5,"EM ANDAMENTO","A INICIAR")))</f>
        <v/>
      </c>
    </row>
    <row r="1644">
      <c r="B1644" s="4" t="n">
        <v>30214065</v>
      </c>
      <c r="C1644" s="4" t="inlineStr">
        <is>
          <t>FIAÇÃO TELECOM/DADOS</t>
        </is>
      </c>
      <c r="D1644" s="4" t="inlineStr">
        <is>
          <t>-</t>
        </is>
      </c>
      <c r="E1644" s="4" t="inlineStr">
        <is>
          <t>6º PAV (PILOTIS) - ACADEMIA</t>
        </is>
      </c>
      <c r="F1644" s="126" t="n">
        <v>46905</v>
      </c>
      <c r="G1644" s="126" t="n">
        <v>46918</v>
      </c>
      <c r="H1644" s="126" t="n">
        <v>46289</v>
      </c>
      <c r="I1644" s="4" t="n">
        <v>0</v>
      </c>
      <c r="J1644" s="4" t="n">
        <v>0</v>
      </c>
      <c r="K1644" s="4" t="n">
        <v>0</v>
      </c>
      <c r="M1644" s="2">
        <f>IF(C1644="","",IFERROR(INDEX($S$5:$S$304,MATCH(C1644,$R$5:$R$304,0))&amp;"","?"))</f>
        <v/>
      </c>
      <c r="N1644" s="2">
        <f>IF(E1644="","",IF(ISNUMBER(SEARCH("SUBSOLO",E1644)),IFERROR(-VALUE(LEFT(E1644,FIND("º",SUBSTITUTE(E1644,"°","º"))-1)),-1),IF(LEFT(E1644,6)="TÉRREO",0,IFERROR(VALUE(LEFT(E1644,FIND("º",SUBSTITUTE(E1644,"°","º"))-1)),""))))</f>
        <v/>
      </c>
      <c r="O1644" s="2">
        <f>IF(OR(F1644="",G1644=""),"",IF(G1644&lt;='RETRATO 2027'!$K$5,"CONCLUÍDA",IF(F1644&lt;='RETRATO 2027'!$K$5,"EM ANDAMENTO","A INICIAR")))</f>
        <v/>
      </c>
    </row>
    <row r="1645">
      <c r="B1645" s="4" t="n">
        <v>30206087</v>
      </c>
      <c r="C1645" s="4" t="inlineStr">
        <is>
          <t>REVESTIMENTO PORCELANATO PAREDE</t>
        </is>
      </c>
      <c r="D1645" s="4" t="inlineStr">
        <is>
          <t>-</t>
        </is>
      </c>
      <c r="E1645" s="4" t="inlineStr">
        <is>
          <t>6º PAV (PILOTIS) - SAUNA + DUCHA</t>
        </is>
      </c>
      <c r="F1645" s="126" t="n">
        <v>46905</v>
      </c>
      <c r="G1645" s="126" t="n">
        <v>46918</v>
      </c>
      <c r="H1645" s="126" t="n">
        <v>46289</v>
      </c>
      <c r="I1645" s="4" t="n">
        <v>0</v>
      </c>
      <c r="J1645" s="4" t="n">
        <v>0</v>
      </c>
      <c r="K1645" s="4" t="n">
        <v>0</v>
      </c>
      <c r="M1645" s="2">
        <f>IF(C1645="","",IFERROR(INDEX($S$5:$S$304,MATCH(C1645,$R$5:$R$304,0))&amp;"","?"))</f>
        <v/>
      </c>
      <c r="N1645" s="2">
        <f>IF(E1645="","",IF(ISNUMBER(SEARCH("SUBSOLO",E1645)),IFERROR(-VALUE(LEFT(E1645,FIND("º",SUBSTITUTE(E1645,"°","º"))-1)),-1),IF(LEFT(E1645,6)="TÉRREO",0,IFERROR(VALUE(LEFT(E1645,FIND("º",SUBSTITUTE(E1645,"°","º"))-1)),""))))</f>
        <v/>
      </c>
      <c r="O1645" s="2">
        <f>IF(OR(F1645="",G1645=""),"",IF(G1645&lt;='RETRATO 2027'!$K$5,"CONCLUÍDA",IF(F1645&lt;='RETRATO 2027'!$K$5,"EM ANDAMENTO","A INICIAR")))</f>
        <v/>
      </c>
    </row>
    <row r="1646">
      <c r="B1646" s="4" t="n">
        <v>30208616</v>
      </c>
      <c r="C1646" s="4" t="inlineStr">
        <is>
          <t>AQUECEDOR (SAUNA)</t>
        </is>
      </c>
      <c r="D1646" s="4" t="inlineStr">
        <is>
          <t>-</t>
        </is>
      </c>
      <c r="E1646" s="4" t="inlineStr">
        <is>
          <t>6º PAV (PILOTIS) - SAUNA + DUCHA</t>
        </is>
      </c>
      <c r="F1646" s="126" t="n">
        <v>46905</v>
      </c>
      <c r="G1646" s="126" t="n">
        <v>46918</v>
      </c>
      <c r="H1646" s="126" t="n">
        <v>46289</v>
      </c>
      <c r="I1646" s="4" t="n">
        <v>0</v>
      </c>
      <c r="J1646" s="4" t="n">
        <v>0</v>
      </c>
      <c r="K1646" s="4" t="n">
        <v>0</v>
      </c>
      <c r="M1646" s="2">
        <f>IF(C1646="","",IFERROR(INDEX($S$5:$S$304,MATCH(C1646,$R$5:$R$304,0))&amp;"","?"))</f>
        <v/>
      </c>
      <c r="N1646" s="2">
        <f>IF(E1646="","",IF(ISNUMBER(SEARCH("SUBSOLO",E1646)),IFERROR(-VALUE(LEFT(E1646,FIND("º",SUBSTITUTE(E1646,"°","º"))-1)),-1),IF(LEFT(E1646,6)="TÉRREO",0,IFERROR(VALUE(LEFT(E1646,FIND("º",SUBSTITUTE(E1646,"°","º"))-1)),""))))</f>
        <v/>
      </c>
      <c r="O1646" s="2">
        <f>IF(OR(F1646="",G1646=""),"",IF(G1646&lt;='RETRATO 2027'!$K$5,"CONCLUÍDA",IF(F1646&lt;='RETRATO 2027'!$K$5,"EM ANDAMENTO","A INICIAR")))</f>
        <v/>
      </c>
    </row>
    <row r="1647">
      <c r="B1647" s="4" t="n">
        <v>30206049</v>
      </c>
      <c r="C1647" s="4" t="inlineStr">
        <is>
          <t>CONTRAPISO</t>
        </is>
      </c>
      <c r="D1647" s="4" t="inlineStr">
        <is>
          <t>-</t>
        </is>
      </c>
      <c r="E1647" s="4" t="inlineStr">
        <is>
          <t>6º PAV (PILOTIS) - CHURRASQUEIRA + IS MASC. PCD + IS FEM. PCD + CIRCULAÇÃO 1 + HALL 1</t>
        </is>
      </c>
      <c r="F1647" s="126" t="n">
        <v>46905</v>
      </c>
      <c r="G1647" s="126" t="n">
        <v>46918</v>
      </c>
      <c r="H1647" s="126" t="n">
        <v>46289</v>
      </c>
      <c r="I1647" s="4" t="n">
        <v>0</v>
      </c>
      <c r="J1647" s="4" t="n">
        <v>0</v>
      </c>
      <c r="K1647" s="4" t="n">
        <v>0</v>
      </c>
      <c r="M1647" s="2">
        <f>IF(C1647="","",IFERROR(INDEX($S$5:$S$304,MATCH(C1647,$R$5:$R$304,0))&amp;"","?"))</f>
        <v/>
      </c>
      <c r="N1647" s="2">
        <f>IF(E1647="","",IF(ISNUMBER(SEARCH("SUBSOLO",E1647)),IFERROR(-VALUE(LEFT(E1647,FIND("º",SUBSTITUTE(E1647,"°","º"))-1)),-1),IF(LEFT(E1647,6)="TÉRREO",0,IFERROR(VALUE(LEFT(E1647,FIND("º",SUBSTITUTE(E1647,"°","º"))-1)),""))))</f>
        <v/>
      </c>
      <c r="O1647" s="2">
        <f>IF(OR(F1647="",G1647=""),"",IF(G1647&lt;='RETRATO 2027'!$K$5,"CONCLUÍDA",IF(F1647&lt;='RETRATO 2027'!$K$5,"EM ANDAMENTO","A INICIAR")))</f>
        <v/>
      </c>
    </row>
    <row r="1648">
      <c r="B1648" s="4" t="n">
        <v>30206011</v>
      </c>
      <c r="C1648" s="4" t="inlineStr">
        <is>
          <t>IMPERMEABILIZAÇÃO</t>
        </is>
      </c>
      <c r="D1648" s="4" t="inlineStr">
        <is>
          <t>-</t>
        </is>
      </c>
      <c r="E1648" s="4" t="inlineStr">
        <is>
          <t>6º PAV (PILOTIS) - COWORKING 1 E 2 + CIRC. 2 + HALL 2 + DML + VEST. MASC. + VEST. FEM</t>
        </is>
      </c>
      <c r="F1648" s="126" t="n">
        <v>46905</v>
      </c>
      <c r="G1648" s="126" t="n">
        <v>46918</v>
      </c>
      <c r="H1648" s="126" t="n">
        <v>46289</v>
      </c>
      <c r="I1648" s="4" t="n">
        <v>0</v>
      </c>
      <c r="J1648" s="4" t="n">
        <v>0</v>
      </c>
      <c r="K1648" s="4" t="n">
        <v>0</v>
      </c>
      <c r="M1648" s="2">
        <f>IF(C1648="","",IFERROR(INDEX($S$5:$S$304,MATCH(C1648,$R$5:$R$304,0))&amp;"","?"))</f>
        <v/>
      </c>
      <c r="N1648" s="2">
        <f>IF(E1648="","",IF(ISNUMBER(SEARCH("SUBSOLO",E1648)),IFERROR(-VALUE(LEFT(E1648,FIND("º",SUBSTITUTE(E1648,"°","º"))-1)),-1),IF(LEFT(E1648,6)="TÉRREO",0,IFERROR(VALUE(LEFT(E1648,FIND("º",SUBSTITUTE(E1648,"°","º"))-1)),""))))</f>
        <v/>
      </c>
      <c r="O1648" s="2">
        <f>IF(OR(F1648="",G1648=""),"",IF(G1648&lt;='RETRATO 2027'!$K$5,"CONCLUÍDA",IF(F1648&lt;='RETRATO 2027'!$K$5,"EM ANDAMENTO","A INICIAR")))</f>
        <v/>
      </c>
    </row>
    <row r="1649">
      <c r="B1649" s="4" t="n">
        <v>30205952</v>
      </c>
      <c r="C1649" s="4" t="inlineStr">
        <is>
          <t>SHAFT INTERNO INST. HIDRAÚLICAS</t>
        </is>
      </c>
      <c r="D1649" s="4" t="inlineStr">
        <is>
          <t>-</t>
        </is>
      </c>
      <c r="E1649" s="4" t="inlineStr">
        <is>
          <t>6º PAV (PILOTIS) - LOUNGE + SALÃO + COZINHA + GOURMET + ESPAÇO KIDS</t>
        </is>
      </c>
      <c r="F1649" s="126" t="n">
        <v>46905</v>
      </c>
      <c r="G1649" s="126" t="n">
        <v>46918</v>
      </c>
      <c r="H1649" s="126" t="n">
        <v>46289</v>
      </c>
      <c r="I1649" s="4" t="n">
        <v>0</v>
      </c>
      <c r="J1649" s="4" t="n">
        <v>0</v>
      </c>
      <c r="K1649" s="4" t="n">
        <v>0</v>
      </c>
      <c r="M1649" s="2">
        <f>IF(C1649="","",IFERROR(INDEX($S$5:$S$304,MATCH(C1649,$R$5:$R$304,0))&amp;"","?"))</f>
        <v/>
      </c>
      <c r="N1649" s="2">
        <f>IF(E1649="","",IF(ISNUMBER(SEARCH("SUBSOLO",E1649)),IFERROR(-VALUE(LEFT(E1649,FIND("º",SUBSTITUTE(E1649,"°","º"))-1)),-1),IF(LEFT(E1649,6)="TÉRREO",0,IFERROR(VALUE(LEFT(E1649,FIND("º",SUBSTITUTE(E1649,"°","º"))-1)),""))))</f>
        <v/>
      </c>
      <c r="O1649" s="2">
        <f>IF(OR(F1649="",G1649=""),"",IF(G1649&lt;='RETRATO 2027'!$K$5,"CONCLUÍDA",IF(F1649&lt;='RETRATO 2027'!$K$5,"EM ANDAMENTO","A INICIAR")))</f>
        <v/>
      </c>
    </row>
    <row r="1650">
      <c r="B1650" s="4" t="n">
        <v>29981428</v>
      </c>
      <c r="C1650" s="4" t="inlineStr">
        <is>
          <t>CHECKLIST</t>
        </is>
      </c>
      <c r="D1650" s="4" t="inlineStr">
        <is>
          <t>-</t>
        </is>
      </c>
      <c r="E1650" s="4" t="inlineStr">
        <is>
          <t>10º PAV.</t>
        </is>
      </c>
      <c r="F1650" s="126" t="n">
        <v>46905</v>
      </c>
      <c r="G1650" s="126" t="n">
        <v>46911</v>
      </c>
      <c r="H1650" s="126" t="n">
        <v>46289</v>
      </c>
      <c r="I1650" s="4" t="n">
        <v>0</v>
      </c>
      <c r="J1650" s="4" t="n">
        <v>0</v>
      </c>
      <c r="K1650" s="4" t="n">
        <v>0</v>
      </c>
      <c r="M1650" s="2">
        <f>IF(C1650="","",IFERROR(INDEX($S$5:$S$304,MATCH(C1650,$R$5:$R$304,0))&amp;"","?"))</f>
        <v/>
      </c>
      <c r="N1650" s="2">
        <f>IF(E1650="","",IF(ISNUMBER(SEARCH("SUBSOLO",E1650)),IFERROR(-VALUE(LEFT(E1650,FIND("º",SUBSTITUTE(E1650,"°","º"))-1)),-1),IF(LEFT(E1650,6)="TÉRREO",0,IFERROR(VALUE(LEFT(E1650,FIND("º",SUBSTITUTE(E1650,"°","º"))-1)),""))))</f>
        <v/>
      </c>
      <c r="O1650" s="2">
        <f>IF(OR(F1650="",G1650=""),"",IF(G1650&lt;='RETRATO 2027'!$K$5,"CONCLUÍDA",IF(F1650&lt;='RETRATO 2027'!$K$5,"EM ANDAMENTO","A INICIAR")))</f>
        <v/>
      </c>
    </row>
    <row r="1651">
      <c r="B1651" s="4" t="n">
        <v>29981393</v>
      </c>
      <c r="C1651" s="4" t="inlineStr">
        <is>
          <t>ACABAMENTOS ELÉTRICOS</t>
        </is>
      </c>
      <c r="D1651" s="4" t="inlineStr">
        <is>
          <t>-</t>
        </is>
      </c>
      <c r="E1651" s="4" t="inlineStr">
        <is>
          <t>11º PAV.</t>
        </is>
      </c>
      <c r="F1651" s="126" t="n">
        <v>46905</v>
      </c>
      <c r="G1651" s="126" t="n">
        <v>46917</v>
      </c>
      <c r="H1651" s="126" t="n">
        <v>46289</v>
      </c>
      <c r="I1651" s="4" t="n">
        <v>0</v>
      </c>
      <c r="J1651" s="4" t="n">
        <v>0</v>
      </c>
      <c r="K1651" s="4" t="n">
        <v>0</v>
      </c>
      <c r="M1651" s="2">
        <f>IF(C1651="","",IFERROR(INDEX($S$5:$S$304,MATCH(C1651,$R$5:$R$304,0))&amp;"","?"))</f>
        <v/>
      </c>
      <c r="N1651" s="2">
        <f>IF(E1651="","",IF(ISNUMBER(SEARCH("SUBSOLO",E1651)),IFERROR(-VALUE(LEFT(E1651,FIND("º",SUBSTITUTE(E1651,"°","º"))-1)),-1),IF(LEFT(E1651,6)="TÉRREO",0,IFERROR(VALUE(LEFT(E1651,FIND("º",SUBSTITUTE(E1651,"°","º"))-1)),""))))</f>
        <v/>
      </c>
      <c r="O1651" s="2">
        <f>IF(OR(F1651="",G1651=""),"",IF(G1651&lt;='RETRATO 2027'!$K$5,"CONCLUÍDA",IF(F1651&lt;='RETRATO 2027'!$K$5,"EM ANDAMENTO","A INICIAR")))</f>
        <v/>
      </c>
    </row>
    <row r="1652">
      <c r="B1652" s="4" t="n">
        <v>29981353</v>
      </c>
      <c r="C1652" s="4" t="inlineStr">
        <is>
          <t>PINTURA 2º DEMÃO</t>
        </is>
      </c>
      <c r="D1652" s="4" t="inlineStr">
        <is>
          <t>-</t>
        </is>
      </c>
      <c r="E1652" s="4" t="inlineStr">
        <is>
          <t>12º PAV.</t>
        </is>
      </c>
      <c r="F1652" s="126" t="n">
        <v>46905</v>
      </c>
      <c r="G1652" s="126" t="n">
        <v>46917</v>
      </c>
      <c r="H1652" s="126" t="n">
        <v>46289</v>
      </c>
      <c r="I1652" s="4" t="n">
        <v>0</v>
      </c>
      <c r="J1652" s="4" t="n">
        <v>0</v>
      </c>
      <c r="K1652" s="4" t="n">
        <v>0</v>
      </c>
      <c r="M1652" s="2">
        <f>IF(C1652="","",IFERROR(INDEX($S$5:$S$304,MATCH(C1652,$R$5:$R$304,0))&amp;"","?"))</f>
        <v/>
      </c>
      <c r="N1652" s="2">
        <f>IF(E1652="","",IF(ISNUMBER(SEARCH("SUBSOLO",E1652)),IFERROR(-VALUE(LEFT(E1652,FIND("º",SUBSTITUTE(E1652,"°","º"))-1)),-1),IF(LEFT(E1652,6)="TÉRREO",0,IFERROR(VALUE(LEFT(E1652,FIND("º",SUBSTITUTE(E1652,"°","º"))-1)),""))))</f>
        <v/>
      </c>
      <c r="O1652" s="2">
        <f>IF(OR(F1652="",G1652=""),"",IF(G1652&lt;='RETRATO 2027'!$K$5,"CONCLUÍDA",IF(F1652&lt;='RETRATO 2027'!$K$5,"EM ANDAMENTO","A INICIAR")))</f>
        <v/>
      </c>
    </row>
    <row r="1653">
      <c r="B1653" s="4" t="n">
        <v>33919790</v>
      </c>
      <c r="C1653" s="4" t="inlineStr">
        <is>
          <t>TEXTURA - EXTERNA</t>
        </is>
      </c>
      <c r="D1653" s="4" t="inlineStr">
        <is>
          <t>-</t>
        </is>
      </c>
      <c r="E1653" s="4" t="inlineStr">
        <is>
          <t>12º PAV.</t>
        </is>
      </c>
      <c r="F1653" s="126" t="n">
        <v>46905</v>
      </c>
      <c r="G1653" s="126" t="n">
        <v>46917</v>
      </c>
      <c r="H1653" s="126" t="n">
        <v>46289</v>
      </c>
      <c r="I1653" s="4" t="n">
        <v>0</v>
      </c>
      <c r="J1653" s="4" t="n">
        <v>0</v>
      </c>
      <c r="K1653" s="4" t="n">
        <v>0</v>
      </c>
      <c r="M1653" s="2">
        <f>IF(C1653="","",IFERROR(INDEX($S$5:$S$304,MATCH(C1653,$R$5:$R$304,0))&amp;"","?"))</f>
        <v/>
      </c>
      <c r="N1653" s="2">
        <f>IF(E1653="","",IF(ISNUMBER(SEARCH("SUBSOLO",E1653)),IFERROR(-VALUE(LEFT(E1653,FIND("º",SUBSTITUTE(E1653,"°","º"))-1)),-1),IF(LEFT(E1653,6)="TÉRREO",0,IFERROR(VALUE(LEFT(E1653,FIND("º",SUBSTITUTE(E1653,"°","º"))-1)),""))))</f>
        <v/>
      </c>
      <c r="O1653" s="2">
        <f>IF(OR(F1653="",G1653=""),"",IF(G1653&lt;='RETRATO 2027'!$K$5,"CONCLUÍDA",IF(F1653&lt;='RETRATO 2027'!$K$5,"EM ANDAMENTO","A INICIAR")))</f>
        <v/>
      </c>
    </row>
    <row r="1654">
      <c r="B1654" s="4" t="n">
        <v>29981315</v>
      </c>
      <c r="C1654" s="4" t="inlineStr">
        <is>
          <t>LIMPEZA GROSSA</t>
        </is>
      </c>
      <c r="D1654" s="4" t="inlineStr">
        <is>
          <t>-</t>
        </is>
      </c>
      <c r="E1654" s="4" t="inlineStr">
        <is>
          <t>13º PAV.</t>
        </is>
      </c>
      <c r="F1654" s="126" t="n">
        <v>46905</v>
      </c>
      <c r="G1654" s="126" t="n">
        <v>46917</v>
      </c>
      <c r="H1654" s="126" t="n">
        <v>46289</v>
      </c>
      <c r="I1654" s="4" t="n">
        <v>0</v>
      </c>
      <c r="J1654" s="4" t="n">
        <v>0</v>
      </c>
      <c r="K1654" s="4" t="n">
        <v>0</v>
      </c>
      <c r="M1654" s="2">
        <f>IF(C1654="","",IFERROR(INDEX($S$5:$S$304,MATCH(C1654,$R$5:$R$304,0))&amp;"","?"))</f>
        <v/>
      </c>
      <c r="N1654" s="2">
        <f>IF(E1654="","",IF(ISNUMBER(SEARCH("SUBSOLO",E1654)),IFERROR(-VALUE(LEFT(E1654,FIND("º",SUBSTITUTE(E1654,"°","º"))-1)),-1),IF(LEFT(E1654,6)="TÉRREO",0,IFERROR(VALUE(LEFT(E1654,FIND("º",SUBSTITUTE(E1654,"°","º"))-1)),""))))</f>
        <v/>
      </c>
      <c r="O1654" s="2">
        <f>IF(OR(F1654="",G1654=""),"",IF(G1654&lt;='RETRATO 2027'!$K$5,"CONCLUÍDA",IF(F1654&lt;='RETRATO 2027'!$K$5,"EM ANDAMENTO","A INICIAR")))</f>
        <v/>
      </c>
    </row>
    <row r="1655">
      <c r="B1655" s="4" t="n">
        <v>29981272</v>
      </c>
      <c r="C1655" s="4" t="inlineStr">
        <is>
          <t>LOUÇAS</t>
        </is>
      </c>
      <c r="D1655" s="4" t="inlineStr">
        <is>
          <t>-</t>
        </is>
      </c>
      <c r="E1655" s="4" t="inlineStr">
        <is>
          <t>14º PAV.</t>
        </is>
      </c>
      <c r="F1655" s="126" t="n">
        <v>46905</v>
      </c>
      <c r="G1655" s="126" t="n">
        <v>46917</v>
      </c>
      <c r="H1655" s="126" t="n">
        <v>46289</v>
      </c>
      <c r="I1655" s="4" t="n">
        <v>0</v>
      </c>
      <c r="J1655" s="4" t="n">
        <v>0</v>
      </c>
      <c r="K1655" s="4" t="n">
        <v>0</v>
      </c>
      <c r="M1655" s="2">
        <f>IF(C1655="","",IFERROR(INDEX($S$5:$S$304,MATCH(C1655,$R$5:$R$304,0))&amp;"","?"))</f>
        <v/>
      </c>
      <c r="N1655" s="2">
        <f>IF(E1655="","",IF(ISNUMBER(SEARCH("SUBSOLO",E1655)),IFERROR(-VALUE(LEFT(E1655,FIND("º",SUBSTITUTE(E1655,"°","º"))-1)),-1),IF(LEFT(E1655,6)="TÉRREO",0,IFERROR(VALUE(LEFT(E1655,FIND("º",SUBSTITUTE(E1655,"°","º"))-1)),""))))</f>
        <v/>
      </c>
      <c r="O1655" s="2">
        <f>IF(OR(F1655="",G1655=""),"",IF(G1655&lt;='RETRATO 2027'!$K$5,"CONCLUÍDA",IF(F1655&lt;='RETRATO 2027'!$K$5,"EM ANDAMENTO","A INICIAR")))</f>
        <v/>
      </c>
    </row>
    <row r="1656">
      <c r="B1656" s="4" t="n">
        <v>29981277</v>
      </c>
      <c r="C1656" s="4" t="inlineStr">
        <is>
          <t>METAIS</t>
        </is>
      </c>
      <c r="D1656" s="4" t="inlineStr">
        <is>
          <t>-</t>
        </is>
      </c>
      <c r="E1656" s="4" t="inlineStr">
        <is>
          <t>14º PAV.</t>
        </is>
      </c>
      <c r="F1656" s="126" t="n">
        <v>46905</v>
      </c>
      <c r="G1656" s="126" t="n">
        <v>46917</v>
      </c>
      <c r="H1656" s="126" t="n">
        <v>46289</v>
      </c>
      <c r="I1656" s="4" t="n">
        <v>0</v>
      </c>
      <c r="J1656" s="4" t="n">
        <v>0</v>
      </c>
      <c r="K1656" s="4" t="n">
        <v>0</v>
      </c>
      <c r="M1656" s="2">
        <f>IF(C1656="","",IFERROR(INDEX($S$5:$S$304,MATCH(C1656,$R$5:$R$304,0))&amp;"","?"))</f>
        <v/>
      </c>
      <c r="N1656" s="2">
        <f>IF(E1656="","",IF(ISNUMBER(SEARCH("SUBSOLO",E1656)),IFERROR(-VALUE(LEFT(E1656,FIND("º",SUBSTITUTE(E1656,"°","º"))-1)),-1),IF(LEFT(E1656,6)="TÉRREO",0,IFERROR(VALUE(LEFT(E1656,FIND("º",SUBSTITUTE(E1656,"°","º"))-1)),""))))</f>
        <v/>
      </c>
      <c r="O1656" s="2">
        <f>IF(OR(F1656="",G1656=""),"",IF(G1656&lt;='RETRATO 2027'!$K$5,"CONCLUÍDA",IF(F1656&lt;='RETRATO 2027'!$K$5,"EM ANDAMENTO","A INICIAR")))</f>
        <v/>
      </c>
    </row>
    <row r="1657">
      <c r="B1657" s="4" t="n">
        <v>29981276</v>
      </c>
      <c r="C1657" s="4" t="inlineStr">
        <is>
          <t>DISJUNTORES / MIOLOS</t>
        </is>
      </c>
      <c r="D1657" s="4" t="inlineStr">
        <is>
          <t>-</t>
        </is>
      </c>
      <c r="E1657" s="4" t="inlineStr">
        <is>
          <t>14º PAV.</t>
        </is>
      </c>
      <c r="F1657" s="126" t="n">
        <v>46905</v>
      </c>
      <c r="G1657" s="126" t="n">
        <v>46917</v>
      </c>
      <c r="H1657" s="126" t="n">
        <v>46289</v>
      </c>
      <c r="I1657" s="4" t="n">
        <v>0</v>
      </c>
      <c r="J1657" s="4" t="n">
        <v>0</v>
      </c>
      <c r="K1657" s="4" t="n">
        <v>0</v>
      </c>
      <c r="M1657" s="2">
        <f>IF(C1657="","",IFERROR(INDEX($S$5:$S$304,MATCH(C1657,$R$5:$R$304,0))&amp;"","?"))</f>
        <v/>
      </c>
      <c r="N1657" s="2">
        <f>IF(E1657="","",IF(ISNUMBER(SEARCH("SUBSOLO",E1657)),IFERROR(-VALUE(LEFT(E1657,FIND("º",SUBSTITUTE(E1657,"°","º"))-1)),-1),IF(LEFT(E1657,6)="TÉRREO",0,IFERROR(VALUE(LEFT(E1657,FIND("º",SUBSTITUTE(E1657,"°","º"))-1)),""))))</f>
        <v/>
      </c>
      <c r="O1657" s="2">
        <f>IF(OR(F1657="",G1657=""),"",IF(G1657&lt;='RETRATO 2027'!$K$5,"CONCLUÍDA",IF(F1657&lt;='RETRATO 2027'!$K$5,"EM ANDAMENTO","A INICIAR")))</f>
        <v/>
      </c>
    </row>
    <row r="1658">
      <c r="B1658" s="4" t="n">
        <v>29981275</v>
      </c>
      <c r="C1658" s="4" t="inlineStr">
        <is>
          <t>COMUNICAÇÃO E ALARME</t>
        </is>
      </c>
      <c r="D1658" s="4" t="inlineStr">
        <is>
          <t>-</t>
        </is>
      </c>
      <c r="E1658" s="4" t="inlineStr">
        <is>
          <t>14º PAV.</t>
        </is>
      </c>
      <c r="F1658" s="126" t="n">
        <v>46905</v>
      </c>
      <c r="G1658" s="126" t="n">
        <v>46917</v>
      </c>
      <c r="H1658" s="126" t="n">
        <v>46289</v>
      </c>
      <c r="I1658" s="4" t="n">
        <v>0</v>
      </c>
      <c r="J1658" s="4" t="n">
        <v>0</v>
      </c>
      <c r="K1658" s="4" t="n">
        <v>0</v>
      </c>
      <c r="M1658" s="2">
        <f>IF(C1658="","",IFERROR(INDEX($S$5:$S$304,MATCH(C1658,$R$5:$R$304,0))&amp;"","?"))</f>
        <v/>
      </c>
      <c r="N1658" s="2">
        <f>IF(E1658="","",IF(ISNUMBER(SEARCH("SUBSOLO",E1658)),IFERROR(-VALUE(LEFT(E1658,FIND("º",SUBSTITUTE(E1658,"°","º"))-1)),-1),IF(LEFT(E1658,6)="TÉRREO",0,IFERROR(VALUE(LEFT(E1658,FIND("º",SUBSTITUTE(E1658,"°","º"))-1)),""))))</f>
        <v/>
      </c>
      <c r="O1658" s="2">
        <f>IF(OR(F1658="",G1658=""),"",IF(G1658&lt;='RETRATO 2027'!$K$5,"CONCLUÍDA",IF(F1658&lt;='RETRATO 2027'!$K$5,"EM ANDAMENTO","A INICIAR")))</f>
        <v/>
      </c>
    </row>
    <row r="1659">
      <c r="B1659" s="4" t="n">
        <v>29981234</v>
      </c>
      <c r="C1659" s="4" t="inlineStr">
        <is>
          <t>RODAPÉ MADEIRA / PVC</t>
        </is>
      </c>
      <c r="D1659" s="4" t="inlineStr">
        <is>
          <t>-</t>
        </is>
      </c>
      <c r="E1659" s="4" t="inlineStr">
        <is>
          <t>15º PAV.</t>
        </is>
      </c>
      <c r="F1659" s="126" t="n">
        <v>46905</v>
      </c>
      <c r="G1659" s="126" t="n">
        <v>46917</v>
      </c>
      <c r="H1659" s="126" t="n">
        <v>46289</v>
      </c>
      <c r="I1659" s="4" t="n">
        <v>0</v>
      </c>
      <c r="J1659" s="4" t="n">
        <v>0</v>
      </c>
      <c r="K1659" s="4" t="n">
        <v>0</v>
      </c>
      <c r="M1659" s="2">
        <f>IF(C1659="","",IFERROR(INDEX($S$5:$S$304,MATCH(C1659,$R$5:$R$304,0))&amp;"","?"))</f>
        <v/>
      </c>
      <c r="N1659" s="2">
        <f>IF(E1659="","",IF(ISNUMBER(SEARCH("SUBSOLO",E1659)),IFERROR(-VALUE(LEFT(E1659,FIND("º",SUBSTITUTE(E1659,"°","º"))-1)),-1),IF(LEFT(E1659,6)="TÉRREO",0,IFERROR(VALUE(LEFT(E1659,FIND("º",SUBSTITUTE(E1659,"°","º"))-1)),""))))</f>
        <v/>
      </c>
      <c r="O1659" s="2">
        <f>IF(OR(F1659="",G1659=""),"",IF(G1659&lt;='RETRATO 2027'!$K$5,"CONCLUÍDA",IF(F1659&lt;='RETRATO 2027'!$K$5,"EM ANDAMENTO","A INICIAR")))</f>
        <v/>
      </c>
    </row>
    <row r="1660">
      <c r="B1660" s="4" t="n">
        <v>29981196</v>
      </c>
      <c r="C1660" s="4" t="inlineStr">
        <is>
          <t>ESQUADRIA MADEIRA</t>
        </is>
      </c>
      <c r="D1660" s="4" t="inlineStr">
        <is>
          <t>-</t>
        </is>
      </c>
      <c r="E1660" s="4" t="inlineStr">
        <is>
          <t>16º PAV.</t>
        </is>
      </c>
      <c r="F1660" s="126" t="n">
        <v>46905</v>
      </c>
      <c r="G1660" s="126" t="n">
        <v>46917</v>
      </c>
      <c r="H1660" s="126" t="n">
        <v>46289</v>
      </c>
      <c r="I1660" s="4" t="n">
        <v>0</v>
      </c>
      <c r="J1660" s="4" t="n">
        <v>0</v>
      </c>
      <c r="K1660" s="4" t="n">
        <v>0</v>
      </c>
      <c r="M1660" s="2">
        <f>IF(C1660="","",IFERROR(INDEX($S$5:$S$304,MATCH(C1660,$R$5:$R$304,0))&amp;"","?"))</f>
        <v/>
      </c>
      <c r="N1660" s="2">
        <f>IF(E1660="","",IF(ISNUMBER(SEARCH("SUBSOLO",E1660)),IFERROR(-VALUE(LEFT(E1660,FIND("º",SUBSTITUTE(E1660,"°","º"))-1)),-1),IF(LEFT(E1660,6)="TÉRREO",0,IFERROR(VALUE(LEFT(E1660,FIND("º",SUBSTITUTE(E1660,"°","º"))-1)),""))))</f>
        <v/>
      </c>
      <c r="O1660" s="2">
        <f>IF(OR(F1660="",G1660=""),"",IF(G1660&lt;='RETRATO 2027'!$K$5,"CONCLUÍDA",IF(F1660&lt;='RETRATO 2027'!$K$5,"EM ANDAMENTO","A INICIAR")))</f>
        <v/>
      </c>
    </row>
    <row r="1661">
      <c r="B1661" s="4" t="n">
        <v>29981158</v>
      </c>
      <c r="C1661" s="4" t="inlineStr">
        <is>
          <t>PISO VINÍLICO / LAMINADO</t>
        </is>
      </c>
      <c r="D1661" s="4" t="inlineStr">
        <is>
          <t>-</t>
        </is>
      </c>
      <c r="E1661" s="4" t="inlineStr">
        <is>
          <t>17º PAV.</t>
        </is>
      </c>
      <c r="F1661" s="126" t="n">
        <v>46905</v>
      </c>
      <c r="G1661" s="126" t="n">
        <v>46917</v>
      </c>
      <c r="H1661" s="126" t="n">
        <v>46289</v>
      </c>
      <c r="I1661" s="4" t="n">
        <v>0</v>
      </c>
      <c r="J1661" s="4" t="n">
        <v>0</v>
      </c>
      <c r="K1661" s="4" t="n">
        <v>0</v>
      </c>
      <c r="M1661" s="2">
        <f>IF(C1661="","",IFERROR(INDEX($S$5:$S$304,MATCH(C1661,$R$5:$R$304,0))&amp;"","?"))</f>
        <v/>
      </c>
      <c r="N1661" s="2">
        <f>IF(E1661="","",IF(ISNUMBER(SEARCH("SUBSOLO",E1661)),IFERROR(-VALUE(LEFT(E1661,FIND("º",SUBSTITUTE(E1661,"°","º"))-1)),-1),IF(LEFT(E1661,6)="TÉRREO",0,IFERROR(VALUE(LEFT(E1661,FIND("º",SUBSTITUTE(E1661,"°","º"))-1)),""))))</f>
        <v/>
      </c>
      <c r="O1661" s="2">
        <f>IF(OR(F1661="",G1661=""),"",IF(G1661&lt;='RETRATO 2027'!$K$5,"CONCLUÍDA",IF(F1661&lt;='RETRATO 2027'!$K$5,"EM ANDAMENTO","A INICIAR")))</f>
        <v/>
      </c>
    </row>
    <row r="1662">
      <c r="B1662" s="4" t="n">
        <v>29981120</v>
      </c>
      <c r="C1662" s="4" t="inlineStr">
        <is>
          <t>PINTURA 1º DEMÃO</t>
        </is>
      </c>
      <c r="D1662" s="4" t="inlineStr">
        <is>
          <t>-</t>
        </is>
      </c>
      <c r="E1662" s="4" t="inlineStr">
        <is>
          <t>18º PAV.</t>
        </is>
      </c>
      <c r="F1662" s="126" t="n">
        <v>46905</v>
      </c>
      <c r="G1662" s="126" t="n">
        <v>46917</v>
      </c>
      <c r="H1662" s="126" t="n">
        <v>46289</v>
      </c>
      <c r="I1662" s="4" t="n">
        <v>0</v>
      </c>
      <c r="J1662" s="4" t="n">
        <v>0</v>
      </c>
      <c r="K1662" s="4" t="n">
        <v>0</v>
      </c>
      <c r="M1662" s="2">
        <f>IF(C1662="","",IFERROR(INDEX($S$5:$S$304,MATCH(C1662,$R$5:$R$304,0))&amp;"","?"))</f>
        <v/>
      </c>
      <c r="N1662" s="2">
        <f>IF(E1662="","",IF(ISNUMBER(SEARCH("SUBSOLO",E1662)),IFERROR(-VALUE(LEFT(E1662,FIND("º",SUBSTITUTE(E1662,"°","º"))-1)),-1),IF(LEFT(E1662,6)="TÉRREO",0,IFERROR(VALUE(LEFT(E1662,FIND("º",SUBSTITUTE(E1662,"°","º"))-1)),""))))</f>
        <v/>
      </c>
      <c r="O1662" s="2">
        <f>IF(OR(F1662="",G1662=""),"",IF(G1662&lt;='RETRATO 2027'!$K$5,"CONCLUÍDA",IF(F1662&lt;='RETRATO 2027'!$K$5,"EM ANDAMENTO","A INICIAR")))</f>
        <v/>
      </c>
    </row>
    <row r="1663">
      <c r="B1663" s="4" t="n">
        <v>29981072</v>
      </c>
      <c r="C1663" s="4" t="inlineStr">
        <is>
          <t>MASSA CORRIDA</t>
        </is>
      </c>
      <c r="D1663" s="4" t="inlineStr">
        <is>
          <t>-</t>
        </is>
      </c>
      <c r="E1663" s="4" t="inlineStr">
        <is>
          <t>20º PAV.</t>
        </is>
      </c>
      <c r="F1663" s="126" t="n">
        <v>46905</v>
      </c>
      <c r="G1663" s="126" t="n">
        <v>46917</v>
      </c>
      <c r="H1663" s="126" t="n">
        <v>46289</v>
      </c>
      <c r="I1663" s="4" t="n">
        <v>0</v>
      </c>
      <c r="J1663" s="4" t="n">
        <v>0</v>
      </c>
      <c r="K1663" s="4" t="n">
        <v>0</v>
      </c>
      <c r="M1663" s="2">
        <f>IF(C1663="","",IFERROR(INDEX($S$5:$S$304,MATCH(C1663,$R$5:$R$304,0))&amp;"","?"))</f>
        <v/>
      </c>
      <c r="N1663" s="2">
        <f>IF(E1663="","",IF(ISNUMBER(SEARCH("SUBSOLO",E1663)),IFERROR(-VALUE(LEFT(E1663,FIND("º",SUBSTITUTE(E1663,"°","º"))-1)),-1),IF(LEFT(E1663,6)="TÉRREO",0,IFERROR(VALUE(LEFT(E1663,FIND("º",SUBSTITUTE(E1663,"°","º"))-1)),""))))</f>
        <v/>
      </c>
      <c r="O1663" s="2">
        <f>IF(OR(F1663="",G1663=""),"",IF(G1663&lt;='RETRATO 2027'!$K$5,"CONCLUÍDA",IF(F1663&lt;='RETRATO 2027'!$K$5,"EM ANDAMENTO","A INICIAR")))</f>
        <v/>
      </c>
    </row>
    <row r="1664">
      <c r="B1664" s="4" t="n">
        <v>33898105</v>
      </c>
      <c r="C1664" s="4" t="inlineStr">
        <is>
          <t>ESQUADRIA DE ALUMÍNIO</t>
        </is>
      </c>
      <c r="D1664" s="4" t="inlineStr">
        <is>
          <t>-</t>
        </is>
      </c>
      <c r="E1664" s="4" t="inlineStr">
        <is>
          <t>21º PAV.</t>
        </is>
      </c>
      <c r="F1664" s="126" t="n">
        <v>46905</v>
      </c>
      <c r="G1664" s="126" t="n">
        <v>46917</v>
      </c>
      <c r="H1664" s="126" t="n">
        <v>46289</v>
      </c>
      <c r="I1664" s="4" t="n">
        <v>0</v>
      </c>
      <c r="J1664" s="4" t="n">
        <v>0</v>
      </c>
      <c r="K1664" s="4" t="n">
        <v>0</v>
      </c>
      <c r="M1664" s="2">
        <f>IF(C1664="","",IFERROR(INDEX($S$5:$S$304,MATCH(C1664,$R$5:$R$304,0))&amp;"","?"))</f>
        <v/>
      </c>
      <c r="N1664" s="2">
        <f>IF(E1664="","",IF(ISNUMBER(SEARCH("SUBSOLO",E1664)),IFERROR(-VALUE(LEFT(E1664,FIND("º",SUBSTITUTE(E1664,"°","º"))-1)),-1),IF(LEFT(E1664,6)="TÉRREO",0,IFERROR(VALUE(LEFT(E1664,FIND("º",SUBSTITUTE(E1664,"°","º"))-1)),""))))</f>
        <v/>
      </c>
      <c r="O1664" s="2">
        <f>IF(OR(F1664="",G1664=""),"",IF(G1664&lt;='RETRATO 2027'!$K$5,"CONCLUÍDA",IF(F1664&lt;='RETRATO 2027'!$K$5,"EM ANDAMENTO","A INICIAR")))</f>
        <v/>
      </c>
    </row>
    <row r="1665">
      <c r="B1665" s="4" t="n">
        <v>30171511</v>
      </c>
      <c r="C1665" s="4" t="inlineStr">
        <is>
          <t>PINTURA 3º DEMÃO</t>
        </is>
      </c>
      <c r="D1665" s="4" t="inlineStr">
        <is>
          <t>-</t>
        </is>
      </c>
      <c r="E1665" s="4" t="inlineStr">
        <is>
          <t>HALL - APTOS</t>
        </is>
      </c>
      <c r="F1665" s="126" t="n">
        <v>46906</v>
      </c>
      <c r="G1665" s="126" t="n">
        <v>47177</v>
      </c>
      <c r="H1665" s="126" t="n">
        <v>46289</v>
      </c>
      <c r="I1665" s="4" t="n">
        <v>0</v>
      </c>
      <c r="J1665" s="4" t="n">
        <v>0</v>
      </c>
      <c r="K1665" s="4" t="n">
        <v>0</v>
      </c>
      <c r="M1665" s="2">
        <f>IF(C1665="","",IFERROR(INDEX($S$5:$S$304,MATCH(C1665,$R$5:$R$304,0))&amp;"","?"))</f>
        <v/>
      </c>
      <c r="N1665" s="2">
        <f>IF(E1665="","",IF(ISNUMBER(SEARCH("SUBSOLO",E1665)),IFERROR(-VALUE(LEFT(E1665,FIND("º",SUBSTITUTE(E1665,"°","º"))-1)),-1),IF(LEFT(E1665,6)="TÉRREO",0,IFERROR(VALUE(LEFT(E1665,FIND("º",SUBSTITUTE(E1665,"°","º"))-1)),""))))</f>
        <v/>
      </c>
      <c r="O1665" s="2">
        <f>IF(OR(F1665="",G1665=""),"",IF(G1665&lt;='RETRATO 2027'!$K$5,"CONCLUÍDA",IF(F1665&lt;='RETRATO 2027'!$K$5,"EM ANDAMENTO","A INICIAR")))</f>
        <v/>
      </c>
    </row>
    <row r="1666">
      <c r="B1666" s="4" t="n">
        <v>29980885</v>
      </c>
      <c r="C1666" s="4" t="inlineStr">
        <is>
          <t>FORRO</t>
        </is>
      </c>
      <c r="D1666" s="4" t="inlineStr">
        <is>
          <t>-</t>
        </is>
      </c>
      <c r="E1666" s="4" t="inlineStr">
        <is>
          <t>25º PAV.</t>
        </is>
      </c>
      <c r="F1666" s="126" t="n">
        <v>46906</v>
      </c>
      <c r="G1666" s="126" t="n">
        <v>46918</v>
      </c>
      <c r="H1666" s="126" t="n">
        <v>46289</v>
      </c>
      <c r="I1666" s="4" t="n">
        <v>0</v>
      </c>
      <c r="J1666" s="4" t="n">
        <v>0</v>
      </c>
      <c r="K1666" s="4" t="n">
        <v>0</v>
      </c>
      <c r="M1666" s="2">
        <f>IF(C1666="","",IFERROR(INDEX($S$5:$S$304,MATCH(C1666,$R$5:$R$304,0))&amp;"","?"))</f>
        <v/>
      </c>
      <c r="N1666" s="2">
        <f>IF(E1666="","",IF(ISNUMBER(SEARCH("SUBSOLO",E1666)),IFERROR(-VALUE(LEFT(E1666,FIND("º",SUBSTITUTE(E1666,"°","º"))-1)),-1),IF(LEFT(E1666,6)="TÉRREO",0,IFERROR(VALUE(LEFT(E1666,FIND("º",SUBSTITUTE(E1666,"°","º"))-1)),""))))</f>
        <v/>
      </c>
      <c r="O1666" s="2">
        <f>IF(OR(F1666="",G1666=""),"",IF(G1666&lt;='RETRATO 2027'!$K$5,"CONCLUÍDA",IF(F1666&lt;='RETRATO 2027'!$K$5,"EM ANDAMENTO","A INICIAR")))</f>
        <v/>
      </c>
    </row>
    <row r="1667">
      <c r="B1667" s="4" t="n">
        <v>29980846</v>
      </c>
      <c r="C1667" s="4" t="inlineStr">
        <is>
          <t>FIAÇÃO ELÉTRICA</t>
        </is>
      </c>
      <c r="D1667" s="4" t="inlineStr">
        <is>
          <t>-</t>
        </is>
      </c>
      <c r="E1667" s="4" t="inlineStr">
        <is>
          <t>26º PAV.</t>
        </is>
      </c>
      <c r="F1667" s="126" t="n">
        <v>46906</v>
      </c>
      <c r="G1667" s="126" t="n">
        <v>46918</v>
      </c>
      <c r="H1667" s="126" t="n">
        <v>46289</v>
      </c>
      <c r="I1667" s="4" t="n">
        <v>0</v>
      </c>
      <c r="J1667" s="4" t="n">
        <v>0</v>
      </c>
      <c r="K1667" s="4" t="n">
        <v>0</v>
      </c>
      <c r="M1667" s="2">
        <f>IF(C1667="","",IFERROR(INDEX($S$5:$S$304,MATCH(C1667,$R$5:$R$304,0))&amp;"","?"))</f>
        <v/>
      </c>
      <c r="N1667" s="2">
        <f>IF(E1667="","",IF(ISNUMBER(SEARCH("SUBSOLO",E1667)),IFERROR(-VALUE(LEFT(E1667,FIND("º",SUBSTITUTE(E1667,"°","º"))-1)),-1),IF(LEFT(E1667,6)="TÉRREO",0,IFERROR(VALUE(LEFT(E1667,FIND("º",SUBSTITUTE(E1667,"°","º"))-1)),""))))</f>
        <v/>
      </c>
      <c r="O1667" s="2">
        <f>IF(OR(F1667="",G1667=""),"",IF(G1667&lt;='RETRATO 2027'!$K$5,"CONCLUÍDA",IF(F1667&lt;='RETRATO 2027'!$K$5,"EM ANDAMENTO","A INICIAR")))</f>
        <v/>
      </c>
    </row>
    <row r="1668">
      <c r="B1668" s="4" t="n">
        <v>29980851</v>
      </c>
      <c r="C1668" s="4" t="inlineStr">
        <is>
          <t>PRUMADA ELÉTRICA - CABOS</t>
        </is>
      </c>
      <c r="D1668" s="4" t="inlineStr">
        <is>
          <t>-</t>
        </is>
      </c>
      <c r="E1668" s="4" t="inlineStr">
        <is>
          <t>26º PAV.</t>
        </is>
      </c>
      <c r="F1668" s="126" t="n">
        <v>46906</v>
      </c>
      <c r="G1668" s="126" t="n">
        <v>46918</v>
      </c>
      <c r="H1668" s="126" t="n">
        <v>46289</v>
      </c>
      <c r="I1668" s="4" t="n">
        <v>0</v>
      </c>
      <c r="J1668" s="4" t="n">
        <v>0</v>
      </c>
      <c r="K1668" s="4" t="n">
        <v>0</v>
      </c>
      <c r="M1668" s="2">
        <f>IF(C1668="","",IFERROR(INDEX($S$5:$S$304,MATCH(C1668,$R$5:$R$304,0))&amp;"","?"))</f>
        <v/>
      </c>
      <c r="N1668" s="2">
        <f>IF(E1668="","",IF(ISNUMBER(SEARCH("SUBSOLO",E1668)),IFERROR(-VALUE(LEFT(E1668,FIND("º",SUBSTITUTE(E1668,"°","º"))-1)),-1),IF(LEFT(E1668,6)="TÉRREO",0,IFERROR(VALUE(LEFT(E1668,FIND("º",SUBSTITUTE(E1668,"°","º"))-1)),""))))</f>
        <v/>
      </c>
      <c r="O1668" s="2">
        <f>IF(OR(F1668="",G1668=""),"",IF(G1668&lt;='RETRATO 2027'!$K$5,"CONCLUÍDA",IF(F1668&lt;='RETRATO 2027'!$K$5,"EM ANDAMENTO","A INICIAR")))</f>
        <v/>
      </c>
    </row>
    <row r="1669">
      <c r="B1669" s="4" t="n">
        <v>30214088</v>
      </c>
      <c r="C1669" s="4" t="inlineStr">
        <is>
          <t>FIAÇÃO TELECOM/DADOS</t>
        </is>
      </c>
      <c r="D1669" s="4" t="inlineStr">
        <is>
          <t>-</t>
        </is>
      </c>
      <c r="E1669" s="4" t="inlineStr">
        <is>
          <t>26º PAV.</t>
        </is>
      </c>
      <c r="F1669" s="126" t="n">
        <v>46906</v>
      </c>
      <c r="G1669" s="126" t="n">
        <v>46920</v>
      </c>
      <c r="H1669" s="126" t="n">
        <v>46289</v>
      </c>
      <c r="I1669" s="4" t="n">
        <v>0</v>
      </c>
      <c r="J1669" s="4" t="n">
        <v>0</v>
      </c>
      <c r="K1669" s="4" t="n">
        <v>0</v>
      </c>
      <c r="M1669" s="2">
        <f>IF(C1669="","",IFERROR(INDEX($S$5:$S$304,MATCH(C1669,$R$5:$R$304,0))&amp;"","?"))</f>
        <v/>
      </c>
      <c r="N1669" s="2">
        <f>IF(E1669="","",IF(ISNUMBER(SEARCH("SUBSOLO",E1669)),IFERROR(-VALUE(LEFT(E1669,FIND("º",SUBSTITUTE(E1669,"°","º"))-1)),-1),IF(LEFT(E1669,6)="TÉRREO",0,IFERROR(VALUE(LEFT(E1669,FIND("º",SUBSTITUTE(E1669,"°","º"))-1)),""))))</f>
        <v/>
      </c>
      <c r="O1669" s="2">
        <f>IF(OR(F1669="",G1669=""),"",IF(G1669&lt;='RETRATO 2027'!$K$5,"CONCLUÍDA",IF(F1669&lt;='RETRATO 2027'!$K$5,"EM ANDAMENTO","A INICIAR")))</f>
        <v/>
      </c>
    </row>
    <row r="1670">
      <c r="B1670" s="4" t="n">
        <v>29980793</v>
      </c>
      <c r="C1670" s="4" t="inlineStr">
        <is>
          <t>BANCADAS</t>
        </is>
      </c>
      <c r="D1670" s="4" t="inlineStr">
        <is>
          <t>-</t>
        </is>
      </c>
      <c r="E1670" s="4" t="inlineStr">
        <is>
          <t>27º PAV.</t>
        </is>
      </c>
      <c r="F1670" s="126" t="n">
        <v>46906</v>
      </c>
      <c r="G1670" s="126" t="n">
        <v>46918</v>
      </c>
      <c r="H1670" s="126" t="n">
        <v>46289</v>
      </c>
      <c r="I1670" s="4" t="n">
        <v>0</v>
      </c>
      <c r="J1670" s="4" t="n">
        <v>0</v>
      </c>
      <c r="K1670" s="4" t="n">
        <v>0</v>
      </c>
      <c r="M1670" s="2">
        <f>IF(C1670="","",IFERROR(INDEX($S$5:$S$304,MATCH(C1670,$R$5:$R$304,0))&amp;"","?"))</f>
        <v/>
      </c>
      <c r="N1670" s="2">
        <f>IF(E1670="","",IF(ISNUMBER(SEARCH("SUBSOLO",E1670)),IFERROR(-VALUE(LEFT(E1670,FIND("º",SUBSTITUTE(E1670,"°","º"))-1)),-1),IF(LEFT(E1670,6)="TÉRREO",0,IFERROR(VALUE(LEFT(E1670,FIND("º",SUBSTITUTE(E1670,"°","º"))-1)),""))))</f>
        <v/>
      </c>
      <c r="O1670" s="2">
        <f>IF(OR(F1670="",G1670=""),"",IF(G1670&lt;='RETRATO 2027'!$K$5,"CONCLUÍDA",IF(F1670&lt;='RETRATO 2027'!$K$5,"EM ANDAMENTO","A INICIAR")))</f>
        <v/>
      </c>
    </row>
    <row r="1671">
      <c r="B1671" s="4" t="n">
        <v>29980755</v>
      </c>
      <c r="C1671" s="4" t="inlineStr">
        <is>
          <t>REVESTIMENTOS PORCELANATO PISO</t>
        </is>
      </c>
      <c r="D1671" s="4" t="inlineStr">
        <is>
          <t>-</t>
        </is>
      </c>
      <c r="E1671" s="4" t="inlineStr">
        <is>
          <t>28º PAV.</t>
        </is>
      </c>
      <c r="F1671" s="126" t="n">
        <v>46906</v>
      </c>
      <c r="G1671" s="126" t="n">
        <v>46918</v>
      </c>
      <c r="H1671" s="126" t="n">
        <v>46289</v>
      </c>
      <c r="I1671" s="4" t="n">
        <v>0</v>
      </c>
      <c r="J1671" s="4" t="n">
        <v>0</v>
      </c>
      <c r="K1671" s="4" t="n">
        <v>0</v>
      </c>
      <c r="M1671" s="2">
        <f>IF(C1671="","",IFERROR(INDEX($S$5:$S$304,MATCH(C1671,$R$5:$R$304,0))&amp;"","?"))</f>
        <v/>
      </c>
      <c r="N1671" s="2">
        <f>IF(E1671="","",IF(ISNUMBER(SEARCH("SUBSOLO",E1671)),IFERROR(-VALUE(LEFT(E1671,FIND("º",SUBSTITUTE(E1671,"°","º"))-1)),-1),IF(LEFT(E1671,6)="TÉRREO",0,IFERROR(VALUE(LEFT(E1671,FIND("º",SUBSTITUTE(E1671,"°","º"))-1)),""))))</f>
        <v/>
      </c>
      <c r="O1671" s="2">
        <f>IF(OR(F1671="",G1671=""),"",IF(G1671&lt;='RETRATO 2027'!$K$5,"CONCLUÍDA",IF(F1671&lt;='RETRATO 2027'!$K$5,"EM ANDAMENTO","A INICIAR")))</f>
        <v/>
      </c>
    </row>
    <row r="1672">
      <c r="B1672" s="4" t="n">
        <v>29980734</v>
      </c>
      <c r="C1672" s="4" t="inlineStr">
        <is>
          <t>REVESTIMENTO PORCELANATO PAREDE</t>
        </is>
      </c>
      <c r="D1672" s="4" t="inlineStr">
        <is>
          <t>-</t>
        </is>
      </c>
      <c r="E1672" s="4" t="inlineStr">
        <is>
          <t>29º PAV.</t>
        </is>
      </c>
      <c r="F1672" s="126" t="n">
        <v>46906</v>
      </c>
      <c r="G1672" s="126" t="n">
        <v>46918</v>
      </c>
      <c r="H1672" s="126" t="n">
        <v>46289</v>
      </c>
      <c r="I1672" s="4" t="n">
        <v>0</v>
      </c>
      <c r="J1672" s="4" t="n">
        <v>0</v>
      </c>
      <c r="K1672" s="4" t="n">
        <v>0</v>
      </c>
      <c r="M1672" s="2">
        <f>IF(C1672="","",IFERROR(INDEX($S$5:$S$304,MATCH(C1672,$R$5:$R$304,0))&amp;"","?"))</f>
        <v/>
      </c>
      <c r="N1672" s="2">
        <f>IF(E1672="","",IF(ISNUMBER(SEARCH("SUBSOLO",E1672)),IFERROR(-VALUE(LEFT(E1672,FIND("º",SUBSTITUTE(E1672,"°","º"))-1)),-1),IF(LEFT(E1672,6)="TÉRREO",0,IFERROR(VALUE(LEFT(E1672,FIND("º",SUBSTITUTE(E1672,"°","º"))-1)),""))))</f>
        <v/>
      </c>
      <c r="O1672" s="2">
        <f>IF(OR(F1672="",G1672=""),"",IF(G1672&lt;='RETRATO 2027'!$K$5,"CONCLUÍDA",IF(F1672&lt;='RETRATO 2027'!$K$5,"EM ANDAMENTO","A INICIAR")))</f>
        <v/>
      </c>
    </row>
    <row r="1673">
      <c r="B1673" s="4" t="n">
        <v>29980695</v>
      </c>
      <c r="C1673" s="4" t="inlineStr">
        <is>
          <t>IMPERMEABILIZAÇÃO</t>
        </is>
      </c>
      <c r="D1673" s="4" t="inlineStr">
        <is>
          <t>-</t>
        </is>
      </c>
      <c r="E1673" s="4" t="inlineStr">
        <is>
          <t>30º PAV.</t>
        </is>
      </c>
      <c r="F1673" s="126" t="n">
        <v>46906</v>
      </c>
      <c r="G1673" s="126" t="n">
        <v>46918</v>
      </c>
      <c r="H1673" s="126" t="n">
        <v>46289</v>
      </c>
      <c r="I1673" s="4" t="n">
        <v>0</v>
      </c>
      <c r="J1673" s="4" t="n">
        <v>0</v>
      </c>
      <c r="K1673" s="4" t="n">
        <v>0</v>
      </c>
      <c r="M1673" s="2">
        <f>IF(C1673="","",IFERROR(INDEX($S$5:$S$304,MATCH(C1673,$R$5:$R$304,0))&amp;"","?"))</f>
        <v/>
      </c>
      <c r="N1673" s="2">
        <f>IF(E1673="","",IF(ISNUMBER(SEARCH("SUBSOLO",E1673)),IFERROR(-VALUE(LEFT(E1673,FIND("º",SUBSTITUTE(E1673,"°","º"))-1)),-1),IF(LEFT(E1673,6)="TÉRREO",0,IFERROR(VALUE(LEFT(E1673,FIND("º",SUBSTITUTE(E1673,"°","º"))-1)),""))))</f>
        <v/>
      </c>
      <c r="O1673" s="2">
        <f>IF(OR(F1673="",G1673=""),"",IF(G1673&lt;='RETRATO 2027'!$K$5,"CONCLUÍDA",IF(F1673&lt;='RETRATO 2027'!$K$5,"EM ANDAMENTO","A INICIAR")))</f>
        <v/>
      </c>
    </row>
    <row r="1674">
      <c r="B1674" s="4" t="n">
        <v>32750457</v>
      </c>
      <c r="C1674" s="4" t="inlineStr">
        <is>
          <t>DRYWALL 2º FACE</t>
        </is>
      </c>
      <c r="D1674" s="4" t="inlineStr">
        <is>
          <t>-</t>
        </is>
      </c>
      <c r="E1674" s="4" t="inlineStr">
        <is>
          <t>31º PAV. - COBERTURA LINEAR</t>
        </is>
      </c>
      <c r="F1674" s="126" t="n">
        <v>46906</v>
      </c>
      <c r="G1674" s="126" t="n">
        <v>46918</v>
      </c>
      <c r="H1674" s="126" t="n">
        <v>46289</v>
      </c>
      <c r="I1674" s="4" t="n">
        <v>0</v>
      </c>
      <c r="J1674" s="4" t="n">
        <v>0</v>
      </c>
      <c r="K1674" s="4" t="n">
        <v>0</v>
      </c>
      <c r="M1674" s="2">
        <f>IF(C1674="","",IFERROR(INDEX($S$5:$S$304,MATCH(C1674,$R$5:$R$304,0))&amp;"","?"))</f>
        <v/>
      </c>
      <c r="N1674" s="2">
        <f>IF(E1674="","",IF(ISNUMBER(SEARCH("SUBSOLO",E1674)),IFERROR(-VALUE(LEFT(E1674,FIND("º",SUBSTITUTE(E1674,"°","º"))-1)),-1),IF(LEFT(E1674,6)="TÉRREO",0,IFERROR(VALUE(LEFT(E1674,FIND("º",SUBSTITUTE(E1674,"°","º"))-1)),""))))</f>
        <v/>
      </c>
      <c r="O1674" s="2">
        <f>IF(OR(F1674="",G1674=""),"",IF(G1674&lt;='RETRATO 2027'!$K$5,"CONCLUÍDA",IF(F1674&lt;='RETRATO 2027'!$K$5,"EM ANDAMENTO","A INICIAR")))</f>
        <v/>
      </c>
    </row>
    <row r="1675">
      <c r="B1675" s="4" t="n">
        <v>32750380</v>
      </c>
      <c r="C1675" s="4" t="inlineStr">
        <is>
          <t>DISTRIBUIÇÃO DE GÁS - DRYWALL</t>
        </is>
      </c>
      <c r="D1675" s="4" t="inlineStr">
        <is>
          <t>-</t>
        </is>
      </c>
      <c r="E1675" s="4" t="inlineStr">
        <is>
          <t>32º PAV - COBERTURA GERAL</t>
        </is>
      </c>
      <c r="F1675" s="126" t="n">
        <v>46906</v>
      </c>
      <c r="G1675" s="126" t="n">
        <v>46918</v>
      </c>
      <c r="H1675" s="126" t="n">
        <v>46289</v>
      </c>
      <c r="I1675" s="4" t="n">
        <v>0</v>
      </c>
      <c r="J1675" s="4" t="n">
        <v>0</v>
      </c>
      <c r="K1675" s="4" t="n">
        <v>0</v>
      </c>
      <c r="M1675" s="2">
        <f>IF(C1675="","",IFERROR(INDEX($S$5:$S$304,MATCH(C1675,$R$5:$R$304,0))&amp;"","?"))</f>
        <v/>
      </c>
      <c r="N1675" s="2">
        <f>IF(E1675="","",IF(ISNUMBER(SEARCH("SUBSOLO",E1675)),IFERROR(-VALUE(LEFT(E1675,FIND("º",SUBSTITUTE(E1675,"°","º"))-1)),-1),IF(LEFT(E1675,6)="TÉRREO",0,IFERROR(VALUE(LEFT(E1675,FIND("º",SUBSTITUTE(E1675,"°","º"))-1)),""))))</f>
        <v/>
      </c>
      <c r="O1675" s="2">
        <f>IF(OR(F1675="",G1675=""),"",IF(G1675&lt;='RETRATO 2027'!$K$5,"CONCLUÍDA",IF(F1675&lt;='RETRATO 2027'!$K$5,"EM ANDAMENTO","A INICIAR")))</f>
        <v/>
      </c>
    </row>
    <row r="1676">
      <c r="B1676" s="4" t="n">
        <v>32750406</v>
      </c>
      <c r="C1676" s="4" t="inlineStr">
        <is>
          <t>DISTRIBUIÇÃO ELÉTRICA/QUADRO - DRYWALL</t>
        </is>
      </c>
      <c r="D1676" s="4" t="inlineStr">
        <is>
          <t>-</t>
        </is>
      </c>
      <c r="E1676" s="4" t="inlineStr">
        <is>
          <t>32º PAV - COBERTURA GERAL</t>
        </is>
      </c>
      <c r="F1676" s="126" t="n">
        <v>46906</v>
      </c>
      <c r="G1676" s="126" t="n">
        <v>46918</v>
      </c>
      <c r="H1676" s="126" t="n">
        <v>46289</v>
      </c>
      <c r="I1676" s="4" t="n">
        <v>0</v>
      </c>
      <c r="J1676" s="4" t="n">
        <v>0</v>
      </c>
      <c r="K1676" s="4" t="n">
        <v>0</v>
      </c>
      <c r="M1676" s="2">
        <f>IF(C1676="","",IFERROR(INDEX($S$5:$S$304,MATCH(C1676,$R$5:$R$304,0))&amp;"","?"))</f>
        <v/>
      </c>
      <c r="N1676" s="2">
        <f>IF(E1676="","",IF(ISNUMBER(SEARCH("SUBSOLO",E1676)),IFERROR(-VALUE(LEFT(E1676,FIND("º",SUBSTITUTE(E1676,"°","º"))-1)),-1),IF(LEFT(E1676,6)="TÉRREO",0,IFERROR(VALUE(LEFT(E1676,FIND("º",SUBSTITUTE(E1676,"°","º"))-1)),""))))</f>
        <v/>
      </c>
      <c r="O1676" s="2">
        <f>IF(OR(F1676="",G1676=""),"",IF(G1676&lt;='RETRATO 2027'!$K$5,"CONCLUÍDA",IF(F1676&lt;='RETRATO 2027'!$K$5,"EM ANDAMENTO","A INICIAR")))</f>
        <v/>
      </c>
    </row>
    <row r="1677">
      <c r="B1677" s="4" t="n">
        <v>32750432</v>
      </c>
      <c r="C1677" s="4" t="inlineStr">
        <is>
          <t>DISTRIBUIÇÃO HIDRÁULICA - DRYWALL</t>
        </is>
      </c>
      <c r="D1677" s="4" t="inlineStr">
        <is>
          <t>-</t>
        </is>
      </c>
      <c r="E1677" s="4" t="inlineStr">
        <is>
          <t>32º PAV - COBERTURA GERAL</t>
        </is>
      </c>
      <c r="F1677" s="126" t="n">
        <v>46906</v>
      </c>
      <c r="G1677" s="126" t="n">
        <v>46918</v>
      </c>
      <c r="H1677" s="126" t="n">
        <v>46289</v>
      </c>
      <c r="I1677" s="4" t="n">
        <v>0</v>
      </c>
      <c r="J1677" s="4" t="n">
        <v>0</v>
      </c>
      <c r="K1677" s="4" t="n">
        <v>0</v>
      </c>
      <c r="M1677" s="2">
        <f>IF(C1677="","",IFERROR(INDEX($S$5:$S$304,MATCH(C1677,$R$5:$R$304,0))&amp;"","?"))</f>
        <v/>
      </c>
      <c r="N1677" s="2">
        <f>IF(E1677="","",IF(ISNUMBER(SEARCH("SUBSOLO",E1677)),IFERROR(-VALUE(LEFT(E1677,FIND("º",SUBSTITUTE(E1677,"°","º"))-1)),-1),IF(LEFT(E1677,6)="TÉRREO",0,IFERROR(VALUE(LEFT(E1677,FIND("º",SUBSTITUTE(E1677,"°","º"))-1)),""))))</f>
        <v/>
      </c>
      <c r="O1677" s="2">
        <f>IF(OR(F1677="",G1677=""),"",IF(G1677&lt;='RETRATO 2027'!$K$5,"CONCLUÍDA",IF(F1677&lt;='RETRATO 2027'!$K$5,"EM ANDAMENTO","A INICIAR")))</f>
        <v/>
      </c>
    </row>
    <row r="1678">
      <c r="B1678" s="4" t="n">
        <v>33896850</v>
      </c>
      <c r="C1678" s="4" t="inlineStr">
        <is>
          <t>INFRAESTRUTURA - AR CONDICIONADO</t>
        </is>
      </c>
      <c r="D1678" s="4" t="inlineStr">
        <is>
          <t>-</t>
        </is>
      </c>
      <c r="E1678" s="4" t="inlineStr">
        <is>
          <t>32º PAV - COBERTURA GERAL</t>
        </is>
      </c>
      <c r="F1678" s="126" t="n">
        <v>46906</v>
      </c>
      <c r="G1678" s="126" t="n">
        <v>46918</v>
      </c>
      <c r="H1678" s="126" t="n">
        <v>46289</v>
      </c>
      <c r="I1678" s="4" t="n">
        <v>0</v>
      </c>
      <c r="J1678" s="4" t="n">
        <v>0</v>
      </c>
      <c r="K1678" s="4" t="n">
        <v>0</v>
      </c>
      <c r="M1678" s="2">
        <f>IF(C1678="","",IFERROR(INDEX($S$5:$S$304,MATCH(C1678,$R$5:$R$304,0))&amp;"","?"))</f>
        <v/>
      </c>
      <c r="N1678" s="2">
        <f>IF(E1678="","",IF(ISNUMBER(SEARCH("SUBSOLO",E1678)),IFERROR(-VALUE(LEFT(E1678,FIND("º",SUBSTITUTE(E1678,"°","º"))-1)),-1),IF(LEFT(E1678,6)="TÉRREO",0,IFERROR(VALUE(LEFT(E1678,FIND("º",SUBSTITUTE(E1678,"°","º"))-1)),""))))</f>
        <v/>
      </c>
      <c r="O1678" s="2">
        <f>IF(OR(F1678="",G1678=""),"",IF(G1678&lt;='RETRATO 2027'!$K$5,"CONCLUÍDA",IF(F1678&lt;='RETRATO 2027'!$K$5,"EM ANDAMENTO","A INICIAR")))</f>
        <v/>
      </c>
    </row>
    <row r="1679">
      <c r="B1679" s="4" t="n">
        <v>30205705</v>
      </c>
      <c r="C1679" s="4" t="inlineStr">
        <is>
          <t>LIMPEZA FINA</t>
        </is>
      </c>
      <c r="D1679" s="4" t="inlineStr">
        <is>
          <t>-</t>
        </is>
      </c>
      <c r="E1679" s="4" t="inlineStr">
        <is>
          <t>TÉRREO - LOJA 1</t>
        </is>
      </c>
      <c r="F1679" s="126" t="n">
        <v>46909</v>
      </c>
      <c r="G1679" s="126" t="n">
        <v>46923</v>
      </c>
      <c r="H1679" s="126" t="n">
        <v>46289</v>
      </c>
      <c r="I1679" s="4" t="n">
        <v>0</v>
      </c>
      <c r="J1679" s="4" t="n">
        <v>0</v>
      </c>
      <c r="K1679" s="4" t="n">
        <v>0</v>
      </c>
      <c r="M1679" s="2">
        <f>IF(C1679="","",IFERROR(INDEX($S$5:$S$304,MATCH(C1679,$R$5:$R$304,0))&amp;"","?"))</f>
        <v/>
      </c>
      <c r="N1679" s="2">
        <f>IF(E1679="","",IF(ISNUMBER(SEARCH("SUBSOLO",E1679)),IFERROR(-VALUE(LEFT(E1679,FIND("º",SUBSTITUTE(E1679,"°","º"))-1)),-1),IF(LEFT(E1679,6)="TÉRREO",0,IFERROR(VALUE(LEFT(E1679,FIND("º",SUBSTITUTE(E1679,"°","º"))-1)),""))))</f>
        <v/>
      </c>
      <c r="O1679" s="2">
        <f>IF(OR(F1679="",G1679=""),"",IF(G1679&lt;='RETRATO 2027'!$K$5,"CONCLUÍDA",IF(F1679&lt;='RETRATO 2027'!$K$5,"EM ANDAMENTO","A INICIAR")))</f>
        <v/>
      </c>
    </row>
    <row r="1680">
      <c r="B1680" s="4" t="n">
        <v>30205668</v>
      </c>
      <c r="C1680" s="4" t="inlineStr">
        <is>
          <t>ACABAMENTOS ELÉTRICOS</t>
        </is>
      </c>
      <c r="D1680" s="4" t="inlineStr">
        <is>
          <t>-</t>
        </is>
      </c>
      <c r="E1680" s="4" t="inlineStr">
        <is>
          <t>TÉRREO - LOJA 2</t>
        </is>
      </c>
      <c r="F1680" s="126" t="n">
        <v>46909</v>
      </c>
      <c r="G1680" s="126" t="n">
        <v>46923</v>
      </c>
      <c r="H1680" s="126" t="n">
        <v>46289</v>
      </c>
      <c r="I1680" s="4" t="n">
        <v>0</v>
      </c>
      <c r="J1680" s="4" t="n">
        <v>0</v>
      </c>
      <c r="K1680" s="4" t="n">
        <v>0</v>
      </c>
      <c r="M1680" s="2">
        <f>IF(C1680="","",IFERROR(INDEX($S$5:$S$304,MATCH(C1680,$R$5:$R$304,0))&amp;"","?"))</f>
        <v/>
      </c>
      <c r="N1680" s="2">
        <f>IF(E1680="","",IF(ISNUMBER(SEARCH("SUBSOLO",E1680)),IFERROR(-VALUE(LEFT(E1680,FIND("º",SUBSTITUTE(E1680,"°","º"))-1)),-1),IF(LEFT(E1680,6)="TÉRREO",0,IFERROR(VALUE(LEFT(E1680,FIND("º",SUBSTITUTE(E1680,"°","º"))-1)),""))))</f>
        <v/>
      </c>
      <c r="O1680" s="2">
        <f>IF(OR(F1680="",G1680=""),"",IF(G1680&lt;='RETRATO 2027'!$K$5,"CONCLUÍDA",IF(F1680&lt;='RETRATO 2027'!$K$5,"EM ANDAMENTO","A INICIAR")))</f>
        <v/>
      </c>
    </row>
    <row r="1681">
      <c r="B1681" s="4" t="n">
        <v>30205640</v>
      </c>
      <c r="C1681" s="4" t="inlineStr">
        <is>
          <t>PINTURA 2º DEMÃO</t>
        </is>
      </c>
      <c r="D1681" s="4" t="inlineStr">
        <is>
          <t>-</t>
        </is>
      </c>
      <c r="E1681" s="4" t="inlineStr">
        <is>
          <t>TÉRREO - LOJA 3</t>
        </is>
      </c>
      <c r="F1681" s="126" t="n">
        <v>46909</v>
      </c>
      <c r="G1681" s="126" t="n">
        <v>46923</v>
      </c>
      <c r="H1681" s="126" t="n">
        <v>46289</v>
      </c>
      <c r="I1681" s="4" t="n">
        <v>0</v>
      </c>
      <c r="J1681" s="4" t="n">
        <v>0</v>
      </c>
      <c r="K1681" s="4" t="n">
        <v>0</v>
      </c>
      <c r="M1681" s="2">
        <f>IF(C1681="","",IFERROR(INDEX($S$5:$S$304,MATCH(C1681,$R$5:$R$304,0))&amp;"","?"))</f>
        <v/>
      </c>
      <c r="N1681" s="2">
        <f>IF(E1681="","",IF(ISNUMBER(SEARCH("SUBSOLO",E1681)),IFERROR(-VALUE(LEFT(E1681,FIND("º",SUBSTITUTE(E1681,"°","º"))-1)),-1),IF(LEFT(E1681,6)="TÉRREO",0,IFERROR(VALUE(LEFT(E1681,FIND("º",SUBSTITUTE(E1681,"°","º"))-1)),""))))</f>
        <v/>
      </c>
      <c r="O1681" s="2">
        <f>IF(OR(F1681="",G1681=""),"",IF(G1681&lt;='RETRATO 2027'!$K$5,"CONCLUÍDA",IF(F1681&lt;='RETRATO 2027'!$K$5,"EM ANDAMENTO","A INICIAR")))</f>
        <v/>
      </c>
    </row>
    <row r="1682">
      <c r="B1682" s="4" t="n">
        <v>30205626</v>
      </c>
      <c r="C1682" s="4" t="inlineStr">
        <is>
          <t>LIMPEZA GROSSA</t>
        </is>
      </c>
      <c r="D1682" s="4" t="inlineStr">
        <is>
          <t>-</t>
        </is>
      </c>
      <c r="E1682" s="4" t="inlineStr">
        <is>
          <t>TÉRREO - LOJA 4</t>
        </is>
      </c>
      <c r="F1682" s="126" t="n">
        <v>46909</v>
      </c>
      <c r="G1682" s="126" t="n">
        <v>46923</v>
      </c>
      <c r="H1682" s="126" t="n">
        <v>46289</v>
      </c>
      <c r="I1682" s="4" t="n">
        <v>0</v>
      </c>
      <c r="J1682" s="4" t="n">
        <v>0</v>
      </c>
      <c r="K1682" s="4" t="n">
        <v>0</v>
      </c>
      <c r="M1682" s="2">
        <f>IF(C1682="","",IFERROR(INDEX($S$5:$S$304,MATCH(C1682,$R$5:$R$304,0))&amp;"","?"))</f>
        <v/>
      </c>
      <c r="N1682" s="2">
        <f>IF(E1682="","",IF(ISNUMBER(SEARCH("SUBSOLO",E1682)),IFERROR(-VALUE(LEFT(E1682,FIND("º",SUBSTITUTE(E1682,"°","º"))-1)),-1),IF(LEFT(E1682,6)="TÉRREO",0,IFERROR(VALUE(LEFT(E1682,FIND("º",SUBSTITUTE(E1682,"°","º"))-1)),""))))</f>
        <v/>
      </c>
      <c r="O1682" s="2">
        <f>IF(OR(F1682="",G1682=""),"",IF(G1682&lt;='RETRATO 2027'!$K$5,"CONCLUÍDA",IF(F1682&lt;='RETRATO 2027'!$K$5,"EM ANDAMENTO","A INICIAR")))</f>
        <v/>
      </c>
    </row>
    <row r="1683">
      <c r="B1683" s="4" t="n">
        <v>29981079</v>
      </c>
      <c r="C1683" s="4" t="inlineStr">
        <is>
          <t>REBOCO INTERNO</t>
        </is>
      </c>
      <c r="D1683" s="4" t="inlineStr">
        <is>
          <t>-</t>
        </is>
      </c>
      <c r="E1683" s="4" t="inlineStr">
        <is>
          <t>19º PAV.</t>
        </is>
      </c>
      <c r="F1683" s="126" t="n">
        <v>46909</v>
      </c>
      <c r="G1683" s="126" t="n">
        <v>46920</v>
      </c>
      <c r="H1683" s="126" t="n">
        <v>46289</v>
      </c>
      <c r="I1683" s="4" t="n">
        <v>0</v>
      </c>
      <c r="J1683" s="4" t="n">
        <v>0</v>
      </c>
      <c r="K1683" s="4" t="n">
        <v>0</v>
      </c>
      <c r="M1683" s="2">
        <f>IF(C1683="","",IFERROR(INDEX($S$5:$S$304,MATCH(C1683,$R$5:$R$304,0))&amp;"","?"))</f>
        <v/>
      </c>
      <c r="N1683" s="2">
        <f>IF(E1683="","",IF(ISNUMBER(SEARCH("SUBSOLO",E1683)),IFERROR(-VALUE(LEFT(E1683,FIND("º",SUBSTITUTE(E1683,"°","º"))-1)),-1),IF(LEFT(E1683,6)="TÉRREO",0,IFERROR(VALUE(LEFT(E1683,FIND("º",SUBSTITUTE(E1683,"°","º"))-1)),""))))</f>
        <v/>
      </c>
      <c r="O1683" s="2">
        <f>IF(OR(F1683="",G1683=""),"",IF(G1683&lt;='RETRATO 2027'!$K$5,"CONCLUÍDA",IF(F1683&lt;='RETRATO 2027'!$K$5,"EM ANDAMENTO","A INICIAR")))</f>
        <v/>
      </c>
    </row>
    <row r="1684">
      <c r="B1684" s="4" t="n">
        <v>30205791</v>
      </c>
      <c r="C1684" s="4" t="inlineStr">
        <is>
          <t>PINTURA 1º DEMÃO</t>
        </is>
      </c>
      <c r="D1684" s="4" t="inlineStr">
        <is>
          <t>-</t>
        </is>
      </c>
      <c r="E1684" s="4" t="inlineStr">
        <is>
          <t>TÉRREO - ACESSO COMERCIAL + DML + ARS + ÁREA TEC + LAVABO + DISPENSA</t>
        </is>
      </c>
      <c r="F1684" s="126" t="n">
        <v>46911</v>
      </c>
      <c r="G1684" s="126" t="n">
        <v>46932</v>
      </c>
      <c r="H1684" s="126" t="n">
        <v>46289</v>
      </c>
      <c r="I1684" s="4" t="n">
        <v>0</v>
      </c>
      <c r="J1684" s="4" t="n">
        <v>0</v>
      </c>
      <c r="K1684" s="4" t="n">
        <v>0</v>
      </c>
      <c r="M1684" s="2">
        <f>IF(C1684="","",IFERROR(INDEX($S$5:$S$304,MATCH(C1684,$R$5:$R$304,0))&amp;"","?"))</f>
        <v/>
      </c>
      <c r="N1684" s="2">
        <f>IF(E1684="","",IF(ISNUMBER(SEARCH("SUBSOLO",E1684)),IFERROR(-VALUE(LEFT(E1684,FIND("º",SUBSTITUTE(E1684,"°","º"))-1)),-1),IF(LEFT(E1684,6)="TÉRREO",0,IFERROR(VALUE(LEFT(E1684,FIND("º",SUBSTITUTE(E1684,"°","º"))-1)),""))))</f>
        <v/>
      </c>
      <c r="O1684" s="2">
        <f>IF(OR(F1684="",G1684=""),"",IF(G1684&lt;='RETRATO 2027'!$K$5,"CONCLUÍDA",IF(F1684&lt;='RETRATO 2027'!$K$5,"EM ANDAMENTO","A INICIAR")))</f>
        <v/>
      </c>
    </row>
    <row r="1685">
      <c r="B1685" s="4" t="n">
        <v>30205817</v>
      </c>
      <c r="C1685" s="4" t="inlineStr">
        <is>
          <t>ESQUADRIA DE ALUMÍNIO</t>
        </is>
      </c>
      <c r="D1685" s="4" t="inlineStr">
        <is>
          <t>-</t>
        </is>
      </c>
      <c r="E1685" s="4" t="inlineStr">
        <is>
          <t>TÉRREO - HALL SOCIAL + ECLUSA + CIRCULAÇÃO</t>
        </is>
      </c>
      <c r="F1685" s="126" t="n">
        <v>46911</v>
      </c>
      <c r="G1685" s="126" t="n">
        <v>46925</v>
      </c>
      <c r="H1685" s="126" t="n">
        <v>46289</v>
      </c>
      <c r="I1685" s="4" t="n">
        <v>0</v>
      </c>
      <c r="J1685" s="4" t="n">
        <v>0</v>
      </c>
      <c r="K1685" s="4" t="n">
        <v>0</v>
      </c>
      <c r="M1685" s="2">
        <f>IF(C1685="","",IFERROR(INDEX($S$5:$S$304,MATCH(C1685,$R$5:$R$304,0))&amp;"","?"))</f>
        <v/>
      </c>
      <c r="N1685" s="2">
        <f>IF(E1685="","",IF(ISNUMBER(SEARCH("SUBSOLO",E1685)),IFERROR(-VALUE(LEFT(E1685,FIND("º",SUBSTITUTE(E1685,"°","º"))-1)),-1),IF(LEFT(E1685,6)="TÉRREO",0,IFERROR(VALUE(LEFT(E1685,FIND("º",SUBSTITUTE(E1685,"°","º"))-1)),""))))</f>
        <v/>
      </c>
      <c r="O1685" s="2">
        <f>IF(OR(F1685="",G1685=""),"",IF(G1685&lt;='RETRATO 2027'!$K$5,"CONCLUÍDA",IF(F1685&lt;='RETRATO 2027'!$K$5,"EM ANDAMENTO","A INICIAR")))</f>
        <v/>
      </c>
    </row>
    <row r="1686">
      <c r="B1686" s="4" t="n">
        <v>34179698</v>
      </c>
      <c r="C1686" s="4" t="inlineStr">
        <is>
          <t>IRRIGAÇÃO</t>
        </is>
      </c>
      <c r="D1686" s="4" t="inlineStr">
        <is>
          <t>-</t>
        </is>
      </c>
      <c r="E1686" s="4" t="inlineStr">
        <is>
          <t>TÉRREO ÁREA EXTERNA - COMERCIAL</t>
        </is>
      </c>
      <c r="F1686" s="126" t="n">
        <v>46912</v>
      </c>
      <c r="G1686" s="126" t="n">
        <v>46944</v>
      </c>
      <c r="H1686" s="126" t="n">
        <v>46289</v>
      </c>
      <c r="I1686" s="4" t="n">
        <v>0</v>
      </c>
      <c r="J1686" s="4" t="n">
        <v>0</v>
      </c>
      <c r="K1686" s="4" t="n">
        <v>0</v>
      </c>
      <c r="M1686" s="2">
        <f>IF(C1686="","",IFERROR(INDEX($S$5:$S$304,MATCH(C1686,$R$5:$R$304,0))&amp;"","?"))</f>
        <v/>
      </c>
      <c r="N1686" s="2">
        <f>IF(E1686="","",IF(ISNUMBER(SEARCH("SUBSOLO",E1686)),IFERROR(-VALUE(LEFT(E1686,FIND("º",SUBSTITUTE(E1686,"°","º"))-1)),-1),IF(LEFT(E1686,6)="TÉRREO",0,IFERROR(VALUE(LEFT(E1686,FIND("º",SUBSTITUTE(E1686,"°","º"))-1)),""))))</f>
        <v/>
      </c>
      <c r="O1686" s="2">
        <f>IF(OR(F1686="",G1686=""),"",IF(G1686&lt;='RETRATO 2027'!$K$5,"CONCLUÍDA",IF(F1686&lt;='RETRATO 2027'!$K$5,"EM ANDAMENTO","A INICIAR")))</f>
        <v/>
      </c>
    </row>
    <row r="1687">
      <c r="B1687" s="4" t="n">
        <v>29981476</v>
      </c>
      <c r="C1687" s="4" t="inlineStr">
        <is>
          <t>LIMPEZA FINA</t>
        </is>
      </c>
      <c r="D1687" s="4" t="inlineStr">
        <is>
          <t>-</t>
        </is>
      </c>
      <c r="E1687" s="4" t="inlineStr">
        <is>
          <t>9º PAV.</t>
        </is>
      </c>
      <c r="F1687" s="126" t="n">
        <v>46912</v>
      </c>
      <c r="G1687" s="126" t="n">
        <v>46925</v>
      </c>
      <c r="H1687" s="126" t="n">
        <v>46289</v>
      </c>
      <c r="I1687" s="4" t="n">
        <v>0</v>
      </c>
      <c r="J1687" s="4" t="n">
        <v>0</v>
      </c>
      <c r="K1687" s="4" t="n">
        <v>0</v>
      </c>
      <c r="M1687" s="2">
        <f>IF(C1687="","",IFERROR(INDEX($S$5:$S$304,MATCH(C1687,$R$5:$R$304,0))&amp;"","?"))</f>
        <v/>
      </c>
      <c r="N1687" s="2">
        <f>IF(E1687="","",IF(ISNUMBER(SEARCH("SUBSOLO",E1687)),IFERROR(-VALUE(LEFT(E1687,FIND("º",SUBSTITUTE(E1687,"°","º"))-1)),-1),IF(LEFT(E1687,6)="TÉRREO",0,IFERROR(VALUE(LEFT(E1687,FIND("º",SUBSTITUTE(E1687,"°","º"))-1)),""))))</f>
        <v/>
      </c>
      <c r="O1687" s="2">
        <f>IF(OR(F1687="",G1687=""),"",IF(G1687&lt;='RETRATO 2027'!$K$5,"CONCLUÍDA",IF(F1687&lt;='RETRATO 2027'!$K$5,"EM ANDAMENTO","A INICIAR")))</f>
        <v/>
      </c>
    </row>
    <row r="1688">
      <c r="B1688" s="4" t="n">
        <v>29981429</v>
      </c>
      <c r="C1688" s="4" t="inlineStr">
        <is>
          <t>PINTURA 3º DEMÃO</t>
        </is>
      </c>
      <c r="D1688" s="4" t="inlineStr">
        <is>
          <t>-</t>
        </is>
      </c>
      <c r="E1688" s="4" t="inlineStr">
        <is>
          <t>10º PAV.</t>
        </is>
      </c>
      <c r="F1688" s="126" t="n">
        <v>46912</v>
      </c>
      <c r="G1688" s="126" t="n">
        <v>46925</v>
      </c>
      <c r="H1688" s="126" t="n">
        <v>46289</v>
      </c>
      <c r="I1688" s="4" t="n">
        <v>0</v>
      </c>
      <c r="J1688" s="4" t="n">
        <v>0</v>
      </c>
      <c r="K1688" s="4" t="n">
        <v>0</v>
      </c>
      <c r="M1688" s="2">
        <f>IF(C1688="","",IFERROR(INDEX($S$5:$S$304,MATCH(C1688,$R$5:$R$304,0))&amp;"","?"))</f>
        <v/>
      </c>
      <c r="N1688" s="2">
        <f>IF(E1688="","",IF(ISNUMBER(SEARCH("SUBSOLO",E1688)),IFERROR(-VALUE(LEFT(E1688,FIND("º",SUBSTITUTE(E1688,"°","º"))-1)),-1),IF(LEFT(E1688,6)="TÉRREO",0,IFERROR(VALUE(LEFT(E1688,FIND("º",SUBSTITUTE(E1688,"°","º"))-1)),""))))</f>
        <v/>
      </c>
      <c r="O1688" s="2">
        <f>IF(OR(F1688="",G1688=""),"",IF(G1688&lt;='RETRATO 2027'!$K$5,"CONCLUÍDA",IF(F1688&lt;='RETRATO 2027'!$K$5,"EM ANDAMENTO","A INICIAR")))</f>
        <v/>
      </c>
    </row>
    <row r="1689">
      <c r="B1689" s="4" t="n">
        <v>31791086</v>
      </c>
      <c r="C1689" s="4" t="inlineStr">
        <is>
          <t>FACHADA AERADA - F5 (2º ETAPA)</t>
        </is>
      </c>
      <c r="D1689" s="4" t="inlineStr">
        <is>
          <t>-</t>
        </is>
      </c>
      <c r="E1689" s="4" t="inlineStr">
        <is>
          <t>FACHADA</t>
        </is>
      </c>
      <c r="F1689" s="126" t="n">
        <v>46912</v>
      </c>
      <c r="G1689" s="126" t="n">
        <v>46961</v>
      </c>
      <c r="H1689" s="126" t="n">
        <v>46289</v>
      </c>
      <c r="I1689" s="4" t="n">
        <v>0</v>
      </c>
      <c r="J1689" s="4" t="n">
        <v>0</v>
      </c>
      <c r="K1689" s="4" t="n">
        <v>0</v>
      </c>
      <c r="M1689" s="2">
        <f>IF(C1689="","",IFERROR(INDEX($S$5:$S$304,MATCH(C1689,$R$5:$R$304,0))&amp;"","?"))</f>
        <v/>
      </c>
      <c r="N1689" s="2">
        <f>IF(E1689="","",IF(ISNUMBER(SEARCH("SUBSOLO",E1689)),IFERROR(-VALUE(LEFT(E1689,FIND("º",SUBSTITUTE(E1689,"°","º"))-1)),-1),IF(LEFT(E1689,6)="TÉRREO",0,IFERROR(VALUE(LEFT(E1689,FIND("º",SUBSTITUTE(E1689,"°","º"))-1)),""))))</f>
        <v/>
      </c>
      <c r="O1689" s="2">
        <f>IF(OR(F1689="",G1689=""),"",IF(G1689&lt;='RETRATO 2027'!$K$5,"CONCLUÍDA",IF(F1689&lt;='RETRATO 2027'!$K$5,"EM ANDAMENTO","A INICIAR")))</f>
        <v/>
      </c>
    </row>
    <row r="1690">
      <c r="B1690" s="4" t="n">
        <v>30205723</v>
      </c>
      <c r="C1690" s="4" t="inlineStr">
        <is>
          <t>TEXTURA - 2º E 3º DEMÃO</t>
        </is>
      </c>
      <c r="D1690" s="4" t="inlineStr">
        <is>
          <t>-</t>
        </is>
      </c>
      <c r="E1690" s="4" t="inlineStr">
        <is>
          <t>SUBSOLO</t>
        </is>
      </c>
      <c r="F1690" s="126" t="n">
        <v>46913</v>
      </c>
      <c r="G1690" s="126" t="n">
        <v>46927</v>
      </c>
      <c r="H1690" s="126" t="n">
        <v>46289</v>
      </c>
      <c r="I1690" s="4" t="n">
        <v>0</v>
      </c>
      <c r="J1690" s="4" t="n">
        <v>0</v>
      </c>
      <c r="K1690" s="4" t="n">
        <v>0</v>
      </c>
      <c r="M1690" s="2">
        <f>IF(C1690="","",IFERROR(INDEX($S$5:$S$304,MATCH(C1690,$R$5:$R$304,0))&amp;"","?"))</f>
        <v/>
      </c>
      <c r="N1690" s="2">
        <f>IF(E1690="","",IF(ISNUMBER(SEARCH("SUBSOLO",E1690)),IFERROR(-VALUE(LEFT(E1690,FIND("º",SUBSTITUTE(E1690,"°","º"))-1)),-1),IF(LEFT(E1690,6)="TÉRREO",0,IFERROR(VALUE(LEFT(E1690,FIND("º",SUBSTITUTE(E1690,"°","º"))-1)),""))))</f>
        <v/>
      </c>
      <c r="O1690" s="2">
        <f>IF(OR(F1690="",G1690=""),"",IF(G1690&lt;='RETRATO 2027'!$K$5,"CONCLUÍDA",IF(F1690&lt;='RETRATO 2027'!$K$5,"EM ANDAMENTO","A INICIAR")))</f>
        <v/>
      </c>
    </row>
    <row r="1691">
      <c r="B1691" s="4" t="n">
        <v>30205580</v>
      </c>
      <c r="C1691" s="4" t="inlineStr">
        <is>
          <t>DISJUNTORES / MIOLOS</t>
        </is>
      </c>
      <c r="D1691" s="4" t="inlineStr">
        <is>
          <t>-</t>
        </is>
      </c>
      <c r="E1691" s="4" t="inlineStr">
        <is>
          <t>TÉRREO - LOJA 5</t>
        </is>
      </c>
      <c r="F1691" s="126" t="n">
        <v>46916</v>
      </c>
      <c r="G1691" s="126" t="n">
        <v>46923</v>
      </c>
      <c r="H1691" s="126" t="n">
        <v>46289</v>
      </c>
      <c r="I1691" s="4" t="n">
        <v>0</v>
      </c>
      <c r="J1691" s="4" t="n">
        <v>0</v>
      </c>
      <c r="K1691" s="4" t="n">
        <v>0</v>
      </c>
      <c r="M1691" s="2">
        <f>IF(C1691="","",IFERROR(INDEX($S$5:$S$304,MATCH(C1691,$R$5:$R$304,0))&amp;"","?"))</f>
        <v/>
      </c>
      <c r="N1691" s="2">
        <f>IF(E1691="","",IF(ISNUMBER(SEARCH("SUBSOLO",E1691)),IFERROR(-VALUE(LEFT(E1691,FIND("º",SUBSTITUTE(E1691,"°","º"))-1)),-1),IF(LEFT(E1691,6)="TÉRREO",0,IFERROR(VALUE(LEFT(E1691,FIND("º",SUBSTITUTE(E1691,"°","º"))-1)),""))))</f>
        <v/>
      </c>
      <c r="O1691" s="2">
        <f>IF(OR(F1691="",G1691=""),"",IF(G1691&lt;='RETRATO 2027'!$K$5,"CONCLUÍDA",IF(F1691&lt;='RETRATO 2027'!$K$5,"EM ANDAMENTO","A INICIAR")))</f>
        <v/>
      </c>
    </row>
    <row r="1692">
      <c r="B1692" s="4" t="n">
        <v>30205555</v>
      </c>
      <c r="C1692" s="4" t="inlineStr">
        <is>
          <t>ESQUADRIA MADEIRA</t>
        </is>
      </c>
      <c r="D1692" s="4" t="inlineStr">
        <is>
          <t>-</t>
        </is>
      </c>
      <c r="E1692" s="4" t="inlineStr">
        <is>
          <t>TÉRREO - LOJA 6</t>
        </is>
      </c>
      <c r="F1692" s="126" t="n">
        <v>46916</v>
      </c>
      <c r="G1692" s="126" t="n">
        <v>46930</v>
      </c>
      <c r="H1692" s="126" t="n">
        <v>46289</v>
      </c>
      <c r="I1692" s="4" t="n">
        <v>0</v>
      </c>
      <c r="J1692" s="4" t="n">
        <v>0</v>
      </c>
      <c r="K1692" s="4" t="n">
        <v>0</v>
      </c>
      <c r="M1692" s="2">
        <f>IF(C1692="","",IFERROR(INDEX($S$5:$S$304,MATCH(C1692,$R$5:$R$304,0))&amp;"","?"))</f>
        <v/>
      </c>
      <c r="N1692" s="2">
        <f>IF(E1692="","",IF(ISNUMBER(SEARCH("SUBSOLO",E1692)),IFERROR(-VALUE(LEFT(E1692,FIND("º",SUBSTITUTE(E1692,"°","º"))-1)),-1),IF(LEFT(E1692,6)="TÉRREO",0,IFERROR(VALUE(LEFT(E1692,FIND("º",SUBSTITUTE(E1692,"°","º"))-1)),""))))</f>
        <v/>
      </c>
      <c r="O1692" s="2">
        <f>IF(OR(F1692="",G1692=""),"",IF(G1692&lt;='RETRATO 2027'!$K$5,"CONCLUÍDA",IF(F1692&lt;='RETRATO 2027'!$K$5,"EM ANDAMENTO","A INICIAR")))</f>
        <v/>
      </c>
    </row>
    <row r="1693">
      <c r="B1693" s="4" t="n">
        <v>30205554</v>
      </c>
      <c r="C1693" s="4" t="inlineStr">
        <is>
          <t>LOUÇAS</t>
        </is>
      </c>
      <c r="D1693" s="4" t="inlineStr">
        <is>
          <t>-</t>
        </is>
      </c>
      <c r="E1693" s="4" t="inlineStr">
        <is>
          <t>TÉRREO - LOJA 6</t>
        </is>
      </c>
      <c r="F1693" s="126" t="n">
        <v>46916</v>
      </c>
      <c r="G1693" s="126" t="n">
        <v>46930</v>
      </c>
      <c r="H1693" s="126" t="n">
        <v>46289</v>
      </c>
      <c r="I1693" s="4" t="n">
        <v>0</v>
      </c>
      <c r="J1693" s="4" t="n">
        <v>0</v>
      </c>
      <c r="K1693" s="4" t="n">
        <v>0</v>
      </c>
      <c r="M1693" s="2">
        <f>IF(C1693="","",IFERROR(INDEX($S$5:$S$304,MATCH(C1693,$R$5:$R$304,0))&amp;"","?"))</f>
        <v/>
      </c>
      <c r="N1693" s="2">
        <f>IF(E1693="","",IF(ISNUMBER(SEARCH("SUBSOLO",E1693)),IFERROR(-VALUE(LEFT(E1693,FIND("º",SUBSTITUTE(E1693,"°","º"))-1)),-1),IF(LEFT(E1693,6)="TÉRREO",0,IFERROR(VALUE(LEFT(E1693,FIND("º",SUBSTITUTE(E1693,"°","º"))-1)),""))))</f>
        <v/>
      </c>
      <c r="O1693" s="2">
        <f>IF(OR(F1693="",G1693=""),"",IF(G1693&lt;='RETRATO 2027'!$K$5,"CONCLUÍDA",IF(F1693&lt;='RETRATO 2027'!$K$5,"EM ANDAMENTO","A INICIAR")))</f>
        <v/>
      </c>
    </row>
    <row r="1694">
      <c r="B1694" s="4" t="n">
        <v>30205552</v>
      </c>
      <c r="C1694" s="4" t="inlineStr">
        <is>
          <t>METAIS</t>
        </is>
      </c>
      <c r="D1694" s="4" t="inlineStr">
        <is>
          <t>-</t>
        </is>
      </c>
      <c r="E1694" s="4" t="inlineStr">
        <is>
          <t>TÉRREO - LOJA 6</t>
        </is>
      </c>
      <c r="F1694" s="126" t="n">
        <v>46916</v>
      </c>
      <c r="G1694" s="126" t="n">
        <v>46930</v>
      </c>
      <c r="H1694" s="126" t="n">
        <v>46289</v>
      </c>
      <c r="I1694" s="4" t="n">
        <v>0</v>
      </c>
      <c r="J1694" s="4" t="n">
        <v>0</v>
      </c>
      <c r="K1694" s="4" t="n">
        <v>0</v>
      </c>
      <c r="M1694" s="2">
        <f>IF(C1694="","",IFERROR(INDEX($S$5:$S$304,MATCH(C1694,$R$5:$R$304,0))&amp;"","?"))</f>
        <v/>
      </c>
      <c r="N1694" s="2">
        <f>IF(E1694="","",IF(ISNUMBER(SEARCH("SUBSOLO",E1694)),IFERROR(-VALUE(LEFT(E1694,FIND("º",SUBSTITUTE(E1694,"°","º"))-1)),-1),IF(LEFT(E1694,6)="TÉRREO",0,IFERROR(VALUE(LEFT(E1694,FIND("º",SUBSTITUTE(E1694,"°","º"))-1)),""))))</f>
        <v/>
      </c>
      <c r="O1694" s="2">
        <f>IF(OR(F1694="",G1694=""),"",IF(G1694&lt;='RETRATO 2027'!$K$5,"CONCLUÍDA",IF(F1694&lt;='RETRATO 2027'!$K$5,"EM ANDAMENTO","A INICIAR")))</f>
        <v/>
      </c>
    </row>
    <row r="1695">
      <c r="B1695" s="4" t="n">
        <v>30205537</v>
      </c>
      <c r="C1695" s="4" t="inlineStr">
        <is>
          <t>PINTURA 1º DEMÃO</t>
        </is>
      </c>
      <c r="D1695" s="4" t="inlineStr">
        <is>
          <t>-</t>
        </is>
      </c>
      <c r="E1695" s="4" t="inlineStr">
        <is>
          <t>TÉRREO - LOJA 7</t>
        </is>
      </c>
      <c r="F1695" s="126" t="n">
        <v>46916</v>
      </c>
      <c r="G1695" s="126" t="n">
        <v>46930</v>
      </c>
      <c r="H1695" s="126" t="n">
        <v>46289</v>
      </c>
      <c r="I1695" s="4" t="n">
        <v>0</v>
      </c>
      <c r="J1695" s="4" t="n">
        <v>0</v>
      </c>
      <c r="K1695" s="4" t="n">
        <v>0</v>
      </c>
      <c r="M1695" s="2">
        <f>IF(C1695="","",IFERROR(INDEX($S$5:$S$304,MATCH(C1695,$R$5:$R$304,0))&amp;"","?"))</f>
        <v/>
      </c>
      <c r="N1695" s="2">
        <f>IF(E1695="","",IF(ISNUMBER(SEARCH("SUBSOLO",E1695)),IFERROR(-VALUE(LEFT(E1695,FIND("º",SUBSTITUTE(E1695,"°","º"))-1)),-1),IF(LEFT(E1695,6)="TÉRREO",0,IFERROR(VALUE(LEFT(E1695,FIND("º",SUBSTITUTE(E1695,"°","º"))-1)),""))))</f>
        <v/>
      </c>
      <c r="O1695" s="2">
        <f>IF(OR(F1695="",G1695=""),"",IF(G1695&lt;='RETRATO 2027'!$K$5,"CONCLUÍDA",IF(F1695&lt;='RETRATO 2027'!$K$5,"EM ANDAMENTO","A INICIAR")))</f>
        <v/>
      </c>
    </row>
    <row r="1696">
      <c r="B1696" s="4" t="n">
        <v>30171522</v>
      </c>
      <c r="C1696" s="4" t="inlineStr">
        <is>
          <t>INSTALAÇÃO DE ADUELAS (ELEVADORES)</t>
        </is>
      </c>
      <c r="D1696" s="4" t="inlineStr">
        <is>
          <t>-</t>
        </is>
      </c>
      <c r="E1696" s="4" t="inlineStr">
        <is>
          <t>HALL - GARAGENS</t>
        </is>
      </c>
      <c r="F1696" s="126" t="n">
        <v>46918</v>
      </c>
      <c r="G1696" s="126" t="n">
        <v>46946</v>
      </c>
      <c r="H1696" s="126" t="n">
        <v>46289</v>
      </c>
      <c r="I1696" s="4" t="n">
        <v>0</v>
      </c>
      <c r="J1696" s="4" t="n">
        <v>0</v>
      </c>
      <c r="K1696" s="4" t="n">
        <v>0</v>
      </c>
      <c r="M1696" s="2">
        <f>IF(C1696="","",IFERROR(INDEX($S$5:$S$304,MATCH(C1696,$R$5:$R$304,0))&amp;"","?"))</f>
        <v/>
      </c>
      <c r="N1696" s="2">
        <f>IF(E1696="","",IF(ISNUMBER(SEARCH("SUBSOLO",E1696)),IFERROR(-VALUE(LEFT(E1696,FIND("º",SUBSTITUTE(E1696,"°","º"))-1)),-1),IF(LEFT(E1696,6)="TÉRREO",0,IFERROR(VALUE(LEFT(E1696,FIND("º",SUBSTITUTE(E1696,"°","º"))-1)),""))))</f>
        <v/>
      </c>
      <c r="O1696" s="2">
        <f>IF(OR(F1696="",G1696=""),"",IF(G1696&lt;='RETRATO 2027'!$K$5,"CONCLUÍDA",IF(F1696&lt;='RETRATO 2027'!$K$5,"EM ANDAMENTO","A INICIAR")))</f>
        <v/>
      </c>
    </row>
    <row r="1697">
      <c r="B1697" s="4" t="n">
        <v>29981391</v>
      </c>
      <c r="C1697" s="4" t="inlineStr">
        <is>
          <t>CHECKLIST</t>
        </is>
      </c>
      <c r="D1697" s="4" t="inlineStr">
        <is>
          <t>-</t>
        </is>
      </c>
      <c r="E1697" s="4" t="inlineStr">
        <is>
          <t>11º PAV.</t>
        </is>
      </c>
      <c r="F1697" s="126" t="n">
        <v>46918</v>
      </c>
      <c r="G1697" s="126" t="n">
        <v>46925</v>
      </c>
      <c r="H1697" s="126" t="n">
        <v>46289</v>
      </c>
      <c r="I1697" s="4" t="n">
        <v>0</v>
      </c>
      <c r="J1697" s="4" t="n">
        <v>0</v>
      </c>
      <c r="K1697" s="4" t="n">
        <v>0</v>
      </c>
      <c r="M1697" s="2">
        <f>IF(C1697="","",IFERROR(INDEX($S$5:$S$304,MATCH(C1697,$R$5:$R$304,0))&amp;"","?"))</f>
        <v/>
      </c>
      <c r="N1697" s="2">
        <f>IF(E1697="","",IF(ISNUMBER(SEARCH("SUBSOLO",E1697)),IFERROR(-VALUE(LEFT(E1697,FIND("º",SUBSTITUTE(E1697,"°","º"))-1)),-1),IF(LEFT(E1697,6)="TÉRREO",0,IFERROR(VALUE(LEFT(E1697,FIND("º",SUBSTITUTE(E1697,"°","º"))-1)),""))))</f>
        <v/>
      </c>
      <c r="O1697" s="2">
        <f>IF(OR(F1697="",G1697=""),"",IF(G1697&lt;='RETRATO 2027'!$K$5,"CONCLUÍDA",IF(F1697&lt;='RETRATO 2027'!$K$5,"EM ANDAMENTO","A INICIAR")))</f>
        <v/>
      </c>
    </row>
    <row r="1698">
      <c r="B1698" s="4" t="n">
        <v>29981356</v>
      </c>
      <c r="C1698" s="4" t="inlineStr">
        <is>
          <t>ACABAMENTOS ELÉTRICOS</t>
        </is>
      </c>
      <c r="D1698" s="4" t="inlineStr">
        <is>
          <t>-</t>
        </is>
      </c>
      <c r="E1698" s="4" t="inlineStr">
        <is>
          <t>12º PAV.</t>
        </is>
      </c>
      <c r="F1698" s="126" t="n">
        <v>46918</v>
      </c>
      <c r="G1698" s="126" t="n">
        <v>46931</v>
      </c>
      <c r="H1698" s="126" t="n">
        <v>46289</v>
      </c>
      <c r="I1698" s="4" t="n">
        <v>0</v>
      </c>
      <c r="J1698" s="4" t="n">
        <v>0</v>
      </c>
      <c r="K1698" s="4" t="n">
        <v>0</v>
      </c>
      <c r="M1698" s="2">
        <f>IF(C1698="","",IFERROR(INDEX($S$5:$S$304,MATCH(C1698,$R$5:$R$304,0))&amp;"","?"))</f>
        <v/>
      </c>
      <c r="N1698" s="2">
        <f>IF(E1698="","",IF(ISNUMBER(SEARCH("SUBSOLO",E1698)),IFERROR(-VALUE(LEFT(E1698,FIND("º",SUBSTITUTE(E1698,"°","º"))-1)),-1),IF(LEFT(E1698,6)="TÉRREO",0,IFERROR(VALUE(LEFT(E1698,FIND("º",SUBSTITUTE(E1698,"°","º"))-1)),""))))</f>
        <v/>
      </c>
      <c r="O1698" s="2">
        <f>IF(OR(F1698="",G1698=""),"",IF(G1698&lt;='RETRATO 2027'!$K$5,"CONCLUÍDA",IF(F1698&lt;='RETRATO 2027'!$K$5,"EM ANDAMENTO","A INICIAR")))</f>
        <v/>
      </c>
    </row>
    <row r="1699">
      <c r="B1699" s="4" t="n">
        <v>29981316</v>
      </c>
      <c r="C1699" s="4" t="inlineStr">
        <is>
          <t>PINTURA 2º DEMÃO</t>
        </is>
      </c>
      <c r="D1699" s="4" t="inlineStr">
        <is>
          <t>-</t>
        </is>
      </c>
      <c r="E1699" s="4" t="inlineStr">
        <is>
          <t>13º PAV.</t>
        </is>
      </c>
      <c r="F1699" s="126" t="n">
        <v>46918</v>
      </c>
      <c r="G1699" s="126" t="n">
        <v>46931</v>
      </c>
      <c r="H1699" s="126" t="n">
        <v>46289</v>
      </c>
      <c r="I1699" s="4" t="n">
        <v>0</v>
      </c>
      <c r="J1699" s="4" t="n">
        <v>0</v>
      </c>
      <c r="K1699" s="4" t="n">
        <v>0</v>
      </c>
      <c r="M1699" s="2">
        <f>IF(C1699="","",IFERROR(INDEX($S$5:$S$304,MATCH(C1699,$R$5:$R$304,0))&amp;"","?"))</f>
        <v/>
      </c>
      <c r="N1699" s="2">
        <f>IF(E1699="","",IF(ISNUMBER(SEARCH("SUBSOLO",E1699)),IFERROR(-VALUE(LEFT(E1699,FIND("º",SUBSTITUTE(E1699,"°","º"))-1)),-1),IF(LEFT(E1699,6)="TÉRREO",0,IFERROR(VALUE(LEFT(E1699,FIND("º",SUBSTITUTE(E1699,"°","º"))-1)),""))))</f>
        <v/>
      </c>
      <c r="O1699" s="2">
        <f>IF(OR(F1699="",G1699=""),"",IF(G1699&lt;='RETRATO 2027'!$K$5,"CONCLUÍDA",IF(F1699&lt;='RETRATO 2027'!$K$5,"EM ANDAMENTO","A INICIAR")))</f>
        <v/>
      </c>
    </row>
    <row r="1700">
      <c r="B1700" s="4" t="n">
        <v>33919791</v>
      </c>
      <c r="C1700" s="4" t="inlineStr">
        <is>
          <t>TEXTURA - EXTERNA</t>
        </is>
      </c>
      <c r="D1700" s="4" t="inlineStr">
        <is>
          <t>-</t>
        </is>
      </c>
      <c r="E1700" s="4" t="inlineStr">
        <is>
          <t>13º PAV.</t>
        </is>
      </c>
      <c r="F1700" s="126" t="n">
        <v>46918</v>
      </c>
      <c r="G1700" s="126" t="n">
        <v>46931</v>
      </c>
      <c r="H1700" s="126" t="n">
        <v>46289</v>
      </c>
      <c r="I1700" s="4" t="n">
        <v>0</v>
      </c>
      <c r="J1700" s="4" t="n">
        <v>0</v>
      </c>
      <c r="K1700" s="4" t="n">
        <v>0</v>
      </c>
      <c r="M1700" s="2">
        <f>IF(C1700="","",IFERROR(INDEX($S$5:$S$304,MATCH(C1700,$R$5:$R$304,0))&amp;"","?"))</f>
        <v/>
      </c>
      <c r="N1700" s="2">
        <f>IF(E1700="","",IF(ISNUMBER(SEARCH("SUBSOLO",E1700)),IFERROR(-VALUE(LEFT(E1700,FIND("º",SUBSTITUTE(E1700,"°","º"))-1)),-1),IF(LEFT(E1700,6)="TÉRREO",0,IFERROR(VALUE(LEFT(E1700,FIND("º",SUBSTITUTE(E1700,"°","º"))-1)),""))))</f>
        <v/>
      </c>
      <c r="O1700" s="2">
        <f>IF(OR(F1700="",G1700=""),"",IF(G1700&lt;='RETRATO 2027'!$K$5,"CONCLUÍDA",IF(F1700&lt;='RETRATO 2027'!$K$5,"EM ANDAMENTO","A INICIAR")))</f>
        <v/>
      </c>
    </row>
    <row r="1701">
      <c r="B1701" s="4" t="n">
        <v>29981278</v>
      </c>
      <c r="C1701" s="4" t="inlineStr">
        <is>
          <t>LIMPEZA GROSSA</t>
        </is>
      </c>
      <c r="D1701" s="4" t="inlineStr">
        <is>
          <t>-</t>
        </is>
      </c>
      <c r="E1701" s="4" t="inlineStr">
        <is>
          <t>14º PAV.</t>
        </is>
      </c>
      <c r="F1701" s="126" t="n">
        <v>46918</v>
      </c>
      <c r="G1701" s="126" t="n">
        <v>46931</v>
      </c>
      <c r="H1701" s="126" t="n">
        <v>46289</v>
      </c>
      <c r="I1701" s="4" t="n">
        <v>0</v>
      </c>
      <c r="J1701" s="4" t="n">
        <v>0</v>
      </c>
      <c r="K1701" s="4" t="n">
        <v>0</v>
      </c>
      <c r="M1701" s="2">
        <f>IF(C1701="","",IFERROR(INDEX($S$5:$S$304,MATCH(C1701,$R$5:$R$304,0))&amp;"","?"))</f>
        <v/>
      </c>
      <c r="N1701" s="2">
        <f>IF(E1701="","",IF(ISNUMBER(SEARCH("SUBSOLO",E1701)),IFERROR(-VALUE(LEFT(E1701,FIND("º",SUBSTITUTE(E1701,"°","º"))-1)),-1),IF(LEFT(E1701,6)="TÉRREO",0,IFERROR(VALUE(LEFT(E1701,FIND("º",SUBSTITUTE(E1701,"°","º"))-1)),""))))</f>
        <v/>
      </c>
      <c r="O1701" s="2">
        <f>IF(OR(F1701="",G1701=""),"",IF(G1701&lt;='RETRATO 2027'!$K$5,"CONCLUÍDA",IF(F1701&lt;='RETRATO 2027'!$K$5,"EM ANDAMENTO","A INICIAR")))</f>
        <v/>
      </c>
    </row>
    <row r="1702">
      <c r="B1702" s="4" t="n">
        <v>29981235</v>
      </c>
      <c r="C1702" s="4" t="inlineStr">
        <is>
          <t>LOUÇAS</t>
        </is>
      </c>
      <c r="D1702" s="4" t="inlineStr">
        <is>
          <t>-</t>
        </is>
      </c>
      <c r="E1702" s="4" t="inlineStr">
        <is>
          <t>15º PAV.</t>
        </is>
      </c>
      <c r="F1702" s="126" t="n">
        <v>46918</v>
      </c>
      <c r="G1702" s="126" t="n">
        <v>46931</v>
      </c>
      <c r="H1702" s="126" t="n">
        <v>46289</v>
      </c>
      <c r="I1702" s="4" t="n">
        <v>0</v>
      </c>
      <c r="J1702" s="4" t="n">
        <v>0</v>
      </c>
      <c r="K1702" s="4" t="n">
        <v>0</v>
      </c>
      <c r="M1702" s="2">
        <f>IF(C1702="","",IFERROR(INDEX($S$5:$S$304,MATCH(C1702,$R$5:$R$304,0))&amp;"","?"))</f>
        <v/>
      </c>
      <c r="N1702" s="2">
        <f>IF(E1702="","",IF(ISNUMBER(SEARCH("SUBSOLO",E1702)),IFERROR(-VALUE(LEFT(E1702,FIND("º",SUBSTITUTE(E1702,"°","º"))-1)),-1),IF(LEFT(E1702,6)="TÉRREO",0,IFERROR(VALUE(LEFT(E1702,FIND("º",SUBSTITUTE(E1702,"°","º"))-1)),""))))</f>
        <v/>
      </c>
      <c r="O1702" s="2">
        <f>IF(OR(F1702="",G1702=""),"",IF(G1702&lt;='RETRATO 2027'!$K$5,"CONCLUÍDA",IF(F1702&lt;='RETRATO 2027'!$K$5,"EM ANDAMENTO","A INICIAR")))</f>
        <v/>
      </c>
    </row>
    <row r="1703">
      <c r="B1703" s="4" t="n">
        <v>29981240</v>
      </c>
      <c r="C1703" s="4" t="inlineStr">
        <is>
          <t>METAIS</t>
        </is>
      </c>
      <c r="D1703" s="4" t="inlineStr">
        <is>
          <t>-</t>
        </is>
      </c>
      <c r="E1703" s="4" t="inlineStr">
        <is>
          <t>15º PAV.</t>
        </is>
      </c>
      <c r="F1703" s="126" t="n">
        <v>46918</v>
      </c>
      <c r="G1703" s="126" t="n">
        <v>46931</v>
      </c>
      <c r="H1703" s="126" t="n">
        <v>46289</v>
      </c>
      <c r="I1703" s="4" t="n">
        <v>0</v>
      </c>
      <c r="J1703" s="4" t="n">
        <v>0</v>
      </c>
      <c r="K1703" s="4" t="n">
        <v>0</v>
      </c>
      <c r="M1703" s="2">
        <f>IF(C1703="","",IFERROR(INDEX($S$5:$S$304,MATCH(C1703,$R$5:$R$304,0))&amp;"","?"))</f>
        <v/>
      </c>
      <c r="N1703" s="2">
        <f>IF(E1703="","",IF(ISNUMBER(SEARCH("SUBSOLO",E1703)),IFERROR(-VALUE(LEFT(E1703,FIND("º",SUBSTITUTE(E1703,"°","º"))-1)),-1),IF(LEFT(E1703,6)="TÉRREO",0,IFERROR(VALUE(LEFT(E1703,FIND("º",SUBSTITUTE(E1703,"°","º"))-1)),""))))</f>
        <v/>
      </c>
      <c r="O1703" s="2">
        <f>IF(OR(F1703="",G1703=""),"",IF(G1703&lt;='RETRATO 2027'!$K$5,"CONCLUÍDA",IF(F1703&lt;='RETRATO 2027'!$K$5,"EM ANDAMENTO","A INICIAR")))</f>
        <v/>
      </c>
    </row>
    <row r="1704">
      <c r="B1704" s="4" t="n">
        <v>29981239</v>
      </c>
      <c r="C1704" s="4" t="inlineStr">
        <is>
          <t>DISJUNTORES / MIOLOS</t>
        </is>
      </c>
      <c r="D1704" s="4" t="inlineStr">
        <is>
          <t>-</t>
        </is>
      </c>
      <c r="E1704" s="4" t="inlineStr">
        <is>
          <t>15º PAV.</t>
        </is>
      </c>
      <c r="F1704" s="126" t="n">
        <v>46918</v>
      </c>
      <c r="G1704" s="126" t="n">
        <v>46931</v>
      </c>
      <c r="H1704" s="126" t="n">
        <v>46289</v>
      </c>
      <c r="I1704" s="4" t="n">
        <v>0</v>
      </c>
      <c r="J1704" s="4" t="n">
        <v>0</v>
      </c>
      <c r="K1704" s="4" t="n">
        <v>0</v>
      </c>
      <c r="M1704" s="2">
        <f>IF(C1704="","",IFERROR(INDEX($S$5:$S$304,MATCH(C1704,$R$5:$R$304,0))&amp;"","?"))</f>
        <v/>
      </c>
      <c r="N1704" s="2">
        <f>IF(E1704="","",IF(ISNUMBER(SEARCH("SUBSOLO",E1704)),IFERROR(-VALUE(LEFT(E1704,FIND("º",SUBSTITUTE(E1704,"°","º"))-1)),-1),IF(LEFT(E1704,6)="TÉRREO",0,IFERROR(VALUE(LEFT(E1704,FIND("º",SUBSTITUTE(E1704,"°","º"))-1)),""))))</f>
        <v/>
      </c>
      <c r="O1704" s="2">
        <f>IF(OR(F1704="",G1704=""),"",IF(G1704&lt;='RETRATO 2027'!$K$5,"CONCLUÍDA",IF(F1704&lt;='RETRATO 2027'!$K$5,"EM ANDAMENTO","A INICIAR")))</f>
        <v/>
      </c>
    </row>
    <row r="1705">
      <c r="B1705" s="4" t="n">
        <v>29981238</v>
      </c>
      <c r="C1705" s="4" t="inlineStr">
        <is>
          <t>COMUNICAÇÃO E ALARME</t>
        </is>
      </c>
      <c r="D1705" s="4" t="inlineStr">
        <is>
          <t>-</t>
        </is>
      </c>
      <c r="E1705" s="4" t="inlineStr">
        <is>
          <t>15º PAV.</t>
        </is>
      </c>
      <c r="F1705" s="126" t="n">
        <v>46918</v>
      </c>
      <c r="G1705" s="126" t="n">
        <v>46931</v>
      </c>
      <c r="H1705" s="126" t="n">
        <v>46289</v>
      </c>
      <c r="I1705" s="4" t="n">
        <v>0</v>
      </c>
      <c r="J1705" s="4" t="n">
        <v>0</v>
      </c>
      <c r="K1705" s="4" t="n">
        <v>0</v>
      </c>
      <c r="M1705" s="2">
        <f>IF(C1705="","",IFERROR(INDEX($S$5:$S$304,MATCH(C1705,$R$5:$R$304,0))&amp;"","?"))</f>
        <v/>
      </c>
      <c r="N1705" s="2">
        <f>IF(E1705="","",IF(ISNUMBER(SEARCH("SUBSOLO",E1705)),IFERROR(-VALUE(LEFT(E1705,FIND("º",SUBSTITUTE(E1705,"°","º"))-1)),-1),IF(LEFT(E1705,6)="TÉRREO",0,IFERROR(VALUE(LEFT(E1705,FIND("º",SUBSTITUTE(E1705,"°","º"))-1)),""))))</f>
        <v/>
      </c>
      <c r="O1705" s="2">
        <f>IF(OR(F1705="",G1705=""),"",IF(G1705&lt;='RETRATO 2027'!$K$5,"CONCLUÍDA",IF(F1705&lt;='RETRATO 2027'!$K$5,"EM ANDAMENTO","A INICIAR")))</f>
        <v/>
      </c>
    </row>
    <row r="1706">
      <c r="B1706" s="4" t="n">
        <v>29981197</v>
      </c>
      <c r="C1706" s="4" t="inlineStr">
        <is>
          <t>RODAPÉ MADEIRA / PVC</t>
        </is>
      </c>
      <c r="D1706" s="4" t="inlineStr">
        <is>
          <t>-</t>
        </is>
      </c>
      <c r="E1706" s="4" t="inlineStr">
        <is>
          <t>16º PAV.</t>
        </is>
      </c>
      <c r="F1706" s="126" t="n">
        <v>46918</v>
      </c>
      <c r="G1706" s="126" t="n">
        <v>46931</v>
      </c>
      <c r="H1706" s="126" t="n">
        <v>46289</v>
      </c>
      <c r="I1706" s="4" t="n">
        <v>0</v>
      </c>
      <c r="J1706" s="4" t="n">
        <v>0</v>
      </c>
      <c r="K1706" s="4" t="n">
        <v>0</v>
      </c>
      <c r="M1706" s="2">
        <f>IF(C1706="","",IFERROR(INDEX($S$5:$S$304,MATCH(C1706,$R$5:$R$304,0))&amp;"","?"))</f>
        <v/>
      </c>
      <c r="N1706" s="2">
        <f>IF(E1706="","",IF(ISNUMBER(SEARCH("SUBSOLO",E1706)),IFERROR(-VALUE(LEFT(E1706,FIND("º",SUBSTITUTE(E1706,"°","º"))-1)),-1),IF(LEFT(E1706,6)="TÉRREO",0,IFERROR(VALUE(LEFT(E1706,FIND("º",SUBSTITUTE(E1706,"°","º"))-1)),""))))</f>
        <v/>
      </c>
      <c r="O1706" s="2">
        <f>IF(OR(F1706="",G1706=""),"",IF(G1706&lt;='RETRATO 2027'!$K$5,"CONCLUÍDA",IF(F1706&lt;='RETRATO 2027'!$K$5,"EM ANDAMENTO","A INICIAR")))</f>
        <v/>
      </c>
    </row>
    <row r="1707">
      <c r="B1707" s="4" t="n">
        <v>29981159</v>
      </c>
      <c r="C1707" s="4" t="inlineStr">
        <is>
          <t>ESQUADRIA MADEIRA</t>
        </is>
      </c>
      <c r="D1707" s="4" t="inlineStr">
        <is>
          <t>-</t>
        </is>
      </c>
      <c r="E1707" s="4" t="inlineStr">
        <is>
          <t>17º PAV.</t>
        </is>
      </c>
      <c r="F1707" s="126" t="n">
        <v>46918</v>
      </c>
      <c r="G1707" s="126" t="n">
        <v>46931</v>
      </c>
      <c r="H1707" s="126" t="n">
        <v>46289</v>
      </c>
      <c r="I1707" s="4" t="n">
        <v>0</v>
      </c>
      <c r="J1707" s="4" t="n">
        <v>0</v>
      </c>
      <c r="K1707" s="4" t="n">
        <v>0</v>
      </c>
      <c r="M1707" s="2">
        <f>IF(C1707="","",IFERROR(INDEX($S$5:$S$304,MATCH(C1707,$R$5:$R$304,0))&amp;"","?"))</f>
        <v/>
      </c>
      <c r="N1707" s="2">
        <f>IF(E1707="","",IF(ISNUMBER(SEARCH("SUBSOLO",E1707)),IFERROR(-VALUE(LEFT(E1707,FIND("º",SUBSTITUTE(E1707,"°","º"))-1)),-1),IF(LEFT(E1707,6)="TÉRREO",0,IFERROR(VALUE(LEFT(E1707,FIND("º",SUBSTITUTE(E1707,"°","º"))-1)),""))))</f>
        <v/>
      </c>
      <c r="O1707" s="2">
        <f>IF(OR(F1707="",G1707=""),"",IF(G1707&lt;='RETRATO 2027'!$K$5,"CONCLUÍDA",IF(F1707&lt;='RETRATO 2027'!$K$5,"EM ANDAMENTO","A INICIAR")))</f>
        <v/>
      </c>
    </row>
    <row r="1708">
      <c r="B1708" s="4" t="n">
        <v>29981121</v>
      </c>
      <c r="C1708" s="4" t="inlineStr">
        <is>
          <t>PISO VINÍLICO / LAMINADO</t>
        </is>
      </c>
      <c r="D1708" s="4" t="inlineStr">
        <is>
          <t>-</t>
        </is>
      </c>
      <c r="E1708" s="4" t="inlineStr">
        <is>
          <t>18º PAV.</t>
        </is>
      </c>
      <c r="F1708" s="126" t="n">
        <v>46918</v>
      </c>
      <c r="G1708" s="126" t="n">
        <v>46931</v>
      </c>
      <c r="H1708" s="126" t="n">
        <v>46289</v>
      </c>
      <c r="I1708" s="4" t="n">
        <v>0</v>
      </c>
      <c r="J1708" s="4" t="n">
        <v>0</v>
      </c>
      <c r="K1708" s="4" t="n">
        <v>0</v>
      </c>
      <c r="M1708" s="2">
        <f>IF(C1708="","",IFERROR(INDEX($S$5:$S$304,MATCH(C1708,$R$5:$R$304,0))&amp;"","?"))</f>
        <v/>
      </c>
      <c r="N1708" s="2">
        <f>IF(E1708="","",IF(ISNUMBER(SEARCH("SUBSOLO",E1708)),IFERROR(-VALUE(LEFT(E1708,FIND("º",SUBSTITUTE(E1708,"°","º"))-1)),-1),IF(LEFT(E1708,6)="TÉRREO",0,IFERROR(VALUE(LEFT(E1708,FIND("º",SUBSTITUTE(E1708,"°","º"))-1)),""))))</f>
        <v/>
      </c>
      <c r="O1708" s="2">
        <f>IF(OR(F1708="",G1708=""),"",IF(G1708&lt;='RETRATO 2027'!$K$5,"CONCLUÍDA",IF(F1708&lt;='RETRATO 2027'!$K$5,"EM ANDAMENTO","A INICIAR")))</f>
        <v/>
      </c>
    </row>
    <row r="1709">
      <c r="B1709" s="4" t="n">
        <v>29981046</v>
      </c>
      <c r="C1709" s="4" t="inlineStr">
        <is>
          <t>PINTURA 1º DEMÃO</t>
        </is>
      </c>
      <c r="D1709" s="4" t="inlineStr">
        <is>
          <t>-</t>
        </is>
      </c>
      <c r="E1709" s="4" t="inlineStr">
        <is>
          <t>20º PAV.</t>
        </is>
      </c>
      <c r="F1709" s="126" t="n">
        <v>46918</v>
      </c>
      <c r="G1709" s="126" t="n">
        <v>46931</v>
      </c>
      <c r="H1709" s="126" t="n">
        <v>46289</v>
      </c>
      <c r="I1709" s="4" t="n">
        <v>0</v>
      </c>
      <c r="J1709" s="4" t="n">
        <v>0</v>
      </c>
      <c r="K1709" s="4" t="n">
        <v>0</v>
      </c>
      <c r="M1709" s="2">
        <f>IF(C1709="","",IFERROR(INDEX($S$5:$S$304,MATCH(C1709,$R$5:$R$304,0))&amp;"","?"))</f>
        <v/>
      </c>
      <c r="N1709" s="2">
        <f>IF(E1709="","",IF(ISNUMBER(SEARCH("SUBSOLO",E1709)),IFERROR(-VALUE(LEFT(E1709,FIND("º",SUBSTITUTE(E1709,"°","º"))-1)),-1),IF(LEFT(E1709,6)="TÉRREO",0,IFERROR(VALUE(LEFT(E1709,FIND("º",SUBSTITUTE(E1709,"°","º"))-1)),""))))</f>
        <v/>
      </c>
      <c r="O1709" s="2">
        <f>IF(OR(F1709="",G1709=""),"",IF(G1709&lt;='RETRATO 2027'!$K$5,"CONCLUÍDA",IF(F1709&lt;='RETRATO 2027'!$K$5,"EM ANDAMENTO","A INICIAR")))</f>
        <v/>
      </c>
    </row>
    <row r="1710">
      <c r="B1710" s="4" t="n">
        <v>29981035</v>
      </c>
      <c r="C1710" s="4" t="inlineStr">
        <is>
          <t>MASSA CORRIDA</t>
        </is>
      </c>
      <c r="D1710" s="4" t="inlineStr">
        <is>
          <t>-</t>
        </is>
      </c>
      <c r="E1710" s="4" t="inlineStr">
        <is>
          <t>21º PAV.</t>
        </is>
      </c>
      <c r="F1710" s="126" t="n">
        <v>46918</v>
      </c>
      <c r="G1710" s="126" t="n">
        <v>46931</v>
      </c>
      <c r="H1710" s="126" t="n">
        <v>46289</v>
      </c>
      <c r="I1710" s="4" t="n">
        <v>0</v>
      </c>
      <c r="J1710" s="4" t="n">
        <v>0</v>
      </c>
      <c r="K1710" s="4" t="n">
        <v>0</v>
      </c>
      <c r="M1710" s="2">
        <f>IF(C1710="","",IFERROR(INDEX($S$5:$S$304,MATCH(C1710,$R$5:$R$304,0))&amp;"","?"))</f>
        <v/>
      </c>
      <c r="N1710" s="2">
        <f>IF(E1710="","",IF(ISNUMBER(SEARCH("SUBSOLO",E1710)),IFERROR(-VALUE(LEFT(E1710,FIND("º",SUBSTITUTE(E1710,"°","º"))-1)),-1),IF(LEFT(E1710,6)="TÉRREO",0,IFERROR(VALUE(LEFT(E1710,FIND("º",SUBSTITUTE(E1710,"°","º"))-1)),""))))</f>
        <v/>
      </c>
      <c r="O1710" s="2">
        <f>IF(OR(F1710="",G1710=""),"",IF(G1710&lt;='RETRATO 2027'!$K$5,"CONCLUÍDA",IF(F1710&lt;='RETRATO 2027'!$K$5,"EM ANDAMENTO","A INICIAR")))</f>
        <v/>
      </c>
    </row>
    <row r="1711">
      <c r="B1711" s="4" t="n">
        <v>33898106</v>
      </c>
      <c r="C1711" s="4" t="inlineStr">
        <is>
          <t>ESQUADRIA DE ALUMÍNIO</t>
        </is>
      </c>
      <c r="D1711" s="4" t="inlineStr">
        <is>
          <t>-</t>
        </is>
      </c>
      <c r="E1711" s="4" t="inlineStr">
        <is>
          <t>22º PAV.</t>
        </is>
      </c>
      <c r="F1711" s="126" t="n">
        <v>46918</v>
      </c>
      <c r="G1711" s="126" t="n">
        <v>46931</v>
      </c>
      <c r="H1711" s="126" t="n">
        <v>46289</v>
      </c>
      <c r="I1711" s="4" t="n">
        <v>0</v>
      </c>
      <c r="J1711" s="4" t="n">
        <v>0</v>
      </c>
      <c r="K1711" s="4" t="n">
        <v>0</v>
      </c>
      <c r="M1711" s="2">
        <f>IF(C1711="","",IFERROR(INDEX($S$5:$S$304,MATCH(C1711,$R$5:$R$304,0))&amp;"","?"))</f>
        <v/>
      </c>
      <c r="N1711" s="2">
        <f>IF(E1711="","",IF(ISNUMBER(SEARCH("SUBSOLO",E1711)),IFERROR(-VALUE(LEFT(E1711,FIND("º",SUBSTITUTE(E1711,"°","º"))-1)),-1),IF(LEFT(E1711,6)="TÉRREO",0,IFERROR(VALUE(LEFT(E1711,FIND("º",SUBSTITUTE(E1711,"°","º"))-1)),""))))</f>
        <v/>
      </c>
      <c r="O1711" s="2">
        <f>IF(OR(F1711="",G1711=""),"",IF(G1711&lt;='RETRATO 2027'!$K$5,"CONCLUÍDA",IF(F1711&lt;='RETRATO 2027'!$K$5,"EM ANDAMENTO","A INICIAR")))</f>
        <v/>
      </c>
    </row>
    <row r="1712">
      <c r="B1712" s="4" t="n">
        <v>34179691</v>
      </c>
      <c r="C1712" s="4" t="inlineStr">
        <is>
          <t>SERRALHERIA</t>
        </is>
      </c>
      <c r="D1712" s="4" t="inlineStr">
        <is>
          <t>-</t>
        </is>
      </c>
      <c r="E1712" s="4" t="inlineStr">
        <is>
          <t>TÉRREO ÁREA EXTERNA - COMERCIAL</t>
        </is>
      </c>
      <c r="F1712" s="126" t="n">
        <v>46920</v>
      </c>
      <c r="G1712" s="126" t="n">
        <v>46933</v>
      </c>
      <c r="H1712" s="126" t="n">
        <v>46289</v>
      </c>
      <c r="I1712" s="4" t="n">
        <v>0</v>
      </c>
      <c r="J1712" s="4" t="n">
        <v>0</v>
      </c>
      <c r="K1712" s="4" t="n">
        <v>0</v>
      </c>
      <c r="M1712" s="2">
        <f>IF(C1712="","",IFERROR(INDEX($S$5:$S$304,MATCH(C1712,$R$5:$R$304,0))&amp;"","?"))</f>
        <v/>
      </c>
      <c r="N1712" s="2">
        <f>IF(E1712="","",IF(ISNUMBER(SEARCH("SUBSOLO",E1712)),IFERROR(-VALUE(LEFT(E1712,FIND("º",SUBSTITUTE(E1712,"°","º"))-1)),-1),IF(LEFT(E1712,6)="TÉRREO",0,IFERROR(VALUE(LEFT(E1712,FIND("º",SUBSTITUTE(E1712,"°","º"))-1)),""))))</f>
        <v/>
      </c>
      <c r="O1712" s="2">
        <f>IF(OR(F1712="",G1712=""),"",IF(G1712&lt;='RETRATO 2027'!$K$5,"CONCLUÍDA",IF(F1712&lt;='RETRATO 2027'!$K$5,"EM ANDAMENTO","A INICIAR")))</f>
        <v/>
      </c>
    </row>
    <row r="1713">
      <c r="B1713" s="4" t="n">
        <v>34179696</v>
      </c>
      <c r="C1713" s="4" t="inlineStr">
        <is>
          <t>PAISAGISMO</t>
        </is>
      </c>
      <c r="D1713" s="4" t="inlineStr">
        <is>
          <t>-</t>
        </is>
      </c>
      <c r="E1713" s="4" t="inlineStr">
        <is>
          <t>TÉRREO ÁREA EXTERNA - COMERCIAL</t>
        </is>
      </c>
      <c r="F1713" s="126" t="n">
        <v>46920</v>
      </c>
      <c r="G1713" s="126" t="n">
        <v>46982</v>
      </c>
      <c r="H1713" s="126" t="n">
        <v>46289</v>
      </c>
      <c r="I1713" s="4" t="n">
        <v>0</v>
      </c>
      <c r="J1713" s="4" t="n">
        <v>0</v>
      </c>
      <c r="K1713" s="4" t="n">
        <v>0</v>
      </c>
      <c r="M1713" s="2">
        <f>IF(C1713="","",IFERROR(INDEX($S$5:$S$304,MATCH(C1713,$R$5:$R$304,0))&amp;"","?"))</f>
        <v/>
      </c>
      <c r="N1713" s="2">
        <f>IF(E1713="","",IF(ISNUMBER(SEARCH("SUBSOLO",E1713)),IFERROR(-VALUE(LEFT(E1713,FIND("º",SUBSTITUTE(E1713,"°","º"))-1)),-1),IF(LEFT(E1713,6)="TÉRREO",0,IFERROR(VALUE(LEFT(E1713,FIND("º",SUBSTITUTE(E1713,"°","º"))-1)),""))))</f>
        <v/>
      </c>
      <c r="O1713" s="2">
        <f>IF(OR(F1713="",G1713=""),"",IF(G1713&lt;='RETRATO 2027'!$K$5,"CONCLUÍDA",IF(F1713&lt;='RETRATO 2027'!$K$5,"EM ANDAMENTO","A INICIAR")))</f>
        <v/>
      </c>
    </row>
    <row r="1714">
      <c r="B1714" s="4" t="n">
        <v>30205768</v>
      </c>
      <c r="C1714" s="4" t="inlineStr">
        <is>
          <t>SERRALHERIA</t>
        </is>
      </c>
      <c r="D1714" s="4" t="inlineStr">
        <is>
          <t>-</t>
        </is>
      </c>
      <c r="E1714" s="4" t="inlineStr">
        <is>
          <t>TÉRREO - ÁREA EXTERNA RESIDENCIAL</t>
        </is>
      </c>
      <c r="F1714" s="126" t="n">
        <v>46920</v>
      </c>
      <c r="G1714" s="126" t="n">
        <v>46933</v>
      </c>
      <c r="H1714" s="126" t="n">
        <v>46289</v>
      </c>
      <c r="I1714" s="4" t="n">
        <v>0</v>
      </c>
      <c r="J1714" s="4" t="n">
        <v>0</v>
      </c>
      <c r="K1714" s="4" t="n">
        <v>0</v>
      </c>
      <c r="M1714" s="2">
        <f>IF(C1714="","",IFERROR(INDEX($S$5:$S$304,MATCH(C1714,$R$5:$R$304,0))&amp;"","?"))</f>
        <v/>
      </c>
      <c r="N1714" s="2">
        <f>IF(E1714="","",IF(ISNUMBER(SEARCH("SUBSOLO",E1714)),IFERROR(-VALUE(LEFT(E1714,FIND("º",SUBSTITUTE(E1714,"°","º"))-1)),-1),IF(LEFT(E1714,6)="TÉRREO",0,IFERROR(VALUE(LEFT(E1714,FIND("º",SUBSTITUTE(E1714,"°","º"))-1)),""))))</f>
        <v/>
      </c>
      <c r="O1714" s="2">
        <f>IF(OR(F1714="",G1714=""),"",IF(G1714&lt;='RETRATO 2027'!$K$5,"CONCLUÍDA",IF(F1714&lt;='RETRATO 2027'!$K$5,"EM ANDAMENTO","A INICIAR")))</f>
        <v/>
      </c>
    </row>
    <row r="1715">
      <c r="B1715" s="4" t="n">
        <v>30205766</v>
      </c>
      <c r="C1715" s="4" t="inlineStr">
        <is>
          <t>FACHADA</t>
        </is>
      </c>
      <c r="D1715" s="4" t="inlineStr">
        <is>
          <t>-</t>
        </is>
      </c>
      <c r="E1715" s="4" t="inlineStr">
        <is>
          <t>TÉRREO - ÁREA EXTERNA RESIDENCIAL</t>
        </is>
      </c>
      <c r="F1715" s="126" t="n">
        <v>46920</v>
      </c>
      <c r="G1715" s="126" t="n">
        <v>47015</v>
      </c>
      <c r="H1715" s="126" t="n">
        <v>46289</v>
      </c>
      <c r="I1715" s="4" t="n">
        <v>0</v>
      </c>
      <c r="J1715" s="4" t="n">
        <v>0</v>
      </c>
      <c r="K1715" s="4" t="n">
        <v>0</v>
      </c>
      <c r="M1715" s="2">
        <f>IF(C1715="","",IFERROR(INDEX($S$5:$S$304,MATCH(C1715,$R$5:$R$304,0))&amp;"","?"))</f>
        <v/>
      </c>
      <c r="N1715" s="2">
        <f>IF(E1715="","",IF(ISNUMBER(SEARCH("SUBSOLO",E1715)),IFERROR(-VALUE(LEFT(E1715,FIND("º",SUBSTITUTE(E1715,"°","º"))-1)),-1),IF(LEFT(E1715,6)="TÉRREO",0,IFERROR(VALUE(LEFT(E1715,FIND("º",SUBSTITUTE(E1715,"°","º"))-1)),""))))</f>
        <v/>
      </c>
      <c r="O1715" s="2">
        <f>IF(OR(F1715="",G1715=""),"",IF(G1715&lt;='RETRATO 2027'!$K$5,"CONCLUÍDA",IF(F1715&lt;='RETRATO 2027'!$K$5,"EM ANDAMENTO","A INICIAR")))</f>
        <v/>
      </c>
    </row>
    <row r="1716">
      <c r="B1716" s="4" t="n">
        <v>30206127</v>
      </c>
      <c r="C1716" s="4" t="inlineStr">
        <is>
          <t>FORRO</t>
        </is>
      </c>
      <c r="D1716" s="4" t="inlineStr">
        <is>
          <t>-</t>
        </is>
      </c>
      <c r="E1716" s="4" t="inlineStr">
        <is>
          <t>6º PAV (PILOTIS) - ACADEMIA</t>
        </is>
      </c>
      <c r="F1716" s="126" t="n">
        <v>46920</v>
      </c>
      <c r="G1716" s="126" t="n">
        <v>46933</v>
      </c>
      <c r="H1716" s="126" t="n">
        <v>46289</v>
      </c>
      <c r="I1716" s="4" t="n">
        <v>0</v>
      </c>
      <c r="J1716" s="4" t="n">
        <v>0</v>
      </c>
      <c r="K1716" s="4" t="n">
        <v>0</v>
      </c>
      <c r="M1716" s="2">
        <f>IF(C1716="","",IFERROR(INDEX($S$5:$S$304,MATCH(C1716,$R$5:$R$304,0))&amp;"","?"))</f>
        <v/>
      </c>
      <c r="N1716" s="2">
        <f>IF(E1716="","",IF(ISNUMBER(SEARCH("SUBSOLO",E1716)),IFERROR(-VALUE(LEFT(E1716,FIND("º",SUBSTITUTE(E1716,"°","º"))-1)),-1),IF(LEFT(E1716,6)="TÉRREO",0,IFERROR(VALUE(LEFT(E1716,FIND("º",SUBSTITUTE(E1716,"°","º"))-1)),""))))</f>
        <v/>
      </c>
      <c r="O1716" s="2">
        <f>IF(OR(F1716="",G1716=""),"",IF(G1716&lt;='RETRATO 2027'!$K$5,"CONCLUÍDA",IF(F1716&lt;='RETRATO 2027'!$K$5,"EM ANDAMENTO","A INICIAR")))</f>
        <v/>
      </c>
    </row>
    <row r="1717">
      <c r="B1717" s="4" t="n">
        <v>30206071</v>
      </c>
      <c r="C1717" s="4" t="inlineStr">
        <is>
          <t>REVESTIMENTOS PORCELANATO PISO</t>
        </is>
      </c>
      <c r="D1717" s="4" t="inlineStr">
        <is>
          <t>-</t>
        </is>
      </c>
      <c r="E1717" s="4" t="inlineStr">
        <is>
          <t>6º PAV (PILOTIS) - SAUNA + DUCHA</t>
        </is>
      </c>
      <c r="F1717" s="126" t="n">
        <v>46920</v>
      </c>
      <c r="G1717" s="126" t="n">
        <v>46933</v>
      </c>
      <c r="H1717" s="126" t="n">
        <v>46289</v>
      </c>
      <c r="I1717" s="4" t="n">
        <v>0</v>
      </c>
      <c r="J1717" s="4" t="n">
        <v>0</v>
      </c>
      <c r="K1717" s="4" t="n">
        <v>0</v>
      </c>
      <c r="M1717" s="2">
        <f>IF(C1717="","",IFERROR(INDEX($S$5:$S$304,MATCH(C1717,$R$5:$R$304,0))&amp;"","?"))</f>
        <v/>
      </c>
      <c r="N1717" s="2">
        <f>IF(E1717="","",IF(ISNUMBER(SEARCH("SUBSOLO",E1717)),IFERROR(-VALUE(LEFT(E1717,FIND("º",SUBSTITUTE(E1717,"°","º"))-1)),-1),IF(LEFT(E1717,6)="TÉRREO",0,IFERROR(VALUE(LEFT(E1717,FIND("º",SUBSTITUTE(E1717,"°","º"))-1)),""))))</f>
        <v/>
      </c>
      <c r="O1717" s="2">
        <f>IF(OR(F1717="",G1717=""),"",IF(G1717&lt;='RETRATO 2027'!$K$5,"CONCLUÍDA",IF(F1717&lt;='RETRATO 2027'!$K$5,"EM ANDAMENTO","A INICIAR")))</f>
        <v/>
      </c>
    </row>
    <row r="1718">
      <c r="B1718" s="4" t="n">
        <v>30206050</v>
      </c>
      <c r="C1718" s="4" t="inlineStr">
        <is>
          <t>REVESTIMENTO PORCELANATO PAREDE</t>
        </is>
      </c>
      <c r="D1718" s="4" t="inlineStr">
        <is>
          <t>-</t>
        </is>
      </c>
      <c r="E1718" s="4" t="inlineStr">
        <is>
          <t>6º PAV (PILOTIS) - CHURRASQUEIRA + IS MASC. PCD + IS FEM. PCD + CIRCULAÇÃO 1 + HALL 1</t>
        </is>
      </c>
      <c r="F1718" s="126" t="n">
        <v>46920</v>
      </c>
      <c r="G1718" s="126" t="n">
        <v>46933</v>
      </c>
      <c r="H1718" s="126" t="n">
        <v>46289</v>
      </c>
      <c r="I1718" s="4" t="n">
        <v>0</v>
      </c>
      <c r="J1718" s="4" t="n">
        <v>0</v>
      </c>
      <c r="K1718" s="4" t="n">
        <v>0</v>
      </c>
      <c r="M1718" s="2">
        <f>IF(C1718="","",IFERROR(INDEX($S$5:$S$304,MATCH(C1718,$R$5:$R$304,0))&amp;"","?"))</f>
        <v/>
      </c>
      <c r="N1718" s="2">
        <f>IF(E1718="","",IF(ISNUMBER(SEARCH("SUBSOLO",E1718)),IFERROR(-VALUE(LEFT(E1718,FIND("º",SUBSTITUTE(E1718,"°","º"))-1)),-1),IF(LEFT(E1718,6)="TÉRREO",0,IFERROR(VALUE(LEFT(E1718,FIND("º",SUBSTITUTE(E1718,"°","º"))-1)),""))))</f>
        <v/>
      </c>
      <c r="O1718" s="2">
        <f>IF(OR(F1718="",G1718=""),"",IF(G1718&lt;='RETRATO 2027'!$K$5,"CONCLUÍDA",IF(F1718&lt;='RETRATO 2027'!$K$5,"EM ANDAMENTO","A INICIAR")))</f>
        <v/>
      </c>
    </row>
    <row r="1719">
      <c r="B1719" s="4" t="n">
        <v>30206012</v>
      </c>
      <c r="C1719" s="4" t="inlineStr">
        <is>
          <t>CONTRAPISO</t>
        </is>
      </c>
      <c r="D1719" s="4" t="inlineStr">
        <is>
          <t>-</t>
        </is>
      </c>
      <c r="E1719" s="4" t="inlineStr">
        <is>
          <t>6º PAV (PILOTIS) - COWORKING 1 E 2 + CIRC. 2 + HALL 2 + DML + VEST. MASC. + VEST. FEM</t>
        </is>
      </c>
      <c r="F1719" s="126" t="n">
        <v>46920</v>
      </c>
      <c r="G1719" s="126" t="n">
        <v>46933</v>
      </c>
      <c r="H1719" s="126" t="n">
        <v>46289</v>
      </c>
      <c r="I1719" s="4" t="n">
        <v>0</v>
      </c>
      <c r="J1719" s="4" t="n">
        <v>0</v>
      </c>
      <c r="K1719" s="4" t="n">
        <v>0</v>
      </c>
      <c r="M1719" s="2">
        <f>IF(C1719="","",IFERROR(INDEX($S$5:$S$304,MATCH(C1719,$R$5:$R$304,0))&amp;"","?"))</f>
        <v/>
      </c>
      <c r="N1719" s="2">
        <f>IF(E1719="","",IF(ISNUMBER(SEARCH("SUBSOLO",E1719)),IFERROR(-VALUE(LEFT(E1719,FIND("º",SUBSTITUTE(E1719,"°","º"))-1)),-1),IF(LEFT(E1719,6)="TÉRREO",0,IFERROR(VALUE(LEFT(E1719,FIND("º",SUBSTITUTE(E1719,"°","º"))-1)),""))))</f>
        <v/>
      </c>
      <c r="O1719" s="2">
        <f>IF(OR(F1719="",G1719=""),"",IF(G1719&lt;='RETRATO 2027'!$K$5,"CONCLUÍDA",IF(F1719&lt;='RETRATO 2027'!$K$5,"EM ANDAMENTO","A INICIAR")))</f>
        <v/>
      </c>
    </row>
    <row r="1720">
      <c r="B1720" s="4" t="n">
        <v>30205974</v>
      </c>
      <c r="C1720" s="4" t="inlineStr">
        <is>
          <t>IMPERMEABILIZAÇÃO</t>
        </is>
      </c>
      <c r="D1720" s="4" t="inlineStr">
        <is>
          <t>-</t>
        </is>
      </c>
      <c r="E1720" s="4" t="inlineStr">
        <is>
          <t>6º PAV (PILOTIS) - LOUNGE + SALÃO + COZINHA + GOURMET + ESPAÇO KIDS</t>
        </is>
      </c>
      <c r="F1720" s="126" t="n">
        <v>46920</v>
      </c>
      <c r="G1720" s="126" t="n">
        <v>46933</v>
      </c>
      <c r="H1720" s="126" t="n">
        <v>46289</v>
      </c>
      <c r="I1720" s="4" t="n">
        <v>0</v>
      </c>
      <c r="J1720" s="4" t="n">
        <v>0</v>
      </c>
      <c r="K1720" s="4" t="n">
        <v>0</v>
      </c>
      <c r="M1720" s="2">
        <f>IF(C1720="","",IFERROR(INDEX($S$5:$S$304,MATCH(C1720,$R$5:$R$304,0))&amp;"","?"))</f>
        <v/>
      </c>
      <c r="N1720" s="2">
        <f>IF(E1720="","",IF(ISNUMBER(SEARCH("SUBSOLO",E1720)),IFERROR(-VALUE(LEFT(E1720,FIND("º",SUBSTITUTE(E1720,"°","º"))-1)),-1),IF(LEFT(E1720,6)="TÉRREO",0,IFERROR(VALUE(LEFT(E1720,FIND("º",SUBSTITUTE(E1720,"°","º"))-1)),""))))</f>
        <v/>
      </c>
      <c r="O1720" s="2">
        <f>IF(OR(F1720="",G1720=""),"",IF(G1720&lt;='RETRATO 2027'!$K$5,"CONCLUÍDA",IF(F1720&lt;='RETRATO 2027'!$K$5,"EM ANDAMENTO","A INICIAR")))</f>
        <v/>
      </c>
    </row>
    <row r="1721">
      <c r="B1721" s="4" t="n">
        <v>29980848</v>
      </c>
      <c r="C1721" s="4" t="inlineStr">
        <is>
          <t>FORRO</t>
        </is>
      </c>
      <c r="D1721" s="4" t="inlineStr">
        <is>
          <t>-</t>
        </is>
      </c>
      <c r="E1721" s="4" t="inlineStr">
        <is>
          <t>26º PAV.</t>
        </is>
      </c>
      <c r="F1721" s="126" t="n">
        <v>46920</v>
      </c>
      <c r="G1721" s="126" t="n">
        <v>46932</v>
      </c>
      <c r="H1721" s="126" t="n">
        <v>46289</v>
      </c>
      <c r="I1721" s="4" t="n">
        <v>0</v>
      </c>
      <c r="J1721" s="4" t="n">
        <v>0</v>
      </c>
      <c r="K1721" s="4" t="n">
        <v>0</v>
      </c>
      <c r="M1721" s="2">
        <f>IF(C1721="","",IFERROR(INDEX($S$5:$S$304,MATCH(C1721,$R$5:$R$304,0))&amp;"","?"))</f>
        <v/>
      </c>
      <c r="N1721" s="2">
        <f>IF(E1721="","",IF(ISNUMBER(SEARCH("SUBSOLO",E1721)),IFERROR(-VALUE(LEFT(E1721,FIND("º",SUBSTITUTE(E1721,"°","º"))-1)),-1),IF(LEFT(E1721,6)="TÉRREO",0,IFERROR(VALUE(LEFT(E1721,FIND("º",SUBSTITUTE(E1721,"°","º"))-1)),""))))</f>
        <v/>
      </c>
      <c r="O1721" s="2">
        <f>IF(OR(F1721="",G1721=""),"",IF(G1721&lt;='RETRATO 2027'!$K$5,"CONCLUÍDA",IF(F1721&lt;='RETRATO 2027'!$K$5,"EM ANDAMENTO","A INICIAR")))</f>
        <v/>
      </c>
    </row>
    <row r="1722">
      <c r="B1722" s="4" t="n">
        <v>29980809</v>
      </c>
      <c r="C1722" s="4" t="inlineStr">
        <is>
          <t>FIAÇÃO ELÉTRICA</t>
        </is>
      </c>
      <c r="D1722" s="4" t="inlineStr">
        <is>
          <t>-</t>
        </is>
      </c>
      <c r="E1722" s="4" t="inlineStr">
        <is>
          <t>27º PAV.</t>
        </is>
      </c>
      <c r="F1722" s="126" t="n">
        <v>46920</v>
      </c>
      <c r="G1722" s="126" t="n">
        <v>46932</v>
      </c>
      <c r="H1722" s="126" t="n">
        <v>46289</v>
      </c>
      <c r="I1722" s="4" t="n">
        <v>0</v>
      </c>
      <c r="J1722" s="4" t="n">
        <v>0</v>
      </c>
      <c r="K1722" s="4" t="n">
        <v>0</v>
      </c>
      <c r="M1722" s="2">
        <f>IF(C1722="","",IFERROR(INDEX($S$5:$S$304,MATCH(C1722,$R$5:$R$304,0))&amp;"","?"))</f>
        <v/>
      </c>
      <c r="N1722" s="2">
        <f>IF(E1722="","",IF(ISNUMBER(SEARCH("SUBSOLO",E1722)),IFERROR(-VALUE(LEFT(E1722,FIND("º",SUBSTITUTE(E1722,"°","º"))-1)),-1),IF(LEFT(E1722,6)="TÉRREO",0,IFERROR(VALUE(LEFT(E1722,FIND("º",SUBSTITUTE(E1722,"°","º"))-1)),""))))</f>
        <v/>
      </c>
      <c r="O1722" s="2">
        <f>IF(OR(F1722="",G1722=""),"",IF(G1722&lt;='RETRATO 2027'!$K$5,"CONCLUÍDA",IF(F1722&lt;='RETRATO 2027'!$K$5,"EM ANDAMENTO","A INICIAR")))</f>
        <v/>
      </c>
    </row>
    <row r="1723">
      <c r="B1723" s="4" t="n">
        <v>29980814</v>
      </c>
      <c r="C1723" s="4" t="inlineStr">
        <is>
          <t>PRUMADA ELÉTRICA - CABOS</t>
        </is>
      </c>
      <c r="D1723" s="4" t="inlineStr">
        <is>
          <t>-</t>
        </is>
      </c>
      <c r="E1723" s="4" t="inlineStr">
        <is>
          <t>27º PAV.</t>
        </is>
      </c>
      <c r="F1723" s="126" t="n">
        <v>46920</v>
      </c>
      <c r="G1723" s="126" t="n">
        <v>46932</v>
      </c>
      <c r="H1723" s="126" t="n">
        <v>46289</v>
      </c>
      <c r="I1723" s="4" t="n">
        <v>0</v>
      </c>
      <c r="J1723" s="4" t="n">
        <v>0</v>
      </c>
      <c r="K1723" s="4" t="n">
        <v>0</v>
      </c>
      <c r="M1723" s="2">
        <f>IF(C1723="","",IFERROR(INDEX($S$5:$S$304,MATCH(C1723,$R$5:$R$304,0))&amp;"","?"))</f>
        <v/>
      </c>
      <c r="N1723" s="2">
        <f>IF(E1723="","",IF(ISNUMBER(SEARCH("SUBSOLO",E1723)),IFERROR(-VALUE(LEFT(E1723,FIND("º",SUBSTITUTE(E1723,"°","º"))-1)),-1),IF(LEFT(E1723,6)="TÉRREO",0,IFERROR(VALUE(LEFT(E1723,FIND("º",SUBSTITUTE(E1723,"°","º"))-1)),""))))</f>
        <v/>
      </c>
      <c r="O1723" s="2">
        <f>IF(OR(F1723="",G1723=""),"",IF(G1723&lt;='RETRATO 2027'!$K$5,"CONCLUÍDA",IF(F1723&lt;='RETRATO 2027'!$K$5,"EM ANDAMENTO","A INICIAR")))</f>
        <v/>
      </c>
    </row>
    <row r="1724">
      <c r="B1724" s="4" t="n">
        <v>30214089</v>
      </c>
      <c r="C1724" s="4" t="inlineStr">
        <is>
          <t>FIAÇÃO TELECOM/DADOS</t>
        </is>
      </c>
      <c r="D1724" s="4" t="inlineStr">
        <is>
          <t>-</t>
        </is>
      </c>
      <c r="E1724" s="4" t="inlineStr">
        <is>
          <t>27º PAV.</t>
        </is>
      </c>
      <c r="F1724" s="126" t="n">
        <v>46920</v>
      </c>
      <c r="G1724" s="126" t="n">
        <v>46933</v>
      </c>
      <c r="H1724" s="126" t="n">
        <v>46289</v>
      </c>
      <c r="I1724" s="4" t="n">
        <v>0</v>
      </c>
      <c r="J1724" s="4" t="n">
        <v>0</v>
      </c>
      <c r="K1724" s="4" t="n">
        <v>0</v>
      </c>
      <c r="M1724" s="2">
        <f>IF(C1724="","",IFERROR(INDEX($S$5:$S$304,MATCH(C1724,$R$5:$R$304,0))&amp;"","?"))</f>
        <v/>
      </c>
      <c r="N1724" s="2">
        <f>IF(E1724="","",IF(ISNUMBER(SEARCH("SUBSOLO",E1724)),IFERROR(-VALUE(LEFT(E1724,FIND("º",SUBSTITUTE(E1724,"°","º"))-1)),-1),IF(LEFT(E1724,6)="TÉRREO",0,IFERROR(VALUE(LEFT(E1724,FIND("º",SUBSTITUTE(E1724,"°","º"))-1)),""))))</f>
        <v/>
      </c>
      <c r="O1724" s="2">
        <f>IF(OR(F1724="",G1724=""),"",IF(G1724&lt;='RETRATO 2027'!$K$5,"CONCLUÍDA",IF(F1724&lt;='RETRATO 2027'!$K$5,"EM ANDAMENTO","A INICIAR")))</f>
        <v/>
      </c>
    </row>
    <row r="1725">
      <c r="B1725" s="4" t="n">
        <v>29980756</v>
      </c>
      <c r="C1725" s="4" t="inlineStr">
        <is>
          <t>BANCADAS</t>
        </is>
      </c>
      <c r="D1725" s="4" t="inlineStr">
        <is>
          <t>-</t>
        </is>
      </c>
      <c r="E1725" s="4" t="inlineStr">
        <is>
          <t>28º PAV.</t>
        </is>
      </c>
      <c r="F1725" s="126" t="n">
        <v>46920</v>
      </c>
      <c r="G1725" s="126" t="n">
        <v>46932</v>
      </c>
      <c r="H1725" s="126" t="n">
        <v>46289</v>
      </c>
      <c r="I1725" s="4" t="n">
        <v>0</v>
      </c>
      <c r="J1725" s="4" t="n">
        <v>0</v>
      </c>
      <c r="K1725" s="4" t="n">
        <v>0</v>
      </c>
      <c r="M1725" s="2">
        <f>IF(C1725="","",IFERROR(INDEX($S$5:$S$304,MATCH(C1725,$R$5:$R$304,0))&amp;"","?"))</f>
        <v/>
      </c>
      <c r="N1725" s="2">
        <f>IF(E1725="","",IF(ISNUMBER(SEARCH("SUBSOLO",E1725)),IFERROR(-VALUE(LEFT(E1725,FIND("º",SUBSTITUTE(E1725,"°","º"))-1)),-1),IF(LEFT(E1725,6)="TÉRREO",0,IFERROR(VALUE(LEFT(E1725,FIND("º",SUBSTITUTE(E1725,"°","º"))-1)),""))))</f>
        <v/>
      </c>
      <c r="O1725" s="2">
        <f>IF(OR(F1725="",G1725=""),"",IF(G1725&lt;='RETRATO 2027'!$K$5,"CONCLUÍDA",IF(F1725&lt;='RETRATO 2027'!$K$5,"EM ANDAMENTO","A INICIAR")))</f>
        <v/>
      </c>
    </row>
    <row r="1726">
      <c r="B1726" s="4" t="n">
        <v>29980718</v>
      </c>
      <c r="C1726" s="4" t="inlineStr">
        <is>
          <t>REVESTIMENTOS PORCELANATO PISO</t>
        </is>
      </c>
      <c r="D1726" s="4" t="inlineStr">
        <is>
          <t>-</t>
        </is>
      </c>
      <c r="E1726" s="4" t="inlineStr">
        <is>
          <t>29º PAV.</t>
        </is>
      </c>
      <c r="F1726" s="126" t="n">
        <v>46920</v>
      </c>
      <c r="G1726" s="126" t="n">
        <v>46932</v>
      </c>
      <c r="H1726" s="126" t="n">
        <v>46289</v>
      </c>
      <c r="I1726" s="4" t="n">
        <v>0</v>
      </c>
      <c r="J1726" s="4" t="n">
        <v>0</v>
      </c>
      <c r="K1726" s="4" t="n">
        <v>0</v>
      </c>
      <c r="M1726" s="2">
        <f>IF(C1726="","",IFERROR(INDEX($S$5:$S$304,MATCH(C1726,$R$5:$R$304,0))&amp;"","?"))</f>
        <v/>
      </c>
      <c r="N1726" s="2">
        <f>IF(E1726="","",IF(ISNUMBER(SEARCH("SUBSOLO",E1726)),IFERROR(-VALUE(LEFT(E1726,FIND("º",SUBSTITUTE(E1726,"°","º"))-1)),-1),IF(LEFT(E1726,6)="TÉRREO",0,IFERROR(VALUE(LEFT(E1726,FIND("º",SUBSTITUTE(E1726,"°","º"))-1)),""))))</f>
        <v/>
      </c>
      <c r="O1726" s="2">
        <f>IF(OR(F1726="",G1726=""),"",IF(G1726&lt;='RETRATO 2027'!$K$5,"CONCLUÍDA",IF(F1726&lt;='RETRATO 2027'!$K$5,"EM ANDAMENTO","A INICIAR")))</f>
        <v/>
      </c>
    </row>
    <row r="1727">
      <c r="B1727" s="4" t="n">
        <v>29980697</v>
      </c>
      <c r="C1727" s="4" t="inlineStr">
        <is>
          <t>REVESTIMENTO PORCELANATO PAREDE</t>
        </is>
      </c>
      <c r="D1727" s="4" t="inlineStr">
        <is>
          <t>-</t>
        </is>
      </c>
      <c r="E1727" s="4" t="inlineStr">
        <is>
          <t>30º PAV.</t>
        </is>
      </c>
      <c r="F1727" s="126" t="n">
        <v>46920</v>
      </c>
      <c r="G1727" s="126" t="n">
        <v>46932</v>
      </c>
      <c r="H1727" s="126" t="n">
        <v>46289</v>
      </c>
      <c r="I1727" s="4" t="n">
        <v>0</v>
      </c>
      <c r="J1727" s="4" t="n">
        <v>0</v>
      </c>
      <c r="K1727" s="4" t="n">
        <v>0</v>
      </c>
      <c r="M1727" s="2">
        <f>IF(C1727="","",IFERROR(INDEX($S$5:$S$304,MATCH(C1727,$R$5:$R$304,0))&amp;"","?"))</f>
        <v/>
      </c>
      <c r="N1727" s="2">
        <f>IF(E1727="","",IF(ISNUMBER(SEARCH("SUBSOLO",E1727)),IFERROR(-VALUE(LEFT(E1727,FIND("º",SUBSTITUTE(E1727,"°","º"))-1)),-1),IF(LEFT(E1727,6)="TÉRREO",0,IFERROR(VALUE(LEFT(E1727,FIND("º",SUBSTITUTE(E1727,"°","º"))-1)),""))))</f>
        <v/>
      </c>
      <c r="O1727" s="2">
        <f>IF(OR(F1727="",G1727=""),"",IF(G1727&lt;='RETRATO 2027'!$K$5,"CONCLUÍDA",IF(F1727&lt;='RETRATO 2027'!$K$5,"EM ANDAMENTO","A INICIAR")))</f>
        <v/>
      </c>
    </row>
    <row r="1728">
      <c r="B1728" s="4" t="n">
        <v>29980658</v>
      </c>
      <c r="C1728" s="4" t="inlineStr">
        <is>
          <t>IMPERMEABILIZAÇÃO</t>
        </is>
      </c>
      <c r="D1728" s="4" t="inlineStr">
        <is>
          <t>-</t>
        </is>
      </c>
      <c r="E1728" s="4" t="inlineStr">
        <is>
          <t>31º PAV. - COBERTURA LINEAR</t>
        </is>
      </c>
      <c r="F1728" s="126" t="n">
        <v>46920</v>
      </c>
      <c r="G1728" s="126" t="n">
        <v>46932</v>
      </c>
      <c r="H1728" s="126" t="n">
        <v>46289</v>
      </c>
      <c r="I1728" s="4" t="n">
        <v>0</v>
      </c>
      <c r="J1728" s="4" t="n">
        <v>0</v>
      </c>
      <c r="K1728" s="4" t="n">
        <v>0</v>
      </c>
      <c r="M1728" s="2">
        <f>IF(C1728="","",IFERROR(INDEX($S$5:$S$304,MATCH(C1728,$R$5:$R$304,0))&amp;"","?"))</f>
        <v/>
      </c>
      <c r="N1728" s="2">
        <f>IF(E1728="","",IF(ISNUMBER(SEARCH("SUBSOLO",E1728)),IFERROR(-VALUE(LEFT(E1728,FIND("º",SUBSTITUTE(E1728,"°","º"))-1)),-1),IF(LEFT(E1728,6)="TÉRREO",0,IFERROR(VALUE(LEFT(E1728,FIND("º",SUBSTITUTE(E1728,"°","º"))-1)),""))))</f>
        <v/>
      </c>
      <c r="O1728" s="2">
        <f>IF(OR(F1728="",G1728=""),"",IF(G1728&lt;='RETRATO 2027'!$K$5,"CONCLUÍDA",IF(F1728&lt;='RETRATO 2027'!$K$5,"EM ANDAMENTO","A INICIAR")))</f>
        <v/>
      </c>
    </row>
    <row r="1729">
      <c r="B1729" s="4" t="n">
        <v>32750458</v>
      </c>
      <c r="C1729" s="4" t="inlineStr">
        <is>
          <t>DRYWALL 2º FACE</t>
        </is>
      </c>
      <c r="D1729" s="4" t="inlineStr">
        <is>
          <t>-</t>
        </is>
      </c>
      <c r="E1729" s="4" t="inlineStr">
        <is>
          <t>32º PAV - COBERTURA GERAL</t>
        </is>
      </c>
      <c r="F1729" s="126" t="n">
        <v>46920</v>
      </c>
      <c r="G1729" s="126" t="n">
        <v>46932</v>
      </c>
      <c r="H1729" s="126" t="n">
        <v>46289</v>
      </c>
      <c r="I1729" s="4" t="n">
        <v>0</v>
      </c>
      <c r="J1729" s="4" t="n">
        <v>0</v>
      </c>
      <c r="K1729" s="4" t="n">
        <v>0</v>
      </c>
      <c r="M1729" s="2">
        <f>IF(C1729="","",IFERROR(INDEX($S$5:$S$304,MATCH(C1729,$R$5:$R$304,0))&amp;"","?"))</f>
        <v/>
      </c>
      <c r="N1729" s="2">
        <f>IF(E1729="","",IF(ISNUMBER(SEARCH("SUBSOLO",E1729)),IFERROR(-VALUE(LEFT(E1729,FIND("º",SUBSTITUTE(E1729,"°","º"))-1)),-1),IF(LEFT(E1729,6)="TÉRREO",0,IFERROR(VALUE(LEFT(E1729,FIND("º",SUBSTITUTE(E1729,"°","º"))-1)),""))))</f>
        <v/>
      </c>
      <c r="O1729" s="2">
        <f>IF(OR(F1729="",G1729=""),"",IF(G1729&lt;='RETRATO 2027'!$K$5,"CONCLUÍDA",IF(F1729&lt;='RETRATO 2027'!$K$5,"EM ANDAMENTO","A INICIAR")))</f>
        <v/>
      </c>
    </row>
    <row r="1730">
      <c r="B1730" s="4" t="n">
        <v>29981080</v>
      </c>
      <c r="C1730" s="4" t="inlineStr">
        <is>
          <t>SHAFT INTERNO INST. HIDRAÚLICAS</t>
        </is>
      </c>
      <c r="D1730" s="4" t="inlineStr">
        <is>
          <t>-</t>
        </is>
      </c>
      <c r="E1730" s="4" t="inlineStr">
        <is>
          <t>19º PAV.</t>
        </is>
      </c>
      <c r="F1730" s="126" t="n">
        <v>46923</v>
      </c>
      <c r="G1730" s="126" t="n">
        <v>46933</v>
      </c>
      <c r="H1730" s="126" t="n">
        <v>46289</v>
      </c>
      <c r="I1730" s="4" t="n">
        <v>0</v>
      </c>
      <c r="J1730" s="4" t="n">
        <v>0</v>
      </c>
      <c r="K1730" s="4" t="n">
        <v>0</v>
      </c>
      <c r="M1730" s="2">
        <f>IF(C1730="","",IFERROR(INDEX($S$5:$S$304,MATCH(C1730,$R$5:$R$304,0))&amp;"","?"))</f>
        <v/>
      </c>
      <c r="N1730" s="2">
        <f>IF(E1730="","",IF(ISNUMBER(SEARCH("SUBSOLO",E1730)),IFERROR(-VALUE(LEFT(E1730,FIND("º",SUBSTITUTE(E1730,"°","º"))-1)),-1),IF(LEFT(E1730,6)="TÉRREO",0,IFERROR(VALUE(LEFT(E1730,FIND("º",SUBSTITUTE(E1730,"°","º"))-1)),""))))</f>
        <v/>
      </c>
      <c r="O1730" s="2">
        <f>IF(OR(F1730="",G1730=""),"",IF(G1730&lt;='RETRATO 2027'!$K$5,"CONCLUÍDA",IF(F1730&lt;='RETRATO 2027'!$K$5,"EM ANDAMENTO","A INICIAR")))</f>
        <v/>
      </c>
    </row>
    <row r="1731">
      <c r="B1731" s="4" t="n">
        <v>29981113</v>
      </c>
      <c r="C1731" s="4" t="inlineStr">
        <is>
          <t>PRUMADA ELÉTRICA - INFRA</t>
        </is>
      </c>
      <c r="D1731" s="4" t="inlineStr">
        <is>
          <t>-</t>
        </is>
      </c>
      <c r="E1731" s="4" t="inlineStr">
        <is>
          <t>19º PAV.</t>
        </is>
      </c>
      <c r="F1731" s="126" t="n">
        <v>46923</v>
      </c>
      <c r="G1731" s="126" t="n">
        <v>46933</v>
      </c>
      <c r="H1731" s="126" t="n">
        <v>46289</v>
      </c>
      <c r="I1731" s="4" t="n">
        <v>0</v>
      </c>
      <c r="J1731" s="4" t="n">
        <v>0</v>
      </c>
      <c r="K1731" s="4" t="n">
        <v>0</v>
      </c>
      <c r="M1731" s="2">
        <f>IF(C1731="","",IFERROR(INDEX($S$5:$S$304,MATCH(C1731,$R$5:$R$304,0))&amp;"","?"))</f>
        <v/>
      </c>
      <c r="N1731" s="2">
        <f>IF(E1731="","",IF(ISNUMBER(SEARCH("SUBSOLO",E1731)),IFERROR(-VALUE(LEFT(E1731,FIND("º",SUBSTITUTE(E1731,"°","º"))-1)),-1),IF(LEFT(E1731,6)="TÉRREO",0,IFERROR(VALUE(LEFT(E1731,FIND("º",SUBSTITUTE(E1731,"°","º"))-1)),""))))</f>
        <v/>
      </c>
      <c r="O1731" s="2">
        <f>IF(OR(F1731="",G1731=""),"",IF(G1731&lt;='RETRATO 2027'!$K$5,"CONCLUÍDA",IF(F1731&lt;='RETRATO 2027'!$K$5,"EM ANDAMENTO","A INICIAR")))</f>
        <v/>
      </c>
    </row>
    <row r="1732">
      <c r="B1732" s="4" t="n">
        <v>30211207</v>
      </c>
      <c r="C1732" s="4" t="inlineStr">
        <is>
          <t>IMPERMEABILIZAÇÃO</t>
        </is>
      </c>
      <c r="D1732" s="4" t="inlineStr">
        <is>
          <t>-</t>
        </is>
      </c>
      <c r="E1732" s="4" t="inlineStr">
        <is>
          <t>34º PAV - RESERVATÓRIO</t>
        </is>
      </c>
      <c r="F1732" s="126" t="n">
        <v>46923</v>
      </c>
      <c r="G1732" s="126" t="n">
        <v>46941</v>
      </c>
      <c r="H1732" s="126" t="n">
        <v>46289</v>
      </c>
      <c r="I1732" s="4" t="n">
        <v>0</v>
      </c>
      <c r="J1732" s="4" t="n">
        <v>0</v>
      </c>
      <c r="K1732" s="4" t="n">
        <v>0</v>
      </c>
      <c r="M1732" s="2">
        <f>IF(C1732="","",IFERROR(INDEX($S$5:$S$304,MATCH(C1732,$R$5:$R$304,0))&amp;"","?"))</f>
        <v/>
      </c>
      <c r="N1732" s="2">
        <f>IF(E1732="","",IF(ISNUMBER(SEARCH("SUBSOLO",E1732)),IFERROR(-VALUE(LEFT(E1732,FIND("º",SUBSTITUTE(E1732,"°","º"))-1)),-1),IF(LEFT(E1732,6)="TÉRREO",0,IFERROR(VALUE(LEFT(E1732,FIND("º",SUBSTITUTE(E1732,"°","º"))-1)),""))))</f>
        <v/>
      </c>
      <c r="O1732" s="2">
        <f>IF(OR(F1732="",G1732=""),"",IF(G1732&lt;='RETRATO 2027'!$K$5,"CONCLUÍDA",IF(F1732&lt;='RETRATO 2027'!$K$5,"EM ANDAMENTO","A INICIAR")))</f>
        <v/>
      </c>
    </row>
    <row r="1733">
      <c r="B1733" s="4" t="n">
        <v>30205709</v>
      </c>
      <c r="C1733" s="4" t="inlineStr">
        <is>
          <t>CHECKLIST</t>
        </is>
      </c>
      <c r="D1733" s="4" t="inlineStr">
        <is>
          <t>-</t>
        </is>
      </c>
      <c r="E1733" s="4" t="inlineStr">
        <is>
          <t>TÉRREO - LOJA 1</t>
        </is>
      </c>
      <c r="F1733" s="126" t="n">
        <v>46924</v>
      </c>
      <c r="G1733" s="126" t="n">
        <v>46930</v>
      </c>
      <c r="H1733" s="126" t="n">
        <v>46289</v>
      </c>
      <c r="I1733" s="4" t="n">
        <v>0</v>
      </c>
      <c r="J1733" s="4" t="n">
        <v>0</v>
      </c>
      <c r="K1733" s="4" t="n">
        <v>0</v>
      </c>
      <c r="M1733" s="2">
        <f>IF(C1733="","",IFERROR(INDEX($S$5:$S$304,MATCH(C1733,$R$5:$R$304,0))&amp;"","?"))</f>
        <v/>
      </c>
      <c r="N1733" s="2">
        <f>IF(E1733="","",IF(ISNUMBER(SEARCH("SUBSOLO",E1733)),IFERROR(-VALUE(LEFT(E1733,FIND("º",SUBSTITUTE(E1733,"°","º"))-1)),-1),IF(LEFT(E1733,6)="TÉRREO",0,IFERROR(VALUE(LEFT(E1733,FIND("º",SUBSTITUTE(E1733,"°","º"))-1)),""))))</f>
        <v/>
      </c>
      <c r="O1733" s="2">
        <f>IF(OR(F1733="",G1733=""),"",IF(G1733&lt;='RETRATO 2027'!$K$5,"CONCLUÍDA",IF(F1733&lt;='RETRATO 2027'!$K$5,"EM ANDAMENTO","A INICIAR")))</f>
        <v/>
      </c>
    </row>
    <row r="1734">
      <c r="B1734" s="4" t="n">
        <v>30205678</v>
      </c>
      <c r="C1734" s="4" t="inlineStr">
        <is>
          <t>LIMPEZA FINA</t>
        </is>
      </c>
      <c r="D1734" s="4" t="inlineStr">
        <is>
          <t>-</t>
        </is>
      </c>
      <c r="E1734" s="4" t="inlineStr">
        <is>
          <t>TÉRREO - LOJA 2</t>
        </is>
      </c>
      <c r="F1734" s="126" t="n">
        <v>46924</v>
      </c>
      <c r="G1734" s="126" t="n">
        <v>46937</v>
      </c>
      <c r="H1734" s="126" t="n">
        <v>46289</v>
      </c>
      <c r="I1734" s="4" t="n">
        <v>0</v>
      </c>
      <c r="J1734" s="4" t="n">
        <v>0</v>
      </c>
      <c r="K1734" s="4" t="n">
        <v>0</v>
      </c>
      <c r="M1734" s="2">
        <f>IF(C1734="","",IFERROR(INDEX($S$5:$S$304,MATCH(C1734,$R$5:$R$304,0))&amp;"","?"))</f>
        <v/>
      </c>
      <c r="N1734" s="2">
        <f>IF(E1734="","",IF(ISNUMBER(SEARCH("SUBSOLO",E1734)),IFERROR(-VALUE(LEFT(E1734,FIND("º",SUBSTITUTE(E1734,"°","º"))-1)),-1),IF(LEFT(E1734,6)="TÉRREO",0,IFERROR(VALUE(LEFT(E1734,FIND("º",SUBSTITUTE(E1734,"°","º"))-1)),""))))</f>
        <v/>
      </c>
      <c r="O1734" s="2">
        <f>IF(OR(F1734="",G1734=""),"",IF(G1734&lt;='RETRATO 2027'!$K$5,"CONCLUÍDA",IF(F1734&lt;='RETRATO 2027'!$K$5,"EM ANDAMENTO","A INICIAR")))</f>
        <v/>
      </c>
    </row>
    <row r="1735">
      <c r="B1735" s="4" t="n">
        <v>30205641</v>
      </c>
      <c r="C1735" s="4" t="inlineStr">
        <is>
          <t>ACABAMENTOS ELÉTRICOS</t>
        </is>
      </c>
      <c r="D1735" s="4" t="inlineStr">
        <is>
          <t>-</t>
        </is>
      </c>
      <c r="E1735" s="4" t="inlineStr">
        <is>
          <t>TÉRREO - LOJA 3</t>
        </is>
      </c>
      <c r="F1735" s="126" t="n">
        <v>46924</v>
      </c>
      <c r="G1735" s="126" t="n">
        <v>46937</v>
      </c>
      <c r="H1735" s="126" t="n">
        <v>46289</v>
      </c>
      <c r="I1735" s="4" t="n">
        <v>0</v>
      </c>
      <c r="J1735" s="4" t="n">
        <v>0</v>
      </c>
      <c r="K1735" s="4" t="n">
        <v>0</v>
      </c>
      <c r="M1735" s="2">
        <f>IF(C1735="","",IFERROR(INDEX($S$5:$S$304,MATCH(C1735,$R$5:$R$304,0))&amp;"","?"))</f>
        <v/>
      </c>
      <c r="N1735" s="2">
        <f>IF(E1735="","",IF(ISNUMBER(SEARCH("SUBSOLO",E1735)),IFERROR(-VALUE(LEFT(E1735,FIND("º",SUBSTITUTE(E1735,"°","º"))-1)),-1),IF(LEFT(E1735,6)="TÉRREO",0,IFERROR(VALUE(LEFT(E1735,FIND("º",SUBSTITUTE(E1735,"°","º"))-1)),""))))</f>
        <v/>
      </c>
      <c r="O1735" s="2">
        <f>IF(OR(F1735="",G1735=""),"",IF(G1735&lt;='RETRATO 2027'!$K$5,"CONCLUÍDA",IF(F1735&lt;='RETRATO 2027'!$K$5,"EM ANDAMENTO","A INICIAR")))</f>
        <v/>
      </c>
    </row>
    <row r="1736">
      <c r="B1736" s="4" t="n">
        <v>30205613</v>
      </c>
      <c r="C1736" s="4" t="inlineStr">
        <is>
          <t>PINTURA 2º DEMÃO</t>
        </is>
      </c>
      <c r="D1736" s="4" t="inlineStr">
        <is>
          <t>-</t>
        </is>
      </c>
      <c r="E1736" s="4" t="inlineStr">
        <is>
          <t>TÉRREO - LOJA 4</t>
        </is>
      </c>
      <c r="F1736" s="126" t="n">
        <v>46924</v>
      </c>
      <c r="G1736" s="126" t="n">
        <v>46937</v>
      </c>
      <c r="H1736" s="126" t="n">
        <v>46289</v>
      </c>
      <c r="I1736" s="4" t="n">
        <v>0</v>
      </c>
      <c r="J1736" s="4" t="n">
        <v>0</v>
      </c>
      <c r="K1736" s="4" t="n">
        <v>0</v>
      </c>
      <c r="M1736" s="2">
        <f>IF(C1736="","",IFERROR(INDEX($S$5:$S$304,MATCH(C1736,$R$5:$R$304,0))&amp;"","?"))</f>
        <v/>
      </c>
      <c r="N1736" s="2">
        <f>IF(E1736="","",IF(ISNUMBER(SEARCH("SUBSOLO",E1736)),IFERROR(-VALUE(LEFT(E1736,FIND("º",SUBSTITUTE(E1736,"°","º"))-1)),-1),IF(LEFT(E1736,6)="TÉRREO",0,IFERROR(VALUE(LEFT(E1736,FIND("º",SUBSTITUTE(E1736,"°","º"))-1)),""))))</f>
        <v/>
      </c>
      <c r="O1736" s="2">
        <f>IF(OR(F1736="",G1736=""),"",IF(G1736&lt;='RETRATO 2027'!$K$5,"CONCLUÍDA",IF(F1736&lt;='RETRATO 2027'!$K$5,"EM ANDAMENTO","A INICIAR")))</f>
        <v/>
      </c>
    </row>
    <row r="1737">
      <c r="B1737" s="4" t="n">
        <v>30205599</v>
      </c>
      <c r="C1737" s="4" t="inlineStr">
        <is>
          <t>LIMPEZA GROSSA</t>
        </is>
      </c>
      <c r="D1737" s="4" t="inlineStr">
        <is>
          <t>-</t>
        </is>
      </c>
      <c r="E1737" s="4" t="inlineStr">
        <is>
          <t>TÉRREO - LOJA 5</t>
        </is>
      </c>
      <c r="F1737" s="126" t="n">
        <v>46924</v>
      </c>
      <c r="G1737" s="126" t="n">
        <v>46937</v>
      </c>
      <c r="H1737" s="126" t="n">
        <v>46289</v>
      </c>
      <c r="I1737" s="4" t="n">
        <v>0</v>
      </c>
      <c r="J1737" s="4" t="n">
        <v>0</v>
      </c>
      <c r="K1737" s="4" t="n">
        <v>0</v>
      </c>
      <c r="M1737" s="2">
        <f>IF(C1737="","",IFERROR(INDEX($S$5:$S$304,MATCH(C1737,$R$5:$R$304,0))&amp;"","?"))</f>
        <v/>
      </c>
      <c r="N1737" s="2">
        <f>IF(E1737="","",IF(ISNUMBER(SEARCH("SUBSOLO",E1737)),IFERROR(-VALUE(LEFT(E1737,FIND("º",SUBSTITUTE(E1737,"°","º"))-1)),-1),IF(LEFT(E1737,6)="TÉRREO",0,IFERROR(VALUE(LEFT(E1737,FIND("º",SUBSTITUTE(E1737,"°","º"))-1)),""))))</f>
        <v/>
      </c>
      <c r="O1737" s="2">
        <f>IF(OR(F1737="",G1737=""),"",IF(G1737&lt;='RETRATO 2027'!$K$5,"CONCLUÍDA",IF(F1737&lt;='RETRATO 2027'!$K$5,"EM ANDAMENTO","A INICIAR")))</f>
        <v/>
      </c>
    </row>
    <row r="1738">
      <c r="B1738" s="4" t="n">
        <v>30205848</v>
      </c>
      <c r="C1738" s="4" t="inlineStr">
        <is>
          <t>ESQUADRIA DE ALUMÍNIO</t>
        </is>
      </c>
      <c r="D1738" s="4" t="inlineStr">
        <is>
          <t>-</t>
        </is>
      </c>
      <c r="E1738" s="4" t="inlineStr">
        <is>
          <t>1º PAV. (INTERMEDIÁRIO)</t>
        </is>
      </c>
      <c r="F1738" s="126" t="n">
        <v>46926</v>
      </c>
      <c r="G1738" s="126" t="n">
        <v>46939</v>
      </c>
      <c r="H1738" s="126" t="n">
        <v>46289</v>
      </c>
      <c r="I1738" s="4" t="n">
        <v>0</v>
      </c>
      <c r="J1738" s="4" t="n">
        <v>0</v>
      </c>
      <c r="K1738" s="4" t="n">
        <v>0</v>
      </c>
      <c r="M1738" s="2">
        <f>IF(C1738="","",IFERROR(INDEX($S$5:$S$304,MATCH(C1738,$R$5:$R$304,0))&amp;"","?"))</f>
        <v/>
      </c>
      <c r="N1738" s="2">
        <f>IF(E1738="","",IF(ISNUMBER(SEARCH("SUBSOLO",E1738)),IFERROR(-VALUE(LEFT(E1738,FIND("º",SUBSTITUTE(E1738,"°","º"))-1)),-1),IF(LEFT(E1738,6)="TÉRREO",0,IFERROR(VALUE(LEFT(E1738,FIND("º",SUBSTITUTE(E1738,"°","º"))-1)),""))))</f>
        <v/>
      </c>
      <c r="O1738" s="2">
        <f>IF(OR(F1738="",G1738=""),"",IF(G1738&lt;='RETRATO 2027'!$K$5,"CONCLUÍDA",IF(F1738&lt;='RETRATO 2027'!$K$5,"EM ANDAMENTO","A INICIAR")))</f>
        <v/>
      </c>
    </row>
    <row r="1739">
      <c r="B1739" s="4" t="n">
        <v>29981439</v>
      </c>
      <c r="C1739" s="4" t="inlineStr">
        <is>
          <t>LIMPEZA FINA</t>
        </is>
      </c>
      <c r="D1739" s="4" t="inlineStr">
        <is>
          <t>-</t>
        </is>
      </c>
      <c r="E1739" s="4" t="inlineStr">
        <is>
          <t>10º PAV.</t>
        </is>
      </c>
      <c r="F1739" s="126" t="n">
        <v>46926</v>
      </c>
      <c r="G1739" s="126" t="n">
        <v>46938</v>
      </c>
      <c r="H1739" s="126" t="n">
        <v>46289</v>
      </c>
      <c r="I1739" s="4" t="n">
        <v>0</v>
      </c>
      <c r="J1739" s="4" t="n">
        <v>0</v>
      </c>
      <c r="K1739" s="4" t="n">
        <v>0</v>
      </c>
      <c r="M1739" s="2">
        <f>IF(C1739="","",IFERROR(INDEX($S$5:$S$304,MATCH(C1739,$R$5:$R$304,0))&amp;"","?"))</f>
        <v/>
      </c>
      <c r="N1739" s="2">
        <f>IF(E1739="","",IF(ISNUMBER(SEARCH("SUBSOLO",E1739)),IFERROR(-VALUE(LEFT(E1739,FIND("º",SUBSTITUTE(E1739,"°","º"))-1)),-1),IF(LEFT(E1739,6)="TÉRREO",0,IFERROR(VALUE(LEFT(E1739,FIND("º",SUBSTITUTE(E1739,"°","º"))-1)),""))))</f>
        <v/>
      </c>
      <c r="O1739" s="2">
        <f>IF(OR(F1739="",G1739=""),"",IF(G1739&lt;='RETRATO 2027'!$K$5,"CONCLUÍDA",IF(F1739&lt;='RETRATO 2027'!$K$5,"EM ANDAMENTO","A INICIAR")))</f>
        <v/>
      </c>
    </row>
    <row r="1740">
      <c r="B1740" s="4" t="n">
        <v>29981392</v>
      </c>
      <c r="C1740" s="4" t="inlineStr">
        <is>
          <t>PINTURA 3º DEMÃO</t>
        </is>
      </c>
      <c r="D1740" s="4" t="inlineStr">
        <is>
          <t>-</t>
        </is>
      </c>
      <c r="E1740" s="4" t="inlineStr">
        <is>
          <t>11º PAV.</t>
        </is>
      </c>
      <c r="F1740" s="126" t="n">
        <v>46926</v>
      </c>
      <c r="G1740" s="126" t="n">
        <v>46938</v>
      </c>
      <c r="H1740" s="126" t="n">
        <v>46289</v>
      </c>
      <c r="I1740" s="4" t="n">
        <v>0</v>
      </c>
      <c r="J1740" s="4" t="n">
        <v>0</v>
      </c>
      <c r="K1740" s="4" t="n">
        <v>0</v>
      </c>
      <c r="M1740" s="2">
        <f>IF(C1740="","",IFERROR(INDEX($S$5:$S$304,MATCH(C1740,$R$5:$R$304,0))&amp;"","?"))</f>
        <v/>
      </c>
      <c r="N1740" s="2">
        <f>IF(E1740="","",IF(ISNUMBER(SEARCH("SUBSOLO",E1740)),IFERROR(-VALUE(LEFT(E1740,FIND("º",SUBSTITUTE(E1740,"°","º"))-1)),-1),IF(LEFT(E1740,6)="TÉRREO",0,IFERROR(VALUE(LEFT(E1740,FIND("º",SUBSTITUTE(E1740,"°","º"))-1)),""))))</f>
        <v/>
      </c>
      <c r="O1740" s="2">
        <f>IF(OR(F1740="",G1740=""),"",IF(G1740&lt;='RETRATO 2027'!$K$5,"CONCLUÍDA",IF(F1740&lt;='RETRATO 2027'!$K$5,"EM ANDAMENTO","A INICIAR")))</f>
        <v/>
      </c>
    </row>
    <row r="1741">
      <c r="B1741" s="4" t="n">
        <v>30210374</v>
      </c>
      <c r="C1741" s="4" t="inlineStr">
        <is>
          <t>RESERVATÓRIO</t>
        </is>
      </c>
      <c r="D1741" s="4" t="inlineStr">
        <is>
          <t>-</t>
        </is>
      </c>
      <c r="E1741" s="4" t="inlineStr">
        <is>
          <t>33º PAV - BARRILETE</t>
        </is>
      </c>
      <c r="F1741" s="126" t="n">
        <v>46926</v>
      </c>
      <c r="G1741" s="126" t="n">
        <v>46955</v>
      </c>
      <c r="H1741" s="126" t="n">
        <v>46289</v>
      </c>
      <c r="I1741" s="4" t="n">
        <v>0</v>
      </c>
      <c r="J1741" s="4" t="n">
        <v>0</v>
      </c>
      <c r="K1741" s="4" t="n">
        <v>0</v>
      </c>
      <c r="M1741" s="2">
        <f>IF(C1741="","",IFERROR(INDEX($S$5:$S$304,MATCH(C1741,$R$5:$R$304,0))&amp;"","?"))</f>
        <v/>
      </c>
      <c r="N1741" s="2">
        <f>IF(E1741="","",IF(ISNUMBER(SEARCH("SUBSOLO",E1741)),IFERROR(-VALUE(LEFT(E1741,FIND("º",SUBSTITUTE(E1741,"°","º"))-1)),-1),IF(LEFT(E1741,6)="TÉRREO",0,IFERROR(VALUE(LEFT(E1741,FIND("º",SUBSTITUTE(E1741,"°","º"))-1)),""))))</f>
        <v/>
      </c>
      <c r="O1741" s="2">
        <f>IF(OR(F1741="",G1741=""),"",IF(G1741&lt;='RETRATO 2027'!$K$5,"CONCLUÍDA",IF(F1741&lt;='RETRATO 2027'!$K$5,"EM ANDAMENTO","A INICIAR")))</f>
        <v/>
      </c>
    </row>
    <row r="1742">
      <c r="B1742" s="4" t="n">
        <v>30210376</v>
      </c>
      <c r="C1742" s="4" t="inlineStr">
        <is>
          <t>PRESSURIZAÇÃO (HIDRÁULICA)</t>
        </is>
      </c>
      <c r="D1742" s="4" t="inlineStr">
        <is>
          <t>-</t>
        </is>
      </c>
      <c r="E1742" s="4" t="inlineStr">
        <is>
          <t>33º PAV - BARRILETE</t>
        </is>
      </c>
      <c r="F1742" s="126" t="n">
        <v>46926</v>
      </c>
      <c r="G1742" s="126" t="n">
        <v>46946</v>
      </c>
      <c r="H1742" s="126" t="n">
        <v>46289</v>
      </c>
      <c r="I1742" s="4" t="n">
        <v>0</v>
      </c>
      <c r="J1742" s="4" t="n">
        <v>0</v>
      </c>
      <c r="K1742" s="4" t="n">
        <v>0</v>
      </c>
      <c r="M1742" s="2">
        <f>IF(C1742="","",IFERROR(INDEX($S$5:$S$304,MATCH(C1742,$R$5:$R$304,0))&amp;"","?"))</f>
        <v/>
      </c>
      <c r="N1742" s="2">
        <f>IF(E1742="","",IF(ISNUMBER(SEARCH("SUBSOLO",E1742)),IFERROR(-VALUE(LEFT(E1742,FIND("º",SUBSTITUTE(E1742,"°","º"))-1)),-1),IF(LEFT(E1742,6)="TÉRREO",0,IFERROR(VALUE(LEFT(E1742,FIND("º",SUBSTITUTE(E1742,"°","º"))-1)),""))))</f>
        <v/>
      </c>
      <c r="O1742" s="2">
        <f>IF(OR(F1742="",G1742=""),"",IF(G1742&lt;='RETRATO 2027'!$K$5,"CONCLUÍDA",IF(F1742&lt;='RETRATO 2027'!$K$5,"EM ANDAMENTO","A INICIAR")))</f>
        <v/>
      </c>
    </row>
    <row r="1743">
      <c r="B1743" s="4" t="n">
        <v>31800456</v>
      </c>
      <c r="C1743" s="4" t="inlineStr">
        <is>
          <t>INSTALAÇÃO DE SHADOWBOX E BRISES - F3 + F4</t>
        </is>
      </c>
      <c r="D1743" s="4" t="inlineStr">
        <is>
          <t>-</t>
        </is>
      </c>
      <c r="E1743" s="4" t="inlineStr">
        <is>
          <t>FACHADA</t>
        </is>
      </c>
      <c r="F1743" s="126" t="n">
        <v>46926</v>
      </c>
      <c r="G1743" s="126" t="n">
        <v>46967</v>
      </c>
      <c r="H1743" s="126" t="n">
        <v>46289</v>
      </c>
      <c r="I1743" s="4" t="n">
        <v>0</v>
      </c>
      <c r="J1743" s="4" t="n">
        <v>0</v>
      </c>
      <c r="K1743" s="4" t="n">
        <v>0</v>
      </c>
      <c r="M1743" s="2">
        <f>IF(C1743="","",IFERROR(INDEX($S$5:$S$304,MATCH(C1743,$R$5:$R$304,0))&amp;"","?"))</f>
        <v/>
      </c>
      <c r="N1743" s="2">
        <f>IF(E1743="","",IF(ISNUMBER(SEARCH("SUBSOLO",E1743)),IFERROR(-VALUE(LEFT(E1743,FIND("º",SUBSTITUTE(E1743,"°","º"))-1)),-1),IF(LEFT(E1743,6)="TÉRREO",0,IFERROR(VALUE(LEFT(E1743,FIND("º",SUBSTITUTE(E1743,"°","º"))-1)),""))))</f>
        <v/>
      </c>
      <c r="O1743" s="2">
        <f>IF(OR(F1743="",G1743=""),"",IF(G1743&lt;='RETRATO 2027'!$K$5,"CONCLUÍDA",IF(F1743&lt;='RETRATO 2027'!$K$5,"EM ANDAMENTO","A INICIAR")))</f>
        <v/>
      </c>
    </row>
    <row r="1744">
      <c r="B1744" s="4" t="n">
        <v>31800968</v>
      </c>
      <c r="C1744" s="4" t="inlineStr">
        <is>
          <t>TRATAMENTO DE CONCRETO APARENTE - F1 + F2</t>
        </is>
      </c>
      <c r="D1744" s="4" t="inlineStr">
        <is>
          <t>-</t>
        </is>
      </c>
      <c r="E1744" s="4" t="inlineStr">
        <is>
          <t>FACHADA</t>
        </is>
      </c>
      <c r="F1744" s="126" t="n">
        <v>46926</v>
      </c>
      <c r="G1744" s="126" t="n">
        <v>46953</v>
      </c>
      <c r="H1744" s="126" t="n">
        <v>46289</v>
      </c>
      <c r="I1744" s="4" t="n">
        <v>0</v>
      </c>
      <c r="J1744" s="4" t="n">
        <v>0</v>
      </c>
      <c r="K1744" s="4" t="n">
        <v>0</v>
      </c>
      <c r="M1744" s="2">
        <f>IF(C1744="","",IFERROR(INDEX($S$5:$S$304,MATCH(C1744,$R$5:$R$304,0))&amp;"","?"))</f>
        <v/>
      </c>
      <c r="N1744" s="2">
        <f>IF(E1744="","",IF(ISNUMBER(SEARCH("SUBSOLO",E1744)),IFERROR(-VALUE(LEFT(E1744,FIND("º",SUBSTITUTE(E1744,"°","º"))-1)),-1),IF(LEFT(E1744,6)="TÉRREO",0,IFERROR(VALUE(LEFT(E1744,FIND("º",SUBSTITUTE(E1744,"°","º"))-1)),""))))</f>
        <v/>
      </c>
      <c r="O1744" s="2">
        <f>IF(OR(F1744="",G1744=""),"",IF(G1744&lt;='RETRATO 2027'!$K$5,"CONCLUÍDA",IF(F1744&lt;='RETRATO 2027'!$K$5,"EM ANDAMENTO","A INICIAR")))</f>
        <v/>
      </c>
    </row>
    <row r="1745">
      <c r="B1745" s="4" t="n">
        <v>30205724</v>
      </c>
      <c r="C1745" s="4" t="inlineStr">
        <is>
          <t>LIMPEZA</t>
        </is>
      </c>
      <c r="D1745" s="4" t="inlineStr">
        <is>
          <t>-</t>
        </is>
      </c>
      <c r="E1745" s="4" t="inlineStr">
        <is>
          <t>SUBSOLO</t>
        </is>
      </c>
      <c r="F1745" s="126" t="n">
        <v>46930</v>
      </c>
      <c r="G1745" s="126" t="n">
        <v>46934</v>
      </c>
      <c r="H1745" s="126" t="n">
        <v>46289</v>
      </c>
      <c r="I1745" s="4" t="n">
        <v>0</v>
      </c>
      <c r="J1745" s="4" t="n">
        <v>0</v>
      </c>
      <c r="K1745" s="4" t="n">
        <v>0</v>
      </c>
      <c r="M1745" s="2">
        <f>IF(C1745="","",IFERROR(INDEX($S$5:$S$304,MATCH(C1745,$R$5:$R$304,0))&amp;"","?"))</f>
        <v/>
      </c>
      <c r="N1745" s="2">
        <f>IF(E1745="","",IF(ISNUMBER(SEARCH("SUBSOLO",E1745)),IFERROR(-VALUE(LEFT(E1745,FIND("º",SUBSTITUTE(E1745,"°","º"))-1)),-1),IF(LEFT(E1745,6)="TÉRREO",0,IFERROR(VALUE(LEFT(E1745,FIND("º",SUBSTITUTE(E1745,"°","º"))-1)),""))))</f>
        <v/>
      </c>
      <c r="O1745" s="2">
        <f>IF(OR(F1745="",G1745=""),"",IF(G1745&lt;='RETRATO 2027'!$K$5,"CONCLUÍDA",IF(F1745&lt;='RETRATO 2027'!$K$5,"EM ANDAMENTO","A INICIAR")))</f>
        <v/>
      </c>
    </row>
    <row r="1746">
      <c r="B1746" s="4" t="n">
        <v>30205553</v>
      </c>
      <c r="C1746" s="4" t="inlineStr">
        <is>
          <t>DISJUNTORES / MIOLOS</t>
        </is>
      </c>
      <c r="D1746" s="4" t="inlineStr">
        <is>
          <t>-</t>
        </is>
      </c>
      <c r="E1746" s="4" t="inlineStr">
        <is>
          <t>TÉRREO - LOJA 6</t>
        </is>
      </c>
      <c r="F1746" s="126" t="n">
        <v>46931</v>
      </c>
      <c r="G1746" s="126" t="n">
        <v>46937</v>
      </c>
      <c r="H1746" s="126" t="n">
        <v>46289</v>
      </c>
      <c r="I1746" s="4" t="n">
        <v>0</v>
      </c>
      <c r="J1746" s="4" t="n">
        <v>0</v>
      </c>
      <c r="K1746" s="4" t="n">
        <v>0</v>
      </c>
      <c r="M1746" s="2">
        <f>IF(C1746="","",IFERROR(INDEX($S$5:$S$304,MATCH(C1746,$R$5:$R$304,0))&amp;"","?"))</f>
        <v/>
      </c>
      <c r="N1746" s="2">
        <f>IF(E1746="","",IF(ISNUMBER(SEARCH("SUBSOLO",E1746)),IFERROR(-VALUE(LEFT(E1746,FIND("º",SUBSTITUTE(E1746,"°","º"))-1)),-1),IF(LEFT(E1746,6)="TÉRREO",0,IFERROR(VALUE(LEFT(E1746,FIND("º",SUBSTITUTE(E1746,"°","º"))-1)),""))))</f>
        <v/>
      </c>
      <c r="O1746" s="2">
        <f>IF(OR(F1746="",G1746=""),"",IF(G1746&lt;='RETRATO 2027'!$K$5,"CONCLUÍDA",IF(F1746&lt;='RETRATO 2027'!$K$5,"EM ANDAMENTO","A INICIAR")))</f>
        <v/>
      </c>
    </row>
    <row r="1747">
      <c r="B1747" s="4" t="n">
        <v>30205528</v>
      </c>
      <c r="C1747" s="4" t="inlineStr">
        <is>
          <t>ESQUADRIA MADEIRA</t>
        </is>
      </c>
      <c r="D1747" s="4" t="inlineStr">
        <is>
          <t>-</t>
        </is>
      </c>
      <c r="E1747" s="4" t="inlineStr">
        <is>
          <t>TÉRREO - LOJA 7</t>
        </is>
      </c>
      <c r="F1747" s="126" t="n">
        <v>46931</v>
      </c>
      <c r="G1747" s="126" t="n">
        <v>46944</v>
      </c>
      <c r="H1747" s="126" t="n">
        <v>46289</v>
      </c>
      <c r="I1747" s="4" t="n">
        <v>0</v>
      </c>
      <c r="J1747" s="4" t="n">
        <v>0</v>
      </c>
      <c r="K1747" s="4" t="n">
        <v>0</v>
      </c>
      <c r="M1747" s="2">
        <f>IF(C1747="","",IFERROR(INDEX($S$5:$S$304,MATCH(C1747,$R$5:$R$304,0))&amp;"","?"))</f>
        <v/>
      </c>
      <c r="N1747" s="2">
        <f>IF(E1747="","",IF(ISNUMBER(SEARCH("SUBSOLO",E1747)),IFERROR(-VALUE(LEFT(E1747,FIND("º",SUBSTITUTE(E1747,"°","º"))-1)),-1),IF(LEFT(E1747,6)="TÉRREO",0,IFERROR(VALUE(LEFT(E1747,FIND("º",SUBSTITUTE(E1747,"°","º"))-1)),""))))</f>
        <v/>
      </c>
      <c r="O1747" s="2">
        <f>IF(OR(F1747="",G1747=""),"",IF(G1747&lt;='RETRATO 2027'!$K$5,"CONCLUÍDA",IF(F1747&lt;='RETRATO 2027'!$K$5,"EM ANDAMENTO","A INICIAR")))</f>
        <v/>
      </c>
    </row>
    <row r="1748">
      <c r="B1748" s="4" t="n">
        <v>30205527</v>
      </c>
      <c r="C1748" s="4" t="inlineStr">
        <is>
          <t>LOUÇAS</t>
        </is>
      </c>
      <c r="D1748" s="4" t="inlineStr">
        <is>
          <t>-</t>
        </is>
      </c>
      <c r="E1748" s="4" t="inlineStr">
        <is>
          <t>TÉRREO - LOJA 7</t>
        </is>
      </c>
      <c r="F1748" s="126" t="n">
        <v>46931</v>
      </c>
      <c r="G1748" s="126" t="n">
        <v>46944</v>
      </c>
      <c r="H1748" s="126" t="n">
        <v>46289</v>
      </c>
      <c r="I1748" s="4" t="n">
        <v>0</v>
      </c>
      <c r="J1748" s="4" t="n">
        <v>0</v>
      </c>
      <c r="K1748" s="4" t="n">
        <v>0</v>
      </c>
      <c r="M1748" s="2">
        <f>IF(C1748="","",IFERROR(INDEX($S$5:$S$304,MATCH(C1748,$R$5:$R$304,0))&amp;"","?"))</f>
        <v/>
      </c>
      <c r="N1748" s="2">
        <f>IF(E1748="","",IF(ISNUMBER(SEARCH("SUBSOLO",E1748)),IFERROR(-VALUE(LEFT(E1748,FIND("º",SUBSTITUTE(E1748,"°","º"))-1)),-1),IF(LEFT(E1748,6)="TÉRREO",0,IFERROR(VALUE(LEFT(E1748,FIND("º",SUBSTITUTE(E1748,"°","º"))-1)),""))))</f>
        <v/>
      </c>
      <c r="O1748" s="2">
        <f>IF(OR(F1748="",G1748=""),"",IF(G1748&lt;='RETRATO 2027'!$K$5,"CONCLUÍDA",IF(F1748&lt;='RETRATO 2027'!$K$5,"EM ANDAMENTO","A INICIAR")))</f>
        <v/>
      </c>
    </row>
    <row r="1749">
      <c r="B1749" s="4" t="n">
        <v>30205525</v>
      </c>
      <c r="C1749" s="4" t="inlineStr">
        <is>
          <t>METAIS</t>
        </is>
      </c>
      <c r="D1749" s="4" t="inlineStr">
        <is>
          <t>-</t>
        </is>
      </c>
      <c r="E1749" s="4" t="inlineStr">
        <is>
          <t>TÉRREO - LOJA 7</t>
        </is>
      </c>
      <c r="F1749" s="126" t="n">
        <v>46931</v>
      </c>
      <c r="G1749" s="126" t="n">
        <v>46944</v>
      </c>
      <c r="H1749" s="126" t="n">
        <v>46289</v>
      </c>
      <c r="I1749" s="4" t="n">
        <v>0</v>
      </c>
      <c r="J1749" s="4" t="n">
        <v>0</v>
      </c>
      <c r="K1749" s="4" t="n">
        <v>0</v>
      </c>
      <c r="M1749" s="2">
        <f>IF(C1749="","",IFERROR(INDEX($S$5:$S$304,MATCH(C1749,$R$5:$R$304,0))&amp;"","?"))</f>
        <v/>
      </c>
      <c r="N1749" s="2">
        <f>IF(E1749="","",IF(ISNUMBER(SEARCH("SUBSOLO",E1749)),IFERROR(-VALUE(LEFT(E1749,FIND("º",SUBSTITUTE(E1749,"°","º"))-1)),-1),IF(LEFT(E1749,6)="TÉRREO",0,IFERROR(VALUE(LEFT(E1749,FIND("º",SUBSTITUTE(E1749,"°","º"))-1)),""))))</f>
        <v/>
      </c>
      <c r="O1749" s="2">
        <f>IF(OR(F1749="",G1749=""),"",IF(G1749&lt;='RETRATO 2027'!$K$5,"CONCLUÍDA",IF(F1749&lt;='RETRATO 2027'!$K$5,"EM ANDAMENTO","A INICIAR")))</f>
        <v/>
      </c>
    </row>
    <row r="1750">
      <c r="B1750" s="4" t="n">
        <v>29981354</v>
      </c>
      <c r="C1750" s="4" t="inlineStr">
        <is>
          <t>CHECKLIST</t>
        </is>
      </c>
      <c r="D1750" s="4" t="inlineStr">
        <is>
          <t>-</t>
        </is>
      </c>
      <c r="E1750" s="4" t="inlineStr">
        <is>
          <t>12º PAV.</t>
        </is>
      </c>
      <c r="F1750" s="126" t="n">
        <v>46932</v>
      </c>
      <c r="G1750" s="126" t="n">
        <v>46938</v>
      </c>
      <c r="H1750" s="126" t="n">
        <v>46289</v>
      </c>
      <c r="I1750" s="4" t="n">
        <v>0</v>
      </c>
      <c r="J1750" s="4" t="n">
        <v>0</v>
      </c>
      <c r="K1750" s="4" t="n">
        <v>0</v>
      </c>
      <c r="M1750" s="2">
        <f>IF(C1750="","",IFERROR(INDEX($S$5:$S$304,MATCH(C1750,$R$5:$R$304,0))&amp;"","?"))</f>
        <v/>
      </c>
      <c r="N1750" s="2">
        <f>IF(E1750="","",IF(ISNUMBER(SEARCH("SUBSOLO",E1750)),IFERROR(-VALUE(LEFT(E1750,FIND("º",SUBSTITUTE(E1750,"°","º"))-1)),-1),IF(LEFT(E1750,6)="TÉRREO",0,IFERROR(VALUE(LEFT(E1750,FIND("º",SUBSTITUTE(E1750,"°","º"))-1)),""))))</f>
        <v/>
      </c>
      <c r="O1750" s="2">
        <f>IF(OR(F1750="",G1750=""),"",IF(G1750&lt;='RETRATO 2027'!$K$5,"CONCLUÍDA",IF(F1750&lt;='RETRATO 2027'!$K$5,"EM ANDAMENTO","A INICIAR")))</f>
        <v/>
      </c>
    </row>
    <row r="1751">
      <c r="B1751" s="4" t="n">
        <v>29981319</v>
      </c>
      <c r="C1751" s="4" t="inlineStr">
        <is>
          <t>ACABAMENTOS ELÉTRICOS</t>
        </is>
      </c>
      <c r="D1751" s="4" t="inlineStr">
        <is>
          <t>-</t>
        </is>
      </c>
      <c r="E1751" s="4" t="inlineStr">
        <is>
          <t>13º PAV.</t>
        </is>
      </c>
      <c r="F1751" s="126" t="n">
        <v>46932</v>
      </c>
      <c r="G1751" s="126" t="n">
        <v>46944</v>
      </c>
      <c r="H1751" s="126" t="n">
        <v>46289</v>
      </c>
      <c r="I1751" s="4" t="n">
        <v>0</v>
      </c>
      <c r="J1751" s="4" t="n">
        <v>0</v>
      </c>
      <c r="K1751" s="4" t="n">
        <v>0</v>
      </c>
      <c r="M1751" s="2">
        <f>IF(C1751="","",IFERROR(INDEX($S$5:$S$304,MATCH(C1751,$R$5:$R$304,0))&amp;"","?"))</f>
        <v/>
      </c>
      <c r="N1751" s="2">
        <f>IF(E1751="","",IF(ISNUMBER(SEARCH("SUBSOLO",E1751)),IFERROR(-VALUE(LEFT(E1751,FIND("º",SUBSTITUTE(E1751,"°","º"))-1)),-1),IF(LEFT(E1751,6)="TÉRREO",0,IFERROR(VALUE(LEFT(E1751,FIND("º",SUBSTITUTE(E1751,"°","º"))-1)),""))))</f>
        <v/>
      </c>
      <c r="O1751" s="2">
        <f>IF(OR(F1751="",G1751=""),"",IF(G1751&lt;='RETRATO 2027'!$K$5,"CONCLUÍDA",IF(F1751&lt;='RETRATO 2027'!$K$5,"EM ANDAMENTO","A INICIAR")))</f>
        <v/>
      </c>
    </row>
    <row r="1752">
      <c r="B1752" s="4" t="n">
        <v>29981279</v>
      </c>
      <c r="C1752" s="4" t="inlineStr">
        <is>
          <t>PINTURA 2º DEMÃO</t>
        </is>
      </c>
      <c r="D1752" s="4" t="inlineStr">
        <is>
          <t>-</t>
        </is>
      </c>
      <c r="E1752" s="4" t="inlineStr">
        <is>
          <t>14º PAV.</t>
        </is>
      </c>
      <c r="F1752" s="126" t="n">
        <v>46932</v>
      </c>
      <c r="G1752" s="126" t="n">
        <v>46944</v>
      </c>
      <c r="H1752" s="126" t="n">
        <v>46289</v>
      </c>
      <c r="I1752" s="4" t="n">
        <v>0</v>
      </c>
      <c r="J1752" s="4" t="n">
        <v>0</v>
      </c>
      <c r="K1752" s="4" t="n">
        <v>0</v>
      </c>
      <c r="M1752" s="2">
        <f>IF(C1752="","",IFERROR(INDEX($S$5:$S$304,MATCH(C1752,$R$5:$R$304,0))&amp;"","?"))</f>
        <v/>
      </c>
      <c r="N1752" s="2">
        <f>IF(E1752="","",IF(ISNUMBER(SEARCH("SUBSOLO",E1752)),IFERROR(-VALUE(LEFT(E1752,FIND("º",SUBSTITUTE(E1752,"°","º"))-1)),-1),IF(LEFT(E1752,6)="TÉRREO",0,IFERROR(VALUE(LEFT(E1752,FIND("º",SUBSTITUTE(E1752,"°","º"))-1)),""))))</f>
        <v/>
      </c>
      <c r="O1752" s="2">
        <f>IF(OR(F1752="",G1752=""),"",IF(G1752&lt;='RETRATO 2027'!$K$5,"CONCLUÍDA",IF(F1752&lt;='RETRATO 2027'!$K$5,"EM ANDAMENTO","A INICIAR")))</f>
        <v/>
      </c>
    </row>
    <row r="1753">
      <c r="B1753" s="4" t="n">
        <v>33919792</v>
      </c>
      <c r="C1753" s="4" t="inlineStr">
        <is>
          <t>TEXTURA - EXTERNA</t>
        </is>
      </c>
      <c r="D1753" s="4" t="inlineStr">
        <is>
          <t>-</t>
        </is>
      </c>
      <c r="E1753" s="4" t="inlineStr">
        <is>
          <t>14º PAV.</t>
        </is>
      </c>
      <c r="F1753" s="126" t="n">
        <v>46932</v>
      </c>
      <c r="G1753" s="126" t="n">
        <v>46944</v>
      </c>
      <c r="H1753" s="126" t="n">
        <v>46289</v>
      </c>
      <c r="I1753" s="4" t="n">
        <v>0</v>
      </c>
      <c r="J1753" s="4" t="n">
        <v>0</v>
      </c>
      <c r="K1753" s="4" t="n">
        <v>0</v>
      </c>
      <c r="M1753" s="2">
        <f>IF(C1753="","",IFERROR(INDEX($S$5:$S$304,MATCH(C1753,$R$5:$R$304,0))&amp;"","?"))</f>
        <v/>
      </c>
      <c r="N1753" s="2">
        <f>IF(E1753="","",IF(ISNUMBER(SEARCH("SUBSOLO",E1753)),IFERROR(-VALUE(LEFT(E1753,FIND("º",SUBSTITUTE(E1753,"°","º"))-1)),-1),IF(LEFT(E1753,6)="TÉRREO",0,IFERROR(VALUE(LEFT(E1753,FIND("º",SUBSTITUTE(E1753,"°","º"))-1)),""))))</f>
        <v/>
      </c>
      <c r="O1753" s="2">
        <f>IF(OR(F1753="",G1753=""),"",IF(G1753&lt;='RETRATO 2027'!$K$5,"CONCLUÍDA",IF(F1753&lt;='RETRATO 2027'!$K$5,"EM ANDAMENTO","A INICIAR")))</f>
        <v/>
      </c>
    </row>
    <row r="1754">
      <c r="B1754" s="4" t="n">
        <v>29981241</v>
      </c>
      <c r="C1754" s="4" t="inlineStr">
        <is>
          <t>LIMPEZA GROSSA</t>
        </is>
      </c>
      <c r="D1754" s="4" t="inlineStr">
        <is>
          <t>-</t>
        </is>
      </c>
      <c r="E1754" s="4" t="inlineStr">
        <is>
          <t>15º PAV.</t>
        </is>
      </c>
      <c r="F1754" s="126" t="n">
        <v>46932</v>
      </c>
      <c r="G1754" s="126" t="n">
        <v>46944</v>
      </c>
      <c r="H1754" s="126" t="n">
        <v>46289</v>
      </c>
      <c r="I1754" s="4" t="n">
        <v>0</v>
      </c>
      <c r="J1754" s="4" t="n">
        <v>0</v>
      </c>
      <c r="K1754" s="4" t="n">
        <v>0</v>
      </c>
      <c r="M1754" s="2">
        <f>IF(C1754="","",IFERROR(INDEX($S$5:$S$304,MATCH(C1754,$R$5:$R$304,0))&amp;"","?"))</f>
        <v/>
      </c>
      <c r="N1754" s="2">
        <f>IF(E1754="","",IF(ISNUMBER(SEARCH("SUBSOLO",E1754)),IFERROR(-VALUE(LEFT(E1754,FIND("º",SUBSTITUTE(E1754,"°","º"))-1)),-1),IF(LEFT(E1754,6)="TÉRREO",0,IFERROR(VALUE(LEFT(E1754,FIND("º",SUBSTITUTE(E1754,"°","º"))-1)),""))))</f>
        <v/>
      </c>
      <c r="O1754" s="2">
        <f>IF(OR(F1754="",G1754=""),"",IF(G1754&lt;='RETRATO 2027'!$K$5,"CONCLUÍDA",IF(F1754&lt;='RETRATO 2027'!$K$5,"EM ANDAMENTO","A INICIAR")))</f>
        <v/>
      </c>
    </row>
    <row r="1755">
      <c r="B1755" s="4" t="n">
        <v>29981198</v>
      </c>
      <c r="C1755" s="4" t="inlineStr">
        <is>
          <t>LOUÇAS</t>
        </is>
      </c>
      <c r="D1755" s="4" t="inlineStr">
        <is>
          <t>-</t>
        </is>
      </c>
      <c r="E1755" s="4" t="inlineStr">
        <is>
          <t>16º PAV.</t>
        </is>
      </c>
      <c r="F1755" s="126" t="n">
        <v>46932</v>
      </c>
      <c r="G1755" s="126" t="n">
        <v>46944</v>
      </c>
      <c r="H1755" s="126" t="n">
        <v>46289</v>
      </c>
      <c r="I1755" s="4" t="n">
        <v>0</v>
      </c>
      <c r="J1755" s="4" t="n">
        <v>0</v>
      </c>
      <c r="K1755" s="4" t="n">
        <v>0</v>
      </c>
      <c r="M1755" s="2">
        <f>IF(C1755="","",IFERROR(INDEX($S$5:$S$304,MATCH(C1755,$R$5:$R$304,0))&amp;"","?"))</f>
        <v/>
      </c>
      <c r="N1755" s="2">
        <f>IF(E1755="","",IF(ISNUMBER(SEARCH("SUBSOLO",E1755)),IFERROR(-VALUE(LEFT(E1755,FIND("º",SUBSTITUTE(E1755,"°","º"))-1)),-1),IF(LEFT(E1755,6)="TÉRREO",0,IFERROR(VALUE(LEFT(E1755,FIND("º",SUBSTITUTE(E1755,"°","º"))-1)),""))))</f>
        <v/>
      </c>
      <c r="O1755" s="2">
        <f>IF(OR(F1755="",G1755=""),"",IF(G1755&lt;='RETRATO 2027'!$K$5,"CONCLUÍDA",IF(F1755&lt;='RETRATO 2027'!$K$5,"EM ANDAMENTO","A INICIAR")))</f>
        <v/>
      </c>
    </row>
    <row r="1756">
      <c r="B1756" s="4" t="n">
        <v>29981203</v>
      </c>
      <c r="C1756" s="4" t="inlineStr">
        <is>
          <t>METAIS</t>
        </is>
      </c>
      <c r="D1756" s="4" t="inlineStr">
        <is>
          <t>-</t>
        </is>
      </c>
      <c r="E1756" s="4" t="inlineStr">
        <is>
          <t>16º PAV.</t>
        </is>
      </c>
      <c r="F1756" s="126" t="n">
        <v>46932</v>
      </c>
      <c r="G1756" s="126" t="n">
        <v>46944</v>
      </c>
      <c r="H1756" s="126" t="n">
        <v>46289</v>
      </c>
      <c r="I1756" s="4" t="n">
        <v>0</v>
      </c>
      <c r="J1756" s="4" t="n">
        <v>0</v>
      </c>
      <c r="K1756" s="4" t="n">
        <v>0</v>
      </c>
      <c r="M1756" s="2">
        <f>IF(C1756="","",IFERROR(INDEX($S$5:$S$304,MATCH(C1756,$R$5:$R$304,0))&amp;"","?"))</f>
        <v/>
      </c>
      <c r="N1756" s="2">
        <f>IF(E1756="","",IF(ISNUMBER(SEARCH("SUBSOLO",E1756)),IFERROR(-VALUE(LEFT(E1756,FIND("º",SUBSTITUTE(E1756,"°","º"))-1)),-1),IF(LEFT(E1756,6)="TÉRREO",0,IFERROR(VALUE(LEFT(E1756,FIND("º",SUBSTITUTE(E1756,"°","º"))-1)),""))))</f>
        <v/>
      </c>
      <c r="O1756" s="2">
        <f>IF(OR(F1756="",G1756=""),"",IF(G1756&lt;='RETRATO 2027'!$K$5,"CONCLUÍDA",IF(F1756&lt;='RETRATO 2027'!$K$5,"EM ANDAMENTO","A INICIAR")))</f>
        <v/>
      </c>
    </row>
    <row r="1757">
      <c r="B1757" s="4" t="n">
        <v>29981202</v>
      </c>
      <c r="C1757" s="4" t="inlineStr">
        <is>
          <t>DISJUNTORES / MIOLOS</t>
        </is>
      </c>
      <c r="D1757" s="4" t="inlineStr">
        <is>
          <t>-</t>
        </is>
      </c>
      <c r="E1757" s="4" t="inlineStr">
        <is>
          <t>16º PAV.</t>
        </is>
      </c>
      <c r="F1757" s="126" t="n">
        <v>46932</v>
      </c>
      <c r="G1757" s="126" t="n">
        <v>46944</v>
      </c>
      <c r="H1757" s="126" t="n">
        <v>46289</v>
      </c>
      <c r="I1757" s="4" t="n">
        <v>0</v>
      </c>
      <c r="J1757" s="4" t="n">
        <v>0</v>
      </c>
      <c r="K1757" s="4" t="n">
        <v>0</v>
      </c>
      <c r="M1757" s="2">
        <f>IF(C1757="","",IFERROR(INDEX($S$5:$S$304,MATCH(C1757,$R$5:$R$304,0))&amp;"","?"))</f>
        <v/>
      </c>
      <c r="N1757" s="2">
        <f>IF(E1757="","",IF(ISNUMBER(SEARCH("SUBSOLO",E1757)),IFERROR(-VALUE(LEFT(E1757,FIND("º",SUBSTITUTE(E1757,"°","º"))-1)),-1),IF(LEFT(E1757,6)="TÉRREO",0,IFERROR(VALUE(LEFT(E1757,FIND("º",SUBSTITUTE(E1757,"°","º"))-1)),""))))</f>
        <v/>
      </c>
      <c r="O1757" s="2">
        <f>IF(OR(F1757="",G1757=""),"",IF(G1757&lt;='RETRATO 2027'!$K$5,"CONCLUÍDA",IF(F1757&lt;='RETRATO 2027'!$K$5,"EM ANDAMENTO","A INICIAR")))</f>
        <v/>
      </c>
    </row>
    <row r="1758">
      <c r="B1758" s="4" t="n">
        <v>29981201</v>
      </c>
      <c r="C1758" s="4" t="inlineStr">
        <is>
          <t>COMUNICAÇÃO E ALARME</t>
        </is>
      </c>
      <c r="D1758" s="4" t="inlineStr">
        <is>
          <t>-</t>
        </is>
      </c>
      <c r="E1758" s="4" t="inlineStr">
        <is>
          <t>16º PAV.</t>
        </is>
      </c>
      <c r="F1758" s="126" t="n">
        <v>46932</v>
      </c>
      <c r="G1758" s="126" t="n">
        <v>46944</v>
      </c>
      <c r="H1758" s="126" t="n">
        <v>46289</v>
      </c>
      <c r="I1758" s="4" t="n">
        <v>0</v>
      </c>
      <c r="J1758" s="4" t="n">
        <v>0</v>
      </c>
      <c r="K1758" s="4" t="n">
        <v>0</v>
      </c>
      <c r="M1758" s="2">
        <f>IF(C1758="","",IFERROR(INDEX($S$5:$S$304,MATCH(C1758,$R$5:$R$304,0))&amp;"","?"))</f>
        <v/>
      </c>
      <c r="N1758" s="2">
        <f>IF(E1758="","",IF(ISNUMBER(SEARCH("SUBSOLO",E1758)),IFERROR(-VALUE(LEFT(E1758,FIND("º",SUBSTITUTE(E1758,"°","º"))-1)),-1),IF(LEFT(E1758,6)="TÉRREO",0,IFERROR(VALUE(LEFT(E1758,FIND("º",SUBSTITUTE(E1758,"°","º"))-1)),""))))</f>
        <v/>
      </c>
      <c r="O1758" s="2">
        <f>IF(OR(F1758="",G1758=""),"",IF(G1758&lt;='RETRATO 2027'!$K$5,"CONCLUÍDA",IF(F1758&lt;='RETRATO 2027'!$K$5,"EM ANDAMENTO","A INICIAR")))</f>
        <v/>
      </c>
    </row>
    <row r="1759">
      <c r="B1759" s="4" t="n">
        <v>29981160</v>
      </c>
      <c r="C1759" s="4" t="inlineStr">
        <is>
          <t>RODAPÉ MADEIRA / PVC</t>
        </is>
      </c>
      <c r="D1759" s="4" t="inlineStr">
        <is>
          <t>-</t>
        </is>
      </c>
      <c r="E1759" s="4" t="inlineStr">
        <is>
          <t>17º PAV.</t>
        </is>
      </c>
      <c r="F1759" s="126" t="n">
        <v>46932</v>
      </c>
      <c r="G1759" s="126" t="n">
        <v>46944</v>
      </c>
      <c r="H1759" s="126" t="n">
        <v>46289</v>
      </c>
      <c r="I1759" s="4" t="n">
        <v>0</v>
      </c>
      <c r="J1759" s="4" t="n">
        <v>0</v>
      </c>
      <c r="K1759" s="4" t="n">
        <v>0</v>
      </c>
      <c r="M1759" s="2">
        <f>IF(C1759="","",IFERROR(INDEX($S$5:$S$304,MATCH(C1759,$R$5:$R$304,0))&amp;"","?"))</f>
        <v/>
      </c>
      <c r="N1759" s="2">
        <f>IF(E1759="","",IF(ISNUMBER(SEARCH("SUBSOLO",E1759)),IFERROR(-VALUE(LEFT(E1759,FIND("º",SUBSTITUTE(E1759,"°","º"))-1)),-1),IF(LEFT(E1759,6)="TÉRREO",0,IFERROR(VALUE(LEFT(E1759,FIND("º",SUBSTITUTE(E1759,"°","º"))-1)),""))))</f>
        <v/>
      </c>
      <c r="O1759" s="2">
        <f>IF(OR(F1759="",G1759=""),"",IF(G1759&lt;='RETRATO 2027'!$K$5,"CONCLUÍDA",IF(F1759&lt;='RETRATO 2027'!$K$5,"EM ANDAMENTO","A INICIAR")))</f>
        <v/>
      </c>
    </row>
    <row r="1760">
      <c r="B1760" s="4" t="n">
        <v>29981122</v>
      </c>
      <c r="C1760" s="4" t="inlineStr">
        <is>
          <t>ESQUADRIA MADEIRA</t>
        </is>
      </c>
      <c r="D1760" s="4" t="inlineStr">
        <is>
          <t>-</t>
        </is>
      </c>
      <c r="E1760" s="4" t="inlineStr">
        <is>
          <t>18º PAV.</t>
        </is>
      </c>
      <c r="F1760" s="126" t="n">
        <v>46932</v>
      </c>
      <c r="G1760" s="126" t="n">
        <v>46944</v>
      </c>
      <c r="H1760" s="126" t="n">
        <v>46289</v>
      </c>
      <c r="I1760" s="4" t="n">
        <v>0</v>
      </c>
      <c r="J1760" s="4" t="n">
        <v>0</v>
      </c>
      <c r="K1760" s="4" t="n">
        <v>0</v>
      </c>
      <c r="M1760" s="2">
        <f>IF(C1760="","",IFERROR(INDEX($S$5:$S$304,MATCH(C1760,$R$5:$R$304,0))&amp;"","?"))</f>
        <v/>
      </c>
      <c r="N1760" s="2">
        <f>IF(E1760="","",IF(ISNUMBER(SEARCH("SUBSOLO",E1760)),IFERROR(-VALUE(LEFT(E1760,FIND("º",SUBSTITUTE(E1760,"°","º"))-1)),-1),IF(LEFT(E1760,6)="TÉRREO",0,IFERROR(VALUE(LEFT(E1760,FIND("º",SUBSTITUTE(E1760,"°","º"))-1)),""))))</f>
        <v/>
      </c>
      <c r="O1760" s="2">
        <f>IF(OR(F1760="",G1760=""),"",IF(G1760&lt;='RETRATO 2027'!$K$5,"CONCLUÍDA",IF(F1760&lt;='RETRATO 2027'!$K$5,"EM ANDAMENTO","A INICIAR")))</f>
        <v/>
      </c>
    </row>
    <row r="1761">
      <c r="B1761" s="4" t="n">
        <v>29981047</v>
      </c>
      <c r="C1761" s="4" t="inlineStr">
        <is>
          <t>PISO VINÍLICO / LAMINADO</t>
        </is>
      </c>
      <c r="D1761" s="4" t="inlineStr">
        <is>
          <t>-</t>
        </is>
      </c>
      <c r="E1761" s="4" t="inlineStr">
        <is>
          <t>20º PAV.</t>
        </is>
      </c>
      <c r="F1761" s="126" t="n">
        <v>46932</v>
      </c>
      <c r="G1761" s="126" t="n">
        <v>46944</v>
      </c>
      <c r="H1761" s="126" t="n">
        <v>46289</v>
      </c>
      <c r="I1761" s="4" t="n">
        <v>0</v>
      </c>
      <c r="J1761" s="4" t="n">
        <v>0</v>
      </c>
      <c r="K1761" s="4" t="n">
        <v>0</v>
      </c>
      <c r="M1761" s="2">
        <f>IF(C1761="","",IFERROR(INDEX($S$5:$S$304,MATCH(C1761,$R$5:$R$304,0))&amp;"","?"))</f>
        <v/>
      </c>
      <c r="N1761" s="2">
        <f>IF(E1761="","",IF(ISNUMBER(SEARCH("SUBSOLO",E1761)),IFERROR(-VALUE(LEFT(E1761,FIND("º",SUBSTITUTE(E1761,"°","º"))-1)),-1),IF(LEFT(E1761,6)="TÉRREO",0,IFERROR(VALUE(LEFT(E1761,FIND("º",SUBSTITUTE(E1761,"°","º"))-1)),""))))</f>
        <v/>
      </c>
      <c r="O1761" s="2">
        <f>IF(OR(F1761="",G1761=""),"",IF(G1761&lt;='RETRATO 2027'!$K$5,"CONCLUÍDA",IF(F1761&lt;='RETRATO 2027'!$K$5,"EM ANDAMENTO","A INICIAR")))</f>
        <v/>
      </c>
    </row>
    <row r="1762">
      <c r="B1762" s="4" t="n">
        <v>29981009</v>
      </c>
      <c r="C1762" s="4" t="inlineStr">
        <is>
          <t>PINTURA 1º DEMÃO</t>
        </is>
      </c>
      <c r="D1762" s="4" t="inlineStr">
        <is>
          <t>-</t>
        </is>
      </c>
      <c r="E1762" s="4" t="inlineStr">
        <is>
          <t>21º PAV.</t>
        </is>
      </c>
      <c r="F1762" s="126" t="n">
        <v>46932</v>
      </c>
      <c r="G1762" s="126" t="n">
        <v>46944</v>
      </c>
      <c r="H1762" s="126" t="n">
        <v>46289</v>
      </c>
      <c r="I1762" s="4" t="n">
        <v>0</v>
      </c>
      <c r="J1762" s="4" t="n">
        <v>0</v>
      </c>
      <c r="K1762" s="4" t="n">
        <v>0</v>
      </c>
      <c r="M1762" s="2">
        <f>IF(C1762="","",IFERROR(INDEX($S$5:$S$304,MATCH(C1762,$R$5:$R$304,0))&amp;"","?"))</f>
        <v/>
      </c>
      <c r="N1762" s="2">
        <f>IF(E1762="","",IF(ISNUMBER(SEARCH("SUBSOLO",E1762)),IFERROR(-VALUE(LEFT(E1762,FIND("º",SUBSTITUTE(E1762,"°","º"))-1)),-1),IF(LEFT(E1762,6)="TÉRREO",0,IFERROR(VALUE(LEFT(E1762,FIND("º",SUBSTITUTE(E1762,"°","º"))-1)),""))))</f>
        <v/>
      </c>
      <c r="O1762" s="2">
        <f>IF(OR(F1762="",G1762=""),"",IF(G1762&lt;='RETRATO 2027'!$K$5,"CONCLUÍDA",IF(F1762&lt;='RETRATO 2027'!$K$5,"EM ANDAMENTO","A INICIAR")))</f>
        <v/>
      </c>
    </row>
    <row r="1763">
      <c r="B1763" s="4" t="n">
        <v>29980998</v>
      </c>
      <c r="C1763" s="4" t="inlineStr">
        <is>
          <t>MASSA CORRIDA</t>
        </is>
      </c>
      <c r="D1763" s="4" t="inlineStr">
        <is>
          <t>-</t>
        </is>
      </c>
      <c r="E1763" s="4" t="inlineStr">
        <is>
          <t>22º PAV.</t>
        </is>
      </c>
      <c r="F1763" s="126" t="n">
        <v>46932</v>
      </c>
      <c r="G1763" s="126" t="n">
        <v>46944</v>
      </c>
      <c r="H1763" s="126" t="n">
        <v>46289</v>
      </c>
      <c r="I1763" s="4" t="n">
        <v>0</v>
      </c>
      <c r="J1763" s="4" t="n">
        <v>0</v>
      </c>
      <c r="K1763" s="4" t="n">
        <v>0</v>
      </c>
      <c r="M1763" s="2">
        <f>IF(C1763="","",IFERROR(INDEX($S$5:$S$304,MATCH(C1763,$R$5:$R$304,0))&amp;"","?"))</f>
        <v/>
      </c>
      <c r="N1763" s="2">
        <f>IF(E1763="","",IF(ISNUMBER(SEARCH("SUBSOLO",E1763)),IFERROR(-VALUE(LEFT(E1763,FIND("º",SUBSTITUTE(E1763,"°","º"))-1)),-1),IF(LEFT(E1763,6)="TÉRREO",0,IFERROR(VALUE(LEFT(E1763,FIND("º",SUBSTITUTE(E1763,"°","º"))-1)),""))))</f>
        <v/>
      </c>
      <c r="O1763" s="2">
        <f>IF(OR(F1763="",G1763=""),"",IF(G1763&lt;='RETRATO 2027'!$K$5,"CONCLUÍDA",IF(F1763&lt;='RETRATO 2027'!$K$5,"EM ANDAMENTO","A INICIAR")))</f>
        <v/>
      </c>
    </row>
    <row r="1764">
      <c r="B1764" s="4" t="n">
        <v>33898107</v>
      </c>
      <c r="C1764" s="4" t="inlineStr">
        <is>
          <t>ESQUADRIA DE ALUMÍNIO</t>
        </is>
      </c>
      <c r="D1764" s="4" t="inlineStr">
        <is>
          <t>-</t>
        </is>
      </c>
      <c r="E1764" s="4" t="inlineStr">
        <is>
          <t>23º PAV.</t>
        </is>
      </c>
      <c r="F1764" s="126" t="n">
        <v>46932</v>
      </c>
      <c r="G1764" s="126" t="n">
        <v>46944</v>
      </c>
      <c r="H1764" s="126" t="n">
        <v>46289</v>
      </c>
      <c r="I1764" s="4" t="n">
        <v>0</v>
      </c>
      <c r="J1764" s="4" t="n">
        <v>0</v>
      </c>
      <c r="K1764" s="4" t="n">
        <v>0</v>
      </c>
      <c r="M1764" s="2">
        <f>IF(C1764="","",IFERROR(INDEX($S$5:$S$304,MATCH(C1764,$R$5:$R$304,0))&amp;"","?"))</f>
        <v/>
      </c>
      <c r="N1764" s="2">
        <f>IF(E1764="","",IF(ISNUMBER(SEARCH("SUBSOLO",E1764)),IFERROR(-VALUE(LEFT(E1764,FIND("º",SUBSTITUTE(E1764,"°","º"))-1)),-1),IF(LEFT(E1764,6)="TÉRREO",0,IFERROR(VALUE(LEFT(E1764,FIND("º",SUBSTITUTE(E1764,"°","º"))-1)),""))))</f>
        <v/>
      </c>
      <c r="O1764" s="2">
        <f>IF(OR(F1764="",G1764=""),"",IF(G1764&lt;='RETRATO 2027'!$K$5,"CONCLUÍDA",IF(F1764&lt;='RETRATO 2027'!$K$5,"EM ANDAMENTO","A INICIAR")))</f>
        <v/>
      </c>
    </row>
    <row r="1765">
      <c r="B1765" s="4" t="n">
        <v>30205782</v>
      </c>
      <c r="C1765" s="4" t="inlineStr">
        <is>
          <t>ESQUADRIA MADEIRA</t>
        </is>
      </c>
      <c r="D1765" s="4" t="inlineStr">
        <is>
          <t>-</t>
        </is>
      </c>
      <c r="E1765" s="4" t="inlineStr">
        <is>
          <t>TÉRREO - ACESSO COMERCIAL + DML + ARS + ÁREA TEC + LAVABO + DISPENSA</t>
        </is>
      </c>
      <c r="F1765" s="126" t="n">
        <v>46933</v>
      </c>
      <c r="G1765" s="126" t="n">
        <v>46946</v>
      </c>
      <c r="H1765" s="126" t="n">
        <v>46289</v>
      </c>
      <c r="I1765" s="4" t="n">
        <v>0</v>
      </c>
      <c r="J1765" s="4" t="n">
        <v>0</v>
      </c>
      <c r="K1765" s="4" t="n">
        <v>0</v>
      </c>
      <c r="M1765" s="2">
        <f>IF(C1765="","",IFERROR(INDEX($S$5:$S$304,MATCH(C1765,$R$5:$R$304,0))&amp;"","?"))</f>
        <v/>
      </c>
      <c r="N1765" s="2">
        <f>IF(E1765="","",IF(ISNUMBER(SEARCH("SUBSOLO",E1765)),IFERROR(-VALUE(LEFT(E1765,FIND("º",SUBSTITUTE(E1765,"°","º"))-1)),-1),IF(LEFT(E1765,6)="TÉRREO",0,IFERROR(VALUE(LEFT(E1765,FIND("º",SUBSTITUTE(E1765,"°","º"))-1)),""))))</f>
        <v/>
      </c>
      <c r="O1765" s="2">
        <f>IF(OR(F1765="",G1765=""),"",IF(G1765&lt;='RETRATO 2027'!$K$5,"CONCLUÍDA",IF(F1765&lt;='RETRATO 2027'!$K$5,"EM ANDAMENTO","A INICIAR")))</f>
        <v/>
      </c>
    </row>
    <row r="1766">
      <c r="B1766" s="4" t="n">
        <v>30205781</v>
      </c>
      <c r="C1766" s="4" t="inlineStr">
        <is>
          <t>LOUÇAS</t>
        </is>
      </c>
      <c r="D1766" s="4" t="inlineStr">
        <is>
          <t>-</t>
        </is>
      </c>
      <c r="E1766" s="4" t="inlineStr">
        <is>
          <t>TÉRREO - ACESSO COMERCIAL + DML + ARS + ÁREA TEC + LAVABO + DISPENSA</t>
        </is>
      </c>
      <c r="F1766" s="126" t="n">
        <v>46933</v>
      </c>
      <c r="G1766" s="126" t="n">
        <v>46946</v>
      </c>
      <c r="H1766" s="126" t="n">
        <v>46289</v>
      </c>
      <c r="I1766" s="4" t="n">
        <v>0</v>
      </c>
      <c r="J1766" s="4" t="n">
        <v>0</v>
      </c>
      <c r="K1766" s="4" t="n">
        <v>0</v>
      </c>
      <c r="M1766" s="2">
        <f>IF(C1766="","",IFERROR(INDEX($S$5:$S$304,MATCH(C1766,$R$5:$R$304,0))&amp;"","?"))</f>
        <v/>
      </c>
      <c r="N1766" s="2">
        <f>IF(E1766="","",IF(ISNUMBER(SEARCH("SUBSOLO",E1766)),IFERROR(-VALUE(LEFT(E1766,FIND("º",SUBSTITUTE(E1766,"°","º"))-1)),-1),IF(LEFT(E1766,6)="TÉRREO",0,IFERROR(VALUE(LEFT(E1766,FIND("º",SUBSTITUTE(E1766,"°","º"))-1)),""))))</f>
        <v/>
      </c>
      <c r="O1766" s="2">
        <f>IF(OR(F1766="",G1766=""),"",IF(G1766&lt;='RETRATO 2027'!$K$5,"CONCLUÍDA",IF(F1766&lt;='RETRATO 2027'!$K$5,"EM ANDAMENTO","A INICIAR")))</f>
        <v/>
      </c>
    </row>
    <row r="1767">
      <c r="B1767" s="4" t="n">
        <v>30205779</v>
      </c>
      <c r="C1767" s="4" t="inlineStr">
        <is>
          <t>METAIS</t>
        </is>
      </c>
      <c r="D1767" s="4" t="inlineStr">
        <is>
          <t>-</t>
        </is>
      </c>
      <c r="E1767" s="4" t="inlineStr">
        <is>
          <t>TÉRREO - ACESSO COMERCIAL + DML + ARS + ÁREA TEC + LAVABO + DISPENSA</t>
        </is>
      </c>
      <c r="F1767" s="126" t="n">
        <v>46933</v>
      </c>
      <c r="G1767" s="126" t="n">
        <v>46946</v>
      </c>
      <c r="H1767" s="126" t="n">
        <v>46289</v>
      </c>
      <c r="I1767" s="4" t="n">
        <v>0</v>
      </c>
      <c r="J1767" s="4" t="n">
        <v>0</v>
      </c>
      <c r="K1767" s="4" t="n">
        <v>0</v>
      </c>
      <c r="M1767" s="2">
        <f>IF(C1767="","",IFERROR(INDEX($S$5:$S$304,MATCH(C1767,$R$5:$R$304,0))&amp;"","?"))</f>
        <v/>
      </c>
      <c r="N1767" s="2">
        <f>IF(E1767="","",IF(ISNUMBER(SEARCH("SUBSOLO",E1767)),IFERROR(-VALUE(LEFT(E1767,FIND("º",SUBSTITUTE(E1767,"°","º"))-1)),-1),IF(LEFT(E1767,6)="TÉRREO",0,IFERROR(VALUE(LEFT(E1767,FIND("º",SUBSTITUTE(E1767,"°","º"))-1)),""))))</f>
        <v/>
      </c>
      <c r="O1767" s="2">
        <f>IF(OR(F1767="",G1767=""),"",IF(G1767&lt;='RETRATO 2027'!$K$5,"CONCLUÍDA",IF(F1767&lt;='RETRATO 2027'!$K$5,"EM ANDAMENTO","A INICIAR")))</f>
        <v/>
      </c>
    </row>
    <row r="1768">
      <c r="B1768" s="4" t="n">
        <v>30205818</v>
      </c>
      <c r="C1768" s="4" t="inlineStr">
        <is>
          <t>PINTURA 1º DEMÃO</t>
        </is>
      </c>
      <c r="D1768" s="4" t="inlineStr">
        <is>
          <t>-</t>
        </is>
      </c>
      <c r="E1768" s="4" t="inlineStr">
        <is>
          <t>TÉRREO - HALL SOCIAL + ECLUSA + CIRCULAÇÃO</t>
        </is>
      </c>
      <c r="F1768" s="126" t="n">
        <v>46933</v>
      </c>
      <c r="G1768" s="126" t="n">
        <v>46946</v>
      </c>
      <c r="H1768" s="126" t="n">
        <v>46289</v>
      </c>
      <c r="I1768" s="4" t="n">
        <v>0</v>
      </c>
      <c r="J1768" s="4" t="n">
        <v>0</v>
      </c>
      <c r="K1768" s="4" t="n">
        <v>0</v>
      </c>
      <c r="M1768" s="2">
        <f>IF(C1768="","",IFERROR(INDEX($S$5:$S$304,MATCH(C1768,$R$5:$R$304,0))&amp;"","?"))</f>
        <v/>
      </c>
      <c r="N1768" s="2">
        <f>IF(E1768="","",IF(ISNUMBER(SEARCH("SUBSOLO",E1768)),IFERROR(-VALUE(LEFT(E1768,FIND("º",SUBSTITUTE(E1768,"°","º"))-1)),-1),IF(LEFT(E1768,6)="TÉRREO",0,IFERROR(VALUE(LEFT(E1768,FIND("º",SUBSTITUTE(E1768,"°","º"))-1)),""))))</f>
        <v/>
      </c>
      <c r="O1768" s="2">
        <f>IF(OR(F1768="",G1768=""),"",IF(G1768&lt;='RETRATO 2027'!$K$5,"CONCLUÍDA",IF(F1768&lt;='RETRATO 2027'!$K$5,"EM ANDAMENTO","A INICIAR")))</f>
        <v/>
      </c>
    </row>
    <row r="1769">
      <c r="B1769" s="4" t="n">
        <v>29980811</v>
      </c>
      <c r="C1769" s="4" t="inlineStr">
        <is>
          <t>FORRO</t>
        </is>
      </c>
      <c r="D1769" s="4" t="inlineStr">
        <is>
          <t>-</t>
        </is>
      </c>
      <c r="E1769" s="4" t="inlineStr">
        <is>
          <t>27º PAV.</t>
        </is>
      </c>
      <c r="F1769" s="126" t="n">
        <v>46933</v>
      </c>
      <c r="G1769" s="126" t="n">
        <v>46945</v>
      </c>
      <c r="H1769" s="126" t="n">
        <v>46289</v>
      </c>
      <c r="I1769" s="4" t="n">
        <v>0</v>
      </c>
      <c r="J1769" s="4" t="n">
        <v>0</v>
      </c>
      <c r="K1769" s="4" t="n">
        <v>0</v>
      </c>
      <c r="M1769" s="2">
        <f>IF(C1769="","",IFERROR(INDEX($S$5:$S$304,MATCH(C1769,$R$5:$R$304,0))&amp;"","?"))</f>
        <v/>
      </c>
      <c r="N1769" s="2">
        <f>IF(E1769="","",IF(ISNUMBER(SEARCH("SUBSOLO",E1769)),IFERROR(-VALUE(LEFT(E1769,FIND("º",SUBSTITUTE(E1769,"°","º"))-1)),-1),IF(LEFT(E1769,6)="TÉRREO",0,IFERROR(VALUE(LEFT(E1769,FIND("º",SUBSTITUTE(E1769,"°","º"))-1)),""))))</f>
        <v/>
      </c>
      <c r="O1769" s="2">
        <f>IF(OR(F1769="",G1769=""),"",IF(G1769&lt;='RETRATO 2027'!$K$5,"CONCLUÍDA",IF(F1769&lt;='RETRATO 2027'!$K$5,"EM ANDAMENTO","A INICIAR")))</f>
        <v/>
      </c>
    </row>
    <row r="1770">
      <c r="B1770" s="4" t="n">
        <v>29980772</v>
      </c>
      <c r="C1770" s="4" t="inlineStr">
        <is>
          <t>FIAÇÃO ELÉTRICA</t>
        </is>
      </c>
      <c r="D1770" s="4" t="inlineStr">
        <is>
          <t>-</t>
        </is>
      </c>
      <c r="E1770" s="4" t="inlineStr">
        <is>
          <t>28º PAV.</t>
        </is>
      </c>
      <c r="F1770" s="126" t="n">
        <v>46933</v>
      </c>
      <c r="G1770" s="126" t="n">
        <v>46945</v>
      </c>
      <c r="H1770" s="126" t="n">
        <v>46289</v>
      </c>
      <c r="I1770" s="4" t="n">
        <v>0</v>
      </c>
      <c r="J1770" s="4" t="n">
        <v>0</v>
      </c>
      <c r="K1770" s="4" t="n">
        <v>0</v>
      </c>
      <c r="M1770" s="2">
        <f>IF(C1770="","",IFERROR(INDEX($S$5:$S$304,MATCH(C1770,$R$5:$R$304,0))&amp;"","?"))</f>
        <v/>
      </c>
      <c r="N1770" s="2">
        <f>IF(E1770="","",IF(ISNUMBER(SEARCH("SUBSOLO",E1770)),IFERROR(-VALUE(LEFT(E1770,FIND("º",SUBSTITUTE(E1770,"°","º"))-1)),-1),IF(LEFT(E1770,6)="TÉRREO",0,IFERROR(VALUE(LEFT(E1770,FIND("º",SUBSTITUTE(E1770,"°","º"))-1)),""))))</f>
        <v/>
      </c>
      <c r="O1770" s="2">
        <f>IF(OR(F1770="",G1770=""),"",IF(G1770&lt;='RETRATO 2027'!$K$5,"CONCLUÍDA",IF(F1770&lt;='RETRATO 2027'!$K$5,"EM ANDAMENTO","A INICIAR")))</f>
        <v/>
      </c>
    </row>
    <row r="1771">
      <c r="B1771" s="4" t="n">
        <v>29980777</v>
      </c>
      <c r="C1771" s="4" t="inlineStr">
        <is>
          <t>PRUMADA ELÉTRICA - CABOS</t>
        </is>
      </c>
      <c r="D1771" s="4" t="inlineStr">
        <is>
          <t>-</t>
        </is>
      </c>
      <c r="E1771" s="4" t="inlineStr">
        <is>
          <t>28º PAV.</t>
        </is>
      </c>
      <c r="F1771" s="126" t="n">
        <v>46933</v>
      </c>
      <c r="G1771" s="126" t="n">
        <v>46945</v>
      </c>
      <c r="H1771" s="126" t="n">
        <v>46289</v>
      </c>
      <c r="I1771" s="4" t="n">
        <v>0</v>
      </c>
      <c r="J1771" s="4" t="n">
        <v>0</v>
      </c>
      <c r="K1771" s="4" t="n">
        <v>0</v>
      </c>
      <c r="M1771" s="2">
        <f>IF(C1771="","",IFERROR(INDEX($S$5:$S$304,MATCH(C1771,$R$5:$R$304,0))&amp;"","?"))</f>
        <v/>
      </c>
      <c r="N1771" s="2">
        <f>IF(E1771="","",IF(ISNUMBER(SEARCH("SUBSOLO",E1771)),IFERROR(-VALUE(LEFT(E1771,FIND("º",SUBSTITUTE(E1771,"°","º"))-1)),-1),IF(LEFT(E1771,6)="TÉRREO",0,IFERROR(VALUE(LEFT(E1771,FIND("º",SUBSTITUTE(E1771,"°","º"))-1)),""))))</f>
        <v/>
      </c>
      <c r="O1771" s="2">
        <f>IF(OR(F1771="",G1771=""),"",IF(G1771&lt;='RETRATO 2027'!$K$5,"CONCLUÍDA",IF(F1771&lt;='RETRATO 2027'!$K$5,"EM ANDAMENTO","A INICIAR")))</f>
        <v/>
      </c>
    </row>
    <row r="1772">
      <c r="B1772" s="4" t="n">
        <v>30214090</v>
      </c>
      <c r="C1772" s="4" t="inlineStr">
        <is>
          <t>FIAÇÃO TELECOM/DADOS</t>
        </is>
      </c>
      <c r="D1772" s="4" t="inlineStr">
        <is>
          <t>-</t>
        </is>
      </c>
      <c r="E1772" s="4" t="inlineStr">
        <is>
          <t>28º PAV.</t>
        </is>
      </c>
      <c r="F1772" s="126" t="n">
        <v>46933</v>
      </c>
      <c r="G1772" s="126" t="n">
        <v>46946</v>
      </c>
      <c r="H1772" s="126" t="n">
        <v>46289</v>
      </c>
      <c r="I1772" s="4" t="n">
        <v>0</v>
      </c>
      <c r="J1772" s="4" t="n">
        <v>0</v>
      </c>
      <c r="K1772" s="4" t="n">
        <v>0</v>
      </c>
      <c r="M1772" s="2">
        <f>IF(C1772="","",IFERROR(INDEX($S$5:$S$304,MATCH(C1772,$R$5:$R$304,0))&amp;"","?"))</f>
        <v/>
      </c>
      <c r="N1772" s="2">
        <f>IF(E1772="","",IF(ISNUMBER(SEARCH("SUBSOLO",E1772)),IFERROR(-VALUE(LEFT(E1772,FIND("º",SUBSTITUTE(E1772,"°","º"))-1)),-1),IF(LEFT(E1772,6)="TÉRREO",0,IFERROR(VALUE(LEFT(E1772,FIND("º",SUBSTITUTE(E1772,"°","º"))-1)),""))))</f>
        <v/>
      </c>
      <c r="O1772" s="2">
        <f>IF(OR(F1772="",G1772=""),"",IF(G1772&lt;='RETRATO 2027'!$K$5,"CONCLUÍDA",IF(F1772&lt;='RETRATO 2027'!$K$5,"EM ANDAMENTO","A INICIAR")))</f>
        <v/>
      </c>
    </row>
    <row r="1773">
      <c r="B1773" s="4" t="n">
        <v>29980719</v>
      </c>
      <c r="C1773" s="4" t="inlineStr">
        <is>
          <t>BANCADAS</t>
        </is>
      </c>
      <c r="D1773" s="4" t="inlineStr">
        <is>
          <t>-</t>
        </is>
      </c>
      <c r="E1773" s="4" t="inlineStr">
        <is>
          <t>29º PAV.</t>
        </is>
      </c>
      <c r="F1773" s="126" t="n">
        <v>46933</v>
      </c>
      <c r="G1773" s="126" t="n">
        <v>46945</v>
      </c>
      <c r="H1773" s="126" t="n">
        <v>46289</v>
      </c>
      <c r="I1773" s="4" t="n">
        <v>0</v>
      </c>
      <c r="J1773" s="4" t="n">
        <v>0</v>
      </c>
      <c r="K1773" s="4" t="n">
        <v>0</v>
      </c>
      <c r="M1773" s="2">
        <f>IF(C1773="","",IFERROR(INDEX($S$5:$S$304,MATCH(C1773,$R$5:$R$304,0))&amp;"","?"))</f>
        <v/>
      </c>
      <c r="N1773" s="2">
        <f>IF(E1773="","",IF(ISNUMBER(SEARCH("SUBSOLO",E1773)),IFERROR(-VALUE(LEFT(E1773,FIND("º",SUBSTITUTE(E1773,"°","º"))-1)),-1),IF(LEFT(E1773,6)="TÉRREO",0,IFERROR(VALUE(LEFT(E1773,FIND("º",SUBSTITUTE(E1773,"°","º"))-1)),""))))</f>
        <v/>
      </c>
      <c r="O1773" s="2">
        <f>IF(OR(F1773="",G1773=""),"",IF(G1773&lt;='RETRATO 2027'!$K$5,"CONCLUÍDA",IF(F1773&lt;='RETRATO 2027'!$K$5,"EM ANDAMENTO","A INICIAR")))</f>
        <v/>
      </c>
    </row>
    <row r="1774">
      <c r="B1774" s="4" t="n">
        <v>29980681</v>
      </c>
      <c r="C1774" s="4" t="inlineStr">
        <is>
          <t>REVESTIMENTOS PORCELANATO PISO</t>
        </is>
      </c>
      <c r="D1774" s="4" t="inlineStr">
        <is>
          <t>-</t>
        </is>
      </c>
      <c r="E1774" s="4" t="inlineStr">
        <is>
          <t>30º PAV.</t>
        </is>
      </c>
      <c r="F1774" s="126" t="n">
        <v>46933</v>
      </c>
      <c r="G1774" s="126" t="n">
        <v>46945</v>
      </c>
      <c r="H1774" s="126" t="n">
        <v>46289</v>
      </c>
      <c r="I1774" s="4" t="n">
        <v>0</v>
      </c>
      <c r="J1774" s="4" t="n">
        <v>0</v>
      </c>
      <c r="K1774" s="4" t="n">
        <v>0</v>
      </c>
      <c r="M1774" s="2">
        <f>IF(C1774="","",IFERROR(INDEX($S$5:$S$304,MATCH(C1774,$R$5:$R$304,0))&amp;"","?"))</f>
        <v/>
      </c>
      <c r="N1774" s="2">
        <f>IF(E1774="","",IF(ISNUMBER(SEARCH("SUBSOLO",E1774)),IFERROR(-VALUE(LEFT(E1774,FIND("º",SUBSTITUTE(E1774,"°","º"))-1)),-1),IF(LEFT(E1774,6)="TÉRREO",0,IFERROR(VALUE(LEFT(E1774,FIND("º",SUBSTITUTE(E1774,"°","º"))-1)),""))))</f>
        <v/>
      </c>
      <c r="O1774" s="2">
        <f>IF(OR(F1774="",G1774=""),"",IF(G1774&lt;='RETRATO 2027'!$K$5,"CONCLUÍDA",IF(F1774&lt;='RETRATO 2027'!$K$5,"EM ANDAMENTO","A INICIAR")))</f>
        <v/>
      </c>
    </row>
    <row r="1775">
      <c r="B1775" s="4" t="n">
        <v>29980660</v>
      </c>
      <c r="C1775" s="4" t="inlineStr">
        <is>
          <t>REVESTIMENTO PORCELANATO PAREDE</t>
        </is>
      </c>
      <c r="D1775" s="4" t="inlineStr">
        <is>
          <t>-</t>
        </is>
      </c>
      <c r="E1775" s="4" t="inlineStr">
        <is>
          <t>31º PAV. - COBERTURA LINEAR</t>
        </is>
      </c>
      <c r="F1775" s="126" t="n">
        <v>46933</v>
      </c>
      <c r="G1775" s="126" t="n">
        <v>46945</v>
      </c>
      <c r="H1775" s="126" t="n">
        <v>46289</v>
      </c>
      <c r="I1775" s="4" t="n">
        <v>0</v>
      </c>
      <c r="J1775" s="4" t="n">
        <v>0</v>
      </c>
      <c r="K1775" s="4" t="n">
        <v>0</v>
      </c>
      <c r="M1775" s="2">
        <f>IF(C1775="","",IFERROR(INDEX($S$5:$S$304,MATCH(C1775,$R$5:$R$304,0))&amp;"","?"))</f>
        <v/>
      </c>
      <c r="N1775" s="2">
        <f>IF(E1775="","",IF(ISNUMBER(SEARCH("SUBSOLO",E1775)),IFERROR(-VALUE(LEFT(E1775,FIND("º",SUBSTITUTE(E1775,"°","º"))-1)),-1),IF(LEFT(E1775,6)="TÉRREO",0,IFERROR(VALUE(LEFT(E1775,FIND("º",SUBSTITUTE(E1775,"°","º"))-1)),""))))</f>
        <v/>
      </c>
      <c r="O1775" s="2">
        <f>IF(OR(F1775="",G1775=""),"",IF(G1775&lt;='RETRATO 2027'!$K$5,"CONCLUÍDA",IF(F1775&lt;='RETRATO 2027'!$K$5,"EM ANDAMENTO","A INICIAR")))</f>
        <v/>
      </c>
    </row>
    <row r="1776">
      <c r="B1776" s="4" t="n">
        <v>29980621</v>
      </c>
      <c r="C1776" s="4" t="inlineStr">
        <is>
          <t>IMPERMEABILIZAÇÃO</t>
        </is>
      </c>
      <c r="D1776" s="4" t="inlineStr">
        <is>
          <t>-</t>
        </is>
      </c>
      <c r="E1776" s="4" t="inlineStr">
        <is>
          <t>32º PAV - COBERTURA GERAL</t>
        </is>
      </c>
      <c r="F1776" s="126" t="n">
        <v>46933</v>
      </c>
      <c r="G1776" s="126" t="n">
        <v>46945</v>
      </c>
      <c r="H1776" s="126" t="n">
        <v>46289</v>
      </c>
      <c r="I1776" s="4" t="n">
        <v>0</v>
      </c>
      <c r="J1776" s="4" t="n">
        <v>0</v>
      </c>
      <c r="K1776" s="4" t="n">
        <v>0</v>
      </c>
      <c r="M1776" s="2">
        <f>IF(C1776="","",IFERROR(INDEX($S$5:$S$304,MATCH(C1776,$R$5:$R$304,0))&amp;"","?"))</f>
        <v/>
      </c>
      <c r="N1776" s="2">
        <f>IF(E1776="","",IF(ISNUMBER(SEARCH("SUBSOLO",E1776)),IFERROR(-VALUE(LEFT(E1776,FIND("º",SUBSTITUTE(E1776,"°","º"))-1)),-1),IF(LEFT(E1776,6)="TÉRREO",0,IFERROR(VALUE(LEFT(E1776,FIND("º",SUBSTITUTE(E1776,"°","º"))-1)),""))))</f>
        <v/>
      </c>
      <c r="O1776" s="2">
        <f>IF(OR(F1776="",G1776=""),"",IF(G1776&lt;='RETRATO 2027'!$K$5,"CONCLUÍDA",IF(F1776&lt;='RETRATO 2027'!$K$5,"EM ANDAMENTO","A INICIAR")))</f>
        <v/>
      </c>
    </row>
    <row r="1777">
      <c r="B1777" s="4" t="n">
        <v>33904058</v>
      </c>
      <c r="C1777" s="4" t="inlineStr">
        <is>
          <t>ESQUADRIA DE ALUMÍNIO</t>
        </is>
      </c>
      <c r="D1777" s="4" t="inlineStr">
        <is>
          <t>-</t>
        </is>
      </c>
      <c r="E1777" s="4" t="inlineStr">
        <is>
          <t>6º PAV (PILOTIS) - ACADEMIA</t>
        </is>
      </c>
      <c r="F1777" s="126" t="n">
        <v>46934</v>
      </c>
      <c r="G1777" s="126" t="n">
        <v>46947</v>
      </c>
      <c r="H1777" s="126" t="n">
        <v>46289</v>
      </c>
      <c r="I1777" s="4" t="n">
        <v>0</v>
      </c>
      <c r="J1777" s="4" t="n">
        <v>0</v>
      </c>
      <c r="K1777" s="4" t="n">
        <v>0</v>
      </c>
      <c r="M1777" s="2">
        <f>IF(C1777="","",IFERROR(INDEX($S$5:$S$304,MATCH(C1777,$R$5:$R$304,0))&amp;"","?"))</f>
        <v/>
      </c>
      <c r="N1777" s="2">
        <f>IF(E1777="","",IF(ISNUMBER(SEARCH("SUBSOLO",E1777)),IFERROR(-VALUE(LEFT(E1777,FIND("º",SUBSTITUTE(E1777,"°","º"))-1)),-1),IF(LEFT(E1777,6)="TÉRREO",0,IFERROR(VALUE(LEFT(E1777,FIND("º",SUBSTITUTE(E1777,"°","º"))-1)),""))))</f>
        <v/>
      </c>
      <c r="O1777" s="2">
        <f>IF(OR(F1777="",G1777=""),"",IF(G1777&lt;='RETRATO 2027'!$K$5,"CONCLUÍDA",IF(F1777&lt;='RETRATO 2027'!$K$5,"EM ANDAMENTO","A INICIAR")))</f>
        <v/>
      </c>
    </row>
    <row r="1778">
      <c r="B1778" s="4" t="n">
        <v>30206088</v>
      </c>
      <c r="C1778" s="4" t="inlineStr">
        <is>
          <t>FIAÇÃO ELÉTRICA</t>
        </is>
      </c>
      <c r="D1778" s="4" t="inlineStr">
        <is>
          <t>-</t>
        </is>
      </c>
      <c r="E1778" s="4" t="inlineStr">
        <is>
          <t>6º PAV (PILOTIS) - SAUNA + DUCHA</t>
        </is>
      </c>
      <c r="F1778" s="126" t="n">
        <v>46934</v>
      </c>
      <c r="G1778" s="126" t="n">
        <v>46947</v>
      </c>
      <c r="H1778" s="126" t="n">
        <v>46289</v>
      </c>
      <c r="I1778" s="4" t="n">
        <v>0</v>
      </c>
      <c r="J1778" s="4" t="n">
        <v>0</v>
      </c>
      <c r="K1778" s="4" t="n">
        <v>0</v>
      </c>
      <c r="M1778" s="2">
        <f>IF(C1778="","",IFERROR(INDEX($S$5:$S$304,MATCH(C1778,$R$5:$R$304,0))&amp;"","?"))</f>
        <v/>
      </c>
      <c r="N1778" s="2">
        <f>IF(E1778="","",IF(ISNUMBER(SEARCH("SUBSOLO",E1778)),IFERROR(-VALUE(LEFT(E1778,FIND("º",SUBSTITUTE(E1778,"°","º"))-1)),-1),IF(LEFT(E1778,6)="TÉRREO",0,IFERROR(VALUE(LEFT(E1778,FIND("º",SUBSTITUTE(E1778,"°","º"))-1)),""))))</f>
        <v/>
      </c>
      <c r="O1778" s="2">
        <f>IF(OR(F1778="",G1778=""),"",IF(G1778&lt;='RETRATO 2027'!$K$5,"CONCLUÍDA",IF(F1778&lt;='RETRATO 2027'!$K$5,"EM ANDAMENTO","A INICIAR")))</f>
        <v/>
      </c>
    </row>
    <row r="1779">
      <c r="B1779" s="4" t="n">
        <v>30206034</v>
      </c>
      <c r="C1779" s="4" t="inlineStr">
        <is>
          <t>REVESTIMENTOS PORCELANATO PISO</t>
        </is>
      </c>
      <c r="D1779" s="4" t="inlineStr">
        <is>
          <t>-</t>
        </is>
      </c>
      <c r="E1779" s="4" t="inlineStr">
        <is>
          <t>6º PAV (PILOTIS) - CHURRASQUEIRA + IS MASC. PCD + IS FEM. PCD + CIRCULAÇÃO 1 + HALL 1</t>
        </is>
      </c>
      <c r="F1779" s="126" t="n">
        <v>46934</v>
      </c>
      <c r="G1779" s="126" t="n">
        <v>46947</v>
      </c>
      <c r="H1779" s="126" t="n">
        <v>46289</v>
      </c>
      <c r="I1779" s="4" t="n">
        <v>0</v>
      </c>
      <c r="J1779" s="4" t="n">
        <v>0</v>
      </c>
      <c r="K1779" s="4" t="n">
        <v>0</v>
      </c>
      <c r="M1779" s="2">
        <f>IF(C1779="","",IFERROR(INDEX($S$5:$S$304,MATCH(C1779,$R$5:$R$304,0))&amp;"","?"))</f>
        <v/>
      </c>
      <c r="N1779" s="2">
        <f>IF(E1779="","",IF(ISNUMBER(SEARCH("SUBSOLO",E1779)),IFERROR(-VALUE(LEFT(E1779,FIND("º",SUBSTITUTE(E1779,"°","º"))-1)),-1),IF(LEFT(E1779,6)="TÉRREO",0,IFERROR(VALUE(LEFT(E1779,FIND("º",SUBSTITUTE(E1779,"°","º"))-1)),""))))</f>
        <v/>
      </c>
      <c r="O1779" s="2">
        <f>IF(OR(F1779="",G1779=""),"",IF(G1779&lt;='RETRATO 2027'!$K$5,"CONCLUÍDA",IF(F1779&lt;='RETRATO 2027'!$K$5,"EM ANDAMENTO","A INICIAR")))</f>
        <v/>
      </c>
    </row>
    <row r="1780">
      <c r="B1780" s="4" t="n">
        <v>30206013</v>
      </c>
      <c r="C1780" s="4" t="inlineStr">
        <is>
          <t>REVESTIMENTO PORCELANATO PAREDE</t>
        </is>
      </c>
      <c r="D1780" s="4" t="inlineStr">
        <is>
          <t>-</t>
        </is>
      </c>
      <c r="E1780" s="4" t="inlineStr">
        <is>
          <t>6º PAV (PILOTIS) - COWORKING 1 E 2 + CIRC. 2 + HALL 2 + DML + VEST. MASC. + VEST. FEM</t>
        </is>
      </c>
      <c r="F1780" s="126" t="n">
        <v>46934</v>
      </c>
      <c r="G1780" s="126" t="n">
        <v>46947</v>
      </c>
      <c r="H1780" s="126" t="n">
        <v>46289</v>
      </c>
      <c r="I1780" s="4" t="n">
        <v>0</v>
      </c>
      <c r="J1780" s="4" t="n">
        <v>0</v>
      </c>
      <c r="K1780" s="4" t="n">
        <v>0</v>
      </c>
      <c r="M1780" s="2">
        <f>IF(C1780="","",IFERROR(INDEX($S$5:$S$304,MATCH(C1780,$R$5:$R$304,0))&amp;"","?"))</f>
        <v/>
      </c>
      <c r="N1780" s="2">
        <f>IF(E1780="","",IF(ISNUMBER(SEARCH("SUBSOLO",E1780)),IFERROR(-VALUE(LEFT(E1780,FIND("º",SUBSTITUTE(E1780,"°","º"))-1)),-1),IF(LEFT(E1780,6)="TÉRREO",0,IFERROR(VALUE(LEFT(E1780,FIND("º",SUBSTITUTE(E1780,"°","º"))-1)),""))))</f>
        <v/>
      </c>
      <c r="O1780" s="2">
        <f>IF(OR(F1780="",G1780=""),"",IF(G1780&lt;='RETRATO 2027'!$K$5,"CONCLUÍDA",IF(F1780&lt;='RETRATO 2027'!$K$5,"EM ANDAMENTO","A INICIAR")))</f>
        <v/>
      </c>
    </row>
    <row r="1781">
      <c r="B1781" s="4" t="n">
        <v>30205975</v>
      </c>
      <c r="C1781" s="4" t="inlineStr">
        <is>
          <t>CONTRAPISO</t>
        </is>
      </c>
      <c r="D1781" s="4" t="inlineStr">
        <is>
          <t>-</t>
        </is>
      </c>
      <c r="E1781" s="4" t="inlineStr">
        <is>
          <t>6º PAV (PILOTIS) - LOUNGE + SALÃO + COZINHA + GOURMET + ESPAÇO KIDS</t>
        </is>
      </c>
      <c r="F1781" s="126" t="n">
        <v>46934</v>
      </c>
      <c r="G1781" s="126" t="n">
        <v>46947</v>
      </c>
      <c r="H1781" s="126" t="n">
        <v>46289</v>
      </c>
      <c r="I1781" s="4" t="n">
        <v>0</v>
      </c>
      <c r="J1781" s="4" t="n">
        <v>0</v>
      </c>
      <c r="K1781" s="4" t="n">
        <v>0</v>
      </c>
      <c r="M1781" s="2">
        <f>IF(C1781="","",IFERROR(INDEX($S$5:$S$304,MATCH(C1781,$R$5:$R$304,0))&amp;"","?"))</f>
        <v/>
      </c>
      <c r="N1781" s="2">
        <f>IF(E1781="","",IF(ISNUMBER(SEARCH("SUBSOLO",E1781)),IFERROR(-VALUE(LEFT(E1781,FIND("º",SUBSTITUTE(E1781,"°","º"))-1)),-1),IF(LEFT(E1781,6)="TÉRREO",0,IFERROR(VALUE(LEFT(E1781,FIND("º",SUBSTITUTE(E1781,"°","º"))-1)),""))))</f>
        <v/>
      </c>
      <c r="O1781" s="2">
        <f>IF(OR(F1781="",G1781=""),"",IF(G1781&lt;='RETRATO 2027'!$K$5,"CONCLUÍDA",IF(F1781&lt;='RETRATO 2027'!$K$5,"EM ANDAMENTO","A INICIAR")))</f>
        <v/>
      </c>
    </row>
    <row r="1782">
      <c r="B1782" s="4" t="n">
        <v>29981103</v>
      </c>
      <c r="C1782" s="4" t="inlineStr">
        <is>
          <t>CONTRAPISO</t>
        </is>
      </c>
      <c r="D1782" s="4" t="inlineStr">
        <is>
          <t>-</t>
        </is>
      </c>
      <c r="E1782" s="4" t="inlineStr">
        <is>
          <t>19º PAV.</t>
        </is>
      </c>
      <c r="F1782" s="126" t="n">
        <v>46934</v>
      </c>
      <c r="G1782" s="126" t="n">
        <v>46946</v>
      </c>
      <c r="H1782" s="126" t="n">
        <v>46289</v>
      </c>
      <c r="I1782" s="4" t="n">
        <v>0</v>
      </c>
      <c r="J1782" s="4" t="n">
        <v>0</v>
      </c>
      <c r="K1782" s="4" t="n">
        <v>0</v>
      </c>
      <c r="M1782" s="2">
        <f>IF(C1782="","",IFERROR(INDEX($S$5:$S$304,MATCH(C1782,$R$5:$R$304,0))&amp;"","?"))</f>
        <v/>
      </c>
      <c r="N1782" s="2">
        <f>IF(E1782="","",IF(ISNUMBER(SEARCH("SUBSOLO",E1782)),IFERROR(-VALUE(LEFT(E1782,FIND("º",SUBSTITUTE(E1782,"°","º"))-1)),-1),IF(LEFT(E1782,6)="TÉRREO",0,IFERROR(VALUE(LEFT(E1782,FIND("º",SUBSTITUTE(E1782,"°","º"))-1)),""))))</f>
        <v/>
      </c>
      <c r="O1782" s="2">
        <f>IF(OR(F1782="",G1782=""),"",IF(G1782&lt;='RETRATO 2027'!$K$5,"CONCLUÍDA",IF(F1782&lt;='RETRATO 2027'!$K$5,"EM ANDAMENTO","A INICIAR")))</f>
        <v/>
      </c>
    </row>
    <row r="1783">
      <c r="B1783" s="4" t="n">
        <v>30171526</v>
      </c>
      <c r="C1783" s="4" t="inlineStr">
        <is>
          <t>FIAÇÃO ELÉTRICA</t>
        </is>
      </c>
      <c r="D1783" s="4" t="inlineStr">
        <is>
          <t>-</t>
        </is>
      </c>
      <c r="E1783" s="4" t="inlineStr">
        <is>
          <t>HALL - GARAGENS</t>
        </is>
      </c>
      <c r="F1783" s="126" t="n">
        <v>46937</v>
      </c>
      <c r="G1783" s="126" t="n">
        <v>46966</v>
      </c>
      <c r="H1783" s="126" t="n">
        <v>46289</v>
      </c>
      <c r="I1783" s="4" t="n">
        <v>0</v>
      </c>
      <c r="J1783" s="4" t="n">
        <v>0</v>
      </c>
      <c r="K1783" s="4" t="n">
        <v>0</v>
      </c>
      <c r="M1783" s="2">
        <f>IF(C1783="","",IFERROR(INDEX($S$5:$S$304,MATCH(C1783,$R$5:$R$304,0))&amp;"","?"))</f>
        <v/>
      </c>
      <c r="N1783" s="2">
        <f>IF(E1783="","",IF(ISNUMBER(SEARCH("SUBSOLO",E1783)),IFERROR(-VALUE(LEFT(E1783,FIND("º",SUBSTITUTE(E1783,"°","º"))-1)),-1),IF(LEFT(E1783,6)="TÉRREO",0,IFERROR(VALUE(LEFT(E1783,FIND("º",SUBSTITUTE(E1783,"°","º"))-1)),""))))</f>
        <v/>
      </c>
      <c r="O1783" s="2">
        <f>IF(OR(F1783="",G1783=""),"",IF(G1783&lt;='RETRATO 2027'!$K$5,"CONCLUÍDA",IF(F1783&lt;='RETRATO 2027'!$K$5,"EM ANDAMENTO","A INICIAR")))</f>
        <v/>
      </c>
    </row>
    <row r="1784">
      <c r="B1784" s="4" t="n">
        <v>30171532</v>
      </c>
      <c r="C1784" s="4" t="inlineStr">
        <is>
          <t>PRUMADA ELÉTRICA - CABOS</t>
        </is>
      </c>
      <c r="D1784" s="4" t="inlineStr">
        <is>
          <t>-</t>
        </is>
      </c>
      <c r="E1784" s="4" t="inlineStr">
        <is>
          <t>HALL - GARAGENS</t>
        </is>
      </c>
      <c r="F1784" s="126" t="n">
        <v>46937</v>
      </c>
      <c r="G1784" s="126" t="n">
        <v>46966</v>
      </c>
      <c r="H1784" s="126" t="n">
        <v>46289</v>
      </c>
      <c r="I1784" s="4" t="n">
        <v>0</v>
      </c>
      <c r="J1784" s="4" t="n">
        <v>0</v>
      </c>
      <c r="K1784" s="4" t="n">
        <v>0</v>
      </c>
      <c r="M1784" s="2">
        <f>IF(C1784="","",IFERROR(INDEX($S$5:$S$304,MATCH(C1784,$R$5:$R$304,0))&amp;"","?"))</f>
        <v/>
      </c>
      <c r="N1784" s="2">
        <f>IF(E1784="","",IF(ISNUMBER(SEARCH("SUBSOLO",E1784)),IFERROR(-VALUE(LEFT(E1784,FIND("º",SUBSTITUTE(E1784,"°","º"))-1)),-1),IF(LEFT(E1784,6)="TÉRREO",0,IFERROR(VALUE(LEFT(E1784,FIND("º",SUBSTITUTE(E1784,"°","º"))-1)),""))))</f>
        <v/>
      </c>
      <c r="O1784" s="2">
        <f>IF(OR(F1784="",G1784=""),"",IF(G1784&lt;='RETRATO 2027'!$K$5,"CONCLUÍDA",IF(F1784&lt;='RETRATO 2027'!$K$5,"EM ANDAMENTO","A INICIAR")))</f>
        <v/>
      </c>
    </row>
    <row r="1785">
      <c r="B1785" s="4" t="n">
        <v>30205682</v>
      </c>
      <c r="C1785" s="4" t="inlineStr">
        <is>
          <t>CHECKLIST</t>
        </is>
      </c>
      <c r="D1785" s="4" t="inlineStr">
        <is>
          <t>-</t>
        </is>
      </c>
      <c r="E1785" s="4" t="inlineStr">
        <is>
          <t>TÉRREO - LOJA 2</t>
        </is>
      </c>
      <c r="F1785" s="126" t="n">
        <v>46938</v>
      </c>
      <c r="G1785" s="126" t="n">
        <v>46944</v>
      </c>
      <c r="H1785" s="126" t="n">
        <v>46289</v>
      </c>
      <c r="I1785" s="4" t="n">
        <v>0</v>
      </c>
      <c r="J1785" s="4" t="n">
        <v>0</v>
      </c>
      <c r="K1785" s="4" t="n">
        <v>0</v>
      </c>
      <c r="M1785" s="2">
        <f>IF(C1785="","",IFERROR(INDEX($S$5:$S$304,MATCH(C1785,$R$5:$R$304,0))&amp;"","?"))</f>
        <v/>
      </c>
      <c r="N1785" s="2">
        <f>IF(E1785="","",IF(ISNUMBER(SEARCH("SUBSOLO",E1785)),IFERROR(-VALUE(LEFT(E1785,FIND("º",SUBSTITUTE(E1785,"°","º"))-1)),-1),IF(LEFT(E1785,6)="TÉRREO",0,IFERROR(VALUE(LEFT(E1785,FIND("º",SUBSTITUTE(E1785,"°","º"))-1)),""))))</f>
        <v/>
      </c>
      <c r="O1785" s="2">
        <f>IF(OR(F1785="",G1785=""),"",IF(G1785&lt;='RETRATO 2027'!$K$5,"CONCLUÍDA",IF(F1785&lt;='RETRATO 2027'!$K$5,"EM ANDAMENTO","A INICIAR")))</f>
        <v/>
      </c>
    </row>
    <row r="1786">
      <c r="B1786" s="4" t="n">
        <v>30205651</v>
      </c>
      <c r="C1786" s="4" t="inlineStr">
        <is>
          <t>LIMPEZA FINA</t>
        </is>
      </c>
      <c r="D1786" s="4" t="inlineStr">
        <is>
          <t>-</t>
        </is>
      </c>
      <c r="E1786" s="4" t="inlineStr">
        <is>
          <t>TÉRREO - LOJA 3</t>
        </is>
      </c>
      <c r="F1786" s="126" t="n">
        <v>46938</v>
      </c>
      <c r="G1786" s="126" t="n">
        <v>46951</v>
      </c>
      <c r="H1786" s="126" t="n">
        <v>46289</v>
      </c>
      <c r="I1786" s="4" t="n">
        <v>0</v>
      </c>
      <c r="J1786" s="4" t="n">
        <v>0</v>
      </c>
      <c r="K1786" s="4" t="n">
        <v>0</v>
      </c>
      <c r="M1786" s="2">
        <f>IF(C1786="","",IFERROR(INDEX($S$5:$S$304,MATCH(C1786,$R$5:$R$304,0))&amp;"","?"))</f>
        <v/>
      </c>
      <c r="N1786" s="2">
        <f>IF(E1786="","",IF(ISNUMBER(SEARCH("SUBSOLO",E1786)),IFERROR(-VALUE(LEFT(E1786,FIND("º",SUBSTITUTE(E1786,"°","º"))-1)),-1),IF(LEFT(E1786,6)="TÉRREO",0,IFERROR(VALUE(LEFT(E1786,FIND("º",SUBSTITUTE(E1786,"°","º"))-1)),""))))</f>
        <v/>
      </c>
      <c r="O1786" s="2">
        <f>IF(OR(F1786="",G1786=""),"",IF(G1786&lt;='RETRATO 2027'!$K$5,"CONCLUÍDA",IF(F1786&lt;='RETRATO 2027'!$K$5,"EM ANDAMENTO","A INICIAR")))</f>
        <v/>
      </c>
    </row>
    <row r="1787">
      <c r="B1787" s="4" t="n">
        <v>30205614</v>
      </c>
      <c r="C1787" s="4" t="inlineStr">
        <is>
          <t>ACABAMENTOS ELÉTRICOS</t>
        </is>
      </c>
      <c r="D1787" s="4" t="inlineStr">
        <is>
          <t>-</t>
        </is>
      </c>
      <c r="E1787" s="4" t="inlineStr">
        <is>
          <t>TÉRREO - LOJA 4</t>
        </is>
      </c>
      <c r="F1787" s="126" t="n">
        <v>46938</v>
      </c>
      <c r="G1787" s="126" t="n">
        <v>46951</v>
      </c>
      <c r="H1787" s="126" t="n">
        <v>46289</v>
      </c>
      <c r="I1787" s="4" t="n">
        <v>0</v>
      </c>
      <c r="J1787" s="4" t="n">
        <v>0</v>
      </c>
      <c r="K1787" s="4" t="n">
        <v>0</v>
      </c>
      <c r="M1787" s="2">
        <f>IF(C1787="","",IFERROR(INDEX($S$5:$S$304,MATCH(C1787,$R$5:$R$304,0))&amp;"","?"))</f>
        <v/>
      </c>
      <c r="N1787" s="2">
        <f>IF(E1787="","",IF(ISNUMBER(SEARCH("SUBSOLO",E1787)),IFERROR(-VALUE(LEFT(E1787,FIND("º",SUBSTITUTE(E1787,"°","º"))-1)),-1),IF(LEFT(E1787,6)="TÉRREO",0,IFERROR(VALUE(LEFT(E1787,FIND("º",SUBSTITUTE(E1787,"°","º"))-1)),""))))</f>
        <v/>
      </c>
      <c r="O1787" s="2">
        <f>IF(OR(F1787="",G1787=""),"",IF(G1787&lt;='RETRATO 2027'!$K$5,"CONCLUÍDA",IF(F1787&lt;='RETRATO 2027'!$K$5,"EM ANDAMENTO","A INICIAR")))</f>
        <v/>
      </c>
    </row>
    <row r="1788">
      <c r="B1788" s="4" t="n">
        <v>30205586</v>
      </c>
      <c r="C1788" s="4" t="inlineStr">
        <is>
          <t>PINTURA 2º DEMÃO</t>
        </is>
      </c>
      <c r="D1788" s="4" t="inlineStr">
        <is>
          <t>-</t>
        </is>
      </c>
      <c r="E1788" s="4" t="inlineStr">
        <is>
          <t>TÉRREO - LOJA 5</t>
        </is>
      </c>
      <c r="F1788" s="126" t="n">
        <v>46938</v>
      </c>
      <c r="G1788" s="126" t="n">
        <v>46951</v>
      </c>
      <c r="H1788" s="126" t="n">
        <v>46289</v>
      </c>
      <c r="I1788" s="4" t="n">
        <v>0</v>
      </c>
      <c r="J1788" s="4" t="n">
        <v>0</v>
      </c>
      <c r="K1788" s="4" t="n">
        <v>0</v>
      </c>
      <c r="M1788" s="2">
        <f>IF(C1788="","",IFERROR(INDEX($S$5:$S$304,MATCH(C1788,$R$5:$R$304,0))&amp;"","?"))</f>
        <v/>
      </c>
      <c r="N1788" s="2">
        <f>IF(E1788="","",IF(ISNUMBER(SEARCH("SUBSOLO",E1788)),IFERROR(-VALUE(LEFT(E1788,FIND("º",SUBSTITUTE(E1788,"°","º"))-1)),-1),IF(LEFT(E1788,6)="TÉRREO",0,IFERROR(VALUE(LEFT(E1788,FIND("º",SUBSTITUTE(E1788,"°","º"))-1)),""))))</f>
        <v/>
      </c>
      <c r="O1788" s="2">
        <f>IF(OR(F1788="",G1788=""),"",IF(G1788&lt;='RETRATO 2027'!$K$5,"CONCLUÍDA",IF(F1788&lt;='RETRATO 2027'!$K$5,"EM ANDAMENTO","A INICIAR")))</f>
        <v/>
      </c>
    </row>
    <row r="1789">
      <c r="B1789" s="4" t="n">
        <v>30205572</v>
      </c>
      <c r="C1789" s="4" t="inlineStr">
        <is>
          <t>LIMPEZA GROSSA</t>
        </is>
      </c>
      <c r="D1789" s="4" t="inlineStr">
        <is>
          <t>-</t>
        </is>
      </c>
      <c r="E1789" s="4" t="inlineStr">
        <is>
          <t>TÉRREO - LOJA 6</t>
        </is>
      </c>
      <c r="F1789" s="126" t="n">
        <v>46938</v>
      </c>
      <c r="G1789" s="126" t="n">
        <v>46951</v>
      </c>
      <c r="H1789" s="126" t="n">
        <v>46289</v>
      </c>
      <c r="I1789" s="4" t="n">
        <v>0</v>
      </c>
      <c r="J1789" s="4" t="n">
        <v>0</v>
      </c>
      <c r="K1789" s="4" t="n">
        <v>0</v>
      </c>
      <c r="M1789" s="2">
        <f>IF(C1789="","",IFERROR(INDEX($S$5:$S$304,MATCH(C1789,$R$5:$R$304,0))&amp;"","?"))</f>
        <v/>
      </c>
      <c r="N1789" s="2">
        <f>IF(E1789="","",IF(ISNUMBER(SEARCH("SUBSOLO",E1789)),IFERROR(-VALUE(LEFT(E1789,FIND("º",SUBSTITUTE(E1789,"°","º"))-1)),-1),IF(LEFT(E1789,6)="TÉRREO",0,IFERROR(VALUE(LEFT(E1789,FIND("º",SUBSTITUTE(E1789,"°","º"))-1)),""))))</f>
        <v/>
      </c>
      <c r="O1789" s="2">
        <f>IF(OR(F1789="",G1789=""),"",IF(G1789&lt;='RETRATO 2027'!$K$5,"CONCLUÍDA",IF(F1789&lt;='RETRATO 2027'!$K$5,"EM ANDAMENTO","A INICIAR")))</f>
        <v/>
      </c>
    </row>
    <row r="1790">
      <c r="B1790" s="4" t="n">
        <v>29981402</v>
      </c>
      <c r="C1790" s="4" t="inlineStr">
        <is>
          <t>LIMPEZA FINA</t>
        </is>
      </c>
      <c r="D1790" s="4" t="inlineStr">
        <is>
          <t>-</t>
        </is>
      </c>
      <c r="E1790" s="4" t="inlineStr">
        <is>
          <t>11º PAV.</t>
        </is>
      </c>
      <c r="F1790" s="126" t="n">
        <v>46939</v>
      </c>
      <c r="G1790" s="126" t="n">
        <v>46951</v>
      </c>
      <c r="H1790" s="126" t="n">
        <v>46289</v>
      </c>
      <c r="I1790" s="4" t="n">
        <v>0</v>
      </c>
      <c r="J1790" s="4" t="n">
        <v>0</v>
      </c>
      <c r="K1790" s="4" t="n">
        <v>0</v>
      </c>
      <c r="M1790" s="2">
        <f>IF(C1790="","",IFERROR(INDEX($S$5:$S$304,MATCH(C1790,$R$5:$R$304,0))&amp;"","?"))</f>
        <v/>
      </c>
      <c r="N1790" s="2">
        <f>IF(E1790="","",IF(ISNUMBER(SEARCH("SUBSOLO",E1790)),IFERROR(-VALUE(LEFT(E1790,FIND("º",SUBSTITUTE(E1790,"°","º"))-1)),-1),IF(LEFT(E1790,6)="TÉRREO",0,IFERROR(VALUE(LEFT(E1790,FIND("º",SUBSTITUTE(E1790,"°","º"))-1)),""))))</f>
        <v/>
      </c>
      <c r="O1790" s="2">
        <f>IF(OR(F1790="",G1790=""),"",IF(G1790&lt;='RETRATO 2027'!$K$5,"CONCLUÍDA",IF(F1790&lt;='RETRATO 2027'!$K$5,"EM ANDAMENTO","A INICIAR")))</f>
        <v/>
      </c>
    </row>
    <row r="1791">
      <c r="B1791" s="4" t="n">
        <v>29981355</v>
      </c>
      <c r="C1791" s="4" t="inlineStr">
        <is>
          <t>PINTURA 3º DEMÃO</t>
        </is>
      </c>
      <c r="D1791" s="4" t="inlineStr">
        <is>
          <t>-</t>
        </is>
      </c>
      <c r="E1791" s="4" t="inlineStr">
        <is>
          <t>12º PAV.</t>
        </is>
      </c>
      <c r="F1791" s="126" t="n">
        <v>46939</v>
      </c>
      <c r="G1791" s="126" t="n">
        <v>46951</v>
      </c>
      <c r="H1791" s="126" t="n">
        <v>46289</v>
      </c>
      <c r="I1791" s="4" t="n">
        <v>0</v>
      </c>
      <c r="J1791" s="4" t="n">
        <v>0</v>
      </c>
      <c r="K1791" s="4" t="n">
        <v>0</v>
      </c>
      <c r="M1791" s="2">
        <f>IF(C1791="","",IFERROR(INDEX($S$5:$S$304,MATCH(C1791,$R$5:$R$304,0))&amp;"","?"))</f>
        <v/>
      </c>
      <c r="N1791" s="2">
        <f>IF(E1791="","",IF(ISNUMBER(SEARCH("SUBSOLO",E1791)),IFERROR(-VALUE(LEFT(E1791,FIND("º",SUBSTITUTE(E1791,"°","º"))-1)),-1),IF(LEFT(E1791,6)="TÉRREO",0,IFERROR(VALUE(LEFT(E1791,FIND("º",SUBSTITUTE(E1791,"°","º"))-1)),""))))</f>
        <v/>
      </c>
      <c r="O1791" s="2">
        <f>IF(OR(F1791="",G1791=""),"",IF(G1791&lt;='RETRATO 2027'!$K$5,"CONCLUÍDA",IF(F1791&lt;='RETRATO 2027'!$K$5,"EM ANDAMENTO","A INICIAR")))</f>
        <v/>
      </c>
    </row>
    <row r="1792">
      <c r="B1792" s="4" t="n">
        <v>30205849</v>
      </c>
      <c r="C1792" s="4" t="inlineStr">
        <is>
          <t>PINTURA 1º DEMÃO</t>
        </is>
      </c>
      <c r="D1792" s="4" t="inlineStr">
        <is>
          <t>-</t>
        </is>
      </c>
      <c r="E1792" s="4" t="inlineStr">
        <is>
          <t>1º PAV. (INTERMEDIÁRIO)</t>
        </is>
      </c>
      <c r="F1792" s="126" t="n">
        <v>46940</v>
      </c>
      <c r="G1792" s="126" t="n">
        <v>46960</v>
      </c>
      <c r="H1792" s="126" t="n">
        <v>46289</v>
      </c>
      <c r="I1792" s="4" t="n">
        <v>0</v>
      </c>
      <c r="J1792" s="4" t="n">
        <v>0</v>
      </c>
      <c r="K1792" s="4" t="n">
        <v>0</v>
      </c>
      <c r="M1792" s="2">
        <f>IF(C1792="","",IFERROR(INDEX($S$5:$S$304,MATCH(C1792,$R$5:$R$304,0))&amp;"","?"))</f>
        <v/>
      </c>
      <c r="N1792" s="2">
        <f>IF(E1792="","",IF(ISNUMBER(SEARCH("SUBSOLO",E1792)),IFERROR(-VALUE(LEFT(E1792,FIND("º",SUBSTITUTE(E1792,"°","º"))-1)),-1),IF(LEFT(E1792,6)="TÉRREO",0,IFERROR(VALUE(LEFT(E1792,FIND("º",SUBSTITUTE(E1792,"°","º"))-1)),""))))</f>
        <v/>
      </c>
      <c r="O1792" s="2">
        <f>IF(OR(F1792="",G1792=""),"",IF(G1792&lt;='RETRATO 2027'!$K$5,"CONCLUÍDA",IF(F1792&lt;='RETRATO 2027'!$K$5,"EM ANDAMENTO","A INICIAR")))</f>
        <v/>
      </c>
    </row>
    <row r="1793">
      <c r="B1793" s="4" t="n">
        <v>30210367</v>
      </c>
      <c r="C1793" s="4" t="inlineStr">
        <is>
          <t>MONTAGEM - ELEVADOR 2</t>
        </is>
      </c>
      <c r="D1793" s="4" t="inlineStr">
        <is>
          <t>-</t>
        </is>
      </c>
      <c r="E1793" s="4" t="inlineStr">
        <is>
          <t>ELEVADORES</t>
        </is>
      </c>
      <c r="F1793" s="126" t="n">
        <v>46940</v>
      </c>
      <c r="G1793" s="126" t="n">
        <v>46987</v>
      </c>
      <c r="H1793" s="126" t="n">
        <v>46289</v>
      </c>
      <c r="I1793" s="4" t="n">
        <v>0</v>
      </c>
      <c r="J1793" s="4" t="n">
        <v>0</v>
      </c>
      <c r="K1793" s="4" t="n">
        <v>0</v>
      </c>
      <c r="M1793" s="2">
        <f>IF(C1793="","",IFERROR(INDEX($S$5:$S$304,MATCH(C1793,$R$5:$R$304,0))&amp;"","?"))</f>
        <v/>
      </c>
      <c r="N1793" s="2">
        <f>IF(E1793="","",IF(ISNUMBER(SEARCH("SUBSOLO",E1793)),IFERROR(-VALUE(LEFT(E1793,FIND("º",SUBSTITUTE(E1793,"°","º"))-1)),-1),IF(LEFT(E1793,6)="TÉRREO",0,IFERROR(VALUE(LEFT(E1793,FIND("º",SUBSTITUTE(E1793,"°","º"))-1)),""))))</f>
        <v/>
      </c>
      <c r="O1793" s="2">
        <f>IF(OR(F1793="",G1793=""),"",IF(G1793&lt;='RETRATO 2027'!$K$5,"CONCLUÍDA",IF(F1793&lt;='RETRATO 2027'!$K$5,"EM ANDAMENTO","A INICIAR")))</f>
        <v/>
      </c>
    </row>
    <row r="1794">
      <c r="B1794" s="4" t="n">
        <v>30205881</v>
      </c>
      <c r="C1794" s="4" t="inlineStr">
        <is>
          <t>CONTRAPISO</t>
        </is>
      </c>
      <c r="D1794" s="4" t="inlineStr">
        <is>
          <t>-</t>
        </is>
      </c>
      <c r="E1794" s="4" t="inlineStr">
        <is>
          <t>6º PAV (PILOTIS) - PLAYGROUND + TERRAÇO DESCOBERTO + QUADRA DE RECREAÇÃO</t>
        </is>
      </c>
      <c r="F1794" s="126" t="n">
        <v>46941</v>
      </c>
      <c r="G1794" s="126" t="n">
        <v>46972</v>
      </c>
      <c r="H1794" s="126" t="n">
        <v>46289</v>
      </c>
      <c r="I1794" s="4" t="n">
        <v>0</v>
      </c>
      <c r="J1794" s="4" t="n">
        <v>0</v>
      </c>
      <c r="K1794" s="4" t="n">
        <v>0</v>
      </c>
      <c r="M1794" s="2">
        <f>IF(C1794="","",IFERROR(INDEX($S$5:$S$304,MATCH(C1794,$R$5:$R$304,0))&amp;"","?"))</f>
        <v/>
      </c>
      <c r="N1794" s="2">
        <f>IF(E1794="","",IF(ISNUMBER(SEARCH("SUBSOLO",E1794)),IFERROR(-VALUE(LEFT(E1794,FIND("º",SUBSTITUTE(E1794,"°","º"))-1)),-1),IF(LEFT(E1794,6)="TÉRREO",0,IFERROR(VALUE(LEFT(E1794,FIND("º",SUBSTITUTE(E1794,"°","º"))-1)),""))))</f>
        <v/>
      </c>
      <c r="O1794" s="2">
        <f>IF(OR(F1794="",G1794=""),"",IF(G1794&lt;='RETRATO 2027'!$K$5,"CONCLUÍDA",IF(F1794&lt;='RETRATO 2027'!$K$5,"EM ANDAMENTO","A INICIAR")))</f>
        <v/>
      </c>
    </row>
    <row r="1795">
      <c r="B1795" s="4" t="n">
        <v>30211210</v>
      </c>
      <c r="C1795" s="4" t="inlineStr">
        <is>
          <t>CONTRAPISO</t>
        </is>
      </c>
      <c r="D1795" s="4" t="inlineStr">
        <is>
          <t>-</t>
        </is>
      </c>
      <c r="E1795" s="4" t="inlineStr">
        <is>
          <t>34º PAV - RESERVATÓRIO</t>
        </is>
      </c>
      <c r="F1795" s="126" t="n">
        <v>46944</v>
      </c>
      <c r="G1795" s="126" t="n">
        <v>46948</v>
      </c>
      <c r="H1795" s="126" t="n">
        <v>46289</v>
      </c>
      <c r="I1795" s="4" t="n">
        <v>0</v>
      </c>
      <c r="J1795" s="4" t="n">
        <v>0</v>
      </c>
      <c r="K1795" s="4" t="n">
        <v>0</v>
      </c>
      <c r="M1795" s="2">
        <f>IF(C1795="","",IFERROR(INDEX($S$5:$S$304,MATCH(C1795,$R$5:$R$304,0))&amp;"","?"))</f>
        <v/>
      </c>
      <c r="N1795" s="2">
        <f>IF(E1795="","",IF(ISNUMBER(SEARCH("SUBSOLO",E1795)),IFERROR(-VALUE(LEFT(E1795,FIND("º",SUBSTITUTE(E1795,"°","º"))-1)),-1),IF(LEFT(E1795,6)="TÉRREO",0,IFERROR(VALUE(LEFT(E1795,FIND("º",SUBSTITUTE(E1795,"°","º"))-1)),""))))</f>
        <v/>
      </c>
      <c r="O1795" s="2">
        <f>IF(OR(F1795="",G1795=""),"",IF(G1795&lt;='RETRATO 2027'!$K$5,"CONCLUÍDA",IF(F1795&lt;='RETRATO 2027'!$K$5,"EM ANDAMENTO","A INICIAR")))</f>
        <v/>
      </c>
    </row>
    <row r="1796">
      <c r="B1796" s="4" t="n">
        <v>30205526</v>
      </c>
      <c r="C1796" s="4" t="inlineStr">
        <is>
          <t>DISJUNTORES / MIOLOS</t>
        </is>
      </c>
      <c r="D1796" s="4" t="inlineStr">
        <is>
          <t>-</t>
        </is>
      </c>
      <c r="E1796" s="4" t="inlineStr">
        <is>
          <t>TÉRREO - LOJA 7</t>
        </is>
      </c>
      <c r="F1796" s="126" t="n">
        <v>46945</v>
      </c>
      <c r="G1796" s="126" t="n">
        <v>46951</v>
      </c>
      <c r="H1796" s="126" t="n">
        <v>46289</v>
      </c>
      <c r="I1796" s="4" t="n">
        <v>0</v>
      </c>
      <c r="J1796" s="4" t="n">
        <v>0</v>
      </c>
      <c r="K1796" s="4" t="n">
        <v>0</v>
      </c>
      <c r="M1796" s="2">
        <f>IF(C1796="","",IFERROR(INDEX($S$5:$S$304,MATCH(C1796,$R$5:$R$304,0))&amp;"","?"))</f>
        <v/>
      </c>
      <c r="N1796" s="2">
        <f>IF(E1796="","",IF(ISNUMBER(SEARCH("SUBSOLO",E1796)),IFERROR(-VALUE(LEFT(E1796,FIND("º",SUBSTITUTE(E1796,"°","º"))-1)),-1),IF(LEFT(E1796,6)="TÉRREO",0,IFERROR(VALUE(LEFT(E1796,FIND("º",SUBSTITUTE(E1796,"°","º"))-1)),""))))</f>
        <v/>
      </c>
      <c r="O1796" s="2">
        <f>IF(OR(F1796="",G1796=""),"",IF(G1796&lt;='RETRATO 2027'!$K$5,"CONCLUÍDA",IF(F1796&lt;='RETRATO 2027'!$K$5,"EM ANDAMENTO","A INICIAR")))</f>
        <v/>
      </c>
    </row>
    <row r="1797">
      <c r="B1797" s="4" t="n">
        <v>29981317</v>
      </c>
      <c r="C1797" s="4" t="inlineStr">
        <is>
          <t>CHECKLIST</t>
        </is>
      </c>
      <c r="D1797" s="4" t="inlineStr">
        <is>
          <t>-</t>
        </is>
      </c>
      <c r="E1797" s="4" t="inlineStr">
        <is>
          <t>13º PAV.</t>
        </is>
      </c>
      <c r="F1797" s="126" t="n">
        <v>46945</v>
      </c>
      <c r="G1797" s="126" t="n">
        <v>46951</v>
      </c>
      <c r="H1797" s="126" t="n">
        <v>46289</v>
      </c>
      <c r="I1797" s="4" t="n">
        <v>0</v>
      </c>
      <c r="J1797" s="4" t="n">
        <v>0</v>
      </c>
      <c r="K1797" s="4" t="n">
        <v>0</v>
      </c>
      <c r="M1797" s="2">
        <f>IF(C1797="","",IFERROR(INDEX($S$5:$S$304,MATCH(C1797,$R$5:$R$304,0))&amp;"","?"))</f>
        <v/>
      </c>
      <c r="N1797" s="2">
        <f>IF(E1797="","",IF(ISNUMBER(SEARCH("SUBSOLO",E1797)),IFERROR(-VALUE(LEFT(E1797,FIND("º",SUBSTITUTE(E1797,"°","º"))-1)),-1),IF(LEFT(E1797,6)="TÉRREO",0,IFERROR(VALUE(LEFT(E1797,FIND("º",SUBSTITUTE(E1797,"°","º"))-1)),""))))</f>
        <v/>
      </c>
      <c r="O1797" s="2">
        <f>IF(OR(F1797="",G1797=""),"",IF(G1797&lt;='RETRATO 2027'!$K$5,"CONCLUÍDA",IF(F1797&lt;='RETRATO 2027'!$K$5,"EM ANDAMENTO","A INICIAR")))</f>
        <v/>
      </c>
    </row>
    <row r="1798">
      <c r="B1798" s="4" t="n">
        <v>29981282</v>
      </c>
      <c r="C1798" s="4" t="inlineStr">
        <is>
          <t>ACABAMENTOS ELÉTRICOS</t>
        </is>
      </c>
      <c r="D1798" s="4" t="inlineStr">
        <is>
          <t>-</t>
        </is>
      </c>
      <c r="E1798" s="4" t="inlineStr">
        <is>
          <t>14º PAV.</t>
        </is>
      </c>
      <c r="F1798" s="126" t="n">
        <v>46945</v>
      </c>
      <c r="G1798" s="126" t="n">
        <v>46955</v>
      </c>
      <c r="H1798" s="126" t="n">
        <v>46289</v>
      </c>
      <c r="I1798" s="4" t="n">
        <v>0</v>
      </c>
      <c r="J1798" s="4" t="n">
        <v>0</v>
      </c>
      <c r="K1798" s="4" t="n">
        <v>0</v>
      </c>
      <c r="M1798" s="2">
        <f>IF(C1798="","",IFERROR(INDEX($S$5:$S$304,MATCH(C1798,$R$5:$R$304,0))&amp;"","?"))</f>
        <v/>
      </c>
      <c r="N1798" s="2">
        <f>IF(E1798="","",IF(ISNUMBER(SEARCH("SUBSOLO",E1798)),IFERROR(-VALUE(LEFT(E1798,FIND("º",SUBSTITUTE(E1798,"°","º"))-1)),-1),IF(LEFT(E1798,6)="TÉRREO",0,IFERROR(VALUE(LEFT(E1798,FIND("º",SUBSTITUTE(E1798,"°","º"))-1)),""))))</f>
        <v/>
      </c>
      <c r="O1798" s="2">
        <f>IF(OR(F1798="",G1798=""),"",IF(G1798&lt;='RETRATO 2027'!$K$5,"CONCLUÍDA",IF(F1798&lt;='RETRATO 2027'!$K$5,"EM ANDAMENTO","A INICIAR")))</f>
        <v/>
      </c>
    </row>
    <row r="1799">
      <c r="B1799" s="4" t="n">
        <v>29981242</v>
      </c>
      <c r="C1799" s="4" t="inlineStr">
        <is>
          <t>PINTURA 2º DEMÃO</t>
        </is>
      </c>
      <c r="D1799" s="4" t="inlineStr">
        <is>
          <t>-</t>
        </is>
      </c>
      <c r="E1799" s="4" t="inlineStr">
        <is>
          <t>15º PAV.</t>
        </is>
      </c>
      <c r="F1799" s="126" t="n">
        <v>46945</v>
      </c>
      <c r="G1799" s="126" t="n">
        <v>46955</v>
      </c>
      <c r="H1799" s="126" t="n">
        <v>46289</v>
      </c>
      <c r="I1799" s="4" t="n">
        <v>0</v>
      </c>
      <c r="J1799" s="4" t="n">
        <v>0</v>
      </c>
      <c r="K1799" s="4" t="n">
        <v>0</v>
      </c>
      <c r="M1799" s="2">
        <f>IF(C1799="","",IFERROR(INDEX($S$5:$S$304,MATCH(C1799,$R$5:$R$304,0))&amp;"","?"))</f>
        <v/>
      </c>
      <c r="N1799" s="2">
        <f>IF(E1799="","",IF(ISNUMBER(SEARCH("SUBSOLO",E1799)),IFERROR(-VALUE(LEFT(E1799,FIND("º",SUBSTITUTE(E1799,"°","º"))-1)),-1),IF(LEFT(E1799,6)="TÉRREO",0,IFERROR(VALUE(LEFT(E1799,FIND("º",SUBSTITUTE(E1799,"°","º"))-1)),""))))</f>
        <v/>
      </c>
      <c r="O1799" s="2">
        <f>IF(OR(F1799="",G1799=""),"",IF(G1799&lt;='RETRATO 2027'!$K$5,"CONCLUÍDA",IF(F1799&lt;='RETRATO 2027'!$K$5,"EM ANDAMENTO","A INICIAR")))</f>
        <v/>
      </c>
    </row>
    <row r="1800">
      <c r="B1800" s="4" t="n">
        <v>33919793</v>
      </c>
      <c r="C1800" s="4" t="inlineStr">
        <is>
          <t>TEXTURA - EXTERNA</t>
        </is>
      </c>
      <c r="D1800" s="4" t="inlineStr">
        <is>
          <t>-</t>
        </is>
      </c>
      <c r="E1800" s="4" t="inlineStr">
        <is>
          <t>15º PAV.</t>
        </is>
      </c>
      <c r="F1800" s="126" t="n">
        <v>46945</v>
      </c>
      <c r="G1800" s="126" t="n">
        <v>46955</v>
      </c>
      <c r="H1800" s="126" t="n">
        <v>46289</v>
      </c>
      <c r="I1800" s="4" t="n">
        <v>0</v>
      </c>
      <c r="J1800" s="4" t="n">
        <v>0</v>
      </c>
      <c r="K1800" s="4" t="n">
        <v>0</v>
      </c>
      <c r="M1800" s="2">
        <f>IF(C1800="","",IFERROR(INDEX($S$5:$S$304,MATCH(C1800,$R$5:$R$304,0))&amp;"","?"))</f>
        <v/>
      </c>
      <c r="N1800" s="2">
        <f>IF(E1800="","",IF(ISNUMBER(SEARCH("SUBSOLO",E1800)),IFERROR(-VALUE(LEFT(E1800,FIND("º",SUBSTITUTE(E1800,"°","º"))-1)),-1),IF(LEFT(E1800,6)="TÉRREO",0,IFERROR(VALUE(LEFT(E1800,FIND("º",SUBSTITUTE(E1800,"°","º"))-1)),""))))</f>
        <v/>
      </c>
      <c r="O1800" s="2">
        <f>IF(OR(F1800="",G1800=""),"",IF(G1800&lt;='RETRATO 2027'!$K$5,"CONCLUÍDA",IF(F1800&lt;='RETRATO 2027'!$K$5,"EM ANDAMENTO","A INICIAR")))</f>
        <v/>
      </c>
    </row>
    <row r="1801">
      <c r="B1801" s="4" t="n">
        <v>29981204</v>
      </c>
      <c r="C1801" s="4" t="inlineStr">
        <is>
          <t>LIMPEZA GROSSA</t>
        </is>
      </c>
      <c r="D1801" s="4" t="inlineStr">
        <is>
          <t>-</t>
        </is>
      </c>
      <c r="E1801" s="4" t="inlineStr">
        <is>
          <t>16º PAV.</t>
        </is>
      </c>
      <c r="F1801" s="126" t="n">
        <v>46945</v>
      </c>
      <c r="G1801" s="126" t="n">
        <v>46955</v>
      </c>
      <c r="H1801" s="126" t="n">
        <v>46289</v>
      </c>
      <c r="I1801" s="4" t="n">
        <v>0</v>
      </c>
      <c r="J1801" s="4" t="n">
        <v>0</v>
      </c>
      <c r="K1801" s="4" t="n">
        <v>0</v>
      </c>
      <c r="M1801" s="2">
        <f>IF(C1801="","",IFERROR(INDEX($S$5:$S$304,MATCH(C1801,$R$5:$R$304,0))&amp;"","?"))</f>
        <v/>
      </c>
      <c r="N1801" s="2">
        <f>IF(E1801="","",IF(ISNUMBER(SEARCH("SUBSOLO",E1801)),IFERROR(-VALUE(LEFT(E1801,FIND("º",SUBSTITUTE(E1801,"°","º"))-1)),-1),IF(LEFT(E1801,6)="TÉRREO",0,IFERROR(VALUE(LEFT(E1801,FIND("º",SUBSTITUTE(E1801,"°","º"))-1)),""))))</f>
        <v/>
      </c>
      <c r="O1801" s="2">
        <f>IF(OR(F1801="",G1801=""),"",IF(G1801&lt;='RETRATO 2027'!$K$5,"CONCLUÍDA",IF(F1801&lt;='RETRATO 2027'!$K$5,"EM ANDAMENTO","A INICIAR")))</f>
        <v/>
      </c>
    </row>
    <row r="1802">
      <c r="B1802" s="4" t="n">
        <v>29981161</v>
      </c>
      <c r="C1802" s="4" t="inlineStr">
        <is>
          <t>LOUÇAS</t>
        </is>
      </c>
      <c r="D1802" s="4" t="inlineStr">
        <is>
          <t>-</t>
        </is>
      </c>
      <c r="E1802" s="4" t="inlineStr">
        <is>
          <t>17º PAV.</t>
        </is>
      </c>
      <c r="F1802" s="126" t="n">
        <v>46945</v>
      </c>
      <c r="G1802" s="126" t="n">
        <v>46955</v>
      </c>
      <c r="H1802" s="126" t="n">
        <v>46289</v>
      </c>
      <c r="I1802" s="4" t="n">
        <v>0</v>
      </c>
      <c r="J1802" s="4" t="n">
        <v>0</v>
      </c>
      <c r="K1802" s="4" t="n">
        <v>0</v>
      </c>
      <c r="M1802" s="2">
        <f>IF(C1802="","",IFERROR(INDEX($S$5:$S$304,MATCH(C1802,$R$5:$R$304,0))&amp;"","?"))</f>
        <v/>
      </c>
      <c r="N1802" s="2">
        <f>IF(E1802="","",IF(ISNUMBER(SEARCH("SUBSOLO",E1802)),IFERROR(-VALUE(LEFT(E1802,FIND("º",SUBSTITUTE(E1802,"°","º"))-1)),-1),IF(LEFT(E1802,6)="TÉRREO",0,IFERROR(VALUE(LEFT(E1802,FIND("º",SUBSTITUTE(E1802,"°","º"))-1)),""))))</f>
        <v/>
      </c>
      <c r="O1802" s="2">
        <f>IF(OR(F1802="",G1802=""),"",IF(G1802&lt;='RETRATO 2027'!$K$5,"CONCLUÍDA",IF(F1802&lt;='RETRATO 2027'!$K$5,"EM ANDAMENTO","A INICIAR")))</f>
        <v/>
      </c>
    </row>
    <row r="1803">
      <c r="B1803" s="4" t="n">
        <v>29981166</v>
      </c>
      <c r="C1803" s="4" t="inlineStr">
        <is>
          <t>METAIS</t>
        </is>
      </c>
      <c r="D1803" s="4" t="inlineStr">
        <is>
          <t>-</t>
        </is>
      </c>
      <c r="E1803" s="4" t="inlineStr">
        <is>
          <t>17º PAV.</t>
        </is>
      </c>
      <c r="F1803" s="126" t="n">
        <v>46945</v>
      </c>
      <c r="G1803" s="126" t="n">
        <v>46955</v>
      </c>
      <c r="H1803" s="126" t="n">
        <v>46289</v>
      </c>
      <c r="I1803" s="4" t="n">
        <v>0</v>
      </c>
      <c r="J1803" s="4" t="n">
        <v>0</v>
      </c>
      <c r="K1803" s="4" t="n">
        <v>0</v>
      </c>
      <c r="M1803" s="2">
        <f>IF(C1803="","",IFERROR(INDEX($S$5:$S$304,MATCH(C1803,$R$5:$R$304,0))&amp;"","?"))</f>
        <v/>
      </c>
      <c r="N1803" s="2">
        <f>IF(E1803="","",IF(ISNUMBER(SEARCH("SUBSOLO",E1803)),IFERROR(-VALUE(LEFT(E1803,FIND("º",SUBSTITUTE(E1803,"°","º"))-1)),-1),IF(LEFT(E1803,6)="TÉRREO",0,IFERROR(VALUE(LEFT(E1803,FIND("º",SUBSTITUTE(E1803,"°","º"))-1)),""))))</f>
        <v/>
      </c>
      <c r="O1803" s="2">
        <f>IF(OR(F1803="",G1803=""),"",IF(G1803&lt;='RETRATO 2027'!$K$5,"CONCLUÍDA",IF(F1803&lt;='RETRATO 2027'!$K$5,"EM ANDAMENTO","A INICIAR")))</f>
        <v/>
      </c>
    </row>
    <row r="1804">
      <c r="B1804" s="4" t="n">
        <v>29981165</v>
      </c>
      <c r="C1804" s="4" t="inlineStr">
        <is>
          <t>DISJUNTORES / MIOLOS</t>
        </is>
      </c>
      <c r="D1804" s="4" t="inlineStr">
        <is>
          <t>-</t>
        </is>
      </c>
      <c r="E1804" s="4" t="inlineStr">
        <is>
          <t>17º PAV.</t>
        </is>
      </c>
      <c r="F1804" s="126" t="n">
        <v>46945</v>
      </c>
      <c r="G1804" s="126" t="n">
        <v>46955</v>
      </c>
      <c r="H1804" s="126" t="n">
        <v>46289</v>
      </c>
      <c r="I1804" s="4" t="n">
        <v>0</v>
      </c>
      <c r="J1804" s="4" t="n">
        <v>0</v>
      </c>
      <c r="K1804" s="4" t="n">
        <v>0</v>
      </c>
      <c r="M1804" s="2">
        <f>IF(C1804="","",IFERROR(INDEX($S$5:$S$304,MATCH(C1804,$R$5:$R$304,0))&amp;"","?"))</f>
        <v/>
      </c>
      <c r="N1804" s="2">
        <f>IF(E1804="","",IF(ISNUMBER(SEARCH("SUBSOLO",E1804)),IFERROR(-VALUE(LEFT(E1804,FIND("º",SUBSTITUTE(E1804,"°","º"))-1)),-1),IF(LEFT(E1804,6)="TÉRREO",0,IFERROR(VALUE(LEFT(E1804,FIND("º",SUBSTITUTE(E1804,"°","º"))-1)),""))))</f>
        <v/>
      </c>
      <c r="O1804" s="2">
        <f>IF(OR(F1804="",G1804=""),"",IF(G1804&lt;='RETRATO 2027'!$K$5,"CONCLUÍDA",IF(F1804&lt;='RETRATO 2027'!$K$5,"EM ANDAMENTO","A INICIAR")))</f>
        <v/>
      </c>
    </row>
    <row r="1805">
      <c r="B1805" s="4" t="n">
        <v>29981164</v>
      </c>
      <c r="C1805" s="4" t="inlineStr">
        <is>
          <t>COMUNICAÇÃO E ALARME</t>
        </is>
      </c>
      <c r="D1805" s="4" t="inlineStr">
        <is>
          <t>-</t>
        </is>
      </c>
      <c r="E1805" s="4" t="inlineStr">
        <is>
          <t>17º PAV.</t>
        </is>
      </c>
      <c r="F1805" s="126" t="n">
        <v>46945</v>
      </c>
      <c r="G1805" s="126" t="n">
        <v>46955</v>
      </c>
      <c r="H1805" s="126" t="n">
        <v>46289</v>
      </c>
      <c r="I1805" s="4" t="n">
        <v>0</v>
      </c>
      <c r="J1805" s="4" t="n">
        <v>0</v>
      </c>
      <c r="K1805" s="4" t="n">
        <v>0</v>
      </c>
      <c r="M1805" s="2">
        <f>IF(C1805="","",IFERROR(INDEX($S$5:$S$304,MATCH(C1805,$R$5:$R$304,0))&amp;"","?"))</f>
        <v/>
      </c>
      <c r="N1805" s="2">
        <f>IF(E1805="","",IF(ISNUMBER(SEARCH("SUBSOLO",E1805)),IFERROR(-VALUE(LEFT(E1805,FIND("º",SUBSTITUTE(E1805,"°","º"))-1)),-1),IF(LEFT(E1805,6)="TÉRREO",0,IFERROR(VALUE(LEFT(E1805,FIND("º",SUBSTITUTE(E1805,"°","º"))-1)),""))))</f>
        <v/>
      </c>
      <c r="O1805" s="2">
        <f>IF(OR(F1805="",G1805=""),"",IF(G1805&lt;='RETRATO 2027'!$K$5,"CONCLUÍDA",IF(F1805&lt;='RETRATO 2027'!$K$5,"EM ANDAMENTO","A INICIAR")))</f>
        <v/>
      </c>
    </row>
    <row r="1806">
      <c r="B1806" s="4" t="n">
        <v>29981123</v>
      </c>
      <c r="C1806" s="4" t="inlineStr">
        <is>
          <t>RODAPÉ MADEIRA / PVC</t>
        </is>
      </c>
      <c r="D1806" s="4" t="inlineStr">
        <is>
          <t>-</t>
        </is>
      </c>
      <c r="E1806" s="4" t="inlineStr">
        <is>
          <t>18º PAV.</t>
        </is>
      </c>
      <c r="F1806" s="126" t="n">
        <v>46945</v>
      </c>
      <c r="G1806" s="126" t="n">
        <v>46955</v>
      </c>
      <c r="H1806" s="126" t="n">
        <v>46289</v>
      </c>
      <c r="I1806" s="4" t="n">
        <v>0</v>
      </c>
      <c r="J1806" s="4" t="n">
        <v>0</v>
      </c>
      <c r="K1806" s="4" t="n">
        <v>0</v>
      </c>
      <c r="M1806" s="2">
        <f>IF(C1806="","",IFERROR(INDEX($S$5:$S$304,MATCH(C1806,$R$5:$R$304,0))&amp;"","?"))</f>
        <v/>
      </c>
      <c r="N1806" s="2">
        <f>IF(E1806="","",IF(ISNUMBER(SEARCH("SUBSOLO",E1806)),IFERROR(-VALUE(LEFT(E1806,FIND("º",SUBSTITUTE(E1806,"°","º"))-1)),-1),IF(LEFT(E1806,6)="TÉRREO",0,IFERROR(VALUE(LEFT(E1806,FIND("º",SUBSTITUTE(E1806,"°","º"))-1)),""))))</f>
        <v/>
      </c>
      <c r="O1806" s="2">
        <f>IF(OR(F1806="",G1806=""),"",IF(G1806&lt;='RETRATO 2027'!$K$5,"CONCLUÍDA",IF(F1806&lt;='RETRATO 2027'!$K$5,"EM ANDAMENTO","A INICIAR")))</f>
        <v/>
      </c>
    </row>
    <row r="1807">
      <c r="B1807" s="4" t="n">
        <v>29981048</v>
      </c>
      <c r="C1807" s="4" t="inlineStr">
        <is>
          <t>ESQUADRIA MADEIRA</t>
        </is>
      </c>
      <c r="D1807" s="4" t="inlineStr">
        <is>
          <t>-</t>
        </is>
      </c>
      <c r="E1807" s="4" t="inlineStr">
        <is>
          <t>20º PAV.</t>
        </is>
      </c>
      <c r="F1807" s="126" t="n">
        <v>46945</v>
      </c>
      <c r="G1807" s="126" t="n">
        <v>46955</v>
      </c>
      <c r="H1807" s="126" t="n">
        <v>46289</v>
      </c>
      <c r="I1807" s="4" t="n">
        <v>0</v>
      </c>
      <c r="J1807" s="4" t="n">
        <v>0</v>
      </c>
      <c r="K1807" s="4" t="n">
        <v>0</v>
      </c>
      <c r="M1807" s="2">
        <f>IF(C1807="","",IFERROR(INDEX($S$5:$S$304,MATCH(C1807,$R$5:$R$304,0))&amp;"","?"))</f>
        <v/>
      </c>
      <c r="N1807" s="2">
        <f>IF(E1807="","",IF(ISNUMBER(SEARCH("SUBSOLO",E1807)),IFERROR(-VALUE(LEFT(E1807,FIND("º",SUBSTITUTE(E1807,"°","º"))-1)),-1),IF(LEFT(E1807,6)="TÉRREO",0,IFERROR(VALUE(LEFT(E1807,FIND("º",SUBSTITUTE(E1807,"°","º"))-1)),""))))</f>
        <v/>
      </c>
      <c r="O1807" s="2">
        <f>IF(OR(F1807="",G1807=""),"",IF(G1807&lt;='RETRATO 2027'!$K$5,"CONCLUÍDA",IF(F1807&lt;='RETRATO 2027'!$K$5,"EM ANDAMENTO","A INICIAR")))</f>
        <v/>
      </c>
    </row>
    <row r="1808">
      <c r="B1808" s="4" t="n">
        <v>29981010</v>
      </c>
      <c r="C1808" s="4" t="inlineStr">
        <is>
          <t>PISO VINÍLICO / LAMINADO</t>
        </is>
      </c>
      <c r="D1808" s="4" t="inlineStr">
        <is>
          <t>-</t>
        </is>
      </c>
      <c r="E1808" s="4" t="inlineStr">
        <is>
          <t>21º PAV.</t>
        </is>
      </c>
      <c r="F1808" s="126" t="n">
        <v>46945</v>
      </c>
      <c r="G1808" s="126" t="n">
        <v>46955</v>
      </c>
      <c r="H1808" s="126" t="n">
        <v>46289</v>
      </c>
      <c r="I1808" s="4" t="n">
        <v>0</v>
      </c>
      <c r="J1808" s="4" t="n">
        <v>0</v>
      </c>
      <c r="K1808" s="4" t="n">
        <v>0</v>
      </c>
      <c r="M1808" s="2">
        <f>IF(C1808="","",IFERROR(INDEX($S$5:$S$304,MATCH(C1808,$R$5:$R$304,0))&amp;"","?"))</f>
        <v/>
      </c>
      <c r="N1808" s="2">
        <f>IF(E1808="","",IF(ISNUMBER(SEARCH("SUBSOLO",E1808)),IFERROR(-VALUE(LEFT(E1808,FIND("º",SUBSTITUTE(E1808,"°","º"))-1)),-1),IF(LEFT(E1808,6)="TÉRREO",0,IFERROR(VALUE(LEFT(E1808,FIND("º",SUBSTITUTE(E1808,"°","º"))-1)),""))))</f>
        <v/>
      </c>
      <c r="O1808" s="2">
        <f>IF(OR(F1808="",G1808=""),"",IF(G1808&lt;='RETRATO 2027'!$K$5,"CONCLUÍDA",IF(F1808&lt;='RETRATO 2027'!$K$5,"EM ANDAMENTO","A INICIAR")))</f>
        <v/>
      </c>
    </row>
    <row r="1809">
      <c r="B1809" s="4" t="n">
        <v>29980972</v>
      </c>
      <c r="C1809" s="4" t="inlineStr">
        <is>
          <t>PINTURA 1º DEMÃO</t>
        </is>
      </c>
      <c r="D1809" s="4" t="inlineStr">
        <is>
          <t>-</t>
        </is>
      </c>
      <c r="E1809" s="4" t="inlineStr">
        <is>
          <t>22º PAV.</t>
        </is>
      </c>
      <c r="F1809" s="126" t="n">
        <v>46945</v>
      </c>
      <c r="G1809" s="126" t="n">
        <v>46955</v>
      </c>
      <c r="H1809" s="126" t="n">
        <v>46289</v>
      </c>
      <c r="I1809" s="4" t="n">
        <v>0</v>
      </c>
      <c r="J1809" s="4" t="n">
        <v>0</v>
      </c>
      <c r="K1809" s="4" t="n">
        <v>0</v>
      </c>
      <c r="M1809" s="2">
        <f>IF(C1809="","",IFERROR(INDEX($S$5:$S$304,MATCH(C1809,$R$5:$R$304,0))&amp;"","?"))</f>
        <v/>
      </c>
      <c r="N1809" s="2">
        <f>IF(E1809="","",IF(ISNUMBER(SEARCH("SUBSOLO",E1809)),IFERROR(-VALUE(LEFT(E1809,FIND("º",SUBSTITUTE(E1809,"°","º"))-1)),-1),IF(LEFT(E1809,6)="TÉRREO",0,IFERROR(VALUE(LEFT(E1809,FIND("º",SUBSTITUTE(E1809,"°","º"))-1)),""))))</f>
        <v/>
      </c>
      <c r="O1809" s="2">
        <f>IF(OR(F1809="",G1809=""),"",IF(G1809&lt;='RETRATO 2027'!$K$5,"CONCLUÍDA",IF(F1809&lt;='RETRATO 2027'!$K$5,"EM ANDAMENTO","A INICIAR")))</f>
        <v/>
      </c>
    </row>
    <row r="1810">
      <c r="B1810" s="4" t="n">
        <v>29980961</v>
      </c>
      <c r="C1810" s="4" t="inlineStr">
        <is>
          <t>MASSA CORRIDA</t>
        </is>
      </c>
      <c r="D1810" s="4" t="inlineStr">
        <is>
          <t>-</t>
        </is>
      </c>
      <c r="E1810" s="4" t="inlineStr">
        <is>
          <t>23º PAV.</t>
        </is>
      </c>
      <c r="F1810" s="126" t="n">
        <v>46945</v>
      </c>
      <c r="G1810" s="126" t="n">
        <v>46955</v>
      </c>
      <c r="H1810" s="126" t="n">
        <v>46289</v>
      </c>
      <c r="I1810" s="4" t="n">
        <v>0</v>
      </c>
      <c r="J1810" s="4" t="n">
        <v>0</v>
      </c>
      <c r="K1810" s="4" t="n">
        <v>0</v>
      </c>
      <c r="M1810" s="2">
        <f>IF(C1810="","",IFERROR(INDEX($S$5:$S$304,MATCH(C1810,$R$5:$R$304,0))&amp;"","?"))</f>
        <v/>
      </c>
      <c r="N1810" s="2">
        <f>IF(E1810="","",IF(ISNUMBER(SEARCH("SUBSOLO",E1810)),IFERROR(-VALUE(LEFT(E1810,FIND("º",SUBSTITUTE(E1810,"°","º"))-1)),-1),IF(LEFT(E1810,6)="TÉRREO",0,IFERROR(VALUE(LEFT(E1810,FIND("º",SUBSTITUTE(E1810,"°","º"))-1)),""))))</f>
        <v/>
      </c>
      <c r="O1810" s="2">
        <f>IF(OR(F1810="",G1810=""),"",IF(G1810&lt;='RETRATO 2027'!$K$5,"CONCLUÍDA",IF(F1810&lt;='RETRATO 2027'!$K$5,"EM ANDAMENTO","A INICIAR")))</f>
        <v/>
      </c>
    </row>
    <row r="1811">
      <c r="B1811" s="4" t="n">
        <v>33898108</v>
      </c>
      <c r="C1811" s="4" t="inlineStr">
        <is>
          <t>ESQUADRIA DE ALUMÍNIO</t>
        </is>
      </c>
      <c r="D1811" s="4" t="inlineStr">
        <is>
          <t>-</t>
        </is>
      </c>
      <c r="E1811" s="4" t="inlineStr">
        <is>
          <t>24º PAV.</t>
        </is>
      </c>
      <c r="F1811" s="126" t="n">
        <v>46945</v>
      </c>
      <c r="G1811" s="126" t="n">
        <v>46955</v>
      </c>
      <c r="H1811" s="126" t="n">
        <v>46289</v>
      </c>
      <c r="I1811" s="4" t="n">
        <v>0</v>
      </c>
      <c r="J1811" s="4" t="n">
        <v>0</v>
      </c>
      <c r="K1811" s="4" t="n">
        <v>0</v>
      </c>
      <c r="M1811" s="2">
        <f>IF(C1811="","",IFERROR(INDEX($S$5:$S$304,MATCH(C1811,$R$5:$R$304,0))&amp;"","?"))</f>
        <v/>
      </c>
      <c r="N1811" s="2">
        <f>IF(E1811="","",IF(ISNUMBER(SEARCH("SUBSOLO",E1811)),IFERROR(-VALUE(LEFT(E1811,FIND("º",SUBSTITUTE(E1811,"°","º"))-1)),-1),IF(LEFT(E1811,6)="TÉRREO",0,IFERROR(VALUE(LEFT(E1811,FIND("º",SUBSTITUTE(E1811,"°","º"))-1)),""))))</f>
        <v/>
      </c>
      <c r="O1811" s="2">
        <f>IF(OR(F1811="",G1811=""),"",IF(G1811&lt;='RETRATO 2027'!$K$5,"CONCLUÍDA",IF(F1811&lt;='RETRATO 2027'!$K$5,"EM ANDAMENTO","A INICIAR")))</f>
        <v/>
      </c>
    </row>
    <row r="1812">
      <c r="B1812" s="4" t="n">
        <v>30205934</v>
      </c>
      <c r="C1812" s="4" t="inlineStr">
        <is>
          <t>PAISAGISMO</t>
        </is>
      </c>
      <c r="D1812" s="4" t="inlineStr">
        <is>
          <t>-</t>
        </is>
      </c>
      <c r="E1812" s="4" t="inlineStr">
        <is>
          <t>2º PAV - GARAGEM</t>
        </is>
      </c>
      <c r="F1812" s="126" t="n">
        <v>46946</v>
      </c>
      <c r="G1812" s="126" t="n">
        <v>46959</v>
      </c>
      <c r="H1812" s="126" t="n">
        <v>46289</v>
      </c>
      <c r="I1812" s="4" t="n">
        <v>0</v>
      </c>
      <c r="J1812" s="4" t="n">
        <v>0</v>
      </c>
      <c r="K1812" s="4" t="n">
        <v>0</v>
      </c>
      <c r="M1812" s="2">
        <f>IF(C1812="","",IFERROR(INDEX($S$5:$S$304,MATCH(C1812,$R$5:$R$304,0))&amp;"","?"))</f>
        <v/>
      </c>
      <c r="N1812" s="2">
        <f>IF(E1812="","",IF(ISNUMBER(SEARCH("SUBSOLO",E1812)),IFERROR(-VALUE(LEFT(E1812,FIND("º",SUBSTITUTE(E1812,"°","º"))-1)),-1),IF(LEFT(E1812,6)="TÉRREO",0,IFERROR(VALUE(LEFT(E1812,FIND("º",SUBSTITUTE(E1812,"°","º"))-1)),""))))</f>
        <v/>
      </c>
      <c r="O1812" s="2">
        <f>IF(OR(F1812="",G1812=""),"",IF(G1812&lt;='RETRATO 2027'!$K$5,"CONCLUÍDA",IF(F1812&lt;='RETRATO 2027'!$K$5,"EM ANDAMENTO","A INICIAR")))</f>
        <v/>
      </c>
    </row>
    <row r="1813">
      <c r="B1813" s="4" t="n">
        <v>29980774</v>
      </c>
      <c r="C1813" s="4" t="inlineStr">
        <is>
          <t>FORRO</t>
        </is>
      </c>
      <c r="D1813" s="4" t="inlineStr">
        <is>
          <t>-</t>
        </is>
      </c>
      <c r="E1813" s="4" t="inlineStr">
        <is>
          <t>28º PAV.</t>
        </is>
      </c>
      <c r="F1813" s="126" t="n">
        <v>46946</v>
      </c>
      <c r="G1813" s="126" t="n">
        <v>46958</v>
      </c>
      <c r="H1813" s="126" t="n">
        <v>46289</v>
      </c>
      <c r="I1813" s="4" t="n">
        <v>0</v>
      </c>
      <c r="J1813" s="4" t="n">
        <v>0</v>
      </c>
      <c r="K1813" s="4" t="n">
        <v>0</v>
      </c>
      <c r="M1813" s="2">
        <f>IF(C1813="","",IFERROR(INDEX($S$5:$S$304,MATCH(C1813,$R$5:$R$304,0))&amp;"","?"))</f>
        <v/>
      </c>
      <c r="N1813" s="2">
        <f>IF(E1813="","",IF(ISNUMBER(SEARCH("SUBSOLO",E1813)),IFERROR(-VALUE(LEFT(E1813,FIND("º",SUBSTITUTE(E1813,"°","º"))-1)),-1),IF(LEFT(E1813,6)="TÉRREO",0,IFERROR(VALUE(LEFT(E1813,FIND("º",SUBSTITUTE(E1813,"°","º"))-1)),""))))</f>
        <v/>
      </c>
      <c r="O1813" s="2">
        <f>IF(OR(F1813="",G1813=""),"",IF(G1813&lt;='RETRATO 2027'!$K$5,"CONCLUÍDA",IF(F1813&lt;='RETRATO 2027'!$K$5,"EM ANDAMENTO","A INICIAR")))</f>
        <v/>
      </c>
    </row>
    <row r="1814">
      <c r="B1814" s="4" t="n">
        <v>29980735</v>
      </c>
      <c r="C1814" s="4" t="inlineStr">
        <is>
          <t>FIAÇÃO ELÉTRICA</t>
        </is>
      </c>
      <c r="D1814" s="4" t="inlineStr">
        <is>
          <t>-</t>
        </is>
      </c>
      <c r="E1814" s="4" t="inlineStr">
        <is>
          <t>29º PAV.</t>
        </is>
      </c>
      <c r="F1814" s="126" t="n">
        <v>46946</v>
      </c>
      <c r="G1814" s="126" t="n">
        <v>46958</v>
      </c>
      <c r="H1814" s="126" t="n">
        <v>46289</v>
      </c>
      <c r="I1814" s="4" t="n">
        <v>0</v>
      </c>
      <c r="J1814" s="4" t="n">
        <v>0</v>
      </c>
      <c r="K1814" s="4" t="n">
        <v>0</v>
      </c>
      <c r="M1814" s="2">
        <f>IF(C1814="","",IFERROR(INDEX($S$5:$S$304,MATCH(C1814,$R$5:$R$304,0))&amp;"","?"))</f>
        <v/>
      </c>
      <c r="N1814" s="2">
        <f>IF(E1814="","",IF(ISNUMBER(SEARCH("SUBSOLO",E1814)),IFERROR(-VALUE(LEFT(E1814,FIND("º",SUBSTITUTE(E1814,"°","º"))-1)),-1),IF(LEFT(E1814,6)="TÉRREO",0,IFERROR(VALUE(LEFT(E1814,FIND("º",SUBSTITUTE(E1814,"°","º"))-1)),""))))</f>
        <v/>
      </c>
      <c r="O1814" s="2">
        <f>IF(OR(F1814="",G1814=""),"",IF(G1814&lt;='RETRATO 2027'!$K$5,"CONCLUÍDA",IF(F1814&lt;='RETRATO 2027'!$K$5,"EM ANDAMENTO","A INICIAR")))</f>
        <v/>
      </c>
    </row>
    <row r="1815">
      <c r="B1815" s="4" t="n">
        <v>29980740</v>
      </c>
      <c r="C1815" s="4" t="inlineStr">
        <is>
          <t>PRUMADA ELÉTRICA - CABOS</t>
        </is>
      </c>
      <c r="D1815" s="4" t="inlineStr">
        <is>
          <t>-</t>
        </is>
      </c>
      <c r="E1815" s="4" t="inlineStr">
        <is>
          <t>29º PAV.</t>
        </is>
      </c>
      <c r="F1815" s="126" t="n">
        <v>46946</v>
      </c>
      <c r="G1815" s="126" t="n">
        <v>46958</v>
      </c>
      <c r="H1815" s="126" t="n">
        <v>46289</v>
      </c>
      <c r="I1815" s="4" t="n">
        <v>0</v>
      </c>
      <c r="J1815" s="4" t="n">
        <v>0</v>
      </c>
      <c r="K1815" s="4" t="n">
        <v>0</v>
      </c>
      <c r="M1815" s="2">
        <f>IF(C1815="","",IFERROR(INDEX($S$5:$S$304,MATCH(C1815,$R$5:$R$304,0))&amp;"","?"))</f>
        <v/>
      </c>
      <c r="N1815" s="2">
        <f>IF(E1815="","",IF(ISNUMBER(SEARCH("SUBSOLO",E1815)),IFERROR(-VALUE(LEFT(E1815,FIND("º",SUBSTITUTE(E1815,"°","º"))-1)),-1),IF(LEFT(E1815,6)="TÉRREO",0,IFERROR(VALUE(LEFT(E1815,FIND("º",SUBSTITUTE(E1815,"°","º"))-1)),""))))</f>
        <v/>
      </c>
      <c r="O1815" s="2">
        <f>IF(OR(F1815="",G1815=""),"",IF(G1815&lt;='RETRATO 2027'!$K$5,"CONCLUÍDA",IF(F1815&lt;='RETRATO 2027'!$K$5,"EM ANDAMENTO","A INICIAR")))</f>
        <v/>
      </c>
    </row>
    <row r="1816">
      <c r="B1816" s="4" t="n">
        <v>30214091</v>
      </c>
      <c r="C1816" s="4" t="inlineStr">
        <is>
          <t>FIAÇÃO TELECOM/DADOS</t>
        </is>
      </c>
      <c r="D1816" s="4" t="inlineStr">
        <is>
          <t>-</t>
        </is>
      </c>
      <c r="E1816" s="4" t="inlineStr">
        <is>
          <t>29º PAV.</t>
        </is>
      </c>
      <c r="F1816" s="126" t="n">
        <v>46946</v>
      </c>
      <c r="G1816" s="126" t="n">
        <v>46959</v>
      </c>
      <c r="H1816" s="126" t="n">
        <v>46289</v>
      </c>
      <c r="I1816" s="4" t="n">
        <v>0</v>
      </c>
      <c r="J1816" s="4" t="n">
        <v>0</v>
      </c>
      <c r="K1816" s="4" t="n">
        <v>0</v>
      </c>
      <c r="M1816" s="2">
        <f>IF(C1816="","",IFERROR(INDEX($S$5:$S$304,MATCH(C1816,$R$5:$R$304,0))&amp;"","?"))</f>
        <v/>
      </c>
      <c r="N1816" s="2">
        <f>IF(E1816="","",IF(ISNUMBER(SEARCH("SUBSOLO",E1816)),IFERROR(-VALUE(LEFT(E1816,FIND("º",SUBSTITUTE(E1816,"°","º"))-1)),-1),IF(LEFT(E1816,6)="TÉRREO",0,IFERROR(VALUE(LEFT(E1816,FIND("º",SUBSTITUTE(E1816,"°","º"))-1)),""))))</f>
        <v/>
      </c>
      <c r="O1816" s="2">
        <f>IF(OR(F1816="",G1816=""),"",IF(G1816&lt;='RETRATO 2027'!$K$5,"CONCLUÍDA",IF(F1816&lt;='RETRATO 2027'!$K$5,"EM ANDAMENTO","A INICIAR")))</f>
        <v/>
      </c>
    </row>
    <row r="1817">
      <c r="B1817" s="4" t="n">
        <v>29980682</v>
      </c>
      <c r="C1817" s="4" t="inlineStr">
        <is>
          <t>BANCADAS</t>
        </is>
      </c>
      <c r="D1817" s="4" t="inlineStr">
        <is>
          <t>-</t>
        </is>
      </c>
      <c r="E1817" s="4" t="inlineStr">
        <is>
          <t>30º PAV.</t>
        </is>
      </c>
      <c r="F1817" s="126" t="n">
        <v>46946</v>
      </c>
      <c r="G1817" s="126" t="n">
        <v>46958</v>
      </c>
      <c r="H1817" s="126" t="n">
        <v>46289</v>
      </c>
      <c r="I1817" s="4" t="n">
        <v>0</v>
      </c>
      <c r="J1817" s="4" t="n">
        <v>0</v>
      </c>
      <c r="K1817" s="4" t="n">
        <v>0</v>
      </c>
      <c r="M1817" s="2">
        <f>IF(C1817="","",IFERROR(INDEX($S$5:$S$304,MATCH(C1817,$R$5:$R$304,0))&amp;"","?"))</f>
        <v/>
      </c>
      <c r="N1817" s="2">
        <f>IF(E1817="","",IF(ISNUMBER(SEARCH("SUBSOLO",E1817)),IFERROR(-VALUE(LEFT(E1817,FIND("º",SUBSTITUTE(E1817,"°","º"))-1)),-1),IF(LEFT(E1817,6)="TÉRREO",0,IFERROR(VALUE(LEFT(E1817,FIND("º",SUBSTITUTE(E1817,"°","º"))-1)),""))))</f>
        <v/>
      </c>
      <c r="O1817" s="2">
        <f>IF(OR(F1817="",G1817=""),"",IF(G1817&lt;='RETRATO 2027'!$K$5,"CONCLUÍDA",IF(F1817&lt;='RETRATO 2027'!$K$5,"EM ANDAMENTO","A INICIAR")))</f>
        <v/>
      </c>
    </row>
    <row r="1818">
      <c r="B1818" s="4" t="n">
        <v>29980644</v>
      </c>
      <c r="C1818" s="4" t="inlineStr">
        <is>
          <t>REVESTIMENTOS PORCELANATO PISO</t>
        </is>
      </c>
      <c r="D1818" s="4" t="inlineStr">
        <is>
          <t>-</t>
        </is>
      </c>
      <c r="E1818" s="4" t="inlineStr">
        <is>
          <t>31º PAV. - COBERTURA LINEAR</t>
        </is>
      </c>
      <c r="F1818" s="126" t="n">
        <v>46946</v>
      </c>
      <c r="G1818" s="126" t="n">
        <v>46958</v>
      </c>
      <c r="H1818" s="126" t="n">
        <v>46289</v>
      </c>
      <c r="I1818" s="4" t="n">
        <v>0</v>
      </c>
      <c r="J1818" s="4" t="n">
        <v>0</v>
      </c>
      <c r="K1818" s="4" t="n">
        <v>0</v>
      </c>
      <c r="M1818" s="2">
        <f>IF(C1818="","",IFERROR(INDEX($S$5:$S$304,MATCH(C1818,$R$5:$R$304,0))&amp;"","?"))</f>
        <v/>
      </c>
      <c r="N1818" s="2">
        <f>IF(E1818="","",IF(ISNUMBER(SEARCH("SUBSOLO",E1818)),IFERROR(-VALUE(LEFT(E1818,FIND("º",SUBSTITUTE(E1818,"°","º"))-1)),-1),IF(LEFT(E1818,6)="TÉRREO",0,IFERROR(VALUE(LEFT(E1818,FIND("º",SUBSTITUTE(E1818,"°","º"))-1)),""))))</f>
        <v/>
      </c>
      <c r="O1818" s="2">
        <f>IF(OR(F1818="",G1818=""),"",IF(G1818&lt;='RETRATO 2027'!$K$5,"CONCLUÍDA",IF(F1818&lt;='RETRATO 2027'!$K$5,"EM ANDAMENTO","A INICIAR")))</f>
        <v/>
      </c>
    </row>
    <row r="1819">
      <c r="B1819" s="4" t="n">
        <v>29980623</v>
      </c>
      <c r="C1819" s="4" t="inlineStr">
        <is>
          <t>REVESTIMENTO PORCELANATO PAREDE</t>
        </is>
      </c>
      <c r="D1819" s="4" t="inlineStr">
        <is>
          <t>-</t>
        </is>
      </c>
      <c r="E1819" s="4" t="inlineStr">
        <is>
          <t>32º PAV - COBERTURA GERAL</t>
        </is>
      </c>
      <c r="F1819" s="126" t="n">
        <v>46946</v>
      </c>
      <c r="G1819" s="126" t="n">
        <v>46958</v>
      </c>
      <c r="H1819" s="126" t="n">
        <v>46289</v>
      </c>
      <c r="I1819" s="4" t="n">
        <v>0</v>
      </c>
      <c r="J1819" s="4" t="n">
        <v>0</v>
      </c>
      <c r="K1819" s="4" t="n">
        <v>0</v>
      </c>
      <c r="M1819" s="2">
        <f>IF(C1819="","",IFERROR(INDEX($S$5:$S$304,MATCH(C1819,$R$5:$R$304,0))&amp;"","?"))</f>
        <v/>
      </c>
      <c r="N1819" s="2">
        <f>IF(E1819="","",IF(ISNUMBER(SEARCH("SUBSOLO",E1819)),IFERROR(-VALUE(LEFT(E1819,FIND("º",SUBSTITUTE(E1819,"°","º"))-1)),-1),IF(LEFT(E1819,6)="TÉRREO",0,IFERROR(VALUE(LEFT(E1819,FIND("º",SUBSTITUTE(E1819,"°","º"))-1)),""))))</f>
        <v/>
      </c>
      <c r="O1819" s="2">
        <f>IF(OR(F1819="",G1819=""),"",IF(G1819&lt;='RETRATO 2027'!$K$5,"CONCLUÍDA",IF(F1819&lt;='RETRATO 2027'!$K$5,"EM ANDAMENTO","A INICIAR")))</f>
        <v/>
      </c>
    </row>
    <row r="1820">
      <c r="B1820" s="4" t="n">
        <v>30205780</v>
      </c>
      <c r="C1820" s="4" t="inlineStr">
        <is>
          <t>DISJUNTORES / MIOLOS</t>
        </is>
      </c>
      <c r="D1820" s="4" t="inlineStr">
        <is>
          <t>-</t>
        </is>
      </c>
      <c r="E1820" s="4" t="inlineStr">
        <is>
          <t>TÉRREO - ACESSO COMERCIAL + DML + ARS + ÁREA TEC + LAVABO + DISPENSA</t>
        </is>
      </c>
      <c r="F1820" s="126" t="n">
        <v>46947</v>
      </c>
      <c r="G1820" s="126" t="n">
        <v>46953</v>
      </c>
      <c r="H1820" s="126" t="n">
        <v>46289</v>
      </c>
      <c r="I1820" s="4" t="n">
        <v>0</v>
      </c>
      <c r="J1820" s="4" t="n">
        <v>0</v>
      </c>
      <c r="K1820" s="4" t="n">
        <v>0</v>
      </c>
      <c r="M1820" s="2">
        <f>IF(C1820="","",IFERROR(INDEX($S$5:$S$304,MATCH(C1820,$R$5:$R$304,0))&amp;"","?"))</f>
        <v/>
      </c>
      <c r="N1820" s="2">
        <f>IF(E1820="","",IF(ISNUMBER(SEARCH("SUBSOLO",E1820)),IFERROR(-VALUE(LEFT(E1820,FIND("º",SUBSTITUTE(E1820,"°","º"))-1)),-1),IF(LEFT(E1820,6)="TÉRREO",0,IFERROR(VALUE(LEFT(E1820,FIND("º",SUBSTITUTE(E1820,"°","º"))-1)),""))))</f>
        <v/>
      </c>
      <c r="O1820" s="2">
        <f>IF(OR(F1820="",G1820=""),"",IF(G1820&lt;='RETRATO 2027'!$K$5,"CONCLUÍDA",IF(F1820&lt;='RETRATO 2027'!$K$5,"EM ANDAMENTO","A INICIAR")))</f>
        <v/>
      </c>
    </row>
    <row r="1821">
      <c r="B1821" s="4" t="n">
        <v>30205809</v>
      </c>
      <c r="C1821" s="4" t="inlineStr">
        <is>
          <t>ESQUADRIA MADEIRA</t>
        </is>
      </c>
      <c r="D1821" s="4" t="inlineStr">
        <is>
          <t>-</t>
        </is>
      </c>
      <c r="E1821" s="4" t="inlineStr">
        <is>
          <t>TÉRREO - HALL SOCIAL + ECLUSA + CIRCULAÇÃO</t>
        </is>
      </c>
      <c r="F1821" s="126" t="n">
        <v>46947</v>
      </c>
      <c r="G1821" s="126" t="n">
        <v>46960</v>
      </c>
      <c r="H1821" s="126" t="n">
        <v>46289</v>
      </c>
      <c r="I1821" s="4" t="n">
        <v>0</v>
      </c>
      <c r="J1821" s="4" t="n">
        <v>0</v>
      </c>
      <c r="K1821" s="4" t="n">
        <v>0</v>
      </c>
      <c r="M1821" s="2">
        <f>IF(C1821="","",IFERROR(INDEX($S$5:$S$304,MATCH(C1821,$R$5:$R$304,0))&amp;"","?"))</f>
        <v/>
      </c>
      <c r="N1821" s="2">
        <f>IF(E1821="","",IF(ISNUMBER(SEARCH("SUBSOLO",E1821)),IFERROR(-VALUE(LEFT(E1821,FIND("º",SUBSTITUTE(E1821,"°","º"))-1)),-1),IF(LEFT(E1821,6)="TÉRREO",0,IFERROR(VALUE(LEFT(E1821,FIND("º",SUBSTITUTE(E1821,"°","º"))-1)),""))))</f>
        <v/>
      </c>
      <c r="O1821" s="2">
        <f>IF(OR(F1821="",G1821=""),"",IF(G1821&lt;='RETRATO 2027'!$K$5,"CONCLUÍDA",IF(F1821&lt;='RETRATO 2027'!$K$5,"EM ANDAMENTO","A INICIAR")))</f>
        <v/>
      </c>
    </row>
    <row r="1822">
      <c r="B1822" s="4" t="n">
        <v>30205808</v>
      </c>
      <c r="C1822" s="4" t="inlineStr">
        <is>
          <t>LOUÇAS</t>
        </is>
      </c>
      <c r="D1822" s="4" t="inlineStr">
        <is>
          <t>-</t>
        </is>
      </c>
      <c r="E1822" s="4" t="inlineStr">
        <is>
          <t>TÉRREO - HALL SOCIAL + ECLUSA + CIRCULAÇÃO</t>
        </is>
      </c>
      <c r="F1822" s="126" t="n">
        <v>46947</v>
      </c>
      <c r="G1822" s="126" t="n">
        <v>46960</v>
      </c>
      <c r="H1822" s="126" t="n">
        <v>46289</v>
      </c>
      <c r="I1822" s="4" t="n">
        <v>0</v>
      </c>
      <c r="J1822" s="4" t="n">
        <v>0</v>
      </c>
      <c r="K1822" s="4" t="n">
        <v>0</v>
      </c>
      <c r="M1822" s="2">
        <f>IF(C1822="","",IFERROR(INDEX($S$5:$S$304,MATCH(C1822,$R$5:$R$304,0))&amp;"","?"))</f>
        <v/>
      </c>
      <c r="N1822" s="2">
        <f>IF(E1822="","",IF(ISNUMBER(SEARCH("SUBSOLO",E1822)),IFERROR(-VALUE(LEFT(E1822,FIND("º",SUBSTITUTE(E1822,"°","º"))-1)),-1),IF(LEFT(E1822,6)="TÉRREO",0,IFERROR(VALUE(LEFT(E1822,FIND("º",SUBSTITUTE(E1822,"°","º"))-1)),""))))</f>
        <v/>
      </c>
      <c r="O1822" s="2">
        <f>IF(OR(F1822="",G1822=""),"",IF(G1822&lt;='RETRATO 2027'!$K$5,"CONCLUÍDA",IF(F1822&lt;='RETRATO 2027'!$K$5,"EM ANDAMENTO","A INICIAR")))</f>
        <v/>
      </c>
    </row>
    <row r="1823">
      <c r="B1823" s="4" t="n">
        <v>30205806</v>
      </c>
      <c r="C1823" s="4" t="inlineStr">
        <is>
          <t>METAIS</t>
        </is>
      </c>
      <c r="D1823" s="4" t="inlineStr">
        <is>
          <t>-</t>
        </is>
      </c>
      <c r="E1823" s="4" t="inlineStr">
        <is>
          <t>TÉRREO - HALL SOCIAL + ECLUSA + CIRCULAÇÃO</t>
        </is>
      </c>
      <c r="F1823" s="126" t="n">
        <v>46947</v>
      </c>
      <c r="G1823" s="126" t="n">
        <v>46960</v>
      </c>
      <c r="H1823" s="126" t="n">
        <v>46289</v>
      </c>
      <c r="I1823" s="4" t="n">
        <v>0</v>
      </c>
      <c r="J1823" s="4" t="n">
        <v>0</v>
      </c>
      <c r="K1823" s="4" t="n">
        <v>0</v>
      </c>
      <c r="M1823" s="2">
        <f>IF(C1823="","",IFERROR(INDEX($S$5:$S$304,MATCH(C1823,$R$5:$R$304,0))&amp;"","?"))</f>
        <v/>
      </c>
      <c r="N1823" s="2">
        <f>IF(E1823="","",IF(ISNUMBER(SEARCH("SUBSOLO",E1823)),IFERROR(-VALUE(LEFT(E1823,FIND("º",SUBSTITUTE(E1823,"°","º"))-1)),-1),IF(LEFT(E1823,6)="TÉRREO",0,IFERROR(VALUE(LEFT(E1823,FIND("º",SUBSTITUTE(E1823,"°","º"))-1)),""))))</f>
        <v/>
      </c>
      <c r="O1823" s="2">
        <f>IF(OR(F1823="",G1823=""),"",IF(G1823&lt;='RETRATO 2027'!$K$5,"CONCLUÍDA",IF(F1823&lt;='RETRATO 2027'!$K$5,"EM ANDAMENTO","A INICIAR")))</f>
        <v/>
      </c>
    </row>
    <row r="1824">
      <c r="B1824" s="4" t="n">
        <v>30171523</v>
      </c>
      <c r="C1824" s="4" t="inlineStr">
        <is>
          <t>REVESTIMENTOS PORCELANATO PISO</t>
        </is>
      </c>
      <c r="D1824" s="4" t="inlineStr">
        <is>
          <t>-</t>
        </is>
      </c>
      <c r="E1824" s="4" t="inlineStr">
        <is>
          <t>HALL - GARAGENS</t>
        </is>
      </c>
      <c r="F1824" s="126" t="n">
        <v>46947</v>
      </c>
      <c r="G1824" s="126" t="n">
        <v>46960</v>
      </c>
      <c r="H1824" s="126" t="n">
        <v>46289</v>
      </c>
      <c r="I1824" s="4" t="n">
        <v>0</v>
      </c>
      <c r="J1824" s="4" t="n">
        <v>0</v>
      </c>
      <c r="K1824" s="4" t="n">
        <v>0</v>
      </c>
      <c r="M1824" s="2">
        <f>IF(C1824="","",IFERROR(INDEX($S$5:$S$304,MATCH(C1824,$R$5:$R$304,0))&amp;"","?"))</f>
        <v/>
      </c>
      <c r="N1824" s="2">
        <f>IF(E1824="","",IF(ISNUMBER(SEARCH("SUBSOLO",E1824)),IFERROR(-VALUE(LEFT(E1824,FIND("º",SUBSTITUTE(E1824,"°","º"))-1)),-1),IF(LEFT(E1824,6)="TÉRREO",0,IFERROR(VALUE(LEFT(E1824,FIND("º",SUBSTITUTE(E1824,"°","º"))-1)),""))))</f>
        <v/>
      </c>
      <c r="O1824" s="2">
        <f>IF(OR(F1824="",G1824=""),"",IF(G1824&lt;='RETRATO 2027'!$K$5,"CONCLUÍDA",IF(F1824&lt;='RETRATO 2027'!$K$5,"EM ANDAMENTO","A INICIAR")))</f>
        <v/>
      </c>
    </row>
    <row r="1825">
      <c r="B1825" s="4" t="n">
        <v>32749862</v>
      </c>
      <c r="C1825" s="4" t="inlineStr">
        <is>
          <t>DRYWALL 1º FACE</t>
        </is>
      </c>
      <c r="D1825" s="4" t="inlineStr">
        <is>
          <t>-</t>
        </is>
      </c>
      <c r="E1825" s="4" t="inlineStr">
        <is>
          <t>19º PAV.</t>
        </is>
      </c>
      <c r="F1825" s="126" t="n">
        <v>46947</v>
      </c>
      <c r="G1825" s="126" t="n">
        <v>46959</v>
      </c>
      <c r="H1825" s="126" t="n">
        <v>46289</v>
      </c>
      <c r="I1825" s="4" t="n">
        <v>0</v>
      </c>
      <c r="J1825" s="4" t="n">
        <v>0</v>
      </c>
      <c r="K1825" s="4" t="n">
        <v>0</v>
      </c>
      <c r="M1825" s="2">
        <f>IF(C1825="","",IFERROR(INDEX($S$5:$S$304,MATCH(C1825,$R$5:$R$304,0))&amp;"","?"))</f>
        <v/>
      </c>
      <c r="N1825" s="2">
        <f>IF(E1825="","",IF(ISNUMBER(SEARCH("SUBSOLO",E1825)),IFERROR(-VALUE(LEFT(E1825,FIND("º",SUBSTITUTE(E1825,"°","º"))-1)),-1),IF(LEFT(E1825,6)="TÉRREO",0,IFERROR(VALUE(LEFT(E1825,FIND("º",SUBSTITUTE(E1825,"°","º"))-1)),""))))</f>
        <v/>
      </c>
      <c r="O1825" s="2">
        <f>IF(OR(F1825="",G1825=""),"",IF(G1825&lt;='RETRATO 2027'!$K$5,"CONCLUÍDA",IF(F1825&lt;='RETRATO 2027'!$K$5,"EM ANDAMENTO","A INICIAR")))</f>
        <v/>
      </c>
    </row>
    <row r="1826">
      <c r="B1826" s="4" t="n">
        <v>30214095</v>
      </c>
      <c r="C1826" s="4" t="inlineStr">
        <is>
          <t>FIAÇÃO TELECOM/DADOS</t>
        </is>
      </c>
      <c r="D1826" s="4" t="inlineStr">
        <is>
          <t>-</t>
        </is>
      </c>
      <c r="E1826" s="4" t="inlineStr">
        <is>
          <t>33º PAV - BARRILETE</t>
        </is>
      </c>
      <c r="F1826" s="126" t="n">
        <v>46947</v>
      </c>
      <c r="G1826" s="126" t="n">
        <v>46967</v>
      </c>
      <c r="H1826" s="126" t="n">
        <v>46289</v>
      </c>
      <c r="I1826" s="4" t="n">
        <v>0</v>
      </c>
      <c r="J1826" s="4" t="n">
        <v>0</v>
      </c>
      <c r="K1826" s="4" t="n">
        <v>0</v>
      </c>
      <c r="M1826" s="2">
        <f>IF(C1826="","",IFERROR(INDEX($S$5:$S$304,MATCH(C1826,$R$5:$R$304,0))&amp;"","?"))</f>
        <v/>
      </c>
      <c r="N1826" s="2">
        <f>IF(E1826="","",IF(ISNUMBER(SEARCH("SUBSOLO",E1826)),IFERROR(-VALUE(LEFT(E1826,FIND("º",SUBSTITUTE(E1826,"°","º"))-1)),-1),IF(LEFT(E1826,6)="TÉRREO",0,IFERROR(VALUE(LEFT(E1826,FIND("º",SUBSTITUTE(E1826,"°","º"))-1)),""))))</f>
        <v/>
      </c>
      <c r="O1826" s="2">
        <f>IF(OR(F1826="",G1826=""),"",IF(G1826&lt;='RETRATO 2027'!$K$5,"CONCLUÍDA",IF(F1826&lt;='RETRATO 2027'!$K$5,"EM ANDAMENTO","A INICIAR")))</f>
        <v/>
      </c>
    </row>
    <row r="1827">
      <c r="B1827" s="4" t="n">
        <v>30206129</v>
      </c>
      <c r="C1827" s="4" t="inlineStr">
        <is>
          <t>MASSA CORRIDA</t>
        </is>
      </c>
      <c r="D1827" s="4" t="inlineStr">
        <is>
          <t>-</t>
        </is>
      </c>
      <c r="E1827" s="4" t="inlineStr">
        <is>
          <t>6º PAV (PILOTIS) - ACADEMIA</t>
        </is>
      </c>
      <c r="F1827" s="126" t="n">
        <v>46948</v>
      </c>
      <c r="G1827" s="126" t="n">
        <v>46961</v>
      </c>
      <c r="H1827" s="126" t="n">
        <v>46289</v>
      </c>
      <c r="I1827" s="4" t="n">
        <v>0</v>
      </c>
      <c r="J1827" s="4" t="n">
        <v>0</v>
      </c>
      <c r="K1827" s="4" t="n">
        <v>0</v>
      </c>
      <c r="M1827" s="2">
        <f>IF(C1827="","",IFERROR(INDEX($S$5:$S$304,MATCH(C1827,$R$5:$R$304,0))&amp;"","?"))</f>
        <v/>
      </c>
      <c r="N1827" s="2">
        <f>IF(E1827="","",IF(ISNUMBER(SEARCH("SUBSOLO",E1827)),IFERROR(-VALUE(LEFT(E1827,FIND("º",SUBSTITUTE(E1827,"°","º"))-1)),-1),IF(LEFT(E1827,6)="TÉRREO",0,IFERROR(VALUE(LEFT(E1827,FIND("º",SUBSTITUTE(E1827,"°","º"))-1)),""))))</f>
        <v/>
      </c>
      <c r="O1827" s="2">
        <f>IF(OR(F1827="",G1827=""),"",IF(G1827&lt;='RETRATO 2027'!$K$5,"CONCLUÍDA",IF(F1827&lt;='RETRATO 2027'!$K$5,"EM ANDAMENTO","A INICIAR")))</f>
        <v/>
      </c>
    </row>
    <row r="1828">
      <c r="B1828" s="4" t="n">
        <v>30206090</v>
      </c>
      <c r="C1828" s="4" t="inlineStr">
        <is>
          <t>FORRO</t>
        </is>
      </c>
      <c r="D1828" s="4" t="inlineStr">
        <is>
          <t>-</t>
        </is>
      </c>
      <c r="E1828" s="4" t="inlineStr">
        <is>
          <t>6º PAV (PILOTIS) - SAUNA + DUCHA</t>
        </is>
      </c>
      <c r="F1828" s="126" t="n">
        <v>46948</v>
      </c>
      <c r="G1828" s="126" t="n">
        <v>46961</v>
      </c>
      <c r="H1828" s="126" t="n">
        <v>46289</v>
      </c>
      <c r="I1828" s="4" t="n">
        <v>0</v>
      </c>
      <c r="J1828" s="4" t="n">
        <v>0</v>
      </c>
      <c r="K1828" s="4" t="n">
        <v>0</v>
      </c>
      <c r="M1828" s="2">
        <f>IF(C1828="","",IFERROR(INDEX($S$5:$S$304,MATCH(C1828,$R$5:$R$304,0))&amp;"","?"))</f>
        <v/>
      </c>
      <c r="N1828" s="2">
        <f>IF(E1828="","",IF(ISNUMBER(SEARCH("SUBSOLO",E1828)),IFERROR(-VALUE(LEFT(E1828,FIND("º",SUBSTITUTE(E1828,"°","º"))-1)),-1),IF(LEFT(E1828,6)="TÉRREO",0,IFERROR(VALUE(LEFT(E1828,FIND("º",SUBSTITUTE(E1828,"°","º"))-1)),""))))</f>
        <v/>
      </c>
      <c r="O1828" s="2">
        <f>IF(OR(F1828="",G1828=""),"",IF(G1828&lt;='RETRATO 2027'!$K$5,"CONCLUÍDA",IF(F1828&lt;='RETRATO 2027'!$K$5,"EM ANDAMENTO","A INICIAR")))</f>
        <v/>
      </c>
    </row>
    <row r="1829">
      <c r="B1829" s="4" t="n">
        <v>30206035</v>
      </c>
      <c r="C1829" s="4" t="inlineStr">
        <is>
          <t>BANCADAS</t>
        </is>
      </c>
      <c r="D1829" s="4" t="inlineStr">
        <is>
          <t>-</t>
        </is>
      </c>
      <c r="E1829" s="4" t="inlineStr">
        <is>
          <t>6º PAV (PILOTIS) - CHURRASQUEIRA + IS MASC. PCD + IS FEM. PCD + CIRCULAÇÃO 1 + HALL 1</t>
        </is>
      </c>
      <c r="F1829" s="126" t="n">
        <v>46948</v>
      </c>
      <c r="G1829" s="126" t="n">
        <v>46961</v>
      </c>
      <c r="H1829" s="126" t="n">
        <v>46289</v>
      </c>
      <c r="I1829" s="4" t="n">
        <v>0</v>
      </c>
      <c r="J1829" s="4" t="n">
        <v>0</v>
      </c>
      <c r="K1829" s="4" t="n">
        <v>0</v>
      </c>
      <c r="M1829" s="2">
        <f>IF(C1829="","",IFERROR(INDEX($S$5:$S$304,MATCH(C1829,$R$5:$R$304,0))&amp;"","?"))</f>
        <v/>
      </c>
      <c r="N1829" s="2">
        <f>IF(E1829="","",IF(ISNUMBER(SEARCH("SUBSOLO",E1829)),IFERROR(-VALUE(LEFT(E1829,FIND("º",SUBSTITUTE(E1829,"°","º"))-1)),-1),IF(LEFT(E1829,6)="TÉRREO",0,IFERROR(VALUE(LEFT(E1829,FIND("º",SUBSTITUTE(E1829,"°","º"))-1)),""))))</f>
        <v/>
      </c>
      <c r="O1829" s="2">
        <f>IF(OR(F1829="",G1829=""),"",IF(G1829&lt;='RETRATO 2027'!$K$5,"CONCLUÍDA",IF(F1829&lt;='RETRATO 2027'!$K$5,"EM ANDAMENTO","A INICIAR")))</f>
        <v/>
      </c>
    </row>
    <row r="1830">
      <c r="B1830" s="4" t="n">
        <v>30205997</v>
      </c>
      <c r="C1830" s="4" t="inlineStr">
        <is>
          <t>REVESTIMENTOS PORCELANATO PISO</t>
        </is>
      </c>
      <c r="D1830" s="4" t="inlineStr">
        <is>
          <t>-</t>
        </is>
      </c>
      <c r="E1830" s="4" t="inlineStr">
        <is>
          <t>6º PAV (PILOTIS) - COWORKING 1 E 2 + CIRC. 2 + HALL 2 + DML + VEST. MASC. + VEST. FEM</t>
        </is>
      </c>
      <c r="F1830" s="126" t="n">
        <v>46948</v>
      </c>
      <c r="G1830" s="126" t="n">
        <v>46961</v>
      </c>
      <c r="H1830" s="126" t="n">
        <v>46289</v>
      </c>
      <c r="I1830" s="4" t="n">
        <v>0</v>
      </c>
      <c r="J1830" s="4" t="n">
        <v>0</v>
      </c>
      <c r="K1830" s="4" t="n">
        <v>0</v>
      </c>
      <c r="M1830" s="2">
        <f>IF(C1830="","",IFERROR(INDEX($S$5:$S$304,MATCH(C1830,$R$5:$R$304,0))&amp;"","?"))</f>
        <v/>
      </c>
      <c r="N1830" s="2">
        <f>IF(E1830="","",IF(ISNUMBER(SEARCH("SUBSOLO",E1830)),IFERROR(-VALUE(LEFT(E1830,FIND("º",SUBSTITUTE(E1830,"°","º"))-1)),-1),IF(LEFT(E1830,6)="TÉRREO",0,IFERROR(VALUE(LEFT(E1830,FIND("º",SUBSTITUTE(E1830,"°","º"))-1)),""))))</f>
        <v/>
      </c>
      <c r="O1830" s="2">
        <f>IF(OR(F1830="",G1830=""),"",IF(G1830&lt;='RETRATO 2027'!$K$5,"CONCLUÍDA",IF(F1830&lt;='RETRATO 2027'!$K$5,"EM ANDAMENTO","A INICIAR")))</f>
        <v/>
      </c>
    </row>
    <row r="1831">
      <c r="B1831" s="4" t="n">
        <v>30205976</v>
      </c>
      <c r="C1831" s="4" t="inlineStr">
        <is>
          <t>REVESTIMENTO PORCELANATO PAREDE</t>
        </is>
      </c>
      <c r="D1831" s="4" t="inlineStr">
        <is>
          <t>-</t>
        </is>
      </c>
      <c r="E1831" s="4" t="inlineStr">
        <is>
          <t>6º PAV (PILOTIS) - LOUNGE + SALÃO + COZINHA + GOURMET + ESPAÇO KIDS</t>
        </is>
      </c>
      <c r="F1831" s="126" t="n">
        <v>46948</v>
      </c>
      <c r="G1831" s="126" t="n">
        <v>46961</v>
      </c>
      <c r="H1831" s="126" t="n">
        <v>46289</v>
      </c>
      <c r="I1831" s="4" t="n">
        <v>0</v>
      </c>
      <c r="J1831" s="4" t="n">
        <v>0</v>
      </c>
      <c r="K1831" s="4" t="n">
        <v>0</v>
      </c>
      <c r="M1831" s="2">
        <f>IF(C1831="","",IFERROR(INDEX($S$5:$S$304,MATCH(C1831,$R$5:$R$304,0))&amp;"","?"))</f>
        <v/>
      </c>
      <c r="N1831" s="2">
        <f>IF(E1831="","",IF(ISNUMBER(SEARCH("SUBSOLO",E1831)),IFERROR(-VALUE(LEFT(E1831,FIND("º",SUBSTITUTE(E1831,"°","º"))-1)),-1),IF(LEFT(E1831,6)="TÉRREO",0,IFERROR(VALUE(LEFT(E1831,FIND("º",SUBSTITUTE(E1831,"°","º"))-1)),""))))</f>
        <v/>
      </c>
      <c r="O1831" s="2">
        <f>IF(OR(F1831="",G1831=""),"",IF(G1831&lt;='RETRATO 2027'!$K$5,"CONCLUÍDA",IF(F1831&lt;='RETRATO 2027'!$K$5,"EM ANDAMENTO","A INICIAR")))</f>
        <v/>
      </c>
    </row>
    <row r="1832">
      <c r="B1832" s="4" t="n">
        <v>33896917</v>
      </c>
      <c r="C1832" s="4" t="inlineStr">
        <is>
          <t>INFRAESTRUTURA - AR CONDICIONADO</t>
        </is>
      </c>
      <c r="D1832" s="4" t="inlineStr">
        <is>
          <t>-</t>
        </is>
      </c>
      <c r="E1832" s="4" t="inlineStr">
        <is>
          <t>6º PAV (PILOTIS) - LOUNGE + SALÃO + COZINHA + GOURMET + ESPAÇO KIDS</t>
        </is>
      </c>
      <c r="F1832" s="126" t="n">
        <v>46948</v>
      </c>
      <c r="G1832" s="126" t="n">
        <v>46961</v>
      </c>
      <c r="H1832" s="126" t="n">
        <v>46289</v>
      </c>
      <c r="I1832" s="4" t="n">
        <v>0</v>
      </c>
      <c r="J1832" s="4" t="n">
        <v>0</v>
      </c>
      <c r="K1832" s="4" t="n">
        <v>0</v>
      </c>
      <c r="M1832" s="2">
        <f>IF(C1832="","",IFERROR(INDEX($S$5:$S$304,MATCH(C1832,$R$5:$R$304,0))&amp;"","?"))</f>
        <v/>
      </c>
      <c r="N1832" s="2">
        <f>IF(E1832="","",IF(ISNUMBER(SEARCH("SUBSOLO",E1832)),IFERROR(-VALUE(LEFT(E1832,FIND("º",SUBSTITUTE(E1832,"°","º"))-1)),-1),IF(LEFT(E1832,6)="TÉRREO",0,IFERROR(VALUE(LEFT(E1832,FIND("º",SUBSTITUTE(E1832,"°","º"))-1)),""))))</f>
        <v/>
      </c>
      <c r="O1832" s="2">
        <f>IF(OR(F1832="",G1832=""),"",IF(G1832&lt;='RETRATO 2027'!$K$5,"CONCLUÍDA",IF(F1832&lt;='RETRATO 2027'!$K$5,"EM ANDAMENTO","A INICIAR")))</f>
        <v/>
      </c>
    </row>
    <row r="1833">
      <c r="B1833" s="4" t="n">
        <v>30211211</v>
      </c>
      <c r="C1833" s="4" t="inlineStr">
        <is>
          <t>REVESTIMENTO ACABAMENTO</t>
        </is>
      </c>
      <c r="D1833" s="4" t="inlineStr">
        <is>
          <t>-</t>
        </is>
      </c>
      <c r="E1833" s="4" t="inlineStr">
        <is>
          <t>34º PAV - RESERVATÓRIO</t>
        </is>
      </c>
      <c r="F1833" s="126" t="n">
        <v>46951</v>
      </c>
      <c r="G1833" s="126" t="n">
        <v>46969</v>
      </c>
      <c r="H1833" s="126" t="n">
        <v>46289</v>
      </c>
      <c r="I1833" s="4" t="n">
        <v>0</v>
      </c>
      <c r="J1833" s="4" t="n">
        <v>0</v>
      </c>
      <c r="K1833" s="4" t="n">
        <v>0</v>
      </c>
      <c r="M1833" s="2">
        <f>IF(C1833="","",IFERROR(INDEX($S$5:$S$304,MATCH(C1833,$R$5:$R$304,0))&amp;"","?"))</f>
        <v/>
      </c>
      <c r="N1833" s="2">
        <f>IF(E1833="","",IF(ISNUMBER(SEARCH("SUBSOLO",E1833)),IFERROR(-VALUE(LEFT(E1833,FIND("º",SUBSTITUTE(E1833,"°","º"))-1)),-1),IF(LEFT(E1833,6)="TÉRREO",0,IFERROR(VALUE(LEFT(E1833,FIND("º",SUBSTITUTE(E1833,"°","º"))-1)),""))))</f>
        <v/>
      </c>
      <c r="O1833" s="2">
        <f>IF(OR(F1833="",G1833=""),"",IF(G1833&lt;='RETRATO 2027'!$K$5,"CONCLUÍDA",IF(F1833&lt;='RETRATO 2027'!$K$5,"EM ANDAMENTO","A INICIAR")))</f>
        <v/>
      </c>
    </row>
    <row r="1834">
      <c r="B1834" s="4" t="n">
        <v>30205655</v>
      </c>
      <c r="C1834" s="4" t="inlineStr">
        <is>
          <t>CHECKLIST</t>
        </is>
      </c>
      <c r="D1834" s="4" t="inlineStr">
        <is>
          <t>-</t>
        </is>
      </c>
      <c r="E1834" s="4" t="inlineStr">
        <is>
          <t>TÉRREO - LOJA 3</t>
        </is>
      </c>
      <c r="F1834" s="126" t="n">
        <v>46952</v>
      </c>
      <c r="G1834" s="126" t="n">
        <v>46958</v>
      </c>
      <c r="H1834" s="126" t="n">
        <v>46289</v>
      </c>
      <c r="I1834" s="4" t="n">
        <v>0</v>
      </c>
      <c r="J1834" s="4" t="n">
        <v>0</v>
      </c>
      <c r="K1834" s="4" t="n">
        <v>0</v>
      </c>
      <c r="M1834" s="2">
        <f>IF(C1834="","",IFERROR(INDEX($S$5:$S$304,MATCH(C1834,$R$5:$R$304,0))&amp;"","?"))</f>
        <v/>
      </c>
      <c r="N1834" s="2">
        <f>IF(E1834="","",IF(ISNUMBER(SEARCH("SUBSOLO",E1834)),IFERROR(-VALUE(LEFT(E1834,FIND("º",SUBSTITUTE(E1834,"°","º"))-1)),-1),IF(LEFT(E1834,6)="TÉRREO",0,IFERROR(VALUE(LEFT(E1834,FIND("º",SUBSTITUTE(E1834,"°","º"))-1)),""))))</f>
        <v/>
      </c>
      <c r="O1834" s="2">
        <f>IF(OR(F1834="",G1834=""),"",IF(G1834&lt;='RETRATO 2027'!$K$5,"CONCLUÍDA",IF(F1834&lt;='RETRATO 2027'!$K$5,"EM ANDAMENTO","A INICIAR")))</f>
        <v/>
      </c>
    </row>
    <row r="1835">
      <c r="B1835" s="4" t="n">
        <v>30205624</v>
      </c>
      <c r="C1835" s="4" t="inlineStr">
        <is>
          <t>LIMPEZA FINA</t>
        </is>
      </c>
      <c r="D1835" s="4" t="inlineStr">
        <is>
          <t>-</t>
        </is>
      </c>
      <c r="E1835" s="4" t="inlineStr">
        <is>
          <t>TÉRREO - LOJA 4</t>
        </is>
      </c>
      <c r="F1835" s="126" t="n">
        <v>46952</v>
      </c>
      <c r="G1835" s="126" t="n">
        <v>46965</v>
      </c>
      <c r="H1835" s="126" t="n">
        <v>46289</v>
      </c>
      <c r="I1835" s="4" t="n">
        <v>0</v>
      </c>
      <c r="J1835" s="4" t="n">
        <v>0</v>
      </c>
      <c r="K1835" s="4" t="n">
        <v>0</v>
      </c>
      <c r="M1835" s="2">
        <f>IF(C1835="","",IFERROR(INDEX($S$5:$S$304,MATCH(C1835,$R$5:$R$304,0))&amp;"","?"))</f>
        <v/>
      </c>
      <c r="N1835" s="2">
        <f>IF(E1835="","",IF(ISNUMBER(SEARCH("SUBSOLO",E1835)),IFERROR(-VALUE(LEFT(E1835,FIND("º",SUBSTITUTE(E1835,"°","º"))-1)),-1),IF(LEFT(E1835,6)="TÉRREO",0,IFERROR(VALUE(LEFT(E1835,FIND("º",SUBSTITUTE(E1835,"°","º"))-1)),""))))</f>
        <v/>
      </c>
      <c r="O1835" s="2">
        <f>IF(OR(F1835="",G1835=""),"",IF(G1835&lt;='RETRATO 2027'!$K$5,"CONCLUÍDA",IF(F1835&lt;='RETRATO 2027'!$K$5,"EM ANDAMENTO","A INICIAR")))</f>
        <v/>
      </c>
    </row>
    <row r="1836">
      <c r="B1836" s="4" t="n">
        <v>30205587</v>
      </c>
      <c r="C1836" s="4" t="inlineStr">
        <is>
          <t>ACABAMENTOS ELÉTRICOS</t>
        </is>
      </c>
      <c r="D1836" s="4" t="inlineStr">
        <is>
          <t>-</t>
        </is>
      </c>
      <c r="E1836" s="4" t="inlineStr">
        <is>
          <t>TÉRREO - LOJA 5</t>
        </is>
      </c>
      <c r="F1836" s="126" t="n">
        <v>46952</v>
      </c>
      <c r="G1836" s="126" t="n">
        <v>46965</v>
      </c>
      <c r="H1836" s="126" t="n">
        <v>46289</v>
      </c>
      <c r="I1836" s="4" t="n">
        <v>0</v>
      </c>
      <c r="J1836" s="4" t="n">
        <v>0</v>
      </c>
      <c r="K1836" s="4" t="n">
        <v>0</v>
      </c>
      <c r="M1836" s="2">
        <f>IF(C1836="","",IFERROR(INDEX($S$5:$S$304,MATCH(C1836,$R$5:$R$304,0))&amp;"","?"))</f>
        <v/>
      </c>
      <c r="N1836" s="2">
        <f>IF(E1836="","",IF(ISNUMBER(SEARCH("SUBSOLO",E1836)),IFERROR(-VALUE(LEFT(E1836,FIND("º",SUBSTITUTE(E1836,"°","º"))-1)),-1),IF(LEFT(E1836,6)="TÉRREO",0,IFERROR(VALUE(LEFT(E1836,FIND("º",SUBSTITUTE(E1836,"°","º"))-1)),""))))</f>
        <v/>
      </c>
      <c r="O1836" s="2">
        <f>IF(OR(F1836="",G1836=""),"",IF(G1836&lt;='RETRATO 2027'!$K$5,"CONCLUÍDA",IF(F1836&lt;='RETRATO 2027'!$K$5,"EM ANDAMENTO","A INICIAR")))</f>
        <v/>
      </c>
    </row>
    <row r="1837">
      <c r="B1837" s="4" t="n">
        <v>30205559</v>
      </c>
      <c r="C1837" s="4" t="inlineStr">
        <is>
          <t>PINTURA 2º DEMÃO</t>
        </is>
      </c>
      <c r="D1837" s="4" t="inlineStr">
        <is>
          <t>-</t>
        </is>
      </c>
      <c r="E1837" s="4" t="inlineStr">
        <is>
          <t>TÉRREO - LOJA 6</t>
        </is>
      </c>
      <c r="F1837" s="126" t="n">
        <v>46952</v>
      </c>
      <c r="G1837" s="126" t="n">
        <v>46965</v>
      </c>
      <c r="H1837" s="126" t="n">
        <v>46289</v>
      </c>
      <c r="I1837" s="4" t="n">
        <v>0</v>
      </c>
      <c r="J1837" s="4" t="n">
        <v>0</v>
      </c>
      <c r="K1837" s="4" t="n">
        <v>0</v>
      </c>
      <c r="M1837" s="2">
        <f>IF(C1837="","",IFERROR(INDEX($S$5:$S$304,MATCH(C1837,$R$5:$R$304,0))&amp;"","?"))</f>
        <v/>
      </c>
      <c r="N1837" s="2">
        <f>IF(E1837="","",IF(ISNUMBER(SEARCH("SUBSOLO",E1837)),IFERROR(-VALUE(LEFT(E1837,FIND("º",SUBSTITUTE(E1837,"°","º"))-1)),-1),IF(LEFT(E1837,6)="TÉRREO",0,IFERROR(VALUE(LEFT(E1837,FIND("º",SUBSTITUTE(E1837,"°","º"))-1)),""))))</f>
        <v/>
      </c>
      <c r="O1837" s="2">
        <f>IF(OR(F1837="",G1837=""),"",IF(G1837&lt;='RETRATO 2027'!$K$5,"CONCLUÍDA",IF(F1837&lt;='RETRATO 2027'!$K$5,"EM ANDAMENTO","A INICIAR")))</f>
        <v/>
      </c>
    </row>
    <row r="1838">
      <c r="B1838" s="4" t="n">
        <v>30205545</v>
      </c>
      <c r="C1838" s="4" t="inlineStr">
        <is>
          <t>LIMPEZA GROSSA</t>
        </is>
      </c>
      <c r="D1838" s="4" t="inlineStr">
        <is>
          <t>-</t>
        </is>
      </c>
      <c r="E1838" s="4" t="inlineStr">
        <is>
          <t>TÉRREO - LOJA 7</t>
        </is>
      </c>
      <c r="F1838" s="126" t="n">
        <v>46952</v>
      </c>
      <c r="G1838" s="126" t="n">
        <v>46965</v>
      </c>
      <c r="H1838" s="126" t="n">
        <v>46289</v>
      </c>
      <c r="I1838" s="4" t="n">
        <v>0</v>
      </c>
      <c r="J1838" s="4" t="n">
        <v>0</v>
      </c>
      <c r="K1838" s="4" t="n">
        <v>0</v>
      </c>
      <c r="M1838" s="2">
        <f>IF(C1838="","",IFERROR(INDEX($S$5:$S$304,MATCH(C1838,$R$5:$R$304,0))&amp;"","?"))</f>
        <v/>
      </c>
      <c r="N1838" s="2">
        <f>IF(E1838="","",IF(ISNUMBER(SEARCH("SUBSOLO",E1838)),IFERROR(-VALUE(LEFT(E1838,FIND("º",SUBSTITUTE(E1838,"°","º"))-1)),-1),IF(LEFT(E1838,6)="TÉRREO",0,IFERROR(VALUE(LEFT(E1838,FIND("º",SUBSTITUTE(E1838,"°","º"))-1)),""))))</f>
        <v/>
      </c>
      <c r="O1838" s="2">
        <f>IF(OR(F1838="",G1838=""),"",IF(G1838&lt;='RETRATO 2027'!$K$5,"CONCLUÍDA",IF(F1838&lt;='RETRATO 2027'!$K$5,"EM ANDAMENTO","A INICIAR")))</f>
        <v/>
      </c>
    </row>
    <row r="1839">
      <c r="B1839" s="4" t="n">
        <v>29981365</v>
      </c>
      <c r="C1839" s="4" t="inlineStr">
        <is>
          <t>LIMPEZA FINA</t>
        </is>
      </c>
      <c r="D1839" s="4" t="inlineStr">
        <is>
          <t>-</t>
        </is>
      </c>
      <c r="E1839" s="4" t="inlineStr">
        <is>
          <t>12º PAV.</t>
        </is>
      </c>
      <c r="F1839" s="126" t="n">
        <v>46952</v>
      </c>
      <c r="G1839" s="126" t="n">
        <v>46962</v>
      </c>
      <c r="H1839" s="126" t="n">
        <v>46289</v>
      </c>
      <c r="I1839" s="4" t="n">
        <v>0</v>
      </c>
      <c r="J1839" s="4" t="n">
        <v>0</v>
      </c>
      <c r="K1839" s="4" t="n">
        <v>0</v>
      </c>
      <c r="M1839" s="2">
        <f>IF(C1839="","",IFERROR(INDEX($S$5:$S$304,MATCH(C1839,$R$5:$R$304,0))&amp;"","?"))</f>
        <v/>
      </c>
      <c r="N1839" s="2">
        <f>IF(E1839="","",IF(ISNUMBER(SEARCH("SUBSOLO",E1839)),IFERROR(-VALUE(LEFT(E1839,FIND("º",SUBSTITUTE(E1839,"°","º"))-1)),-1),IF(LEFT(E1839,6)="TÉRREO",0,IFERROR(VALUE(LEFT(E1839,FIND("º",SUBSTITUTE(E1839,"°","º"))-1)),""))))</f>
        <v/>
      </c>
      <c r="O1839" s="2">
        <f>IF(OR(F1839="",G1839=""),"",IF(G1839&lt;='RETRATO 2027'!$K$5,"CONCLUÍDA",IF(F1839&lt;='RETRATO 2027'!$K$5,"EM ANDAMENTO","A INICIAR")))</f>
        <v/>
      </c>
    </row>
    <row r="1840">
      <c r="B1840" s="4" t="n">
        <v>29981318</v>
      </c>
      <c r="C1840" s="4" t="inlineStr">
        <is>
          <t>PINTURA 3º DEMÃO</t>
        </is>
      </c>
      <c r="D1840" s="4" t="inlineStr">
        <is>
          <t>-</t>
        </is>
      </c>
      <c r="E1840" s="4" t="inlineStr">
        <is>
          <t>13º PAV.</t>
        </is>
      </c>
      <c r="F1840" s="126" t="n">
        <v>46952</v>
      </c>
      <c r="G1840" s="126" t="n">
        <v>46962</v>
      </c>
      <c r="H1840" s="126" t="n">
        <v>46289</v>
      </c>
      <c r="I1840" s="4" t="n">
        <v>0</v>
      </c>
      <c r="J1840" s="4" t="n">
        <v>0</v>
      </c>
      <c r="K1840" s="4" t="n">
        <v>0</v>
      </c>
      <c r="M1840" s="2">
        <f>IF(C1840="","",IFERROR(INDEX($S$5:$S$304,MATCH(C1840,$R$5:$R$304,0))&amp;"","?"))</f>
        <v/>
      </c>
      <c r="N1840" s="2">
        <f>IF(E1840="","",IF(ISNUMBER(SEARCH("SUBSOLO",E1840)),IFERROR(-VALUE(LEFT(E1840,FIND("º",SUBSTITUTE(E1840,"°","º"))-1)),-1),IF(LEFT(E1840,6)="TÉRREO",0,IFERROR(VALUE(LEFT(E1840,FIND("º",SUBSTITUTE(E1840,"°","º"))-1)),""))))</f>
        <v/>
      </c>
      <c r="O1840" s="2">
        <f>IF(OR(F1840="",G1840=""),"",IF(G1840&lt;='RETRATO 2027'!$K$5,"CONCLUÍDA",IF(F1840&lt;='RETRATO 2027'!$K$5,"EM ANDAMENTO","A INICIAR")))</f>
        <v/>
      </c>
    </row>
    <row r="1841">
      <c r="B1841" s="4" t="n">
        <v>30205799</v>
      </c>
      <c r="C1841" s="4" t="inlineStr">
        <is>
          <t>LIMPEZA GROSSA</t>
        </is>
      </c>
      <c r="D1841" s="4" t="inlineStr">
        <is>
          <t>-</t>
        </is>
      </c>
      <c r="E1841" s="4" t="inlineStr">
        <is>
          <t>TÉRREO - ACESSO COMERCIAL + DML + ARS + ÁREA TEC + LAVABO + DISPENSA</t>
        </is>
      </c>
      <c r="F1841" s="126" t="n">
        <v>46954</v>
      </c>
      <c r="G1841" s="126" t="n">
        <v>46967</v>
      </c>
      <c r="H1841" s="126" t="n">
        <v>46289</v>
      </c>
      <c r="I1841" s="4" t="n">
        <v>0</v>
      </c>
      <c r="J1841" s="4" t="n">
        <v>0</v>
      </c>
      <c r="K1841" s="4" t="n">
        <v>0</v>
      </c>
      <c r="M1841" s="2">
        <f>IF(C1841="","",IFERROR(INDEX($S$5:$S$304,MATCH(C1841,$R$5:$R$304,0))&amp;"","?"))</f>
        <v/>
      </c>
      <c r="N1841" s="2">
        <f>IF(E1841="","",IF(ISNUMBER(SEARCH("SUBSOLO",E1841)),IFERROR(-VALUE(LEFT(E1841,FIND("º",SUBSTITUTE(E1841,"°","º"))-1)),-1),IF(LEFT(E1841,6)="TÉRREO",0,IFERROR(VALUE(LEFT(E1841,FIND("º",SUBSTITUTE(E1841,"°","º"))-1)),""))))</f>
        <v/>
      </c>
      <c r="O1841" s="2">
        <f>IF(OR(F1841="",G1841=""),"",IF(G1841&lt;='RETRATO 2027'!$K$5,"CONCLUÍDA",IF(F1841&lt;='RETRATO 2027'!$K$5,"EM ANDAMENTO","A INICIAR")))</f>
        <v/>
      </c>
    </row>
    <row r="1842">
      <c r="B1842" s="4" t="n">
        <v>31791440</v>
      </c>
      <c r="C1842" s="4" t="inlineStr">
        <is>
          <t>PEITORIS E REQUADROS DE FACHADA - F5 (2º ETAPA)</t>
        </is>
      </c>
      <c r="D1842" s="4" t="inlineStr">
        <is>
          <t>-</t>
        </is>
      </c>
      <c r="E1842" s="4" t="inlineStr">
        <is>
          <t>FACHADA</t>
        </is>
      </c>
      <c r="F1842" s="126" t="n">
        <v>46954</v>
      </c>
      <c r="G1842" s="126" t="n">
        <v>46982</v>
      </c>
      <c r="H1842" s="126" t="n">
        <v>46289</v>
      </c>
      <c r="I1842" s="4" t="n">
        <v>0</v>
      </c>
      <c r="J1842" s="4" t="n">
        <v>0</v>
      </c>
      <c r="K1842" s="4" t="n">
        <v>0</v>
      </c>
      <c r="M1842" s="2">
        <f>IF(C1842="","",IFERROR(INDEX($S$5:$S$304,MATCH(C1842,$R$5:$R$304,0))&amp;"","?"))</f>
        <v/>
      </c>
      <c r="N1842" s="2">
        <f>IF(E1842="","",IF(ISNUMBER(SEARCH("SUBSOLO",E1842)),IFERROR(-VALUE(LEFT(E1842,FIND("º",SUBSTITUTE(E1842,"°","º"))-1)),-1),IF(LEFT(E1842,6)="TÉRREO",0,IFERROR(VALUE(LEFT(E1842,FIND("º",SUBSTITUTE(E1842,"°","º"))-1)),""))))</f>
        <v/>
      </c>
      <c r="O1842" s="2">
        <f>IF(OR(F1842="",G1842=""),"",IF(G1842&lt;='RETRATO 2027'!$K$5,"CONCLUÍDA",IF(F1842&lt;='RETRATO 2027'!$K$5,"EM ANDAMENTO","A INICIAR")))</f>
        <v/>
      </c>
    </row>
    <row r="1843">
      <c r="B1843" s="4" t="n">
        <v>29981280</v>
      </c>
      <c r="C1843" s="4" t="inlineStr">
        <is>
          <t>CHECKLIST</t>
        </is>
      </c>
      <c r="D1843" s="4" t="inlineStr">
        <is>
          <t>-</t>
        </is>
      </c>
      <c r="E1843" s="4" t="inlineStr">
        <is>
          <t>14º PAV.</t>
        </is>
      </c>
      <c r="F1843" s="126" t="n">
        <v>46958</v>
      </c>
      <c r="G1843" s="126" t="n">
        <v>46962</v>
      </c>
      <c r="H1843" s="126" t="n">
        <v>46289</v>
      </c>
      <c r="I1843" s="4" t="n">
        <v>0</v>
      </c>
      <c r="J1843" s="4" t="n">
        <v>0</v>
      </c>
      <c r="K1843" s="4" t="n">
        <v>0</v>
      </c>
      <c r="M1843" s="2">
        <f>IF(C1843="","",IFERROR(INDEX($S$5:$S$304,MATCH(C1843,$R$5:$R$304,0))&amp;"","?"))</f>
        <v/>
      </c>
      <c r="N1843" s="2">
        <f>IF(E1843="","",IF(ISNUMBER(SEARCH("SUBSOLO",E1843)),IFERROR(-VALUE(LEFT(E1843,FIND("º",SUBSTITUTE(E1843,"°","º"))-1)),-1),IF(LEFT(E1843,6)="TÉRREO",0,IFERROR(VALUE(LEFT(E1843,FIND("º",SUBSTITUTE(E1843,"°","º"))-1)),""))))</f>
        <v/>
      </c>
      <c r="O1843" s="2">
        <f>IF(OR(F1843="",G1843=""),"",IF(G1843&lt;='RETRATO 2027'!$K$5,"CONCLUÍDA",IF(F1843&lt;='RETRATO 2027'!$K$5,"EM ANDAMENTO","A INICIAR")))</f>
        <v/>
      </c>
    </row>
    <row r="1844">
      <c r="B1844" s="4" t="n">
        <v>29981245</v>
      </c>
      <c r="C1844" s="4" t="inlineStr">
        <is>
          <t>ACABAMENTOS ELÉTRICOS</t>
        </is>
      </c>
      <c r="D1844" s="4" t="inlineStr">
        <is>
          <t>-</t>
        </is>
      </c>
      <c r="E1844" s="4" t="inlineStr">
        <is>
          <t>15º PAV.</t>
        </is>
      </c>
      <c r="F1844" s="126" t="n">
        <v>46958</v>
      </c>
      <c r="G1844" s="126" t="n">
        <v>46968</v>
      </c>
      <c r="H1844" s="126" t="n">
        <v>46289</v>
      </c>
      <c r="I1844" s="4" t="n">
        <v>0</v>
      </c>
      <c r="J1844" s="4" t="n">
        <v>0</v>
      </c>
      <c r="K1844" s="4" t="n">
        <v>0</v>
      </c>
      <c r="M1844" s="2">
        <f>IF(C1844="","",IFERROR(INDEX($S$5:$S$304,MATCH(C1844,$R$5:$R$304,0))&amp;"","?"))</f>
        <v/>
      </c>
      <c r="N1844" s="2">
        <f>IF(E1844="","",IF(ISNUMBER(SEARCH("SUBSOLO",E1844)),IFERROR(-VALUE(LEFT(E1844,FIND("º",SUBSTITUTE(E1844,"°","º"))-1)),-1),IF(LEFT(E1844,6)="TÉRREO",0,IFERROR(VALUE(LEFT(E1844,FIND("º",SUBSTITUTE(E1844,"°","º"))-1)),""))))</f>
        <v/>
      </c>
      <c r="O1844" s="2">
        <f>IF(OR(F1844="",G1844=""),"",IF(G1844&lt;='RETRATO 2027'!$K$5,"CONCLUÍDA",IF(F1844&lt;='RETRATO 2027'!$K$5,"EM ANDAMENTO","A INICIAR")))</f>
        <v/>
      </c>
    </row>
    <row r="1845">
      <c r="B1845" s="4" t="n">
        <v>29981205</v>
      </c>
      <c r="C1845" s="4" t="inlineStr">
        <is>
          <t>PINTURA 2º DEMÃO</t>
        </is>
      </c>
      <c r="D1845" s="4" t="inlineStr">
        <is>
          <t>-</t>
        </is>
      </c>
      <c r="E1845" s="4" t="inlineStr">
        <is>
          <t>16º PAV.</t>
        </is>
      </c>
      <c r="F1845" s="126" t="n">
        <v>46958</v>
      </c>
      <c r="G1845" s="126" t="n">
        <v>46968</v>
      </c>
      <c r="H1845" s="126" t="n">
        <v>46289</v>
      </c>
      <c r="I1845" s="4" t="n">
        <v>0</v>
      </c>
      <c r="J1845" s="4" t="n">
        <v>0</v>
      </c>
      <c r="K1845" s="4" t="n">
        <v>0</v>
      </c>
      <c r="M1845" s="2">
        <f>IF(C1845="","",IFERROR(INDEX($S$5:$S$304,MATCH(C1845,$R$5:$R$304,0))&amp;"","?"))</f>
        <v/>
      </c>
      <c r="N1845" s="2">
        <f>IF(E1845="","",IF(ISNUMBER(SEARCH("SUBSOLO",E1845)),IFERROR(-VALUE(LEFT(E1845,FIND("º",SUBSTITUTE(E1845,"°","º"))-1)),-1),IF(LEFT(E1845,6)="TÉRREO",0,IFERROR(VALUE(LEFT(E1845,FIND("º",SUBSTITUTE(E1845,"°","º"))-1)),""))))</f>
        <v/>
      </c>
      <c r="O1845" s="2">
        <f>IF(OR(F1845="",G1845=""),"",IF(G1845&lt;='RETRATO 2027'!$K$5,"CONCLUÍDA",IF(F1845&lt;='RETRATO 2027'!$K$5,"EM ANDAMENTO","A INICIAR")))</f>
        <v/>
      </c>
    </row>
    <row r="1846">
      <c r="B1846" s="4" t="n">
        <v>33919794</v>
      </c>
      <c r="C1846" s="4" t="inlineStr">
        <is>
          <t>TEXTURA - EXTERNA</t>
        </is>
      </c>
      <c r="D1846" s="4" t="inlineStr">
        <is>
          <t>-</t>
        </is>
      </c>
      <c r="E1846" s="4" t="inlineStr">
        <is>
          <t>16º PAV.</t>
        </is>
      </c>
      <c r="F1846" s="126" t="n">
        <v>46958</v>
      </c>
      <c r="G1846" s="126" t="n">
        <v>46968</v>
      </c>
      <c r="H1846" s="126" t="n">
        <v>46289</v>
      </c>
      <c r="I1846" s="4" t="n">
        <v>0</v>
      </c>
      <c r="J1846" s="4" t="n">
        <v>0</v>
      </c>
      <c r="K1846" s="4" t="n">
        <v>0</v>
      </c>
      <c r="M1846" s="2">
        <f>IF(C1846="","",IFERROR(INDEX($S$5:$S$304,MATCH(C1846,$R$5:$R$304,0))&amp;"","?"))</f>
        <v/>
      </c>
      <c r="N1846" s="2">
        <f>IF(E1846="","",IF(ISNUMBER(SEARCH("SUBSOLO",E1846)),IFERROR(-VALUE(LEFT(E1846,FIND("º",SUBSTITUTE(E1846,"°","º"))-1)),-1),IF(LEFT(E1846,6)="TÉRREO",0,IFERROR(VALUE(LEFT(E1846,FIND("º",SUBSTITUTE(E1846,"°","º"))-1)),""))))</f>
        <v/>
      </c>
      <c r="O1846" s="2">
        <f>IF(OR(F1846="",G1846=""),"",IF(G1846&lt;='RETRATO 2027'!$K$5,"CONCLUÍDA",IF(F1846&lt;='RETRATO 2027'!$K$5,"EM ANDAMENTO","A INICIAR")))</f>
        <v/>
      </c>
    </row>
    <row r="1847">
      <c r="B1847" s="4" t="n">
        <v>29981167</v>
      </c>
      <c r="C1847" s="4" t="inlineStr">
        <is>
          <t>LIMPEZA GROSSA</t>
        </is>
      </c>
      <c r="D1847" s="4" t="inlineStr">
        <is>
          <t>-</t>
        </is>
      </c>
      <c r="E1847" s="4" t="inlineStr">
        <is>
          <t>17º PAV.</t>
        </is>
      </c>
      <c r="F1847" s="126" t="n">
        <v>46958</v>
      </c>
      <c r="G1847" s="126" t="n">
        <v>46968</v>
      </c>
      <c r="H1847" s="126" t="n">
        <v>46289</v>
      </c>
      <c r="I1847" s="4" t="n">
        <v>0</v>
      </c>
      <c r="J1847" s="4" t="n">
        <v>0</v>
      </c>
      <c r="K1847" s="4" t="n">
        <v>0</v>
      </c>
      <c r="M1847" s="2">
        <f>IF(C1847="","",IFERROR(INDEX($S$5:$S$304,MATCH(C1847,$R$5:$R$304,0))&amp;"","?"))</f>
        <v/>
      </c>
      <c r="N1847" s="2">
        <f>IF(E1847="","",IF(ISNUMBER(SEARCH("SUBSOLO",E1847)),IFERROR(-VALUE(LEFT(E1847,FIND("º",SUBSTITUTE(E1847,"°","º"))-1)),-1),IF(LEFT(E1847,6)="TÉRREO",0,IFERROR(VALUE(LEFT(E1847,FIND("º",SUBSTITUTE(E1847,"°","º"))-1)),""))))</f>
        <v/>
      </c>
      <c r="O1847" s="2">
        <f>IF(OR(F1847="",G1847=""),"",IF(G1847&lt;='RETRATO 2027'!$K$5,"CONCLUÍDA",IF(F1847&lt;='RETRATO 2027'!$K$5,"EM ANDAMENTO","A INICIAR")))</f>
        <v/>
      </c>
    </row>
    <row r="1848">
      <c r="B1848" s="4" t="n">
        <v>29981124</v>
      </c>
      <c r="C1848" s="4" t="inlineStr">
        <is>
          <t>LOUÇAS</t>
        </is>
      </c>
      <c r="D1848" s="4" t="inlineStr">
        <is>
          <t>-</t>
        </is>
      </c>
      <c r="E1848" s="4" t="inlineStr">
        <is>
          <t>18º PAV.</t>
        </is>
      </c>
      <c r="F1848" s="126" t="n">
        <v>46958</v>
      </c>
      <c r="G1848" s="126" t="n">
        <v>46968</v>
      </c>
      <c r="H1848" s="126" t="n">
        <v>46289</v>
      </c>
      <c r="I1848" s="4" t="n">
        <v>0</v>
      </c>
      <c r="J1848" s="4" t="n">
        <v>0</v>
      </c>
      <c r="K1848" s="4" t="n">
        <v>0</v>
      </c>
      <c r="M1848" s="2">
        <f>IF(C1848="","",IFERROR(INDEX($S$5:$S$304,MATCH(C1848,$R$5:$R$304,0))&amp;"","?"))</f>
        <v/>
      </c>
      <c r="N1848" s="2">
        <f>IF(E1848="","",IF(ISNUMBER(SEARCH("SUBSOLO",E1848)),IFERROR(-VALUE(LEFT(E1848,FIND("º",SUBSTITUTE(E1848,"°","º"))-1)),-1),IF(LEFT(E1848,6)="TÉRREO",0,IFERROR(VALUE(LEFT(E1848,FIND("º",SUBSTITUTE(E1848,"°","º"))-1)),""))))</f>
        <v/>
      </c>
      <c r="O1848" s="2">
        <f>IF(OR(F1848="",G1848=""),"",IF(G1848&lt;='RETRATO 2027'!$K$5,"CONCLUÍDA",IF(F1848&lt;='RETRATO 2027'!$K$5,"EM ANDAMENTO","A INICIAR")))</f>
        <v/>
      </c>
    </row>
    <row r="1849">
      <c r="B1849" s="4" t="n">
        <v>29981129</v>
      </c>
      <c r="C1849" s="4" t="inlineStr">
        <is>
          <t>METAIS</t>
        </is>
      </c>
      <c r="D1849" s="4" t="inlineStr">
        <is>
          <t>-</t>
        </is>
      </c>
      <c r="E1849" s="4" t="inlineStr">
        <is>
          <t>18º PAV.</t>
        </is>
      </c>
      <c r="F1849" s="126" t="n">
        <v>46958</v>
      </c>
      <c r="G1849" s="126" t="n">
        <v>46968</v>
      </c>
      <c r="H1849" s="126" t="n">
        <v>46289</v>
      </c>
      <c r="I1849" s="4" t="n">
        <v>0</v>
      </c>
      <c r="J1849" s="4" t="n">
        <v>0</v>
      </c>
      <c r="K1849" s="4" t="n">
        <v>0</v>
      </c>
      <c r="M1849" s="2">
        <f>IF(C1849="","",IFERROR(INDEX($S$5:$S$304,MATCH(C1849,$R$5:$R$304,0))&amp;"","?"))</f>
        <v/>
      </c>
      <c r="N1849" s="2">
        <f>IF(E1849="","",IF(ISNUMBER(SEARCH("SUBSOLO",E1849)),IFERROR(-VALUE(LEFT(E1849,FIND("º",SUBSTITUTE(E1849,"°","º"))-1)),-1),IF(LEFT(E1849,6)="TÉRREO",0,IFERROR(VALUE(LEFT(E1849,FIND("º",SUBSTITUTE(E1849,"°","º"))-1)),""))))</f>
        <v/>
      </c>
      <c r="O1849" s="2">
        <f>IF(OR(F1849="",G1849=""),"",IF(G1849&lt;='RETRATO 2027'!$K$5,"CONCLUÍDA",IF(F1849&lt;='RETRATO 2027'!$K$5,"EM ANDAMENTO","A INICIAR")))</f>
        <v/>
      </c>
    </row>
    <row r="1850">
      <c r="B1850" s="4" t="n">
        <v>29981128</v>
      </c>
      <c r="C1850" s="4" t="inlineStr">
        <is>
          <t>DISJUNTORES / MIOLOS</t>
        </is>
      </c>
      <c r="D1850" s="4" t="inlineStr">
        <is>
          <t>-</t>
        </is>
      </c>
      <c r="E1850" s="4" t="inlineStr">
        <is>
          <t>18º PAV.</t>
        </is>
      </c>
      <c r="F1850" s="126" t="n">
        <v>46958</v>
      </c>
      <c r="G1850" s="126" t="n">
        <v>46968</v>
      </c>
      <c r="H1850" s="126" t="n">
        <v>46289</v>
      </c>
      <c r="I1850" s="4" t="n">
        <v>0</v>
      </c>
      <c r="J1850" s="4" t="n">
        <v>0</v>
      </c>
      <c r="K1850" s="4" t="n">
        <v>0</v>
      </c>
      <c r="M1850" s="2">
        <f>IF(C1850="","",IFERROR(INDEX($S$5:$S$304,MATCH(C1850,$R$5:$R$304,0))&amp;"","?"))</f>
        <v/>
      </c>
      <c r="N1850" s="2">
        <f>IF(E1850="","",IF(ISNUMBER(SEARCH("SUBSOLO",E1850)),IFERROR(-VALUE(LEFT(E1850,FIND("º",SUBSTITUTE(E1850,"°","º"))-1)),-1),IF(LEFT(E1850,6)="TÉRREO",0,IFERROR(VALUE(LEFT(E1850,FIND("º",SUBSTITUTE(E1850,"°","º"))-1)),""))))</f>
        <v/>
      </c>
      <c r="O1850" s="2">
        <f>IF(OR(F1850="",G1850=""),"",IF(G1850&lt;='RETRATO 2027'!$K$5,"CONCLUÍDA",IF(F1850&lt;='RETRATO 2027'!$K$5,"EM ANDAMENTO","A INICIAR")))</f>
        <v/>
      </c>
    </row>
    <row r="1851">
      <c r="B1851" s="4" t="n">
        <v>29981127</v>
      </c>
      <c r="C1851" s="4" t="inlineStr">
        <is>
          <t>COMUNICAÇÃO E ALARME</t>
        </is>
      </c>
      <c r="D1851" s="4" t="inlineStr">
        <is>
          <t>-</t>
        </is>
      </c>
      <c r="E1851" s="4" t="inlineStr">
        <is>
          <t>18º PAV.</t>
        </is>
      </c>
      <c r="F1851" s="126" t="n">
        <v>46958</v>
      </c>
      <c r="G1851" s="126" t="n">
        <v>46968</v>
      </c>
      <c r="H1851" s="126" t="n">
        <v>46289</v>
      </c>
      <c r="I1851" s="4" t="n">
        <v>0</v>
      </c>
      <c r="J1851" s="4" t="n">
        <v>0</v>
      </c>
      <c r="K1851" s="4" t="n">
        <v>0</v>
      </c>
      <c r="M1851" s="2">
        <f>IF(C1851="","",IFERROR(INDEX($S$5:$S$304,MATCH(C1851,$R$5:$R$304,0))&amp;"","?"))</f>
        <v/>
      </c>
      <c r="N1851" s="2">
        <f>IF(E1851="","",IF(ISNUMBER(SEARCH("SUBSOLO",E1851)),IFERROR(-VALUE(LEFT(E1851,FIND("º",SUBSTITUTE(E1851,"°","º"))-1)),-1),IF(LEFT(E1851,6)="TÉRREO",0,IFERROR(VALUE(LEFT(E1851,FIND("º",SUBSTITUTE(E1851,"°","º"))-1)),""))))</f>
        <v/>
      </c>
      <c r="O1851" s="2">
        <f>IF(OR(F1851="",G1851=""),"",IF(G1851&lt;='RETRATO 2027'!$K$5,"CONCLUÍDA",IF(F1851&lt;='RETRATO 2027'!$K$5,"EM ANDAMENTO","A INICIAR")))</f>
        <v/>
      </c>
    </row>
    <row r="1852">
      <c r="B1852" s="4" t="n">
        <v>29981049</v>
      </c>
      <c r="C1852" s="4" t="inlineStr">
        <is>
          <t>RODAPÉ MADEIRA / PVC</t>
        </is>
      </c>
      <c r="D1852" s="4" t="inlineStr">
        <is>
          <t>-</t>
        </is>
      </c>
      <c r="E1852" s="4" t="inlineStr">
        <is>
          <t>20º PAV.</t>
        </is>
      </c>
      <c r="F1852" s="126" t="n">
        <v>46958</v>
      </c>
      <c r="G1852" s="126" t="n">
        <v>46968</v>
      </c>
      <c r="H1852" s="126" t="n">
        <v>46289</v>
      </c>
      <c r="I1852" s="4" t="n">
        <v>0</v>
      </c>
      <c r="J1852" s="4" t="n">
        <v>0</v>
      </c>
      <c r="K1852" s="4" t="n">
        <v>0</v>
      </c>
      <c r="M1852" s="2">
        <f>IF(C1852="","",IFERROR(INDEX($S$5:$S$304,MATCH(C1852,$R$5:$R$304,0))&amp;"","?"))</f>
        <v/>
      </c>
      <c r="N1852" s="2">
        <f>IF(E1852="","",IF(ISNUMBER(SEARCH("SUBSOLO",E1852)),IFERROR(-VALUE(LEFT(E1852,FIND("º",SUBSTITUTE(E1852,"°","º"))-1)),-1),IF(LEFT(E1852,6)="TÉRREO",0,IFERROR(VALUE(LEFT(E1852,FIND("º",SUBSTITUTE(E1852,"°","º"))-1)),""))))</f>
        <v/>
      </c>
      <c r="O1852" s="2">
        <f>IF(OR(F1852="",G1852=""),"",IF(G1852&lt;='RETRATO 2027'!$K$5,"CONCLUÍDA",IF(F1852&lt;='RETRATO 2027'!$K$5,"EM ANDAMENTO","A INICIAR")))</f>
        <v/>
      </c>
    </row>
    <row r="1853">
      <c r="B1853" s="4" t="n">
        <v>29981011</v>
      </c>
      <c r="C1853" s="4" t="inlineStr">
        <is>
          <t>ESQUADRIA MADEIRA</t>
        </is>
      </c>
      <c r="D1853" s="4" t="inlineStr">
        <is>
          <t>-</t>
        </is>
      </c>
      <c r="E1853" s="4" t="inlineStr">
        <is>
          <t>21º PAV.</t>
        </is>
      </c>
      <c r="F1853" s="126" t="n">
        <v>46958</v>
      </c>
      <c r="G1853" s="126" t="n">
        <v>46968</v>
      </c>
      <c r="H1853" s="126" t="n">
        <v>46289</v>
      </c>
      <c r="I1853" s="4" t="n">
        <v>0</v>
      </c>
      <c r="J1853" s="4" t="n">
        <v>0</v>
      </c>
      <c r="K1853" s="4" t="n">
        <v>0</v>
      </c>
      <c r="M1853" s="2">
        <f>IF(C1853="","",IFERROR(INDEX($S$5:$S$304,MATCH(C1853,$R$5:$R$304,0))&amp;"","?"))</f>
        <v/>
      </c>
      <c r="N1853" s="2">
        <f>IF(E1853="","",IF(ISNUMBER(SEARCH("SUBSOLO",E1853)),IFERROR(-VALUE(LEFT(E1853,FIND("º",SUBSTITUTE(E1853,"°","º"))-1)),-1),IF(LEFT(E1853,6)="TÉRREO",0,IFERROR(VALUE(LEFT(E1853,FIND("º",SUBSTITUTE(E1853,"°","º"))-1)),""))))</f>
        <v/>
      </c>
      <c r="O1853" s="2">
        <f>IF(OR(F1853="",G1853=""),"",IF(G1853&lt;='RETRATO 2027'!$K$5,"CONCLUÍDA",IF(F1853&lt;='RETRATO 2027'!$K$5,"EM ANDAMENTO","A INICIAR")))</f>
        <v/>
      </c>
    </row>
    <row r="1854">
      <c r="B1854" s="4" t="n">
        <v>29980973</v>
      </c>
      <c r="C1854" s="4" t="inlineStr">
        <is>
          <t>PISO VINÍLICO / LAMINADO</t>
        </is>
      </c>
      <c r="D1854" s="4" t="inlineStr">
        <is>
          <t>-</t>
        </is>
      </c>
      <c r="E1854" s="4" t="inlineStr">
        <is>
          <t>22º PAV.</t>
        </is>
      </c>
      <c r="F1854" s="126" t="n">
        <v>46958</v>
      </c>
      <c r="G1854" s="126" t="n">
        <v>46968</v>
      </c>
      <c r="H1854" s="126" t="n">
        <v>46289</v>
      </c>
      <c r="I1854" s="4" t="n">
        <v>0</v>
      </c>
      <c r="J1854" s="4" t="n">
        <v>0</v>
      </c>
      <c r="K1854" s="4" t="n">
        <v>0</v>
      </c>
      <c r="M1854" s="2">
        <f>IF(C1854="","",IFERROR(INDEX($S$5:$S$304,MATCH(C1854,$R$5:$R$304,0))&amp;"","?"))</f>
        <v/>
      </c>
      <c r="N1854" s="2">
        <f>IF(E1854="","",IF(ISNUMBER(SEARCH("SUBSOLO",E1854)),IFERROR(-VALUE(LEFT(E1854,FIND("º",SUBSTITUTE(E1854,"°","º"))-1)),-1),IF(LEFT(E1854,6)="TÉRREO",0,IFERROR(VALUE(LEFT(E1854,FIND("º",SUBSTITUTE(E1854,"°","º"))-1)),""))))</f>
        <v/>
      </c>
      <c r="O1854" s="2">
        <f>IF(OR(F1854="",G1854=""),"",IF(G1854&lt;='RETRATO 2027'!$K$5,"CONCLUÍDA",IF(F1854&lt;='RETRATO 2027'!$K$5,"EM ANDAMENTO","A INICIAR")))</f>
        <v/>
      </c>
    </row>
    <row r="1855">
      <c r="B1855" s="4" t="n">
        <v>29980935</v>
      </c>
      <c r="C1855" s="4" t="inlineStr">
        <is>
          <t>PINTURA 1º DEMÃO</t>
        </is>
      </c>
      <c r="D1855" s="4" t="inlineStr">
        <is>
          <t>-</t>
        </is>
      </c>
      <c r="E1855" s="4" t="inlineStr">
        <is>
          <t>23º PAV.</t>
        </is>
      </c>
      <c r="F1855" s="126" t="n">
        <v>46958</v>
      </c>
      <c r="G1855" s="126" t="n">
        <v>46968</v>
      </c>
      <c r="H1855" s="126" t="n">
        <v>46289</v>
      </c>
      <c r="I1855" s="4" t="n">
        <v>0</v>
      </c>
      <c r="J1855" s="4" t="n">
        <v>0</v>
      </c>
      <c r="K1855" s="4" t="n">
        <v>0</v>
      </c>
      <c r="M1855" s="2">
        <f>IF(C1855="","",IFERROR(INDEX($S$5:$S$304,MATCH(C1855,$R$5:$R$304,0))&amp;"","?"))</f>
        <v/>
      </c>
      <c r="N1855" s="2">
        <f>IF(E1855="","",IF(ISNUMBER(SEARCH("SUBSOLO",E1855)),IFERROR(-VALUE(LEFT(E1855,FIND("º",SUBSTITUTE(E1855,"°","º"))-1)),-1),IF(LEFT(E1855,6)="TÉRREO",0,IFERROR(VALUE(LEFT(E1855,FIND("º",SUBSTITUTE(E1855,"°","º"))-1)),""))))</f>
        <v/>
      </c>
      <c r="O1855" s="2">
        <f>IF(OR(F1855="",G1855=""),"",IF(G1855&lt;='RETRATO 2027'!$K$5,"CONCLUÍDA",IF(F1855&lt;='RETRATO 2027'!$K$5,"EM ANDAMENTO","A INICIAR")))</f>
        <v/>
      </c>
    </row>
    <row r="1856">
      <c r="B1856" s="4" t="n">
        <v>29980924</v>
      </c>
      <c r="C1856" s="4" t="inlineStr">
        <is>
          <t>MASSA CORRIDA</t>
        </is>
      </c>
      <c r="D1856" s="4" t="inlineStr">
        <is>
          <t>-</t>
        </is>
      </c>
      <c r="E1856" s="4" t="inlineStr">
        <is>
          <t>24º PAV.</t>
        </is>
      </c>
      <c r="F1856" s="126" t="n">
        <v>46958</v>
      </c>
      <c r="G1856" s="126" t="n">
        <v>46968</v>
      </c>
      <c r="H1856" s="126" t="n">
        <v>46289</v>
      </c>
      <c r="I1856" s="4" t="n">
        <v>0</v>
      </c>
      <c r="J1856" s="4" t="n">
        <v>0</v>
      </c>
      <c r="K1856" s="4" t="n">
        <v>0</v>
      </c>
      <c r="M1856" s="2">
        <f>IF(C1856="","",IFERROR(INDEX($S$5:$S$304,MATCH(C1856,$R$5:$R$304,0))&amp;"","?"))</f>
        <v/>
      </c>
      <c r="N1856" s="2">
        <f>IF(E1856="","",IF(ISNUMBER(SEARCH("SUBSOLO",E1856)),IFERROR(-VALUE(LEFT(E1856,FIND("º",SUBSTITUTE(E1856,"°","º"))-1)),-1),IF(LEFT(E1856,6)="TÉRREO",0,IFERROR(VALUE(LEFT(E1856,FIND("º",SUBSTITUTE(E1856,"°","º"))-1)),""))))</f>
        <v/>
      </c>
      <c r="O1856" s="2">
        <f>IF(OR(F1856="",G1856=""),"",IF(G1856&lt;='RETRATO 2027'!$K$5,"CONCLUÍDA",IF(F1856&lt;='RETRATO 2027'!$K$5,"EM ANDAMENTO","A INICIAR")))</f>
        <v/>
      </c>
    </row>
    <row r="1857">
      <c r="B1857" s="4" t="n">
        <v>33898109</v>
      </c>
      <c r="C1857" s="4" t="inlineStr">
        <is>
          <t>ESQUADRIA DE ALUMÍNIO</t>
        </is>
      </c>
      <c r="D1857" s="4" t="inlineStr">
        <is>
          <t>-</t>
        </is>
      </c>
      <c r="E1857" s="4" t="inlineStr">
        <is>
          <t>25º PAV.</t>
        </is>
      </c>
      <c r="F1857" s="126" t="n">
        <v>46958</v>
      </c>
      <c r="G1857" s="126" t="n">
        <v>46968</v>
      </c>
      <c r="H1857" s="126" t="n">
        <v>46289</v>
      </c>
      <c r="I1857" s="4" t="n">
        <v>0</v>
      </c>
      <c r="J1857" s="4" t="n">
        <v>0</v>
      </c>
      <c r="K1857" s="4" t="n">
        <v>0</v>
      </c>
      <c r="M1857" s="2">
        <f>IF(C1857="","",IFERROR(INDEX($S$5:$S$304,MATCH(C1857,$R$5:$R$304,0))&amp;"","?"))</f>
        <v/>
      </c>
      <c r="N1857" s="2">
        <f>IF(E1857="","",IF(ISNUMBER(SEARCH("SUBSOLO",E1857)),IFERROR(-VALUE(LEFT(E1857,FIND("º",SUBSTITUTE(E1857,"°","º"))-1)),-1),IF(LEFT(E1857,6)="TÉRREO",0,IFERROR(VALUE(LEFT(E1857,FIND("º",SUBSTITUTE(E1857,"°","º"))-1)),""))))</f>
        <v/>
      </c>
      <c r="O1857" s="2">
        <f>IF(OR(F1857="",G1857=""),"",IF(G1857&lt;='RETRATO 2027'!$K$5,"CONCLUÍDA",IF(F1857&lt;='RETRATO 2027'!$K$5,"EM ANDAMENTO","A INICIAR")))</f>
        <v/>
      </c>
    </row>
    <row r="1858">
      <c r="B1858" s="4" t="n">
        <v>30210377</v>
      </c>
      <c r="C1858" s="4" t="inlineStr">
        <is>
          <t>MONTAGEM - BOILERS E AQUECEDORES</t>
        </is>
      </c>
      <c r="D1858" s="4" t="inlineStr">
        <is>
          <t>-</t>
        </is>
      </c>
      <c r="E1858" s="4" t="inlineStr">
        <is>
          <t>33º PAV - BARRILETE</t>
        </is>
      </c>
      <c r="F1858" s="126" t="n">
        <v>46958</v>
      </c>
      <c r="G1858" s="126" t="n">
        <v>46988</v>
      </c>
      <c r="H1858" s="126" t="n">
        <v>46289</v>
      </c>
      <c r="I1858" s="4" t="n">
        <v>0</v>
      </c>
      <c r="J1858" s="4" t="n">
        <v>0</v>
      </c>
      <c r="K1858" s="4" t="n">
        <v>0</v>
      </c>
      <c r="M1858" s="2">
        <f>IF(C1858="","",IFERROR(INDEX($S$5:$S$304,MATCH(C1858,$R$5:$R$304,0))&amp;"","?"))</f>
        <v/>
      </c>
      <c r="N1858" s="2">
        <f>IF(E1858="","",IF(ISNUMBER(SEARCH("SUBSOLO",E1858)),IFERROR(-VALUE(LEFT(E1858,FIND("º",SUBSTITUTE(E1858,"°","º"))-1)),-1),IF(LEFT(E1858,6)="TÉRREO",0,IFERROR(VALUE(LEFT(E1858,FIND("º",SUBSTITUTE(E1858,"°","º"))-1)),""))))</f>
        <v/>
      </c>
      <c r="O1858" s="2">
        <f>IF(OR(F1858="",G1858=""),"",IF(G1858&lt;='RETRATO 2027'!$K$5,"CONCLUÍDA",IF(F1858&lt;='RETRATO 2027'!$K$5,"EM ANDAMENTO","A INICIAR")))</f>
        <v/>
      </c>
    </row>
    <row r="1859">
      <c r="B1859" s="4" t="n">
        <v>29980737</v>
      </c>
      <c r="C1859" s="4" t="inlineStr">
        <is>
          <t>FORRO</t>
        </is>
      </c>
      <c r="D1859" s="4" t="inlineStr">
        <is>
          <t>-</t>
        </is>
      </c>
      <c r="E1859" s="4" t="inlineStr">
        <is>
          <t>29º PAV.</t>
        </is>
      </c>
      <c r="F1859" s="126" t="n">
        <v>46959</v>
      </c>
      <c r="G1859" s="126" t="n">
        <v>46969</v>
      </c>
      <c r="H1859" s="126" t="n">
        <v>46289</v>
      </c>
      <c r="I1859" s="4" t="n">
        <v>0</v>
      </c>
      <c r="J1859" s="4" t="n">
        <v>0</v>
      </c>
      <c r="K1859" s="4" t="n">
        <v>0</v>
      </c>
      <c r="M1859" s="2">
        <f>IF(C1859="","",IFERROR(INDEX($S$5:$S$304,MATCH(C1859,$R$5:$R$304,0))&amp;"","?"))</f>
        <v/>
      </c>
      <c r="N1859" s="2">
        <f>IF(E1859="","",IF(ISNUMBER(SEARCH("SUBSOLO",E1859)),IFERROR(-VALUE(LEFT(E1859,FIND("º",SUBSTITUTE(E1859,"°","º"))-1)),-1),IF(LEFT(E1859,6)="TÉRREO",0,IFERROR(VALUE(LEFT(E1859,FIND("º",SUBSTITUTE(E1859,"°","º"))-1)),""))))</f>
        <v/>
      </c>
      <c r="O1859" s="2">
        <f>IF(OR(F1859="",G1859=""),"",IF(G1859&lt;='RETRATO 2027'!$K$5,"CONCLUÍDA",IF(F1859&lt;='RETRATO 2027'!$K$5,"EM ANDAMENTO","A INICIAR")))</f>
        <v/>
      </c>
    </row>
    <row r="1860">
      <c r="B1860" s="4" t="n">
        <v>29980698</v>
      </c>
      <c r="C1860" s="4" t="inlineStr">
        <is>
          <t>FIAÇÃO ELÉTRICA</t>
        </is>
      </c>
      <c r="D1860" s="4" t="inlineStr">
        <is>
          <t>-</t>
        </is>
      </c>
      <c r="E1860" s="4" t="inlineStr">
        <is>
          <t>30º PAV.</t>
        </is>
      </c>
      <c r="F1860" s="126" t="n">
        <v>46959</v>
      </c>
      <c r="G1860" s="126" t="n">
        <v>46969</v>
      </c>
      <c r="H1860" s="126" t="n">
        <v>46289</v>
      </c>
      <c r="I1860" s="4" t="n">
        <v>0</v>
      </c>
      <c r="J1860" s="4" t="n">
        <v>0</v>
      </c>
      <c r="K1860" s="4" t="n">
        <v>0</v>
      </c>
      <c r="M1860" s="2">
        <f>IF(C1860="","",IFERROR(INDEX($S$5:$S$304,MATCH(C1860,$R$5:$R$304,0))&amp;"","?"))</f>
        <v/>
      </c>
      <c r="N1860" s="2">
        <f>IF(E1860="","",IF(ISNUMBER(SEARCH("SUBSOLO",E1860)),IFERROR(-VALUE(LEFT(E1860,FIND("º",SUBSTITUTE(E1860,"°","º"))-1)),-1),IF(LEFT(E1860,6)="TÉRREO",0,IFERROR(VALUE(LEFT(E1860,FIND("º",SUBSTITUTE(E1860,"°","º"))-1)),""))))</f>
        <v/>
      </c>
      <c r="O1860" s="2">
        <f>IF(OR(F1860="",G1860=""),"",IF(G1860&lt;='RETRATO 2027'!$K$5,"CONCLUÍDA",IF(F1860&lt;='RETRATO 2027'!$K$5,"EM ANDAMENTO","A INICIAR")))</f>
        <v/>
      </c>
    </row>
    <row r="1861">
      <c r="B1861" s="4" t="n">
        <v>29980703</v>
      </c>
      <c r="C1861" s="4" t="inlineStr">
        <is>
          <t>PRUMADA ELÉTRICA - CABOS</t>
        </is>
      </c>
      <c r="D1861" s="4" t="inlineStr">
        <is>
          <t>-</t>
        </is>
      </c>
      <c r="E1861" s="4" t="inlineStr">
        <is>
          <t>30º PAV.</t>
        </is>
      </c>
      <c r="F1861" s="126" t="n">
        <v>46959</v>
      </c>
      <c r="G1861" s="126" t="n">
        <v>46969</v>
      </c>
      <c r="H1861" s="126" t="n">
        <v>46289</v>
      </c>
      <c r="I1861" s="4" t="n">
        <v>0</v>
      </c>
      <c r="J1861" s="4" t="n">
        <v>0</v>
      </c>
      <c r="K1861" s="4" t="n">
        <v>0</v>
      </c>
      <c r="M1861" s="2">
        <f>IF(C1861="","",IFERROR(INDEX($S$5:$S$304,MATCH(C1861,$R$5:$R$304,0))&amp;"","?"))</f>
        <v/>
      </c>
      <c r="N1861" s="2">
        <f>IF(E1861="","",IF(ISNUMBER(SEARCH("SUBSOLO",E1861)),IFERROR(-VALUE(LEFT(E1861,FIND("º",SUBSTITUTE(E1861,"°","º"))-1)),-1),IF(LEFT(E1861,6)="TÉRREO",0,IFERROR(VALUE(LEFT(E1861,FIND("º",SUBSTITUTE(E1861,"°","º"))-1)),""))))</f>
        <v/>
      </c>
      <c r="O1861" s="2">
        <f>IF(OR(F1861="",G1861=""),"",IF(G1861&lt;='RETRATO 2027'!$K$5,"CONCLUÍDA",IF(F1861&lt;='RETRATO 2027'!$K$5,"EM ANDAMENTO","A INICIAR")))</f>
        <v/>
      </c>
    </row>
    <row r="1862">
      <c r="B1862" s="4" t="n">
        <v>30214092</v>
      </c>
      <c r="C1862" s="4" t="inlineStr">
        <is>
          <t>FIAÇÃO TELECOM/DADOS</t>
        </is>
      </c>
      <c r="D1862" s="4" t="inlineStr">
        <is>
          <t>-</t>
        </is>
      </c>
      <c r="E1862" s="4" t="inlineStr">
        <is>
          <t>30º PAV.</t>
        </is>
      </c>
      <c r="F1862" s="126" t="n">
        <v>46959</v>
      </c>
      <c r="G1862" s="126" t="n">
        <v>46972</v>
      </c>
      <c r="H1862" s="126" t="n">
        <v>46289</v>
      </c>
      <c r="I1862" s="4" t="n">
        <v>0</v>
      </c>
      <c r="J1862" s="4" t="n">
        <v>0</v>
      </c>
      <c r="K1862" s="4" t="n">
        <v>0</v>
      </c>
      <c r="M1862" s="2">
        <f>IF(C1862="","",IFERROR(INDEX($S$5:$S$304,MATCH(C1862,$R$5:$R$304,0))&amp;"","?"))</f>
        <v/>
      </c>
      <c r="N1862" s="2">
        <f>IF(E1862="","",IF(ISNUMBER(SEARCH("SUBSOLO",E1862)),IFERROR(-VALUE(LEFT(E1862,FIND("º",SUBSTITUTE(E1862,"°","º"))-1)),-1),IF(LEFT(E1862,6)="TÉRREO",0,IFERROR(VALUE(LEFT(E1862,FIND("º",SUBSTITUTE(E1862,"°","º"))-1)),""))))</f>
        <v/>
      </c>
      <c r="O1862" s="2">
        <f>IF(OR(F1862="",G1862=""),"",IF(G1862&lt;='RETRATO 2027'!$K$5,"CONCLUÍDA",IF(F1862&lt;='RETRATO 2027'!$K$5,"EM ANDAMENTO","A INICIAR")))</f>
        <v/>
      </c>
    </row>
    <row r="1863">
      <c r="B1863" s="4" t="n">
        <v>29980645</v>
      </c>
      <c r="C1863" s="4" t="inlineStr">
        <is>
          <t>BANCADAS</t>
        </is>
      </c>
      <c r="D1863" s="4" t="inlineStr">
        <is>
          <t>-</t>
        </is>
      </c>
      <c r="E1863" s="4" t="inlineStr">
        <is>
          <t>31º PAV. - COBERTURA LINEAR</t>
        </is>
      </c>
      <c r="F1863" s="126" t="n">
        <v>46959</v>
      </c>
      <c r="G1863" s="126" t="n">
        <v>46969</v>
      </c>
      <c r="H1863" s="126" t="n">
        <v>46289</v>
      </c>
      <c r="I1863" s="4" t="n">
        <v>0</v>
      </c>
      <c r="J1863" s="4" t="n">
        <v>0</v>
      </c>
      <c r="K1863" s="4" t="n">
        <v>0</v>
      </c>
      <c r="M1863" s="2">
        <f>IF(C1863="","",IFERROR(INDEX($S$5:$S$304,MATCH(C1863,$R$5:$R$304,0))&amp;"","?"))</f>
        <v/>
      </c>
      <c r="N1863" s="2">
        <f>IF(E1863="","",IF(ISNUMBER(SEARCH("SUBSOLO",E1863)),IFERROR(-VALUE(LEFT(E1863,FIND("º",SUBSTITUTE(E1863,"°","º"))-1)),-1),IF(LEFT(E1863,6)="TÉRREO",0,IFERROR(VALUE(LEFT(E1863,FIND("º",SUBSTITUTE(E1863,"°","º"))-1)),""))))</f>
        <v/>
      </c>
      <c r="O1863" s="2">
        <f>IF(OR(F1863="",G1863=""),"",IF(G1863&lt;='RETRATO 2027'!$K$5,"CONCLUÍDA",IF(F1863&lt;='RETRATO 2027'!$K$5,"EM ANDAMENTO","A INICIAR")))</f>
        <v/>
      </c>
    </row>
    <row r="1864">
      <c r="B1864" s="4" t="n">
        <v>29980607</v>
      </c>
      <c r="C1864" s="4" t="inlineStr">
        <is>
          <t>REVESTIMENTOS PORCELANATO PISO</t>
        </is>
      </c>
      <c r="D1864" s="4" t="inlineStr">
        <is>
          <t>-</t>
        </is>
      </c>
      <c r="E1864" s="4" t="inlineStr">
        <is>
          <t>32º PAV - COBERTURA GERAL</t>
        </is>
      </c>
      <c r="F1864" s="126" t="n">
        <v>46959</v>
      </c>
      <c r="G1864" s="126" t="n">
        <v>46969</v>
      </c>
      <c r="H1864" s="126" t="n">
        <v>46289</v>
      </c>
      <c r="I1864" s="4" t="n">
        <v>0</v>
      </c>
      <c r="J1864" s="4" t="n">
        <v>0</v>
      </c>
      <c r="K1864" s="4" t="n">
        <v>0</v>
      </c>
      <c r="M1864" s="2">
        <f>IF(C1864="","",IFERROR(INDEX($S$5:$S$304,MATCH(C1864,$R$5:$R$304,0))&amp;"","?"))</f>
        <v/>
      </c>
      <c r="N1864" s="2">
        <f>IF(E1864="","",IF(ISNUMBER(SEARCH("SUBSOLO",E1864)),IFERROR(-VALUE(LEFT(E1864,FIND("º",SUBSTITUTE(E1864,"°","º"))-1)),-1),IF(LEFT(E1864,6)="TÉRREO",0,IFERROR(VALUE(LEFT(E1864,FIND("º",SUBSTITUTE(E1864,"°","º"))-1)),""))))</f>
        <v/>
      </c>
      <c r="O1864" s="2">
        <f>IF(OR(F1864="",G1864=""),"",IF(G1864&lt;='RETRATO 2027'!$K$5,"CONCLUÍDA",IF(F1864&lt;='RETRATO 2027'!$K$5,"EM ANDAMENTO","A INICIAR")))</f>
        <v/>
      </c>
    </row>
    <row r="1865">
      <c r="B1865" s="4" t="n">
        <v>30205938</v>
      </c>
      <c r="C1865" s="4" t="inlineStr">
        <is>
          <t>BRISE</t>
        </is>
      </c>
      <c r="D1865" s="4" t="inlineStr">
        <is>
          <t>-</t>
        </is>
      </c>
      <c r="E1865" s="4" t="inlineStr">
        <is>
          <t>2º PAV - GARAGEM</t>
        </is>
      </c>
      <c r="F1865" s="126" t="n">
        <v>46960</v>
      </c>
      <c r="G1865" s="126" t="n">
        <v>46973</v>
      </c>
      <c r="H1865" s="126" t="n">
        <v>46289</v>
      </c>
      <c r="I1865" s="4" t="n">
        <v>0</v>
      </c>
      <c r="J1865" s="4" t="n">
        <v>0</v>
      </c>
      <c r="K1865" s="4" t="n">
        <v>0</v>
      </c>
      <c r="M1865" s="2">
        <f>IF(C1865="","",IFERROR(INDEX($S$5:$S$304,MATCH(C1865,$R$5:$R$304,0))&amp;"","?"))</f>
        <v/>
      </c>
      <c r="N1865" s="2">
        <f>IF(E1865="","",IF(ISNUMBER(SEARCH("SUBSOLO",E1865)),IFERROR(-VALUE(LEFT(E1865,FIND("º",SUBSTITUTE(E1865,"°","º"))-1)),-1),IF(LEFT(E1865,6)="TÉRREO",0,IFERROR(VALUE(LEFT(E1865,FIND("º",SUBSTITUTE(E1865,"°","º"))-1)),""))))</f>
        <v/>
      </c>
      <c r="O1865" s="2">
        <f>IF(OR(F1865="",G1865=""),"",IF(G1865&lt;='RETRATO 2027'!$K$5,"CONCLUÍDA",IF(F1865&lt;='RETRATO 2027'!$K$5,"EM ANDAMENTO","A INICIAR")))</f>
        <v/>
      </c>
    </row>
    <row r="1866">
      <c r="B1866" s="4" t="n">
        <v>30205935</v>
      </c>
      <c r="C1866" s="4" t="inlineStr">
        <is>
          <t>PAISAGISMO</t>
        </is>
      </c>
      <c r="D1866" s="4" t="inlineStr">
        <is>
          <t>-</t>
        </is>
      </c>
      <c r="E1866" s="4" t="inlineStr">
        <is>
          <t>3º PAV - GARAGEM</t>
        </is>
      </c>
      <c r="F1866" s="126" t="n">
        <v>46960</v>
      </c>
      <c r="G1866" s="126" t="n">
        <v>46973</v>
      </c>
      <c r="H1866" s="126" t="n">
        <v>46289</v>
      </c>
      <c r="I1866" s="4" t="n">
        <v>0</v>
      </c>
      <c r="J1866" s="4" t="n">
        <v>0</v>
      </c>
      <c r="K1866" s="4" t="n">
        <v>0</v>
      </c>
      <c r="M1866" s="2">
        <f>IF(C1866="","",IFERROR(INDEX($S$5:$S$304,MATCH(C1866,$R$5:$R$304,0))&amp;"","?"))</f>
        <v/>
      </c>
      <c r="N1866" s="2">
        <f>IF(E1866="","",IF(ISNUMBER(SEARCH("SUBSOLO",E1866)),IFERROR(-VALUE(LEFT(E1866,FIND("º",SUBSTITUTE(E1866,"°","º"))-1)),-1),IF(LEFT(E1866,6)="TÉRREO",0,IFERROR(VALUE(LEFT(E1866,FIND("º",SUBSTITUTE(E1866,"°","º"))-1)),""))))</f>
        <v/>
      </c>
      <c r="O1866" s="2">
        <f>IF(OR(F1866="",G1866=""),"",IF(G1866&lt;='RETRATO 2027'!$K$5,"CONCLUÍDA",IF(F1866&lt;='RETRATO 2027'!$K$5,"EM ANDAMENTO","A INICIAR")))</f>
        <v/>
      </c>
    </row>
    <row r="1867">
      <c r="B1867" s="4" t="n">
        <v>32750367</v>
      </c>
      <c r="C1867" s="4" t="inlineStr">
        <is>
          <t>DISTRIBUIÇÃO DE GÁS - DRYWALL</t>
        </is>
      </c>
      <c r="D1867" s="4" t="inlineStr">
        <is>
          <t>-</t>
        </is>
      </c>
      <c r="E1867" s="4" t="inlineStr">
        <is>
          <t>19º PAV.</t>
        </is>
      </c>
      <c r="F1867" s="126" t="n">
        <v>46960</v>
      </c>
      <c r="G1867" s="126" t="n">
        <v>46972</v>
      </c>
      <c r="H1867" s="126" t="n">
        <v>46289</v>
      </c>
      <c r="I1867" s="4" t="n">
        <v>0</v>
      </c>
      <c r="J1867" s="4" t="n">
        <v>0</v>
      </c>
      <c r="K1867" s="4" t="n">
        <v>0</v>
      </c>
      <c r="M1867" s="2">
        <f>IF(C1867="","",IFERROR(INDEX($S$5:$S$304,MATCH(C1867,$R$5:$R$304,0))&amp;"","?"))</f>
        <v/>
      </c>
      <c r="N1867" s="2">
        <f>IF(E1867="","",IF(ISNUMBER(SEARCH("SUBSOLO",E1867)),IFERROR(-VALUE(LEFT(E1867,FIND("º",SUBSTITUTE(E1867,"°","º"))-1)),-1),IF(LEFT(E1867,6)="TÉRREO",0,IFERROR(VALUE(LEFT(E1867,FIND("º",SUBSTITUTE(E1867,"°","º"))-1)),""))))</f>
        <v/>
      </c>
      <c r="O1867" s="2">
        <f>IF(OR(F1867="",G1867=""),"",IF(G1867&lt;='RETRATO 2027'!$K$5,"CONCLUÍDA",IF(F1867&lt;='RETRATO 2027'!$K$5,"EM ANDAMENTO","A INICIAR")))</f>
        <v/>
      </c>
    </row>
    <row r="1868">
      <c r="B1868" s="4" t="n">
        <v>32750393</v>
      </c>
      <c r="C1868" s="4" t="inlineStr">
        <is>
          <t>DISTRIBUIÇÃO ELÉTRICA/QUADRO - DRYWALL</t>
        </is>
      </c>
      <c r="D1868" s="4" t="inlineStr">
        <is>
          <t>-</t>
        </is>
      </c>
      <c r="E1868" s="4" t="inlineStr">
        <is>
          <t>19º PAV.</t>
        </is>
      </c>
      <c r="F1868" s="126" t="n">
        <v>46960</v>
      </c>
      <c r="G1868" s="126" t="n">
        <v>46972</v>
      </c>
      <c r="H1868" s="126" t="n">
        <v>46289</v>
      </c>
      <c r="I1868" s="4" t="n">
        <v>0</v>
      </c>
      <c r="J1868" s="4" t="n">
        <v>0</v>
      </c>
      <c r="K1868" s="4" t="n">
        <v>0</v>
      </c>
      <c r="M1868" s="2">
        <f>IF(C1868="","",IFERROR(INDEX($S$5:$S$304,MATCH(C1868,$R$5:$R$304,0))&amp;"","?"))</f>
        <v/>
      </c>
      <c r="N1868" s="2">
        <f>IF(E1868="","",IF(ISNUMBER(SEARCH("SUBSOLO",E1868)),IFERROR(-VALUE(LEFT(E1868,FIND("º",SUBSTITUTE(E1868,"°","º"))-1)),-1),IF(LEFT(E1868,6)="TÉRREO",0,IFERROR(VALUE(LEFT(E1868,FIND("º",SUBSTITUTE(E1868,"°","º"))-1)),""))))</f>
        <v/>
      </c>
      <c r="O1868" s="2">
        <f>IF(OR(F1868="",G1868=""),"",IF(G1868&lt;='RETRATO 2027'!$K$5,"CONCLUÍDA",IF(F1868&lt;='RETRATO 2027'!$K$5,"EM ANDAMENTO","A INICIAR")))</f>
        <v/>
      </c>
    </row>
    <row r="1869">
      <c r="B1869" s="4" t="n">
        <v>32750419</v>
      </c>
      <c r="C1869" s="4" t="inlineStr">
        <is>
          <t>DISTRIBUIÇÃO HIDRÁULICA - DRYWALL</t>
        </is>
      </c>
      <c r="D1869" s="4" t="inlineStr">
        <is>
          <t>-</t>
        </is>
      </c>
      <c r="E1869" s="4" t="inlineStr">
        <is>
          <t>19º PAV.</t>
        </is>
      </c>
      <c r="F1869" s="126" t="n">
        <v>46960</v>
      </c>
      <c r="G1869" s="126" t="n">
        <v>46972</v>
      </c>
      <c r="H1869" s="126" t="n">
        <v>46289</v>
      </c>
      <c r="I1869" s="4" t="n">
        <v>0</v>
      </c>
      <c r="J1869" s="4" t="n">
        <v>0</v>
      </c>
      <c r="K1869" s="4" t="n">
        <v>0</v>
      </c>
      <c r="M1869" s="2">
        <f>IF(C1869="","",IFERROR(INDEX($S$5:$S$304,MATCH(C1869,$R$5:$R$304,0))&amp;"","?"))</f>
        <v/>
      </c>
      <c r="N1869" s="2">
        <f>IF(E1869="","",IF(ISNUMBER(SEARCH("SUBSOLO",E1869)),IFERROR(-VALUE(LEFT(E1869,FIND("º",SUBSTITUTE(E1869,"°","º"))-1)),-1),IF(LEFT(E1869,6)="TÉRREO",0,IFERROR(VALUE(LEFT(E1869,FIND("º",SUBSTITUTE(E1869,"°","º"))-1)),""))))</f>
        <v/>
      </c>
      <c r="O1869" s="2">
        <f>IF(OR(F1869="",G1869=""),"",IF(G1869&lt;='RETRATO 2027'!$K$5,"CONCLUÍDA",IF(F1869&lt;='RETRATO 2027'!$K$5,"EM ANDAMENTO","A INICIAR")))</f>
        <v/>
      </c>
    </row>
    <row r="1870">
      <c r="B1870" s="4" t="n">
        <v>33896837</v>
      </c>
      <c r="C1870" s="4" t="inlineStr">
        <is>
          <t>INFRAESTRUTURA - AR CONDICIONADO</t>
        </is>
      </c>
      <c r="D1870" s="4" t="inlineStr">
        <is>
          <t>-</t>
        </is>
      </c>
      <c r="E1870" s="4" t="inlineStr">
        <is>
          <t>19º PAV.</t>
        </is>
      </c>
      <c r="F1870" s="126" t="n">
        <v>46960</v>
      </c>
      <c r="G1870" s="126" t="n">
        <v>46972</v>
      </c>
      <c r="H1870" s="126" t="n">
        <v>46289</v>
      </c>
      <c r="I1870" s="4" t="n">
        <v>0</v>
      </c>
      <c r="J1870" s="4" t="n">
        <v>0</v>
      </c>
      <c r="K1870" s="4" t="n">
        <v>0</v>
      </c>
      <c r="M1870" s="2">
        <f>IF(C1870="","",IFERROR(INDEX($S$5:$S$304,MATCH(C1870,$R$5:$R$304,0))&amp;"","?"))</f>
        <v/>
      </c>
      <c r="N1870" s="2">
        <f>IF(E1870="","",IF(ISNUMBER(SEARCH("SUBSOLO",E1870)),IFERROR(-VALUE(LEFT(E1870,FIND("º",SUBSTITUTE(E1870,"°","º"))-1)),-1),IF(LEFT(E1870,6)="TÉRREO",0,IFERROR(VALUE(LEFT(E1870,FIND("º",SUBSTITUTE(E1870,"°","º"))-1)),""))))</f>
        <v/>
      </c>
      <c r="O1870" s="2">
        <f>IF(OR(F1870="",G1870=""),"",IF(G1870&lt;='RETRATO 2027'!$K$5,"CONCLUÍDA",IF(F1870&lt;='RETRATO 2027'!$K$5,"EM ANDAMENTO","A INICIAR")))</f>
        <v/>
      </c>
    </row>
    <row r="1871">
      <c r="B1871" s="4" t="n">
        <v>30205807</v>
      </c>
      <c r="C1871" s="4" t="inlineStr">
        <is>
          <t>DISJUNTORES / MIOLOS</t>
        </is>
      </c>
      <c r="D1871" s="4" t="inlineStr">
        <is>
          <t>-</t>
        </is>
      </c>
      <c r="E1871" s="4" t="inlineStr">
        <is>
          <t>TÉRREO - HALL SOCIAL + ECLUSA + CIRCULAÇÃO</t>
        </is>
      </c>
      <c r="F1871" s="126" t="n">
        <v>46961</v>
      </c>
      <c r="G1871" s="126" t="n">
        <v>46967</v>
      </c>
      <c r="H1871" s="126" t="n">
        <v>46289</v>
      </c>
      <c r="I1871" s="4" t="n">
        <v>0</v>
      </c>
      <c r="J1871" s="4" t="n">
        <v>0</v>
      </c>
      <c r="K1871" s="4" t="n">
        <v>0</v>
      </c>
      <c r="M1871" s="2">
        <f>IF(C1871="","",IFERROR(INDEX($S$5:$S$304,MATCH(C1871,$R$5:$R$304,0))&amp;"","?"))</f>
        <v/>
      </c>
      <c r="N1871" s="2">
        <f>IF(E1871="","",IF(ISNUMBER(SEARCH("SUBSOLO",E1871)),IFERROR(-VALUE(LEFT(E1871,FIND("º",SUBSTITUTE(E1871,"°","º"))-1)),-1),IF(LEFT(E1871,6)="TÉRREO",0,IFERROR(VALUE(LEFT(E1871,FIND("º",SUBSTITUTE(E1871,"°","º"))-1)),""))))</f>
        <v/>
      </c>
      <c r="O1871" s="2">
        <f>IF(OR(F1871="",G1871=""),"",IF(G1871&lt;='RETRATO 2027'!$K$5,"CONCLUÍDA",IF(F1871&lt;='RETRATO 2027'!$K$5,"EM ANDAMENTO","A INICIAR")))</f>
        <v/>
      </c>
    </row>
    <row r="1872">
      <c r="B1872" s="4" t="n">
        <v>30205840</v>
      </c>
      <c r="C1872" s="4" t="inlineStr">
        <is>
          <t>ESQUADRIA MADEIRA</t>
        </is>
      </c>
      <c r="D1872" s="4" t="inlineStr">
        <is>
          <t>-</t>
        </is>
      </c>
      <c r="E1872" s="4" t="inlineStr">
        <is>
          <t>1º PAV. (INTERMEDIÁRIO)</t>
        </is>
      </c>
      <c r="F1872" s="126" t="n">
        <v>46961</v>
      </c>
      <c r="G1872" s="126" t="n">
        <v>46974</v>
      </c>
      <c r="H1872" s="126" t="n">
        <v>46289</v>
      </c>
      <c r="I1872" s="4" t="n">
        <v>0</v>
      </c>
      <c r="J1872" s="4" t="n">
        <v>0</v>
      </c>
      <c r="K1872" s="4" t="n">
        <v>0</v>
      </c>
      <c r="M1872" s="2">
        <f>IF(C1872="","",IFERROR(INDEX($S$5:$S$304,MATCH(C1872,$R$5:$R$304,0))&amp;"","?"))</f>
        <v/>
      </c>
      <c r="N1872" s="2">
        <f>IF(E1872="","",IF(ISNUMBER(SEARCH("SUBSOLO",E1872)),IFERROR(-VALUE(LEFT(E1872,FIND("º",SUBSTITUTE(E1872,"°","º"))-1)),-1),IF(LEFT(E1872,6)="TÉRREO",0,IFERROR(VALUE(LEFT(E1872,FIND("º",SUBSTITUTE(E1872,"°","º"))-1)),""))))</f>
        <v/>
      </c>
      <c r="O1872" s="2">
        <f>IF(OR(F1872="",G1872=""),"",IF(G1872&lt;='RETRATO 2027'!$K$5,"CONCLUÍDA",IF(F1872&lt;='RETRATO 2027'!$K$5,"EM ANDAMENTO","A INICIAR")))</f>
        <v/>
      </c>
    </row>
    <row r="1873">
      <c r="B1873" s="4" t="n">
        <v>30205839</v>
      </c>
      <c r="C1873" s="4" t="inlineStr">
        <is>
          <t>LOUÇAS</t>
        </is>
      </c>
      <c r="D1873" s="4" t="inlineStr">
        <is>
          <t>-</t>
        </is>
      </c>
      <c r="E1873" s="4" t="inlineStr">
        <is>
          <t>1º PAV. (INTERMEDIÁRIO)</t>
        </is>
      </c>
      <c r="F1873" s="126" t="n">
        <v>46961</v>
      </c>
      <c r="G1873" s="126" t="n">
        <v>46974</v>
      </c>
      <c r="H1873" s="126" t="n">
        <v>46289</v>
      </c>
      <c r="I1873" s="4" t="n">
        <v>0</v>
      </c>
      <c r="J1873" s="4" t="n">
        <v>0</v>
      </c>
      <c r="K1873" s="4" t="n">
        <v>0</v>
      </c>
      <c r="M1873" s="2">
        <f>IF(C1873="","",IFERROR(INDEX($S$5:$S$304,MATCH(C1873,$R$5:$R$304,0))&amp;"","?"))</f>
        <v/>
      </c>
      <c r="N1873" s="2">
        <f>IF(E1873="","",IF(ISNUMBER(SEARCH("SUBSOLO",E1873)),IFERROR(-VALUE(LEFT(E1873,FIND("º",SUBSTITUTE(E1873,"°","º"))-1)),-1),IF(LEFT(E1873,6)="TÉRREO",0,IFERROR(VALUE(LEFT(E1873,FIND("º",SUBSTITUTE(E1873,"°","º"))-1)),""))))</f>
        <v/>
      </c>
      <c r="O1873" s="2">
        <f>IF(OR(F1873="",G1873=""),"",IF(G1873&lt;='RETRATO 2027'!$K$5,"CONCLUÍDA",IF(F1873&lt;='RETRATO 2027'!$K$5,"EM ANDAMENTO","A INICIAR")))</f>
        <v/>
      </c>
    </row>
    <row r="1874">
      <c r="B1874" s="4" t="n">
        <v>30205837</v>
      </c>
      <c r="C1874" s="4" t="inlineStr">
        <is>
          <t>METAIS</t>
        </is>
      </c>
      <c r="D1874" s="4" t="inlineStr">
        <is>
          <t>-</t>
        </is>
      </c>
      <c r="E1874" s="4" t="inlineStr">
        <is>
          <t>1º PAV. (INTERMEDIÁRIO)</t>
        </is>
      </c>
      <c r="F1874" s="126" t="n">
        <v>46961</v>
      </c>
      <c r="G1874" s="126" t="n">
        <v>46974</v>
      </c>
      <c r="H1874" s="126" t="n">
        <v>46289</v>
      </c>
      <c r="I1874" s="4" t="n">
        <v>0</v>
      </c>
      <c r="J1874" s="4" t="n">
        <v>0</v>
      </c>
      <c r="K1874" s="4" t="n">
        <v>0</v>
      </c>
      <c r="M1874" s="2">
        <f>IF(C1874="","",IFERROR(INDEX($S$5:$S$304,MATCH(C1874,$R$5:$R$304,0))&amp;"","?"))</f>
        <v/>
      </c>
      <c r="N1874" s="2">
        <f>IF(E1874="","",IF(ISNUMBER(SEARCH("SUBSOLO",E1874)),IFERROR(-VALUE(LEFT(E1874,FIND("º",SUBSTITUTE(E1874,"°","º"))-1)),-1),IF(LEFT(E1874,6)="TÉRREO",0,IFERROR(VALUE(LEFT(E1874,FIND("º",SUBSTITUTE(E1874,"°","º"))-1)),""))))</f>
        <v/>
      </c>
      <c r="O1874" s="2">
        <f>IF(OR(F1874="",G1874=""),"",IF(G1874&lt;='RETRATO 2027'!$K$5,"CONCLUÍDA",IF(F1874&lt;='RETRATO 2027'!$K$5,"EM ANDAMENTO","A INICIAR")))</f>
        <v/>
      </c>
    </row>
    <row r="1875">
      <c r="B1875" s="4" t="n">
        <v>30206103</v>
      </c>
      <c r="C1875" s="4" t="inlineStr">
        <is>
          <t>PINTURA 1º DEMÃO</t>
        </is>
      </c>
      <c r="D1875" s="4" t="inlineStr">
        <is>
          <t>-</t>
        </is>
      </c>
      <c r="E1875" s="4" t="inlineStr">
        <is>
          <t>6º PAV (PILOTIS) - ACADEMIA</t>
        </is>
      </c>
      <c r="F1875" s="126" t="n">
        <v>46962</v>
      </c>
      <c r="G1875" s="126" t="n">
        <v>46975</v>
      </c>
      <c r="H1875" s="126" t="n">
        <v>46289</v>
      </c>
      <c r="I1875" s="4" t="n">
        <v>0</v>
      </c>
      <c r="J1875" s="4" t="n">
        <v>0</v>
      </c>
      <c r="K1875" s="4" t="n">
        <v>0</v>
      </c>
      <c r="M1875" s="2">
        <f>IF(C1875="","",IFERROR(INDEX($S$5:$S$304,MATCH(C1875,$R$5:$R$304,0))&amp;"","?"))</f>
        <v/>
      </c>
      <c r="N1875" s="2">
        <f>IF(E1875="","",IF(ISNUMBER(SEARCH("SUBSOLO",E1875)),IFERROR(-VALUE(LEFT(E1875,FIND("º",SUBSTITUTE(E1875,"°","º"))-1)),-1),IF(LEFT(E1875,6)="TÉRREO",0,IFERROR(VALUE(LEFT(E1875,FIND("º",SUBSTITUTE(E1875,"°","º"))-1)),""))))</f>
        <v/>
      </c>
      <c r="O1875" s="2">
        <f>IF(OR(F1875="",G1875=""),"",IF(G1875&lt;='RETRATO 2027'!$K$5,"CONCLUÍDA",IF(F1875&lt;='RETRATO 2027'!$K$5,"EM ANDAMENTO","A INICIAR")))</f>
        <v/>
      </c>
    </row>
    <row r="1876">
      <c r="B1876" s="4" t="n">
        <v>33904059</v>
      </c>
      <c r="C1876" s="4" t="inlineStr">
        <is>
          <t>ESQUADRIA DE ALUMÍNIO</t>
        </is>
      </c>
      <c r="D1876" s="4" t="inlineStr">
        <is>
          <t>-</t>
        </is>
      </c>
      <c r="E1876" s="4" t="inlineStr">
        <is>
          <t>6º PAV (PILOTIS) - SAUNA + DUCHA</t>
        </is>
      </c>
      <c r="F1876" s="126" t="n">
        <v>46962</v>
      </c>
      <c r="G1876" s="126" t="n">
        <v>46975</v>
      </c>
      <c r="H1876" s="126" t="n">
        <v>46289</v>
      </c>
      <c r="I1876" s="4" t="n">
        <v>0</v>
      </c>
      <c r="J1876" s="4" t="n">
        <v>0</v>
      </c>
      <c r="K1876" s="4" t="n">
        <v>0</v>
      </c>
      <c r="M1876" s="2">
        <f>IF(C1876="","",IFERROR(INDEX($S$5:$S$304,MATCH(C1876,$R$5:$R$304,0))&amp;"","?"))</f>
        <v/>
      </c>
      <c r="N1876" s="2">
        <f>IF(E1876="","",IF(ISNUMBER(SEARCH("SUBSOLO",E1876)),IFERROR(-VALUE(LEFT(E1876,FIND("º",SUBSTITUTE(E1876,"°","º"))-1)),-1),IF(LEFT(E1876,6)="TÉRREO",0,IFERROR(VALUE(LEFT(E1876,FIND("º",SUBSTITUTE(E1876,"°","º"))-1)),""))))</f>
        <v/>
      </c>
      <c r="O1876" s="2">
        <f>IF(OR(F1876="",G1876=""),"",IF(G1876&lt;='RETRATO 2027'!$K$5,"CONCLUÍDA",IF(F1876&lt;='RETRATO 2027'!$K$5,"EM ANDAMENTO","A INICIAR")))</f>
        <v/>
      </c>
    </row>
    <row r="1877">
      <c r="B1877" s="4" t="n">
        <v>30206051</v>
      </c>
      <c r="C1877" s="4" t="inlineStr">
        <is>
          <t>FIAÇÃO ELÉTRICA</t>
        </is>
      </c>
      <c r="D1877" s="4" t="inlineStr">
        <is>
          <t>-</t>
        </is>
      </c>
      <c r="E1877" s="4" t="inlineStr">
        <is>
          <t>6º PAV (PILOTIS) - CHURRASQUEIRA + IS MASC. PCD + IS FEM. PCD + CIRCULAÇÃO 1 + HALL 1</t>
        </is>
      </c>
      <c r="F1877" s="126" t="n">
        <v>46962</v>
      </c>
      <c r="G1877" s="126" t="n">
        <v>46975</v>
      </c>
      <c r="H1877" s="126" t="n">
        <v>46289</v>
      </c>
      <c r="I1877" s="4" t="n">
        <v>0</v>
      </c>
      <c r="J1877" s="4" t="n">
        <v>0</v>
      </c>
      <c r="K1877" s="4" t="n">
        <v>0</v>
      </c>
      <c r="M1877" s="2">
        <f>IF(C1877="","",IFERROR(INDEX($S$5:$S$304,MATCH(C1877,$R$5:$R$304,0))&amp;"","?"))</f>
        <v/>
      </c>
      <c r="N1877" s="2">
        <f>IF(E1877="","",IF(ISNUMBER(SEARCH("SUBSOLO",E1877)),IFERROR(-VALUE(LEFT(E1877,FIND("º",SUBSTITUTE(E1877,"°","º"))-1)),-1),IF(LEFT(E1877,6)="TÉRREO",0,IFERROR(VALUE(LEFT(E1877,FIND("º",SUBSTITUTE(E1877,"°","º"))-1)),""))))</f>
        <v/>
      </c>
      <c r="O1877" s="2">
        <f>IF(OR(F1877="",G1877=""),"",IF(G1877&lt;='RETRATO 2027'!$K$5,"CONCLUÍDA",IF(F1877&lt;='RETRATO 2027'!$K$5,"EM ANDAMENTO","A INICIAR")))</f>
        <v/>
      </c>
    </row>
    <row r="1878">
      <c r="B1878" s="4" t="n">
        <v>30214066</v>
      </c>
      <c r="C1878" s="4" t="inlineStr">
        <is>
          <t>FIAÇÃO TELECOM/DADOS</t>
        </is>
      </c>
      <c r="D1878" s="4" t="inlineStr">
        <is>
          <t>-</t>
        </is>
      </c>
      <c r="E1878" s="4" t="inlineStr">
        <is>
          <t>6º PAV (PILOTIS) - CHURRASQUEIRA + IS MASC. PCD + IS FEM. PCD + CIRCULAÇÃO 1 + HALL 1</t>
        </is>
      </c>
      <c r="F1878" s="126" t="n">
        <v>46962</v>
      </c>
      <c r="G1878" s="126" t="n">
        <v>46975</v>
      </c>
      <c r="H1878" s="126" t="n">
        <v>46289</v>
      </c>
      <c r="I1878" s="4" t="n">
        <v>0</v>
      </c>
      <c r="J1878" s="4" t="n">
        <v>0</v>
      </c>
      <c r="K1878" s="4" t="n">
        <v>0</v>
      </c>
      <c r="M1878" s="2">
        <f>IF(C1878="","",IFERROR(INDEX($S$5:$S$304,MATCH(C1878,$R$5:$R$304,0))&amp;"","?"))</f>
        <v/>
      </c>
      <c r="N1878" s="2">
        <f>IF(E1878="","",IF(ISNUMBER(SEARCH("SUBSOLO",E1878)),IFERROR(-VALUE(LEFT(E1878,FIND("º",SUBSTITUTE(E1878,"°","º"))-1)),-1),IF(LEFT(E1878,6)="TÉRREO",0,IFERROR(VALUE(LEFT(E1878,FIND("º",SUBSTITUTE(E1878,"°","º"))-1)),""))))</f>
        <v/>
      </c>
      <c r="O1878" s="2">
        <f>IF(OR(F1878="",G1878=""),"",IF(G1878&lt;='RETRATO 2027'!$K$5,"CONCLUÍDA",IF(F1878&lt;='RETRATO 2027'!$K$5,"EM ANDAMENTO","A INICIAR")))</f>
        <v/>
      </c>
    </row>
    <row r="1879">
      <c r="B1879" s="4" t="n">
        <v>30205998</v>
      </c>
      <c r="C1879" s="4" t="inlineStr">
        <is>
          <t>BANCADAS</t>
        </is>
      </c>
      <c r="D1879" s="4" t="inlineStr">
        <is>
          <t>-</t>
        </is>
      </c>
      <c r="E1879" s="4" t="inlineStr">
        <is>
          <t>6º PAV (PILOTIS) - COWORKING 1 E 2 + CIRC. 2 + HALL 2 + DML + VEST. MASC. + VEST. FEM</t>
        </is>
      </c>
      <c r="F1879" s="126" t="n">
        <v>46962</v>
      </c>
      <c r="G1879" s="126" t="n">
        <v>46975</v>
      </c>
      <c r="H1879" s="126" t="n">
        <v>46289</v>
      </c>
      <c r="I1879" s="4" t="n">
        <v>0</v>
      </c>
      <c r="J1879" s="4" t="n">
        <v>0</v>
      </c>
      <c r="K1879" s="4" t="n">
        <v>0</v>
      </c>
      <c r="M1879" s="2">
        <f>IF(C1879="","",IFERROR(INDEX($S$5:$S$304,MATCH(C1879,$R$5:$R$304,0))&amp;"","?"))</f>
        <v/>
      </c>
      <c r="N1879" s="2">
        <f>IF(E1879="","",IF(ISNUMBER(SEARCH("SUBSOLO",E1879)),IFERROR(-VALUE(LEFT(E1879,FIND("º",SUBSTITUTE(E1879,"°","º"))-1)),-1),IF(LEFT(E1879,6)="TÉRREO",0,IFERROR(VALUE(LEFT(E1879,FIND("º",SUBSTITUTE(E1879,"°","º"))-1)),""))))</f>
        <v/>
      </c>
      <c r="O1879" s="2">
        <f>IF(OR(F1879="",G1879=""),"",IF(G1879&lt;='RETRATO 2027'!$K$5,"CONCLUÍDA",IF(F1879&lt;='RETRATO 2027'!$K$5,"EM ANDAMENTO","A INICIAR")))</f>
        <v/>
      </c>
    </row>
    <row r="1880">
      <c r="B1880" s="4" t="n">
        <v>30205960</v>
      </c>
      <c r="C1880" s="4" t="inlineStr">
        <is>
          <t>REVESTIMENTOS PORCELANATO PISO</t>
        </is>
      </c>
      <c r="D1880" s="4" t="inlineStr">
        <is>
          <t>-</t>
        </is>
      </c>
      <c r="E1880" s="4" t="inlineStr">
        <is>
          <t>6º PAV (PILOTIS) - LOUNGE + SALÃO + COZINHA + GOURMET + ESPAÇO KIDS</t>
        </is>
      </c>
      <c r="F1880" s="126" t="n">
        <v>46962</v>
      </c>
      <c r="G1880" s="126" t="n">
        <v>46975</v>
      </c>
      <c r="H1880" s="126" t="n">
        <v>46289</v>
      </c>
      <c r="I1880" s="4" t="n">
        <v>0</v>
      </c>
      <c r="J1880" s="4" t="n">
        <v>0</v>
      </c>
      <c r="K1880" s="4" t="n">
        <v>0</v>
      </c>
      <c r="M1880" s="2">
        <f>IF(C1880="","",IFERROR(INDEX($S$5:$S$304,MATCH(C1880,$R$5:$R$304,0))&amp;"","?"))</f>
        <v/>
      </c>
      <c r="N1880" s="2">
        <f>IF(E1880="","",IF(ISNUMBER(SEARCH("SUBSOLO",E1880)),IFERROR(-VALUE(LEFT(E1880,FIND("º",SUBSTITUTE(E1880,"°","º"))-1)),-1),IF(LEFT(E1880,6)="TÉRREO",0,IFERROR(VALUE(LEFT(E1880,FIND("º",SUBSTITUTE(E1880,"°","º"))-1)),""))))</f>
        <v/>
      </c>
      <c r="O1880" s="2">
        <f>IF(OR(F1880="",G1880=""),"",IF(G1880&lt;='RETRATO 2027'!$K$5,"CONCLUÍDA",IF(F1880&lt;='RETRATO 2027'!$K$5,"EM ANDAMENTO","A INICIAR")))</f>
        <v/>
      </c>
    </row>
    <row r="1881">
      <c r="B1881" s="4" t="n">
        <v>30171386</v>
      </c>
      <c r="C1881" s="4" t="inlineStr">
        <is>
          <t>DISJUNTORES / MIOLOS</t>
        </is>
      </c>
      <c r="D1881" s="4" t="inlineStr">
        <is>
          <t>-</t>
        </is>
      </c>
      <c r="E1881" s="4" t="inlineStr">
        <is>
          <t>5º PAV - GARAGEM</t>
        </is>
      </c>
      <c r="F1881" s="126" t="n">
        <v>46965</v>
      </c>
      <c r="G1881" s="126" t="n">
        <v>46993</v>
      </c>
      <c r="H1881" s="126" t="n">
        <v>46289</v>
      </c>
      <c r="I1881" s="4" t="n">
        <v>0</v>
      </c>
      <c r="J1881" s="4" t="n">
        <v>0</v>
      </c>
      <c r="K1881" s="4" t="n">
        <v>0</v>
      </c>
      <c r="M1881" s="2">
        <f>IF(C1881="","",IFERROR(INDEX($S$5:$S$304,MATCH(C1881,$R$5:$R$304,0))&amp;"","?"))</f>
        <v/>
      </c>
      <c r="N1881" s="2">
        <f>IF(E1881="","",IF(ISNUMBER(SEARCH("SUBSOLO",E1881)),IFERROR(-VALUE(LEFT(E1881,FIND("º",SUBSTITUTE(E1881,"°","º"))-1)),-1),IF(LEFT(E1881,6)="TÉRREO",0,IFERROR(VALUE(LEFT(E1881,FIND("º",SUBSTITUTE(E1881,"°","º"))-1)),""))))</f>
        <v/>
      </c>
      <c r="O1881" s="2">
        <f>IF(OR(F1881="",G1881=""),"",IF(G1881&lt;='RETRATO 2027'!$K$5,"CONCLUÍDA",IF(F1881&lt;='RETRATO 2027'!$K$5,"EM ANDAMENTO","A INICIAR")))</f>
        <v/>
      </c>
    </row>
    <row r="1882">
      <c r="B1882" s="4" t="n">
        <v>30171383</v>
      </c>
      <c r="C1882" s="4" t="inlineStr">
        <is>
          <t>INSTALAÇÃO DE LUMINÁRIAS E SENSORES</t>
        </is>
      </c>
      <c r="D1882" s="4" t="inlineStr">
        <is>
          <t>-</t>
        </is>
      </c>
      <c r="E1882" s="4" t="inlineStr">
        <is>
          <t>5º PAV - GARAGEM</t>
        </is>
      </c>
      <c r="F1882" s="126" t="n">
        <v>46965</v>
      </c>
      <c r="G1882" s="126" t="n">
        <v>46993</v>
      </c>
      <c r="H1882" s="126" t="n">
        <v>46289</v>
      </c>
      <c r="I1882" s="4" t="n">
        <v>0</v>
      </c>
      <c r="J1882" s="4" t="n">
        <v>0</v>
      </c>
      <c r="K1882" s="4" t="n">
        <v>0</v>
      </c>
      <c r="M1882" s="2">
        <f>IF(C1882="","",IFERROR(INDEX($S$5:$S$304,MATCH(C1882,$R$5:$R$304,0))&amp;"","?"))</f>
        <v/>
      </c>
      <c r="N1882" s="2">
        <f>IF(E1882="","",IF(ISNUMBER(SEARCH("SUBSOLO",E1882)),IFERROR(-VALUE(LEFT(E1882,FIND("º",SUBSTITUTE(E1882,"°","º"))-1)),-1),IF(LEFT(E1882,6)="TÉRREO",0,IFERROR(VALUE(LEFT(E1882,FIND("º",SUBSTITUTE(E1882,"°","º"))-1)),""))))</f>
        <v/>
      </c>
      <c r="O1882" s="2">
        <f>IF(OR(F1882="",G1882=""),"",IF(G1882&lt;='RETRATO 2027'!$K$5,"CONCLUÍDA",IF(F1882&lt;='RETRATO 2027'!$K$5,"EM ANDAMENTO","A INICIAR")))</f>
        <v/>
      </c>
    </row>
    <row r="1883">
      <c r="B1883" s="4" t="n">
        <v>29981328</v>
      </c>
      <c r="C1883" s="4" t="inlineStr">
        <is>
          <t>LIMPEZA FINA</t>
        </is>
      </c>
      <c r="D1883" s="4" t="inlineStr">
        <is>
          <t>-</t>
        </is>
      </c>
      <c r="E1883" s="4" t="inlineStr">
        <is>
          <t>13º PAV.</t>
        </is>
      </c>
      <c r="F1883" s="126" t="n">
        <v>46965</v>
      </c>
      <c r="G1883" s="126" t="n">
        <v>46975</v>
      </c>
      <c r="H1883" s="126" t="n">
        <v>46289</v>
      </c>
      <c r="I1883" s="4" t="n">
        <v>0</v>
      </c>
      <c r="J1883" s="4" t="n">
        <v>0</v>
      </c>
      <c r="K1883" s="4" t="n">
        <v>0</v>
      </c>
      <c r="M1883" s="2">
        <f>IF(C1883="","",IFERROR(INDEX($S$5:$S$304,MATCH(C1883,$R$5:$R$304,0))&amp;"","?"))</f>
        <v/>
      </c>
      <c r="N1883" s="2">
        <f>IF(E1883="","",IF(ISNUMBER(SEARCH("SUBSOLO",E1883)),IFERROR(-VALUE(LEFT(E1883,FIND("º",SUBSTITUTE(E1883,"°","º"))-1)),-1),IF(LEFT(E1883,6)="TÉRREO",0,IFERROR(VALUE(LEFT(E1883,FIND("º",SUBSTITUTE(E1883,"°","º"))-1)),""))))</f>
        <v/>
      </c>
      <c r="O1883" s="2">
        <f>IF(OR(F1883="",G1883=""),"",IF(G1883&lt;='RETRATO 2027'!$K$5,"CONCLUÍDA",IF(F1883&lt;='RETRATO 2027'!$K$5,"EM ANDAMENTO","A INICIAR")))</f>
        <v/>
      </c>
    </row>
    <row r="1884">
      <c r="B1884" s="4" t="n">
        <v>29981281</v>
      </c>
      <c r="C1884" s="4" t="inlineStr">
        <is>
          <t>PINTURA 3º DEMÃO</t>
        </is>
      </c>
      <c r="D1884" s="4" t="inlineStr">
        <is>
          <t>-</t>
        </is>
      </c>
      <c r="E1884" s="4" t="inlineStr">
        <is>
          <t>14º PAV.</t>
        </is>
      </c>
      <c r="F1884" s="126" t="n">
        <v>46965</v>
      </c>
      <c r="G1884" s="126" t="n">
        <v>46975</v>
      </c>
      <c r="H1884" s="126" t="n">
        <v>46289</v>
      </c>
      <c r="I1884" s="4" t="n">
        <v>0</v>
      </c>
      <c r="J1884" s="4" t="n">
        <v>0</v>
      </c>
      <c r="K1884" s="4" t="n">
        <v>0</v>
      </c>
      <c r="M1884" s="2">
        <f>IF(C1884="","",IFERROR(INDEX($S$5:$S$304,MATCH(C1884,$R$5:$R$304,0))&amp;"","?"))</f>
        <v/>
      </c>
      <c r="N1884" s="2">
        <f>IF(E1884="","",IF(ISNUMBER(SEARCH("SUBSOLO",E1884)),IFERROR(-VALUE(LEFT(E1884,FIND("º",SUBSTITUTE(E1884,"°","º"))-1)),-1),IF(LEFT(E1884,6)="TÉRREO",0,IFERROR(VALUE(LEFT(E1884,FIND("º",SUBSTITUTE(E1884,"°","º"))-1)),""))))</f>
        <v/>
      </c>
      <c r="O1884" s="2">
        <f>IF(OR(F1884="",G1884=""),"",IF(G1884&lt;='RETRATO 2027'!$K$5,"CONCLUÍDA",IF(F1884&lt;='RETRATO 2027'!$K$5,"EM ANDAMENTO","A INICIAR")))</f>
        <v/>
      </c>
    </row>
    <row r="1885">
      <c r="B1885" s="4" t="n">
        <v>30205628</v>
      </c>
      <c r="C1885" s="4" t="inlineStr">
        <is>
          <t>CHECKLIST</t>
        </is>
      </c>
      <c r="D1885" s="4" t="inlineStr">
        <is>
          <t>-</t>
        </is>
      </c>
      <c r="E1885" s="4" t="inlineStr">
        <is>
          <t>TÉRREO - LOJA 4</t>
        </is>
      </c>
      <c r="F1885" s="126" t="n">
        <v>46966</v>
      </c>
      <c r="G1885" s="126" t="n">
        <v>46972</v>
      </c>
      <c r="H1885" s="126" t="n">
        <v>46289</v>
      </c>
      <c r="I1885" s="4" t="n">
        <v>0</v>
      </c>
      <c r="J1885" s="4" t="n">
        <v>0</v>
      </c>
      <c r="K1885" s="4" t="n">
        <v>0</v>
      </c>
      <c r="M1885" s="2">
        <f>IF(C1885="","",IFERROR(INDEX($S$5:$S$304,MATCH(C1885,$R$5:$R$304,0))&amp;"","?"))</f>
        <v/>
      </c>
      <c r="N1885" s="2">
        <f>IF(E1885="","",IF(ISNUMBER(SEARCH("SUBSOLO",E1885)),IFERROR(-VALUE(LEFT(E1885,FIND("º",SUBSTITUTE(E1885,"°","º"))-1)),-1),IF(LEFT(E1885,6)="TÉRREO",0,IFERROR(VALUE(LEFT(E1885,FIND("º",SUBSTITUTE(E1885,"°","º"))-1)),""))))</f>
        <v/>
      </c>
      <c r="O1885" s="2">
        <f>IF(OR(F1885="",G1885=""),"",IF(G1885&lt;='RETRATO 2027'!$K$5,"CONCLUÍDA",IF(F1885&lt;='RETRATO 2027'!$K$5,"EM ANDAMENTO","A INICIAR")))</f>
        <v/>
      </c>
    </row>
    <row r="1886">
      <c r="B1886" s="4" t="n">
        <v>30205597</v>
      </c>
      <c r="C1886" s="4" t="inlineStr">
        <is>
          <t>LIMPEZA FINA</t>
        </is>
      </c>
      <c r="D1886" s="4" t="inlineStr">
        <is>
          <t>-</t>
        </is>
      </c>
      <c r="E1886" s="4" t="inlineStr">
        <is>
          <t>TÉRREO - LOJA 5</t>
        </is>
      </c>
      <c r="F1886" s="126" t="n">
        <v>46966</v>
      </c>
      <c r="G1886" s="126" t="n">
        <v>46979</v>
      </c>
      <c r="H1886" s="126" t="n">
        <v>46289</v>
      </c>
      <c r="I1886" s="4" t="n">
        <v>0</v>
      </c>
      <c r="J1886" s="4" t="n">
        <v>0</v>
      </c>
      <c r="K1886" s="4" t="n">
        <v>0</v>
      </c>
      <c r="M1886" s="2">
        <f>IF(C1886="","",IFERROR(INDEX($S$5:$S$304,MATCH(C1886,$R$5:$R$304,0))&amp;"","?"))</f>
        <v/>
      </c>
      <c r="N1886" s="2">
        <f>IF(E1886="","",IF(ISNUMBER(SEARCH("SUBSOLO",E1886)),IFERROR(-VALUE(LEFT(E1886,FIND("º",SUBSTITUTE(E1886,"°","º"))-1)),-1),IF(LEFT(E1886,6)="TÉRREO",0,IFERROR(VALUE(LEFT(E1886,FIND("º",SUBSTITUTE(E1886,"°","º"))-1)),""))))</f>
        <v/>
      </c>
      <c r="O1886" s="2">
        <f>IF(OR(F1886="",G1886=""),"",IF(G1886&lt;='RETRATO 2027'!$K$5,"CONCLUÍDA",IF(F1886&lt;='RETRATO 2027'!$K$5,"EM ANDAMENTO","A INICIAR")))</f>
        <v/>
      </c>
    </row>
    <row r="1887">
      <c r="B1887" s="4" t="n">
        <v>30205560</v>
      </c>
      <c r="C1887" s="4" t="inlineStr">
        <is>
          <t>ACABAMENTOS ELÉTRICOS</t>
        </is>
      </c>
      <c r="D1887" s="4" t="inlineStr">
        <is>
          <t>-</t>
        </is>
      </c>
      <c r="E1887" s="4" t="inlineStr">
        <is>
          <t>TÉRREO - LOJA 6</t>
        </is>
      </c>
      <c r="F1887" s="126" t="n">
        <v>46966</v>
      </c>
      <c r="G1887" s="126" t="n">
        <v>46979</v>
      </c>
      <c r="H1887" s="126" t="n">
        <v>46289</v>
      </c>
      <c r="I1887" s="4" t="n">
        <v>0</v>
      </c>
      <c r="J1887" s="4" t="n">
        <v>0</v>
      </c>
      <c r="K1887" s="4" t="n">
        <v>0</v>
      </c>
      <c r="M1887" s="2">
        <f>IF(C1887="","",IFERROR(INDEX($S$5:$S$304,MATCH(C1887,$R$5:$R$304,0))&amp;"","?"))</f>
        <v/>
      </c>
      <c r="N1887" s="2">
        <f>IF(E1887="","",IF(ISNUMBER(SEARCH("SUBSOLO",E1887)),IFERROR(-VALUE(LEFT(E1887,FIND("º",SUBSTITUTE(E1887,"°","º"))-1)),-1),IF(LEFT(E1887,6)="TÉRREO",0,IFERROR(VALUE(LEFT(E1887,FIND("º",SUBSTITUTE(E1887,"°","º"))-1)),""))))</f>
        <v/>
      </c>
      <c r="O1887" s="2">
        <f>IF(OR(F1887="",G1887=""),"",IF(G1887&lt;='RETRATO 2027'!$K$5,"CONCLUÍDA",IF(F1887&lt;='RETRATO 2027'!$K$5,"EM ANDAMENTO","A INICIAR")))</f>
        <v/>
      </c>
    </row>
    <row r="1888">
      <c r="B1888" s="4" t="n">
        <v>30205532</v>
      </c>
      <c r="C1888" s="4" t="inlineStr">
        <is>
          <t>PINTURA 2º DEMÃO</t>
        </is>
      </c>
      <c r="D1888" s="4" t="inlineStr">
        <is>
          <t>-</t>
        </is>
      </c>
      <c r="E1888" s="4" t="inlineStr">
        <is>
          <t>TÉRREO - LOJA 7</t>
        </is>
      </c>
      <c r="F1888" s="126" t="n">
        <v>46966</v>
      </c>
      <c r="G1888" s="126" t="n">
        <v>46979</v>
      </c>
      <c r="H1888" s="126" t="n">
        <v>46289</v>
      </c>
      <c r="I1888" s="4" t="n">
        <v>0</v>
      </c>
      <c r="J1888" s="4" t="n">
        <v>0</v>
      </c>
      <c r="K1888" s="4" t="n">
        <v>0</v>
      </c>
      <c r="M1888" s="2">
        <f>IF(C1888="","",IFERROR(INDEX($S$5:$S$304,MATCH(C1888,$R$5:$R$304,0))&amp;"","?"))</f>
        <v/>
      </c>
      <c r="N1888" s="2">
        <f>IF(E1888="","",IF(ISNUMBER(SEARCH("SUBSOLO",E1888)),IFERROR(-VALUE(LEFT(E1888,FIND("º",SUBSTITUTE(E1888,"°","º"))-1)),-1),IF(LEFT(E1888,6)="TÉRREO",0,IFERROR(VALUE(LEFT(E1888,FIND("º",SUBSTITUTE(E1888,"°","º"))-1)),""))))</f>
        <v/>
      </c>
      <c r="O1888" s="2">
        <f>IF(OR(F1888="",G1888=""),"",IF(G1888&lt;='RETRATO 2027'!$K$5,"CONCLUÍDA",IF(F1888&lt;='RETRATO 2027'!$K$5,"EM ANDAMENTO","A INICIAR")))</f>
        <v/>
      </c>
    </row>
    <row r="1889">
      <c r="B1889" s="4" t="n">
        <v>30171527</v>
      </c>
      <c r="C1889" s="4" t="inlineStr">
        <is>
          <t>FORRO</t>
        </is>
      </c>
      <c r="D1889" s="4" t="inlineStr">
        <is>
          <t>-</t>
        </is>
      </c>
      <c r="E1889" s="4" t="inlineStr">
        <is>
          <t>HALL - GARAGENS</t>
        </is>
      </c>
      <c r="F1889" s="126" t="n">
        <v>46967</v>
      </c>
      <c r="G1889" s="126" t="n">
        <v>46981</v>
      </c>
      <c r="H1889" s="126" t="n">
        <v>46289</v>
      </c>
      <c r="I1889" s="4" t="n">
        <v>0</v>
      </c>
      <c r="J1889" s="4" t="n">
        <v>0</v>
      </c>
      <c r="K1889" s="4" t="n">
        <v>0</v>
      </c>
      <c r="M1889" s="2">
        <f>IF(C1889="","",IFERROR(INDEX($S$5:$S$304,MATCH(C1889,$R$5:$R$304,0))&amp;"","?"))</f>
        <v/>
      </c>
      <c r="N1889" s="2">
        <f>IF(E1889="","",IF(ISNUMBER(SEARCH("SUBSOLO",E1889)),IFERROR(-VALUE(LEFT(E1889,FIND("º",SUBSTITUTE(E1889,"°","º"))-1)),-1),IF(LEFT(E1889,6)="TÉRREO",0,IFERROR(VALUE(LEFT(E1889,FIND("º",SUBSTITUTE(E1889,"°","º"))-1)),""))))</f>
        <v/>
      </c>
      <c r="O1889" s="2">
        <f>IF(OR(F1889="",G1889=""),"",IF(G1889&lt;='RETRATO 2027'!$K$5,"CONCLUÍDA",IF(F1889&lt;='RETRATO 2027'!$K$5,"EM ANDAMENTO","A INICIAR")))</f>
        <v/>
      </c>
    </row>
    <row r="1890">
      <c r="B1890" s="4" t="n">
        <v>30208612</v>
      </c>
      <c r="C1890" s="4" t="inlineStr">
        <is>
          <t>INSTALAÇÃO DE LUMINÁRIAS</t>
        </is>
      </c>
      <c r="D1890" s="4" t="inlineStr">
        <is>
          <t>-</t>
        </is>
      </c>
      <c r="E1890" s="4" t="inlineStr">
        <is>
          <t>6º PAV (PILOTIS) - PISCINA + PRAINHA + DECK</t>
        </is>
      </c>
      <c r="F1890" s="126" t="n">
        <v>46967</v>
      </c>
      <c r="G1890" s="126" t="n">
        <v>46973</v>
      </c>
      <c r="H1890" s="126" t="n">
        <v>46289</v>
      </c>
      <c r="I1890" s="4" t="n">
        <v>0</v>
      </c>
      <c r="J1890" s="4" t="n">
        <v>0</v>
      </c>
      <c r="K1890" s="4" t="n">
        <v>0</v>
      </c>
      <c r="M1890" s="2">
        <f>IF(C1890="","",IFERROR(INDEX($S$5:$S$304,MATCH(C1890,$R$5:$R$304,0))&amp;"","?"))</f>
        <v/>
      </c>
      <c r="N1890" s="2">
        <f>IF(E1890="","",IF(ISNUMBER(SEARCH("SUBSOLO",E1890)),IFERROR(-VALUE(LEFT(E1890,FIND("º",SUBSTITUTE(E1890,"°","º"))-1)),-1),IF(LEFT(E1890,6)="TÉRREO",0,IFERROR(VALUE(LEFT(E1890,FIND("º",SUBSTITUTE(E1890,"°","º"))-1)),""))))</f>
        <v/>
      </c>
      <c r="O1890" s="2">
        <f>IF(OR(F1890="",G1890=""),"",IF(G1890&lt;='RETRATO 2027'!$K$5,"CONCLUÍDA",IF(F1890&lt;='RETRATO 2027'!$K$5,"EM ANDAMENTO","A INICIAR")))</f>
        <v/>
      </c>
    </row>
    <row r="1891">
      <c r="B1891" s="4" t="n">
        <v>30209538</v>
      </c>
      <c r="C1891" s="4" t="inlineStr">
        <is>
          <t>EQUIPAMENTOS - PISCINA</t>
        </is>
      </c>
      <c r="D1891" s="4" t="inlineStr">
        <is>
          <t>-</t>
        </is>
      </c>
      <c r="E1891" s="4" t="inlineStr">
        <is>
          <t>6º PAV (PILOTIS) - PISCINA + PRAINHA + DECK</t>
        </is>
      </c>
      <c r="F1891" s="126" t="n">
        <v>46967</v>
      </c>
      <c r="G1891" s="126" t="n">
        <v>46997</v>
      </c>
      <c r="H1891" s="126" t="n">
        <v>46289</v>
      </c>
      <c r="I1891" s="4" t="n">
        <v>0</v>
      </c>
      <c r="J1891" s="4" t="n">
        <v>0</v>
      </c>
      <c r="K1891" s="4" t="n">
        <v>0</v>
      </c>
      <c r="M1891" s="2">
        <f>IF(C1891="","",IFERROR(INDEX($S$5:$S$304,MATCH(C1891,$R$5:$R$304,0))&amp;"","?"))</f>
        <v/>
      </c>
      <c r="N1891" s="2">
        <f>IF(E1891="","",IF(ISNUMBER(SEARCH("SUBSOLO",E1891)),IFERROR(-VALUE(LEFT(E1891,FIND("º",SUBSTITUTE(E1891,"°","º"))-1)),-1),IF(LEFT(E1891,6)="TÉRREO",0,IFERROR(VALUE(LEFT(E1891,FIND("º",SUBSTITUTE(E1891,"°","º"))-1)),""))))</f>
        <v/>
      </c>
      <c r="O1891" s="2">
        <f>IF(OR(F1891="",G1891=""),"",IF(G1891&lt;='RETRATO 2027'!$K$5,"CONCLUÍDA",IF(F1891&lt;='RETRATO 2027'!$K$5,"EM ANDAMENTO","A INICIAR")))</f>
        <v/>
      </c>
    </row>
    <row r="1892">
      <c r="B1892" s="4" t="n">
        <v>30205786</v>
      </c>
      <c r="C1892" s="4" t="inlineStr">
        <is>
          <t>PINTURA 2º DEMÃO</t>
        </is>
      </c>
      <c r="D1892" s="4" t="inlineStr">
        <is>
          <t>-</t>
        </is>
      </c>
      <c r="E1892" s="4" t="inlineStr">
        <is>
          <t>TÉRREO - ACESSO COMERCIAL + DML + ARS + ÁREA TEC + LAVABO + DISPENSA</t>
        </is>
      </c>
      <c r="F1892" s="126" t="n">
        <v>46968</v>
      </c>
      <c r="G1892" s="126" t="n">
        <v>46989</v>
      </c>
      <c r="H1892" s="126" t="n">
        <v>46289</v>
      </c>
      <c r="I1892" s="4" t="n">
        <v>0</v>
      </c>
      <c r="J1892" s="4" t="n">
        <v>0</v>
      </c>
      <c r="K1892" s="4" t="n">
        <v>0</v>
      </c>
      <c r="M1892" s="2">
        <f>IF(C1892="","",IFERROR(INDEX($S$5:$S$304,MATCH(C1892,$R$5:$R$304,0))&amp;"","?"))</f>
        <v/>
      </c>
      <c r="N1892" s="2">
        <f>IF(E1892="","",IF(ISNUMBER(SEARCH("SUBSOLO",E1892)),IFERROR(-VALUE(LEFT(E1892,FIND("º",SUBSTITUTE(E1892,"°","º"))-1)),-1),IF(LEFT(E1892,6)="TÉRREO",0,IFERROR(VALUE(LEFT(E1892,FIND("º",SUBSTITUTE(E1892,"°","º"))-1)),""))))</f>
        <v/>
      </c>
      <c r="O1892" s="2">
        <f>IF(OR(F1892="",G1892=""),"",IF(G1892&lt;='RETRATO 2027'!$K$5,"CONCLUÍDA",IF(F1892&lt;='RETRATO 2027'!$K$5,"EM ANDAMENTO","A INICIAR")))</f>
        <v/>
      </c>
    </row>
    <row r="1893">
      <c r="B1893" s="4" t="n">
        <v>30205826</v>
      </c>
      <c r="C1893" s="4" t="inlineStr">
        <is>
          <t>LIMPEZA GROSSA</t>
        </is>
      </c>
      <c r="D1893" s="4" t="inlineStr">
        <is>
          <t>-</t>
        </is>
      </c>
      <c r="E1893" s="4" t="inlineStr">
        <is>
          <t>TÉRREO - HALL SOCIAL + ECLUSA + CIRCULAÇÃO</t>
        </is>
      </c>
      <c r="F1893" s="126" t="n">
        <v>46968</v>
      </c>
      <c r="G1893" s="126" t="n">
        <v>46982</v>
      </c>
      <c r="H1893" s="126" t="n">
        <v>46289</v>
      </c>
      <c r="I1893" s="4" t="n">
        <v>0</v>
      </c>
      <c r="J1893" s="4" t="n">
        <v>0</v>
      </c>
      <c r="K1893" s="4" t="n">
        <v>0</v>
      </c>
      <c r="M1893" s="2">
        <f>IF(C1893="","",IFERROR(INDEX($S$5:$S$304,MATCH(C1893,$R$5:$R$304,0))&amp;"","?"))</f>
        <v/>
      </c>
      <c r="N1893" s="2">
        <f>IF(E1893="","",IF(ISNUMBER(SEARCH("SUBSOLO",E1893)),IFERROR(-VALUE(LEFT(E1893,FIND("º",SUBSTITUTE(E1893,"°","º"))-1)),-1),IF(LEFT(E1893,6)="TÉRREO",0,IFERROR(VALUE(LEFT(E1893,FIND("º",SUBSTITUTE(E1893,"°","º"))-1)),""))))</f>
        <v/>
      </c>
      <c r="O1893" s="2">
        <f>IF(OR(F1893="",G1893=""),"",IF(G1893&lt;='RETRATO 2027'!$K$5,"CONCLUÍDA",IF(F1893&lt;='RETRATO 2027'!$K$5,"EM ANDAMENTO","A INICIAR")))</f>
        <v/>
      </c>
    </row>
    <row r="1894">
      <c r="B1894" s="4" t="n">
        <v>30214417</v>
      </c>
      <c r="C1894" s="4" t="inlineStr">
        <is>
          <t>SPDA</t>
        </is>
      </c>
      <c r="D1894" s="4" t="inlineStr">
        <is>
          <t>-</t>
        </is>
      </c>
      <c r="E1894" s="4" t="inlineStr">
        <is>
          <t>33º PAV - BARRILETE</t>
        </is>
      </c>
      <c r="F1894" s="126" t="n">
        <v>46968</v>
      </c>
      <c r="G1894" s="126" t="n">
        <v>46982</v>
      </c>
      <c r="H1894" s="126" t="n">
        <v>46289</v>
      </c>
      <c r="I1894" s="4" t="n">
        <v>0</v>
      </c>
      <c r="J1894" s="4" t="n">
        <v>0</v>
      </c>
      <c r="K1894" s="4" t="n">
        <v>0</v>
      </c>
      <c r="M1894" s="2">
        <f>IF(C1894="","",IFERROR(INDEX($S$5:$S$304,MATCH(C1894,$R$5:$R$304,0))&amp;"","?"))</f>
        <v/>
      </c>
      <c r="N1894" s="2">
        <f>IF(E1894="","",IF(ISNUMBER(SEARCH("SUBSOLO",E1894)),IFERROR(-VALUE(LEFT(E1894,FIND("º",SUBSTITUTE(E1894,"°","º"))-1)),-1),IF(LEFT(E1894,6)="TÉRREO",0,IFERROR(VALUE(LEFT(E1894,FIND("º",SUBSTITUTE(E1894,"°","º"))-1)),""))))</f>
        <v/>
      </c>
      <c r="O1894" s="2">
        <f>IF(OR(F1894="",G1894=""),"",IF(G1894&lt;='RETRATO 2027'!$K$5,"CONCLUÍDA",IF(F1894&lt;='RETRATO 2027'!$K$5,"EM ANDAMENTO","A INICIAR")))</f>
        <v/>
      </c>
    </row>
    <row r="1895">
      <c r="B1895" s="4" t="n">
        <v>31800969</v>
      </c>
      <c r="C1895" s="4" t="inlineStr">
        <is>
          <t>TRATAMENTO DE CONCRETO APARENTE - F3 + F4</t>
        </is>
      </c>
      <c r="D1895" s="4" t="inlineStr">
        <is>
          <t>-</t>
        </is>
      </c>
      <c r="E1895" s="4" t="inlineStr">
        <is>
          <t>FACHADA</t>
        </is>
      </c>
      <c r="F1895" s="126" t="n">
        <v>46968</v>
      </c>
      <c r="G1895" s="126" t="n">
        <v>46996</v>
      </c>
      <c r="H1895" s="126" t="n">
        <v>46289</v>
      </c>
      <c r="I1895" s="4" t="n">
        <v>0</v>
      </c>
      <c r="J1895" s="4" t="n">
        <v>0</v>
      </c>
      <c r="K1895" s="4" t="n">
        <v>0</v>
      </c>
      <c r="M1895" s="2">
        <f>IF(C1895="","",IFERROR(INDEX($S$5:$S$304,MATCH(C1895,$R$5:$R$304,0))&amp;"","?"))</f>
        <v/>
      </c>
      <c r="N1895" s="2">
        <f>IF(E1895="","",IF(ISNUMBER(SEARCH("SUBSOLO",E1895)),IFERROR(-VALUE(LEFT(E1895,FIND("º",SUBSTITUTE(E1895,"°","º"))-1)),-1),IF(LEFT(E1895,6)="TÉRREO",0,IFERROR(VALUE(LEFT(E1895,FIND("º",SUBSTITUTE(E1895,"°","º"))-1)),""))))</f>
        <v/>
      </c>
      <c r="O1895" s="2">
        <f>IF(OR(F1895="",G1895=""),"",IF(G1895&lt;='RETRATO 2027'!$K$5,"CONCLUÍDA",IF(F1895&lt;='RETRATO 2027'!$K$5,"EM ANDAMENTO","A INICIAR")))</f>
        <v/>
      </c>
    </row>
    <row r="1896">
      <c r="B1896" s="4" t="n">
        <v>29981243</v>
      </c>
      <c r="C1896" s="4" t="inlineStr">
        <is>
          <t>CHECKLIST</t>
        </is>
      </c>
      <c r="D1896" s="4" t="inlineStr">
        <is>
          <t>-</t>
        </is>
      </c>
      <c r="E1896" s="4" t="inlineStr">
        <is>
          <t>15º PAV.</t>
        </is>
      </c>
      <c r="F1896" s="126" t="n">
        <v>46969</v>
      </c>
      <c r="G1896" s="126" t="n">
        <v>46975</v>
      </c>
      <c r="H1896" s="126" t="n">
        <v>46289</v>
      </c>
      <c r="I1896" s="4" t="n">
        <v>0</v>
      </c>
      <c r="J1896" s="4" t="n">
        <v>0</v>
      </c>
      <c r="K1896" s="4" t="n">
        <v>0</v>
      </c>
      <c r="M1896" s="2">
        <f>IF(C1896="","",IFERROR(INDEX($S$5:$S$304,MATCH(C1896,$R$5:$R$304,0))&amp;"","?"))</f>
        <v/>
      </c>
      <c r="N1896" s="2">
        <f>IF(E1896="","",IF(ISNUMBER(SEARCH("SUBSOLO",E1896)),IFERROR(-VALUE(LEFT(E1896,FIND("º",SUBSTITUTE(E1896,"°","º"))-1)),-1),IF(LEFT(E1896,6)="TÉRREO",0,IFERROR(VALUE(LEFT(E1896,FIND("º",SUBSTITUTE(E1896,"°","º"))-1)),""))))</f>
        <v/>
      </c>
      <c r="O1896" s="2">
        <f>IF(OR(F1896="",G1896=""),"",IF(G1896&lt;='RETRATO 2027'!$K$5,"CONCLUÍDA",IF(F1896&lt;='RETRATO 2027'!$K$5,"EM ANDAMENTO","A INICIAR")))</f>
        <v/>
      </c>
    </row>
    <row r="1897">
      <c r="B1897" s="4" t="n">
        <v>29981208</v>
      </c>
      <c r="C1897" s="4" t="inlineStr">
        <is>
          <t>ACABAMENTOS ELÉTRICOS</t>
        </is>
      </c>
      <c r="D1897" s="4" t="inlineStr">
        <is>
          <t>-</t>
        </is>
      </c>
      <c r="E1897" s="4" t="inlineStr">
        <is>
          <t>16º PAV.</t>
        </is>
      </c>
      <c r="F1897" s="126" t="n">
        <v>46969</v>
      </c>
      <c r="G1897" s="126" t="n">
        <v>46982</v>
      </c>
      <c r="H1897" s="126" t="n">
        <v>46289</v>
      </c>
      <c r="I1897" s="4" t="n">
        <v>0</v>
      </c>
      <c r="J1897" s="4" t="n">
        <v>0</v>
      </c>
      <c r="K1897" s="4" t="n">
        <v>0</v>
      </c>
      <c r="M1897" s="2">
        <f>IF(C1897="","",IFERROR(INDEX($S$5:$S$304,MATCH(C1897,$R$5:$R$304,0))&amp;"","?"))</f>
        <v/>
      </c>
      <c r="N1897" s="2">
        <f>IF(E1897="","",IF(ISNUMBER(SEARCH("SUBSOLO",E1897)),IFERROR(-VALUE(LEFT(E1897,FIND("º",SUBSTITUTE(E1897,"°","º"))-1)),-1),IF(LEFT(E1897,6)="TÉRREO",0,IFERROR(VALUE(LEFT(E1897,FIND("º",SUBSTITUTE(E1897,"°","º"))-1)),""))))</f>
        <v/>
      </c>
      <c r="O1897" s="2">
        <f>IF(OR(F1897="",G1897=""),"",IF(G1897&lt;='RETRATO 2027'!$K$5,"CONCLUÍDA",IF(F1897&lt;='RETRATO 2027'!$K$5,"EM ANDAMENTO","A INICIAR")))</f>
        <v/>
      </c>
    </row>
    <row r="1898">
      <c r="B1898" s="4" t="n">
        <v>29981168</v>
      </c>
      <c r="C1898" s="4" t="inlineStr">
        <is>
          <t>PINTURA 2º DEMÃO</t>
        </is>
      </c>
      <c r="D1898" s="4" t="inlineStr">
        <is>
          <t>-</t>
        </is>
      </c>
      <c r="E1898" s="4" t="inlineStr">
        <is>
          <t>17º PAV.</t>
        </is>
      </c>
      <c r="F1898" s="126" t="n">
        <v>46969</v>
      </c>
      <c r="G1898" s="126" t="n">
        <v>46982</v>
      </c>
      <c r="H1898" s="126" t="n">
        <v>46289</v>
      </c>
      <c r="I1898" s="4" t="n">
        <v>0</v>
      </c>
      <c r="J1898" s="4" t="n">
        <v>0</v>
      </c>
      <c r="K1898" s="4" t="n">
        <v>0</v>
      </c>
      <c r="M1898" s="2">
        <f>IF(C1898="","",IFERROR(INDEX($S$5:$S$304,MATCH(C1898,$R$5:$R$304,0))&amp;"","?"))</f>
        <v/>
      </c>
      <c r="N1898" s="2">
        <f>IF(E1898="","",IF(ISNUMBER(SEARCH("SUBSOLO",E1898)),IFERROR(-VALUE(LEFT(E1898,FIND("º",SUBSTITUTE(E1898,"°","º"))-1)),-1),IF(LEFT(E1898,6)="TÉRREO",0,IFERROR(VALUE(LEFT(E1898,FIND("º",SUBSTITUTE(E1898,"°","º"))-1)),""))))</f>
        <v/>
      </c>
      <c r="O1898" s="2">
        <f>IF(OR(F1898="",G1898=""),"",IF(G1898&lt;='RETRATO 2027'!$K$5,"CONCLUÍDA",IF(F1898&lt;='RETRATO 2027'!$K$5,"EM ANDAMENTO","A INICIAR")))</f>
        <v/>
      </c>
    </row>
    <row r="1899">
      <c r="B1899" s="4" t="n">
        <v>33919795</v>
      </c>
      <c r="C1899" s="4" t="inlineStr">
        <is>
          <t>TEXTURA - EXTERNA</t>
        </is>
      </c>
      <c r="D1899" s="4" t="inlineStr">
        <is>
          <t>-</t>
        </is>
      </c>
      <c r="E1899" s="4" t="inlineStr">
        <is>
          <t>17º PAV.</t>
        </is>
      </c>
      <c r="F1899" s="126" t="n">
        <v>46969</v>
      </c>
      <c r="G1899" s="126" t="n">
        <v>46982</v>
      </c>
      <c r="H1899" s="126" t="n">
        <v>46289</v>
      </c>
      <c r="I1899" s="4" t="n">
        <v>0</v>
      </c>
      <c r="J1899" s="4" t="n">
        <v>0</v>
      </c>
      <c r="K1899" s="4" t="n">
        <v>0</v>
      </c>
      <c r="M1899" s="2">
        <f>IF(C1899="","",IFERROR(INDEX($S$5:$S$304,MATCH(C1899,$R$5:$R$304,0))&amp;"","?"))</f>
        <v/>
      </c>
      <c r="N1899" s="2">
        <f>IF(E1899="","",IF(ISNUMBER(SEARCH("SUBSOLO",E1899)),IFERROR(-VALUE(LEFT(E1899,FIND("º",SUBSTITUTE(E1899,"°","º"))-1)),-1),IF(LEFT(E1899,6)="TÉRREO",0,IFERROR(VALUE(LEFT(E1899,FIND("º",SUBSTITUTE(E1899,"°","º"))-1)),""))))</f>
        <v/>
      </c>
      <c r="O1899" s="2">
        <f>IF(OR(F1899="",G1899=""),"",IF(G1899&lt;='RETRATO 2027'!$K$5,"CONCLUÍDA",IF(F1899&lt;='RETRATO 2027'!$K$5,"EM ANDAMENTO","A INICIAR")))</f>
        <v/>
      </c>
    </row>
    <row r="1900">
      <c r="B1900" s="4" t="n">
        <v>29981130</v>
      </c>
      <c r="C1900" s="4" t="inlineStr">
        <is>
          <t>LIMPEZA GROSSA</t>
        </is>
      </c>
      <c r="D1900" s="4" t="inlineStr">
        <is>
          <t>-</t>
        </is>
      </c>
      <c r="E1900" s="4" t="inlineStr">
        <is>
          <t>18º PAV.</t>
        </is>
      </c>
      <c r="F1900" s="126" t="n">
        <v>46969</v>
      </c>
      <c r="G1900" s="126" t="n">
        <v>46982</v>
      </c>
      <c r="H1900" s="126" t="n">
        <v>46289</v>
      </c>
      <c r="I1900" s="4" t="n">
        <v>0</v>
      </c>
      <c r="J1900" s="4" t="n">
        <v>0</v>
      </c>
      <c r="K1900" s="4" t="n">
        <v>0</v>
      </c>
      <c r="M1900" s="2">
        <f>IF(C1900="","",IFERROR(INDEX($S$5:$S$304,MATCH(C1900,$R$5:$R$304,0))&amp;"","?"))</f>
        <v/>
      </c>
      <c r="N1900" s="2">
        <f>IF(E1900="","",IF(ISNUMBER(SEARCH("SUBSOLO",E1900)),IFERROR(-VALUE(LEFT(E1900,FIND("º",SUBSTITUTE(E1900,"°","º"))-1)),-1),IF(LEFT(E1900,6)="TÉRREO",0,IFERROR(VALUE(LEFT(E1900,FIND("º",SUBSTITUTE(E1900,"°","º"))-1)),""))))</f>
        <v/>
      </c>
      <c r="O1900" s="2">
        <f>IF(OR(F1900="",G1900=""),"",IF(G1900&lt;='RETRATO 2027'!$K$5,"CONCLUÍDA",IF(F1900&lt;='RETRATO 2027'!$K$5,"EM ANDAMENTO","A INICIAR")))</f>
        <v/>
      </c>
    </row>
    <row r="1901">
      <c r="B1901" s="4" t="n">
        <v>29981050</v>
      </c>
      <c r="C1901" s="4" t="inlineStr">
        <is>
          <t>LOUÇAS</t>
        </is>
      </c>
      <c r="D1901" s="4" t="inlineStr">
        <is>
          <t>-</t>
        </is>
      </c>
      <c r="E1901" s="4" t="inlineStr">
        <is>
          <t>20º PAV.</t>
        </is>
      </c>
      <c r="F1901" s="126" t="n">
        <v>46969</v>
      </c>
      <c r="G1901" s="126" t="n">
        <v>46982</v>
      </c>
      <c r="H1901" s="126" t="n">
        <v>46289</v>
      </c>
      <c r="I1901" s="4" t="n">
        <v>0</v>
      </c>
      <c r="J1901" s="4" t="n">
        <v>0</v>
      </c>
      <c r="K1901" s="4" t="n">
        <v>0</v>
      </c>
      <c r="M1901" s="2">
        <f>IF(C1901="","",IFERROR(INDEX($S$5:$S$304,MATCH(C1901,$R$5:$R$304,0))&amp;"","?"))</f>
        <v/>
      </c>
      <c r="N1901" s="2">
        <f>IF(E1901="","",IF(ISNUMBER(SEARCH("SUBSOLO",E1901)),IFERROR(-VALUE(LEFT(E1901,FIND("º",SUBSTITUTE(E1901,"°","º"))-1)),-1),IF(LEFT(E1901,6)="TÉRREO",0,IFERROR(VALUE(LEFT(E1901,FIND("º",SUBSTITUTE(E1901,"°","º"))-1)),""))))</f>
        <v/>
      </c>
      <c r="O1901" s="2">
        <f>IF(OR(F1901="",G1901=""),"",IF(G1901&lt;='RETRATO 2027'!$K$5,"CONCLUÍDA",IF(F1901&lt;='RETRATO 2027'!$K$5,"EM ANDAMENTO","A INICIAR")))</f>
        <v/>
      </c>
    </row>
    <row r="1902">
      <c r="B1902" s="4" t="n">
        <v>29981055</v>
      </c>
      <c r="C1902" s="4" t="inlineStr">
        <is>
          <t>METAIS</t>
        </is>
      </c>
      <c r="D1902" s="4" t="inlineStr">
        <is>
          <t>-</t>
        </is>
      </c>
      <c r="E1902" s="4" t="inlineStr">
        <is>
          <t>20º PAV.</t>
        </is>
      </c>
      <c r="F1902" s="126" t="n">
        <v>46969</v>
      </c>
      <c r="G1902" s="126" t="n">
        <v>46982</v>
      </c>
      <c r="H1902" s="126" t="n">
        <v>46289</v>
      </c>
      <c r="I1902" s="4" t="n">
        <v>0</v>
      </c>
      <c r="J1902" s="4" t="n">
        <v>0</v>
      </c>
      <c r="K1902" s="4" t="n">
        <v>0</v>
      </c>
      <c r="M1902" s="2">
        <f>IF(C1902="","",IFERROR(INDEX($S$5:$S$304,MATCH(C1902,$R$5:$R$304,0))&amp;"","?"))</f>
        <v/>
      </c>
      <c r="N1902" s="2">
        <f>IF(E1902="","",IF(ISNUMBER(SEARCH("SUBSOLO",E1902)),IFERROR(-VALUE(LEFT(E1902,FIND("º",SUBSTITUTE(E1902,"°","º"))-1)),-1),IF(LEFT(E1902,6)="TÉRREO",0,IFERROR(VALUE(LEFT(E1902,FIND("º",SUBSTITUTE(E1902,"°","º"))-1)),""))))</f>
        <v/>
      </c>
      <c r="O1902" s="2">
        <f>IF(OR(F1902="",G1902=""),"",IF(G1902&lt;='RETRATO 2027'!$K$5,"CONCLUÍDA",IF(F1902&lt;='RETRATO 2027'!$K$5,"EM ANDAMENTO","A INICIAR")))</f>
        <v/>
      </c>
    </row>
    <row r="1903">
      <c r="B1903" s="4" t="n">
        <v>29981054</v>
      </c>
      <c r="C1903" s="4" t="inlineStr">
        <is>
          <t>DISJUNTORES / MIOLOS</t>
        </is>
      </c>
      <c r="D1903" s="4" t="inlineStr">
        <is>
          <t>-</t>
        </is>
      </c>
      <c r="E1903" s="4" t="inlineStr">
        <is>
          <t>20º PAV.</t>
        </is>
      </c>
      <c r="F1903" s="126" t="n">
        <v>46969</v>
      </c>
      <c r="G1903" s="126" t="n">
        <v>46982</v>
      </c>
      <c r="H1903" s="126" t="n">
        <v>46289</v>
      </c>
      <c r="I1903" s="4" t="n">
        <v>0</v>
      </c>
      <c r="J1903" s="4" t="n">
        <v>0</v>
      </c>
      <c r="K1903" s="4" t="n">
        <v>0</v>
      </c>
      <c r="M1903" s="2">
        <f>IF(C1903="","",IFERROR(INDEX($S$5:$S$304,MATCH(C1903,$R$5:$R$304,0))&amp;"","?"))</f>
        <v/>
      </c>
      <c r="N1903" s="2">
        <f>IF(E1903="","",IF(ISNUMBER(SEARCH("SUBSOLO",E1903)),IFERROR(-VALUE(LEFT(E1903,FIND("º",SUBSTITUTE(E1903,"°","º"))-1)),-1),IF(LEFT(E1903,6)="TÉRREO",0,IFERROR(VALUE(LEFT(E1903,FIND("º",SUBSTITUTE(E1903,"°","º"))-1)),""))))</f>
        <v/>
      </c>
      <c r="O1903" s="2">
        <f>IF(OR(F1903="",G1903=""),"",IF(G1903&lt;='RETRATO 2027'!$K$5,"CONCLUÍDA",IF(F1903&lt;='RETRATO 2027'!$K$5,"EM ANDAMENTO","A INICIAR")))</f>
        <v/>
      </c>
    </row>
    <row r="1904">
      <c r="B1904" s="4" t="n">
        <v>29981053</v>
      </c>
      <c r="C1904" s="4" t="inlineStr">
        <is>
          <t>COMUNICAÇÃO E ALARME</t>
        </is>
      </c>
      <c r="D1904" s="4" t="inlineStr">
        <is>
          <t>-</t>
        </is>
      </c>
      <c r="E1904" s="4" t="inlineStr">
        <is>
          <t>20º PAV.</t>
        </is>
      </c>
      <c r="F1904" s="126" t="n">
        <v>46969</v>
      </c>
      <c r="G1904" s="126" t="n">
        <v>46982</v>
      </c>
      <c r="H1904" s="126" t="n">
        <v>46289</v>
      </c>
      <c r="I1904" s="4" t="n">
        <v>0</v>
      </c>
      <c r="J1904" s="4" t="n">
        <v>0</v>
      </c>
      <c r="K1904" s="4" t="n">
        <v>0</v>
      </c>
      <c r="M1904" s="2">
        <f>IF(C1904="","",IFERROR(INDEX($S$5:$S$304,MATCH(C1904,$R$5:$R$304,0))&amp;"","?"))</f>
        <v/>
      </c>
      <c r="N1904" s="2">
        <f>IF(E1904="","",IF(ISNUMBER(SEARCH("SUBSOLO",E1904)),IFERROR(-VALUE(LEFT(E1904,FIND("º",SUBSTITUTE(E1904,"°","º"))-1)),-1),IF(LEFT(E1904,6)="TÉRREO",0,IFERROR(VALUE(LEFT(E1904,FIND("º",SUBSTITUTE(E1904,"°","º"))-1)),""))))</f>
        <v/>
      </c>
      <c r="O1904" s="2">
        <f>IF(OR(F1904="",G1904=""),"",IF(G1904&lt;='RETRATO 2027'!$K$5,"CONCLUÍDA",IF(F1904&lt;='RETRATO 2027'!$K$5,"EM ANDAMENTO","A INICIAR")))</f>
        <v/>
      </c>
    </row>
    <row r="1905">
      <c r="B1905" s="4" t="n">
        <v>29981012</v>
      </c>
      <c r="C1905" s="4" t="inlineStr">
        <is>
          <t>RODAPÉ MADEIRA / PVC</t>
        </is>
      </c>
      <c r="D1905" s="4" t="inlineStr">
        <is>
          <t>-</t>
        </is>
      </c>
      <c r="E1905" s="4" t="inlineStr">
        <is>
          <t>21º PAV.</t>
        </is>
      </c>
      <c r="F1905" s="126" t="n">
        <v>46969</v>
      </c>
      <c r="G1905" s="126" t="n">
        <v>46982</v>
      </c>
      <c r="H1905" s="126" t="n">
        <v>46289</v>
      </c>
      <c r="I1905" s="4" t="n">
        <v>0</v>
      </c>
      <c r="J1905" s="4" t="n">
        <v>0</v>
      </c>
      <c r="K1905" s="4" t="n">
        <v>0</v>
      </c>
      <c r="M1905" s="2">
        <f>IF(C1905="","",IFERROR(INDEX($S$5:$S$304,MATCH(C1905,$R$5:$R$304,0))&amp;"","?"))</f>
        <v/>
      </c>
      <c r="N1905" s="2">
        <f>IF(E1905="","",IF(ISNUMBER(SEARCH("SUBSOLO",E1905)),IFERROR(-VALUE(LEFT(E1905,FIND("º",SUBSTITUTE(E1905,"°","º"))-1)),-1),IF(LEFT(E1905,6)="TÉRREO",0,IFERROR(VALUE(LEFT(E1905,FIND("º",SUBSTITUTE(E1905,"°","º"))-1)),""))))</f>
        <v/>
      </c>
      <c r="O1905" s="2">
        <f>IF(OR(F1905="",G1905=""),"",IF(G1905&lt;='RETRATO 2027'!$K$5,"CONCLUÍDA",IF(F1905&lt;='RETRATO 2027'!$K$5,"EM ANDAMENTO","A INICIAR")))</f>
        <v/>
      </c>
    </row>
    <row r="1906">
      <c r="B1906" s="4" t="n">
        <v>29980974</v>
      </c>
      <c r="C1906" s="4" t="inlineStr">
        <is>
          <t>ESQUADRIA MADEIRA</t>
        </is>
      </c>
      <c r="D1906" s="4" t="inlineStr">
        <is>
          <t>-</t>
        </is>
      </c>
      <c r="E1906" s="4" t="inlineStr">
        <is>
          <t>22º PAV.</t>
        </is>
      </c>
      <c r="F1906" s="126" t="n">
        <v>46969</v>
      </c>
      <c r="G1906" s="126" t="n">
        <v>46982</v>
      </c>
      <c r="H1906" s="126" t="n">
        <v>46289</v>
      </c>
      <c r="I1906" s="4" t="n">
        <v>0</v>
      </c>
      <c r="J1906" s="4" t="n">
        <v>0</v>
      </c>
      <c r="K1906" s="4" t="n">
        <v>0</v>
      </c>
      <c r="M1906" s="2">
        <f>IF(C1906="","",IFERROR(INDEX($S$5:$S$304,MATCH(C1906,$R$5:$R$304,0))&amp;"","?"))</f>
        <v/>
      </c>
      <c r="N1906" s="2">
        <f>IF(E1906="","",IF(ISNUMBER(SEARCH("SUBSOLO",E1906)),IFERROR(-VALUE(LEFT(E1906,FIND("º",SUBSTITUTE(E1906,"°","º"))-1)),-1),IF(LEFT(E1906,6)="TÉRREO",0,IFERROR(VALUE(LEFT(E1906,FIND("º",SUBSTITUTE(E1906,"°","º"))-1)),""))))</f>
        <v/>
      </c>
      <c r="O1906" s="2">
        <f>IF(OR(F1906="",G1906=""),"",IF(G1906&lt;='RETRATO 2027'!$K$5,"CONCLUÍDA",IF(F1906&lt;='RETRATO 2027'!$K$5,"EM ANDAMENTO","A INICIAR")))</f>
        <v/>
      </c>
    </row>
    <row r="1907">
      <c r="B1907" s="4" t="n">
        <v>29980936</v>
      </c>
      <c r="C1907" s="4" t="inlineStr">
        <is>
          <t>PISO VINÍLICO / LAMINADO</t>
        </is>
      </c>
      <c r="D1907" s="4" t="inlineStr">
        <is>
          <t>-</t>
        </is>
      </c>
      <c r="E1907" s="4" t="inlineStr">
        <is>
          <t>23º PAV.</t>
        </is>
      </c>
      <c r="F1907" s="126" t="n">
        <v>46969</v>
      </c>
      <c r="G1907" s="126" t="n">
        <v>46982</v>
      </c>
      <c r="H1907" s="126" t="n">
        <v>46289</v>
      </c>
      <c r="I1907" s="4" t="n">
        <v>0</v>
      </c>
      <c r="J1907" s="4" t="n">
        <v>0</v>
      </c>
      <c r="K1907" s="4" t="n">
        <v>0</v>
      </c>
      <c r="M1907" s="2">
        <f>IF(C1907="","",IFERROR(INDEX($S$5:$S$304,MATCH(C1907,$R$5:$R$304,0))&amp;"","?"))</f>
        <v/>
      </c>
      <c r="N1907" s="2">
        <f>IF(E1907="","",IF(ISNUMBER(SEARCH("SUBSOLO",E1907)),IFERROR(-VALUE(LEFT(E1907,FIND("º",SUBSTITUTE(E1907,"°","º"))-1)),-1),IF(LEFT(E1907,6)="TÉRREO",0,IFERROR(VALUE(LEFT(E1907,FIND("º",SUBSTITUTE(E1907,"°","º"))-1)),""))))</f>
        <v/>
      </c>
      <c r="O1907" s="2">
        <f>IF(OR(F1907="",G1907=""),"",IF(G1907&lt;='RETRATO 2027'!$K$5,"CONCLUÍDA",IF(F1907&lt;='RETRATO 2027'!$K$5,"EM ANDAMENTO","A INICIAR")))</f>
        <v/>
      </c>
    </row>
    <row r="1908">
      <c r="B1908" s="4" t="n">
        <v>29980898</v>
      </c>
      <c r="C1908" s="4" t="inlineStr">
        <is>
          <t>PINTURA 1º DEMÃO</t>
        </is>
      </c>
      <c r="D1908" s="4" t="inlineStr">
        <is>
          <t>-</t>
        </is>
      </c>
      <c r="E1908" s="4" t="inlineStr">
        <is>
          <t>24º PAV.</t>
        </is>
      </c>
      <c r="F1908" s="126" t="n">
        <v>46969</v>
      </c>
      <c r="G1908" s="126" t="n">
        <v>46982</v>
      </c>
      <c r="H1908" s="126" t="n">
        <v>46289</v>
      </c>
      <c r="I1908" s="4" t="n">
        <v>0</v>
      </c>
      <c r="J1908" s="4" t="n">
        <v>0</v>
      </c>
      <c r="K1908" s="4" t="n">
        <v>0</v>
      </c>
      <c r="M1908" s="2">
        <f>IF(C1908="","",IFERROR(INDEX($S$5:$S$304,MATCH(C1908,$R$5:$R$304,0))&amp;"","?"))</f>
        <v/>
      </c>
      <c r="N1908" s="2">
        <f>IF(E1908="","",IF(ISNUMBER(SEARCH("SUBSOLO",E1908)),IFERROR(-VALUE(LEFT(E1908,FIND("º",SUBSTITUTE(E1908,"°","º"))-1)),-1),IF(LEFT(E1908,6)="TÉRREO",0,IFERROR(VALUE(LEFT(E1908,FIND("º",SUBSTITUTE(E1908,"°","º"))-1)),""))))</f>
        <v/>
      </c>
      <c r="O1908" s="2">
        <f>IF(OR(F1908="",G1908=""),"",IF(G1908&lt;='RETRATO 2027'!$K$5,"CONCLUÍDA",IF(F1908&lt;='RETRATO 2027'!$K$5,"EM ANDAMENTO","A INICIAR")))</f>
        <v/>
      </c>
    </row>
    <row r="1909">
      <c r="B1909" s="4" t="n">
        <v>29980887</v>
      </c>
      <c r="C1909" s="4" t="inlineStr">
        <is>
          <t>MASSA CORRIDA</t>
        </is>
      </c>
      <c r="D1909" s="4" t="inlineStr">
        <is>
          <t>-</t>
        </is>
      </c>
      <c r="E1909" s="4" t="inlineStr">
        <is>
          <t>25º PAV.</t>
        </is>
      </c>
      <c r="F1909" s="126" t="n">
        <v>46969</v>
      </c>
      <c r="G1909" s="126" t="n">
        <v>46982</v>
      </c>
      <c r="H1909" s="126" t="n">
        <v>46289</v>
      </c>
      <c r="I1909" s="4" t="n">
        <v>0</v>
      </c>
      <c r="J1909" s="4" t="n">
        <v>0</v>
      </c>
      <c r="K1909" s="4" t="n">
        <v>0</v>
      </c>
      <c r="M1909" s="2">
        <f>IF(C1909="","",IFERROR(INDEX($S$5:$S$304,MATCH(C1909,$R$5:$R$304,0))&amp;"","?"))</f>
        <v/>
      </c>
      <c r="N1909" s="2">
        <f>IF(E1909="","",IF(ISNUMBER(SEARCH("SUBSOLO",E1909)),IFERROR(-VALUE(LEFT(E1909,FIND("º",SUBSTITUTE(E1909,"°","º"))-1)),-1),IF(LEFT(E1909,6)="TÉRREO",0,IFERROR(VALUE(LEFT(E1909,FIND("º",SUBSTITUTE(E1909,"°","º"))-1)),""))))</f>
        <v/>
      </c>
      <c r="O1909" s="2">
        <f>IF(OR(F1909="",G1909=""),"",IF(G1909&lt;='RETRATO 2027'!$K$5,"CONCLUÍDA",IF(F1909&lt;='RETRATO 2027'!$K$5,"EM ANDAMENTO","A INICIAR")))</f>
        <v/>
      </c>
    </row>
    <row r="1910">
      <c r="B1910" s="4" t="n">
        <v>33898110</v>
      </c>
      <c r="C1910" s="4" t="inlineStr">
        <is>
          <t>ESQUADRIA DE ALUMÍNIO</t>
        </is>
      </c>
      <c r="D1910" s="4" t="inlineStr">
        <is>
          <t>-</t>
        </is>
      </c>
      <c r="E1910" s="4" t="inlineStr">
        <is>
          <t>26º PAV.</t>
        </is>
      </c>
      <c r="F1910" s="126" t="n">
        <v>46969</v>
      </c>
      <c r="G1910" s="126" t="n">
        <v>46982</v>
      </c>
      <c r="H1910" s="126" t="n">
        <v>46289</v>
      </c>
      <c r="I1910" s="4" t="n">
        <v>0</v>
      </c>
      <c r="J1910" s="4" t="n">
        <v>0</v>
      </c>
      <c r="K1910" s="4" t="n">
        <v>0</v>
      </c>
      <c r="M1910" s="2">
        <f>IF(C1910="","",IFERROR(INDEX($S$5:$S$304,MATCH(C1910,$R$5:$R$304,0))&amp;"","?"))</f>
        <v/>
      </c>
      <c r="N1910" s="2">
        <f>IF(E1910="","",IF(ISNUMBER(SEARCH("SUBSOLO",E1910)),IFERROR(-VALUE(LEFT(E1910,FIND("º",SUBSTITUTE(E1910,"°","º"))-1)),-1),IF(LEFT(E1910,6)="TÉRREO",0,IFERROR(VALUE(LEFT(E1910,FIND("º",SUBSTITUTE(E1910,"°","º"))-1)),""))))</f>
        <v/>
      </c>
      <c r="O1910" s="2">
        <f>IF(OR(F1910="",G1910=""),"",IF(G1910&lt;='RETRATO 2027'!$K$5,"CONCLUÍDA",IF(F1910&lt;='RETRATO 2027'!$K$5,"EM ANDAMENTO","A INICIAR")))</f>
        <v/>
      </c>
    </row>
    <row r="1911">
      <c r="B1911" s="4" t="n">
        <v>29980700</v>
      </c>
      <c r="C1911" s="4" t="inlineStr">
        <is>
          <t>FORRO</t>
        </is>
      </c>
      <c r="D1911" s="4" t="inlineStr">
        <is>
          <t>-</t>
        </is>
      </c>
      <c r="E1911" s="4" t="inlineStr">
        <is>
          <t>30º PAV.</t>
        </is>
      </c>
      <c r="F1911" s="126" t="n">
        <v>46972</v>
      </c>
      <c r="G1911" s="126" t="n">
        <v>46983</v>
      </c>
      <c r="H1911" s="126" t="n">
        <v>46289</v>
      </c>
      <c r="I1911" s="4" t="n">
        <v>0</v>
      </c>
      <c r="J1911" s="4" t="n">
        <v>0</v>
      </c>
      <c r="K1911" s="4" t="n">
        <v>0</v>
      </c>
      <c r="M1911" s="2">
        <f>IF(C1911="","",IFERROR(INDEX($S$5:$S$304,MATCH(C1911,$R$5:$R$304,0))&amp;"","?"))</f>
        <v/>
      </c>
      <c r="N1911" s="2">
        <f>IF(E1911="","",IF(ISNUMBER(SEARCH("SUBSOLO",E1911)),IFERROR(-VALUE(LEFT(E1911,FIND("º",SUBSTITUTE(E1911,"°","º"))-1)),-1),IF(LEFT(E1911,6)="TÉRREO",0,IFERROR(VALUE(LEFT(E1911,FIND("º",SUBSTITUTE(E1911,"°","º"))-1)),""))))</f>
        <v/>
      </c>
      <c r="O1911" s="2">
        <f>IF(OR(F1911="",G1911=""),"",IF(G1911&lt;='RETRATO 2027'!$K$5,"CONCLUÍDA",IF(F1911&lt;='RETRATO 2027'!$K$5,"EM ANDAMENTO","A INICIAR")))</f>
        <v/>
      </c>
    </row>
    <row r="1912">
      <c r="B1912" s="4" t="n">
        <v>29980661</v>
      </c>
      <c r="C1912" s="4" t="inlineStr">
        <is>
          <t>FIAÇÃO ELÉTRICA</t>
        </is>
      </c>
      <c r="D1912" s="4" t="inlineStr">
        <is>
          <t>-</t>
        </is>
      </c>
      <c r="E1912" s="4" t="inlineStr">
        <is>
          <t>31º PAV. - COBERTURA LINEAR</t>
        </is>
      </c>
      <c r="F1912" s="126" t="n">
        <v>46972</v>
      </c>
      <c r="G1912" s="126" t="n">
        <v>46983</v>
      </c>
      <c r="H1912" s="126" t="n">
        <v>46289</v>
      </c>
      <c r="I1912" s="4" t="n">
        <v>0</v>
      </c>
      <c r="J1912" s="4" t="n">
        <v>0</v>
      </c>
      <c r="K1912" s="4" t="n">
        <v>0</v>
      </c>
      <c r="M1912" s="2">
        <f>IF(C1912="","",IFERROR(INDEX($S$5:$S$304,MATCH(C1912,$R$5:$R$304,0))&amp;"","?"))</f>
        <v/>
      </c>
      <c r="N1912" s="2">
        <f>IF(E1912="","",IF(ISNUMBER(SEARCH("SUBSOLO",E1912)),IFERROR(-VALUE(LEFT(E1912,FIND("º",SUBSTITUTE(E1912,"°","º"))-1)),-1),IF(LEFT(E1912,6)="TÉRREO",0,IFERROR(VALUE(LEFT(E1912,FIND("º",SUBSTITUTE(E1912,"°","º"))-1)),""))))</f>
        <v/>
      </c>
      <c r="O1912" s="2">
        <f>IF(OR(F1912="",G1912=""),"",IF(G1912&lt;='RETRATO 2027'!$K$5,"CONCLUÍDA",IF(F1912&lt;='RETRATO 2027'!$K$5,"EM ANDAMENTO","A INICIAR")))</f>
        <v/>
      </c>
    </row>
    <row r="1913">
      <c r="B1913" s="4" t="n">
        <v>29980666</v>
      </c>
      <c r="C1913" s="4" t="inlineStr">
        <is>
          <t>PRUMADA ELÉTRICA - CABOS</t>
        </is>
      </c>
      <c r="D1913" s="4" t="inlineStr">
        <is>
          <t>-</t>
        </is>
      </c>
      <c r="E1913" s="4" t="inlineStr">
        <is>
          <t>31º PAV. - COBERTURA LINEAR</t>
        </is>
      </c>
      <c r="F1913" s="126" t="n">
        <v>46972</v>
      </c>
      <c r="G1913" s="126" t="n">
        <v>46983</v>
      </c>
      <c r="H1913" s="126" t="n">
        <v>46289</v>
      </c>
      <c r="I1913" s="4" t="n">
        <v>0</v>
      </c>
      <c r="J1913" s="4" t="n">
        <v>0</v>
      </c>
      <c r="K1913" s="4" t="n">
        <v>0</v>
      </c>
      <c r="M1913" s="2">
        <f>IF(C1913="","",IFERROR(INDEX($S$5:$S$304,MATCH(C1913,$R$5:$R$304,0))&amp;"","?"))</f>
        <v/>
      </c>
      <c r="N1913" s="2">
        <f>IF(E1913="","",IF(ISNUMBER(SEARCH("SUBSOLO",E1913)),IFERROR(-VALUE(LEFT(E1913,FIND("º",SUBSTITUTE(E1913,"°","º"))-1)),-1),IF(LEFT(E1913,6)="TÉRREO",0,IFERROR(VALUE(LEFT(E1913,FIND("º",SUBSTITUTE(E1913,"°","º"))-1)),""))))</f>
        <v/>
      </c>
      <c r="O1913" s="2">
        <f>IF(OR(F1913="",G1913=""),"",IF(G1913&lt;='RETRATO 2027'!$K$5,"CONCLUÍDA",IF(F1913&lt;='RETRATO 2027'!$K$5,"EM ANDAMENTO","A INICIAR")))</f>
        <v/>
      </c>
    </row>
    <row r="1914">
      <c r="B1914" s="4" t="n">
        <v>30214093</v>
      </c>
      <c r="C1914" s="4" t="inlineStr">
        <is>
          <t>FIAÇÃO TELECOM/DADOS</t>
        </is>
      </c>
      <c r="D1914" s="4" t="inlineStr">
        <is>
          <t>-</t>
        </is>
      </c>
      <c r="E1914" s="4" t="inlineStr">
        <is>
          <t>31º PAV. - COBERTURA LINEAR</t>
        </is>
      </c>
      <c r="F1914" s="126" t="n">
        <v>46972</v>
      </c>
      <c r="G1914" s="126" t="n">
        <v>46986</v>
      </c>
      <c r="H1914" s="126" t="n">
        <v>46289</v>
      </c>
      <c r="I1914" s="4" t="n">
        <v>0</v>
      </c>
      <c r="J1914" s="4" t="n">
        <v>0</v>
      </c>
      <c r="K1914" s="4" t="n">
        <v>0</v>
      </c>
      <c r="M1914" s="2">
        <f>IF(C1914="","",IFERROR(INDEX($S$5:$S$304,MATCH(C1914,$R$5:$R$304,0))&amp;"","?"))</f>
        <v/>
      </c>
      <c r="N1914" s="2">
        <f>IF(E1914="","",IF(ISNUMBER(SEARCH("SUBSOLO",E1914)),IFERROR(-VALUE(LEFT(E1914,FIND("º",SUBSTITUTE(E1914,"°","º"))-1)),-1),IF(LEFT(E1914,6)="TÉRREO",0,IFERROR(VALUE(LEFT(E1914,FIND("º",SUBSTITUTE(E1914,"°","º"))-1)),""))))</f>
        <v/>
      </c>
      <c r="O1914" s="2">
        <f>IF(OR(F1914="",G1914=""),"",IF(G1914&lt;='RETRATO 2027'!$K$5,"CONCLUÍDA",IF(F1914&lt;='RETRATO 2027'!$K$5,"EM ANDAMENTO","A INICIAR")))</f>
        <v/>
      </c>
    </row>
    <row r="1915">
      <c r="B1915" s="4" t="n">
        <v>29980608</v>
      </c>
      <c r="C1915" s="4" t="inlineStr">
        <is>
          <t>BANCADAS</t>
        </is>
      </c>
      <c r="D1915" s="4" t="inlineStr">
        <is>
          <t>-</t>
        </is>
      </c>
      <c r="E1915" s="4" t="inlineStr">
        <is>
          <t>32º PAV - COBERTURA GERAL</t>
        </is>
      </c>
      <c r="F1915" s="126" t="n">
        <v>46972</v>
      </c>
      <c r="G1915" s="126" t="n">
        <v>46983</v>
      </c>
      <c r="H1915" s="126" t="n">
        <v>46289</v>
      </c>
      <c r="I1915" s="4" t="n">
        <v>0</v>
      </c>
      <c r="J1915" s="4" t="n">
        <v>0</v>
      </c>
      <c r="K1915" s="4" t="n">
        <v>0</v>
      </c>
      <c r="M1915" s="2">
        <f>IF(C1915="","",IFERROR(INDEX($S$5:$S$304,MATCH(C1915,$R$5:$R$304,0))&amp;"","?"))</f>
        <v/>
      </c>
      <c r="N1915" s="2">
        <f>IF(E1915="","",IF(ISNUMBER(SEARCH("SUBSOLO",E1915)),IFERROR(-VALUE(LEFT(E1915,FIND("º",SUBSTITUTE(E1915,"°","º"))-1)),-1),IF(LEFT(E1915,6)="TÉRREO",0,IFERROR(VALUE(LEFT(E1915,FIND("º",SUBSTITUTE(E1915,"°","º"))-1)),""))))</f>
        <v/>
      </c>
      <c r="O1915" s="2">
        <f>IF(OR(F1915="",G1915=""),"",IF(G1915&lt;='RETRATO 2027'!$K$5,"CONCLUÍDA",IF(F1915&lt;='RETRATO 2027'!$K$5,"EM ANDAMENTO","A INICIAR")))</f>
        <v/>
      </c>
    </row>
    <row r="1916">
      <c r="B1916" s="4" t="n">
        <v>30214415</v>
      </c>
      <c r="C1916" s="4" t="inlineStr">
        <is>
          <t>SPDA</t>
        </is>
      </c>
      <c r="D1916" s="4" t="inlineStr">
        <is>
          <t>-</t>
        </is>
      </c>
      <c r="E1916" s="4" t="inlineStr">
        <is>
          <t>34º PAV - RESERVATÓRIO</t>
        </is>
      </c>
      <c r="F1916" s="126" t="n">
        <v>46972</v>
      </c>
      <c r="G1916" s="126" t="n">
        <v>46986</v>
      </c>
      <c r="H1916" s="126" t="n">
        <v>46289</v>
      </c>
      <c r="I1916" s="4" t="n">
        <v>0</v>
      </c>
      <c r="J1916" s="4" t="n">
        <v>0</v>
      </c>
      <c r="K1916" s="4" t="n">
        <v>0</v>
      </c>
      <c r="M1916" s="2">
        <f>IF(C1916="","",IFERROR(INDEX($S$5:$S$304,MATCH(C1916,$R$5:$R$304,0))&amp;"","?"))</f>
        <v/>
      </c>
      <c r="N1916" s="2">
        <f>IF(E1916="","",IF(ISNUMBER(SEARCH("SUBSOLO",E1916)),IFERROR(-VALUE(LEFT(E1916,FIND("º",SUBSTITUTE(E1916,"°","º"))-1)),-1),IF(LEFT(E1916,6)="TÉRREO",0,IFERROR(VALUE(LEFT(E1916,FIND("º",SUBSTITUTE(E1916,"°","º"))-1)),""))))</f>
        <v/>
      </c>
      <c r="O1916" s="2">
        <f>IF(OR(F1916="",G1916=""),"",IF(G1916&lt;='RETRATO 2027'!$K$5,"CONCLUÍDA",IF(F1916&lt;='RETRATO 2027'!$K$5,"EM ANDAMENTO","A INICIAR")))</f>
        <v/>
      </c>
    </row>
    <row r="1917">
      <c r="B1917" s="4" t="n">
        <v>30205906</v>
      </c>
      <c r="C1917" s="4" t="inlineStr">
        <is>
          <t>PAISAGISMO</t>
        </is>
      </c>
      <c r="D1917" s="4" t="inlineStr">
        <is>
          <t>-</t>
        </is>
      </c>
      <c r="E1917" s="4" t="inlineStr">
        <is>
          <t>6º PAV (PILOTIS) - PLAYGROUND + TERRAÇO DESCOBERTO + QUADRA DE RECREAÇÃO</t>
        </is>
      </c>
      <c r="F1917" s="126" t="n">
        <v>46973</v>
      </c>
      <c r="G1917" s="126" t="n">
        <v>47004</v>
      </c>
      <c r="H1917" s="126" t="n">
        <v>46289</v>
      </c>
      <c r="I1917" s="4" t="n">
        <v>0</v>
      </c>
      <c r="J1917" s="4" t="n">
        <v>0</v>
      </c>
      <c r="K1917" s="4" t="n">
        <v>0</v>
      </c>
      <c r="M1917" s="2">
        <f>IF(C1917="","",IFERROR(INDEX($S$5:$S$304,MATCH(C1917,$R$5:$R$304,0))&amp;"","?"))</f>
        <v/>
      </c>
      <c r="N1917" s="2">
        <f>IF(E1917="","",IF(ISNUMBER(SEARCH("SUBSOLO",E1917)),IFERROR(-VALUE(LEFT(E1917,FIND("º",SUBSTITUTE(E1917,"°","º"))-1)),-1),IF(LEFT(E1917,6)="TÉRREO",0,IFERROR(VALUE(LEFT(E1917,FIND("º",SUBSTITUTE(E1917,"°","º"))-1)),""))))</f>
        <v/>
      </c>
      <c r="O1917" s="2">
        <f>IF(OR(F1917="",G1917=""),"",IF(G1917&lt;='RETRATO 2027'!$K$5,"CONCLUÍDA",IF(F1917&lt;='RETRATO 2027'!$K$5,"EM ANDAMENTO","A INICIAR")))</f>
        <v/>
      </c>
    </row>
    <row r="1918">
      <c r="B1918" s="4" t="n">
        <v>30205882</v>
      </c>
      <c r="C1918" s="4" t="inlineStr">
        <is>
          <t>QUADRA DE RECREAÇÃO</t>
        </is>
      </c>
      <c r="D1918" s="4" t="inlineStr">
        <is>
          <t>-</t>
        </is>
      </c>
      <c r="E1918" s="4" t="inlineStr">
        <is>
          <t>6º PAV (PILOTIS) - PLAYGROUND + TERRAÇO DESCOBERTO + QUADRA DE RECREAÇÃO</t>
        </is>
      </c>
      <c r="F1918" s="126" t="n">
        <v>46973</v>
      </c>
      <c r="G1918" s="126" t="n">
        <v>47036</v>
      </c>
      <c r="H1918" s="126" t="n">
        <v>46289</v>
      </c>
      <c r="I1918" s="4" t="n">
        <v>0</v>
      </c>
      <c r="J1918" s="4" t="n">
        <v>0</v>
      </c>
      <c r="K1918" s="4" t="n">
        <v>0</v>
      </c>
      <c r="M1918" s="2">
        <f>IF(C1918="","",IFERROR(INDEX($S$5:$S$304,MATCH(C1918,$R$5:$R$304,0))&amp;"","?"))</f>
        <v/>
      </c>
      <c r="N1918" s="2">
        <f>IF(E1918="","",IF(ISNUMBER(SEARCH("SUBSOLO",E1918)),IFERROR(-VALUE(LEFT(E1918,FIND("º",SUBSTITUTE(E1918,"°","º"))-1)),-1),IF(LEFT(E1918,6)="TÉRREO",0,IFERROR(VALUE(LEFT(E1918,FIND("º",SUBSTITUTE(E1918,"°","º"))-1)),""))))</f>
        <v/>
      </c>
      <c r="O1918" s="2">
        <f>IF(OR(F1918="",G1918=""),"",IF(G1918&lt;='RETRATO 2027'!$K$5,"CONCLUÍDA",IF(F1918&lt;='RETRATO 2027'!$K$5,"EM ANDAMENTO","A INICIAR")))</f>
        <v/>
      </c>
    </row>
    <row r="1919">
      <c r="B1919" s="4" t="n">
        <v>32750445</v>
      </c>
      <c r="C1919" s="4" t="inlineStr">
        <is>
          <t>DRYWALL 2º FACE</t>
        </is>
      </c>
      <c r="D1919" s="4" t="inlineStr">
        <is>
          <t>-</t>
        </is>
      </c>
      <c r="E1919" s="4" t="inlineStr">
        <is>
          <t>19º PAV.</t>
        </is>
      </c>
      <c r="F1919" s="126" t="n">
        <v>46973</v>
      </c>
      <c r="G1919" s="126" t="n">
        <v>46986</v>
      </c>
      <c r="H1919" s="126" t="n">
        <v>46289</v>
      </c>
      <c r="I1919" s="4" t="n">
        <v>0</v>
      </c>
      <c r="J1919" s="4" t="n">
        <v>0</v>
      </c>
      <c r="K1919" s="4" t="n">
        <v>0</v>
      </c>
      <c r="M1919" s="2">
        <f>IF(C1919="","",IFERROR(INDEX($S$5:$S$304,MATCH(C1919,$R$5:$R$304,0))&amp;"","?"))</f>
        <v/>
      </c>
      <c r="N1919" s="2">
        <f>IF(E1919="","",IF(ISNUMBER(SEARCH("SUBSOLO",E1919)),IFERROR(-VALUE(LEFT(E1919,FIND("º",SUBSTITUTE(E1919,"°","º"))-1)),-1),IF(LEFT(E1919,6)="TÉRREO",0,IFERROR(VALUE(LEFT(E1919,FIND("º",SUBSTITUTE(E1919,"°","º"))-1)),""))))</f>
        <v/>
      </c>
      <c r="O1919" s="2">
        <f>IF(OR(F1919="",G1919=""),"",IF(G1919&lt;='RETRATO 2027'!$K$5,"CONCLUÍDA",IF(F1919&lt;='RETRATO 2027'!$K$5,"EM ANDAMENTO","A INICIAR")))</f>
        <v/>
      </c>
    </row>
    <row r="1920">
      <c r="B1920" s="4" t="n">
        <v>30171469</v>
      </c>
      <c r="C1920" s="4" t="inlineStr">
        <is>
          <t>POLIMENTO DE PISO</t>
        </is>
      </c>
      <c r="D1920" s="4" t="inlineStr">
        <is>
          <t>-</t>
        </is>
      </c>
      <c r="E1920" s="4" t="inlineStr">
        <is>
          <t>2º PAV - GARAGEM</t>
        </is>
      </c>
      <c r="F1920" s="126" t="n">
        <v>46974</v>
      </c>
      <c r="G1920" s="126" t="n">
        <v>47002</v>
      </c>
      <c r="H1920" s="126" t="n">
        <v>46289</v>
      </c>
      <c r="I1920" s="4" t="n">
        <v>0</v>
      </c>
      <c r="J1920" s="4" t="n">
        <v>0</v>
      </c>
      <c r="K1920" s="4" t="n">
        <v>0</v>
      </c>
      <c r="M1920" s="2">
        <f>IF(C1920="","",IFERROR(INDEX($S$5:$S$304,MATCH(C1920,$R$5:$R$304,0))&amp;"","?"))</f>
        <v/>
      </c>
      <c r="N1920" s="2">
        <f>IF(E1920="","",IF(ISNUMBER(SEARCH("SUBSOLO",E1920)),IFERROR(-VALUE(LEFT(E1920,FIND("º",SUBSTITUTE(E1920,"°","º"))-1)),-1),IF(LEFT(E1920,6)="TÉRREO",0,IFERROR(VALUE(LEFT(E1920,FIND("º",SUBSTITUTE(E1920,"°","º"))-1)),""))))</f>
        <v/>
      </c>
      <c r="O1920" s="2">
        <f>IF(OR(F1920="",G1920=""),"",IF(G1920&lt;='RETRATO 2027'!$K$5,"CONCLUÍDA",IF(F1920&lt;='RETRATO 2027'!$K$5,"EM ANDAMENTO","A INICIAR")))</f>
        <v/>
      </c>
    </row>
    <row r="1921">
      <c r="B1921" s="4" t="n">
        <v>30205939</v>
      </c>
      <c r="C1921" s="4" t="inlineStr">
        <is>
          <t>BRISE</t>
        </is>
      </c>
      <c r="D1921" s="4" t="inlineStr">
        <is>
          <t>-</t>
        </is>
      </c>
      <c r="E1921" s="4" t="inlineStr">
        <is>
          <t>3º PAV - GARAGEM</t>
        </is>
      </c>
      <c r="F1921" s="126" t="n">
        <v>46974</v>
      </c>
      <c r="G1921" s="126" t="n">
        <v>46988</v>
      </c>
      <c r="H1921" s="126" t="n">
        <v>46289</v>
      </c>
      <c r="I1921" s="4" t="n">
        <v>0</v>
      </c>
      <c r="J1921" s="4" t="n">
        <v>0</v>
      </c>
      <c r="K1921" s="4" t="n">
        <v>0</v>
      </c>
      <c r="M1921" s="2">
        <f>IF(C1921="","",IFERROR(INDEX($S$5:$S$304,MATCH(C1921,$R$5:$R$304,0))&amp;"","?"))</f>
        <v/>
      </c>
      <c r="N1921" s="2">
        <f>IF(E1921="","",IF(ISNUMBER(SEARCH("SUBSOLO",E1921)),IFERROR(-VALUE(LEFT(E1921,FIND("º",SUBSTITUTE(E1921,"°","º"))-1)),-1),IF(LEFT(E1921,6)="TÉRREO",0,IFERROR(VALUE(LEFT(E1921,FIND("º",SUBSTITUTE(E1921,"°","º"))-1)),""))))</f>
        <v/>
      </c>
      <c r="O1921" s="2">
        <f>IF(OR(F1921="",G1921=""),"",IF(G1921&lt;='RETRATO 2027'!$K$5,"CONCLUÍDA",IF(F1921&lt;='RETRATO 2027'!$K$5,"EM ANDAMENTO","A INICIAR")))</f>
        <v/>
      </c>
    </row>
    <row r="1922">
      <c r="B1922" s="4" t="n">
        <v>30205936</v>
      </c>
      <c r="C1922" s="4" t="inlineStr">
        <is>
          <t>PAISAGISMO</t>
        </is>
      </c>
      <c r="D1922" s="4" t="inlineStr">
        <is>
          <t>-</t>
        </is>
      </c>
      <c r="E1922" s="4" t="inlineStr">
        <is>
          <t>4º PAV - GARAGEM</t>
        </is>
      </c>
      <c r="F1922" s="126" t="n">
        <v>46974</v>
      </c>
      <c r="G1922" s="126" t="n">
        <v>46988</v>
      </c>
      <c r="H1922" s="126" t="n">
        <v>46289</v>
      </c>
      <c r="I1922" s="4" t="n">
        <v>0</v>
      </c>
      <c r="J1922" s="4" t="n">
        <v>0</v>
      </c>
      <c r="K1922" s="4" t="n">
        <v>0</v>
      </c>
      <c r="M1922" s="2">
        <f>IF(C1922="","",IFERROR(INDEX($S$5:$S$304,MATCH(C1922,$R$5:$R$304,0))&amp;"","?"))</f>
        <v/>
      </c>
      <c r="N1922" s="2">
        <f>IF(E1922="","",IF(ISNUMBER(SEARCH("SUBSOLO",E1922)),IFERROR(-VALUE(LEFT(E1922,FIND("º",SUBSTITUTE(E1922,"°","º"))-1)),-1),IF(LEFT(E1922,6)="TÉRREO",0,IFERROR(VALUE(LEFT(E1922,FIND("º",SUBSTITUTE(E1922,"°","º"))-1)),""))))</f>
        <v/>
      </c>
      <c r="O1922" s="2">
        <f>IF(OR(F1922="",G1922=""),"",IF(G1922&lt;='RETRATO 2027'!$K$5,"CONCLUÍDA",IF(F1922&lt;='RETRATO 2027'!$K$5,"EM ANDAMENTO","A INICIAR")))</f>
        <v/>
      </c>
    </row>
    <row r="1923">
      <c r="B1923" s="4" t="n">
        <v>30205838</v>
      </c>
      <c r="C1923" s="4" t="inlineStr">
        <is>
          <t>DISJUNTORES / MIOLOS</t>
        </is>
      </c>
      <c r="D1923" s="4" t="inlineStr">
        <is>
          <t>-</t>
        </is>
      </c>
      <c r="E1923" s="4" t="inlineStr">
        <is>
          <t>1º PAV. (INTERMEDIÁRIO)</t>
        </is>
      </c>
      <c r="F1923" s="126" t="n">
        <v>46975</v>
      </c>
      <c r="G1923" s="126" t="n">
        <v>46982</v>
      </c>
      <c r="H1923" s="126" t="n">
        <v>46289</v>
      </c>
      <c r="I1923" s="4" t="n">
        <v>0</v>
      </c>
      <c r="J1923" s="4" t="n">
        <v>0</v>
      </c>
      <c r="K1923" s="4" t="n">
        <v>0</v>
      </c>
      <c r="M1923" s="2">
        <f>IF(C1923="","",IFERROR(INDEX($S$5:$S$304,MATCH(C1923,$R$5:$R$304,0))&amp;"","?"))</f>
        <v/>
      </c>
      <c r="N1923" s="2">
        <f>IF(E1923="","",IF(ISNUMBER(SEARCH("SUBSOLO",E1923)),IFERROR(-VALUE(LEFT(E1923,FIND("º",SUBSTITUTE(E1923,"°","º"))-1)),-1),IF(LEFT(E1923,6)="TÉRREO",0,IFERROR(VALUE(LEFT(E1923,FIND("º",SUBSTITUTE(E1923,"°","º"))-1)),""))))</f>
        <v/>
      </c>
      <c r="O1923" s="2">
        <f>IF(OR(F1923="",G1923=""),"",IF(G1923&lt;='RETRATO 2027'!$K$5,"CONCLUÍDA",IF(F1923&lt;='RETRATO 2027'!$K$5,"EM ANDAMENTO","A INICIAR")))</f>
        <v/>
      </c>
    </row>
    <row r="1924">
      <c r="B1924" s="4" t="n">
        <v>33919462</v>
      </c>
      <c r="C1924" s="4" t="inlineStr">
        <is>
          <t>PINTURA 1º DEMÃO</t>
        </is>
      </c>
      <c r="D1924" s="4" t="inlineStr">
        <is>
          <t>-</t>
        </is>
      </c>
      <c r="E1924" s="4" t="inlineStr">
        <is>
          <t>CX DE ESCADA DE INCÊND.</t>
        </is>
      </c>
      <c r="F1924" s="126" t="n">
        <v>46975</v>
      </c>
      <c r="G1924" s="126" t="n">
        <v>47064</v>
      </c>
      <c r="H1924" s="126" t="n">
        <v>46289</v>
      </c>
      <c r="I1924" s="4" t="n">
        <v>0</v>
      </c>
      <c r="J1924" s="4" t="n">
        <v>0</v>
      </c>
      <c r="K1924" s="4" t="n">
        <v>0</v>
      </c>
      <c r="M1924" s="2">
        <f>IF(C1924="","",IFERROR(INDEX($S$5:$S$304,MATCH(C1924,$R$5:$R$304,0))&amp;"","?"))</f>
        <v/>
      </c>
      <c r="N1924" s="2">
        <f>IF(E1924="","",IF(ISNUMBER(SEARCH("SUBSOLO",E1924)),IFERROR(-VALUE(LEFT(E1924,FIND("º",SUBSTITUTE(E1924,"°","º"))-1)),-1),IF(LEFT(E1924,6)="TÉRREO",0,IFERROR(VALUE(LEFT(E1924,FIND("º",SUBSTITUTE(E1924,"°","º"))-1)),""))))</f>
        <v/>
      </c>
      <c r="O1924" s="2">
        <f>IF(OR(F1924="",G1924=""),"",IF(G1924&lt;='RETRATO 2027'!$K$5,"CONCLUÍDA",IF(F1924&lt;='RETRATO 2027'!$K$5,"EM ANDAMENTO","A INICIAR")))</f>
        <v/>
      </c>
    </row>
    <row r="1925">
      <c r="B1925" s="4" t="n">
        <v>30206111</v>
      </c>
      <c r="C1925" s="4" t="inlineStr">
        <is>
          <t>DISJUNTORES / MIOLOS</t>
        </is>
      </c>
      <c r="D1925" s="4" t="inlineStr">
        <is>
          <t>-</t>
        </is>
      </c>
      <c r="E1925" s="4" t="inlineStr">
        <is>
          <t>6º PAV (PILOTIS) - ACADEMIA</t>
        </is>
      </c>
      <c r="F1925" s="126" t="n">
        <v>46976</v>
      </c>
      <c r="G1925" s="126" t="n">
        <v>46990</v>
      </c>
      <c r="H1925" s="126" t="n">
        <v>46289</v>
      </c>
      <c r="I1925" s="4" t="n">
        <v>0</v>
      </c>
      <c r="J1925" s="4" t="n">
        <v>0</v>
      </c>
      <c r="K1925" s="4" t="n">
        <v>0</v>
      </c>
      <c r="M1925" s="2">
        <f>IF(C1925="","",IFERROR(INDEX($S$5:$S$304,MATCH(C1925,$R$5:$R$304,0))&amp;"","?"))</f>
        <v/>
      </c>
      <c r="N1925" s="2">
        <f>IF(E1925="","",IF(ISNUMBER(SEARCH("SUBSOLO",E1925)),IFERROR(-VALUE(LEFT(E1925,FIND("º",SUBSTITUTE(E1925,"°","º"))-1)),-1),IF(LEFT(E1925,6)="TÉRREO",0,IFERROR(VALUE(LEFT(E1925,FIND("º",SUBSTITUTE(E1925,"°","º"))-1)),""))))</f>
        <v/>
      </c>
      <c r="O1925" s="2">
        <f>IF(OR(F1925="",G1925=""),"",IF(G1925&lt;='RETRATO 2027'!$K$5,"CONCLUÍDA",IF(F1925&lt;='RETRATO 2027'!$K$5,"EM ANDAMENTO","A INICIAR")))</f>
        <v/>
      </c>
    </row>
    <row r="1926">
      <c r="B1926" s="4" t="n">
        <v>30208617</v>
      </c>
      <c r="C1926" s="4" t="inlineStr">
        <is>
          <t>INSTALAÇÃO DE LUMINÁRIAS</t>
        </is>
      </c>
      <c r="D1926" s="4" t="inlineStr">
        <is>
          <t>-</t>
        </is>
      </c>
      <c r="E1926" s="4" t="inlineStr">
        <is>
          <t>6º PAV (PILOTIS) - ACADEMIA</t>
        </is>
      </c>
      <c r="F1926" s="126" t="n">
        <v>46976</v>
      </c>
      <c r="G1926" s="126" t="n">
        <v>46983</v>
      </c>
      <c r="H1926" s="126" t="n">
        <v>46289</v>
      </c>
      <c r="I1926" s="4" t="n">
        <v>0</v>
      </c>
      <c r="J1926" s="4" t="n">
        <v>0</v>
      </c>
      <c r="K1926" s="4" t="n">
        <v>0</v>
      </c>
      <c r="M1926" s="2">
        <f>IF(C1926="","",IFERROR(INDEX($S$5:$S$304,MATCH(C1926,$R$5:$R$304,0))&amp;"","?"))</f>
        <v/>
      </c>
      <c r="N1926" s="2">
        <f>IF(E1926="","",IF(ISNUMBER(SEARCH("SUBSOLO",E1926)),IFERROR(-VALUE(LEFT(E1926,FIND("º",SUBSTITUTE(E1926,"°","º"))-1)),-1),IF(LEFT(E1926,6)="TÉRREO",0,IFERROR(VALUE(LEFT(E1926,FIND("º",SUBSTITUTE(E1926,"°","º"))-1)),""))))</f>
        <v/>
      </c>
      <c r="O1926" s="2">
        <f>IF(OR(F1926="",G1926=""),"",IF(G1926&lt;='RETRATO 2027'!$K$5,"CONCLUÍDA",IF(F1926&lt;='RETRATO 2027'!$K$5,"EM ANDAMENTO","A INICIAR")))</f>
        <v/>
      </c>
    </row>
    <row r="1927">
      <c r="B1927" s="4" t="n">
        <v>30206092</v>
      </c>
      <c r="C1927" s="4" t="inlineStr">
        <is>
          <t>MASSA CORRIDA</t>
        </is>
      </c>
      <c r="D1927" s="4" t="inlineStr">
        <is>
          <t>-</t>
        </is>
      </c>
      <c r="E1927" s="4" t="inlineStr">
        <is>
          <t>6º PAV (PILOTIS) - SAUNA + DUCHA</t>
        </is>
      </c>
      <c r="F1927" s="126" t="n">
        <v>46976</v>
      </c>
      <c r="G1927" s="126" t="n">
        <v>46990</v>
      </c>
      <c r="H1927" s="126" t="n">
        <v>46289</v>
      </c>
      <c r="I1927" s="4" t="n">
        <v>0</v>
      </c>
      <c r="J1927" s="4" t="n">
        <v>0</v>
      </c>
      <c r="K1927" s="4" t="n">
        <v>0</v>
      </c>
      <c r="M1927" s="2">
        <f>IF(C1927="","",IFERROR(INDEX($S$5:$S$304,MATCH(C1927,$R$5:$R$304,0))&amp;"","?"))</f>
        <v/>
      </c>
      <c r="N1927" s="2">
        <f>IF(E1927="","",IF(ISNUMBER(SEARCH("SUBSOLO",E1927)),IFERROR(-VALUE(LEFT(E1927,FIND("º",SUBSTITUTE(E1927,"°","º"))-1)),-1),IF(LEFT(E1927,6)="TÉRREO",0,IFERROR(VALUE(LEFT(E1927,FIND("º",SUBSTITUTE(E1927,"°","º"))-1)),""))))</f>
        <v/>
      </c>
      <c r="O1927" s="2">
        <f>IF(OR(F1927="",G1927=""),"",IF(G1927&lt;='RETRATO 2027'!$K$5,"CONCLUÍDA",IF(F1927&lt;='RETRATO 2027'!$K$5,"EM ANDAMENTO","A INICIAR")))</f>
        <v/>
      </c>
    </row>
    <row r="1928">
      <c r="B1928" s="4" t="n">
        <v>30206053</v>
      </c>
      <c r="C1928" s="4" t="inlineStr">
        <is>
          <t>FORRO</t>
        </is>
      </c>
      <c r="D1928" s="4" t="inlineStr">
        <is>
          <t>-</t>
        </is>
      </c>
      <c r="E1928" s="4" t="inlineStr">
        <is>
          <t>6º PAV (PILOTIS) - CHURRASQUEIRA + IS MASC. PCD + IS FEM. PCD + CIRCULAÇÃO 1 + HALL 1</t>
        </is>
      </c>
      <c r="F1928" s="126" t="n">
        <v>46976</v>
      </c>
      <c r="G1928" s="126" t="n">
        <v>46990</v>
      </c>
      <c r="H1928" s="126" t="n">
        <v>46289</v>
      </c>
      <c r="I1928" s="4" t="n">
        <v>0</v>
      </c>
      <c r="J1928" s="4" t="n">
        <v>0</v>
      </c>
      <c r="K1928" s="4" t="n">
        <v>0</v>
      </c>
      <c r="M1928" s="2">
        <f>IF(C1928="","",IFERROR(INDEX($S$5:$S$304,MATCH(C1928,$R$5:$R$304,0))&amp;"","?"))</f>
        <v/>
      </c>
      <c r="N1928" s="2">
        <f>IF(E1928="","",IF(ISNUMBER(SEARCH("SUBSOLO",E1928)),IFERROR(-VALUE(LEFT(E1928,FIND("º",SUBSTITUTE(E1928,"°","º"))-1)),-1),IF(LEFT(E1928,6)="TÉRREO",0,IFERROR(VALUE(LEFT(E1928,FIND("º",SUBSTITUTE(E1928,"°","º"))-1)),""))))</f>
        <v/>
      </c>
      <c r="O1928" s="2">
        <f>IF(OR(F1928="",G1928=""),"",IF(G1928&lt;='RETRATO 2027'!$K$5,"CONCLUÍDA",IF(F1928&lt;='RETRATO 2027'!$K$5,"EM ANDAMENTO","A INICIAR")))</f>
        <v/>
      </c>
    </row>
    <row r="1929">
      <c r="B1929" s="4" t="n">
        <v>30206014</v>
      </c>
      <c r="C1929" s="4" t="inlineStr">
        <is>
          <t>FIAÇÃO ELÉTRICA</t>
        </is>
      </c>
      <c r="D1929" s="4" t="inlineStr">
        <is>
          <t>-</t>
        </is>
      </c>
      <c r="E1929" s="4" t="inlineStr">
        <is>
          <t>6º PAV (PILOTIS) - COWORKING 1 E 2 + CIRC. 2 + HALL 2 + DML + VEST. MASC. + VEST. FEM</t>
        </is>
      </c>
      <c r="F1929" s="126" t="n">
        <v>46976</v>
      </c>
      <c r="G1929" s="126" t="n">
        <v>46990</v>
      </c>
      <c r="H1929" s="126" t="n">
        <v>46289</v>
      </c>
      <c r="I1929" s="4" t="n">
        <v>0</v>
      </c>
      <c r="J1929" s="4" t="n">
        <v>0</v>
      </c>
      <c r="K1929" s="4" t="n">
        <v>0</v>
      </c>
      <c r="M1929" s="2">
        <f>IF(C1929="","",IFERROR(INDEX($S$5:$S$304,MATCH(C1929,$R$5:$R$304,0))&amp;"","?"))</f>
        <v/>
      </c>
      <c r="N1929" s="2">
        <f>IF(E1929="","",IF(ISNUMBER(SEARCH("SUBSOLO",E1929)),IFERROR(-VALUE(LEFT(E1929,FIND("º",SUBSTITUTE(E1929,"°","º"))-1)),-1),IF(LEFT(E1929,6)="TÉRREO",0,IFERROR(VALUE(LEFT(E1929,FIND("º",SUBSTITUTE(E1929,"°","º"))-1)),""))))</f>
        <v/>
      </c>
      <c r="O1929" s="2">
        <f>IF(OR(F1929="",G1929=""),"",IF(G1929&lt;='RETRATO 2027'!$K$5,"CONCLUÍDA",IF(F1929&lt;='RETRATO 2027'!$K$5,"EM ANDAMENTO","A INICIAR")))</f>
        <v/>
      </c>
    </row>
    <row r="1930">
      <c r="B1930" s="4" t="n">
        <v>30214067</v>
      </c>
      <c r="C1930" s="4" t="inlineStr">
        <is>
          <t>FIAÇÃO TELECOM/DADOS</t>
        </is>
      </c>
      <c r="D1930" s="4" t="inlineStr">
        <is>
          <t>-</t>
        </is>
      </c>
      <c r="E1930" s="4" t="inlineStr">
        <is>
          <t>6º PAV (PILOTIS) - COWORKING 1 E 2 + CIRC. 2 + HALL 2 + DML + VEST. MASC. + VEST. FEM</t>
        </is>
      </c>
      <c r="F1930" s="126" t="n">
        <v>46976</v>
      </c>
      <c r="G1930" s="126" t="n">
        <v>46990</v>
      </c>
      <c r="H1930" s="126" t="n">
        <v>46289</v>
      </c>
      <c r="I1930" s="4" t="n">
        <v>0</v>
      </c>
      <c r="J1930" s="4" t="n">
        <v>0</v>
      </c>
      <c r="K1930" s="4" t="n">
        <v>0</v>
      </c>
      <c r="M1930" s="2">
        <f>IF(C1930="","",IFERROR(INDEX($S$5:$S$304,MATCH(C1930,$R$5:$R$304,0))&amp;"","?"))</f>
        <v/>
      </c>
      <c r="N1930" s="2">
        <f>IF(E1930="","",IF(ISNUMBER(SEARCH("SUBSOLO",E1930)),IFERROR(-VALUE(LEFT(E1930,FIND("º",SUBSTITUTE(E1930,"°","º"))-1)),-1),IF(LEFT(E1930,6)="TÉRREO",0,IFERROR(VALUE(LEFT(E1930,FIND("º",SUBSTITUTE(E1930,"°","º"))-1)),""))))</f>
        <v/>
      </c>
      <c r="O1930" s="2">
        <f>IF(OR(F1930="",G1930=""),"",IF(G1930&lt;='RETRATO 2027'!$K$5,"CONCLUÍDA",IF(F1930&lt;='RETRATO 2027'!$K$5,"EM ANDAMENTO","A INICIAR")))</f>
        <v/>
      </c>
    </row>
    <row r="1931">
      <c r="B1931" s="4" t="n">
        <v>30205961</v>
      </c>
      <c r="C1931" s="4" t="inlineStr">
        <is>
          <t>BANCADAS</t>
        </is>
      </c>
      <c r="D1931" s="4" t="inlineStr">
        <is>
          <t>-</t>
        </is>
      </c>
      <c r="E1931" s="4" t="inlineStr">
        <is>
          <t>6º PAV (PILOTIS) - LOUNGE + SALÃO + COZINHA + GOURMET + ESPAÇO KIDS</t>
        </is>
      </c>
      <c r="F1931" s="126" t="n">
        <v>46976</v>
      </c>
      <c r="G1931" s="126" t="n">
        <v>46990</v>
      </c>
      <c r="H1931" s="126" t="n">
        <v>46289</v>
      </c>
      <c r="I1931" s="4" t="n">
        <v>0</v>
      </c>
      <c r="J1931" s="4" t="n">
        <v>0</v>
      </c>
      <c r="K1931" s="4" t="n">
        <v>0</v>
      </c>
      <c r="M1931" s="2">
        <f>IF(C1931="","",IFERROR(INDEX($S$5:$S$304,MATCH(C1931,$R$5:$R$304,0))&amp;"","?"))</f>
        <v/>
      </c>
      <c r="N1931" s="2">
        <f>IF(E1931="","",IF(ISNUMBER(SEARCH("SUBSOLO",E1931)),IFERROR(-VALUE(LEFT(E1931,FIND("º",SUBSTITUTE(E1931,"°","º"))-1)),-1),IF(LEFT(E1931,6)="TÉRREO",0,IFERROR(VALUE(LEFT(E1931,FIND("º",SUBSTITUTE(E1931,"°","º"))-1)),""))))</f>
        <v/>
      </c>
      <c r="O1931" s="2">
        <f>IF(OR(F1931="",G1931=""),"",IF(G1931&lt;='RETRATO 2027'!$K$5,"CONCLUÍDA",IF(F1931&lt;='RETRATO 2027'!$K$5,"EM ANDAMENTO","A INICIAR")))</f>
        <v/>
      </c>
    </row>
    <row r="1932">
      <c r="B1932" s="4" t="n">
        <v>29981291</v>
      </c>
      <c r="C1932" s="4" t="inlineStr">
        <is>
          <t>LIMPEZA FINA</t>
        </is>
      </c>
      <c r="D1932" s="4" t="inlineStr">
        <is>
          <t>-</t>
        </is>
      </c>
      <c r="E1932" s="4" t="inlineStr">
        <is>
          <t>14º PAV.</t>
        </is>
      </c>
      <c r="F1932" s="126" t="n">
        <v>46976</v>
      </c>
      <c r="G1932" s="126" t="n">
        <v>46989</v>
      </c>
      <c r="H1932" s="126" t="n">
        <v>46289</v>
      </c>
      <c r="I1932" s="4" t="n">
        <v>0</v>
      </c>
      <c r="J1932" s="4" t="n">
        <v>0</v>
      </c>
      <c r="K1932" s="4" t="n">
        <v>0</v>
      </c>
      <c r="M1932" s="2">
        <f>IF(C1932="","",IFERROR(INDEX($S$5:$S$304,MATCH(C1932,$R$5:$R$304,0))&amp;"","?"))</f>
        <v/>
      </c>
      <c r="N1932" s="2">
        <f>IF(E1932="","",IF(ISNUMBER(SEARCH("SUBSOLO",E1932)),IFERROR(-VALUE(LEFT(E1932,FIND("º",SUBSTITUTE(E1932,"°","º"))-1)),-1),IF(LEFT(E1932,6)="TÉRREO",0,IFERROR(VALUE(LEFT(E1932,FIND("º",SUBSTITUTE(E1932,"°","º"))-1)),""))))</f>
        <v/>
      </c>
      <c r="O1932" s="2">
        <f>IF(OR(F1932="",G1932=""),"",IF(G1932&lt;='RETRATO 2027'!$K$5,"CONCLUÍDA",IF(F1932&lt;='RETRATO 2027'!$K$5,"EM ANDAMENTO","A INICIAR")))</f>
        <v/>
      </c>
    </row>
    <row r="1933">
      <c r="B1933" s="4" t="n">
        <v>29981244</v>
      </c>
      <c r="C1933" s="4" t="inlineStr">
        <is>
          <t>PINTURA 3º DEMÃO</t>
        </is>
      </c>
      <c r="D1933" s="4" t="inlineStr">
        <is>
          <t>-</t>
        </is>
      </c>
      <c r="E1933" s="4" t="inlineStr">
        <is>
          <t>15º PAV.</t>
        </is>
      </c>
      <c r="F1933" s="126" t="n">
        <v>46976</v>
      </c>
      <c r="G1933" s="126" t="n">
        <v>46989</v>
      </c>
      <c r="H1933" s="126" t="n">
        <v>46289</v>
      </c>
      <c r="I1933" s="4" t="n">
        <v>0</v>
      </c>
      <c r="J1933" s="4" t="n">
        <v>0</v>
      </c>
      <c r="K1933" s="4" t="n">
        <v>0</v>
      </c>
      <c r="M1933" s="2">
        <f>IF(C1933="","",IFERROR(INDEX($S$5:$S$304,MATCH(C1933,$R$5:$R$304,0))&amp;"","?"))</f>
        <v/>
      </c>
      <c r="N1933" s="2">
        <f>IF(E1933="","",IF(ISNUMBER(SEARCH("SUBSOLO",E1933)),IFERROR(-VALUE(LEFT(E1933,FIND("º",SUBSTITUTE(E1933,"°","º"))-1)),-1),IF(LEFT(E1933,6)="TÉRREO",0,IFERROR(VALUE(LEFT(E1933,FIND("º",SUBSTITUTE(E1933,"°","º"))-1)),""))))</f>
        <v/>
      </c>
      <c r="O1933" s="2">
        <f>IF(OR(F1933="",G1933=""),"",IF(G1933&lt;='RETRATO 2027'!$K$5,"CONCLUÍDA",IF(F1933&lt;='RETRATO 2027'!$K$5,"EM ANDAMENTO","A INICIAR")))</f>
        <v/>
      </c>
    </row>
    <row r="1934">
      <c r="B1934" s="4" t="n">
        <v>30205601</v>
      </c>
      <c r="C1934" s="4" t="inlineStr">
        <is>
          <t>CHECKLIST</t>
        </is>
      </c>
      <c r="D1934" s="4" t="inlineStr">
        <is>
          <t>-</t>
        </is>
      </c>
      <c r="E1934" s="4" t="inlineStr">
        <is>
          <t>TÉRREO - LOJA 5</t>
        </is>
      </c>
      <c r="F1934" s="126" t="n">
        <v>46981</v>
      </c>
      <c r="G1934" s="126" t="n">
        <v>46987</v>
      </c>
      <c r="H1934" s="126" t="n">
        <v>46289</v>
      </c>
      <c r="I1934" s="4" t="n">
        <v>0</v>
      </c>
      <c r="J1934" s="4" t="n">
        <v>0</v>
      </c>
      <c r="K1934" s="4" t="n">
        <v>0</v>
      </c>
      <c r="M1934" s="2">
        <f>IF(C1934="","",IFERROR(INDEX($S$5:$S$304,MATCH(C1934,$R$5:$R$304,0))&amp;"","?"))</f>
        <v/>
      </c>
      <c r="N1934" s="2">
        <f>IF(E1934="","",IF(ISNUMBER(SEARCH("SUBSOLO",E1934)),IFERROR(-VALUE(LEFT(E1934,FIND("º",SUBSTITUTE(E1934,"°","º"))-1)),-1),IF(LEFT(E1934,6)="TÉRREO",0,IFERROR(VALUE(LEFT(E1934,FIND("º",SUBSTITUTE(E1934,"°","º"))-1)),""))))</f>
        <v/>
      </c>
      <c r="O1934" s="2">
        <f>IF(OR(F1934="",G1934=""),"",IF(G1934&lt;='RETRATO 2027'!$K$5,"CONCLUÍDA",IF(F1934&lt;='RETRATO 2027'!$K$5,"EM ANDAMENTO","A INICIAR")))</f>
        <v/>
      </c>
    </row>
    <row r="1935">
      <c r="B1935" s="4" t="n">
        <v>30205570</v>
      </c>
      <c r="C1935" s="4" t="inlineStr">
        <is>
          <t>LIMPEZA FINA</t>
        </is>
      </c>
      <c r="D1935" s="4" t="inlineStr">
        <is>
          <t>-</t>
        </is>
      </c>
      <c r="E1935" s="4" t="inlineStr">
        <is>
          <t>TÉRREO - LOJA 6</t>
        </is>
      </c>
      <c r="F1935" s="126" t="n">
        <v>46981</v>
      </c>
      <c r="G1935" s="126" t="n">
        <v>46994</v>
      </c>
      <c r="H1935" s="126" t="n">
        <v>46289</v>
      </c>
      <c r="I1935" s="4" t="n">
        <v>0</v>
      </c>
      <c r="J1935" s="4" t="n">
        <v>0</v>
      </c>
      <c r="K1935" s="4" t="n">
        <v>0</v>
      </c>
      <c r="M1935" s="2">
        <f>IF(C1935="","",IFERROR(INDEX($S$5:$S$304,MATCH(C1935,$R$5:$R$304,0))&amp;"","?"))</f>
        <v/>
      </c>
      <c r="N1935" s="2">
        <f>IF(E1935="","",IF(ISNUMBER(SEARCH("SUBSOLO",E1935)),IFERROR(-VALUE(LEFT(E1935,FIND("º",SUBSTITUTE(E1935,"°","º"))-1)),-1),IF(LEFT(E1935,6)="TÉRREO",0,IFERROR(VALUE(LEFT(E1935,FIND("º",SUBSTITUTE(E1935,"°","º"))-1)),""))))</f>
        <v/>
      </c>
      <c r="O1935" s="2">
        <f>IF(OR(F1935="",G1935=""),"",IF(G1935&lt;='RETRATO 2027'!$K$5,"CONCLUÍDA",IF(F1935&lt;='RETRATO 2027'!$K$5,"EM ANDAMENTO","A INICIAR")))</f>
        <v/>
      </c>
    </row>
    <row r="1936">
      <c r="B1936" s="4" t="n">
        <v>30205533</v>
      </c>
      <c r="C1936" s="4" t="inlineStr">
        <is>
          <t>ACABAMENTOS ELÉTRICOS</t>
        </is>
      </c>
      <c r="D1936" s="4" t="inlineStr">
        <is>
          <t>-</t>
        </is>
      </c>
      <c r="E1936" s="4" t="inlineStr">
        <is>
          <t>TÉRREO - LOJA 7</t>
        </is>
      </c>
      <c r="F1936" s="126" t="n">
        <v>46981</v>
      </c>
      <c r="G1936" s="126" t="n">
        <v>46994</v>
      </c>
      <c r="H1936" s="126" t="n">
        <v>46289</v>
      </c>
      <c r="I1936" s="4" t="n">
        <v>0</v>
      </c>
      <c r="J1936" s="4" t="n">
        <v>0</v>
      </c>
      <c r="K1936" s="4" t="n">
        <v>0</v>
      </c>
      <c r="M1936" s="2">
        <f>IF(C1936="","",IFERROR(INDEX($S$5:$S$304,MATCH(C1936,$R$5:$R$304,0))&amp;"","?"))</f>
        <v/>
      </c>
      <c r="N1936" s="2">
        <f>IF(E1936="","",IF(ISNUMBER(SEARCH("SUBSOLO",E1936)),IFERROR(-VALUE(LEFT(E1936,FIND("º",SUBSTITUTE(E1936,"°","º"))-1)),-1),IF(LEFT(E1936,6)="TÉRREO",0,IFERROR(VALUE(LEFT(E1936,FIND("º",SUBSTITUTE(E1936,"°","º"))-1)),""))))</f>
        <v/>
      </c>
      <c r="O1936" s="2">
        <f>IF(OR(F1936="",G1936=""),"",IF(G1936&lt;='RETRATO 2027'!$K$5,"CONCLUÍDA",IF(F1936&lt;='RETRATO 2027'!$K$5,"EM ANDAMENTO","A INICIAR")))</f>
        <v/>
      </c>
    </row>
    <row r="1937">
      <c r="B1937" s="4" t="n">
        <v>30171535</v>
      </c>
      <c r="C1937" s="4" t="inlineStr">
        <is>
          <t>MASSA CORRIDA</t>
        </is>
      </c>
      <c r="D1937" s="4" t="inlineStr">
        <is>
          <t>-</t>
        </is>
      </c>
      <c r="E1937" s="4" t="inlineStr">
        <is>
          <t>HALL - GARAGENS</t>
        </is>
      </c>
      <c r="F1937" s="126" t="n">
        <v>46982</v>
      </c>
      <c r="G1937" s="126" t="n">
        <v>47024</v>
      </c>
      <c r="H1937" s="126" t="n">
        <v>46289</v>
      </c>
      <c r="I1937" s="4" t="n">
        <v>0</v>
      </c>
      <c r="J1937" s="4" t="n">
        <v>0</v>
      </c>
      <c r="K1937" s="4" t="n">
        <v>0</v>
      </c>
      <c r="M1937" s="2">
        <f>IF(C1937="","",IFERROR(INDEX($S$5:$S$304,MATCH(C1937,$R$5:$R$304,0))&amp;"","?"))</f>
        <v/>
      </c>
      <c r="N1937" s="2">
        <f>IF(E1937="","",IF(ISNUMBER(SEARCH("SUBSOLO",E1937)),IFERROR(-VALUE(LEFT(E1937,FIND("º",SUBSTITUTE(E1937,"°","º"))-1)),-1),IF(LEFT(E1937,6)="TÉRREO",0,IFERROR(VALUE(LEFT(E1937,FIND("º",SUBSTITUTE(E1937,"°","º"))-1)),""))))</f>
        <v/>
      </c>
      <c r="O1937" s="2">
        <f>IF(OR(F1937="",G1937=""),"",IF(G1937&lt;='RETRATO 2027'!$K$5,"CONCLUÍDA",IF(F1937&lt;='RETRATO 2027'!$K$5,"EM ANDAMENTO","A INICIAR")))</f>
        <v/>
      </c>
    </row>
    <row r="1938">
      <c r="B1938" s="4" t="n">
        <v>30205813</v>
      </c>
      <c r="C1938" s="4" t="inlineStr">
        <is>
          <t>PINTURA 2º DEMÃO</t>
        </is>
      </c>
      <c r="D1938" s="4" t="inlineStr">
        <is>
          <t>-</t>
        </is>
      </c>
      <c r="E1938" s="4" t="inlineStr">
        <is>
          <t>TÉRREO - HALL SOCIAL + ECLUSA + CIRCULAÇÃO</t>
        </is>
      </c>
      <c r="F1938" s="126" t="n">
        <v>46983</v>
      </c>
      <c r="G1938" s="126" t="n">
        <v>46996</v>
      </c>
      <c r="H1938" s="126" t="n">
        <v>46289</v>
      </c>
      <c r="I1938" s="4" t="n">
        <v>0</v>
      </c>
      <c r="J1938" s="4" t="n">
        <v>0</v>
      </c>
      <c r="K1938" s="4" t="n">
        <v>0</v>
      </c>
      <c r="M1938" s="2">
        <f>IF(C1938="","",IFERROR(INDEX($S$5:$S$304,MATCH(C1938,$R$5:$R$304,0))&amp;"","?"))</f>
        <v/>
      </c>
      <c r="N1938" s="2">
        <f>IF(E1938="","",IF(ISNUMBER(SEARCH("SUBSOLO",E1938)),IFERROR(-VALUE(LEFT(E1938,FIND("º",SUBSTITUTE(E1938,"°","º"))-1)),-1),IF(LEFT(E1938,6)="TÉRREO",0,IFERROR(VALUE(LEFT(E1938,FIND("º",SUBSTITUTE(E1938,"°","º"))-1)),""))))</f>
        <v/>
      </c>
      <c r="O1938" s="2">
        <f>IF(OR(F1938="",G1938=""),"",IF(G1938&lt;='RETRATO 2027'!$K$5,"CONCLUÍDA",IF(F1938&lt;='RETRATO 2027'!$K$5,"EM ANDAMENTO","A INICIAR")))</f>
        <v/>
      </c>
    </row>
    <row r="1939">
      <c r="B1939" s="4" t="n">
        <v>34179701</v>
      </c>
      <c r="C1939" s="4" t="inlineStr">
        <is>
          <t>REVESTIMENTO ACABAMENTO</t>
        </is>
      </c>
      <c r="D1939" s="4" t="inlineStr">
        <is>
          <t>-</t>
        </is>
      </c>
      <c r="E1939" s="4" t="inlineStr">
        <is>
          <t>TÉRREO ÁREA EXTERNA - COMERCIAL</t>
        </is>
      </c>
      <c r="F1939" s="126" t="n">
        <v>46983</v>
      </c>
      <c r="G1939" s="126" t="n">
        <v>47046</v>
      </c>
      <c r="H1939" s="126" t="n">
        <v>46289</v>
      </c>
      <c r="I1939" s="4" t="n">
        <v>0</v>
      </c>
      <c r="J1939" s="4" t="n">
        <v>0</v>
      </c>
      <c r="K1939" s="4" t="n">
        <v>0</v>
      </c>
      <c r="M1939" s="2">
        <f>IF(C1939="","",IFERROR(INDEX($S$5:$S$304,MATCH(C1939,$R$5:$R$304,0))&amp;"","?"))</f>
        <v/>
      </c>
      <c r="N1939" s="2">
        <f>IF(E1939="","",IF(ISNUMBER(SEARCH("SUBSOLO",E1939)),IFERROR(-VALUE(LEFT(E1939,FIND("º",SUBSTITUTE(E1939,"°","º"))-1)),-1),IF(LEFT(E1939,6)="TÉRREO",0,IFERROR(VALUE(LEFT(E1939,FIND("º",SUBSTITUTE(E1939,"°","º"))-1)),""))))</f>
        <v/>
      </c>
      <c r="O1939" s="2">
        <f>IF(OR(F1939="",G1939=""),"",IF(G1939&lt;='RETRATO 2027'!$K$5,"CONCLUÍDA",IF(F1939&lt;='RETRATO 2027'!$K$5,"EM ANDAMENTO","A INICIAR")))</f>
        <v/>
      </c>
    </row>
    <row r="1940">
      <c r="B1940" s="4" t="n">
        <v>34179699</v>
      </c>
      <c r="C1940" s="4" t="inlineStr">
        <is>
          <t>INSTALAÇÃO DE LUMINÁRIAS</t>
        </is>
      </c>
      <c r="D1940" s="4" t="inlineStr">
        <is>
          <t>-</t>
        </is>
      </c>
      <c r="E1940" s="4" t="inlineStr">
        <is>
          <t>TÉRREO ÁREA EXTERNA - COMERCIAL</t>
        </is>
      </c>
      <c r="F1940" s="126" t="n">
        <v>46983</v>
      </c>
      <c r="G1940" s="126" t="n">
        <v>47004</v>
      </c>
      <c r="H1940" s="126" t="n">
        <v>46289</v>
      </c>
      <c r="I1940" s="4" t="n">
        <v>0</v>
      </c>
      <c r="J1940" s="4" t="n">
        <v>0</v>
      </c>
      <c r="K1940" s="4" t="n">
        <v>0</v>
      </c>
      <c r="M1940" s="2">
        <f>IF(C1940="","",IFERROR(INDEX($S$5:$S$304,MATCH(C1940,$R$5:$R$304,0))&amp;"","?"))</f>
        <v/>
      </c>
      <c r="N1940" s="2">
        <f>IF(E1940="","",IF(ISNUMBER(SEARCH("SUBSOLO",E1940)),IFERROR(-VALUE(LEFT(E1940,FIND("º",SUBSTITUTE(E1940,"°","º"))-1)),-1),IF(LEFT(E1940,6)="TÉRREO",0,IFERROR(VALUE(LEFT(E1940,FIND("º",SUBSTITUTE(E1940,"°","º"))-1)),""))))</f>
        <v/>
      </c>
      <c r="O1940" s="2">
        <f>IF(OR(F1940="",G1940=""),"",IF(G1940&lt;='RETRATO 2027'!$K$5,"CONCLUÍDA",IF(F1940&lt;='RETRATO 2027'!$K$5,"EM ANDAMENTO","A INICIAR")))</f>
        <v/>
      </c>
    </row>
    <row r="1941">
      <c r="B1941" s="4" t="n">
        <v>30205857</v>
      </c>
      <c r="C1941" s="4" t="inlineStr">
        <is>
          <t>LIMPEZA GROSSA</t>
        </is>
      </c>
      <c r="D1941" s="4" t="inlineStr">
        <is>
          <t>-</t>
        </is>
      </c>
      <c r="E1941" s="4" t="inlineStr">
        <is>
          <t>1º PAV. (INTERMEDIÁRIO)</t>
        </is>
      </c>
      <c r="F1941" s="126" t="n">
        <v>46983</v>
      </c>
      <c r="G1941" s="126" t="n">
        <v>46996</v>
      </c>
      <c r="H1941" s="126" t="n">
        <v>46289</v>
      </c>
      <c r="I1941" s="4" t="n">
        <v>0</v>
      </c>
      <c r="J1941" s="4" t="n">
        <v>0</v>
      </c>
      <c r="K1941" s="4" t="n">
        <v>0</v>
      </c>
      <c r="M1941" s="2">
        <f>IF(C1941="","",IFERROR(INDEX($S$5:$S$304,MATCH(C1941,$R$5:$R$304,0))&amp;"","?"))</f>
        <v/>
      </c>
      <c r="N1941" s="2">
        <f>IF(E1941="","",IF(ISNUMBER(SEARCH("SUBSOLO",E1941)),IFERROR(-VALUE(LEFT(E1941,FIND("º",SUBSTITUTE(E1941,"°","º"))-1)),-1),IF(LEFT(E1941,6)="TÉRREO",0,IFERROR(VALUE(LEFT(E1941,FIND("º",SUBSTITUTE(E1941,"°","º"))-1)),""))))</f>
        <v/>
      </c>
      <c r="O1941" s="2">
        <f>IF(OR(F1941="",G1941=""),"",IF(G1941&lt;='RETRATO 2027'!$K$5,"CONCLUÍDA",IF(F1941&lt;='RETRATO 2027'!$K$5,"EM ANDAMENTO","A INICIAR")))</f>
        <v/>
      </c>
    </row>
    <row r="1942">
      <c r="B1942" s="4" t="n">
        <v>29981206</v>
      </c>
      <c r="C1942" s="4" t="inlineStr">
        <is>
          <t>CHECKLIST</t>
        </is>
      </c>
      <c r="D1942" s="4" t="inlineStr">
        <is>
          <t>-</t>
        </is>
      </c>
      <c r="E1942" s="4" t="inlineStr">
        <is>
          <t>16º PAV.</t>
        </is>
      </c>
      <c r="F1942" s="126" t="n">
        <v>46983</v>
      </c>
      <c r="G1942" s="126" t="n">
        <v>46989</v>
      </c>
      <c r="H1942" s="126" t="n">
        <v>46289</v>
      </c>
      <c r="I1942" s="4" t="n">
        <v>0</v>
      </c>
      <c r="J1942" s="4" t="n">
        <v>0</v>
      </c>
      <c r="K1942" s="4" t="n">
        <v>0</v>
      </c>
      <c r="M1942" s="2">
        <f>IF(C1942="","",IFERROR(INDEX($S$5:$S$304,MATCH(C1942,$R$5:$R$304,0))&amp;"","?"))</f>
        <v/>
      </c>
      <c r="N1942" s="2">
        <f>IF(E1942="","",IF(ISNUMBER(SEARCH("SUBSOLO",E1942)),IFERROR(-VALUE(LEFT(E1942,FIND("º",SUBSTITUTE(E1942,"°","º"))-1)),-1),IF(LEFT(E1942,6)="TÉRREO",0,IFERROR(VALUE(LEFT(E1942,FIND("º",SUBSTITUTE(E1942,"°","º"))-1)),""))))</f>
        <v/>
      </c>
      <c r="O1942" s="2">
        <f>IF(OR(F1942="",G1942=""),"",IF(G1942&lt;='RETRATO 2027'!$K$5,"CONCLUÍDA",IF(F1942&lt;='RETRATO 2027'!$K$5,"EM ANDAMENTO","A INICIAR")))</f>
        <v/>
      </c>
    </row>
    <row r="1943">
      <c r="B1943" s="4" t="n">
        <v>29981171</v>
      </c>
      <c r="C1943" s="4" t="inlineStr">
        <is>
          <t>ACABAMENTOS ELÉTRICOS</t>
        </is>
      </c>
      <c r="D1943" s="4" t="inlineStr">
        <is>
          <t>-</t>
        </is>
      </c>
      <c r="E1943" s="4" t="inlineStr">
        <is>
          <t>17º PAV.</t>
        </is>
      </c>
      <c r="F1943" s="126" t="n">
        <v>46983</v>
      </c>
      <c r="G1943" s="126" t="n">
        <v>46995</v>
      </c>
      <c r="H1943" s="126" t="n">
        <v>46289</v>
      </c>
      <c r="I1943" s="4" t="n">
        <v>0</v>
      </c>
      <c r="J1943" s="4" t="n">
        <v>0</v>
      </c>
      <c r="K1943" s="4" t="n">
        <v>0</v>
      </c>
      <c r="M1943" s="2">
        <f>IF(C1943="","",IFERROR(INDEX($S$5:$S$304,MATCH(C1943,$R$5:$R$304,0))&amp;"","?"))</f>
        <v/>
      </c>
      <c r="N1943" s="2">
        <f>IF(E1943="","",IF(ISNUMBER(SEARCH("SUBSOLO",E1943)),IFERROR(-VALUE(LEFT(E1943,FIND("º",SUBSTITUTE(E1943,"°","º"))-1)),-1),IF(LEFT(E1943,6)="TÉRREO",0,IFERROR(VALUE(LEFT(E1943,FIND("º",SUBSTITUTE(E1943,"°","º"))-1)),""))))</f>
        <v/>
      </c>
      <c r="O1943" s="2">
        <f>IF(OR(F1943="",G1943=""),"",IF(G1943&lt;='RETRATO 2027'!$K$5,"CONCLUÍDA",IF(F1943&lt;='RETRATO 2027'!$K$5,"EM ANDAMENTO","A INICIAR")))</f>
        <v/>
      </c>
    </row>
    <row r="1944">
      <c r="B1944" s="4" t="n">
        <v>29981131</v>
      </c>
      <c r="C1944" s="4" t="inlineStr">
        <is>
          <t>PINTURA 2º DEMÃO</t>
        </is>
      </c>
      <c r="D1944" s="4" t="inlineStr">
        <is>
          <t>-</t>
        </is>
      </c>
      <c r="E1944" s="4" t="inlineStr">
        <is>
          <t>18º PAV.</t>
        </is>
      </c>
      <c r="F1944" s="126" t="n">
        <v>46983</v>
      </c>
      <c r="G1944" s="126" t="n">
        <v>46995</v>
      </c>
      <c r="H1944" s="126" t="n">
        <v>46289</v>
      </c>
      <c r="I1944" s="4" t="n">
        <v>0</v>
      </c>
      <c r="J1944" s="4" t="n">
        <v>0</v>
      </c>
      <c r="K1944" s="4" t="n">
        <v>0</v>
      </c>
      <c r="M1944" s="2">
        <f>IF(C1944="","",IFERROR(INDEX($S$5:$S$304,MATCH(C1944,$R$5:$R$304,0))&amp;"","?"))</f>
        <v/>
      </c>
      <c r="N1944" s="2">
        <f>IF(E1944="","",IF(ISNUMBER(SEARCH("SUBSOLO",E1944)),IFERROR(-VALUE(LEFT(E1944,FIND("º",SUBSTITUTE(E1944,"°","º"))-1)),-1),IF(LEFT(E1944,6)="TÉRREO",0,IFERROR(VALUE(LEFT(E1944,FIND("º",SUBSTITUTE(E1944,"°","º"))-1)),""))))</f>
        <v/>
      </c>
      <c r="O1944" s="2">
        <f>IF(OR(F1944="",G1944=""),"",IF(G1944&lt;='RETRATO 2027'!$K$5,"CONCLUÍDA",IF(F1944&lt;='RETRATO 2027'!$K$5,"EM ANDAMENTO","A INICIAR")))</f>
        <v/>
      </c>
    </row>
    <row r="1945">
      <c r="B1945" s="4" t="n">
        <v>33919796</v>
      </c>
      <c r="C1945" s="4" t="inlineStr">
        <is>
          <t>TEXTURA - EXTERNA</t>
        </is>
      </c>
      <c r="D1945" s="4" t="inlineStr">
        <is>
          <t>-</t>
        </is>
      </c>
      <c r="E1945" s="4" t="inlineStr">
        <is>
          <t>18º PAV.</t>
        </is>
      </c>
      <c r="F1945" s="126" t="n">
        <v>46983</v>
      </c>
      <c r="G1945" s="126" t="n">
        <v>46995</v>
      </c>
      <c r="H1945" s="126" t="n">
        <v>46289</v>
      </c>
      <c r="I1945" s="4" t="n">
        <v>0</v>
      </c>
      <c r="J1945" s="4" t="n">
        <v>0</v>
      </c>
      <c r="K1945" s="4" t="n">
        <v>0</v>
      </c>
      <c r="M1945" s="2">
        <f>IF(C1945="","",IFERROR(INDEX($S$5:$S$304,MATCH(C1945,$R$5:$R$304,0))&amp;"","?"))</f>
        <v/>
      </c>
      <c r="N1945" s="2">
        <f>IF(E1945="","",IF(ISNUMBER(SEARCH("SUBSOLO",E1945)),IFERROR(-VALUE(LEFT(E1945,FIND("º",SUBSTITUTE(E1945,"°","º"))-1)),-1),IF(LEFT(E1945,6)="TÉRREO",0,IFERROR(VALUE(LEFT(E1945,FIND("º",SUBSTITUTE(E1945,"°","º"))-1)),""))))</f>
        <v/>
      </c>
      <c r="O1945" s="2">
        <f>IF(OR(F1945="",G1945=""),"",IF(G1945&lt;='RETRATO 2027'!$K$5,"CONCLUÍDA",IF(F1945&lt;='RETRATO 2027'!$K$5,"EM ANDAMENTO","A INICIAR")))</f>
        <v/>
      </c>
    </row>
    <row r="1946">
      <c r="B1946" s="4" t="n">
        <v>29981056</v>
      </c>
      <c r="C1946" s="4" t="inlineStr">
        <is>
          <t>LIMPEZA GROSSA</t>
        </is>
      </c>
      <c r="D1946" s="4" t="inlineStr">
        <is>
          <t>-</t>
        </is>
      </c>
      <c r="E1946" s="4" t="inlineStr">
        <is>
          <t>20º PAV.</t>
        </is>
      </c>
      <c r="F1946" s="126" t="n">
        <v>46983</v>
      </c>
      <c r="G1946" s="126" t="n">
        <v>46995</v>
      </c>
      <c r="H1946" s="126" t="n">
        <v>46289</v>
      </c>
      <c r="I1946" s="4" t="n">
        <v>0</v>
      </c>
      <c r="J1946" s="4" t="n">
        <v>0</v>
      </c>
      <c r="K1946" s="4" t="n">
        <v>0</v>
      </c>
      <c r="M1946" s="2">
        <f>IF(C1946="","",IFERROR(INDEX($S$5:$S$304,MATCH(C1946,$R$5:$R$304,0))&amp;"","?"))</f>
        <v/>
      </c>
      <c r="N1946" s="2">
        <f>IF(E1946="","",IF(ISNUMBER(SEARCH("SUBSOLO",E1946)),IFERROR(-VALUE(LEFT(E1946,FIND("º",SUBSTITUTE(E1946,"°","º"))-1)),-1),IF(LEFT(E1946,6)="TÉRREO",0,IFERROR(VALUE(LEFT(E1946,FIND("º",SUBSTITUTE(E1946,"°","º"))-1)),""))))</f>
        <v/>
      </c>
      <c r="O1946" s="2">
        <f>IF(OR(F1946="",G1946=""),"",IF(G1946&lt;='RETRATO 2027'!$K$5,"CONCLUÍDA",IF(F1946&lt;='RETRATO 2027'!$K$5,"EM ANDAMENTO","A INICIAR")))</f>
        <v/>
      </c>
    </row>
    <row r="1947">
      <c r="B1947" s="4" t="n">
        <v>29981013</v>
      </c>
      <c r="C1947" s="4" t="inlineStr">
        <is>
          <t>LOUÇAS</t>
        </is>
      </c>
      <c r="D1947" s="4" t="inlineStr">
        <is>
          <t>-</t>
        </is>
      </c>
      <c r="E1947" s="4" t="inlineStr">
        <is>
          <t>21º PAV.</t>
        </is>
      </c>
      <c r="F1947" s="126" t="n">
        <v>46983</v>
      </c>
      <c r="G1947" s="126" t="n">
        <v>46995</v>
      </c>
      <c r="H1947" s="126" t="n">
        <v>46289</v>
      </c>
      <c r="I1947" s="4" t="n">
        <v>0</v>
      </c>
      <c r="J1947" s="4" t="n">
        <v>0</v>
      </c>
      <c r="K1947" s="4" t="n">
        <v>0</v>
      </c>
      <c r="M1947" s="2">
        <f>IF(C1947="","",IFERROR(INDEX($S$5:$S$304,MATCH(C1947,$R$5:$R$304,0))&amp;"","?"))</f>
        <v/>
      </c>
      <c r="N1947" s="2">
        <f>IF(E1947="","",IF(ISNUMBER(SEARCH("SUBSOLO",E1947)),IFERROR(-VALUE(LEFT(E1947,FIND("º",SUBSTITUTE(E1947,"°","º"))-1)),-1),IF(LEFT(E1947,6)="TÉRREO",0,IFERROR(VALUE(LEFT(E1947,FIND("º",SUBSTITUTE(E1947,"°","º"))-1)),""))))</f>
        <v/>
      </c>
      <c r="O1947" s="2">
        <f>IF(OR(F1947="",G1947=""),"",IF(G1947&lt;='RETRATO 2027'!$K$5,"CONCLUÍDA",IF(F1947&lt;='RETRATO 2027'!$K$5,"EM ANDAMENTO","A INICIAR")))</f>
        <v/>
      </c>
    </row>
    <row r="1948">
      <c r="B1948" s="4" t="n">
        <v>29981018</v>
      </c>
      <c r="C1948" s="4" t="inlineStr">
        <is>
          <t>METAIS</t>
        </is>
      </c>
      <c r="D1948" s="4" t="inlineStr">
        <is>
          <t>-</t>
        </is>
      </c>
      <c r="E1948" s="4" t="inlineStr">
        <is>
          <t>21º PAV.</t>
        </is>
      </c>
      <c r="F1948" s="126" t="n">
        <v>46983</v>
      </c>
      <c r="G1948" s="126" t="n">
        <v>46995</v>
      </c>
      <c r="H1948" s="126" t="n">
        <v>46289</v>
      </c>
      <c r="I1948" s="4" t="n">
        <v>0</v>
      </c>
      <c r="J1948" s="4" t="n">
        <v>0</v>
      </c>
      <c r="K1948" s="4" t="n">
        <v>0</v>
      </c>
      <c r="M1948" s="2">
        <f>IF(C1948="","",IFERROR(INDEX($S$5:$S$304,MATCH(C1948,$R$5:$R$304,0))&amp;"","?"))</f>
        <v/>
      </c>
      <c r="N1948" s="2">
        <f>IF(E1948="","",IF(ISNUMBER(SEARCH("SUBSOLO",E1948)),IFERROR(-VALUE(LEFT(E1948,FIND("º",SUBSTITUTE(E1948,"°","º"))-1)),-1),IF(LEFT(E1948,6)="TÉRREO",0,IFERROR(VALUE(LEFT(E1948,FIND("º",SUBSTITUTE(E1948,"°","º"))-1)),""))))</f>
        <v/>
      </c>
      <c r="O1948" s="2">
        <f>IF(OR(F1948="",G1948=""),"",IF(G1948&lt;='RETRATO 2027'!$K$5,"CONCLUÍDA",IF(F1948&lt;='RETRATO 2027'!$K$5,"EM ANDAMENTO","A INICIAR")))</f>
        <v/>
      </c>
    </row>
    <row r="1949">
      <c r="B1949" s="4" t="n">
        <v>29981017</v>
      </c>
      <c r="C1949" s="4" t="inlineStr">
        <is>
          <t>DISJUNTORES / MIOLOS</t>
        </is>
      </c>
      <c r="D1949" s="4" t="inlineStr">
        <is>
          <t>-</t>
        </is>
      </c>
      <c r="E1949" s="4" t="inlineStr">
        <is>
          <t>21º PAV.</t>
        </is>
      </c>
      <c r="F1949" s="126" t="n">
        <v>46983</v>
      </c>
      <c r="G1949" s="126" t="n">
        <v>46995</v>
      </c>
      <c r="H1949" s="126" t="n">
        <v>46289</v>
      </c>
      <c r="I1949" s="4" t="n">
        <v>0</v>
      </c>
      <c r="J1949" s="4" t="n">
        <v>0</v>
      </c>
      <c r="K1949" s="4" t="n">
        <v>0</v>
      </c>
      <c r="M1949" s="2">
        <f>IF(C1949="","",IFERROR(INDEX($S$5:$S$304,MATCH(C1949,$R$5:$R$304,0))&amp;"","?"))</f>
        <v/>
      </c>
      <c r="N1949" s="2">
        <f>IF(E1949="","",IF(ISNUMBER(SEARCH("SUBSOLO",E1949)),IFERROR(-VALUE(LEFT(E1949,FIND("º",SUBSTITUTE(E1949,"°","º"))-1)),-1),IF(LEFT(E1949,6)="TÉRREO",0,IFERROR(VALUE(LEFT(E1949,FIND("º",SUBSTITUTE(E1949,"°","º"))-1)),""))))</f>
        <v/>
      </c>
      <c r="O1949" s="2">
        <f>IF(OR(F1949="",G1949=""),"",IF(G1949&lt;='RETRATO 2027'!$K$5,"CONCLUÍDA",IF(F1949&lt;='RETRATO 2027'!$K$5,"EM ANDAMENTO","A INICIAR")))</f>
        <v/>
      </c>
    </row>
    <row r="1950">
      <c r="B1950" s="4" t="n">
        <v>29981016</v>
      </c>
      <c r="C1950" s="4" t="inlineStr">
        <is>
          <t>COMUNICAÇÃO E ALARME</t>
        </is>
      </c>
      <c r="D1950" s="4" t="inlineStr">
        <is>
          <t>-</t>
        </is>
      </c>
      <c r="E1950" s="4" t="inlineStr">
        <is>
          <t>21º PAV.</t>
        </is>
      </c>
      <c r="F1950" s="126" t="n">
        <v>46983</v>
      </c>
      <c r="G1950" s="126" t="n">
        <v>46995</v>
      </c>
      <c r="H1950" s="126" t="n">
        <v>46289</v>
      </c>
      <c r="I1950" s="4" t="n">
        <v>0</v>
      </c>
      <c r="J1950" s="4" t="n">
        <v>0</v>
      </c>
      <c r="K1950" s="4" t="n">
        <v>0</v>
      </c>
      <c r="M1950" s="2">
        <f>IF(C1950="","",IFERROR(INDEX($S$5:$S$304,MATCH(C1950,$R$5:$R$304,0))&amp;"","?"))</f>
        <v/>
      </c>
      <c r="N1950" s="2">
        <f>IF(E1950="","",IF(ISNUMBER(SEARCH("SUBSOLO",E1950)),IFERROR(-VALUE(LEFT(E1950,FIND("º",SUBSTITUTE(E1950,"°","º"))-1)),-1),IF(LEFT(E1950,6)="TÉRREO",0,IFERROR(VALUE(LEFT(E1950,FIND("º",SUBSTITUTE(E1950,"°","º"))-1)),""))))</f>
        <v/>
      </c>
      <c r="O1950" s="2">
        <f>IF(OR(F1950="",G1950=""),"",IF(G1950&lt;='RETRATO 2027'!$K$5,"CONCLUÍDA",IF(F1950&lt;='RETRATO 2027'!$K$5,"EM ANDAMENTO","A INICIAR")))</f>
        <v/>
      </c>
    </row>
    <row r="1951">
      <c r="B1951" s="4" t="n">
        <v>29980975</v>
      </c>
      <c r="C1951" s="4" t="inlineStr">
        <is>
          <t>RODAPÉ MADEIRA / PVC</t>
        </is>
      </c>
      <c r="D1951" s="4" t="inlineStr">
        <is>
          <t>-</t>
        </is>
      </c>
      <c r="E1951" s="4" t="inlineStr">
        <is>
          <t>22º PAV.</t>
        </is>
      </c>
      <c r="F1951" s="126" t="n">
        <v>46983</v>
      </c>
      <c r="G1951" s="126" t="n">
        <v>46995</v>
      </c>
      <c r="H1951" s="126" t="n">
        <v>46289</v>
      </c>
      <c r="I1951" s="4" t="n">
        <v>0</v>
      </c>
      <c r="J1951" s="4" t="n">
        <v>0</v>
      </c>
      <c r="K1951" s="4" t="n">
        <v>0</v>
      </c>
      <c r="M1951" s="2">
        <f>IF(C1951="","",IFERROR(INDEX($S$5:$S$304,MATCH(C1951,$R$5:$R$304,0))&amp;"","?"))</f>
        <v/>
      </c>
      <c r="N1951" s="2">
        <f>IF(E1951="","",IF(ISNUMBER(SEARCH("SUBSOLO",E1951)),IFERROR(-VALUE(LEFT(E1951,FIND("º",SUBSTITUTE(E1951,"°","º"))-1)),-1),IF(LEFT(E1951,6)="TÉRREO",0,IFERROR(VALUE(LEFT(E1951,FIND("º",SUBSTITUTE(E1951,"°","º"))-1)),""))))</f>
        <v/>
      </c>
      <c r="O1951" s="2">
        <f>IF(OR(F1951="",G1951=""),"",IF(G1951&lt;='RETRATO 2027'!$K$5,"CONCLUÍDA",IF(F1951&lt;='RETRATO 2027'!$K$5,"EM ANDAMENTO","A INICIAR")))</f>
        <v/>
      </c>
    </row>
    <row r="1952">
      <c r="B1952" s="4" t="n">
        <v>29980937</v>
      </c>
      <c r="C1952" s="4" t="inlineStr">
        <is>
          <t>ESQUADRIA MADEIRA</t>
        </is>
      </c>
      <c r="D1952" s="4" t="inlineStr">
        <is>
          <t>-</t>
        </is>
      </c>
      <c r="E1952" s="4" t="inlineStr">
        <is>
          <t>23º PAV.</t>
        </is>
      </c>
      <c r="F1952" s="126" t="n">
        <v>46983</v>
      </c>
      <c r="G1952" s="126" t="n">
        <v>46995</v>
      </c>
      <c r="H1952" s="126" t="n">
        <v>46289</v>
      </c>
      <c r="I1952" s="4" t="n">
        <v>0</v>
      </c>
      <c r="J1952" s="4" t="n">
        <v>0</v>
      </c>
      <c r="K1952" s="4" t="n">
        <v>0</v>
      </c>
      <c r="M1952" s="2">
        <f>IF(C1952="","",IFERROR(INDEX($S$5:$S$304,MATCH(C1952,$R$5:$R$304,0))&amp;"","?"))</f>
        <v/>
      </c>
      <c r="N1952" s="2">
        <f>IF(E1952="","",IF(ISNUMBER(SEARCH("SUBSOLO",E1952)),IFERROR(-VALUE(LEFT(E1952,FIND("º",SUBSTITUTE(E1952,"°","º"))-1)),-1),IF(LEFT(E1952,6)="TÉRREO",0,IFERROR(VALUE(LEFT(E1952,FIND("º",SUBSTITUTE(E1952,"°","º"))-1)),""))))</f>
        <v/>
      </c>
      <c r="O1952" s="2">
        <f>IF(OR(F1952="",G1952=""),"",IF(G1952&lt;='RETRATO 2027'!$K$5,"CONCLUÍDA",IF(F1952&lt;='RETRATO 2027'!$K$5,"EM ANDAMENTO","A INICIAR")))</f>
        <v/>
      </c>
    </row>
    <row r="1953">
      <c r="B1953" s="4" t="n">
        <v>29980899</v>
      </c>
      <c r="C1953" s="4" t="inlineStr">
        <is>
          <t>PISO VINÍLICO / LAMINADO</t>
        </is>
      </c>
      <c r="D1953" s="4" t="inlineStr">
        <is>
          <t>-</t>
        </is>
      </c>
      <c r="E1953" s="4" t="inlineStr">
        <is>
          <t>24º PAV.</t>
        </is>
      </c>
      <c r="F1953" s="126" t="n">
        <v>46983</v>
      </c>
      <c r="G1953" s="126" t="n">
        <v>46995</v>
      </c>
      <c r="H1953" s="126" t="n">
        <v>46289</v>
      </c>
      <c r="I1953" s="4" t="n">
        <v>0</v>
      </c>
      <c r="J1953" s="4" t="n">
        <v>0</v>
      </c>
      <c r="K1953" s="4" t="n">
        <v>0</v>
      </c>
      <c r="M1953" s="2">
        <f>IF(C1953="","",IFERROR(INDEX($S$5:$S$304,MATCH(C1953,$R$5:$R$304,0))&amp;"","?"))</f>
        <v/>
      </c>
      <c r="N1953" s="2">
        <f>IF(E1953="","",IF(ISNUMBER(SEARCH("SUBSOLO",E1953)),IFERROR(-VALUE(LEFT(E1953,FIND("º",SUBSTITUTE(E1953,"°","º"))-1)),-1),IF(LEFT(E1953,6)="TÉRREO",0,IFERROR(VALUE(LEFT(E1953,FIND("º",SUBSTITUTE(E1953,"°","º"))-1)),""))))</f>
        <v/>
      </c>
      <c r="O1953" s="2">
        <f>IF(OR(F1953="",G1953=""),"",IF(G1953&lt;='RETRATO 2027'!$K$5,"CONCLUÍDA",IF(F1953&lt;='RETRATO 2027'!$K$5,"EM ANDAMENTO","A INICIAR")))</f>
        <v/>
      </c>
    </row>
    <row r="1954">
      <c r="B1954" s="4" t="n">
        <v>29980861</v>
      </c>
      <c r="C1954" s="4" t="inlineStr">
        <is>
          <t>PINTURA 1º DEMÃO</t>
        </is>
      </c>
      <c r="D1954" s="4" t="inlineStr">
        <is>
          <t>-</t>
        </is>
      </c>
      <c r="E1954" s="4" t="inlineStr">
        <is>
          <t>25º PAV.</t>
        </is>
      </c>
      <c r="F1954" s="126" t="n">
        <v>46983</v>
      </c>
      <c r="G1954" s="126" t="n">
        <v>46995</v>
      </c>
      <c r="H1954" s="126" t="n">
        <v>46289</v>
      </c>
      <c r="I1954" s="4" t="n">
        <v>0</v>
      </c>
      <c r="J1954" s="4" t="n">
        <v>0</v>
      </c>
      <c r="K1954" s="4" t="n">
        <v>0</v>
      </c>
      <c r="M1954" s="2">
        <f>IF(C1954="","",IFERROR(INDEX($S$5:$S$304,MATCH(C1954,$R$5:$R$304,0))&amp;"","?"))</f>
        <v/>
      </c>
      <c r="N1954" s="2">
        <f>IF(E1954="","",IF(ISNUMBER(SEARCH("SUBSOLO",E1954)),IFERROR(-VALUE(LEFT(E1954,FIND("º",SUBSTITUTE(E1954,"°","º"))-1)),-1),IF(LEFT(E1954,6)="TÉRREO",0,IFERROR(VALUE(LEFT(E1954,FIND("º",SUBSTITUTE(E1954,"°","º"))-1)),""))))</f>
        <v/>
      </c>
      <c r="O1954" s="2">
        <f>IF(OR(F1954="",G1954=""),"",IF(G1954&lt;='RETRATO 2027'!$K$5,"CONCLUÍDA",IF(F1954&lt;='RETRATO 2027'!$K$5,"EM ANDAMENTO","A INICIAR")))</f>
        <v/>
      </c>
    </row>
    <row r="1955">
      <c r="B1955" s="4" t="n">
        <v>29980850</v>
      </c>
      <c r="C1955" s="4" t="inlineStr">
        <is>
          <t>MASSA CORRIDA</t>
        </is>
      </c>
      <c r="D1955" s="4" t="inlineStr">
        <is>
          <t>-</t>
        </is>
      </c>
      <c r="E1955" s="4" t="inlineStr">
        <is>
          <t>26º PAV.</t>
        </is>
      </c>
      <c r="F1955" s="126" t="n">
        <v>46983</v>
      </c>
      <c r="G1955" s="126" t="n">
        <v>46995</v>
      </c>
      <c r="H1955" s="126" t="n">
        <v>46289</v>
      </c>
      <c r="I1955" s="4" t="n">
        <v>0</v>
      </c>
      <c r="J1955" s="4" t="n">
        <v>0</v>
      </c>
      <c r="K1955" s="4" t="n">
        <v>0</v>
      </c>
      <c r="M1955" s="2">
        <f>IF(C1955="","",IFERROR(INDEX($S$5:$S$304,MATCH(C1955,$R$5:$R$304,0))&amp;"","?"))</f>
        <v/>
      </c>
      <c r="N1955" s="2">
        <f>IF(E1955="","",IF(ISNUMBER(SEARCH("SUBSOLO",E1955)),IFERROR(-VALUE(LEFT(E1955,FIND("º",SUBSTITUTE(E1955,"°","º"))-1)),-1),IF(LEFT(E1955,6)="TÉRREO",0,IFERROR(VALUE(LEFT(E1955,FIND("º",SUBSTITUTE(E1955,"°","º"))-1)),""))))</f>
        <v/>
      </c>
      <c r="O1955" s="2">
        <f>IF(OR(F1955="",G1955=""),"",IF(G1955&lt;='RETRATO 2027'!$K$5,"CONCLUÍDA",IF(F1955&lt;='RETRATO 2027'!$K$5,"EM ANDAMENTO","A INICIAR")))</f>
        <v/>
      </c>
    </row>
    <row r="1956">
      <c r="B1956" s="4" t="n">
        <v>33898111</v>
      </c>
      <c r="C1956" s="4" t="inlineStr">
        <is>
          <t>ESQUADRIA DE ALUMÍNIO</t>
        </is>
      </c>
      <c r="D1956" s="4" t="inlineStr">
        <is>
          <t>-</t>
        </is>
      </c>
      <c r="E1956" s="4" t="inlineStr">
        <is>
          <t>27º PAV.</t>
        </is>
      </c>
      <c r="F1956" s="126" t="n">
        <v>46983</v>
      </c>
      <c r="G1956" s="126" t="n">
        <v>46995</v>
      </c>
      <c r="H1956" s="126" t="n">
        <v>46289</v>
      </c>
      <c r="I1956" s="4" t="n">
        <v>0</v>
      </c>
      <c r="J1956" s="4" t="n">
        <v>0</v>
      </c>
      <c r="K1956" s="4" t="n">
        <v>0</v>
      </c>
      <c r="M1956" s="2">
        <f>IF(C1956="","",IFERROR(INDEX($S$5:$S$304,MATCH(C1956,$R$5:$R$304,0))&amp;"","?"))</f>
        <v/>
      </c>
      <c r="N1956" s="2">
        <f>IF(E1956="","",IF(ISNUMBER(SEARCH("SUBSOLO",E1956)),IFERROR(-VALUE(LEFT(E1956,FIND("º",SUBSTITUTE(E1956,"°","º"))-1)),-1),IF(LEFT(E1956,6)="TÉRREO",0,IFERROR(VALUE(LEFT(E1956,FIND("º",SUBSTITUTE(E1956,"°","º"))-1)),""))))</f>
        <v/>
      </c>
      <c r="O1956" s="2">
        <f>IF(OR(F1956="",G1956=""),"",IF(G1956&lt;='RETRATO 2027'!$K$5,"CONCLUÍDA",IF(F1956&lt;='RETRATO 2027'!$K$5,"EM ANDAMENTO","A INICIAR")))</f>
        <v/>
      </c>
    </row>
    <row r="1957">
      <c r="B1957" s="4" t="n">
        <v>31800478</v>
      </c>
      <c r="C1957" s="4" t="inlineStr">
        <is>
          <t>INSTALAÇÃO DE SHADOWBOX E BRISES - F5</t>
        </is>
      </c>
      <c r="D1957" s="4" t="inlineStr">
        <is>
          <t>-</t>
        </is>
      </c>
      <c r="E1957" s="4" t="inlineStr">
        <is>
          <t>FACHADA</t>
        </is>
      </c>
      <c r="F1957" s="126" t="n">
        <v>46983</v>
      </c>
      <c r="G1957" s="126" t="n">
        <v>47032</v>
      </c>
      <c r="H1957" s="126" t="n">
        <v>46289</v>
      </c>
      <c r="I1957" s="4" t="n">
        <v>0</v>
      </c>
      <c r="J1957" s="4" t="n">
        <v>0</v>
      </c>
      <c r="K1957" s="4" t="n">
        <v>0</v>
      </c>
      <c r="M1957" s="2">
        <f>IF(C1957="","",IFERROR(INDEX($S$5:$S$304,MATCH(C1957,$R$5:$R$304,0))&amp;"","?"))</f>
        <v/>
      </c>
      <c r="N1957" s="2">
        <f>IF(E1957="","",IF(ISNUMBER(SEARCH("SUBSOLO",E1957)),IFERROR(-VALUE(LEFT(E1957,FIND("º",SUBSTITUTE(E1957,"°","º"))-1)),-1),IF(LEFT(E1957,6)="TÉRREO",0,IFERROR(VALUE(LEFT(E1957,FIND("º",SUBSTITUTE(E1957,"°","º"))-1)),""))))</f>
        <v/>
      </c>
      <c r="O1957" s="2">
        <f>IF(OR(F1957="",G1957=""),"",IF(G1957&lt;='RETRATO 2027'!$K$5,"CONCLUÍDA",IF(F1957&lt;='RETRATO 2027'!$K$5,"EM ANDAMENTO","A INICIAR")))</f>
        <v/>
      </c>
    </row>
    <row r="1958">
      <c r="B1958" s="4" t="n">
        <v>31801078</v>
      </c>
      <c r="C1958" s="4" t="inlineStr">
        <is>
          <t>FACHADA EMBASAMENTO</t>
        </is>
      </c>
      <c r="D1958" s="4" t="inlineStr">
        <is>
          <t>-</t>
        </is>
      </c>
      <c r="E1958" s="4" t="inlineStr">
        <is>
          <t>FACHADA</t>
        </is>
      </c>
      <c r="F1958" s="126" t="n">
        <v>46983</v>
      </c>
      <c r="G1958" s="126" t="n">
        <v>47122</v>
      </c>
      <c r="H1958" s="126" t="n">
        <v>46289</v>
      </c>
      <c r="I1958" s="4" t="n">
        <v>0</v>
      </c>
      <c r="J1958" s="4" t="n">
        <v>0</v>
      </c>
      <c r="K1958" s="4" t="n">
        <v>0</v>
      </c>
      <c r="M1958" s="2">
        <f>IF(C1958="","",IFERROR(INDEX($S$5:$S$304,MATCH(C1958,$R$5:$R$304,0))&amp;"","?"))</f>
        <v/>
      </c>
      <c r="N1958" s="2">
        <f>IF(E1958="","",IF(ISNUMBER(SEARCH("SUBSOLO",E1958)),IFERROR(-VALUE(LEFT(E1958,FIND("º",SUBSTITUTE(E1958,"°","º"))-1)),-1),IF(LEFT(E1958,6)="TÉRREO",0,IFERROR(VALUE(LEFT(E1958,FIND("º",SUBSTITUTE(E1958,"°","º"))-1)),""))))</f>
        <v/>
      </c>
      <c r="O1958" s="2">
        <f>IF(OR(F1958="",G1958=""),"",IF(G1958&lt;='RETRATO 2027'!$K$5,"CONCLUÍDA",IF(F1958&lt;='RETRATO 2027'!$K$5,"EM ANDAMENTO","A INICIAR")))</f>
        <v/>
      </c>
    </row>
    <row r="1959">
      <c r="B1959" s="4" t="n">
        <v>30206113</v>
      </c>
      <c r="C1959" s="4" t="inlineStr">
        <is>
          <t>LIMPEZA GROSSA</t>
        </is>
      </c>
      <c r="D1959" s="4" t="inlineStr">
        <is>
          <t>-</t>
        </is>
      </c>
      <c r="E1959" s="4" t="inlineStr">
        <is>
          <t>6º PAV (PILOTIS) - ACADEMIA</t>
        </is>
      </c>
      <c r="F1959" s="126" t="n">
        <v>46986</v>
      </c>
      <c r="G1959" s="126" t="n">
        <v>46997</v>
      </c>
      <c r="H1959" s="126" t="n">
        <v>46289</v>
      </c>
      <c r="I1959" s="4" t="n">
        <v>0</v>
      </c>
      <c r="J1959" s="4" t="n">
        <v>0</v>
      </c>
      <c r="K1959" s="4" t="n">
        <v>0</v>
      </c>
      <c r="M1959" s="2">
        <f>IF(C1959="","",IFERROR(INDEX($S$5:$S$304,MATCH(C1959,$R$5:$R$304,0))&amp;"","?"))</f>
        <v/>
      </c>
      <c r="N1959" s="2">
        <f>IF(E1959="","",IF(ISNUMBER(SEARCH("SUBSOLO",E1959)),IFERROR(-VALUE(LEFT(E1959,FIND("º",SUBSTITUTE(E1959,"°","º"))-1)),-1),IF(LEFT(E1959,6)="TÉRREO",0,IFERROR(VALUE(LEFT(E1959,FIND("º",SUBSTITUTE(E1959,"°","º"))-1)),""))))</f>
        <v/>
      </c>
      <c r="O1959" s="2">
        <f>IF(OR(F1959="",G1959=""),"",IF(G1959&lt;='RETRATO 2027'!$K$5,"CONCLUÍDA",IF(F1959&lt;='RETRATO 2027'!$K$5,"EM ANDAMENTO","A INICIAR")))</f>
        <v/>
      </c>
    </row>
    <row r="1960">
      <c r="B1960" s="4" t="n">
        <v>29980663</v>
      </c>
      <c r="C1960" s="4" t="inlineStr">
        <is>
          <t>FORRO</t>
        </is>
      </c>
      <c r="D1960" s="4" t="inlineStr">
        <is>
          <t>-</t>
        </is>
      </c>
      <c r="E1960" s="4" t="inlineStr">
        <is>
          <t>31º PAV. - COBERTURA LINEAR</t>
        </is>
      </c>
      <c r="F1960" s="126" t="n">
        <v>46986</v>
      </c>
      <c r="G1960" s="126" t="n">
        <v>46996</v>
      </c>
      <c r="H1960" s="126" t="n">
        <v>46289</v>
      </c>
      <c r="I1960" s="4" t="n">
        <v>0</v>
      </c>
      <c r="J1960" s="4" t="n">
        <v>0</v>
      </c>
      <c r="K1960" s="4" t="n">
        <v>0</v>
      </c>
      <c r="M1960" s="2">
        <f>IF(C1960="","",IFERROR(INDEX($S$5:$S$304,MATCH(C1960,$R$5:$R$304,0))&amp;"","?"))</f>
        <v/>
      </c>
      <c r="N1960" s="2">
        <f>IF(E1960="","",IF(ISNUMBER(SEARCH("SUBSOLO",E1960)),IFERROR(-VALUE(LEFT(E1960,FIND("º",SUBSTITUTE(E1960,"°","º"))-1)),-1),IF(LEFT(E1960,6)="TÉRREO",0,IFERROR(VALUE(LEFT(E1960,FIND("º",SUBSTITUTE(E1960,"°","º"))-1)),""))))</f>
        <v/>
      </c>
      <c r="O1960" s="2">
        <f>IF(OR(F1960="",G1960=""),"",IF(G1960&lt;='RETRATO 2027'!$K$5,"CONCLUÍDA",IF(F1960&lt;='RETRATO 2027'!$K$5,"EM ANDAMENTO","A INICIAR")))</f>
        <v/>
      </c>
    </row>
    <row r="1961">
      <c r="B1961" s="4" t="n">
        <v>29980624</v>
      </c>
      <c r="C1961" s="4" t="inlineStr">
        <is>
          <t>FIAÇÃO ELÉTRICA</t>
        </is>
      </c>
      <c r="D1961" s="4" t="inlineStr">
        <is>
          <t>-</t>
        </is>
      </c>
      <c r="E1961" s="4" t="inlineStr">
        <is>
          <t>32º PAV - COBERTURA GERAL</t>
        </is>
      </c>
      <c r="F1961" s="126" t="n">
        <v>46986</v>
      </c>
      <c r="G1961" s="126" t="n">
        <v>46996</v>
      </c>
      <c r="H1961" s="126" t="n">
        <v>46289</v>
      </c>
      <c r="I1961" s="4" t="n">
        <v>0</v>
      </c>
      <c r="J1961" s="4" t="n">
        <v>0</v>
      </c>
      <c r="K1961" s="4" t="n">
        <v>0</v>
      </c>
      <c r="M1961" s="2">
        <f>IF(C1961="","",IFERROR(INDEX($S$5:$S$304,MATCH(C1961,$R$5:$R$304,0))&amp;"","?"))</f>
        <v/>
      </c>
      <c r="N1961" s="2">
        <f>IF(E1961="","",IF(ISNUMBER(SEARCH("SUBSOLO",E1961)),IFERROR(-VALUE(LEFT(E1961,FIND("º",SUBSTITUTE(E1961,"°","º"))-1)),-1),IF(LEFT(E1961,6)="TÉRREO",0,IFERROR(VALUE(LEFT(E1961,FIND("º",SUBSTITUTE(E1961,"°","º"))-1)),""))))</f>
        <v/>
      </c>
      <c r="O1961" s="2">
        <f>IF(OR(F1961="",G1961=""),"",IF(G1961&lt;='RETRATO 2027'!$K$5,"CONCLUÍDA",IF(F1961&lt;='RETRATO 2027'!$K$5,"EM ANDAMENTO","A INICIAR")))</f>
        <v/>
      </c>
    </row>
    <row r="1962">
      <c r="B1962" s="4" t="n">
        <v>29980629</v>
      </c>
      <c r="C1962" s="4" t="inlineStr">
        <is>
          <t>PRUMADA ELÉTRICA - CABOS</t>
        </is>
      </c>
      <c r="D1962" s="4" t="inlineStr">
        <is>
          <t>-</t>
        </is>
      </c>
      <c r="E1962" s="4" t="inlineStr">
        <is>
          <t>32º PAV - COBERTURA GERAL</t>
        </is>
      </c>
      <c r="F1962" s="126" t="n">
        <v>46986</v>
      </c>
      <c r="G1962" s="126" t="n">
        <v>46996</v>
      </c>
      <c r="H1962" s="126" t="n">
        <v>46289</v>
      </c>
      <c r="I1962" s="4" t="n">
        <v>0</v>
      </c>
      <c r="J1962" s="4" t="n">
        <v>0</v>
      </c>
      <c r="K1962" s="4" t="n">
        <v>0</v>
      </c>
      <c r="M1962" s="2">
        <f>IF(C1962="","",IFERROR(INDEX($S$5:$S$304,MATCH(C1962,$R$5:$R$304,0))&amp;"","?"))</f>
        <v/>
      </c>
      <c r="N1962" s="2">
        <f>IF(E1962="","",IF(ISNUMBER(SEARCH("SUBSOLO",E1962)),IFERROR(-VALUE(LEFT(E1962,FIND("º",SUBSTITUTE(E1962,"°","º"))-1)),-1),IF(LEFT(E1962,6)="TÉRREO",0,IFERROR(VALUE(LEFT(E1962,FIND("º",SUBSTITUTE(E1962,"°","º"))-1)),""))))</f>
        <v/>
      </c>
      <c r="O1962" s="2">
        <f>IF(OR(F1962="",G1962=""),"",IF(G1962&lt;='RETRATO 2027'!$K$5,"CONCLUÍDA",IF(F1962&lt;='RETRATO 2027'!$K$5,"EM ANDAMENTO","A INICIAR")))</f>
        <v/>
      </c>
    </row>
    <row r="1963">
      <c r="B1963" s="4" t="n">
        <v>30214094</v>
      </c>
      <c r="C1963" s="4" t="inlineStr">
        <is>
          <t>FIAÇÃO TELECOM/DADOS</t>
        </is>
      </c>
      <c r="D1963" s="4" t="inlineStr">
        <is>
          <t>-</t>
        </is>
      </c>
      <c r="E1963" s="4" t="inlineStr">
        <is>
          <t>32º PAV - COBERTURA GERAL</t>
        </is>
      </c>
      <c r="F1963" s="126" t="n">
        <v>46986</v>
      </c>
      <c r="G1963" s="126" t="n">
        <v>46997</v>
      </c>
      <c r="H1963" s="126" t="n">
        <v>46289</v>
      </c>
      <c r="I1963" s="4" t="n">
        <v>0</v>
      </c>
      <c r="J1963" s="4" t="n">
        <v>0</v>
      </c>
      <c r="K1963" s="4" t="n">
        <v>0</v>
      </c>
      <c r="M1963" s="2">
        <f>IF(C1963="","",IFERROR(INDEX($S$5:$S$304,MATCH(C1963,$R$5:$R$304,0))&amp;"","?"))</f>
        <v/>
      </c>
      <c r="N1963" s="2">
        <f>IF(E1963="","",IF(ISNUMBER(SEARCH("SUBSOLO",E1963)),IFERROR(-VALUE(LEFT(E1963,FIND("º",SUBSTITUTE(E1963,"°","º"))-1)),-1),IF(LEFT(E1963,6)="TÉRREO",0,IFERROR(VALUE(LEFT(E1963,FIND("º",SUBSTITUTE(E1963,"°","º"))-1)),""))))</f>
        <v/>
      </c>
      <c r="O1963" s="2">
        <f>IF(OR(F1963="",G1963=""),"",IF(G1963&lt;='RETRATO 2027'!$K$5,"CONCLUÍDA",IF(F1963&lt;='RETRATO 2027'!$K$5,"EM ANDAMENTO","A INICIAR")))</f>
        <v/>
      </c>
    </row>
    <row r="1964">
      <c r="B1964" s="4" t="n">
        <v>29981102</v>
      </c>
      <c r="C1964" s="4" t="inlineStr">
        <is>
          <t>IMPERMEABILIZAÇÃO</t>
        </is>
      </c>
      <c r="D1964" s="4" t="inlineStr">
        <is>
          <t>-</t>
        </is>
      </c>
      <c r="E1964" s="4" t="inlineStr">
        <is>
          <t>19º PAV.</t>
        </is>
      </c>
      <c r="F1964" s="126" t="n">
        <v>46987</v>
      </c>
      <c r="G1964" s="126" t="n">
        <v>46997</v>
      </c>
      <c r="H1964" s="126" t="n">
        <v>46289</v>
      </c>
      <c r="I1964" s="4" t="n">
        <v>0</v>
      </c>
      <c r="J1964" s="4" t="n">
        <v>0</v>
      </c>
      <c r="K1964" s="4" t="n">
        <v>0</v>
      </c>
      <c r="M1964" s="2">
        <f>IF(C1964="","",IFERROR(INDEX($S$5:$S$304,MATCH(C1964,$R$5:$R$304,0))&amp;"","?"))</f>
        <v/>
      </c>
      <c r="N1964" s="2">
        <f>IF(E1964="","",IF(ISNUMBER(SEARCH("SUBSOLO",E1964)),IFERROR(-VALUE(LEFT(E1964,FIND("º",SUBSTITUTE(E1964,"°","º"))-1)),-1),IF(LEFT(E1964,6)="TÉRREO",0,IFERROR(VALUE(LEFT(E1964,FIND("º",SUBSTITUTE(E1964,"°","º"))-1)),""))))</f>
        <v/>
      </c>
      <c r="O1964" s="2">
        <f>IF(OR(F1964="",G1964=""),"",IF(G1964&lt;='RETRATO 2027'!$K$5,"CONCLUÍDA",IF(F1964&lt;='RETRATO 2027'!$K$5,"EM ANDAMENTO","A INICIAR")))</f>
        <v/>
      </c>
    </row>
    <row r="1965">
      <c r="B1965" s="4" t="n">
        <v>30210368</v>
      </c>
      <c r="C1965" s="4" t="inlineStr">
        <is>
          <t>MONTAGEM - ELEVADOR 3</t>
        </is>
      </c>
      <c r="D1965" s="4" t="inlineStr">
        <is>
          <t>-</t>
        </is>
      </c>
      <c r="E1965" s="4" t="inlineStr">
        <is>
          <t>ELEVADORES</t>
        </is>
      </c>
      <c r="F1965" s="126" t="n">
        <v>46988</v>
      </c>
      <c r="G1965" s="126" t="n">
        <v>47035</v>
      </c>
      <c r="H1965" s="126" t="n">
        <v>46289</v>
      </c>
      <c r="I1965" s="4" t="n">
        <v>0</v>
      </c>
      <c r="J1965" s="4" t="n">
        <v>0</v>
      </c>
      <c r="K1965" s="4" t="n">
        <v>0</v>
      </c>
      <c r="M1965" s="2">
        <f>IF(C1965="","",IFERROR(INDEX($S$5:$S$304,MATCH(C1965,$R$5:$R$304,0))&amp;"","?"))</f>
        <v/>
      </c>
      <c r="N1965" s="2">
        <f>IF(E1965="","",IF(ISNUMBER(SEARCH("SUBSOLO",E1965)),IFERROR(-VALUE(LEFT(E1965,FIND("º",SUBSTITUTE(E1965,"°","º"))-1)),-1),IF(LEFT(E1965,6)="TÉRREO",0,IFERROR(VALUE(LEFT(E1965,FIND("º",SUBSTITUTE(E1965,"°","º"))-1)),""))))</f>
        <v/>
      </c>
      <c r="O1965" s="2">
        <f>IF(OR(F1965="",G1965=""),"",IF(G1965&lt;='RETRATO 2027'!$K$5,"CONCLUÍDA",IF(F1965&lt;='RETRATO 2027'!$K$5,"EM ANDAMENTO","A INICIAR")))</f>
        <v/>
      </c>
    </row>
    <row r="1966">
      <c r="B1966" s="4" t="n">
        <v>30205940</v>
      </c>
      <c r="C1966" s="4" t="inlineStr">
        <is>
          <t>BRISE</t>
        </is>
      </c>
      <c r="D1966" s="4" t="inlineStr">
        <is>
          <t>-</t>
        </is>
      </c>
      <c r="E1966" s="4" t="inlineStr">
        <is>
          <t>4º PAV - GARAGEM</t>
        </is>
      </c>
      <c r="F1966" s="126" t="n">
        <v>46989</v>
      </c>
      <c r="G1966" s="126" t="n">
        <v>47002</v>
      </c>
      <c r="H1966" s="126" t="n">
        <v>46289</v>
      </c>
      <c r="I1966" s="4" t="n">
        <v>0</v>
      </c>
      <c r="J1966" s="4" t="n">
        <v>0</v>
      </c>
      <c r="K1966" s="4" t="n">
        <v>0</v>
      </c>
      <c r="M1966" s="2">
        <f>IF(C1966="","",IFERROR(INDEX($S$5:$S$304,MATCH(C1966,$R$5:$R$304,0))&amp;"","?"))</f>
        <v/>
      </c>
      <c r="N1966" s="2">
        <f>IF(E1966="","",IF(ISNUMBER(SEARCH("SUBSOLO",E1966)),IFERROR(-VALUE(LEFT(E1966,FIND("º",SUBSTITUTE(E1966,"°","º"))-1)),-1),IF(LEFT(E1966,6)="TÉRREO",0,IFERROR(VALUE(LEFT(E1966,FIND("º",SUBSTITUTE(E1966,"°","º"))-1)),""))))</f>
        <v/>
      </c>
      <c r="O1966" s="2">
        <f>IF(OR(F1966="",G1966=""),"",IF(G1966&lt;='RETRATO 2027'!$K$5,"CONCLUÍDA",IF(F1966&lt;='RETRATO 2027'!$K$5,"EM ANDAMENTO","A INICIAR")))</f>
        <v/>
      </c>
    </row>
    <row r="1967">
      <c r="B1967" s="4" t="n">
        <v>30210552</v>
      </c>
      <c r="C1967" s="4" t="inlineStr">
        <is>
          <t>PRESSURIZAÇÃO (INCÊNDIO)</t>
        </is>
      </c>
      <c r="D1967" s="4" t="inlineStr">
        <is>
          <t>-</t>
        </is>
      </c>
      <c r="E1967" s="4" t="inlineStr">
        <is>
          <t>33º PAV - BARRILETE</t>
        </is>
      </c>
      <c r="F1967" s="126" t="n">
        <v>46989</v>
      </c>
      <c r="G1967" s="126" t="n">
        <v>47010</v>
      </c>
      <c r="H1967" s="126" t="n">
        <v>46289</v>
      </c>
      <c r="I1967" s="4" t="n">
        <v>0</v>
      </c>
      <c r="J1967" s="4" t="n">
        <v>0</v>
      </c>
      <c r="K1967" s="4" t="n">
        <v>0</v>
      </c>
      <c r="M1967" s="2">
        <f>IF(C1967="","",IFERROR(INDEX($S$5:$S$304,MATCH(C1967,$R$5:$R$304,0))&amp;"","?"))</f>
        <v/>
      </c>
      <c r="N1967" s="2">
        <f>IF(E1967="","",IF(ISNUMBER(SEARCH("SUBSOLO",E1967)),IFERROR(-VALUE(LEFT(E1967,FIND("º",SUBSTITUTE(E1967,"°","º"))-1)),-1),IF(LEFT(E1967,6)="TÉRREO",0,IFERROR(VALUE(LEFT(E1967,FIND("º",SUBSTITUTE(E1967,"°","º"))-1)),""))))</f>
        <v/>
      </c>
      <c r="O1967" s="2">
        <f>IF(OR(F1967="",G1967=""),"",IF(G1967&lt;='RETRATO 2027'!$K$5,"CONCLUÍDA",IF(F1967&lt;='RETRATO 2027'!$K$5,"EM ANDAMENTO","A INICIAR")))</f>
        <v/>
      </c>
    </row>
    <row r="1968">
      <c r="B1968" s="4" t="n">
        <v>30205787</v>
      </c>
      <c r="C1968" s="4" t="inlineStr">
        <is>
          <t>ACABAMENTOS ELÉTRICOS</t>
        </is>
      </c>
      <c r="D1968" s="4" t="inlineStr">
        <is>
          <t>-</t>
        </is>
      </c>
      <c r="E1968" s="4" t="inlineStr">
        <is>
          <t>TÉRREO - ACESSO COMERCIAL + DML + ARS + ÁREA TEC + LAVABO + DISPENSA</t>
        </is>
      </c>
      <c r="F1968" s="126" t="n">
        <v>46990</v>
      </c>
      <c r="G1968" s="126" t="n">
        <v>47004</v>
      </c>
      <c r="H1968" s="126" t="n">
        <v>46289</v>
      </c>
      <c r="I1968" s="4" t="n">
        <v>0</v>
      </c>
      <c r="J1968" s="4" t="n">
        <v>0</v>
      </c>
      <c r="K1968" s="4" t="n">
        <v>0</v>
      </c>
      <c r="M1968" s="2">
        <f>IF(C1968="","",IFERROR(INDEX($S$5:$S$304,MATCH(C1968,$R$5:$R$304,0))&amp;"","?"))</f>
        <v/>
      </c>
      <c r="N1968" s="2">
        <f>IF(E1968="","",IF(ISNUMBER(SEARCH("SUBSOLO",E1968)),IFERROR(-VALUE(LEFT(E1968,FIND("º",SUBSTITUTE(E1968,"°","º"))-1)),-1),IF(LEFT(E1968,6)="TÉRREO",0,IFERROR(VALUE(LEFT(E1968,FIND("º",SUBSTITUTE(E1968,"°","º"))-1)),""))))</f>
        <v/>
      </c>
      <c r="O1968" s="2">
        <f>IF(OR(F1968="",G1968=""),"",IF(G1968&lt;='RETRATO 2027'!$K$5,"CONCLUÍDA",IF(F1968&lt;='RETRATO 2027'!$K$5,"EM ANDAMENTO","A INICIAR")))</f>
        <v/>
      </c>
    </row>
    <row r="1969">
      <c r="B1969" s="4" t="n">
        <v>29981254</v>
      </c>
      <c r="C1969" s="4" t="inlineStr">
        <is>
          <t>LIMPEZA FINA</t>
        </is>
      </c>
      <c r="D1969" s="4" t="inlineStr">
        <is>
          <t>-</t>
        </is>
      </c>
      <c r="E1969" s="4" t="inlineStr">
        <is>
          <t>15º PAV.</t>
        </is>
      </c>
      <c r="F1969" s="126" t="n">
        <v>46990</v>
      </c>
      <c r="G1969" s="126" t="n">
        <v>47002</v>
      </c>
      <c r="H1969" s="126" t="n">
        <v>46289</v>
      </c>
      <c r="I1969" s="4" t="n">
        <v>0</v>
      </c>
      <c r="J1969" s="4" t="n">
        <v>0</v>
      </c>
      <c r="K1969" s="4" t="n">
        <v>0</v>
      </c>
      <c r="M1969" s="2">
        <f>IF(C1969="","",IFERROR(INDEX($S$5:$S$304,MATCH(C1969,$R$5:$R$304,0))&amp;"","?"))</f>
        <v/>
      </c>
      <c r="N1969" s="2">
        <f>IF(E1969="","",IF(ISNUMBER(SEARCH("SUBSOLO",E1969)),IFERROR(-VALUE(LEFT(E1969,FIND("º",SUBSTITUTE(E1969,"°","º"))-1)),-1),IF(LEFT(E1969,6)="TÉRREO",0,IFERROR(VALUE(LEFT(E1969,FIND("º",SUBSTITUTE(E1969,"°","º"))-1)),""))))</f>
        <v/>
      </c>
      <c r="O1969" s="2">
        <f>IF(OR(F1969="",G1969=""),"",IF(G1969&lt;='RETRATO 2027'!$K$5,"CONCLUÍDA",IF(F1969&lt;='RETRATO 2027'!$K$5,"EM ANDAMENTO","A INICIAR")))</f>
        <v/>
      </c>
    </row>
    <row r="1970">
      <c r="B1970" s="4" t="n">
        <v>29981207</v>
      </c>
      <c r="C1970" s="4" t="inlineStr">
        <is>
          <t>PINTURA 3º DEMÃO</t>
        </is>
      </c>
      <c r="D1970" s="4" t="inlineStr">
        <is>
          <t>-</t>
        </is>
      </c>
      <c r="E1970" s="4" t="inlineStr">
        <is>
          <t>16º PAV.</t>
        </is>
      </c>
      <c r="F1970" s="126" t="n">
        <v>46990</v>
      </c>
      <c r="G1970" s="126" t="n">
        <v>47002</v>
      </c>
      <c r="H1970" s="126" t="n">
        <v>46289</v>
      </c>
      <c r="I1970" s="4" t="n">
        <v>0</v>
      </c>
      <c r="J1970" s="4" t="n">
        <v>0</v>
      </c>
      <c r="K1970" s="4" t="n">
        <v>0</v>
      </c>
      <c r="M1970" s="2">
        <f>IF(C1970="","",IFERROR(INDEX($S$5:$S$304,MATCH(C1970,$R$5:$R$304,0))&amp;"","?"))</f>
        <v/>
      </c>
      <c r="N1970" s="2">
        <f>IF(E1970="","",IF(ISNUMBER(SEARCH("SUBSOLO",E1970)),IFERROR(-VALUE(LEFT(E1970,FIND("º",SUBSTITUTE(E1970,"°","º"))-1)),-1),IF(LEFT(E1970,6)="TÉRREO",0,IFERROR(VALUE(LEFT(E1970,FIND("º",SUBSTITUTE(E1970,"°","º"))-1)),""))))</f>
        <v/>
      </c>
      <c r="O1970" s="2">
        <f>IF(OR(F1970="",G1970=""),"",IF(G1970&lt;='RETRATO 2027'!$K$5,"CONCLUÍDA",IF(F1970&lt;='RETRATO 2027'!$K$5,"EM ANDAMENTO","A INICIAR")))</f>
        <v/>
      </c>
    </row>
    <row r="1971">
      <c r="B1971" s="4" t="n">
        <v>30206110</v>
      </c>
      <c r="C1971" s="4" t="inlineStr">
        <is>
          <t>COMUNICAÇÃO E ALARME</t>
        </is>
      </c>
      <c r="D1971" s="4" t="inlineStr">
        <is>
          <t>-</t>
        </is>
      </c>
      <c r="E1971" s="4" t="inlineStr">
        <is>
          <t>6º PAV (PILOTIS) - ACADEMIA</t>
        </is>
      </c>
      <c r="F1971" s="126" t="n">
        <v>46993</v>
      </c>
      <c r="G1971" s="126" t="n">
        <v>47007</v>
      </c>
      <c r="H1971" s="126" t="n">
        <v>46289</v>
      </c>
      <c r="I1971" s="4" t="n">
        <v>0</v>
      </c>
      <c r="J1971" s="4" t="n">
        <v>0</v>
      </c>
      <c r="K1971" s="4" t="n">
        <v>0</v>
      </c>
      <c r="M1971" s="2">
        <f>IF(C1971="","",IFERROR(INDEX($S$5:$S$304,MATCH(C1971,$R$5:$R$304,0))&amp;"","?"))</f>
        <v/>
      </c>
      <c r="N1971" s="2">
        <f>IF(E1971="","",IF(ISNUMBER(SEARCH("SUBSOLO",E1971)),IFERROR(-VALUE(LEFT(E1971,FIND("º",SUBSTITUTE(E1971,"°","º"))-1)),-1),IF(LEFT(E1971,6)="TÉRREO",0,IFERROR(VALUE(LEFT(E1971,FIND("º",SUBSTITUTE(E1971,"°","º"))-1)),""))))</f>
        <v/>
      </c>
      <c r="O1971" s="2">
        <f>IF(OR(F1971="",G1971=""),"",IF(G1971&lt;='RETRATO 2027'!$K$5,"CONCLUÍDA",IF(F1971&lt;='RETRATO 2027'!$K$5,"EM ANDAMENTO","A INICIAR")))</f>
        <v/>
      </c>
    </row>
    <row r="1972">
      <c r="B1972" s="4" t="n">
        <v>30206066</v>
      </c>
      <c r="C1972" s="4" t="inlineStr">
        <is>
          <t>PINTURA 1º DEMÃO</t>
        </is>
      </c>
      <c r="D1972" s="4" t="inlineStr">
        <is>
          <t>-</t>
        </is>
      </c>
      <c r="E1972" s="4" t="inlineStr">
        <is>
          <t>6º PAV (PILOTIS) - SAUNA + DUCHA</t>
        </is>
      </c>
      <c r="F1972" s="126" t="n">
        <v>46993</v>
      </c>
      <c r="G1972" s="126" t="n">
        <v>47007</v>
      </c>
      <c r="H1972" s="126" t="n">
        <v>46289</v>
      </c>
      <c r="I1972" s="4" t="n">
        <v>0</v>
      </c>
      <c r="J1972" s="4" t="n">
        <v>0</v>
      </c>
      <c r="K1972" s="4" t="n">
        <v>0</v>
      </c>
      <c r="M1972" s="2">
        <f>IF(C1972="","",IFERROR(INDEX($S$5:$S$304,MATCH(C1972,$R$5:$R$304,0))&amp;"","?"))</f>
        <v/>
      </c>
      <c r="N1972" s="2">
        <f>IF(E1972="","",IF(ISNUMBER(SEARCH("SUBSOLO",E1972)),IFERROR(-VALUE(LEFT(E1972,FIND("º",SUBSTITUTE(E1972,"°","º"))-1)),-1),IF(LEFT(E1972,6)="TÉRREO",0,IFERROR(VALUE(LEFT(E1972,FIND("º",SUBSTITUTE(E1972,"°","º"))-1)),""))))</f>
        <v/>
      </c>
      <c r="O1972" s="2">
        <f>IF(OR(F1972="",G1972=""),"",IF(G1972&lt;='RETRATO 2027'!$K$5,"CONCLUÍDA",IF(F1972&lt;='RETRATO 2027'!$K$5,"EM ANDAMENTO","A INICIAR")))</f>
        <v/>
      </c>
    </row>
    <row r="1973">
      <c r="B1973" s="4" t="n">
        <v>33904060</v>
      </c>
      <c r="C1973" s="4" t="inlineStr">
        <is>
          <t>ESQUADRIA DE ALUMÍNIO</t>
        </is>
      </c>
      <c r="D1973" s="4" t="inlineStr">
        <is>
          <t>-</t>
        </is>
      </c>
      <c r="E1973" s="4" t="inlineStr">
        <is>
          <t>6º PAV (PILOTIS) - CHURRASQUEIRA + IS MASC. PCD + IS FEM. PCD + CIRCULAÇÃO 1 + HALL 1</t>
        </is>
      </c>
      <c r="F1973" s="126" t="n">
        <v>46993</v>
      </c>
      <c r="G1973" s="126" t="n">
        <v>47007</v>
      </c>
      <c r="H1973" s="126" t="n">
        <v>46289</v>
      </c>
      <c r="I1973" s="4" t="n">
        <v>0</v>
      </c>
      <c r="J1973" s="4" t="n">
        <v>0</v>
      </c>
      <c r="K1973" s="4" t="n">
        <v>0</v>
      </c>
      <c r="M1973" s="2">
        <f>IF(C1973="","",IFERROR(INDEX($S$5:$S$304,MATCH(C1973,$R$5:$R$304,0))&amp;"","?"))</f>
        <v/>
      </c>
      <c r="N1973" s="2">
        <f>IF(E1973="","",IF(ISNUMBER(SEARCH("SUBSOLO",E1973)),IFERROR(-VALUE(LEFT(E1973,FIND("º",SUBSTITUTE(E1973,"°","º"))-1)),-1),IF(LEFT(E1973,6)="TÉRREO",0,IFERROR(VALUE(LEFT(E1973,FIND("º",SUBSTITUTE(E1973,"°","º"))-1)),""))))</f>
        <v/>
      </c>
      <c r="O1973" s="2">
        <f>IF(OR(F1973="",G1973=""),"",IF(G1973&lt;='RETRATO 2027'!$K$5,"CONCLUÍDA",IF(F1973&lt;='RETRATO 2027'!$K$5,"EM ANDAMENTO","A INICIAR")))</f>
        <v/>
      </c>
    </row>
    <row r="1974">
      <c r="B1974" s="4" t="n">
        <v>30206016</v>
      </c>
      <c r="C1974" s="4" t="inlineStr">
        <is>
          <t>FORRO</t>
        </is>
      </c>
      <c r="D1974" s="4" t="inlineStr">
        <is>
          <t>-</t>
        </is>
      </c>
      <c r="E1974" s="4" t="inlineStr">
        <is>
          <t>6º PAV (PILOTIS) - COWORKING 1 E 2 + CIRC. 2 + HALL 2 + DML + VEST. MASC. + VEST. FEM</t>
        </is>
      </c>
      <c r="F1974" s="126" t="n">
        <v>46993</v>
      </c>
      <c r="G1974" s="126" t="n">
        <v>47007</v>
      </c>
      <c r="H1974" s="126" t="n">
        <v>46289</v>
      </c>
      <c r="I1974" s="4" t="n">
        <v>0</v>
      </c>
      <c r="J1974" s="4" t="n">
        <v>0</v>
      </c>
      <c r="K1974" s="4" t="n">
        <v>0</v>
      </c>
      <c r="M1974" s="2">
        <f>IF(C1974="","",IFERROR(INDEX($S$5:$S$304,MATCH(C1974,$R$5:$R$304,0))&amp;"","?"))</f>
        <v/>
      </c>
      <c r="N1974" s="2">
        <f>IF(E1974="","",IF(ISNUMBER(SEARCH("SUBSOLO",E1974)),IFERROR(-VALUE(LEFT(E1974,FIND("º",SUBSTITUTE(E1974,"°","º"))-1)),-1),IF(LEFT(E1974,6)="TÉRREO",0,IFERROR(VALUE(LEFT(E1974,FIND("º",SUBSTITUTE(E1974,"°","º"))-1)),""))))</f>
        <v/>
      </c>
      <c r="O1974" s="2">
        <f>IF(OR(F1974="",G1974=""),"",IF(G1974&lt;='RETRATO 2027'!$K$5,"CONCLUÍDA",IF(F1974&lt;='RETRATO 2027'!$K$5,"EM ANDAMENTO","A INICIAR")))</f>
        <v/>
      </c>
    </row>
    <row r="1975">
      <c r="B1975" s="4" t="n">
        <v>30205977</v>
      </c>
      <c r="C1975" s="4" t="inlineStr">
        <is>
          <t>FIAÇÃO ELÉTRICA</t>
        </is>
      </c>
      <c r="D1975" s="4" t="inlineStr">
        <is>
          <t>-</t>
        </is>
      </c>
      <c r="E1975" s="4" t="inlineStr">
        <is>
          <t>6º PAV (PILOTIS) - LOUNGE + SALÃO + COZINHA + GOURMET + ESPAÇO KIDS</t>
        </is>
      </c>
      <c r="F1975" s="126" t="n">
        <v>46993</v>
      </c>
      <c r="G1975" s="126" t="n">
        <v>47007</v>
      </c>
      <c r="H1975" s="126" t="n">
        <v>46289</v>
      </c>
      <c r="I1975" s="4" t="n">
        <v>0</v>
      </c>
      <c r="J1975" s="4" t="n">
        <v>0</v>
      </c>
      <c r="K1975" s="4" t="n">
        <v>0</v>
      </c>
      <c r="M1975" s="2">
        <f>IF(C1975="","",IFERROR(INDEX($S$5:$S$304,MATCH(C1975,$R$5:$R$304,0))&amp;"","?"))</f>
        <v/>
      </c>
      <c r="N1975" s="2">
        <f>IF(E1975="","",IF(ISNUMBER(SEARCH("SUBSOLO",E1975)),IFERROR(-VALUE(LEFT(E1975,FIND("º",SUBSTITUTE(E1975,"°","º"))-1)),-1),IF(LEFT(E1975,6)="TÉRREO",0,IFERROR(VALUE(LEFT(E1975,FIND("º",SUBSTITUTE(E1975,"°","º"))-1)),""))))</f>
        <v/>
      </c>
      <c r="O1975" s="2">
        <f>IF(OR(F1975="",G1975=""),"",IF(G1975&lt;='RETRATO 2027'!$K$5,"CONCLUÍDA",IF(F1975&lt;='RETRATO 2027'!$K$5,"EM ANDAMENTO","A INICIAR")))</f>
        <v/>
      </c>
    </row>
    <row r="1976">
      <c r="B1976" s="4" t="n">
        <v>30214068</v>
      </c>
      <c r="C1976" s="4" t="inlineStr">
        <is>
          <t>FIAÇÃO TELECOM/DADOS</t>
        </is>
      </c>
      <c r="D1976" s="4" t="inlineStr">
        <is>
          <t>-</t>
        </is>
      </c>
      <c r="E1976" s="4" t="inlineStr">
        <is>
          <t>6º PAV (PILOTIS) - LOUNGE + SALÃO + COZINHA + GOURMET + ESPAÇO KIDS</t>
        </is>
      </c>
      <c r="F1976" s="126" t="n">
        <v>46993</v>
      </c>
      <c r="G1976" s="126" t="n">
        <v>47007</v>
      </c>
      <c r="H1976" s="126" t="n">
        <v>46289</v>
      </c>
      <c r="I1976" s="4" t="n">
        <v>0</v>
      </c>
      <c r="J1976" s="4" t="n">
        <v>0</v>
      </c>
      <c r="K1976" s="4" t="n">
        <v>0</v>
      </c>
      <c r="M1976" s="2">
        <f>IF(C1976="","",IFERROR(INDEX($S$5:$S$304,MATCH(C1976,$R$5:$R$304,0))&amp;"","?"))</f>
        <v/>
      </c>
      <c r="N1976" s="2">
        <f>IF(E1976="","",IF(ISNUMBER(SEARCH("SUBSOLO",E1976)),IFERROR(-VALUE(LEFT(E1976,FIND("º",SUBSTITUTE(E1976,"°","º"))-1)),-1),IF(LEFT(E1976,6)="TÉRREO",0,IFERROR(VALUE(LEFT(E1976,FIND("º",SUBSTITUTE(E1976,"°","º"))-1)),""))))</f>
        <v/>
      </c>
      <c r="O1976" s="2">
        <f>IF(OR(F1976="",G1976=""),"",IF(G1976&lt;='RETRATO 2027'!$K$5,"CONCLUÍDA",IF(F1976&lt;='RETRATO 2027'!$K$5,"EM ANDAMENTO","A INICIAR")))</f>
        <v/>
      </c>
    </row>
    <row r="1977">
      <c r="B1977" s="4" t="n">
        <v>30205937</v>
      </c>
      <c r="C1977" s="4" t="inlineStr">
        <is>
          <t>PAISAGISMO</t>
        </is>
      </c>
      <c r="D1977" s="4" t="inlineStr">
        <is>
          <t>-</t>
        </is>
      </c>
      <c r="E1977" s="4" t="inlineStr">
        <is>
          <t>5º PAV - GARAGEM</t>
        </is>
      </c>
      <c r="F1977" s="126" t="n">
        <v>46994</v>
      </c>
      <c r="G1977" s="126" t="n">
        <v>47008</v>
      </c>
      <c r="H1977" s="126" t="n">
        <v>46289</v>
      </c>
      <c r="I1977" s="4" t="n">
        <v>0</v>
      </c>
      <c r="J1977" s="4" t="n">
        <v>0</v>
      </c>
      <c r="K1977" s="4" t="n">
        <v>0</v>
      </c>
      <c r="M1977" s="2">
        <f>IF(C1977="","",IFERROR(INDEX($S$5:$S$304,MATCH(C1977,$R$5:$R$304,0))&amp;"","?"))</f>
        <v/>
      </c>
      <c r="N1977" s="2">
        <f>IF(E1977="","",IF(ISNUMBER(SEARCH("SUBSOLO",E1977)),IFERROR(-VALUE(LEFT(E1977,FIND("º",SUBSTITUTE(E1977,"°","º"))-1)),-1),IF(LEFT(E1977,6)="TÉRREO",0,IFERROR(VALUE(LEFT(E1977,FIND("º",SUBSTITUTE(E1977,"°","º"))-1)),""))))</f>
        <v/>
      </c>
      <c r="O1977" s="2">
        <f>IF(OR(F1977="",G1977=""),"",IF(G1977&lt;='RETRATO 2027'!$K$5,"CONCLUÍDA",IF(F1977&lt;='RETRATO 2027'!$K$5,"EM ANDAMENTO","A INICIAR")))</f>
        <v/>
      </c>
    </row>
    <row r="1978">
      <c r="B1978" s="4" t="n">
        <v>30205574</v>
      </c>
      <c r="C1978" s="4" t="inlineStr">
        <is>
          <t>CHECKLIST</t>
        </is>
      </c>
      <c r="D1978" s="4" t="inlineStr">
        <is>
          <t>-</t>
        </is>
      </c>
      <c r="E1978" s="4" t="inlineStr">
        <is>
          <t>TÉRREO - LOJA 6</t>
        </is>
      </c>
      <c r="F1978" s="126" t="n">
        <v>46995</v>
      </c>
      <c r="G1978" s="126" t="n">
        <v>47001</v>
      </c>
      <c r="H1978" s="126" t="n">
        <v>46289</v>
      </c>
      <c r="I1978" s="4" t="n">
        <v>0</v>
      </c>
      <c r="J1978" s="4" t="n">
        <v>0</v>
      </c>
      <c r="K1978" s="4" t="n">
        <v>0</v>
      </c>
      <c r="M1978" s="2">
        <f>IF(C1978="","",IFERROR(INDEX($S$5:$S$304,MATCH(C1978,$R$5:$R$304,0))&amp;"","?"))</f>
        <v/>
      </c>
      <c r="N1978" s="2">
        <f>IF(E1978="","",IF(ISNUMBER(SEARCH("SUBSOLO",E1978)),IFERROR(-VALUE(LEFT(E1978,FIND("º",SUBSTITUTE(E1978,"°","º"))-1)),-1),IF(LEFT(E1978,6)="TÉRREO",0,IFERROR(VALUE(LEFT(E1978,FIND("º",SUBSTITUTE(E1978,"°","º"))-1)),""))))</f>
        <v/>
      </c>
      <c r="O1978" s="2">
        <f>IF(OR(F1978="",G1978=""),"",IF(G1978&lt;='RETRATO 2027'!$K$5,"CONCLUÍDA",IF(F1978&lt;='RETRATO 2027'!$K$5,"EM ANDAMENTO","A INICIAR")))</f>
        <v/>
      </c>
    </row>
    <row r="1979">
      <c r="B1979" s="4" t="n">
        <v>30205543</v>
      </c>
      <c r="C1979" s="4" t="inlineStr">
        <is>
          <t>LIMPEZA FINA</t>
        </is>
      </c>
      <c r="D1979" s="4" t="inlineStr">
        <is>
          <t>-</t>
        </is>
      </c>
      <c r="E1979" s="4" t="inlineStr">
        <is>
          <t>TÉRREO - LOJA 7</t>
        </is>
      </c>
      <c r="F1979" s="126" t="n">
        <v>46995</v>
      </c>
      <c r="G1979" s="126" t="n">
        <v>47009</v>
      </c>
      <c r="H1979" s="126" t="n">
        <v>46289</v>
      </c>
      <c r="I1979" s="4" t="n">
        <v>0</v>
      </c>
      <c r="J1979" s="4" t="n">
        <v>0</v>
      </c>
      <c r="K1979" s="4" t="n">
        <v>0</v>
      </c>
      <c r="M1979" s="2">
        <f>IF(C1979="","",IFERROR(INDEX($S$5:$S$304,MATCH(C1979,$R$5:$R$304,0))&amp;"","?"))</f>
        <v/>
      </c>
      <c r="N1979" s="2">
        <f>IF(E1979="","",IF(ISNUMBER(SEARCH("SUBSOLO",E1979)),IFERROR(-VALUE(LEFT(E1979,FIND("º",SUBSTITUTE(E1979,"°","º"))-1)),-1),IF(LEFT(E1979,6)="TÉRREO",0,IFERROR(VALUE(LEFT(E1979,FIND("º",SUBSTITUTE(E1979,"°","º"))-1)),""))))</f>
        <v/>
      </c>
      <c r="O1979" s="2">
        <f>IF(OR(F1979="",G1979=""),"",IF(G1979&lt;='RETRATO 2027'!$K$5,"CONCLUÍDA",IF(F1979&lt;='RETRATO 2027'!$K$5,"EM ANDAMENTO","A INICIAR")))</f>
        <v/>
      </c>
    </row>
    <row r="1980">
      <c r="B1980" s="4" t="n">
        <v>29981169</v>
      </c>
      <c r="C1980" s="4" t="inlineStr">
        <is>
          <t>CHECKLIST</t>
        </is>
      </c>
      <c r="D1980" s="4" t="inlineStr">
        <is>
          <t>-</t>
        </is>
      </c>
      <c r="E1980" s="4" t="inlineStr">
        <is>
          <t>17º PAV.</t>
        </is>
      </c>
      <c r="F1980" s="126" t="n">
        <v>46996</v>
      </c>
      <c r="G1980" s="126" t="n">
        <v>47002</v>
      </c>
      <c r="H1980" s="126" t="n">
        <v>46289</v>
      </c>
      <c r="I1980" s="4" t="n">
        <v>0</v>
      </c>
      <c r="J1980" s="4" t="n">
        <v>0</v>
      </c>
      <c r="K1980" s="4" t="n">
        <v>0</v>
      </c>
      <c r="M1980" s="2">
        <f>IF(C1980="","",IFERROR(INDEX($S$5:$S$304,MATCH(C1980,$R$5:$R$304,0))&amp;"","?"))</f>
        <v/>
      </c>
      <c r="N1980" s="2">
        <f>IF(E1980="","",IF(ISNUMBER(SEARCH("SUBSOLO",E1980)),IFERROR(-VALUE(LEFT(E1980,FIND("º",SUBSTITUTE(E1980,"°","º"))-1)),-1),IF(LEFT(E1980,6)="TÉRREO",0,IFERROR(VALUE(LEFT(E1980,FIND("º",SUBSTITUTE(E1980,"°","º"))-1)),""))))</f>
        <v/>
      </c>
      <c r="O1980" s="2">
        <f>IF(OR(F1980="",G1980=""),"",IF(G1980&lt;='RETRATO 2027'!$K$5,"CONCLUÍDA",IF(F1980&lt;='RETRATO 2027'!$K$5,"EM ANDAMENTO","A INICIAR")))</f>
        <v/>
      </c>
    </row>
    <row r="1981">
      <c r="B1981" s="4" t="n">
        <v>29981134</v>
      </c>
      <c r="C1981" s="4" t="inlineStr">
        <is>
          <t>ACABAMENTOS ELÉTRICOS</t>
        </is>
      </c>
      <c r="D1981" s="4" t="inlineStr">
        <is>
          <t>-</t>
        </is>
      </c>
      <c r="E1981" s="4" t="inlineStr">
        <is>
          <t>18º PAV.</t>
        </is>
      </c>
      <c r="F1981" s="126" t="n">
        <v>46996</v>
      </c>
      <c r="G1981" s="126" t="n">
        <v>47009</v>
      </c>
      <c r="H1981" s="126" t="n">
        <v>46289</v>
      </c>
      <c r="I1981" s="4" t="n">
        <v>0</v>
      </c>
      <c r="J1981" s="4" t="n">
        <v>0</v>
      </c>
      <c r="K1981" s="4" t="n">
        <v>0</v>
      </c>
      <c r="M1981" s="2">
        <f>IF(C1981="","",IFERROR(INDEX($S$5:$S$304,MATCH(C1981,$R$5:$R$304,0))&amp;"","?"))</f>
        <v/>
      </c>
      <c r="N1981" s="2">
        <f>IF(E1981="","",IF(ISNUMBER(SEARCH("SUBSOLO",E1981)),IFERROR(-VALUE(LEFT(E1981,FIND("º",SUBSTITUTE(E1981,"°","º"))-1)),-1),IF(LEFT(E1981,6)="TÉRREO",0,IFERROR(VALUE(LEFT(E1981,FIND("º",SUBSTITUTE(E1981,"°","º"))-1)),""))))</f>
        <v/>
      </c>
      <c r="O1981" s="2">
        <f>IF(OR(F1981="",G1981=""),"",IF(G1981&lt;='RETRATO 2027'!$K$5,"CONCLUÍDA",IF(F1981&lt;='RETRATO 2027'!$K$5,"EM ANDAMENTO","A INICIAR")))</f>
        <v/>
      </c>
    </row>
    <row r="1982">
      <c r="B1982" s="4" t="n">
        <v>29981057</v>
      </c>
      <c r="C1982" s="4" t="inlineStr">
        <is>
          <t>PINTURA 2º DEMÃO</t>
        </is>
      </c>
      <c r="D1982" s="4" t="inlineStr">
        <is>
          <t>-</t>
        </is>
      </c>
      <c r="E1982" s="4" t="inlineStr">
        <is>
          <t>20º PAV.</t>
        </is>
      </c>
      <c r="F1982" s="126" t="n">
        <v>46996</v>
      </c>
      <c r="G1982" s="126" t="n">
        <v>47009</v>
      </c>
      <c r="H1982" s="126" t="n">
        <v>46289</v>
      </c>
      <c r="I1982" s="4" t="n">
        <v>0</v>
      </c>
      <c r="J1982" s="4" t="n">
        <v>0</v>
      </c>
      <c r="K1982" s="4" t="n">
        <v>0</v>
      </c>
      <c r="M1982" s="2">
        <f>IF(C1982="","",IFERROR(INDEX($S$5:$S$304,MATCH(C1982,$R$5:$R$304,0))&amp;"","?"))</f>
        <v/>
      </c>
      <c r="N1982" s="2">
        <f>IF(E1982="","",IF(ISNUMBER(SEARCH("SUBSOLO",E1982)),IFERROR(-VALUE(LEFT(E1982,FIND("º",SUBSTITUTE(E1982,"°","º"))-1)),-1),IF(LEFT(E1982,6)="TÉRREO",0,IFERROR(VALUE(LEFT(E1982,FIND("º",SUBSTITUTE(E1982,"°","º"))-1)),""))))</f>
        <v/>
      </c>
      <c r="O1982" s="2">
        <f>IF(OR(F1982="",G1982=""),"",IF(G1982&lt;='RETRATO 2027'!$K$5,"CONCLUÍDA",IF(F1982&lt;='RETRATO 2027'!$K$5,"EM ANDAMENTO","A INICIAR")))</f>
        <v/>
      </c>
    </row>
    <row r="1983">
      <c r="B1983" s="4" t="n">
        <v>33919797</v>
      </c>
      <c r="C1983" s="4" t="inlineStr">
        <is>
          <t>TEXTURA - EXTERNA</t>
        </is>
      </c>
      <c r="D1983" s="4" t="inlineStr">
        <is>
          <t>-</t>
        </is>
      </c>
      <c r="E1983" s="4" t="inlineStr">
        <is>
          <t>20º PAV.</t>
        </is>
      </c>
      <c r="F1983" s="126" t="n">
        <v>46996</v>
      </c>
      <c r="G1983" s="126" t="n">
        <v>47009</v>
      </c>
      <c r="H1983" s="126" t="n">
        <v>46289</v>
      </c>
      <c r="I1983" s="4" t="n">
        <v>0</v>
      </c>
      <c r="J1983" s="4" t="n">
        <v>0</v>
      </c>
      <c r="K1983" s="4" t="n">
        <v>0</v>
      </c>
      <c r="M1983" s="2">
        <f>IF(C1983="","",IFERROR(INDEX($S$5:$S$304,MATCH(C1983,$R$5:$R$304,0))&amp;"","?"))</f>
        <v/>
      </c>
      <c r="N1983" s="2">
        <f>IF(E1983="","",IF(ISNUMBER(SEARCH("SUBSOLO",E1983)),IFERROR(-VALUE(LEFT(E1983,FIND("º",SUBSTITUTE(E1983,"°","º"))-1)),-1),IF(LEFT(E1983,6)="TÉRREO",0,IFERROR(VALUE(LEFT(E1983,FIND("º",SUBSTITUTE(E1983,"°","º"))-1)),""))))</f>
        <v/>
      </c>
      <c r="O1983" s="2">
        <f>IF(OR(F1983="",G1983=""),"",IF(G1983&lt;='RETRATO 2027'!$K$5,"CONCLUÍDA",IF(F1983&lt;='RETRATO 2027'!$K$5,"EM ANDAMENTO","A INICIAR")))</f>
        <v/>
      </c>
    </row>
    <row r="1984">
      <c r="B1984" s="4" t="n">
        <v>29981019</v>
      </c>
      <c r="C1984" s="4" t="inlineStr">
        <is>
          <t>LIMPEZA GROSSA</t>
        </is>
      </c>
      <c r="D1984" s="4" t="inlineStr">
        <is>
          <t>-</t>
        </is>
      </c>
      <c r="E1984" s="4" t="inlineStr">
        <is>
          <t>21º PAV.</t>
        </is>
      </c>
      <c r="F1984" s="126" t="n">
        <v>46996</v>
      </c>
      <c r="G1984" s="126" t="n">
        <v>47009</v>
      </c>
      <c r="H1984" s="126" t="n">
        <v>46289</v>
      </c>
      <c r="I1984" s="4" t="n">
        <v>0</v>
      </c>
      <c r="J1984" s="4" t="n">
        <v>0</v>
      </c>
      <c r="K1984" s="4" t="n">
        <v>0</v>
      </c>
      <c r="M1984" s="2">
        <f>IF(C1984="","",IFERROR(INDEX($S$5:$S$304,MATCH(C1984,$R$5:$R$304,0))&amp;"","?"))</f>
        <v/>
      </c>
      <c r="N1984" s="2">
        <f>IF(E1984="","",IF(ISNUMBER(SEARCH("SUBSOLO",E1984)),IFERROR(-VALUE(LEFT(E1984,FIND("º",SUBSTITUTE(E1984,"°","º"))-1)),-1),IF(LEFT(E1984,6)="TÉRREO",0,IFERROR(VALUE(LEFT(E1984,FIND("º",SUBSTITUTE(E1984,"°","º"))-1)),""))))</f>
        <v/>
      </c>
      <c r="O1984" s="2">
        <f>IF(OR(F1984="",G1984=""),"",IF(G1984&lt;='RETRATO 2027'!$K$5,"CONCLUÍDA",IF(F1984&lt;='RETRATO 2027'!$K$5,"EM ANDAMENTO","A INICIAR")))</f>
        <v/>
      </c>
    </row>
    <row r="1985">
      <c r="B1985" s="4" t="n">
        <v>29980976</v>
      </c>
      <c r="C1985" s="4" t="inlineStr">
        <is>
          <t>LOUÇAS</t>
        </is>
      </c>
      <c r="D1985" s="4" t="inlineStr">
        <is>
          <t>-</t>
        </is>
      </c>
      <c r="E1985" s="4" t="inlineStr">
        <is>
          <t>22º PAV.</t>
        </is>
      </c>
      <c r="F1985" s="126" t="n">
        <v>46996</v>
      </c>
      <c r="G1985" s="126" t="n">
        <v>47009</v>
      </c>
      <c r="H1985" s="126" t="n">
        <v>46289</v>
      </c>
      <c r="I1985" s="4" t="n">
        <v>0</v>
      </c>
      <c r="J1985" s="4" t="n">
        <v>0</v>
      </c>
      <c r="K1985" s="4" t="n">
        <v>0</v>
      </c>
      <c r="M1985" s="2">
        <f>IF(C1985="","",IFERROR(INDEX($S$5:$S$304,MATCH(C1985,$R$5:$R$304,0))&amp;"","?"))</f>
        <v/>
      </c>
      <c r="N1985" s="2">
        <f>IF(E1985="","",IF(ISNUMBER(SEARCH("SUBSOLO",E1985)),IFERROR(-VALUE(LEFT(E1985,FIND("º",SUBSTITUTE(E1985,"°","º"))-1)),-1),IF(LEFT(E1985,6)="TÉRREO",0,IFERROR(VALUE(LEFT(E1985,FIND("º",SUBSTITUTE(E1985,"°","º"))-1)),""))))</f>
        <v/>
      </c>
      <c r="O1985" s="2">
        <f>IF(OR(F1985="",G1985=""),"",IF(G1985&lt;='RETRATO 2027'!$K$5,"CONCLUÍDA",IF(F1985&lt;='RETRATO 2027'!$K$5,"EM ANDAMENTO","A INICIAR")))</f>
        <v/>
      </c>
    </row>
    <row r="1986">
      <c r="B1986" s="4" t="n">
        <v>29980981</v>
      </c>
      <c r="C1986" s="4" t="inlineStr">
        <is>
          <t>METAIS</t>
        </is>
      </c>
      <c r="D1986" s="4" t="inlineStr">
        <is>
          <t>-</t>
        </is>
      </c>
      <c r="E1986" s="4" t="inlineStr">
        <is>
          <t>22º PAV.</t>
        </is>
      </c>
      <c r="F1986" s="126" t="n">
        <v>46996</v>
      </c>
      <c r="G1986" s="126" t="n">
        <v>47009</v>
      </c>
      <c r="H1986" s="126" t="n">
        <v>46289</v>
      </c>
      <c r="I1986" s="4" t="n">
        <v>0</v>
      </c>
      <c r="J1986" s="4" t="n">
        <v>0</v>
      </c>
      <c r="K1986" s="4" t="n">
        <v>0</v>
      </c>
      <c r="M1986" s="2">
        <f>IF(C1986="","",IFERROR(INDEX($S$5:$S$304,MATCH(C1986,$R$5:$R$304,0))&amp;"","?"))</f>
        <v/>
      </c>
      <c r="N1986" s="2">
        <f>IF(E1986="","",IF(ISNUMBER(SEARCH("SUBSOLO",E1986)),IFERROR(-VALUE(LEFT(E1986,FIND("º",SUBSTITUTE(E1986,"°","º"))-1)),-1),IF(LEFT(E1986,6)="TÉRREO",0,IFERROR(VALUE(LEFT(E1986,FIND("º",SUBSTITUTE(E1986,"°","º"))-1)),""))))</f>
        <v/>
      </c>
      <c r="O1986" s="2">
        <f>IF(OR(F1986="",G1986=""),"",IF(G1986&lt;='RETRATO 2027'!$K$5,"CONCLUÍDA",IF(F1986&lt;='RETRATO 2027'!$K$5,"EM ANDAMENTO","A INICIAR")))</f>
        <v/>
      </c>
    </row>
    <row r="1987">
      <c r="B1987" s="4" t="n">
        <v>29980980</v>
      </c>
      <c r="C1987" s="4" t="inlineStr">
        <is>
          <t>DISJUNTORES / MIOLOS</t>
        </is>
      </c>
      <c r="D1987" s="4" t="inlineStr">
        <is>
          <t>-</t>
        </is>
      </c>
      <c r="E1987" s="4" t="inlineStr">
        <is>
          <t>22º PAV.</t>
        </is>
      </c>
      <c r="F1987" s="126" t="n">
        <v>46996</v>
      </c>
      <c r="G1987" s="126" t="n">
        <v>47009</v>
      </c>
      <c r="H1987" s="126" t="n">
        <v>46289</v>
      </c>
      <c r="I1987" s="4" t="n">
        <v>0</v>
      </c>
      <c r="J1987" s="4" t="n">
        <v>0</v>
      </c>
      <c r="K1987" s="4" t="n">
        <v>0</v>
      </c>
      <c r="M1987" s="2">
        <f>IF(C1987="","",IFERROR(INDEX($S$5:$S$304,MATCH(C1987,$R$5:$R$304,0))&amp;"","?"))</f>
        <v/>
      </c>
      <c r="N1987" s="2">
        <f>IF(E1987="","",IF(ISNUMBER(SEARCH("SUBSOLO",E1987)),IFERROR(-VALUE(LEFT(E1987,FIND("º",SUBSTITUTE(E1987,"°","º"))-1)),-1),IF(LEFT(E1987,6)="TÉRREO",0,IFERROR(VALUE(LEFT(E1987,FIND("º",SUBSTITUTE(E1987,"°","º"))-1)),""))))</f>
        <v/>
      </c>
      <c r="O1987" s="2">
        <f>IF(OR(F1987="",G1987=""),"",IF(G1987&lt;='RETRATO 2027'!$K$5,"CONCLUÍDA",IF(F1987&lt;='RETRATO 2027'!$K$5,"EM ANDAMENTO","A INICIAR")))</f>
        <v/>
      </c>
    </row>
    <row r="1988">
      <c r="B1988" s="4" t="n">
        <v>29980979</v>
      </c>
      <c r="C1988" s="4" t="inlineStr">
        <is>
          <t>COMUNICAÇÃO E ALARME</t>
        </is>
      </c>
      <c r="D1988" s="4" t="inlineStr">
        <is>
          <t>-</t>
        </is>
      </c>
      <c r="E1988" s="4" t="inlineStr">
        <is>
          <t>22º PAV.</t>
        </is>
      </c>
      <c r="F1988" s="126" t="n">
        <v>46996</v>
      </c>
      <c r="G1988" s="126" t="n">
        <v>47009</v>
      </c>
      <c r="H1988" s="126" t="n">
        <v>46289</v>
      </c>
      <c r="I1988" s="4" t="n">
        <v>0</v>
      </c>
      <c r="J1988" s="4" t="n">
        <v>0</v>
      </c>
      <c r="K1988" s="4" t="n">
        <v>0</v>
      </c>
      <c r="M1988" s="2">
        <f>IF(C1988="","",IFERROR(INDEX($S$5:$S$304,MATCH(C1988,$R$5:$R$304,0))&amp;"","?"))</f>
        <v/>
      </c>
      <c r="N1988" s="2">
        <f>IF(E1988="","",IF(ISNUMBER(SEARCH("SUBSOLO",E1988)),IFERROR(-VALUE(LEFT(E1988,FIND("º",SUBSTITUTE(E1988,"°","º"))-1)),-1),IF(LEFT(E1988,6)="TÉRREO",0,IFERROR(VALUE(LEFT(E1988,FIND("º",SUBSTITUTE(E1988,"°","º"))-1)),""))))</f>
        <v/>
      </c>
      <c r="O1988" s="2">
        <f>IF(OR(F1988="",G1988=""),"",IF(G1988&lt;='RETRATO 2027'!$K$5,"CONCLUÍDA",IF(F1988&lt;='RETRATO 2027'!$K$5,"EM ANDAMENTO","A INICIAR")))</f>
        <v/>
      </c>
    </row>
    <row r="1989">
      <c r="B1989" s="4" t="n">
        <v>29980938</v>
      </c>
      <c r="C1989" s="4" t="inlineStr">
        <is>
          <t>RODAPÉ MADEIRA / PVC</t>
        </is>
      </c>
      <c r="D1989" s="4" t="inlineStr">
        <is>
          <t>-</t>
        </is>
      </c>
      <c r="E1989" s="4" t="inlineStr">
        <is>
          <t>23º PAV.</t>
        </is>
      </c>
      <c r="F1989" s="126" t="n">
        <v>46996</v>
      </c>
      <c r="G1989" s="126" t="n">
        <v>47009</v>
      </c>
      <c r="H1989" s="126" t="n">
        <v>46289</v>
      </c>
      <c r="I1989" s="4" t="n">
        <v>0</v>
      </c>
      <c r="J1989" s="4" t="n">
        <v>0</v>
      </c>
      <c r="K1989" s="4" t="n">
        <v>0</v>
      </c>
      <c r="M1989" s="2">
        <f>IF(C1989="","",IFERROR(INDEX($S$5:$S$304,MATCH(C1989,$R$5:$R$304,0))&amp;"","?"))</f>
        <v/>
      </c>
      <c r="N1989" s="2">
        <f>IF(E1989="","",IF(ISNUMBER(SEARCH("SUBSOLO",E1989)),IFERROR(-VALUE(LEFT(E1989,FIND("º",SUBSTITUTE(E1989,"°","º"))-1)),-1),IF(LEFT(E1989,6)="TÉRREO",0,IFERROR(VALUE(LEFT(E1989,FIND("º",SUBSTITUTE(E1989,"°","º"))-1)),""))))</f>
        <v/>
      </c>
      <c r="O1989" s="2">
        <f>IF(OR(F1989="",G1989=""),"",IF(G1989&lt;='RETRATO 2027'!$K$5,"CONCLUÍDA",IF(F1989&lt;='RETRATO 2027'!$K$5,"EM ANDAMENTO","A INICIAR")))</f>
        <v/>
      </c>
    </row>
    <row r="1990">
      <c r="B1990" s="4" t="n">
        <v>29980900</v>
      </c>
      <c r="C1990" s="4" t="inlineStr">
        <is>
          <t>ESQUADRIA MADEIRA</t>
        </is>
      </c>
      <c r="D1990" s="4" t="inlineStr">
        <is>
          <t>-</t>
        </is>
      </c>
      <c r="E1990" s="4" t="inlineStr">
        <is>
          <t>24º PAV.</t>
        </is>
      </c>
      <c r="F1990" s="126" t="n">
        <v>46996</v>
      </c>
      <c r="G1990" s="126" t="n">
        <v>47009</v>
      </c>
      <c r="H1990" s="126" t="n">
        <v>46289</v>
      </c>
      <c r="I1990" s="4" t="n">
        <v>0</v>
      </c>
      <c r="J1990" s="4" t="n">
        <v>0</v>
      </c>
      <c r="K1990" s="4" t="n">
        <v>0</v>
      </c>
      <c r="M1990" s="2">
        <f>IF(C1990="","",IFERROR(INDEX($S$5:$S$304,MATCH(C1990,$R$5:$R$304,0))&amp;"","?"))</f>
        <v/>
      </c>
      <c r="N1990" s="2">
        <f>IF(E1990="","",IF(ISNUMBER(SEARCH("SUBSOLO",E1990)),IFERROR(-VALUE(LEFT(E1990,FIND("º",SUBSTITUTE(E1990,"°","º"))-1)),-1),IF(LEFT(E1990,6)="TÉRREO",0,IFERROR(VALUE(LEFT(E1990,FIND("º",SUBSTITUTE(E1990,"°","º"))-1)),""))))</f>
        <v/>
      </c>
      <c r="O1990" s="2">
        <f>IF(OR(F1990="",G1990=""),"",IF(G1990&lt;='RETRATO 2027'!$K$5,"CONCLUÍDA",IF(F1990&lt;='RETRATO 2027'!$K$5,"EM ANDAMENTO","A INICIAR")))</f>
        <v/>
      </c>
    </row>
    <row r="1991">
      <c r="B1991" s="4" t="n">
        <v>29980862</v>
      </c>
      <c r="C1991" s="4" t="inlineStr">
        <is>
          <t>PISO VINÍLICO / LAMINADO</t>
        </is>
      </c>
      <c r="D1991" s="4" t="inlineStr">
        <is>
          <t>-</t>
        </is>
      </c>
      <c r="E1991" s="4" t="inlineStr">
        <is>
          <t>25º PAV.</t>
        </is>
      </c>
      <c r="F1991" s="126" t="n">
        <v>46996</v>
      </c>
      <c r="G1991" s="126" t="n">
        <v>47009</v>
      </c>
      <c r="H1991" s="126" t="n">
        <v>46289</v>
      </c>
      <c r="I1991" s="4" t="n">
        <v>0</v>
      </c>
      <c r="J1991" s="4" t="n">
        <v>0</v>
      </c>
      <c r="K1991" s="4" t="n">
        <v>0</v>
      </c>
      <c r="M1991" s="2">
        <f>IF(C1991="","",IFERROR(INDEX($S$5:$S$304,MATCH(C1991,$R$5:$R$304,0))&amp;"","?"))</f>
        <v/>
      </c>
      <c r="N1991" s="2">
        <f>IF(E1991="","",IF(ISNUMBER(SEARCH("SUBSOLO",E1991)),IFERROR(-VALUE(LEFT(E1991,FIND("º",SUBSTITUTE(E1991,"°","º"))-1)),-1),IF(LEFT(E1991,6)="TÉRREO",0,IFERROR(VALUE(LEFT(E1991,FIND("º",SUBSTITUTE(E1991,"°","º"))-1)),""))))</f>
        <v/>
      </c>
      <c r="O1991" s="2">
        <f>IF(OR(F1991="",G1991=""),"",IF(G1991&lt;='RETRATO 2027'!$K$5,"CONCLUÍDA",IF(F1991&lt;='RETRATO 2027'!$K$5,"EM ANDAMENTO","A INICIAR")))</f>
        <v/>
      </c>
    </row>
    <row r="1992">
      <c r="B1992" s="4" t="n">
        <v>29980824</v>
      </c>
      <c r="C1992" s="4" t="inlineStr">
        <is>
          <t>PINTURA 1º DEMÃO</t>
        </is>
      </c>
      <c r="D1992" s="4" t="inlineStr">
        <is>
          <t>-</t>
        </is>
      </c>
      <c r="E1992" s="4" t="inlineStr">
        <is>
          <t>26º PAV.</t>
        </is>
      </c>
      <c r="F1992" s="126" t="n">
        <v>46996</v>
      </c>
      <c r="G1992" s="126" t="n">
        <v>47009</v>
      </c>
      <c r="H1992" s="126" t="n">
        <v>46289</v>
      </c>
      <c r="I1992" s="4" t="n">
        <v>0</v>
      </c>
      <c r="J1992" s="4" t="n">
        <v>0</v>
      </c>
      <c r="K1992" s="4" t="n">
        <v>0</v>
      </c>
      <c r="M1992" s="2">
        <f>IF(C1992="","",IFERROR(INDEX($S$5:$S$304,MATCH(C1992,$R$5:$R$304,0))&amp;"","?"))</f>
        <v/>
      </c>
      <c r="N1992" s="2">
        <f>IF(E1992="","",IF(ISNUMBER(SEARCH("SUBSOLO",E1992)),IFERROR(-VALUE(LEFT(E1992,FIND("º",SUBSTITUTE(E1992,"°","º"))-1)),-1),IF(LEFT(E1992,6)="TÉRREO",0,IFERROR(VALUE(LEFT(E1992,FIND("º",SUBSTITUTE(E1992,"°","º"))-1)),""))))</f>
        <v/>
      </c>
      <c r="O1992" s="2">
        <f>IF(OR(F1992="",G1992=""),"",IF(G1992&lt;='RETRATO 2027'!$K$5,"CONCLUÍDA",IF(F1992&lt;='RETRATO 2027'!$K$5,"EM ANDAMENTO","A INICIAR")))</f>
        <v/>
      </c>
    </row>
    <row r="1993">
      <c r="B1993" s="4" t="n">
        <v>29980813</v>
      </c>
      <c r="C1993" s="4" t="inlineStr">
        <is>
          <t>MASSA CORRIDA</t>
        </is>
      </c>
      <c r="D1993" s="4" t="inlineStr">
        <is>
          <t>-</t>
        </is>
      </c>
      <c r="E1993" s="4" t="inlineStr">
        <is>
          <t>27º PAV.</t>
        </is>
      </c>
      <c r="F1993" s="126" t="n">
        <v>46996</v>
      </c>
      <c r="G1993" s="126" t="n">
        <v>47009</v>
      </c>
      <c r="H1993" s="126" t="n">
        <v>46289</v>
      </c>
      <c r="I1993" s="4" t="n">
        <v>0</v>
      </c>
      <c r="J1993" s="4" t="n">
        <v>0</v>
      </c>
      <c r="K1993" s="4" t="n">
        <v>0</v>
      </c>
      <c r="M1993" s="2">
        <f>IF(C1993="","",IFERROR(INDEX($S$5:$S$304,MATCH(C1993,$R$5:$R$304,0))&amp;"","?"))</f>
        <v/>
      </c>
      <c r="N1993" s="2">
        <f>IF(E1993="","",IF(ISNUMBER(SEARCH("SUBSOLO",E1993)),IFERROR(-VALUE(LEFT(E1993,FIND("º",SUBSTITUTE(E1993,"°","º"))-1)),-1),IF(LEFT(E1993,6)="TÉRREO",0,IFERROR(VALUE(LEFT(E1993,FIND("º",SUBSTITUTE(E1993,"°","º"))-1)),""))))</f>
        <v/>
      </c>
      <c r="O1993" s="2">
        <f>IF(OR(F1993="",G1993=""),"",IF(G1993&lt;='RETRATO 2027'!$K$5,"CONCLUÍDA",IF(F1993&lt;='RETRATO 2027'!$K$5,"EM ANDAMENTO","A INICIAR")))</f>
        <v/>
      </c>
    </row>
    <row r="1994">
      <c r="B1994" s="4" t="n">
        <v>33898112</v>
      </c>
      <c r="C1994" s="4" t="inlineStr">
        <is>
          <t>ESQUADRIA DE ALUMÍNIO</t>
        </is>
      </c>
      <c r="D1994" s="4" t="inlineStr">
        <is>
          <t>-</t>
        </is>
      </c>
      <c r="E1994" s="4" t="inlineStr">
        <is>
          <t>28º PAV.</t>
        </is>
      </c>
      <c r="F1994" s="126" t="n">
        <v>46996</v>
      </c>
      <c r="G1994" s="126" t="n">
        <v>47009</v>
      </c>
      <c r="H1994" s="126" t="n">
        <v>46289</v>
      </c>
      <c r="I1994" s="4" t="n">
        <v>0</v>
      </c>
      <c r="J1994" s="4" t="n">
        <v>0</v>
      </c>
      <c r="K1994" s="4" t="n">
        <v>0</v>
      </c>
      <c r="M1994" s="2">
        <f>IF(C1994="","",IFERROR(INDEX($S$5:$S$304,MATCH(C1994,$R$5:$R$304,0))&amp;"","?"))</f>
        <v/>
      </c>
      <c r="N1994" s="2">
        <f>IF(E1994="","",IF(ISNUMBER(SEARCH("SUBSOLO",E1994)),IFERROR(-VALUE(LEFT(E1994,FIND("º",SUBSTITUTE(E1994,"°","º"))-1)),-1),IF(LEFT(E1994,6)="TÉRREO",0,IFERROR(VALUE(LEFT(E1994,FIND("º",SUBSTITUTE(E1994,"°","º"))-1)),""))))</f>
        <v/>
      </c>
      <c r="O1994" s="2">
        <f>IF(OR(F1994="",G1994=""),"",IF(G1994&lt;='RETRATO 2027'!$K$5,"CONCLUÍDA",IF(F1994&lt;='RETRATO 2027'!$K$5,"EM ANDAMENTO","A INICIAR")))</f>
        <v/>
      </c>
    </row>
    <row r="1995">
      <c r="B1995" s="4" t="n">
        <v>30205814</v>
      </c>
      <c r="C1995" s="4" t="inlineStr">
        <is>
          <t>ACABAMENTOS ELÉTRICOS</t>
        </is>
      </c>
      <c r="D1995" s="4" t="inlineStr">
        <is>
          <t>-</t>
        </is>
      </c>
      <c r="E1995" s="4" t="inlineStr">
        <is>
          <t>TÉRREO - HALL SOCIAL + ECLUSA + CIRCULAÇÃO</t>
        </is>
      </c>
      <c r="F1995" s="126" t="n">
        <v>46997</v>
      </c>
      <c r="G1995" s="126" t="n">
        <v>47011</v>
      </c>
      <c r="H1995" s="126" t="n">
        <v>46289</v>
      </c>
      <c r="I1995" s="4" t="n">
        <v>0</v>
      </c>
      <c r="J1995" s="4" t="n">
        <v>0</v>
      </c>
      <c r="K1995" s="4" t="n">
        <v>0</v>
      </c>
      <c r="M1995" s="2">
        <f>IF(C1995="","",IFERROR(INDEX($S$5:$S$304,MATCH(C1995,$R$5:$R$304,0))&amp;"","?"))</f>
        <v/>
      </c>
      <c r="N1995" s="2">
        <f>IF(E1995="","",IF(ISNUMBER(SEARCH("SUBSOLO",E1995)),IFERROR(-VALUE(LEFT(E1995,FIND("º",SUBSTITUTE(E1995,"°","º"))-1)),-1),IF(LEFT(E1995,6)="TÉRREO",0,IFERROR(VALUE(LEFT(E1995,FIND("º",SUBSTITUTE(E1995,"°","º"))-1)),""))))</f>
        <v/>
      </c>
      <c r="O1995" s="2">
        <f>IF(OR(F1995="",G1995=""),"",IF(G1995&lt;='RETRATO 2027'!$K$5,"CONCLUÍDA",IF(F1995&lt;='RETRATO 2027'!$K$5,"EM ANDAMENTO","A INICIAR")))</f>
        <v/>
      </c>
    </row>
    <row r="1996">
      <c r="B1996" s="4" t="n">
        <v>30205844</v>
      </c>
      <c r="C1996" s="4" t="inlineStr">
        <is>
          <t>PINTURA 2º DEMÃO</t>
        </is>
      </c>
      <c r="D1996" s="4" t="inlineStr">
        <is>
          <t>-</t>
        </is>
      </c>
      <c r="E1996" s="4" t="inlineStr">
        <is>
          <t>1º PAV. (INTERMEDIÁRIO)</t>
        </is>
      </c>
      <c r="F1996" s="126" t="n">
        <v>46997</v>
      </c>
      <c r="G1996" s="126" t="n">
        <v>47018</v>
      </c>
      <c r="H1996" s="126" t="n">
        <v>46289</v>
      </c>
      <c r="I1996" s="4" t="n">
        <v>0</v>
      </c>
      <c r="J1996" s="4" t="n">
        <v>0</v>
      </c>
      <c r="K1996" s="4" t="n">
        <v>0</v>
      </c>
      <c r="M1996" s="2">
        <f>IF(C1996="","",IFERROR(INDEX($S$5:$S$304,MATCH(C1996,$R$5:$R$304,0))&amp;"","?"))</f>
        <v/>
      </c>
      <c r="N1996" s="2">
        <f>IF(E1996="","",IF(ISNUMBER(SEARCH("SUBSOLO",E1996)),IFERROR(-VALUE(LEFT(E1996,FIND("º",SUBSTITUTE(E1996,"°","º"))-1)),-1),IF(LEFT(E1996,6)="TÉRREO",0,IFERROR(VALUE(LEFT(E1996,FIND("º",SUBSTITUTE(E1996,"°","º"))-1)),""))))</f>
        <v/>
      </c>
      <c r="O1996" s="2">
        <f>IF(OR(F1996="",G1996=""),"",IF(G1996&lt;='RETRATO 2027'!$K$5,"CONCLUÍDA",IF(F1996&lt;='RETRATO 2027'!$K$5,"EM ANDAMENTO","A INICIAR")))</f>
        <v/>
      </c>
    </row>
    <row r="1997">
      <c r="B1997" s="4" t="n">
        <v>29980626</v>
      </c>
      <c r="C1997" s="4" t="inlineStr">
        <is>
          <t>FORRO</t>
        </is>
      </c>
      <c r="D1997" s="4" t="inlineStr">
        <is>
          <t>-</t>
        </is>
      </c>
      <c r="E1997" s="4" t="inlineStr">
        <is>
          <t>32º PAV - COBERTURA GERAL</t>
        </is>
      </c>
      <c r="F1997" s="126" t="n">
        <v>46997</v>
      </c>
      <c r="G1997" s="126" t="n">
        <v>47010</v>
      </c>
      <c r="H1997" s="126" t="n">
        <v>46289</v>
      </c>
      <c r="I1997" s="4" t="n">
        <v>0</v>
      </c>
      <c r="J1997" s="4" t="n">
        <v>0</v>
      </c>
      <c r="K1997" s="4" t="n">
        <v>0</v>
      </c>
      <c r="M1997" s="2">
        <f>IF(C1997="","",IFERROR(INDEX($S$5:$S$304,MATCH(C1997,$R$5:$R$304,0))&amp;"","?"))</f>
        <v/>
      </c>
      <c r="N1997" s="2">
        <f>IF(E1997="","",IF(ISNUMBER(SEARCH("SUBSOLO",E1997)),IFERROR(-VALUE(LEFT(E1997,FIND("º",SUBSTITUTE(E1997,"°","º"))-1)),-1),IF(LEFT(E1997,6)="TÉRREO",0,IFERROR(VALUE(LEFT(E1997,FIND("º",SUBSTITUTE(E1997,"°","º"))-1)),""))))</f>
        <v/>
      </c>
      <c r="O1997" s="2">
        <f>IF(OR(F1997="",G1997=""),"",IF(G1997&lt;='RETRATO 2027'!$K$5,"CONCLUÍDA",IF(F1997&lt;='RETRATO 2027'!$K$5,"EM ANDAMENTO","A INICIAR")))</f>
        <v/>
      </c>
    </row>
    <row r="1998">
      <c r="B1998" s="4" t="n">
        <v>30206114</v>
      </c>
      <c r="C1998" s="4" t="inlineStr">
        <is>
          <t>PINTURA 2º DEMÃO</t>
        </is>
      </c>
      <c r="D1998" s="4" t="inlineStr">
        <is>
          <t>-</t>
        </is>
      </c>
      <c r="E1998" s="4" t="inlineStr">
        <is>
          <t>6º PAV (PILOTIS) - ACADEMIA</t>
        </is>
      </c>
      <c r="F1998" s="126" t="n">
        <v>47000</v>
      </c>
      <c r="G1998" s="126" t="n">
        <v>47014</v>
      </c>
      <c r="H1998" s="126" t="n">
        <v>46289</v>
      </c>
      <c r="I1998" s="4" t="n">
        <v>0</v>
      </c>
      <c r="J1998" s="4" t="n">
        <v>0</v>
      </c>
      <c r="K1998" s="4" t="n">
        <v>0</v>
      </c>
      <c r="M1998" s="2">
        <f>IF(C1998="","",IFERROR(INDEX($S$5:$S$304,MATCH(C1998,$R$5:$R$304,0))&amp;"","?"))</f>
        <v/>
      </c>
      <c r="N1998" s="2">
        <f>IF(E1998="","",IF(ISNUMBER(SEARCH("SUBSOLO",E1998)),IFERROR(-VALUE(LEFT(E1998,FIND("º",SUBSTITUTE(E1998,"°","º"))-1)),-1),IF(LEFT(E1998,6)="TÉRREO",0,IFERROR(VALUE(LEFT(E1998,FIND("º",SUBSTITUTE(E1998,"°","º"))-1)),""))))</f>
        <v/>
      </c>
      <c r="O1998" s="2">
        <f>IF(OR(F1998="",G1998=""),"",IF(G1998&lt;='RETRATO 2027'!$K$5,"CONCLUÍDA",IF(F1998&lt;='RETRATO 2027'!$K$5,"EM ANDAMENTO","A INICIAR")))</f>
        <v/>
      </c>
    </row>
    <row r="1999">
      <c r="B1999" s="4" t="n">
        <v>30208613</v>
      </c>
      <c r="C1999" s="4" t="inlineStr">
        <is>
          <t>LIMPEZA</t>
        </is>
      </c>
      <c r="D1999" s="4" t="inlineStr">
        <is>
          <t>-</t>
        </is>
      </c>
      <c r="E1999" s="4" t="inlineStr">
        <is>
          <t>6º PAV (PILOTIS) - PISCINA + PRAINHA + DECK</t>
        </is>
      </c>
      <c r="F1999" s="126" t="n">
        <v>47000</v>
      </c>
      <c r="G1999" s="126" t="n">
        <v>47007</v>
      </c>
      <c r="H1999" s="126" t="n">
        <v>46289</v>
      </c>
      <c r="I1999" s="4" t="n">
        <v>0</v>
      </c>
      <c r="J1999" s="4" t="n">
        <v>0</v>
      </c>
      <c r="K1999" s="4" t="n">
        <v>0</v>
      </c>
      <c r="M1999" s="2">
        <f>IF(C1999="","",IFERROR(INDEX($S$5:$S$304,MATCH(C1999,$R$5:$R$304,0))&amp;"","?"))</f>
        <v/>
      </c>
      <c r="N1999" s="2">
        <f>IF(E1999="","",IF(ISNUMBER(SEARCH("SUBSOLO",E1999)),IFERROR(-VALUE(LEFT(E1999,FIND("º",SUBSTITUTE(E1999,"°","º"))-1)),-1),IF(LEFT(E1999,6)="TÉRREO",0,IFERROR(VALUE(LEFT(E1999,FIND("º",SUBSTITUTE(E1999,"°","º"))-1)),""))))</f>
        <v/>
      </c>
      <c r="O1999" s="2">
        <f>IF(OR(F1999="",G1999=""),"",IF(G1999&lt;='RETRATO 2027'!$K$5,"CONCLUÍDA",IF(F1999&lt;='RETRATO 2027'!$K$5,"EM ANDAMENTO","A INICIAR")))</f>
        <v/>
      </c>
    </row>
    <row r="2000">
      <c r="B2000" s="4" t="n">
        <v>29981104</v>
      </c>
      <c r="C2000" s="4" t="inlineStr">
        <is>
          <t>REVESTIMENTO PORCELANATO PAREDE</t>
        </is>
      </c>
      <c r="D2000" s="4" t="inlineStr">
        <is>
          <t>-</t>
        </is>
      </c>
      <c r="E2000" s="4" t="inlineStr">
        <is>
          <t>19º PAV.</t>
        </is>
      </c>
      <c r="F2000" s="126" t="n">
        <v>47000</v>
      </c>
      <c r="G2000" s="126" t="n">
        <v>47011</v>
      </c>
      <c r="H2000" s="126" t="n">
        <v>46289</v>
      </c>
      <c r="I2000" s="4" t="n">
        <v>0</v>
      </c>
      <c r="J2000" s="4" t="n">
        <v>0</v>
      </c>
      <c r="K2000" s="4" t="n">
        <v>0</v>
      </c>
      <c r="M2000" s="2">
        <f>IF(C2000="","",IFERROR(INDEX($S$5:$S$304,MATCH(C2000,$R$5:$R$304,0))&amp;"","?"))</f>
        <v/>
      </c>
      <c r="N2000" s="2">
        <f>IF(E2000="","",IF(ISNUMBER(SEARCH("SUBSOLO",E2000)),IFERROR(-VALUE(LEFT(E2000,FIND("º",SUBSTITUTE(E2000,"°","º"))-1)),-1),IF(LEFT(E2000,6)="TÉRREO",0,IFERROR(VALUE(LEFT(E2000,FIND("º",SUBSTITUTE(E2000,"°","º"))-1)),""))))</f>
        <v/>
      </c>
      <c r="O2000" s="2">
        <f>IF(OR(F2000="",G2000=""),"",IF(G2000&lt;='RETRATO 2027'!$K$5,"CONCLUÍDA",IF(F2000&lt;='RETRATO 2027'!$K$5,"EM ANDAMENTO","A INICIAR")))</f>
        <v/>
      </c>
    </row>
    <row r="2001">
      <c r="B2001" s="4" t="n">
        <v>30171473</v>
      </c>
      <c r="C2001" s="4" t="inlineStr">
        <is>
          <t>TEXTURA - 1º DEMÃO</t>
        </is>
      </c>
      <c r="D2001" s="4" t="inlineStr">
        <is>
          <t>-</t>
        </is>
      </c>
      <c r="E2001" s="4" t="inlineStr">
        <is>
          <t>2º PAV - GARAGEM</t>
        </is>
      </c>
      <c r="F2001" s="126" t="n">
        <v>47004</v>
      </c>
      <c r="G2001" s="126" t="n">
        <v>47039</v>
      </c>
      <c r="H2001" s="126" t="n">
        <v>46289</v>
      </c>
      <c r="I2001" s="4" t="n">
        <v>0</v>
      </c>
      <c r="J2001" s="4" t="n">
        <v>0</v>
      </c>
      <c r="K2001" s="4" t="n">
        <v>0</v>
      </c>
      <c r="M2001" s="2">
        <f>IF(C2001="","",IFERROR(INDEX($S$5:$S$304,MATCH(C2001,$R$5:$R$304,0))&amp;"","?"))</f>
        <v/>
      </c>
      <c r="N2001" s="2">
        <f>IF(E2001="","",IF(ISNUMBER(SEARCH("SUBSOLO",E2001)),IFERROR(-VALUE(LEFT(E2001,FIND("º",SUBSTITUTE(E2001,"°","º"))-1)),-1),IF(LEFT(E2001,6)="TÉRREO",0,IFERROR(VALUE(LEFT(E2001,FIND("º",SUBSTITUTE(E2001,"°","º"))-1)),""))))</f>
        <v/>
      </c>
      <c r="O2001" s="2">
        <f>IF(OR(F2001="",G2001=""),"",IF(G2001&lt;='RETRATO 2027'!$K$5,"CONCLUÍDA",IF(F2001&lt;='RETRATO 2027'!$K$5,"EM ANDAMENTO","A INICIAR")))</f>
        <v/>
      </c>
    </row>
    <row r="2002">
      <c r="B2002" s="4" t="n">
        <v>30171489</v>
      </c>
      <c r="C2002" s="4" t="inlineStr">
        <is>
          <t>PINTURA DE TUBULAÇÕES (PAREDE E TETO)</t>
        </is>
      </c>
      <c r="D2002" s="4" t="inlineStr">
        <is>
          <t>-</t>
        </is>
      </c>
      <c r="E2002" s="4" t="inlineStr">
        <is>
          <t>2º PAV - GARAGEM</t>
        </is>
      </c>
      <c r="F2002" s="126" t="n">
        <v>47004</v>
      </c>
      <c r="G2002" s="126" t="n">
        <v>47024</v>
      </c>
      <c r="H2002" s="126" t="n">
        <v>46289</v>
      </c>
      <c r="I2002" s="4" t="n">
        <v>0</v>
      </c>
      <c r="J2002" s="4" t="n">
        <v>0</v>
      </c>
      <c r="K2002" s="4" t="n">
        <v>0</v>
      </c>
      <c r="M2002" s="2">
        <f>IF(C2002="","",IFERROR(INDEX($S$5:$S$304,MATCH(C2002,$R$5:$R$304,0))&amp;"","?"))</f>
        <v/>
      </c>
      <c r="N2002" s="2">
        <f>IF(E2002="","",IF(ISNUMBER(SEARCH("SUBSOLO",E2002)),IFERROR(-VALUE(LEFT(E2002,FIND("º",SUBSTITUTE(E2002,"°","º"))-1)),-1),IF(LEFT(E2002,6)="TÉRREO",0,IFERROR(VALUE(LEFT(E2002,FIND("º",SUBSTITUTE(E2002,"°","º"))-1)),""))))</f>
        <v/>
      </c>
      <c r="O2002" s="2">
        <f>IF(OR(F2002="",G2002=""),"",IF(G2002&lt;='RETRATO 2027'!$K$5,"CONCLUÍDA",IF(F2002&lt;='RETRATO 2027'!$K$5,"EM ANDAMENTO","A INICIAR")))</f>
        <v/>
      </c>
    </row>
    <row r="2003">
      <c r="B2003" s="4" t="n">
        <v>30171441</v>
      </c>
      <c r="C2003" s="4" t="inlineStr">
        <is>
          <t>POLIMENTO DE PISO</t>
        </is>
      </c>
      <c r="D2003" s="4" t="inlineStr">
        <is>
          <t>-</t>
        </is>
      </c>
      <c r="E2003" s="4" t="inlineStr">
        <is>
          <t>3º PAV - GARAGEM</t>
        </is>
      </c>
      <c r="F2003" s="126" t="n">
        <v>47004</v>
      </c>
      <c r="G2003" s="126" t="n">
        <v>47035</v>
      </c>
      <c r="H2003" s="126" t="n">
        <v>46289</v>
      </c>
      <c r="I2003" s="4" t="n">
        <v>0</v>
      </c>
      <c r="J2003" s="4" t="n">
        <v>0</v>
      </c>
      <c r="K2003" s="4" t="n">
        <v>0</v>
      </c>
      <c r="M2003" s="2">
        <f>IF(C2003="","",IFERROR(INDEX($S$5:$S$304,MATCH(C2003,$R$5:$R$304,0))&amp;"","?"))</f>
        <v/>
      </c>
      <c r="N2003" s="2">
        <f>IF(E2003="","",IF(ISNUMBER(SEARCH("SUBSOLO",E2003)),IFERROR(-VALUE(LEFT(E2003,FIND("º",SUBSTITUTE(E2003,"°","º"))-1)),-1),IF(LEFT(E2003,6)="TÉRREO",0,IFERROR(VALUE(LEFT(E2003,FIND("º",SUBSTITUTE(E2003,"°","º"))-1)),""))))</f>
        <v/>
      </c>
      <c r="O2003" s="2">
        <f>IF(OR(F2003="",G2003=""),"",IF(G2003&lt;='RETRATO 2027'!$K$5,"CONCLUÍDA",IF(F2003&lt;='RETRATO 2027'!$K$5,"EM ANDAMENTO","A INICIAR")))</f>
        <v/>
      </c>
    </row>
    <row r="2004">
      <c r="B2004" s="4" t="n">
        <v>29981217</v>
      </c>
      <c r="C2004" s="4" t="inlineStr">
        <is>
          <t>LIMPEZA FINA</t>
        </is>
      </c>
      <c r="D2004" s="4" t="inlineStr">
        <is>
          <t>-</t>
        </is>
      </c>
      <c r="E2004" s="4" t="inlineStr">
        <is>
          <t>16º PAV.</t>
        </is>
      </c>
      <c r="F2004" s="126" t="n">
        <v>47004</v>
      </c>
      <c r="G2004" s="126" t="n">
        <v>47016</v>
      </c>
      <c r="H2004" s="126" t="n">
        <v>46289</v>
      </c>
      <c r="I2004" s="4" t="n">
        <v>0</v>
      </c>
      <c r="J2004" s="4" t="n">
        <v>0</v>
      </c>
      <c r="K2004" s="4" t="n">
        <v>0</v>
      </c>
      <c r="M2004" s="2">
        <f>IF(C2004="","",IFERROR(INDEX($S$5:$S$304,MATCH(C2004,$R$5:$R$304,0))&amp;"","?"))</f>
        <v/>
      </c>
      <c r="N2004" s="2">
        <f>IF(E2004="","",IF(ISNUMBER(SEARCH("SUBSOLO",E2004)),IFERROR(-VALUE(LEFT(E2004,FIND("º",SUBSTITUTE(E2004,"°","º"))-1)),-1),IF(LEFT(E2004,6)="TÉRREO",0,IFERROR(VALUE(LEFT(E2004,FIND("º",SUBSTITUTE(E2004,"°","º"))-1)),""))))</f>
        <v/>
      </c>
      <c r="O2004" s="2">
        <f>IF(OR(F2004="",G2004=""),"",IF(G2004&lt;='RETRATO 2027'!$K$5,"CONCLUÍDA",IF(F2004&lt;='RETRATO 2027'!$K$5,"EM ANDAMENTO","A INICIAR")))</f>
        <v/>
      </c>
    </row>
    <row r="2005">
      <c r="B2005" s="4" t="n">
        <v>29981170</v>
      </c>
      <c r="C2005" s="4" t="inlineStr">
        <is>
          <t>PINTURA 3º DEMÃO</t>
        </is>
      </c>
      <c r="D2005" s="4" t="inlineStr">
        <is>
          <t>-</t>
        </is>
      </c>
      <c r="E2005" s="4" t="inlineStr">
        <is>
          <t>17º PAV.</t>
        </is>
      </c>
      <c r="F2005" s="126" t="n">
        <v>47004</v>
      </c>
      <c r="G2005" s="126" t="n">
        <v>47016</v>
      </c>
      <c r="H2005" s="126" t="n">
        <v>46289</v>
      </c>
      <c r="I2005" s="4" t="n">
        <v>0</v>
      </c>
      <c r="J2005" s="4" t="n">
        <v>0</v>
      </c>
      <c r="K2005" s="4" t="n">
        <v>0</v>
      </c>
      <c r="M2005" s="2">
        <f>IF(C2005="","",IFERROR(INDEX($S$5:$S$304,MATCH(C2005,$R$5:$R$304,0))&amp;"","?"))</f>
        <v/>
      </c>
      <c r="N2005" s="2">
        <f>IF(E2005="","",IF(ISNUMBER(SEARCH("SUBSOLO",E2005)),IFERROR(-VALUE(LEFT(E2005,FIND("º",SUBSTITUTE(E2005,"°","º"))-1)),-1),IF(LEFT(E2005,6)="TÉRREO",0,IFERROR(VALUE(LEFT(E2005,FIND("º",SUBSTITUTE(E2005,"°","º"))-1)),""))))</f>
        <v/>
      </c>
      <c r="O2005" s="2">
        <f>IF(OR(F2005="",G2005=""),"",IF(G2005&lt;='RETRATO 2027'!$K$5,"CONCLUÍDA",IF(F2005&lt;='RETRATO 2027'!$K$5,"EM ANDAMENTO","A INICIAR")))</f>
        <v/>
      </c>
    </row>
    <row r="2006">
      <c r="B2006" s="4" t="n">
        <v>30205797</v>
      </c>
      <c r="C2006" s="4" t="inlineStr">
        <is>
          <t>LIMPEZA FINA</t>
        </is>
      </c>
      <c r="D2006" s="4" t="inlineStr">
        <is>
          <t>-</t>
        </is>
      </c>
      <c r="E2006" s="4" t="inlineStr">
        <is>
          <t>TÉRREO - ACESSO COMERCIAL + DML + ARS + ÁREA TEC + LAVABO + DISPENSA</t>
        </is>
      </c>
      <c r="F2006" s="126" t="n">
        <v>47007</v>
      </c>
      <c r="G2006" s="126" t="n">
        <v>47018</v>
      </c>
      <c r="H2006" s="126" t="n">
        <v>46289</v>
      </c>
      <c r="I2006" s="4" t="n">
        <v>0</v>
      </c>
      <c r="J2006" s="4" t="n">
        <v>0</v>
      </c>
      <c r="K2006" s="4" t="n">
        <v>0</v>
      </c>
      <c r="M2006" s="2">
        <f>IF(C2006="","",IFERROR(INDEX($S$5:$S$304,MATCH(C2006,$R$5:$R$304,0))&amp;"","?"))</f>
        <v/>
      </c>
      <c r="N2006" s="2">
        <f>IF(E2006="","",IF(ISNUMBER(SEARCH("SUBSOLO",E2006)),IFERROR(-VALUE(LEFT(E2006,FIND("º",SUBSTITUTE(E2006,"°","º"))-1)),-1),IF(LEFT(E2006,6)="TÉRREO",0,IFERROR(VALUE(LEFT(E2006,FIND("º",SUBSTITUTE(E2006,"°","º"))-1)),""))))</f>
        <v/>
      </c>
      <c r="O2006" s="2">
        <f>IF(OR(F2006="",G2006=""),"",IF(G2006&lt;='RETRATO 2027'!$K$5,"CONCLUÍDA",IF(F2006&lt;='RETRATO 2027'!$K$5,"EM ANDAMENTO","A INICIAR")))</f>
        <v/>
      </c>
    </row>
    <row r="2007">
      <c r="B2007" s="4" t="n">
        <v>30205885</v>
      </c>
      <c r="C2007" s="4" t="inlineStr">
        <is>
          <t>PISO ELEVADO</t>
        </is>
      </c>
      <c r="D2007" s="4" t="inlineStr">
        <is>
          <t>-</t>
        </is>
      </c>
      <c r="E2007" s="4" t="inlineStr">
        <is>
          <t>6º PAV (PILOTIS) - PLAYGROUND + TERRAÇO DESCOBERTO + QUADRA DE RECREAÇÃO</t>
        </is>
      </c>
      <c r="F2007" s="126" t="n">
        <v>47007</v>
      </c>
      <c r="G2007" s="126" t="n">
        <v>47052</v>
      </c>
      <c r="H2007" s="126" t="n">
        <v>46289</v>
      </c>
      <c r="I2007" s="4" t="n">
        <v>0</v>
      </c>
      <c r="J2007" s="4" t="n">
        <v>0</v>
      </c>
      <c r="K2007" s="4" t="n">
        <v>0</v>
      </c>
      <c r="M2007" s="2">
        <f>IF(C2007="","",IFERROR(INDEX($S$5:$S$304,MATCH(C2007,$R$5:$R$304,0))&amp;"","?"))</f>
        <v/>
      </c>
      <c r="N2007" s="2">
        <f>IF(E2007="","",IF(ISNUMBER(SEARCH("SUBSOLO",E2007)),IFERROR(-VALUE(LEFT(E2007,FIND("º",SUBSTITUTE(E2007,"°","º"))-1)),-1),IF(LEFT(E2007,6)="TÉRREO",0,IFERROR(VALUE(LEFT(E2007,FIND("º",SUBSTITUTE(E2007,"°","º"))-1)),""))))</f>
        <v/>
      </c>
      <c r="O2007" s="2">
        <f>IF(OR(F2007="",G2007=""),"",IF(G2007&lt;='RETRATO 2027'!$K$5,"CONCLUÍDA",IF(F2007&lt;='RETRATO 2027'!$K$5,"EM ANDAMENTO","A INICIAR")))</f>
        <v/>
      </c>
    </row>
    <row r="2008">
      <c r="B2008" s="4" t="n">
        <v>30208600</v>
      </c>
      <c r="C2008" s="4" t="inlineStr">
        <is>
          <t>PRUMADA ELÉTRICA - CABOS</t>
        </is>
      </c>
      <c r="D2008" s="4" t="inlineStr">
        <is>
          <t>-</t>
        </is>
      </c>
      <c r="E2008" s="4" t="inlineStr">
        <is>
          <t>6º PAV - PILOTIS</t>
        </is>
      </c>
      <c r="F2008" s="126" t="n">
        <v>47008</v>
      </c>
      <c r="G2008" s="126" t="n">
        <v>47021</v>
      </c>
      <c r="H2008" s="126" t="n">
        <v>46289</v>
      </c>
      <c r="I2008" s="4" t="n">
        <v>0</v>
      </c>
      <c r="J2008" s="4" t="n">
        <v>0</v>
      </c>
      <c r="K2008" s="4" t="n">
        <v>0</v>
      </c>
      <c r="M2008" s="2">
        <f>IF(C2008="","",IFERROR(INDEX($S$5:$S$304,MATCH(C2008,$R$5:$R$304,0))&amp;"","?"))</f>
        <v/>
      </c>
      <c r="N2008" s="2">
        <f>IF(E2008="","",IF(ISNUMBER(SEARCH("SUBSOLO",E2008)),IFERROR(-VALUE(LEFT(E2008,FIND("º",SUBSTITUTE(E2008,"°","º"))-1)),-1),IF(LEFT(E2008,6)="TÉRREO",0,IFERROR(VALUE(LEFT(E2008,FIND("º",SUBSTITUTE(E2008,"°","º"))-1)),""))))</f>
        <v/>
      </c>
      <c r="O2008" s="2">
        <f>IF(OR(F2008="",G2008=""),"",IF(G2008&lt;='RETRATO 2027'!$K$5,"CONCLUÍDA",IF(F2008&lt;='RETRATO 2027'!$K$5,"EM ANDAMENTO","A INICIAR")))</f>
        <v/>
      </c>
    </row>
    <row r="2009">
      <c r="B2009" s="4" t="n">
        <v>30206074</v>
      </c>
      <c r="C2009" s="4" t="inlineStr">
        <is>
          <t>DISJUNTORES / MIOLOS</t>
        </is>
      </c>
      <c r="D2009" s="4" t="inlineStr">
        <is>
          <t>-</t>
        </is>
      </c>
      <c r="E2009" s="4" t="inlineStr">
        <is>
          <t>6º PAV (PILOTIS) - SAUNA + DUCHA</t>
        </is>
      </c>
      <c r="F2009" s="126" t="n">
        <v>47008</v>
      </c>
      <c r="G2009" s="126" t="n">
        <v>47021</v>
      </c>
      <c r="H2009" s="126" t="n">
        <v>46289</v>
      </c>
      <c r="I2009" s="4" t="n">
        <v>0</v>
      </c>
      <c r="J2009" s="4" t="n">
        <v>0</v>
      </c>
      <c r="K2009" s="4" t="n">
        <v>0</v>
      </c>
      <c r="M2009" s="2">
        <f>IF(C2009="","",IFERROR(INDEX($S$5:$S$304,MATCH(C2009,$R$5:$R$304,0))&amp;"","?"))</f>
        <v/>
      </c>
      <c r="N2009" s="2">
        <f>IF(E2009="","",IF(ISNUMBER(SEARCH("SUBSOLO",E2009)),IFERROR(-VALUE(LEFT(E2009,FIND("º",SUBSTITUTE(E2009,"°","º"))-1)),-1),IF(LEFT(E2009,6)="TÉRREO",0,IFERROR(VALUE(LEFT(E2009,FIND("º",SUBSTITUTE(E2009,"°","º"))-1)),""))))</f>
        <v/>
      </c>
      <c r="O2009" s="2">
        <f>IF(OR(F2009="",G2009=""),"",IF(G2009&lt;='RETRATO 2027'!$K$5,"CONCLUÍDA",IF(F2009&lt;='RETRATO 2027'!$K$5,"EM ANDAMENTO","A INICIAR")))</f>
        <v/>
      </c>
    </row>
    <row r="2010">
      <c r="B2010" s="4" t="n">
        <v>30206055</v>
      </c>
      <c r="C2010" s="4" t="inlineStr">
        <is>
          <t>MASSA CORRIDA</t>
        </is>
      </c>
      <c r="D2010" s="4" t="inlineStr">
        <is>
          <t>-</t>
        </is>
      </c>
      <c r="E2010" s="4" t="inlineStr">
        <is>
          <t>6º PAV (PILOTIS) - CHURRASQUEIRA + IS MASC. PCD + IS FEM. PCD + CIRCULAÇÃO 1 + HALL 1</t>
        </is>
      </c>
      <c r="F2010" s="126" t="n">
        <v>47008</v>
      </c>
      <c r="G2010" s="126" t="n">
        <v>47021</v>
      </c>
      <c r="H2010" s="126" t="n">
        <v>46289</v>
      </c>
      <c r="I2010" s="4" t="n">
        <v>0</v>
      </c>
      <c r="J2010" s="4" t="n">
        <v>0</v>
      </c>
      <c r="K2010" s="4" t="n">
        <v>0</v>
      </c>
      <c r="M2010" s="2">
        <f>IF(C2010="","",IFERROR(INDEX($S$5:$S$304,MATCH(C2010,$R$5:$R$304,0))&amp;"","?"))</f>
        <v/>
      </c>
      <c r="N2010" s="2">
        <f>IF(E2010="","",IF(ISNUMBER(SEARCH("SUBSOLO",E2010)),IFERROR(-VALUE(LEFT(E2010,FIND("º",SUBSTITUTE(E2010,"°","º"))-1)),-1),IF(LEFT(E2010,6)="TÉRREO",0,IFERROR(VALUE(LEFT(E2010,FIND("º",SUBSTITUTE(E2010,"°","º"))-1)),""))))</f>
        <v/>
      </c>
      <c r="O2010" s="2">
        <f>IF(OR(F2010="",G2010=""),"",IF(G2010&lt;='RETRATO 2027'!$K$5,"CONCLUÍDA",IF(F2010&lt;='RETRATO 2027'!$K$5,"EM ANDAMENTO","A INICIAR")))</f>
        <v/>
      </c>
    </row>
    <row r="2011">
      <c r="B2011" s="4" t="n">
        <v>33904061</v>
      </c>
      <c r="C2011" s="4" t="inlineStr">
        <is>
          <t>ESQUADRIA DE ALUMÍNIO</t>
        </is>
      </c>
      <c r="D2011" s="4" t="inlineStr">
        <is>
          <t>-</t>
        </is>
      </c>
      <c r="E2011" s="4" t="inlineStr">
        <is>
          <t>6º PAV (PILOTIS) - COWORKING 1 E 2 + CIRC. 2 + HALL 2 + DML + VEST. MASC. + VEST. FEM</t>
        </is>
      </c>
      <c r="F2011" s="126" t="n">
        <v>47008</v>
      </c>
      <c r="G2011" s="126" t="n">
        <v>47021</v>
      </c>
      <c r="H2011" s="126" t="n">
        <v>46289</v>
      </c>
      <c r="I2011" s="4" t="n">
        <v>0</v>
      </c>
      <c r="J2011" s="4" t="n">
        <v>0</v>
      </c>
      <c r="K2011" s="4" t="n">
        <v>0</v>
      </c>
      <c r="M2011" s="2">
        <f>IF(C2011="","",IFERROR(INDEX($S$5:$S$304,MATCH(C2011,$R$5:$R$304,0))&amp;"","?"))</f>
        <v/>
      </c>
      <c r="N2011" s="2">
        <f>IF(E2011="","",IF(ISNUMBER(SEARCH("SUBSOLO",E2011)),IFERROR(-VALUE(LEFT(E2011,FIND("º",SUBSTITUTE(E2011,"°","º"))-1)),-1),IF(LEFT(E2011,6)="TÉRREO",0,IFERROR(VALUE(LEFT(E2011,FIND("º",SUBSTITUTE(E2011,"°","º"))-1)),""))))</f>
        <v/>
      </c>
      <c r="O2011" s="2">
        <f>IF(OR(F2011="",G2011=""),"",IF(G2011&lt;='RETRATO 2027'!$K$5,"CONCLUÍDA",IF(F2011&lt;='RETRATO 2027'!$K$5,"EM ANDAMENTO","A INICIAR")))</f>
        <v/>
      </c>
    </row>
    <row r="2012">
      <c r="B2012" s="4" t="n">
        <v>30205979</v>
      </c>
      <c r="C2012" s="4" t="inlineStr">
        <is>
          <t>FORRO</t>
        </is>
      </c>
      <c r="D2012" s="4" t="inlineStr">
        <is>
          <t>-</t>
        </is>
      </c>
      <c r="E2012" s="4" t="inlineStr">
        <is>
          <t>6º PAV (PILOTIS) - LOUNGE + SALÃO + COZINHA + GOURMET + ESPAÇO KIDS</t>
        </is>
      </c>
      <c r="F2012" s="126" t="n">
        <v>47008</v>
      </c>
      <c r="G2012" s="126" t="n">
        <v>47021</v>
      </c>
      <c r="H2012" s="126" t="n">
        <v>46289</v>
      </c>
      <c r="I2012" s="4" t="n">
        <v>0</v>
      </c>
      <c r="J2012" s="4" t="n">
        <v>0</v>
      </c>
      <c r="K2012" s="4" t="n">
        <v>0</v>
      </c>
      <c r="M2012" s="2">
        <f>IF(C2012="","",IFERROR(INDEX($S$5:$S$304,MATCH(C2012,$R$5:$R$304,0))&amp;"","?"))</f>
        <v/>
      </c>
      <c r="N2012" s="2">
        <f>IF(E2012="","",IF(ISNUMBER(SEARCH("SUBSOLO",E2012)),IFERROR(-VALUE(LEFT(E2012,FIND("º",SUBSTITUTE(E2012,"°","º"))-1)),-1),IF(LEFT(E2012,6)="TÉRREO",0,IFERROR(VALUE(LEFT(E2012,FIND("º",SUBSTITUTE(E2012,"°","º"))-1)),""))))</f>
        <v/>
      </c>
      <c r="O2012" s="2">
        <f>IF(OR(F2012="",G2012=""),"",IF(G2012&lt;='RETRATO 2027'!$K$5,"CONCLUÍDA",IF(F2012&lt;='RETRATO 2027'!$K$5,"EM ANDAMENTO","A INICIAR")))</f>
        <v/>
      </c>
    </row>
    <row r="2013">
      <c r="B2013" s="4" t="n">
        <v>30205941</v>
      </c>
      <c r="C2013" s="4" t="inlineStr">
        <is>
          <t>BRISE</t>
        </is>
      </c>
      <c r="D2013" s="4" t="inlineStr">
        <is>
          <t>-</t>
        </is>
      </c>
      <c r="E2013" s="4" t="inlineStr">
        <is>
          <t>5º PAV - GARAGEM</t>
        </is>
      </c>
      <c r="F2013" s="126" t="n">
        <v>47009</v>
      </c>
      <c r="G2013" s="126" t="n">
        <v>47022</v>
      </c>
      <c r="H2013" s="126" t="n">
        <v>46289</v>
      </c>
      <c r="I2013" s="4" t="n">
        <v>0</v>
      </c>
      <c r="J2013" s="4" t="n">
        <v>0</v>
      </c>
      <c r="K2013" s="4" t="n">
        <v>0</v>
      </c>
      <c r="M2013" s="2">
        <f>IF(C2013="","",IFERROR(INDEX($S$5:$S$304,MATCH(C2013,$R$5:$R$304,0))&amp;"","?"))</f>
        <v/>
      </c>
      <c r="N2013" s="2">
        <f>IF(E2013="","",IF(ISNUMBER(SEARCH("SUBSOLO",E2013)),IFERROR(-VALUE(LEFT(E2013,FIND("º",SUBSTITUTE(E2013,"°","º"))-1)),-1),IF(LEFT(E2013,6)="TÉRREO",0,IFERROR(VALUE(LEFT(E2013,FIND("º",SUBSTITUTE(E2013,"°","º"))-1)),""))))</f>
        <v/>
      </c>
      <c r="O2013" s="2">
        <f>IF(OR(F2013="",G2013=""),"",IF(G2013&lt;='RETRATO 2027'!$K$5,"CONCLUÍDA",IF(F2013&lt;='RETRATO 2027'!$K$5,"EM ANDAMENTO","A INICIAR")))</f>
        <v/>
      </c>
    </row>
    <row r="2014">
      <c r="B2014" s="4" t="n">
        <v>30205547</v>
      </c>
      <c r="C2014" s="4" t="inlineStr">
        <is>
          <t>CHECKLIST</t>
        </is>
      </c>
      <c r="D2014" s="4" t="inlineStr">
        <is>
          <t>-</t>
        </is>
      </c>
      <c r="E2014" s="4" t="inlineStr">
        <is>
          <t>TÉRREO - LOJA 7</t>
        </is>
      </c>
      <c r="F2014" s="126" t="n">
        <v>47010</v>
      </c>
      <c r="G2014" s="126" t="n">
        <v>47016</v>
      </c>
      <c r="H2014" s="126" t="n">
        <v>46289</v>
      </c>
      <c r="I2014" s="4" t="n">
        <v>0</v>
      </c>
      <c r="J2014" s="4" t="n">
        <v>0</v>
      </c>
      <c r="K2014" s="4" t="n">
        <v>0</v>
      </c>
      <c r="M2014" s="2">
        <f>IF(C2014="","",IFERROR(INDEX($S$5:$S$304,MATCH(C2014,$R$5:$R$304,0))&amp;"","?"))</f>
        <v/>
      </c>
      <c r="N2014" s="2">
        <f>IF(E2014="","",IF(ISNUMBER(SEARCH("SUBSOLO",E2014)),IFERROR(-VALUE(LEFT(E2014,FIND("º",SUBSTITUTE(E2014,"°","º"))-1)),-1),IF(LEFT(E2014,6)="TÉRREO",0,IFERROR(VALUE(LEFT(E2014,FIND("º",SUBSTITUTE(E2014,"°","º"))-1)),""))))</f>
        <v/>
      </c>
      <c r="O2014" s="2">
        <f>IF(OR(F2014="",G2014=""),"",IF(G2014&lt;='RETRATO 2027'!$K$5,"CONCLUÍDA",IF(F2014&lt;='RETRATO 2027'!$K$5,"EM ANDAMENTO","A INICIAR")))</f>
        <v/>
      </c>
    </row>
    <row r="2015">
      <c r="B2015" s="4" t="n">
        <v>29981132</v>
      </c>
      <c r="C2015" s="4" t="inlineStr">
        <is>
          <t>CHECKLIST</t>
        </is>
      </c>
      <c r="D2015" s="4" t="inlineStr">
        <is>
          <t>-</t>
        </is>
      </c>
      <c r="E2015" s="4" t="inlineStr">
        <is>
          <t>18º PAV.</t>
        </is>
      </c>
      <c r="F2015" s="126" t="n">
        <v>47010</v>
      </c>
      <c r="G2015" s="126" t="n">
        <v>47016</v>
      </c>
      <c r="H2015" s="126" t="n">
        <v>46289</v>
      </c>
      <c r="I2015" s="4" t="n">
        <v>0</v>
      </c>
      <c r="J2015" s="4" t="n">
        <v>0</v>
      </c>
      <c r="K2015" s="4" t="n">
        <v>0</v>
      </c>
      <c r="M2015" s="2">
        <f>IF(C2015="","",IFERROR(INDEX($S$5:$S$304,MATCH(C2015,$R$5:$R$304,0))&amp;"","?"))</f>
        <v/>
      </c>
      <c r="N2015" s="2">
        <f>IF(E2015="","",IF(ISNUMBER(SEARCH("SUBSOLO",E2015)),IFERROR(-VALUE(LEFT(E2015,FIND("º",SUBSTITUTE(E2015,"°","º"))-1)),-1),IF(LEFT(E2015,6)="TÉRREO",0,IFERROR(VALUE(LEFT(E2015,FIND("º",SUBSTITUTE(E2015,"°","º"))-1)),""))))</f>
        <v/>
      </c>
      <c r="O2015" s="2">
        <f>IF(OR(F2015="",G2015=""),"",IF(G2015&lt;='RETRATO 2027'!$K$5,"CONCLUÍDA",IF(F2015&lt;='RETRATO 2027'!$K$5,"EM ANDAMENTO","A INICIAR")))</f>
        <v/>
      </c>
    </row>
    <row r="2016">
      <c r="B2016" s="4" t="n">
        <v>29981060</v>
      </c>
      <c r="C2016" s="4" t="inlineStr">
        <is>
          <t>ACABAMENTOS ELÉTRICOS</t>
        </is>
      </c>
      <c r="D2016" s="4" t="inlineStr">
        <is>
          <t>-</t>
        </is>
      </c>
      <c r="E2016" s="4" t="inlineStr">
        <is>
          <t>20º PAV.</t>
        </is>
      </c>
      <c r="F2016" s="126" t="n">
        <v>47010</v>
      </c>
      <c r="G2016" s="126" t="n">
        <v>47022</v>
      </c>
      <c r="H2016" s="126" t="n">
        <v>46289</v>
      </c>
      <c r="I2016" s="4" t="n">
        <v>0</v>
      </c>
      <c r="J2016" s="4" t="n">
        <v>0</v>
      </c>
      <c r="K2016" s="4" t="n">
        <v>0</v>
      </c>
      <c r="M2016" s="2">
        <f>IF(C2016="","",IFERROR(INDEX($S$5:$S$304,MATCH(C2016,$R$5:$R$304,0))&amp;"","?"))</f>
        <v/>
      </c>
      <c r="N2016" s="2">
        <f>IF(E2016="","",IF(ISNUMBER(SEARCH("SUBSOLO",E2016)),IFERROR(-VALUE(LEFT(E2016,FIND("º",SUBSTITUTE(E2016,"°","º"))-1)),-1),IF(LEFT(E2016,6)="TÉRREO",0,IFERROR(VALUE(LEFT(E2016,FIND("º",SUBSTITUTE(E2016,"°","º"))-1)),""))))</f>
        <v/>
      </c>
      <c r="O2016" s="2">
        <f>IF(OR(F2016="",G2016=""),"",IF(G2016&lt;='RETRATO 2027'!$K$5,"CONCLUÍDA",IF(F2016&lt;='RETRATO 2027'!$K$5,"EM ANDAMENTO","A INICIAR")))</f>
        <v/>
      </c>
    </row>
    <row r="2017">
      <c r="B2017" s="4" t="n">
        <v>29981020</v>
      </c>
      <c r="C2017" s="4" t="inlineStr">
        <is>
          <t>PINTURA 2º DEMÃO</t>
        </is>
      </c>
      <c r="D2017" s="4" t="inlineStr">
        <is>
          <t>-</t>
        </is>
      </c>
      <c r="E2017" s="4" t="inlineStr">
        <is>
          <t>21º PAV.</t>
        </is>
      </c>
      <c r="F2017" s="126" t="n">
        <v>47010</v>
      </c>
      <c r="G2017" s="126" t="n">
        <v>47022</v>
      </c>
      <c r="H2017" s="126" t="n">
        <v>46289</v>
      </c>
      <c r="I2017" s="4" t="n">
        <v>0</v>
      </c>
      <c r="J2017" s="4" t="n">
        <v>0</v>
      </c>
      <c r="K2017" s="4" t="n">
        <v>0</v>
      </c>
      <c r="M2017" s="2">
        <f>IF(C2017="","",IFERROR(INDEX($S$5:$S$304,MATCH(C2017,$R$5:$R$304,0))&amp;"","?"))</f>
        <v/>
      </c>
      <c r="N2017" s="2">
        <f>IF(E2017="","",IF(ISNUMBER(SEARCH("SUBSOLO",E2017)),IFERROR(-VALUE(LEFT(E2017,FIND("º",SUBSTITUTE(E2017,"°","º"))-1)),-1),IF(LEFT(E2017,6)="TÉRREO",0,IFERROR(VALUE(LEFT(E2017,FIND("º",SUBSTITUTE(E2017,"°","º"))-1)),""))))</f>
        <v/>
      </c>
      <c r="O2017" s="2">
        <f>IF(OR(F2017="",G2017=""),"",IF(G2017&lt;='RETRATO 2027'!$K$5,"CONCLUÍDA",IF(F2017&lt;='RETRATO 2027'!$K$5,"EM ANDAMENTO","A INICIAR")))</f>
        <v/>
      </c>
    </row>
    <row r="2018">
      <c r="B2018" s="4" t="n">
        <v>33919798</v>
      </c>
      <c r="C2018" s="4" t="inlineStr">
        <is>
          <t>TEXTURA - EXTERNA</t>
        </is>
      </c>
      <c r="D2018" s="4" t="inlineStr">
        <is>
          <t>-</t>
        </is>
      </c>
      <c r="E2018" s="4" t="inlineStr">
        <is>
          <t>21º PAV.</t>
        </is>
      </c>
      <c r="F2018" s="126" t="n">
        <v>47010</v>
      </c>
      <c r="G2018" s="126" t="n">
        <v>47022</v>
      </c>
      <c r="H2018" s="126" t="n">
        <v>46289</v>
      </c>
      <c r="I2018" s="4" t="n">
        <v>0</v>
      </c>
      <c r="J2018" s="4" t="n">
        <v>0</v>
      </c>
      <c r="K2018" s="4" t="n">
        <v>0</v>
      </c>
      <c r="M2018" s="2">
        <f>IF(C2018="","",IFERROR(INDEX($S$5:$S$304,MATCH(C2018,$R$5:$R$304,0))&amp;"","?"))</f>
        <v/>
      </c>
      <c r="N2018" s="2">
        <f>IF(E2018="","",IF(ISNUMBER(SEARCH("SUBSOLO",E2018)),IFERROR(-VALUE(LEFT(E2018,FIND("º",SUBSTITUTE(E2018,"°","º"))-1)),-1),IF(LEFT(E2018,6)="TÉRREO",0,IFERROR(VALUE(LEFT(E2018,FIND("º",SUBSTITUTE(E2018,"°","º"))-1)),""))))</f>
        <v/>
      </c>
      <c r="O2018" s="2">
        <f>IF(OR(F2018="",G2018=""),"",IF(G2018&lt;='RETRATO 2027'!$K$5,"CONCLUÍDA",IF(F2018&lt;='RETRATO 2027'!$K$5,"EM ANDAMENTO","A INICIAR")))</f>
        <v/>
      </c>
    </row>
    <row r="2019">
      <c r="B2019" s="4" t="n">
        <v>29980982</v>
      </c>
      <c r="C2019" s="4" t="inlineStr">
        <is>
          <t>LIMPEZA GROSSA</t>
        </is>
      </c>
      <c r="D2019" s="4" t="inlineStr">
        <is>
          <t>-</t>
        </is>
      </c>
      <c r="E2019" s="4" t="inlineStr">
        <is>
          <t>22º PAV.</t>
        </is>
      </c>
      <c r="F2019" s="126" t="n">
        <v>47010</v>
      </c>
      <c r="G2019" s="126" t="n">
        <v>47022</v>
      </c>
      <c r="H2019" s="126" t="n">
        <v>46289</v>
      </c>
      <c r="I2019" s="4" t="n">
        <v>0</v>
      </c>
      <c r="J2019" s="4" t="n">
        <v>0</v>
      </c>
      <c r="K2019" s="4" t="n">
        <v>0</v>
      </c>
      <c r="M2019" s="2">
        <f>IF(C2019="","",IFERROR(INDEX($S$5:$S$304,MATCH(C2019,$R$5:$R$304,0))&amp;"","?"))</f>
        <v/>
      </c>
      <c r="N2019" s="2">
        <f>IF(E2019="","",IF(ISNUMBER(SEARCH("SUBSOLO",E2019)),IFERROR(-VALUE(LEFT(E2019,FIND("º",SUBSTITUTE(E2019,"°","º"))-1)),-1),IF(LEFT(E2019,6)="TÉRREO",0,IFERROR(VALUE(LEFT(E2019,FIND("º",SUBSTITUTE(E2019,"°","º"))-1)),""))))</f>
        <v/>
      </c>
      <c r="O2019" s="2">
        <f>IF(OR(F2019="",G2019=""),"",IF(G2019&lt;='RETRATO 2027'!$K$5,"CONCLUÍDA",IF(F2019&lt;='RETRATO 2027'!$K$5,"EM ANDAMENTO","A INICIAR")))</f>
        <v/>
      </c>
    </row>
    <row r="2020">
      <c r="B2020" s="4" t="n">
        <v>29980939</v>
      </c>
      <c r="C2020" s="4" t="inlineStr">
        <is>
          <t>LOUÇAS</t>
        </is>
      </c>
      <c r="D2020" s="4" t="inlineStr">
        <is>
          <t>-</t>
        </is>
      </c>
      <c r="E2020" s="4" t="inlineStr">
        <is>
          <t>23º PAV.</t>
        </is>
      </c>
      <c r="F2020" s="126" t="n">
        <v>47010</v>
      </c>
      <c r="G2020" s="126" t="n">
        <v>47022</v>
      </c>
      <c r="H2020" s="126" t="n">
        <v>46289</v>
      </c>
      <c r="I2020" s="4" t="n">
        <v>0</v>
      </c>
      <c r="J2020" s="4" t="n">
        <v>0</v>
      </c>
      <c r="K2020" s="4" t="n">
        <v>0</v>
      </c>
      <c r="M2020" s="2">
        <f>IF(C2020="","",IFERROR(INDEX($S$5:$S$304,MATCH(C2020,$R$5:$R$304,0))&amp;"","?"))</f>
        <v/>
      </c>
      <c r="N2020" s="2">
        <f>IF(E2020="","",IF(ISNUMBER(SEARCH("SUBSOLO",E2020)),IFERROR(-VALUE(LEFT(E2020,FIND("º",SUBSTITUTE(E2020,"°","º"))-1)),-1),IF(LEFT(E2020,6)="TÉRREO",0,IFERROR(VALUE(LEFT(E2020,FIND("º",SUBSTITUTE(E2020,"°","º"))-1)),""))))</f>
        <v/>
      </c>
      <c r="O2020" s="2">
        <f>IF(OR(F2020="",G2020=""),"",IF(G2020&lt;='RETRATO 2027'!$K$5,"CONCLUÍDA",IF(F2020&lt;='RETRATO 2027'!$K$5,"EM ANDAMENTO","A INICIAR")))</f>
        <v/>
      </c>
    </row>
    <row r="2021">
      <c r="B2021" s="4" t="n">
        <v>29980944</v>
      </c>
      <c r="C2021" s="4" t="inlineStr">
        <is>
          <t>METAIS</t>
        </is>
      </c>
      <c r="D2021" s="4" t="inlineStr">
        <is>
          <t>-</t>
        </is>
      </c>
      <c r="E2021" s="4" t="inlineStr">
        <is>
          <t>23º PAV.</t>
        </is>
      </c>
      <c r="F2021" s="126" t="n">
        <v>47010</v>
      </c>
      <c r="G2021" s="126" t="n">
        <v>47022</v>
      </c>
      <c r="H2021" s="126" t="n">
        <v>46289</v>
      </c>
      <c r="I2021" s="4" t="n">
        <v>0</v>
      </c>
      <c r="J2021" s="4" t="n">
        <v>0</v>
      </c>
      <c r="K2021" s="4" t="n">
        <v>0</v>
      </c>
      <c r="M2021" s="2">
        <f>IF(C2021="","",IFERROR(INDEX($S$5:$S$304,MATCH(C2021,$R$5:$R$304,0))&amp;"","?"))</f>
        <v/>
      </c>
      <c r="N2021" s="2">
        <f>IF(E2021="","",IF(ISNUMBER(SEARCH("SUBSOLO",E2021)),IFERROR(-VALUE(LEFT(E2021,FIND("º",SUBSTITUTE(E2021,"°","º"))-1)),-1),IF(LEFT(E2021,6)="TÉRREO",0,IFERROR(VALUE(LEFT(E2021,FIND("º",SUBSTITUTE(E2021,"°","º"))-1)),""))))</f>
        <v/>
      </c>
      <c r="O2021" s="2">
        <f>IF(OR(F2021="",G2021=""),"",IF(G2021&lt;='RETRATO 2027'!$K$5,"CONCLUÍDA",IF(F2021&lt;='RETRATO 2027'!$K$5,"EM ANDAMENTO","A INICIAR")))</f>
        <v/>
      </c>
    </row>
    <row r="2022">
      <c r="B2022" s="4" t="n">
        <v>29980943</v>
      </c>
      <c r="C2022" s="4" t="inlineStr">
        <is>
          <t>DISJUNTORES / MIOLOS</t>
        </is>
      </c>
      <c r="D2022" s="4" t="inlineStr">
        <is>
          <t>-</t>
        </is>
      </c>
      <c r="E2022" s="4" t="inlineStr">
        <is>
          <t>23º PAV.</t>
        </is>
      </c>
      <c r="F2022" s="126" t="n">
        <v>47010</v>
      </c>
      <c r="G2022" s="126" t="n">
        <v>47022</v>
      </c>
      <c r="H2022" s="126" t="n">
        <v>46289</v>
      </c>
      <c r="I2022" s="4" t="n">
        <v>0</v>
      </c>
      <c r="J2022" s="4" t="n">
        <v>0</v>
      </c>
      <c r="K2022" s="4" t="n">
        <v>0</v>
      </c>
      <c r="M2022" s="2">
        <f>IF(C2022="","",IFERROR(INDEX($S$5:$S$304,MATCH(C2022,$R$5:$R$304,0))&amp;"","?"))</f>
        <v/>
      </c>
      <c r="N2022" s="2">
        <f>IF(E2022="","",IF(ISNUMBER(SEARCH("SUBSOLO",E2022)),IFERROR(-VALUE(LEFT(E2022,FIND("º",SUBSTITUTE(E2022,"°","º"))-1)),-1),IF(LEFT(E2022,6)="TÉRREO",0,IFERROR(VALUE(LEFT(E2022,FIND("º",SUBSTITUTE(E2022,"°","º"))-1)),""))))</f>
        <v/>
      </c>
      <c r="O2022" s="2">
        <f>IF(OR(F2022="",G2022=""),"",IF(G2022&lt;='RETRATO 2027'!$K$5,"CONCLUÍDA",IF(F2022&lt;='RETRATO 2027'!$K$5,"EM ANDAMENTO","A INICIAR")))</f>
        <v/>
      </c>
    </row>
    <row r="2023">
      <c r="B2023" s="4" t="n">
        <v>29980942</v>
      </c>
      <c r="C2023" s="4" t="inlineStr">
        <is>
          <t>COMUNICAÇÃO E ALARME</t>
        </is>
      </c>
      <c r="D2023" s="4" t="inlineStr">
        <is>
          <t>-</t>
        </is>
      </c>
      <c r="E2023" s="4" t="inlineStr">
        <is>
          <t>23º PAV.</t>
        </is>
      </c>
      <c r="F2023" s="126" t="n">
        <v>47010</v>
      </c>
      <c r="G2023" s="126" t="n">
        <v>47022</v>
      </c>
      <c r="H2023" s="126" t="n">
        <v>46289</v>
      </c>
      <c r="I2023" s="4" t="n">
        <v>0</v>
      </c>
      <c r="J2023" s="4" t="n">
        <v>0</v>
      </c>
      <c r="K2023" s="4" t="n">
        <v>0</v>
      </c>
      <c r="M2023" s="2">
        <f>IF(C2023="","",IFERROR(INDEX($S$5:$S$304,MATCH(C2023,$R$5:$R$304,0))&amp;"","?"))</f>
        <v/>
      </c>
      <c r="N2023" s="2">
        <f>IF(E2023="","",IF(ISNUMBER(SEARCH("SUBSOLO",E2023)),IFERROR(-VALUE(LEFT(E2023,FIND("º",SUBSTITUTE(E2023,"°","º"))-1)),-1),IF(LEFT(E2023,6)="TÉRREO",0,IFERROR(VALUE(LEFT(E2023,FIND("º",SUBSTITUTE(E2023,"°","º"))-1)),""))))</f>
        <v/>
      </c>
      <c r="O2023" s="2">
        <f>IF(OR(F2023="",G2023=""),"",IF(G2023&lt;='RETRATO 2027'!$K$5,"CONCLUÍDA",IF(F2023&lt;='RETRATO 2027'!$K$5,"EM ANDAMENTO","A INICIAR")))</f>
        <v/>
      </c>
    </row>
    <row r="2024">
      <c r="B2024" s="4" t="n">
        <v>29980901</v>
      </c>
      <c r="C2024" s="4" t="inlineStr">
        <is>
          <t>RODAPÉ MADEIRA / PVC</t>
        </is>
      </c>
      <c r="D2024" s="4" t="inlineStr">
        <is>
          <t>-</t>
        </is>
      </c>
      <c r="E2024" s="4" t="inlineStr">
        <is>
          <t>24º PAV.</t>
        </is>
      </c>
      <c r="F2024" s="126" t="n">
        <v>47010</v>
      </c>
      <c r="G2024" s="126" t="n">
        <v>47022</v>
      </c>
      <c r="H2024" s="126" t="n">
        <v>46289</v>
      </c>
      <c r="I2024" s="4" t="n">
        <v>0</v>
      </c>
      <c r="J2024" s="4" t="n">
        <v>0</v>
      </c>
      <c r="K2024" s="4" t="n">
        <v>0</v>
      </c>
      <c r="M2024" s="2">
        <f>IF(C2024="","",IFERROR(INDEX($S$5:$S$304,MATCH(C2024,$R$5:$R$304,0))&amp;"","?"))</f>
        <v/>
      </c>
      <c r="N2024" s="2">
        <f>IF(E2024="","",IF(ISNUMBER(SEARCH("SUBSOLO",E2024)),IFERROR(-VALUE(LEFT(E2024,FIND("º",SUBSTITUTE(E2024,"°","º"))-1)),-1),IF(LEFT(E2024,6)="TÉRREO",0,IFERROR(VALUE(LEFT(E2024,FIND("º",SUBSTITUTE(E2024,"°","º"))-1)),""))))</f>
        <v/>
      </c>
      <c r="O2024" s="2">
        <f>IF(OR(F2024="",G2024=""),"",IF(G2024&lt;='RETRATO 2027'!$K$5,"CONCLUÍDA",IF(F2024&lt;='RETRATO 2027'!$K$5,"EM ANDAMENTO","A INICIAR")))</f>
        <v/>
      </c>
    </row>
    <row r="2025">
      <c r="B2025" s="4" t="n">
        <v>29980863</v>
      </c>
      <c r="C2025" s="4" t="inlineStr">
        <is>
          <t>ESQUADRIA MADEIRA</t>
        </is>
      </c>
      <c r="D2025" s="4" t="inlineStr">
        <is>
          <t>-</t>
        </is>
      </c>
      <c r="E2025" s="4" t="inlineStr">
        <is>
          <t>25º PAV.</t>
        </is>
      </c>
      <c r="F2025" s="126" t="n">
        <v>47010</v>
      </c>
      <c r="G2025" s="126" t="n">
        <v>47022</v>
      </c>
      <c r="H2025" s="126" t="n">
        <v>46289</v>
      </c>
      <c r="I2025" s="4" t="n">
        <v>0</v>
      </c>
      <c r="J2025" s="4" t="n">
        <v>0</v>
      </c>
      <c r="K2025" s="4" t="n">
        <v>0</v>
      </c>
      <c r="M2025" s="2">
        <f>IF(C2025="","",IFERROR(INDEX($S$5:$S$304,MATCH(C2025,$R$5:$R$304,0))&amp;"","?"))</f>
        <v/>
      </c>
      <c r="N2025" s="2">
        <f>IF(E2025="","",IF(ISNUMBER(SEARCH("SUBSOLO",E2025)),IFERROR(-VALUE(LEFT(E2025,FIND("º",SUBSTITUTE(E2025,"°","º"))-1)),-1),IF(LEFT(E2025,6)="TÉRREO",0,IFERROR(VALUE(LEFT(E2025,FIND("º",SUBSTITUTE(E2025,"°","º"))-1)),""))))</f>
        <v/>
      </c>
      <c r="O2025" s="2">
        <f>IF(OR(F2025="",G2025=""),"",IF(G2025&lt;='RETRATO 2027'!$K$5,"CONCLUÍDA",IF(F2025&lt;='RETRATO 2027'!$K$5,"EM ANDAMENTO","A INICIAR")))</f>
        <v/>
      </c>
    </row>
    <row r="2026">
      <c r="B2026" s="4" t="n">
        <v>29980825</v>
      </c>
      <c r="C2026" s="4" t="inlineStr">
        <is>
          <t>PISO VINÍLICO / LAMINADO</t>
        </is>
      </c>
      <c r="D2026" s="4" t="inlineStr">
        <is>
          <t>-</t>
        </is>
      </c>
      <c r="E2026" s="4" t="inlineStr">
        <is>
          <t>26º PAV.</t>
        </is>
      </c>
      <c r="F2026" s="126" t="n">
        <v>47010</v>
      </c>
      <c r="G2026" s="126" t="n">
        <v>47022</v>
      </c>
      <c r="H2026" s="126" t="n">
        <v>46289</v>
      </c>
      <c r="I2026" s="4" t="n">
        <v>0</v>
      </c>
      <c r="J2026" s="4" t="n">
        <v>0</v>
      </c>
      <c r="K2026" s="4" t="n">
        <v>0</v>
      </c>
      <c r="M2026" s="2">
        <f>IF(C2026="","",IFERROR(INDEX($S$5:$S$304,MATCH(C2026,$R$5:$R$304,0))&amp;"","?"))</f>
        <v/>
      </c>
      <c r="N2026" s="2">
        <f>IF(E2026="","",IF(ISNUMBER(SEARCH("SUBSOLO",E2026)),IFERROR(-VALUE(LEFT(E2026,FIND("º",SUBSTITUTE(E2026,"°","º"))-1)),-1),IF(LEFT(E2026,6)="TÉRREO",0,IFERROR(VALUE(LEFT(E2026,FIND("º",SUBSTITUTE(E2026,"°","º"))-1)),""))))</f>
        <v/>
      </c>
      <c r="O2026" s="2">
        <f>IF(OR(F2026="",G2026=""),"",IF(G2026&lt;='RETRATO 2027'!$K$5,"CONCLUÍDA",IF(F2026&lt;='RETRATO 2027'!$K$5,"EM ANDAMENTO","A INICIAR")))</f>
        <v/>
      </c>
    </row>
    <row r="2027">
      <c r="B2027" s="4" t="n">
        <v>29980787</v>
      </c>
      <c r="C2027" s="4" t="inlineStr">
        <is>
          <t>PINTURA 1º DEMÃO</t>
        </is>
      </c>
      <c r="D2027" s="4" t="inlineStr">
        <is>
          <t>-</t>
        </is>
      </c>
      <c r="E2027" s="4" t="inlineStr">
        <is>
          <t>27º PAV.</t>
        </is>
      </c>
      <c r="F2027" s="126" t="n">
        <v>47010</v>
      </c>
      <c r="G2027" s="126" t="n">
        <v>47022</v>
      </c>
      <c r="H2027" s="126" t="n">
        <v>46289</v>
      </c>
      <c r="I2027" s="4" t="n">
        <v>0</v>
      </c>
      <c r="J2027" s="4" t="n">
        <v>0</v>
      </c>
      <c r="K2027" s="4" t="n">
        <v>0</v>
      </c>
      <c r="M2027" s="2">
        <f>IF(C2027="","",IFERROR(INDEX($S$5:$S$304,MATCH(C2027,$R$5:$R$304,0))&amp;"","?"))</f>
        <v/>
      </c>
      <c r="N2027" s="2">
        <f>IF(E2027="","",IF(ISNUMBER(SEARCH("SUBSOLO",E2027)),IFERROR(-VALUE(LEFT(E2027,FIND("º",SUBSTITUTE(E2027,"°","º"))-1)),-1),IF(LEFT(E2027,6)="TÉRREO",0,IFERROR(VALUE(LEFT(E2027,FIND("º",SUBSTITUTE(E2027,"°","º"))-1)),""))))</f>
        <v/>
      </c>
      <c r="O2027" s="2">
        <f>IF(OR(F2027="",G2027=""),"",IF(G2027&lt;='RETRATO 2027'!$K$5,"CONCLUÍDA",IF(F2027&lt;='RETRATO 2027'!$K$5,"EM ANDAMENTO","A INICIAR")))</f>
        <v/>
      </c>
    </row>
    <row r="2028">
      <c r="B2028" s="4" t="n">
        <v>29980776</v>
      </c>
      <c r="C2028" s="4" t="inlineStr">
        <is>
          <t>MASSA CORRIDA</t>
        </is>
      </c>
      <c r="D2028" s="4" t="inlineStr">
        <is>
          <t>-</t>
        </is>
      </c>
      <c r="E2028" s="4" t="inlineStr">
        <is>
          <t>28º PAV.</t>
        </is>
      </c>
      <c r="F2028" s="126" t="n">
        <v>47010</v>
      </c>
      <c r="G2028" s="126" t="n">
        <v>47022</v>
      </c>
      <c r="H2028" s="126" t="n">
        <v>46289</v>
      </c>
      <c r="I2028" s="4" t="n">
        <v>0</v>
      </c>
      <c r="J2028" s="4" t="n">
        <v>0</v>
      </c>
      <c r="K2028" s="4" t="n">
        <v>0</v>
      </c>
      <c r="M2028" s="2">
        <f>IF(C2028="","",IFERROR(INDEX($S$5:$S$304,MATCH(C2028,$R$5:$R$304,0))&amp;"","?"))</f>
        <v/>
      </c>
      <c r="N2028" s="2">
        <f>IF(E2028="","",IF(ISNUMBER(SEARCH("SUBSOLO",E2028)),IFERROR(-VALUE(LEFT(E2028,FIND("º",SUBSTITUTE(E2028,"°","º"))-1)),-1),IF(LEFT(E2028,6)="TÉRREO",0,IFERROR(VALUE(LEFT(E2028,FIND("º",SUBSTITUTE(E2028,"°","º"))-1)),""))))</f>
        <v/>
      </c>
      <c r="O2028" s="2">
        <f>IF(OR(F2028="",G2028=""),"",IF(G2028&lt;='RETRATO 2027'!$K$5,"CONCLUÍDA",IF(F2028&lt;='RETRATO 2027'!$K$5,"EM ANDAMENTO","A INICIAR")))</f>
        <v/>
      </c>
    </row>
    <row r="2029">
      <c r="B2029" s="4" t="n">
        <v>33898113</v>
      </c>
      <c r="C2029" s="4" t="inlineStr">
        <is>
          <t>ESQUADRIA DE ALUMÍNIO</t>
        </is>
      </c>
      <c r="D2029" s="4" t="inlineStr">
        <is>
          <t>-</t>
        </is>
      </c>
      <c r="E2029" s="4" t="inlineStr">
        <is>
          <t>29º PAV.</t>
        </is>
      </c>
      <c r="F2029" s="126" t="n">
        <v>47010</v>
      </c>
      <c r="G2029" s="126" t="n">
        <v>47022</v>
      </c>
      <c r="H2029" s="126" t="n">
        <v>46289</v>
      </c>
      <c r="I2029" s="4" t="n">
        <v>0</v>
      </c>
      <c r="J2029" s="4" t="n">
        <v>0</v>
      </c>
      <c r="K2029" s="4" t="n">
        <v>0</v>
      </c>
      <c r="M2029" s="2">
        <f>IF(C2029="","",IFERROR(INDEX($S$5:$S$304,MATCH(C2029,$R$5:$R$304,0))&amp;"","?"))</f>
        <v/>
      </c>
      <c r="N2029" s="2">
        <f>IF(E2029="","",IF(ISNUMBER(SEARCH("SUBSOLO",E2029)),IFERROR(-VALUE(LEFT(E2029,FIND("º",SUBSTITUTE(E2029,"°","º"))-1)),-1),IF(LEFT(E2029,6)="TÉRREO",0,IFERROR(VALUE(LEFT(E2029,FIND("º",SUBSTITUTE(E2029,"°","º"))-1)),""))))</f>
        <v/>
      </c>
      <c r="O2029" s="2">
        <f>IF(OR(F2029="",G2029=""),"",IF(G2029&lt;='RETRATO 2027'!$K$5,"CONCLUÍDA",IF(F2029&lt;='RETRATO 2027'!$K$5,"EM ANDAMENTO","A INICIAR")))</f>
        <v/>
      </c>
    </row>
    <row r="2030">
      <c r="B2030" s="4" t="n">
        <v>30205824</v>
      </c>
      <c r="C2030" s="4" t="inlineStr">
        <is>
          <t>LIMPEZA FINA</t>
        </is>
      </c>
      <c r="D2030" s="4" t="inlineStr">
        <is>
          <t>-</t>
        </is>
      </c>
      <c r="E2030" s="4" t="inlineStr">
        <is>
          <t>TÉRREO - HALL SOCIAL + ECLUSA + CIRCULAÇÃO</t>
        </is>
      </c>
      <c r="F2030" s="126" t="n">
        <v>47014</v>
      </c>
      <c r="G2030" s="126" t="n">
        <v>47025</v>
      </c>
      <c r="H2030" s="126" t="n">
        <v>46289</v>
      </c>
      <c r="I2030" s="4" t="n">
        <v>0</v>
      </c>
      <c r="J2030" s="4" t="n">
        <v>0</v>
      </c>
      <c r="K2030" s="4" t="n">
        <v>0</v>
      </c>
      <c r="M2030" s="2">
        <f>IF(C2030="","",IFERROR(INDEX($S$5:$S$304,MATCH(C2030,$R$5:$R$304,0))&amp;"","?"))</f>
        <v/>
      </c>
      <c r="N2030" s="2">
        <f>IF(E2030="","",IF(ISNUMBER(SEARCH("SUBSOLO",E2030)),IFERROR(-VALUE(LEFT(E2030,FIND("º",SUBSTITUTE(E2030,"°","º"))-1)),-1),IF(LEFT(E2030,6)="TÉRREO",0,IFERROR(VALUE(LEFT(E2030,FIND("º",SUBSTITUTE(E2030,"°","º"))-1)),""))))</f>
        <v/>
      </c>
      <c r="O2030" s="2">
        <f>IF(OR(F2030="",G2030=""),"",IF(G2030&lt;='RETRATO 2027'!$K$5,"CONCLUÍDA",IF(F2030&lt;='RETRATO 2027'!$K$5,"EM ANDAMENTO","A INICIAR")))</f>
        <v/>
      </c>
    </row>
    <row r="2031">
      <c r="B2031" s="4" t="n">
        <v>29981088</v>
      </c>
      <c r="C2031" s="4" t="inlineStr">
        <is>
          <t>REVESTIMENTOS PORCELANATO PISO</t>
        </is>
      </c>
      <c r="D2031" s="4" t="inlineStr">
        <is>
          <t>-</t>
        </is>
      </c>
      <c r="E2031" s="4" t="inlineStr">
        <is>
          <t>19º PAV.</t>
        </is>
      </c>
      <c r="F2031" s="126" t="n">
        <v>47014</v>
      </c>
      <c r="G2031" s="126" t="n">
        <v>47024</v>
      </c>
      <c r="H2031" s="126" t="n">
        <v>46289</v>
      </c>
      <c r="I2031" s="4" t="n">
        <v>0</v>
      </c>
      <c r="J2031" s="4" t="n">
        <v>0</v>
      </c>
      <c r="K2031" s="4" t="n">
        <v>0</v>
      </c>
      <c r="M2031" s="2">
        <f>IF(C2031="","",IFERROR(INDEX($S$5:$S$304,MATCH(C2031,$R$5:$R$304,0))&amp;"","?"))</f>
        <v/>
      </c>
      <c r="N2031" s="2">
        <f>IF(E2031="","",IF(ISNUMBER(SEARCH("SUBSOLO",E2031)),IFERROR(-VALUE(LEFT(E2031,FIND("º",SUBSTITUTE(E2031,"°","º"))-1)),-1),IF(LEFT(E2031,6)="TÉRREO",0,IFERROR(VALUE(LEFT(E2031,FIND("º",SUBSTITUTE(E2031,"°","º"))-1)),""))))</f>
        <v/>
      </c>
      <c r="O2031" s="2">
        <f>IF(OR(F2031="",G2031=""),"",IF(G2031&lt;='RETRATO 2027'!$K$5,"CONCLUÍDA",IF(F2031&lt;='RETRATO 2027'!$K$5,"EM ANDAMENTO","A INICIAR")))</f>
        <v/>
      </c>
    </row>
    <row r="2032">
      <c r="B2032" s="4" t="n">
        <v>30206117</v>
      </c>
      <c r="C2032" s="4" t="inlineStr">
        <is>
          <t>ACABAMENTOS ELÉTRICOS</t>
        </is>
      </c>
      <c r="D2032" s="4" t="inlineStr">
        <is>
          <t>-</t>
        </is>
      </c>
      <c r="E2032" s="4" t="inlineStr">
        <is>
          <t>6º PAV (PILOTIS) - ACADEMIA</t>
        </is>
      </c>
      <c r="F2032" s="126" t="n">
        <v>47015</v>
      </c>
      <c r="G2032" s="126" t="n">
        <v>47018</v>
      </c>
      <c r="H2032" s="126" t="n">
        <v>46289</v>
      </c>
      <c r="I2032" s="4" t="n">
        <v>0</v>
      </c>
      <c r="J2032" s="4" t="n">
        <v>0</v>
      </c>
      <c r="K2032" s="4" t="n">
        <v>0</v>
      </c>
      <c r="M2032" s="2">
        <f>IF(C2032="","",IFERROR(INDEX($S$5:$S$304,MATCH(C2032,$R$5:$R$304,0))&amp;"","?"))</f>
        <v/>
      </c>
      <c r="N2032" s="2">
        <f>IF(E2032="","",IF(ISNUMBER(SEARCH("SUBSOLO",E2032)),IFERROR(-VALUE(LEFT(E2032,FIND("º",SUBSTITUTE(E2032,"°","º"))-1)),-1),IF(LEFT(E2032,6)="TÉRREO",0,IFERROR(VALUE(LEFT(E2032,FIND("º",SUBSTITUTE(E2032,"°","º"))-1)),""))))</f>
        <v/>
      </c>
      <c r="O2032" s="2">
        <f>IF(OR(F2032="",G2032=""),"",IF(G2032&lt;='RETRATO 2027'!$K$5,"CONCLUÍDA",IF(F2032&lt;='RETRATO 2027'!$K$5,"EM ANDAMENTO","A INICIAR")))</f>
        <v/>
      </c>
    </row>
    <row r="2033">
      <c r="B2033" s="4" t="n">
        <v>29981180</v>
      </c>
      <c r="C2033" s="4" t="inlineStr">
        <is>
          <t>LIMPEZA FINA</t>
        </is>
      </c>
      <c r="D2033" s="4" t="inlineStr">
        <is>
          <t>-</t>
        </is>
      </c>
      <c r="E2033" s="4" t="inlineStr">
        <is>
          <t>17º PAV.</t>
        </is>
      </c>
      <c r="F2033" s="126" t="n">
        <v>47017</v>
      </c>
      <c r="G2033" s="126" t="n">
        <v>47029</v>
      </c>
      <c r="H2033" s="126" t="n">
        <v>46289</v>
      </c>
      <c r="I2033" s="4" t="n">
        <v>0</v>
      </c>
      <c r="J2033" s="4" t="n">
        <v>0</v>
      </c>
      <c r="K2033" s="4" t="n">
        <v>0</v>
      </c>
      <c r="M2033" s="2">
        <f>IF(C2033="","",IFERROR(INDEX($S$5:$S$304,MATCH(C2033,$R$5:$R$304,0))&amp;"","?"))</f>
        <v/>
      </c>
      <c r="N2033" s="2">
        <f>IF(E2033="","",IF(ISNUMBER(SEARCH("SUBSOLO",E2033)),IFERROR(-VALUE(LEFT(E2033,FIND("º",SUBSTITUTE(E2033,"°","º"))-1)),-1),IF(LEFT(E2033,6)="TÉRREO",0,IFERROR(VALUE(LEFT(E2033,FIND("º",SUBSTITUTE(E2033,"°","º"))-1)),""))))</f>
        <v/>
      </c>
      <c r="O2033" s="2">
        <f>IF(OR(F2033="",G2033=""),"",IF(G2033&lt;='RETRATO 2027'!$K$5,"CONCLUÍDA",IF(F2033&lt;='RETRATO 2027'!$K$5,"EM ANDAMENTO","A INICIAR")))</f>
        <v/>
      </c>
    </row>
    <row r="2034">
      <c r="B2034" s="4" t="n">
        <v>29981133</v>
      </c>
      <c r="C2034" s="4" t="inlineStr">
        <is>
          <t>PINTURA 3º DEMÃO</t>
        </is>
      </c>
      <c r="D2034" s="4" t="inlineStr">
        <is>
          <t>-</t>
        </is>
      </c>
      <c r="E2034" s="4" t="inlineStr">
        <is>
          <t>18º PAV.</t>
        </is>
      </c>
      <c r="F2034" s="126" t="n">
        <v>47017</v>
      </c>
      <c r="G2034" s="126" t="n">
        <v>47029</v>
      </c>
      <c r="H2034" s="126" t="n">
        <v>46289</v>
      </c>
      <c r="I2034" s="4" t="n">
        <v>0</v>
      </c>
      <c r="J2034" s="4" t="n">
        <v>0</v>
      </c>
      <c r="K2034" s="4" t="n">
        <v>0</v>
      </c>
      <c r="M2034" s="2">
        <f>IF(C2034="","",IFERROR(INDEX($S$5:$S$304,MATCH(C2034,$R$5:$R$304,0))&amp;"","?"))</f>
        <v/>
      </c>
      <c r="N2034" s="2">
        <f>IF(E2034="","",IF(ISNUMBER(SEARCH("SUBSOLO",E2034)),IFERROR(-VALUE(LEFT(E2034,FIND("º",SUBSTITUTE(E2034,"°","º"))-1)),-1),IF(LEFT(E2034,6)="TÉRREO",0,IFERROR(VALUE(LEFT(E2034,FIND("º",SUBSTITUTE(E2034,"°","º"))-1)),""))))</f>
        <v/>
      </c>
      <c r="O2034" s="2">
        <f>IF(OR(F2034="",G2034=""),"",IF(G2034&lt;='RETRATO 2027'!$K$5,"CONCLUÍDA",IF(F2034&lt;='RETRATO 2027'!$K$5,"EM ANDAMENTO","A INICIAR")))</f>
        <v/>
      </c>
    </row>
    <row r="2035">
      <c r="B2035" s="4" t="n">
        <v>30205801</v>
      </c>
      <c r="C2035" s="4" t="inlineStr">
        <is>
          <t>CHECKLIST</t>
        </is>
      </c>
      <c r="D2035" s="4" t="inlineStr">
        <is>
          <t>-</t>
        </is>
      </c>
      <c r="E2035" s="4" t="inlineStr">
        <is>
          <t>TÉRREO - ACESSO COMERCIAL + DML + ARS + ÁREA TEC + LAVABO + DISPENSA</t>
        </is>
      </c>
      <c r="F2035" s="126" t="n">
        <v>47021</v>
      </c>
      <c r="G2035" s="126" t="n">
        <v>47025</v>
      </c>
      <c r="H2035" s="126" t="n">
        <v>46289</v>
      </c>
      <c r="I2035" s="4" t="n">
        <v>0</v>
      </c>
      <c r="J2035" s="4" t="n">
        <v>0</v>
      </c>
      <c r="K2035" s="4" t="n">
        <v>0</v>
      </c>
      <c r="M2035" s="2">
        <f>IF(C2035="","",IFERROR(INDEX($S$5:$S$304,MATCH(C2035,$R$5:$R$304,0))&amp;"","?"))</f>
        <v/>
      </c>
      <c r="N2035" s="2">
        <f>IF(E2035="","",IF(ISNUMBER(SEARCH("SUBSOLO",E2035)),IFERROR(-VALUE(LEFT(E2035,FIND("º",SUBSTITUTE(E2035,"°","º"))-1)),-1),IF(LEFT(E2035,6)="TÉRREO",0,IFERROR(VALUE(LEFT(E2035,FIND("º",SUBSTITUTE(E2035,"°","º"))-1)),""))))</f>
        <v/>
      </c>
      <c r="O2035" s="2">
        <f>IF(OR(F2035="",G2035=""),"",IF(G2035&lt;='RETRATO 2027'!$K$5,"CONCLUÍDA",IF(F2035&lt;='RETRATO 2027'!$K$5,"EM ANDAMENTO","A INICIAR")))</f>
        <v/>
      </c>
    </row>
    <row r="2036">
      <c r="B2036" s="4" t="n">
        <v>30205761</v>
      </c>
      <c r="C2036" s="4" t="inlineStr">
        <is>
          <t>IRRIGAÇÃO</t>
        </is>
      </c>
      <c r="D2036" s="4" t="inlineStr">
        <is>
          <t>-</t>
        </is>
      </c>
      <c r="E2036" s="4" t="inlineStr">
        <is>
          <t>TÉRREO - ÁREA EXTERNA RESIDENCIAL</t>
        </is>
      </c>
      <c r="F2036" s="126" t="n">
        <v>47021</v>
      </c>
      <c r="G2036" s="126" t="n">
        <v>47051</v>
      </c>
      <c r="H2036" s="126" t="n">
        <v>46289</v>
      </c>
      <c r="I2036" s="4" t="n">
        <v>0</v>
      </c>
      <c r="J2036" s="4" t="n">
        <v>0</v>
      </c>
      <c r="K2036" s="4" t="n">
        <v>0</v>
      </c>
      <c r="M2036" s="2">
        <f>IF(C2036="","",IFERROR(INDEX($S$5:$S$304,MATCH(C2036,$R$5:$R$304,0))&amp;"","?"))</f>
        <v/>
      </c>
      <c r="N2036" s="2">
        <f>IF(E2036="","",IF(ISNUMBER(SEARCH("SUBSOLO",E2036)),IFERROR(-VALUE(LEFT(E2036,FIND("º",SUBSTITUTE(E2036,"°","º"))-1)),-1),IF(LEFT(E2036,6)="TÉRREO",0,IFERROR(VALUE(LEFT(E2036,FIND("º",SUBSTITUTE(E2036,"°","º"))-1)),""))))</f>
        <v/>
      </c>
      <c r="O2036" s="2">
        <f>IF(OR(F2036="",G2036=""),"",IF(G2036&lt;='RETRATO 2027'!$K$5,"CONCLUÍDA",IF(F2036&lt;='RETRATO 2027'!$K$5,"EM ANDAMENTO","A INICIAR")))</f>
        <v/>
      </c>
    </row>
    <row r="2037">
      <c r="B2037" s="4" t="n">
        <v>30205845</v>
      </c>
      <c r="C2037" s="4" t="inlineStr">
        <is>
          <t>ACABAMENTOS ELÉTRICOS</t>
        </is>
      </c>
      <c r="D2037" s="4" t="inlineStr">
        <is>
          <t>-</t>
        </is>
      </c>
      <c r="E2037" s="4" t="inlineStr">
        <is>
          <t>1º PAV. (INTERMEDIÁRIO)</t>
        </is>
      </c>
      <c r="F2037" s="126" t="n">
        <v>47021</v>
      </c>
      <c r="G2037" s="126" t="n">
        <v>47032</v>
      </c>
      <c r="H2037" s="126" t="n">
        <v>46289</v>
      </c>
      <c r="I2037" s="4" t="n">
        <v>0</v>
      </c>
      <c r="J2037" s="4" t="n">
        <v>0</v>
      </c>
      <c r="K2037" s="4" t="n">
        <v>0</v>
      </c>
      <c r="M2037" s="2">
        <f>IF(C2037="","",IFERROR(INDEX($S$5:$S$304,MATCH(C2037,$R$5:$R$304,0))&amp;"","?"))</f>
        <v/>
      </c>
      <c r="N2037" s="2">
        <f>IF(E2037="","",IF(ISNUMBER(SEARCH("SUBSOLO",E2037)),IFERROR(-VALUE(LEFT(E2037,FIND("º",SUBSTITUTE(E2037,"°","º"))-1)),-1),IF(LEFT(E2037,6)="TÉRREO",0,IFERROR(VALUE(LEFT(E2037,FIND("º",SUBSTITUTE(E2037,"°","º"))-1)),""))))</f>
        <v/>
      </c>
      <c r="O2037" s="2">
        <f>IF(OR(F2037="",G2037=""),"",IF(G2037&lt;='RETRATO 2027'!$K$5,"CONCLUÍDA",IF(F2037&lt;='RETRATO 2027'!$K$5,"EM ANDAMENTO","A INICIAR")))</f>
        <v/>
      </c>
    </row>
    <row r="2038">
      <c r="B2038" s="4" t="n">
        <v>30206115</v>
      </c>
      <c r="C2038" s="4" t="inlineStr">
        <is>
          <t>CHECKLIST</t>
        </is>
      </c>
      <c r="D2038" s="4" t="inlineStr">
        <is>
          <t>-</t>
        </is>
      </c>
      <c r="E2038" s="4" t="inlineStr">
        <is>
          <t>6º PAV (PILOTIS) - ACADEMIA</t>
        </is>
      </c>
      <c r="F2038" s="126" t="n">
        <v>47021</v>
      </c>
      <c r="G2038" s="126" t="n">
        <v>47025</v>
      </c>
      <c r="H2038" s="126" t="n">
        <v>46289</v>
      </c>
      <c r="I2038" s="4" t="n">
        <v>0</v>
      </c>
      <c r="J2038" s="4" t="n">
        <v>0</v>
      </c>
      <c r="K2038" s="4" t="n">
        <v>0</v>
      </c>
      <c r="M2038" s="2">
        <f>IF(C2038="","",IFERROR(INDEX($S$5:$S$304,MATCH(C2038,$R$5:$R$304,0))&amp;"","?"))</f>
        <v/>
      </c>
      <c r="N2038" s="2">
        <f>IF(E2038="","",IF(ISNUMBER(SEARCH("SUBSOLO",E2038)),IFERROR(-VALUE(LEFT(E2038,FIND("º",SUBSTITUTE(E2038,"°","º"))-1)),-1),IF(LEFT(E2038,6)="TÉRREO",0,IFERROR(VALUE(LEFT(E2038,FIND("º",SUBSTITUTE(E2038,"°","º"))-1)),""))))</f>
        <v/>
      </c>
      <c r="O2038" s="2">
        <f>IF(OR(F2038="",G2038=""),"",IF(G2038&lt;='RETRATO 2027'!$K$5,"CONCLUÍDA",IF(F2038&lt;='RETRATO 2027'!$K$5,"EM ANDAMENTO","A INICIAR")))</f>
        <v/>
      </c>
    </row>
    <row r="2039">
      <c r="B2039" s="4" t="n">
        <v>30214063</v>
      </c>
      <c r="C2039" s="4" t="inlineStr">
        <is>
          <t>FIAÇÃO TELECOM/DADOS</t>
        </is>
      </c>
      <c r="D2039" s="4" t="inlineStr">
        <is>
          <t>-</t>
        </is>
      </c>
      <c r="E2039" s="4" t="inlineStr">
        <is>
          <t>6º PAV - PILOTIS</t>
        </is>
      </c>
      <c r="F2039" s="126" t="n">
        <v>47022</v>
      </c>
      <c r="G2039" s="126" t="n">
        <v>47035</v>
      </c>
      <c r="H2039" s="126" t="n">
        <v>46289</v>
      </c>
      <c r="I2039" s="4" t="n">
        <v>0</v>
      </c>
      <c r="J2039" s="4" t="n">
        <v>0</v>
      </c>
      <c r="K2039" s="4" t="n">
        <v>0</v>
      </c>
      <c r="M2039" s="2">
        <f>IF(C2039="","",IFERROR(INDEX($S$5:$S$304,MATCH(C2039,$R$5:$R$304,0))&amp;"","?"))</f>
        <v/>
      </c>
      <c r="N2039" s="2">
        <f>IF(E2039="","",IF(ISNUMBER(SEARCH("SUBSOLO",E2039)),IFERROR(-VALUE(LEFT(E2039,FIND("º",SUBSTITUTE(E2039,"°","º"))-1)),-1),IF(LEFT(E2039,6)="TÉRREO",0,IFERROR(VALUE(LEFT(E2039,FIND("º",SUBSTITUTE(E2039,"°","º"))-1)),""))))</f>
        <v/>
      </c>
      <c r="O2039" s="2">
        <f>IF(OR(F2039="",G2039=""),"",IF(G2039&lt;='RETRATO 2027'!$K$5,"CONCLUÍDA",IF(F2039&lt;='RETRATO 2027'!$K$5,"EM ANDAMENTO","A INICIAR")))</f>
        <v/>
      </c>
    </row>
    <row r="2040">
      <c r="B2040" s="4" t="n">
        <v>30206075</v>
      </c>
      <c r="C2040" s="4" t="inlineStr">
        <is>
          <t>METAIS</t>
        </is>
      </c>
      <c r="D2040" s="4" t="inlineStr">
        <is>
          <t>-</t>
        </is>
      </c>
      <c r="E2040" s="4" t="inlineStr">
        <is>
          <t>6º PAV (PILOTIS) - SAUNA + DUCHA</t>
        </is>
      </c>
      <c r="F2040" s="126" t="n">
        <v>47022</v>
      </c>
      <c r="G2040" s="126" t="n">
        <v>47028</v>
      </c>
      <c r="H2040" s="126" t="n">
        <v>46289</v>
      </c>
      <c r="I2040" s="4" t="n">
        <v>0</v>
      </c>
      <c r="J2040" s="4" t="n">
        <v>0</v>
      </c>
      <c r="K2040" s="4" t="n">
        <v>0</v>
      </c>
      <c r="M2040" s="2">
        <f>IF(C2040="","",IFERROR(INDEX($S$5:$S$304,MATCH(C2040,$R$5:$R$304,0))&amp;"","?"))</f>
        <v/>
      </c>
      <c r="N2040" s="2">
        <f>IF(E2040="","",IF(ISNUMBER(SEARCH("SUBSOLO",E2040)),IFERROR(-VALUE(LEFT(E2040,FIND("º",SUBSTITUTE(E2040,"°","º"))-1)),-1),IF(LEFT(E2040,6)="TÉRREO",0,IFERROR(VALUE(LEFT(E2040,FIND("º",SUBSTITUTE(E2040,"°","º"))-1)),""))))</f>
        <v/>
      </c>
      <c r="O2040" s="2">
        <f>IF(OR(F2040="",G2040=""),"",IF(G2040&lt;='RETRATO 2027'!$K$5,"CONCLUÍDA",IF(F2040&lt;='RETRATO 2027'!$K$5,"EM ANDAMENTO","A INICIAR")))</f>
        <v/>
      </c>
    </row>
    <row r="2041">
      <c r="B2041" s="4" t="n">
        <v>30206073</v>
      </c>
      <c r="C2041" s="4" t="inlineStr">
        <is>
          <t>COMUNICAÇÃO E ALARME</t>
        </is>
      </c>
      <c r="D2041" s="4" t="inlineStr">
        <is>
          <t>-</t>
        </is>
      </c>
      <c r="E2041" s="4" t="inlineStr">
        <is>
          <t>6º PAV (PILOTIS) - SAUNA + DUCHA</t>
        </is>
      </c>
      <c r="F2041" s="126" t="n">
        <v>47022</v>
      </c>
      <c r="G2041" s="126" t="n">
        <v>47035</v>
      </c>
      <c r="H2041" s="126" t="n">
        <v>46289</v>
      </c>
      <c r="I2041" s="4" t="n">
        <v>0</v>
      </c>
      <c r="J2041" s="4" t="n">
        <v>0</v>
      </c>
      <c r="K2041" s="4" t="n">
        <v>0</v>
      </c>
      <c r="M2041" s="2">
        <f>IF(C2041="","",IFERROR(INDEX($S$5:$S$304,MATCH(C2041,$R$5:$R$304,0))&amp;"","?"))</f>
        <v/>
      </c>
      <c r="N2041" s="2">
        <f>IF(E2041="","",IF(ISNUMBER(SEARCH("SUBSOLO",E2041)),IFERROR(-VALUE(LEFT(E2041,FIND("º",SUBSTITUTE(E2041,"°","º"))-1)),-1),IF(LEFT(E2041,6)="TÉRREO",0,IFERROR(VALUE(LEFT(E2041,FIND("º",SUBSTITUTE(E2041,"°","º"))-1)),""))))</f>
        <v/>
      </c>
      <c r="O2041" s="2">
        <f>IF(OR(F2041="",G2041=""),"",IF(G2041&lt;='RETRATO 2027'!$K$5,"CONCLUÍDA",IF(F2041&lt;='RETRATO 2027'!$K$5,"EM ANDAMENTO","A INICIAR")))</f>
        <v/>
      </c>
    </row>
    <row r="2042">
      <c r="B2042" s="4" t="n">
        <v>30206029</v>
      </c>
      <c r="C2042" s="4" t="inlineStr">
        <is>
          <t>PINTURA 1º DEMÃO</t>
        </is>
      </c>
      <c r="D2042" s="4" t="inlineStr">
        <is>
          <t>-</t>
        </is>
      </c>
      <c r="E2042" s="4" t="inlineStr">
        <is>
          <t>6º PAV (PILOTIS) - CHURRASQUEIRA + IS MASC. PCD + IS FEM. PCD + CIRCULAÇÃO 1 + HALL 1</t>
        </is>
      </c>
      <c r="F2042" s="126" t="n">
        <v>47022</v>
      </c>
      <c r="G2042" s="126" t="n">
        <v>47035</v>
      </c>
      <c r="H2042" s="126" t="n">
        <v>46289</v>
      </c>
      <c r="I2042" s="4" t="n">
        <v>0</v>
      </c>
      <c r="J2042" s="4" t="n">
        <v>0</v>
      </c>
      <c r="K2042" s="4" t="n">
        <v>0</v>
      </c>
      <c r="M2042" s="2">
        <f>IF(C2042="","",IFERROR(INDEX($S$5:$S$304,MATCH(C2042,$R$5:$R$304,0))&amp;"","?"))</f>
        <v/>
      </c>
      <c r="N2042" s="2">
        <f>IF(E2042="","",IF(ISNUMBER(SEARCH("SUBSOLO",E2042)),IFERROR(-VALUE(LEFT(E2042,FIND("º",SUBSTITUTE(E2042,"°","º"))-1)),-1),IF(LEFT(E2042,6)="TÉRREO",0,IFERROR(VALUE(LEFT(E2042,FIND("º",SUBSTITUTE(E2042,"°","º"))-1)),""))))</f>
        <v/>
      </c>
      <c r="O2042" s="2">
        <f>IF(OR(F2042="",G2042=""),"",IF(G2042&lt;='RETRATO 2027'!$K$5,"CONCLUÍDA",IF(F2042&lt;='RETRATO 2027'!$K$5,"EM ANDAMENTO","A INICIAR")))</f>
        <v/>
      </c>
    </row>
    <row r="2043">
      <c r="B2043" s="4" t="n">
        <v>30206037</v>
      </c>
      <c r="C2043" s="4" t="inlineStr">
        <is>
          <t>DISJUNTORES / MIOLOS</t>
        </is>
      </c>
      <c r="D2043" s="4" t="inlineStr">
        <is>
          <t>-</t>
        </is>
      </c>
      <c r="E2043" s="4" t="inlineStr">
        <is>
          <t>6º PAV (PILOTIS) - CHURRASQUEIRA + IS MASC. PCD + IS FEM. PCD + CIRCULAÇÃO 1 + HALL 1</t>
        </is>
      </c>
      <c r="F2043" s="126" t="n">
        <v>47022</v>
      </c>
      <c r="G2043" s="126" t="n">
        <v>47035</v>
      </c>
      <c r="H2043" s="126" t="n">
        <v>46289</v>
      </c>
      <c r="I2043" s="4" t="n">
        <v>0</v>
      </c>
      <c r="J2043" s="4" t="n">
        <v>0</v>
      </c>
      <c r="K2043" s="4" t="n">
        <v>0</v>
      </c>
      <c r="M2043" s="2">
        <f>IF(C2043="","",IFERROR(INDEX($S$5:$S$304,MATCH(C2043,$R$5:$R$304,0))&amp;"","?"))</f>
        <v/>
      </c>
      <c r="N2043" s="2">
        <f>IF(E2043="","",IF(ISNUMBER(SEARCH("SUBSOLO",E2043)),IFERROR(-VALUE(LEFT(E2043,FIND("º",SUBSTITUTE(E2043,"°","º"))-1)),-1),IF(LEFT(E2043,6)="TÉRREO",0,IFERROR(VALUE(LEFT(E2043,FIND("º",SUBSTITUTE(E2043,"°","º"))-1)),""))))</f>
        <v/>
      </c>
      <c r="O2043" s="2">
        <f>IF(OR(F2043="",G2043=""),"",IF(G2043&lt;='RETRATO 2027'!$K$5,"CONCLUÍDA",IF(F2043&lt;='RETRATO 2027'!$K$5,"EM ANDAMENTO","A INICIAR")))</f>
        <v/>
      </c>
    </row>
    <row r="2044">
      <c r="B2044" s="4" t="n">
        <v>30206018</v>
      </c>
      <c r="C2044" s="4" t="inlineStr">
        <is>
          <t>MASSA CORRIDA</t>
        </is>
      </c>
      <c r="D2044" s="4" t="inlineStr">
        <is>
          <t>-</t>
        </is>
      </c>
      <c r="E2044" s="4" t="inlineStr">
        <is>
          <t>6º PAV (PILOTIS) - COWORKING 1 E 2 + CIRC. 2 + HALL 2 + DML + VEST. MASC. + VEST. FEM</t>
        </is>
      </c>
      <c r="F2044" s="126" t="n">
        <v>47022</v>
      </c>
      <c r="G2044" s="126" t="n">
        <v>47035</v>
      </c>
      <c r="H2044" s="126" t="n">
        <v>46289</v>
      </c>
      <c r="I2044" s="4" t="n">
        <v>0</v>
      </c>
      <c r="J2044" s="4" t="n">
        <v>0</v>
      </c>
      <c r="K2044" s="4" t="n">
        <v>0</v>
      </c>
      <c r="M2044" s="2">
        <f>IF(C2044="","",IFERROR(INDEX($S$5:$S$304,MATCH(C2044,$R$5:$R$304,0))&amp;"","?"))</f>
        <v/>
      </c>
      <c r="N2044" s="2">
        <f>IF(E2044="","",IF(ISNUMBER(SEARCH("SUBSOLO",E2044)),IFERROR(-VALUE(LEFT(E2044,FIND("º",SUBSTITUTE(E2044,"°","º"))-1)),-1),IF(LEFT(E2044,6)="TÉRREO",0,IFERROR(VALUE(LEFT(E2044,FIND("º",SUBSTITUTE(E2044,"°","º"))-1)),""))))</f>
        <v/>
      </c>
      <c r="O2044" s="2">
        <f>IF(OR(F2044="",G2044=""),"",IF(G2044&lt;='RETRATO 2027'!$K$5,"CONCLUÍDA",IF(F2044&lt;='RETRATO 2027'!$K$5,"EM ANDAMENTO","A INICIAR")))</f>
        <v/>
      </c>
    </row>
    <row r="2045">
      <c r="B2045" s="4" t="n">
        <v>33904062</v>
      </c>
      <c r="C2045" s="4" t="inlineStr">
        <is>
          <t>ESQUADRIA DE ALUMÍNIO</t>
        </is>
      </c>
      <c r="D2045" s="4" t="inlineStr">
        <is>
          <t>-</t>
        </is>
      </c>
      <c r="E2045" s="4" t="inlineStr">
        <is>
          <t>6º PAV (PILOTIS) - LOUNGE + SALÃO + COZINHA + GOURMET + ESPAÇO KIDS</t>
        </is>
      </c>
      <c r="F2045" s="126" t="n">
        <v>47022</v>
      </c>
      <c r="G2045" s="126" t="n">
        <v>47035</v>
      </c>
      <c r="H2045" s="126" t="n">
        <v>46289</v>
      </c>
      <c r="I2045" s="4" t="n">
        <v>0</v>
      </c>
      <c r="J2045" s="4" t="n">
        <v>0</v>
      </c>
      <c r="K2045" s="4" t="n">
        <v>0</v>
      </c>
      <c r="M2045" s="2">
        <f>IF(C2045="","",IFERROR(INDEX($S$5:$S$304,MATCH(C2045,$R$5:$R$304,0))&amp;"","?"))</f>
        <v/>
      </c>
      <c r="N2045" s="2">
        <f>IF(E2045="","",IF(ISNUMBER(SEARCH("SUBSOLO",E2045)),IFERROR(-VALUE(LEFT(E2045,FIND("º",SUBSTITUTE(E2045,"°","º"))-1)),-1),IF(LEFT(E2045,6)="TÉRREO",0,IFERROR(VALUE(LEFT(E2045,FIND("º",SUBSTITUTE(E2045,"°","º"))-1)),""))))</f>
        <v/>
      </c>
      <c r="O2045" s="2">
        <f>IF(OR(F2045="",G2045=""),"",IF(G2045&lt;='RETRATO 2027'!$K$5,"CONCLUÍDA",IF(F2045&lt;='RETRATO 2027'!$K$5,"EM ANDAMENTO","A INICIAR")))</f>
        <v/>
      </c>
    </row>
    <row r="2046">
      <c r="B2046" s="4" t="n">
        <v>29981058</v>
      </c>
      <c r="C2046" s="4" t="inlineStr">
        <is>
          <t>CHECKLIST</t>
        </is>
      </c>
      <c r="D2046" s="4" t="inlineStr">
        <is>
          <t>-</t>
        </is>
      </c>
      <c r="E2046" s="4" t="inlineStr">
        <is>
          <t>20º PAV.</t>
        </is>
      </c>
      <c r="F2046" s="126" t="n">
        <v>47023</v>
      </c>
      <c r="G2046" s="126" t="n">
        <v>47029</v>
      </c>
      <c r="H2046" s="126" t="n">
        <v>46289</v>
      </c>
      <c r="I2046" s="4" t="n">
        <v>0</v>
      </c>
      <c r="J2046" s="4" t="n">
        <v>0</v>
      </c>
      <c r="K2046" s="4" t="n">
        <v>0</v>
      </c>
      <c r="M2046" s="2">
        <f>IF(C2046="","",IFERROR(INDEX($S$5:$S$304,MATCH(C2046,$R$5:$R$304,0))&amp;"","?"))</f>
        <v/>
      </c>
      <c r="N2046" s="2">
        <f>IF(E2046="","",IF(ISNUMBER(SEARCH("SUBSOLO",E2046)),IFERROR(-VALUE(LEFT(E2046,FIND("º",SUBSTITUTE(E2046,"°","º"))-1)),-1),IF(LEFT(E2046,6)="TÉRREO",0,IFERROR(VALUE(LEFT(E2046,FIND("º",SUBSTITUTE(E2046,"°","º"))-1)),""))))</f>
        <v/>
      </c>
      <c r="O2046" s="2">
        <f>IF(OR(F2046="",G2046=""),"",IF(G2046&lt;='RETRATO 2027'!$K$5,"CONCLUÍDA",IF(F2046&lt;='RETRATO 2027'!$K$5,"EM ANDAMENTO","A INICIAR")))</f>
        <v/>
      </c>
    </row>
    <row r="2047">
      <c r="B2047" s="4" t="n">
        <v>29981023</v>
      </c>
      <c r="C2047" s="4" t="inlineStr">
        <is>
          <t>ACABAMENTOS ELÉTRICOS</t>
        </is>
      </c>
      <c r="D2047" s="4" t="inlineStr">
        <is>
          <t>-</t>
        </is>
      </c>
      <c r="E2047" s="4" t="inlineStr">
        <is>
          <t>21º PAV.</t>
        </is>
      </c>
      <c r="F2047" s="126" t="n">
        <v>47023</v>
      </c>
      <c r="G2047" s="126" t="n">
        <v>47035</v>
      </c>
      <c r="H2047" s="126" t="n">
        <v>46289</v>
      </c>
      <c r="I2047" s="4" t="n">
        <v>0</v>
      </c>
      <c r="J2047" s="4" t="n">
        <v>0</v>
      </c>
      <c r="K2047" s="4" t="n">
        <v>0</v>
      </c>
      <c r="M2047" s="2">
        <f>IF(C2047="","",IFERROR(INDEX($S$5:$S$304,MATCH(C2047,$R$5:$R$304,0))&amp;"","?"))</f>
        <v/>
      </c>
      <c r="N2047" s="2">
        <f>IF(E2047="","",IF(ISNUMBER(SEARCH("SUBSOLO",E2047)),IFERROR(-VALUE(LEFT(E2047,FIND("º",SUBSTITUTE(E2047,"°","º"))-1)),-1),IF(LEFT(E2047,6)="TÉRREO",0,IFERROR(VALUE(LEFT(E2047,FIND("º",SUBSTITUTE(E2047,"°","º"))-1)),""))))</f>
        <v/>
      </c>
      <c r="O2047" s="2">
        <f>IF(OR(F2047="",G2047=""),"",IF(G2047&lt;='RETRATO 2027'!$K$5,"CONCLUÍDA",IF(F2047&lt;='RETRATO 2027'!$K$5,"EM ANDAMENTO","A INICIAR")))</f>
        <v/>
      </c>
    </row>
    <row r="2048">
      <c r="B2048" s="4" t="n">
        <v>29980983</v>
      </c>
      <c r="C2048" s="4" t="inlineStr">
        <is>
          <t>PINTURA 2º DEMÃO</t>
        </is>
      </c>
      <c r="D2048" s="4" t="inlineStr">
        <is>
          <t>-</t>
        </is>
      </c>
      <c r="E2048" s="4" t="inlineStr">
        <is>
          <t>22º PAV.</t>
        </is>
      </c>
      <c r="F2048" s="126" t="n">
        <v>47023</v>
      </c>
      <c r="G2048" s="126" t="n">
        <v>47035</v>
      </c>
      <c r="H2048" s="126" t="n">
        <v>46289</v>
      </c>
      <c r="I2048" s="4" t="n">
        <v>0</v>
      </c>
      <c r="J2048" s="4" t="n">
        <v>0</v>
      </c>
      <c r="K2048" s="4" t="n">
        <v>0</v>
      </c>
      <c r="M2048" s="2">
        <f>IF(C2048="","",IFERROR(INDEX($S$5:$S$304,MATCH(C2048,$R$5:$R$304,0))&amp;"","?"))</f>
        <v/>
      </c>
      <c r="N2048" s="2">
        <f>IF(E2048="","",IF(ISNUMBER(SEARCH("SUBSOLO",E2048)),IFERROR(-VALUE(LEFT(E2048,FIND("º",SUBSTITUTE(E2048,"°","º"))-1)),-1),IF(LEFT(E2048,6)="TÉRREO",0,IFERROR(VALUE(LEFT(E2048,FIND("º",SUBSTITUTE(E2048,"°","º"))-1)),""))))</f>
        <v/>
      </c>
      <c r="O2048" s="2">
        <f>IF(OR(F2048="",G2048=""),"",IF(G2048&lt;='RETRATO 2027'!$K$5,"CONCLUÍDA",IF(F2048&lt;='RETRATO 2027'!$K$5,"EM ANDAMENTO","A INICIAR")))</f>
        <v/>
      </c>
    </row>
    <row r="2049">
      <c r="B2049" s="4" t="n">
        <v>33919799</v>
      </c>
      <c r="C2049" s="4" t="inlineStr">
        <is>
          <t>TEXTURA - EXTERNA</t>
        </is>
      </c>
      <c r="D2049" s="4" t="inlineStr">
        <is>
          <t>-</t>
        </is>
      </c>
      <c r="E2049" s="4" t="inlineStr">
        <is>
          <t>22º PAV.</t>
        </is>
      </c>
      <c r="F2049" s="126" t="n">
        <v>47023</v>
      </c>
      <c r="G2049" s="126" t="n">
        <v>47035</v>
      </c>
      <c r="H2049" s="126" t="n">
        <v>46289</v>
      </c>
      <c r="I2049" s="4" t="n">
        <v>0</v>
      </c>
      <c r="J2049" s="4" t="n">
        <v>0</v>
      </c>
      <c r="K2049" s="4" t="n">
        <v>0</v>
      </c>
      <c r="M2049" s="2">
        <f>IF(C2049="","",IFERROR(INDEX($S$5:$S$304,MATCH(C2049,$R$5:$R$304,0))&amp;"","?"))</f>
        <v/>
      </c>
      <c r="N2049" s="2">
        <f>IF(E2049="","",IF(ISNUMBER(SEARCH("SUBSOLO",E2049)),IFERROR(-VALUE(LEFT(E2049,FIND("º",SUBSTITUTE(E2049,"°","º"))-1)),-1),IF(LEFT(E2049,6)="TÉRREO",0,IFERROR(VALUE(LEFT(E2049,FIND("º",SUBSTITUTE(E2049,"°","º"))-1)),""))))</f>
        <v/>
      </c>
      <c r="O2049" s="2">
        <f>IF(OR(F2049="",G2049=""),"",IF(G2049&lt;='RETRATO 2027'!$K$5,"CONCLUÍDA",IF(F2049&lt;='RETRATO 2027'!$K$5,"EM ANDAMENTO","A INICIAR")))</f>
        <v/>
      </c>
    </row>
    <row r="2050">
      <c r="B2050" s="4" t="n">
        <v>29980945</v>
      </c>
      <c r="C2050" s="4" t="inlineStr">
        <is>
          <t>LIMPEZA GROSSA</t>
        </is>
      </c>
      <c r="D2050" s="4" t="inlineStr">
        <is>
          <t>-</t>
        </is>
      </c>
      <c r="E2050" s="4" t="inlineStr">
        <is>
          <t>23º PAV.</t>
        </is>
      </c>
      <c r="F2050" s="126" t="n">
        <v>47023</v>
      </c>
      <c r="G2050" s="126" t="n">
        <v>47035</v>
      </c>
      <c r="H2050" s="126" t="n">
        <v>46289</v>
      </c>
      <c r="I2050" s="4" t="n">
        <v>0</v>
      </c>
      <c r="J2050" s="4" t="n">
        <v>0</v>
      </c>
      <c r="K2050" s="4" t="n">
        <v>0</v>
      </c>
      <c r="M2050" s="2">
        <f>IF(C2050="","",IFERROR(INDEX($S$5:$S$304,MATCH(C2050,$R$5:$R$304,0))&amp;"","?"))</f>
        <v/>
      </c>
      <c r="N2050" s="2">
        <f>IF(E2050="","",IF(ISNUMBER(SEARCH("SUBSOLO",E2050)),IFERROR(-VALUE(LEFT(E2050,FIND("º",SUBSTITUTE(E2050,"°","º"))-1)),-1),IF(LEFT(E2050,6)="TÉRREO",0,IFERROR(VALUE(LEFT(E2050,FIND("º",SUBSTITUTE(E2050,"°","º"))-1)),""))))</f>
        <v/>
      </c>
      <c r="O2050" s="2">
        <f>IF(OR(F2050="",G2050=""),"",IF(G2050&lt;='RETRATO 2027'!$K$5,"CONCLUÍDA",IF(F2050&lt;='RETRATO 2027'!$K$5,"EM ANDAMENTO","A INICIAR")))</f>
        <v/>
      </c>
    </row>
    <row r="2051">
      <c r="B2051" s="4" t="n">
        <v>29980902</v>
      </c>
      <c r="C2051" s="4" t="inlineStr">
        <is>
          <t>LOUÇAS</t>
        </is>
      </c>
      <c r="D2051" s="4" t="inlineStr">
        <is>
          <t>-</t>
        </is>
      </c>
      <c r="E2051" s="4" t="inlineStr">
        <is>
          <t>24º PAV.</t>
        </is>
      </c>
      <c r="F2051" s="126" t="n">
        <v>47023</v>
      </c>
      <c r="G2051" s="126" t="n">
        <v>47035</v>
      </c>
      <c r="H2051" s="126" t="n">
        <v>46289</v>
      </c>
      <c r="I2051" s="4" t="n">
        <v>0</v>
      </c>
      <c r="J2051" s="4" t="n">
        <v>0</v>
      </c>
      <c r="K2051" s="4" t="n">
        <v>0</v>
      </c>
      <c r="M2051" s="2">
        <f>IF(C2051="","",IFERROR(INDEX($S$5:$S$304,MATCH(C2051,$R$5:$R$304,0))&amp;"","?"))</f>
        <v/>
      </c>
      <c r="N2051" s="2">
        <f>IF(E2051="","",IF(ISNUMBER(SEARCH("SUBSOLO",E2051)),IFERROR(-VALUE(LEFT(E2051,FIND("º",SUBSTITUTE(E2051,"°","º"))-1)),-1),IF(LEFT(E2051,6)="TÉRREO",0,IFERROR(VALUE(LEFT(E2051,FIND("º",SUBSTITUTE(E2051,"°","º"))-1)),""))))</f>
        <v/>
      </c>
      <c r="O2051" s="2">
        <f>IF(OR(F2051="",G2051=""),"",IF(G2051&lt;='RETRATO 2027'!$K$5,"CONCLUÍDA",IF(F2051&lt;='RETRATO 2027'!$K$5,"EM ANDAMENTO","A INICIAR")))</f>
        <v/>
      </c>
    </row>
    <row r="2052">
      <c r="B2052" s="4" t="n">
        <v>29980907</v>
      </c>
      <c r="C2052" s="4" t="inlineStr">
        <is>
          <t>METAIS</t>
        </is>
      </c>
      <c r="D2052" s="4" t="inlineStr">
        <is>
          <t>-</t>
        </is>
      </c>
      <c r="E2052" s="4" t="inlineStr">
        <is>
          <t>24º PAV.</t>
        </is>
      </c>
      <c r="F2052" s="126" t="n">
        <v>47023</v>
      </c>
      <c r="G2052" s="126" t="n">
        <v>47035</v>
      </c>
      <c r="H2052" s="126" t="n">
        <v>46289</v>
      </c>
      <c r="I2052" s="4" t="n">
        <v>0</v>
      </c>
      <c r="J2052" s="4" t="n">
        <v>0</v>
      </c>
      <c r="K2052" s="4" t="n">
        <v>0</v>
      </c>
      <c r="M2052" s="2">
        <f>IF(C2052="","",IFERROR(INDEX($S$5:$S$304,MATCH(C2052,$R$5:$R$304,0))&amp;"","?"))</f>
        <v/>
      </c>
      <c r="N2052" s="2">
        <f>IF(E2052="","",IF(ISNUMBER(SEARCH("SUBSOLO",E2052)),IFERROR(-VALUE(LEFT(E2052,FIND("º",SUBSTITUTE(E2052,"°","º"))-1)),-1),IF(LEFT(E2052,6)="TÉRREO",0,IFERROR(VALUE(LEFT(E2052,FIND("º",SUBSTITUTE(E2052,"°","º"))-1)),""))))</f>
        <v/>
      </c>
      <c r="O2052" s="2">
        <f>IF(OR(F2052="",G2052=""),"",IF(G2052&lt;='RETRATO 2027'!$K$5,"CONCLUÍDA",IF(F2052&lt;='RETRATO 2027'!$K$5,"EM ANDAMENTO","A INICIAR")))</f>
        <v/>
      </c>
    </row>
    <row r="2053">
      <c r="B2053" s="4" t="n">
        <v>29980906</v>
      </c>
      <c r="C2053" s="4" t="inlineStr">
        <is>
          <t>DISJUNTORES / MIOLOS</t>
        </is>
      </c>
      <c r="D2053" s="4" t="inlineStr">
        <is>
          <t>-</t>
        </is>
      </c>
      <c r="E2053" s="4" t="inlineStr">
        <is>
          <t>24º PAV.</t>
        </is>
      </c>
      <c r="F2053" s="126" t="n">
        <v>47023</v>
      </c>
      <c r="G2053" s="126" t="n">
        <v>47035</v>
      </c>
      <c r="H2053" s="126" t="n">
        <v>46289</v>
      </c>
      <c r="I2053" s="4" t="n">
        <v>0</v>
      </c>
      <c r="J2053" s="4" t="n">
        <v>0</v>
      </c>
      <c r="K2053" s="4" t="n">
        <v>0</v>
      </c>
      <c r="M2053" s="2">
        <f>IF(C2053="","",IFERROR(INDEX($S$5:$S$304,MATCH(C2053,$R$5:$R$304,0))&amp;"","?"))</f>
        <v/>
      </c>
      <c r="N2053" s="2">
        <f>IF(E2053="","",IF(ISNUMBER(SEARCH("SUBSOLO",E2053)),IFERROR(-VALUE(LEFT(E2053,FIND("º",SUBSTITUTE(E2053,"°","º"))-1)),-1),IF(LEFT(E2053,6)="TÉRREO",0,IFERROR(VALUE(LEFT(E2053,FIND("º",SUBSTITUTE(E2053,"°","º"))-1)),""))))</f>
        <v/>
      </c>
      <c r="O2053" s="2">
        <f>IF(OR(F2053="",G2053=""),"",IF(G2053&lt;='RETRATO 2027'!$K$5,"CONCLUÍDA",IF(F2053&lt;='RETRATO 2027'!$K$5,"EM ANDAMENTO","A INICIAR")))</f>
        <v/>
      </c>
    </row>
    <row r="2054">
      <c r="B2054" s="4" t="n">
        <v>29980905</v>
      </c>
      <c r="C2054" s="4" t="inlineStr">
        <is>
          <t>COMUNICAÇÃO E ALARME</t>
        </is>
      </c>
      <c r="D2054" s="4" t="inlineStr">
        <is>
          <t>-</t>
        </is>
      </c>
      <c r="E2054" s="4" t="inlineStr">
        <is>
          <t>24º PAV.</t>
        </is>
      </c>
      <c r="F2054" s="126" t="n">
        <v>47023</v>
      </c>
      <c r="G2054" s="126" t="n">
        <v>47035</v>
      </c>
      <c r="H2054" s="126" t="n">
        <v>46289</v>
      </c>
      <c r="I2054" s="4" t="n">
        <v>0</v>
      </c>
      <c r="J2054" s="4" t="n">
        <v>0</v>
      </c>
      <c r="K2054" s="4" t="n">
        <v>0</v>
      </c>
      <c r="M2054" s="2">
        <f>IF(C2054="","",IFERROR(INDEX($S$5:$S$304,MATCH(C2054,$R$5:$R$304,0))&amp;"","?"))</f>
        <v/>
      </c>
      <c r="N2054" s="2">
        <f>IF(E2054="","",IF(ISNUMBER(SEARCH("SUBSOLO",E2054)),IFERROR(-VALUE(LEFT(E2054,FIND("º",SUBSTITUTE(E2054,"°","º"))-1)),-1),IF(LEFT(E2054,6)="TÉRREO",0,IFERROR(VALUE(LEFT(E2054,FIND("º",SUBSTITUTE(E2054,"°","º"))-1)),""))))</f>
        <v/>
      </c>
      <c r="O2054" s="2">
        <f>IF(OR(F2054="",G2054=""),"",IF(G2054&lt;='RETRATO 2027'!$K$5,"CONCLUÍDA",IF(F2054&lt;='RETRATO 2027'!$K$5,"EM ANDAMENTO","A INICIAR")))</f>
        <v/>
      </c>
    </row>
    <row r="2055">
      <c r="B2055" s="4" t="n">
        <v>29980864</v>
      </c>
      <c r="C2055" s="4" t="inlineStr">
        <is>
          <t>RODAPÉ MADEIRA / PVC</t>
        </is>
      </c>
      <c r="D2055" s="4" t="inlineStr">
        <is>
          <t>-</t>
        </is>
      </c>
      <c r="E2055" s="4" t="inlineStr">
        <is>
          <t>25º PAV.</t>
        </is>
      </c>
      <c r="F2055" s="126" t="n">
        <v>47023</v>
      </c>
      <c r="G2055" s="126" t="n">
        <v>47035</v>
      </c>
      <c r="H2055" s="126" t="n">
        <v>46289</v>
      </c>
      <c r="I2055" s="4" t="n">
        <v>0</v>
      </c>
      <c r="J2055" s="4" t="n">
        <v>0</v>
      </c>
      <c r="K2055" s="4" t="n">
        <v>0</v>
      </c>
      <c r="M2055" s="2">
        <f>IF(C2055="","",IFERROR(INDEX($S$5:$S$304,MATCH(C2055,$R$5:$R$304,0))&amp;"","?"))</f>
        <v/>
      </c>
      <c r="N2055" s="2">
        <f>IF(E2055="","",IF(ISNUMBER(SEARCH("SUBSOLO",E2055)),IFERROR(-VALUE(LEFT(E2055,FIND("º",SUBSTITUTE(E2055,"°","º"))-1)),-1),IF(LEFT(E2055,6)="TÉRREO",0,IFERROR(VALUE(LEFT(E2055,FIND("º",SUBSTITUTE(E2055,"°","º"))-1)),""))))</f>
        <v/>
      </c>
      <c r="O2055" s="2">
        <f>IF(OR(F2055="",G2055=""),"",IF(G2055&lt;='RETRATO 2027'!$K$5,"CONCLUÍDA",IF(F2055&lt;='RETRATO 2027'!$K$5,"EM ANDAMENTO","A INICIAR")))</f>
        <v/>
      </c>
    </row>
    <row r="2056">
      <c r="B2056" s="4" t="n">
        <v>29980826</v>
      </c>
      <c r="C2056" s="4" t="inlineStr">
        <is>
          <t>ESQUADRIA MADEIRA</t>
        </is>
      </c>
      <c r="D2056" s="4" t="inlineStr">
        <is>
          <t>-</t>
        </is>
      </c>
      <c r="E2056" s="4" t="inlineStr">
        <is>
          <t>26º PAV.</t>
        </is>
      </c>
      <c r="F2056" s="126" t="n">
        <v>47023</v>
      </c>
      <c r="G2056" s="126" t="n">
        <v>47035</v>
      </c>
      <c r="H2056" s="126" t="n">
        <v>46289</v>
      </c>
      <c r="I2056" s="4" t="n">
        <v>0</v>
      </c>
      <c r="J2056" s="4" t="n">
        <v>0</v>
      </c>
      <c r="K2056" s="4" t="n">
        <v>0</v>
      </c>
      <c r="M2056" s="2">
        <f>IF(C2056="","",IFERROR(INDEX($S$5:$S$304,MATCH(C2056,$R$5:$R$304,0))&amp;"","?"))</f>
        <v/>
      </c>
      <c r="N2056" s="2">
        <f>IF(E2056="","",IF(ISNUMBER(SEARCH("SUBSOLO",E2056)),IFERROR(-VALUE(LEFT(E2056,FIND("º",SUBSTITUTE(E2056,"°","º"))-1)),-1),IF(LEFT(E2056,6)="TÉRREO",0,IFERROR(VALUE(LEFT(E2056,FIND("º",SUBSTITUTE(E2056,"°","º"))-1)),""))))</f>
        <v/>
      </c>
      <c r="O2056" s="2">
        <f>IF(OR(F2056="",G2056=""),"",IF(G2056&lt;='RETRATO 2027'!$K$5,"CONCLUÍDA",IF(F2056&lt;='RETRATO 2027'!$K$5,"EM ANDAMENTO","A INICIAR")))</f>
        <v/>
      </c>
    </row>
    <row r="2057">
      <c r="B2057" s="4" t="n">
        <v>29980788</v>
      </c>
      <c r="C2057" s="4" t="inlineStr">
        <is>
          <t>PISO VINÍLICO / LAMINADO</t>
        </is>
      </c>
      <c r="D2057" s="4" t="inlineStr">
        <is>
          <t>-</t>
        </is>
      </c>
      <c r="E2057" s="4" t="inlineStr">
        <is>
          <t>27º PAV.</t>
        </is>
      </c>
      <c r="F2057" s="126" t="n">
        <v>47023</v>
      </c>
      <c r="G2057" s="126" t="n">
        <v>47035</v>
      </c>
      <c r="H2057" s="126" t="n">
        <v>46289</v>
      </c>
      <c r="I2057" s="4" t="n">
        <v>0</v>
      </c>
      <c r="J2057" s="4" t="n">
        <v>0</v>
      </c>
      <c r="K2057" s="4" t="n">
        <v>0</v>
      </c>
      <c r="M2057" s="2">
        <f>IF(C2057="","",IFERROR(INDEX($S$5:$S$304,MATCH(C2057,$R$5:$R$304,0))&amp;"","?"))</f>
        <v/>
      </c>
      <c r="N2057" s="2">
        <f>IF(E2057="","",IF(ISNUMBER(SEARCH("SUBSOLO",E2057)),IFERROR(-VALUE(LEFT(E2057,FIND("º",SUBSTITUTE(E2057,"°","º"))-1)),-1),IF(LEFT(E2057,6)="TÉRREO",0,IFERROR(VALUE(LEFT(E2057,FIND("º",SUBSTITUTE(E2057,"°","º"))-1)),""))))</f>
        <v/>
      </c>
      <c r="O2057" s="2">
        <f>IF(OR(F2057="",G2057=""),"",IF(G2057&lt;='RETRATO 2027'!$K$5,"CONCLUÍDA",IF(F2057&lt;='RETRATO 2027'!$K$5,"EM ANDAMENTO","A INICIAR")))</f>
        <v/>
      </c>
    </row>
    <row r="2058">
      <c r="B2058" s="4" t="n">
        <v>29980750</v>
      </c>
      <c r="C2058" s="4" t="inlineStr">
        <is>
          <t>PINTURA 1º DEMÃO</t>
        </is>
      </c>
      <c r="D2058" s="4" t="inlineStr">
        <is>
          <t>-</t>
        </is>
      </c>
      <c r="E2058" s="4" t="inlineStr">
        <is>
          <t>28º PAV.</t>
        </is>
      </c>
      <c r="F2058" s="126" t="n">
        <v>47023</v>
      </c>
      <c r="G2058" s="126" t="n">
        <v>47035</v>
      </c>
      <c r="H2058" s="126" t="n">
        <v>46289</v>
      </c>
      <c r="I2058" s="4" t="n">
        <v>0</v>
      </c>
      <c r="J2058" s="4" t="n">
        <v>0</v>
      </c>
      <c r="K2058" s="4" t="n">
        <v>0</v>
      </c>
      <c r="M2058" s="2">
        <f>IF(C2058="","",IFERROR(INDEX($S$5:$S$304,MATCH(C2058,$R$5:$R$304,0))&amp;"","?"))</f>
        <v/>
      </c>
      <c r="N2058" s="2">
        <f>IF(E2058="","",IF(ISNUMBER(SEARCH("SUBSOLO",E2058)),IFERROR(-VALUE(LEFT(E2058,FIND("º",SUBSTITUTE(E2058,"°","º"))-1)),-1),IF(LEFT(E2058,6)="TÉRREO",0,IFERROR(VALUE(LEFT(E2058,FIND("º",SUBSTITUTE(E2058,"°","º"))-1)),""))))</f>
        <v/>
      </c>
      <c r="O2058" s="2">
        <f>IF(OR(F2058="",G2058=""),"",IF(G2058&lt;='RETRATO 2027'!$K$5,"CONCLUÍDA",IF(F2058&lt;='RETRATO 2027'!$K$5,"EM ANDAMENTO","A INICIAR")))</f>
        <v/>
      </c>
    </row>
    <row r="2059">
      <c r="B2059" s="4" t="n">
        <v>29980739</v>
      </c>
      <c r="C2059" s="4" t="inlineStr">
        <is>
          <t>MASSA CORRIDA</t>
        </is>
      </c>
      <c r="D2059" s="4" t="inlineStr">
        <is>
          <t>-</t>
        </is>
      </c>
      <c r="E2059" s="4" t="inlineStr">
        <is>
          <t>29º PAV.</t>
        </is>
      </c>
      <c r="F2059" s="126" t="n">
        <v>47023</v>
      </c>
      <c r="G2059" s="126" t="n">
        <v>47035</v>
      </c>
      <c r="H2059" s="126" t="n">
        <v>46289</v>
      </c>
      <c r="I2059" s="4" t="n">
        <v>0</v>
      </c>
      <c r="J2059" s="4" t="n">
        <v>0</v>
      </c>
      <c r="K2059" s="4" t="n">
        <v>0</v>
      </c>
      <c r="M2059" s="2">
        <f>IF(C2059="","",IFERROR(INDEX($S$5:$S$304,MATCH(C2059,$R$5:$R$304,0))&amp;"","?"))</f>
        <v/>
      </c>
      <c r="N2059" s="2">
        <f>IF(E2059="","",IF(ISNUMBER(SEARCH("SUBSOLO",E2059)),IFERROR(-VALUE(LEFT(E2059,FIND("º",SUBSTITUTE(E2059,"°","º"))-1)),-1),IF(LEFT(E2059,6)="TÉRREO",0,IFERROR(VALUE(LEFT(E2059,FIND("º",SUBSTITUTE(E2059,"°","º"))-1)),""))))</f>
        <v/>
      </c>
      <c r="O2059" s="2">
        <f>IF(OR(F2059="",G2059=""),"",IF(G2059&lt;='RETRATO 2027'!$K$5,"CONCLUÍDA",IF(F2059&lt;='RETRATO 2027'!$K$5,"EM ANDAMENTO","A INICIAR")))</f>
        <v/>
      </c>
    </row>
    <row r="2060">
      <c r="B2060" s="4" t="n">
        <v>33898114</v>
      </c>
      <c r="C2060" s="4" t="inlineStr">
        <is>
          <t>ESQUADRIA DE ALUMÍNIO</t>
        </is>
      </c>
      <c r="D2060" s="4" t="inlineStr">
        <is>
          <t>-</t>
        </is>
      </c>
      <c r="E2060" s="4" t="inlineStr">
        <is>
          <t>30º PAV.</t>
        </is>
      </c>
      <c r="F2060" s="126" t="n">
        <v>47023</v>
      </c>
      <c r="G2060" s="126" t="n">
        <v>47035</v>
      </c>
      <c r="H2060" s="126" t="n">
        <v>46289</v>
      </c>
      <c r="I2060" s="4" t="n">
        <v>0</v>
      </c>
      <c r="J2060" s="4" t="n">
        <v>0</v>
      </c>
      <c r="K2060" s="4" t="n">
        <v>0</v>
      </c>
      <c r="M2060" s="2">
        <f>IF(C2060="","",IFERROR(INDEX($S$5:$S$304,MATCH(C2060,$R$5:$R$304,0))&amp;"","?"))</f>
        <v/>
      </c>
      <c r="N2060" s="2">
        <f>IF(E2060="","",IF(ISNUMBER(SEARCH("SUBSOLO",E2060)),IFERROR(-VALUE(LEFT(E2060,FIND("º",SUBSTITUTE(E2060,"°","º"))-1)),-1),IF(LEFT(E2060,6)="TÉRREO",0,IFERROR(VALUE(LEFT(E2060,FIND("º",SUBSTITUTE(E2060,"°","º"))-1)),""))))</f>
        <v/>
      </c>
      <c r="O2060" s="2">
        <f>IF(OR(F2060="",G2060=""),"",IF(G2060&lt;='RETRATO 2027'!$K$5,"CONCLUÍDA",IF(F2060&lt;='RETRATO 2027'!$K$5,"EM ANDAMENTO","A INICIAR")))</f>
        <v/>
      </c>
    </row>
    <row r="2061">
      <c r="B2061" s="4" t="n">
        <v>30171529</v>
      </c>
      <c r="C2061" s="4" t="inlineStr">
        <is>
          <t>PINTURA 1º DEMÃO</t>
        </is>
      </c>
      <c r="D2061" s="4" t="inlineStr">
        <is>
          <t>-</t>
        </is>
      </c>
      <c r="E2061" s="4" t="inlineStr">
        <is>
          <t>HALL - GARAGENS</t>
        </is>
      </c>
      <c r="F2061" s="126" t="n">
        <v>47025</v>
      </c>
      <c r="G2061" s="126" t="n">
        <v>47057</v>
      </c>
      <c r="H2061" s="126" t="n">
        <v>46289</v>
      </c>
      <c r="I2061" s="4" t="n">
        <v>0</v>
      </c>
      <c r="J2061" s="4" t="n">
        <v>0</v>
      </c>
      <c r="K2061" s="4" t="n">
        <v>0</v>
      </c>
      <c r="M2061" s="2">
        <f>IF(C2061="","",IFERROR(INDEX($S$5:$S$304,MATCH(C2061,$R$5:$R$304,0))&amp;"","?"))</f>
        <v/>
      </c>
      <c r="N2061" s="2">
        <f>IF(E2061="","",IF(ISNUMBER(SEARCH("SUBSOLO",E2061)),IFERROR(-VALUE(LEFT(E2061,FIND("º",SUBSTITUTE(E2061,"°","º"))-1)),-1),IF(LEFT(E2061,6)="TÉRREO",0,IFERROR(VALUE(LEFT(E2061,FIND("º",SUBSTITUTE(E2061,"°","º"))-1)),""))))</f>
        <v/>
      </c>
      <c r="O2061" s="2">
        <f>IF(OR(F2061="",G2061=""),"",IF(G2061&lt;='RETRATO 2027'!$K$5,"CONCLUÍDA",IF(F2061&lt;='RETRATO 2027'!$K$5,"EM ANDAMENTO","A INICIAR")))</f>
        <v/>
      </c>
    </row>
    <row r="2062">
      <c r="B2062" s="4" t="n">
        <v>29981089</v>
      </c>
      <c r="C2062" s="4" t="inlineStr">
        <is>
          <t>BANCADAS</t>
        </is>
      </c>
      <c r="D2062" s="4" t="inlineStr">
        <is>
          <t>-</t>
        </is>
      </c>
      <c r="E2062" s="4" t="inlineStr">
        <is>
          <t>19º PAV.</t>
        </is>
      </c>
      <c r="F2062" s="126" t="n">
        <v>47025</v>
      </c>
      <c r="G2062" s="126" t="n">
        <v>47037</v>
      </c>
      <c r="H2062" s="126" t="n">
        <v>46289</v>
      </c>
      <c r="I2062" s="4" t="n">
        <v>0</v>
      </c>
      <c r="J2062" s="4" t="n">
        <v>0</v>
      </c>
      <c r="K2062" s="4" t="n">
        <v>0</v>
      </c>
      <c r="M2062" s="2">
        <f>IF(C2062="","",IFERROR(INDEX($S$5:$S$304,MATCH(C2062,$R$5:$R$304,0))&amp;"","?"))</f>
        <v/>
      </c>
      <c r="N2062" s="2">
        <f>IF(E2062="","",IF(ISNUMBER(SEARCH("SUBSOLO",E2062)),IFERROR(-VALUE(LEFT(E2062,FIND("º",SUBSTITUTE(E2062,"°","º"))-1)),-1),IF(LEFT(E2062,6)="TÉRREO",0,IFERROR(VALUE(LEFT(E2062,FIND("º",SUBSTITUTE(E2062,"°","º"))-1)),""))))</f>
        <v/>
      </c>
      <c r="O2062" s="2">
        <f>IF(OR(F2062="",G2062=""),"",IF(G2062&lt;='RETRATO 2027'!$K$5,"CONCLUÍDA",IF(F2062&lt;='RETRATO 2027'!$K$5,"EM ANDAMENTO","A INICIAR")))</f>
        <v/>
      </c>
    </row>
    <row r="2063">
      <c r="B2063" s="4" t="n">
        <v>30205828</v>
      </c>
      <c r="C2063" s="4" t="inlineStr">
        <is>
          <t>CHECKLIST</t>
        </is>
      </c>
      <c r="D2063" s="4" t="inlineStr">
        <is>
          <t>-</t>
        </is>
      </c>
      <c r="E2063" s="4" t="inlineStr">
        <is>
          <t>TÉRREO - HALL SOCIAL + ECLUSA + CIRCULAÇÃO</t>
        </is>
      </c>
      <c r="F2063" s="126" t="n">
        <v>47028</v>
      </c>
      <c r="G2063" s="126" t="n">
        <v>47032</v>
      </c>
      <c r="H2063" s="126" t="n">
        <v>46289</v>
      </c>
      <c r="I2063" s="4" t="n">
        <v>0</v>
      </c>
      <c r="J2063" s="4" t="n">
        <v>0</v>
      </c>
      <c r="K2063" s="4" t="n">
        <v>0</v>
      </c>
      <c r="M2063" s="2">
        <f>IF(C2063="","",IFERROR(INDEX($S$5:$S$304,MATCH(C2063,$R$5:$R$304,0))&amp;"","?"))</f>
        <v/>
      </c>
      <c r="N2063" s="2">
        <f>IF(E2063="","",IF(ISNUMBER(SEARCH("SUBSOLO",E2063)),IFERROR(-VALUE(LEFT(E2063,FIND("º",SUBSTITUTE(E2063,"°","º"))-1)),-1),IF(LEFT(E2063,6)="TÉRREO",0,IFERROR(VALUE(LEFT(E2063,FIND("º",SUBSTITUTE(E2063,"°","º"))-1)),""))))</f>
        <v/>
      </c>
      <c r="O2063" s="2">
        <f>IF(OR(F2063="",G2063=""),"",IF(G2063&lt;='RETRATO 2027'!$K$5,"CONCLUÍDA",IF(F2063&lt;='RETRATO 2027'!$K$5,"EM ANDAMENTO","A INICIAR")))</f>
        <v/>
      </c>
    </row>
    <row r="2064">
      <c r="B2064" s="4" t="n">
        <v>30205758</v>
      </c>
      <c r="C2064" s="4" t="inlineStr">
        <is>
          <t>PAISAGISMO</t>
        </is>
      </c>
      <c r="D2064" s="4" t="inlineStr">
        <is>
          <t>-</t>
        </is>
      </c>
      <c r="E2064" s="4" t="inlineStr">
        <is>
          <t>TÉRREO - ÁREA EXTERNA RESIDENCIAL</t>
        </is>
      </c>
      <c r="F2064" s="126" t="n">
        <v>47028</v>
      </c>
      <c r="G2064" s="126" t="n">
        <v>47093</v>
      </c>
      <c r="H2064" s="126" t="n">
        <v>46289</v>
      </c>
      <c r="I2064" s="4" t="n">
        <v>0</v>
      </c>
      <c r="J2064" s="4" t="n">
        <v>0</v>
      </c>
      <c r="K2064" s="4" t="n">
        <v>0</v>
      </c>
      <c r="M2064" s="2">
        <f>IF(C2064="","",IFERROR(INDEX($S$5:$S$304,MATCH(C2064,$R$5:$R$304,0))&amp;"","?"))</f>
        <v/>
      </c>
      <c r="N2064" s="2">
        <f>IF(E2064="","",IF(ISNUMBER(SEARCH("SUBSOLO",E2064)),IFERROR(-VALUE(LEFT(E2064,FIND("º",SUBSTITUTE(E2064,"°","º"))-1)),-1),IF(LEFT(E2064,6)="TÉRREO",0,IFERROR(VALUE(LEFT(E2064,FIND("º",SUBSTITUTE(E2064,"°","º"))-1)),""))))</f>
        <v/>
      </c>
      <c r="O2064" s="2">
        <f>IF(OR(F2064="",G2064=""),"",IF(G2064&lt;='RETRATO 2027'!$K$5,"CONCLUÍDA",IF(F2064&lt;='RETRATO 2027'!$K$5,"EM ANDAMENTO","A INICIAR")))</f>
        <v/>
      </c>
    </row>
    <row r="2065">
      <c r="B2065" s="4" t="n">
        <v>30206116</v>
      </c>
      <c r="C2065" s="4" t="inlineStr">
        <is>
          <t>PINTURA 3º DEMÃO</t>
        </is>
      </c>
      <c r="D2065" s="4" t="inlineStr">
        <is>
          <t>-</t>
        </is>
      </c>
      <c r="E2065" s="4" t="inlineStr">
        <is>
          <t>6º PAV (PILOTIS) - ACADEMIA</t>
        </is>
      </c>
      <c r="F2065" s="126" t="n">
        <v>47028</v>
      </c>
      <c r="G2065" s="126" t="n">
        <v>47042</v>
      </c>
      <c r="H2065" s="126" t="n">
        <v>46289</v>
      </c>
      <c r="I2065" s="4" t="n">
        <v>0</v>
      </c>
      <c r="J2065" s="4" t="n">
        <v>0</v>
      </c>
      <c r="K2065" s="4" t="n">
        <v>0</v>
      </c>
      <c r="M2065" s="2">
        <f>IF(C2065="","",IFERROR(INDEX($S$5:$S$304,MATCH(C2065,$R$5:$R$304,0))&amp;"","?"))</f>
        <v/>
      </c>
      <c r="N2065" s="2">
        <f>IF(E2065="","",IF(ISNUMBER(SEARCH("SUBSOLO",E2065)),IFERROR(-VALUE(LEFT(E2065,FIND("º",SUBSTITUTE(E2065,"°","º"))-1)),-1),IF(LEFT(E2065,6)="TÉRREO",0,IFERROR(VALUE(LEFT(E2065,FIND("º",SUBSTITUTE(E2065,"°","º"))-1)),""))))</f>
        <v/>
      </c>
      <c r="O2065" s="2">
        <f>IF(OR(F2065="",G2065=""),"",IF(G2065&lt;='RETRATO 2027'!$K$5,"CONCLUÍDA",IF(F2065&lt;='RETRATO 2027'!$K$5,"EM ANDAMENTO","A INICIAR")))</f>
        <v/>
      </c>
    </row>
    <row r="2066">
      <c r="B2066" s="4" t="n">
        <v>29981143</v>
      </c>
      <c r="C2066" s="4" t="inlineStr">
        <is>
          <t>LIMPEZA FINA</t>
        </is>
      </c>
      <c r="D2066" s="4" t="inlineStr">
        <is>
          <t>-</t>
        </is>
      </c>
      <c r="E2066" s="4" t="inlineStr">
        <is>
          <t>18º PAV.</t>
        </is>
      </c>
      <c r="F2066" s="126" t="n">
        <v>47030</v>
      </c>
      <c r="G2066" s="126" t="n">
        <v>47043</v>
      </c>
      <c r="H2066" s="126" t="n">
        <v>46289</v>
      </c>
      <c r="I2066" s="4" t="n">
        <v>0</v>
      </c>
      <c r="J2066" s="4" t="n">
        <v>0</v>
      </c>
      <c r="K2066" s="4" t="n">
        <v>0</v>
      </c>
      <c r="M2066" s="2">
        <f>IF(C2066="","",IFERROR(INDEX($S$5:$S$304,MATCH(C2066,$R$5:$R$304,0))&amp;"","?"))</f>
        <v/>
      </c>
      <c r="N2066" s="2">
        <f>IF(E2066="","",IF(ISNUMBER(SEARCH("SUBSOLO",E2066)),IFERROR(-VALUE(LEFT(E2066,FIND("º",SUBSTITUTE(E2066,"°","º"))-1)),-1),IF(LEFT(E2066,6)="TÉRREO",0,IFERROR(VALUE(LEFT(E2066,FIND("º",SUBSTITUTE(E2066,"°","º"))-1)),""))))</f>
        <v/>
      </c>
      <c r="O2066" s="2">
        <f>IF(OR(F2066="",G2066=""),"",IF(G2066&lt;='RETRATO 2027'!$K$5,"CONCLUÍDA",IF(F2066&lt;='RETRATO 2027'!$K$5,"EM ANDAMENTO","A INICIAR")))</f>
        <v/>
      </c>
    </row>
    <row r="2067">
      <c r="B2067" s="4" t="n">
        <v>29981059</v>
      </c>
      <c r="C2067" s="4" t="inlineStr">
        <is>
          <t>PINTURA 3º DEMÃO</t>
        </is>
      </c>
      <c r="D2067" s="4" t="inlineStr">
        <is>
          <t>-</t>
        </is>
      </c>
      <c r="E2067" s="4" t="inlineStr">
        <is>
          <t>20º PAV.</t>
        </is>
      </c>
      <c r="F2067" s="126" t="n">
        <v>47030</v>
      </c>
      <c r="G2067" s="126" t="n">
        <v>47043</v>
      </c>
      <c r="H2067" s="126" t="n">
        <v>46289</v>
      </c>
      <c r="I2067" s="4" t="n">
        <v>0</v>
      </c>
      <c r="J2067" s="4" t="n">
        <v>0</v>
      </c>
      <c r="K2067" s="4" t="n">
        <v>0</v>
      </c>
      <c r="M2067" s="2">
        <f>IF(C2067="","",IFERROR(INDEX($S$5:$S$304,MATCH(C2067,$R$5:$R$304,0))&amp;"","?"))</f>
        <v/>
      </c>
      <c r="N2067" s="2">
        <f>IF(E2067="","",IF(ISNUMBER(SEARCH("SUBSOLO",E2067)),IFERROR(-VALUE(LEFT(E2067,FIND("º",SUBSTITUTE(E2067,"°","º"))-1)),-1),IF(LEFT(E2067,6)="TÉRREO",0,IFERROR(VALUE(LEFT(E2067,FIND("º",SUBSTITUTE(E2067,"°","º"))-1)),""))))</f>
        <v/>
      </c>
      <c r="O2067" s="2">
        <f>IF(OR(F2067="",G2067=""),"",IF(G2067&lt;='RETRATO 2027'!$K$5,"CONCLUÍDA",IF(F2067&lt;='RETRATO 2027'!$K$5,"EM ANDAMENTO","A INICIAR")))</f>
        <v/>
      </c>
    </row>
    <row r="2068">
      <c r="B2068" s="4" t="n">
        <v>30205855</v>
      </c>
      <c r="C2068" s="4" t="inlineStr">
        <is>
          <t>LIMPEZA FINA</t>
        </is>
      </c>
      <c r="D2068" s="4" t="inlineStr">
        <is>
          <t>-</t>
        </is>
      </c>
      <c r="E2068" s="4" t="inlineStr">
        <is>
          <t>1º PAV. (INTERMEDIÁRIO)</t>
        </is>
      </c>
      <c r="F2068" s="126" t="n">
        <v>47035</v>
      </c>
      <c r="G2068" s="126" t="n">
        <v>47049</v>
      </c>
      <c r="H2068" s="126" t="n">
        <v>46289</v>
      </c>
      <c r="I2068" s="4" t="n">
        <v>0</v>
      </c>
      <c r="J2068" s="4" t="n">
        <v>0</v>
      </c>
      <c r="K2068" s="4" t="n">
        <v>0</v>
      </c>
      <c r="M2068" s="2">
        <f>IF(C2068="","",IFERROR(INDEX($S$5:$S$304,MATCH(C2068,$R$5:$R$304,0))&amp;"","?"))</f>
        <v/>
      </c>
      <c r="N2068" s="2">
        <f>IF(E2068="","",IF(ISNUMBER(SEARCH("SUBSOLO",E2068)),IFERROR(-VALUE(LEFT(E2068,FIND("º",SUBSTITUTE(E2068,"°","º"))-1)),-1),IF(LEFT(E2068,6)="TÉRREO",0,IFERROR(VALUE(LEFT(E2068,FIND("º",SUBSTITUTE(E2068,"°","º"))-1)),""))))</f>
        <v/>
      </c>
      <c r="O2068" s="2">
        <f>IF(OR(F2068="",G2068=""),"",IF(G2068&lt;='RETRATO 2027'!$K$5,"CONCLUÍDA",IF(F2068&lt;='RETRATO 2027'!$K$5,"EM ANDAMENTO","A INICIAR")))</f>
        <v/>
      </c>
    </row>
    <row r="2069">
      <c r="B2069" s="4" t="n">
        <v>31800970</v>
      </c>
      <c r="C2069" s="4" t="inlineStr">
        <is>
          <t>TRATAMENTO DE CONCRETO APARENTE - F5</t>
        </is>
      </c>
      <c r="D2069" s="4" t="inlineStr">
        <is>
          <t>-</t>
        </is>
      </c>
      <c r="E2069" s="4" t="inlineStr">
        <is>
          <t>FACHADA</t>
        </is>
      </c>
      <c r="F2069" s="126" t="n">
        <v>47035</v>
      </c>
      <c r="G2069" s="126" t="n">
        <v>47064</v>
      </c>
      <c r="H2069" s="126" t="n">
        <v>46289</v>
      </c>
      <c r="I2069" s="4" t="n">
        <v>0</v>
      </c>
      <c r="J2069" s="4" t="n">
        <v>0</v>
      </c>
      <c r="K2069" s="4" t="n">
        <v>0</v>
      </c>
      <c r="M2069" s="2">
        <f>IF(C2069="","",IFERROR(INDEX($S$5:$S$304,MATCH(C2069,$R$5:$R$304,0))&amp;"","?"))</f>
        <v/>
      </c>
      <c r="N2069" s="2">
        <f>IF(E2069="","",IF(ISNUMBER(SEARCH("SUBSOLO",E2069)),IFERROR(-VALUE(LEFT(E2069,FIND("º",SUBSTITUTE(E2069,"°","º"))-1)),-1),IF(LEFT(E2069,6)="TÉRREO",0,IFERROR(VALUE(LEFT(E2069,FIND("º",SUBSTITUTE(E2069,"°","º"))-1)),""))))</f>
        <v/>
      </c>
      <c r="O2069" s="2">
        <f>IF(OR(F2069="",G2069=""),"",IF(G2069&lt;='RETRATO 2027'!$K$5,"CONCLUÍDA",IF(F2069&lt;='RETRATO 2027'!$K$5,"EM ANDAMENTO","A INICIAR")))</f>
        <v/>
      </c>
    </row>
    <row r="2070">
      <c r="B2070" s="4" t="n">
        <v>30171461</v>
      </c>
      <c r="C2070" s="4" t="inlineStr">
        <is>
          <t>PINTURA DE TUBULAÇÕES (PAREDE E TETO)</t>
        </is>
      </c>
      <c r="D2070" s="4" t="inlineStr">
        <is>
          <t>-</t>
        </is>
      </c>
      <c r="E2070" s="4" t="inlineStr">
        <is>
          <t>3º PAV - GARAGEM</t>
        </is>
      </c>
      <c r="F2070" s="126" t="n">
        <v>47036</v>
      </c>
      <c r="G2070" s="126" t="n">
        <v>47057</v>
      </c>
      <c r="H2070" s="126" t="n">
        <v>46289</v>
      </c>
      <c r="I2070" s="4" t="n">
        <v>0</v>
      </c>
      <c r="J2070" s="4" t="n">
        <v>0</v>
      </c>
      <c r="K2070" s="4" t="n">
        <v>0</v>
      </c>
      <c r="M2070" s="2">
        <f>IF(C2070="","",IFERROR(INDEX($S$5:$S$304,MATCH(C2070,$R$5:$R$304,0))&amp;"","?"))</f>
        <v/>
      </c>
      <c r="N2070" s="2">
        <f>IF(E2070="","",IF(ISNUMBER(SEARCH("SUBSOLO",E2070)),IFERROR(-VALUE(LEFT(E2070,FIND("º",SUBSTITUTE(E2070,"°","º"))-1)),-1),IF(LEFT(E2070,6)="TÉRREO",0,IFERROR(VALUE(LEFT(E2070,FIND("º",SUBSTITUTE(E2070,"°","º"))-1)),""))))</f>
        <v/>
      </c>
      <c r="O2070" s="2">
        <f>IF(OR(F2070="",G2070=""),"",IF(G2070&lt;='RETRATO 2027'!$K$5,"CONCLUÍDA",IF(F2070&lt;='RETRATO 2027'!$K$5,"EM ANDAMENTO","A INICIAR")))</f>
        <v/>
      </c>
    </row>
    <row r="2071">
      <c r="B2071" s="4" t="n">
        <v>30171413</v>
      </c>
      <c r="C2071" s="4" t="inlineStr">
        <is>
          <t>POLIMENTO DE PISO</t>
        </is>
      </c>
      <c r="D2071" s="4" t="inlineStr">
        <is>
          <t>-</t>
        </is>
      </c>
      <c r="E2071" s="4" t="inlineStr">
        <is>
          <t>4º PAV - GARAGEM</t>
        </is>
      </c>
      <c r="F2071" s="126" t="n">
        <v>47036</v>
      </c>
      <c r="G2071" s="126" t="n">
        <v>47067</v>
      </c>
      <c r="H2071" s="126" t="n">
        <v>46289</v>
      </c>
      <c r="I2071" s="4" t="n">
        <v>0</v>
      </c>
      <c r="J2071" s="4" t="n">
        <v>0</v>
      </c>
      <c r="K2071" s="4" t="n">
        <v>0</v>
      </c>
      <c r="M2071" s="2">
        <f>IF(C2071="","",IFERROR(INDEX($S$5:$S$304,MATCH(C2071,$R$5:$R$304,0))&amp;"","?"))</f>
        <v/>
      </c>
      <c r="N2071" s="2">
        <f>IF(E2071="","",IF(ISNUMBER(SEARCH("SUBSOLO",E2071)),IFERROR(-VALUE(LEFT(E2071,FIND("º",SUBSTITUTE(E2071,"°","º"))-1)),-1),IF(LEFT(E2071,6)="TÉRREO",0,IFERROR(VALUE(LEFT(E2071,FIND("º",SUBSTITUTE(E2071,"°","º"))-1)),""))))</f>
        <v/>
      </c>
      <c r="O2071" s="2">
        <f>IF(OR(F2071="",G2071=""),"",IF(G2071&lt;='RETRATO 2027'!$K$5,"CONCLUÍDA",IF(F2071&lt;='RETRATO 2027'!$K$5,"EM ANDAMENTO","A INICIAR")))</f>
        <v/>
      </c>
    </row>
    <row r="2072">
      <c r="B2072" s="4" t="n">
        <v>30208618</v>
      </c>
      <c r="C2072" s="4" t="inlineStr">
        <is>
          <t>INSTALAÇÃO DE LUMINÁRIAS</t>
        </is>
      </c>
      <c r="D2072" s="4" t="inlineStr">
        <is>
          <t>-</t>
        </is>
      </c>
      <c r="E2072" s="4" t="inlineStr">
        <is>
          <t>6º PAV (PILOTIS) - SAUNA + DUCHA</t>
        </is>
      </c>
      <c r="F2072" s="126" t="n">
        <v>47036</v>
      </c>
      <c r="G2072" s="126" t="n">
        <v>47043</v>
      </c>
      <c r="H2072" s="126" t="n">
        <v>46289</v>
      </c>
      <c r="I2072" s="4" t="n">
        <v>0</v>
      </c>
      <c r="J2072" s="4" t="n">
        <v>0</v>
      </c>
      <c r="K2072" s="4" t="n">
        <v>0</v>
      </c>
      <c r="M2072" s="2">
        <f>IF(C2072="","",IFERROR(INDEX($S$5:$S$304,MATCH(C2072,$R$5:$R$304,0))&amp;"","?"))</f>
        <v/>
      </c>
      <c r="N2072" s="2">
        <f>IF(E2072="","",IF(ISNUMBER(SEARCH("SUBSOLO",E2072)),IFERROR(-VALUE(LEFT(E2072,FIND("º",SUBSTITUTE(E2072,"°","º"))-1)),-1),IF(LEFT(E2072,6)="TÉRREO",0,IFERROR(VALUE(LEFT(E2072,FIND("º",SUBSTITUTE(E2072,"°","º"))-1)),""))))</f>
        <v/>
      </c>
      <c r="O2072" s="2">
        <f>IF(OR(F2072="",G2072=""),"",IF(G2072&lt;='RETRATO 2027'!$K$5,"CONCLUÍDA",IF(F2072&lt;='RETRATO 2027'!$K$5,"EM ANDAMENTO","A INICIAR")))</f>
        <v/>
      </c>
    </row>
    <row r="2073">
      <c r="B2073" s="4" t="n">
        <v>30206031</v>
      </c>
      <c r="C2073" s="4" t="inlineStr">
        <is>
          <t>ESQUADRIA MADEIRA</t>
        </is>
      </c>
      <c r="D2073" s="4" t="inlineStr">
        <is>
          <t>-</t>
        </is>
      </c>
      <c r="E2073" s="4" t="inlineStr">
        <is>
          <t>6º PAV (PILOTIS) - CHURRASQUEIRA + IS MASC. PCD + IS FEM. PCD + CIRCULAÇÃO 1 + HALL 1</t>
        </is>
      </c>
      <c r="F2073" s="126" t="n">
        <v>47036</v>
      </c>
      <c r="G2073" s="126" t="n">
        <v>47043</v>
      </c>
      <c r="H2073" s="126" t="n">
        <v>46289</v>
      </c>
      <c r="I2073" s="4" t="n">
        <v>0</v>
      </c>
      <c r="J2073" s="4" t="n">
        <v>0</v>
      </c>
      <c r="K2073" s="4" t="n">
        <v>0</v>
      </c>
      <c r="M2073" s="2">
        <f>IF(C2073="","",IFERROR(INDEX($S$5:$S$304,MATCH(C2073,$R$5:$R$304,0))&amp;"","?"))</f>
        <v/>
      </c>
      <c r="N2073" s="2">
        <f>IF(E2073="","",IF(ISNUMBER(SEARCH("SUBSOLO",E2073)),IFERROR(-VALUE(LEFT(E2073,FIND("º",SUBSTITUTE(E2073,"°","º"))-1)),-1),IF(LEFT(E2073,6)="TÉRREO",0,IFERROR(VALUE(LEFT(E2073,FIND("º",SUBSTITUTE(E2073,"°","º"))-1)),""))))</f>
        <v/>
      </c>
      <c r="O2073" s="2">
        <f>IF(OR(F2073="",G2073=""),"",IF(G2073&lt;='RETRATO 2027'!$K$5,"CONCLUÍDA",IF(F2073&lt;='RETRATO 2027'!$K$5,"EM ANDAMENTO","A INICIAR")))</f>
        <v/>
      </c>
    </row>
    <row r="2074">
      <c r="B2074" s="4" t="n">
        <v>30206033</v>
      </c>
      <c r="C2074" s="4" t="inlineStr">
        <is>
          <t>LOUÇAS</t>
        </is>
      </c>
      <c r="D2074" s="4" t="inlineStr">
        <is>
          <t>-</t>
        </is>
      </c>
      <c r="E2074" s="4" t="inlineStr">
        <is>
          <t>6º PAV (PILOTIS) - CHURRASQUEIRA + IS MASC. PCD + IS FEM. PCD + CIRCULAÇÃO 1 + HALL 1</t>
        </is>
      </c>
      <c r="F2074" s="126" t="n">
        <v>47036</v>
      </c>
      <c r="G2074" s="126" t="n">
        <v>47043</v>
      </c>
      <c r="H2074" s="126" t="n">
        <v>46289</v>
      </c>
      <c r="I2074" s="4" t="n">
        <v>0</v>
      </c>
      <c r="J2074" s="4" t="n">
        <v>0</v>
      </c>
      <c r="K2074" s="4" t="n">
        <v>0</v>
      </c>
      <c r="M2074" s="2">
        <f>IF(C2074="","",IFERROR(INDEX($S$5:$S$304,MATCH(C2074,$R$5:$R$304,0))&amp;"","?"))</f>
        <v/>
      </c>
      <c r="N2074" s="2">
        <f>IF(E2074="","",IF(ISNUMBER(SEARCH("SUBSOLO",E2074)),IFERROR(-VALUE(LEFT(E2074,FIND("º",SUBSTITUTE(E2074,"°","º"))-1)),-1),IF(LEFT(E2074,6)="TÉRREO",0,IFERROR(VALUE(LEFT(E2074,FIND("º",SUBSTITUTE(E2074,"°","º"))-1)),""))))</f>
        <v/>
      </c>
      <c r="O2074" s="2">
        <f>IF(OR(F2074="",G2074=""),"",IF(G2074&lt;='RETRATO 2027'!$K$5,"CONCLUÍDA",IF(F2074&lt;='RETRATO 2027'!$K$5,"EM ANDAMENTO","A INICIAR")))</f>
        <v/>
      </c>
    </row>
    <row r="2075">
      <c r="B2075" s="4" t="n">
        <v>30206038</v>
      </c>
      <c r="C2075" s="4" t="inlineStr">
        <is>
          <t>METAIS</t>
        </is>
      </c>
      <c r="D2075" s="4" t="inlineStr">
        <is>
          <t>-</t>
        </is>
      </c>
      <c r="E2075" s="4" t="inlineStr">
        <is>
          <t>6º PAV (PILOTIS) - CHURRASQUEIRA + IS MASC. PCD + IS FEM. PCD + CIRCULAÇÃO 1 + HALL 1</t>
        </is>
      </c>
      <c r="F2075" s="126" t="n">
        <v>47036</v>
      </c>
      <c r="G2075" s="126" t="n">
        <v>47043</v>
      </c>
      <c r="H2075" s="126" t="n">
        <v>46289</v>
      </c>
      <c r="I2075" s="4" t="n">
        <v>0</v>
      </c>
      <c r="J2075" s="4" t="n">
        <v>0</v>
      </c>
      <c r="K2075" s="4" t="n">
        <v>0</v>
      </c>
      <c r="M2075" s="2">
        <f>IF(C2075="","",IFERROR(INDEX($S$5:$S$304,MATCH(C2075,$R$5:$R$304,0))&amp;"","?"))</f>
        <v/>
      </c>
      <c r="N2075" s="2">
        <f>IF(E2075="","",IF(ISNUMBER(SEARCH("SUBSOLO",E2075)),IFERROR(-VALUE(LEFT(E2075,FIND("º",SUBSTITUTE(E2075,"°","º"))-1)),-1),IF(LEFT(E2075,6)="TÉRREO",0,IFERROR(VALUE(LEFT(E2075,FIND("º",SUBSTITUTE(E2075,"°","º"))-1)),""))))</f>
        <v/>
      </c>
      <c r="O2075" s="2">
        <f>IF(OR(F2075="",G2075=""),"",IF(G2075&lt;='RETRATO 2027'!$K$5,"CONCLUÍDA",IF(F2075&lt;='RETRATO 2027'!$K$5,"EM ANDAMENTO","A INICIAR")))</f>
        <v/>
      </c>
    </row>
    <row r="2076">
      <c r="B2076" s="4" t="n">
        <v>30206036</v>
      </c>
      <c r="C2076" s="4" t="inlineStr">
        <is>
          <t>COMUNICAÇÃO E ALARME</t>
        </is>
      </c>
      <c r="D2076" s="4" t="inlineStr">
        <is>
          <t>-</t>
        </is>
      </c>
      <c r="E2076" s="4" t="inlineStr">
        <is>
          <t>6º PAV (PILOTIS) - CHURRASQUEIRA + IS MASC. PCD + IS FEM. PCD + CIRCULAÇÃO 1 + HALL 1</t>
        </is>
      </c>
      <c r="F2076" s="126" t="n">
        <v>47036</v>
      </c>
      <c r="G2076" s="126" t="n">
        <v>47050</v>
      </c>
      <c r="H2076" s="126" t="n">
        <v>46289</v>
      </c>
      <c r="I2076" s="4" t="n">
        <v>0</v>
      </c>
      <c r="J2076" s="4" t="n">
        <v>0</v>
      </c>
      <c r="K2076" s="4" t="n">
        <v>0</v>
      </c>
      <c r="M2076" s="2">
        <f>IF(C2076="","",IFERROR(INDEX($S$5:$S$304,MATCH(C2076,$R$5:$R$304,0))&amp;"","?"))</f>
        <v/>
      </c>
      <c r="N2076" s="2">
        <f>IF(E2076="","",IF(ISNUMBER(SEARCH("SUBSOLO",E2076)),IFERROR(-VALUE(LEFT(E2076,FIND("º",SUBSTITUTE(E2076,"°","º"))-1)),-1),IF(LEFT(E2076,6)="TÉRREO",0,IFERROR(VALUE(LEFT(E2076,FIND("º",SUBSTITUTE(E2076,"°","º"))-1)),""))))</f>
        <v/>
      </c>
      <c r="O2076" s="2">
        <f>IF(OR(F2076="",G2076=""),"",IF(G2076&lt;='RETRATO 2027'!$K$5,"CONCLUÍDA",IF(F2076&lt;='RETRATO 2027'!$K$5,"EM ANDAMENTO","A INICIAR")))</f>
        <v/>
      </c>
    </row>
    <row r="2077">
      <c r="B2077" s="4" t="n">
        <v>30205992</v>
      </c>
      <c r="C2077" s="4" t="inlineStr">
        <is>
          <t>PINTURA 1º DEMÃO</t>
        </is>
      </c>
      <c r="D2077" s="4" t="inlineStr">
        <is>
          <t>-</t>
        </is>
      </c>
      <c r="E2077" s="4" t="inlineStr">
        <is>
          <t>6º PAV (PILOTIS) - COWORKING 1 E 2 + CIRC. 2 + HALL 2 + DML + VEST. MASC. + VEST. FEM</t>
        </is>
      </c>
      <c r="F2077" s="126" t="n">
        <v>47036</v>
      </c>
      <c r="G2077" s="126" t="n">
        <v>47050</v>
      </c>
      <c r="H2077" s="126" t="n">
        <v>46289</v>
      </c>
      <c r="I2077" s="4" t="n">
        <v>0</v>
      </c>
      <c r="J2077" s="4" t="n">
        <v>0</v>
      </c>
      <c r="K2077" s="4" t="n">
        <v>0</v>
      </c>
      <c r="M2077" s="2">
        <f>IF(C2077="","",IFERROR(INDEX($S$5:$S$304,MATCH(C2077,$R$5:$R$304,0))&amp;"","?"))</f>
        <v/>
      </c>
      <c r="N2077" s="2">
        <f>IF(E2077="","",IF(ISNUMBER(SEARCH("SUBSOLO",E2077)),IFERROR(-VALUE(LEFT(E2077,FIND("º",SUBSTITUTE(E2077,"°","º"))-1)),-1),IF(LEFT(E2077,6)="TÉRREO",0,IFERROR(VALUE(LEFT(E2077,FIND("º",SUBSTITUTE(E2077,"°","º"))-1)),""))))</f>
        <v/>
      </c>
      <c r="O2077" s="2">
        <f>IF(OR(F2077="",G2077=""),"",IF(G2077&lt;='RETRATO 2027'!$K$5,"CONCLUÍDA",IF(F2077&lt;='RETRATO 2027'!$K$5,"EM ANDAMENTO","A INICIAR")))</f>
        <v/>
      </c>
    </row>
    <row r="2078">
      <c r="B2078" s="4" t="n">
        <v>30205981</v>
      </c>
      <c r="C2078" s="4" t="inlineStr">
        <is>
          <t>MASSA CORRIDA</t>
        </is>
      </c>
      <c r="D2078" s="4" t="inlineStr">
        <is>
          <t>-</t>
        </is>
      </c>
      <c r="E2078" s="4" t="inlineStr">
        <is>
          <t>6º PAV (PILOTIS) - LOUNGE + SALÃO + COZINHA + GOURMET + ESPAÇO KIDS</t>
        </is>
      </c>
      <c r="F2078" s="126" t="n">
        <v>47036</v>
      </c>
      <c r="G2078" s="126" t="n">
        <v>47050</v>
      </c>
      <c r="H2078" s="126" t="n">
        <v>46289</v>
      </c>
      <c r="I2078" s="4" t="n">
        <v>0</v>
      </c>
      <c r="J2078" s="4" t="n">
        <v>0</v>
      </c>
      <c r="K2078" s="4" t="n">
        <v>0</v>
      </c>
      <c r="M2078" s="2">
        <f>IF(C2078="","",IFERROR(INDEX($S$5:$S$304,MATCH(C2078,$R$5:$R$304,0))&amp;"","?"))</f>
        <v/>
      </c>
      <c r="N2078" s="2">
        <f>IF(E2078="","",IF(ISNUMBER(SEARCH("SUBSOLO",E2078)),IFERROR(-VALUE(LEFT(E2078,FIND("º",SUBSTITUTE(E2078,"°","º"))-1)),-1),IF(LEFT(E2078,6)="TÉRREO",0,IFERROR(VALUE(LEFT(E2078,FIND("º",SUBSTITUTE(E2078,"°","º"))-1)),""))))</f>
        <v/>
      </c>
      <c r="O2078" s="2">
        <f>IF(OR(F2078="",G2078=""),"",IF(G2078&lt;='RETRATO 2027'!$K$5,"CONCLUÍDA",IF(F2078&lt;='RETRATO 2027'!$K$5,"EM ANDAMENTO","A INICIAR")))</f>
        <v/>
      </c>
    </row>
    <row r="2079">
      <c r="B2079" s="4" t="n">
        <v>29981021</v>
      </c>
      <c r="C2079" s="4" t="inlineStr">
        <is>
          <t>CHECKLIST</t>
        </is>
      </c>
      <c r="D2079" s="4" t="inlineStr">
        <is>
          <t>-</t>
        </is>
      </c>
      <c r="E2079" s="4" t="inlineStr">
        <is>
          <t>21º PAV.</t>
        </is>
      </c>
      <c r="F2079" s="126" t="n">
        <v>47036</v>
      </c>
      <c r="G2079" s="126" t="n">
        <v>47043</v>
      </c>
      <c r="H2079" s="126" t="n">
        <v>46289</v>
      </c>
      <c r="I2079" s="4" t="n">
        <v>0</v>
      </c>
      <c r="J2079" s="4" t="n">
        <v>0</v>
      </c>
      <c r="K2079" s="4" t="n">
        <v>0</v>
      </c>
      <c r="M2079" s="2">
        <f>IF(C2079="","",IFERROR(INDEX($S$5:$S$304,MATCH(C2079,$R$5:$R$304,0))&amp;"","?"))</f>
        <v/>
      </c>
      <c r="N2079" s="2">
        <f>IF(E2079="","",IF(ISNUMBER(SEARCH("SUBSOLO",E2079)),IFERROR(-VALUE(LEFT(E2079,FIND("º",SUBSTITUTE(E2079,"°","º"))-1)),-1),IF(LEFT(E2079,6)="TÉRREO",0,IFERROR(VALUE(LEFT(E2079,FIND("º",SUBSTITUTE(E2079,"°","º"))-1)),""))))</f>
        <v/>
      </c>
      <c r="O2079" s="2">
        <f>IF(OR(F2079="",G2079=""),"",IF(G2079&lt;='RETRATO 2027'!$K$5,"CONCLUÍDA",IF(F2079&lt;='RETRATO 2027'!$K$5,"EM ANDAMENTO","A INICIAR")))</f>
        <v/>
      </c>
    </row>
    <row r="2080">
      <c r="B2080" s="4" t="n">
        <v>29980986</v>
      </c>
      <c r="C2080" s="4" t="inlineStr">
        <is>
          <t>ACABAMENTOS ELÉTRICOS</t>
        </is>
      </c>
      <c r="D2080" s="4" t="inlineStr">
        <is>
          <t>-</t>
        </is>
      </c>
      <c r="E2080" s="4" t="inlineStr">
        <is>
          <t>22º PAV.</t>
        </is>
      </c>
      <c r="F2080" s="126" t="n">
        <v>47036</v>
      </c>
      <c r="G2080" s="126" t="n">
        <v>47049</v>
      </c>
      <c r="H2080" s="126" t="n">
        <v>46289</v>
      </c>
      <c r="I2080" s="4" t="n">
        <v>0</v>
      </c>
      <c r="J2080" s="4" t="n">
        <v>0</v>
      </c>
      <c r="K2080" s="4" t="n">
        <v>0</v>
      </c>
      <c r="M2080" s="2">
        <f>IF(C2080="","",IFERROR(INDEX($S$5:$S$304,MATCH(C2080,$R$5:$R$304,0))&amp;"","?"))</f>
        <v/>
      </c>
      <c r="N2080" s="2">
        <f>IF(E2080="","",IF(ISNUMBER(SEARCH("SUBSOLO",E2080)),IFERROR(-VALUE(LEFT(E2080,FIND("º",SUBSTITUTE(E2080,"°","º"))-1)),-1),IF(LEFT(E2080,6)="TÉRREO",0,IFERROR(VALUE(LEFT(E2080,FIND("º",SUBSTITUTE(E2080,"°","º"))-1)),""))))</f>
        <v/>
      </c>
      <c r="O2080" s="2">
        <f>IF(OR(F2080="",G2080=""),"",IF(G2080&lt;='RETRATO 2027'!$K$5,"CONCLUÍDA",IF(F2080&lt;='RETRATO 2027'!$K$5,"EM ANDAMENTO","A INICIAR")))</f>
        <v/>
      </c>
    </row>
    <row r="2081">
      <c r="B2081" s="4" t="n">
        <v>29980946</v>
      </c>
      <c r="C2081" s="4" t="inlineStr">
        <is>
          <t>PINTURA 2º DEMÃO</t>
        </is>
      </c>
      <c r="D2081" s="4" t="inlineStr">
        <is>
          <t>-</t>
        </is>
      </c>
      <c r="E2081" s="4" t="inlineStr">
        <is>
          <t>23º PAV.</t>
        </is>
      </c>
      <c r="F2081" s="126" t="n">
        <v>47036</v>
      </c>
      <c r="G2081" s="126" t="n">
        <v>47049</v>
      </c>
      <c r="H2081" s="126" t="n">
        <v>46289</v>
      </c>
      <c r="I2081" s="4" t="n">
        <v>0</v>
      </c>
      <c r="J2081" s="4" t="n">
        <v>0</v>
      </c>
      <c r="K2081" s="4" t="n">
        <v>0</v>
      </c>
      <c r="M2081" s="2">
        <f>IF(C2081="","",IFERROR(INDEX($S$5:$S$304,MATCH(C2081,$R$5:$R$304,0))&amp;"","?"))</f>
        <v/>
      </c>
      <c r="N2081" s="2">
        <f>IF(E2081="","",IF(ISNUMBER(SEARCH("SUBSOLO",E2081)),IFERROR(-VALUE(LEFT(E2081,FIND("º",SUBSTITUTE(E2081,"°","º"))-1)),-1),IF(LEFT(E2081,6)="TÉRREO",0,IFERROR(VALUE(LEFT(E2081,FIND("º",SUBSTITUTE(E2081,"°","º"))-1)),""))))</f>
        <v/>
      </c>
      <c r="O2081" s="2">
        <f>IF(OR(F2081="",G2081=""),"",IF(G2081&lt;='RETRATO 2027'!$K$5,"CONCLUÍDA",IF(F2081&lt;='RETRATO 2027'!$K$5,"EM ANDAMENTO","A INICIAR")))</f>
        <v/>
      </c>
    </row>
    <row r="2082">
      <c r="B2082" s="4" t="n">
        <v>33919800</v>
      </c>
      <c r="C2082" s="4" t="inlineStr">
        <is>
          <t>TEXTURA - EXTERNA</t>
        </is>
      </c>
      <c r="D2082" s="4" t="inlineStr">
        <is>
          <t>-</t>
        </is>
      </c>
      <c r="E2082" s="4" t="inlineStr">
        <is>
          <t>23º PAV.</t>
        </is>
      </c>
      <c r="F2082" s="126" t="n">
        <v>47036</v>
      </c>
      <c r="G2082" s="126" t="n">
        <v>47049</v>
      </c>
      <c r="H2082" s="126" t="n">
        <v>46289</v>
      </c>
      <c r="I2082" s="4" t="n">
        <v>0</v>
      </c>
      <c r="J2082" s="4" t="n">
        <v>0</v>
      </c>
      <c r="K2082" s="4" t="n">
        <v>0</v>
      </c>
      <c r="M2082" s="2">
        <f>IF(C2082="","",IFERROR(INDEX($S$5:$S$304,MATCH(C2082,$R$5:$R$304,0))&amp;"","?"))</f>
        <v/>
      </c>
      <c r="N2082" s="2">
        <f>IF(E2082="","",IF(ISNUMBER(SEARCH("SUBSOLO",E2082)),IFERROR(-VALUE(LEFT(E2082,FIND("º",SUBSTITUTE(E2082,"°","º"))-1)),-1),IF(LEFT(E2082,6)="TÉRREO",0,IFERROR(VALUE(LEFT(E2082,FIND("º",SUBSTITUTE(E2082,"°","º"))-1)),""))))</f>
        <v/>
      </c>
      <c r="O2082" s="2">
        <f>IF(OR(F2082="",G2082=""),"",IF(G2082&lt;='RETRATO 2027'!$K$5,"CONCLUÍDA",IF(F2082&lt;='RETRATO 2027'!$K$5,"EM ANDAMENTO","A INICIAR")))</f>
        <v/>
      </c>
    </row>
    <row r="2083">
      <c r="B2083" s="4" t="n">
        <v>29980908</v>
      </c>
      <c r="C2083" s="4" t="inlineStr">
        <is>
          <t>LIMPEZA GROSSA</t>
        </is>
      </c>
      <c r="D2083" s="4" t="inlineStr">
        <is>
          <t>-</t>
        </is>
      </c>
      <c r="E2083" s="4" t="inlineStr">
        <is>
          <t>24º PAV.</t>
        </is>
      </c>
      <c r="F2083" s="126" t="n">
        <v>47036</v>
      </c>
      <c r="G2083" s="126" t="n">
        <v>47049</v>
      </c>
      <c r="H2083" s="126" t="n">
        <v>46289</v>
      </c>
      <c r="I2083" s="4" t="n">
        <v>0</v>
      </c>
      <c r="J2083" s="4" t="n">
        <v>0</v>
      </c>
      <c r="K2083" s="4" t="n">
        <v>0</v>
      </c>
      <c r="M2083" s="2">
        <f>IF(C2083="","",IFERROR(INDEX($S$5:$S$304,MATCH(C2083,$R$5:$R$304,0))&amp;"","?"))</f>
        <v/>
      </c>
      <c r="N2083" s="2">
        <f>IF(E2083="","",IF(ISNUMBER(SEARCH("SUBSOLO",E2083)),IFERROR(-VALUE(LEFT(E2083,FIND("º",SUBSTITUTE(E2083,"°","º"))-1)),-1),IF(LEFT(E2083,6)="TÉRREO",0,IFERROR(VALUE(LEFT(E2083,FIND("º",SUBSTITUTE(E2083,"°","º"))-1)),""))))</f>
        <v/>
      </c>
      <c r="O2083" s="2">
        <f>IF(OR(F2083="",G2083=""),"",IF(G2083&lt;='RETRATO 2027'!$K$5,"CONCLUÍDA",IF(F2083&lt;='RETRATO 2027'!$K$5,"EM ANDAMENTO","A INICIAR")))</f>
        <v/>
      </c>
    </row>
    <row r="2084">
      <c r="B2084" s="4" t="n">
        <v>29980865</v>
      </c>
      <c r="C2084" s="4" t="inlineStr">
        <is>
          <t>LOUÇAS</t>
        </is>
      </c>
      <c r="D2084" s="4" t="inlineStr">
        <is>
          <t>-</t>
        </is>
      </c>
      <c r="E2084" s="4" t="inlineStr">
        <is>
          <t>25º PAV.</t>
        </is>
      </c>
      <c r="F2084" s="126" t="n">
        <v>47036</v>
      </c>
      <c r="G2084" s="126" t="n">
        <v>47049</v>
      </c>
      <c r="H2084" s="126" t="n">
        <v>46289</v>
      </c>
      <c r="I2084" s="4" t="n">
        <v>0</v>
      </c>
      <c r="J2084" s="4" t="n">
        <v>0</v>
      </c>
      <c r="K2084" s="4" t="n">
        <v>0</v>
      </c>
      <c r="M2084" s="2">
        <f>IF(C2084="","",IFERROR(INDEX($S$5:$S$304,MATCH(C2084,$R$5:$R$304,0))&amp;"","?"))</f>
        <v/>
      </c>
      <c r="N2084" s="2">
        <f>IF(E2084="","",IF(ISNUMBER(SEARCH("SUBSOLO",E2084)),IFERROR(-VALUE(LEFT(E2084,FIND("º",SUBSTITUTE(E2084,"°","º"))-1)),-1),IF(LEFT(E2084,6)="TÉRREO",0,IFERROR(VALUE(LEFT(E2084,FIND("º",SUBSTITUTE(E2084,"°","º"))-1)),""))))</f>
        <v/>
      </c>
      <c r="O2084" s="2">
        <f>IF(OR(F2084="",G2084=""),"",IF(G2084&lt;='RETRATO 2027'!$K$5,"CONCLUÍDA",IF(F2084&lt;='RETRATO 2027'!$K$5,"EM ANDAMENTO","A INICIAR")))</f>
        <v/>
      </c>
    </row>
    <row r="2085">
      <c r="B2085" s="4" t="n">
        <v>29980870</v>
      </c>
      <c r="C2085" s="4" t="inlineStr">
        <is>
          <t>METAIS</t>
        </is>
      </c>
      <c r="D2085" s="4" t="inlineStr">
        <is>
          <t>-</t>
        </is>
      </c>
      <c r="E2085" s="4" t="inlineStr">
        <is>
          <t>25º PAV.</t>
        </is>
      </c>
      <c r="F2085" s="126" t="n">
        <v>47036</v>
      </c>
      <c r="G2085" s="126" t="n">
        <v>47049</v>
      </c>
      <c r="H2085" s="126" t="n">
        <v>46289</v>
      </c>
      <c r="I2085" s="4" t="n">
        <v>0</v>
      </c>
      <c r="J2085" s="4" t="n">
        <v>0</v>
      </c>
      <c r="K2085" s="4" t="n">
        <v>0</v>
      </c>
      <c r="M2085" s="2">
        <f>IF(C2085="","",IFERROR(INDEX($S$5:$S$304,MATCH(C2085,$R$5:$R$304,0))&amp;"","?"))</f>
        <v/>
      </c>
      <c r="N2085" s="2">
        <f>IF(E2085="","",IF(ISNUMBER(SEARCH("SUBSOLO",E2085)),IFERROR(-VALUE(LEFT(E2085,FIND("º",SUBSTITUTE(E2085,"°","º"))-1)),-1),IF(LEFT(E2085,6)="TÉRREO",0,IFERROR(VALUE(LEFT(E2085,FIND("º",SUBSTITUTE(E2085,"°","º"))-1)),""))))</f>
        <v/>
      </c>
      <c r="O2085" s="2">
        <f>IF(OR(F2085="",G2085=""),"",IF(G2085&lt;='RETRATO 2027'!$K$5,"CONCLUÍDA",IF(F2085&lt;='RETRATO 2027'!$K$5,"EM ANDAMENTO","A INICIAR")))</f>
        <v/>
      </c>
    </row>
    <row r="2086">
      <c r="B2086" s="4" t="n">
        <v>29980869</v>
      </c>
      <c r="C2086" s="4" t="inlineStr">
        <is>
          <t>DISJUNTORES / MIOLOS</t>
        </is>
      </c>
      <c r="D2086" s="4" t="inlineStr">
        <is>
          <t>-</t>
        </is>
      </c>
      <c r="E2086" s="4" t="inlineStr">
        <is>
          <t>25º PAV.</t>
        </is>
      </c>
      <c r="F2086" s="126" t="n">
        <v>47036</v>
      </c>
      <c r="G2086" s="126" t="n">
        <v>47049</v>
      </c>
      <c r="H2086" s="126" t="n">
        <v>46289</v>
      </c>
      <c r="I2086" s="4" t="n">
        <v>0</v>
      </c>
      <c r="J2086" s="4" t="n">
        <v>0</v>
      </c>
      <c r="K2086" s="4" t="n">
        <v>0</v>
      </c>
      <c r="M2086" s="2">
        <f>IF(C2086="","",IFERROR(INDEX($S$5:$S$304,MATCH(C2086,$R$5:$R$304,0))&amp;"","?"))</f>
        <v/>
      </c>
      <c r="N2086" s="2">
        <f>IF(E2086="","",IF(ISNUMBER(SEARCH("SUBSOLO",E2086)),IFERROR(-VALUE(LEFT(E2086,FIND("º",SUBSTITUTE(E2086,"°","º"))-1)),-1),IF(LEFT(E2086,6)="TÉRREO",0,IFERROR(VALUE(LEFT(E2086,FIND("º",SUBSTITUTE(E2086,"°","º"))-1)),""))))</f>
        <v/>
      </c>
      <c r="O2086" s="2">
        <f>IF(OR(F2086="",G2086=""),"",IF(G2086&lt;='RETRATO 2027'!$K$5,"CONCLUÍDA",IF(F2086&lt;='RETRATO 2027'!$K$5,"EM ANDAMENTO","A INICIAR")))</f>
        <v/>
      </c>
    </row>
    <row r="2087">
      <c r="B2087" s="4" t="n">
        <v>29980868</v>
      </c>
      <c r="C2087" s="4" t="inlineStr">
        <is>
          <t>COMUNICAÇÃO E ALARME</t>
        </is>
      </c>
      <c r="D2087" s="4" t="inlineStr">
        <is>
          <t>-</t>
        </is>
      </c>
      <c r="E2087" s="4" t="inlineStr">
        <is>
          <t>25º PAV.</t>
        </is>
      </c>
      <c r="F2087" s="126" t="n">
        <v>47036</v>
      </c>
      <c r="G2087" s="126" t="n">
        <v>47049</v>
      </c>
      <c r="H2087" s="126" t="n">
        <v>46289</v>
      </c>
      <c r="I2087" s="4" t="n">
        <v>0</v>
      </c>
      <c r="J2087" s="4" t="n">
        <v>0</v>
      </c>
      <c r="K2087" s="4" t="n">
        <v>0</v>
      </c>
      <c r="M2087" s="2">
        <f>IF(C2087="","",IFERROR(INDEX($S$5:$S$304,MATCH(C2087,$R$5:$R$304,0))&amp;"","?"))</f>
        <v/>
      </c>
      <c r="N2087" s="2">
        <f>IF(E2087="","",IF(ISNUMBER(SEARCH("SUBSOLO",E2087)),IFERROR(-VALUE(LEFT(E2087,FIND("º",SUBSTITUTE(E2087,"°","º"))-1)),-1),IF(LEFT(E2087,6)="TÉRREO",0,IFERROR(VALUE(LEFT(E2087,FIND("º",SUBSTITUTE(E2087,"°","º"))-1)),""))))</f>
        <v/>
      </c>
      <c r="O2087" s="2">
        <f>IF(OR(F2087="",G2087=""),"",IF(G2087&lt;='RETRATO 2027'!$K$5,"CONCLUÍDA",IF(F2087&lt;='RETRATO 2027'!$K$5,"EM ANDAMENTO","A INICIAR")))</f>
        <v/>
      </c>
    </row>
    <row r="2088">
      <c r="B2088" s="4" t="n">
        <v>29980827</v>
      </c>
      <c r="C2088" s="4" t="inlineStr">
        <is>
          <t>RODAPÉ MADEIRA / PVC</t>
        </is>
      </c>
      <c r="D2088" s="4" t="inlineStr">
        <is>
          <t>-</t>
        </is>
      </c>
      <c r="E2088" s="4" t="inlineStr">
        <is>
          <t>26º PAV.</t>
        </is>
      </c>
      <c r="F2088" s="126" t="n">
        <v>47036</v>
      </c>
      <c r="G2088" s="126" t="n">
        <v>47049</v>
      </c>
      <c r="H2088" s="126" t="n">
        <v>46289</v>
      </c>
      <c r="I2088" s="4" t="n">
        <v>0</v>
      </c>
      <c r="J2088" s="4" t="n">
        <v>0</v>
      </c>
      <c r="K2088" s="4" t="n">
        <v>0</v>
      </c>
      <c r="M2088" s="2">
        <f>IF(C2088="","",IFERROR(INDEX($S$5:$S$304,MATCH(C2088,$R$5:$R$304,0))&amp;"","?"))</f>
        <v/>
      </c>
      <c r="N2088" s="2">
        <f>IF(E2088="","",IF(ISNUMBER(SEARCH("SUBSOLO",E2088)),IFERROR(-VALUE(LEFT(E2088,FIND("º",SUBSTITUTE(E2088,"°","º"))-1)),-1),IF(LEFT(E2088,6)="TÉRREO",0,IFERROR(VALUE(LEFT(E2088,FIND("º",SUBSTITUTE(E2088,"°","º"))-1)),""))))</f>
        <v/>
      </c>
      <c r="O2088" s="2">
        <f>IF(OR(F2088="",G2088=""),"",IF(G2088&lt;='RETRATO 2027'!$K$5,"CONCLUÍDA",IF(F2088&lt;='RETRATO 2027'!$K$5,"EM ANDAMENTO","A INICIAR")))</f>
        <v/>
      </c>
    </row>
    <row r="2089">
      <c r="B2089" s="4" t="n">
        <v>29980789</v>
      </c>
      <c r="C2089" s="4" t="inlineStr">
        <is>
          <t>ESQUADRIA MADEIRA</t>
        </is>
      </c>
      <c r="D2089" s="4" t="inlineStr">
        <is>
          <t>-</t>
        </is>
      </c>
      <c r="E2089" s="4" t="inlineStr">
        <is>
          <t>27º PAV.</t>
        </is>
      </c>
      <c r="F2089" s="126" t="n">
        <v>47036</v>
      </c>
      <c r="G2089" s="126" t="n">
        <v>47049</v>
      </c>
      <c r="H2089" s="126" t="n">
        <v>46289</v>
      </c>
      <c r="I2089" s="4" t="n">
        <v>0</v>
      </c>
      <c r="J2089" s="4" t="n">
        <v>0</v>
      </c>
      <c r="K2089" s="4" t="n">
        <v>0</v>
      </c>
      <c r="M2089" s="2">
        <f>IF(C2089="","",IFERROR(INDEX($S$5:$S$304,MATCH(C2089,$R$5:$R$304,0))&amp;"","?"))</f>
        <v/>
      </c>
      <c r="N2089" s="2">
        <f>IF(E2089="","",IF(ISNUMBER(SEARCH("SUBSOLO",E2089)),IFERROR(-VALUE(LEFT(E2089,FIND("º",SUBSTITUTE(E2089,"°","º"))-1)),-1),IF(LEFT(E2089,6)="TÉRREO",0,IFERROR(VALUE(LEFT(E2089,FIND("º",SUBSTITUTE(E2089,"°","º"))-1)),""))))</f>
        <v/>
      </c>
      <c r="O2089" s="2">
        <f>IF(OR(F2089="",G2089=""),"",IF(G2089&lt;='RETRATO 2027'!$K$5,"CONCLUÍDA",IF(F2089&lt;='RETRATO 2027'!$K$5,"EM ANDAMENTO","A INICIAR")))</f>
        <v/>
      </c>
    </row>
    <row r="2090">
      <c r="B2090" s="4" t="n">
        <v>29980751</v>
      </c>
      <c r="C2090" s="4" t="inlineStr">
        <is>
          <t>PISO VINÍLICO / LAMINADO</t>
        </is>
      </c>
      <c r="D2090" s="4" t="inlineStr">
        <is>
          <t>-</t>
        </is>
      </c>
      <c r="E2090" s="4" t="inlineStr">
        <is>
          <t>28º PAV.</t>
        </is>
      </c>
      <c r="F2090" s="126" t="n">
        <v>47036</v>
      </c>
      <c r="G2090" s="126" t="n">
        <v>47049</v>
      </c>
      <c r="H2090" s="126" t="n">
        <v>46289</v>
      </c>
      <c r="I2090" s="4" t="n">
        <v>0</v>
      </c>
      <c r="J2090" s="4" t="n">
        <v>0</v>
      </c>
      <c r="K2090" s="4" t="n">
        <v>0</v>
      </c>
      <c r="M2090" s="2">
        <f>IF(C2090="","",IFERROR(INDEX($S$5:$S$304,MATCH(C2090,$R$5:$R$304,0))&amp;"","?"))</f>
        <v/>
      </c>
      <c r="N2090" s="2">
        <f>IF(E2090="","",IF(ISNUMBER(SEARCH("SUBSOLO",E2090)),IFERROR(-VALUE(LEFT(E2090,FIND("º",SUBSTITUTE(E2090,"°","º"))-1)),-1),IF(LEFT(E2090,6)="TÉRREO",0,IFERROR(VALUE(LEFT(E2090,FIND("º",SUBSTITUTE(E2090,"°","º"))-1)),""))))</f>
        <v/>
      </c>
      <c r="O2090" s="2">
        <f>IF(OR(F2090="",G2090=""),"",IF(G2090&lt;='RETRATO 2027'!$K$5,"CONCLUÍDA",IF(F2090&lt;='RETRATO 2027'!$K$5,"EM ANDAMENTO","A INICIAR")))</f>
        <v/>
      </c>
    </row>
    <row r="2091">
      <c r="B2091" s="4" t="n">
        <v>29980713</v>
      </c>
      <c r="C2091" s="4" t="inlineStr">
        <is>
          <t>PINTURA 1º DEMÃO</t>
        </is>
      </c>
      <c r="D2091" s="4" t="inlineStr">
        <is>
          <t>-</t>
        </is>
      </c>
      <c r="E2091" s="4" t="inlineStr">
        <is>
          <t>29º PAV.</t>
        </is>
      </c>
      <c r="F2091" s="126" t="n">
        <v>47036</v>
      </c>
      <c r="G2091" s="126" t="n">
        <v>47049</v>
      </c>
      <c r="H2091" s="126" t="n">
        <v>46289</v>
      </c>
      <c r="I2091" s="4" t="n">
        <v>0</v>
      </c>
      <c r="J2091" s="4" t="n">
        <v>0</v>
      </c>
      <c r="K2091" s="4" t="n">
        <v>0</v>
      </c>
      <c r="M2091" s="2">
        <f>IF(C2091="","",IFERROR(INDEX($S$5:$S$304,MATCH(C2091,$R$5:$R$304,0))&amp;"","?"))</f>
        <v/>
      </c>
      <c r="N2091" s="2">
        <f>IF(E2091="","",IF(ISNUMBER(SEARCH("SUBSOLO",E2091)),IFERROR(-VALUE(LEFT(E2091,FIND("º",SUBSTITUTE(E2091,"°","º"))-1)),-1),IF(LEFT(E2091,6)="TÉRREO",0,IFERROR(VALUE(LEFT(E2091,FIND("º",SUBSTITUTE(E2091,"°","º"))-1)),""))))</f>
        <v/>
      </c>
      <c r="O2091" s="2">
        <f>IF(OR(F2091="",G2091=""),"",IF(G2091&lt;='RETRATO 2027'!$K$5,"CONCLUÍDA",IF(F2091&lt;='RETRATO 2027'!$K$5,"EM ANDAMENTO","A INICIAR")))</f>
        <v/>
      </c>
    </row>
    <row r="2092">
      <c r="B2092" s="4" t="n">
        <v>29980702</v>
      </c>
      <c r="C2092" s="4" t="inlineStr">
        <is>
          <t>MASSA CORRIDA</t>
        </is>
      </c>
      <c r="D2092" s="4" t="inlineStr">
        <is>
          <t>-</t>
        </is>
      </c>
      <c r="E2092" s="4" t="inlineStr">
        <is>
          <t>30º PAV.</t>
        </is>
      </c>
      <c r="F2092" s="126" t="n">
        <v>47036</v>
      </c>
      <c r="G2092" s="126" t="n">
        <v>47049</v>
      </c>
      <c r="H2092" s="126" t="n">
        <v>46289</v>
      </c>
      <c r="I2092" s="4" t="n">
        <v>0</v>
      </c>
      <c r="J2092" s="4" t="n">
        <v>0</v>
      </c>
      <c r="K2092" s="4" t="n">
        <v>0</v>
      </c>
      <c r="M2092" s="2">
        <f>IF(C2092="","",IFERROR(INDEX($S$5:$S$304,MATCH(C2092,$R$5:$R$304,0))&amp;"","?"))</f>
        <v/>
      </c>
      <c r="N2092" s="2">
        <f>IF(E2092="","",IF(ISNUMBER(SEARCH("SUBSOLO",E2092)),IFERROR(-VALUE(LEFT(E2092,FIND("º",SUBSTITUTE(E2092,"°","º"))-1)),-1),IF(LEFT(E2092,6)="TÉRREO",0,IFERROR(VALUE(LEFT(E2092,FIND("º",SUBSTITUTE(E2092,"°","º"))-1)),""))))</f>
        <v/>
      </c>
      <c r="O2092" s="2">
        <f>IF(OR(F2092="",G2092=""),"",IF(G2092&lt;='RETRATO 2027'!$K$5,"CONCLUÍDA",IF(F2092&lt;='RETRATO 2027'!$K$5,"EM ANDAMENTO","A INICIAR")))</f>
        <v/>
      </c>
    </row>
    <row r="2093">
      <c r="B2093" s="4" t="n">
        <v>33898115</v>
      </c>
      <c r="C2093" s="4" t="inlineStr">
        <is>
          <t>ESQUADRIA DE ALUMÍNIO</t>
        </is>
      </c>
      <c r="D2093" s="4" t="inlineStr">
        <is>
          <t>-</t>
        </is>
      </c>
      <c r="E2093" s="4" t="inlineStr">
        <is>
          <t>31º PAV. - COBERTURA LINEAR</t>
        </is>
      </c>
      <c r="F2093" s="126" t="n">
        <v>47036</v>
      </c>
      <c r="G2093" s="126" t="n">
        <v>47049</v>
      </c>
      <c r="H2093" s="126" t="n">
        <v>46289</v>
      </c>
      <c r="I2093" s="4" t="n">
        <v>0</v>
      </c>
      <c r="J2093" s="4" t="n">
        <v>0</v>
      </c>
      <c r="K2093" s="4" t="n">
        <v>0</v>
      </c>
      <c r="M2093" s="2">
        <f>IF(C2093="","",IFERROR(INDEX($S$5:$S$304,MATCH(C2093,$R$5:$R$304,0))&amp;"","?"))</f>
        <v/>
      </c>
      <c r="N2093" s="2">
        <f>IF(E2093="","",IF(ISNUMBER(SEARCH("SUBSOLO",E2093)),IFERROR(-VALUE(LEFT(E2093,FIND("º",SUBSTITUTE(E2093,"°","º"))-1)),-1),IF(LEFT(E2093,6)="TÉRREO",0,IFERROR(VALUE(LEFT(E2093,FIND("º",SUBSTITUTE(E2093,"°","º"))-1)),""))))</f>
        <v/>
      </c>
      <c r="O2093" s="2">
        <f>IF(OR(F2093="",G2093=""),"",IF(G2093&lt;='RETRATO 2027'!$K$5,"CONCLUÍDA",IF(F2093&lt;='RETRATO 2027'!$K$5,"EM ANDAMENTO","A INICIAR")))</f>
        <v/>
      </c>
    </row>
    <row r="2094">
      <c r="B2094" s="4" t="n">
        <v>29981105</v>
      </c>
      <c r="C2094" s="4" t="inlineStr">
        <is>
          <t>FIAÇÃO ELÉTRICA</t>
        </is>
      </c>
      <c r="D2094" s="4" t="inlineStr">
        <is>
          <t>-</t>
        </is>
      </c>
      <c r="E2094" s="4" t="inlineStr">
        <is>
          <t>19º PAV.</t>
        </is>
      </c>
      <c r="F2094" s="126" t="n">
        <v>47039</v>
      </c>
      <c r="G2094" s="126" t="n">
        <v>47050</v>
      </c>
      <c r="H2094" s="126" t="n">
        <v>46289</v>
      </c>
      <c r="I2094" s="4" t="n">
        <v>0</v>
      </c>
      <c r="J2094" s="4" t="n">
        <v>0</v>
      </c>
      <c r="K2094" s="4" t="n">
        <v>0</v>
      </c>
      <c r="M2094" s="2">
        <f>IF(C2094="","",IFERROR(INDEX($S$5:$S$304,MATCH(C2094,$R$5:$R$304,0))&amp;"","?"))</f>
        <v/>
      </c>
      <c r="N2094" s="2">
        <f>IF(E2094="","",IF(ISNUMBER(SEARCH("SUBSOLO",E2094)),IFERROR(-VALUE(LEFT(E2094,FIND("º",SUBSTITUTE(E2094,"°","º"))-1)),-1),IF(LEFT(E2094,6)="TÉRREO",0,IFERROR(VALUE(LEFT(E2094,FIND("º",SUBSTITUTE(E2094,"°","º"))-1)),""))))</f>
        <v/>
      </c>
      <c r="O2094" s="2">
        <f>IF(OR(F2094="",G2094=""),"",IF(G2094&lt;='RETRATO 2027'!$K$5,"CONCLUÍDA",IF(F2094&lt;='RETRATO 2027'!$K$5,"EM ANDAMENTO","A INICIAR")))</f>
        <v/>
      </c>
    </row>
    <row r="2095">
      <c r="B2095" s="4" t="n">
        <v>29981110</v>
      </c>
      <c r="C2095" s="4" t="inlineStr">
        <is>
          <t>PRUMADA ELÉTRICA - CABOS</t>
        </is>
      </c>
      <c r="D2095" s="4" t="inlineStr">
        <is>
          <t>-</t>
        </is>
      </c>
      <c r="E2095" s="4" t="inlineStr">
        <is>
          <t>19º PAV.</t>
        </is>
      </c>
      <c r="F2095" s="126" t="n">
        <v>47039</v>
      </c>
      <c r="G2095" s="126" t="n">
        <v>47051</v>
      </c>
      <c r="H2095" s="126" t="n">
        <v>46289</v>
      </c>
      <c r="I2095" s="4" t="n">
        <v>0</v>
      </c>
      <c r="J2095" s="4" t="n">
        <v>0</v>
      </c>
      <c r="K2095" s="4" t="n">
        <v>0</v>
      </c>
      <c r="M2095" s="2">
        <f>IF(C2095="","",IFERROR(INDEX($S$5:$S$304,MATCH(C2095,$R$5:$R$304,0))&amp;"","?"))</f>
        <v/>
      </c>
      <c r="N2095" s="2">
        <f>IF(E2095="","",IF(ISNUMBER(SEARCH("SUBSOLO",E2095)),IFERROR(-VALUE(LEFT(E2095,FIND("º",SUBSTITUTE(E2095,"°","º"))-1)),-1),IF(LEFT(E2095,6)="TÉRREO",0,IFERROR(VALUE(LEFT(E2095,FIND("º",SUBSTITUTE(E2095,"°","º"))-1)),""))))</f>
        <v/>
      </c>
      <c r="O2095" s="2">
        <f>IF(OR(F2095="",G2095=""),"",IF(G2095&lt;='RETRATO 2027'!$K$5,"CONCLUÍDA",IF(F2095&lt;='RETRATO 2027'!$K$5,"EM ANDAMENTO","A INICIAR")))</f>
        <v/>
      </c>
    </row>
    <row r="2096">
      <c r="B2096" s="4" t="n">
        <v>30214081</v>
      </c>
      <c r="C2096" s="4" t="inlineStr">
        <is>
          <t>FIAÇÃO TELECOM/DADOS</t>
        </is>
      </c>
      <c r="D2096" s="4" t="inlineStr">
        <is>
          <t>-</t>
        </is>
      </c>
      <c r="E2096" s="4" t="inlineStr">
        <is>
          <t>19º PAV.</t>
        </is>
      </c>
      <c r="F2096" s="126" t="n">
        <v>47039</v>
      </c>
      <c r="G2096" s="126" t="n">
        <v>47052</v>
      </c>
      <c r="H2096" s="126" t="n">
        <v>46289</v>
      </c>
      <c r="I2096" s="4" t="n">
        <v>0</v>
      </c>
      <c r="J2096" s="4" t="n">
        <v>0</v>
      </c>
      <c r="K2096" s="4" t="n">
        <v>0</v>
      </c>
      <c r="M2096" s="2">
        <f>IF(C2096="","",IFERROR(INDEX($S$5:$S$304,MATCH(C2096,$R$5:$R$304,0))&amp;"","?"))</f>
        <v/>
      </c>
      <c r="N2096" s="2">
        <f>IF(E2096="","",IF(ISNUMBER(SEARCH("SUBSOLO",E2096)),IFERROR(-VALUE(LEFT(E2096,FIND("º",SUBSTITUTE(E2096,"°","º"))-1)),-1),IF(LEFT(E2096,6)="TÉRREO",0,IFERROR(VALUE(LEFT(E2096,FIND("º",SUBSTITUTE(E2096,"°","º"))-1)),""))))</f>
        <v/>
      </c>
      <c r="O2096" s="2">
        <f>IF(OR(F2096="",G2096=""),"",IF(G2096&lt;='RETRATO 2027'!$K$5,"CONCLUÍDA",IF(F2096&lt;='RETRATO 2027'!$K$5,"EM ANDAMENTO","A INICIAR")))</f>
        <v/>
      </c>
    </row>
    <row r="2097">
      <c r="B2097" s="4" t="n">
        <v>30171475</v>
      </c>
      <c r="C2097" s="4" t="inlineStr">
        <is>
          <t>ACABAMENTOS ELÉTRICOS</t>
        </is>
      </c>
      <c r="D2097" s="4" t="inlineStr">
        <is>
          <t>-</t>
        </is>
      </c>
      <c r="E2097" s="4" t="inlineStr">
        <is>
          <t>2º PAV - GARAGEM</t>
        </is>
      </c>
      <c r="F2097" s="126" t="n">
        <v>47042</v>
      </c>
      <c r="G2097" s="126" t="n">
        <v>47053</v>
      </c>
      <c r="H2097" s="126" t="n">
        <v>46289</v>
      </c>
      <c r="I2097" s="4" t="n">
        <v>0</v>
      </c>
      <c r="J2097" s="4" t="n">
        <v>0</v>
      </c>
      <c r="K2097" s="4" t="n">
        <v>0</v>
      </c>
      <c r="M2097" s="2">
        <f>IF(C2097="","",IFERROR(INDEX($S$5:$S$304,MATCH(C2097,$R$5:$R$304,0))&amp;"","?"))</f>
        <v/>
      </c>
      <c r="N2097" s="2">
        <f>IF(E2097="","",IF(ISNUMBER(SEARCH("SUBSOLO",E2097)),IFERROR(-VALUE(LEFT(E2097,FIND("º",SUBSTITUTE(E2097,"°","º"))-1)),-1),IF(LEFT(E2097,6)="TÉRREO",0,IFERROR(VALUE(LEFT(E2097,FIND("º",SUBSTITUTE(E2097,"°","º"))-1)),""))))</f>
        <v/>
      </c>
      <c r="O2097" s="2">
        <f>IF(OR(F2097="",G2097=""),"",IF(G2097&lt;='RETRATO 2027'!$K$5,"CONCLUÍDA",IF(F2097&lt;='RETRATO 2027'!$K$5,"EM ANDAMENTO","A INICIAR")))</f>
        <v/>
      </c>
    </row>
    <row r="2098">
      <c r="B2098" s="4" t="n">
        <v>30171474</v>
      </c>
      <c r="C2098" s="4" t="inlineStr">
        <is>
          <t>DEMARCAÇÃO DE VAGAS</t>
        </is>
      </c>
      <c r="D2098" s="4" t="inlineStr">
        <is>
          <t>-</t>
        </is>
      </c>
      <c r="E2098" s="4" t="inlineStr">
        <is>
          <t>2º PAV - GARAGEM</t>
        </is>
      </c>
      <c r="F2098" s="126" t="n">
        <v>47042</v>
      </c>
      <c r="G2098" s="126" t="n">
        <v>47070</v>
      </c>
      <c r="H2098" s="126" t="n">
        <v>46289</v>
      </c>
      <c r="I2098" s="4" t="n">
        <v>0</v>
      </c>
      <c r="J2098" s="4" t="n">
        <v>0</v>
      </c>
      <c r="K2098" s="4" t="n">
        <v>0</v>
      </c>
      <c r="M2098" s="2">
        <f>IF(C2098="","",IFERROR(INDEX($S$5:$S$304,MATCH(C2098,$R$5:$R$304,0))&amp;"","?"))</f>
        <v/>
      </c>
      <c r="N2098" s="2">
        <f>IF(E2098="","",IF(ISNUMBER(SEARCH("SUBSOLO",E2098)),IFERROR(-VALUE(LEFT(E2098,FIND("º",SUBSTITUTE(E2098,"°","º"))-1)),-1),IF(LEFT(E2098,6)="TÉRREO",0,IFERROR(VALUE(LEFT(E2098,FIND("º",SUBSTITUTE(E2098,"°","º"))-1)),""))))</f>
        <v/>
      </c>
      <c r="O2098" s="2">
        <f>IF(OR(F2098="",G2098=""),"",IF(G2098&lt;='RETRATO 2027'!$K$5,"CONCLUÍDA",IF(F2098&lt;='RETRATO 2027'!$K$5,"EM ANDAMENTO","A INICIAR")))</f>
        <v/>
      </c>
    </row>
    <row r="2099">
      <c r="B2099" s="4" t="n">
        <v>30171486</v>
      </c>
      <c r="C2099" s="4" t="inlineStr">
        <is>
          <t>INSTALAÇÃO DE METAIS</t>
        </is>
      </c>
      <c r="D2099" s="4" t="inlineStr">
        <is>
          <t>-</t>
        </is>
      </c>
      <c r="E2099" s="4" t="inlineStr">
        <is>
          <t>2º PAV - GARAGEM</t>
        </is>
      </c>
      <c r="F2099" s="126" t="n">
        <v>47042</v>
      </c>
      <c r="G2099" s="126" t="n">
        <v>47053</v>
      </c>
      <c r="H2099" s="126" t="n">
        <v>46289</v>
      </c>
      <c r="I2099" s="4" t="n">
        <v>0</v>
      </c>
      <c r="J2099" s="4" t="n">
        <v>0</v>
      </c>
      <c r="K2099" s="4" t="n">
        <v>0</v>
      </c>
      <c r="M2099" s="2">
        <f>IF(C2099="","",IFERROR(INDEX($S$5:$S$304,MATCH(C2099,$R$5:$R$304,0))&amp;"","?"))</f>
        <v/>
      </c>
      <c r="N2099" s="2">
        <f>IF(E2099="","",IF(ISNUMBER(SEARCH("SUBSOLO",E2099)),IFERROR(-VALUE(LEFT(E2099,FIND("º",SUBSTITUTE(E2099,"°","º"))-1)),-1),IF(LEFT(E2099,6)="TÉRREO",0,IFERROR(VALUE(LEFT(E2099,FIND("º",SUBSTITUTE(E2099,"°","º"))-1)),""))))</f>
        <v/>
      </c>
      <c r="O2099" s="2">
        <f>IF(OR(F2099="",G2099=""),"",IF(G2099&lt;='RETRATO 2027'!$K$5,"CONCLUÍDA",IF(F2099&lt;='RETRATO 2027'!$K$5,"EM ANDAMENTO","A INICIAR")))</f>
        <v/>
      </c>
    </row>
    <row r="2100">
      <c r="B2100" s="4" t="n">
        <v>30171487</v>
      </c>
      <c r="C2100" s="4" t="inlineStr">
        <is>
          <t>INST. CARREGADOR DE VEÍCULOS</t>
        </is>
      </c>
      <c r="D2100" s="4" t="inlineStr">
        <is>
          <t>-</t>
        </is>
      </c>
      <c r="E2100" s="4" t="inlineStr">
        <is>
          <t>2º PAV - GARAGEM</t>
        </is>
      </c>
      <c r="F2100" s="126" t="n">
        <v>47042</v>
      </c>
      <c r="G2100" s="126" t="n">
        <v>47053</v>
      </c>
      <c r="H2100" s="126" t="n">
        <v>46289</v>
      </c>
      <c r="I2100" s="4" t="n">
        <v>0</v>
      </c>
      <c r="J2100" s="4" t="n">
        <v>0</v>
      </c>
      <c r="K2100" s="4" t="n">
        <v>0</v>
      </c>
      <c r="M2100" s="2">
        <f>IF(C2100="","",IFERROR(INDEX($S$5:$S$304,MATCH(C2100,$R$5:$R$304,0))&amp;"","?"))</f>
        <v/>
      </c>
      <c r="N2100" s="2">
        <f>IF(E2100="","",IF(ISNUMBER(SEARCH("SUBSOLO",E2100)),IFERROR(-VALUE(LEFT(E2100,FIND("º",SUBSTITUTE(E2100,"°","º"))-1)),-1),IF(LEFT(E2100,6)="TÉRREO",0,IFERROR(VALUE(LEFT(E2100,FIND("º",SUBSTITUTE(E2100,"°","º"))-1)),""))))</f>
        <v/>
      </c>
      <c r="O2100" s="2">
        <f>IF(OR(F2100="",G2100=""),"",IF(G2100&lt;='RETRATO 2027'!$K$5,"CONCLUÍDA",IF(F2100&lt;='RETRATO 2027'!$K$5,"EM ANDAMENTO","A INICIAR")))</f>
        <v/>
      </c>
    </row>
    <row r="2101">
      <c r="B2101" s="4" t="n">
        <v>30171490</v>
      </c>
      <c r="C2101" s="4" t="inlineStr">
        <is>
          <t>PLACAS E IDEINTIFIC. VISUAIS</t>
        </is>
      </c>
      <c r="D2101" s="4" t="inlineStr">
        <is>
          <t>-</t>
        </is>
      </c>
      <c r="E2101" s="4" t="inlineStr">
        <is>
          <t>2º PAV - GARAGEM</t>
        </is>
      </c>
      <c r="F2101" s="126" t="n">
        <v>47042</v>
      </c>
      <c r="G2101" s="126" t="n">
        <v>47053</v>
      </c>
      <c r="H2101" s="126" t="n">
        <v>46289</v>
      </c>
      <c r="I2101" s="4" t="n">
        <v>0</v>
      </c>
      <c r="J2101" s="4" t="n">
        <v>0</v>
      </c>
      <c r="K2101" s="4" t="n">
        <v>0</v>
      </c>
      <c r="M2101" s="2">
        <f>IF(C2101="","",IFERROR(INDEX($S$5:$S$304,MATCH(C2101,$R$5:$R$304,0))&amp;"","?"))</f>
        <v/>
      </c>
      <c r="N2101" s="2">
        <f>IF(E2101="","",IF(ISNUMBER(SEARCH("SUBSOLO",E2101)),IFERROR(-VALUE(LEFT(E2101,FIND("º",SUBSTITUTE(E2101,"°","º"))-1)),-1),IF(LEFT(E2101,6)="TÉRREO",0,IFERROR(VALUE(LEFT(E2101,FIND("º",SUBSTITUTE(E2101,"°","º"))-1)),""))))</f>
        <v/>
      </c>
      <c r="O2101" s="2">
        <f>IF(OR(F2101="",G2101=""),"",IF(G2101&lt;='RETRATO 2027'!$K$5,"CONCLUÍDA",IF(F2101&lt;='RETRATO 2027'!$K$5,"EM ANDAMENTO","A INICIAR")))</f>
        <v/>
      </c>
    </row>
    <row r="2102">
      <c r="B2102" s="4" t="n">
        <v>30171445</v>
      </c>
      <c r="C2102" s="4" t="inlineStr">
        <is>
          <t>TEXTURA - 1º DEMÃO</t>
        </is>
      </c>
      <c r="D2102" s="4" t="inlineStr">
        <is>
          <t>-</t>
        </is>
      </c>
      <c r="E2102" s="4" t="inlineStr">
        <is>
          <t>3º PAV - GARAGEM</t>
        </is>
      </c>
      <c r="F2102" s="126" t="n">
        <v>47042</v>
      </c>
      <c r="G2102" s="126" t="n">
        <v>47079</v>
      </c>
      <c r="H2102" s="126" t="n">
        <v>46289</v>
      </c>
      <c r="I2102" s="4" t="n">
        <v>0</v>
      </c>
      <c r="J2102" s="4" t="n">
        <v>0</v>
      </c>
      <c r="K2102" s="4" t="n">
        <v>0</v>
      </c>
      <c r="M2102" s="2">
        <f>IF(C2102="","",IFERROR(INDEX($S$5:$S$304,MATCH(C2102,$R$5:$R$304,0))&amp;"","?"))</f>
        <v/>
      </c>
      <c r="N2102" s="2">
        <f>IF(E2102="","",IF(ISNUMBER(SEARCH("SUBSOLO",E2102)),IFERROR(-VALUE(LEFT(E2102,FIND("º",SUBSTITUTE(E2102,"°","º"))-1)),-1),IF(LEFT(E2102,6)="TÉRREO",0,IFERROR(VALUE(LEFT(E2102,FIND("º",SUBSTITUTE(E2102,"°","º"))-1)),""))))</f>
        <v/>
      </c>
      <c r="O2102" s="2">
        <f>IF(OR(F2102="",G2102=""),"",IF(G2102&lt;='RETRATO 2027'!$K$5,"CONCLUÍDA",IF(F2102&lt;='RETRATO 2027'!$K$5,"EM ANDAMENTO","A INICIAR")))</f>
        <v/>
      </c>
    </row>
    <row r="2103">
      <c r="B2103" s="4" t="n">
        <v>30206126</v>
      </c>
      <c r="C2103" s="4" t="inlineStr">
        <is>
          <t>LIMPEZA FINA</t>
        </is>
      </c>
      <c r="D2103" s="4" t="inlineStr">
        <is>
          <t>-</t>
        </is>
      </c>
      <c r="E2103" s="4" t="inlineStr">
        <is>
          <t>6º PAV (PILOTIS) - ACADEMIA</t>
        </is>
      </c>
      <c r="F2103" s="126" t="n">
        <v>47043</v>
      </c>
      <c r="G2103" s="126" t="n">
        <v>47056</v>
      </c>
      <c r="H2103" s="126" t="n">
        <v>46289</v>
      </c>
      <c r="I2103" s="4" t="n">
        <v>0</v>
      </c>
      <c r="J2103" s="4" t="n">
        <v>0</v>
      </c>
      <c r="K2103" s="4" t="n">
        <v>0</v>
      </c>
      <c r="M2103" s="2">
        <f>IF(C2103="","",IFERROR(INDEX($S$5:$S$304,MATCH(C2103,$R$5:$R$304,0))&amp;"","?"))</f>
        <v/>
      </c>
      <c r="N2103" s="2">
        <f>IF(E2103="","",IF(ISNUMBER(SEARCH("SUBSOLO",E2103)),IFERROR(-VALUE(LEFT(E2103,FIND("º",SUBSTITUTE(E2103,"°","º"))-1)),-1),IF(LEFT(E2103,6)="TÉRREO",0,IFERROR(VALUE(LEFT(E2103,FIND("º",SUBSTITUTE(E2103,"°","º"))-1)),""))))</f>
        <v/>
      </c>
      <c r="O2103" s="2">
        <f>IF(OR(F2103="",G2103=""),"",IF(G2103&lt;='RETRATO 2027'!$K$5,"CONCLUÍDA",IF(F2103&lt;='RETRATO 2027'!$K$5,"EM ANDAMENTO","A INICIAR")))</f>
        <v/>
      </c>
    </row>
    <row r="2104">
      <c r="B2104" s="4" t="n">
        <v>30206076</v>
      </c>
      <c r="C2104" s="4" t="inlineStr">
        <is>
          <t>LIMPEZA GROSSA</t>
        </is>
      </c>
      <c r="D2104" s="4" t="inlineStr">
        <is>
          <t>-</t>
        </is>
      </c>
      <c r="E2104" s="4" t="inlineStr">
        <is>
          <t>6º PAV (PILOTIS) - SAUNA + DUCHA</t>
        </is>
      </c>
      <c r="F2104" s="126" t="n">
        <v>47044</v>
      </c>
      <c r="G2104" s="126" t="n">
        <v>47057</v>
      </c>
      <c r="H2104" s="126" t="n">
        <v>46289</v>
      </c>
      <c r="I2104" s="4" t="n">
        <v>0</v>
      </c>
      <c r="J2104" s="4" t="n">
        <v>0</v>
      </c>
      <c r="K2104" s="4" t="n">
        <v>0</v>
      </c>
      <c r="M2104" s="2">
        <f>IF(C2104="","",IFERROR(INDEX($S$5:$S$304,MATCH(C2104,$R$5:$R$304,0))&amp;"","?"))</f>
        <v/>
      </c>
      <c r="N2104" s="2">
        <f>IF(E2104="","",IF(ISNUMBER(SEARCH("SUBSOLO",E2104)),IFERROR(-VALUE(LEFT(E2104,FIND("º",SUBSTITUTE(E2104,"°","º"))-1)),-1),IF(LEFT(E2104,6)="TÉRREO",0,IFERROR(VALUE(LEFT(E2104,FIND("º",SUBSTITUTE(E2104,"°","º"))-1)),""))))</f>
        <v/>
      </c>
      <c r="O2104" s="2">
        <f>IF(OR(F2104="",G2104=""),"",IF(G2104&lt;='RETRATO 2027'!$K$5,"CONCLUÍDA",IF(F2104&lt;='RETRATO 2027'!$K$5,"EM ANDAMENTO","A INICIAR")))</f>
        <v/>
      </c>
    </row>
    <row r="2105">
      <c r="B2105" s="4" t="n">
        <v>30208619</v>
      </c>
      <c r="C2105" s="4" t="inlineStr">
        <is>
          <t>INSTALAÇÃO DE LUMINÁRIAS</t>
        </is>
      </c>
      <c r="D2105" s="4" t="inlineStr">
        <is>
          <t>-</t>
        </is>
      </c>
      <c r="E2105" s="4" t="inlineStr">
        <is>
          <t>6º PAV (PILOTIS) - CHURRASQUEIRA + IS MASC. PCD + IS FEM. PCD + CIRCULAÇÃO 1 + HALL 1</t>
        </is>
      </c>
      <c r="F2105" s="126" t="n">
        <v>47044</v>
      </c>
      <c r="G2105" s="126" t="n">
        <v>47050</v>
      </c>
      <c r="H2105" s="126" t="n">
        <v>46289</v>
      </c>
      <c r="I2105" s="4" t="n">
        <v>0</v>
      </c>
      <c r="J2105" s="4" t="n">
        <v>0</v>
      </c>
      <c r="K2105" s="4" t="n">
        <v>0</v>
      </c>
      <c r="M2105" s="2">
        <f>IF(C2105="","",IFERROR(INDEX($S$5:$S$304,MATCH(C2105,$R$5:$R$304,0))&amp;"","?"))</f>
        <v/>
      </c>
      <c r="N2105" s="2">
        <f>IF(E2105="","",IF(ISNUMBER(SEARCH("SUBSOLO",E2105)),IFERROR(-VALUE(LEFT(E2105,FIND("º",SUBSTITUTE(E2105,"°","º"))-1)),-1),IF(LEFT(E2105,6)="TÉRREO",0,IFERROR(VALUE(LEFT(E2105,FIND("º",SUBSTITUTE(E2105,"°","º"))-1)),""))))</f>
        <v/>
      </c>
      <c r="O2105" s="2">
        <f>IF(OR(F2105="",G2105=""),"",IF(G2105&lt;='RETRATO 2027'!$K$5,"CONCLUÍDA",IF(F2105&lt;='RETRATO 2027'!$K$5,"EM ANDAMENTO","A INICIAR")))</f>
        <v/>
      </c>
    </row>
    <row r="2106">
      <c r="B2106" s="4" t="n">
        <v>29981069</v>
      </c>
      <c r="C2106" s="4" t="inlineStr">
        <is>
          <t>LIMPEZA FINA</t>
        </is>
      </c>
      <c r="D2106" s="4" t="inlineStr">
        <is>
          <t>-</t>
        </is>
      </c>
      <c r="E2106" s="4" t="inlineStr">
        <is>
          <t>20º PAV.</t>
        </is>
      </c>
      <c r="F2106" s="126" t="n">
        <v>47044</v>
      </c>
      <c r="G2106" s="126" t="n">
        <v>47056</v>
      </c>
      <c r="H2106" s="126" t="n">
        <v>46289</v>
      </c>
      <c r="I2106" s="4" t="n">
        <v>0</v>
      </c>
      <c r="J2106" s="4" t="n">
        <v>0</v>
      </c>
      <c r="K2106" s="4" t="n">
        <v>0</v>
      </c>
      <c r="M2106" s="2">
        <f>IF(C2106="","",IFERROR(INDEX($S$5:$S$304,MATCH(C2106,$R$5:$R$304,0))&amp;"","?"))</f>
        <v/>
      </c>
      <c r="N2106" s="2">
        <f>IF(E2106="","",IF(ISNUMBER(SEARCH("SUBSOLO",E2106)),IFERROR(-VALUE(LEFT(E2106,FIND("º",SUBSTITUTE(E2106,"°","º"))-1)),-1),IF(LEFT(E2106,6)="TÉRREO",0,IFERROR(VALUE(LEFT(E2106,FIND("º",SUBSTITUTE(E2106,"°","º"))-1)),""))))</f>
        <v/>
      </c>
      <c r="O2106" s="2">
        <f>IF(OR(F2106="",G2106=""),"",IF(G2106&lt;='RETRATO 2027'!$K$5,"CONCLUÍDA",IF(F2106&lt;='RETRATO 2027'!$K$5,"EM ANDAMENTO","A INICIAR")))</f>
        <v/>
      </c>
    </row>
    <row r="2107">
      <c r="B2107" s="4" t="n">
        <v>29981022</v>
      </c>
      <c r="C2107" s="4" t="inlineStr">
        <is>
          <t>PINTURA 3º DEMÃO</t>
        </is>
      </c>
      <c r="D2107" s="4" t="inlineStr">
        <is>
          <t>-</t>
        </is>
      </c>
      <c r="E2107" s="4" t="inlineStr">
        <is>
          <t>21º PAV.</t>
        </is>
      </c>
      <c r="F2107" s="126" t="n">
        <v>47044</v>
      </c>
      <c r="G2107" s="126" t="n">
        <v>47056</v>
      </c>
      <c r="H2107" s="126" t="n">
        <v>46289</v>
      </c>
      <c r="I2107" s="4" t="n">
        <v>0</v>
      </c>
      <c r="J2107" s="4" t="n">
        <v>0</v>
      </c>
      <c r="K2107" s="4" t="n">
        <v>0</v>
      </c>
      <c r="M2107" s="2">
        <f>IF(C2107="","",IFERROR(INDEX($S$5:$S$304,MATCH(C2107,$R$5:$R$304,0))&amp;"","?"))</f>
        <v/>
      </c>
      <c r="N2107" s="2">
        <f>IF(E2107="","",IF(ISNUMBER(SEARCH("SUBSOLO",E2107)),IFERROR(-VALUE(LEFT(E2107,FIND("º",SUBSTITUTE(E2107,"°","º"))-1)),-1),IF(LEFT(E2107,6)="TÉRREO",0,IFERROR(VALUE(LEFT(E2107,FIND("º",SUBSTITUTE(E2107,"°","º"))-1)),""))))</f>
        <v/>
      </c>
      <c r="O2107" s="2">
        <f>IF(OR(F2107="",G2107=""),"",IF(G2107&lt;='RETRATO 2027'!$K$5,"CONCLUÍDA",IF(F2107&lt;='RETRATO 2027'!$K$5,"EM ANDAMENTO","A INICIAR")))</f>
        <v/>
      </c>
    </row>
    <row r="2108">
      <c r="B2108" s="4" t="n">
        <v>34179704</v>
      </c>
      <c r="C2108" s="4" t="inlineStr">
        <is>
          <t>LIMPEZA</t>
        </is>
      </c>
      <c r="D2108" s="4" t="inlineStr">
        <is>
          <t>-</t>
        </is>
      </c>
      <c r="E2108" s="4" t="inlineStr">
        <is>
          <t>TÉRREO ÁREA EXTERNA - COMERCIAL</t>
        </is>
      </c>
      <c r="F2108" s="126" t="n">
        <v>47049</v>
      </c>
      <c r="G2108" s="126" t="n">
        <v>47081</v>
      </c>
      <c r="H2108" s="126" t="n">
        <v>46289</v>
      </c>
      <c r="I2108" s="4" t="n">
        <v>0</v>
      </c>
      <c r="J2108" s="4" t="n">
        <v>0</v>
      </c>
      <c r="K2108" s="4" t="n">
        <v>0</v>
      </c>
      <c r="M2108" s="2">
        <f>IF(C2108="","",IFERROR(INDEX($S$5:$S$304,MATCH(C2108,$R$5:$R$304,0))&amp;"","?"))</f>
        <v/>
      </c>
      <c r="N2108" s="2">
        <f>IF(E2108="","",IF(ISNUMBER(SEARCH("SUBSOLO",E2108)),IFERROR(-VALUE(LEFT(E2108,FIND("º",SUBSTITUTE(E2108,"°","º"))-1)),-1),IF(LEFT(E2108,6)="TÉRREO",0,IFERROR(VALUE(LEFT(E2108,FIND("º",SUBSTITUTE(E2108,"°","º"))-1)),""))))</f>
        <v/>
      </c>
      <c r="O2108" s="2">
        <f>IF(OR(F2108="",G2108=""),"",IF(G2108&lt;='RETRATO 2027'!$K$5,"CONCLUÍDA",IF(F2108&lt;='RETRATO 2027'!$K$5,"EM ANDAMENTO","A INICIAR")))</f>
        <v/>
      </c>
    </row>
    <row r="2109">
      <c r="B2109" s="4" t="n">
        <v>30205859</v>
      </c>
      <c r="C2109" s="4" t="inlineStr">
        <is>
          <t>CHECKLIST</t>
        </is>
      </c>
      <c r="D2109" s="4" t="inlineStr">
        <is>
          <t>-</t>
        </is>
      </c>
      <c r="E2109" s="4" t="inlineStr">
        <is>
          <t>1º PAV. (INTERMEDIÁRIO)</t>
        </is>
      </c>
      <c r="F2109" s="126" t="n">
        <v>47050</v>
      </c>
      <c r="G2109" s="126" t="n">
        <v>47056</v>
      </c>
      <c r="H2109" s="126" t="n">
        <v>46289</v>
      </c>
      <c r="I2109" s="4" t="n">
        <v>0</v>
      </c>
      <c r="J2109" s="4" t="n">
        <v>0</v>
      </c>
      <c r="K2109" s="4" t="n">
        <v>0</v>
      </c>
      <c r="M2109" s="2">
        <f>IF(C2109="","",IFERROR(INDEX($S$5:$S$304,MATCH(C2109,$R$5:$R$304,0))&amp;"","?"))</f>
        <v/>
      </c>
      <c r="N2109" s="2">
        <f>IF(E2109="","",IF(ISNUMBER(SEARCH("SUBSOLO",E2109)),IFERROR(-VALUE(LEFT(E2109,FIND("º",SUBSTITUTE(E2109,"°","º"))-1)),-1),IF(LEFT(E2109,6)="TÉRREO",0,IFERROR(VALUE(LEFT(E2109,FIND("º",SUBSTITUTE(E2109,"°","º"))-1)),""))))</f>
        <v/>
      </c>
      <c r="O2109" s="2">
        <f>IF(OR(F2109="",G2109=""),"",IF(G2109&lt;='RETRATO 2027'!$K$5,"CONCLUÍDA",IF(F2109&lt;='RETRATO 2027'!$K$5,"EM ANDAMENTO","A INICIAR")))</f>
        <v/>
      </c>
    </row>
    <row r="2110">
      <c r="B2110" s="4" t="n">
        <v>29980984</v>
      </c>
      <c r="C2110" s="4" t="inlineStr">
        <is>
          <t>CHECKLIST</t>
        </is>
      </c>
      <c r="D2110" s="4" t="inlineStr">
        <is>
          <t>-</t>
        </is>
      </c>
      <c r="E2110" s="4" t="inlineStr">
        <is>
          <t>22º PAV.</t>
        </is>
      </c>
      <c r="F2110" s="126" t="n">
        <v>47050</v>
      </c>
      <c r="G2110" s="126" t="n">
        <v>47056</v>
      </c>
      <c r="H2110" s="126" t="n">
        <v>46289</v>
      </c>
      <c r="I2110" s="4" t="n">
        <v>0</v>
      </c>
      <c r="J2110" s="4" t="n">
        <v>0</v>
      </c>
      <c r="K2110" s="4" t="n">
        <v>0</v>
      </c>
      <c r="M2110" s="2">
        <f>IF(C2110="","",IFERROR(INDEX($S$5:$S$304,MATCH(C2110,$R$5:$R$304,0))&amp;"","?"))</f>
        <v/>
      </c>
      <c r="N2110" s="2">
        <f>IF(E2110="","",IF(ISNUMBER(SEARCH("SUBSOLO",E2110)),IFERROR(-VALUE(LEFT(E2110,FIND("º",SUBSTITUTE(E2110,"°","º"))-1)),-1),IF(LEFT(E2110,6)="TÉRREO",0,IFERROR(VALUE(LEFT(E2110,FIND("º",SUBSTITUTE(E2110,"°","º"))-1)),""))))</f>
        <v/>
      </c>
      <c r="O2110" s="2">
        <f>IF(OR(F2110="",G2110=""),"",IF(G2110&lt;='RETRATO 2027'!$K$5,"CONCLUÍDA",IF(F2110&lt;='RETRATO 2027'!$K$5,"EM ANDAMENTO","A INICIAR")))</f>
        <v/>
      </c>
    </row>
    <row r="2111">
      <c r="B2111" s="4" t="n">
        <v>29980949</v>
      </c>
      <c r="C2111" s="4" t="inlineStr">
        <is>
          <t>ACABAMENTOS ELÉTRICOS</t>
        </is>
      </c>
      <c r="D2111" s="4" t="inlineStr">
        <is>
          <t>-</t>
        </is>
      </c>
      <c r="E2111" s="4" t="inlineStr">
        <is>
          <t>23º PAV.</t>
        </is>
      </c>
      <c r="F2111" s="126" t="n">
        <v>47050</v>
      </c>
      <c r="G2111" s="126" t="n">
        <v>47063</v>
      </c>
      <c r="H2111" s="126" t="n">
        <v>46289</v>
      </c>
      <c r="I2111" s="4" t="n">
        <v>0</v>
      </c>
      <c r="J2111" s="4" t="n">
        <v>0</v>
      </c>
      <c r="K2111" s="4" t="n">
        <v>0</v>
      </c>
      <c r="M2111" s="2">
        <f>IF(C2111="","",IFERROR(INDEX($S$5:$S$304,MATCH(C2111,$R$5:$R$304,0))&amp;"","?"))</f>
        <v/>
      </c>
      <c r="N2111" s="2">
        <f>IF(E2111="","",IF(ISNUMBER(SEARCH("SUBSOLO",E2111)),IFERROR(-VALUE(LEFT(E2111,FIND("º",SUBSTITUTE(E2111,"°","º"))-1)),-1),IF(LEFT(E2111,6)="TÉRREO",0,IFERROR(VALUE(LEFT(E2111,FIND("º",SUBSTITUTE(E2111,"°","º"))-1)),""))))</f>
        <v/>
      </c>
      <c r="O2111" s="2">
        <f>IF(OR(F2111="",G2111=""),"",IF(G2111&lt;='RETRATO 2027'!$K$5,"CONCLUÍDA",IF(F2111&lt;='RETRATO 2027'!$K$5,"EM ANDAMENTO","A INICIAR")))</f>
        <v/>
      </c>
    </row>
    <row r="2112">
      <c r="B2112" s="4" t="n">
        <v>29980909</v>
      </c>
      <c r="C2112" s="4" t="inlineStr">
        <is>
          <t>PINTURA 2º DEMÃO</t>
        </is>
      </c>
      <c r="D2112" s="4" t="inlineStr">
        <is>
          <t>-</t>
        </is>
      </c>
      <c r="E2112" s="4" t="inlineStr">
        <is>
          <t>24º PAV.</t>
        </is>
      </c>
      <c r="F2112" s="126" t="n">
        <v>47050</v>
      </c>
      <c r="G2112" s="126" t="n">
        <v>47063</v>
      </c>
      <c r="H2112" s="126" t="n">
        <v>46289</v>
      </c>
      <c r="I2112" s="4" t="n">
        <v>0</v>
      </c>
      <c r="J2112" s="4" t="n">
        <v>0</v>
      </c>
      <c r="K2112" s="4" t="n">
        <v>0</v>
      </c>
      <c r="M2112" s="2">
        <f>IF(C2112="","",IFERROR(INDEX($S$5:$S$304,MATCH(C2112,$R$5:$R$304,0))&amp;"","?"))</f>
        <v/>
      </c>
      <c r="N2112" s="2">
        <f>IF(E2112="","",IF(ISNUMBER(SEARCH("SUBSOLO",E2112)),IFERROR(-VALUE(LEFT(E2112,FIND("º",SUBSTITUTE(E2112,"°","º"))-1)),-1),IF(LEFT(E2112,6)="TÉRREO",0,IFERROR(VALUE(LEFT(E2112,FIND("º",SUBSTITUTE(E2112,"°","º"))-1)),""))))</f>
        <v/>
      </c>
      <c r="O2112" s="2">
        <f>IF(OR(F2112="",G2112=""),"",IF(G2112&lt;='RETRATO 2027'!$K$5,"CONCLUÍDA",IF(F2112&lt;='RETRATO 2027'!$K$5,"EM ANDAMENTO","A INICIAR")))</f>
        <v/>
      </c>
    </row>
    <row r="2113">
      <c r="B2113" s="4" t="n">
        <v>33919801</v>
      </c>
      <c r="C2113" s="4" t="inlineStr">
        <is>
          <t>TEXTURA - EXTERNA</t>
        </is>
      </c>
      <c r="D2113" s="4" t="inlineStr">
        <is>
          <t>-</t>
        </is>
      </c>
      <c r="E2113" s="4" t="inlineStr">
        <is>
          <t>24º PAV.</t>
        </is>
      </c>
      <c r="F2113" s="126" t="n">
        <v>47050</v>
      </c>
      <c r="G2113" s="126" t="n">
        <v>47063</v>
      </c>
      <c r="H2113" s="126" t="n">
        <v>46289</v>
      </c>
      <c r="I2113" s="4" t="n">
        <v>0</v>
      </c>
      <c r="J2113" s="4" t="n">
        <v>0</v>
      </c>
      <c r="K2113" s="4" t="n">
        <v>0</v>
      </c>
      <c r="M2113" s="2">
        <f>IF(C2113="","",IFERROR(INDEX($S$5:$S$304,MATCH(C2113,$R$5:$R$304,0))&amp;"","?"))</f>
        <v/>
      </c>
      <c r="N2113" s="2">
        <f>IF(E2113="","",IF(ISNUMBER(SEARCH("SUBSOLO",E2113)),IFERROR(-VALUE(LEFT(E2113,FIND("º",SUBSTITUTE(E2113,"°","º"))-1)),-1),IF(LEFT(E2113,6)="TÉRREO",0,IFERROR(VALUE(LEFT(E2113,FIND("º",SUBSTITUTE(E2113,"°","º"))-1)),""))))</f>
        <v/>
      </c>
      <c r="O2113" s="2">
        <f>IF(OR(F2113="",G2113=""),"",IF(G2113&lt;='RETRATO 2027'!$K$5,"CONCLUÍDA",IF(F2113&lt;='RETRATO 2027'!$K$5,"EM ANDAMENTO","A INICIAR")))</f>
        <v/>
      </c>
    </row>
    <row r="2114">
      <c r="B2114" s="4" t="n">
        <v>29980871</v>
      </c>
      <c r="C2114" s="4" t="inlineStr">
        <is>
          <t>LIMPEZA GROSSA</t>
        </is>
      </c>
      <c r="D2114" s="4" t="inlineStr">
        <is>
          <t>-</t>
        </is>
      </c>
      <c r="E2114" s="4" t="inlineStr">
        <is>
          <t>25º PAV.</t>
        </is>
      </c>
      <c r="F2114" s="126" t="n">
        <v>47050</v>
      </c>
      <c r="G2114" s="126" t="n">
        <v>47063</v>
      </c>
      <c r="H2114" s="126" t="n">
        <v>46289</v>
      </c>
      <c r="I2114" s="4" t="n">
        <v>0</v>
      </c>
      <c r="J2114" s="4" t="n">
        <v>0</v>
      </c>
      <c r="K2114" s="4" t="n">
        <v>0</v>
      </c>
      <c r="M2114" s="2">
        <f>IF(C2114="","",IFERROR(INDEX($S$5:$S$304,MATCH(C2114,$R$5:$R$304,0))&amp;"","?"))</f>
        <v/>
      </c>
      <c r="N2114" s="2">
        <f>IF(E2114="","",IF(ISNUMBER(SEARCH("SUBSOLO",E2114)),IFERROR(-VALUE(LEFT(E2114,FIND("º",SUBSTITUTE(E2114,"°","º"))-1)),-1),IF(LEFT(E2114,6)="TÉRREO",0,IFERROR(VALUE(LEFT(E2114,FIND("º",SUBSTITUTE(E2114,"°","º"))-1)),""))))</f>
        <v/>
      </c>
      <c r="O2114" s="2">
        <f>IF(OR(F2114="",G2114=""),"",IF(G2114&lt;='RETRATO 2027'!$K$5,"CONCLUÍDA",IF(F2114&lt;='RETRATO 2027'!$K$5,"EM ANDAMENTO","A INICIAR")))</f>
        <v/>
      </c>
    </row>
    <row r="2115">
      <c r="B2115" s="4" t="n">
        <v>29980828</v>
      </c>
      <c r="C2115" s="4" t="inlineStr">
        <is>
          <t>LOUÇAS</t>
        </is>
      </c>
      <c r="D2115" s="4" t="inlineStr">
        <is>
          <t>-</t>
        </is>
      </c>
      <c r="E2115" s="4" t="inlineStr">
        <is>
          <t>26º PAV.</t>
        </is>
      </c>
      <c r="F2115" s="126" t="n">
        <v>47050</v>
      </c>
      <c r="G2115" s="126" t="n">
        <v>47063</v>
      </c>
      <c r="H2115" s="126" t="n">
        <v>46289</v>
      </c>
      <c r="I2115" s="4" t="n">
        <v>0</v>
      </c>
      <c r="J2115" s="4" t="n">
        <v>0</v>
      </c>
      <c r="K2115" s="4" t="n">
        <v>0</v>
      </c>
      <c r="M2115" s="2">
        <f>IF(C2115="","",IFERROR(INDEX($S$5:$S$304,MATCH(C2115,$R$5:$R$304,0))&amp;"","?"))</f>
        <v/>
      </c>
      <c r="N2115" s="2">
        <f>IF(E2115="","",IF(ISNUMBER(SEARCH("SUBSOLO",E2115)),IFERROR(-VALUE(LEFT(E2115,FIND("º",SUBSTITUTE(E2115,"°","º"))-1)),-1),IF(LEFT(E2115,6)="TÉRREO",0,IFERROR(VALUE(LEFT(E2115,FIND("º",SUBSTITUTE(E2115,"°","º"))-1)),""))))</f>
        <v/>
      </c>
      <c r="O2115" s="2">
        <f>IF(OR(F2115="",G2115=""),"",IF(G2115&lt;='RETRATO 2027'!$K$5,"CONCLUÍDA",IF(F2115&lt;='RETRATO 2027'!$K$5,"EM ANDAMENTO","A INICIAR")))</f>
        <v/>
      </c>
    </row>
    <row r="2116">
      <c r="B2116" s="4" t="n">
        <v>29980833</v>
      </c>
      <c r="C2116" s="4" t="inlineStr">
        <is>
          <t>METAIS</t>
        </is>
      </c>
      <c r="D2116" s="4" t="inlineStr">
        <is>
          <t>-</t>
        </is>
      </c>
      <c r="E2116" s="4" t="inlineStr">
        <is>
          <t>26º PAV.</t>
        </is>
      </c>
      <c r="F2116" s="126" t="n">
        <v>47050</v>
      </c>
      <c r="G2116" s="126" t="n">
        <v>47063</v>
      </c>
      <c r="H2116" s="126" t="n">
        <v>46289</v>
      </c>
      <c r="I2116" s="4" t="n">
        <v>0</v>
      </c>
      <c r="J2116" s="4" t="n">
        <v>0</v>
      </c>
      <c r="K2116" s="4" t="n">
        <v>0</v>
      </c>
      <c r="M2116" s="2">
        <f>IF(C2116="","",IFERROR(INDEX($S$5:$S$304,MATCH(C2116,$R$5:$R$304,0))&amp;"","?"))</f>
        <v/>
      </c>
      <c r="N2116" s="2">
        <f>IF(E2116="","",IF(ISNUMBER(SEARCH("SUBSOLO",E2116)),IFERROR(-VALUE(LEFT(E2116,FIND("º",SUBSTITUTE(E2116,"°","º"))-1)),-1),IF(LEFT(E2116,6)="TÉRREO",0,IFERROR(VALUE(LEFT(E2116,FIND("º",SUBSTITUTE(E2116,"°","º"))-1)),""))))</f>
        <v/>
      </c>
      <c r="O2116" s="2">
        <f>IF(OR(F2116="",G2116=""),"",IF(G2116&lt;='RETRATO 2027'!$K$5,"CONCLUÍDA",IF(F2116&lt;='RETRATO 2027'!$K$5,"EM ANDAMENTO","A INICIAR")))</f>
        <v/>
      </c>
    </row>
    <row r="2117">
      <c r="B2117" s="4" t="n">
        <v>29980832</v>
      </c>
      <c r="C2117" s="4" t="inlineStr">
        <is>
          <t>DISJUNTORES / MIOLOS</t>
        </is>
      </c>
      <c r="D2117" s="4" t="inlineStr">
        <is>
          <t>-</t>
        </is>
      </c>
      <c r="E2117" s="4" t="inlineStr">
        <is>
          <t>26º PAV.</t>
        </is>
      </c>
      <c r="F2117" s="126" t="n">
        <v>47050</v>
      </c>
      <c r="G2117" s="126" t="n">
        <v>47063</v>
      </c>
      <c r="H2117" s="126" t="n">
        <v>46289</v>
      </c>
      <c r="I2117" s="4" t="n">
        <v>0</v>
      </c>
      <c r="J2117" s="4" t="n">
        <v>0</v>
      </c>
      <c r="K2117" s="4" t="n">
        <v>0</v>
      </c>
      <c r="M2117" s="2">
        <f>IF(C2117="","",IFERROR(INDEX($S$5:$S$304,MATCH(C2117,$R$5:$R$304,0))&amp;"","?"))</f>
        <v/>
      </c>
      <c r="N2117" s="2">
        <f>IF(E2117="","",IF(ISNUMBER(SEARCH("SUBSOLO",E2117)),IFERROR(-VALUE(LEFT(E2117,FIND("º",SUBSTITUTE(E2117,"°","º"))-1)),-1),IF(LEFT(E2117,6)="TÉRREO",0,IFERROR(VALUE(LEFT(E2117,FIND("º",SUBSTITUTE(E2117,"°","º"))-1)),""))))</f>
        <v/>
      </c>
      <c r="O2117" s="2">
        <f>IF(OR(F2117="",G2117=""),"",IF(G2117&lt;='RETRATO 2027'!$K$5,"CONCLUÍDA",IF(F2117&lt;='RETRATO 2027'!$K$5,"EM ANDAMENTO","A INICIAR")))</f>
        <v/>
      </c>
    </row>
    <row r="2118">
      <c r="B2118" s="4" t="n">
        <v>29980831</v>
      </c>
      <c r="C2118" s="4" t="inlineStr">
        <is>
          <t>COMUNICAÇÃO E ALARME</t>
        </is>
      </c>
      <c r="D2118" s="4" t="inlineStr">
        <is>
          <t>-</t>
        </is>
      </c>
      <c r="E2118" s="4" t="inlineStr">
        <is>
          <t>26º PAV.</t>
        </is>
      </c>
      <c r="F2118" s="126" t="n">
        <v>47050</v>
      </c>
      <c r="G2118" s="126" t="n">
        <v>47063</v>
      </c>
      <c r="H2118" s="126" t="n">
        <v>46289</v>
      </c>
      <c r="I2118" s="4" t="n">
        <v>0</v>
      </c>
      <c r="J2118" s="4" t="n">
        <v>0</v>
      </c>
      <c r="K2118" s="4" t="n">
        <v>0</v>
      </c>
      <c r="M2118" s="2">
        <f>IF(C2118="","",IFERROR(INDEX($S$5:$S$304,MATCH(C2118,$R$5:$R$304,0))&amp;"","?"))</f>
        <v/>
      </c>
      <c r="N2118" s="2">
        <f>IF(E2118="","",IF(ISNUMBER(SEARCH("SUBSOLO",E2118)),IFERROR(-VALUE(LEFT(E2118,FIND("º",SUBSTITUTE(E2118,"°","º"))-1)),-1),IF(LEFT(E2118,6)="TÉRREO",0,IFERROR(VALUE(LEFT(E2118,FIND("º",SUBSTITUTE(E2118,"°","º"))-1)),""))))</f>
        <v/>
      </c>
      <c r="O2118" s="2">
        <f>IF(OR(F2118="",G2118=""),"",IF(G2118&lt;='RETRATO 2027'!$K$5,"CONCLUÍDA",IF(F2118&lt;='RETRATO 2027'!$K$5,"EM ANDAMENTO","A INICIAR")))</f>
        <v/>
      </c>
    </row>
    <row r="2119">
      <c r="B2119" s="4" t="n">
        <v>29980790</v>
      </c>
      <c r="C2119" s="4" t="inlineStr">
        <is>
          <t>RODAPÉ MADEIRA / PVC</t>
        </is>
      </c>
      <c r="D2119" s="4" t="inlineStr">
        <is>
          <t>-</t>
        </is>
      </c>
      <c r="E2119" s="4" t="inlineStr">
        <is>
          <t>27º PAV.</t>
        </is>
      </c>
      <c r="F2119" s="126" t="n">
        <v>47050</v>
      </c>
      <c r="G2119" s="126" t="n">
        <v>47063</v>
      </c>
      <c r="H2119" s="126" t="n">
        <v>46289</v>
      </c>
      <c r="I2119" s="4" t="n">
        <v>0</v>
      </c>
      <c r="J2119" s="4" t="n">
        <v>0</v>
      </c>
      <c r="K2119" s="4" t="n">
        <v>0</v>
      </c>
      <c r="M2119" s="2">
        <f>IF(C2119="","",IFERROR(INDEX($S$5:$S$304,MATCH(C2119,$R$5:$R$304,0))&amp;"","?"))</f>
        <v/>
      </c>
      <c r="N2119" s="2">
        <f>IF(E2119="","",IF(ISNUMBER(SEARCH("SUBSOLO",E2119)),IFERROR(-VALUE(LEFT(E2119,FIND("º",SUBSTITUTE(E2119,"°","º"))-1)),-1),IF(LEFT(E2119,6)="TÉRREO",0,IFERROR(VALUE(LEFT(E2119,FIND("º",SUBSTITUTE(E2119,"°","º"))-1)),""))))</f>
        <v/>
      </c>
      <c r="O2119" s="2">
        <f>IF(OR(F2119="",G2119=""),"",IF(G2119&lt;='RETRATO 2027'!$K$5,"CONCLUÍDA",IF(F2119&lt;='RETRATO 2027'!$K$5,"EM ANDAMENTO","A INICIAR")))</f>
        <v/>
      </c>
    </row>
    <row r="2120">
      <c r="B2120" s="4" t="n">
        <v>29980752</v>
      </c>
      <c r="C2120" s="4" t="inlineStr">
        <is>
          <t>ESQUADRIA MADEIRA</t>
        </is>
      </c>
      <c r="D2120" s="4" t="inlineStr">
        <is>
          <t>-</t>
        </is>
      </c>
      <c r="E2120" s="4" t="inlineStr">
        <is>
          <t>28º PAV.</t>
        </is>
      </c>
      <c r="F2120" s="126" t="n">
        <v>47050</v>
      </c>
      <c r="G2120" s="126" t="n">
        <v>47063</v>
      </c>
      <c r="H2120" s="126" t="n">
        <v>46289</v>
      </c>
      <c r="I2120" s="4" t="n">
        <v>0</v>
      </c>
      <c r="J2120" s="4" t="n">
        <v>0</v>
      </c>
      <c r="K2120" s="4" t="n">
        <v>0</v>
      </c>
      <c r="M2120" s="2">
        <f>IF(C2120="","",IFERROR(INDEX($S$5:$S$304,MATCH(C2120,$R$5:$R$304,0))&amp;"","?"))</f>
        <v/>
      </c>
      <c r="N2120" s="2">
        <f>IF(E2120="","",IF(ISNUMBER(SEARCH("SUBSOLO",E2120)),IFERROR(-VALUE(LEFT(E2120,FIND("º",SUBSTITUTE(E2120,"°","º"))-1)),-1),IF(LEFT(E2120,6)="TÉRREO",0,IFERROR(VALUE(LEFT(E2120,FIND("º",SUBSTITUTE(E2120,"°","º"))-1)),""))))</f>
        <v/>
      </c>
      <c r="O2120" s="2">
        <f>IF(OR(F2120="",G2120=""),"",IF(G2120&lt;='RETRATO 2027'!$K$5,"CONCLUÍDA",IF(F2120&lt;='RETRATO 2027'!$K$5,"EM ANDAMENTO","A INICIAR")))</f>
        <v/>
      </c>
    </row>
    <row r="2121">
      <c r="B2121" s="4" t="n">
        <v>29980714</v>
      </c>
      <c r="C2121" s="4" t="inlineStr">
        <is>
          <t>PISO VINÍLICO / LAMINADO</t>
        </is>
      </c>
      <c r="D2121" s="4" t="inlineStr">
        <is>
          <t>-</t>
        </is>
      </c>
      <c r="E2121" s="4" t="inlineStr">
        <is>
          <t>29º PAV.</t>
        </is>
      </c>
      <c r="F2121" s="126" t="n">
        <v>47050</v>
      </c>
      <c r="G2121" s="126" t="n">
        <v>47063</v>
      </c>
      <c r="H2121" s="126" t="n">
        <v>46289</v>
      </c>
      <c r="I2121" s="4" t="n">
        <v>0</v>
      </c>
      <c r="J2121" s="4" t="n">
        <v>0</v>
      </c>
      <c r="K2121" s="4" t="n">
        <v>0</v>
      </c>
      <c r="M2121" s="2">
        <f>IF(C2121="","",IFERROR(INDEX($S$5:$S$304,MATCH(C2121,$R$5:$R$304,0))&amp;"","?"))</f>
        <v/>
      </c>
      <c r="N2121" s="2">
        <f>IF(E2121="","",IF(ISNUMBER(SEARCH("SUBSOLO",E2121)),IFERROR(-VALUE(LEFT(E2121,FIND("º",SUBSTITUTE(E2121,"°","º"))-1)),-1),IF(LEFT(E2121,6)="TÉRREO",0,IFERROR(VALUE(LEFT(E2121,FIND("º",SUBSTITUTE(E2121,"°","º"))-1)),""))))</f>
        <v/>
      </c>
      <c r="O2121" s="2">
        <f>IF(OR(F2121="",G2121=""),"",IF(G2121&lt;='RETRATO 2027'!$K$5,"CONCLUÍDA",IF(F2121&lt;='RETRATO 2027'!$K$5,"EM ANDAMENTO","A INICIAR")))</f>
        <v/>
      </c>
    </row>
    <row r="2122">
      <c r="B2122" s="4" t="n">
        <v>29980676</v>
      </c>
      <c r="C2122" s="4" t="inlineStr">
        <is>
          <t>PINTURA 1º DEMÃO</t>
        </is>
      </c>
      <c r="D2122" s="4" t="inlineStr">
        <is>
          <t>-</t>
        </is>
      </c>
      <c r="E2122" s="4" t="inlineStr">
        <is>
          <t>30º PAV.</t>
        </is>
      </c>
      <c r="F2122" s="126" t="n">
        <v>47050</v>
      </c>
      <c r="G2122" s="126" t="n">
        <v>47063</v>
      </c>
      <c r="H2122" s="126" t="n">
        <v>46289</v>
      </c>
      <c r="I2122" s="4" t="n">
        <v>0</v>
      </c>
      <c r="J2122" s="4" t="n">
        <v>0</v>
      </c>
      <c r="K2122" s="4" t="n">
        <v>0</v>
      </c>
      <c r="M2122" s="2">
        <f>IF(C2122="","",IFERROR(INDEX($S$5:$S$304,MATCH(C2122,$R$5:$R$304,0))&amp;"","?"))</f>
        <v/>
      </c>
      <c r="N2122" s="2">
        <f>IF(E2122="","",IF(ISNUMBER(SEARCH("SUBSOLO",E2122)),IFERROR(-VALUE(LEFT(E2122,FIND("º",SUBSTITUTE(E2122,"°","º"))-1)),-1),IF(LEFT(E2122,6)="TÉRREO",0,IFERROR(VALUE(LEFT(E2122,FIND("º",SUBSTITUTE(E2122,"°","º"))-1)),""))))</f>
        <v/>
      </c>
      <c r="O2122" s="2">
        <f>IF(OR(F2122="",G2122=""),"",IF(G2122&lt;='RETRATO 2027'!$K$5,"CONCLUÍDA",IF(F2122&lt;='RETRATO 2027'!$K$5,"EM ANDAMENTO","A INICIAR")))</f>
        <v/>
      </c>
    </row>
    <row r="2123">
      <c r="B2123" s="4" t="n">
        <v>29980665</v>
      </c>
      <c r="C2123" s="4" t="inlineStr">
        <is>
          <t>MASSA CORRIDA</t>
        </is>
      </c>
      <c r="D2123" s="4" t="inlineStr">
        <is>
          <t>-</t>
        </is>
      </c>
      <c r="E2123" s="4" t="inlineStr">
        <is>
          <t>31º PAV. - COBERTURA LINEAR</t>
        </is>
      </c>
      <c r="F2123" s="126" t="n">
        <v>47050</v>
      </c>
      <c r="G2123" s="126" t="n">
        <v>47063</v>
      </c>
      <c r="H2123" s="126" t="n">
        <v>46289</v>
      </c>
      <c r="I2123" s="4" t="n">
        <v>0</v>
      </c>
      <c r="J2123" s="4" t="n">
        <v>0</v>
      </c>
      <c r="K2123" s="4" t="n">
        <v>0</v>
      </c>
      <c r="M2123" s="2">
        <f>IF(C2123="","",IFERROR(INDEX($S$5:$S$304,MATCH(C2123,$R$5:$R$304,0))&amp;"","?"))</f>
        <v/>
      </c>
      <c r="N2123" s="2">
        <f>IF(E2123="","",IF(ISNUMBER(SEARCH("SUBSOLO",E2123)),IFERROR(-VALUE(LEFT(E2123,FIND("º",SUBSTITUTE(E2123,"°","º"))-1)),-1),IF(LEFT(E2123,6)="TÉRREO",0,IFERROR(VALUE(LEFT(E2123,FIND("º",SUBSTITUTE(E2123,"°","º"))-1)),""))))</f>
        <v/>
      </c>
      <c r="O2123" s="2">
        <f>IF(OR(F2123="",G2123=""),"",IF(G2123&lt;='RETRATO 2027'!$K$5,"CONCLUÍDA",IF(F2123&lt;='RETRATO 2027'!$K$5,"EM ANDAMENTO","A INICIAR")))</f>
        <v/>
      </c>
    </row>
    <row r="2124">
      <c r="B2124" s="4" t="n">
        <v>33898116</v>
      </c>
      <c r="C2124" s="4" t="inlineStr">
        <is>
          <t>ESQUADRIA DE ALUMÍNIO</t>
        </is>
      </c>
      <c r="D2124" s="4" t="inlineStr">
        <is>
          <t>-</t>
        </is>
      </c>
      <c r="E2124" s="4" t="inlineStr">
        <is>
          <t>32º PAV - COBERTURA GERAL</t>
        </is>
      </c>
      <c r="F2124" s="126" t="n">
        <v>47050</v>
      </c>
      <c r="G2124" s="126" t="n">
        <v>47063</v>
      </c>
      <c r="H2124" s="126" t="n">
        <v>46289</v>
      </c>
      <c r="I2124" s="4" t="n">
        <v>0</v>
      </c>
      <c r="J2124" s="4" t="n">
        <v>0</v>
      </c>
      <c r="K2124" s="4" t="n">
        <v>0</v>
      </c>
      <c r="M2124" s="2">
        <f>IF(C2124="","",IFERROR(INDEX($S$5:$S$304,MATCH(C2124,$R$5:$R$304,0))&amp;"","?"))</f>
        <v/>
      </c>
      <c r="N2124" s="2">
        <f>IF(E2124="","",IF(ISNUMBER(SEARCH("SUBSOLO",E2124)),IFERROR(-VALUE(LEFT(E2124,FIND("º",SUBSTITUTE(E2124,"°","º"))-1)),-1),IF(LEFT(E2124,6)="TÉRREO",0,IFERROR(VALUE(LEFT(E2124,FIND("º",SUBSTITUTE(E2124,"°","º"))-1)),""))))</f>
        <v/>
      </c>
      <c r="O2124" s="2">
        <f>IF(OR(F2124="",G2124=""),"",IF(G2124&lt;='RETRATO 2027'!$K$5,"CONCLUÍDA",IF(F2124&lt;='RETRATO 2027'!$K$5,"EM ANDAMENTO","A INICIAR")))</f>
        <v/>
      </c>
    </row>
    <row r="2125">
      <c r="B2125" s="4" t="n">
        <v>30206039</v>
      </c>
      <c r="C2125" s="4" t="inlineStr">
        <is>
          <t>LIMPEZA GROSSA</t>
        </is>
      </c>
      <c r="D2125" s="4" t="inlineStr">
        <is>
          <t>-</t>
        </is>
      </c>
      <c r="E2125" s="4" t="inlineStr">
        <is>
          <t>6º PAV (PILOTIS) - CHURRASQUEIRA + IS MASC. PCD + IS FEM. PCD + CIRCULAÇÃO 1 + HALL 1</t>
        </is>
      </c>
      <c r="F2125" s="126" t="n">
        <v>47051</v>
      </c>
      <c r="G2125" s="126" t="n">
        <v>47065</v>
      </c>
      <c r="H2125" s="126" t="n">
        <v>46289</v>
      </c>
      <c r="I2125" s="4" t="n">
        <v>0</v>
      </c>
      <c r="J2125" s="4" t="n">
        <v>0</v>
      </c>
      <c r="K2125" s="4" t="n">
        <v>0</v>
      </c>
      <c r="M2125" s="2">
        <f>IF(C2125="","",IFERROR(INDEX($S$5:$S$304,MATCH(C2125,$R$5:$R$304,0))&amp;"","?"))</f>
        <v/>
      </c>
      <c r="N2125" s="2">
        <f>IF(E2125="","",IF(ISNUMBER(SEARCH("SUBSOLO",E2125)),IFERROR(-VALUE(LEFT(E2125,FIND("º",SUBSTITUTE(E2125,"°","º"))-1)),-1),IF(LEFT(E2125,6)="TÉRREO",0,IFERROR(VALUE(LEFT(E2125,FIND("º",SUBSTITUTE(E2125,"°","º"))-1)),""))))</f>
        <v/>
      </c>
      <c r="O2125" s="2">
        <f>IF(OR(F2125="",G2125=""),"",IF(G2125&lt;='RETRATO 2027'!$K$5,"CONCLUÍDA",IF(F2125&lt;='RETRATO 2027'!$K$5,"EM ANDAMENTO","A INICIAR")))</f>
        <v/>
      </c>
    </row>
    <row r="2126">
      <c r="B2126" s="4" t="n">
        <v>30205994</v>
      </c>
      <c r="C2126" s="4" t="inlineStr">
        <is>
          <t>ESQUADRIA MADEIRA</t>
        </is>
      </c>
      <c r="D2126" s="4" t="inlineStr">
        <is>
          <t>-</t>
        </is>
      </c>
      <c r="E2126" s="4" t="inlineStr">
        <is>
          <t>6º PAV (PILOTIS) - COWORKING 1 E 2 + CIRC. 2 + HALL 2 + DML + VEST. MASC. + VEST. FEM</t>
        </is>
      </c>
      <c r="F2126" s="126" t="n">
        <v>47051</v>
      </c>
      <c r="G2126" s="126" t="n">
        <v>47057</v>
      </c>
      <c r="H2126" s="126" t="n">
        <v>46289</v>
      </c>
      <c r="I2126" s="4" t="n">
        <v>0</v>
      </c>
      <c r="J2126" s="4" t="n">
        <v>0</v>
      </c>
      <c r="K2126" s="4" t="n">
        <v>0</v>
      </c>
      <c r="M2126" s="2">
        <f>IF(C2126="","",IFERROR(INDEX($S$5:$S$304,MATCH(C2126,$R$5:$R$304,0))&amp;"","?"))</f>
        <v/>
      </c>
      <c r="N2126" s="2">
        <f>IF(E2126="","",IF(ISNUMBER(SEARCH("SUBSOLO",E2126)),IFERROR(-VALUE(LEFT(E2126,FIND("º",SUBSTITUTE(E2126,"°","º"))-1)),-1),IF(LEFT(E2126,6)="TÉRREO",0,IFERROR(VALUE(LEFT(E2126,FIND("º",SUBSTITUTE(E2126,"°","º"))-1)),""))))</f>
        <v/>
      </c>
      <c r="O2126" s="2">
        <f>IF(OR(F2126="",G2126=""),"",IF(G2126&lt;='RETRATO 2027'!$K$5,"CONCLUÍDA",IF(F2126&lt;='RETRATO 2027'!$K$5,"EM ANDAMENTO","A INICIAR")))</f>
        <v/>
      </c>
    </row>
    <row r="2127">
      <c r="B2127" s="4" t="n">
        <v>30206000</v>
      </c>
      <c r="C2127" s="4" t="inlineStr">
        <is>
          <t>DISJUNTORES / MIOLOS</t>
        </is>
      </c>
      <c r="D2127" s="4" t="inlineStr">
        <is>
          <t>-</t>
        </is>
      </c>
      <c r="E2127" s="4" t="inlineStr">
        <is>
          <t>6º PAV (PILOTIS) - COWORKING 1 E 2 + CIRC. 2 + HALL 2 + DML + VEST. MASC. + VEST. FEM</t>
        </is>
      </c>
      <c r="F2127" s="126" t="n">
        <v>47051</v>
      </c>
      <c r="G2127" s="126" t="n">
        <v>47065</v>
      </c>
      <c r="H2127" s="126" t="n">
        <v>46289</v>
      </c>
      <c r="I2127" s="4" t="n">
        <v>0</v>
      </c>
      <c r="J2127" s="4" t="n">
        <v>0</v>
      </c>
      <c r="K2127" s="4" t="n">
        <v>0</v>
      </c>
      <c r="M2127" s="2">
        <f>IF(C2127="","",IFERROR(INDEX($S$5:$S$304,MATCH(C2127,$R$5:$R$304,0))&amp;"","?"))</f>
        <v/>
      </c>
      <c r="N2127" s="2">
        <f>IF(E2127="","",IF(ISNUMBER(SEARCH("SUBSOLO",E2127)),IFERROR(-VALUE(LEFT(E2127,FIND("º",SUBSTITUTE(E2127,"°","º"))-1)),-1),IF(LEFT(E2127,6)="TÉRREO",0,IFERROR(VALUE(LEFT(E2127,FIND("º",SUBSTITUTE(E2127,"°","º"))-1)),""))))</f>
        <v/>
      </c>
      <c r="O2127" s="2">
        <f>IF(OR(F2127="",G2127=""),"",IF(G2127&lt;='RETRATO 2027'!$K$5,"CONCLUÍDA",IF(F2127&lt;='RETRATO 2027'!$K$5,"EM ANDAMENTO","A INICIAR")))</f>
        <v/>
      </c>
    </row>
    <row r="2128">
      <c r="B2128" s="4" t="n">
        <v>30205999</v>
      </c>
      <c r="C2128" s="4" t="inlineStr">
        <is>
          <t>COMUNICAÇÃO E ALARME</t>
        </is>
      </c>
      <c r="D2128" s="4" t="inlineStr">
        <is>
          <t>-</t>
        </is>
      </c>
      <c r="E2128" s="4" t="inlineStr">
        <is>
          <t>6º PAV (PILOTIS) - COWORKING 1 E 2 + CIRC. 2 + HALL 2 + DML + VEST. MASC. + VEST. FEM</t>
        </is>
      </c>
      <c r="F2128" s="126" t="n">
        <v>47051</v>
      </c>
      <c r="G2128" s="126" t="n">
        <v>47065</v>
      </c>
      <c r="H2128" s="126" t="n">
        <v>46289</v>
      </c>
      <c r="I2128" s="4" t="n">
        <v>0</v>
      </c>
      <c r="J2128" s="4" t="n">
        <v>0</v>
      </c>
      <c r="K2128" s="4" t="n">
        <v>0</v>
      </c>
      <c r="M2128" s="2">
        <f>IF(C2128="","",IFERROR(INDEX($S$5:$S$304,MATCH(C2128,$R$5:$R$304,0))&amp;"","?"))</f>
        <v/>
      </c>
      <c r="N2128" s="2">
        <f>IF(E2128="","",IF(ISNUMBER(SEARCH("SUBSOLO",E2128)),IFERROR(-VALUE(LEFT(E2128,FIND("º",SUBSTITUTE(E2128,"°","º"))-1)),-1),IF(LEFT(E2128,6)="TÉRREO",0,IFERROR(VALUE(LEFT(E2128,FIND("º",SUBSTITUTE(E2128,"°","º"))-1)),""))))</f>
        <v/>
      </c>
      <c r="O2128" s="2">
        <f>IF(OR(F2128="",G2128=""),"",IF(G2128&lt;='RETRATO 2027'!$K$5,"CONCLUÍDA",IF(F2128&lt;='RETRATO 2027'!$K$5,"EM ANDAMENTO","A INICIAR")))</f>
        <v/>
      </c>
    </row>
    <row r="2129">
      <c r="B2129" s="4" t="n">
        <v>30205955</v>
      </c>
      <c r="C2129" s="4" t="inlineStr">
        <is>
          <t>PINTURA 1º DEMÃO</t>
        </is>
      </c>
      <c r="D2129" s="4" t="inlineStr">
        <is>
          <t>-</t>
        </is>
      </c>
      <c r="E2129" s="4" t="inlineStr">
        <is>
          <t>6º PAV (PILOTIS) - LOUNGE + SALÃO + COZINHA + GOURMET + ESPAÇO KIDS</t>
        </is>
      </c>
      <c r="F2129" s="126" t="n">
        <v>47051</v>
      </c>
      <c r="G2129" s="126" t="n">
        <v>47065</v>
      </c>
      <c r="H2129" s="126" t="n">
        <v>46289</v>
      </c>
      <c r="I2129" s="4" t="n">
        <v>0</v>
      </c>
      <c r="J2129" s="4" t="n">
        <v>0</v>
      </c>
      <c r="K2129" s="4" t="n">
        <v>0</v>
      </c>
      <c r="M2129" s="2">
        <f>IF(C2129="","",IFERROR(INDEX($S$5:$S$304,MATCH(C2129,$R$5:$R$304,0))&amp;"","?"))</f>
        <v/>
      </c>
      <c r="N2129" s="2">
        <f>IF(E2129="","",IF(ISNUMBER(SEARCH("SUBSOLO",E2129)),IFERROR(-VALUE(LEFT(E2129,FIND("º",SUBSTITUTE(E2129,"°","º"))-1)),-1),IF(LEFT(E2129,6)="TÉRREO",0,IFERROR(VALUE(LEFT(E2129,FIND("º",SUBSTITUTE(E2129,"°","º"))-1)),""))))</f>
        <v/>
      </c>
      <c r="O2129" s="2">
        <f>IF(OR(F2129="",G2129=""),"",IF(G2129&lt;='RETRATO 2027'!$K$5,"CONCLUÍDA",IF(F2129&lt;='RETRATO 2027'!$K$5,"EM ANDAMENTO","A INICIAR")))</f>
        <v/>
      </c>
    </row>
    <row r="2130">
      <c r="B2130" s="4" t="n">
        <v>29981107</v>
      </c>
      <c r="C2130" s="4" t="inlineStr">
        <is>
          <t>FORRO</t>
        </is>
      </c>
      <c r="D2130" s="4" t="inlineStr">
        <is>
          <t>-</t>
        </is>
      </c>
      <c r="E2130" s="4" t="inlineStr">
        <is>
          <t>19º PAV.</t>
        </is>
      </c>
      <c r="F2130" s="126" t="n">
        <v>47051</v>
      </c>
      <c r="G2130" s="126" t="n">
        <v>47060</v>
      </c>
      <c r="H2130" s="126" t="n">
        <v>46289</v>
      </c>
      <c r="I2130" s="4" t="n">
        <v>0</v>
      </c>
      <c r="J2130" s="4" t="n">
        <v>0</v>
      </c>
      <c r="K2130" s="4" t="n">
        <v>0</v>
      </c>
      <c r="M2130" s="2">
        <f>IF(C2130="","",IFERROR(INDEX($S$5:$S$304,MATCH(C2130,$R$5:$R$304,0))&amp;"","?"))</f>
        <v/>
      </c>
      <c r="N2130" s="2">
        <f>IF(E2130="","",IF(ISNUMBER(SEARCH("SUBSOLO",E2130)),IFERROR(-VALUE(LEFT(E2130,FIND("º",SUBSTITUTE(E2130,"°","º"))-1)),-1),IF(LEFT(E2130,6)="TÉRREO",0,IFERROR(VALUE(LEFT(E2130,FIND("º",SUBSTITUTE(E2130,"°","º"))-1)),""))))</f>
        <v/>
      </c>
      <c r="O2130" s="2">
        <f>IF(OR(F2130="",G2130=""),"",IF(G2130&lt;='RETRATO 2027'!$K$5,"CONCLUÍDA",IF(F2130&lt;='RETRATO 2027'!$K$5,"EM ANDAMENTO","A INICIAR")))</f>
        <v/>
      </c>
    </row>
    <row r="2131">
      <c r="B2131" s="4" t="n">
        <v>30205896</v>
      </c>
      <c r="C2131" s="4" t="inlineStr">
        <is>
          <t>REVESTIMENTO ACABAMENTO</t>
        </is>
      </c>
      <c r="D2131" s="4" t="inlineStr">
        <is>
          <t>-</t>
        </is>
      </c>
      <c r="E2131" s="4" t="inlineStr">
        <is>
          <t>6º PAV (PILOTIS) - PLAYGROUND + TERRAÇO DESCOBERTO + QUADRA DE RECREAÇÃO</t>
        </is>
      </c>
      <c r="F2131" s="126" t="n">
        <v>47053</v>
      </c>
      <c r="G2131" s="126" t="n">
        <v>47105</v>
      </c>
      <c r="H2131" s="126" t="n">
        <v>46289</v>
      </c>
      <c r="I2131" s="4" t="n">
        <v>0</v>
      </c>
      <c r="J2131" s="4" t="n">
        <v>0</v>
      </c>
      <c r="K2131" s="4" t="n">
        <v>0</v>
      </c>
      <c r="M2131" s="2">
        <f>IF(C2131="","",IFERROR(INDEX($S$5:$S$304,MATCH(C2131,$R$5:$R$304,0))&amp;"","?"))</f>
        <v/>
      </c>
      <c r="N2131" s="2">
        <f>IF(E2131="","",IF(ISNUMBER(SEARCH("SUBSOLO",E2131)),IFERROR(-VALUE(LEFT(E2131,FIND("º",SUBSTITUTE(E2131,"°","º"))-1)),-1),IF(LEFT(E2131,6)="TÉRREO",0,IFERROR(VALUE(LEFT(E2131,FIND("º",SUBSTITUTE(E2131,"°","º"))-1)),""))))</f>
        <v/>
      </c>
      <c r="O2131" s="2">
        <f>IF(OR(F2131="",G2131=""),"",IF(G2131&lt;='RETRATO 2027'!$K$5,"CONCLUÍDA",IF(F2131&lt;='RETRATO 2027'!$K$5,"EM ANDAMENTO","A INICIAR")))</f>
        <v/>
      </c>
    </row>
    <row r="2132">
      <c r="B2132" s="4" t="n">
        <v>30206132</v>
      </c>
      <c r="C2132" s="4" t="inlineStr">
        <is>
          <t>CHECKLIST FINAL</t>
        </is>
      </c>
      <c r="D2132" s="4" t="inlineStr">
        <is>
          <t>-</t>
        </is>
      </c>
      <c r="E2132" s="4" t="inlineStr">
        <is>
          <t>6º PAV (PILOTIS) - ACADEMIA</t>
        </is>
      </c>
      <c r="F2132" s="126" t="n">
        <v>47057</v>
      </c>
      <c r="G2132" s="126" t="n">
        <v>47071</v>
      </c>
      <c r="H2132" s="126" t="n">
        <v>46289</v>
      </c>
      <c r="I2132" s="4" t="n">
        <v>0</v>
      </c>
      <c r="J2132" s="4" t="n">
        <v>0</v>
      </c>
      <c r="K2132" s="4" t="n">
        <v>0</v>
      </c>
      <c r="M2132" s="2">
        <f>IF(C2132="","",IFERROR(INDEX($S$5:$S$304,MATCH(C2132,$R$5:$R$304,0))&amp;"","?"))</f>
        <v/>
      </c>
      <c r="N2132" s="2">
        <f>IF(E2132="","",IF(ISNUMBER(SEARCH("SUBSOLO",E2132)),IFERROR(-VALUE(LEFT(E2132,FIND("º",SUBSTITUTE(E2132,"°","º"))-1)),-1),IF(LEFT(E2132,6)="TÉRREO",0,IFERROR(VALUE(LEFT(E2132,FIND("º",SUBSTITUTE(E2132,"°","º"))-1)),""))))</f>
        <v/>
      </c>
      <c r="O2132" s="2">
        <f>IF(OR(F2132="",G2132=""),"",IF(G2132&lt;='RETRATO 2027'!$K$5,"CONCLUÍDA",IF(F2132&lt;='RETRATO 2027'!$K$5,"EM ANDAMENTO","A INICIAR")))</f>
        <v/>
      </c>
    </row>
    <row r="2133">
      <c r="B2133" s="4" t="n">
        <v>29981032</v>
      </c>
      <c r="C2133" s="4" t="inlineStr">
        <is>
          <t>LIMPEZA FINA</t>
        </is>
      </c>
      <c r="D2133" s="4" t="inlineStr">
        <is>
          <t>-</t>
        </is>
      </c>
      <c r="E2133" s="4" t="inlineStr">
        <is>
          <t>21º PAV.</t>
        </is>
      </c>
      <c r="F2133" s="126" t="n">
        <v>47057</v>
      </c>
      <c r="G2133" s="126" t="n">
        <v>47070</v>
      </c>
      <c r="H2133" s="126" t="n">
        <v>46289</v>
      </c>
      <c r="I2133" s="4" t="n">
        <v>0</v>
      </c>
      <c r="J2133" s="4" t="n">
        <v>0</v>
      </c>
      <c r="K2133" s="4" t="n">
        <v>0</v>
      </c>
      <c r="M2133" s="2">
        <f>IF(C2133="","",IFERROR(INDEX($S$5:$S$304,MATCH(C2133,$R$5:$R$304,0))&amp;"","?"))</f>
        <v/>
      </c>
      <c r="N2133" s="2">
        <f>IF(E2133="","",IF(ISNUMBER(SEARCH("SUBSOLO",E2133)),IFERROR(-VALUE(LEFT(E2133,FIND("º",SUBSTITUTE(E2133,"°","º"))-1)),-1),IF(LEFT(E2133,6)="TÉRREO",0,IFERROR(VALUE(LEFT(E2133,FIND("º",SUBSTITUTE(E2133,"°","º"))-1)),""))))</f>
        <v/>
      </c>
      <c r="O2133" s="2">
        <f>IF(OR(F2133="",G2133=""),"",IF(G2133&lt;='RETRATO 2027'!$K$5,"CONCLUÍDA",IF(F2133&lt;='RETRATO 2027'!$K$5,"EM ANDAMENTO","A INICIAR")))</f>
        <v/>
      </c>
    </row>
    <row r="2134">
      <c r="B2134" s="4" t="n">
        <v>29980985</v>
      </c>
      <c r="C2134" s="4" t="inlineStr">
        <is>
          <t>PINTURA 3º DEMÃO</t>
        </is>
      </c>
      <c r="D2134" s="4" t="inlineStr">
        <is>
          <t>-</t>
        </is>
      </c>
      <c r="E2134" s="4" t="inlineStr">
        <is>
          <t>22º PAV.</t>
        </is>
      </c>
      <c r="F2134" s="126" t="n">
        <v>47057</v>
      </c>
      <c r="G2134" s="126" t="n">
        <v>47070</v>
      </c>
      <c r="H2134" s="126" t="n">
        <v>46289</v>
      </c>
      <c r="I2134" s="4" t="n">
        <v>0</v>
      </c>
      <c r="J2134" s="4" t="n">
        <v>0</v>
      </c>
      <c r="K2134" s="4" t="n">
        <v>0</v>
      </c>
      <c r="M2134" s="2">
        <f>IF(C2134="","",IFERROR(INDEX($S$5:$S$304,MATCH(C2134,$R$5:$R$304,0))&amp;"","?"))</f>
        <v/>
      </c>
      <c r="N2134" s="2">
        <f>IF(E2134="","",IF(ISNUMBER(SEARCH("SUBSOLO",E2134)),IFERROR(-VALUE(LEFT(E2134,FIND("º",SUBSTITUTE(E2134,"°","º"))-1)),-1),IF(LEFT(E2134,6)="TÉRREO",0,IFERROR(VALUE(LEFT(E2134,FIND("º",SUBSTITUTE(E2134,"°","º"))-1)),""))))</f>
        <v/>
      </c>
      <c r="O2134" s="2">
        <f>IF(OR(F2134="",G2134=""),"",IF(G2134&lt;='RETRATO 2027'!$K$5,"CONCLUÍDA",IF(F2134&lt;='RETRATO 2027'!$K$5,"EM ANDAMENTO","A INICIAR")))</f>
        <v/>
      </c>
    </row>
    <row r="2135">
      <c r="B2135" s="4" t="n">
        <v>30171537</v>
      </c>
      <c r="C2135" s="4" t="inlineStr">
        <is>
          <t>PLACAS E IDEINTIFIC. VISUAIS</t>
        </is>
      </c>
      <c r="D2135" s="4" t="inlineStr">
        <is>
          <t>-</t>
        </is>
      </c>
      <c r="E2135" s="4" t="inlineStr">
        <is>
          <t>HALL - GARAGENS</t>
        </is>
      </c>
      <c r="F2135" s="126" t="n">
        <v>47058</v>
      </c>
      <c r="G2135" s="126" t="n">
        <v>47073</v>
      </c>
      <c r="H2135" s="126" t="n">
        <v>46289</v>
      </c>
      <c r="I2135" s="4" t="n">
        <v>0</v>
      </c>
      <c r="J2135" s="4" t="n">
        <v>0</v>
      </c>
      <c r="K2135" s="4" t="n">
        <v>0</v>
      </c>
      <c r="M2135" s="2">
        <f>IF(C2135="","",IFERROR(INDEX($S$5:$S$304,MATCH(C2135,$R$5:$R$304,0))&amp;"","?"))</f>
        <v/>
      </c>
      <c r="N2135" s="2">
        <f>IF(E2135="","",IF(ISNUMBER(SEARCH("SUBSOLO",E2135)),IFERROR(-VALUE(LEFT(E2135,FIND("º",SUBSTITUTE(E2135,"°","º"))-1)),-1),IF(LEFT(E2135,6)="TÉRREO",0,IFERROR(VALUE(LEFT(E2135,FIND("º",SUBSTITUTE(E2135,"°","º"))-1)),""))))</f>
        <v/>
      </c>
      <c r="O2135" s="2">
        <f>IF(OR(F2135="",G2135=""),"",IF(G2135&lt;='RETRATO 2027'!$K$5,"CONCLUÍDA",IF(F2135&lt;='RETRATO 2027'!$K$5,"EM ANDAMENTO","A INICIAR")))</f>
        <v/>
      </c>
    </row>
    <row r="2136">
      <c r="B2136" s="4" t="n">
        <v>30171530</v>
      </c>
      <c r="C2136" s="4" t="inlineStr">
        <is>
          <t>INSTALAÇÃO DE LUMINÁRIAS</t>
        </is>
      </c>
      <c r="D2136" s="4" t="inlineStr">
        <is>
          <t>-</t>
        </is>
      </c>
      <c r="E2136" s="4" t="inlineStr">
        <is>
          <t>HALL - GARAGENS</t>
        </is>
      </c>
      <c r="F2136" s="126" t="n">
        <v>47058</v>
      </c>
      <c r="G2136" s="126" t="n">
        <v>47065</v>
      </c>
      <c r="H2136" s="126" t="n">
        <v>46289</v>
      </c>
      <c r="I2136" s="4" t="n">
        <v>0</v>
      </c>
      <c r="J2136" s="4" t="n">
        <v>0</v>
      </c>
      <c r="K2136" s="4" t="n">
        <v>0</v>
      </c>
      <c r="M2136" s="2">
        <f>IF(C2136="","",IFERROR(INDEX($S$5:$S$304,MATCH(C2136,$R$5:$R$304,0))&amp;"","?"))</f>
        <v/>
      </c>
      <c r="N2136" s="2">
        <f>IF(E2136="","",IF(ISNUMBER(SEARCH("SUBSOLO",E2136)),IFERROR(-VALUE(LEFT(E2136,FIND("º",SUBSTITUTE(E2136,"°","º"))-1)),-1),IF(LEFT(E2136,6)="TÉRREO",0,IFERROR(VALUE(LEFT(E2136,FIND("º",SUBSTITUTE(E2136,"°","º"))-1)),""))))</f>
        <v/>
      </c>
      <c r="O2136" s="2">
        <f>IF(OR(F2136="",G2136=""),"",IF(G2136&lt;='RETRATO 2027'!$K$5,"CONCLUÍDA",IF(F2136&lt;='RETRATO 2027'!$K$5,"EM ANDAMENTO","A INICIAR")))</f>
        <v/>
      </c>
    </row>
    <row r="2137">
      <c r="B2137" s="4" t="n">
        <v>30171536</v>
      </c>
      <c r="C2137" s="4" t="inlineStr">
        <is>
          <t>INSTALAÇÃO DE PCF (FOLHA)</t>
        </is>
      </c>
      <c r="D2137" s="4" t="inlineStr">
        <is>
          <t>-</t>
        </is>
      </c>
      <c r="E2137" s="4" t="inlineStr">
        <is>
          <t>HALL - GARAGENS</t>
        </is>
      </c>
      <c r="F2137" s="126" t="n">
        <v>47058</v>
      </c>
      <c r="G2137" s="126" t="n">
        <v>47073</v>
      </c>
      <c r="H2137" s="126" t="n">
        <v>46289</v>
      </c>
      <c r="I2137" s="4" t="n">
        <v>0</v>
      </c>
      <c r="J2137" s="4" t="n">
        <v>0</v>
      </c>
      <c r="K2137" s="4" t="n">
        <v>0</v>
      </c>
      <c r="M2137" s="2">
        <f>IF(C2137="","",IFERROR(INDEX($S$5:$S$304,MATCH(C2137,$R$5:$R$304,0))&amp;"","?"))</f>
        <v/>
      </c>
      <c r="N2137" s="2">
        <f>IF(E2137="","",IF(ISNUMBER(SEARCH("SUBSOLO",E2137)),IFERROR(-VALUE(LEFT(E2137,FIND("º",SUBSTITUTE(E2137,"°","º"))-1)),-1),IF(LEFT(E2137,6)="TÉRREO",0,IFERROR(VALUE(LEFT(E2137,FIND("º",SUBSTITUTE(E2137,"°","º"))-1)),""))))</f>
        <v/>
      </c>
      <c r="O2137" s="2">
        <f>IF(OR(F2137="",G2137=""),"",IF(G2137&lt;='RETRATO 2027'!$K$5,"CONCLUÍDA",IF(F2137&lt;='RETRATO 2027'!$K$5,"EM ANDAMENTO","A INICIAR")))</f>
        <v/>
      </c>
    </row>
    <row r="2138">
      <c r="B2138" s="4" t="n">
        <v>30171538</v>
      </c>
      <c r="C2138" s="4" t="inlineStr">
        <is>
          <t>MARCENARIA - SHAFTS</t>
        </is>
      </c>
      <c r="D2138" s="4" t="inlineStr">
        <is>
          <t>-</t>
        </is>
      </c>
      <c r="E2138" s="4" t="inlineStr">
        <is>
          <t>HALL - GARAGENS</t>
        </is>
      </c>
      <c r="F2138" s="126" t="n">
        <v>47058</v>
      </c>
      <c r="G2138" s="126" t="n">
        <v>47073</v>
      </c>
      <c r="H2138" s="126" t="n">
        <v>46289</v>
      </c>
      <c r="I2138" s="4" t="n">
        <v>0</v>
      </c>
      <c r="J2138" s="4" t="n">
        <v>0</v>
      </c>
      <c r="K2138" s="4" t="n">
        <v>0</v>
      </c>
      <c r="M2138" s="2">
        <f>IF(C2138="","",IFERROR(INDEX($S$5:$S$304,MATCH(C2138,$R$5:$R$304,0))&amp;"","?"))</f>
        <v/>
      </c>
      <c r="N2138" s="2">
        <f>IF(E2138="","",IF(ISNUMBER(SEARCH("SUBSOLO",E2138)),IFERROR(-VALUE(LEFT(E2138,FIND("º",SUBSTITUTE(E2138,"°","º"))-1)),-1),IF(LEFT(E2138,6)="TÉRREO",0,IFERROR(VALUE(LEFT(E2138,FIND("º",SUBSTITUTE(E2138,"°","º"))-1)),""))))</f>
        <v/>
      </c>
      <c r="O2138" s="2">
        <f>IF(OR(F2138="",G2138=""),"",IF(G2138&lt;='RETRATO 2027'!$K$5,"CONCLUÍDA",IF(F2138&lt;='RETRATO 2027'!$K$5,"EM ANDAMENTO","A INICIAR")))</f>
        <v/>
      </c>
    </row>
    <row r="2139">
      <c r="B2139" s="4" t="n">
        <v>30206077</v>
      </c>
      <c r="C2139" s="4" t="inlineStr">
        <is>
          <t>PINTURA 2º DEMÃO</t>
        </is>
      </c>
      <c r="D2139" s="4" t="inlineStr">
        <is>
          <t>-</t>
        </is>
      </c>
      <c r="E2139" s="4" t="inlineStr">
        <is>
          <t>6º PAV (PILOTIS) - SAUNA + DUCHA</t>
        </is>
      </c>
      <c r="F2139" s="126" t="n">
        <v>47058</v>
      </c>
      <c r="G2139" s="126" t="n">
        <v>47073</v>
      </c>
      <c r="H2139" s="126" t="n">
        <v>46289</v>
      </c>
      <c r="I2139" s="4" t="n">
        <v>0</v>
      </c>
      <c r="J2139" s="4" t="n">
        <v>0</v>
      </c>
      <c r="K2139" s="4" t="n">
        <v>0</v>
      </c>
      <c r="M2139" s="2">
        <f>IF(C2139="","",IFERROR(INDEX($S$5:$S$304,MATCH(C2139,$R$5:$R$304,0))&amp;"","?"))</f>
        <v/>
      </c>
      <c r="N2139" s="2">
        <f>IF(E2139="","",IF(ISNUMBER(SEARCH("SUBSOLO",E2139)),IFERROR(-VALUE(LEFT(E2139,FIND("º",SUBSTITUTE(E2139,"°","º"))-1)),-1),IF(LEFT(E2139,6)="TÉRREO",0,IFERROR(VALUE(LEFT(E2139,FIND("º",SUBSTITUTE(E2139,"°","º"))-1)),""))))</f>
        <v/>
      </c>
      <c r="O2139" s="2">
        <f>IF(OR(F2139="",G2139=""),"",IF(G2139&lt;='RETRATO 2027'!$K$5,"CONCLUÍDA",IF(F2139&lt;='RETRATO 2027'!$K$5,"EM ANDAMENTO","A INICIAR")))</f>
        <v/>
      </c>
    </row>
    <row r="2140">
      <c r="B2140" s="4" t="n">
        <v>30208711</v>
      </c>
      <c r="C2140" s="4" t="inlineStr">
        <is>
          <t>INSTALAÇÃO DE LUMINÁRIAS</t>
        </is>
      </c>
      <c r="D2140" s="4" t="inlineStr">
        <is>
          <t>-</t>
        </is>
      </c>
      <c r="E2140" s="4" t="inlineStr">
        <is>
          <t>6º PAV (PILOTIS) - COWORKING 1 E 2 + CIRC. 2 + HALL 2 + DML + VEST. MASC. + VEST. FEM</t>
        </is>
      </c>
      <c r="F2140" s="126" t="n">
        <v>47058</v>
      </c>
      <c r="G2140" s="126" t="n">
        <v>47065</v>
      </c>
      <c r="H2140" s="126" t="n">
        <v>46289</v>
      </c>
      <c r="I2140" s="4" t="n">
        <v>0</v>
      </c>
      <c r="J2140" s="4" t="n">
        <v>0</v>
      </c>
      <c r="K2140" s="4" t="n">
        <v>0</v>
      </c>
      <c r="M2140" s="2">
        <f>IF(C2140="","",IFERROR(INDEX($S$5:$S$304,MATCH(C2140,$R$5:$R$304,0))&amp;"","?"))</f>
        <v/>
      </c>
      <c r="N2140" s="2">
        <f>IF(E2140="","",IF(ISNUMBER(SEARCH("SUBSOLO",E2140)),IFERROR(-VALUE(LEFT(E2140,FIND("º",SUBSTITUTE(E2140,"°","º"))-1)),-1),IF(LEFT(E2140,6)="TÉRREO",0,IFERROR(VALUE(LEFT(E2140,FIND("º",SUBSTITUTE(E2140,"°","º"))-1)),""))))</f>
        <v/>
      </c>
      <c r="O2140" s="2">
        <f>IF(OR(F2140="",G2140=""),"",IF(G2140&lt;='RETRATO 2027'!$K$5,"CONCLUÍDA",IF(F2140&lt;='RETRATO 2027'!$K$5,"EM ANDAMENTO","A INICIAR")))</f>
        <v/>
      </c>
    </row>
    <row r="2141">
      <c r="B2141" s="4" t="n">
        <v>33898100</v>
      </c>
      <c r="C2141" s="4" t="inlineStr">
        <is>
          <t>ESQUADRIA DE ALUMÍNIO</t>
        </is>
      </c>
      <c r="D2141" s="4" t="inlineStr">
        <is>
          <t>-</t>
        </is>
      </c>
      <c r="E2141" s="4" t="inlineStr">
        <is>
          <t>19º PAV.</t>
        </is>
      </c>
      <c r="F2141" s="126" t="n">
        <v>47063</v>
      </c>
      <c r="G2141" s="126" t="n">
        <v>47074</v>
      </c>
      <c r="H2141" s="126" t="n">
        <v>46289</v>
      </c>
      <c r="I2141" s="4" t="n">
        <v>0</v>
      </c>
      <c r="J2141" s="4" t="n">
        <v>0</v>
      </c>
      <c r="K2141" s="4" t="n">
        <v>0</v>
      </c>
      <c r="M2141" s="2">
        <f>IF(C2141="","",IFERROR(INDEX($S$5:$S$304,MATCH(C2141,$R$5:$R$304,0))&amp;"","?"))</f>
        <v/>
      </c>
      <c r="N2141" s="2">
        <f>IF(E2141="","",IF(ISNUMBER(SEARCH("SUBSOLO",E2141)),IFERROR(-VALUE(LEFT(E2141,FIND("º",SUBSTITUTE(E2141,"°","º"))-1)),-1),IF(LEFT(E2141,6)="TÉRREO",0,IFERROR(VALUE(LEFT(E2141,FIND("º",SUBSTITUTE(E2141,"°","º"))-1)),""))))</f>
        <v/>
      </c>
      <c r="O2141" s="2">
        <f>IF(OR(F2141="",G2141=""),"",IF(G2141&lt;='RETRATO 2027'!$K$5,"CONCLUÍDA",IF(F2141&lt;='RETRATO 2027'!$K$5,"EM ANDAMENTO","A INICIAR")))</f>
        <v/>
      </c>
    </row>
    <row r="2142">
      <c r="B2142" s="4" t="n">
        <v>29980947</v>
      </c>
      <c r="C2142" s="4" t="inlineStr">
        <is>
          <t>CHECKLIST</t>
        </is>
      </c>
      <c r="D2142" s="4" t="inlineStr">
        <is>
          <t>-</t>
        </is>
      </c>
      <c r="E2142" s="4" t="inlineStr">
        <is>
          <t>23º PAV.</t>
        </is>
      </c>
      <c r="F2142" s="126" t="n">
        <v>47064</v>
      </c>
      <c r="G2142" s="126" t="n">
        <v>47070</v>
      </c>
      <c r="H2142" s="126" t="n">
        <v>46289</v>
      </c>
      <c r="I2142" s="4" t="n">
        <v>0</v>
      </c>
      <c r="J2142" s="4" t="n">
        <v>0</v>
      </c>
      <c r="K2142" s="4" t="n">
        <v>0</v>
      </c>
      <c r="M2142" s="2">
        <f>IF(C2142="","",IFERROR(INDEX($S$5:$S$304,MATCH(C2142,$R$5:$R$304,0))&amp;"","?"))</f>
        <v/>
      </c>
      <c r="N2142" s="2">
        <f>IF(E2142="","",IF(ISNUMBER(SEARCH("SUBSOLO",E2142)),IFERROR(-VALUE(LEFT(E2142,FIND("º",SUBSTITUTE(E2142,"°","º"))-1)),-1),IF(LEFT(E2142,6)="TÉRREO",0,IFERROR(VALUE(LEFT(E2142,FIND("º",SUBSTITUTE(E2142,"°","º"))-1)),""))))</f>
        <v/>
      </c>
      <c r="O2142" s="2">
        <f>IF(OR(F2142="",G2142=""),"",IF(G2142&lt;='RETRATO 2027'!$K$5,"CONCLUÍDA",IF(F2142&lt;='RETRATO 2027'!$K$5,"EM ANDAMENTO","A INICIAR")))</f>
        <v/>
      </c>
    </row>
    <row r="2143">
      <c r="B2143" s="4" t="n">
        <v>29980912</v>
      </c>
      <c r="C2143" s="4" t="inlineStr">
        <is>
          <t>ACABAMENTOS ELÉTRICOS</t>
        </is>
      </c>
      <c r="D2143" s="4" t="inlineStr">
        <is>
          <t>-</t>
        </is>
      </c>
      <c r="E2143" s="4" t="inlineStr">
        <is>
          <t>24º PAV.</t>
        </is>
      </c>
      <c r="F2143" s="126" t="n">
        <v>47064</v>
      </c>
      <c r="G2143" s="126" t="n">
        <v>47078</v>
      </c>
      <c r="H2143" s="126" t="n">
        <v>46289</v>
      </c>
      <c r="I2143" s="4" t="n">
        <v>0</v>
      </c>
      <c r="J2143" s="4" t="n">
        <v>0</v>
      </c>
      <c r="K2143" s="4" t="n">
        <v>0</v>
      </c>
      <c r="M2143" s="2">
        <f>IF(C2143="","",IFERROR(INDEX($S$5:$S$304,MATCH(C2143,$R$5:$R$304,0))&amp;"","?"))</f>
        <v/>
      </c>
      <c r="N2143" s="2">
        <f>IF(E2143="","",IF(ISNUMBER(SEARCH("SUBSOLO",E2143)),IFERROR(-VALUE(LEFT(E2143,FIND("º",SUBSTITUTE(E2143,"°","º"))-1)),-1),IF(LEFT(E2143,6)="TÉRREO",0,IFERROR(VALUE(LEFT(E2143,FIND("º",SUBSTITUTE(E2143,"°","º"))-1)),""))))</f>
        <v/>
      </c>
      <c r="O2143" s="2">
        <f>IF(OR(F2143="",G2143=""),"",IF(G2143&lt;='RETRATO 2027'!$K$5,"CONCLUÍDA",IF(F2143&lt;='RETRATO 2027'!$K$5,"EM ANDAMENTO","A INICIAR")))</f>
        <v/>
      </c>
    </row>
    <row r="2144">
      <c r="B2144" s="4" t="n">
        <v>29980872</v>
      </c>
      <c r="C2144" s="4" t="inlineStr">
        <is>
          <t>PINTURA 2º DEMÃO</t>
        </is>
      </c>
      <c r="D2144" s="4" t="inlineStr">
        <is>
          <t>-</t>
        </is>
      </c>
      <c r="E2144" s="4" t="inlineStr">
        <is>
          <t>25º PAV.</t>
        </is>
      </c>
      <c r="F2144" s="126" t="n">
        <v>47064</v>
      </c>
      <c r="G2144" s="126" t="n">
        <v>47078</v>
      </c>
      <c r="H2144" s="126" t="n">
        <v>46289</v>
      </c>
      <c r="I2144" s="4" t="n">
        <v>0</v>
      </c>
      <c r="J2144" s="4" t="n">
        <v>0</v>
      </c>
      <c r="K2144" s="4" t="n">
        <v>0</v>
      </c>
      <c r="M2144" s="2">
        <f>IF(C2144="","",IFERROR(INDEX($S$5:$S$304,MATCH(C2144,$R$5:$R$304,0))&amp;"","?"))</f>
        <v/>
      </c>
      <c r="N2144" s="2">
        <f>IF(E2144="","",IF(ISNUMBER(SEARCH("SUBSOLO",E2144)),IFERROR(-VALUE(LEFT(E2144,FIND("º",SUBSTITUTE(E2144,"°","º"))-1)),-1),IF(LEFT(E2144,6)="TÉRREO",0,IFERROR(VALUE(LEFT(E2144,FIND("º",SUBSTITUTE(E2144,"°","º"))-1)),""))))</f>
        <v/>
      </c>
      <c r="O2144" s="2">
        <f>IF(OR(F2144="",G2144=""),"",IF(G2144&lt;='RETRATO 2027'!$K$5,"CONCLUÍDA",IF(F2144&lt;='RETRATO 2027'!$K$5,"EM ANDAMENTO","A INICIAR")))</f>
        <v/>
      </c>
    </row>
    <row r="2145">
      <c r="B2145" s="4" t="n">
        <v>33919802</v>
      </c>
      <c r="C2145" s="4" t="inlineStr">
        <is>
          <t>TEXTURA - EXTERNA</t>
        </is>
      </c>
      <c r="D2145" s="4" t="inlineStr">
        <is>
          <t>-</t>
        </is>
      </c>
      <c r="E2145" s="4" t="inlineStr">
        <is>
          <t>25º PAV.</t>
        </is>
      </c>
      <c r="F2145" s="126" t="n">
        <v>47064</v>
      </c>
      <c r="G2145" s="126" t="n">
        <v>47078</v>
      </c>
      <c r="H2145" s="126" t="n">
        <v>46289</v>
      </c>
      <c r="I2145" s="4" t="n">
        <v>0</v>
      </c>
      <c r="J2145" s="4" t="n">
        <v>0</v>
      </c>
      <c r="K2145" s="4" t="n">
        <v>0</v>
      </c>
      <c r="M2145" s="2">
        <f>IF(C2145="","",IFERROR(INDEX($S$5:$S$304,MATCH(C2145,$R$5:$R$304,0))&amp;"","?"))</f>
        <v/>
      </c>
      <c r="N2145" s="2">
        <f>IF(E2145="","",IF(ISNUMBER(SEARCH("SUBSOLO",E2145)),IFERROR(-VALUE(LEFT(E2145,FIND("º",SUBSTITUTE(E2145,"°","º"))-1)),-1),IF(LEFT(E2145,6)="TÉRREO",0,IFERROR(VALUE(LEFT(E2145,FIND("º",SUBSTITUTE(E2145,"°","º"))-1)),""))))</f>
        <v/>
      </c>
      <c r="O2145" s="2">
        <f>IF(OR(F2145="",G2145=""),"",IF(G2145&lt;='RETRATO 2027'!$K$5,"CONCLUÍDA",IF(F2145&lt;='RETRATO 2027'!$K$5,"EM ANDAMENTO","A INICIAR")))</f>
        <v/>
      </c>
    </row>
    <row r="2146">
      <c r="B2146" s="4" t="n">
        <v>29980834</v>
      </c>
      <c r="C2146" s="4" t="inlineStr">
        <is>
          <t>LIMPEZA GROSSA</t>
        </is>
      </c>
      <c r="D2146" s="4" t="inlineStr">
        <is>
          <t>-</t>
        </is>
      </c>
      <c r="E2146" s="4" t="inlineStr">
        <is>
          <t>26º PAV.</t>
        </is>
      </c>
      <c r="F2146" s="126" t="n">
        <v>47064</v>
      </c>
      <c r="G2146" s="126" t="n">
        <v>47078</v>
      </c>
      <c r="H2146" s="126" t="n">
        <v>46289</v>
      </c>
      <c r="I2146" s="4" t="n">
        <v>0</v>
      </c>
      <c r="J2146" s="4" t="n">
        <v>0</v>
      </c>
      <c r="K2146" s="4" t="n">
        <v>0</v>
      </c>
      <c r="M2146" s="2">
        <f>IF(C2146="","",IFERROR(INDEX($S$5:$S$304,MATCH(C2146,$R$5:$R$304,0))&amp;"","?"))</f>
        <v/>
      </c>
      <c r="N2146" s="2">
        <f>IF(E2146="","",IF(ISNUMBER(SEARCH("SUBSOLO",E2146)),IFERROR(-VALUE(LEFT(E2146,FIND("º",SUBSTITUTE(E2146,"°","º"))-1)),-1),IF(LEFT(E2146,6)="TÉRREO",0,IFERROR(VALUE(LEFT(E2146,FIND("º",SUBSTITUTE(E2146,"°","º"))-1)),""))))</f>
        <v/>
      </c>
      <c r="O2146" s="2">
        <f>IF(OR(F2146="",G2146=""),"",IF(G2146&lt;='RETRATO 2027'!$K$5,"CONCLUÍDA",IF(F2146&lt;='RETRATO 2027'!$K$5,"EM ANDAMENTO","A INICIAR")))</f>
        <v/>
      </c>
    </row>
    <row r="2147">
      <c r="B2147" s="4" t="n">
        <v>29980791</v>
      </c>
      <c r="C2147" s="4" t="inlineStr">
        <is>
          <t>LOUÇAS</t>
        </is>
      </c>
      <c r="D2147" s="4" t="inlineStr">
        <is>
          <t>-</t>
        </is>
      </c>
      <c r="E2147" s="4" t="inlineStr">
        <is>
          <t>27º PAV.</t>
        </is>
      </c>
      <c r="F2147" s="126" t="n">
        <v>47064</v>
      </c>
      <c r="G2147" s="126" t="n">
        <v>47078</v>
      </c>
      <c r="H2147" s="126" t="n">
        <v>46289</v>
      </c>
      <c r="I2147" s="4" t="n">
        <v>0</v>
      </c>
      <c r="J2147" s="4" t="n">
        <v>0</v>
      </c>
      <c r="K2147" s="4" t="n">
        <v>0</v>
      </c>
      <c r="M2147" s="2">
        <f>IF(C2147="","",IFERROR(INDEX($S$5:$S$304,MATCH(C2147,$R$5:$R$304,0))&amp;"","?"))</f>
        <v/>
      </c>
      <c r="N2147" s="2">
        <f>IF(E2147="","",IF(ISNUMBER(SEARCH("SUBSOLO",E2147)),IFERROR(-VALUE(LEFT(E2147,FIND("º",SUBSTITUTE(E2147,"°","º"))-1)),-1),IF(LEFT(E2147,6)="TÉRREO",0,IFERROR(VALUE(LEFT(E2147,FIND("º",SUBSTITUTE(E2147,"°","º"))-1)),""))))</f>
        <v/>
      </c>
      <c r="O2147" s="2">
        <f>IF(OR(F2147="",G2147=""),"",IF(G2147&lt;='RETRATO 2027'!$K$5,"CONCLUÍDA",IF(F2147&lt;='RETRATO 2027'!$K$5,"EM ANDAMENTO","A INICIAR")))</f>
        <v/>
      </c>
    </row>
    <row r="2148">
      <c r="B2148" s="4" t="n">
        <v>29980796</v>
      </c>
      <c r="C2148" s="4" t="inlineStr">
        <is>
          <t>METAIS</t>
        </is>
      </c>
      <c r="D2148" s="4" t="inlineStr">
        <is>
          <t>-</t>
        </is>
      </c>
      <c r="E2148" s="4" t="inlineStr">
        <is>
          <t>27º PAV.</t>
        </is>
      </c>
      <c r="F2148" s="126" t="n">
        <v>47064</v>
      </c>
      <c r="G2148" s="126" t="n">
        <v>47078</v>
      </c>
      <c r="H2148" s="126" t="n">
        <v>46289</v>
      </c>
      <c r="I2148" s="4" t="n">
        <v>0</v>
      </c>
      <c r="J2148" s="4" t="n">
        <v>0</v>
      </c>
      <c r="K2148" s="4" t="n">
        <v>0</v>
      </c>
      <c r="M2148" s="2">
        <f>IF(C2148="","",IFERROR(INDEX($S$5:$S$304,MATCH(C2148,$R$5:$R$304,0))&amp;"","?"))</f>
        <v/>
      </c>
      <c r="N2148" s="2">
        <f>IF(E2148="","",IF(ISNUMBER(SEARCH("SUBSOLO",E2148)),IFERROR(-VALUE(LEFT(E2148,FIND("º",SUBSTITUTE(E2148,"°","º"))-1)),-1),IF(LEFT(E2148,6)="TÉRREO",0,IFERROR(VALUE(LEFT(E2148,FIND("º",SUBSTITUTE(E2148,"°","º"))-1)),""))))</f>
        <v/>
      </c>
      <c r="O2148" s="2">
        <f>IF(OR(F2148="",G2148=""),"",IF(G2148&lt;='RETRATO 2027'!$K$5,"CONCLUÍDA",IF(F2148&lt;='RETRATO 2027'!$K$5,"EM ANDAMENTO","A INICIAR")))</f>
        <v/>
      </c>
    </row>
    <row r="2149">
      <c r="B2149" s="4" t="n">
        <v>29980795</v>
      </c>
      <c r="C2149" s="4" t="inlineStr">
        <is>
          <t>DISJUNTORES / MIOLOS</t>
        </is>
      </c>
      <c r="D2149" s="4" t="inlineStr">
        <is>
          <t>-</t>
        </is>
      </c>
      <c r="E2149" s="4" t="inlineStr">
        <is>
          <t>27º PAV.</t>
        </is>
      </c>
      <c r="F2149" s="126" t="n">
        <v>47064</v>
      </c>
      <c r="G2149" s="126" t="n">
        <v>47078</v>
      </c>
      <c r="H2149" s="126" t="n">
        <v>46289</v>
      </c>
      <c r="I2149" s="4" t="n">
        <v>0</v>
      </c>
      <c r="J2149" s="4" t="n">
        <v>0</v>
      </c>
      <c r="K2149" s="4" t="n">
        <v>0</v>
      </c>
      <c r="M2149" s="2">
        <f>IF(C2149="","",IFERROR(INDEX($S$5:$S$304,MATCH(C2149,$R$5:$R$304,0))&amp;"","?"))</f>
        <v/>
      </c>
      <c r="N2149" s="2">
        <f>IF(E2149="","",IF(ISNUMBER(SEARCH("SUBSOLO",E2149)),IFERROR(-VALUE(LEFT(E2149,FIND("º",SUBSTITUTE(E2149,"°","º"))-1)),-1),IF(LEFT(E2149,6)="TÉRREO",0,IFERROR(VALUE(LEFT(E2149,FIND("º",SUBSTITUTE(E2149,"°","º"))-1)),""))))</f>
        <v/>
      </c>
      <c r="O2149" s="2">
        <f>IF(OR(F2149="",G2149=""),"",IF(G2149&lt;='RETRATO 2027'!$K$5,"CONCLUÍDA",IF(F2149&lt;='RETRATO 2027'!$K$5,"EM ANDAMENTO","A INICIAR")))</f>
        <v/>
      </c>
    </row>
    <row r="2150">
      <c r="B2150" s="4" t="n">
        <v>29980794</v>
      </c>
      <c r="C2150" s="4" t="inlineStr">
        <is>
          <t>COMUNICAÇÃO E ALARME</t>
        </is>
      </c>
      <c r="D2150" s="4" t="inlineStr">
        <is>
          <t>-</t>
        </is>
      </c>
      <c r="E2150" s="4" t="inlineStr">
        <is>
          <t>27º PAV.</t>
        </is>
      </c>
      <c r="F2150" s="126" t="n">
        <v>47064</v>
      </c>
      <c r="G2150" s="126" t="n">
        <v>47078</v>
      </c>
      <c r="H2150" s="126" t="n">
        <v>46289</v>
      </c>
      <c r="I2150" s="4" t="n">
        <v>0</v>
      </c>
      <c r="J2150" s="4" t="n">
        <v>0</v>
      </c>
      <c r="K2150" s="4" t="n">
        <v>0</v>
      </c>
      <c r="M2150" s="2">
        <f>IF(C2150="","",IFERROR(INDEX($S$5:$S$304,MATCH(C2150,$R$5:$R$304,0))&amp;"","?"))</f>
        <v/>
      </c>
      <c r="N2150" s="2">
        <f>IF(E2150="","",IF(ISNUMBER(SEARCH("SUBSOLO",E2150)),IFERROR(-VALUE(LEFT(E2150,FIND("º",SUBSTITUTE(E2150,"°","º"))-1)),-1),IF(LEFT(E2150,6)="TÉRREO",0,IFERROR(VALUE(LEFT(E2150,FIND("º",SUBSTITUTE(E2150,"°","º"))-1)),""))))</f>
        <v/>
      </c>
      <c r="O2150" s="2">
        <f>IF(OR(F2150="",G2150=""),"",IF(G2150&lt;='RETRATO 2027'!$K$5,"CONCLUÍDA",IF(F2150&lt;='RETRATO 2027'!$K$5,"EM ANDAMENTO","A INICIAR")))</f>
        <v/>
      </c>
    </row>
    <row r="2151">
      <c r="B2151" s="4" t="n">
        <v>29980753</v>
      </c>
      <c r="C2151" s="4" t="inlineStr">
        <is>
          <t>RODAPÉ MADEIRA / PVC</t>
        </is>
      </c>
      <c r="D2151" s="4" t="inlineStr">
        <is>
          <t>-</t>
        </is>
      </c>
      <c r="E2151" s="4" t="inlineStr">
        <is>
          <t>28º PAV.</t>
        </is>
      </c>
      <c r="F2151" s="126" t="n">
        <v>47064</v>
      </c>
      <c r="G2151" s="126" t="n">
        <v>47078</v>
      </c>
      <c r="H2151" s="126" t="n">
        <v>46289</v>
      </c>
      <c r="I2151" s="4" t="n">
        <v>0</v>
      </c>
      <c r="J2151" s="4" t="n">
        <v>0</v>
      </c>
      <c r="K2151" s="4" t="n">
        <v>0</v>
      </c>
      <c r="M2151" s="2">
        <f>IF(C2151="","",IFERROR(INDEX($S$5:$S$304,MATCH(C2151,$R$5:$R$304,0))&amp;"","?"))</f>
        <v/>
      </c>
      <c r="N2151" s="2">
        <f>IF(E2151="","",IF(ISNUMBER(SEARCH("SUBSOLO",E2151)),IFERROR(-VALUE(LEFT(E2151,FIND("º",SUBSTITUTE(E2151,"°","º"))-1)),-1),IF(LEFT(E2151,6)="TÉRREO",0,IFERROR(VALUE(LEFT(E2151,FIND("º",SUBSTITUTE(E2151,"°","º"))-1)),""))))</f>
        <v/>
      </c>
      <c r="O2151" s="2">
        <f>IF(OR(F2151="",G2151=""),"",IF(G2151&lt;='RETRATO 2027'!$K$5,"CONCLUÍDA",IF(F2151&lt;='RETRATO 2027'!$K$5,"EM ANDAMENTO","A INICIAR")))</f>
        <v/>
      </c>
    </row>
    <row r="2152">
      <c r="B2152" s="4" t="n">
        <v>29980715</v>
      </c>
      <c r="C2152" s="4" t="inlineStr">
        <is>
          <t>ESQUADRIA MADEIRA</t>
        </is>
      </c>
      <c r="D2152" s="4" t="inlineStr">
        <is>
          <t>-</t>
        </is>
      </c>
      <c r="E2152" s="4" t="inlineStr">
        <is>
          <t>29º PAV.</t>
        </is>
      </c>
      <c r="F2152" s="126" t="n">
        <v>47064</v>
      </c>
      <c r="G2152" s="126" t="n">
        <v>47078</v>
      </c>
      <c r="H2152" s="126" t="n">
        <v>46289</v>
      </c>
      <c r="I2152" s="4" t="n">
        <v>0</v>
      </c>
      <c r="J2152" s="4" t="n">
        <v>0</v>
      </c>
      <c r="K2152" s="4" t="n">
        <v>0</v>
      </c>
      <c r="M2152" s="2">
        <f>IF(C2152="","",IFERROR(INDEX($S$5:$S$304,MATCH(C2152,$R$5:$R$304,0))&amp;"","?"))</f>
        <v/>
      </c>
      <c r="N2152" s="2">
        <f>IF(E2152="","",IF(ISNUMBER(SEARCH("SUBSOLO",E2152)),IFERROR(-VALUE(LEFT(E2152,FIND("º",SUBSTITUTE(E2152,"°","º"))-1)),-1),IF(LEFT(E2152,6)="TÉRREO",0,IFERROR(VALUE(LEFT(E2152,FIND("º",SUBSTITUTE(E2152,"°","º"))-1)),""))))</f>
        <v/>
      </c>
      <c r="O2152" s="2">
        <f>IF(OR(F2152="",G2152=""),"",IF(G2152&lt;='RETRATO 2027'!$K$5,"CONCLUÍDA",IF(F2152&lt;='RETRATO 2027'!$K$5,"EM ANDAMENTO","A INICIAR")))</f>
        <v/>
      </c>
    </row>
    <row r="2153">
      <c r="B2153" s="4" t="n">
        <v>29980677</v>
      </c>
      <c r="C2153" s="4" t="inlineStr">
        <is>
          <t>PISO VINÍLICO / LAMINADO</t>
        </is>
      </c>
      <c r="D2153" s="4" t="inlineStr">
        <is>
          <t>-</t>
        </is>
      </c>
      <c r="E2153" s="4" t="inlineStr">
        <is>
          <t>30º PAV.</t>
        </is>
      </c>
      <c r="F2153" s="126" t="n">
        <v>47064</v>
      </c>
      <c r="G2153" s="126" t="n">
        <v>47078</v>
      </c>
      <c r="H2153" s="126" t="n">
        <v>46289</v>
      </c>
      <c r="I2153" s="4" t="n">
        <v>0</v>
      </c>
      <c r="J2153" s="4" t="n">
        <v>0</v>
      </c>
      <c r="K2153" s="4" t="n">
        <v>0</v>
      </c>
      <c r="M2153" s="2">
        <f>IF(C2153="","",IFERROR(INDEX($S$5:$S$304,MATCH(C2153,$R$5:$R$304,0))&amp;"","?"))</f>
        <v/>
      </c>
      <c r="N2153" s="2">
        <f>IF(E2153="","",IF(ISNUMBER(SEARCH("SUBSOLO",E2153)),IFERROR(-VALUE(LEFT(E2153,FIND("º",SUBSTITUTE(E2153,"°","º"))-1)),-1),IF(LEFT(E2153,6)="TÉRREO",0,IFERROR(VALUE(LEFT(E2153,FIND("º",SUBSTITUTE(E2153,"°","º"))-1)),""))))</f>
        <v/>
      </c>
      <c r="O2153" s="2">
        <f>IF(OR(F2153="",G2153=""),"",IF(G2153&lt;='RETRATO 2027'!$K$5,"CONCLUÍDA",IF(F2153&lt;='RETRATO 2027'!$K$5,"EM ANDAMENTO","A INICIAR")))</f>
        <v/>
      </c>
    </row>
    <row r="2154">
      <c r="B2154" s="4" t="n">
        <v>29980639</v>
      </c>
      <c r="C2154" s="4" t="inlineStr">
        <is>
          <t>PINTURA 1º DEMÃO</t>
        </is>
      </c>
      <c r="D2154" s="4" t="inlineStr">
        <is>
          <t>-</t>
        </is>
      </c>
      <c r="E2154" s="4" t="inlineStr">
        <is>
          <t>31º PAV. - COBERTURA LINEAR</t>
        </is>
      </c>
      <c r="F2154" s="126" t="n">
        <v>47064</v>
      </c>
      <c r="G2154" s="126" t="n">
        <v>47078</v>
      </c>
      <c r="H2154" s="126" t="n">
        <v>46289</v>
      </c>
      <c r="I2154" s="4" t="n">
        <v>0</v>
      </c>
      <c r="J2154" s="4" t="n">
        <v>0</v>
      </c>
      <c r="K2154" s="4" t="n">
        <v>0</v>
      </c>
      <c r="M2154" s="2">
        <f>IF(C2154="","",IFERROR(INDEX($S$5:$S$304,MATCH(C2154,$R$5:$R$304,0))&amp;"","?"))</f>
        <v/>
      </c>
      <c r="N2154" s="2">
        <f>IF(E2154="","",IF(ISNUMBER(SEARCH("SUBSOLO",E2154)),IFERROR(-VALUE(LEFT(E2154,FIND("º",SUBSTITUTE(E2154,"°","º"))-1)),-1),IF(LEFT(E2154,6)="TÉRREO",0,IFERROR(VALUE(LEFT(E2154,FIND("º",SUBSTITUTE(E2154,"°","º"))-1)),""))))</f>
        <v/>
      </c>
      <c r="O2154" s="2">
        <f>IF(OR(F2154="",G2154=""),"",IF(G2154&lt;='RETRATO 2027'!$K$5,"CONCLUÍDA",IF(F2154&lt;='RETRATO 2027'!$K$5,"EM ANDAMENTO","A INICIAR")))</f>
        <v/>
      </c>
    </row>
    <row r="2155">
      <c r="B2155" s="4" t="n">
        <v>29980628</v>
      </c>
      <c r="C2155" s="4" t="inlineStr">
        <is>
          <t>MASSA CORRIDA</t>
        </is>
      </c>
      <c r="D2155" s="4" t="inlineStr">
        <is>
          <t>-</t>
        </is>
      </c>
      <c r="E2155" s="4" t="inlineStr">
        <is>
          <t>32º PAV - COBERTURA GERAL</t>
        </is>
      </c>
      <c r="F2155" s="126" t="n">
        <v>47064</v>
      </c>
      <c r="G2155" s="126" t="n">
        <v>47078</v>
      </c>
      <c r="H2155" s="126" t="n">
        <v>46289</v>
      </c>
      <c r="I2155" s="4" t="n">
        <v>0</v>
      </c>
      <c r="J2155" s="4" t="n">
        <v>0</v>
      </c>
      <c r="K2155" s="4" t="n">
        <v>0</v>
      </c>
      <c r="M2155" s="2">
        <f>IF(C2155="","",IFERROR(INDEX($S$5:$S$304,MATCH(C2155,$R$5:$R$304,0))&amp;"","?"))</f>
        <v/>
      </c>
      <c r="N2155" s="2">
        <f>IF(E2155="","",IF(ISNUMBER(SEARCH("SUBSOLO",E2155)),IFERROR(-VALUE(LEFT(E2155,FIND("º",SUBSTITUTE(E2155,"°","º"))-1)),-1),IF(LEFT(E2155,6)="TÉRREO",0,IFERROR(VALUE(LEFT(E2155,FIND("º",SUBSTITUTE(E2155,"°","º"))-1)),""))))</f>
        <v/>
      </c>
      <c r="O2155" s="2">
        <f>IF(OR(F2155="",G2155=""),"",IF(G2155&lt;='RETRATO 2027'!$K$5,"CONCLUÍDA",IF(F2155&lt;='RETRATO 2027'!$K$5,"EM ANDAMENTO","A INICIAR")))</f>
        <v/>
      </c>
    </row>
    <row r="2156">
      <c r="B2156" s="4" t="n">
        <v>30171658</v>
      </c>
      <c r="C2156" s="4" t="inlineStr">
        <is>
          <t>PLACAS E IDEINTIFIC. VISUAIS</t>
        </is>
      </c>
      <c r="D2156" s="4" t="inlineStr">
        <is>
          <t>-</t>
        </is>
      </c>
      <c r="E2156" s="4" t="inlineStr">
        <is>
          <t>CX DE ESCADA DE INCÊND.</t>
        </is>
      </c>
      <c r="F2156" s="126" t="n">
        <v>47065</v>
      </c>
      <c r="G2156" s="126" t="n">
        <v>47094</v>
      </c>
      <c r="H2156" s="126" t="n">
        <v>46289</v>
      </c>
      <c r="I2156" s="4" t="n">
        <v>0</v>
      </c>
      <c r="J2156" s="4" t="n">
        <v>0</v>
      </c>
      <c r="K2156" s="4" t="n">
        <v>0</v>
      </c>
      <c r="M2156" s="2">
        <f>IF(C2156="","",IFERROR(INDEX($S$5:$S$304,MATCH(C2156,$R$5:$R$304,0))&amp;"","?"))</f>
        <v/>
      </c>
      <c r="N2156" s="2">
        <f>IF(E2156="","",IF(ISNUMBER(SEARCH("SUBSOLO",E2156)),IFERROR(-VALUE(LEFT(E2156,FIND("º",SUBSTITUTE(E2156,"°","º"))-1)),-1),IF(LEFT(E2156,6)="TÉRREO",0,IFERROR(VALUE(LEFT(E2156,FIND("º",SUBSTITUTE(E2156,"°","º"))-1)),""))))</f>
        <v/>
      </c>
      <c r="O2156" s="2">
        <f>IF(OR(F2156="",G2156=""),"",IF(G2156&lt;='RETRATO 2027'!$K$5,"CONCLUÍDA",IF(F2156&lt;='RETRATO 2027'!$K$5,"EM ANDAMENTO","A INICIAR")))</f>
        <v/>
      </c>
    </row>
    <row r="2157">
      <c r="B2157" s="4" t="n">
        <v>30171655</v>
      </c>
      <c r="C2157" s="4" t="inlineStr">
        <is>
          <t>INSTALAÇÃO DE LUMINÁRIAS</t>
        </is>
      </c>
      <c r="D2157" s="4" t="inlineStr">
        <is>
          <t>-</t>
        </is>
      </c>
      <c r="E2157" s="4" t="inlineStr">
        <is>
          <t>CX DE ESCADA DE INCÊND.</t>
        </is>
      </c>
      <c r="F2157" s="126" t="n">
        <v>47065</v>
      </c>
      <c r="G2157" s="126" t="n">
        <v>47094</v>
      </c>
      <c r="H2157" s="126" t="n">
        <v>46289</v>
      </c>
      <c r="I2157" s="4" t="n">
        <v>0</v>
      </c>
      <c r="J2157" s="4" t="n">
        <v>0</v>
      </c>
      <c r="K2157" s="4" t="n">
        <v>0</v>
      </c>
      <c r="M2157" s="2">
        <f>IF(C2157="","",IFERROR(INDEX($S$5:$S$304,MATCH(C2157,$R$5:$R$304,0))&amp;"","?"))</f>
        <v/>
      </c>
      <c r="N2157" s="2">
        <f>IF(E2157="","",IF(ISNUMBER(SEARCH("SUBSOLO",E2157)),IFERROR(-VALUE(LEFT(E2157,FIND("º",SUBSTITUTE(E2157,"°","º"))-1)),-1),IF(LEFT(E2157,6)="TÉRREO",0,IFERROR(VALUE(LEFT(E2157,FIND("º",SUBSTITUTE(E2157,"°","º"))-1)),""))))</f>
        <v/>
      </c>
      <c r="O2157" s="2">
        <f>IF(OR(F2157="",G2157=""),"",IF(G2157&lt;='RETRATO 2027'!$K$5,"CONCLUÍDA",IF(F2157&lt;='RETRATO 2027'!$K$5,"EM ANDAMENTO","A INICIAR")))</f>
        <v/>
      </c>
    </row>
    <row r="2158">
      <c r="B2158" s="4" t="n">
        <v>30205996</v>
      </c>
      <c r="C2158" s="4" t="inlineStr">
        <is>
          <t>LOUÇAS</t>
        </is>
      </c>
      <c r="D2158" s="4" t="inlineStr">
        <is>
          <t>-</t>
        </is>
      </c>
      <c r="E2158" s="4" t="inlineStr">
        <is>
          <t>6º PAV (PILOTIS) - COWORKING 1 E 2 + CIRC. 2 + HALL 2 + DML + VEST. MASC. + VEST. FEM</t>
        </is>
      </c>
      <c r="F2158" s="126" t="n">
        <v>47066</v>
      </c>
      <c r="G2158" s="126" t="n">
        <v>47073</v>
      </c>
      <c r="H2158" s="126" t="n">
        <v>46289</v>
      </c>
      <c r="I2158" s="4" t="n">
        <v>0</v>
      </c>
      <c r="J2158" s="4" t="n">
        <v>0</v>
      </c>
      <c r="K2158" s="4" t="n">
        <v>0</v>
      </c>
      <c r="M2158" s="2">
        <f>IF(C2158="","",IFERROR(INDEX($S$5:$S$304,MATCH(C2158,$R$5:$R$304,0))&amp;"","?"))</f>
        <v/>
      </c>
      <c r="N2158" s="2">
        <f>IF(E2158="","",IF(ISNUMBER(SEARCH("SUBSOLO",E2158)),IFERROR(-VALUE(LEFT(E2158,FIND("º",SUBSTITUTE(E2158,"°","º"))-1)),-1),IF(LEFT(E2158,6)="TÉRREO",0,IFERROR(VALUE(LEFT(E2158,FIND("º",SUBSTITUTE(E2158,"°","º"))-1)),""))))</f>
        <v/>
      </c>
      <c r="O2158" s="2">
        <f>IF(OR(F2158="",G2158=""),"",IF(G2158&lt;='RETRATO 2027'!$K$5,"CONCLUÍDA",IF(F2158&lt;='RETRATO 2027'!$K$5,"EM ANDAMENTO","A INICIAR")))</f>
        <v/>
      </c>
    </row>
    <row r="2159">
      <c r="B2159" s="4" t="n">
        <v>30206001</v>
      </c>
      <c r="C2159" s="4" t="inlineStr">
        <is>
          <t>METAIS</t>
        </is>
      </c>
      <c r="D2159" s="4" t="inlineStr">
        <is>
          <t>-</t>
        </is>
      </c>
      <c r="E2159" s="4" t="inlineStr">
        <is>
          <t>6º PAV (PILOTIS) - COWORKING 1 E 2 + CIRC. 2 + HALL 2 + DML + VEST. MASC. + VEST. FEM</t>
        </is>
      </c>
      <c r="F2159" s="126" t="n">
        <v>47066</v>
      </c>
      <c r="G2159" s="126" t="n">
        <v>47073</v>
      </c>
      <c r="H2159" s="126" t="n">
        <v>46289</v>
      </c>
      <c r="I2159" s="4" t="n">
        <v>0</v>
      </c>
      <c r="J2159" s="4" t="n">
        <v>0</v>
      </c>
      <c r="K2159" s="4" t="n">
        <v>0</v>
      </c>
      <c r="M2159" s="2">
        <f>IF(C2159="","",IFERROR(INDEX($S$5:$S$304,MATCH(C2159,$R$5:$R$304,0))&amp;"","?"))</f>
        <v/>
      </c>
      <c r="N2159" s="2">
        <f>IF(E2159="","",IF(ISNUMBER(SEARCH("SUBSOLO",E2159)),IFERROR(-VALUE(LEFT(E2159,FIND("º",SUBSTITUTE(E2159,"°","º"))-1)),-1),IF(LEFT(E2159,6)="TÉRREO",0,IFERROR(VALUE(LEFT(E2159,FIND("º",SUBSTITUTE(E2159,"°","º"))-1)),""))))</f>
        <v/>
      </c>
      <c r="O2159" s="2">
        <f>IF(OR(F2159="",G2159=""),"",IF(G2159&lt;='RETRATO 2027'!$K$5,"CONCLUÍDA",IF(F2159&lt;='RETRATO 2027'!$K$5,"EM ANDAMENTO","A INICIAR")))</f>
        <v/>
      </c>
    </row>
    <row r="2160">
      <c r="B2160" s="4" t="n">
        <v>30205957</v>
      </c>
      <c r="C2160" s="4" t="inlineStr">
        <is>
          <t>ESQUADRIA MADEIRA</t>
        </is>
      </c>
      <c r="D2160" s="4" t="inlineStr">
        <is>
          <t>-</t>
        </is>
      </c>
      <c r="E2160" s="4" t="inlineStr">
        <is>
          <t>6º PAV (PILOTIS) - LOUNGE + SALÃO + COZINHA + GOURMET + ESPAÇO KIDS</t>
        </is>
      </c>
      <c r="F2160" s="126" t="n">
        <v>47066</v>
      </c>
      <c r="G2160" s="126" t="n">
        <v>47073</v>
      </c>
      <c r="H2160" s="126" t="n">
        <v>46289</v>
      </c>
      <c r="I2160" s="4" t="n">
        <v>0</v>
      </c>
      <c r="J2160" s="4" t="n">
        <v>0</v>
      </c>
      <c r="K2160" s="4" t="n">
        <v>0</v>
      </c>
      <c r="M2160" s="2">
        <f>IF(C2160="","",IFERROR(INDEX($S$5:$S$304,MATCH(C2160,$R$5:$R$304,0))&amp;"","?"))</f>
        <v/>
      </c>
      <c r="N2160" s="2">
        <f>IF(E2160="","",IF(ISNUMBER(SEARCH("SUBSOLO",E2160)),IFERROR(-VALUE(LEFT(E2160,FIND("º",SUBSTITUTE(E2160,"°","º"))-1)),-1),IF(LEFT(E2160,6)="TÉRREO",0,IFERROR(VALUE(LEFT(E2160,FIND("º",SUBSTITUTE(E2160,"°","º"))-1)),""))))</f>
        <v/>
      </c>
      <c r="O2160" s="2">
        <f>IF(OR(F2160="",G2160=""),"",IF(G2160&lt;='RETRATO 2027'!$K$5,"CONCLUÍDA",IF(F2160&lt;='RETRATO 2027'!$K$5,"EM ANDAMENTO","A INICIAR")))</f>
        <v/>
      </c>
    </row>
    <row r="2161">
      <c r="B2161" s="4" t="n">
        <v>30205963</v>
      </c>
      <c r="C2161" s="4" t="inlineStr">
        <is>
          <t>DISJUNTORES / MIOLOS</t>
        </is>
      </c>
      <c r="D2161" s="4" t="inlineStr">
        <is>
          <t>-</t>
        </is>
      </c>
      <c r="E2161" s="4" t="inlineStr">
        <is>
          <t>6º PAV (PILOTIS) - LOUNGE + SALÃO + COZINHA + GOURMET + ESPAÇO KIDS</t>
        </is>
      </c>
      <c r="F2161" s="126" t="n">
        <v>47066</v>
      </c>
      <c r="G2161" s="126" t="n">
        <v>47081</v>
      </c>
      <c r="H2161" s="126" t="n">
        <v>46289</v>
      </c>
      <c r="I2161" s="4" t="n">
        <v>0</v>
      </c>
      <c r="J2161" s="4" t="n">
        <v>0</v>
      </c>
      <c r="K2161" s="4" t="n">
        <v>0</v>
      </c>
      <c r="M2161" s="2">
        <f>IF(C2161="","",IFERROR(INDEX($S$5:$S$304,MATCH(C2161,$R$5:$R$304,0))&amp;"","?"))</f>
        <v/>
      </c>
      <c r="N2161" s="2">
        <f>IF(E2161="","",IF(ISNUMBER(SEARCH("SUBSOLO",E2161)),IFERROR(-VALUE(LEFT(E2161,FIND("º",SUBSTITUTE(E2161,"°","º"))-1)),-1),IF(LEFT(E2161,6)="TÉRREO",0,IFERROR(VALUE(LEFT(E2161,FIND("º",SUBSTITUTE(E2161,"°","º"))-1)),""))))</f>
        <v/>
      </c>
      <c r="O2161" s="2">
        <f>IF(OR(F2161="",G2161=""),"",IF(G2161&lt;='RETRATO 2027'!$K$5,"CONCLUÍDA",IF(F2161&lt;='RETRATO 2027'!$K$5,"EM ANDAMENTO","A INICIAR")))</f>
        <v/>
      </c>
    </row>
    <row r="2162">
      <c r="B2162" s="4" t="n">
        <v>30205962</v>
      </c>
      <c r="C2162" s="4" t="inlineStr">
        <is>
          <t>COMUNICAÇÃO E ALARME</t>
        </is>
      </c>
      <c r="D2162" s="4" t="inlineStr">
        <is>
          <t>-</t>
        </is>
      </c>
      <c r="E2162" s="4" t="inlineStr">
        <is>
          <t>6º PAV (PILOTIS) - LOUNGE + SALÃO + COZINHA + GOURMET + ESPAÇO KIDS</t>
        </is>
      </c>
      <c r="F2162" s="126" t="n">
        <v>47066</v>
      </c>
      <c r="G2162" s="126" t="n">
        <v>47081</v>
      </c>
      <c r="H2162" s="126" t="n">
        <v>46289</v>
      </c>
      <c r="I2162" s="4" t="n">
        <v>0</v>
      </c>
      <c r="J2162" s="4" t="n">
        <v>0</v>
      </c>
      <c r="K2162" s="4" t="n">
        <v>0</v>
      </c>
      <c r="M2162" s="2">
        <f>IF(C2162="","",IFERROR(INDEX($S$5:$S$304,MATCH(C2162,$R$5:$R$304,0))&amp;"","?"))</f>
        <v/>
      </c>
      <c r="N2162" s="2">
        <f>IF(E2162="","",IF(ISNUMBER(SEARCH("SUBSOLO",E2162)),IFERROR(-VALUE(LEFT(E2162,FIND("º",SUBSTITUTE(E2162,"°","º"))-1)),-1),IF(LEFT(E2162,6)="TÉRREO",0,IFERROR(VALUE(LEFT(E2162,FIND("º",SUBSTITUTE(E2162,"°","º"))-1)),""))))</f>
        <v/>
      </c>
      <c r="O2162" s="2">
        <f>IF(OR(F2162="",G2162=""),"",IF(G2162&lt;='RETRATO 2027'!$K$5,"CONCLUÍDA",IF(F2162&lt;='RETRATO 2027'!$K$5,"EM ANDAMENTO","A INICIAR")))</f>
        <v/>
      </c>
    </row>
    <row r="2163">
      <c r="B2163" s="4" t="n">
        <v>30171433</v>
      </c>
      <c r="C2163" s="4" t="inlineStr">
        <is>
          <t>PINTURA DE TUBULAÇÕES (PAREDE E TETO)</t>
        </is>
      </c>
      <c r="D2163" s="4" t="inlineStr">
        <is>
          <t>-</t>
        </is>
      </c>
      <c r="E2163" s="4" t="inlineStr">
        <is>
          <t>4º PAV - GARAGEM</t>
        </is>
      </c>
      <c r="F2163" s="126" t="n">
        <v>47070</v>
      </c>
      <c r="G2163" s="126" t="n">
        <v>47092</v>
      </c>
      <c r="H2163" s="126" t="n">
        <v>46289</v>
      </c>
      <c r="I2163" s="4" t="n">
        <v>0</v>
      </c>
      <c r="J2163" s="4" t="n">
        <v>0</v>
      </c>
      <c r="K2163" s="4" t="n">
        <v>0</v>
      </c>
      <c r="M2163" s="2">
        <f>IF(C2163="","",IFERROR(INDEX($S$5:$S$304,MATCH(C2163,$R$5:$R$304,0))&amp;"","?"))</f>
        <v/>
      </c>
      <c r="N2163" s="2">
        <f>IF(E2163="","",IF(ISNUMBER(SEARCH("SUBSOLO",E2163)),IFERROR(-VALUE(LEFT(E2163,FIND("º",SUBSTITUTE(E2163,"°","º"))-1)),-1),IF(LEFT(E2163,6)="TÉRREO",0,IFERROR(VALUE(LEFT(E2163,FIND("º",SUBSTITUTE(E2163,"°","º"))-1)),""))))</f>
        <v/>
      </c>
      <c r="O2163" s="2">
        <f>IF(OR(F2163="",G2163=""),"",IF(G2163&lt;='RETRATO 2027'!$K$5,"CONCLUÍDA",IF(F2163&lt;='RETRATO 2027'!$K$5,"EM ANDAMENTO","A INICIAR")))</f>
        <v/>
      </c>
    </row>
    <row r="2164">
      <c r="B2164" s="4" t="n">
        <v>30171385</v>
      </c>
      <c r="C2164" s="4" t="inlineStr">
        <is>
          <t>POLIMENTO DE PISO</t>
        </is>
      </c>
      <c r="D2164" s="4" t="inlineStr">
        <is>
          <t>-</t>
        </is>
      </c>
      <c r="E2164" s="4" t="inlineStr">
        <is>
          <t>5º PAV - GARAGEM</t>
        </is>
      </c>
      <c r="F2164" s="126" t="n">
        <v>47070</v>
      </c>
      <c r="G2164" s="126" t="n">
        <v>47102</v>
      </c>
      <c r="H2164" s="126" t="n">
        <v>46289</v>
      </c>
      <c r="I2164" s="4" t="n">
        <v>0</v>
      </c>
      <c r="J2164" s="4" t="n">
        <v>0</v>
      </c>
      <c r="K2164" s="4" t="n">
        <v>0</v>
      </c>
      <c r="M2164" s="2">
        <f>IF(C2164="","",IFERROR(INDEX($S$5:$S$304,MATCH(C2164,$R$5:$R$304,0))&amp;"","?"))</f>
        <v/>
      </c>
      <c r="N2164" s="2">
        <f>IF(E2164="","",IF(ISNUMBER(SEARCH("SUBSOLO",E2164)),IFERROR(-VALUE(LEFT(E2164,FIND("º",SUBSTITUTE(E2164,"°","º"))-1)),-1),IF(LEFT(E2164,6)="TÉRREO",0,IFERROR(VALUE(LEFT(E2164,FIND("º",SUBSTITUTE(E2164,"°","º"))-1)),""))))</f>
        <v/>
      </c>
      <c r="O2164" s="2">
        <f>IF(OR(F2164="",G2164=""),"",IF(G2164&lt;='RETRATO 2027'!$K$5,"CONCLUÍDA",IF(F2164&lt;='RETRATO 2027'!$K$5,"EM ANDAMENTO","A INICIAR")))</f>
        <v/>
      </c>
    </row>
    <row r="2165">
      <c r="B2165" s="4" t="n">
        <v>30171479</v>
      </c>
      <c r="C2165" s="4" t="inlineStr">
        <is>
          <t>TEXTURA - 2º E 3º DEMÃO</t>
        </is>
      </c>
      <c r="D2165" s="4" t="inlineStr">
        <is>
          <t>-</t>
        </is>
      </c>
      <c r="E2165" s="4" t="inlineStr">
        <is>
          <t>2º PAV - GARAGEM</t>
        </is>
      </c>
      <c r="F2165" s="126" t="n">
        <v>47071</v>
      </c>
      <c r="G2165" s="126" t="n">
        <v>47086</v>
      </c>
      <c r="H2165" s="126" t="n">
        <v>46289</v>
      </c>
      <c r="I2165" s="4" t="n">
        <v>0</v>
      </c>
      <c r="J2165" s="4" t="n">
        <v>0</v>
      </c>
      <c r="K2165" s="4" t="n">
        <v>0</v>
      </c>
      <c r="M2165" s="2">
        <f>IF(C2165="","",IFERROR(INDEX($S$5:$S$304,MATCH(C2165,$R$5:$R$304,0))&amp;"","?"))</f>
        <v/>
      </c>
      <c r="N2165" s="2">
        <f>IF(E2165="","",IF(ISNUMBER(SEARCH("SUBSOLO",E2165)),IFERROR(-VALUE(LEFT(E2165,FIND("º",SUBSTITUTE(E2165,"°","º"))-1)),-1),IF(LEFT(E2165,6)="TÉRREO",0,IFERROR(VALUE(LEFT(E2165,FIND("º",SUBSTITUTE(E2165,"°","º"))-1)),""))))</f>
        <v/>
      </c>
      <c r="O2165" s="2">
        <f>IF(OR(F2165="",G2165=""),"",IF(G2165&lt;='RETRATO 2027'!$K$5,"CONCLUÍDA",IF(F2165&lt;='RETRATO 2027'!$K$5,"EM ANDAMENTO","A INICIAR")))</f>
        <v/>
      </c>
    </row>
    <row r="2166">
      <c r="B2166" s="4" t="n">
        <v>29980995</v>
      </c>
      <c r="C2166" s="4" t="inlineStr">
        <is>
          <t>LIMPEZA FINA</t>
        </is>
      </c>
      <c r="D2166" s="4" t="inlineStr">
        <is>
          <t>-</t>
        </is>
      </c>
      <c r="E2166" s="4" t="inlineStr">
        <is>
          <t>22º PAV.</t>
        </is>
      </c>
      <c r="F2166" s="126" t="n">
        <v>47071</v>
      </c>
      <c r="G2166" s="126" t="n">
        <v>47085</v>
      </c>
      <c r="H2166" s="126" t="n">
        <v>46289</v>
      </c>
      <c r="I2166" s="4" t="n">
        <v>0</v>
      </c>
      <c r="J2166" s="4" t="n">
        <v>0</v>
      </c>
      <c r="K2166" s="4" t="n">
        <v>0</v>
      </c>
      <c r="M2166" s="2">
        <f>IF(C2166="","",IFERROR(INDEX($S$5:$S$304,MATCH(C2166,$R$5:$R$304,0))&amp;"","?"))</f>
        <v/>
      </c>
      <c r="N2166" s="2">
        <f>IF(E2166="","",IF(ISNUMBER(SEARCH("SUBSOLO",E2166)),IFERROR(-VALUE(LEFT(E2166,FIND("º",SUBSTITUTE(E2166,"°","º"))-1)),-1),IF(LEFT(E2166,6)="TÉRREO",0,IFERROR(VALUE(LEFT(E2166,FIND("º",SUBSTITUTE(E2166,"°","º"))-1)),""))))</f>
        <v/>
      </c>
      <c r="O2166" s="2">
        <f>IF(OR(F2166="",G2166=""),"",IF(G2166&lt;='RETRATO 2027'!$K$5,"CONCLUÍDA",IF(F2166&lt;='RETRATO 2027'!$K$5,"EM ANDAMENTO","A INICIAR")))</f>
        <v/>
      </c>
    </row>
    <row r="2167">
      <c r="B2167" s="4" t="n">
        <v>29980948</v>
      </c>
      <c r="C2167" s="4" t="inlineStr">
        <is>
          <t>PINTURA 3º DEMÃO</t>
        </is>
      </c>
      <c r="D2167" s="4" t="inlineStr">
        <is>
          <t>-</t>
        </is>
      </c>
      <c r="E2167" s="4" t="inlineStr">
        <is>
          <t>23º PAV.</t>
        </is>
      </c>
      <c r="F2167" s="126" t="n">
        <v>47071</v>
      </c>
      <c r="G2167" s="126" t="n">
        <v>47085</v>
      </c>
      <c r="H2167" s="126" t="n">
        <v>46289</v>
      </c>
      <c r="I2167" s="4" t="n">
        <v>0</v>
      </c>
      <c r="J2167" s="4" t="n">
        <v>0</v>
      </c>
      <c r="K2167" s="4" t="n">
        <v>0</v>
      </c>
      <c r="M2167" s="2">
        <f>IF(C2167="","",IFERROR(INDEX($S$5:$S$304,MATCH(C2167,$R$5:$R$304,0))&amp;"","?"))</f>
        <v/>
      </c>
      <c r="N2167" s="2">
        <f>IF(E2167="","",IF(ISNUMBER(SEARCH("SUBSOLO",E2167)),IFERROR(-VALUE(LEFT(E2167,FIND("º",SUBSTITUTE(E2167,"°","º"))-1)),-1),IF(LEFT(E2167,6)="TÉRREO",0,IFERROR(VALUE(LEFT(E2167,FIND("º",SUBSTITUTE(E2167,"°","º"))-1)),""))))</f>
        <v/>
      </c>
      <c r="O2167" s="2">
        <f>IF(OR(F2167="",G2167=""),"",IF(G2167&lt;='RETRATO 2027'!$K$5,"CONCLUÍDA",IF(F2167&lt;='RETRATO 2027'!$K$5,"EM ANDAMENTO","A INICIAR")))</f>
        <v/>
      </c>
    </row>
    <row r="2168">
      <c r="B2168" s="4" t="n">
        <v>33807018</v>
      </c>
      <c r="C2168" s="4" t="inlineStr">
        <is>
          <t>ENXOVAL</t>
        </is>
      </c>
      <c r="D2168" s="4" t="inlineStr">
        <is>
          <t>-</t>
        </is>
      </c>
      <c r="E2168" s="4" t="inlineStr">
        <is>
          <t>TÉRREO - GERAL</t>
        </is>
      </c>
      <c r="F2168" s="126" t="n">
        <v>47074</v>
      </c>
      <c r="G2168" s="126" t="n">
        <v>47210</v>
      </c>
      <c r="H2168" s="126" t="n">
        <v>46289</v>
      </c>
      <c r="I2168" s="4" t="n">
        <v>0</v>
      </c>
      <c r="J2168" s="4" t="n">
        <v>0</v>
      </c>
      <c r="K2168" s="4" t="n">
        <v>0</v>
      </c>
      <c r="M2168" s="2">
        <f>IF(C2168="","",IFERROR(INDEX($S$5:$S$304,MATCH(C2168,$R$5:$R$304,0))&amp;"","?"))</f>
        <v/>
      </c>
      <c r="N2168" s="2">
        <f>IF(E2168="","",IF(ISNUMBER(SEARCH("SUBSOLO",E2168)),IFERROR(-VALUE(LEFT(E2168,FIND("º",SUBSTITUTE(E2168,"°","º"))-1)),-1),IF(LEFT(E2168,6)="TÉRREO",0,IFERROR(VALUE(LEFT(E2168,FIND("º",SUBSTITUTE(E2168,"°","º"))-1)),""))))</f>
        <v/>
      </c>
      <c r="O2168" s="2">
        <f>IF(OR(F2168="",G2168=""),"",IF(G2168&lt;='RETRATO 2027'!$K$5,"CONCLUÍDA",IF(F2168&lt;='RETRATO 2027'!$K$5,"EM ANDAMENTO","A INICIAR")))</f>
        <v/>
      </c>
    </row>
    <row r="2169">
      <c r="B2169" s="4" t="n">
        <v>30171539</v>
      </c>
      <c r="C2169" s="4" t="inlineStr">
        <is>
          <t>PINTURA 2º DEMÃO</t>
        </is>
      </c>
      <c r="D2169" s="4" t="inlineStr">
        <is>
          <t>-</t>
        </is>
      </c>
      <c r="E2169" s="4" t="inlineStr">
        <is>
          <t>HALL - GARAGENS</t>
        </is>
      </c>
      <c r="F2169" s="126" t="n">
        <v>47074</v>
      </c>
      <c r="G2169" s="126" t="n">
        <v>47107</v>
      </c>
      <c r="H2169" s="126" t="n">
        <v>46289</v>
      </c>
      <c r="I2169" s="4" t="n">
        <v>0</v>
      </c>
      <c r="J2169" s="4" t="n">
        <v>0</v>
      </c>
      <c r="K2169" s="4" t="n">
        <v>0</v>
      </c>
      <c r="M2169" s="2">
        <f>IF(C2169="","",IFERROR(INDEX($S$5:$S$304,MATCH(C2169,$R$5:$R$304,0))&amp;"","?"))</f>
        <v/>
      </c>
      <c r="N2169" s="2">
        <f>IF(E2169="","",IF(ISNUMBER(SEARCH("SUBSOLO",E2169)),IFERROR(-VALUE(LEFT(E2169,FIND("º",SUBSTITUTE(E2169,"°","º"))-1)),-1),IF(LEFT(E2169,6)="TÉRREO",0,IFERROR(VALUE(LEFT(E2169,FIND("º",SUBSTITUTE(E2169,"°","º"))-1)),""))))</f>
        <v/>
      </c>
      <c r="O2169" s="2">
        <f>IF(OR(F2169="",G2169=""),"",IF(G2169&lt;='RETRATO 2027'!$K$5,"CONCLUÍDA",IF(F2169&lt;='RETRATO 2027'!$K$5,"EM ANDAMENTO","A INICIAR")))</f>
        <v/>
      </c>
    </row>
    <row r="2170">
      <c r="B2170" s="4" t="n">
        <v>30206080</v>
      </c>
      <c r="C2170" s="4" t="inlineStr">
        <is>
          <t>ACABAMENTOS ELÉTRICOS</t>
        </is>
      </c>
      <c r="D2170" s="4" t="inlineStr">
        <is>
          <t>-</t>
        </is>
      </c>
      <c r="E2170" s="4" t="inlineStr">
        <is>
          <t>6º PAV (PILOTIS) - SAUNA + DUCHA</t>
        </is>
      </c>
      <c r="F2170" s="126" t="n">
        <v>47074</v>
      </c>
      <c r="G2170" s="126" t="n">
        <v>47080</v>
      </c>
      <c r="H2170" s="126" t="n">
        <v>46289</v>
      </c>
      <c r="I2170" s="4" t="n">
        <v>0</v>
      </c>
      <c r="J2170" s="4" t="n">
        <v>0</v>
      </c>
      <c r="K2170" s="4" t="n">
        <v>0</v>
      </c>
      <c r="M2170" s="2">
        <f>IF(C2170="","",IFERROR(INDEX($S$5:$S$304,MATCH(C2170,$R$5:$R$304,0))&amp;"","?"))</f>
        <v/>
      </c>
      <c r="N2170" s="2">
        <f>IF(E2170="","",IF(ISNUMBER(SEARCH("SUBSOLO",E2170)),IFERROR(-VALUE(LEFT(E2170,FIND("º",SUBSTITUTE(E2170,"°","º"))-1)),-1),IF(LEFT(E2170,6)="TÉRREO",0,IFERROR(VALUE(LEFT(E2170,FIND("º",SUBSTITUTE(E2170,"°","º"))-1)),""))))</f>
        <v/>
      </c>
      <c r="O2170" s="2">
        <f>IF(OR(F2170="",G2170=""),"",IF(G2170&lt;='RETRATO 2027'!$K$5,"CONCLUÍDA",IF(F2170&lt;='RETRATO 2027'!$K$5,"EM ANDAMENTO","A INICIAR")))</f>
        <v/>
      </c>
    </row>
    <row r="2171">
      <c r="B2171" s="4" t="n">
        <v>30206040</v>
      </c>
      <c r="C2171" s="4" t="inlineStr">
        <is>
          <t>PINTURA 2º DEMÃO</t>
        </is>
      </c>
      <c r="D2171" s="4" t="inlineStr">
        <is>
          <t>-</t>
        </is>
      </c>
      <c r="E2171" s="4" t="inlineStr">
        <is>
          <t>6º PAV (PILOTIS) - CHURRASQUEIRA + IS MASC. PCD + IS FEM. PCD + CIRCULAÇÃO 1 + HALL 1</t>
        </is>
      </c>
      <c r="F2171" s="126" t="n">
        <v>47074</v>
      </c>
      <c r="G2171" s="126" t="n">
        <v>47088</v>
      </c>
      <c r="H2171" s="126" t="n">
        <v>46289</v>
      </c>
      <c r="I2171" s="4" t="n">
        <v>0</v>
      </c>
      <c r="J2171" s="4" t="n">
        <v>0</v>
      </c>
      <c r="K2171" s="4" t="n">
        <v>0</v>
      </c>
      <c r="M2171" s="2">
        <f>IF(C2171="","",IFERROR(INDEX($S$5:$S$304,MATCH(C2171,$R$5:$R$304,0))&amp;"","?"))</f>
        <v/>
      </c>
      <c r="N2171" s="2">
        <f>IF(E2171="","",IF(ISNUMBER(SEARCH("SUBSOLO",E2171)),IFERROR(-VALUE(LEFT(E2171,FIND("º",SUBSTITUTE(E2171,"°","º"))-1)),-1),IF(LEFT(E2171,6)="TÉRREO",0,IFERROR(VALUE(LEFT(E2171,FIND("º",SUBSTITUTE(E2171,"°","º"))-1)),""))))</f>
        <v/>
      </c>
      <c r="O2171" s="2">
        <f>IF(OR(F2171="",G2171=""),"",IF(G2171&lt;='RETRATO 2027'!$K$5,"CONCLUÍDA",IF(F2171&lt;='RETRATO 2027'!$K$5,"EM ANDAMENTO","A INICIAR")))</f>
        <v/>
      </c>
    </row>
    <row r="2172">
      <c r="B2172" s="4" t="n">
        <v>30206002</v>
      </c>
      <c r="C2172" s="4" t="inlineStr">
        <is>
          <t>LIMPEZA GROSSA</t>
        </is>
      </c>
      <c r="D2172" s="4" t="inlineStr">
        <is>
          <t>-</t>
        </is>
      </c>
      <c r="E2172" s="4" t="inlineStr">
        <is>
          <t>6º PAV (PILOTIS) - COWORKING 1 E 2 + CIRC. 2 + HALL 2 + DML + VEST. MASC. + VEST. FEM</t>
        </is>
      </c>
      <c r="F2172" s="126" t="n">
        <v>47074</v>
      </c>
      <c r="G2172" s="126" t="n">
        <v>47088</v>
      </c>
      <c r="H2172" s="126" t="n">
        <v>46289</v>
      </c>
      <c r="I2172" s="4" t="n">
        <v>0</v>
      </c>
      <c r="J2172" s="4" t="n">
        <v>0</v>
      </c>
      <c r="K2172" s="4" t="n">
        <v>0</v>
      </c>
      <c r="M2172" s="2">
        <f>IF(C2172="","",IFERROR(INDEX($S$5:$S$304,MATCH(C2172,$R$5:$R$304,0))&amp;"","?"))</f>
        <v/>
      </c>
      <c r="N2172" s="2">
        <f>IF(E2172="","",IF(ISNUMBER(SEARCH("SUBSOLO",E2172)),IFERROR(-VALUE(LEFT(E2172,FIND("º",SUBSTITUTE(E2172,"°","º"))-1)),-1),IF(LEFT(E2172,6)="TÉRREO",0,IFERROR(VALUE(LEFT(E2172,FIND("º",SUBSTITUTE(E2172,"°","º"))-1)),""))))</f>
        <v/>
      </c>
      <c r="O2172" s="2">
        <f>IF(OR(F2172="",G2172=""),"",IF(G2172&lt;='RETRATO 2027'!$K$5,"CONCLUÍDA",IF(F2172&lt;='RETRATO 2027'!$K$5,"EM ANDAMENTO","A INICIAR")))</f>
        <v/>
      </c>
    </row>
    <row r="2173">
      <c r="B2173" s="4" t="n">
        <v>30209042</v>
      </c>
      <c r="C2173" s="4" t="inlineStr">
        <is>
          <t>INSTALAÇÃO DE LUMINÁRIAS</t>
        </is>
      </c>
      <c r="D2173" s="4" t="inlineStr">
        <is>
          <t>-</t>
        </is>
      </c>
      <c r="E2173" s="4" t="inlineStr">
        <is>
          <t>6º PAV (PILOTIS) - LOUNGE + SALÃO + COZINHA + GOURMET + ESPAÇO KIDS</t>
        </is>
      </c>
      <c r="F2173" s="126" t="n">
        <v>47074</v>
      </c>
      <c r="G2173" s="126" t="n">
        <v>47081</v>
      </c>
      <c r="H2173" s="126" t="n">
        <v>46289</v>
      </c>
      <c r="I2173" s="4" t="n">
        <v>0</v>
      </c>
      <c r="J2173" s="4" t="n">
        <v>0</v>
      </c>
      <c r="K2173" s="4" t="n">
        <v>0</v>
      </c>
      <c r="M2173" s="2">
        <f>IF(C2173="","",IFERROR(INDEX($S$5:$S$304,MATCH(C2173,$R$5:$R$304,0))&amp;"","?"))</f>
        <v/>
      </c>
      <c r="N2173" s="2">
        <f>IF(E2173="","",IF(ISNUMBER(SEARCH("SUBSOLO",E2173)),IFERROR(-VALUE(LEFT(E2173,FIND("º",SUBSTITUTE(E2173,"°","º"))-1)),-1),IF(LEFT(E2173,6)="TÉRREO",0,IFERROR(VALUE(LEFT(E2173,FIND("º",SUBSTITUTE(E2173,"°","º"))-1)),""))))</f>
        <v/>
      </c>
      <c r="O2173" s="2">
        <f>IF(OR(F2173="",G2173=""),"",IF(G2173&lt;='RETRATO 2027'!$K$5,"CONCLUÍDA",IF(F2173&lt;='RETRATO 2027'!$K$5,"EM ANDAMENTO","A INICIAR")))</f>
        <v/>
      </c>
    </row>
    <row r="2174">
      <c r="B2174" s="4" t="n">
        <v>29981109</v>
      </c>
      <c r="C2174" s="4" t="inlineStr">
        <is>
          <t>MASSA CORRIDA</t>
        </is>
      </c>
      <c r="D2174" s="4" t="inlineStr">
        <is>
          <t>-</t>
        </is>
      </c>
      <c r="E2174" s="4" t="inlineStr">
        <is>
          <t>19º PAV.</t>
        </is>
      </c>
      <c r="F2174" s="126" t="n">
        <v>47078</v>
      </c>
      <c r="G2174" s="126" t="n">
        <v>47088</v>
      </c>
      <c r="H2174" s="126" t="n">
        <v>46289</v>
      </c>
      <c r="I2174" s="4" t="n">
        <v>0</v>
      </c>
      <c r="J2174" s="4" t="n">
        <v>0</v>
      </c>
      <c r="K2174" s="4" t="n">
        <v>0</v>
      </c>
      <c r="M2174" s="2">
        <f>IF(C2174="","",IFERROR(INDEX($S$5:$S$304,MATCH(C2174,$R$5:$R$304,0))&amp;"","?"))</f>
        <v/>
      </c>
      <c r="N2174" s="2">
        <f>IF(E2174="","",IF(ISNUMBER(SEARCH("SUBSOLO",E2174)),IFERROR(-VALUE(LEFT(E2174,FIND("º",SUBSTITUTE(E2174,"°","º"))-1)),-1),IF(LEFT(E2174,6)="TÉRREO",0,IFERROR(VALUE(LEFT(E2174,FIND("º",SUBSTITUTE(E2174,"°","º"))-1)),""))))</f>
        <v/>
      </c>
      <c r="O2174" s="2">
        <f>IF(OR(F2174="",G2174=""),"",IF(G2174&lt;='RETRATO 2027'!$K$5,"CONCLUÍDA",IF(F2174&lt;='RETRATO 2027'!$K$5,"EM ANDAMENTO","A INICIAR")))</f>
        <v/>
      </c>
    </row>
    <row r="2175">
      <c r="B2175" s="4" t="n">
        <v>29980910</v>
      </c>
      <c r="C2175" s="4" t="inlineStr">
        <is>
          <t>CHECKLIST</t>
        </is>
      </c>
      <c r="D2175" s="4" t="inlineStr">
        <is>
          <t>-</t>
        </is>
      </c>
      <c r="E2175" s="4" t="inlineStr">
        <is>
          <t>24º PAV.</t>
        </is>
      </c>
      <c r="F2175" s="126" t="n">
        <v>47079</v>
      </c>
      <c r="G2175" s="126" t="n">
        <v>47085</v>
      </c>
      <c r="H2175" s="126" t="n">
        <v>46289</v>
      </c>
      <c r="I2175" s="4" t="n">
        <v>0</v>
      </c>
      <c r="J2175" s="4" t="n">
        <v>0</v>
      </c>
      <c r="K2175" s="4" t="n">
        <v>0</v>
      </c>
      <c r="M2175" s="2">
        <f>IF(C2175="","",IFERROR(INDEX($S$5:$S$304,MATCH(C2175,$R$5:$R$304,0))&amp;"","?"))</f>
        <v/>
      </c>
      <c r="N2175" s="2">
        <f>IF(E2175="","",IF(ISNUMBER(SEARCH("SUBSOLO",E2175)),IFERROR(-VALUE(LEFT(E2175,FIND("º",SUBSTITUTE(E2175,"°","º"))-1)),-1),IF(LEFT(E2175,6)="TÉRREO",0,IFERROR(VALUE(LEFT(E2175,FIND("º",SUBSTITUTE(E2175,"°","º"))-1)),""))))</f>
        <v/>
      </c>
      <c r="O2175" s="2">
        <f>IF(OR(F2175="",G2175=""),"",IF(G2175&lt;='RETRATO 2027'!$K$5,"CONCLUÍDA",IF(F2175&lt;='RETRATO 2027'!$K$5,"EM ANDAMENTO","A INICIAR")))</f>
        <v/>
      </c>
    </row>
    <row r="2176">
      <c r="B2176" s="4" t="n">
        <v>29980875</v>
      </c>
      <c r="C2176" s="4" t="inlineStr">
        <is>
          <t>ACABAMENTOS ELÉTRICOS</t>
        </is>
      </c>
      <c r="D2176" s="4" t="inlineStr">
        <is>
          <t>-</t>
        </is>
      </c>
      <c r="E2176" s="4" t="inlineStr">
        <is>
          <t>25º PAV.</t>
        </is>
      </c>
      <c r="F2176" s="126" t="n">
        <v>47079</v>
      </c>
      <c r="G2176" s="126" t="n">
        <v>47091</v>
      </c>
      <c r="H2176" s="126" t="n">
        <v>46289</v>
      </c>
      <c r="I2176" s="4" t="n">
        <v>0</v>
      </c>
      <c r="J2176" s="4" t="n">
        <v>0</v>
      </c>
      <c r="K2176" s="4" t="n">
        <v>0</v>
      </c>
      <c r="M2176" s="2">
        <f>IF(C2176="","",IFERROR(INDEX($S$5:$S$304,MATCH(C2176,$R$5:$R$304,0))&amp;"","?"))</f>
        <v/>
      </c>
      <c r="N2176" s="2">
        <f>IF(E2176="","",IF(ISNUMBER(SEARCH("SUBSOLO",E2176)),IFERROR(-VALUE(LEFT(E2176,FIND("º",SUBSTITUTE(E2176,"°","º"))-1)),-1),IF(LEFT(E2176,6)="TÉRREO",0,IFERROR(VALUE(LEFT(E2176,FIND("º",SUBSTITUTE(E2176,"°","º"))-1)),""))))</f>
        <v/>
      </c>
      <c r="O2176" s="2">
        <f>IF(OR(F2176="",G2176=""),"",IF(G2176&lt;='RETRATO 2027'!$K$5,"CONCLUÍDA",IF(F2176&lt;='RETRATO 2027'!$K$5,"EM ANDAMENTO","A INICIAR")))</f>
        <v/>
      </c>
    </row>
    <row r="2177">
      <c r="B2177" s="4" t="n">
        <v>29980835</v>
      </c>
      <c r="C2177" s="4" t="inlineStr">
        <is>
          <t>PINTURA 2º DEMÃO</t>
        </is>
      </c>
      <c r="D2177" s="4" t="inlineStr">
        <is>
          <t>-</t>
        </is>
      </c>
      <c r="E2177" s="4" t="inlineStr">
        <is>
          <t>26º PAV.</t>
        </is>
      </c>
      <c r="F2177" s="126" t="n">
        <v>47079</v>
      </c>
      <c r="G2177" s="126" t="n">
        <v>47091</v>
      </c>
      <c r="H2177" s="126" t="n">
        <v>46289</v>
      </c>
      <c r="I2177" s="4" t="n">
        <v>0</v>
      </c>
      <c r="J2177" s="4" t="n">
        <v>0</v>
      </c>
      <c r="K2177" s="4" t="n">
        <v>0</v>
      </c>
      <c r="M2177" s="2">
        <f>IF(C2177="","",IFERROR(INDEX($S$5:$S$304,MATCH(C2177,$R$5:$R$304,0))&amp;"","?"))</f>
        <v/>
      </c>
      <c r="N2177" s="2">
        <f>IF(E2177="","",IF(ISNUMBER(SEARCH("SUBSOLO",E2177)),IFERROR(-VALUE(LEFT(E2177,FIND("º",SUBSTITUTE(E2177,"°","º"))-1)),-1),IF(LEFT(E2177,6)="TÉRREO",0,IFERROR(VALUE(LEFT(E2177,FIND("º",SUBSTITUTE(E2177,"°","º"))-1)),""))))</f>
        <v/>
      </c>
      <c r="O2177" s="2">
        <f>IF(OR(F2177="",G2177=""),"",IF(G2177&lt;='RETRATO 2027'!$K$5,"CONCLUÍDA",IF(F2177&lt;='RETRATO 2027'!$K$5,"EM ANDAMENTO","A INICIAR")))</f>
        <v/>
      </c>
    </row>
    <row r="2178">
      <c r="B2178" s="4" t="n">
        <v>33919803</v>
      </c>
      <c r="C2178" s="4" t="inlineStr">
        <is>
          <t>TEXTURA - EXTERNA</t>
        </is>
      </c>
      <c r="D2178" s="4" t="inlineStr">
        <is>
          <t>-</t>
        </is>
      </c>
      <c r="E2178" s="4" t="inlineStr">
        <is>
          <t>26º PAV.</t>
        </is>
      </c>
      <c r="F2178" s="126" t="n">
        <v>47079</v>
      </c>
      <c r="G2178" s="126" t="n">
        <v>47091</v>
      </c>
      <c r="H2178" s="126" t="n">
        <v>46289</v>
      </c>
      <c r="I2178" s="4" t="n">
        <v>0</v>
      </c>
      <c r="J2178" s="4" t="n">
        <v>0</v>
      </c>
      <c r="K2178" s="4" t="n">
        <v>0</v>
      </c>
      <c r="M2178" s="2">
        <f>IF(C2178="","",IFERROR(INDEX($S$5:$S$304,MATCH(C2178,$R$5:$R$304,0))&amp;"","?"))</f>
        <v/>
      </c>
      <c r="N2178" s="2">
        <f>IF(E2178="","",IF(ISNUMBER(SEARCH("SUBSOLO",E2178)),IFERROR(-VALUE(LEFT(E2178,FIND("º",SUBSTITUTE(E2178,"°","º"))-1)),-1),IF(LEFT(E2178,6)="TÉRREO",0,IFERROR(VALUE(LEFT(E2178,FIND("º",SUBSTITUTE(E2178,"°","º"))-1)),""))))</f>
        <v/>
      </c>
      <c r="O2178" s="2">
        <f>IF(OR(F2178="",G2178=""),"",IF(G2178&lt;='RETRATO 2027'!$K$5,"CONCLUÍDA",IF(F2178&lt;='RETRATO 2027'!$K$5,"EM ANDAMENTO","A INICIAR")))</f>
        <v/>
      </c>
    </row>
    <row r="2179">
      <c r="B2179" s="4" t="n">
        <v>29980797</v>
      </c>
      <c r="C2179" s="4" t="inlineStr">
        <is>
          <t>LIMPEZA GROSSA</t>
        </is>
      </c>
      <c r="D2179" s="4" t="inlineStr">
        <is>
          <t>-</t>
        </is>
      </c>
      <c r="E2179" s="4" t="inlineStr">
        <is>
          <t>27º PAV.</t>
        </is>
      </c>
      <c r="F2179" s="126" t="n">
        <v>47079</v>
      </c>
      <c r="G2179" s="126" t="n">
        <v>47091</v>
      </c>
      <c r="H2179" s="126" t="n">
        <v>46289</v>
      </c>
      <c r="I2179" s="4" t="n">
        <v>0</v>
      </c>
      <c r="J2179" s="4" t="n">
        <v>0</v>
      </c>
      <c r="K2179" s="4" t="n">
        <v>0</v>
      </c>
      <c r="M2179" s="2">
        <f>IF(C2179="","",IFERROR(INDEX($S$5:$S$304,MATCH(C2179,$R$5:$R$304,0))&amp;"","?"))</f>
        <v/>
      </c>
      <c r="N2179" s="2">
        <f>IF(E2179="","",IF(ISNUMBER(SEARCH("SUBSOLO",E2179)),IFERROR(-VALUE(LEFT(E2179,FIND("º",SUBSTITUTE(E2179,"°","º"))-1)),-1),IF(LEFT(E2179,6)="TÉRREO",0,IFERROR(VALUE(LEFT(E2179,FIND("º",SUBSTITUTE(E2179,"°","º"))-1)),""))))</f>
        <v/>
      </c>
      <c r="O2179" s="2">
        <f>IF(OR(F2179="",G2179=""),"",IF(G2179&lt;='RETRATO 2027'!$K$5,"CONCLUÍDA",IF(F2179&lt;='RETRATO 2027'!$K$5,"EM ANDAMENTO","A INICIAR")))</f>
        <v/>
      </c>
    </row>
    <row r="2180">
      <c r="B2180" s="4" t="n">
        <v>29980754</v>
      </c>
      <c r="C2180" s="4" t="inlineStr">
        <is>
          <t>LOUÇAS</t>
        </is>
      </c>
      <c r="D2180" s="4" t="inlineStr">
        <is>
          <t>-</t>
        </is>
      </c>
      <c r="E2180" s="4" t="inlineStr">
        <is>
          <t>28º PAV.</t>
        </is>
      </c>
      <c r="F2180" s="126" t="n">
        <v>47079</v>
      </c>
      <c r="G2180" s="126" t="n">
        <v>47091</v>
      </c>
      <c r="H2180" s="126" t="n">
        <v>46289</v>
      </c>
      <c r="I2180" s="4" t="n">
        <v>0</v>
      </c>
      <c r="J2180" s="4" t="n">
        <v>0</v>
      </c>
      <c r="K2180" s="4" t="n">
        <v>0</v>
      </c>
      <c r="M2180" s="2">
        <f>IF(C2180="","",IFERROR(INDEX($S$5:$S$304,MATCH(C2180,$R$5:$R$304,0))&amp;"","?"))</f>
        <v/>
      </c>
      <c r="N2180" s="2">
        <f>IF(E2180="","",IF(ISNUMBER(SEARCH("SUBSOLO",E2180)),IFERROR(-VALUE(LEFT(E2180,FIND("º",SUBSTITUTE(E2180,"°","º"))-1)),-1),IF(LEFT(E2180,6)="TÉRREO",0,IFERROR(VALUE(LEFT(E2180,FIND("º",SUBSTITUTE(E2180,"°","º"))-1)),""))))</f>
        <v/>
      </c>
      <c r="O2180" s="2">
        <f>IF(OR(F2180="",G2180=""),"",IF(G2180&lt;='RETRATO 2027'!$K$5,"CONCLUÍDA",IF(F2180&lt;='RETRATO 2027'!$K$5,"EM ANDAMENTO","A INICIAR")))</f>
        <v/>
      </c>
    </row>
    <row r="2181">
      <c r="B2181" s="4" t="n">
        <v>29980759</v>
      </c>
      <c r="C2181" s="4" t="inlineStr">
        <is>
          <t>METAIS</t>
        </is>
      </c>
      <c r="D2181" s="4" t="inlineStr">
        <is>
          <t>-</t>
        </is>
      </c>
      <c r="E2181" s="4" t="inlineStr">
        <is>
          <t>28º PAV.</t>
        </is>
      </c>
      <c r="F2181" s="126" t="n">
        <v>47079</v>
      </c>
      <c r="G2181" s="126" t="n">
        <v>47091</v>
      </c>
      <c r="H2181" s="126" t="n">
        <v>46289</v>
      </c>
      <c r="I2181" s="4" t="n">
        <v>0</v>
      </c>
      <c r="J2181" s="4" t="n">
        <v>0</v>
      </c>
      <c r="K2181" s="4" t="n">
        <v>0</v>
      </c>
      <c r="M2181" s="2">
        <f>IF(C2181="","",IFERROR(INDEX($S$5:$S$304,MATCH(C2181,$R$5:$R$304,0))&amp;"","?"))</f>
        <v/>
      </c>
      <c r="N2181" s="2">
        <f>IF(E2181="","",IF(ISNUMBER(SEARCH("SUBSOLO",E2181)),IFERROR(-VALUE(LEFT(E2181,FIND("º",SUBSTITUTE(E2181,"°","º"))-1)),-1),IF(LEFT(E2181,6)="TÉRREO",0,IFERROR(VALUE(LEFT(E2181,FIND("º",SUBSTITUTE(E2181,"°","º"))-1)),""))))</f>
        <v/>
      </c>
      <c r="O2181" s="2">
        <f>IF(OR(F2181="",G2181=""),"",IF(G2181&lt;='RETRATO 2027'!$K$5,"CONCLUÍDA",IF(F2181&lt;='RETRATO 2027'!$K$5,"EM ANDAMENTO","A INICIAR")))</f>
        <v/>
      </c>
    </row>
    <row r="2182">
      <c r="B2182" s="4" t="n">
        <v>29980758</v>
      </c>
      <c r="C2182" s="4" t="inlineStr">
        <is>
          <t>DISJUNTORES / MIOLOS</t>
        </is>
      </c>
      <c r="D2182" s="4" t="inlineStr">
        <is>
          <t>-</t>
        </is>
      </c>
      <c r="E2182" s="4" t="inlineStr">
        <is>
          <t>28º PAV.</t>
        </is>
      </c>
      <c r="F2182" s="126" t="n">
        <v>47079</v>
      </c>
      <c r="G2182" s="126" t="n">
        <v>47091</v>
      </c>
      <c r="H2182" s="126" t="n">
        <v>46289</v>
      </c>
      <c r="I2182" s="4" t="n">
        <v>0</v>
      </c>
      <c r="J2182" s="4" t="n">
        <v>0</v>
      </c>
      <c r="K2182" s="4" t="n">
        <v>0</v>
      </c>
      <c r="M2182" s="2">
        <f>IF(C2182="","",IFERROR(INDEX($S$5:$S$304,MATCH(C2182,$R$5:$R$304,0))&amp;"","?"))</f>
        <v/>
      </c>
      <c r="N2182" s="2">
        <f>IF(E2182="","",IF(ISNUMBER(SEARCH("SUBSOLO",E2182)),IFERROR(-VALUE(LEFT(E2182,FIND("º",SUBSTITUTE(E2182,"°","º"))-1)),-1),IF(LEFT(E2182,6)="TÉRREO",0,IFERROR(VALUE(LEFT(E2182,FIND("º",SUBSTITUTE(E2182,"°","º"))-1)),""))))</f>
        <v/>
      </c>
      <c r="O2182" s="2">
        <f>IF(OR(F2182="",G2182=""),"",IF(G2182&lt;='RETRATO 2027'!$K$5,"CONCLUÍDA",IF(F2182&lt;='RETRATO 2027'!$K$5,"EM ANDAMENTO","A INICIAR")))</f>
        <v/>
      </c>
    </row>
    <row r="2183">
      <c r="B2183" s="4" t="n">
        <v>29980757</v>
      </c>
      <c r="C2183" s="4" t="inlineStr">
        <is>
          <t>COMUNICAÇÃO E ALARME</t>
        </is>
      </c>
      <c r="D2183" s="4" t="inlineStr">
        <is>
          <t>-</t>
        </is>
      </c>
      <c r="E2183" s="4" t="inlineStr">
        <is>
          <t>28º PAV.</t>
        </is>
      </c>
      <c r="F2183" s="126" t="n">
        <v>47079</v>
      </c>
      <c r="G2183" s="126" t="n">
        <v>47091</v>
      </c>
      <c r="H2183" s="126" t="n">
        <v>46289</v>
      </c>
      <c r="I2183" s="4" t="n">
        <v>0</v>
      </c>
      <c r="J2183" s="4" t="n">
        <v>0</v>
      </c>
      <c r="K2183" s="4" t="n">
        <v>0</v>
      </c>
      <c r="M2183" s="2">
        <f>IF(C2183="","",IFERROR(INDEX($S$5:$S$304,MATCH(C2183,$R$5:$R$304,0))&amp;"","?"))</f>
        <v/>
      </c>
      <c r="N2183" s="2">
        <f>IF(E2183="","",IF(ISNUMBER(SEARCH("SUBSOLO",E2183)),IFERROR(-VALUE(LEFT(E2183,FIND("º",SUBSTITUTE(E2183,"°","º"))-1)),-1),IF(LEFT(E2183,6)="TÉRREO",0,IFERROR(VALUE(LEFT(E2183,FIND("º",SUBSTITUTE(E2183,"°","º"))-1)),""))))</f>
        <v/>
      </c>
      <c r="O2183" s="2">
        <f>IF(OR(F2183="",G2183=""),"",IF(G2183&lt;='RETRATO 2027'!$K$5,"CONCLUÍDA",IF(F2183&lt;='RETRATO 2027'!$K$5,"EM ANDAMENTO","A INICIAR")))</f>
        <v/>
      </c>
    </row>
    <row r="2184">
      <c r="B2184" s="4" t="n">
        <v>29980716</v>
      </c>
      <c r="C2184" s="4" t="inlineStr">
        <is>
          <t>RODAPÉ MADEIRA / PVC</t>
        </is>
      </c>
      <c r="D2184" s="4" t="inlineStr">
        <is>
          <t>-</t>
        </is>
      </c>
      <c r="E2184" s="4" t="inlineStr">
        <is>
          <t>29º PAV.</t>
        </is>
      </c>
      <c r="F2184" s="126" t="n">
        <v>47079</v>
      </c>
      <c r="G2184" s="126" t="n">
        <v>47091</v>
      </c>
      <c r="H2184" s="126" t="n">
        <v>46289</v>
      </c>
      <c r="I2184" s="4" t="n">
        <v>0</v>
      </c>
      <c r="J2184" s="4" t="n">
        <v>0</v>
      </c>
      <c r="K2184" s="4" t="n">
        <v>0</v>
      </c>
      <c r="M2184" s="2">
        <f>IF(C2184="","",IFERROR(INDEX($S$5:$S$304,MATCH(C2184,$R$5:$R$304,0))&amp;"","?"))</f>
        <v/>
      </c>
      <c r="N2184" s="2">
        <f>IF(E2184="","",IF(ISNUMBER(SEARCH("SUBSOLO",E2184)),IFERROR(-VALUE(LEFT(E2184,FIND("º",SUBSTITUTE(E2184,"°","º"))-1)),-1),IF(LEFT(E2184,6)="TÉRREO",0,IFERROR(VALUE(LEFT(E2184,FIND("º",SUBSTITUTE(E2184,"°","º"))-1)),""))))</f>
        <v/>
      </c>
      <c r="O2184" s="2">
        <f>IF(OR(F2184="",G2184=""),"",IF(G2184&lt;='RETRATO 2027'!$K$5,"CONCLUÍDA",IF(F2184&lt;='RETRATO 2027'!$K$5,"EM ANDAMENTO","A INICIAR")))</f>
        <v/>
      </c>
    </row>
    <row r="2185">
      <c r="B2185" s="4" t="n">
        <v>29980678</v>
      </c>
      <c r="C2185" s="4" t="inlineStr">
        <is>
          <t>ESQUADRIA MADEIRA</t>
        </is>
      </c>
      <c r="D2185" s="4" t="inlineStr">
        <is>
          <t>-</t>
        </is>
      </c>
      <c r="E2185" s="4" t="inlineStr">
        <is>
          <t>30º PAV.</t>
        </is>
      </c>
      <c r="F2185" s="126" t="n">
        <v>47079</v>
      </c>
      <c r="G2185" s="126" t="n">
        <v>47091</v>
      </c>
      <c r="H2185" s="126" t="n">
        <v>46289</v>
      </c>
      <c r="I2185" s="4" t="n">
        <v>0</v>
      </c>
      <c r="J2185" s="4" t="n">
        <v>0</v>
      </c>
      <c r="K2185" s="4" t="n">
        <v>0</v>
      </c>
      <c r="M2185" s="2">
        <f>IF(C2185="","",IFERROR(INDEX($S$5:$S$304,MATCH(C2185,$R$5:$R$304,0))&amp;"","?"))</f>
        <v/>
      </c>
      <c r="N2185" s="2">
        <f>IF(E2185="","",IF(ISNUMBER(SEARCH("SUBSOLO",E2185)),IFERROR(-VALUE(LEFT(E2185,FIND("º",SUBSTITUTE(E2185,"°","º"))-1)),-1),IF(LEFT(E2185,6)="TÉRREO",0,IFERROR(VALUE(LEFT(E2185,FIND("º",SUBSTITUTE(E2185,"°","º"))-1)),""))))</f>
        <v/>
      </c>
      <c r="O2185" s="2">
        <f>IF(OR(F2185="",G2185=""),"",IF(G2185&lt;='RETRATO 2027'!$K$5,"CONCLUÍDA",IF(F2185&lt;='RETRATO 2027'!$K$5,"EM ANDAMENTO","A INICIAR")))</f>
        <v/>
      </c>
    </row>
    <row r="2186">
      <c r="B2186" s="4" t="n">
        <v>29980640</v>
      </c>
      <c r="C2186" s="4" t="inlineStr">
        <is>
          <t>PISO VINÍLICO / LAMINADO</t>
        </is>
      </c>
      <c r="D2186" s="4" t="inlineStr">
        <is>
          <t>-</t>
        </is>
      </c>
      <c r="E2186" s="4" t="inlineStr">
        <is>
          <t>31º PAV. - COBERTURA LINEAR</t>
        </is>
      </c>
      <c r="F2186" s="126" t="n">
        <v>47079</v>
      </c>
      <c r="G2186" s="126" t="n">
        <v>47091</v>
      </c>
      <c r="H2186" s="126" t="n">
        <v>46289</v>
      </c>
      <c r="I2186" s="4" t="n">
        <v>0</v>
      </c>
      <c r="J2186" s="4" t="n">
        <v>0</v>
      </c>
      <c r="K2186" s="4" t="n">
        <v>0</v>
      </c>
      <c r="M2186" s="2">
        <f>IF(C2186="","",IFERROR(INDEX($S$5:$S$304,MATCH(C2186,$R$5:$R$304,0))&amp;"","?"))</f>
        <v/>
      </c>
      <c r="N2186" s="2">
        <f>IF(E2186="","",IF(ISNUMBER(SEARCH("SUBSOLO",E2186)),IFERROR(-VALUE(LEFT(E2186,FIND("º",SUBSTITUTE(E2186,"°","º"))-1)),-1),IF(LEFT(E2186,6)="TÉRREO",0,IFERROR(VALUE(LEFT(E2186,FIND("º",SUBSTITUTE(E2186,"°","º"))-1)),""))))</f>
        <v/>
      </c>
      <c r="O2186" s="2">
        <f>IF(OR(F2186="",G2186=""),"",IF(G2186&lt;='RETRATO 2027'!$K$5,"CONCLUÍDA",IF(F2186&lt;='RETRATO 2027'!$K$5,"EM ANDAMENTO","A INICIAR")))</f>
        <v/>
      </c>
    </row>
    <row r="2187">
      <c r="B2187" s="4" t="n">
        <v>29980602</v>
      </c>
      <c r="C2187" s="4" t="inlineStr">
        <is>
          <t>PINTURA 1º DEMÃO</t>
        </is>
      </c>
      <c r="D2187" s="4" t="inlineStr">
        <is>
          <t>-</t>
        </is>
      </c>
      <c r="E2187" s="4" t="inlineStr">
        <is>
          <t>32º PAV - COBERTURA GERAL</t>
        </is>
      </c>
      <c r="F2187" s="126" t="n">
        <v>47079</v>
      </c>
      <c r="G2187" s="126" t="n">
        <v>47091</v>
      </c>
      <c r="H2187" s="126" t="n">
        <v>46289</v>
      </c>
      <c r="I2187" s="4" t="n">
        <v>0</v>
      </c>
      <c r="J2187" s="4" t="n">
        <v>0</v>
      </c>
      <c r="K2187" s="4" t="n">
        <v>0</v>
      </c>
      <c r="M2187" s="2">
        <f>IF(C2187="","",IFERROR(INDEX($S$5:$S$304,MATCH(C2187,$R$5:$R$304,0))&amp;"","?"))</f>
        <v/>
      </c>
      <c r="N2187" s="2">
        <f>IF(E2187="","",IF(ISNUMBER(SEARCH("SUBSOLO",E2187)),IFERROR(-VALUE(LEFT(E2187,FIND("º",SUBSTITUTE(E2187,"°","º"))-1)),-1),IF(LEFT(E2187,6)="TÉRREO",0,IFERROR(VALUE(LEFT(E2187,FIND("º",SUBSTITUTE(E2187,"°","º"))-1)),""))))</f>
        <v/>
      </c>
      <c r="O2187" s="2">
        <f>IF(OR(F2187="",G2187=""),"",IF(G2187&lt;='RETRATO 2027'!$K$5,"CONCLUÍDA",IF(F2187&lt;='RETRATO 2027'!$K$5,"EM ANDAMENTO","A INICIAR")))</f>
        <v/>
      </c>
    </row>
    <row r="2188">
      <c r="B2188" s="4" t="n">
        <v>30171447</v>
      </c>
      <c r="C2188" s="4" t="inlineStr">
        <is>
          <t>ACABAMENTOS ELÉTRICOS</t>
        </is>
      </c>
      <c r="D2188" s="4" t="inlineStr">
        <is>
          <t>-</t>
        </is>
      </c>
      <c r="E2188" s="4" t="inlineStr">
        <is>
          <t>3º PAV - GARAGEM</t>
        </is>
      </c>
      <c r="F2188" s="126" t="n">
        <v>47080</v>
      </c>
      <c r="G2188" s="126" t="n">
        <v>47093</v>
      </c>
      <c r="H2188" s="126" t="n">
        <v>46289</v>
      </c>
      <c r="I2188" s="4" t="n">
        <v>0</v>
      </c>
      <c r="J2188" s="4" t="n">
        <v>0</v>
      </c>
      <c r="K2188" s="4" t="n">
        <v>0</v>
      </c>
      <c r="M2188" s="2">
        <f>IF(C2188="","",IFERROR(INDEX($S$5:$S$304,MATCH(C2188,$R$5:$R$304,0))&amp;"","?"))</f>
        <v/>
      </c>
      <c r="N2188" s="2">
        <f>IF(E2188="","",IF(ISNUMBER(SEARCH("SUBSOLO",E2188)),IFERROR(-VALUE(LEFT(E2188,FIND("º",SUBSTITUTE(E2188,"°","º"))-1)),-1),IF(LEFT(E2188,6)="TÉRREO",0,IFERROR(VALUE(LEFT(E2188,FIND("º",SUBSTITUTE(E2188,"°","º"))-1)),""))))</f>
        <v/>
      </c>
      <c r="O2188" s="2">
        <f>IF(OR(F2188="",G2188=""),"",IF(G2188&lt;='RETRATO 2027'!$K$5,"CONCLUÍDA",IF(F2188&lt;='RETRATO 2027'!$K$5,"EM ANDAMENTO","A INICIAR")))</f>
        <v/>
      </c>
    </row>
    <row r="2189">
      <c r="B2189" s="4" t="n">
        <v>30171446</v>
      </c>
      <c r="C2189" s="4" t="inlineStr">
        <is>
          <t>DEMARCAÇÃO DE VAGAS</t>
        </is>
      </c>
      <c r="D2189" s="4" t="inlineStr">
        <is>
          <t>-</t>
        </is>
      </c>
      <c r="E2189" s="4" t="inlineStr">
        <is>
          <t>3º PAV - GARAGEM</t>
        </is>
      </c>
      <c r="F2189" s="126" t="n">
        <v>47080</v>
      </c>
      <c r="G2189" s="126" t="n">
        <v>47108</v>
      </c>
      <c r="H2189" s="126" t="n">
        <v>46289</v>
      </c>
      <c r="I2189" s="4" t="n">
        <v>0</v>
      </c>
      <c r="J2189" s="4" t="n">
        <v>0</v>
      </c>
      <c r="K2189" s="4" t="n">
        <v>0</v>
      </c>
      <c r="M2189" s="2">
        <f>IF(C2189="","",IFERROR(INDEX($S$5:$S$304,MATCH(C2189,$R$5:$R$304,0))&amp;"","?"))</f>
        <v/>
      </c>
      <c r="N2189" s="2">
        <f>IF(E2189="","",IF(ISNUMBER(SEARCH("SUBSOLO",E2189)),IFERROR(-VALUE(LEFT(E2189,FIND("º",SUBSTITUTE(E2189,"°","º"))-1)),-1),IF(LEFT(E2189,6)="TÉRREO",0,IFERROR(VALUE(LEFT(E2189,FIND("º",SUBSTITUTE(E2189,"°","º"))-1)),""))))</f>
        <v/>
      </c>
      <c r="O2189" s="2">
        <f>IF(OR(F2189="",G2189=""),"",IF(G2189&lt;='RETRATO 2027'!$K$5,"CONCLUÍDA",IF(F2189&lt;='RETRATO 2027'!$K$5,"EM ANDAMENTO","A INICIAR")))</f>
        <v/>
      </c>
    </row>
    <row r="2190">
      <c r="B2190" s="4" t="n">
        <v>30171458</v>
      </c>
      <c r="C2190" s="4" t="inlineStr">
        <is>
          <t>INSTALAÇÃO DE METAIS</t>
        </is>
      </c>
      <c r="D2190" s="4" t="inlineStr">
        <is>
          <t>-</t>
        </is>
      </c>
      <c r="E2190" s="4" t="inlineStr">
        <is>
          <t>3º PAV - GARAGEM</t>
        </is>
      </c>
      <c r="F2190" s="126" t="n">
        <v>47080</v>
      </c>
      <c r="G2190" s="126" t="n">
        <v>47093</v>
      </c>
      <c r="H2190" s="126" t="n">
        <v>46289</v>
      </c>
      <c r="I2190" s="4" t="n">
        <v>0</v>
      </c>
      <c r="J2190" s="4" t="n">
        <v>0</v>
      </c>
      <c r="K2190" s="4" t="n">
        <v>0</v>
      </c>
      <c r="M2190" s="2">
        <f>IF(C2190="","",IFERROR(INDEX($S$5:$S$304,MATCH(C2190,$R$5:$R$304,0))&amp;"","?"))</f>
        <v/>
      </c>
      <c r="N2190" s="2">
        <f>IF(E2190="","",IF(ISNUMBER(SEARCH("SUBSOLO",E2190)),IFERROR(-VALUE(LEFT(E2190,FIND("º",SUBSTITUTE(E2190,"°","º"))-1)),-1),IF(LEFT(E2190,6)="TÉRREO",0,IFERROR(VALUE(LEFT(E2190,FIND("º",SUBSTITUTE(E2190,"°","º"))-1)),""))))</f>
        <v/>
      </c>
      <c r="O2190" s="2">
        <f>IF(OR(F2190="",G2190=""),"",IF(G2190&lt;='RETRATO 2027'!$K$5,"CONCLUÍDA",IF(F2190&lt;='RETRATO 2027'!$K$5,"EM ANDAMENTO","A INICIAR")))</f>
        <v/>
      </c>
    </row>
    <row r="2191">
      <c r="B2191" s="4" t="n">
        <v>30171459</v>
      </c>
      <c r="C2191" s="4" t="inlineStr">
        <is>
          <t>INST. CARREGADOR DE VEÍCULOS</t>
        </is>
      </c>
      <c r="D2191" s="4" t="inlineStr">
        <is>
          <t>-</t>
        </is>
      </c>
      <c r="E2191" s="4" t="inlineStr">
        <is>
          <t>3º PAV - GARAGEM</t>
        </is>
      </c>
      <c r="F2191" s="126" t="n">
        <v>47080</v>
      </c>
      <c r="G2191" s="126" t="n">
        <v>47093</v>
      </c>
      <c r="H2191" s="126" t="n">
        <v>46289</v>
      </c>
      <c r="I2191" s="4" t="n">
        <v>0</v>
      </c>
      <c r="J2191" s="4" t="n">
        <v>0</v>
      </c>
      <c r="K2191" s="4" t="n">
        <v>0</v>
      </c>
      <c r="M2191" s="2">
        <f>IF(C2191="","",IFERROR(INDEX($S$5:$S$304,MATCH(C2191,$R$5:$R$304,0))&amp;"","?"))</f>
        <v/>
      </c>
      <c r="N2191" s="2">
        <f>IF(E2191="","",IF(ISNUMBER(SEARCH("SUBSOLO",E2191)),IFERROR(-VALUE(LEFT(E2191,FIND("º",SUBSTITUTE(E2191,"°","º"))-1)),-1),IF(LEFT(E2191,6)="TÉRREO",0,IFERROR(VALUE(LEFT(E2191,FIND("º",SUBSTITUTE(E2191,"°","º"))-1)),""))))</f>
        <v/>
      </c>
      <c r="O2191" s="2">
        <f>IF(OR(F2191="",G2191=""),"",IF(G2191&lt;='RETRATO 2027'!$K$5,"CONCLUÍDA",IF(F2191&lt;='RETRATO 2027'!$K$5,"EM ANDAMENTO","A INICIAR")))</f>
        <v/>
      </c>
    </row>
    <row r="2192">
      <c r="B2192" s="4" t="n">
        <v>30171462</v>
      </c>
      <c r="C2192" s="4" t="inlineStr">
        <is>
          <t>PLACAS E IDEINTIFIC. VISUAIS</t>
        </is>
      </c>
      <c r="D2192" s="4" t="inlineStr">
        <is>
          <t>-</t>
        </is>
      </c>
      <c r="E2192" s="4" t="inlineStr">
        <is>
          <t>3º PAV - GARAGEM</t>
        </is>
      </c>
      <c r="F2192" s="126" t="n">
        <v>47080</v>
      </c>
      <c r="G2192" s="126" t="n">
        <v>47093</v>
      </c>
      <c r="H2192" s="126" t="n">
        <v>46289</v>
      </c>
      <c r="I2192" s="4" t="n">
        <v>0</v>
      </c>
      <c r="J2192" s="4" t="n">
        <v>0</v>
      </c>
      <c r="K2192" s="4" t="n">
        <v>0</v>
      </c>
      <c r="M2192" s="2">
        <f>IF(C2192="","",IFERROR(INDEX($S$5:$S$304,MATCH(C2192,$R$5:$R$304,0))&amp;"","?"))</f>
        <v/>
      </c>
      <c r="N2192" s="2">
        <f>IF(E2192="","",IF(ISNUMBER(SEARCH("SUBSOLO",E2192)),IFERROR(-VALUE(LEFT(E2192,FIND("º",SUBSTITUTE(E2192,"°","º"))-1)),-1),IF(LEFT(E2192,6)="TÉRREO",0,IFERROR(VALUE(LEFT(E2192,FIND("º",SUBSTITUTE(E2192,"°","º"))-1)),""))))</f>
        <v/>
      </c>
      <c r="O2192" s="2">
        <f>IF(OR(F2192="",G2192=""),"",IF(G2192&lt;='RETRATO 2027'!$K$5,"CONCLUÍDA",IF(F2192&lt;='RETRATO 2027'!$K$5,"EM ANDAMENTO","A INICIAR")))</f>
        <v/>
      </c>
    </row>
    <row r="2193">
      <c r="B2193" s="4" t="n">
        <v>30171417</v>
      </c>
      <c r="C2193" s="4" t="inlineStr">
        <is>
          <t>TEXTURA - 1º DEMÃO</t>
        </is>
      </c>
      <c r="D2193" s="4" t="inlineStr">
        <is>
          <t>-</t>
        </is>
      </c>
      <c r="E2193" s="4" t="inlineStr">
        <is>
          <t>4º PAV - GARAGEM</t>
        </is>
      </c>
      <c r="F2193" s="126" t="n">
        <v>47080</v>
      </c>
      <c r="G2193" s="126" t="n">
        <v>47108</v>
      </c>
      <c r="H2193" s="126" t="n">
        <v>46289</v>
      </c>
      <c r="I2193" s="4" t="n">
        <v>0</v>
      </c>
      <c r="J2193" s="4" t="n">
        <v>0</v>
      </c>
      <c r="K2193" s="4" t="n">
        <v>0</v>
      </c>
      <c r="M2193" s="2">
        <f>IF(C2193="","",IFERROR(INDEX($S$5:$S$304,MATCH(C2193,$R$5:$R$304,0))&amp;"","?"))</f>
        <v/>
      </c>
      <c r="N2193" s="2">
        <f>IF(E2193="","",IF(ISNUMBER(SEARCH("SUBSOLO",E2193)),IFERROR(-VALUE(LEFT(E2193,FIND("º",SUBSTITUTE(E2193,"°","º"))-1)),-1),IF(LEFT(E2193,6)="TÉRREO",0,IFERROR(VALUE(LEFT(E2193,FIND("º",SUBSTITUTE(E2193,"°","º"))-1)),""))))</f>
        <v/>
      </c>
      <c r="O2193" s="2">
        <f>IF(OR(F2193="",G2193=""),"",IF(G2193&lt;='RETRATO 2027'!$K$5,"CONCLUÍDA",IF(F2193&lt;='RETRATO 2027'!$K$5,"EM ANDAMENTO","A INICIAR")))</f>
        <v/>
      </c>
    </row>
    <row r="2194">
      <c r="B2194" s="4" t="n">
        <v>30206078</v>
      </c>
      <c r="C2194" s="4" t="inlineStr">
        <is>
          <t>CHECKLIST</t>
        </is>
      </c>
      <c r="D2194" s="4" t="inlineStr">
        <is>
          <t>-</t>
        </is>
      </c>
      <c r="E2194" s="4" t="inlineStr">
        <is>
          <t>6º PAV (PILOTIS) - SAUNA + DUCHA</t>
        </is>
      </c>
      <c r="F2194" s="126" t="n">
        <v>47081</v>
      </c>
      <c r="G2194" s="126" t="n">
        <v>47087</v>
      </c>
      <c r="H2194" s="126" t="n">
        <v>46289</v>
      </c>
      <c r="I2194" s="4" t="n">
        <v>0</v>
      </c>
      <c r="J2194" s="4" t="n">
        <v>0</v>
      </c>
      <c r="K2194" s="4" t="n">
        <v>0</v>
      </c>
      <c r="M2194" s="2">
        <f>IF(C2194="","",IFERROR(INDEX($S$5:$S$304,MATCH(C2194,$R$5:$R$304,0))&amp;"","?"))</f>
        <v/>
      </c>
      <c r="N2194" s="2">
        <f>IF(E2194="","",IF(ISNUMBER(SEARCH("SUBSOLO",E2194)),IFERROR(-VALUE(LEFT(E2194,FIND("º",SUBSTITUTE(E2194,"°","º"))-1)),-1),IF(LEFT(E2194,6)="TÉRREO",0,IFERROR(VALUE(LEFT(E2194,FIND("º",SUBSTITUTE(E2194,"°","º"))-1)),""))))</f>
        <v/>
      </c>
      <c r="O2194" s="2">
        <f>IF(OR(F2194="",G2194=""),"",IF(G2194&lt;='RETRATO 2027'!$K$5,"CONCLUÍDA",IF(F2194&lt;='RETRATO 2027'!$K$5,"EM ANDAMENTO","A INICIAR")))</f>
        <v/>
      </c>
    </row>
    <row r="2195">
      <c r="B2195" s="4" t="n">
        <v>30205959</v>
      </c>
      <c r="C2195" s="4" t="inlineStr">
        <is>
          <t>LOUÇAS</t>
        </is>
      </c>
      <c r="D2195" s="4" t="inlineStr">
        <is>
          <t>-</t>
        </is>
      </c>
      <c r="E2195" s="4" t="inlineStr">
        <is>
          <t>6º PAV (PILOTIS) - LOUNGE + SALÃO + COZINHA + GOURMET + ESPAÇO KIDS</t>
        </is>
      </c>
      <c r="F2195" s="126" t="n">
        <v>47084</v>
      </c>
      <c r="G2195" s="126" t="n">
        <v>47088</v>
      </c>
      <c r="H2195" s="126" t="n">
        <v>46289</v>
      </c>
      <c r="I2195" s="4" t="n">
        <v>0</v>
      </c>
      <c r="J2195" s="4" t="n">
        <v>0</v>
      </c>
      <c r="K2195" s="4" t="n">
        <v>0</v>
      </c>
      <c r="M2195" s="2">
        <f>IF(C2195="","",IFERROR(INDEX($S$5:$S$304,MATCH(C2195,$R$5:$R$304,0))&amp;"","?"))</f>
        <v/>
      </c>
      <c r="N2195" s="2">
        <f>IF(E2195="","",IF(ISNUMBER(SEARCH("SUBSOLO",E2195)),IFERROR(-VALUE(LEFT(E2195,FIND("º",SUBSTITUTE(E2195,"°","º"))-1)),-1),IF(LEFT(E2195,6)="TÉRREO",0,IFERROR(VALUE(LEFT(E2195,FIND("º",SUBSTITUTE(E2195,"°","º"))-1)),""))))</f>
        <v/>
      </c>
      <c r="O2195" s="2">
        <f>IF(OR(F2195="",G2195=""),"",IF(G2195&lt;='RETRATO 2027'!$K$5,"CONCLUÍDA",IF(F2195&lt;='RETRATO 2027'!$K$5,"EM ANDAMENTO","A INICIAR")))</f>
        <v/>
      </c>
    </row>
    <row r="2196">
      <c r="B2196" s="4" t="n">
        <v>30205964</v>
      </c>
      <c r="C2196" s="4" t="inlineStr">
        <is>
          <t>METAIS</t>
        </is>
      </c>
      <c r="D2196" s="4" t="inlineStr">
        <is>
          <t>-</t>
        </is>
      </c>
      <c r="E2196" s="4" t="inlineStr">
        <is>
          <t>6º PAV (PILOTIS) - LOUNGE + SALÃO + COZINHA + GOURMET + ESPAÇO KIDS</t>
        </is>
      </c>
      <c r="F2196" s="126" t="n">
        <v>47084</v>
      </c>
      <c r="G2196" s="126" t="n">
        <v>47088</v>
      </c>
      <c r="H2196" s="126" t="n">
        <v>46289</v>
      </c>
      <c r="I2196" s="4" t="n">
        <v>0</v>
      </c>
      <c r="J2196" s="4" t="n">
        <v>0</v>
      </c>
      <c r="K2196" s="4" t="n">
        <v>0</v>
      </c>
      <c r="M2196" s="2">
        <f>IF(C2196="","",IFERROR(INDEX($S$5:$S$304,MATCH(C2196,$R$5:$R$304,0))&amp;"","?"))</f>
        <v/>
      </c>
      <c r="N2196" s="2">
        <f>IF(E2196="","",IF(ISNUMBER(SEARCH("SUBSOLO",E2196)),IFERROR(-VALUE(LEFT(E2196,FIND("º",SUBSTITUTE(E2196,"°","º"))-1)),-1),IF(LEFT(E2196,6)="TÉRREO",0,IFERROR(VALUE(LEFT(E2196,FIND("º",SUBSTITUTE(E2196,"°","º"))-1)),""))))</f>
        <v/>
      </c>
      <c r="O2196" s="2">
        <f>IF(OR(F2196="",G2196=""),"",IF(G2196&lt;='RETRATO 2027'!$K$5,"CONCLUÍDA",IF(F2196&lt;='RETRATO 2027'!$K$5,"EM ANDAMENTO","A INICIAR")))</f>
        <v/>
      </c>
    </row>
    <row r="2197">
      <c r="B2197" s="4" t="n">
        <v>29980958</v>
      </c>
      <c r="C2197" s="4" t="inlineStr">
        <is>
          <t>LIMPEZA FINA</t>
        </is>
      </c>
      <c r="D2197" s="4" t="inlineStr">
        <is>
          <t>-</t>
        </is>
      </c>
      <c r="E2197" s="4" t="inlineStr">
        <is>
          <t>23º PAV.</t>
        </is>
      </c>
      <c r="F2197" s="126" t="n">
        <v>47086</v>
      </c>
      <c r="G2197" s="126" t="n">
        <v>47099</v>
      </c>
      <c r="H2197" s="126" t="n">
        <v>46289</v>
      </c>
      <c r="I2197" s="4" t="n">
        <v>0</v>
      </c>
      <c r="J2197" s="4" t="n">
        <v>0</v>
      </c>
      <c r="K2197" s="4" t="n">
        <v>0</v>
      </c>
      <c r="M2197" s="2">
        <f>IF(C2197="","",IFERROR(INDEX($S$5:$S$304,MATCH(C2197,$R$5:$R$304,0))&amp;"","?"))</f>
        <v/>
      </c>
      <c r="N2197" s="2">
        <f>IF(E2197="","",IF(ISNUMBER(SEARCH("SUBSOLO",E2197)),IFERROR(-VALUE(LEFT(E2197,FIND("º",SUBSTITUTE(E2197,"°","º"))-1)),-1),IF(LEFT(E2197,6)="TÉRREO",0,IFERROR(VALUE(LEFT(E2197,FIND("º",SUBSTITUTE(E2197,"°","º"))-1)),""))))</f>
        <v/>
      </c>
      <c r="O2197" s="2">
        <f>IF(OR(F2197="",G2197=""),"",IF(G2197&lt;='RETRATO 2027'!$K$5,"CONCLUÍDA",IF(F2197&lt;='RETRATO 2027'!$K$5,"EM ANDAMENTO","A INICIAR")))</f>
        <v/>
      </c>
    </row>
    <row r="2198">
      <c r="B2198" s="4" t="n">
        <v>29980911</v>
      </c>
      <c r="C2198" s="4" t="inlineStr">
        <is>
          <t>PINTURA 3º DEMÃO</t>
        </is>
      </c>
      <c r="D2198" s="4" t="inlineStr">
        <is>
          <t>-</t>
        </is>
      </c>
      <c r="E2198" s="4" t="inlineStr">
        <is>
          <t>24º PAV.</t>
        </is>
      </c>
      <c r="F2198" s="126" t="n">
        <v>47086</v>
      </c>
      <c r="G2198" s="126" t="n">
        <v>47099</v>
      </c>
      <c r="H2198" s="126" t="n">
        <v>46289</v>
      </c>
      <c r="I2198" s="4" t="n">
        <v>0</v>
      </c>
      <c r="J2198" s="4" t="n">
        <v>0</v>
      </c>
      <c r="K2198" s="4" t="n">
        <v>0</v>
      </c>
      <c r="M2198" s="2">
        <f>IF(C2198="","",IFERROR(INDEX($S$5:$S$304,MATCH(C2198,$R$5:$R$304,0))&amp;"","?"))</f>
        <v/>
      </c>
      <c r="N2198" s="2">
        <f>IF(E2198="","",IF(ISNUMBER(SEARCH("SUBSOLO",E2198)),IFERROR(-VALUE(LEFT(E2198,FIND("º",SUBSTITUTE(E2198,"°","º"))-1)),-1),IF(LEFT(E2198,6)="TÉRREO",0,IFERROR(VALUE(LEFT(E2198,FIND("º",SUBSTITUTE(E2198,"°","º"))-1)),""))))</f>
        <v/>
      </c>
      <c r="O2198" s="2">
        <f>IF(OR(F2198="",G2198=""),"",IF(G2198&lt;='RETRATO 2027'!$K$5,"CONCLUÍDA",IF(F2198&lt;='RETRATO 2027'!$K$5,"EM ANDAMENTO","A INICIAR")))</f>
        <v/>
      </c>
    </row>
    <row r="2199">
      <c r="B2199" s="4" t="n">
        <v>30171480</v>
      </c>
      <c r="C2199" s="4" t="inlineStr">
        <is>
          <t>LIMPEZA</t>
        </is>
      </c>
      <c r="D2199" s="4" t="inlineStr">
        <is>
          <t>-</t>
        </is>
      </c>
      <c r="E2199" s="4" t="inlineStr">
        <is>
          <t>2º PAV - GARAGEM</t>
        </is>
      </c>
      <c r="F2199" s="126" t="n">
        <v>47087</v>
      </c>
      <c r="G2199" s="126" t="n">
        <v>47108</v>
      </c>
      <c r="H2199" s="126" t="n">
        <v>46289</v>
      </c>
      <c r="I2199" s="4" t="n">
        <v>0</v>
      </c>
      <c r="J2199" s="4" t="n">
        <v>0</v>
      </c>
      <c r="K2199" s="4" t="n">
        <v>0</v>
      </c>
      <c r="M2199" s="2">
        <f>IF(C2199="","",IFERROR(INDEX($S$5:$S$304,MATCH(C2199,$R$5:$R$304,0))&amp;"","?"))</f>
        <v/>
      </c>
      <c r="N2199" s="2">
        <f>IF(E2199="","",IF(ISNUMBER(SEARCH("SUBSOLO",E2199)),IFERROR(-VALUE(LEFT(E2199,FIND("º",SUBSTITUTE(E2199,"°","º"))-1)),-1),IF(LEFT(E2199,6)="TÉRREO",0,IFERROR(VALUE(LEFT(E2199,FIND("º",SUBSTITUTE(E2199,"°","º"))-1)),""))))</f>
        <v/>
      </c>
      <c r="O2199" s="2">
        <f>IF(OR(F2199="",G2199=""),"",IF(G2199&lt;='RETRATO 2027'!$K$5,"CONCLUÍDA",IF(F2199&lt;='RETRATO 2027'!$K$5,"EM ANDAMENTO","A INICIAR")))</f>
        <v/>
      </c>
    </row>
    <row r="2200">
      <c r="B2200" s="4" t="n">
        <v>30206079</v>
      </c>
      <c r="C2200" s="4" t="inlineStr">
        <is>
          <t>PINTURA 3º DEMÃO</t>
        </is>
      </c>
      <c r="D2200" s="4" t="inlineStr">
        <is>
          <t>-</t>
        </is>
      </c>
      <c r="E2200" s="4" t="inlineStr">
        <is>
          <t>6º PAV (PILOTIS) - SAUNA + DUCHA</t>
        </is>
      </c>
      <c r="F2200" s="126" t="n">
        <v>47088</v>
      </c>
      <c r="G2200" s="126" t="n">
        <v>47102</v>
      </c>
      <c r="H2200" s="126" t="n">
        <v>46289</v>
      </c>
      <c r="I2200" s="4" t="n">
        <v>0</v>
      </c>
      <c r="J2200" s="4" t="n">
        <v>0</v>
      </c>
      <c r="K2200" s="4" t="n">
        <v>0</v>
      </c>
      <c r="M2200" s="2">
        <f>IF(C2200="","",IFERROR(INDEX($S$5:$S$304,MATCH(C2200,$R$5:$R$304,0))&amp;"","?"))</f>
        <v/>
      </c>
      <c r="N2200" s="2">
        <f>IF(E2200="","",IF(ISNUMBER(SEARCH("SUBSOLO",E2200)),IFERROR(-VALUE(LEFT(E2200,FIND("º",SUBSTITUTE(E2200,"°","º"))-1)),-1),IF(LEFT(E2200,6)="TÉRREO",0,IFERROR(VALUE(LEFT(E2200,FIND("º",SUBSTITUTE(E2200,"°","º"))-1)),""))))</f>
        <v/>
      </c>
      <c r="O2200" s="2">
        <f>IF(OR(F2200="",G2200=""),"",IF(G2200&lt;='RETRATO 2027'!$K$5,"CONCLUÍDA",IF(F2200&lt;='RETRATO 2027'!$K$5,"EM ANDAMENTO","A INICIAR")))</f>
        <v/>
      </c>
    </row>
    <row r="2201">
      <c r="B2201" s="4" t="n">
        <v>30206043</v>
      </c>
      <c r="C2201" s="4" t="inlineStr">
        <is>
          <t>ACABAMENTOS ELÉTRICOS</t>
        </is>
      </c>
      <c r="D2201" s="4" t="inlineStr">
        <is>
          <t>-</t>
        </is>
      </c>
      <c r="E2201" s="4" t="inlineStr">
        <is>
          <t>6º PAV (PILOTIS) - CHURRASQUEIRA + IS MASC. PCD + IS FEM. PCD + CIRCULAÇÃO 1 + HALL 1</t>
        </is>
      </c>
      <c r="F2201" s="126" t="n">
        <v>47091</v>
      </c>
      <c r="G2201" s="126" t="n">
        <v>47094</v>
      </c>
      <c r="H2201" s="126" t="n">
        <v>46289</v>
      </c>
      <c r="I2201" s="4" t="n">
        <v>0</v>
      </c>
      <c r="J2201" s="4" t="n">
        <v>0</v>
      </c>
      <c r="K2201" s="4" t="n">
        <v>0</v>
      </c>
      <c r="M2201" s="2">
        <f>IF(C2201="","",IFERROR(INDEX($S$5:$S$304,MATCH(C2201,$R$5:$R$304,0))&amp;"","?"))</f>
        <v/>
      </c>
      <c r="N2201" s="2">
        <f>IF(E2201="","",IF(ISNUMBER(SEARCH("SUBSOLO",E2201)),IFERROR(-VALUE(LEFT(E2201,FIND("º",SUBSTITUTE(E2201,"°","º"))-1)),-1),IF(LEFT(E2201,6)="TÉRREO",0,IFERROR(VALUE(LEFT(E2201,FIND("º",SUBSTITUTE(E2201,"°","º"))-1)),""))))</f>
        <v/>
      </c>
      <c r="O2201" s="2">
        <f>IF(OR(F2201="",G2201=""),"",IF(G2201&lt;='RETRATO 2027'!$K$5,"CONCLUÍDA",IF(F2201&lt;='RETRATO 2027'!$K$5,"EM ANDAMENTO","A INICIAR")))</f>
        <v/>
      </c>
    </row>
    <row r="2202">
      <c r="B2202" s="4" t="n">
        <v>30206003</v>
      </c>
      <c r="C2202" s="4" t="inlineStr">
        <is>
          <t>PINTURA 2º DEMÃO</t>
        </is>
      </c>
      <c r="D2202" s="4" t="inlineStr">
        <is>
          <t>-</t>
        </is>
      </c>
      <c r="E2202" s="4" t="inlineStr">
        <is>
          <t>6º PAV (PILOTIS) - COWORKING 1 E 2 + CIRC. 2 + HALL 2 + DML + VEST. MASC. + VEST. FEM</t>
        </is>
      </c>
      <c r="F2202" s="126" t="n">
        <v>47091</v>
      </c>
      <c r="G2202" s="126" t="n">
        <v>47105</v>
      </c>
      <c r="H2202" s="126" t="n">
        <v>46289</v>
      </c>
      <c r="I2202" s="4" t="n">
        <v>0</v>
      </c>
      <c r="J2202" s="4" t="n">
        <v>0</v>
      </c>
      <c r="K2202" s="4" t="n">
        <v>0</v>
      </c>
      <c r="M2202" s="2">
        <f>IF(C2202="","",IFERROR(INDEX($S$5:$S$304,MATCH(C2202,$R$5:$R$304,0))&amp;"","?"))</f>
        <v/>
      </c>
      <c r="N2202" s="2">
        <f>IF(E2202="","",IF(ISNUMBER(SEARCH("SUBSOLO",E2202)),IFERROR(-VALUE(LEFT(E2202,FIND("º",SUBSTITUTE(E2202,"°","º"))-1)),-1),IF(LEFT(E2202,6)="TÉRREO",0,IFERROR(VALUE(LEFT(E2202,FIND("º",SUBSTITUTE(E2202,"°","º"))-1)),""))))</f>
        <v/>
      </c>
      <c r="O2202" s="2">
        <f>IF(OR(F2202="",G2202=""),"",IF(G2202&lt;='RETRATO 2027'!$K$5,"CONCLUÍDA",IF(F2202&lt;='RETRATO 2027'!$K$5,"EM ANDAMENTO","A INICIAR")))</f>
        <v/>
      </c>
    </row>
    <row r="2203">
      <c r="B2203" s="4" t="n">
        <v>30205965</v>
      </c>
      <c r="C2203" s="4" t="inlineStr">
        <is>
          <t>LIMPEZA GROSSA</t>
        </is>
      </c>
      <c r="D2203" s="4" t="inlineStr">
        <is>
          <t>-</t>
        </is>
      </c>
      <c r="E2203" s="4" t="inlineStr">
        <is>
          <t>6º PAV (PILOTIS) - LOUNGE + SALÃO + COZINHA + GOURMET + ESPAÇO KIDS</t>
        </is>
      </c>
      <c r="F2203" s="126" t="n">
        <v>47091</v>
      </c>
      <c r="G2203" s="126" t="n">
        <v>47105</v>
      </c>
      <c r="H2203" s="126" t="n">
        <v>46289</v>
      </c>
      <c r="I2203" s="4" t="n">
        <v>0</v>
      </c>
      <c r="J2203" s="4" t="n">
        <v>0</v>
      </c>
      <c r="K2203" s="4" t="n">
        <v>0</v>
      </c>
      <c r="M2203" s="2">
        <f>IF(C2203="","",IFERROR(INDEX($S$5:$S$304,MATCH(C2203,$R$5:$R$304,0))&amp;"","?"))</f>
        <v/>
      </c>
      <c r="N2203" s="2">
        <f>IF(E2203="","",IF(ISNUMBER(SEARCH("SUBSOLO",E2203)),IFERROR(-VALUE(LEFT(E2203,FIND("º",SUBSTITUTE(E2203,"°","º"))-1)),-1),IF(LEFT(E2203,6)="TÉRREO",0,IFERROR(VALUE(LEFT(E2203,FIND("º",SUBSTITUTE(E2203,"°","º"))-1)),""))))</f>
        <v/>
      </c>
      <c r="O2203" s="2">
        <f>IF(OR(F2203="",G2203=""),"",IF(G2203&lt;='RETRATO 2027'!$K$5,"CONCLUÍDA",IF(F2203&lt;='RETRATO 2027'!$K$5,"EM ANDAMENTO","A INICIAR")))</f>
        <v/>
      </c>
    </row>
    <row r="2204">
      <c r="B2204" s="4" t="n">
        <v>29981083</v>
      </c>
      <c r="C2204" s="4" t="inlineStr">
        <is>
          <t>PINTURA 1º DEMÃO</t>
        </is>
      </c>
      <c r="D2204" s="4" t="inlineStr">
        <is>
          <t>-</t>
        </is>
      </c>
      <c r="E2204" s="4" t="inlineStr">
        <is>
          <t>19º PAV.</t>
        </is>
      </c>
      <c r="F2204" s="126" t="n">
        <v>47091</v>
      </c>
      <c r="G2204" s="126" t="n">
        <v>47102</v>
      </c>
      <c r="H2204" s="126" t="n">
        <v>46289</v>
      </c>
      <c r="I2204" s="4" t="n">
        <v>0</v>
      </c>
      <c r="J2204" s="4" t="n">
        <v>0</v>
      </c>
      <c r="K2204" s="4" t="n">
        <v>0</v>
      </c>
      <c r="M2204" s="2">
        <f>IF(C2204="","",IFERROR(INDEX($S$5:$S$304,MATCH(C2204,$R$5:$R$304,0))&amp;"","?"))</f>
        <v/>
      </c>
      <c r="N2204" s="2">
        <f>IF(E2204="","",IF(ISNUMBER(SEARCH("SUBSOLO",E2204)),IFERROR(-VALUE(LEFT(E2204,FIND("º",SUBSTITUTE(E2204,"°","º"))-1)),-1),IF(LEFT(E2204,6)="TÉRREO",0,IFERROR(VALUE(LEFT(E2204,FIND("º",SUBSTITUTE(E2204,"°","º"))-1)),""))))</f>
        <v/>
      </c>
      <c r="O2204" s="2">
        <f>IF(OR(F2204="",G2204=""),"",IF(G2204&lt;='RETRATO 2027'!$K$5,"CONCLUÍDA",IF(F2204&lt;='RETRATO 2027'!$K$5,"EM ANDAMENTO","A INICIAR")))</f>
        <v/>
      </c>
    </row>
    <row r="2205">
      <c r="B2205" s="4" t="n">
        <v>29980873</v>
      </c>
      <c r="C2205" s="4" t="inlineStr">
        <is>
          <t>CHECKLIST</t>
        </is>
      </c>
      <c r="D2205" s="4" t="inlineStr">
        <is>
          <t>-</t>
        </is>
      </c>
      <c r="E2205" s="4" t="inlineStr">
        <is>
          <t>25º PAV.</t>
        </is>
      </c>
      <c r="F2205" s="126" t="n">
        <v>47092</v>
      </c>
      <c r="G2205" s="126" t="n">
        <v>47099</v>
      </c>
      <c r="H2205" s="126" t="n">
        <v>46289</v>
      </c>
      <c r="I2205" s="4" t="n">
        <v>0</v>
      </c>
      <c r="J2205" s="4" t="n">
        <v>0</v>
      </c>
      <c r="K2205" s="4" t="n">
        <v>0</v>
      </c>
      <c r="M2205" s="2">
        <f>IF(C2205="","",IFERROR(INDEX($S$5:$S$304,MATCH(C2205,$R$5:$R$304,0))&amp;"","?"))</f>
        <v/>
      </c>
      <c r="N2205" s="2">
        <f>IF(E2205="","",IF(ISNUMBER(SEARCH("SUBSOLO",E2205)),IFERROR(-VALUE(LEFT(E2205,FIND("º",SUBSTITUTE(E2205,"°","º"))-1)),-1),IF(LEFT(E2205,6)="TÉRREO",0,IFERROR(VALUE(LEFT(E2205,FIND("º",SUBSTITUTE(E2205,"°","º"))-1)),""))))</f>
        <v/>
      </c>
      <c r="O2205" s="2">
        <f>IF(OR(F2205="",G2205=""),"",IF(G2205&lt;='RETRATO 2027'!$K$5,"CONCLUÍDA",IF(F2205&lt;='RETRATO 2027'!$K$5,"EM ANDAMENTO","A INICIAR")))</f>
        <v/>
      </c>
    </row>
    <row r="2206">
      <c r="B2206" s="4" t="n">
        <v>29980838</v>
      </c>
      <c r="C2206" s="4" t="inlineStr">
        <is>
          <t>ACABAMENTOS ELÉTRICOS</t>
        </is>
      </c>
      <c r="D2206" s="4" t="inlineStr">
        <is>
          <t>-</t>
        </is>
      </c>
      <c r="E2206" s="4" t="inlineStr">
        <is>
          <t>26º PAV.</t>
        </is>
      </c>
      <c r="F2206" s="126" t="n">
        <v>47092</v>
      </c>
      <c r="G2206" s="126" t="n">
        <v>47105</v>
      </c>
      <c r="H2206" s="126" t="n">
        <v>46289</v>
      </c>
      <c r="I2206" s="4" t="n">
        <v>0</v>
      </c>
      <c r="J2206" s="4" t="n">
        <v>0</v>
      </c>
      <c r="K2206" s="4" t="n">
        <v>0</v>
      </c>
      <c r="M2206" s="2">
        <f>IF(C2206="","",IFERROR(INDEX($S$5:$S$304,MATCH(C2206,$R$5:$R$304,0))&amp;"","?"))</f>
        <v/>
      </c>
      <c r="N2206" s="2">
        <f>IF(E2206="","",IF(ISNUMBER(SEARCH("SUBSOLO",E2206)),IFERROR(-VALUE(LEFT(E2206,FIND("º",SUBSTITUTE(E2206,"°","º"))-1)),-1),IF(LEFT(E2206,6)="TÉRREO",0,IFERROR(VALUE(LEFT(E2206,FIND("º",SUBSTITUTE(E2206,"°","º"))-1)),""))))</f>
        <v/>
      </c>
      <c r="O2206" s="2">
        <f>IF(OR(F2206="",G2206=""),"",IF(G2206&lt;='RETRATO 2027'!$K$5,"CONCLUÍDA",IF(F2206&lt;='RETRATO 2027'!$K$5,"EM ANDAMENTO","A INICIAR")))</f>
        <v/>
      </c>
    </row>
    <row r="2207">
      <c r="B2207" s="4" t="n">
        <v>29980798</v>
      </c>
      <c r="C2207" s="4" t="inlineStr">
        <is>
          <t>PINTURA 2º DEMÃO</t>
        </is>
      </c>
      <c r="D2207" s="4" t="inlineStr">
        <is>
          <t>-</t>
        </is>
      </c>
      <c r="E2207" s="4" t="inlineStr">
        <is>
          <t>27º PAV.</t>
        </is>
      </c>
      <c r="F2207" s="126" t="n">
        <v>47092</v>
      </c>
      <c r="G2207" s="126" t="n">
        <v>47105</v>
      </c>
      <c r="H2207" s="126" t="n">
        <v>46289</v>
      </c>
      <c r="I2207" s="4" t="n">
        <v>0</v>
      </c>
      <c r="J2207" s="4" t="n">
        <v>0</v>
      </c>
      <c r="K2207" s="4" t="n">
        <v>0</v>
      </c>
      <c r="M2207" s="2">
        <f>IF(C2207="","",IFERROR(INDEX($S$5:$S$304,MATCH(C2207,$R$5:$R$304,0))&amp;"","?"))</f>
        <v/>
      </c>
      <c r="N2207" s="2">
        <f>IF(E2207="","",IF(ISNUMBER(SEARCH("SUBSOLO",E2207)),IFERROR(-VALUE(LEFT(E2207,FIND("º",SUBSTITUTE(E2207,"°","º"))-1)),-1),IF(LEFT(E2207,6)="TÉRREO",0,IFERROR(VALUE(LEFT(E2207,FIND("º",SUBSTITUTE(E2207,"°","º"))-1)),""))))</f>
        <v/>
      </c>
      <c r="O2207" s="2">
        <f>IF(OR(F2207="",G2207=""),"",IF(G2207&lt;='RETRATO 2027'!$K$5,"CONCLUÍDA",IF(F2207&lt;='RETRATO 2027'!$K$5,"EM ANDAMENTO","A INICIAR")))</f>
        <v/>
      </c>
    </row>
    <row r="2208">
      <c r="B2208" s="4" t="n">
        <v>33919804</v>
      </c>
      <c r="C2208" s="4" t="inlineStr">
        <is>
          <t>TEXTURA - EXTERNA</t>
        </is>
      </c>
      <c r="D2208" s="4" t="inlineStr">
        <is>
          <t>-</t>
        </is>
      </c>
      <c r="E2208" s="4" t="inlineStr">
        <is>
          <t>27º PAV.</t>
        </is>
      </c>
      <c r="F2208" s="126" t="n">
        <v>47092</v>
      </c>
      <c r="G2208" s="126" t="n">
        <v>47105</v>
      </c>
      <c r="H2208" s="126" t="n">
        <v>46289</v>
      </c>
      <c r="I2208" s="4" t="n">
        <v>0</v>
      </c>
      <c r="J2208" s="4" t="n">
        <v>0</v>
      </c>
      <c r="K2208" s="4" t="n">
        <v>0</v>
      </c>
      <c r="M2208" s="2">
        <f>IF(C2208="","",IFERROR(INDEX($S$5:$S$304,MATCH(C2208,$R$5:$R$304,0))&amp;"","?"))</f>
        <v/>
      </c>
      <c r="N2208" s="2">
        <f>IF(E2208="","",IF(ISNUMBER(SEARCH("SUBSOLO",E2208)),IFERROR(-VALUE(LEFT(E2208,FIND("º",SUBSTITUTE(E2208,"°","º"))-1)),-1),IF(LEFT(E2208,6)="TÉRREO",0,IFERROR(VALUE(LEFT(E2208,FIND("º",SUBSTITUTE(E2208,"°","º"))-1)),""))))</f>
        <v/>
      </c>
      <c r="O2208" s="2">
        <f>IF(OR(F2208="",G2208=""),"",IF(G2208&lt;='RETRATO 2027'!$K$5,"CONCLUÍDA",IF(F2208&lt;='RETRATO 2027'!$K$5,"EM ANDAMENTO","A INICIAR")))</f>
        <v/>
      </c>
    </row>
    <row r="2209">
      <c r="B2209" s="4" t="n">
        <v>29980760</v>
      </c>
      <c r="C2209" s="4" t="inlineStr">
        <is>
          <t>LIMPEZA GROSSA</t>
        </is>
      </c>
      <c r="D2209" s="4" t="inlineStr">
        <is>
          <t>-</t>
        </is>
      </c>
      <c r="E2209" s="4" t="inlineStr">
        <is>
          <t>28º PAV.</t>
        </is>
      </c>
      <c r="F2209" s="126" t="n">
        <v>47092</v>
      </c>
      <c r="G2209" s="126" t="n">
        <v>47105</v>
      </c>
      <c r="H2209" s="126" t="n">
        <v>46289</v>
      </c>
      <c r="I2209" s="4" t="n">
        <v>0</v>
      </c>
      <c r="J2209" s="4" t="n">
        <v>0</v>
      </c>
      <c r="K2209" s="4" t="n">
        <v>0</v>
      </c>
      <c r="M2209" s="2">
        <f>IF(C2209="","",IFERROR(INDEX($S$5:$S$304,MATCH(C2209,$R$5:$R$304,0))&amp;"","?"))</f>
        <v/>
      </c>
      <c r="N2209" s="2">
        <f>IF(E2209="","",IF(ISNUMBER(SEARCH("SUBSOLO",E2209)),IFERROR(-VALUE(LEFT(E2209,FIND("º",SUBSTITUTE(E2209,"°","º"))-1)),-1),IF(LEFT(E2209,6)="TÉRREO",0,IFERROR(VALUE(LEFT(E2209,FIND("º",SUBSTITUTE(E2209,"°","º"))-1)),""))))</f>
        <v/>
      </c>
      <c r="O2209" s="2">
        <f>IF(OR(F2209="",G2209=""),"",IF(G2209&lt;='RETRATO 2027'!$K$5,"CONCLUÍDA",IF(F2209&lt;='RETRATO 2027'!$K$5,"EM ANDAMENTO","A INICIAR")))</f>
        <v/>
      </c>
    </row>
    <row r="2210">
      <c r="B2210" s="4" t="n">
        <v>29980717</v>
      </c>
      <c r="C2210" s="4" t="inlineStr">
        <is>
          <t>LOUÇAS</t>
        </is>
      </c>
      <c r="D2210" s="4" t="inlineStr">
        <is>
          <t>-</t>
        </is>
      </c>
      <c r="E2210" s="4" t="inlineStr">
        <is>
          <t>29º PAV.</t>
        </is>
      </c>
      <c r="F2210" s="126" t="n">
        <v>47092</v>
      </c>
      <c r="G2210" s="126" t="n">
        <v>47105</v>
      </c>
      <c r="H2210" s="126" t="n">
        <v>46289</v>
      </c>
      <c r="I2210" s="4" t="n">
        <v>0</v>
      </c>
      <c r="J2210" s="4" t="n">
        <v>0</v>
      </c>
      <c r="K2210" s="4" t="n">
        <v>0</v>
      </c>
      <c r="M2210" s="2">
        <f>IF(C2210="","",IFERROR(INDEX($S$5:$S$304,MATCH(C2210,$R$5:$R$304,0))&amp;"","?"))</f>
        <v/>
      </c>
      <c r="N2210" s="2">
        <f>IF(E2210="","",IF(ISNUMBER(SEARCH("SUBSOLO",E2210)),IFERROR(-VALUE(LEFT(E2210,FIND("º",SUBSTITUTE(E2210,"°","º"))-1)),-1),IF(LEFT(E2210,6)="TÉRREO",0,IFERROR(VALUE(LEFT(E2210,FIND("º",SUBSTITUTE(E2210,"°","º"))-1)),""))))</f>
        <v/>
      </c>
      <c r="O2210" s="2">
        <f>IF(OR(F2210="",G2210=""),"",IF(G2210&lt;='RETRATO 2027'!$K$5,"CONCLUÍDA",IF(F2210&lt;='RETRATO 2027'!$K$5,"EM ANDAMENTO","A INICIAR")))</f>
        <v/>
      </c>
    </row>
    <row r="2211">
      <c r="B2211" s="4" t="n">
        <v>29980722</v>
      </c>
      <c r="C2211" s="4" t="inlineStr">
        <is>
          <t>METAIS</t>
        </is>
      </c>
      <c r="D2211" s="4" t="inlineStr">
        <is>
          <t>-</t>
        </is>
      </c>
      <c r="E2211" s="4" t="inlineStr">
        <is>
          <t>29º PAV.</t>
        </is>
      </c>
      <c r="F2211" s="126" t="n">
        <v>47092</v>
      </c>
      <c r="G2211" s="126" t="n">
        <v>47105</v>
      </c>
      <c r="H2211" s="126" t="n">
        <v>46289</v>
      </c>
      <c r="I2211" s="4" t="n">
        <v>0</v>
      </c>
      <c r="J2211" s="4" t="n">
        <v>0</v>
      </c>
      <c r="K2211" s="4" t="n">
        <v>0</v>
      </c>
      <c r="M2211" s="2">
        <f>IF(C2211="","",IFERROR(INDEX($S$5:$S$304,MATCH(C2211,$R$5:$R$304,0))&amp;"","?"))</f>
        <v/>
      </c>
      <c r="N2211" s="2">
        <f>IF(E2211="","",IF(ISNUMBER(SEARCH("SUBSOLO",E2211)),IFERROR(-VALUE(LEFT(E2211,FIND("º",SUBSTITUTE(E2211,"°","º"))-1)),-1),IF(LEFT(E2211,6)="TÉRREO",0,IFERROR(VALUE(LEFT(E2211,FIND("º",SUBSTITUTE(E2211,"°","º"))-1)),""))))</f>
        <v/>
      </c>
      <c r="O2211" s="2">
        <f>IF(OR(F2211="",G2211=""),"",IF(G2211&lt;='RETRATO 2027'!$K$5,"CONCLUÍDA",IF(F2211&lt;='RETRATO 2027'!$K$5,"EM ANDAMENTO","A INICIAR")))</f>
        <v/>
      </c>
    </row>
    <row r="2212">
      <c r="B2212" s="4" t="n">
        <v>29980721</v>
      </c>
      <c r="C2212" s="4" t="inlineStr">
        <is>
          <t>DISJUNTORES / MIOLOS</t>
        </is>
      </c>
      <c r="D2212" s="4" t="inlineStr">
        <is>
          <t>-</t>
        </is>
      </c>
      <c r="E2212" s="4" t="inlineStr">
        <is>
          <t>29º PAV.</t>
        </is>
      </c>
      <c r="F2212" s="126" t="n">
        <v>47092</v>
      </c>
      <c r="G2212" s="126" t="n">
        <v>47105</v>
      </c>
      <c r="H2212" s="126" t="n">
        <v>46289</v>
      </c>
      <c r="I2212" s="4" t="n">
        <v>0</v>
      </c>
      <c r="J2212" s="4" t="n">
        <v>0</v>
      </c>
      <c r="K2212" s="4" t="n">
        <v>0</v>
      </c>
      <c r="M2212" s="2">
        <f>IF(C2212="","",IFERROR(INDEX($S$5:$S$304,MATCH(C2212,$R$5:$R$304,0))&amp;"","?"))</f>
        <v/>
      </c>
      <c r="N2212" s="2">
        <f>IF(E2212="","",IF(ISNUMBER(SEARCH("SUBSOLO",E2212)),IFERROR(-VALUE(LEFT(E2212,FIND("º",SUBSTITUTE(E2212,"°","º"))-1)),-1),IF(LEFT(E2212,6)="TÉRREO",0,IFERROR(VALUE(LEFT(E2212,FIND("º",SUBSTITUTE(E2212,"°","º"))-1)),""))))</f>
        <v/>
      </c>
      <c r="O2212" s="2">
        <f>IF(OR(F2212="",G2212=""),"",IF(G2212&lt;='RETRATO 2027'!$K$5,"CONCLUÍDA",IF(F2212&lt;='RETRATO 2027'!$K$5,"EM ANDAMENTO","A INICIAR")))</f>
        <v/>
      </c>
    </row>
    <row r="2213">
      <c r="B2213" s="4" t="n">
        <v>29980720</v>
      </c>
      <c r="C2213" s="4" t="inlineStr">
        <is>
          <t>COMUNICAÇÃO E ALARME</t>
        </is>
      </c>
      <c r="D2213" s="4" t="inlineStr">
        <is>
          <t>-</t>
        </is>
      </c>
      <c r="E2213" s="4" t="inlineStr">
        <is>
          <t>29º PAV.</t>
        </is>
      </c>
      <c r="F2213" s="126" t="n">
        <v>47092</v>
      </c>
      <c r="G2213" s="126" t="n">
        <v>47105</v>
      </c>
      <c r="H2213" s="126" t="n">
        <v>46289</v>
      </c>
      <c r="I2213" s="4" t="n">
        <v>0</v>
      </c>
      <c r="J2213" s="4" t="n">
        <v>0</v>
      </c>
      <c r="K2213" s="4" t="n">
        <v>0</v>
      </c>
      <c r="M2213" s="2">
        <f>IF(C2213="","",IFERROR(INDEX($S$5:$S$304,MATCH(C2213,$R$5:$R$304,0))&amp;"","?"))</f>
        <v/>
      </c>
      <c r="N2213" s="2">
        <f>IF(E2213="","",IF(ISNUMBER(SEARCH("SUBSOLO",E2213)),IFERROR(-VALUE(LEFT(E2213,FIND("º",SUBSTITUTE(E2213,"°","º"))-1)),-1),IF(LEFT(E2213,6)="TÉRREO",0,IFERROR(VALUE(LEFT(E2213,FIND("º",SUBSTITUTE(E2213,"°","º"))-1)),""))))</f>
        <v/>
      </c>
      <c r="O2213" s="2">
        <f>IF(OR(F2213="",G2213=""),"",IF(G2213&lt;='RETRATO 2027'!$K$5,"CONCLUÍDA",IF(F2213&lt;='RETRATO 2027'!$K$5,"EM ANDAMENTO","A INICIAR")))</f>
        <v/>
      </c>
    </row>
    <row r="2214">
      <c r="B2214" s="4" t="n">
        <v>29980679</v>
      </c>
      <c r="C2214" s="4" t="inlineStr">
        <is>
          <t>RODAPÉ MADEIRA / PVC</t>
        </is>
      </c>
      <c r="D2214" s="4" t="inlineStr">
        <is>
          <t>-</t>
        </is>
      </c>
      <c r="E2214" s="4" t="inlineStr">
        <is>
          <t>30º PAV.</t>
        </is>
      </c>
      <c r="F2214" s="126" t="n">
        <v>47092</v>
      </c>
      <c r="G2214" s="126" t="n">
        <v>47105</v>
      </c>
      <c r="H2214" s="126" t="n">
        <v>46289</v>
      </c>
      <c r="I2214" s="4" t="n">
        <v>0</v>
      </c>
      <c r="J2214" s="4" t="n">
        <v>0</v>
      </c>
      <c r="K2214" s="4" t="n">
        <v>0</v>
      </c>
      <c r="M2214" s="2">
        <f>IF(C2214="","",IFERROR(INDEX($S$5:$S$304,MATCH(C2214,$R$5:$R$304,0))&amp;"","?"))</f>
        <v/>
      </c>
      <c r="N2214" s="2">
        <f>IF(E2214="","",IF(ISNUMBER(SEARCH("SUBSOLO",E2214)),IFERROR(-VALUE(LEFT(E2214,FIND("º",SUBSTITUTE(E2214,"°","º"))-1)),-1),IF(LEFT(E2214,6)="TÉRREO",0,IFERROR(VALUE(LEFT(E2214,FIND("º",SUBSTITUTE(E2214,"°","º"))-1)),""))))</f>
        <v/>
      </c>
      <c r="O2214" s="2">
        <f>IF(OR(F2214="",G2214=""),"",IF(G2214&lt;='RETRATO 2027'!$K$5,"CONCLUÍDA",IF(F2214&lt;='RETRATO 2027'!$K$5,"EM ANDAMENTO","A INICIAR")))</f>
        <v/>
      </c>
    </row>
    <row r="2215">
      <c r="B2215" s="4" t="n">
        <v>29980641</v>
      </c>
      <c r="C2215" s="4" t="inlineStr">
        <is>
          <t>ESQUADRIA MADEIRA</t>
        </is>
      </c>
      <c r="D2215" s="4" t="inlineStr">
        <is>
          <t>-</t>
        </is>
      </c>
      <c r="E2215" s="4" t="inlineStr">
        <is>
          <t>31º PAV. - COBERTURA LINEAR</t>
        </is>
      </c>
      <c r="F2215" s="126" t="n">
        <v>47092</v>
      </c>
      <c r="G2215" s="126" t="n">
        <v>47105</v>
      </c>
      <c r="H2215" s="126" t="n">
        <v>46289</v>
      </c>
      <c r="I2215" s="4" t="n">
        <v>0</v>
      </c>
      <c r="J2215" s="4" t="n">
        <v>0</v>
      </c>
      <c r="K2215" s="4" t="n">
        <v>0</v>
      </c>
      <c r="M2215" s="2">
        <f>IF(C2215="","",IFERROR(INDEX($S$5:$S$304,MATCH(C2215,$R$5:$R$304,0))&amp;"","?"))</f>
        <v/>
      </c>
      <c r="N2215" s="2">
        <f>IF(E2215="","",IF(ISNUMBER(SEARCH("SUBSOLO",E2215)),IFERROR(-VALUE(LEFT(E2215,FIND("º",SUBSTITUTE(E2215,"°","º"))-1)),-1),IF(LEFT(E2215,6)="TÉRREO",0,IFERROR(VALUE(LEFT(E2215,FIND("º",SUBSTITUTE(E2215,"°","º"))-1)),""))))</f>
        <v/>
      </c>
      <c r="O2215" s="2">
        <f>IF(OR(F2215="",G2215=""),"",IF(G2215&lt;='RETRATO 2027'!$K$5,"CONCLUÍDA",IF(F2215&lt;='RETRATO 2027'!$K$5,"EM ANDAMENTO","A INICIAR")))</f>
        <v/>
      </c>
    </row>
    <row r="2216">
      <c r="B2216" s="4" t="n">
        <v>29980603</v>
      </c>
      <c r="C2216" s="4" t="inlineStr">
        <is>
          <t>PISO VINÍLICO / LAMINADO</t>
        </is>
      </c>
      <c r="D2216" s="4" t="inlineStr">
        <is>
          <t>-</t>
        </is>
      </c>
      <c r="E2216" s="4" t="inlineStr">
        <is>
          <t>32º PAV - COBERTURA GERAL</t>
        </is>
      </c>
      <c r="F2216" s="126" t="n">
        <v>47092</v>
      </c>
      <c r="G2216" s="126" t="n">
        <v>47105</v>
      </c>
      <c r="H2216" s="126" t="n">
        <v>46289</v>
      </c>
      <c r="I2216" s="4" t="n">
        <v>0</v>
      </c>
      <c r="J2216" s="4" t="n">
        <v>0</v>
      </c>
      <c r="K2216" s="4" t="n">
        <v>0</v>
      </c>
      <c r="M2216" s="2">
        <f>IF(C2216="","",IFERROR(INDEX($S$5:$S$304,MATCH(C2216,$R$5:$R$304,0))&amp;"","?"))</f>
        <v/>
      </c>
      <c r="N2216" s="2">
        <f>IF(E2216="","",IF(ISNUMBER(SEARCH("SUBSOLO",E2216)),IFERROR(-VALUE(LEFT(E2216,FIND("º",SUBSTITUTE(E2216,"°","º"))-1)),-1),IF(LEFT(E2216,6)="TÉRREO",0,IFERROR(VALUE(LEFT(E2216,FIND("º",SUBSTITUTE(E2216,"°","º"))-1)),""))))</f>
        <v/>
      </c>
      <c r="O2216" s="2">
        <f>IF(OR(F2216="",G2216=""),"",IF(G2216&lt;='RETRATO 2027'!$K$5,"CONCLUÍDA",IF(F2216&lt;='RETRATO 2027'!$K$5,"EM ANDAMENTO","A INICIAR")))</f>
        <v/>
      </c>
    </row>
    <row r="2217">
      <c r="B2217" s="4" t="n">
        <v>30205765</v>
      </c>
      <c r="C2217" s="4" t="inlineStr">
        <is>
          <t>REVESTIMENTO ACABAMENTO</t>
        </is>
      </c>
      <c r="D2217" s="4" t="inlineStr">
        <is>
          <t>-</t>
        </is>
      </c>
      <c r="E2217" s="4" t="inlineStr">
        <is>
          <t>TÉRREO - ÁREA EXTERNA RESIDENCIAL</t>
        </is>
      </c>
      <c r="F2217" s="126" t="n">
        <v>47094</v>
      </c>
      <c r="G2217" s="126" t="n">
        <v>47164</v>
      </c>
      <c r="H2217" s="126" t="n">
        <v>46289</v>
      </c>
      <c r="I2217" s="4" t="n">
        <v>0</v>
      </c>
      <c r="J2217" s="4" t="n">
        <v>0</v>
      </c>
      <c r="K2217" s="4" t="n">
        <v>0</v>
      </c>
      <c r="M2217" s="2">
        <f>IF(C2217="","",IFERROR(INDEX($S$5:$S$304,MATCH(C2217,$R$5:$R$304,0))&amp;"","?"))</f>
        <v/>
      </c>
      <c r="N2217" s="2">
        <f>IF(E2217="","",IF(ISNUMBER(SEARCH("SUBSOLO",E2217)),IFERROR(-VALUE(LEFT(E2217,FIND("º",SUBSTITUTE(E2217,"°","º"))-1)),-1),IF(LEFT(E2217,6)="TÉRREO",0,IFERROR(VALUE(LEFT(E2217,FIND("º",SUBSTITUTE(E2217,"°","º"))-1)),""))))</f>
        <v/>
      </c>
      <c r="O2217" s="2">
        <f>IF(OR(F2217="",G2217=""),"",IF(G2217&lt;='RETRATO 2027'!$K$5,"CONCLUÍDA",IF(F2217&lt;='RETRATO 2027'!$K$5,"EM ANDAMENTO","A INICIAR")))</f>
        <v/>
      </c>
    </row>
    <row r="2218">
      <c r="B2218" s="4" t="n">
        <v>30205764</v>
      </c>
      <c r="C2218" s="4" t="inlineStr">
        <is>
          <t>INSTALAÇÃO DE LUMINÁRIAS</t>
        </is>
      </c>
      <c r="D2218" s="4" t="inlineStr">
        <is>
          <t>-</t>
        </is>
      </c>
      <c r="E2218" s="4" t="inlineStr">
        <is>
          <t>TÉRREO - ÁREA EXTERNA RESIDENCIAL</t>
        </is>
      </c>
      <c r="F2218" s="126" t="n">
        <v>47094</v>
      </c>
      <c r="G2218" s="126" t="n">
        <v>47108</v>
      </c>
      <c r="H2218" s="126" t="n">
        <v>46289</v>
      </c>
      <c r="I2218" s="4" t="n">
        <v>0</v>
      </c>
      <c r="J2218" s="4" t="n">
        <v>0</v>
      </c>
      <c r="K2218" s="4" t="n">
        <v>0</v>
      </c>
      <c r="M2218" s="2">
        <f>IF(C2218="","",IFERROR(INDEX($S$5:$S$304,MATCH(C2218,$R$5:$R$304,0))&amp;"","?"))</f>
        <v/>
      </c>
      <c r="N2218" s="2">
        <f>IF(E2218="","",IF(ISNUMBER(SEARCH("SUBSOLO",E2218)),IFERROR(-VALUE(LEFT(E2218,FIND("º",SUBSTITUTE(E2218,"°","º"))-1)),-1),IF(LEFT(E2218,6)="TÉRREO",0,IFERROR(VALUE(LEFT(E2218,FIND("º",SUBSTITUTE(E2218,"°","º"))-1)),""))))</f>
        <v/>
      </c>
      <c r="O2218" s="2">
        <f>IF(OR(F2218="",G2218=""),"",IF(G2218&lt;='RETRATO 2027'!$K$5,"CONCLUÍDA",IF(F2218&lt;='RETRATO 2027'!$K$5,"EM ANDAMENTO","A INICIAR")))</f>
        <v/>
      </c>
    </row>
    <row r="2219">
      <c r="B2219" s="4" t="n">
        <v>30206041</v>
      </c>
      <c r="C2219" s="4" t="inlineStr">
        <is>
          <t>CHECKLIST</t>
        </is>
      </c>
      <c r="D2219" s="4" t="inlineStr">
        <is>
          <t>-</t>
        </is>
      </c>
      <c r="E2219" s="4" t="inlineStr">
        <is>
          <t>6º PAV (PILOTIS) - CHURRASQUEIRA + IS MASC. PCD + IS FEM. PCD + CIRCULAÇÃO 1 + HALL 1</t>
        </is>
      </c>
      <c r="F2219" s="126" t="n">
        <v>47098</v>
      </c>
      <c r="G2219" s="126" t="n">
        <v>47102</v>
      </c>
      <c r="H2219" s="126" t="n">
        <v>46289</v>
      </c>
      <c r="I2219" s="4" t="n">
        <v>0</v>
      </c>
      <c r="J2219" s="4" t="n">
        <v>0</v>
      </c>
      <c r="K2219" s="4" t="n">
        <v>0</v>
      </c>
      <c r="M2219" s="2">
        <f>IF(C2219="","",IFERROR(INDEX($S$5:$S$304,MATCH(C2219,$R$5:$R$304,0))&amp;"","?"))</f>
        <v/>
      </c>
      <c r="N2219" s="2">
        <f>IF(E2219="","",IF(ISNUMBER(SEARCH("SUBSOLO",E2219)),IFERROR(-VALUE(LEFT(E2219,FIND("º",SUBSTITUTE(E2219,"°","º"))-1)),-1),IF(LEFT(E2219,6)="TÉRREO",0,IFERROR(VALUE(LEFT(E2219,FIND("º",SUBSTITUTE(E2219,"°","º"))-1)),""))))</f>
        <v/>
      </c>
      <c r="O2219" s="2">
        <f>IF(OR(F2219="",G2219=""),"",IF(G2219&lt;='RETRATO 2027'!$K$5,"CONCLUÍDA",IF(F2219&lt;='RETRATO 2027'!$K$5,"EM ANDAMENTO","A INICIAR")))</f>
        <v/>
      </c>
    </row>
    <row r="2220">
      <c r="B2220" s="4" t="n">
        <v>30171659</v>
      </c>
      <c r="C2220" s="4" t="inlineStr">
        <is>
          <t>PINTURA 2º DEMÃO</t>
        </is>
      </c>
      <c r="D2220" s="4" t="inlineStr">
        <is>
          <t>-</t>
        </is>
      </c>
      <c r="E2220" s="4" t="inlineStr">
        <is>
          <t>CX DE ESCADA DE INCÊND.</t>
        </is>
      </c>
      <c r="F2220" s="126" t="n">
        <v>47098</v>
      </c>
      <c r="G2220" s="126" t="n">
        <v>47133</v>
      </c>
      <c r="H2220" s="126" t="n">
        <v>46289</v>
      </c>
      <c r="I2220" s="4" t="n">
        <v>0</v>
      </c>
      <c r="J2220" s="4" t="n">
        <v>0</v>
      </c>
      <c r="K2220" s="4" t="n">
        <v>0</v>
      </c>
      <c r="M2220" s="2">
        <f>IF(C2220="","",IFERROR(INDEX($S$5:$S$304,MATCH(C2220,$R$5:$R$304,0))&amp;"","?"))</f>
        <v/>
      </c>
      <c r="N2220" s="2">
        <f>IF(E2220="","",IF(ISNUMBER(SEARCH("SUBSOLO",E2220)),IFERROR(-VALUE(LEFT(E2220,FIND("º",SUBSTITUTE(E2220,"°","º"))-1)),-1),IF(LEFT(E2220,6)="TÉRREO",0,IFERROR(VALUE(LEFT(E2220,FIND("º",SUBSTITUTE(E2220,"°","º"))-1)),""))))</f>
        <v/>
      </c>
      <c r="O2220" s="2">
        <f>IF(OR(F2220="",G2220=""),"",IF(G2220&lt;='RETRATO 2027'!$K$5,"CONCLUÍDA",IF(F2220&lt;='RETRATO 2027'!$K$5,"EM ANDAMENTO","A INICIAR")))</f>
        <v/>
      </c>
    </row>
    <row r="2221">
      <c r="B2221" s="4" t="n">
        <v>29980921</v>
      </c>
      <c r="C2221" s="4" t="inlineStr">
        <is>
          <t>LIMPEZA FINA</t>
        </is>
      </c>
      <c r="D2221" s="4" t="inlineStr">
        <is>
          <t>-</t>
        </is>
      </c>
      <c r="E2221" s="4" t="inlineStr">
        <is>
          <t>24º PAV.</t>
        </is>
      </c>
      <c r="F2221" s="126" t="n">
        <v>47100</v>
      </c>
      <c r="G2221" s="126" t="n">
        <v>47120</v>
      </c>
      <c r="H2221" s="126" t="n">
        <v>46289</v>
      </c>
      <c r="I2221" s="4" t="n">
        <v>0</v>
      </c>
      <c r="J2221" s="4" t="n">
        <v>0</v>
      </c>
      <c r="K2221" s="4" t="n">
        <v>0</v>
      </c>
      <c r="M2221" s="2">
        <f>IF(C2221="","",IFERROR(INDEX($S$5:$S$304,MATCH(C2221,$R$5:$R$304,0))&amp;"","?"))</f>
        <v/>
      </c>
      <c r="N2221" s="2">
        <f>IF(E2221="","",IF(ISNUMBER(SEARCH("SUBSOLO",E2221)),IFERROR(-VALUE(LEFT(E2221,FIND("º",SUBSTITUTE(E2221,"°","º"))-1)),-1),IF(LEFT(E2221,6)="TÉRREO",0,IFERROR(VALUE(LEFT(E2221,FIND("º",SUBSTITUTE(E2221,"°","º"))-1)),""))))</f>
        <v/>
      </c>
      <c r="O2221" s="2">
        <f>IF(OR(F2221="",G2221=""),"",IF(G2221&lt;='RETRATO 2027'!$K$5,"CONCLUÍDA",IF(F2221&lt;='RETRATO 2027'!$K$5,"EM ANDAMENTO","A INICIAR")))</f>
        <v/>
      </c>
    </row>
    <row r="2222">
      <c r="B2222" s="4" t="n">
        <v>29980874</v>
      </c>
      <c r="C2222" s="4" t="inlineStr">
        <is>
          <t>PINTURA 3º DEMÃO</t>
        </is>
      </c>
      <c r="D2222" s="4" t="inlineStr">
        <is>
          <t>-</t>
        </is>
      </c>
      <c r="E2222" s="4" t="inlineStr">
        <is>
          <t>25º PAV.</t>
        </is>
      </c>
      <c r="F2222" s="126" t="n">
        <v>47100</v>
      </c>
      <c r="G2222" s="126" t="n">
        <v>47120</v>
      </c>
      <c r="H2222" s="126" t="n">
        <v>46289</v>
      </c>
      <c r="I2222" s="4" t="n">
        <v>0</v>
      </c>
      <c r="J2222" s="4" t="n">
        <v>0</v>
      </c>
      <c r="K2222" s="4" t="n">
        <v>0</v>
      </c>
      <c r="M2222" s="2">
        <f>IF(C2222="","",IFERROR(INDEX($S$5:$S$304,MATCH(C2222,$R$5:$R$304,0))&amp;"","?"))</f>
        <v/>
      </c>
      <c r="N2222" s="2">
        <f>IF(E2222="","",IF(ISNUMBER(SEARCH("SUBSOLO",E2222)),IFERROR(-VALUE(LEFT(E2222,FIND("º",SUBSTITUTE(E2222,"°","º"))-1)),-1),IF(LEFT(E2222,6)="TÉRREO",0,IFERROR(VALUE(LEFT(E2222,FIND("º",SUBSTITUTE(E2222,"°","º"))-1)),""))))</f>
        <v/>
      </c>
      <c r="O2222" s="2">
        <f>IF(OR(F2222="",G2222=""),"",IF(G2222&lt;='RETRATO 2027'!$K$5,"CONCLUÍDA",IF(F2222&lt;='RETRATO 2027'!$K$5,"EM ANDAMENTO","A INICIAR")))</f>
        <v/>
      </c>
    </row>
    <row r="2223">
      <c r="B2223" s="4" t="n">
        <v>30171405</v>
      </c>
      <c r="C2223" s="4" t="inlineStr">
        <is>
          <t>PINTURA DE TUBULAÇÕES (PAREDE E TETO)</t>
        </is>
      </c>
      <c r="D2223" s="4" t="inlineStr">
        <is>
          <t>-</t>
        </is>
      </c>
      <c r="E2223" s="4" t="inlineStr">
        <is>
          <t>5º PAV - GARAGEM</t>
        </is>
      </c>
      <c r="F2223" s="126" t="n">
        <v>47105</v>
      </c>
      <c r="G2223" s="126" t="n">
        <v>47133</v>
      </c>
      <c r="H2223" s="126" t="n">
        <v>46289</v>
      </c>
      <c r="I2223" s="4" t="n">
        <v>0</v>
      </c>
      <c r="J2223" s="4" t="n">
        <v>0</v>
      </c>
      <c r="K2223" s="4" t="n">
        <v>0</v>
      </c>
      <c r="M2223" s="2">
        <f>IF(C2223="","",IFERROR(INDEX($S$5:$S$304,MATCH(C2223,$R$5:$R$304,0))&amp;"","?"))</f>
        <v/>
      </c>
      <c r="N2223" s="2">
        <f>IF(E2223="","",IF(ISNUMBER(SEARCH("SUBSOLO",E2223)),IFERROR(-VALUE(LEFT(E2223,FIND("º",SUBSTITUTE(E2223,"°","º"))-1)),-1),IF(LEFT(E2223,6)="TÉRREO",0,IFERROR(VALUE(LEFT(E2223,FIND("º",SUBSTITUTE(E2223,"°","º"))-1)),""))))</f>
        <v/>
      </c>
      <c r="O2223" s="2">
        <f>IF(OR(F2223="",G2223=""),"",IF(G2223&lt;='RETRATO 2027'!$K$5,"CONCLUÍDA",IF(F2223&lt;='RETRATO 2027'!$K$5,"EM ANDAMENTO","A INICIAR")))</f>
        <v/>
      </c>
    </row>
    <row r="2224">
      <c r="B2224" s="4" t="n">
        <v>30206089</v>
      </c>
      <c r="C2224" s="4" t="inlineStr">
        <is>
          <t>LIMPEZA FINA</t>
        </is>
      </c>
      <c r="D2224" s="4" t="inlineStr">
        <is>
          <t>-</t>
        </is>
      </c>
      <c r="E2224" s="4" t="inlineStr">
        <is>
          <t>6º PAV (PILOTIS) - SAUNA + DUCHA</t>
        </is>
      </c>
      <c r="F2224" s="126" t="n">
        <v>47105</v>
      </c>
      <c r="G2224" s="126" t="n">
        <v>47126</v>
      </c>
      <c r="H2224" s="126" t="n">
        <v>46289</v>
      </c>
      <c r="I2224" s="4" t="n">
        <v>0</v>
      </c>
      <c r="J2224" s="4" t="n">
        <v>0</v>
      </c>
      <c r="K2224" s="4" t="n">
        <v>0</v>
      </c>
      <c r="M2224" s="2">
        <f>IF(C2224="","",IFERROR(INDEX($S$5:$S$304,MATCH(C2224,$R$5:$R$304,0))&amp;"","?"))</f>
        <v/>
      </c>
      <c r="N2224" s="2">
        <f>IF(E2224="","",IF(ISNUMBER(SEARCH("SUBSOLO",E2224)),IFERROR(-VALUE(LEFT(E2224,FIND("º",SUBSTITUTE(E2224,"°","º"))-1)),-1),IF(LEFT(E2224,6)="TÉRREO",0,IFERROR(VALUE(LEFT(E2224,FIND("º",SUBSTITUTE(E2224,"°","º"))-1)),""))))</f>
        <v/>
      </c>
      <c r="O2224" s="2">
        <f>IF(OR(F2224="",G2224=""),"",IF(G2224&lt;='RETRATO 2027'!$K$5,"CONCLUÍDA",IF(F2224&lt;='RETRATO 2027'!$K$5,"EM ANDAMENTO","A INICIAR")))</f>
        <v/>
      </c>
    </row>
    <row r="2225">
      <c r="B2225" s="4" t="n">
        <v>30206042</v>
      </c>
      <c r="C2225" s="4" t="inlineStr">
        <is>
          <t>PINTURA 3º DEMÃO</t>
        </is>
      </c>
      <c r="D2225" s="4" t="inlineStr">
        <is>
          <t>-</t>
        </is>
      </c>
      <c r="E2225" s="4" t="inlineStr">
        <is>
          <t>6º PAV (PILOTIS) - CHURRASQUEIRA + IS MASC. PCD + IS FEM. PCD + CIRCULAÇÃO 1 + HALL 1</t>
        </is>
      </c>
      <c r="F2225" s="126" t="n">
        <v>47105</v>
      </c>
      <c r="G2225" s="126" t="n">
        <v>47126</v>
      </c>
      <c r="H2225" s="126" t="n">
        <v>46289</v>
      </c>
      <c r="I2225" s="4" t="n">
        <v>0</v>
      </c>
      <c r="J2225" s="4" t="n">
        <v>0</v>
      </c>
      <c r="K2225" s="4" t="n">
        <v>0</v>
      </c>
      <c r="M2225" s="2">
        <f>IF(C2225="","",IFERROR(INDEX($S$5:$S$304,MATCH(C2225,$R$5:$R$304,0))&amp;"","?"))</f>
        <v/>
      </c>
      <c r="N2225" s="2">
        <f>IF(E2225="","",IF(ISNUMBER(SEARCH("SUBSOLO",E2225)),IFERROR(-VALUE(LEFT(E2225,FIND("º",SUBSTITUTE(E2225,"°","º"))-1)),-1),IF(LEFT(E2225,6)="TÉRREO",0,IFERROR(VALUE(LEFT(E2225,FIND("º",SUBSTITUTE(E2225,"°","º"))-1)),""))))</f>
        <v/>
      </c>
      <c r="O2225" s="2">
        <f>IF(OR(F2225="",G2225=""),"",IF(G2225&lt;='RETRATO 2027'!$K$5,"CONCLUÍDA",IF(F2225&lt;='RETRATO 2027'!$K$5,"EM ANDAMENTO","A INICIAR")))</f>
        <v/>
      </c>
    </row>
    <row r="2226">
      <c r="B2226" s="4" t="n">
        <v>29981559</v>
      </c>
      <c r="C2226" s="4" t="inlineStr">
        <is>
          <t>CHECKLIST FINAL</t>
        </is>
      </c>
      <c r="D2226" s="4" t="inlineStr">
        <is>
          <t>-</t>
        </is>
      </c>
      <c r="E2226" s="4" t="inlineStr">
        <is>
          <t>7º PAV.</t>
        </is>
      </c>
      <c r="F2226" s="126" t="n">
        <v>47105</v>
      </c>
      <c r="G2226" s="126" t="n">
        <v>47123</v>
      </c>
      <c r="H2226" s="126" t="n">
        <v>46289</v>
      </c>
      <c r="I2226" s="4" t="n">
        <v>0</v>
      </c>
      <c r="J2226" s="4" t="n">
        <v>0</v>
      </c>
      <c r="K2226" s="4" t="n">
        <v>0</v>
      </c>
      <c r="M2226" s="2">
        <f>IF(C2226="","",IFERROR(INDEX($S$5:$S$304,MATCH(C2226,$R$5:$R$304,0))&amp;"","?"))</f>
        <v/>
      </c>
      <c r="N2226" s="2">
        <f>IF(E2226="","",IF(ISNUMBER(SEARCH("SUBSOLO",E2226)),IFERROR(-VALUE(LEFT(E2226,FIND("º",SUBSTITUTE(E2226,"°","º"))-1)),-1),IF(LEFT(E2226,6)="TÉRREO",0,IFERROR(VALUE(LEFT(E2226,FIND("º",SUBSTITUTE(E2226,"°","º"))-1)),""))))</f>
        <v/>
      </c>
      <c r="O2226" s="2">
        <f>IF(OR(F2226="",G2226=""),"",IF(G2226&lt;='RETRATO 2027'!$K$5,"CONCLUÍDA",IF(F2226&lt;='RETRATO 2027'!$K$5,"EM ANDAMENTO","A INICIAR")))</f>
        <v/>
      </c>
    </row>
    <row r="2227">
      <c r="B2227" s="4" t="n">
        <v>29981084</v>
      </c>
      <c r="C2227" s="4" t="inlineStr">
        <is>
          <t>PISO VINÍLICO / LAMINADO</t>
        </is>
      </c>
      <c r="D2227" s="4" t="inlineStr">
        <is>
          <t>-</t>
        </is>
      </c>
      <c r="E2227" s="4" t="inlineStr">
        <is>
          <t>19º PAV.</t>
        </is>
      </c>
      <c r="F2227" s="126" t="n">
        <v>47105</v>
      </c>
      <c r="G2227" s="126" t="n">
        <v>47121</v>
      </c>
      <c r="H2227" s="126" t="n">
        <v>46289</v>
      </c>
      <c r="I2227" s="4" t="n">
        <v>0</v>
      </c>
      <c r="J2227" s="4" t="n">
        <v>0</v>
      </c>
      <c r="K2227" s="4" t="n">
        <v>0</v>
      </c>
      <c r="M2227" s="2">
        <f>IF(C2227="","",IFERROR(INDEX($S$5:$S$304,MATCH(C2227,$R$5:$R$304,0))&amp;"","?"))</f>
        <v/>
      </c>
      <c r="N2227" s="2">
        <f>IF(E2227="","",IF(ISNUMBER(SEARCH("SUBSOLO",E2227)),IFERROR(-VALUE(LEFT(E2227,FIND("º",SUBSTITUTE(E2227,"°","º"))-1)),-1),IF(LEFT(E2227,6)="TÉRREO",0,IFERROR(VALUE(LEFT(E2227,FIND("º",SUBSTITUTE(E2227,"°","º"))-1)),""))))</f>
        <v/>
      </c>
      <c r="O2227" s="2">
        <f>IF(OR(F2227="",G2227=""),"",IF(G2227&lt;='RETRATO 2027'!$K$5,"CONCLUÍDA",IF(F2227&lt;='RETRATO 2027'!$K$5,"EM ANDAMENTO","A INICIAR")))</f>
        <v/>
      </c>
    </row>
    <row r="2228">
      <c r="B2228" s="4" t="n">
        <v>30205897</v>
      </c>
      <c r="C2228" s="4" t="inlineStr">
        <is>
          <t>BRISE</t>
        </is>
      </c>
      <c r="D2228" s="4" t="inlineStr">
        <is>
          <t>-</t>
        </is>
      </c>
      <c r="E2228" s="4" t="inlineStr">
        <is>
          <t>6º PAV (PILOTIS) - PLAYGROUND + TERRAÇO DESCOBERTO + QUADRA DE RECREAÇÃO</t>
        </is>
      </c>
      <c r="F2228" s="126" t="n">
        <v>47106</v>
      </c>
      <c r="G2228" s="126" t="n">
        <v>47143</v>
      </c>
      <c r="H2228" s="126" t="n">
        <v>46289</v>
      </c>
      <c r="I2228" s="4" t="n">
        <v>0</v>
      </c>
      <c r="J2228" s="4" t="n">
        <v>0</v>
      </c>
      <c r="K2228" s="4" t="n">
        <v>0</v>
      </c>
      <c r="M2228" s="2">
        <f>IF(C2228="","",IFERROR(INDEX($S$5:$S$304,MATCH(C2228,$R$5:$R$304,0))&amp;"","?"))</f>
        <v/>
      </c>
      <c r="N2228" s="2">
        <f>IF(E2228="","",IF(ISNUMBER(SEARCH("SUBSOLO",E2228)),IFERROR(-VALUE(LEFT(E2228,FIND("º",SUBSTITUTE(E2228,"°","º"))-1)),-1),IF(LEFT(E2228,6)="TÉRREO",0,IFERROR(VALUE(LEFT(E2228,FIND("º",SUBSTITUTE(E2228,"°","º"))-1)),""))))</f>
        <v/>
      </c>
      <c r="O2228" s="2">
        <f>IF(OR(F2228="",G2228=""),"",IF(G2228&lt;='RETRATO 2027'!$K$5,"CONCLUÍDA",IF(F2228&lt;='RETRATO 2027'!$K$5,"EM ANDAMENTO","A INICIAR")))</f>
        <v/>
      </c>
    </row>
    <row r="2229">
      <c r="B2229" s="4" t="n">
        <v>30208614</v>
      </c>
      <c r="C2229" s="4" t="inlineStr">
        <is>
          <t>INSTALAÇÃO DE LUMINÁRIAS</t>
        </is>
      </c>
      <c r="D2229" s="4" t="inlineStr">
        <is>
          <t>-</t>
        </is>
      </c>
      <c r="E2229" s="4" t="inlineStr">
        <is>
          <t>6º PAV (PILOTIS) - PLAYGROUND + TERRAÇO DESCOBERTO + QUADRA DE RECREAÇÃO</t>
        </is>
      </c>
      <c r="F2229" s="126" t="n">
        <v>47106</v>
      </c>
      <c r="G2229" s="126" t="n">
        <v>47120</v>
      </c>
      <c r="H2229" s="126" t="n">
        <v>46289</v>
      </c>
      <c r="I2229" s="4" t="n">
        <v>0</v>
      </c>
      <c r="J2229" s="4" t="n">
        <v>0</v>
      </c>
      <c r="K2229" s="4" t="n">
        <v>0</v>
      </c>
      <c r="M2229" s="2">
        <f>IF(C2229="","",IFERROR(INDEX($S$5:$S$304,MATCH(C2229,$R$5:$R$304,0))&amp;"","?"))</f>
        <v/>
      </c>
      <c r="N2229" s="2">
        <f>IF(E2229="","",IF(ISNUMBER(SEARCH("SUBSOLO",E2229)),IFERROR(-VALUE(LEFT(E2229,FIND("º",SUBSTITUTE(E2229,"°","º"))-1)),-1),IF(LEFT(E2229,6)="TÉRREO",0,IFERROR(VALUE(LEFT(E2229,FIND("º",SUBSTITUTE(E2229,"°","º"))-1)),""))))</f>
        <v/>
      </c>
      <c r="O2229" s="2">
        <f>IF(OR(F2229="",G2229=""),"",IF(G2229&lt;='RETRATO 2027'!$K$5,"CONCLUÍDA",IF(F2229&lt;='RETRATO 2027'!$K$5,"EM ANDAMENTO","A INICIAR")))</f>
        <v/>
      </c>
    </row>
    <row r="2230">
      <c r="B2230" s="4" t="n">
        <v>30206006</v>
      </c>
      <c r="C2230" s="4" t="inlineStr">
        <is>
          <t>ACABAMENTOS ELÉTRICOS</t>
        </is>
      </c>
      <c r="D2230" s="4" t="inlineStr">
        <is>
          <t>-</t>
        </is>
      </c>
      <c r="E2230" s="4" t="inlineStr">
        <is>
          <t>6º PAV (PILOTIS) - COWORKING 1 E 2 + CIRC. 2 + HALL 2 + DML + VEST. MASC. + VEST. FEM</t>
        </is>
      </c>
      <c r="F2230" s="126" t="n">
        <v>47106</v>
      </c>
      <c r="G2230" s="126" t="n">
        <v>47109</v>
      </c>
      <c r="H2230" s="126" t="n">
        <v>46289</v>
      </c>
      <c r="I2230" s="4" t="n">
        <v>0</v>
      </c>
      <c r="J2230" s="4" t="n">
        <v>0</v>
      </c>
      <c r="K2230" s="4" t="n">
        <v>0</v>
      </c>
      <c r="M2230" s="2">
        <f>IF(C2230="","",IFERROR(INDEX($S$5:$S$304,MATCH(C2230,$R$5:$R$304,0))&amp;"","?"))</f>
        <v/>
      </c>
      <c r="N2230" s="2">
        <f>IF(E2230="","",IF(ISNUMBER(SEARCH("SUBSOLO",E2230)),IFERROR(-VALUE(LEFT(E2230,FIND("º",SUBSTITUTE(E2230,"°","º"))-1)),-1),IF(LEFT(E2230,6)="TÉRREO",0,IFERROR(VALUE(LEFT(E2230,FIND("º",SUBSTITUTE(E2230,"°","º"))-1)),""))))</f>
        <v/>
      </c>
      <c r="O2230" s="2">
        <f>IF(OR(F2230="",G2230=""),"",IF(G2230&lt;='RETRATO 2027'!$K$5,"CONCLUÍDA",IF(F2230&lt;='RETRATO 2027'!$K$5,"EM ANDAMENTO","A INICIAR")))</f>
        <v/>
      </c>
    </row>
    <row r="2231">
      <c r="B2231" s="4" t="n">
        <v>30205966</v>
      </c>
      <c r="C2231" s="4" t="inlineStr">
        <is>
          <t>PINTURA 2º DEMÃO</t>
        </is>
      </c>
      <c r="D2231" s="4" t="inlineStr">
        <is>
          <t>-</t>
        </is>
      </c>
      <c r="E2231" s="4" t="inlineStr">
        <is>
          <t>6º PAV (PILOTIS) - LOUNGE + SALÃO + COZINHA + GOURMET + ESPAÇO KIDS</t>
        </is>
      </c>
      <c r="F2231" s="126" t="n">
        <v>47106</v>
      </c>
      <c r="G2231" s="126" t="n">
        <v>47127</v>
      </c>
      <c r="H2231" s="126" t="n">
        <v>46289</v>
      </c>
      <c r="I2231" s="4" t="n">
        <v>0</v>
      </c>
      <c r="J2231" s="4" t="n">
        <v>0</v>
      </c>
      <c r="K2231" s="4" t="n">
        <v>0</v>
      </c>
      <c r="M2231" s="2">
        <f>IF(C2231="","",IFERROR(INDEX($S$5:$S$304,MATCH(C2231,$R$5:$R$304,0))&amp;"","?"))</f>
        <v/>
      </c>
      <c r="N2231" s="2">
        <f>IF(E2231="","",IF(ISNUMBER(SEARCH("SUBSOLO",E2231)),IFERROR(-VALUE(LEFT(E2231,FIND("º",SUBSTITUTE(E2231,"°","º"))-1)),-1),IF(LEFT(E2231,6)="TÉRREO",0,IFERROR(VALUE(LEFT(E2231,FIND("º",SUBSTITUTE(E2231,"°","º"))-1)),""))))</f>
        <v/>
      </c>
      <c r="O2231" s="2">
        <f>IF(OR(F2231="",G2231=""),"",IF(G2231&lt;='RETRATO 2027'!$K$5,"CONCLUÍDA",IF(F2231&lt;='RETRATO 2027'!$K$5,"EM ANDAMENTO","A INICIAR")))</f>
        <v/>
      </c>
    </row>
    <row r="2232">
      <c r="B2232" s="4" t="n">
        <v>29980836</v>
      </c>
      <c r="C2232" s="4" t="inlineStr">
        <is>
          <t>CHECKLIST</t>
        </is>
      </c>
      <c r="D2232" s="4" t="inlineStr">
        <is>
          <t>-</t>
        </is>
      </c>
      <c r="E2232" s="4" t="inlineStr">
        <is>
          <t>26º PAV.</t>
        </is>
      </c>
      <c r="F2232" s="126" t="n">
        <v>47106</v>
      </c>
      <c r="G2232" s="126" t="n">
        <v>47120</v>
      </c>
      <c r="H2232" s="126" t="n">
        <v>46289</v>
      </c>
      <c r="I2232" s="4" t="n">
        <v>0</v>
      </c>
      <c r="J2232" s="4" t="n">
        <v>0</v>
      </c>
      <c r="K2232" s="4" t="n">
        <v>0</v>
      </c>
      <c r="M2232" s="2">
        <f>IF(C2232="","",IFERROR(INDEX($S$5:$S$304,MATCH(C2232,$R$5:$R$304,0))&amp;"","?"))</f>
        <v/>
      </c>
      <c r="N2232" s="2">
        <f>IF(E2232="","",IF(ISNUMBER(SEARCH("SUBSOLO",E2232)),IFERROR(-VALUE(LEFT(E2232,FIND("º",SUBSTITUTE(E2232,"°","º"))-1)),-1),IF(LEFT(E2232,6)="TÉRREO",0,IFERROR(VALUE(LEFT(E2232,FIND("º",SUBSTITUTE(E2232,"°","º"))-1)),""))))</f>
        <v/>
      </c>
      <c r="O2232" s="2">
        <f>IF(OR(F2232="",G2232=""),"",IF(G2232&lt;='RETRATO 2027'!$K$5,"CONCLUÍDA",IF(F2232&lt;='RETRATO 2027'!$K$5,"EM ANDAMENTO","A INICIAR")))</f>
        <v/>
      </c>
    </row>
    <row r="2233">
      <c r="B2233" s="4" t="n">
        <v>29980801</v>
      </c>
      <c r="C2233" s="4" t="inlineStr">
        <is>
          <t>ACABAMENTOS ELÉTRICOS</t>
        </is>
      </c>
      <c r="D2233" s="4" t="inlineStr">
        <is>
          <t>-</t>
        </is>
      </c>
      <c r="E2233" s="4" t="inlineStr">
        <is>
          <t>27º PAV.</t>
        </is>
      </c>
      <c r="F2233" s="126" t="n">
        <v>47106</v>
      </c>
      <c r="G2233" s="126" t="n">
        <v>47126</v>
      </c>
      <c r="H2233" s="126" t="n">
        <v>46289</v>
      </c>
      <c r="I2233" s="4" t="n">
        <v>0</v>
      </c>
      <c r="J2233" s="4" t="n">
        <v>0</v>
      </c>
      <c r="K2233" s="4" t="n">
        <v>0</v>
      </c>
      <c r="M2233" s="2">
        <f>IF(C2233="","",IFERROR(INDEX($S$5:$S$304,MATCH(C2233,$R$5:$R$304,0))&amp;"","?"))</f>
        <v/>
      </c>
      <c r="N2233" s="2">
        <f>IF(E2233="","",IF(ISNUMBER(SEARCH("SUBSOLO",E2233)),IFERROR(-VALUE(LEFT(E2233,FIND("º",SUBSTITUTE(E2233,"°","º"))-1)),-1),IF(LEFT(E2233,6)="TÉRREO",0,IFERROR(VALUE(LEFT(E2233,FIND("º",SUBSTITUTE(E2233,"°","º"))-1)),""))))</f>
        <v/>
      </c>
      <c r="O2233" s="2">
        <f>IF(OR(F2233="",G2233=""),"",IF(G2233&lt;='RETRATO 2027'!$K$5,"CONCLUÍDA",IF(F2233&lt;='RETRATO 2027'!$K$5,"EM ANDAMENTO","A INICIAR")))</f>
        <v/>
      </c>
    </row>
    <row r="2234">
      <c r="B2234" s="4" t="n">
        <v>29980761</v>
      </c>
      <c r="C2234" s="4" t="inlineStr">
        <is>
          <t>PINTURA 2º DEMÃO</t>
        </is>
      </c>
      <c r="D2234" s="4" t="inlineStr">
        <is>
          <t>-</t>
        </is>
      </c>
      <c r="E2234" s="4" t="inlineStr">
        <is>
          <t>28º PAV.</t>
        </is>
      </c>
      <c r="F2234" s="126" t="n">
        <v>47106</v>
      </c>
      <c r="G2234" s="126" t="n">
        <v>47126</v>
      </c>
      <c r="H2234" s="126" t="n">
        <v>46289</v>
      </c>
      <c r="I2234" s="4" t="n">
        <v>0</v>
      </c>
      <c r="J2234" s="4" t="n">
        <v>0</v>
      </c>
      <c r="K2234" s="4" t="n">
        <v>0</v>
      </c>
      <c r="M2234" s="2">
        <f>IF(C2234="","",IFERROR(INDEX($S$5:$S$304,MATCH(C2234,$R$5:$R$304,0))&amp;"","?"))</f>
        <v/>
      </c>
      <c r="N2234" s="2">
        <f>IF(E2234="","",IF(ISNUMBER(SEARCH("SUBSOLO",E2234)),IFERROR(-VALUE(LEFT(E2234,FIND("º",SUBSTITUTE(E2234,"°","º"))-1)),-1),IF(LEFT(E2234,6)="TÉRREO",0,IFERROR(VALUE(LEFT(E2234,FIND("º",SUBSTITUTE(E2234,"°","º"))-1)),""))))</f>
        <v/>
      </c>
      <c r="O2234" s="2">
        <f>IF(OR(F2234="",G2234=""),"",IF(G2234&lt;='RETRATO 2027'!$K$5,"CONCLUÍDA",IF(F2234&lt;='RETRATO 2027'!$K$5,"EM ANDAMENTO","A INICIAR")))</f>
        <v/>
      </c>
    </row>
    <row r="2235">
      <c r="B2235" s="4" t="n">
        <v>33919805</v>
      </c>
      <c r="C2235" s="4" t="inlineStr">
        <is>
          <t>TEXTURA - EXTERNA</t>
        </is>
      </c>
      <c r="D2235" s="4" t="inlineStr">
        <is>
          <t>-</t>
        </is>
      </c>
      <c r="E2235" s="4" t="inlineStr">
        <is>
          <t>28º PAV.</t>
        </is>
      </c>
      <c r="F2235" s="126" t="n">
        <v>47106</v>
      </c>
      <c r="G2235" s="126" t="n">
        <v>47126</v>
      </c>
      <c r="H2235" s="126" t="n">
        <v>46289</v>
      </c>
      <c r="I2235" s="4" t="n">
        <v>0</v>
      </c>
      <c r="J2235" s="4" t="n">
        <v>0</v>
      </c>
      <c r="K2235" s="4" t="n">
        <v>0</v>
      </c>
      <c r="M2235" s="2">
        <f>IF(C2235="","",IFERROR(INDEX($S$5:$S$304,MATCH(C2235,$R$5:$R$304,0))&amp;"","?"))</f>
        <v/>
      </c>
      <c r="N2235" s="2">
        <f>IF(E2235="","",IF(ISNUMBER(SEARCH("SUBSOLO",E2235)),IFERROR(-VALUE(LEFT(E2235,FIND("º",SUBSTITUTE(E2235,"°","º"))-1)),-1),IF(LEFT(E2235,6)="TÉRREO",0,IFERROR(VALUE(LEFT(E2235,FIND("º",SUBSTITUTE(E2235,"°","º"))-1)),""))))</f>
        <v/>
      </c>
      <c r="O2235" s="2">
        <f>IF(OR(F2235="",G2235=""),"",IF(G2235&lt;='RETRATO 2027'!$K$5,"CONCLUÍDA",IF(F2235&lt;='RETRATO 2027'!$K$5,"EM ANDAMENTO","A INICIAR")))</f>
        <v/>
      </c>
    </row>
    <row r="2236">
      <c r="B2236" s="4" t="n">
        <v>29980723</v>
      </c>
      <c r="C2236" s="4" t="inlineStr">
        <is>
          <t>LIMPEZA GROSSA</t>
        </is>
      </c>
      <c r="D2236" s="4" t="inlineStr">
        <is>
          <t>-</t>
        </is>
      </c>
      <c r="E2236" s="4" t="inlineStr">
        <is>
          <t>29º PAV.</t>
        </is>
      </c>
      <c r="F2236" s="126" t="n">
        <v>47106</v>
      </c>
      <c r="G2236" s="126" t="n">
        <v>47126</v>
      </c>
      <c r="H2236" s="126" t="n">
        <v>46289</v>
      </c>
      <c r="I2236" s="4" t="n">
        <v>0</v>
      </c>
      <c r="J2236" s="4" t="n">
        <v>0</v>
      </c>
      <c r="K2236" s="4" t="n">
        <v>0</v>
      </c>
      <c r="M2236" s="2">
        <f>IF(C2236="","",IFERROR(INDEX($S$5:$S$304,MATCH(C2236,$R$5:$R$304,0))&amp;"","?"))</f>
        <v/>
      </c>
      <c r="N2236" s="2">
        <f>IF(E2236="","",IF(ISNUMBER(SEARCH("SUBSOLO",E2236)),IFERROR(-VALUE(LEFT(E2236,FIND("º",SUBSTITUTE(E2236,"°","º"))-1)),-1),IF(LEFT(E2236,6)="TÉRREO",0,IFERROR(VALUE(LEFT(E2236,FIND("º",SUBSTITUTE(E2236,"°","º"))-1)),""))))</f>
        <v/>
      </c>
      <c r="O2236" s="2">
        <f>IF(OR(F2236="",G2236=""),"",IF(G2236&lt;='RETRATO 2027'!$K$5,"CONCLUÍDA",IF(F2236&lt;='RETRATO 2027'!$K$5,"EM ANDAMENTO","A INICIAR")))</f>
        <v/>
      </c>
    </row>
    <row r="2237">
      <c r="B2237" s="4" t="n">
        <v>29980680</v>
      </c>
      <c r="C2237" s="4" t="inlineStr">
        <is>
          <t>LOUÇAS</t>
        </is>
      </c>
      <c r="D2237" s="4" t="inlineStr">
        <is>
          <t>-</t>
        </is>
      </c>
      <c r="E2237" s="4" t="inlineStr">
        <is>
          <t>30º PAV.</t>
        </is>
      </c>
      <c r="F2237" s="126" t="n">
        <v>47106</v>
      </c>
      <c r="G2237" s="126" t="n">
        <v>47126</v>
      </c>
      <c r="H2237" s="126" t="n">
        <v>46289</v>
      </c>
      <c r="I2237" s="4" t="n">
        <v>0</v>
      </c>
      <c r="J2237" s="4" t="n">
        <v>0</v>
      </c>
      <c r="K2237" s="4" t="n">
        <v>0</v>
      </c>
      <c r="M2237" s="2">
        <f>IF(C2237="","",IFERROR(INDEX($S$5:$S$304,MATCH(C2237,$R$5:$R$304,0))&amp;"","?"))</f>
        <v/>
      </c>
      <c r="N2237" s="2">
        <f>IF(E2237="","",IF(ISNUMBER(SEARCH("SUBSOLO",E2237)),IFERROR(-VALUE(LEFT(E2237,FIND("º",SUBSTITUTE(E2237,"°","º"))-1)),-1),IF(LEFT(E2237,6)="TÉRREO",0,IFERROR(VALUE(LEFT(E2237,FIND("º",SUBSTITUTE(E2237,"°","º"))-1)),""))))</f>
        <v/>
      </c>
      <c r="O2237" s="2">
        <f>IF(OR(F2237="",G2237=""),"",IF(G2237&lt;='RETRATO 2027'!$K$5,"CONCLUÍDA",IF(F2237&lt;='RETRATO 2027'!$K$5,"EM ANDAMENTO","A INICIAR")))</f>
        <v/>
      </c>
    </row>
    <row r="2238">
      <c r="B2238" s="4" t="n">
        <v>29980685</v>
      </c>
      <c r="C2238" s="4" t="inlineStr">
        <is>
          <t>METAIS</t>
        </is>
      </c>
      <c r="D2238" s="4" t="inlineStr">
        <is>
          <t>-</t>
        </is>
      </c>
      <c r="E2238" s="4" t="inlineStr">
        <is>
          <t>30º PAV.</t>
        </is>
      </c>
      <c r="F2238" s="126" t="n">
        <v>47106</v>
      </c>
      <c r="G2238" s="126" t="n">
        <v>47126</v>
      </c>
      <c r="H2238" s="126" t="n">
        <v>46289</v>
      </c>
      <c r="I2238" s="4" t="n">
        <v>0</v>
      </c>
      <c r="J2238" s="4" t="n">
        <v>0</v>
      </c>
      <c r="K2238" s="4" t="n">
        <v>0</v>
      </c>
      <c r="M2238" s="2">
        <f>IF(C2238="","",IFERROR(INDEX($S$5:$S$304,MATCH(C2238,$R$5:$R$304,0))&amp;"","?"))</f>
        <v/>
      </c>
      <c r="N2238" s="2">
        <f>IF(E2238="","",IF(ISNUMBER(SEARCH("SUBSOLO",E2238)),IFERROR(-VALUE(LEFT(E2238,FIND("º",SUBSTITUTE(E2238,"°","º"))-1)),-1),IF(LEFT(E2238,6)="TÉRREO",0,IFERROR(VALUE(LEFT(E2238,FIND("º",SUBSTITUTE(E2238,"°","º"))-1)),""))))</f>
        <v/>
      </c>
      <c r="O2238" s="2">
        <f>IF(OR(F2238="",G2238=""),"",IF(G2238&lt;='RETRATO 2027'!$K$5,"CONCLUÍDA",IF(F2238&lt;='RETRATO 2027'!$K$5,"EM ANDAMENTO","A INICIAR")))</f>
        <v/>
      </c>
    </row>
    <row r="2239">
      <c r="B2239" s="4" t="n">
        <v>29980684</v>
      </c>
      <c r="C2239" s="4" t="inlineStr">
        <is>
          <t>DISJUNTORES / MIOLOS</t>
        </is>
      </c>
      <c r="D2239" s="4" t="inlineStr">
        <is>
          <t>-</t>
        </is>
      </c>
      <c r="E2239" s="4" t="inlineStr">
        <is>
          <t>30º PAV.</t>
        </is>
      </c>
      <c r="F2239" s="126" t="n">
        <v>47106</v>
      </c>
      <c r="G2239" s="126" t="n">
        <v>47126</v>
      </c>
      <c r="H2239" s="126" t="n">
        <v>46289</v>
      </c>
      <c r="I2239" s="4" t="n">
        <v>0</v>
      </c>
      <c r="J2239" s="4" t="n">
        <v>0</v>
      </c>
      <c r="K2239" s="4" t="n">
        <v>0</v>
      </c>
      <c r="M2239" s="2">
        <f>IF(C2239="","",IFERROR(INDEX($S$5:$S$304,MATCH(C2239,$R$5:$R$304,0))&amp;"","?"))</f>
        <v/>
      </c>
      <c r="N2239" s="2">
        <f>IF(E2239="","",IF(ISNUMBER(SEARCH("SUBSOLO",E2239)),IFERROR(-VALUE(LEFT(E2239,FIND("º",SUBSTITUTE(E2239,"°","º"))-1)),-1),IF(LEFT(E2239,6)="TÉRREO",0,IFERROR(VALUE(LEFT(E2239,FIND("º",SUBSTITUTE(E2239,"°","º"))-1)),""))))</f>
        <v/>
      </c>
      <c r="O2239" s="2">
        <f>IF(OR(F2239="",G2239=""),"",IF(G2239&lt;='RETRATO 2027'!$K$5,"CONCLUÍDA",IF(F2239&lt;='RETRATO 2027'!$K$5,"EM ANDAMENTO","A INICIAR")))</f>
        <v/>
      </c>
    </row>
    <row r="2240">
      <c r="B2240" s="4" t="n">
        <v>29980683</v>
      </c>
      <c r="C2240" s="4" t="inlineStr">
        <is>
          <t>COMUNICAÇÃO E ALARME</t>
        </is>
      </c>
      <c r="D2240" s="4" t="inlineStr">
        <is>
          <t>-</t>
        </is>
      </c>
      <c r="E2240" s="4" t="inlineStr">
        <is>
          <t>30º PAV.</t>
        </is>
      </c>
      <c r="F2240" s="126" t="n">
        <v>47106</v>
      </c>
      <c r="G2240" s="126" t="n">
        <v>47126</v>
      </c>
      <c r="H2240" s="126" t="n">
        <v>46289</v>
      </c>
      <c r="I2240" s="4" t="n">
        <v>0</v>
      </c>
      <c r="J2240" s="4" t="n">
        <v>0</v>
      </c>
      <c r="K2240" s="4" t="n">
        <v>0</v>
      </c>
      <c r="M2240" s="2">
        <f>IF(C2240="","",IFERROR(INDEX($S$5:$S$304,MATCH(C2240,$R$5:$R$304,0))&amp;"","?"))</f>
        <v/>
      </c>
      <c r="N2240" s="2">
        <f>IF(E2240="","",IF(ISNUMBER(SEARCH("SUBSOLO",E2240)),IFERROR(-VALUE(LEFT(E2240,FIND("º",SUBSTITUTE(E2240,"°","º"))-1)),-1),IF(LEFT(E2240,6)="TÉRREO",0,IFERROR(VALUE(LEFT(E2240,FIND("º",SUBSTITUTE(E2240,"°","º"))-1)),""))))</f>
        <v/>
      </c>
      <c r="O2240" s="2">
        <f>IF(OR(F2240="",G2240=""),"",IF(G2240&lt;='RETRATO 2027'!$K$5,"CONCLUÍDA",IF(F2240&lt;='RETRATO 2027'!$K$5,"EM ANDAMENTO","A INICIAR")))</f>
        <v/>
      </c>
    </row>
    <row r="2241">
      <c r="B2241" s="4" t="n">
        <v>29980642</v>
      </c>
      <c r="C2241" s="4" t="inlineStr">
        <is>
          <t>RODAPÉ MADEIRA / PVC</t>
        </is>
      </c>
      <c r="D2241" s="4" t="inlineStr">
        <is>
          <t>-</t>
        </is>
      </c>
      <c r="E2241" s="4" t="inlineStr">
        <is>
          <t>31º PAV. - COBERTURA LINEAR</t>
        </is>
      </c>
      <c r="F2241" s="126" t="n">
        <v>47106</v>
      </c>
      <c r="G2241" s="126" t="n">
        <v>47126</v>
      </c>
      <c r="H2241" s="126" t="n">
        <v>46289</v>
      </c>
      <c r="I2241" s="4" t="n">
        <v>0</v>
      </c>
      <c r="J2241" s="4" t="n">
        <v>0</v>
      </c>
      <c r="K2241" s="4" t="n">
        <v>0</v>
      </c>
      <c r="M2241" s="2">
        <f>IF(C2241="","",IFERROR(INDEX($S$5:$S$304,MATCH(C2241,$R$5:$R$304,0))&amp;"","?"))</f>
        <v/>
      </c>
      <c r="N2241" s="2">
        <f>IF(E2241="","",IF(ISNUMBER(SEARCH("SUBSOLO",E2241)),IFERROR(-VALUE(LEFT(E2241,FIND("º",SUBSTITUTE(E2241,"°","º"))-1)),-1),IF(LEFT(E2241,6)="TÉRREO",0,IFERROR(VALUE(LEFT(E2241,FIND("º",SUBSTITUTE(E2241,"°","º"))-1)),""))))</f>
        <v/>
      </c>
      <c r="O2241" s="2">
        <f>IF(OR(F2241="",G2241=""),"",IF(G2241&lt;='RETRATO 2027'!$K$5,"CONCLUÍDA",IF(F2241&lt;='RETRATO 2027'!$K$5,"EM ANDAMENTO","A INICIAR")))</f>
        <v/>
      </c>
    </row>
    <row r="2242">
      <c r="B2242" s="4" t="n">
        <v>29980604</v>
      </c>
      <c r="C2242" s="4" t="inlineStr">
        <is>
          <t>ESQUADRIA MADEIRA</t>
        </is>
      </c>
      <c r="D2242" s="4" t="inlineStr">
        <is>
          <t>-</t>
        </is>
      </c>
      <c r="E2242" s="4" t="inlineStr">
        <is>
          <t>32º PAV - COBERTURA GERAL</t>
        </is>
      </c>
      <c r="F2242" s="126" t="n">
        <v>47106</v>
      </c>
      <c r="G2242" s="126" t="n">
        <v>47126</v>
      </c>
      <c r="H2242" s="126" t="n">
        <v>46289</v>
      </c>
      <c r="I2242" s="4" t="n">
        <v>0</v>
      </c>
      <c r="J2242" s="4" t="n">
        <v>0</v>
      </c>
      <c r="K2242" s="4" t="n">
        <v>0</v>
      </c>
      <c r="M2242" s="2">
        <f>IF(C2242="","",IFERROR(INDEX($S$5:$S$304,MATCH(C2242,$R$5:$R$304,0))&amp;"","?"))</f>
        <v/>
      </c>
      <c r="N2242" s="2">
        <f>IF(E2242="","",IF(ISNUMBER(SEARCH("SUBSOLO",E2242)),IFERROR(-VALUE(LEFT(E2242,FIND("º",SUBSTITUTE(E2242,"°","º"))-1)),-1),IF(LEFT(E2242,6)="TÉRREO",0,IFERROR(VALUE(LEFT(E2242,FIND("º",SUBSTITUTE(E2242,"°","º"))-1)),""))))</f>
        <v/>
      </c>
      <c r="O2242" s="2">
        <f>IF(OR(F2242="",G2242=""),"",IF(G2242&lt;='RETRATO 2027'!$K$5,"CONCLUÍDA",IF(F2242&lt;='RETRATO 2027'!$K$5,"EM ANDAMENTO","A INICIAR")))</f>
        <v/>
      </c>
    </row>
    <row r="2243">
      <c r="B2243" s="4" t="n">
        <v>30171533</v>
      </c>
      <c r="C2243" s="4" t="inlineStr">
        <is>
          <t>ACABAMENTOS ELÉTRICOS</t>
        </is>
      </c>
      <c r="D2243" s="4" t="inlineStr">
        <is>
          <t>-</t>
        </is>
      </c>
      <c r="E2243" s="4" t="inlineStr">
        <is>
          <t>HALL - GARAGENS</t>
        </is>
      </c>
      <c r="F2243" s="126" t="n">
        <v>47108</v>
      </c>
      <c r="G2243" s="126" t="n">
        <v>47129</v>
      </c>
      <c r="H2243" s="126" t="n">
        <v>46289</v>
      </c>
      <c r="I2243" s="4" t="n">
        <v>0</v>
      </c>
      <c r="J2243" s="4" t="n">
        <v>0</v>
      </c>
      <c r="K2243" s="4" t="n">
        <v>0</v>
      </c>
      <c r="M2243" s="2">
        <f>IF(C2243="","",IFERROR(INDEX($S$5:$S$304,MATCH(C2243,$R$5:$R$304,0))&amp;"","?"))</f>
        <v/>
      </c>
      <c r="N2243" s="2">
        <f>IF(E2243="","",IF(ISNUMBER(SEARCH("SUBSOLO",E2243)),IFERROR(-VALUE(LEFT(E2243,FIND("º",SUBSTITUTE(E2243,"°","º"))-1)),-1),IF(LEFT(E2243,6)="TÉRREO",0,IFERROR(VALUE(LEFT(E2243,FIND("º",SUBSTITUTE(E2243,"°","º"))-1)),""))))</f>
        <v/>
      </c>
      <c r="O2243" s="2">
        <f>IF(OR(F2243="",G2243=""),"",IF(G2243&lt;='RETRATO 2027'!$K$5,"CONCLUÍDA",IF(F2243&lt;='RETRATO 2027'!$K$5,"EM ANDAMENTO","A INICIAR")))</f>
        <v/>
      </c>
    </row>
    <row r="2244">
      <c r="B2244" s="4" t="n">
        <v>29981522</v>
      </c>
      <c r="C2244" s="4" t="inlineStr">
        <is>
          <t>CHECKLIST FINAL</t>
        </is>
      </c>
      <c r="D2244" s="4" t="inlineStr">
        <is>
          <t>-</t>
        </is>
      </c>
      <c r="E2244" s="4" t="inlineStr">
        <is>
          <t>8º PAV.</t>
        </is>
      </c>
      <c r="F2244" s="126" t="n">
        <v>47108</v>
      </c>
      <c r="G2244" s="126" t="n">
        <v>47128</v>
      </c>
      <c r="H2244" s="126" t="n">
        <v>46289</v>
      </c>
      <c r="I2244" s="4" t="n">
        <v>0</v>
      </c>
      <c r="J2244" s="4" t="n">
        <v>0</v>
      </c>
      <c r="K2244" s="4" t="n">
        <v>0</v>
      </c>
      <c r="M2244" s="2">
        <f>IF(C2244="","",IFERROR(INDEX($S$5:$S$304,MATCH(C2244,$R$5:$R$304,0))&amp;"","?"))</f>
        <v/>
      </c>
      <c r="N2244" s="2">
        <f>IF(E2244="","",IF(ISNUMBER(SEARCH("SUBSOLO",E2244)),IFERROR(-VALUE(LEFT(E2244,FIND("º",SUBSTITUTE(E2244,"°","º"))-1)),-1),IF(LEFT(E2244,6)="TÉRREO",0,IFERROR(VALUE(LEFT(E2244,FIND("º",SUBSTITUTE(E2244,"°","º"))-1)),""))))</f>
        <v/>
      </c>
      <c r="O2244" s="2">
        <f>IF(OR(F2244="",G2244=""),"",IF(G2244&lt;='RETRATO 2027'!$K$5,"CONCLUÍDA",IF(F2244&lt;='RETRATO 2027'!$K$5,"EM ANDAMENTO","A INICIAR")))</f>
        <v/>
      </c>
    </row>
    <row r="2245">
      <c r="B2245" s="4" t="n">
        <v>30171451</v>
      </c>
      <c r="C2245" s="4" t="inlineStr">
        <is>
          <t>TEXTURA - 2º E 3º DEMÃO</t>
        </is>
      </c>
      <c r="D2245" s="4" t="inlineStr">
        <is>
          <t>-</t>
        </is>
      </c>
      <c r="E2245" s="4" t="inlineStr">
        <is>
          <t>3º PAV - GARAGEM</t>
        </is>
      </c>
      <c r="F2245" s="126" t="n">
        <v>47109</v>
      </c>
      <c r="G2245" s="126" t="n">
        <v>47130</v>
      </c>
      <c r="H2245" s="126" t="n">
        <v>46289</v>
      </c>
      <c r="I2245" s="4" t="n">
        <v>0</v>
      </c>
      <c r="J2245" s="4" t="n">
        <v>0</v>
      </c>
      <c r="K2245" s="4" t="n">
        <v>0</v>
      </c>
      <c r="M2245" s="2">
        <f>IF(C2245="","",IFERROR(INDEX($S$5:$S$304,MATCH(C2245,$R$5:$R$304,0))&amp;"","?"))</f>
        <v/>
      </c>
      <c r="N2245" s="2">
        <f>IF(E2245="","",IF(ISNUMBER(SEARCH("SUBSOLO",E2245)),IFERROR(-VALUE(LEFT(E2245,FIND("º",SUBSTITUTE(E2245,"°","º"))-1)),-1),IF(LEFT(E2245,6)="TÉRREO",0,IFERROR(VALUE(LEFT(E2245,FIND("º",SUBSTITUTE(E2245,"°","º"))-1)),""))))</f>
        <v/>
      </c>
      <c r="O2245" s="2">
        <f>IF(OR(F2245="",G2245=""),"",IF(G2245&lt;='RETRATO 2027'!$K$5,"CONCLUÍDA",IF(F2245&lt;='RETRATO 2027'!$K$5,"EM ANDAMENTO","A INICIAR")))</f>
        <v/>
      </c>
    </row>
    <row r="2246">
      <c r="B2246" s="4" t="n">
        <v>30171419</v>
      </c>
      <c r="C2246" s="4" t="inlineStr">
        <is>
          <t>ACABAMENTOS ELÉTRICOS</t>
        </is>
      </c>
      <c r="D2246" s="4" t="inlineStr">
        <is>
          <t>-</t>
        </is>
      </c>
      <c r="E2246" s="4" t="inlineStr">
        <is>
          <t>4º PAV - GARAGEM</t>
        </is>
      </c>
      <c r="F2246" s="126" t="n">
        <v>47109</v>
      </c>
      <c r="G2246" s="126" t="n">
        <v>47130</v>
      </c>
      <c r="H2246" s="126" t="n">
        <v>46289</v>
      </c>
      <c r="I2246" s="4" t="n">
        <v>0</v>
      </c>
      <c r="J2246" s="4" t="n">
        <v>0</v>
      </c>
      <c r="K2246" s="4" t="n">
        <v>0</v>
      </c>
      <c r="M2246" s="2">
        <f>IF(C2246="","",IFERROR(INDEX($S$5:$S$304,MATCH(C2246,$R$5:$R$304,0))&amp;"","?"))</f>
        <v/>
      </c>
      <c r="N2246" s="2">
        <f>IF(E2246="","",IF(ISNUMBER(SEARCH("SUBSOLO",E2246)),IFERROR(-VALUE(LEFT(E2246,FIND("º",SUBSTITUTE(E2246,"°","º"))-1)),-1),IF(LEFT(E2246,6)="TÉRREO",0,IFERROR(VALUE(LEFT(E2246,FIND("º",SUBSTITUTE(E2246,"°","º"))-1)),""))))</f>
        <v/>
      </c>
      <c r="O2246" s="2">
        <f>IF(OR(F2246="",G2246=""),"",IF(G2246&lt;='RETRATO 2027'!$K$5,"CONCLUÍDA",IF(F2246&lt;='RETRATO 2027'!$K$5,"EM ANDAMENTO","A INICIAR")))</f>
        <v/>
      </c>
    </row>
    <row r="2247">
      <c r="B2247" s="4" t="n">
        <v>30171418</v>
      </c>
      <c r="C2247" s="4" t="inlineStr">
        <is>
          <t>DEMARCAÇÃO DE VAGAS</t>
        </is>
      </c>
      <c r="D2247" s="4" t="inlineStr">
        <is>
          <t>-</t>
        </is>
      </c>
      <c r="E2247" s="4" t="inlineStr">
        <is>
          <t>4º PAV - GARAGEM</t>
        </is>
      </c>
      <c r="F2247" s="126" t="n">
        <v>47109</v>
      </c>
      <c r="G2247" s="126" t="n">
        <v>47144</v>
      </c>
      <c r="H2247" s="126" t="n">
        <v>46289</v>
      </c>
      <c r="I2247" s="4" t="n">
        <v>0</v>
      </c>
      <c r="J2247" s="4" t="n">
        <v>0</v>
      </c>
      <c r="K2247" s="4" t="n">
        <v>0</v>
      </c>
      <c r="M2247" s="2">
        <f>IF(C2247="","",IFERROR(INDEX($S$5:$S$304,MATCH(C2247,$R$5:$R$304,0))&amp;"","?"))</f>
        <v/>
      </c>
      <c r="N2247" s="2">
        <f>IF(E2247="","",IF(ISNUMBER(SEARCH("SUBSOLO",E2247)),IFERROR(-VALUE(LEFT(E2247,FIND("º",SUBSTITUTE(E2247,"°","º"))-1)),-1),IF(LEFT(E2247,6)="TÉRREO",0,IFERROR(VALUE(LEFT(E2247,FIND("º",SUBSTITUTE(E2247,"°","º"))-1)),""))))</f>
        <v/>
      </c>
      <c r="O2247" s="2">
        <f>IF(OR(F2247="",G2247=""),"",IF(G2247&lt;='RETRATO 2027'!$K$5,"CONCLUÍDA",IF(F2247&lt;='RETRATO 2027'!$K$5,"EM ANDAMENTO","A INICIAR")))</f>
        <v/>
      </c>
    </row>
    <row r="2248">
      <c r="B2248" s="4" t="n">
        <v>30171430</v>
      </c>
      <c r="C2248" s="4" t="inlineStr">
        <is>
          <t>INSTALAÇÃO DE METAIS</t>
        </is>
      </c>
      <c r="D2248" s="4" t="inlineStr">
        <is>
          <t>-</t>
        </is>
      </c>
      <c r="E2248" s="4" t="inlineStr">
        <is>
          <t>4º PAV - GARAGEM</t>
        </is>
      </c>
      <c r="F2248" s="126" t="n">
        <v>47109</v>
      </c>
      <c r="G2248" s="126" t="n">
        <v>47130</v>
      </c>
      <c r="H2248" s="126" t="n">
        <v>46289</v>
      </c>
      <c r="I2248" s="4" t="n">
        <v>0</v>
      </c>
      <c r="J2248" s="4" t="n">
        <v>0</v>
      </c>
      <c r="K2248" s="4" t="n">
        <v>0</v>
      </c>
      <c r="M2248" s="2">
        <f>IF(C2248="","",IFERROR(INDEX($S$5:$S$304,MATCH(C2248,$R$5:$R$304,0))&amp;"","?"))</f>
        <v/>
      </c>
      <c r="N2248" s="2">
        <f>IF(E2248="","",IF(ISNUMBER(SEARCH("SUBSOLO",E2248)),IFERROR(-VALUE(LEFT(E2248,FIND("º",SUBSTITUTE(E2248,"°","º"))-1)),-1),IF(LEFT(E2248,6)="TÉRREO",0,IFERROR(VALUE(LEFT(E2248,FIND("º",SUBSTITUTE(E2248,"°","º"))-1)),""))))</f>
        <v/>
      </c>
      <c r="O2248" s="2">
        <f>IF(OR(F2248="",G2248=""),"",IF(G2248&lt;='RETRATO 2027'!$K$5,"CONCLUÍDA",IF(F2248&lt;='RETRATO 2027'!$K$5,"EM ANDAMENTO","A INICIAR")))</f>
        <v/>
      </c>
    </row>
    <row r="2249">
      <c r="B2249" s="4" t="n">
        <v>30171431</v>
      </c>
      <c r="C2249" s="4" t="inlineStr">
        <is>
          <t>INST. CARREGADOR DE VEÍCULOS</t>
        </is>
      </c>
      <c r="D2249" s="4" t="inlineStr">
        <is>
          <t>-</t>
        </is>
      </c>
      <c r="E2249" s="4" t="inlineStr">
        <is>
          <t>4º PAV - GARAGEM</t>
        </is>
      </c>
      <c r="F2249" s="126" t="n">
        <v>47109</v>
      </c>
      <c r="G2249" s="126" t="n">
        <v>47130</v>
      </c>
      <c r="H2249" s="126" t="n">
        <v>46289</v>
      </c>
      <c r="I2249" s="4" t="n">
        <v>0</v>
      </c>
      <c r="J2249" s="4" t="n">
        <v>0</v>
      </c>
      <c r="K2249" s="4" t="n">
        <v>0</v>
      </c>
      <c r="M2249" s="2">
        <f>IF(C2249="","",IFERROR(INDEX($S$5:$S$304,MATCH(C2249,$R$5:$R$304,0))&amp;"","?"))</f>
        <v/>
      </c>
      <c r="N2249" s="2">
        <f>IF(E2249="","",IF(ISNUMBER(SEARCH("SUBSOLO",E2249)),IFERROR(-VALUE(LEFT(E2249,FIND("º",SUBSTITUTE(E2249,"°","º"))-1)),-1),IF(LEFT(E2249,6)="TÉRREO",0,IFERROR(VALUE(LEFT(E2249,FIND("º",SUBSTITUTE(E2249,"°","º"))-1)),""))))</f>
        <v/>
      </c>
      <c r="O2249" s="2">
        <f>IF(OR(F2249="",G2249=""),"",IF(G2249&lt;='RETRATO 2027'!$K$5,"CONCLUÍDA",IF(F2249&lt;='RETRATO 2027'!$K$5,"EM ANDAMENTO","A INICIAR")))</f>
        <v/>
      </c>
    </row>
    <row r="2250">
      <c r="B2250" s="4" t="n">
        <v>30171434</v>
      </c>
      <c r="C2250" s="4" t="inlineStr">
        <is>
          <t>PLACAS E IDEINTIFIC. VISUAIS</t>
        </is>
      </c>
      <c r="D2250" s="4" t="inlineStr">
        <is>
          <t>-</t>
        </is>
      </c>
      <c r="E2250" s="4" t="inlineStr">
        <is>
          <t>4º PAV - GARAGEM</t>
        </is>
      </c>
      <c r="F2250" s="126" t="n">
        <v>47109</v>
      </c>
      <c r="G2250" s="126" t="n">
        <v>47130</v>
      </c>
      <c r="H2250" s="126" t="n">
        <v>46289</v>
      </c>
      <c r="I2250" s="4" t="n">
        <v>0</v>
      </c>
      <c r="J2250" s="4" t="n">
        <v>0</v>
      </c>
      <c r="K2250" s="4" t="n">
        <v>0</v>
      </c>
      <c r="M2250" s="2">
        <f>IF(C2250="","",IFERROR(INDEX($S$5:$S$304,MATCH(C2250,$R$5:$R$304,0))&amp;"","?"))</f>
        <v/>
      </c>
      <c r="N2250" s="2">
        <f>IF(E2250="","",IF(ISNUMBER(SEARCH("SUBSOLO",E2250)),IFERROR(-VALUE(LEFT(E2250,FIND("º",SUBSTITUTE(E2250,"°","º"))-1)),-1),IF(LEFT(E2250,6)="TÉRREO",0,IFERROR(VALUE(LEFT(E2250,FIND("º",SUBSTITUTE(E2250,"°","º"))-1)),""))))</f>
        <v/>
      </c>
      <c r="O2250" s="2">
        <f>IF(OR(F2250="",G2250=""),"",IF(G2250&lt;='RETRATO 2027'!$K$5,"CONCLUÍDA",IF(F2250&lt;='RETRATO 2027'!$K$5,"EM ANDAMENTO","A INICIAR")))</f>
        <v/>
      </c>
    </row>
    <row r="2251">
      <c r="B2251" s="4" t="n">
        <v>30171389</v>
      </c>
      <c r="C2251" s="4" t="inlineStr">
        <is>
          <t>TEXTURA - 1º DEMÃO</t>
        </is>
      </c>
      <c r="D2251" s="4" t="inlineStr">
        <is>
          <t>-</t>
        </is>
      </c>
      <c r="E2251" s="4" t="inlineStr">
        <is>
          <t>5º PAV - GARAGEM</t>
        </is>
      </c>
      <c r="F2251" s="126" t="n">
        <v>47109</v>
      </c>
      <c r="G2251" s="126" t="n">
        <v>47144</v>
      </c>
      <c r="H2251" s="126" t="n">
        <v>46289</v>
      </c>
      <c r="I2251" s="4" t="n">
        <v>0</v>
      </c>
      <c r="J2251" s="4" t="n">
        <v>0</v>
      </c>
      <c r="K2251" s="4" t="n">
        <v>0</v>
      </c>
      <c r="M2251" s="2">
        <f>IF(C2251="","",IFERROR(INDEX($S$5:$S$304,MATCH(C2251,$R$5:$R$304,0))&amp;"","?"))</f>
        <v/>
      </c>
      <c r="N2251" s="2">
        <f>IF(E2251="","",IF(ISNUMBER(SEARCH("SUBSOLO",E2251)),IFERROR(-VALUE(LEFT(E2251,FIND("º",SUBSTITUTE(E2251,"°","º"))-1)),-1),IF(LEFT(E2251,6)="TÉRREO",0,IFERROR(VALUE(LEFT(E2251,FIND("º",SUBSTITUTE(E2251,"°","º"))-1)),""))))</f>
        <v/>
      </c>
      <c r="O2251" s="2">
        <f>IF(OR(F2251="",G2251=""),"",IF(G2251&lt;='RETRATO 2027'!$K$5,"CONCLUÍDA",IF(F2251&lt;='RETRATO 2027'!$K$5,"EM ANDAMENTO","A INICIAR")))</f>
        <v/>
      </c>
    </row>
    <row r="2252">
      <c r="B2252" s="4" t="n">
        <v>30206004</v>
      </c>
      <c r="C2252" s="4" t="inlineStr">
        <is>
          <t>CHECKLIST</t>
        </is>
      </c>
      <c r="D2252" s="4" t="inlineStr">
        <is>
          <t>-</t>
        </is>
      </c>
      <c r="E2252" s="4" t="inlineStr">
        <is>
          <t>6º PAV (PILOTIS) - COWORKING 1 E 2 + CIRC. 2 + HALL 2 + DML + VEST. MASC. + VEST. FEM</t>
        </is>
      </c>
      <c r="F2252" s="126" t="n">
        <v>47120</v>
      </c>
      <c r="G2252" s="126" t="n">
        <v>47126</v>
      </c>
      <c r="H2252" s="126" t="n">
        <v>46289</v>
      </c>
      <c r="I2252" s="4" t="n">
        <v>0</v>
      </c>
      <c r="J2252" s="4" t="n">
        <v>0</v>
      </c>
      <c r="K2252" s="4" t="n">
        <v>0</v>
      </c>
      <c r="M2252" s="2">
        <f>IF(C2252="","",IFERROR(INDEX($S$5:$S$304,MATCH(C2252,$R$5:$R$304,0))&amp;"","?"))</f>
        <v/>
      </c>
      <c r="N2252" s="2">
        <f>IF(E2252="","",IF(ISNUMBER(SEARCH("SUBSOLO",E2252)),IFERROR(-VALUE(LEFT(E2252,FIND("º",SUBSTITUTE(E2252,"°","º"))-1)),-1),IF(LEFT(E2252,6)="TÉRREO",0,IFERROR(VALUE(LEFT(E2252,FIND("º",SUBSTITUTE(E2252,"°","º"))-1)),""))))</f>
        <v/>
      </c>
      <c r="O2252" s="2">
        <f>IF(OR(F2252="",G2252=""),"",IF(G2252&lt;='RETRATO 2027'!$K$5,"CONCLUÍDA",IF(F2252&lt;='RETRATO 2027'!$K$5,"EM ANDAMENTO","A INICIAR")))</f>
        <v/>
      </c>
    </row>
    <row r="2253">
      <c r="B2253" s="4" t="n">
        <v>29981485</v>
      </c>
      <c r="C2253" s="4" t="inlineStr">
        <is>
          <t>CHECKLIST FINAL</t>
        </is>
      </c>
      <c r="D2253" s="4" t="inlineStr">
        <is>
          <t>-</t>
        </is>
      </c>
      <c r="E2253" s="4" t="inlineStr">
        <is>
          <t>9º PAV.</t>
        </is>
      </c>
      <c r="F2253" s="126" t="n">
        <v>47121</v>
      </c>
      <c r="G2253" s="126" t="n">
        <v>47133</v>
      </c>
      <c r="H2253" s="126" t="n">
        <v>46289</v>
      </c>
      <c r="I2253" s="4" t="n">
        <v>0</v>
      </c>
      <c r="J2253" s="4" t="n">
        <v>0</v>
      </c>
      <c r="K2253" s="4" t="n">
        <v>0</v>
      </c>
      <c r="M2253" s="2">
        <f>IF(C2253="","",IFERROR(INDEX($S$5:$S$304,MATCH(C2253,$R$5:$R$304,0))&amp;"","?"))</f>
        <v/>
      </c>
      <c r="N2253" s="2">
        <f>IF(E2253="","",IF(ISNUMBER(SEARCH("SUBSOLO",E2253)),IFERROR(-VALUE(LEFT(E2253,FIND("º",SUBSTITUTE(E2253,"°","º"))-1)),-1),IF(LEFT(E2253,6)="TÉRREO",0,IFERROR(VALUE(LEFT(E2253,FIND("º",SUBSTITUTE(E2253,"°","º"))-1)),""))))</f>
        <v/>
      </c>
      <c r="O2253" s="2">
        <f>IF(OR(F2253="",G2253=""),"",IF(G2253&lt;='RETRATO 2027'!$K$5,"CONCLUÍDA",IF(F2253&lt;='RETRATO 2027'!$K$5,"EM ANDAMENTO","A INICIAR")))</f>
        <v/>
      </c>
    </row>
    <row r="2254">
      <c r="B2254" s="4" t="n">
        <v>29980884</v>
      </c>
      <c r="C2254" s="4" t="inlineStr">
        <is>
          <t>LIMPEZA FINA</t>
        </is>
      </c>
      <c r="D2254" s="4" t="inlineStr">
        <is>
          <t>-</t>
        </is>
      </c>
      <c r="E2254" s="4" t="inlineStr">
        <is>
          <t>25º PAV.</t>
        </is>
      </c>
      <c r="F2254" s="126" t="n">
        <v>47121</v>
      </c>
      <c r="G2254" s="126" t="n">
        <v>47133</v>
      </c>
      <c r="H2254" s="126" t="n">
        <v>46289</v>
      </c>
      <c r="I2254" s="4" t="n">
        <v>0</v>
      </c>
      <c r="J2254" s="4" t="n">
        <v>0</v>
      </c>
      <c r="K2254" s="4" t="n">
        <v>0</v>
      </c>
      <c r="M2254" s="2">
        <f>IF(C2254="","",IFERROR(INDEX($S$5:$S$304,MATCH(C2254,$R$5:$R$304,0))&amp;"","?"))</f>
        <v/>
      </c>
      <c r="N2254" s="2">
        <f>IF(E2254="","",IF(ISNUMBER(SEARCH("SUBSOLO",E2254)),IFERROR(-VALUE(LEFT(E2254,FIND("º",SUBSTITUTE(E2254,"°","º"))-1)),-1),IF(LEFT(E2254,6)="TÉRREO",0,IFERROR(VALUE(LEFT(E2254,FIND("º",SUBSTITUTE(E2254,"°","º"))-1)),""))))</f>
        <v/>
      </c>
      <c r="O2254" s="2">
        <f>IF(OR(F2254="",G2254=""),"",IF(G2254&lt;='RETRATO 2027'!$K$5,"CONCLUÍDA",IF(F2254&lt;='RETRATO 2027'!$K$5,"EM ANDAMENTO","A INICIAR")))</f>
        <v/>
      </c>
    </row>
    <row r="2255">
      <c r="B2255" s="4" t="n">
        <v>29980837</v>
      </c>
      <c r="C2255" s="4" t="inlineStr">
        <is>
          <t>PINTURA 3º DEMÃO</t>
        </is>
      </c>
      <c r="D2255" s="4" t="inlineStr">
        <is>
          <t>-</t>
        </is>
      </c>
      <c r="E2255" s="4" t="inlineStr">
        <is>
          <t>26º PAV.</t>
        </is>
      </c>
      <c r="F2255" s="126" t="n">
        <v>47121</v>
      </c>
      <c r="G2255" s="126" t="n">
        <v>47133</v>
      </c>
      <c r="H2255" s="126" t="n">
        <v>46289</v>
      </c>
      <c r="I2255" s="4" t="n">
        <v>0</v>
      </c>
      <c r="J2255" s="4" t="n">
        <v>0</v>
      </c>
      <c r="K2255" s="4" t="n">
        <v>0</v>
      </c>
      <c r="M2255" s="2">
        <f>IF(C2255="","",IFERROR(INDEX($S$5:$S$304,MATCH(C2255,$R$5:$R$304,0))&amp;"","?"))</f>
        <v/>
      </c>
      <c r="N2255" s="2">
        <f>IF(E2255="","",IF(ISNUMBER(SEARCH("SUBSOLO",E2255)),IFERROR(-VALUE(LEFT(E2255,FIND("º",SUBSTITUTE(E2255,"°","º"))-1)),-1),IF(LEFT(E2255,6)="TÉRREO",0,IFERROR(VALUE(LEFT(E2255,FIND("º",SUBSTITUTE(E2255,"°","º"))-1)),""))))</f>
        <v/>
      </c>
      <c r="O2255" s="2">
        <f>IF(OR(F2255="",G2255=""),"",IF(G2255&lt;='RETRATO 2027'!$K$5,"CONCLUÍDA",IF(F2255&lt;='RETRATO 2027'!$K$5,"EM ANDAMENTO","A INICIAR")))</f>
        <v/>
      </c>
    </row>
    <row r="2256">
      <c r="B2256" s="4" t="n">
        <v>29981085</v>
      </c>
      <c r="C2256" s="4" t="inlineStr">
        <is>
          <t>ESQUADRIA MADEIRA</t>
        </is>
      </c>
      <c r="D2256" s="4" t="inlineStr">
        <is>
          <t>-</t>
        </is>
      </c>
      <c r="E2256" s="4" t="inlineStr">
        <is>
          <t>19º PAV.</t>
        </is>
      </c>
      <c r="F2256" s="126" t="n">
        <v>47122</v>
      </c>
      <c r="G2256" s="126" t="n">
        <v>47130</v>
      </c>
      <c r="H2256" s="126" t="n">
        <v>46289</v>
      </c>
      <c r="I2256" s="4" t="n">
        <v>0</v>
      </c>
      <c r="J2256" s="4" t="n">
        <v>0</v>
      </c>
      <c r="K2256" s="4" t="n">
        <v>0</v>
      </c>
      <c r="M2256" s="2">
        <f>IF(C2256="","",IFERROR(INDEX($S$5:$S$304,MATCH(C2256,$R$5:$R$304,0))&amp;"","?"))</f>
        <v/>
      </c>
      <c r="N2256" s="2">
        <f>IF(E2256="","",IF(ISNUMBER(SEARCH("SUBSOLO",E2256)),IFERROR(-VALUE(LEFT(E2256,FIND("º",SUBSTITUTE(E2256,"°","º"))-1)),-1),IF(LEFT(E2256,6)="TÉRREO",0,IFERROR(VALUE(LEFT(E2256,FIND("º",SUBSTITUTE(E2256,"°","º"))-1)),""))))</f>
        <v/>
      </c>
      <c r="O2256" s="2">
        <f>IF(OR(F2256="",G2256=""),"",IF(G2256&lt;='RETRATO 2027'!$K$5,"CONCLUÍDA",IF(F2256&lt;='RETRATO 2027'!$K$5,"EM ANDAMENTO","A INICIAR")))</f>
        <v/>
      </c>
    </row>
    <row r="2257">
      <c r="B2257" s="4" t="n">
        <v>33807238</v>
      </c>
      <c r="C2257" s="4" t="inlineStr">
        <is>
          <t>VISTORIA APTOS</t>
        </is>
      </c>
      <c r="D2257" s="4" t="inlineStr">
        <is>
          <t>-</t>
        </is>
      </c>
      <c r="E2257" s="4" t="inlineStr">
        <is>
          <t>7º PAV.</t>
        </is>
      </c>
      <c r="F2257" s="126" t="n">
        <v>47126</v>
      </c>
      <c r="G2257" s="126" t="n">
        <v>47128</v>
      </c>
      <c r="H2257" s="126" t="n">
        <v>46289</v>
      </c>
      <c r="I2257" s="4" t="n">
        <v>0</v>
      </c>
      <c r="J2257" s="4" t="n">
        <v>0</v>
      </c>
      <c r="K2257" s="4" t="n">
        <v>0</v>
      </c>
      <c r="M2257" s="2">
        <f>IF(C2257="","",IFERROR(INDEX($S$5:$S$304,MATCH(C2257,$R$5:$R$304,0))&amp;"","?"))</f>
        <v/>
      </c>
      <c r="N2257" s="2">
        <f>IF(E2257="","",IF(ISNUMBER(SEARCH("SUBSOLO",E2257)),IFERROR(-VALUE(LEFT(E2257,FIND("º",SUBSTITUTE(E2257,"°","º"))-1)),-1),IF(LEFT(E2257,6)="TÉRREO",0,IFERROR(VALUE(LEFT(E2257,FIND("º",SUBSTITUTE(E2257,"°","º"))-1)),""))))</f>
        <v/>
      </c>
      <c r="O2257" s="2">
        <f>IF(OR(F2257="",G2257=""),"",IF(G2257&lt;='RETRATO 2027'!$K$5,"CONCLUÍDA",IF(F2257&lt;='RETRATO 2027'!$K$5,"EM ANDAMENTO","A INICIAR")))</f>
        <v/>
      </c>
    </row>
    <row r="2258">
      <c r="B2258" s="4" t="n">
        <v>29981448</v>
      </c>
      <c r="C2258" s="4" t="inlineStr">
        <is>
          <t>CHECKLIST FINAL</t>
        </is>
      </c>
      <c r="D2258" s="4" t="inlineStr">
        <is>
          <t>-</t>
        </is>
      </c>
      <c r="E2258" s="4" t="inlineStr">
        <is>
          <t>10º PAV.</t>
        </is>
      </c>
      <c r="F2258" s="126" t="n">
        <v>47126</v>
      </c>
      <c r="G2258" s="126" t="n">
        <v>47136</v>
      </c>
      <c r="H2258" s="126" t="n">
        <v>46289</v>
      </c>
      <c r="I2258" s="4" t="n">
        <v>0</v>
      </c>
      <c r="J2258" s="4" t="n">
        <v>0</v>
      </c>
      <c r="K2258" s="4" t="n">
        <v>0</v>
      </c>
      <c r="M2258" s="2">
        <f>IF(C2258="","",IFERROR(INDEX($S$5:$S$304,MATCH(C2258,$R$5:$R$304,0))&amp;"","?"))</f>
        <v/>
      </c>
      <c r="N2258" s="2">
        <f>IF(E2258="","",IF(ISNUMBER(SEARCH("SUBSOLO",E2258)),IFERROR(-VALUE(LEFT(E2258,FIND("º",SUBSTITUTE(E2258,"°","º"))-1)),-1),IF(LEFT(E2258,6)="TÉRREO",0,IFERROR(VALUE(LEFT(E2258,FIND("º",SUBSTITUTE(E2258,"°","º"))-1)),""))))</f>
        <v/>
      </c>
      <c r="O2258" s="2">
        <f>IF(OR(F2258="",G2258=""),"",IF(G2258&lt;='RETRATO 2027'!$K$5,"CONCLUÍDA",IF(F2258&lt;='RETRATO 2027'!$K$5,"EM ANDAMENTO","A INICIAR")))</f>
        <v/>
      </c>
    </row>
    <row r="2259">
      <c r="B2259" s="4" t="n">
        <v>30206095</v>
      </c>
      <c r="C2259" s="4" t="inlineStr">
        <is>
          <t>CHECKLIST FINAL</t>
        </is>
      </c>
      <c r="D2259" s="4" t="inlineStr">
        <is>
          <t>-</t>
        </is>
      </c>
      <c r="E2259" s="4" t="inlineStr">
        <is>
          <t>6º PAV (PILOTIS) - SAUNA + DUCHA</t>
        </is>
      </c>
      <c r="F2259" s="126" t="n">
        <v>47127</v>
      </c>
      <c r="G2259" s="126" t="n">
        <v>47140</v>
      </c>
      <c r="H2259" s="126" t="n">
        <v>46289</v>
      </c>
      <c r="I2259" s="4" t="n">
        <v>0</v>
      </c>
      <c r="J2259" s="4" t="n">
        <v>0</v>
      </c>
      <c r="K2259" s="4" t="n">
        <v>0</v>
      </c>
      <c r="M2259" s="2">
        <f>IF(C2259="","",IFERROR(INDEX($S$5:$S$304,MATCH(C2259,$R$5:$R$304,0))&amp;"","?"))</f>
        <v/>
      </c>
      <c r="N2259" s="2">
        <f>IF(E2259="","",IF(ISNUMBER(SEARCH("SUBSOLO",E2259)),IFERROR(-VALUE(LEFT(E2259,FIND("º",SUBSTITUTE(E2259,"°","º"))-1)),-1),IF(LEFT(E2259,6)="TÉRREO",0,IFERROR(VALUE(LEFT(E2259,FIND("º",SUBSTITUTE(E2259,"°","º"))-1)),""))))</f>
        <v/>
      </c>
      <c r="O2259" s="2">
        <f>IF(OR(F2259="",G2259=""),"",IF(G2259&lt;='RETRATO 2027'!$K$5,"CONCLUÍDA",IF(F2259&lt;='RETRATO 2027'!$K$5,"EM ANDAMENTO","A INICIAR")))</f>
        <v/>
      </c>
    </row>
    <row r="2260">
      <c r="B2260" s="4" t="n">
        <v>30206052</v>
      </c>
      <c r="C2260" s="4" t="inlineStr">
        <is>
          <t>LIMPEZA FINA</t>
        </is>
      </c>
      <c r="D2260" s="4" t="inlineStr">
        <is>
          <t>-</t>
        </is>
      </c>
      <c r="E2260" s="4" t="inlineStr">
        <is>
          <t>6º PAV (PILOTIS) - CHURRASQUEIRA + IS MASC. PCD + IS FEM. PCD + CIRCULAÇÃO 1 + HALL 1</t>
        </is>
      </c>
      <c r="F2260" s="126" t="n">
        <v>47127</v>
      </c>
      <c r="G2260" s="126" t="n">
        <v>47140</v>
      </c>
      <c r="H2260" s="126" t="n">
        <v>46289</v>
      </c>
      <c r="I2260" s="4" t="n">
        <v>0</v>
      </c>
      <c r="J2260" s="4" t="n">
        <v>0</v>
      </c>
      <c r="K2260" s="4" t="n">
        <v>0</v>
      </c>
      <c r="M2260" s="2">
        <f>IF(C2260="","",IFERROR(INDEX($S$5:$S$304,MATCH(C2260,$R$5:$R$304,0))&amp;"","?"))</f>
        <v/>
      </c>
      <c r="N2260" s="2">
        <f>IF(E2260="","",IF(ISNUMBER(SEARCH("SUBSOLO",E2260)),IFERROR(-VALUE(LEFT(E2260,FIND("º",SUBSTITUTE(E2260,"°","º"))-1)),-1),IF(LEFT(E2260,6)="TÉRREO",0,IFERROR(VALUE(LEFT(E2260,FIND("º",SUBSTITUTE(E2260,"°","º"))-1)),""))))</f>
        <v/>
      </c>
      <c r="O2260" s="2">
        <f>IF(OR(F2260="",G2260=""),"",IF(G2260&lt;='RETRATO 2027'!$K$5,"CONCLUÍDA",IF(F2260&lt;='RETRATO 2027'!$K$5,"EM ANDAMENTO","A INICIAR")))</f>
        <v/>
      </c>
    </row>
    <row r="2261">
      <c r="B2261" s="4" t="n">
        <v>30206005</v>
      </c>
      <c r="C2261" s="4" t="inlineStr">
        <is>
          <t>PINTURA 3º DEMÃO</t>
        </is>
      </c>
      <c r="D2261" s="4" t="inlineStr">
        <is>
          <t>-</t>
        </is>
      </c>
      <c r="E2261" s="4" t="inlineStr">
        <is>
          <t>6º PAV (PILOTIS) - COWORKING 1 E 2 + CIRC. 2 + HALL 2 + DML + VEST. MASC. + VEST. FEM</t>
        </is>
      </c>
      <c r="F2261" s="126" t="n">
        <v>47127</v>
      </c>
      <c r="G2261" s="126" t="n">
        <v>47140</v>
      </c>
      <c r="H2261" s="126" t="n">
        <v>46289</v>
      </c>
      <c r="I2261" s="4" t="n">
        <v>0</v>
      </c>
      <c r="J2261" s="4" t="n">
        <v>0</v>
      </c>
      <c r="K2261" s="4" t="n">
        <v>0</v>
      </c>
      <c r="M2261" s="2">
        <f>IF(C2261="","",IFERROR(INDEX($S$5:$S$304,MATCH(C2261,$R$5:$R$304,0))&amp;"","?"))</f>
        <v/>
      </c>
      <c r="N2261" s="2">
        <f>IF(E2261="","",IF(ISNUMBER(SEARCH("SUBSOLO",E2261)),IFERROR(-VALUE(LEFT(E2261,FIND("º",SUBSTITUTE(E2261,"°","º"))-1)),-1),IF(LEFT(E2261,6)="TÉRREO",0,IFERROR(VALUE(LEFT(E2261,FIND("º",SUBSTITUTE(E2261,"°","º"))-1)),""))))</f>
        <v/>
      </c>
      <c r="O2261" s="2">
        <f>IF(OR(F2261="",G2261=""),"",IF(G2261&lt;='RETRATO 2027'!$K$5,"CONCLUÍDA",IF(F2261&lt;='RETRATO 2027'!$K$5,"EM ANDAMENTO","A INICIAR")))</f>
        <v/>
      </c>
    </row>
    <row r="2262">
      <c r="B2262" s="4" t="n">
        <v>29980799</v>
      </c>
      <c r="C2262" s="4" t="inlineStr">
        <is>
          <t>CHECKLIST</t>
        </is>
      </c>
      <c r="D2262" s="4" t="inlineStr">
        <is>
          <t>-</t>
        </is>
      </c>
      <c r="E2262" s="4" t="inlineStr">
        <is>
          <t>27º PAV.</t>
        </is>
      </c>
      <c r="F2262" s="126" t="n">
        <v>47127</v>
      </c>
      <c r="G2262" s="126" t="n">
        <v>47133</v>
      </c>
      <c r="H2262" s="126" t="n">
        <v>46289</v>
      </c>
      <c r="I2262" s="4" t="n">
        <v>0</v>
      </c>
      <c r="J2262" s="4" t="n">
        <v>0</v>
      </c>
      <c r="K2262" s="4" t="n">
        <v>0</v>
      </c>
      <c r="M2262" s="2">
        <f>IF(C2262="","",IFERROR(INDEX($S$5:$S$304,MATCH(C2262,$R$5:$R$304,0))&amp;"","?"))</f>
        <v/>
      </c>
      <c r="N2262" s="2">
        <f>IF(E2262="","",IF(ISNUMBER(SEARCH("SUBSOLO",E2262)),IFERROR(-VALUE(LEFT(E2262,FIND("º",SUBSTITUTE(E2262,"°","º"))-1)),-1),IF(LEFT(E2262,6)="TÉRREO",0,IFERROR(VALUE(LEFT(E2262,FIND("º",SUBSTITUTE(E2262,"°","º"))-1)),""))))</f>
        <v/>
      </c>
      <c r="O2262" s="2">
        <f>IF(OR(F2262="",G2262=""),"",IF(G2262&lt;='RETRATO 2027'!$K$5,"CONCLUÍDA",IF(F2262&lt;='RETRATO 2027'!$K$5,"EM ANDAMENTO","A INICIAR")))</f>
        <v/>
      </c>
    </row>
    <row r="2263">
      <c r="B2263" s="4" t="n">
        <v>29980764</v>
      </c>
      <c r="C2263" s="4" t="inlineStr">
        <is>
          <t>ACABAMENTOS ELÉTRICOS</t>
        </is>
      </c>
      <c r="D2263" s="4" t="inlineStr">
        <is>
          <t>-</t>
        </is>
      </c>
      <c r="E2263" s="4" t="inlineStr">
        <is>
          <t>28º PAV.</t>
        </is>
      </c>
      <c r="F2263" s="126" t="n">
        <v>47127</v>
      </c>
      <c r="G2263" s="126" t="n">
        <v>47137</v>
      </c>
      <c r="H2263" s="126" t="n">
        <v>46289</v>
      </c>
      <c r="I2263" s="4" t="n">
        <v>0</v>
      </c>
      <c r="J2263" s="4" t="n">
        <v>0</v>
      </c>
      <c r="K2263" s="4" t="n">
        <v>0</v>
      </c>
      <c r="M2263" s="2">
        <f>IF(C2263="","",IFERROR(INDEX($S$5:$S$304,MATCH(C2263,$R$5:$R$304,0))&amp;"","?"))</f>
        <v/>
      </c>
      <c r="N2263" s="2">
        <f>IF(E2263="","",IF(ISNUMBER(SEARCH("SUBSOLO",E2263)),IFERROR(-VALUE(LEFT(E2263,FIND("º",SUBSTITUTE(E2263,"°","º"))-1)),-1),IF(LEFT(E2263,6)="TÉRREO",0,IFERROR(VALUE(LEFT(E2263,FIND("º",SUBSTITUTE(E2263,"°","º"))-1)),""))))</f>
        <v/>
      </c>
      <c r="O2263" s="2">
        <f>IF(OR(F2263="",G2263=""),"",IF(G2263&lt;='RETRATO 2027'!$K$5,"CONCLUÍDA",IF(F2263&lt;='RETRATO 2027'!$K$5,"EM ANDAMENTO","A INICIAR")))</f>
        <v/>
      </c>
    </row>
    <row r="2264">
      <c r="B2264" s="4" t="n">
        <v>29980724</v>
      </c>
      <c r="C2264" s="4" t="inlineStr">
        <is>
          <t>PINTURA 2º DEMÃO</t>
        </is>
      </c>
      <c r="D2264" s="4" t="inlineStr">
        <is>
          <t>-</t>
        </is>
      </c>
      <c r="E2264" s="4" t="inlineStr">
        <is>
          <t>29º PAV.</t>
        </is>
      </c>
      <c r="F2264" s="126" t="n">
        <v>47127</v>
      </c>
      <c r="G2264" s="126" t="n">
        <v>47137</v>
      </c>
      <c r="H2264" s="126" t="n">
        <v>46289</v>
      </c>
      <c r="I2264" s="4" t="n">
        <v>0</v>
      </c>
      <c r="J2264" s="4" t="n">
        <v>0</v>
      </c>
      <c r="K2264" s="4" t="n">
        <v>0</v>
      </c>
      <c r="M2264" s="2">
        <f>IF(C2264="","",IFERROR(INDEX($S$5:$S$304,MATCH(C2264,$R$5:$R$304,0))&amp;"","?"))</f>
        <v/>
      </c>
      <c r="N2264" s="2">
        <f>IF(E2264="","",IF(ISNUMBER(SEARCH("SUBSOLO",E2264)),IFERROR(-VALUE(LEFT(E2264,FIND("º",SUBSTITUTE(E2264,"°","º"))-1)),-1),IF(LEFT(E2264,6)="TÉRREO",0,IFERROR(VALUE(LEFT(E2264,FIND("º",SUBSTITUTE(E2264,"°","º"))-1)),""))))</f>
        <v/>
      </c>
      <c r="O2264" s="2">
        <f>IF(OR(F2264="",G2264=""),"",IF(G2264&lt;='RETRATO 2027'!$K$5,"CONCLUÍDA",IF(F2264&lt;='RETRATO 2027'!$K$5,"EM ANDAMENTO","A INICIAR")))</f>
        <v/>
      </c>
    </row>
    <row r="2265">
      <c r="B2265" s="4" t="n">
        <v>33919806</v>
      </c>
      <c r="C2265" s="4" t="inlineStr">
        <is>
          <t>TEXTURA - EXTERNA</t>
        </is>
      </c>
      <c r="D2265" s="4" t="inlineStr">
        <is>
          <t>-</t>
        </is>
      </c>
      <c r="E2265" s="4" t="inlineStr">
        <is>
          <t>29º PAV.</t>
        </is>
      </c>
      <c r="F2265" s="126" t="n">
        <v>47127</v>
      </c>
      <c r="G2265" s="126" t="n">
        <v>47137</v>
      </c>
      <c r="H2265" s="126" t="n">
        <v>46289</v>
      </c>
      <c r="I2265" s="4" t="n">
        <v>0</v>
      </c>
      <c r="J2265" s="4" t="n">
        <v>0</v>
      </c>
      <c r="K2265" s="4" t="n">
        <v>0</v>
      </c>
      <c r="M2265" s="2">
        <f>IF(C2265="","",IFERROR(INDEX($S$5:$S$304,MATCH(C2265,$R$5:$R$304,0))&amp;"","?"))</f>
        <v/>
      </c>
      <c r="N2265" s="2">
        <f>IF(E2265="","",IF(ISNUMBER(SEARCH("SUBSOLO",E2265)),IFERROR(-VALUE(LEFT(E2265,FIND("º",SUBSTITUTE(E2265,"°","º"))-1)),-1),IF(LEFT(E2265,6)="TÉRREO",0,IFERROR(VALUE(LEFT(E2265,FIND("º",SUBSTITUTE(E2265,"°","º"))-1)),""))))</f>
        <v/>
      </c>
      <c r="O2265" s="2">
        <f>IF(OR(F2265="",G2265=""),"",IF(G2265&lt;='RETRATO 2027'!$K$5,"CONCLUÍDA",IF(F2265&lt;='RETRATO 2027'!$K$5,"EM ANDAMENTO","A INICIAR")))</f>
        <v/>
      </c>
    </row>
    <row r="2266">
      <c r="B2266" s="4" t="n">
        <v>29980686</v>
      </c>
      <c r="C2266" s="4" t="inlineStr">
        <is>
          <t>LIMPEZA GROSSA</t>
        </is>
      </c>
      <c r="D2266" s="4" t="inlineStr">
        <is>
          <t>-</t>
        </is>
      </c>
      <c r="E2266" s="4" t="inlineStr">
        <is>
          <t>30º PAV.</t>
        </is>
      </c>
      <c r="F2266" s="126" t="n">
        <v>47127</v>
      </c>
      <c r="G2266" s="126" t="n">
        <v>47137</v>
      </c>
      <c r="H2266" s="126" t="n">
        <v>46289</v>
      </c>
      <c r="I2266" s="4" t="n">
        <v>0</v>
      </c>
      <c r="J2266" s="4" t="n">
        <v>0</v>
      </c>
      <c r="K2266" s="4" t="n">
        <v>0</v>
      </c>
      <c r="M2266" s="2">
        <f>IF(C2266="","",IFERROR(INDEX($S$5:$S$304,MATCH(C2266,$R$5:$R$304,0))&amp;"","?"))</f>
        <v/>
      </c>
      <c r="N2266" s="2">
        <f>IF(E2266="","",IF(ISNUMBER(SEARCH("SUBSOLO",E2266)),IFERROR(-VALUE(LEFT(E2266,FIND("º",SUBSTITUTE(E2266,"°","º"))-1)),-1),IF(LEFT(E2266,6)="TÉRREO",0,IFERROR(VALUE(LEFT(E2266,FIND("º",SUBSTITUTE(E2266,"°","º"))-1)),""))))</f>
        <v/>
      </c>
      <c r="O2266" s="2">
        <f>IF(OR(F2266="",G2266=""),"",IF(G2266&lt;='RETRATO 2027'!$K$5,"CONCLUÍDA",IF(F2266&lt;='RETRATO 2027'!$K$5,"EM ANDAMENTO","A INICIAR")))</f>
        <v/>
      </c>
    </row>
    <row r="2267">
      <c r="B2267" s="4" t="n">
        <v>29980643</v>
      </c>
      <c r="C2267" s="4" t="inlineStr">
        <is>
          <t>LOUÇAS</t>
        </is>
      </c>
      <c r="D2267" s="4" t="inlineStr">
        <is>
          <t>-</t>
        </is>
      </c>
      <c r="E2267" s="4" t="inlineStr">
        <is>
          <t>31º PAV. - COBERTURA LINEAR</t>
        </is>
      </c>
      <c r="F2267" s="126" t="n">
        <v>47127</v>
      </c>
      <c r="G2267" s="126" t="n">
        <v>47137</v>
      </c>
      <c r="H2267" s="126" t="n">
        <v>46289</v>
      </c>
      <c r="I2267" s="4" t="n">
        <v>0</v>
      </c>
      <c r="J2267" s="4" t="n">
        <v>0</v>
      </c>
      <c r="K2267" s="4" t="n">
        <v>0</v>
      </c>
      <c r="M2267" s="2">
        <f>IF(C2267="","",IFERROR(INDEX($S$5:$S$304,MATCH(C2267,$R$5:$R$304,0))&amp;"","?"))</f>
        <v/>
      </c>
      <c r="N2267" s="2">
        <f>IF(E2267="","",IF(ISNUMBER(SEARCH("SUBSOLO",E2267)),IFERROR(-VALUE(LEFT(E2267,FIND("º",SUBSTITUTE(E2267,"°","º"))-1)),-1),IF(LEFT(E2267,6)="TÉRREO",0,IFERROR(VALUE(LEFT(E2267,FIND("º",SUBSTITUTE(E2267,"°","º"))-1)),""))))</f>
        <v/>
      </c>
      <c r="O2267" s="2">
        <f>IF(OR(F2267="",G2267=""),"",IF(G2267&lt;='RETRATO 2027'!$K$5,"CONCLUÍDA",IF(F2267&lt;='RETRATO 2027'!$K$5,"EM ANDAMENTO","A INICIAR")))</f>
        <v/>
      </c>
    </row>
    <row r="2268">
      <c r="B2268" s="4" t="n">
        <v>29980648</v>
      </c>
      <c r="C2268" s="4" t="inlineStr">
        <is>
          <t>METAIS</t>
        </is>
      </c>
      <c r="D2268" s="4" t="inlineStr">
        <is>
          <t>-</t>
        </is>
      </c>
      <c r="E2268" s="4" t="inlineStr">
        <is>
          <t>31º PAV. - COBERTURA LINEAR</t>
        </is>
      </c>
      <c r="F2268" s="126" t="n">
        <v>47127</v>
      </c>
      <c r="G2268" s="126" t="n">
        <v>47137</v>
      </c>
      <c r="H2268" s="126" t="n">
        <v>46289</v>
      </c>
      <c r="I2268" s="4" t="n">
        <v>0</v>
      </c>
      <c r="J2268" s="4" t="n">
        <v>0</v>
      </c>
      <c r="K2268" s="4" t="n">
        <v>0</v>
      </c>
      <c r="M2268" s="2">
        <f>IF(C2268="","",IFERROR(INDEX($S$5:$S$304,MATCH(C2268,$R$5:$R$304,0))&amp;"","?"))</f>
        <v/>
      </c>
      <c r="N2268" s="2">
        <f>IF(E2268="","",IF(ISNUMBER(SEARCH("SUBSOLO",E2268)),IFERROR(-VALUE(LEFT(E2268,FIND("º",SUBSTITUTE(E2268,"°","º"))-1)),-1),IF(LEFT(E2268,6)="TÉRREO",0,IFERROR(VALUE(LEFT(E2268,FIND("º",SUBSTITUTE(E2268,"°","º"))-1)),""))))</f>
        <v/>
      </c>
      <c r="O2268" s="2">
        <f>IF(OR(F2268="",G2268=""),"",IF(G2268&lt;='RETRATO 2027'!$K$5,"CONCLUÍDA",IF(F2268&lt;='RETRATO 2027'!$K$5,"EM ANDAMENTO","A INICIAR")))</f>
        <v/>
      </c>
    </row>
    <row r="2269">
      <c r="B2269" s="4" t="n">
        <v>29980647</v>
      </c>
      <c r="C2269" s="4" t="inlineStr">
        <is>
          <t>DISJUNTORES / MIOLOS</t>
        </is>
      </c>
      <c r="D2269" s="4" t="inlineStr">
        <is>
          <t>-</t>
        </is>
      </c>
      <c r="E2269" s="4" t="inlineStr">
        <is>
          <t>31º PAV. - COBERTURA LINEAR</t>
        </is>
      </c>
      <c r="F2269" s="126" t="n">
        <v>47127</v>
      </c>
      <c r="G2269" s="126" t="n">
        <v>47137</v>
      </c>
      <c r="H2269" s="126" t="n">
        <v>46289</v>
      </c>
      <c r="I2269" s="4" t="n">
        <v>0</v>
      </c>
      <c r="J2269" s="4" t="n">
        <v>0</v>
      </c>
      <c r="K2269" s="4" t="n">
        <v>0</v>
      </c>
      <c r="M2269" s="2">
        <f>IF(C2269="","",IFERROR(INDEX($S$5:$S$304,MATCH(C2269,$R$5:$R$304,0))&amp;"","?"))</f>
        <v/>
      </c>
      <c r="N2269" s="2">
        <f>IF(E2269="","",IF(ISNUMBER(SEARCH("SUBSOLO",E2269)),IFERROR(-VALUE(LEFT(E2269,FIND("º",SUBSTITUTE(E2269,"°","º"))-1)),-1),IF(LEFT(E2269,6)="TÉRREO",0,IFERROR(VALUE(LEFT(E2269,FIND("º",SUBSTITUTE(E2269,"°","º"))-1)),""))))</f>
        <v/>
      </c>
      <c r="O2269" s="2">
        <f>IF(OR(F2269="",G2269=""),"",IF(G2269&lt;='RETRATO 2027'!$K$5,"CONCLUÍDA",IF(F2269&lt;='RETRATO 2027'!$K$5,"EM ANDAMENTO","A INICIAR")))</f>
        <v/>
      </c>
    </row>
    <row r="2270">
      <c r="B2270" s="4" t="n">
        <v>29980646</v>
      </c>
      <c r="C2270" s="4" t="inlineStr">
        <is>
          <t>COMUNICAÇÃO E ALARME</t>
        </is>
      </c>
      <c r="D2270" s="4" t="inlineStr">
        <is>
          <t>-</t>
        </is>
      </c>
      <c r="E2270" s="4" t="inlineStr">
        <is>
          <t>31º PAV. - COBERTURA LINEAR</t>
        </is>
      </c>
      <c r="F2270" s="126" t="n">
        <v>47127</v>
      </c>
      <c r="G2270" s="126" t="n">
        <v>47137</v>
      </c>
      <c r="H2270" s="126" t="n">
        <v>46289</v>
      </c>
      <c r="I2270" s="4" t="n">
        <v>0</v>
      </c>
      <c r="J2270" s="4" t="n">
        <v>0</v>
      </c>
      <c r="K2270" s="4" t="n">
        <v>0</v>
      </c>
      <c r="M2270" s="2">
        <f>IF(C2270="","",IFERROR(INDEX($S$5:$S$304,MATCH(C2270,$R$5:$R$304,0))&amp;"","?"))</f>
        <v/>
      </c>
      <c r="N2270" s="2">
        <f>IF(E2270="","",IF(ISNUMBER(SEARCH("SUBSOLO",E2270)),IFERROR(-VALUE(LEFT(E2270,FIND("º",SUBSTITUTE(E2270,"°","º"))-1)),-1),IF(LEFT(E2270,6)="TÉRREO",0,IFERROR(VALUE(LEFT(E2270,FIND("º",SUBSTITUTE(E2270,"°","º"))-1)),""))))</f>
        <v/>
      </c>
      <c r="O2270" s="2">
        <f>IF(OR(F2270="",G2270=""),"",IF(G2270&lt;='RETRATO 2027'!$K$5,"CONCLUÍDA",IF(F2270&lt;='RETRATO 2027'!$K$5,"EM ANDAMENTO","A INICIAR")))</f>
        <v/>
      </c>
    </row>
    <row r="2271">
      <c r="B2271" s="4" t="n">
        <v>29980605</v>
      </c>
      <c r="C2271" s="4" t="inlineStr">
        <is>
          <t>RODAPÉ MADEIRA / PVC</t>
        </is>
      </c>
      <c r="D2271" s="4" t="inlineStr">
        <is>
          <t>-</t>
        </is>
      </c>
      <c r="E2271" s="4" t="inlineStr">
        <is>
          <t>32º PAV - COBERTURA GERAL</t>
        </is>
      </c>
      <c r="F2271" s="126" t="n">
        <v>47127</v>
      </c>
      <c r="G2271" s="126" t="n">
        <v>47137</v>
      </c>
      <c r="H2271" s="126" t="n">
        <v>46289</v>
      </c>
      <c r="I2271" s="4" t="n">
        <v>0</v>
      </c>
      <c r="J2271" s="4" t="n">
        <v>0</v>
      </c>
      <c r="K2271" s="4" t="n">
        <v>0</v>
      </c>
      <c r="M2271" s="2">
        <f>IF(C2271="","",IFERROR(INDEX($S$5:$S$304,MATCH(C2271,$R$5:$R$304,0))&amp;"","?"))</f>
        <v/>
      </c>
      <c r="N2271" s="2">
        <f>IF(E2271="","",IF(ISNUMBER(SEARCH("SUBSOLO",E2271)),IFERROR(-VALUE(LEFT(E2271,FIND("º",SUBSTITUTE(E2271,"°","º"))-1)),-1),IF(LEFT(E2271,6)="TÉRREO",0,IFERROR(VALUE(LEFT(E2271,FIND("º",SUBSTITUTE(E2271,"°","º"))-1)),""))))</f>
        <v/>
      </c>
      <c r="O2271" s="2">
        <f>IF(OR(F2271="",G2271=""),"",IF(G2271&lt;='RETRATO 2027'!$K$5,"CONCLUÍDA",IF(F2271&lt;='RETRATO 2027'!$K$5,"EM ANDAMENTO","A INICIAR")))</f>
        <v/>
      </c>
    </row>
    <row r="2272">
      <c r="B2272" s="4" t="n">
        <v>30205969</v>
      </c>
      <c r="C2272" s="4" t="inlineStr">
        <is>
          <t>ACABAMENTOS ELÉTRICOS</t>
        </is>
      </c>
      <c r="D2272" s="4" t="inlineStr">
        <is>
          <t>-</t>
        </is>
      </c>
      <c r="E2272" s="4" t="inlineStr">
        <is>
          <t>6º PAV (PILOTIS) - LOUNGE + SALÃO + COZINHA + GOURMET + ESPAÇO KIDS</t>
        </is>
      </c>
      <c r="F2272" s="126" t="n">
        <v>47128</v>
      </c>
      <c r="G2272" s="126" t="n">
        <v>47133</v>
      </c>
      <c r="H2272" s="126" t="n">
        <v>46289</v>
      </c>
      <c r="I2272" s="4" t="n">
        <v>0</v>
      </c>
      <c r="J2272" s="4" t="n">
        <v>0</v>
      </c>
      <c r="K2272" s="4" t="n">
        <v>0</v>
      </c>
      <c r="M2272" s="2">
        <f>IF(C2272="","",IFERROR(INDEX($S$5:$S$304,MATCH(C2272,$R$5:$R$304,0))&amp;"","?"))</f>
        <v/>
      </c>
      <c r="N2272" s="2">
        <f>IF(E2272="","",IF(ISNUMBER(SEARCH("SUBSOLO",E2272)),IFERROR(-VALUE(LEFT(E2272,FIND("º",SUBSTITUTE(E2272,"°","º"))-1)),-1),IF(LEFT(E2272,6)="TÉRREO",0,IFERROR(VALUE(LEFT(E2272,FIND("º",SUBSTITUTE(E2272,"°","º"))-1)),""))))</f>
        <v/>
      </c>
      <c r="O2272" s="2">
        <f>IF(OR(F2272="",G2272=""),"",IF(G2272&lt;='RETRATO 2027'!$K$5,"CONCLUÍDA",IF(F2272&lt;='RETRATO 2027'!$K$5,"EM ANDAMENTO","A INICIAR")))</f>
        <v/>
      </c>
    </row>
    <row r="2273">
      <c r="B2273" s="4" t="n">
        <v>33807239</v>
      </c>
      <c r="C2273" s="4" t="inlineStr">
        <is>
          <t>VISTORIA APTOS</t>
        </is>
      </c>
      <c r="D2273" s="4" t="inlineStr">
        <is>
          <t>-</t>
        </is>
      </c>
      <c r="E2273" s="4" t="inlineStr">
        <is>
          <t>8º PAV.</t>
        </is>
      </c>
      <c r="F2273" s="126" t="n">
        <v>47129</v>
      </c>
      <c r="G2273" s="126" t="n">
        <v>47133</v>
      </c>
      <c r="H2273" s="126" t="n">
        <v>46289</v>
      </c>
      <c r="I2273" s="4" t="n">
        <v>0</v>
      </c>
      <c r="J2273" s="4" t="n">
        <v>0</v>
      </c>
      <c r="K2273" s="4" t="n">
        <v>0</v>
      </c>
      <c r="M2273" s="2">
        <f>IF(C2273="","",IFERROR(INDEX($S$5:$S$304,MATCH(C2273,$R$5:$R$304,0))&amp;"","?"))</f>
        <v/>
      </c>
      <c r="N2273" s="2">
        <f>IF(E2273="","",IF(ISNUMBER(SEARCH("SUBSOLO",E2273)),IFERROR(-VALUE(LEFT(E2273,FIND("º",SUBSTITUTE(E2273,"°","º"))-1)),-1),IF(LEFT(E2273,6)="TÉRREO",0,IFERROR(VALUE(LEFT(E2273,FIND("º",SUBSTITUTE(E2273,"°","º"))-1)),""))))</f>
        <v/>
      </c>
      <c r="O2273" s="2">
        <f>IF(OR(F2273="",G2273=""),"",IF(G2273&lt;='RETRATO 2027'!$K$5,"CONCLUÍDA",IF(F2273&lt;='RETRATO 2027'!$K$5,"EM ANDAMENTO","A INICIAR")))</f>
        <v/>
      </c>
    </row>
    <row r="2274">
      <c r="B2274" s="4" t="n">
        <v>29981411</v>
      </c>
      <c r="C2274" s="4" t="inlineStr">
        <is>
          <t>CHECKLIST FINAL</t>
        </is>
      </c>
      <c r="D2274" s="4" t="inlineStr">
        <is>
          <t>-</t>
        </is>
      </c>
      <c r="E2274" s="4" t="inlineStr">
        <is>
          <t>11º PAV.</t>
        </is>
      </c>
      <c r="F2274" s="126" t="n">
        <v>47129</v>
      </c>
      <c r="G2274" s="126" t="n">
        <v>47141</v>
      </c>
      <c r="H2274" s="126" t="n">
        <v>46289</v>
      </c>
      <c r="I2274" s="4" t="n">
        <v>0</v>
      </c>
      <c r="J2274" s="4" t="n">
        <v>0</v>
      </c>
      <c r="K2274" s="4" t="n">
        <v>0</v>
      </c>
      <c r="M2274" s="2">
        <f>IF(C2274="","",IFERROR(INDEX($S$5:$S$304,MATCH(C2274,$R$5:$R$304,0))&amp;"","?"))</f>
        <v/>
      </c>
      <c r="N2274" s="2">
        <f>IF(E2274="","",IF(ISNUMBER(SEARCH("SUBSOLO",E2274)),IFERROR(-VALUE(LEFT(E2274,FIND("º",SUBSTITUTE(E2274,"°","º"))-1)),-1),IF(LEFT(E2274,6)="TÉRREO",0,IFERROR(VALUE(LEFT(E2274,FIND("º",SUBSTITUTE(E2274,"°","º"))-1)),""))))</f>
        <v/>
      </c>
      <c r="O2274" s="2">
        <f>IF(OR(F2274="",G2274=""),"",IF(G2274&lt;='RETRATO 2027'!$K$5,"CONCLUÍDA",IF(F2274&lt;='RETRATO 2027'!$K$5,"EM ANDAMENTO","A INICIAR")))</f>
        <v/>
      </c>
    </row>
    <row r="2275">
      <c r="B2275" s="4" t="n">
        <v>30171534</v>
      </c>
      <c r="C2275" s="4" t="inlineStr">
        <is>
          <t>PINTURA 3º DEMÃO</t>
        </is>
      </c>
      <c r="D2275" s="4" t="inlineStr">
        <is>
          <t>-</t>
        </is>
      </c>
      <c r="E2275" s="4" t="inlineStr">
        <is>
          <t>HALL - GARAGENS</t>
        </is>
      </c>
      <c r="F2275" s="126" t="n">
        <v>47130</v>
      </c>
      <c r="G2275" s="126" t="n">
        <v>47161</v>
      </c>
      <c r="H2275" s="126" t="n">
        <v>46289</v>
      </c>
      <c r="I2275" s="4" t="n">
        <v>0</v>
      </c>
      <c r="J2275" s="4" t="n">
        <v>0</v>
      </c>
      <c r="K2275" s="4" t="n">
        <v>0</v>
      </c>
      <c r="M2275" s="2">
        <f>IF(C2275="","",IFERROR(INDEX($S$5:$S$304,MATCH(C2275,$R$5:$R$304,0))&amp;"","?"))</f>
        <v/>
      </c>
      <c r="N2275" s="2">
        <f>IF(E2275="","",IF(ISNUMBER(SEARCH("SUBSOLO",E2275)),IFERROR(-VALUE(LEFT(E2275,FIND("º",SUBSTITUTE(E2275,"°","º"))-1)),-1),IF(LEFT(E2275,6)="TÉRREO",0,IFERROR(VALUE(LEFT(E2275,FIND("º",SUBSTITUTE(E2275,"°","º"))-1)),""))))</f>
        <v/>
      </c>
      <c r="O2275" s="2">
        <f>IF(OR(F2275="",G2275=""),"",IF(G2275&lt;='RETRATO 2027'!$K$5,"CONCLUÍDA",IF(F2275&lt;='RETRATO 2027'!$K$5,"EM ANDAMENTO","A INICIAR")))</f>
        <v/>
      </c>
    </row>
    <row r="2276">
      <c r="B2276" s="4" t="n">
        <v>30171452</v>
      </c>
      <c r="C2276" s="4" t="inlineStr">
        <is>
          <t>LIMPEZA</t>
        </is>
      </c>
      <c r="D2276" s="4" t="inlineStr">
        <is>
          <t>-</t>
        </is>
      </c>
      <c r="E2276" s="4" t="inlineStr">
        <is>
          <t>3º PAV - GARAGEM</t>
        </is>
      </c>
      <c r="F2276" s="126" t="n">
        <v>47133</v>
      </c>
      <c r="G2276" s="126" t="n">
        <v>47151</v>
      </c>
      <c r="H2276" s="126" t="n">
        <v>46289</v>
      </c>
      <c r="I2276" s="4" t="n">
        <v>0</v>
      </c>
      <c r="J2276" s="4" t="n">
        <v>0</v>
      </c>
      <c r="K2276" s="4" t="n">
        <v>0</v>
      </c>
      <c r="M2276" s="2">
        <f>IF(C2276="","",IFERROR(INDEX($S$5:$S$304,MATCH(C2276,$R$5:$R$304,0))&amp;"","?"))</f>
        <v/>
      </c>
      <c r="N2276" s="2">
        <f>IF(E2276="","",IF(ISNUMBER(SEARCH("SUBSOLO",E2276)),IFERROR(-VALUE(LEFT(E2276,FIND("º",SUBSTITUTE(E2276,"°","º"))-1)),-1),IF(LEFT(E2276,6)="TÉRREO",0,IFERROR(VALUE(LEFT(E2276,FIND("º",SUBSTITUTE(E2276,"°","º"))-1)),""))))</f>
        <v/>
      </c>
      <c r="O2276" s="2">
        <f>IF(OR(F2276="",G2276=""),"",IF(G2276&lt;='RETRATO 2027'!$K$5,"CONCLUÍDA",IF(F2276&lt;='RETRATO 2027'!$K$5,"EM ANDAMENTO","A INICIAR")))</f>
        <v/>
      </c>
    </row>
    <row r="2277">
      <c r="B2277" s="4" t="n">
        <v>29981086</v>
      </c>
      <c r="C2277" s="4" t="inlineStr">
        <is>
          <t>RODAPÉ MADEIRA / PVC</t>
        </is>
      </c>
      <c r="D2277" s="4" t="inlineStr">
        <is>
          <t>-</t>
        </is>
      </c>
      <c r="E2277" s="4" t="inlineStr">
        <is>
          <t>19º PAV.</t>
        </is>
      </c>
      <c r="F2277" s="126" t="n">
        <v>47133</v>
      </c>
      <c r="G2277" s="126" t="n">
        <v>47141</v>
      </c>
      <c r="H2277" s="126" t="n">
        <v>46289</v>
      </c>
      <c r="I2277" s="4" t="n">
        <v>0</v>
      </c>
      <c r="J2277" s="4" t="n">
        <v>0</v>
      </c>
      <c r="K2277" s="4" t="n">
        <v>0</v>
      </c>
      <c r="M2277" s="2">
        <f>IF(C2277="","",IFERROR(INDEX($S$5:$S$304,MATCH(C2277,$R$5:$R$304,0))&amp;"","?"))</f>
        <v/>
      </c>
      <c r="N2277" s="2">
        <f>IF(E2277="","",IF(ISNUMBER(SEARCH("SUBSOLO",E2277)),IFERROR(-VALUE(LEFT(E2277,FIND("º",SUBSTITUTE(E2277,"°","º"))-1)),-1),IF(LEFT(E2277,6)="TÉRREO",0,IFERROR(VALUE(LEFT(E2277,FIND("º",SUBSTITUTE(E2277,"°","º"))-1)),""))))</f>
        <v/>
      </c>
      <c r="O2277" s="2">
        <f>IF(OR(F2277="",G2277=""),"",IF(G2277&lt;='RETRATO 2027'!$K$5,"CONCLUÍDA",IF(F2277&lt;='RETRATO 2027'!$K$5,"EM ANDAMENTO","A INICIAR")))</f>
        <v/>
      </c>
    </row>
    <row r="2278">
      <c r="B2278" s="4" t="n">
        <v>30205967</v>
      </c>
      <c r="C2278" s="4" t="inlineStr">
        <is>
          <t>CHECKLIST</t>
        </is>
      </c>
      <c r="D2278" s="4" t="inlineStr">
        <is>
          <t>-</t>
        </is>
      </c>
      <c r="E2278" s="4" t="inlineStr">
        <is>
          <t>6º PAV (PILOTIS) - LOUNGE + SALÃO + COZINHA + GOURMET + ESPAÇO KIDS</t>
        </is>
      </c>
      <c r="F2278" s="126" t="n">
        <v>47134</v>
      </c>
      <c r="G2278" s="126" t="n">
        <v>47140</v>
      </c>
      <c r="H2278" s="126" t="n">
        <v>46289</v>
      </c>
      <c r="I2278" s="4" t="n">
        <v>0</v>
      </c>
      <c r="J2278" s="4" t="n">
        <v>0</v>
      </c>
      <c r="K2278" s="4" t="n">
        <v>0</v>
      </c>
      <c r="M2278" s="2">
        <f>IF(C2278="","",IFERROR(INDEX($S$5:$S$304,MATCH(C2278,$R$5:$R$304,0))&amp;"","?"))</f>
        <v/>
      </c>
      <c r="N2278" s="2">
        <f>IF(E2278="","",IF(ISNUMBER(SEARCH("SUBSOLO",E2278)),IFERROR(-VALUE(LEFT(E2278,FIND("º",SUBSTITUTE(E2278,"°","º"))-1)),-1),IF(LEFT(E2278,6)="TÉRREO",0,IFERROR(VALUE(LEFT(E2278,FIND("º",SUBSTITUTE(E2278,"°","º"))-1)),""))))</f>
        <v/>
      </c>
      <c r="O2278" s="2">
        <f>IF(OR(F2278="",G2278=""),"",IF(G2278&lt;='RETRATO 2027'!$K$5,"CONCLUÍDA",IF(F2278&lt;='RETRATO 2027'!$K$5,"EM ANDAMENTO","A INICIAR")))</f>
        <v/>
      </c>
    </row>
    <row r="2279">
      <c r="B2279" s="4" t="n">
        <v>30171656</v>
      </c>
      <c r="C2279" s="4" t="inlineStr">
        <is>
          <t>ACABAMENTOS ELÉTRICOS</t>
        </is>
      </c>
      <c r="D2279" s="4" t="inlineStr">
        <is>
          <t>-</t>
        </is>
      </c>
      <c r="E2279" s="4" t="inlineStr">
        <is>
          <t>CX DE ESCADA DE INCÊND.</t>
        </is>
      </c>
      <c r="F2279" s="126" t="n">
        <v>47134</v>
      </c>
      <c r="G2279" s="126" t="n">
        <v>47147</v>
      </c>
      <c r="H2279" s="126" t="n">
        <v>46289</v>
      </c>
      <c r="I2279" s="4" t="n">
        <v>0</v>
      </c>
      <c r="J2279" s="4" t="n">
        <v>0</v>
      </c>
      <c r="K2279" s="4" t="n">
        <v>0</v>
      </c>
      <c r="M2279" s="2">
        <f>IF(C2279="","",IFERROR(INDEX($S$5:$S$304,MATCH(C2279,$R$5:$R$304,0))&amp;"","?"))</f>
        <v/>
      </c>
      <c r="N2279" s="2">
        <f>IF(E2279="","",IF(ISNUMBER(SEARCH("SUBSOLO",E2279)),IFERROR(-VALUE(LEFT(E2279,FIND("º",SUBSTITUTE(E2279,"°","º"))-1)),-1),IF(LEFT(E2279,6)="TÉRREO",0,IFERROR(VALUE(LEFT(E2279,FIND("º",SUBSTITUTE(E2279,"°","º"))-1)),""))))</f>
        <v/>
      </c>
      <c r="O2279" s="2">
        <f>IF(OR(F2279="",G2279=""),"",IF(G2279&lt;='RETRATO 2027'!$K$5,"CONCLUÍDA",IF(F2279&lt;='RETRATO 2027'!$K$5,"EM ANDAMENTO","A INICIAR")))</f>
        <v/>
      </c>
    </row>
    <row r="2280">
      <c r="B2280" s="4" t="n">
        <v>33807240</v>
      </c>
      <c r="C2280" s="4" t="inlineStr">
        <is>
          <t>VISTORIA APTOS</t>
        </is>
      </c>
      <c r="D2280" s="4" t="inlineStr">
        <is>
          <t>-</t>
        </is>
      </c>
      <c r="E2280" s="4" t="inlineStr">
        <is>
          <t>9º PAV.</t>
        </is>
      </c>
      <c r="F2280" s="126" t="n">
        <v>47134</v>
      </c>
      <c r="G2280" s="126" t="n">
        <v>47136</v>
      </c>
      <c r="H2280" s="126" t="n">
        <v>46289</v>
      </c>
      <c r="I2280" s="4" t="n">
        <v>0</v>
      </c>
      <c r="J2280" s="4" t="n">
        <v>0</v>
      </c>
      <c r="K2280" s="4" t="n">
        <v>0</v>
      </c>
      <c r="M2280" s="2">
        <f>IF(C2280="","",IFERROR(INDEX($S$5:$S$304,MATCH(C2280,$R$5:$R$304,0))&amp;"","?"))</f>
        <v/>
      </c>
      <c r="N2280" s="2">
        <f>IF(E2280="","",IF(ISNUMBER(SEARCH("SUBSOLO",E2280)),IFERROR(-VALUE(LEFT(E2280,FIND("º",SUBSTITUTE(E2280,"°","º"))-1)),-1),IF(LEFT(E2280,6)="TÉRREO",0,IFERROR(VALUE(LEFT(E2280,FIND("º",SUBSTITUTE(E2280,"°","º"))-1)),""))))</f>
        <v/>
      </c>
      <c r="O2280" s="2">
        <f>IF(OR(F2280="",G2280=""),"",IF(G2280&lt;='RETRATO 2027'!$K$5,"CONCLUÍDA",IF(F2280&lt;='RETRATO 2027'!$K$5,"EM ANDAMENTO","A INICIAR")))</f>
        <v/>
      </c>
    </row>
    <row r="2281">
      <c r="B2281" s="4" t="n">
        <v>29981374</v>
      </c>
      <c r="C2281" s="4" t="inlineStr">
        <is>
          <t>CHECKLIST FINAL</t>
        </is>
      </c>
      <c r="D2281" s="4" t="inlineStr">
        <is>
          <t>-</t>
        </is>
      </c>
      <c r="E2281" s="4" t="inlineStr">
        <is>
          <t>12º PAV.</t>
        </is>
      </c>
      <c r="F2281" s="126" t="n">
        <v>47134</v>
      </c>
      <c r="G2281" s="126" t="n">
        <v>47144</v>
      </c>
      <c r="H2281" s="126" t="n">
        <v>46289</v>
      </c>
      <c r="I2281" s="4" t="n">
        <v>0</v>
      </c>
      <c r="J2281" s="4" t="n">
        <v>0</v>
      </c>
      <c r="K2281" s="4" t="n">
        <v>0</v>
      </c>
      <c r="M2281" s="2">
        <f>IF(C2281="","",IFERROR(INDEX($S$5:$S$304,MATCH(C2281,$R$5:$R$304,0))&amp;"","?"))</f>
        <v/>
      </c>
      <c r="N2281" s="2">
        <f>IF(E2281="","",IF(ISNUMBER(SEARCH("SUBSOLO",E2281)),IFERROR(-VALUE(LEFT(E2281,FIND("º",SUBSTITUTE(E2281,"°","º"))-1)),-1),IF(LEFT(E2281,6)="TÉRREO",0,IFERROR(VALUE(LEFT(E2281,FIND("º",SUBSTITUTE(E2281,"°","º"))-1)),""))))</f>
        <v/>
      </c>
      <c r="O2281" s="2">
        <f>IF(OR(F2281="",G2281=""),"",IF(G2281&lt;='RETRATO 2027'!$K$5,"CONCLUÍDA",IF(F2281&lt;='RETRATO 2027'!$K$5,"EM ANDAMENTO","A INICIAR")))</f>
        <v/>
      </c>
    </row>
    <row r="2282">
      <c r="B2282" s="4" t="n">
        <v>29980847</v>
      </c>
      <c r="C2282" s="4" t="inlineStr">
        <is>
          <t>LIMPEZA FINA</t>
        </is>
      </c>
      <c r="D2282" s="4" t="inlineStr">
        <is>
          <t>-</t>
        </is>
      </c>
      <c r="E2282" s="4" t="inlineStr">
        <is>
          <t>26º PAV.</t>
        </is>
      </c>
      <c r="F2282" s="126" t="n">
        <v>47134</v>
      </c>
      <c r="G2282" s="126" t="n">
        <v>47144</v>
      </c>
      <c r="H2282" s="126" t="n">
        <v>46289</v>
      </c>
      <c r="I2282" s="4" t="n">
        <v>0</v>
      </c>
      <c r="J2282" s="4" t="n">
        <v>0</v>
      </c>
      <c r="K2282" s="4" t="n">
        <v>0</v>
      </c>
      <c r="M2282" s="2">
        <f>IF(C2282="","",IFERROR(INDEX($S$5:$S$304,MATCH(C2282,$R$5:$R$304,0))&amp;"","?"))</f>
        <v/>
      </c>
      <c r="N2282" s="2">
        <f>IF(E2282="","",IF(ISNUMBER(SEARCH("SUBSOLO",E2282)),IFERROR(-VALUE(LEFT(E2282,FIND("º",SUBSTITUTE(E2282,"°","º"))-1)),-1),IF(LEFT(E2282,6)="TÉRREO",0,IFERROR(VALUE(LEFT(E2282,FIND("º",SUBSTITUTE(E2282,"°","º"))-1)),""))))</f>
        <v/>
      </c>
      <c r="O2282" s="2">
        <f>IF(OR(F2282="",G2282=""),"",IF(G2282&lt;='RETRATO 2027'!$K$5,"CONCLUÍDA",IF(F2282&lt;='RETRATO 2027'!$K$5,"EM ANDAMENTO","A INICIAR")))</f>
        <v/>
      </c>
    </row>
    <row r="2283">
      <c r="B2283" s="4" t="n">
        <v>29980800</v>
      </c>
      <c r="C2283" s="4" t="inlineStr">
        <is>
          <t>PINTURA 3º DEMÃO</t>
        </is>
      </c>
      <c r="D2283" s="4" t="inlineStr">
        <is>
          <t>-</t>
        </is>
      </c>
      <c r="E2283" s="4" t="inlineStr">
        <is>
          <t>27º PAV.</t>
        </is>
      </c>
      <c r="F2283" s="126" t="n">
        <v>47134</v>
      </c>
      <c r="G2283" s="126" t="n">
        <v>47144</v>
      </c>
      <c r="H2283" s="126" t="n">
        <v>46289</v>
      </c>
      <c r="I2283" s="4" t="n">
        <v>0</v>
      </c>
      <c r="J2283" s="4" t="n">
        <v>0</v>
      </c>
      <c r="K2283" s="4" t="n">
        <v>0</v>
      </c>
      <c r="M2283" s="2">
        <f>IF(C2283="","",IFERROR(INDEX($S$5:$S$304,MATCH(C2283,$R$5:$R$304,0))&amp;"","?"))</f>
        <v/>
      </c>
      <c r="N2283" s="2">
        <f>IF(E2283="","",IF(ISNUMBER(SEARCH("SUBSOLO",E2283)),IFERROR(-VALUE(LEFT(E2283,FIND("º",SUBSTITUTE(E2283,"°","º"))-1)),-1),IF(LEFT(E2283,6)="TÉRREO",0,IFERROR(VALUE(LEFT(E2283,FIND("º",SUBSTITUTE(E2283,"°","º"))-1)),""))))</f>
        <v/>
      </c>
      <c r="O2283" s="2">
        <f>IF(OR(F2283="",G2283=""),"",IF(G2283&lt;='RETRATO 2027'!$K$5,"CONCLUÍDA",IF(F2283&lt;='RETRATO 2027'!$K$5,"EM ANDAMENTO","A INICIAR")))</f>
        <v/>
      </c>
    </row>
    <row r="2284">
      <c r="B2284" s="4" t="n">
        <v>33807241</v>
      </c>
      <c r="C2284" s="4" t="inlineStr">
        <is>
          <t>VISTORIA APTOS</t>
        </is>
      </c>
      <c r="D2284" s="4" t="inlineStr">
        <is>
          <t>-</t>
        </is>
      </c>
      <c r="E2284" s="4" t="inlineStr">
        <is>
          <t>10º PAV.</t>
        </is>
      </c>
      <c r="F2284" s="126" t="n">
        <v>47137</v>
      </c>
      <c r="G2284" s="126" t="n">
        <v>47141</v>
      </c>
      <c r="H2284" s="126" t="n">
        <v>46289</v>
      </c>
      <c r="I2284" s="4" t="n">
        <v>0</v>
      </c>
      <c r="J2284" s="4" t="n">
        <v>0</v>
      </c>
      <c r="K2284" s="4" t="n">
        <v>0</v>
      </c>
      <c r="M2284" s="2">
        <f>IF(C2284="","",IFERROR(INDEX($S$5:$S$304,MATCH(C2284,$R$5:$R$304,0))&amp;"","?"))</f>
        <v/>
      </c>
      <c r="N2284" s="2">
        <f>IF(E2284="","",IF(ISNUMBER(SEARCH("SUBSOLO",E2284)),IFERROR(-VALUE(LEFT(E2284,FIND("º",SUBSTITUTE(E2284,"°","º"))-1)),-1),IF(LEFT(E2284,6)="TÉRREO",0,IFERROR(VALUE(LEFT(E2284,FIND("º",SUBSTITUTE(E2284,"°","º"))-1)),""))))</f>
        <v/>
      </c>
      <c r="O2284" s="2">
        <f>IF(OR(F2284="",G2284=""),"",IF(G2284&lt;='RETRATO 2027'!$K$5,"CONCLUÍDA",IF(F2284&lt;='RETRATO 2027'!$K$5,"EM ANDAMENTO","A INICIAR")))</f>
        <v/>
      </c>
    </row>
    <row r="2285">
      <c r="B2285" s="4" t="n">
        <v>29981337</v>
      </c>
      <c r="C2285" s="4" t="inlineStr">
        <is>
          <t>CHECKLIST FINAL</t>
        </is>
      </c>
      <c r="D2285" s="4" t="inlineStr">
        <is>
          <t>-</t>
        </is>
      </c>
      <c r="E2285" s="4" t="inlineStr">
        <is>
          <t>13º PAV.</t>
        </is>
      </c>
      <c r="F2285" s="126" t="n">
        <v>47137</v>
      </c>
      <c r="G2285" s="126" t="n">
        <v>47149</v>
      </c>
      <c r="H2285" s="126" t="n">
        <v>46289</v>
      </c>
      <c r="I2285" s="4" t="n">
        <v>0</v>
      </c>
      <c r="J2285" s="4" t="n">
        <v>0</v>
      </c>
      <c r="K2285" s="4" t="n">
        <v>0</v>
      </c>
      <c r="M2285" s="2">
        <f>IF(C2285="","",IFERROR(INDEX($S$5:$S$304,MATCH(C2285,$R$5:$R$304,0))&amp;"","?"))</f>
        <v/>
      </c>
      <c r="N2285" s="2">
        <f>IF(E2285="","",IF(ISNUMBER(SEARCH("SUBSOLO",E2285)),IFERROR(-VALUE(LEFT(E2285,FIND("º",SUBSTITUTE(E2285,"°","º"))-1)),-1),IF(LEFT(E2285,6)="TÉRREO",0,IFERROR(VALUE(LEFT(E2285,FIND("º",SUBSTITUTE(E2285,"°","º"))-1)),""))))</f>
        <v/>
      </c>
      <c r="O2285" s="2">
        <f>IF(OR(F2285="",G2285=""),"",IF(G2285&lt;='RETRATO 2027'!$K$5,"CONCLUÍDA",IF(F2285&lt;='RETRATO 2027'!$K$5,"EM ANDAMENTO","A INICIAR")))</f>
        <v/>
      </c>
    </row>
    <row r="2286">
      <c r="B2286" s="4" t="n">
        <v>29980762</v>
      </c>
      <c r="C2286" s="4" t="inlineStr">
        <is>
          <t>CHECKLIST</t>
        </is>
      </c>
      <c r="D2286" s="4" t="inlineStr">
        <is>
          <t>-</t>
        </is>
      </c>
      <c r="E2286" s="4" t="inlineStr">
        <is>
          <t>28º PAV.</t>
        </is>
      </c>
      <c r="F2286" s="126" t="n">
        <v>47140</v>
      </c>
      <c r="G2286" s="126" t="n">
        <v>47144</v>
      </c>
      <c r="H2286" s="126" t="n">
        <v>46289</v>
      </c>
      <c r="I2286" s="4" t="n">
        <v>0</v>
      </c>
      <c r="J2286" s="4" t="n">
        <v>0</v>
      </c>
      <c r="K2286" s="4" t="n">
        <v>0</v>
      </c>
      <c r="M2286" s="2">
        <f>IF(C2286="","",IFERROR(INDEX($S$5:$S$304,MATCH(C2286,$R$5:$R$304,0))&amp;"","?"))</f>
        <v/>
      </c>
      <c r="N2286" s="2">
        <f>IF(E2286="","",IF(ISNUMBER(SEARCH("SUBSOLO",E2286)),IFERROR(-VALUE(LEFT(E2286,FIND("º",SUBSTITUTE(E2286,"°","º"))-1)),-1),IF(LEFT(E2286,6)="TÉRREO",0,IFERROR(VALUE(LEFT(E2286,FIND("º",SUBSTITUTE(E2286,"°","º"))-1)),""))))</f>
        <v/>
      </c>
      <c r="O2286" s="2">
        <f>IF(OR(F2286="",G2286=""),"",IF(G2286&lt;='RETRATO 2027'!$K$5,"CONCLUÍDA",IF(F2286&lt;='RETRATO 2027'!$K$5,"EM ANDAMENTO","A INICIAR")))</f>
        <v/>
      </c>
    </row>
    <row r="2287">
      <c r="B2287" s="4" t="n">
        <v>29980727</v>
      </c>
      <c r="C2287" s="4" t="inlineStr">
        <is>
          <t>ACABAMENTOS ELÉTRICOS</t>
        </is>
      </c>
      <c r="D2287" s="4" t="inlineStr">
        <is>
          <t>-</t>
        </is>
      </c>
      <c r="E2287" s="4" t="inlineStr">
        <is>
          <t>29º PAV.</t>
        </is>
      </c>
      <c r="F2287" s="126" t="n">
        <v>47140</v>
      </c>
      <c r="G2287" s="126" t="n">
        <v>47150</v>
      </c>
      <c r="H2287" s="126" t="n">
        <v>46289</v>
      </c>
      <c r="I2287" s="4" t="n">
        <v>0</v>
      </c>
      <c r="J2287" s="4" t="n">
        <v>0</v>
      </c>
      <c r="K2287" s="4" t="n">
        <v>0</v>
      </c>
      <c r="M2287" s="2">
        <f>IF(C2287="","",IFERROR(INDEX($S$5:$S$304,MATCH(C2287,$R$5:$R$304,0))&amp;"","?"))</f>
        <v/>
      </c>
      <c r="N2287" s="2">
        <f>IF(E2287="","",IF(ISNUMBER(SEARCH("SUBSOLO",E2287)),IFERROR(-VALUE(LEFT(E2287,FIND("º",SUBSTITUTE(E2287,"°","º"))-1)),-1),IF(LEFT(E2287,6)="TÉRREO",0,IFERROR(VALUE(LEFT(E2287,FIND("º",SUBSTITUTE(E2287,"°","º"))-1)),""))))</f>
        <v/>
      </c>
      <c r="O2287" s="2">
        <f>IF(OR(F2287="",G2287=""),"",IF(G2287&lt;='RETRATO 2027'!$K$5,"CONCLUÍDA",IF(F2287&lt;='RETRATO 2027'!$K$5,"EM ANDAMENTO","A INICIAR")))</f>
        <v/>
      </c>
    </row>
    <row r="2288">
      <c r="B2288" s="4" t="n">
        <v>29980687</v>
      </c>
      <c r="C2288" s="4" t="inlineStr">
        <is>
          <t>PINTURA 2º DEMÃO</t>
        </is>
      </c>
      <c r="D2288" s="4" t="inlineStr">
        <is>
          <t>-</t>
        </is>
      </c>
      <c r="E2288" s="4" t="inlineStr">
        <is>
          <t>30º PAV.</t>
        </is>
      </c>
      <c r="F2288" s="126" t="n">
        <v>47140</v>
      </c>
      <c r="G2288" s="126" t="n">
        <v>47150</v>
      </c>
      <c r="H2288" s="126" t="n">
        <v>46289</v>
      </c>
      <c r="I2288" s="4" t="n">
        <v>0</v>
      </c>
      <c r="J2288" s="4" t="n">
        <v>0</v>
      </c>
      <c r="K2288" s="4" t="n">
        <v>0</v>
      </c>
      <c r="M2288" s="2">
        <f>IF(C2288="","",IFERROR(INDEX($S$5:$S$304,MATCH(C2288,$R$5:$R$304,0))&amp;"","?"))</f>
        <v/>
      </c>
      <c r="N2288" s="2">
        <f>IF(E2288="","",IF(ISNUMBER(SEARCH("SUBSOLO",E2288)),IFERROR(-VALUE(LEFT(E2288,FIND("º",SUBSTITUTE(E2288,"°","º"))-1)),-1),IF(LEFT(E2288,6)="TÉRREO",0,IFERROR(VALUE(LEFT(E2288,FIND("º",SUBSTITUTE(E2288,"°","º"))-1)),""))))</f>
        <v/>
      </c>
      <c r="O2288" s="2">
        <f>IF(OR(F2288="",G2288=""),"",IF(G2288&lt;='RETRATO 2027'!$K$5,"CONCLUÍDA",IF(F2288&lt;='RETRATO 2027'!$K$5,"EM ANDAMENTO","A INICIAR")))</f>
        <v/>
      </c>
    </row>
    <row r="2289">
      <c r="B2289" s="4" t="n">
        <v>33919807</v>
      </c>
      <c r="C2289" s="4" t="inlineStr">
        <is>
          <t>TEXTURA - EXTERNA</t>
        </is>
      </c>
      <c r="D2289" s="4" t="inlineStr">
        <is>
          <t>-</t>
        </is>
      </c>
      <c r="E2289" s="4" t="inlineStr">
        <is>
          <t>30º PAV.</t>
        </is>
      </c>
      <c r="F2289" s="126" t="n">
        <v>47140</v>
      </c>
      <c r="G2289" s="126" t="n">
        <v>47150</v>
      </c>
      <c r="H2289" s="126" t="n">
        <v>46289</v>
      </c>
      <c r="I2289" s="4" t="n">
        <v>0</v>
      </c>
      <c r="J2289" s="4" t="n">
        <v>0</v>
      </c>
      <c r="K2289" s="4" t="n">
        <v>0</v>
      </c>
      <c r="M2289" s="2">
        <f>IF(C2289="","",IFERROR(INDEX($S$5:$S$304,MATCH(C2289,$R$5:$R$304,0))&amp;"","?"))</f>
        <v/>
      </c>
      <c r="N2289" s="2">
        <f>IF(E2289="","",IF(ISNUMBER(SEARCH("SUBSOLO",E2289)),IFERROR(-VALUE(LEFT(E2289,FIND("º",SUBSTITUTE(E2289,"°","º"))-1)),-1),IF(LEFT(E2289,6)="TÉRREO",0,IFERROR(VALUE(LEFT(E2289,FIND("º",SUBSTITUTE(E2289,"°","º"))-1)),""))))</f>
        <v/>
      </c>
      <c r="O2289" s="2">
        <f>IF(OR(F2289="",G2289=""),"",IF(G2289&lt;='RETRATO 2027'!$K$5,"CONCLUÍDA",IF(F2289&lt;='RETRATO 2027'!$K$5,"EM ANDAMENTO","A INICIAR")))</f>
        <v/>
      </c>
    </row>
    <row r="2290">
      <c r="B2290" s="4" t="n">
        <v>29980649</v>
      </c>
      <c r="C2290" s="4" t="inlineStr">
        <is>
          <t>LIMPEZA GROSSA</t>
        </is>
      </c>
      <c r="D2290" s="4" t="inlineStr">
        <is>
          <t>-</t>
        </is>
      </c>
      <c r="E2290" s="4" t="inlineStr">
        <is>
          <t>31º PAV. - COBERTURA LINEAR</t>
        </is>
      </c>
      <c r="F2290" s="126" t="n">
        <v>47140</v>
      </c>
      <c r="G2290" s="126" t="n">
        <v>47150</v>
      </c>
      <c r="H2290" s="126" t="n">
        <v>46289</v>
      </c>
      <c r="I2290" s="4" t="n">
        <v>0</v>
      </c>
      <c r="J2290" s="4" t="n">
        <v>0</v>
      </c>
      <c r="K2290" s="4" t="n">
        <v>0</v>
      </c>
      <c r="M2290" s="2">
        <f>IF(C2290="","",IFERROR(INDEX($S$5:$S$304,MATCH(C2290,$R$5:$R$304,0))&amp;"","?"))</f>
        <v/>
      </c>
      <c r="N2290" s="2">
        <f>IF(E2290="","",IF(ISNUMBER(SEARCH("SUBSOLO",E2290)),IFERROR(-VALUE(LEFT(E2290,FIND("º",SUBSTITUTE(E2290,"°","º"))-1)),-1),IF(LEFT(E2290,6)="TÉRREO",0,IFERROR(VALUE(LEFT(E2290,FIND("º",SUBSTITUTE(E2290,"°","º"))-1)),""))))</f>
        <v/>
      </c>
      <c r="O2290" s="2">
        <f>IF(OR(F2290="",G2290=""),"",IF(G2290&lt;='RETRATO 2027'!$K$5,"CONCLUÍDA",IF(F2290&lt;='RETRATO 2027'!$K$5,"EM ANDAMENTO","A INICIAR")))</f>
        <v/>
      </c>
    </row>
    <row r="2291">
      <c r="B2291" s="4" t="n">
        <v>29980606</v>
      </c>
      <c r="C2291" s="4" t="inlineStr">
        <is>
          <t>LOUÇAS</t>
        </is>
      </c>
      <c r="D2291" s="4" t="inlineStr">
        <is>
          <t>-</t>
        </is>
      </c>
      <c r="E2291" s="4" t="inlineStr">
        <is>
          <t>32º PAV - COBERTURA GERAL</t>
        </is>
      </c>
      <c r="F2291" s="126" t="n">
        <v>47140</v>
      </c>
      <c r="G2291" s="126" t="n">
        <v>47150</v>
      </c>
      <c r="H2291" s="126" t="n">
        <v>46289</v>
      </c>
      <c r="I2291" s="4" t="n">
        <v>0</v>
      </c>
      <c r="J2291" s="4" t="n">
        <v>0</v>
      </c>
      <c r="K2291" s="4" t="n">
        <v>0</v>
      </c>
      <c r="M2291" s="2">
        <f>IF(C2291="","",IFERROR(INDEX($S$5:$S$304,MATCH(C2291,$R$5:$R$304,0))&amp;"","?"))</f>
        <v/>
      </c>
      <c r="N2291" s="2">
        <f>IF(E2291="","",IF(ISNUMBER(SEARCH("SUBSOLO",E2291)),IFERROR(-VALUE(LEFT(E2291,FIND("º",SUBSTITUTE(E2291,"°","º"))-1)),-1),IF(LEFT(E2291,6)="TÉRREO",0,IFERROR(VALUE(LEFT(E2291,FIND("º",SUBSTITUTE(E2291,"°","º"))-1)),""))))</f>
        <v/>
      </c>
      <c r="O2291" s="2">
        <f>IF(OR(F2291="",G2291=""),"",IF(G2291&lt;='RETRATO 2027'!$K$5,"CONCLUÍDA",IF(F2291&lt;='RETRATO 2027'!$K$5,"EM ANDAMENTO","A INICIAR")))</f>
        <v/>
      </c>
    </row>
    <row r="2292">
      <c r="B2292" s="4" t="n">
        <v>29980611</v>
      </c>
      <c r="C2292" s="4" t="inlineStr">
        <is>
          <t>METAIS</t>
        </is>
      </c>
      <c r="D2292" s="4" t="inlineStr">
        <is>
          <t>-</t>
        </is>
      </c>
      <c r="E2292" s="4" t="inlineStr">
        <is>
          <t>32º PAV - COBERTURA GERAL</t>
        </is>
      </c>
      <c r="F2292" s="126" t="n">
        <v>47140</v>
      </c>
      <c r="G2292" s="126" t="n">
        <v>47150</v>
      </c>
      <c r="H2292" s="126" t="n">
        <v>46289</v>
      </c>
      <c r="I2292" s="4" t="n">
        <v>0</v>
      </c>
      <c r="J2292" s="4" t="n">
        <v>0</v>
      </c>
      <c r="K2292" s="4" t="n">
        <v>0</v>
      </c>
      <c r="M2292" s="2">
        <f>IF(C2292="","",IFERROR(INDEX($S$5:$S$304,MATCH(C2292,$R$5:$R$304,0))&amp;"","?"))</f>
        <v/>
      </c>
      <c r="N2292" s="2">
        <f>IF(E2292="","",IF(ISNUMBER(SEARCH("SUBSOLO",E2292)),IFERROR(-VALUE(LEFT(E2292,FIND("º",SUBSTITUTE(E2292,"°","º"))-1)),-1),IF(LEFT(E2292,6)="TÉRREO",0,IFERROR(VALUE(LEFT(E2292,FIND("º",SUBSTITUTE(E2292,"°","º"))-1)),""))))</f>
        <v/>
      </c>
      <c r="O2292" s="2">
        <f>IF(OR(F2292="",G2292=""),"",IF(G2292&lt;='RETRATO 2027'!$K$5,"CONCLUÍDA",IF(F2292&lt;='RETRATO 2027'!$K$5,"EM ANDAMENTO","A INICIAR")))</f>
        <v/>
      </c>
    </row>
    <row r="2293">
      <c r="B2293" s="4" t="n">
        <v>29980610</v>
      </c>
      <c r="C2293" s="4" t="inlineStr">
        <is>
          <t>DISJUNTORES / MIOLOS</t>
        </is>
      </c>
      <c r="D2293" s="4" t="inlineStr">
        <is>
          <t>-</t>
        </is>
      </c>
      <c r="E2293" s="4" t="inlineStr">
        <is>
          <t>32º PAV - COBERTURA GERAL</t>
        </is>
      </c>
      <c r="F2293" s="126" t="n">
        <v>47140</v>
      </c>
      <c r="G2293" s="126" t="n">
        <v>47150</v>
      </c>
      <c r="H2293" s="126" t="n">
        <v>46289</v>
      </c>
      <c r="I2293" s="4" t="n">
        <v>0</v>
      </c>
      <c r="J2293" s="4" t="n">
        <v>0</v>
      </c>
      <c r="K2293" s="4" t="n">
        <v>0</v>
      </c>
      <c r="M2293" s="2">
        <f>IF(C2293="","",IFERROR(INDEX($S$5:$S$304,MATCH(C2293,$R$5:$R$304,0))&amp;"","?"))</f>
        <v/>
      </c>
      <c r="N2293" s="2">
        <f>IF(E2293="","",IF(ISNUMBER(SEARCH("SUBSOLO",E2293)),IFERROR(-VALUE(LEFT(E2293,FIND("º",SUBSTITUTE(E2293,"°","º"))-1)),-1),IF(LEFT(E2293,6)="TÉRREO",0,IFERROR(VALUE(LEFT(E2293,FIND("º",SUBSTITUTE(E2293,"°","º"))-1)),""))))</f>
        <v/>
      </c>
      <c r="O2293" s="2">
        <f>IF(OR(F2293="",G2293=""),"",IF(G2293&lt;='RETRATO 2027'!$K$5,"CONCLUÍDA",IF(F2293&lt;='RETRATO 2027'!$K$5,"EM ANDAMENTO","A INICIAR")))</f>
        <v/>
      </c>
    </row>
    <row r="2294">
      <c r="B2294" s="4" t="n">
        <v>29980609</v>
      </c>
      <c r="C2294" s="4" t="inlineStr">
        <is>
          <t>COMUNICAÇÃO E ALARME</t>
        </is>
      </c>
      <c r="D2294" s="4" t="inlineStr">
        <is>
          <t>-</t>
        </is>
      </c>
      <c r="E2294" s="4" t="inlineStr">
        <is>
          <t>32º PAV - COBERTURA GERAL</t>
        </is>
      </c>
      <c r="F2294" s="126" t="n">
        <v>47140</v>
      </c>
      <c r="G2294" s="126" t="n">
        <v>47150</v>
      </c>
      <c r="H2294" s="126" t="n">
        <v>46289</v>
      </c>
      <c r="I2294" s="4" t="n">
        <v>0</v>
      </c>
      <c r="J2294" s="4" t="n">
        <v>0</v>
      </c>
      <c r="K2294" s="4" t="n">
        <v>0</v>
      </c>
      <c r="M2294" s="2">
        <f>IF(C2294="","",IFERROR(INDEX($S$5:$S$304,MATCH(C2294,$R$5:$R$304,0))&amp;"","?"))</f>
        <v/>
      </c>
      <c r="N2294" s="2">
        <f>IF(E2294="","",IF(ISNUMBER(SEARCH("SUBSOLO",E2294)),IFERROR(-VALUE(LEFT(E2294,FIND("º",SUBSTITUTE(E2294,"°","º"))-1)),-1),IF(LEFT(E2294,6)="TÉRREO",0,IFERROR(VALUE(LEFT(E2294,FIND("º",SUBSTITUTE(E2294,"°","º"))-1)),""))))</f>
        <v/>
      </c>
      <c r="O2294" s="2">
        <f>IF(OR(F2294="",G2294=""),"",IF(G2294&lt;='RETRATO 2027'!$K$5,"CONCLUÍDA",IF(F2294&lt;='RETRATO 2027'!$K$5,"EM ANDAMENTO","A INICIAR")))</f>
        <v/>
      </c>
    </row>
    <row r="2295">
      <c r="B2295" s="4" t="n">
        <v>30206058</v>
      </c>
      <c r="C2295" s="4" t="inlineStr">
        <is>
          <t>CHECKLIST FINAL</t>
        </is>
      </c>
      <c r="D2295" s="4" t="inlineStr">
        <is>
          <t>-</t>
        </is>
      </c>
      <c r="E2295" s="4" t="inlineStr">
        <is>
          <t>6º PAV (PILOTIS) - CHURRASQUEIRA + IS MASC. PCD + IS FEM. PCD + CIRCULAÇÃO 1 + HALL 1</t>
        </is>
      </c>
      <c r="F2295" s="126" t="n">
        <v>47141</v>
      </c>
      <c r="G2295" s="126" t="n">
        <v>47154</v>
      </c>
      <c r="H2295" s="126" t="n">
        <v>46289</v>
      </c>
      <c r="I2295" s="4" t="n">
        <v>0</v>
      </c>
      <c r="J2295" s="4" t="n">
        <v>0</v>
      </c>
      <c r="K2295" s="4" t="n">
        <v>0</v>
      </c>
      <c r="M2295" s="2">
        <f>IF(C2295="","",IFERROR(INDEX($S$5:$S$304,MATCH(C2295,$R$5:$R$304,0))&amp;"","?"))</f>
        <v/>
      </c>
      <c r="N2295" s="2">
        <f>IF(E2295="","",IF(ISNUMBER(SEARCH("SUBSOLO",E2295)),IFERROR(-VALUE(LEFT(E2295,FIND("º",SUBSTITUTE(E2295,"°","º"))-1)),-1),IF(LEFT(E2295,6)="TÉRREO",0,IFERROR(VALUE(LEFT(E2295,FIND("º",SUBSTITUTE(E2295,"°","º"))-1)),""))))</f>
        <v/>
      </c>
      <c r="O2295" s="2">
        <f>IF(OR(F2295="",G2295=""),"",IF(G2295&lt;='RETRATO 2027'!$K$5,"CONCLUÍDA",IF(F2295&lt;='RETRATO 2027'!$K$5,"EM ANDAMENTO","A INICIAR")))</f>
        <v/>
      </c>
    </row>
    <row r="2296">
      <c r="B2296" s="4" t="n">
        <v>30206015</v>
      </c>
      <c r="C2296" s="4" t="inlineStr">
        <is>
          <t>LIMPEZA FINA</t>
        </is>
      </c>
      <c r="D2296" s="4" t="inlineStr">
        <is>
          <t>-</t>
        </is>
      </c>
      <c r="E2296" s="4" t="inlineStr">
        <is>
          <t>6º PAV (PILOTIS) - COWORKING 1 E 2 + CIRC. 2 + HALL 2 + DML + VEST. MASC. + VEST. FEM</t>
        </is>
      </c>
      <c r="F2296" s="126" t="n">
        <v>47141</v>
      </c>
      <c r="G2296" s="126" t="n">
        <v>47154</v>
      </c>
      <c r="H2296" s="126" t="n">
        <v>46289</v>
      </c>
      <c r="I2296" s="4" t="n">
        <v>0</v>
      </c>
      <c r="J2296" s="4" t="n">
        <v>0</v>
      </c>
      <c r="K2296" s="4" t="n">
        <v>0</v>
      </c>
      <c r="M2296" s="2">
        <f>IF(C2296="","",IFERROR(INDEX($S$5:$S$304,MATCH(C2296,$R$5:$R$304,0))&amp;"","?"))</f>
        <v/>
      </c>
      <c r="N2296" s="2">
        <f>IF(E2296="","",IF(ISNUMBER(SEARCH("SUBSOLO",E2296)),IFERROR(-VALUE(LEFT(E2296,FIND("º",SUBSTITUTE(E2296,"°","º"))-1)),-1),IF(LEFT(E2296,6)="TÉRREO",0,IFERROR(VALUE(LEFT(E2296,FIND("º",SUBSTITUTE(E2296,"°","º"))-1)),""))))</f>
        <v/>
      </c>
      <c r="O2296" s="2">
        <f>IF(OR(F2296="",G2296=""),"",IF(G2296&lt;='RETRATO 2027'!$K$5,"CONCLUÍDA",IF(F2296&lt;='RETRATO 2027'!$K$5,"EM ANDAMENTO","A INICIAR")))</f>
        <v/>
      </c>
    </row>
    <row r="2297">
      <c r="B2297" s="4" t="n">
        <v>30205968</v>
      </c>
      <c r="C2297" s="4" t="inlineStr">
        <is>
          <t>PINTURA 3º DEMÃO</t>
        </is>
      </c>
      <c r="D2297" s="4" t="inlineStr">
        <is>
          <t>-</t>
        </is>
      </c>
      <c r="E2297" s="4" t="inlineStr">
        <is>
          <t>6º PAV (PILOTIS) - LOUNGE + SALÃO + COZINHA + GOURMET + ESPAÇO KIDS</t>
        </is>
      </c>
      <c r="F2297" s="126" t="n">
        <v>47141</v>
      </c>
      <c r="G2297" s="126" t="n">
        <v>47154</v>
      </c>
      <c r="H2297" s="126" t="n">
        <v>46289</v>
      </c>
      <c r="I2297" s="4" t="n">
        <v>0</v>
      </c>
      <c r="J2297" s="4" t="n">
        <v>0</v>
      </c>
      <c r="K2297" s="4" t="n">
        <v>0</v>
      </c>
      <c r="M2297" s="2">
        <f>IF(C2297="","",IFERROR(INDEX($S$5:$S$304,MATCH(C2297,$R$5:$R$304,0))&amp;"","?"))</f>
        <v/>
      </c>
      <c r="N2297" s="2">
        <f>IF(E2297="","",IF(ISNUMBER(SEARCH("SUBSOLO",E2297)),IFERROR(-VALUE(LEFT(E2297,FIND("º",SUBSTITUTE(E2297,"°","º"))-1)),-1),IF(LEFT(E2297,6)="TÉRREO",0,IFERROR(VALUE(LEFT(E2297,FIND("º",SUBSTITUTE(E2297,"°","º"))-1)),""))))</f>
        <v/>
      </c>
      <c r="O2297" s="2">
        <f>IF(OR(F2297="",G2297=""),"",IF(G2297&lt;='RETRATO 2027'!$K$5,"CONCLUÍDA",IF(F2297&lt;='RETRATO 2027'!$K$5,"EM ANDAMENTO","A INICIAR")))</f>
        <v/>
      </c>
    </row>
    <row r="2298">
      <c r="B2298" s="4" t="n">
        <v>33807242</v>
      </c>
      <c r="C2298" s="4" t="inlineStr">
        <is>
          <t>VISTORIA APTOS</t>
        </is>
      </c>
      <c r="D2298" s="4" t="inlineStr">
        <is>
          <t>-</t>
        </is>
      </c>
      <c r="E2298" s="4" t="inlineStr">
        <is>
          <t>11º PAV.</t>
        </is>
      </c>
      <c r="F2298" s="126" t="n">
        <v>47142</v>
      </c>
      <c r="G2298" s="126" t="n">
        <v>47144</v>
      </c>
      <c r="H2298" s="126" t="n">
        <v>46289</v>
      </c>
      <c r="I2298" s="4" t="n">
        <v>0</v>
      </c>
      <c r="J2298" s="4" t="n">
        <v>0</v>
      </c>
      <c r="K2298" s="4" t="n">
        <v>0</v>
      </c>
      <c r="M2298" s="2">
        <f>IF(C2298="","",IFERROR(INDEX($S$5:$S$304,MATCH(C2298,$R$5:$R$304,0))&amp;"","?"))</f>
        <v/>
      </c>
      <c r="N2298" s="2">
        <f>IF(E2298="","",IF(ISNUMBER(SEARCH("SUBSOLO",E2298)),IFERROR(-VALUE(LEFT(E2298,FIND("º",SUBSTITUTE(E2298,"°","º"))-1)),-1),IF(LEFT(E2298,6)="TÉRREO",0,IFERROR(VALUE(LEFT(E2298,FIND("º",SUBSTITUTE(E2298,"°","º"))-1)),""))))</f>
        <v/>
      </c>
      <c r="O2298" s="2">
        <f>IF(OR(F2298="",G2298=""),"",IF(G2298&lt;='RETRATO 2027'!$K$5,"CONCLUÍDA",IF(F2298&lt;='RETRATO 2027'!$K$5,"EM ANDAMENTO","A INICIAR")))</f>
        <v/>
      </c>
    </row>
    <row r="2299">
      <c r="B2299" s="4" t="n">
        <v>29981300</v>
      </c>
      <c r="C2299" s="4" t="inlineStr">
        <is>
          <t>CHECKLIST FINAL</t>
        </is>
      </c>
      <c r="D2299" s="4" t="inlineStr">
        <is>
          <t>-</t>
        </is>
      </c>
      <c r="E2299" s="4" t="inlineStr">
        <is>
          <t>14º PAV.</t>
        </is>
      </c>
      <c r="F2299" s="126" t="n">
        <v>47142</v>
      </c>
      <c r="G2299" s="126" t="n">
        <v>47154</v>
      </c>
      <c r="H2299" s="126" t="n">
        <v>46289</v>
      </c>
      <c r="I2299" s="4" t="n">
        <v>0</v>
      </c>
      <c r="J2299" s="4" t="n">
        <v>0</v>
      </c>
      <c r="K2299" s="4" t="n">
        <v>0</v>
      </c>
      <c r="M2299" s="2">
        <f>IF(C2299="","",IFERROR(INDEX($S$5:$S$304,MATCH(C2299,$R$5:$R$304,0))&amp;"","?"))</f>
        <v/>
      </c>
      <c r="N2299" s="2">
        <f>IF(E2299="","",IF(ISNUMBER(SEARCH("SUBSOLO",E2299)),IFERROR(-VALUE(LEFT(E2299,FIND("º",SUBSTITUTE(E2299,"°","º"))-1)),-1),IF(LEFT(E2299,6)="TÉRREO",0,IFERROR(VALUE(LEFT(E2299,FIND("º",SUBSTITUTE(E2299,"°","º"))-1)),""))))</f>
        <v/>
      </c>
      <c r="O2299" s="2">
        <f>IF(OR(F2299="",G2299=""),"",IF(G2299&lt;='RETRATO 2027'!$K$5,"CONCLUÍDA",IF(F2299&lt;='RETRATO 2027'!$K$5,"EM ANDAMENTO","A INICIAR")))</f>
        <v/>
      </c>
    </row>
    <row r="2300">
      <c r="B2300" s="4" t="n">
        <v>29981087</v>
      </c>
      <c r="C2300" s="4" t="inlineStr">
        <is>
          <t>LOUÇAS</t>
        </is>
      </c>
      <c r="D2300" s="4" t="inlineStr">
        <is>
          <t>-</t>
        </is>
      </c>
      <c r="E2300" s="4" t="inlineStr">
        <is>
          <t>19º PAV.</t>
        </is>
      </c>
      <c r="F2300" s="126" t="n">
        <v>47142</v>
      </c>
      <c r="G2300" s="126" t="n">
        <v>47154</v>
      </c>
      <c r="H2300" s="126" t="n">
        <v>46289</v>
      </c>
      <c r="I2300" s="4" t="n">
        <v>0</v>
      </c>
      <c r="J2300" s="4" t="n">
        <v>0</v>
      </c>
      <c r="K2300" s="4" t="n">
        <v>0</v>
      </c>
      <c r="M2300" s="2">
        <f>IF(C2300="","",IFERROR(INDEX($S$5:$S$304,MATCH(C2300,$R$5:$R$304,0))&amp;"","?"))</f>
        <v/>
      </c>
      <c r="N2300" s="2">
        <f>IF(E2300="","",IF(ISNUMBER(SEARCH("SUBSOLO",E2300)),IFERROR(-VALUE(LEFT(E2300,FIND("º",SUBSTITUTE(E2300,"°","º"))-1)),-1),IF(LEFT(E2300,6)="TÉRREO",0,IFERROR(VALUE(LEFT(E2300,FIND("º",SUBSTITUTE(E2300,"°","º"))-1)),""))))</f>
        <v/>
      </c>
      <c r="O2300" s="2">
        <f>IF(OR(F2300="",G2300=""),"",IF(G2300&lt;='RETRATO 2027'!$K$5,"CONCLUÍDA",IF(F2300&lt;='RETRATO 2027'!$K$5,"EM ANDAMENTO","A INICIAR")))</f>
        <v/>
      </c>
    </row>
    <row r="2301">
      <c r="B2301" s="4" t="n">
        <v>29981092</v>
      </c>
      <c r="C2301" s="4" t="inlineStr">
        <is>
          <t>METAIS</t>
        </is>
      </c>
      <c r="D2301" s="4" t="inlineStr">
        <is>
          <t>-</t>
        </is>
      </c>
      <c r="E2301" s="4" t="inlineStr">
        <is>
          <t>19º PAV.</t>
        </is>
      </c>
      <c r="F2301" s="126" t="n">
        <v>47142</v>
      </c>
      <c r="G2301" s="126" t="n">
        <v>47154</v>
      </c>
      <c r="H2301" s="126" t="n">
        <v>46289</v>
      </c>
      <c r="I2301" s="4" t="n">
        <v>0</v>
      </c>
      <c r="J2301" s="4" t="n">
        <v>0</v>
      </c>
      <c r="K2301" s="4" t="n">
        <v>0</v>
      </c>
      <c r="M2301" s="2">
        <f>IF(C2301="","",IFERROR(INDEX($S$5:$S$304,MATCH(C2301,$R$5:$R$304,0))&amp;"","?"))</f>
        <v/>
      </c>
      <c r="N2301" s="2">
        <f>IF(E2301="","",IF(ISNUMBER(SEARCH("SUBSOLO",E2301)),IFERROR(-VALUE(LEFT(E2301,FIND("º",SUBSTITUTE(E2301,"°","º"))-1)),-1),IF(LEFT(E2301,6)="TÉRREO",0,IFERROR(VALUE(LEFT(E2301,FIND("º",SUBSTITUTE(E2301,"°","º"))-1)),""))))</f>
        <v/>
      </c>
      <c r="O2301" s="2">
        <f>IF(OR(F2301="",G2301=""),"",IF(G2301&lt;='RETRATO 2027'!$K$5,"CONCLUÍDA",IF(F2301&lt;='RETRATO 2027'!$K$5,"EM ANDAMENTO","A INICIAR")))</f>
        <v/>
      </c>
    </row>
    <row r="2302">
      <c r="B2302" s="4" t="n">
        <v>29981091</v>
      </c>
      <c r="C2302" s="4" t="inlineStr">
        <is>
          <t>DISJUNTORES / MIOLOS</t>
        </is>
      </c>
      <c r="D2302" s="4" t="inlineStr">
        <is>
          <t>-</t>
        </is>
      </c>
      <c r="E2302" s="4" t="inlineStr">
        <is>
          <t>19º PAV.</t>
        </is>
      </c>
      <c r="F2302" s="126" t="n">
        <v>47142</v>
      </c>
      <c r="G2302" s="126" t="n">
        <v>47154</v>
      </c>
      <c r="H2302" s="126" t="n">
        <v>46289</v>
      </c>
      <c r="I2302" s="4" t="n">
        <v>0</v>
      </c>
      <c r="J2302" s="4" t="n">
        <v>0</v>
      </c>
      <c r="K2302" s="4" t="n">
        <v>0</v>
      </c>
      <c r="M2302" s="2">
        <f>IF(C2302="","",IFERROR(INDEX($S$5:$S$304,MATCH(C2302,$R$5:$R$304,0))&amp;"","?"))</f>
        <v/>
      </c>
      <c r="N2302" s="2">
        <f>IF(E2302="","",IF(ISNUMBER(SEARCH("SUBSOLO",E2302)),IFERROR(-VALUE(LEFT(E2302,FIND("º",SUBSTITUTE(E2302,"°","º"))-1)),-1),IF(LEFT(E2302,6)="TÉRREO",0,IFERROR(VALUE(LEFT(E2302,FIND("º",SUBSTITUTE(E2302,"°","º"))-1)),""))))</f>
        <v/>
      </c>
      <c r="O2302" s="2">
        <f>IF(OR(F2302="",G2302=""),"",IF(G2302&lt;='RETRATO 2027'!$K$5,"CONCLUÍDA",IF(F2302&lt;='RETRATO 2027'!$K$5,"EM ANDAMENTO","A INICIAR")))</f>
        <v/>
      </c>
    </row>
    <row r="2303">
      <c r="B2303" s="4" t="n">
        <v>29981090</v>
      </c>
      <c r="C2303" s="4" t="inlineStr">
        <is>
          <t>COMUNICAÇÃO E ALARME</t>
        </is>
      </c>
      <c r="D2303" s="4" t="inlineStr">
        <is>
          <t>-</t>
        </is>
      </c>
      <c r="E2303" s="4" t="inlineStr">
        <is>
          <t>19º PAV.</t>
        </is>
      </c>
      <c r="F2303" s="126" t="n">
        <v>47142</v>
      </c>
      <c r="G2303" s="126" t="n">
        <v>47154</v>
      </c>
      <c r="H2303" s="126" t="n">
        <v>46289</v>
      </c>
      <c r="I2303" s="4" t="n">
        <v>0</v>
      </c>
      <c r="J2303" s="4" t="n">
        <v>0</v>
      </c>
      <c r="K2303" s="4" t="n">
        <v>0</v>
      </c>
      <c r="M2303" s="2">
        <f>IF(C2303="","",IFERROR(INDEX($S$5:$S$304,MATCH(C2303,$R$5:$R$304,0))&amp;"","?"))</f>
        <v/>
      </c>
      <c r="N2303" s="2">
        <f>IF(E2303="","",IF(ISNUMBER(SEARCH("SUBSOLO",E2303)),IFERROR(-VALUE(LEFT(E2303,FIND("º",SUBSTITUTE(E2303,"°","º"))-1)),-1),IF(LEFT(E2303,6)="TÉRREO",0,IFERROR(VALUE(LEFT(E2303,FIND("º",SUBSTITUTE(E2303,"°","º"))-1)),""))))</f>
        <v/>
      </c>
      <c r="O2303" s="2">
        <f>IF(OR(F2303="",G2303=""),"",IF(G2303&lt;='RETRATO 2027'!$K$5,"CONCLUÍDA",IF(F2303&lt;='RETRATO 2027'!$K$5,"EM ANDAMENTO","A INICIAR")))</f>
        <v/>
      </c>
    </row>
    <row r="2304">
      <c r="B2304" s="4" t="n">
        <v>30205927</v>
      </c>
      <c r="C2304" s="4" t="inlineStr">
        <is>
          <t>LIMPEZA</t>
        </is>
      </c>
      <c r="D2304" s="4" t="inlineStr">
        <is>
          <t>-</t>
        </is>
      </c>
      <c r="E2304" s="4" t="inlineStr">
        <is>
          <t>6º PAV (PILOTIS) - PLAYGROUND + TERRAÇO DESCOBERTO + QUADRA DE RECREAÇÃO</t>
        </is>
      </c>
      <c r="F2304" s="126" t="n">
        <v>47144</v>
      </c>
      <c r="G2304" s="126" t="n">
        <v>47164</v>
      </c>
      <c r="H2304" s="126" t="n">
        <v>46289</v>
      </c>
      <c r="I2304" s="4" t="n">
        <v>0</v>
      </c>
      <c r="J2304" s="4" t="n">
        <v>0</v>
      </c>
      <c r="K2304" s="4" t="n">
        <v>0</v>
      </c>
      <c r="M2304" s="2">
        <f>IF(C2304="","",IFERROR(INDEX($S$5:$S$304,MATCH(C2304,$R$5:$R$304,0))&amp;"","?"))</f>
        <v/>
      </c>
      <c r="N2304" s="2">
        <f>IF(E2304="","",IF(ISNUMBER(SEARCH("SUBSOLO",E2304)),IFERROR(-VALUE(LEFT(E2304,FIND("º",SUBSTITUTE(E2304,"°","º"))-1)),-1),IF(LEFT(E2304,6)="TÉRREO",0,IFERROR(VALUE(LEFT(E2304,FIND("º",SUBSTITUTE(E2304,"°","º"))-1)),""))))</f>
        <v/>
      </c>
      <c r="O2304" s="2">
        <f>IF(OR(F2304="",G2304=""),"",IF(G2304&lt;='RETRATO 2027'!$K$5,"CONCLUÍDA",IF(F2304&lt;='RETRATO 2027'!$K$5,"EM ANDAMENTO","A INICIAR")))</f>
        <v/>
      </c>
    </row>
    <row r="2305">
      <c r="B2305" s="4" t="n">
        <v>30171423</v>
      </c>
      <c r="C2305" s="4" t="inlineStr">
        <is>
          <t>TEXTURA - 2º E 3º DEMÃO</t>
        </is>
      </c>
      <c r="D2305" s="4" t="inlineStr">
        <is>
          <t>-</t>
        </is>
      </c>
      <c r="E2305" s="4" t="inlineStr">
        <is>
          <t>4º PAV - GARAGEM</t>
        </is>
      </c>
      <c r="F2305" s="126" t="n">
        <v>47147</v>
      </c>
      <c r="G2305" s="126" t="n">
        <v>47158</v>
      </c>
      <c r="H2305" s="126" t="n">
        <v>46289</v>
      </c>
      <c r="I2305" s="4" t="n">
        <v>0</v>
      </c>
      <c r="J2305" s="4" t="n">
        <v>0</v>
      </c>
      <c r="K2305" s="4" t="n">
        <v>0</v>
      </c>
      <c r="M2305" s="2">
        <f>IF(C2305="","",IFERROR(INDEX($S$5:$S$304,MATCH(C2305,$R$5:$R$304,0))&amp;"","?"))</f>
        <v/>
      </c>
      <c r="N2305" s="2">
        <f>IF(E2305="","",IF(ISNUMBER(SEARCH("SUBSOLO",E2305)),IFERROR(-VALUE(LEFT(E2305,FIND("º",SUBSTITUTE(E2305,"°","º"))-1)),-1),IF(LEFT(E2305,6)="TÉRREO",0,IFERROR(VALUE(LEFT(E2305,FIND("º",SUBSTITUTE(E2305,"°","º"))-1)),""))))</f>
        <v/>
      </c>
      <c r="O2305" s="2">
        <f>IF(OR(F2305="",G2305=""),"",IF(G2305&lt;='RETRATO 2027'!$K$5,"CONCLUÍDA",IF(F2305&lt;='RETRATO 2027'!$K$5,"EM ANDAMENTO","A INICIAR")))</f>
        <v/>
      </c>
    </row>
    <row r="2306">
      <c r="B2306" s="4" t="n">
        <v>30171391</v>
      </c>
      <c r="C2306" s="4" t="inlineStr">
        <is>
          <t>ACABAMENTOS ELÉTRICOS</t>
        </is>
      </c>
      <c r="D2306" s="4" t="inlineStr">
        <is>
          <t>-</t>
        </is>
      </c>
      <c r="E2306" s="4" t="inlineStr">
        <is>
          <t>5º PAV - GARAGEM</t>
        </is>
      </c>
      <c r="F2306" s="126" t="n">
        <v>47147</v>
      </c>
      <c r="G2306" s="126" t="n">
        <v>47158</v>
      </c>
      <c r="H2306" s="126" t="n">
        <v>46289</v>
      </c>
      <c r="I2306" s="4" t="n">
        <v>0</v>
      </c>
      <c r="J2306" s="4" t="n">
        <v>0</v>
      </c>
      <c r="K2306" s="4" t="n">
        <v>0</v>
      </c>
      <c r="M2306" s="2">
        <f>IF(C2306="","",IFERROR(INDEX($S$5:$S$304,MATCH(C2306,$R$5:$R$304,0))&amp;"","?"))</f>
        <v/>
      </c>
      <c r="N2306" s="2">
        <f>IF(E2306="","",IF(ISNUMBER(SEARCH("SUBSOLO",E2306)),IFERROR(-VALUE(LEFT(E2306,FIND("º",SUBSTITUTE(E2306,"°","º"))-1)),-1),IF(LEFT(E2306,6)="TÉRREO",0,IFERROR(VALUE(LEFT(E2306,FIND("º",SUBSTITUTE(E2306,"°","º"))-1)),""))))</f>
        <v/>
      </c>
      <c r="O2306" s="2">
        <f>IF(OR(F2306="",G2306=""),"",IF(G2306&lt;='RETRATO 2027'!$K$5,"CONCLUÍDA",IF(F2306&lt;='RETRATO 2027'!$K$5,"EM ANDAMENTO","A INICIAR")))</f>
        <v/>
      </c>
    </row>
    <row r="2307">
      <c r="B2307" s="4" t="n">
        <v>30171390</v>
      </c>
      <c r="C2307" s="4" t="inlineStr">
        <is>
          <t>DEMARCAÇÃO DE VAGAS</t>
        </is>
      </c>
      <c r="D2307" s="4" t="inlineStr">
        <is>
          <t>-</t>
        </is>
      </c>
      <c r="E2307" s="4" t="inlineStr">
        <is>
          <t>5º PAV - GARAGEM</t>
        </is>
      </c>
      <c r="F2307" s="126" t="n">
        <v>47147</v>
      </c>
      <c r="G2307" s="126" t="n">
        <v>47172</v>
      </c>
      <c r="H2307" s="126" t="n">
        <v>46289</v>
      </c>
      <c r="I2307" s="4" t="n">
        <v>0</v>
      </c>
      <c r="J2307" s="4" t="n">
        <v>0</v>
      </c>
      <c r="K2307" s="4" t="n">
        <v>0</v>
      </c>
      <c r="M2307" s="2">
        <f>IF(C2307="","",IFERROR(INDEX($S$5:$S$304,MATCH(C2307,$R$5:$R$304,0))&amp;"","?"))</f>
        <v/>
      </c>
      <c r="N2307" s="2">
        <f>IF(E2307="","",IF(ISNUMBER(SEARCH("SUBSOLO",E2307)),IFERROR(-VALUE(LEFT(E2307,FIND("º",SUBSTITUTE(E2307,"°","º"))-1)),-1),IF(LEFT(E2307,6)="TÉRREO",0,IFERROR(VALUE(LEFT(E2307,FIND("º",SUBSTITUTE(E2307,"°","º"))-1)),""))))</f>
        <v/>
      </c>
      <c r="O2307" s="2">
        <f>IF(OR(F2307="",G2307=""),"",IF(G2307&lt;='RETRATO 2027'!$K$5,"CONCLUÍDA",IF(F2307&lt;='RETRATO 2027'!$K$5,"EM ANDAMENTO","A INICIAR")))</f>
        <v/>
      </c>
    </row>
    <row r="2308">
      <c r="B2308" s="4" t="n">
        <v>30171402</v>
      </c>
      <c r="C2308" s="4" t="inlineStr">
        <is>
          <t>INSTALAÇÃO DE METAIS</t>
        </is>
      </c>
      <c r="D2308" s="4" t="inlineStr">
        <is>
          <t>-</t>
        </is>
      </c>
      <c r="E2308" s="4" t="inlineStr">
        <is>
          <t>5º PAV - GARAGEM</t>
        </is>
      </c>
      <c r="F2308" s="126" t="n">
        <v>47147</v>
      </c>
      <c r="G2308" s="126" t="n">
        <v>47158</v>
      </c>
      <c r="H2308" s="126" t="n">
        <v>46289</v>
      </c>
      <c r="I2308" s="4" t="n">
        <v>0</v>
      </c>
      <c r="J2308" s="4" t="n">
        <v>0</v>
      </c>
      <c r="K2308" s="4" t="n">
        <v>0</v>
      </c>
      <c r="M2308" s="2">
        <f>IF(C2308="","",IFERROR(INDEX($S$5:$S$304,MATCH(C2308,$R$5:$R$304,0))&amp;"","?"))</f>
        <v/>
      </c>
      <c r="N2308" s="2">
        <f>IF(E2308="","",IF(ISNUMBER(SEARCH("SUBSOLO",E2308)),IFERROR(-VALUE(LEFT(E2308,FIND("º",SUBSTITUTE(E2308,"°","º"))-1)),-1),IF(LEFT(E2308,6)="TÉRREO",0,IFERROR(VALUE(LEFT(E2308,FIND("º",SUBSTITUTE(E2308,"°","º"))-1)),""))))</f>
        <v/>
      </c>
      <c r="O2308" s="2">
        <f>IF(OR(F2308="",G2308=""),"",IF(G2308&lt;='RETRATO 2027'!$K$5,"CONCLUÍDA",IF(F2308&lt;='RETRATO 2027'!$K$5,"EM ANDAMENTO","A INICIAR")))</f>
        <v/>
      </c>
    </row>
    <row r="2309">
      <c r="B2309" s="4" t="n">
        <v>30171403</v>
      </c>
      <c r="C2309" s="4" t="inlineStr">
        <is>
          <t>INST. CARREGADOR DE VEÍCULOS</t>
        </is>
      </c>
      <c r="D2309" s="4" t="inlineStr">
        <is>
          <t>-</t>
        </is>
      </c>
      <c r="E2309" s="4" t="inlineStr">
        <is>
          <t>5º PAV - GARAGEM</t>
        </is>
      </c>
      <c r="F2309" s="126" t="n">
        <v>47147</v>
      </c>
      <c r="G2309" s="126" t="n">
        <v>47158</v>
      </c>
      <c r="H2309" s="126" t="n">
        <v>46289</v>
      </c>
      <c r="I2309" s="4" t="n">
        <v>0</v>
      </c>
      <c r="J2309" s="4" t="n">
        <v>0</v>
      </c>
      <c r="K2309" s="4" t="n">
        <v>0</v>
      </c>
      <c r="M2309" s="2">
        <f>IF(C2309="","",IFERROR(INDEX($S$5:$S$304,MATCH(C2309,$R$5:$R$304,0))&amp;"","?"))</f>
        <v/>
      </c>
      <c r="N2309" s="2">
        <f>IF(E2309="","",IF(ISNUMBER(SEARCH("SUBSOLO",E2309)),IFERROR(-VALUE(LEFT(E2309,FIND("º",SUBSTITUTE(E2309,"°","º"))-1)),-1),IF(LEFT(E2309,6)="TÉRREO",0,IFERROR(VALUE(LEFT(E2309,FIND("º",SUBSTITUTE(E2309,"°","º"))-1)),""))))</f>
        <v/>
      </c>
      <c r="O2309" s="2">
        <f>IF(OR(F2309="",G2309=""),"",IF(G2309&lt;='RETRATO 2027'!$K$5,"CONCLUÍDA",IF(F2309&lt;='RETRATO 2027'!$K$5,"EM ANDAMENTO","A INICIAR")))</f>
        <v/>
      </c>
    </row>
    <row r="2310">
      <c r="B2310" s="4" t="n">
        <v>30171406</v>
      </c>
      <c r="C2310" s="4" t="inlineStr">
        <is>
          <t>PLACAS E IDEINTIFIC. VISUAIS</t>
        </is>
      </c>
      <c r="D2310" s="4" t="inlineStr">
        <is>
          <t>-</t>
        </is>
      </c>
      <c r="E2310" s="4" t="inlineStr">
        <is>
          <t>5º PAV - GARAGEM</t>
        </is>
      </c>
      <c r="F2310" s="126" t="n">
        <v>47147</v>
      </c>
      <c r="G2310" s="126" t="n">
        <v>47158</v>
      </c>
      <c r="H2310" s="126" t="n">
        <v>46289</v>
      </c>
      <c r="I2310" s="4" t="n">
        <v>0</v>
      </c>
      <c r="J2310" s="4" t="n">
        <v>0</v>
      </c>
      <c r="K2310" s="4" t="n">
        <v>0</v>
      </c>
      <c r="M2310" s="2">
        <f>IF(C2310="","",IFERROR(INDEX($S$5:$S$304,MATCH(C2310,$R$5:$R$304,0))&amp;"","?"))</f>
        <v/>
      </c>
      <c r="N2310" s="2">
        <f>IF(E2310="","",IF(ISNUMBER(SEARCH("SUBSOLO",E2310)),IFERROR(-VALUE(LEFT(E2310,FIND("º",SUBSTITUTE(E2310,"°","º"))-1)),-1),IF(LEFT(E2310,6)="TÉRREO",0,IFERROR(VALUE(LEFT(E2310,FIND("º",SUBSTITUTE(E2310,"°","º"))-1)),""))))</f>
        <v/>
      </c>
      <c r="O2310" s="2">
        <f>IF(OR(F2310="",G2310=""),"",IF(G2310&lt;='RETRATO 2027'!$K$5,"CONCLUÍDA",IF(F2310&lt;='RETRATO 2027'!$K$5,"EM ANDAMENTO","A INICIAR")))</f>
        <v/>
      </c>
    </row>
    <row r="2311">
      <c r="B2311" s="4" t="n">
        <v>33807243</v>
      </c>
      <c r="C2311" s="4" t="inlineStr">
        <is>
          <t>VISTORIA APTOS</t>
        </is>
      </c>
      <c r="D2311" s="4" t="inlineStr">
        <is>
          <t>-</t>
        </is>
      </c>
      <c r="E2311" s="4" t="inlineStr">
        <is>
          <t>12º PAV.</t>
        </is>
      </c>
      <c r="F2311" s="126" t="n">
        <v>47147</v>
      </c>
      <c r="G2311" s="126" t="n">
        <v>47149</v>
      </c>
      <c r="H2311" s="126" t="n">
        <v>46289</v>
      </c>
      <c r="I2311" s="4" t="n">
        <v>0</v>
      </c>
      <c r="J2311" s="4" t="n">
        <v>0</v>
      </c>
      <c r="K2311" s="4" t="n">
        <v>0</v>
      </c>
      <c r="M2311" s="2">
        <f>IF(C2311="","",IFERROR(INDEX($S$5:$S$304,MATCH(C2311,$R$5:$R$304,0))&amp;"","?"))</f>
        <v/>
      </c>
      <c r="N2311" s="2">
        <f>IF(E2311="","",IF(ISNUMBER(SEARCH("SUBSOLO",E2311)),IFERROR(-VALUE(LEFT(E2311,FIND("º",SUBSTITUTE(E2311,"°","º"))-1)),-1),IF(LEFT(E2311,6)="TÉRREO",0,IFERROR(VALUE(LEFT(E2311,FIND("º",SUBSTITUTE(E2311,"°","º"))-1)),""))))</f>
        <v/>
      </c>
      <c r="O2311" s="2">
        <f>IF(OR(F2311="",G2311=""),"",IF(G2311&lt;='RETRATO 2027'!$K$5,"CONCLUÍDA",IF(F2311&lt;='RETRATO 2027'!$K$5,"EM ANDAMENTO","A INICIAR")))</f>
        <v/>
      </c>
    </row>
    <row r="2312">
      <c r="B2312" s="4" t="n">
        <v>29981263</v>
      </c>
      <c r="C2312" s="4" t="inlineStr">
        <is>
          <t>CHECKLIST FINAL</t>
        </is>
      </c>
      <c r="D2312" s="4" t="inlineStr">
        <is>
          <t>-</t>
        </is>
      </c>
      <c r="E2312" s="4" t="inlineStr">
        <is>
          <t>15º PAV.</t>
        </is>
      </c>
      <c r="F2312" s="126" t="n">
        <v>47147</v>
      </c>
      <c r="G2312" s="126" t="n">
        <v>47157</v>
      </c>
      <c r="H2312" s="126" t="n">
        <v>46289</v>
      </c>
      <c r="I2312" s="4" t="n">
        <v>0</v>
      </c>
      <c r="J2312" s="4" t="n">
        <v>0</v>
      </c>
      <c r="K2312" s="4" t="n">
        <v>0</v>
      </c>
      <c r="M2312" s="2">
        <f>IF(C2312="","",IFERROR(INDEX($S$5:$S$304,MATCH(C2312,$R$5:$R$304,0))&amp;"","?"))</f>
        <v/>
      </c>
      <c r="N2312" s="2">
        <f>IF(E2312="","",IF(ISNUMBER(SEARCH("SUBSOLO",E2312)),IFERROR(-VALUE(LEFT(E2312,FIND("º",SUBSTITUTE(E2312,"°","º"))-1)),-1),IF(LEFT(E2312,6)="TÉRREO",0,IFERROR(VALUE(LEFT(E2312,FIND("º",SUBSTITUTE(E2312,"°","º"))-1)),""))))</f>
        <v/>
      </c>
      <c r="O2312" s="2">
        <f>IF(OR(F2312="",G2312=""),"",IF(G2312&lt;='RETRATO 2027'!$K$5,"CONCLUÍDA",IF(F2312&lt;='RETRATO 2027'!$K$5,"EM ANDAMENTO","A INICIAR")))</f>
        <v/>
      </c>
    </row>
    <row r="2313">
      <c r="B2313" s="4" t="n">
        <v>29980810</v>
      </c>
      <c r="C2313" s="4" t="inlineStr">
        <is>
          <t>LIMPEZA FINA</t>
        </is>
      </c>
      <c r="D2313" s="4" t="inlineStr">
        <is>
          <t>-</t>
        </is>
      </c>
      <c r="E2313" s="4" t="inlineStr">
        <is>
          <t>27º PAV.</t>
        </is>
      </c>
      <c r="F2313" s="126" t="n">
        <v>47147</v>
      </c>
      <c r="G2313" s="126" t="n">
        <v>47157</v>
      </c>
      <c r="H2313" s="126" t="n">
        <v>46289</v>
      </c>
      <c r="I2313" s="4" t="n">
        <v>0</v>
      </c>
      <c r="J2313" s="4" t="n">
        <v>0</v>
      </c>
      <c r="K2313" s="4" t="n">
        <v>0</v>
      </c>
      <c r="M2313" s="2">
        <f>IF(C2313="","",IFERROR(INDEX($S$5:$S$304,MATCH(C2313,$R$5:$R$304,0))&amp;"","?"))</f>
        <v/>
      </c>
      <c r="N2313" s="2">
        <f>IF(E2313="","",IF(ISNUMBER(SEARCH("SUBSOLO",E2313)),IFERROR(-VALUE(LEFT(E2313,FIND("º",SUBSTITUTE(E2313,"°","º"))-1)),-1),IF(LEFT(E2313,6)="TÉRREO",0,IFERROR(VALUE(LEFT(E2313,FIND("º",SUBSTITUTE(E2313,"°","º"))-1)),""))))</f>
        <v/>
      </c>
      <c r="O2313" s="2">
        <f>IF(OR(F2313="",G2313=""),"",IF(G2313&lt;='RETRATO 2027'!$K$5,"CONCLUÍDA",IF(F2313&lt;='RETRATO 2027'!$K$5,"EM ANDAMENTO","A INICIAR")))</f>
        <v/>
      </c>
    </row>
    <row r="2314">
      <c r="B2314" s="4" t="n">
        <v>29980763</v>
      </c>
      <c r="C2314" s="4" t="inlineStr">
        <is>
          <t>PINTURA 3º DEMÃO</t>
        </is>
      </c>
      <c r="D2314" s="4" t="inlineStr">
        <is>
          <t>-</t>
        </is>
      </c>
      <c r="E2314" s="4" t="inlineStr">
        <is>
          <t>28º PAV.</t>
        </is>
      </c>
      <c r="F2314" s="126" t="n">
        <v>47147</v>
      </c>
      <c r="G2314" s="126" t="n">
        <v>47157</v>
      </c>
      <c r="H2314" s="126" t="n">
        <v>46289</v>
      </c>
      <c r="I2314" s="4" t="n">
        <v>0</v>
      </c>
      <c r="J2314" s="4" t="n">
        <v>0</v>
      </c>
      <c r="K2314" s="4" t="n">
        <v>0</v>
      </c>
      <c r="M2314" s="2">
        <f>IF(C2314="","",IFERROR(INDEX($S$5:$S$304,MATCH(C2314,$R$5:$R$304,0))&amp;"","?"))</f>
        <v/>
      </c>
      <c r="N2314" s="2">
        <f>IF(E2314="","",IF(ISNUMBER(SEARCH("SUBSOLO",E2314)),IFERROR(-VALUE(LEFT(E2314,FIND("º",SUBSTITUTE(E2314,"°","º"))-1)),-1),IF(LEFT(E2314,6)="TÉRREO",0,IFERROR(VALUE(LEFT(E2314,FIND("º",SUBSTITUTE(E2314,"°","º"))-1)),""))))</f>
        <v/>
      </c>
      <c r="O2314" s="2">
        <f>IF(OR(F2314="",G2314=""),"",IF(G2314&lt;='RETRATO 2027'!$K$5,"CONCLUÍDA",IF(F2314&lt;='RETRATO 2027'!$K$5,"EM ANDAMENTO","A INICIAR")))</f>
        <v/>
      </c>
    </row>
    <row r="2315">
      <c r="B2315" s="4" t="n">
        <v>30171657</v>
      </c>
      <c r="C2315" s="4" t="inlineStr">
        <is>
          <t>PINTURA 3º DEMÃO</t>
        </is>
      </c>
      <c r="D2315" s="4" t="inlineStr">
        <is>
          <t>-</t>
        </is>
      </c>
      <c r="E2315" s="4" t="inlineStr">
        <is>
          <t>CX DE ESCADA DE INCÊND.</t>
        </is>
      </c>
      <c r="F2315" s="126" t="n">
        <v>47148</v>
      </c>
      <c r="G2315" s="126" t="n">
        <v>47175</v>
      </c>
      <c r="H2315" s="126" t="n">
        <v>46289</v>
      </c>
      <c r="I2315" s="4" t="n">
        <v>0</v>
      </c>
      <c r="J2315" s="4" t="n">
        <v>0</v>
      </c>
      <c r="K2315" s="4" t="n">
        <v>0</v>
      </c>
      <c r="M2315" s="2">
        <f>IF(C2315="","",IFERROR(INDEX($S$5:$S$304,MATCH(C2315,$R$5:$R$304,0))&amp;"","?"))</f>
        <v/>
      </c>
      <c r="N2315" s="2">
        <f>IF(E2315="","",IF(ISNUMBER(SEARCH("SUBSOLO",E2315)),IFERROR(-VALUE(LEFT(E2315,FIND("º",SUBSTITUTE(E2315,"°","º"))-1)),-1),IF(LEFT(E2315,6)="TÉRREO",0,IFERROR(VALUE(LEFT(E2315,FIND("º",SUBSTITUTE(E2315,"°","º"))-1)),""))))</f>
        <v/>
      </c>
      <c r="O2315" s="2">
        <f>IF(OR(F2315="",G2315=""),"",IF(G2315&lt;='RETRATO 2027'!$K$5,"CONCLUÍDA",IF(F2315&lt;='RETRATO 2027'!$K$5,"EM ANDAMENTO","A INICIAR")))</f>
        <v/>
      </c>
    </row>
    <row r="2316">
      <c r="B2316" s="4" t="n">
        <v>33807244</v>
      </c>
      <c r="C2316" s="4" t="inlineStr">
        <is>
          <t>VISTORIA APTOS</t>
        </is>
      </c>
      <c r="D2316" s="4" t="inlineStr">
        <is>
          <t>-</t>
        </is>
      </c>
      <c r="E2316" s="4" t="inlineStr">
        <is>
          <t>13º PAV.</t>
        </is>
      </c>
      <c r="F2316" s="126" t="n">
        <v>47150</v>
      </c>
      <c r="G2316" s="126" t="n">
        <v>47154</v>
      </c>
      <c r="H2316" s="126" t="n">
        <v>46289</v>
      </c>
      <c r="I2316" s="4" t="n">
        <v>0</v>
      </c>
      <c r="J2316" s="4" t="n">
        <v>0</v>
      </c>
      <c r="K2316" s="4" t="n">
        <v>0</v>
      </c>
      <c r="M2316" s="2">
        <f>IF(C2316="","",IFERROR(INDEX($S$5:$S$304,MATCH(C2316,$R$5:$R$304,0))&amp;"","?"))</f>
        <v/>
      </c>
      <c r="N2316" s="2">
        <f>IF(E2316="","",IF(ISNUMBER(SEARCH("SUBSOLO",E2316)),IFERROR(-VALUE(LEFT(E2316,FIND("º",SUBSTITUTE(E2316,"°","º"))-1)),-1),IF(LEFT(E2316,6)="TÉRREO",0,IFERROR(VALUE(LEFT(E2316,FIND("º",SUBSTITUTE(E2316,"°","º"))-1)),""))))</f>
        <v/>
      </c>
      <c r="O2316" s="2">
        <f>IF(OR(F2316="",G2316=""),"",IF(G2316&lt;='RETRATO 2027'!$K$5,"CONCLUÍDA",IF(F2316&lt;='RETRATO 2027'!$K$5,"EM ANDAMENTO","A INICIAR")))</f>
        <v/>
      </c>
    </row>
    <row r="2317">
      <c r="B2317" s="4" t="n">
        <v>29981226</v>
      </c>
      <c r="C2317" s="4" t="inlineStr">
        <is>
          <t>CHECKLIST FINAL</t>
        </is>
      </c>
      <c r="D2317" s="4" t="inlineStr">
        <is>
          <t>-</t>
        </is>
      </c>
      <c r="E2317" s="4" t="inlineStr">
        <is>
          <t>16º PAV.</t>
        </is>
      </c>
      <c r="F2317" s="126" t="n">
        <v>47150</v>
      </c>
      <c r="G2317" s="126" t="n">
        <v>47162</v>
      </c>
      <c r="H2317" s="126" t="n">
        <v>46289</v>
      </c>
      <c r="I2317" s="4" t="n">
        <v>0</v>
      </c>
      <c r="J2317" s="4" t="n">
        <v>0</v>
      </c>
      <c r="K2317" s="4" t="n">
        <v>0</v>
      </c>
      <c r="M2317" s="2">
        <f>IF(C2317="","",IFERROR(INDEX($S$5:$S$304,MATCH(C2317,$R$5:$R$304,0))&amp;"","?"))</f>
        <v/>
      </c>
      <c r="N2317" s="2">
        <f>IF(E2317="","",IF(ISNUMBER(SEARCH("SUBSOLO",E2317)),IFERROR(-VALUE(LEFT(E2317,FIND("º",SUBSTITUTE(E2317,"°","º"))-1)),-1),IF(LEFT(E2317,6)="TÉRREO",0,IFERROR(VALUE(LEFT(E2317,FIND("º",SUBSTITUTE(E2317,"°","º"))-1)),""))))</f>
        <v/>
      </c>
      <c r="O2317" s="2">
        <f>IF(OR(F2317="",G2317=""),"",IF(G2317&lt;='RETRATO 2027'!$K$5,"CONCLUÍDA",IF(F2317&lt;='RETRATO 2027'!$K$5,"EM ANDAMENTO","A INICIAR")))</f>
        <v/>
      </c>
    </row>
    <row r="2318">
      <c r="B2318" s="4" t="n">
        <v>29980725</v>
      </c>
      <c r="C2318" s="4" t="inlineStr">
        <is>
          <t>CHECKLIST</t>
        </is>
      </c>
      <c r="D2318" s="4" t="inlineStr">
        <is>
          <t>-</t>
        </is>
      </c>
      <c r="E2318" s="4" t="inlineStr">
        <is>
          <t>29º PAV.</t>
        </is>
      </c>
      <c r="F2318" s="126" t="n">
        <v>47151</v>
      </c>
      <c r="G2318" s="126" t="n">
        <v>47157</v>
      </c>
      <c r="H2318" s="126" t="n">
        <v>46289</v>
      </c>
      <c r="I2318" s="4" t="n">
        <v>0</v>
      </c>
      <c r="J2318" s="4" t="n">
        <v>0</v>
      </c>
      <c r="K2318" s="4" t="n">
        <v>0</v>
      </c>
      <c r="M2318" s="2">
        <f>IF(C2318="","",IFERROR(INDEX($S$5:$S$304,MATCH(C2318,$R$5:$R$304,0))&amp;"","?"))</f>
        <v/>
      </c>
      <c r="N2318" s="2">
        <f>IF(E2318="","",IF(ISNUMBER(SEARCH("SUBSOLO",E2318)),IFERROR(-VALUE(LEFT(E2318,FIND("º",SUBSTITUTE(E2318,"°","º"))-1)),-1),IF(LEFT(E2318,6)="TÉRREO",0,IFERROR(VALUE(LEFT(E2318,FIND("º",SUBSTITUTE(E2318,"°","º"))-1)),""))))</f>
        <v/>
      </c>
      <c r="O2318" s="2">
        <f>IF(OR(F2318="",G2318=""),"",IF(G2318&lt;='RETRATO 2027'!$K$5,"CONCLUÍDA",IF(F2318&lt;='RETRATO 2027'!$K$5,"EM ANDAMENTO","A INICIAR")))</f>
        <v/>
      </c>
    </row>
    <row r="2319">
      <c r="B2319" s="4" t="n">
        <v>29980690</v>
      </c>
      <c r="C2319" s="4" t="inlineStr">
        <is>
          <t>ACABAMENTOS ELÉTRICOS</t>
        </is>
      </c>
      <c r="D2319" s="4" t="inlineStr">
        <is>
          <t>-</t>
        </is>
      </c>
      <c r="E2319" s="4" t="inlineStr">
        <is>
          <t>30º PAV.</t>
        </is>
      </c>
      <c r="F2319" s="126" t="n">
        <v>47151</v>
      </c>
      <c r="G2319" s="126" t="n">
        <v>47163</v>
      </c>
      <c r="H2319" s="126" t="n">
        <v>46289</v>
      </c>
      <c r="I2319" s="4" t="n">
        <v>0</v>
      </c>
      <c r="J2319" s="4" t="n">
        <v>0</v>
      </c>
      <c r="K2319" s="4" t="n">
        <v>0</v>
      </c>
      <c r="M2319" s="2">
        <f>IF(C2319="","",IFERROR(INDEX($S$5:$S$304,MATCH(C2319,$R$5:$R$304,0))&amp;"","?"))</f>
        <v/>
      </c>
      <c r="N2319" s="2">
        <f>IF(E2319="","",IF(ISNUMBER(SEARCH("SUBSOLO",E2319)),IFERROR(-VALUE(LEFT(E2319,FIND("º",SUBSTITUTE(E2319,"°","º"))-1)),-1),IF(LEFT(E2319,6)="TÉRREO",0,IFERROR(VALUE(LEFT(E2319,FIND("º",SUBSTITUTE(E2319,"°","º"))-1)),""))))</f>
        <v/>
      </c>
      <c r="O2319" s="2">
        <f>IF(OR(F2319="",G2319=""),"",IF(G2319&lt;='RETRATO 2027'!$K$5,"CONCLUÍDA",IF(F2319&lt;='RETRATO 2027'!$K$5,"EM ANDAMENTO","A INICIAR")))</f>
        <v/>
      </c>
    </row>
    <row r="2320">
      <c r="B2320" s="4" t="n">
        <v>29980650</v>
      </c>
      <c r="C2320" s="4" t="inlineStr">
        <is>
          <t>PINTURA 2º DEMÃO</t>
        </is>
      </c>
      <c r="D2320" s="4" t="inlineStr">
        <is>
          <t>-</t>
        </is>
      </c>
      <c r="E2320" s="4" t="inlineStr">
        <is>
          <t>31º PAV. - COBERTURA LINEAR</t>
        </is>
      </c>
      <c r="F2320" s="126" t="n">
        <v>47151</v>
      </c>
      <c r="G2320" s="126" t="n">
        <v>47163</v>
      </c>
      <c r="H2320" s="126" t="n">
        <v>46289</v>
      </c>
      <c r="I2320" s="4" t="n">
        <v>0</v>
      </c>
      <c r="J2320" s="4" t="n">
        <v>0</v>
      </c>
      <c r="K2320" s="4" t="n">
        <v>0</v>
      </c>
      <c r="M2320" s="2">
        <f>IF(C2320="","",IFERROR(INDEX($S$5:$S$304,MATCH(C2320,$R$5:$R$304,0))&amp;"","?"))</f>
        <v/>
      </c>
      <c r="N2320" s="2">
        <f>IF(E2320="","",IF(ISNUMBER(SEARCH("SUBSOLO",E2320)),IFERROR(-VALUE(LEFT(E2320,FIND("º",SUBSTITUTE(E2320,"°","º"))-1)),-1),IF(LEFT(E2320,6)="TÉRREO",0,IFERROR(VALUE(LEFT(E2320,FIND("º",SUBSTITUTE(E2320,"°","º"))-1)),""))))</f>
        <v/>
      </c>
      <c r="O2320" s="2">
        <f>IF(OR(F2320="",G2320=""),"",IF(G2320&lt;='RETRATO 2027'!$K$5,"CONCLUÍDA",IF(F2320&lt;='RETRATO 2027'!$K$5,"EM ANDAMENTO","A INICIAR")))</f>
        <v/>
      </c>
    </row>
    <row r="2321">
      <c r="B2321" s="4" t="n">
        <v>33919808</v>
      </c>
      <c r="C2321" s="4" t="inlineStr">
        <is>
          <t>TEXTURA - EXTERNA</t>
        </is>
      </c>
      <c r="D2321" s="4" t="inlineStr">
        <is>
          <t>-</t>
        </is>
      </c>
      <c r="E2321" s="4" t="inlineStr">
        <is>
          <t>31º PAV. - COBERTURA LINEAR</t>
        </is>
      </c>
      <c r="F2321" s="126" t="n">
        <v>47151</v>
      </c>
      <c r="G2321" s="126" t="n">
        <v>47163</v>
      </c>
      <c r="H2321" s="126" t="n">
        <v>46289</v>
      </c>
      <c r="I2321" s="4" t="n">
        <v>0</v>
      </c>
      <c r="J2321" s="4" t="n">
        <v>0</v>
      </c>
      <c r="K2321" s="4" t="n">
        <v>0</v>
      </c>
      <c r="M2321" s="2">
        <f>IF(C2321="","",IFERROR(INDEX($S$5:$S$304,MATCH(C2321,$R$5:$R$304,0))&amp;"","?"))</f>
        <v/>
      </c>
      <c r="N2321" s="2">
        <f>IF(E2321="","",IF(ISNUMBER(SEARCH("SUBSOLO",E2321)),IFERROR(-VALUE(LEFT(E2321,FIND("º",SUBSTITUTE(E2321,"°","º"))-1)),-1),IF(LEFT(E2321,6)="TÉRREO",0,IFERROR(VALUE(LEFT(E2321,FIND("º",SUBSTITUTE(E2321,"°","º"))-1)),""))))</f>
        <v/>
      </c>
      <c r="O2321" s="2">
        <f>IF(OR(F2321="",G2321=""),"",IF(G2321&lt;='RETRATO 2027'!$K$5,"CONCLUÍDA",IF(F2321&lt;='RETRATO 2027'!$K$5,"EM ANDAMENTO","A INICIAR")))</f>
        <v/>
      </c>
    </row>
    <row r="2322">
      <c r="B2322" s="4" t="n">
        <v>29980612</v>
      </c>
      <c r="C2322" s="4" t="inlineStr">
        <is>
          <t>LIMPEZA GROSSA</t>
        </is>
      </c>
      <c r="D2322" s="4" t="inlineStr">
        <is>
          <t>-</t>
        </is>
      </c>
      <c r="E2322" s="4" t="inlineStr">
        <is>
          <t>32º PAV - COBERTURA GERAL</t>
        </is>
      </c>
      <c r="F2322" s="126" t="n">
        <v>47151</v>
      </c>
      <c r="G2322" s="126" t="n">
        <v>47163</v>
      </c>
      <c r="H2322" s="126" t="n">
        <v>46289</v>
      </c>
      <c r="I2322" s="4" t="n">
        <v>0</v>
      </c>
      <c r="J2322" s="4" t="n">
        <v>0</v>
      </c>
      <c r="K2322" s="4" t="n">
        <v>0</v>
      </c>
      <c r="M2322" s="2">
        <f>IF(C2322="","",IFERROR(INDEX($S$5:$S$304,MATCH(C2322,$R$5:$R$304,0))&amp;"","?"))</f>
        <v/>
      </c>
      <c r="N2322" s="2">
        <f>IF(E2322="","",IF(ISNUMBER(SEARCH("SUBSOLO",E2322)),IFERROR(-VALUE(LEFT(E2322,FIND("º",SUBSTITUTE(E2322,"°","º"))-1)),-1),IF(LEFT(E2322,6)="TÉRREO",0,IFERROR(VALUE(LEFT(E2322,FIND("º",SUBSTITUTE(E2322,"°","º"))-1)),""))))</f>
        <v/>
      </c>
      <c r="O2322" s="2">
        <f>IF(OR(F2322="",G2322=""),"",IF(G2322&lt;='RETRATO 2027'!$K$5,"CONCLUÍDA",IF(F2322&lt;='RETRATO 2027'!$K$5,"EM ANDAMENTO","A INICIAR")))</f>
        <v/>
      </c>
    </row>
    <row r="2323">
      <c r="B2323" s="4" t="n">
        <v>30206021</v>
      </c>
      <c r="C2323" s="4" t="inlineStr">
        <is>
          <t>CHECKLIST FINAL</t>
        </is>
      </c>
      <c r="D2323" s="4" t="inlineStr">
        <is>
          <t>-</t>
        </is>
      </c>
      <c r="E2323" s="4" t="inlineStr">
        <is>
          <t>6º PAV (PILOTIS) - COWORKING 1 E 2 + CIRC. 2 + HALL 2 + DML + VEST. MASC. + VEST. FEM</t>
        </is>
      </c>
      <c r="F2323" s="126" t="n">
        <v>47155</v>
      </c>
      <c r="G2323" s="126" t="n">
        <v>47168</v>
      </c>
      <c r="H2323" s="126" t="n">
        <v>46289</v>
      </c>
      <c r="I2323" s="4" t="n">
        <v>0</v>
      </c>
      <c r="J2323" s="4" t="n">
        <v>0</v>
      </c>
      <c r="K2323" s="4" t="n">
        <v>0</v>
      </c>
      <c r="M2323" s="2">
        <f>IF(C2323="","",IFERROR(INDEX($S$5:$S$304,MATCH(C2323,$R$5:$R$304,0))&amp;"","?"))</f>
        <v/>
      </c>
      <c r="N2323" s="2">
        <f>IF(E2323="","",IF(ISNUMBER(SEARCH("SUBSOLO",E2323)),IFERROR(-VALUE(LEFT(E2323,FIND("º",SUBSTITUTE(E2323,"°","º"))-1)),-1),IF(LEFT(E2323,6)="TÉRREO",0,IFERROR(VALUE(LEFT(E2323,FIND("º",SUBSTITUTE(E2323,"°","º"))-1)),""))))</f>
        <v/>
      </c>
      <c r="O2323" s="2">
        <f>IF(OR(F2323="",G2323=""),"",IF(G2323&lt;='RETRATO 2027'!$K$5,"CONCLUÍDA",IF(F2323&lt;='RETRATO 2027'!$K$5,"EM ANDAMENTO","A INICIAR")))</f>
        <v/>
      </c>
    </row>
    <row r="2324">
      <c r="B2324" s="4" t="n">
        <v>30205978</v>
      </c>
      <c r="C2324" s="4" t="inlineStr">
        <is>
          <t>LIMPEZA FINA</t>
        </is>
      </c>
      <c r="D2324" s="4" t="inlineStr">
        <is>
          <t>-</t>
        </is>
      </c>
      <c r="E2324" s="4" t="inlineStr">
        <is>
          <t>6º PAV (PILOTIS) - LOUNGE + SALÃO + COZINHA + GOURMET + ESPAÇO KIDS</t>
        </is>
      </c>
      <c r="F2324" s="126" t="n">
        <v>47155</v>
      </c>
      <c r="G2324" s="126" t="n">
        <v>47168</v>
      </c>
      <c r="H2324" s="126" t="n">
        <v>46289</v>
      </c>
      <c r="I2324" s="4" t="n">
        <v>0</v>
      </c>
      <c r="J2324" s="4" t="n">
        <v>0</v>
      </c>
      <c r="K2324" s="4" t="n">
        <v>0</v>
      </c>
      <c r="M2324" s="2">
        <f>IF(C2324="","",IFERROR(INDEX($S$5:$S$304,MATCH(C2324,$R$5:$R$304,0))&amp;"","?"))</f>
        <v/>
      </c>
      <c r="N2324" s="2">
        <f>IF(E2324="","",IF(ISNUMBER(SEARCH("SUBSOLO",E2324)),IFERROR(-VALUE(LEFT(E2324,FIND("º",SUBSTITUTE(E2324,"°","º"))-1)),-1),IF(LEFT(E2324,6)="TÉRREO",0,IFERROR(VALUE(LEFT(E2324,FIND("º",SUBSTITUTE(E2324,"°","º"))-1)),""))))</f>
        <v/>
      </c>
      <c r="O2324" s="2">
        <f>IF(OR(F2324="",G2324=""),"",IF(G2324&lt;='RETRATO 2027'!$K$5,"CONCLUÍDA",IF(F2324&lt;='RETRATO 2027'!$K$5,"EM ANDAMENTO","A INICIAR")))</f>
        <v/>
      </c>
    </row>
    <row r="2325">
      <c r="B2325" s="4" t="n">
        <v>33807245</v>
      </c>
      <c r="C2325" s="4" t="inlineStr">
        <is>
          <t>VISTORIA APTOS</t>
        </is>
      </c>
      <c r="D2325" s="4" t="inlineStr">
        <is>
          <t>-</t>
        </is>
      </c>
      <c r="E2325" s="4" t="inlineStr">
        <is>
          <t>14º PAV.</t>
        </is>
      </c>
      <c r="F2325" s="126" t="n">
        <v>47155</v>
      </c>
      <c r="G2325" s="126" t="n">
        <v>47157</v>
      </c>
      <c r="H2325" s="126" t="n">
        <v>46289</v>
      </c>
      <c r="I2325" s="4" t="n">
        <v>0</v>
      </c>
      <c r="J2325" s="4" t="n">
        <v>0</v>
      </c>
      <c r="K2325" s="4" t="n">
        <v>0</v>
      </c>
      <c r="M2325" s="2">
        <f>IF(C2325="","",IFERROR(INDEX($S$5:$S$304,MATCH(C2325,$R$5:$R$304,0))&amp;"","?"))</f>
        <v/>
      </c>
      <c r="N2325" s="2">
        <f>IF(E2325="","",IF(ISNUMBER(SEARCH("SUBSOLO",E2325)),IFERROR(-VALUE(LEFT(E2325,FIND("º",SUBSTITUTE(E2325,"°","º"))-1)),-1),IF(LEFT(E2325,6)="TÉRREO",0,IFERROR(VALUE(LEFT(E2325,FIND("º",SUBSTITUTE(E2325,"°","º"))-1)),""))))</f>
        <v/>
      </c>
      <c r="O2325" s="2">
        <f>IF(OR(F2325="",G2325=""),"",IF(G2325&lt;='RETRATO 2027'!$K$5,"CONCLUÍDA",IF(F2325&lt;='RETRATO 2027'!$K$5,"EM ANDAMENTO","A INICIAR")))</f>
        <v/>
      </c>
    </row>
    <row r="2326">
      <c r="B2326" s="4" t="n">
        <v>29981189</v>
      </c>
      <c r="C2326" s="4" t="inlineStr">
        <is>
          <t>CHECKLIST FINAL</t>
        </is>
      </c>
      <c r="D2326" s="4" t="inlineStr">
        <is>
          <t>-</t>
        </is>
      </c>
      <c r="E2326" s="4" t="inlineStr">
        <is>
          <t>17º PAV.</t>
        </is>
      </c>
      <c r="F2326" s="126" t="n">
        <v>47155</v>
      </c>
      <c r="G2326" s="126" t="n">
        <v>47165</v>
      </c>
      <c r="H2326" s="126" t="n">
        <v>46289</v>
      </c>
      <c r="I2326" s="4" t="n">
        <v>0</v>
      </c>
      <c r="J2326" s="4" t="n">
        <v>0</v>
      </c>
      <c r="K2326" s="4" t="n">
        <v>0</v>
      </c>
      <c r="M2326" s="2">
        <f>IF(C2326="","",IFERROR(INDEX($S$5:$S$304,MATCH(C2326,$R$5:$R$304,0))&amp;"","?"))</f>
        <v/>
      </c>
      <c r="N2326" s="2">
        <f>IF(E2326="","",IF(ISNUMBER(SEARCH("SUBSOLO",E2326)),IFERROR(-VALUE(LEFT(E2326,FIND("º",SUBSTITUTE(E2326,"°","º"))-1)),-1),IF(LEFT(E2326,6)="TÉRREO",0,IFERROR(VALUE(LEFT(E2326,FIND("º",SUBSTITUTE(E2326,"°","º"))-1)),""))))</f>
        <v/>
      </c>
      <c r="O2326" s="2">
        <f>IF(OR(F2326="",G2326=""),"",IF(G2326&lt;='RETRATO 2027'!$K$5,"CONCLUÍDA",IF(F2326&lt;='RETRATO 2027'!$K$5,"EM ANDAMENTO","A INICIAR")))</f>
        <v/>
      </c>
    </row>
    <row r="2327">
      <c r="B2327" s="4" t="n">
        <v>29981093</v>
      </c>
      <c r="C2327" s="4" t="inlineStr">
        <is>
          <t>LIMPEZA GROSSA</t>
        </is>
      </c>
      <c r="D2327" s="4" t="inlineStr">
        <is>
          <t>-</t>
        </is>
      </c>
      <c r="E2327" s="4" t="inlineStr">
        <is>
          <t>19º PAV.</t>
        </is>
      </c>
      <c r="F2327" s="126" t="n">
        <v>47155</v>
      </c>
      <c r="G2327" s="126" t="n">
        <v>47161</v>
      </c>
      <c r="H2327" s="126" t="n">
        <v>46289</v>
      </c>
      <c r="I2327" s="4" t="n">
        <v>0</v>
      </c>
      <c r="J2327" s="4" t="n">
        <v>0</v>
      </c>
      <c r="K2327" s="4" t="n">
        <v>0</v>
      </c>
      <c r="M2327" s="2">
        <f>IF(C2327="","",IFERROR(INDEX($S$5:$S$304,MATCH(C2327,$R$5:$R$304,0))&amp;"","?"))</f>
        <v/>
      </c>
      <c r="N2327" s="2">
        <f>IF(E2327="","",IF(ISNUMBER(SEARCH("SUBSOLO",E2327)),IFERROR(-VALUE(LEFT(E2327,FIND("º",SUBSTITUTE(E2327,"°","º"))-1)),-1),IF(LEFT(E2327,6)="TÉRREO",0,IFERROR(VALUE(LEFT(E2327,FIND("º",SUBSTITUTE(E2327,"°","º"))-1)),""))))</f>
        <v/>
      </c>
      <c r="O2327" s="2">
        <f>IF(OR(F2327="",G2327=""),"",IF(G2327&lt;='RETRATO 2027'!$K$5,"CONCLUÍDA",IF(F2327&lt;='RETRATO 2027'!$K$5,"EM ANDAMENTO","A INICIAR")))</f>
        <v/>
      </c>
    </row>
    <row r="2328">
      <c r="B2328" s="4" t="n">
        <v>33807246</v>
      </c>
      <c r="C2328" s="4" t="inlineStr">
        <is>
          <t>VISTORIA APTOS</t>
        </is>
      </c>
      <c r="D2328" s="4" t="inlineStr">
        <is>
          <t>-</t>
        </is>
      </c>
      <c r="E2328" s="4" t="inlineStr">
        <is>
          <t>15º PAV.</t>
        </is>
      </c>
      <c r="F2328" s="126" t="n">
        <v>47158</v>
      </c>
      <c r="G2328" s="126" t="n">
        <v>47162</v>
      </c>
      <c r="H2328" s="126" t="n">
        <v>46289</v>
      </c>
      <c r="I2328" s="4" t="n">
        <v>0</v>
      </c>
      <c r="J2328" s="4" t="n">
        <v>0</v>
      </c>
      <c r="K2328" s="4" t="n">
        <v>0</v>
      </c>
      <c r="M2328" s="2">
        <f>IF(C2328="","",IFERROR(INDEX($S$5:$S$304,MATCH(C2328,$R$5:$R$304,0))&amp;"","?"))</f>
        <v/>
      </c>
      <c r="N2328" s="2">
        <f>IF(E2328="","",IF(ISNUMBER(SEARCH("SUBSOLO",E2328)),IFERROR(-VALUE(LEFT(E2328,FIND("º",SUBSTITUTE(E2328,"°","º"))-1)),-1),IF(LEFT(E2328,6)="TÉRREO",0,IFERROR(VALUE(LEFT(E2328,FIND("º",SUBSTITUTE(E2328,"°","º"))-1)),""))))</f>
        <v/>
      </c>
      <c r="O2328" s="2">
        <f>IF(OR(F2328="",G2328=""),"",IF(G2328&lt;='RETRATO 2027'!$K$5,"CONCLUÍDA",IF(F2328&lt;='RETRATO 2027'!$K$5,"EM ANDAMENTO","A INICIAR")))</f>
        <v/>
      </c>
    </row>
    <row r="2329">
      <c r="B2329" s="4" t="n">
        <v>29981152</v>
      </c>
      <c r="C2329" s="4" t="inlineStr">
        <is>
          <t>CHECKLIST FINAL</t>
        </is>
      </c>
      <c r="D2329" s="4" t="inlineStr">
        <is>
          <t>-</t>
        </is>
      </c>
      <c r="E2329" s="4" t="inlineStr">
        <is>
          <t>18º PAV.</t>
        </is>
      </c>
      <c r="F2329" s="126" t="n">
        <v>47158</v>
      </c>
      <c r="G2329" s="126" t="n">
        <v>47170</v>
      </c>
      <c r="H2329" s="126" t="n">
        <v>46289</v>
      </c>
      <c r="I2329" s="4" t="n">
        <v>0</v>
      </c>
      <c r="J2329" s="4" t="n">
        <v>0</v>
      </c>
      <c r="K2329" s="4" t="n">
        <v>0</v>
      </c>
      <c r="M2329" s="2">
        <f>IF(C2329="","",IFERROR(INDEX($S$5:$S$304,MATCH(C2329,$R$5:$R$304,0))&amp;"","?"))</f>
        <v/>
      </c>
      <c r="N2329" s="2">
        <f>IF(E2329="","",IF(ISNUMBER(SEARCH("SUBSOLO",E2329)),IFERROR(-VALUE(LEFT(E2329,FIND("º",SUBSTITUTE(E2329,"°","º"))-1)),-1),IF(LEFT(E2329,6)="TÉRREO",0,IFERROR(VALUE(LEFT(E2329,FIND("º",SUBSTITUTE(E2329,"°","º"))-1)),""))))</f>
        <v/>
      </c>
      <c r="O2329" s="2">
        <f>IF(OR(F2329="",G2329=""),"",IF(G2329&lt;='RETRATO 2027'!$K$5,"CONCLUÍDA",IF(F2329&lt;='RETRATO 2027'!$K$5,"EM ANDAMENTO","A INICIAR")))</f>
        <v/>
      </c>
    </row>
    <row r="2330">
      <c r="B2330" s="4" t="n">
        <v>29980773</v>
      </c>
      <c r="C2330" s="4" t="inlineStr">
        <is>
          <t>LIMPEZA FINA</t>
        </is>
      </c>
      <c r="D2330" s="4" t="inlineStr">
        <is>
          <t>-</t>
        </is>
      </c>
      <c r="E2330" s="4" t="inlineStr">
        <is>
          <t>28º PAV.</t>
        </is>
      </c>
      <c r="F2330" s="126" t="n">
        <v>47158</v>
      </c>
      <c r="G2330" s="126" t="n">
        <v>47170</v>
      </c>
      <c r="H2330" s="126" t="n">
        <v>46289</v>
      </c>
      <c r="I2330" s="4" t="n">
        <v>0</v>
      </c>
      <c r="J2330" s="4" t="n">
        <v>0</v>
      </c>
      <c r="K2330" s="4" t="n">
        <v>0</v>
      </c>
      <c r="M2330" s="2">
        <f>IF(C2330="","",IFERROR(INDEX($S$5:$S$304,MATCH(C2330,$R$5:$R$304,0))&amp;"","?"))</f>
        <v/>
      </c>
      <c r="N2330" s="2">
        <f>IF(E2330="","",IF(ISNUMBER(SEARCH("SUBSOLO",E2330)),IFERROR(-VALUE(LEFT(E2330,FIND("º",SUBSTITUTE(E2330,"°","º"))-1)),-1),IF(LEFT(E2330,6)="TÉRREO",0,IFERROR(VALUE(LEFT(E2330,FIND("º",SUBSTITUTE(E2330,"°","º"))-1)),""))))</f>
        <v/>
      </c>
      <c r="O2330" s="2">
        <f>IF(OR(F2330="",G2330=""),"",IF(G2330&lt;='RETRATO 2027'!$K$5,"CONCLUÍDA",IF(F2330&lt;='RETRATO 2027'!$K$5,"EM ANDAMENTO","A INICIAR")))</f>
        <v/>
      </c>
    </row>
    <row r="2331">
      <c r="B2331" s="4" t="n">
        <v>29980726</v>
      </c>
      <c r="C2331" s="4" t="inlineStr">
        <is>
          <t>PINTURA 3º DEMÃO</t>
        </is>
      </c>
      <c r="D2331" s="4" t="inlineStr">
        <is>
          <t>-</t>
        </is>
      </c>
      <c r="E2331" s="4" t="inlineStr">
        <is>
          <t>29º PAV.</t>
        </is>
      </c>
      <c r="F2331" s="126" t="n">
        <v>47158</v>
      </c>
      <c r="G2331" s="126" t="n">
        <v>47170</v>
      </c>
      <c r="H2331" s="126" t="n">
        <v>46289</v>
      </c>
      <c r="I2331" s="4" t="n">
        <v>0</v>
      </c>
      <c r="J2331" s="4" t="n">
        <v>0</v>
      </c>
      <c r="K2331" s="4" t="n">
        <v>0</v>
      </c>
      <c r="M2331" s="2">
        <f>IF(C2331="","",IFERROR(INDEX($S$5:$S$304,MATCH(C2331,$R$5:$R$304,0))&amp;"","?"))</f>
        <v/>
      </c>
      <c r="N2331" s="2">
        <f>IF(E2331="","",IF(ISNUMBER(SEARCH("SUBSOLO",E2331)),IFERROR(-VALUE(LEFT(E2331,FIND("º",SUBSTITUTE(E2331,"°","º"))-1)),-1),IF(LEFT(E2331,6)="TÉRREO",0,IFERROR(VALUE(LEFT(E2331,FIND("º",SUBSTITUTE(E2331,"°","º"))-1)),""))))</f>
        <v/>
      </c>
      <c r="O2331" s="2">
        <f>IF(OR(F2331="",G2331=""),"",IF(G2331&lt;='RETRATO 2027'!$K$5,"CONCLUÍDA",IF(F2331&lt;='RETRATO 2027'!$K$5,"EM ANDAMENTO","A INICIAR")))</f>
        <v/>
      </c>
    </row>
    <row r="2332">
      <c r="B2332" s="4" t="n">
        <v>30171424</v>
      </c>
      <c r="C2332" s="4" t="inlineStr">
        <is>
          <t>LIMPEZA</t>
        </is>
      </c>
      <c r="D2332" s="4" t="inlineStr">
        <is>
          <t>-</t>
        </is>
      </c>
      <c r="E2332" s="4" t="inlineStr">
        <is>
          <t>4º PAV - GARAGEM</t>
        </is>
      </c>
      <c r="F2332" s="126" t="n">
        <v>47161</v>
      </c>
      <c r="G2332" s="126" t="n">
        <v>47179</v>
      </c>
      <c r="H2332" s="126" t="n">
        <v>46289</v>
      </c>
      <c r="I2332" s="4" t="n">
        <v>0</v>
      </c>
      <c r="J2332" s="4" t="n">
        <v>0</v>
      </c>
      <c r="K2332" s="4" t="n">
        <v>0</v>
      </c>
      <c r="M2332" s="2">
        <f>IF(C2332="","",IFERROR(INDEX($S$5:$S$304,MATCH(C2332,$R$5:$R$304,0))&amp;"","?"))</f>
        <v/>
      </c>
      <c r="N2332" s="2">
        <f>IF(E2332="","",IF(ISNUMBER(SEARCH("SUBSOLO",E2332)),IFERROR(-VALUE(LEFT(E2332,FIND("º",SUBSTITUTE(E2332,"°","º"))-1)),-1),IF(LEFT(E2332,6)="TÉRREO",0,IFERROR(VALUE(LEFT(E2332,FIND("º",SUBSTITUTE(E2332,"°","º"))-1)),""))))</f>
        <v/>
      </c>
      <c r="O2332" s="2">
        <f>IF(OR(F2332="",G2332=""),"",IF(G2332&lt;='RETRATO 2027'!$K$5,"CONCLUÍDA",IF(F2332&lt;='RETRATO 2027'!$K$5,"EM ANDAMENTO","A INICIAR")))</f>
        <v/>
      </c>
    </row>
    <row r="2333">
      <c r="B2333" s="4" t="n">
        <v>30171540</v>
      </c>
      <c r="C2333" s="4" t="inlineStr">
        <is>
          <t>LIMPEZA</t>
        </is>
      </c>
      <c r="D2333" s="4" t="inlineStr">
        <is>
          <t>-</t>
        </is>
      </c>
      <c r="E2333" s="4" t="inlineStr">
        <is>
          <t>HALL - GARAGENS</t>
        </is>
      </c>
      <c r="F2333" s="126" t="n">
        <v>47162</v>
      </c>
      <c r="G2333" s="126" t="n">
        <v>47182</v>
      </c>
      <c r="H2333" s="126" t="n">
        <v>46289</v>
      </c>
      <c r="I2333" s="4" t="n">
        <v>0</v>
      </c>
      <c r="J2333" s="4" t="n">
        <v>0</v>
      </c>
      <c r="K2333" s="4" t="n">
        <v>0</v>
      </c>
      <c r="M2333" s="2">
        <f>IF(C2333="","",IFERROR(INDEX($S$5:$S$304,MATCH(C2333,$R$5:$R$304,0))&amp;"","?"))</f>
        <v/>
      </c>
      <c r="N2333" s="2">
        <f>IF(E2333="","",IF(ISNUMBER(SEARCH("SUBSOLO",E2333)),IFERROR(-VALUE(LEFT(E2333,FIND("º",SUBSTITUTE(E2333,"°","º"))-1)),-1),IF(LEFT(E2333,6)="TÉRREO",0,IFERROR(VALUE(LEFT(E2333,FIND("º",SUBSTITUTE(E2333,"°","º"))-1)),""))))</f>
        <v/>
      </c>
      <c r="O2333" s="2">
        <f>IF(OR(F2333="",G2333=""),"",IF(G2333&lt;='RETRATO 2027'!$K$5,"CONCLUÍDA",IF(F2333&lt;='RETRATO 2027'!$K$5,"EM ANDAMENTO","A INICIAR")))</f>
        <v/>
      </c>
    </row>
    <row r="2334">
      <c r="B2334" s="4" t="n">
        <v>29981094</v>
      </c>
      <c r="C2334" s="4" t="inlineStr">
        <is>
          <t>PINTURA 2º DEMÃO</t>
        </is>
      </c>
      <c r="D2334" s="4" t="inlineStr">
        <is>
          <t>-</t>
        </is>
      </c>
      <c r="E2334" s="4" t="inlineStr">
        <is>
          <t>19º PAV.</t>
        </is>
      </c>
      <c r="F2334" s="126" t="n">
        <v>47162</v>
      </c>
      <c r="G2334" s="126" t="n">
        <v>47172</v>
      </c>
      <c r="H2334" s="126" t="n">
        <v>46289</v>
      </c>
      <c r="I2334" s="4" t="n">
        <v>0</v>
      </c>
      <c r="J2334" s="4" t="n">
        <v>0</v>
      </c>
      <c r="K2334" s="4" t="n">
        <v>0</v>
      </c>
      <c r="M2334" s="2">
        <f>IF(C2334="","",IFERROR(INDEX($S$5:$S$304,MATCH(C2334,$R$5:$R$304,0))&amp;"","?"))</f>
        <v/>
      </c>
      <c r="N2334" s="2">
        <f>IF(E2334="","",IF(ISNUMBER(SEARCH("SUBSOLO",E2334)),IFERROR(-VALUE(LEFT(E2334,FIND("º",SUBSTITUTE(E2334,"°","º"))-1)),-1),IF(LEFT(E2334,6)="TÉRREO",0,IFERROR(VALUE(LEFT(E2334,FIND("º",SUBSTITUTE(E2334,"°","º"))-1)),""))))</f>
        <v/>
      </c>
      <c r="O2334" s="2">
        <f>IF(OR(F2334="",G2334=""),"",IF(G2334&lt;='RETRATO 2027'!$K$5,"CONCLUÍDA",IF(F2334&lt;='RETRATO 2027'!$K$5,"EM ANDAMENTO","A INICIAR")))</f>
        <v/>
      </c>
    </row>
    <row r="2335">
      <c r="B2335" s="4" t="n">
        <v>33919810</v>
      </c>
      <c r="C2335" s="4" t="inlineStr">
        <is>
          <t>TEXTURA - EXTERNA</t>
        </is>
      </c>
      <c r="D2335" s="4" t="inlineStr">
        <is>
          <t>-</t>
        </is>
      </c>
      <c r="E2335" s="4" t="inlineStr">
        <is>
          <t>19º PAV.</t>
        </is>
      </c>
      <c r="F2335" s="126" t="n">
        <v>47162</v>
      </c>
      <c r="G2335" s="126" t="n">
        <v>47172</v>
      </c>
      <c r="H2335" s="126" t="n">
        <v>46289</v>
      </c>
      <c r="I2335" s="4" t="n">
        <v>0</v>
      </c>
      <c r="J2335" s="4" t="n">
        <v>0</v>
      </c>
      <c r="K2335" s="4" t="n">
        <v>0</v>
      </c>
      <c r="M2335" s="2">
        <f>IF(C2335="","",IFERROR(INDEX($S$5:$S$304,MATCH(C2335,$R$5:$R$304,0))&amp;"","?"))</f>
        <v/>
      </c>
      <c r="N2335" s="2">
        <f>IF(E2335="","",IF(ISNUMBER(SEARCH("SUBSOLO",E2335)),IFERROR(-VALUE(LEFT(E2335,FIND("º",SUBSTITUTE(E2335,"°","º"))-1)),-1),IF(LEFT(E2335,6)="TÉRREO",0,IFERROR(VALUE(LEFT(E2335,FIND("º",SUBSTITUTE(E2335,"°","º"))-1)),""))))</f>
        <v/>
      </c>
      <c r="O2335" s="2">
        <f>IF(OR(F2335="",G2335=""),"",IF(G2335&lt;='RETRATO 2027'!$K$5,"CONCLUÍDA",IF(F2335&lt;='RETRATO 2027'!$K$5,"EM ANDAMENTO","A INICIAR")))</f>
        <v/>
      </c>
    </row>
    <row r="2336">
      <c r="B2336" s="4" t="n">
        <v>33807247</v>
      </c>
      <c r="C2336" s="4" t="inlineStr">
        <is>
          <t>VISTORIA APTOS</t>
        </is>
      </c>
      <c r="D2336" s="4" t="inlineStr">
        <is>
          <t>-</t>
        </is>
      </c>
      <c r="E2336" s="4" t="inlineStr">
        <is>
          <t>16º PAV.</t>
        </is>
      </c>
      <c r="F2336" s="126" t="n">
        <v>47163</v>
      </c>
      <c r="G2336" s="126" t="n">
        <v>47165</v>
      </c>
      <c r="H2336" s="126" t="n">
        <v>46289</v>
      </c>
      <c r="I2336" s="4" t="n">
        <v>0</v>
      </c>
      <c r="J2336" s="4" t="n">
        <v>0</v>
      </c>
      <c r="K2336" s="4" t="n">
        <v>0</v>
      </c>
      <c r="M2336" s="2">
        <f>IF(C2336="","",IFERROR(INDEX($S$5:$S$304,MATCH(C2336,$R$5:$R$304,0))&amp;"","?"))</f>
        <v/>
      </c>
      <c r="N2336" s="2">
        <f>IF(E2336="","",IF(ISNUMBER(SEARCH("SUBSOLO",E2336)),IFERROR(-VALUE(LEFT(E2336,FIND("º",SUBSTITUTE(E2336,"°","º"))-1)),-1),IF(LEFT(E2336,6)="TÉRREO",0,IFERROR(VALUE(LEFT(E2336,FIND("º",SUBSTITUTE(E2336,"°","º"))-1)),""))))</f>
        <v/>
      </c>
      <c r="O2336" s="2">
        <f>IF(OR(F2336="",G2336=""),"",IF(G2336&lt;='RETRATO 2027'!$K$5,"CONCLUÍDA",IF(F2336&lt;='RETRATO 2027'!$K$5,"EM ANDAMENTO","A INICIAR")))</f>
        <v/>
      </c>
    </row>
    <row r="2337">
      <c r="B2337" s="4" t="n">
        <v>29981078</v>
      </c>
      <c r="C2337" s="4" t="inlineStr">
        <is>
          <t>CHECKLIST FINAL</t>
        </is>
      </c>
      <c r="D2337" s="4" t="inlineStr">
        <is>
          <t>-</t>
        </is>
      </c>
      <c r="E2337" s="4" t="inlineStr">
        <is>
          <t>20º PAV.</t>
        </is>
      </c>
      <c r="F2337" s="126" t="n">
        <v>47163</v>
      </c>
      <c r="G2337" s="126" t="n">
        <v>47175</v>
      </c>
      <c r="H2337" s="126" t="n">
        <v>46289</v>
      </c>
      <c r="I2337" s="4" t="n">
        <v>0</v>
      </c>
      <c r="J2337" s="4" t="n">
        <v>0</v>
      </c>
      <c r="K2337" s="4" t="n">
        <v>0</v>
      </c>
      <c r="M2337" s="2">
        <f>IF(C2337="","",IFERROR(INDEX($S$5:$S$304,MATCH(C2337,$R$5:$R$304,0))&amp;"","?"))</f>
        <v/>
      </c>
      <c r="N2337" s="2">
        <f>IF(E2337="","",IF(ISNUMBER(SEARCH("SUBSOLO",E2337)),IFERROR(-VALUE(LEFT(E2337,FIND("º",SUBSTITUTE(E2337,"°","º"))-1)),-1),IF(LEFT(E2337,6)="TÉRREO",0,IFERROR(VALUE(LEFT(E2337,FIND("º",SUBSTITUTE(E2337,"°","º"))-1)),""))))</f>
        <v/>
      </c>
      <c r="O2337" s="2">
        <f>IF(OR(F2337="",G2337=""),"",IF(G2337&lt;='RETRATO 2027'!$K$5,"CONCLUÍDA",IF(F2337&lt;='RETRATO 2027'!$K$5,"EM ANDAMENTO","A INICIAR")))</f>
        <v/>
      </c>
    </row>
    <row r="2338">
      <c r="B2338" s="4" t="n">
        <v>29980688</v>
      </c>
      <c r="C2338" s="4" t="inlineStr">
        <is>
          <t>CHECKLIST</t>
        </is>
      </c>
      <c r="D2338" s="4" t="inlineStr">
        <is>
          <t>-</t>
        </is>
      </c>
      <c r="E2338" s="4" t="inlineStr">
        <is>
          <t>30º PAV.</t>
        </is>
      </c>
      <c r="F2338" s="126" t="n">
        <v>47164</v>
      </c>
      <c r="G2338" s="126" t="n">
        <v>47170</v>
      </c>
      <c r="H2338" s="126" t="n">
        <v>46289</v>
      </c>
      <c r="I2338" s="4" t="n">
        <v>0</v>
      </c>
      <c r="J2338" s="4" t="n">
        <v>0</v>
      </c>
      <c r="K2338" s="4" t="n">
        <v>0</v>
      </c>
      <c r="M2338" s="2">
        <f>IF(C2338="","",IFERROR(INDEX($S$5:$S$304,MATCH(C2338,$R$5:$R$304,0))&amp;"","?"))</f>
        <v/>
      </c>
      <c r="N2338" s="2">
        <f>IF(E2338="","",IF(ISNUMBER(SEARCH("SUBSOLO",E2338)),IFERROR(-VALUE(LEFT(E2338,FIND("º",SUBSTITUTE(E2338,"°","º"))-1)),-1),IF(LEFT(E2338,6)="TÉRREO",0,IFERROR(VALUE(LEFT(E2338,FIND("º",SUBSTITUTE(E2338,"°","º"))-1)),""))))</f>
        <v/>
      </c>
      <c r="O2338" s="2">
        <f>IF(OR(F2338="",G2338=""),"",IF(G2338&lt;='RETRATO 2027'!$K$5,"CONCLUÍDA",IF(F2338&lt;='RETRATO 2027'!$K$5,"EM ANDAMENTO","A INICIAR")))</f>
        <v/>
      </c>
    </row>
    <row r="2339">
      <c r="B2339" s="4" t="n">
        <v>29980653</v>
      </c>
      <c r="C2339" s="4" t="inlineStr">
        <is>
          <t>ACABAMENTOS ELÉTRICOS</t>
        </is>
      </c>
      <c r="D2339" s="4" t="inlineStr">
        <is>
          <t>-</t>
        </is>
      </c>
      <c r="E2339" s="4" t="inlineStr">
        <is>
          <t>31º PAV. - COBERTURA LINEAR</t>
        </is>
      </c>
      <c r="F2339" s="126" t="n">
        <v>47164</v>
      </c>
      <c r="G2339" s="126" t="n">
        <v>47176</v>
      </c>
      <c r="H2339" s="126" t="n">
        <v>46289</v>
      </c>
      <c r="I2339" s="4" t="n">
        <v>0</v>
      </c>
      <c r="J2339" s="4" t="n">
        <v>0</v>
      </c>
      <c r="K2339" s="4" t="n">
        <v>0</v>
      </c>
      <c r="M2339" s="2">
        <f>IF(C2339="","",IFERROR(INDEX($S$5:$S$304,MATCH(C2339,$R$5:$R$304,0))&amp;"","?"))</f>
        <v/>
      </c>
      <c r="N2339" s="2">
        <f>IF(E2339="","",IF(ISNUMBER(SEARCH("SUBSOLO",E2339)),IFERROR(-VALUE(LEFT(E2339,FIND("º",SUBSTITUTE(E2339,"°","º"))-1)),-1),IF(LEFT(E2339,6)="TÉRREO",0,IFERROR(VALUE(LEFT(E2339,FIND("º",SUBSTITUTE(E2339,"°","º"))-1)),""))))</f>
        <v/>
      </c>
      <c r="O2339" s="2">
        <f>IF(OR(F2339="",G2339=""),"",IF(G2339&lt;='RETRATO 2027'!$K$5,"CONCLUÍDA",IF(F2339&lt;='RETRATO 2027'!$K$5,"EM ANDAMENTO","A INICIAR")))</f>
        <v/>
      </c>
    </row>
    <row r="2340">
      <c r="B2340" s="4" t="n">
        <v>29980613</v>
      </c>
      <c r="C2340" s="4" t="inlineStr">
        <is>
          <t>PINTURA 2º DEMÃO</t>
        </is>
      </c>
      <c r="D2340" s="4" t="inlineStr">
        <is>
          <t>-</t>
        </is>
      </c>
      <c r="E2340" s="4" t="inlineStr">
        <is>
          <t>32º PAV - COBERTURA GERAL</t>
        </is>
      </c>
      <c r="F2340" s="126" t="n">
        <v>47164</v>
      </c>
      <c r="G2340" s="126" t="n">
        <v>47176</v>
      </c>
      <c r="H2340" s="126" t="n">
        <v>46289</v>
      </c>
      <c r="I2340" s="4" t="n">
        <v>0</v>
      </c>
      <c r="J2340" s="4" t="n">
        <v>0</v>
      </c>
      <c r="K2340" s="4" t="n">
        <v>0</v>
      </c>
      <c r="M2340" s="2">
        <f>IF(C2340="","",IFERROR(INDEX($S$5:$S$304,MATCH(C2340,$R$5:$R$304,0))&amp;"","?"))</f>
        <v/>
      </c>
      <c r="N2340" s="2">
        <f>IF(E2340="","",IF(ISNUMBER(SEARCH("SUBSOLO",E2340)),IFERROR(-VALUE(LEFT(E2340,FIND("º",SUBSTITUTE(E2340,"°","º"))-1)),-1),IF(LEFT(E2340,6)="TÉRREO",0,IFERROR(VALUE(LEFT(E2340,FIND("º",SUBSTITUTE(E2340,"°","º"))-1)),""))))</f>
        <v/>
      </c>
      <c r="O2340" s="2">
        <f>IF(OR(F2340="",G2340=""),"",IF(G2340&lt;='RETRATO 2027'!$K$5,"CONCLUÍDA",IF(F2340&lt;='RETRATO 2027'!$K$5,"EM ANDAMENTO","A INICIAR")))</f>
        <v/>
      </c>
    </row>
    <row r="2341">
      <c r="B2341" s="4" t="n">
        <v>33919809</v>
      </c>
      <c r="C2341" s="4" t="inlineStr">
        <is>
          <t>TEXTURA - EXTERNA</t>
        </is>
      </c>
      <c r="D2341" s="4" t="inlineStr">
        <is>
          <t>-</t>
        </is>
      </c>
      <c r="E2341" s="4" t="inlineStr">
        <is>
          <t>32º PAV - COBERTURA GERAL</t>
        </is>
      </c>
      <c r="F2341" s="126" t="n">
        <v>47164</v>
      </c>
      <c r="G2341" s="126" t="n">
        <v>47176</v>
      </c>
      <c r="H2341" s="126" t="n">
        <v>46289</v>
      </c>
      <c r="I2341" s="4" t="n">
        <v>0</v>
      </c>
      <c r="J2341" s="4" t="n">
        <v>0</v>
      </c>
      <c r="K2341" s="4" t="n">
        <v>0</v>
      </c>
      <c r="M2341" s="2">
        <f>IF(C2341="","",IFERROR(INDEX($S$5:$S$304,MATCH(C2341,$R$5:$R$304,0))&amp;"","?"))</f>
        <v/>
      </c>
      <c r="N2341" s="2">
        <f>IF(E2341="","",IF(ISNUMBER(SEARCH("SUBSOLO",E2341)),IFERROR(-VALUE(LEFT(E2341,FIND("º",SUBSTITUTE(E2341,"°","º"))-1)),-1),IF(LEFT(E2341,6)="TÉRREO",0,IFERROR(VALUE(LEFT(E2341,FIND("º",SUBSTITUTE(E2341,"°","º"))-1)),""))))</f>
        <v/>
      </c>
      <c r="O2341" s="2">
        <f>IF(OR(F2341="",G2341=""),"",IF(G2341&lt;='RETRATO 2027'!$K$5,"CONCLUÍDA",IF(F2341&lt;='RETRATO 2027'!$K$5,"EM ANDAMENTO","A INICIAR")))</f>
        <v/>
      </c>
    </row>
    <row r="2342">
      <c r="B2342" s="4" t="n">
        <v>30205831</v>
      </c>
      <c r="C2342" s="4" t="inlineStr">
        <is>
          <t>DEMARCAÇÃO DE VAGAS</t>
        </is>
      </c>
      <c r="D2342" s="4" t="inlineStr">
        <is>
          <t>-</t>
        </is>
      </c>
      <c r="E2342" s="4" t="inlineStr">
        <is>
          <t>TÉRREO - ÁREA EXTERNA RESIDENCIAL</t>
        </is>
      </c>
      <c r="F2342" s="126" t="n">
        <v>47165</v>
      </c>
      <c r="G2342" s="126" t="n">
        <v>47178</v>
      </c>
      <c r="H2342" s="126" t="n">
        <v>46289</v>
      </c>
      <c r="I2342" s="4" t="n">
        <v>0</v>
      </c>
      <c r="J2342" s="4" t="n">
        <v>0</v>
      </c>
      <c r="K2342" s="4" t="n">
        <v>0</v>
      </c>
      <c r="M2342" s="2">
        <f>IF(C2342="","",IFERROR(INDEX($S$5:$S$304,MATCH(C2342,$R$5:$R$304,0))&amp;"","?"))</f>
        <v/>
      </c>
      <c r="N2342" s="2">
        <f>IF(E2342="","",IF(ISNUMBER(SEARCH("SUBSOLO",E2342)),IFERROR(-VALUE(LEFT(E2342,FIND("º",SUBSTITUTE(E2342,"°","º"))-1)),-1),IF(LEFT(E2342,6)="TÉRREO",0,IFERROR(VALUE(LEFT(E2342,FIND("º",SUBSTITUTE(E2342,"°","º"))-1)),""))))</f>
        <v/>
      </c>
      <c r="O2342" s="2">
        <f>IF(OR(F2342="",G2342=""),"",IF(G2342&lt;='RETRATO 2027'!$K$5,"CONCLUÍDA",IF(F2342&lt;='RETRATO 2027'!$K$5,"EM ANDAMENTO","A INICIAR")))</f>
        <v/>
      </c>
    </row>
    <row r="2343">
      <c r="B2343" s="4" t="n">
        <v>29981041</v>
      </c>
      <c r="C2343" s="4" t="inlineStr">
        <is>
          <t>CHECKLIST FINAL</t>
        </is>
      </c>
      <c r="D2343" s="4" t="inlineStr">
        <is>
          <t>-</t>
        </is>
      </c>
      <c r="E2343" s="4" t="inlineStr">
        <is>
          <t>21º PAV.</t>
        </is>
      </c>
      <c r="F2343" s="126" t="n">
        <v>47165</v>
      </c>
      <c r="G2343" s="126" t="n">
        <v>47177</v>
      </c>
      <c r="H2343" s="126" t="n">
        <v>46289</v>
      </c>
      <c r="I2343" s="4" t="n">
        <v>0</v>
      </c>
      <c r="J2343" s="4" t="n">
        <v>0</v>
      </c>
      <c r="K2343" s="4" t="n">
        <v>0</v>
      </c>
      <c r="M2343" s="2">
        <f>IF(C2343="","",IFERROR(INDEX($S$5:$S$304,MATCH(C2343,$R$5:$R$304,0))&amp;"","?"))</f>
        <v/>
      </c>
      <c r="N2343" s="2">
        <f>IF(E2343="","",IF(ISNUMBER(SEARCH("SUBSOLO",E2343)),IFERROR(-VALUE(LEFT(E2343,FIND("º",SUBSTITUTE(E2343,"°","º"))-1)),-1),IF(LEFT(E2343,6)="TÉRREO",0,IFERROR(VALUE(LEFT(E2343,FIND("º",SUBSTITUTE(E2343,"°","º"))-1)),""))))</f>
        <v/>
      </c>
      <c r="O2343" s="2">
        <f>IF(OR(F2343="",G2343=""),"",IF(G2343&lt;='RETRATO 2027'!$K$5,"CONCLUÍDA",IF(F2343&lt;='RETRATO 2027'!$K$5,"EM ANDAMENTO","A INICIAR")))</f>
        <v/>
      </c>
    </row>
    <row r="2344">
      <c r="B2344" s="4" t="n">
        <v>33807248</v>
      </c>
      <c r="C2344" s="4" t="inlineStr">
        <is>
          <t>VISTORIA APTOS</t>
        </is>
      </c>
      <c r="D2344" s="4" t="inlineStr">
        <is>
          <t>-</t>
        </is>
      </c>
      <c r="E2344" s="4" t="inlineStr">
        <is>
          <t>17º PAV.</t>
        </is>
      </c>
      <c r="F2344" s="126" t="n">
        <v>47168</v>
      </c>
      <c r="G2344" s="126" t="n">
        <v>47170</v>
      </c>
      <c r="H2344" s="126" t="n">
        <v>46289</v>
      </c>
      <c r="I2344" s="4" t="n">
        <v>0</v>
      </c>
      <c r="J2344" s="4" t="n">
        <v>0</v>
      </c>
      <c r="K2344" s="4" t="n">
        <v>0</v>
      </c>
      <c r="M2344" s="2">
        <f>IF(C2344="","",IFERROR(INDEX($S$5:$S$304,MATCH(C2344,$R$5:$R$304,0))&amp;"","?"))</f>
        <v/>
      </c>
      <c r="N2344" s="2">
        <f>IF(E2344="","",IF(ISNUMBER(SEARCH("SUBSOLO",E2344)),IFERROR(-VALUE(LEFT(E2344,FIND("º",SUBSTITUTE(E2344,"°","º"))-1)),-1),IF(LEFT(E2344,6)="TÉRREO",0,IFERROR(VALUE(LEFT(E2344,FIND("º",SUBSTITUTE(E2344,"°","º"))-1)),""))))</f>
        <v/>
      </c>
      <c r="O2344" s="2">
        <f>IF(OR(F2344="",G2344=""),"",IF(G2344&lt;='RETRATO 2027'!$K$5,"CONCLUÍDA",IF(F2344&lt;='RETRATO 2027'!$K$5,"EM ANDAMENTO","A INICIAR")))</f>
        <v/>
      </c>
    </row>
    <row r="2345">
      <c r="B2345" s="4" t="n">
        <v>30205984</v>
      </c>
      <c r="C2345" s="4" t="inlineStr">
        <is>
          <t>CHECKLIST FINAL</t>
        </is>
      </c>
      <c r="D2345" s="4" t="inlineStr">
        <is>
          <t>-</t>
        </is>
      </c>
      <c r="E2345" s="4" t="inlineStr">
        <is>
          <t>6º PAV (PILOTIS) - LOUNGE + SALÃO + COZINHA + GOURMET + ESPAÇO KIDS</t>
        </is>
      </c>
      <c r="F2345" s="126" t="n">
        <v>47169</v>
      </c>
      <c r="G2345" s="126" t="n">
        <v>47182</v>
      </c>
      <c r="H2345" s="126" t="n">
        <v>46289</v>
      </c>
      <c r="I2345" s="4" t="n">
        <v>0</v>
      </c>
      <c r="J2345" s="4" t="n">
        <v>0</v>
      </c>
      <c r="K2345" s="4" t="n">
        <v>0</v>
      </c>
      <c r="M2345" s="2">
        <f>IF(C2345="","",IFERROR(INDEX($S$5:$S$304,MATCH(C2345,$R$5:$R$304,0))&amp;"","?"))</f>
        <v/>
      </c>
      <c r="N2345" s="2">
        <f>IF(E2345="","",IF(ISNUMBER(SEARCH("SUBSOLO",E2345)),IFERROR(-VALUE(LEFT(E2345,FIND("º",SUBSTITUTE(E2345,"°","º"))-1)),-1),IF(LEFT(E2345,6)="TÉRREO",0,IFERROR(VALUE(LEFT(E2345,FIND("º",SUBSTITUTE(E2345,"°","º"))-1)),""))))</f>
        <v/>
      </c>
      <c r="O2345" s="2">
        <f>IF(OR(F2345="",G2345=""),"",IF(G2345&lt;='RETRATO 2027'!$K$5,"CONCLUÍDA",IF(F2345&lt;='RETRATO 2027'!$K$5,"EM ANDAMENTO","A INICIAR")))</f>
        <v/>
      </c>
    </row>
    <row r="2346">
      <c r="B2346" s="4" t="n">
        <v>29981004</v>
      </c>
      <c r="C2346" s="4" t="inlineStr">
        <is>
          <t>CHECKLIST FINAL</t>
        </is>
      </c>
      <c r="D2346" s="4" t="inlineStr">
        <is>
          <t>-</t>
        </is>
      </c>
      <c r="E2346" s="4" t="inlineStr">
        <is>
          <t>22º PAV.</t>
        </is>
      </c>
      <c r="F2346" s="126" t="n">
        <v>47169</v>
      </c>
      <c r="G2346" s="126" t="n">
        <v>47179</v>
      </c>
      <c r="H2346" s="126" t="n">
        <v>46289</v>
      </c>
      <c r="I2346" s="4" t="n">
        <v>0</v>
      </c>
      <c r="J2346" s="4" t="n">
        <v>0</v>
      </c>
      <c r="K2346" s="4" t="n">
        <v>0</v>
      </c>
      <c r="M2346" s="2">
        <f>IF(C2346="","",IFERROR(INDEX($S$5:$S$304,MATCH(C2346,$R$5:$R$304,0))&amp;"","?"))</f>
        <v/>
      </c>
      <c r="N2346" s="2">
        <f>IF(E2346="","",IF(ISNUMBER(SEARCH("SUBSOLO",E2346)),IFERROR(-VALUE(LEFT(E2346,FIND("º",SUBSTITUTE(E2346,"°","º"))-1)),-1),IF(LEFT(E2346,6)="TÉRREO",0,IFERROR(VALUE(LEFT(E2346,FIND("º",SUBSTITUTE(E2346,"°","º"))-1)),""))))</f>
        <v/>
      </c>
      <c r="O2346" s="2">
        <f>IF(OR(F2346="",G2346=""),"",IF(G2346&lt;='RETRATO 2027'!$K$5,"CONCLUÍDA",IF(F2346&lt;='RETRATO 2027'!$K$5,"EM ANDAMENTO","A INICIAR")))</f>
        <v/>
      </c>
    </row>
    <row r="2347">
      <c r="B2347" s="4" t="n">
        <v>33807249</v>
      </c>
      <c r="C2347" s="4" t="inlineStr">
        <is>
          <t>VISTORIA APTOS</t>
        </is>
      </c>
      <c r="D2347" s="4" t="inlineStr">
        <is>
          <t>-</t>
        </is>
      </c>
      <c r="E2347" s="4" t="inlineStr">
        <is>
          <t>18º PAV.</t>
        </is>
      </c>
      <c r="F2347" s="126" t="n">
        <v>47171</v>
      </c>
      <c r="G2347" s="126" t="n">
        <v>47175</v>
      </c>
      <c r="H2347" s="126" t="n">
        <v>46289</v>
      </c>
      <c r="I2347" s="4" t="n">
        <v>0</v>
      </c>
      <c r="J2347" s="4" t="n">
        <v>0</v>
      </c>
      <c r="K2347" s="4" t="n">
        <v>0</v>
      </c>
      <c r="M2347" s="2">
        <f>IF(C2347="","",IFERROR(INDEX($S$5:$S$304,MATCH(C2347,$R$5:$R$304,0))&amp;"","?"))</f>
        <v/>
      </c>
      <c r="N2347" s="2">
        <f>IF(E2347="","",IF(ISNUMBER(SEARCH("SUBSOLO",E2347)),IFERROR(-VALUE(LEFT(E2347,FIND("º",SUBSTITUTE(E2347,"°","º"))-1)),-1),IF(LEFT(E2347,6)="TÉRREO",0,IFERROR(VALUE(LEFT(E2347,FIND("º",SUBSTITUTE(E2347,"°","º"))-1)),""))))</f>
        <v/>
      </c>
      <c r="O2347" s="2">
        <f>IF(OR(F2347="",G2347=""),"",IF(G2347&lt;='RETRATO 2027'!$K$5,"CONCLUÍDA",IF(F2347&lt;='RETRATO 2027'!$K$5,"EM ANDAMENTO","A INICIAR")))</f>
        <v/>
      </c>
    </row>
    <row r="2348">
      <c r="B2348" s="4" t="n">
        <v>29980967</v>
      </c>
      <c r="C2348" s="4" t="inlineStr">
        <is>
          <t>CHECKLIST FINAL</t>
        </is>
      </c>
      <c r="D2348" s="4" t="inlineStr">
        <is>
          <t>-</t>
        </is>
      </c>
      <c r="E2348" s="4" t="inlineStr">
        <is>
          <t>23º PAV.</t>
        </is>
      </c>
      <c r="F2348" s="126" t="n">
        <v>47171</v>
      </c>
      <c r="G2348" s="126" t="n">
        <v>47183</v>
      </c>
      <c r="H2348" s="126" t="n">
        <v>46289</v>
      </c>
      <c r="I2348" s="4" t="n">
        <v>0</v>
      </c>
      <c r="J2348" s="4" t="n">
        <v>0</v>
      </c>
      <c r="K2348" s="4" t="n">
        <v>0</v>
      </c>
      <c r="M2348" s="2">
        <f>IF(C2348="","",IFERROR(INDEX($S$5:$S$304,MATCH(C2348,$R$5:$R$304,0))&amp;"","?"))</f>
        <v/>
      </c>
      <c r="N2348" s="2">
        <f>IF(E2348="","",IF(ISNUMBER(SEARCH("SUBSOLO",E2348)),IFERROR(-VALUE(LEFT(E2348,FIND("º",SUBSTITUTE(E2348,"°","º"))-1)),-1),IF(LEFT(E2348,6)="TÉRREO",0,IFERROR(VALUE(LEFT(E2348,FIND("º",SUBSTITUTE(E2348,"°","º"))-1)),""))))</f>
        <v/>
      </c>
      <c r="O2348" s="2">
        <f>IF(OR(F2348="",G2348=""),"",IF(G2348&lt;='RETRATO 2027'!$K$5,"CONCLUÍDA",IF(F2348&lt;='RETRATO 2027'!$K$5,"EM ANDAMENTO","A INICIAR")))</f>
        <v/>
      </c>
    </row>
    <row r="2349">
      <c r="B2349" s="4" t="n">
        <v>29980736</v>
      </c>
      <c r="C2349" s="4" t="inlineStr">
        <is>
          <t>LIMPEZA FINA</t>
        </is>
      </c>
      <c r="D2349" s="4" t="inlineStr">
        <is>
          <t>-</t>
        </is>
      </c>
      <c r="E2349" s="4" t="inlineStr">
        <is>
          <t>29º PAV.</t>
        </is>
      </c>
      <c r="F2349" s="126" t="n">
        <v>47171</v>
      </c>
      <c r="G2349" s="126" t="n">
        <v>47183</v>
      </c>
      <c r="H2349" s="126" t="n">
        <v>46289</v>
      </c>
      <c r="I2349" s="4" t="n">
        <v>0</v>
      </c>
      <c r="J2349" s="4" t="n">
        <v>0</v>
      </c>
      <c r="K2349" s="4" t="n">
        <v>0</v>
      </c>
      <c r="M2349" s="2">
        <f>IF(C2349="","",IFERROR(INDEX($S$5:$S$304,MATCH(C2349,$R$5:$R$304,0))&amp;"","?"))</f>
        <v/>
      </c>
      <c r="N2349" s="2">
        <f>IF(E2349="","",IF(ISNUMBER(SEARCH("SUBSOLO",E2349)),IFERROR(-VALUE(LEFT(E2349,FIND("º",SUBSTITUTE(E2349,"°","º"))-1)),-1),IF(LEFT(E2349,6)="TÉRREO",0,IFERROR(VALUE(LEFT(E2349,FIND("º",SUBSTITUTE(E2349,"°","º"))-1)),""))))</f>
        <v/>
      </c>
      <c r="O2349" s="2">
        <f>IF(OR(F2349="",G2349=""),"",IF(G2349&lt;='RETRATO 2027'!$K$5,"CONCLUÍDA",IF(F2349&lt;='RETRATO 2027'!$K$5,"EM ANDAMENTO","A INICIAR")))</f>
        <v/>
      </c>
    </row>
    <row r="2350">
      <c r="B2350" s="4" t="n">
        <v>29980689</v>
      </c>
      <c r="C2350" s="4" t="inlineStr">
        <is>
          <t>PINTURA 3º DEMÃO</t>
        </is>
      </c>
      <c r="D2350" s="4" t="inlineStr">
        <is>
          <t>-</t>
        </is>
      </c>
      <c r="E2350" s="4" t="inlineStr">
        <is>
          <t>30º PAV.</t>
        </is>
      </c>
      <c r="F2350" s="126" t="n">
        <v>47171</v>
      </c>
      <c r="G2350" s="126" t="n">
        <v>47183</v>
      </c>
      <c r="H2350" s="126" t="n">
        <v>46289</v>
      </c>
      <c r="I2350" s="4" t="n">
        <v>0</v>
      </c>
      <c r="J2350" s="4" t="n">
        <v>0</v>
      </c>
      <c r="K2350" s="4" t="n">
        <v>0</v>
      </c>
      <c r="M2350" s="2">
        <f>IF(C2350="","",IFERROR(INDEX($S$5:$S$304,MATCH(C2350,$R$5:$R$304,0))&amp;"","?"))</f>
        <v/>
      </c>
      <c r="N2350" s="2">
        <f>IF(E2350="","",IF(ISNUMBER(SEARCH("SUBSOLO",E2350)),IFERROR(-VALUE(LEFT(E2350,FIND("º",SUBSTITUTE(E2350,"°","º"))-1)),-1),IF(LEFT(E2350,6)="TÉRREO",0,IFERROR(VALUE(LEFT(E2350,FIND("º",SUBSTITUTE(E2350,"°","º"))-1)),""))))</f>
        <v/>
      </c>
      <c r="O2350" s="2">
        <f>IF(OR(F2350="",G2350=""),"",IF(G2350&lt;='RETRATO 2027'!$K$5,"CONCLUÍDA",IF(F2350&lt;='RETRATO 2027'!$K$5,"EM ANDAMENTO","A INICIAR")))</f>
        <v/>
      </c>
    </row>
    <row r="2351">
      <c r="B2351" s="4" t="n">
        <v>30171395</v>
      </c>
      <c r="C2351" s="4" t="inlineStr">
        <is>
          <t>TEXTURA - 2º E 3º DEMÃO</t>
        </is>
      </c>
      <c r="D2351" s="4" t="inlineStr">
        <is>
          <t>-</t>
        </is>
      </c>
      <c r="E2351" s="4" t="inlineStr">
        <is>
          <t>5º PAV - GARAGEM</t>
        </is>
      </c>
      <c r="F2351" s="126" t="n">
        <v>47175</v>
      </c>
      <c r="G2351" s="126" t="n">
        <v>47186</v>
      </c>
      <c r="H2351" s="126" t="n">
        <v>46289</v>
      </c>
      <c r="I2351" s="4" t="n">
        <v>0</v>
      </c>
      <c r="J2351" s="4" t="n">
        <v>0</v>
      </c>
      <c r="K2351" s="4" t="n">
        <v>0</v>
      </c>
      <c r="M2351" s="2">
        <f>IF(C2351="","",IFERROR(INDEX($S$5:$S$304,MATCH(C2351,$R$5:$R$304,0))&amp;"","?"))</f>
        <v/>
      </c>
      <c r="N2351" s="2">
        <f>IF(E2351="","",IF(ISNUMBER(SEARCH("SUBSOLO",E2351)),IFERROR(-VALUE(LEFT(E2351,FIND("º",SUBSTITUTE(E2351,"°","º"))-1)),-1),IF(LEFT(E2351,6)="TÉRREO",0,IFERROR(VALUE(LEFT(E2351,FIND("º",SUBSTITUTE(E2351,"°","º"))-1)),""))))</f>
        <v/>
      </c>
      <c r="O2351" s="2">
        <f>IF(OR(F2351="",G2351=""),"",IF(G2351&lt;='RETRATO 2027'!$K$5,"CONCLUÍDA",IF(F2351&lt;='RETRATO 2027'!$K$5,"EM ANDAMENTO","A INICIAR")))</f>
        <v/>
      </c>
    </row>
    <row r="2352">
      <c r="B2352" s="4" t="n">
        <v>29981097</v>
      </c>
      <c r="C2352" s="4" t="inlineStr">
        <is>
          <t>ACABAMENTOS ELÉTRICOS</t>
        </is>
      </c>
      <c r="D2352" s="4" t="inlineStr">
        <is>
          <t>-</t>
        </is>
      </c>
      <c r="E2352" s="4" t="inlineStr">
        <is>
          <t>19º PAV.</t>
        </is>
      </c>
      <c r="F2352" s="126" t="n">
        <v>47175</v>
      </c>
      <c r="G2352" s="126" t="n">
        <v>47176</v>
      </c>
      <c r="H2352" s="126" t="n">
        <v>46289</v>
      </c>
      <c r="I2352" s="4" t="n">
        <v>0</v>
      </c>
      <c r="J2352" s="4" t="n">
        <v>0</v>
      </c>
      <c r="K2352" s="4" t="n">
        <v>0</v>
      </c>
      <c r="M2352" s="2">
        <f>IF(C2352="","",IFERROR(INDEX($S$5:$S$304,MATCH(C2352,$R$5:$R$304,0))&amp;"","?"))</f>
        <v/>
      </c>
      <c r="N2352" s="2">
        <f>IF(E2352="","",IF(ISNUMBER(SEARCH("SUBSOLO",E2352)),IFERROR(-VALUE(LEFT(E2352,FIND("º",SUBSTITUTE(E2352,"°","º"))-1)),-1),IF(LEFT(E2352,6)="TÉRREO",0,IFERROR(VALUE(LEFT(E2352,FIND("º",SUBSTITUTE(E2352,"°","º"))-1)),""))))</f>
        <v/>
      </c>
      <c r="O2352" s="2">
        <f>IF(OR(F2352="",G2352=""),"",IF(G2352&lt;='RETRATO 2027'!$K$5,"CONCLUÍDA",IF(F2352&lt;='RETRATO 2027'!$K$5,"EM ANDAMENTO","A INICIAR")))</f>
        <v/>
      </c>
    </row>
    <row r="2353">
      <c r="B2353" s="4" t="n">
        <v>29980930</v>
      </c>
      <c r="C2353" s="4" t="inlineStr">
        <is>
          <t>CHECKLIST FINAL</t>
        </is>
      </c>
      <c r="D2353" s="4" t="inlineStr">
        <is>
          <t>-</t>
        </is>
      </c>
      <c r="E2353" s="4" t="inlineStr">
        <is>
          <t>24º PAV.</t>
        </is>
      </c>
      <c r="F2353" s="126" t="n">
        <v>47175</v>
      </c>
      <c r="G2353" s="126" t="n">
        <v>47185</v>
      </c>
      <c r="H2353" s="126" t="n">
        <v>46289</v>
      </c>
      <c r="I2353" s="4" t="n">
        <v>0</v>
      </c>
      <c r="J2353" s="4" t="n">
        <v>0</v>
      </c>
      <c r="K2353" s="4" t="n">
        <v>0</v>
      </c>
      <c r="M2353" s="2">
        <f>IF(C2353="","",IFERROR(INDEX($S$5:$S$304,MATCH(C2353,$R$5:$R$304,0))&amp;"","?"))</f>
        <v/>
      </c>
      <c r="N2353" s="2">
        <f>IF(E2353="","",IF(ISNUMBER(SEARCH("SUBSOLO",E2353)),IFERROR(-VALUE(LEFT(E2353,FIND("º",SUBSTITUTE(E2353,"°","º"))-1)),-1),IF(LEFT(E2353,6)="TÉRREO",0,IFERROR(VALUE(LEFT(E2353,FIND("º",SUBSTITUTE(E2353,"°","º"))-1)),""))))</f>
        <v/>
      </c>
      <c r="O2353" s="2">
        <f>IF(OR(F2353="",G2353=""),"",IF(G2353&lt;='RETRATO 2027'!$K$5,"CONCLUÍDA",IF(F2353&lt;='RETRATO 2027'!$K$5,"EM ANDAMENTO","A INICIAR")))</f>
        <v/>
      </c>
    </row>
    <row r="2354">
      <c r="B2354" s="4" t="n">
        <v>30171660</v>
      </c>
      <c r="C2354" s="4" t="inlineStr">
        <is>
          <t>LIMPEZA</t>
        </is>
      </c>
      <c r="D2354" s="4" t="inlineStr">
        <is>
          <t>-</t>
        </is>
      </c>
      <c r="E2354" s="4" t="inlineStr">
        <is>
          <t>CX DE ESCADA DE INCÊND.</t>
        </is>
      </c>
      <c r="F2354" s="126" t="n">
        <v>47176</v>
      </c>
      <c r="G2354" s="126" t="n">
        <v>47196</v>
      </c>
      <c r="H2354" s="126" t="n">
        <v>46289</v>
      </c>
      <c r="I2354" s="4" t="n">
        <v>0</v>
      </c>
      <c r="J2354" s="4" t="n">
        <v>0</v>
      </c>
      <c r="K2354" s="4" t="n">
        <v>0</v>
      </c>
      <c r="M2354" s="2">
        <f>IF(C2354="","",IFERROR(INDEX($S$5:$S$304,MATCH(C2354,$R$5:$R$304,0))&amp;"","?"))</f>
        <v/>
      </c>
      <c r="N2354" s="2">
        <f>IF(E2354="","",IF(ISNUMBER(SEARCH("SUBSOLO",E2354)),IFERROR(-VALUE(LEFT(E2354,FIND("º",SUBSTITUTE(E2354,"°","º"))-1)),-1),IF(LEFT(E2354,6)="TÉRREO",0,IFERROR(VALUE(LEFT(E2354,FIND("º",SUBSTITUTE(E2354,"°","º"))-1)),""))))</f>
        <v/>
      </c>
      <c r="O2354" s="2">
        <f>IF(OR(F2354="",G2354=""),"",IF(G2354&lt;='RETRATO 2027'!$K$5,"CONCLUÍDA",IF(F2354&lt;='RETRATO 2027'!$K$5,"EM ANDAMENTO","A INICIAR")))</f>
        <v/>
      </c>
    </row>
    <row r="2355">
      <c r="B2355" s="4" t="n">
        <v>33807250</v>
      </c>
      <c r="C2355" s="4" t="inlineStr">
        <is>
          <t>VISTORIA APTOS</t>
        </is>
      </c>
      <c r="D2355" s="4" t="inlineStr">
        <is>
          <t>-</t>
        </is>
      </c>
      <c r="E2355" s="4" t="inlineStr">
        <is>
          <t>20º PAV.</t>
        </is>
      </c>
      <c r="F2355" s="126" t="n">
        <v>47176</v>
      </c>
      <c r="G2355" s="126" t="n">
        <v>47177</v>
      </c>
      <c r="H2355" s="126" t="n">
        <v>46289</v>
      </c>
      <c r="I2355" s="4" t="n">
        <v>0</v>
      </c>
      <c r="J2355" s="4" t="n">
        <v>0</v>
      </c>
      <c r="K2355" s="4" t="n">
        <v>0</v>
      </c>
      <c r="M2355" s="2">
        <f>IF(C2355="","",IFERROR(INDEX($S$5:$S$304,MATCH(C2355,$R$5:$R$304,0))&amp;"","?"))</f>
        <v/>
      </c>
      <c r="N2355" s="2">
        <f>IF(E2355="","",IF(ISNUMBER(SEARCH("SUBSOLO",E2355)),IFERROR(-VALUE(LEFT(E2355,FIND("º",SUBSTITUTE(E2355,"°","º"))-1)),-1),IF(LEFT(E2355,6)="TÉRREO",0,IFERROR(VALUE(LEFT(E2355,FIND("º",SUBSTITUTE(E2355,"°","º"))-1)),""))))</f>
        <v/>
      </c>
      <c r="O2355" s="2">
        <f>IF(OR(F2355="",G2355=""),"",IF(G2355&lt;='RETRATO 2027'!$K$5,"CONCLUÍDA",IF(F2355&lt;='RETRATO 2027'!$K$5,"EM ANDAMENTO","A INICIAR")))</f>
        <v/>
      </c>
    </row>
    <row r="2356">
      <c r="B2356" s="4" t="n">
        <v>29981095</v>
      </c>
      <c r="C2356" s="4" t="inlineStr">
        <is>
          <t>CHECKLIST</t>
        </is>
      </c>
      <c r="D2356" s="4" t="inlineStr">
        <is>
          <t>-</t>
        </is>
      </c>
      <c r="E2356" s="4" t="inlineStr">
        <is>
          <t>19º PAV.</t>
        </is>
      </c>
      <c r="F2356" s="126" t="n">
        <v>47177</v>
      </c>
      <c r="G2356" s="126" t="n">
        <v>47183</v>
      </c>
      <c r="H2356" s="126" t="n">
        <v>46289</v>
      </c>
      <c r="I2356" s="4" t="n">
        <v>0</v>
      </c>
      <c r="J2356" s="4" t="n">
        <v>0</v>
      </c>
      <c r="K2356" s="4" t="n">
        <v>0</v>
      </c>
      <c r="M2356" s="2">
        <f>IF(C2356="","",IFERROR(INDEX($S$5:$S$304,MATCH(C2356,$R$5:$R$304,0))&amp;"","?"))</f>
        <v/>
      </c>
      <c r="N2356" s="2">
        <f>IF(E2356="","",IF(ISNUMBER(SEARCH("SUBSOLO",E2356)),IFERROR(-VALUE(LEFT(E2356,FIND("º",SUBSTITUTE(E2356,"°","º"))-1)),-1),IF(LEFT(E2356,6)="TÉRREO",0,IFERROR(VALUE(LEFT(E2356,FIND("º",SUBSTITUTE(E2356,"°","º"))-1)),""))))</f>
        <v/>
      </c>
      <c r="O2356" s="2">
        <f>IF(OR(F2356="",G2356=""),"",IF(G2356&lt;='RETRATO 2027'!$K$5,"CONCLUÍDA",IF(F2356&lt;='RETRATO 2027'!$K$5,"EM ANDAMENTO","A INICIAR")))</f>
        <v/>
      </c>
    </row>
    <row r="2357">
      <c r="B2357" s="4" t="n">
        <v>29980893</v>
      </c>
      <c r="C2357" s="4" t="inlineStr">
        <is>
          <t>CHECKLIST FINAL</t>
        </is>
      </c>
      <c r="D2357" s="4" t="inlineStr">
        <is>
          <t>-</t>
        </is>
      </c>
      <c r="E2357" s="4" t="inlineStr">
        <is>
          <t>25º PAV.</t>
        </is>
      </c>
      <c r="F2357" s="126" t="n">
        <v>47177</v>
      </c>
      <c r="G2357" s="126" t="n">
        <v>47189</v>
      </c>
      <c r="H2357" s="126" t="n">
        <v>46289</v>
      </c>
      <c r="I2357" s="4" t="n">
        <v>0</v>
      </c>
      <c r="J2357" s="4" t="n">
        <v>0</v>
      </c>
      <c r="K2357" s="4" t="n">
        <v>0</v>
      </c>
      <c r="M2357" s="2">
        <f>IF(C2357="","",IFERROR(INDEX($S$5:$S$304,MATCH(C2357,$R$5:$R$304,0))&amp;"","?"))</f>
        <v/>
      </c>
      <c r="N2357" s="2">
        <f>IF(E2357="","",IF(ISNUMBER(SEARCH("SUBSOLO",E2357)),IFERROR(-VALUE(LEFT(E2357,FIND("º",SUBSTITUTE(E2357,"°","º"))-1)),-1),IF(LEFT(E2357,6)="TÉRREO",0,IFERROR(VALUE(LEFT(E2357,FIND("º",SUBSTITUTE(E2357,"°","º"))-1)),""))))</f>
        <v/>
      </c>
      <c r="O2357" s="2">
        <f>IF(OR(F2357="",G2357=""),"",IF(G2357&lt;='RETRATO 2027'!$K$5,"CONCLUÍDA",IF(F2357&lt;='RETRATO 2027'!$K$5,"EM ANDAMENTO","A INICIAR")))</f>
        <v/>
      </c>
    </row>
    <row r="2358">
      <c r="B2358" s="4" t="n">
        <v>29980651</v>
      </c>
      <c r="C2358" s="4" t="inlineStr">
        <is>
          <t>CHECKLIST</t>
        </is>
      </c>
      <c r="D2358" s="4" t="inlineStr">
        <is>
          <t>-</t>
        </is>
      </c>
      <c r="E2358" s="4" t="inlineStr">
        <is>
          <t>31º PAV. - COBERTURA LINEAR</t>
        </is>
      </c>
      <c r="F2358" s="126" t="n">
        <v>47177</v>
      </c>
      <c r="G2358" s="126" t="n">
        <v>47183</v>
      </c>
      <c r="H2358" s="126" t="n">
        <v>46289</v>
      </c>
      <c r="I2358" s="4" t="n">
        <v>0</v>
      </c>
      <c r="J2358" s="4" t="n">
        <v>0</v>
      </c>
      <c r="K2358" s="4" t="n">
        <v>0</v>
      </c>
      <c r="M2358" s="2">
        <f>IF(C2358="","",IFERROR(INDEX($S$5:$S$304,MATCH(C2358,$R$5:$R$304,0))&amp;"","?"))</f>
        <v/>
      </c>
      <c r="N2358" s="2">
        <f>IF(E2358="","",IF(ISNUMBER(SEARCH("SUBSOLO",E2358)),IFERROR(-VALUE(LEFT(E2358,FIND("º",SUBSTITUTE(E2358,"°","º"))-1)),-1),IF(LEFT(E2358,6)="TÉRREO",0,IFERROR(VALUE(LEFT(E2358,FIND("º",SUBSTITUTE(E2358,"°","º"))-1)),""))))</f>
        <v/>
      </c>
      <c r="O2358" s="2">
        <f>IF(OR(F2358="",G2358=""),"",IF(G2358&lt;='RETRATO 2027'!$K$5,"CONCLUÍDA",IF(F2358&lt;='RETRATO 2027'!$K$5,"EM ANDAMENTO","A INICIAR")))</f>
        <v/>
      </c>
    </row>
    <row r="2359">
      <c r="B2359" s="4" t="n">
        <v>29980616</v>
      </c>
      <c r="C2359" s="4" t="inlineStr">
        <is>
          <t>ACABAMENTOS ELÉTRICOS</t>
        </is>
      </c>
      <c r="D2359" s="4" t="inlineStr">
        <is>
          <t>-</t>
        </is>
      </c>
      <c r="E2359" s="4" t="inlineStr">
        <is>
          <t>32º PAV - COBERTURA GERAL</t>
        </is>
      </c>
      <c r="F2359" s="126" t="n">
        <v>47177</v>
      </c>
      <c r="G2359" s="126" t="n">
        <v>47189</v>
      </c>
      <c r="H2359" s="126" t="n">
        <v>46289</v>
      </c>
      <c r="I2359" s="4" t="n">
        <v>0</v>
      </c>
      <c r="J2359" s="4" t="n">
        <v>0</v>
      </c>
      <c r="K2359" s="4" t="n">
        <v>0</v>
      </c>
      <c r="M2359" s="2">
        <f>IF(C2359="","",IFERROR(INDEX($S$5:$S$304,MATCH(C2359,$R$5:$R$304,0))&amp;"","?"))</f>
        <v/>
      </c>
      <c r="N2359" s="2">
        <f>IF(E2359="","",IF(ISNUMBER(SEARCH("SUBSOLO",E2359)),IFERROR(-VALUE(LEFT(E2359,FIND("º",SUBSTITUTE(E2359,"°","º"))-1)),-1),IF(LEFT(E2359,6)="TÉRREO",0,IFERROR(VALUE(LEFT(E2359,FIND("º",SUBSTITUTE(E2359,"°","º"))-1)),""))))</f>
        <v/>
      </c>
      <c r="O2359" s="2">
        <f>IF(OR(F2359="",G2359=""),"",IF(G2359&lt;='RETRATO 2027'!$K$5,"CONCLUÍDA",IF(F2359&lt;='RETRATO 2027'!$K$5,"EM ANDAMENTO","A INICIAR")))</f>
        <v/>
      </c>
    </row>
    <row r="2360">
      <c r="B2360" s="4" t="n">
        <v>33807131</v>
      </c>
      <c r="C2360" s="4" t="inlineStr">
        <is>
          <t>HABITE-SE</t>
        </is>
      </c>
      <c r="D2360" s="4" t="inlineStr">
        <is>
          <t>-</t>
        </is>
      </c>
      <c r="E2360" s="4" t="inlineStr">
        <is>
          <t>TÉRREO - GERAL</t>
        </is>
      </c>
      <c r="F2360" s="126" t="n">
        <v>47178</v>
      </c>
      <c r="G2360" s="126" t="n">
        <v>47210</v>
      </c>
      <c r="H2360" s="126" t="n">
        <v>46289</v>
      </c>
      <c r="I2360" s="4" t="n">
        <v>0</v>
      </c>
      <c r="J2360" s="4" t="n">
        <v>0</v>
      </c>
      <c r="K2360" s="4" t="n">
        <v>0</v>
      </c>
      <c r="M2360" s="2">
        <f>IF(C2360="","",IFERROR(INDEX($S$5:$S$304,MATCH(C2360,$R$5:$R$304,0))&amp;"","?"))</f>
        <v/>
      </c>
      <c r="N2360" s="2">
        <f>IF(E2360="","",IF(ISNUMBER(SEARCH("SUBSOLO",E2360)),IFERROR(-VALUE(LEFT(E2360,FIND("º",SUBSTITUTE(E2360,"°","º"))-1)),-1),IF(LEFT(E2360,6)="TÉRREO",0,IFERROR(VALUE(LEFT(E2360,FIND("º",SUBSTITUTE(E2360,"°","º"))-1)),""))))</f>
        <v/>
      </c>
      <c r="O2360" s="2">
        <f>IF(OR(F2360="",G2360=""),"",IF(G2360&lt;='RETRATO 2027'!$K$5,"CONCLUÍDA",IF(F2360&lt;='RETRATO 2027'!$K$5,"EM ANDAMENTO","A INICIAR")))</f>
        <v/>
      </c>
    </row>
    <row r="2361">
      <c r="B2361" s="4" t="n">
        <v>30171517</v>
      </c>
      <c r="C2361" s="4" t="inlineStr">
        <is>
          <t>LIMPEZA</t>
        </is>
      </c>
      <c r="D2361" s="4" t="inlineStr">
        <is>
          <t>-</t>
        </is>
      </c>
      <c r="E2361" s="4" t="inlineStr">
        <is>
          <t>HALL - APTOS</t>
        </is>
      </c>
      <c r="F2361" s="126" t="n">
        <v>47178</v>
      </c>
      <c r="G2361" s="126" t="n">
        <v>47205</v>
      </c>
      <c r="H2361" s="126" t="n">
        <v>46289</v>
      </c>
      <c r="I2361" s="4" t="n">
        <v>0</v>
      </c>
      <c r="J2361" s="4" t="n">
        <v>0</v>
      </c>
      <c r="K2361" s="4" t="n">
        <v>0</v>
      </c>
      <c r="M2361" s="2">
        <f>IF(C2361="","",IFERROR(INDEX($S$5:$S$304,MATCH(C2361,$R$5:$R$304,0))&amp;"","?"))</f>
        <v/>
      </c>
      <c r="N2361" s="2">
        <f>IF(E2361="","",IF(ISNUMBER(SEARCH("SUBSOLO",E2361)),IFERROR(-VALUE(LEFT(E2361,FIND("º",SUBSTITUTE(E2361,"°","º"))-1)),-1),IF(LEFT(E2361,6)="TÉRREO",0,IFERROR(VALUE(LEFT(E2361,FIND("º",SUBSTITUTE(E2361,"°","º"))-1)),""))))</f>
        <v/>
      </c>
      <c r="O2361" s="2">
        <f>IF(OR(F2361="",G2361=""),"",IF(G2361&lt;='RETRATO 2027'!$K$5,"CONCLUÍDA",IF(F2361&lt;='RETRATO 2027'!$K$5,"EM ANDAMENTO","A INICIAR")))</f>
        <v/>
      </c>
    </row>
    <row r="2362">
      <c r="B2362" s="4" t="n">
        <v>33807251</v>
      </c>
      <c r="C2362" s="4" t="inlineStr">
        <is>
          <t>VISTORIA APTOS</t>
        </is>
      </c>
      <c r="D2362" s="4" t="inlineStr">
        <is>
          <t>-</t>
        </is>
      </c>
      <c r="E2362" s="4" t="inlineStr">
        <is>
          <t>21º PAV.</t>
        </is>
      </c>
      <c r="F2362" s="126" t="n">
        <v>47178</v>
      </c>
      <c r="G2362" s="126" t="n">
        <v>47179</v>
      </c>
      <c r="H2362" s="126" t="n">
        <v>46289</v>
      </c>
      <c r="I2362" s="4" t="n">
        <v>0</v>
      </c>
      <c r="J2362" s="4" t="n">
        <v>0</v>
      </c>
      <c r="K2362" s="4" t="n">
        <v>0</v>
      </c>
      <c r="M2362" s="2">
        <f>IF(C2362="","",IFERROR(INDEX($S$5:$S$304,MATCH(C2362,$R$5:$R$304,0))&amp;"","?"))</f>
        <v/>
      </c>
      <c r="N2362" s="2">
        <f>IF(E2362="","",IF(ISNUMBER(SEARCH("SUBSOLO",E2362)),IFERROR(-VALUE(LEFT(E2362,FIND("º",SUBSTITUTE(E2362,"°","º"))-1)),-1),IF(LEFT(E2362,6)="TÉRREO",0,IFERROR(VALUE(LEFT(E2362,FIND("º",SUBSTITUTE(E2362,"°","º"))-1)),""))))</f>
        <v/>
      </c>
      <c r="O2362" s="2">
        <f>IF(OR(F2362="",G2362=""),"",IF(G2362&lt;='RETRATO 2027'!$K$5,"CONCLUÍDA",IF(F2362&lt;='RETRATO 2027'!$K$5,"EM ANDAMENTO","A INICIAR")))</f>
        <v/>
      </c>
    </row>
    <row r="2363">
      <c r="B2363" s="4" t="n">
        <v>30205767</v>
      </c>
      <c r="C2363" s="4" t="inlineStr">
        <is>
          <t>LIMPEZA</t>
        </is>
      </c>
      <c r="D2363" s="4" t="inlineStr">
        <is>
          <t>-</t>
        </is>
      </c>
      <c r="E2363" s="4" t="inlineStr">
        <is>
          <t>TÉRREO - ÁREA EXTERNA RESIDENCIAL</t>
        </is>
      </c>
      <c r="F2363" s="126" t="n">
        <v>47179</v>
      </c>
      <c r="G2363" s="126" t="n">
        <v>47199</v>
      </c>
      <c r="H2363" s="126" t="n">
        <v>46289</v>
      </c>
      <c r="I2363" s="4" t="n">
        <v>0</v>
      </c>
      <c r="J2363" s="4" t="n">
        <v>0</v>
      </c>
      <c r="K2363" s="4" t="n">
        <v>0</v>
      </c>
      <c r="M2363" s="2">
        <f>IF(C2363="","",IFERROR(INDEX($S$5:$S$304,MATCH(C2363,$R$5:$R$304,0))&amp;"","?"))</f>
        <v/>
      </c>
      <c r="N2363" s="2">
        <f>IF(E2363="","",IF(ISNUMBER(SEARCH("SUBSOLO",E2363)),IFERROR(-VALUE(LEFT(E2363,FIND("º",SUBSTITUTE(E2363,"°","º"))-1)),-1),IF(LEFT(E2363,6)="TÉRREO",0,IFERROR(VALUE(LEFT(E2363,FIND("º",SUBSTITUTE(E2363,"°","º"))-1)),""))))</f>
        <v/>
      </c>
      <c r="O2363" s="2">
        <f>IF(OR(F2363="",G2363=""),"",IF(G2363&lt;='RETRATO 2027'!$K$5,"CONCLUÍDA",IF(F2363&lt;='RETRATO 2027'!$K$5,"EM ANDAMENTO","A INICIAR")))</f>
        <v/>
      </c>
    </row>
    <row r="2364">
      <c r="B2364" s="4" t="n">
        <v>29980856</v>
      </c>
      <c r="C2364" s="4" t="inlineStr">
        <is>
          <t>CHECKLIST FINAL</t>
        </is>
      </c>
      <c r="D2364" s="4" t="inlineStr">
        <is>
          <t>-</t>
        </is>
      </c>
      <c r="E2364" s="4" t="inlineStr">
        <is>
          <t>26º PAV.</t>
        </is>
      </c>
      <c r="F2364" s="126" t="n">
        <v>47179</v>
      </c>
      <c r="G2364" s="126" t="n">
        <v>47191</v>
      </c>
      <c r="H2364" s="126" t="n">
        <v>46289</v>
      </c>
      <c r="I2364" s="4" t="n">
        <v>0</v>
      </c>
      <c r="J2364" s="4" t="n">
        <v>0</v>
      </c>
      <c r="K2364" s="4" t="n">
        <v>0</v>
      </c>
      <c r="M2364" s="2">
        <f>IF(C2364="","",IFERROR(INDEX($S$5:$S$304,MATCH(C2364,$R$5:$R$304,0))&amp;"","?"))</f>
        <v/>
      </c>
      <c r="N2364" s="2">
        <f>IF(E2364="","",IF(ISNUMBER(SEARCH("SUBSOLO",E2364)),IFERROR(-VALUE(LEFT(E2364,FIND("º",SUBSTITUTE(E2364,"°","º"))-1)),-1),IF(LEFT(E2364,6)="TÉRREO",0,IFERROR(VALUE(LEFT(E2364,FIND("º",SUBSTITUTE(E2364,"°","º"))-1)),""))))</f>
        <v/>
      </c>
      <c r="O2364" s="2">
        <f>IF(OR(F2364="",G2364=""),"",IF(G2364&lt;='RETRATO 2027'!$K$5,"CONCLUÍDA",IF(F2364&lt;='RETRATO 2027'!$K$5,"EM ANDAMENTO","A INICIAR")))</f>
        <v/>
      </c>
    </row>
    <row r="2365">
      <c r="B2365" s="4" t="n">
        <v>33807252</v>
      </c>
      <c r="C2365" s="4" t="inlineStr">
        <is>
          <t>VISTORIA APTOS</t>
        </is>
      </c>
      <c r="D2365" s="4" t="inlineStr">
        <is>
          <t>-</t>
        </is>
      </c>
      <c r="E2365" s="4" t="inlineStr">
        <is>
          <t>22º PAV.</t>
        </is>
      </c>
      <c r="F2365" s="126" t="n">
        <v>47182</v>
      </c>
      <c r="G2365" s="126" t="n">
        <v>47183</v>
      </c>
      <c r="H2365" s="126" t="n">
        <v>46289</v>
      </c>
      <c r="I2365" s="4" t="n">
        <v>0</v>
      </c>
      <c r="J2365" s="4" t="n">
        <v>0</v>
      </c>
      <c r="K2365" s="4" t="n">
        <v>0</v>
      </c>
      <c r="M2365" s="2">
        <f>IF(C2365="","",IFERROR(INDEX($S$5:$S$304,MATCH(C2365,$R$5:$R$304,0))&amp;"","?"))</f>
        <v/>
      </c>
      <c r="N2365" s="2">
        <f>IF(E2365="","",IF(ISNUMBER(SEARCH("SUBSOLO",E2365)),IFERROR(-VALUE(LEFT(E2365,FIND("º",SUBSTITUTE(E2365,"°","º"))-1)),-1),IF(LEFT(E2365,6)="TÉRREO",0,IFERROR(VALUE(LEFT(E2365,FIND("º",SUBSTITUTE(E2365,"°","º"))-1)),""))))</f>
        <v/>
      </c>
      <c r="O2365" s="2">
        <f>IF(OR(F2365="",G2365=""),"",IF(G2365&lt;='RETRATO 2027'!$K$5,"CONCLUÍDA",IF(F2365&lt;='RETRATO 2027'!$K$5,"EM ANDAMENTO","A INICIAR")))</f>
        <v/>
      </c>
    </row>
    <row r="2366">
      <c r="B2366" s="4" t="n">
        <v>29980819</v>
      </c>
      <c r="C2366" s="4" t="inlineStr">
        <is>
          <t>CHECKLIST FINAL</t>
        </is>
      </c>
      <c r="D2366" s="4" t="inlineStr">
        <is>
          <t>-</t>
        </is>
      </c>
      <c r="E2366" s="4" t="inlineStr">
        <is>
          <t>27º PAV.</t>
        </is>
      </c>
      <c r="F2366" s="126" t="n">
        <v>47183</v>
      </c>
      <c r="G2366" s="126" t="n">
        <v>47193</v>
      </c>
      <c r="H2366" s="126" t="n">
        <v>46289</v>
      </c>
      <c r="I2366" s="4" t="n">
        <v>0</v>
      </c>
      <c r="J2366" s="4" t="n">
        <v>0</v>
      </c>
      <c r="K2366" s="4" t="n">
        <v>0</v>
      </c>
      <c r="M2366" s="2">
        <f>IF(C2366="","",IFERROR(INDEX($S$5:$S$304,MATCH(C2366,$R$5:$R$304,0))&amp;"","?"))</f>
        <v/>
      </c>
      <c r="N2366" s="2">
        <f>IF(E2366="","",IF(ISNUMBER(SEARCH("SUBSOLO",E2366)),IFERROR(-VALUE(LEFT(E2366,FIND("º",SUBSTITUTE(E2366,"°","º"))-1)),-1),IF(LEFT(E2366,6)="TÉRREO",0,IFERROR(VALUE(LEFT(E2366,FIND("º",SUBSTITUTE(E2366,"°","º"))-1)),""))))</f>
        <v/>
      </c>
      <c r="O2366" s="2">
        <f>IF(OR(F2366="",G2366=""),"",IF(G2366&lt;='RETRATO 2027'!$K$5,"CONCLUÍDA",IF(F2366&lt;='RETRATO 2027'!$K$5,"EM ANDAMENTO","A INICIAR")))</f>
        <v/>
      </c>
    </row>
    <row r="2367">
      <c r="B2367" s="4" t="n">
        <v>29981096</v>
      </c>
      <c r="C2367" s="4" t="inlineStr">
        <is>
          <t>PINTURA 3º DEMÃO</t>
        </is>
      </c>
      <c r="D2367" s="4" t="inlineStr">
        <is>
          <t>-</t>
        </is>
      </c>
      <c r="E2367" s="4" t="inlineStr">
        <is>
          <t>19º PAV.</t>
        </is>
      </c>
      <c r="F2367" s="126" t="n">
        <v>47184</v>
      </c>
      <c r="G2367" s="126" t="n">
        <v>47196</v>
      </c>
      <c r="H2367" s="126" t="n">
        <v>46289</v>
      </c>
      <c r="I2367" s="4" t="n">
        <v>0</v>
      </c>
      <c r="J2367" s="4" t="n">
        <v>0</v>
      </c>
      <c r="K2367" s="4" t="n">
        <v>0</v>
      </c>
      <c r="M2367" s="2">
        <f>IF(C2367="","",IFERROR(INDEX($S$5:$S$304,MATCH(C2367,$R$5:$R$304,0))&amp;"","?"))</f>
        <v/>
      </c>
      <c r="N2367" s="2">
        <f>IF(E2367="","",IF(ISNUMBER(SEARCH("SUBSOLO",E2367)),IFERROR(-VALUE(LEFT(E2367,FIND("º",SUBSTITUTE(E2367,"°","º"))-1)),-1),IF(LEFT(E2367,6)="TÉRREO",0,IFERROR(VALUE(LEFT(E2367,FIND("º",SUBSTITUTE(E2367,"°","º"))-1)),""))))</f>
        <v/>
      </c>
      <c r="O2367" s="2">
        <f>IF(OR(F2367="",G2367=""),"",IF(G2367&lt;='RETRATO 2027'!$K$5,"CONCLUÍDA",IF(F2367&lt;='RETRATO 2027'!$K$5,"EM ANDAMENTO","A INICIAR")))</f>
        <v/>
      </c>
    </row>
    <row r="2368">
      <c r="B2368" s="4" t="n">
        <v>33807253</v>
      </c>
      <c r="C2368" s="4" t="inlineStr">
        <is>
          <t>VISTORIA APTOS</t>
        </is>
      </c>
      <c r="D2368" s="4" t="inlineStr">
        <is>
          <t>-</t>
        </is>
      </c>
      <c r="E2368" s="4" t="inlineStr">
        <is>
          <t>23º PAV.</t>
        </is>
      </c>
      <c r="F2368" s="126" t="n">
        <v>47184</v>
      </c>
      <c r="G2368" s="126" t="n">
        <v>47185</v>
      </c>
      <c r="H2368" s="126" t="n">
        <v>46289</v>
      </c>
      <c r="I2368" s="4" t="n">
        <v>0</v>
      </c>
      <c r="J2368" s="4" t="n">
        <v>0</v>
      </c>
      <c r="K2368" s="4" t="n">
        <v>0</v>
      </c>
      <c r="M2368" s="2">
        <f>IF(C2368="","",IFERROR(INDEX($S$5:$S$304,MATCH(C2368,$R$5:$R$304,0))&amp;"","?"))</f>
        <v/>
      </c>
      <c r="N2368" s="2">
        <f>IF(E2368="","",IF(ISNUMBER(SEARCH("SUBSOLO",E2368)),IFERROR(-VALUE(LEFT(E2368,FIND("º",SUBSTITUTE(E2368,"°","º"))-1)),-1),IF(LEFT(E2368,6)="TÉRREO",0,IFERROR(VALUE(LEFT(E2368,FIND("º",SUBSTITUTE(E2368,"°","º"))-1)),""))))</f>
        <v/>
      </c>
      <c r="O2368" s="2">
        <f>IF(OR(F2368="",G2368=""),"",IF(G2368&lt;='RETRATO 2027'!$K$5,"CONCLUÍDA",IF(F2368&lt;='RETRATO 2027'!$K$5,"EM ANDAMENTO","A INICIAR")))</f>
        <v/>
      </c>
    </row>
    <row r="2369">
      <c r="B2369" s="4" t="n">
        <v>29980699</v>
      </c>
      <c r="C2369" s="4" t="inlineStr">
        <is>
          <t>LIMPEZA FINA</t>
        </is>
      </c>
      <c r="D2369" s="4" t="inlineStr">
        <is>
          <t>-</t>
        </is>
      </c>
      <c r="E2369" s="4" t="inlineStr">
        <is>
          <t>30º PAV.</t>
        </is>
      </c>
      <c r="F2369" s="126" t="n">
        <v>47184</v>
      </c>
      <c r="G2369" s="126" t="n">
        <v>47196</v>
      </c>
      <c r="H2369" s="126" t="n">
        <v>46289</v>
      </c>
      <c r="I2369" s="4" t="n">
        <v>0</v>
      </c>
      <c r="J2369" s="4" t="n">
        <v>0</v>
      </c>
      <c r="K2369" s="4" t="n">
        <v>0</v>
      </c>
      <c r="M2369" s="2">
        <f>IF(C2369="","",IFERROR(INDEX($S$5:$S$304,MATCH(C2369,$R$5:$R$304,0))&amp;"","?"))</f>
        <v/>
      </c>
      <c r="N2369" s="2">
        <f>IF(E2369="","",IF(ISNUMBER(SEARCH("SUBSOLO",E2369)),IFERROR(-VALUE(LEFT(E2369,FIND("º",SUBSTITUTE(E2369,"°","º"))-1)),-1),IF(LEFT(E2369,6)="TÉRREO",0,IFERROR(VALUE(LEFT(E2369,FIND("º",SUBSTITUTE(E2369,"°","º"))-1)),""))))</f>
        <v/>
      </c>
      <c r="O2369" s="2">
        <f>IF(OR(F2369="",G2369=""),"",IF(G2369&lt;='RETRATO 2027'!$K$5,"CONCLUÍDA",IF(F2369&lt;='RETRATO 2027'!$K$5,"EM ANDAMENTO","A INICIAR")))</f>
        <v/>
      </c>
    </row>
    <row r="2370">
      <c r="B2370" s="4" t="n">
        <v>29980652</v>
      </c>
      <c r="C2370" s="4" t="inlineStr">
        <is>
          <t>PINTURA 3º DEMÃO</t>
        </is>
      </c>
      <c r="D2370" s="4" t="inlineStr">
        <is>
          <t>-</t>
        </is>
      </c>
      <c r="E2370" s="4" t="inlineStr">
        <is>
          <t>31º PAV. - COBERTURA LINEAR</t>
        </is>
      </c>
      <c r="F2370" s="126" t="n">
        <v>47184</v>
      </c>
      <c r="G2370" s="126" t="n">
        <v>47196</v>
      </c>
      <c r="H2370" s="126" t="n">
        <v>46289</v>
      </c>
      <c r="I2370" s="4" t="n">
        <v>0</v>
      </c>
      <c r="J2370" s="4" t="n">
        <v>0</v>
      </c>
      <c r="K2370" s="4" t="n">
        <v>0</v>
      </c>
      <c r="M2370" s="2">
        <f>IF(C2370="","",IFERROR(INDEX($S$5:$S$304,MATCH(C2370,$R$5:$R$304,0))&amp;"","?"))</f>
        <v/>
      </c>
      <c r="N2370" s="2">
        <f>IF(E2370="","",IF(ISNUMBER(SEARCH("SUBSOLO",E2370)),IFERROR(-VALUE(LEFT(E2370,FIND("º",SUBSTITUTE(E2370,"°","º"))-1)),-1),IF(LEFT(E2370,6)="TÉRREO",0,IFERROR(VALUE(LEFT(E2370,FIND("º",SUBSTITUTE(E2370,"°","º"))-1)),""))))</f>
        <v/>
      </c>
      <c r="O2370" s="2">
        <f>IF(OR(F2370="",G2370=""),"",IF(G2370&lt;='RETRATO 2027'!$K$5,"CONCLUÍDA",IF(F2370&lt;='RETRATO 2027'!$K$5,"EM ANDAMENTO","A INICIAR")))</f>
        <v/>
      </c>
    </row>
    <row r="2371">
      <c r="B2371" s="4" t="n">
        <v>29980782</v>
      </c>
      <c r="C2371" s="4" t="inlineStr">
        <is>
          <t>CHECKLIST FINAL</t>
        </is>
      </c>
      <c r="D2371" s="4" t="inlineStr">
        <is>
          <t>-</t>
        </is>
      </c>
      <c r="E2371" s="4" t="inlineStr">
        <is>
          <t>28º PAV.</t>
        </is>
      </c>
      <c r="F2371" s="126" t="n">
        <v>47185</v>
      </c>
      <c r="G2371" s="126" t="n">
        <v>47197</v>
      </c>
      <c r="H2371" s="126" t="n">
        <v>46289</v>
      </c>
      <c r="I2371" s="4" t="n">
        <v>0</v>
      </c>
      <c r="J2371" s="4" t="n">
        <v>0</v>
      </c>
      <c r="K2371" s="4" t="n">
        <v>0</v>
      </c>
      <c r="M2371" s="2">
        <f>IF(C2371="","",IFERROR(INDEX($S$5:$S$304,MATCH(C2371,$R$5:$R$304,0))&amp;"","?"))</f>
        <v/>
      </c>
      <c r="N2371" s="2">
        <f>IF(E2371="","",IF(ISNUMBER(SEARCH("SUBSOLO",E2371)),IFERROR(-VALUE(LEFT(E2371,FIND("º",SUBSTITUTE(E2371,"°","º"))-1)),-1),IF(LEFT(E2371,6)="TÉRREO",0,IFERROR(VALUE(LEFT(E2371,FIND("º",SUBSTITUTE(E2371,"°","º"))-1)),""))))</f>
        <v/>
      </c>
      <c r="O2371" s="2">
        <f>IF(OR(F2371="",G2371=""),"",IF(G2371&lt;='RETRATO 2027'!$K$5,"CONCLUÍDA",IF(F2371&lt;='RETRATO 2027'!$K$5,"EM ANDAMENTO","A INICIAR")))</f>
        <v/>
      </c>
    </row>
    <row r="2372">
      <c r="B2372" s="4" t="n">
        <v>33807254</v>
      </c>
      <c r="C2372" s="4" t="inlineStr">
        <is>
          <t>VISTORIA APTOS</t>
        </is>
      </c>
      <c r="D2372" s="4" t="inlineStr">
        <is>
          <t>-</t>
        </is>
      </c>
      <c r="E2372" s="4" t="inlineStr">
        <is>
          <t>24º PAV.</t>
        </is>
      </c>
      <c r="F2372" s="126" t="n">
        <v>47186</v>
      </c>
      <c r="G2372" s="126" t="n">
        <v>47189</v>
      </c>
      <c r="H2372" s="126" t="n">
        <v>46289</v>
      </c>
      <c r="I2372" s="4" t="n">
        <v>0</v>
      </c>
      <c r="J2372" s="4" t="n">
        <v>0</v>
      </c>
      <c r="K2372" s="4" t="n">
        <v>0</v>
      </c>
      <c r="M2372" s="2">
        <f>IF(C2372="","",IFERROR(INDEX($S$5:$S$304,MATCH(C2372,$R$5:$R$304,0))&amp;"","?"))</f>
        <v/>
      </c>
      <c r="N2372" s="2">
        <f>IF(E2372="","",IF(ISNUMBER(SEARCH("SUBSOLO",E2372)),IFERROR(-VALUE(LEFT(E2372,FIND("º",SUBSTITUTE(E2372,"°","º"))-1)),-1),IF(LEFT(E2372,6)="TÉRREO",0,IFERROR(VALUE(LEFT(E2372,FIND("º",SUBSTITUTE(E2372,"°","º"))-1)),""))))</f>
        <v/>
      </c>
      <c r="O2372" s="2">
        <f>IF(OR(F2372="",G2372=""),"",IF(G2372&lt;='RETRATO 2027'!$K$5,"CONCLUÍDA",IF(F2372&lt;='RETRATO 2027'!$K$5,"EM ANDAMENTO","A INICIAR")))</f>
        <v/>
      </c>
    </row>
    <row r="2373">
      <c r="B2373" s="4" t="n">
        <v>30171396</v>
      </c>
      <c r="C2373" s="4" t="inlineStr">
        <is>
          <t>LIMPEZA</t>
        </is>
      </c>
      <c r="D2373" s="4" t="inlineStr">
        <is>
          <t>-</t>
        </is>
      </c>
      <c r="E2373" s="4" t="inlineStr">
        <is>
          <t>5º PAV - GARAGEM</t>
        </is>
      </c>
      <c r="F2373" s="126" t="n">
        <v>47189</v>
      </c>
      <c r="G2373" s="126" t="n">
        <v>47210</v>
      </c>
      <c r="H2373" s="126" t="n">
        <v>46289</v>
      </c>
      <c r="I2373" s="4" t="n">
        <v>0</v>
      </c>
      <c r="J2373" s="4" t="n">
        <v>0</v>
      </c>
      <c r="K2373" s="4" t="n">
        <v>0</v>
      </c>
      <c r="M2373" s="2">
        <f>IF(C2373="","",IFERROR(INDEX($S$5:$S$304,MATCH(C2373,$R$5:$R$304,0))&amp;"","?"))</f>
        <v/>
      </c>
      <c r="N2373" s="2">
        <f>IF(E2373="","",IF(ISNUMBER(SEARCH("SUBSOLO",E2373)),IFERROR(-VALUE(LEFT(E2373,FIND("º",SUBSTITUTE(E2373,"°","º"))-1)),-1),IF(LEFT(E2373,6)="TÉRREO",0,IFERROR(VALUE(LEFT(E2373,FIND("º",SUBSTITUTE(E2373,"°","º"))-1)),""))))</f>
        <v/>
      </c>
      <c r="O2373" s="2">
        <f>IF(OR(F2373="",G2373=""),"",IF(G2373&lt;='RETRATO 2027'!$K$5,"CONCLUÍDA",IF(F2373&lt;='RETRATO 2027'!$K$5,"EM ANDAMENTO","A INICIAR")))</f>
        <v/>
      </c>
    </row>
    <row r="2374">
      <c r="B2374" s="4" t="n">
        <v>29980745</v>
      </c>
      <c r="C2374" s="4" t="inlineStr">
        <is>
          <t>CHECKLIST FINAL</t>
        </is>
      </c>
      <c r="D2374" s="4" t="inlineStr">
        <is>
          <t>-</t>
        </is>
      </c>
      <c r="E2374" s="4" t="inlineStr">
        <is>
          <t>29º PAV.</t>
        </is>
      </c>
      <c r="F2374" s="126" t="n">
        <v>47189</v>
      </c>
      <c r="G2374" s="126" t="n">
        <v>47199</v>
      </c>
      <c r="H2374" s="126" t="n">
        <v>46289</v>
      </c>
      <c r="I2374" s="4" t="n">
        <v>0</v>
      </c>
      <c r="J2374" s="4" t="n">
        <v>0</v>
      </c>
      <c r="K2374" s="4" t="n">
        <v>0</v>
      </c>
      <c r="M2374" s="2">
        <f>IF(C2374="","",IFERROR(INDEX($S$5:$S$304,MATCH(C2374,$R$5:$R$304,0))&amp;"","?"))</f>
        <v/>
      </c>
      <c r="N2374" s="2">
        <f>IF(E2374="","",IF(ISNUMBER(SEARCH("SUBSOLO",E2374)),IFERROR(-VALUE(LEFT(E2374,FIND("º",SUBSTITUTE(E2374,"°","º"))-1)),-1),IF(LEFT(E2374,6)="TÉRREO",0,IFERROR(VALUE(LEFT(E2374,FIND("º",SUBSTITUTE(E2374,"°","º"))-1)),""))))</f>
        <v/>
      </c>
      <c r="O2374" s="2">
        <f>IF(OR(F2374="",G2374=""),"",IF(G2374&lt;='RETRATO 2027'!$K$5,"CONCLUÍDA",IF(F2374&lt;='RETRATO 2027'!$K$5,"EM ANDAMENTO","A INICIAR")))</f>
        <v/>
      </c>
    </row>
    <row r="2375">
      <c r="B2375" s="4" t="n">
        <v>33807255</v>
      </c>
      <c r="C2375" s="4" t="inlineStr">
        <is>
          <t>VISTORIA APTOS</t>
        </is>
      </c>
      <c r="D2375" s="4" t="inlineStr">
        <is>
          <t>-</t>
        </is>
      </c>
      <c r="E2375" s="4" t="inlineStr">
        <is>
          <t>25º PAV.</t>
        </is>
      </c>
      <c r="F2375" s="126" t="n">
        <v>47190</v>
      </c>
      <c r="G2375" s="126" t="n">
        <v>47191</v>
      </c>
      <c r="H2375" s="126" t="n">
        <v>46289</v>
      </c>
      <c r="I2375" s="4" t="n">
        <v>0</v>
      </c>
      <c r="J2375" s="4" t="n">
        <v>0</v>
      </c>
      <c r="K2375" s="4" t="n">
        <v>0</v>
      </c>
      <c r="M2375" s="2">
        <f>IF(C2375="","",IFERROR(INDEX($S$5:$S$304,MATCH(C2375,$R$5:$R$304,0))&amp;"","?"))</f>
        <v/>
      </c>
      <c r="N2375" s="2">
        <f>IF(E2375="","",IF(ISNUMBER(SEARCH("SUBSOLO",E2375)),IFERROR(-VALUE(LEFT(E2375,FIND("º",SUBSTITUTE(E2375,"°","º"))-1)),-1),IF(LEFT(E2375,6)="TÉRREO",0,IFERROR(VALUE(LEFT(E2375,FIND("º",SUBSTITUTE(E2375,"°","º"))-1)),""))))</f>
        <v/>
      </c>
      <c r="O2375" s="2">
        <f>IF(OR(F2375="",G2375=""),"",IF(G2375&lt;='RETRATO 2027'!$K$5,"CONCLUÍDA",IF(F2375&lt;='RETRATO 2027'!$K$5,"EM ANDAMENTO","A INICIAR")))</f>
        <v/>
      </c>
    </row>
    <row r="2376">
      <c r="B2376" s="4" t="n">
        <v>29980614</v>
      </c>
      <c r="C2376" s="4" t="inlineStr">
        <is>
          <t>CHECKLIST</t>
        </is>
      </c>
      <c r="D2376" s="4" t="inlineStr">
        <is>
          <t>-</t>
        </is>
      </c>
      <c r="E2376" s="4" t="inlineStr">
        <is>
          <t>32º PAV - COBERTURA GERAL</t>
        </is>
      </c>
      <c r="F2376" s="126" t="n">
        <v>47190</v>
      </c>
      <c r="G2376" s="126" t="n">
        <v>47196</v>
      </c>
      <c r="H2376" s="126" t="n">
        <v>46289</v>
      </c>
      <c r="I2376" s="4" t="n">
        <v>0</v>
      </c>
      <c r="J2376" s="4" t="n">
        <v>0</v>
      </c>
      <c r="K2376" s="4" t="n">
        <v>0</v>
      </c>
      <c r="M2376" s="2">
        <f>IF(C2376="","",IFERROR(INDEX($S$5:$S$304,MATCH(C2376,$R$5:$R$304,0))&amp;"","?"))</f>
        <v/>
      </c>
      <c r="N2376" s="2">
        <f>IF(E2376="","",IF(ISNUMBER(SEARCH("SUBSOLO",E2376)),IFERROR(-VALUE(LEFT(E2376,FIND("º",SUBSTITUTE(E2376,"°","º"))-1)),-1),IF(LEFT(E2376,6)="TÉRREO",0,IFERROR(VALUE(LEFT(E2376,FIND("º",SUBSTITUTE(E2376,"°","º"))-1)),""))))</f>
        <v/>
      </c>
      <c r="O2376" s="2">
        <f>IF(OR(F2376="",G2376=""),"",IF(G2376&lt;='RETRATO 2027'!$K$5,"CONCLUÍDA",IF(F2376&lt;='RETRATO 2027'!$K$5,"EM ANDAMENTO","A INICIAR")))</f>
        <v/>
      </c>
    </row>
    <row r="2377">
      <c r="B2377" s="4" t="n">
        <v>33807256</v>
      </c>
      <c r="C2377" s="4" t="inlineStr">
        <is>
          <t>VISTORIA APTOS</t>
        </is>
      </c>
      <c r="D2377" s="4" t="inlineStr">
        <is>
          <t>-</t>
        </is>
      </c>
      <c r="E2377" s="4" t="inlineStr">
        <is>
          <t>26º PAV.</t>
        </is>
      </c>
      <c r="F2377" s="126" t="n">
        <v>47192</v>
      </c>
      <c r="G2377" s="126" t="n">
        <v>47193</v>
      </c>
      <c r="H2377" s="126" t="n">
        <v>46289</v>
      </c>
      <c r="I2377" s="4" t="n">
        <v>0</v>
      </c>
      <c r="J2377" s="4" t="n">
        <v>0</v>
      </c>
      <c r="K2377" s="4" t="n">
        <v>0</v>
      </c>
      <c r="M2377" s="2">
        <f>IF(C2377="","",IFERROR(INDEX($S$5:$S$304,MATCH(C2377,$R$5:$R$304,0))&amp;"","?"))</f>
        <v/>
      </c>
      <c r="N2377" s="2">
        <f>IF(E2377="","",IF(ISNUMBER(SEARCH("SUBSOLO",E2377)),IFERROR(-VALUE(LEFT(E2377,FIND("º",SUBSTITUTE(E2377,"°","º"))-1)),-1),IF(LEFT(E2377,6)="TÉRREO",0,IFERROR(VALUE(LEFT(E2377,FIND("º",SUBSTITUTE(E2377,"°","º"))-1)),""))))</f>
        <v/>
      </c>
      <c r="O2377" s="2">
        <f>IF(OR(F2377="",G2377=""),"",IF(G2377&lt;='RETRATO 2027'!$K$5,"CONCLUÍDA",IF(F2377&lt;='RETRATO 2027'!$K$5,"EM ANDAMENTO","A INICIAR")))</f>
        <v/>
      </c>
    </row>
    <row r="2378">
      <c r="B2378" s="4" t="n">
        <v>33807257</v>
      </c>
      <c r="C2378" s="4" t="inlineStr">
        <is>
          <t>VISTORIA APTOS</t>
        </is>
      </c>
      <c r="D2378" s="4" t="inlineStr">
        <is>
          <t>-</t>
        </is>
      </c>
      <c r="E2378" s="4" t="inlineStr">
        <is>
          <t>27º PAV.</t>
        </is>
      </c>
      <c r="F2378" s="126" t="n">
        <v>47196</v>
      </c>
      <c r="G2378" s="126" t="n">
        <v>47197</v>
      </c>
      <c r="H2378" s="126" t="n">
        <v>46289</v>
      </c>
      <c r="I2378" s="4" t="n">
        <v>0</v>
      </c>
      <c r="J2378" s="4" t="n">
        <v>0</v>
      </c>
      <c r="K2378" s="4" t="n">
        <v>0</v>
      </c>
      <c r="M2378" s="2">
        <f>IF(C2378="","",IFERROR(INDEX($S$5:$S$304,MATCH(C2378,$R$5:$R$304,0))&amp;"","?"))</f>
        <v/>
      </c>
      <c r="N2378" s="2">
        <f>IF(E2378="","",IF(ISNUMBER(SEARCH("SUBSOLO",E2378)),IFERROR(-VALUE(LEFT(E2378,FIND("º",SUBSTITUTE(E2378,"°","º"))-1)),-1),IF(LEFT(E2378,6)="TÉRREO",0,IFERROR(VALUE(LEFT(E2378,FIND("º",SUBSTITUTE(E2378,"°","º"))-1)),""))))</f>
        <v/>
      </c>
      <c r="O2378" s="2">
        <f>IF(OR(F2378="",G2378=""),"",IF(G2378&lt;='RETRATO 2027'!$K$5,"CONCLUÍDA",IF(F2378&lt;='RETRATO 2027'!$K$5,"EM ANDAMENTO","A INICIAR")))</f>
        <v/>
      </c>
    </row>
    <row r="2379">
      <c r="B2379" s="4" t="n">
        <v>29981106</v>
      </c>
      <c r="C2379" s="4" t="inlineStr">
        <is>
          <t>LIMPEZA FINA</t>
        </is>
      </c>
      <c r="D2379" s="4" t="inlineStr">
        <is>
          <t>-</t>
        </is>
      </c>
      <c r="E2379" s="4" t="inlineStr">
        <is>
          <t>19º PAV.</t>
        </is>
      </c>
      <c r="F2379" s="126" t="n">
        <v>47197</v>
      </c>
      <c r="G2379" s="126" t="n">
        <v>47210</v>
      </c>
      <c r="H2379" s="126" t="n">
        <v>46289</v>
      </c>
      <c r="I2379" s="4" t="n">
        <v>0</v>
      </c>
      <c r="J2379" s="4" t="n">
        <v>0</v>
      </c>
      <c r="K2379" s="4" t="n">
        <v>0</v>
      </c>
      <c r="M2379" s="2">
        <f>IF(C2379="","",IFERROR(INDEX($S$5:$S$304,MATCH(C2379,$R$5:$R$304,0))&amp;"","?"))</f>
        <v/>
      </c>
      <c r="N2379" s="2">
        <f>IF(E2379="","",IF(ISNUMBER(SEARCH("SUBSOLO",E2379)),IFERROR(-VALUE(LEFT(E2379,FIND("º",SUBSTITUTE(E2379,"°","º"))-1)),-1),IF(LEFT(E2379,6)="TÉRREO",0,IFERROR(VALUE(LEFT(E2379,FIND("º",SUBSTITUTE(E2379,"°","º"))-1)),""))))</f>
        <v/>
      </c>
      <c r="O2379" s="2">
        <f>IF(OR(F2379="",G2379=""),"",IF(G2379&lt;='RETRATO 2027'!$K$5,"CONCLUÍDA",IF(F2379&lt;='RETRATO 2027'!$K$5,"EM ANDAMENTO","A INICIAR")))</f>
        <v/>
      </c>
    </row>
    <row r="2380">
      <c r="B2380" s="4" t="n">
        <v>29980708</v>
      </c>
      <c r="C2380" s="4" t="inlineStr">
        <is>
          <t>CHECKLIST FINAL</t>
        </is>
      </c>
      <c r="D2380" s="4" t="inlineStr">
        <is>
          <t>-</t>
        </is>
      </c>
      <c r="E2380" s="4" t="inlineStr">
        <is>
          <t>30º PAV.</t>
        </is>
      </c>
      <c r="F2380" s="126" t="n">
        <v>47197</v>
      </c>
      <c r="G2380" s="126" t="n">
        <v>47210</v>
      </c>
      <c r="H2380" s="126" t="n">
        <v>46289</v>
      </c>
      <c r="I2380" s="4" t="n">
        <v>0</v>
      </c>
      <c r="J2380" s="4" t="n">
        <v>0</v>
      </c>
      <c r="K2380" s="4" t="n">
        <v>0</v>
      </c>
      <c r="M2380" s="2">
        <f>IF(C2380="","",IFERROR(INDEX($S$5:$S$304,MATCH(C2380,$R$5:$R$304,0))&amp;"","?"))</f>
        <v/>
      </c>
      <c r="N2380" s="2">
        <f>IF(E2380="","",IF(ISNUMBER(SEARCH("SUBSOLO",E2380)),IFERROR(-VALUE(LEFT(E2380,FIND("º",SUBSTITUTE(E2380,"°","º"))-1)),-1),IF(LEFT(E2380,6)="TÉRREO",0,IFERROR(VALUE(LEFT(E2380,FIND("º",SUBSTITUTE(E2380,"°","º"))-1)),""))))</f>
        <v/>
      </c>
      <c r="O2380" s="2">
        <f>IF(OR(F2380="",G2380=""),"",IF(G2380&lt;='RETRATO 2027'!$K$5,"CONCLUÍDA",IF(F2380&lt;='RETRATO 2027'!$K$5,"EM ANDAMENTO","A INICIAR")))</f>
        <v/>
      </c>
    </row>
    <row r="2381">
      <c r="B2381" s="4" t="n">
        <v>29980662</v>
      </c>
      <c r="C2381" s="4" t="inlineStr">
        <is>
          <t>LIMPEZA FINA</t>
        </is>
      </c>
      <c r="D2381" s="4" t="inlineStr">
        <is>
          <t>-</t>
        </is>
      </c>
      <c r="E2381" s="4" t="inlineStr">
        <is>
          <t>31º PAV. - COBERTURA LINEAR</t>
        </is>
      </c>
      <c r="F2381" s="126" t="n">
        <v>47197</v>
      </c>
      <c r="G2381" s="126" t="n">
        <v>47210</v>
      </c>
      <c r="H2381" s="126" t="n">
        <v>46289</v>
      </c>
      <c r="I2381" s="4" t="n">
        <v>0</v>
      </c>
      <c r="J2381" s="4" t="n">
        <v>0</v>
      </c>
      <c r="K2381" s="4" t="n">
        <v>0</v>
      </c>
      <c r="M2381" s="2">
        <f>IF(C2381="","",IFERROR(INDEX($S$5:$S$304,MATCH(C2381,$R$5:$R$304,0))&amp;"","?"))</f>
        <v/>
      </c>
      <c r="N2381" s="2">
        <f>IF(E2381="","",IF(ISNUMBER(SEARCH("SUBSOLO",E2381)),IFERROR(-VALUE(LEFT(E2381,FIND("º",SUBSTITUTE(E2381,"°","º"))-1)),-1),IF(LEFT(E2381,6)="TÉRREO",0,IFERROR(VALUE(LEFT(E2381,FIND("º",SUBSTITUTE(E2381,"°","º"))-1)),""))))</f>
        <v/>
      </c>
      <c r="O2381" s="2">
        <f>IF(OR(F2381="",G2381=""),"",IF(G2381&lt;='RETRATO 2027'!$K$5,"CONCLUÍDA",IF(F2381&lt;='RETRATO 2027'!$K$5,"EM ANDAMENTO","A INICIAR")))</f>
        <v/>
      </c>
    </row>
    <row r="2382">
      <c r="B2382" s="4" t="n">
        <v>29980615</v>
      </c>
      <c r="C2382" s="4" t="inlineStr">
        <is>
          <t>PINTURA 3º DEMÃO</t>
        </is>
      </c>
      <c r="D2382" s="4" t="inlineStr">
        <is>
          <t>-</t>
        </is>
      </c>
      <c r="E2382" s="4" t="inlineStr">
        <is>
          <t>32º PAV - COBERTURA GERAL</t>
        </is>
      </c>
      <c r="F2382" s="126" t="n">
        <v>47197</v>
      </c>
      <c r="G2382" s="126" t="n">
        <v>47210</v>
      </c>
      <c r="H2382" s="126" t="n">
        <v>46289</v>
      </c>
      <c r="I2382" s="4" t="n">
        <v>0</v>
      </c>
      <c r="J2382" s="4" t="n">
        <v>0</v>
      </c>
      <c r="K2382" s="4" t="n">
        <v>0</v>
      </c>
      <c r="M2382" s="2">
        <f>IF(C2382="","",IFERROR(INDEX($S$5:$S$304,MATCH(C2382,$R$5:$R$304,0))&amp;"","?"))</f>
        <v/>
      </c>
      <c r="N2382" s="2">
        <f>IF(E2382="","",IF(ISNUMBER(SEARCH("SUBSOLO",E2382)),IFERROR(-VALUE(LEFT(E2382,FIND("º",SUBSTITUTE(E2382,"°","º"))-1)),-1),IF(LEFT(E2382,6)="TÉRREO",0,IFERROR(VALUE(LEFT(E2382,FIND("º",SUBSTITUTE(E2382,"°","º"))-1)),""))))</f>
        <v/>
      </c>
      <c r="O2382" s="2">
        <f>IF(OR(F2382="",G2382=""),"",IF(G2382&lt;='RETRATO 2027'!$K$5,"CONCLUÍDA",IF(F2382&lt;='RETRATO 2027'!$K$5,"EM ANDAMENTO","A INICIAR")))</f>
        <v/>
      </c>
    </row>
    <row r="2383">
      <c r="B2383" s="4" t="n">
        <v>33807258</v>
      </c>
      <c r="C2383" s="4" t="inlineStr">
        <is>
          <t>VISTORIA APTOS</t>
        </is>
      </c>
      <c r="D2383" s="4" t="inlineStr">
        <is>
          <t>-</t>
        </is>
      </c>
      <c r="E2383" s="4" t="inlineStr">
        <is>
          <t>28º PAV.</t>
        </is>
      </c>
      <c r="F2383" s="126" t="n">
        <v>47198</v>
      </c>
      <c r="G2383" s="126" t="n">
        <v>47199</v>
      </c>
      <c r="H2383" s="126" t="n">
        <v>46289</v>
      </c>
      <c r="I2383" s="4" t="n">
        <v>0</v>
      </c>
      <c r="J2383" s="4" t="n">
        <v>0</v>
      </c>
      <c r="K2383" s="4" t="n">
        <v>0</v>
      </c>
      <c r="M2383" s="2">
        <f>IF(C2383="","",IFERROR(INDEX($S$5:$S$304,MATCH(C2383,$R$5:$R$304,0))&amp;"","?"))</f>
        <v/>
      </c>
      <c r="N2383" s="2">
        <f>IF(E2383="","",IF(ISNUMBER(SEARCH("SUBSOLO",E2383)),IFERROR(-VALUE(LEFT(E2383,FIND("º",SUBSTITUTE(E2383,"°","º"))-1)),-1),IF(LEFT(E2383,6)="TÉRREO",0,IFERROR(VALUE(LEFT(E2383,FIND("º",SUBSTITUTE(E2383,"°","º"))-1)),""))))</f>
        <v/>
      </c>
      <c r="O2383" s="2">
        <f>IF(OR(F2383="",G2383=""),"",IF(G2383&lt;='RETRATO 2027'!$K$5,"CONCLUÍDA",IF(F2383&lt;='RETRATO 2027'!$K$5,"EM ANDAMENTO","A INICIAR")))</f>
        <v/>
      </c>
    </row>
    <row r="2384">
      <c r="B2384" s="4" t="n">
        <v>33807259</v>
      </c>
      <c r="C2384" s="4" t="inlineStr">
        <is>
          <t>VISTORIA APTOS</t>
        </is>
      </c>
      <c r="D2384" s="4" t="inlineStr">
        <is>
          <t>-</t>
        </is>
      </c>
      <c r="E2384" s="4" t="inlineStr">
        <is>
          <t>29º PAV.</t>
        </is>
      </c>
      <c r="F2384" s="126" t="n">
        <v>47200</v>
      </c>
      <c r="G2384" s="126" t="n">
        <v>47203</v>
      </c>
      <c r="H2384" s="126" t="n">
        <v>46289</v>
      </c>
      <c r="I2384" s="4" t="n">
        <v>0</v>
      </c>
      <c r="J2384" s="4" t="n">
        <v>0</v>
      </c>
      <c r="K2384" s="4" t="n">
        <v>0</v>
      </c>
      <c r="M2384" s="2">
        <f>IF(C2384="","",IFERROR(INDEX($S$5:$S$304,MATCH(C2384,$R$5:$R$304,0))&amp;"","?"))</f>
        <v/>
      </c>
      <c r="N2384" s="2">
        <f>IF(E2384="","",IF(ISNUMBER(SEARCH("SUBSOLO",E2384)),IFERROR(-VALUE(LEFT(E2384,FIND("º",SUBSTITUTE(E2384,"°","º"))-1)),-1),IF(LEFT(E2384,6)="TÉRREO",0,IFERROR(VALUE(LEFT(E2384,FIND("º",SUBSTITUTE(E2384,"°","º"))-1)),""))))</f>
        <v/>
      </c>
      <c r="O2384" s="2">
        <f>IF(OR(F2384="",G2384=""),"",IF(G2384&lt;='RETRATO 2027'!$K$5,"CONCLUÍDA",IF(F2384&lt;='RETRATO 2027'!$K$5,"EM ANDAMENTO","A INICIAR")))</f>
        <v/>
      </c>
    </row>
    <row r="2385">
      <c r="B2385" s="4" t="n">
        <v>33807260</v>
      </c>
      <c r="C2385" s="4" t="inlineStr">
        <is>
          <t>VISTORIA APTOS</t>
        </is>
      </c>
      <c r="D2385" s="4" t="inlineStr">
        <is>
          <t>-</t>
        </is>
      </c>
      <c r="E2385" s="4" t="inlineStr">
        <is>
          <t>30º PAV.</t>
        </is>
      </c>
      <c r="F2385" s="126" t="n">
        <v>47204</v>
      </c>
      <c r="G2385" s="126" t="n">
        <v>47205</v>
      </c>
      <c r="H2385" s="126" t="n">
        <v>46289</v>
      </c>
      <c r="I2385" s="4" t="n">
        <v>0</v>
      </c>
      <c r="J2385" s="4" t="n">
        <v>0</v>
      </c>
      <c r="K2385" s="4" t="n">
        <v>0</v>
      </c>
      <c r="M2385" s="2">
        <f>IF(C2385="","",IFERROR(INDEX($S$5:$S$304,MATCH(C2385,$R$5:$R$304,0))&amp;"","?"))</f>
        <v/>
      </c>
      <c r="N2385" s="2">
        <f>IF(E2385="","",IF(ISNUMBER(SEARCH("SUBSOLO",E2385)),IFERROR(-VALUE(LEFT(E2385,FIND("º",SUBSTITUTE(E2385,"°","º"))-1)),-1),IF(LEFT(E2385,6)="TÉRREO",0,IFERROR(VALUE(LEFT(E2385,FIND("º",SUBSTITUTE(E2385,"°","º"))-1)),""))))</f>
        <v/>
      </c>
      <c r="O2385" s="2">
        <f>IF(OR(F2385="",G2385=""),"",IF(G2385&lt;='RETRATO 2027'!$K$5,"CONCLUÍDA",IF(F2385&lt;='RETRATO 2027'!$K$5,"EM ANDAMENTO","A INICIAR")))</f>
        <v/>
      </c>
    </row>
    <row r="2386">
      <c r="B2386" s="4" t="n">
        <v>34173622</v>
      </c>
      <c r="C2386" s="4" t="inlineStr">
        <is>
          <t>VISTORIA APTOS</t>
        </is>
      </c>
      <c r="D2386" s="4" t="inlineStr">
        <is>
          <t>-</t>
        </is>
      </c>
      <c r="E2386" s="4" t="inlineStr">
        <is>
          <t>31º PAV. - COBERTURA LINEAR</t>
        </is>
      </c>
      <c r="F2386" s="126" t="n">
        <v>47206</v>
      </c>
      <c r="G2386" s="126" t="n">
        <v>47210</v>
      </c>
      <c r="H2386" s="126" t="n">
        <v>46289</v>
      </c>
      <c r="I2386" s="4" t="n">
        <v>0</v>
      </c>
      <c r="J2386" s="4" t="n">
        <v>0</v>
      </c>
      <c r="K2386" s="4" t="n">
        <v>0</v>
      </c>
      <c r="M2386" s="2">
        <f>IF(C2386="","",IFERROR(INDEX($S$5:$S$304,MATCH(C2386,$R$5:$R$304,0))&amp;"","?"))</f>
        <v/>
      </c>
      <c r="N2386" s="2">
        <f>IF(E2386="","",IF(ISNUMBER(SEARCH("SUBSOLO",E2386)),IFERROR(-VALUE(LEFT(E2386,FIND("º",SUBSTITUTE(E2386,"°","º"))-1)),-1),IF(LEFT(E2386,6)="TÉRREO",0,IFERROR(VALUE(LEFT(E2386,FIND("º",SUBSTITUTE(E2386,"°","º"))-1)),""))))</f>
        <v/>
      </c>
      <c r="O2386" s="2">
        <f>IF(OR(F2386="",G2386=""),"",IF(G2386&lt;='RETRATO 2027'!$K$5,"CONCLUÍDA",IF(F2386&lt;='RETRATO 2027'!$K$5,"EM ANDAMENTO","A INICIAR")))</f>
        <v/>
      </c>
    </row>
    <row r="2387">
      <c r="B2387" s="4" t="n">
        <v>33807017</v>
      </c>
      <c r="C2387" s="4" t="inlineStr">
        <is>
          <t>ENTREGA SÍNDICO</t>
        </is>
      </c>
      <c r="D2387" s="4" t="inlineStr">
        <is>
          <t>-</t>
        </is>
      </c>
      <c r="E2387" s="4" t="inlineStr">
        <is>
          <t>TÉRREO - GERAL</t>
        </is>
      </c>
      <c r="F2387" s="126" t="n">
        <v>47211</v>
      </c>
      <c r="G2387" s="126" t="n">
        <v>47238</v>
      </c>
      <c r="H2387" s="126" t="n">
        <v>46289</v>
      </c>
      <c r="I2387" s="4" t="n">
        <v>0</v>
      </c>
      <c r="J2387" s="4" t="n">
        <v>0</v>
      </c>
      <c r="K2387" s="4" t="n">
        <v>0</v>
      </c>
      <c r="M2387" s="2">
        <f>IF(C2387="","",IFERROR(INDEX($S$5:$S$304,MATCH(C2387,$R$5:$R$304,0))&amp;"","?"))</f>
        <v/>
      </c>
      <c r="N2387" s="2">
        <f>IF(E2387="","",IF(ISNUMBER(SEARCH("SUBSOLO",E2387)),IFERROR(-VALUE(LEFT(E2387,FIND("º",SUBSTITUTE(E2387,"°","º"))-1)),-1),IF(LEFT(E2387,6)="TÉRREO",0,IFERROR(VALUE(LEFT(E2387,FIND("º",SUBSTITUTE(E2387,"°","º"))-1)),""))))</f>
        <v/>
      </c>
      <c r="O2387" s="2">
        <f>IF(OR(F2387="",G2387=""),"",IF(G2387&lt;='RETRATO 2027'!$K$5,"CONCLUÍDA",IF(F2387&lt;='RETRATO 2027'!$K$5,"EM ANDAMENTO","A INICIAR")))</f>
        <v/>
      </c>
    </row>
    <row r="2388">
      <c r="B2388" s="4" t="n">
        <v>29981115</v>
      </c>
      <c r="C2388" s="4" t="inlineStr">
        <is>
          <t>CHECKLIST FINAL</t>
        </is>
      </c>
      <c r="D2388" s="4" t="inlineStr">
        <is>
          <t>-</t>
        </is>
      </c>
      <c r="E2388" s="4" t="inlineStr">
        <is>
          <t>19º PAV.</t>
        </is>
      </c>
      <c r="F2388" s="126" t="n">
        <v>47211</v>
      </c>
      <c r="G2388" s="126" t="n">
        <v>47221</v>
      </c>
      <c r="H2388" s="126" t="n">
        <v>46289</v>
      </c>
      <c r="I2388" s="4" t="n">
        <v>0</v>
      </c>
      <c r="J2388" s="4" t="n">
        <v>0</v>
      </c>
      <c r="K2388" s="4" t="n">
        <v>0</v>
      </c>
      <c r="M2388" s="2">
        <f>IF(C2388="","",IFERROR(INDEX($S$5:$S$304,MATCH(C2388,$R$5:$R$304,0))&amp;"","?"))</f>
        <v/>
      </c>
      <c r="N2388" s="2">
        <f>IF(E2388="","",IF(ISNUMBER(SEARCH("SUBSOLO",E2388)),IFERROR(-VALUE(LEFT(E2388,FIND("º",SUBSTITUTE(E2388,"°","º"))-1)),-1),IF(LEFT(E2388,6)="TÉRREO",0,IFERROR(VALUE(LEFT(E2388,FIND("º",SUBSTITUTE(E2388,"°","º"))-1)),""))))</f>
        <v/>
      </c>
      <c r="O2388" s="2">
        <f>IF(OR(F2388="",G2388=""),"",IF(G2388&lt;='RETRATO 2027'!$K$5,"CONCLUÍDA",IF(F2388&lt;='RETRATO 2027'!$K$5,"EM ANDAMENTO","A INICIAR")))</f>
        <v/>
      </c>
    </row>
    <row r="2389">
      <c r="B2389" s="4" t="n">
        <v>29980671</v>
      </c>
      <c r="C2389" s="4" t="inlineStr">
        <is>
          <t>CHECKLIST FINAL</t>
        </is>
      </c>
      <c r="D2389" s="4" t="inlineStr">
        <is>
          <t>-</t>
        </is>
      </c>
      <c r="E2389" s="4" t="inlineStr">
        <is>
          <t>31º PAV. - COBERTURA LINEAR</t>
        </is>
      </c>
      <c r="F2389" s="126" t="n">
        <v>47211</v>
      </c>
      <c r="G2389" s="126" t="n">
        <v>47217</v>
      </c>
      <c r="H2389" s="126" t="n">
        <v>46289</v>
      </c>
      <c r="I2389" s="4" t="n">
        <v>0</v>
      </c>
      <c r="J2389" s="4" t="n">
        <v>0</v>
      </c>
      <c r="K2389" s="4" t="n">
        <v>0</v>
      </c>
      <c r="M2389" s="2">
        <f>IF(C2389="","",IFERROR(INDEX($S$5:$S$304,MATCH(C2389,$R$5:$R$304,0))&amp;"","?"))</f>
        <v/>
      </c>
      <c r="N2389" s="2">
        <f>IF(E2389="","",IF(ISNUMBER(SEARCH("SUBSOLO",E2389)),IFERROR(-VALUE(LEFT(E2389,FIND("º",SUBSTITUTE(E2389,"°","º"))-1)),-1),IF(LEFT(E2389,6)="TÉRREO",0,IFERROR(VALUE(LEFT(E2389,FIND("º",SUBSTITUTE(E2389,"°","º"))-1)),""))))</f>
        <v/>
      </c>
      <c r="O2389" s="2">
        <f>IF(OR(F2389="",G2389=""),"",IF(G2389&lt;='RETRATO 2027'!$K$5,"CONCLUÍDA",IF(F2389&lt;='RETRATO 2027'!$K$5,"EM ANDAMENTO","A INICIAR")))</f>
        <v/>
      </c>
    </row>
    <row r="2390">
      <c r="B2390" s="4" t="n">
        <v>29980625</v>
      </c>
      <c r="C2390" s="4" t="inlineStr">
        <is>
          <t>LIMPEZA FINA</t>
        </is>
      </c>
      <c r="D2390" s="4" t="inlineStr">
        <is>
          <t>-</t>
        </is>
      </c>
      <c r="E2390" s="4" t="inlineStr">
        <is>
          <t>32º PAV - COBERTURA GERAL</t>
        </is>
      </c>
      <c r="F2390" s="126" t="n">
        <v>47211</v>
      </c>
      <c r="G2390" s="126" t="n">
        <v>47221</v>
      </c>
      <c r="H2390" s="126" t="n">
        <v>46289</v>
      </c>
      <c r="I2390" s="4" t="n">
        <v>0</v>
      </c>
      <c r="J2390" s="4" t="n">
        <v>0</v>
      </c>
      <c r="K2390" s="4" t="n">
        <v>0</v>
      </c>
      <c r="M2390" s="2">
        <f>IF(C2390="","",IFERROR(INDEX($S$5:$S$304,MATCH(C2390,$R$5:$R$304,0))&amp;"","?"))</f>
        <v/>
      </c>
      <c r="N2390" s="2">
        <f>IF(E2390="","",IF(ISNUMBER(SEARCH("SUBSOLO",E2390)),IFERROR(-VALUE(LEFT(E2390,FIND("º",SUBSTITUTE(E2390,"°","º"))-1)),-1),IF(LEFT(E2390,6)="TÉRREO",0,IFERROR(VALUE(LEFT(E2390,FIND("º",SUBSTITUTE(E2390,"°","º"))-1)),""))))</f>
        <v/>
      </c>
      <c r="O2390" s="2">
        <f>IF(OR(F2390="",G2390=""),"",IF(G2390&lt;='RETRATO 2027'!$K$5,"CONCLUÍDA",IF(F2390&lt;='RETRATO 2027'!$K$5,"EM ANDAMENTO","A INICIAR")))</f>
        <v/>
      </c>
    </row>
    <row r="2391">
      <c r="B2391" s="4" t="n">
        <v>33807273</v>
      </c>
      <c r="C2391" s="4" t="inlineStr">
        <is>
          <t>VISTORIA APTOS</t>
        </is>
      </c>
      <c r="D2391" s="4" t="inlineStr">
        <is>
          <t>-</t>
        </is>
      </c>
      <c r="E2391" s="4" t="inlineStr">
        <is>
          <t>19º PAV.</t>
        </is>
      </c>
      <c r="F2391" s="126" t="n">
        <v>47224</v>
      </c>
      <c r="G2391" s="126" t="n">
        <v>47226</v>
      </c>
      <c r="H2391" s="126" t="n">
        <v>46289</v>
      </c>
      <c r="I2391" s="4" t="n">
        <v>0</v>
      </c>
      <c r="J2391" s="4" t="n">
        <v>0</v>
      </c>
      <c r="K2391" s="4" t="n">
        <v>0</v>
      </c>
      <c r="M2391" s="2">
        <f>IF(C2391="","",IFERROR(INDEX($S$5:$S$304,MATCH(C2391,$R$5:$R$304,0))&amp;"","?"))</f>
        <v/>
      </c>
      <c r="N2391" s="2">
        <f>IF(E2391="","",IF(ISNUMBER(SEARCH("SUBSOLO",E2391)),IFERROR(-VALUE(LEFT(E2391,FIND("º",SUBSTITUTE(E2391,"°","º"))-1)),-1),IF(LEFT(E2391,6)="TÉRREO",0,IFERROR(VALUE(LEFT(E2391,FIND("º",SUBSTITUTE(E2391,"°","º"))-1)),""))))</f>
        <v/>
      </c>
      <c r="O2391" s="2">
        <f>IF(OR(F2391="",G2391=""),"",IF(G2391&lt;='RETRATO 2027'!$K$5,"CONCLUÍDA",IF(F2391&lt;='RETRATO 2027'!$K$5,"EM ANDAMENTO","A INICIAR")))</f>
        <v/>
      </c>
    </row>
    <row r="2392">
      <c r="M2392" s="2">
        <f>IF(C2392="","",IFERROR(INDEX($S$5:$S$304,MATCH(C2392,$R$5:$R$304,0))&amp;"","?"))</f>
        <v/>
      </c>
      <c r="N2392" s="2">
        <f>IF(E2392="","",IF(ISNUMBER(SEARCH("SUBSOLO",E2392)),IFERROR(-VALUE(LEFT(E2392,FIND("º",SUBSTITUTE(E2392,"°","º"))-1)),-1),IF(LEFT(E2392,6)="TÉRREO",0,IFERROR(VALUE(LEFT(E2392,FIND("º",SUBSTITUTE(E2392,"°","º"))-1)),""))))</f>
        <v/>
      </c>
      <c r="O2392" s="2">
        <f>IF(OR(F2392="",G2392=""),"",IF(G2392&lt;='RETRATO 2027'!$K$5,"CONCLUÍDA",IF(F2392&lt;='RETRATO 2027'!$K$5,"EM ANDAMENTO","A INICIAR")))</f>
        <v/>
      </c>
    </row>
    <row r="2393">
      <c r="M2393" s="2">
        <f>IF(C2393="","",IFERROR(INDEX($S$5:$S$304,MATCH(C2393,$R$5:$R$304,0))&amp;"","?"))</f>
        <v/>
      </c>
      <c r="N2393" s="2">
        <f>IF(E2393="","",IF(ISNUMBER(SEARCH("SUBSOLO",E2393)),IFERROR(-VALUE(LEFT(E2393,FIND("º",SUBSTITUTE(E2393,"°","º"))-1)),-1),IF(LEFT(E2393,6)="TÉRREO",0,IFERROR(VALUE(LEFT(E2393,FIND("º",SUBSTITUTE(E2393,"°","º"))-1)),""))))</f>
        <v/>
      </c>
      <c r="O2393" s="2">
        <f>IF(OR(F2393="",G2393=""),"",IF(G2393&lt;='RETRATO 2027'!$K$5,"CONCLUÍDA",IF(F2393&lt;='RETRATO 2027'!$K$5,"EM ANDAMENTO","A INICIAR")))</f>
        <v/>
      </c>
    </row>
    <row r="2394">
      <c r="M2394" s="2">
        <f>IF(C2394="","",IFERROR(INDEX($S$5:$S$304,MATCH(C2394,$R$5:$R$304,0))&amp;"","?"))</f>
        <v/>
      </c>
      <c r="N2394" s="2">
        <f>IF(E2394="","",IF(ISNUMBER(SEARCH("SUBSOLO",E2394)),IFERROR(-VALUE(LEFT(E2394,FIND("º",SUBSTITUTE(E2394,"°","º"))-1)),-1),IF(LEFT(E2394,6)="TÉRREO",0,IFERROR(VALUE(LEFT(E2394,FIND("º",SUBSTITUTE(E2394,"°","º"))-1)),""))))</f>
        <v/>
      </c>
      <c r="O2394" s="2">
        <f>IF(OR(F2394="",G2394=""),"",IF(G2394&lt;='RETRATO 2027'!$K$5,"CONCLUÍDA",IF(F2394&lt;='RETRATO 2027'!$K$5,"EM ANDAMENTO","A INICIAR")))</f>
        <v/>
      </c>
    </row>
    <row r="2395">
      <c r="M2395" s="2">
        <f>IF(C2395="","",IFERROR(INDEX($S$5:$S$304,MATCH(C2395,$R$5:$R$304,0))&amp;"","?"))</f>
        <v/>
      </c>
      <c r="N2395" s="2">
        <f>IF(E2395="","",IF(ISNUMBER(SEARCH("SUBSOLO",E2395)),IFERROR(-VALUE(LEFT(E2395,FIND("º",SUBSTITUTE(E2395,"°","º"))-1)),-1),IF(LEFT(E2395,6)="TÉRREO",0,IFERROR(VALUE(LEFT(E2395,FIND("º",SUBSTITUTE(E2395,"°","º"))-1)),""))))</f>
        <v/>
      </c>
      <c r="O2395" s="2">
        <f>IF(OR(F2395="",G2395=""),"",IF(G2395&lt;='RETRATO 2027'!$K$5,"CONCLUÍDA",IF(F2395&lt;='RETRATO 2027'!$K$5,"EM ANDAMENTO","A INICIAR")))</f>
        <v/>
      </c>
    </row>
    <row r="2396">
      <c r="M2396" s="2">
        <f>IF(C2396="","",IFERROR(INDEX($S$5:$S$304,MATCH(C2396,$R$5:$R$304,0))&amp;"","?"))</f>
        <v/>
      </c>
      <c r="N2396" s="2">
        <f>IF(E2396="","",IF(ISNUMBER(SEARCH("SUBSOLO",E2396)),IFERROR(-VALUE(LEFT(E2396,FIND("º",SUBSTITUTE(E2396,"°","º"))-1)),-1),IF(LEFT(E2396,6)="TÉRREO",0,IFERROR(VALUE(LEFT(E2396,FIND("º",SUBSTITUTE(E2396,"°","º"))-1)),""))))</f>
        <v/>
      </c>
      <c r="O2396" s="2">
        <f>IF(OR(F2396="",G2396=""),"",IF(G2396&lt;='RETRATO 2027'!$K$5,"CONCLUÍDA",IF(F2396&lt;='RETRATO 2027'!$K$5,"EM ANDAMENTO","A INICIAR")))</f>
        <v/>
      </c>
    </row>
    <row r="2397">
      <c r="M2397" s="2">
        <f>IF(C2397="","",IFERROR(INDEX($S$5:$S$304,MATCH(C2397,$R$5:$R$304,0))&amp;"","?"))</f>
        <v/>
      </c>
      <c r="N2397" s="2">
        <f>IF(E2397="","",IF(ISNUMBER(SEARCH("SUBSOLO",E2397)),IFERROR(-VALUE(LEFT(E2397,FIND("º",SUBSTITUTE(E2397,"°","º"))-1)),-1),IF(LEFT(E2397,6)="TÉRREO",0,IFERROR(VALUE(LEFT(E2397,FIND("º",SUBSTITUTE(E2397,"°","º"))-1)),""))))</f>
        <v/>
      </c>
      <c r="O2397" s="2">
        <f>IF(OR(F2397="",G2397=""),"",IF(G2397&lt;='RETRATO 2027'!$K$5,"CONCLUÍDA",IF(F2397&lt;='RETRATO 2027'!$K$5,"EM ANDAMENTO","A INICIAR")))</f>
        <v/>
      </c>
    </row>
    <row r="2398">
      <c r="M2398" s="2">
        <f>IF(C2398="","",IFERROR(INDEX($S$5:$S$304,MATCH(C2398,$R$5:$R$304,0))&amp;"","?"))</f>
        <v/>
      </c>
      <c r="N2398" s="2">
        <f>IF(E2398="","",IF(ISNUMBER(SEARCH("SUBSOLO",E2398)),IFERROR(-VALUE(LEFT(E2398,FIND("º",SUBSTITUTE(E2398,"°","º"))-1)),-1),IF(LEFT(E2398,6)="TÉRREO",0,IFERROR(VALUE(LEFT(E2398,FIND("º",SUBSTITUTE(E2398,"°","º"))-1)),""))))</f>
        <v/>
      </c>
      <c r="O2398" s="2">
        <f>IF(OR(F2398="",G2398=""),"",IF(G2398&lt;='RETRATO 2027'!$K$5,"CONCLUÍDA",IF(F2398&lt;='RETRATO 2027'!$K$5,"EM ANDAMENTO","A INICIAR")))</f>
        <v/>
      </c>
    </row>
    <row r="2399">
      <c r="M2399" s="2">
        <f>IF(C2399="","",IFERROR(INDEX($S$5:$S$304,MATCH(C2399,$R$5:$R$304,0))&amp;"","?"))</f>
        <v/>
      </c>
      <c r="N2399" s="2">
        <f>IF(E2399="","",IF(ISNUMBER(SEARCH("SUBSOLO",E2399)),IFERROR(-VALUE(LEFT(E2399,FIND("º",SUBSTITUTE(E2399,"°","º"))-1)),-1),IF(LEFT(E2399,6)="TÉRREO",0,IFERROR(VALUE(LEFT(E2399,FIND("º",SUBSTITUTE(E2399,"°","º"))-1)),""))))</f>
        <v/>
      </c>
      <c r="O2399" s="2">
        <f>IF(OR(F2399="",G2399=""),"",IF(G2399&lt;='RETRATO 2027'!$K$5,"CONCLUÍDA",IF(F2399&lt;='RETRATO 2027'!$K$5,"EM ANDAMENTO","A INICIAR")))</f>
        <v/>
      </c>
    </row>
    <row r="2400">
      <c r="M2400" s="2">
        <f>IF(C2400="","",IFERROR(INDEX($S$5:$S$304,MATCH(C2400,$R$5:$R$304,0))&amp;"","?"))</f>
        <v/>
      </c>
      <c r="N2400" s="2">
        <f>IF(E2400="","",IF(ISNUMBER(SEARCH("SUBSOLO",E2400)),IFERROR(-VALUE(LEFT(E2400,FIND("º",SUBSTITUTE(E2400,"°","º"))-1)),-1),IF(LEFT(E2400,6)="TÉRREO",0,IFERROR(VALUE(LEFT(E2400,FIND("º",SUBSTITUTE(E2400,"°","º"))-1)),""))))</f>
        <v/>
      </c>
      <c r="O2400" s="2">
        <f>IF(OR(F2400="",G2400=""),"",IF(G2400&lt;='RETRATO 2027'!$K$5,"CONCLUÍDA",IF(F2400&lt;='RETRATO 2027'!$K$5,"EM ANDAMENTO","A INICIAR")))</f>
        <v/>
      </c>
    </row>
    <row r="2401">
      <c r="M2401" s="2">
        <f>IF(C2401="","",IFERROR(INDEX($S$5:$S$304,MATCH(C2401,$R$5:$R$304,0))&amp;"","?"))</f>
        <v/>
      </c>
      <c r="N2401" s="2">
        <f>IF(E2401="","",IF(ISNUMBER(SEARCH("SUBSOLO",E2401)),IFERROR(-VALUE(LEFT(E2401,FIND("º",SUBSTITUTE(E2401,"°","º"))-1)),-1),IF(LEFT(E2401,6)="TÉRREO",0,IFERROR(VALUE(LEFT(E2401,FIND("º",SUBSTITUTE(E2401,"°","º"))-1)),""))))</f>
        <v/>
      </c>
      <c r="O2401" s="2">
        <f>IF(OR(F2401="",G2401=""),"",IF(G2401&lt;='RETRATO 2027'!$K$5,"CONCLUÍDA",IF(F2401&lt;='RETRATO 2027'!$K$5,"EM ANDAMENTO","A INICIAR")))</f>
        <v/>
      </c>
    </row>
    <row r="2402">
      <c r="M2402" s="2">
        <f>IF(C2402="","",IFERROR(INDEX($S$5:$S$304,MATCH(C2402,$R$5:$R$304,0))&amp;"","?"))</f>
        <v/>
      </c>
      <c r="N2402" s="2">
        <f>IF(E2402="","",IF(ISNUMBER(SEARCH("SUBSOLO",E2402)),IFERROR(-VALUE(LEFT(E2402,FIND("º",SUBSTITUTE(E2402,"°","º"))-1)),-1),IF(LEFT(E2402,6)="TÉRREO",0,IFERROR(VALUE(LEFT(E2402,FIND("º",SUBSTITUTE(E2402,"°","º"))-1)),""))))</f>
        <v/>
      </c>
      <c r="O2402" s="2">
        <f>IF(OR(F2402="",G2402=""),"",IF(G2402&lt;='RETRATO 2027'!$K$5,"CONCLUÍDA",IF(F2402&lt;='RETRATO 2027'!$K$5,"EM ANDAMENTO","A INICIAR")))</f>
        <v/>
      </c>
    </row>
    <row r="2403">
      <c r="M2403" s="2">
        <f>IF(C2403="","",IFERROR(INDEX($S$5:$S$304,MATCH(C2403,$R$5:$R$304,0))&amp;"","?"))</f>
        <v/>
      </c>
      <c r="N2403" s="2">
        <f>IF(E2403="","",IF(ISNUMBER(SEARCH("SUBSOLO",E2403)),IFERROR(-VALUE(LEFT(E2403,FIND("º",SUBSTITUTE(E2403,"°","º"))-1)),-1),IF(LEFT(E2403,6)="TÉRREO",0,IFERROR(VALUE(LEFT(E2403,FIND("º",SUBSTITUTE(E2403,"°","º"))-1)),""))))</f>
        <v/>
      </c>
      <c r="O2403" s="2">
        <f>IF(OR(F2403="",G2403=""),"",IF(G2403&lt;='RETRATO 2027'!$K$5,"CONCLUÍDA",IF(F2403&lt;='RETRATO 2027'!$K$5,"EM ANDAMENTO","A INICIAR")))</f>
        <v/>
      </c>
    </row>
    <row r="2404">
      <c r="M2404" s="2">
        <f>IF(C2404="","",IFERROR(INDEX($S$5:$S$304,MATCH(C2404,$R$5:$R$304,0))&amp;"","?"))</f>
        <v/>
      </c>
      <c r="N2404" s="2">
        <f>IF(E2404="","",IF(ISNUMBER(SEARCH("SUBSOLO",E2404)),IFERROR(-VALUE(LEFT(E2404,FIND("º",SUBSTITUTE(E2404,"°","º"))-1)),-1),IF(LEFT(E2404,6)="TÉRREO",0,IFERROR(VALUE(LEFT(E2404,FIND("º",SUBSTITUTE(E2404,"°","º"))-1)),""))))</f>
        <v/>
      </c>
      <c r="O2404" s="2">
        <f>IF(OR(F2404="",G2404=""),"",IF(G2404&lt;='RETRATO 2027'!$K$5,"CONCLUÍDA",IF(F2404&lt;='RETRATO 2027'!$K$5,"EM ANDAMENTO","A INICIAR")))</f>
        <v/>
      </c>
    </row>
    <row r="2405">
      <c r="M2405" s="2">
        <f>IF(C2405="","",IFERROR(INDEX($S$5:$S$304,MATCH(C2405,$R$5:$R$304,0))&amp;"","?"))</f>
        <v/>
      </c>
      <c r="N2405" s="2">
        <f>IF(E2405="","",IF(ISNUMBER(SEARCH("SUBSOLO",E2405)),IFERROR(-VALUE(LEFT(E2405,FIND("º",SUBSTITUTE(E2405,"°","º"))-1)),-1),IF(LEFT(E2405,6)="TÉRREO",0,IFERROR(VALUE(LEFT(E2405,FIND("º",SUBSTITUTE(E2405,"°","º"))-1)),""))))</f>
        <v/>
      </c>
      <c r="O2405" s="2">
        <f>IF(OR(F2405="",G2405=""),"",IF(G2405&lt;='RETRATO 2027'!$K$5,"CONCLUÍDA",IF(F2405&lt;='RETRATO 2027'!$K$5,"EM ANDAMENTO","A INICIAR")))</f>
        <v/>
      </c>
    </row>
    <row r="2406">
      <c r="M2406" s="2">
        <f>IF(C2406="","",IFERROR(INDEX($S$5:$S$304,MATCH(C2406,$R$5:$R$304,0))&amp;"","?"))</f>
        <v/>
      </c>
      <c r="N2406" s="2">
        <f>IF(E2406="","",IF(ISNUMBER(SEARCH("SUBSOLO",E2406)),IFERROR(-VALUE(LEFT(E2406,FIND("º",SUBSTITUTE(E2406,"°","º"))-1)),-1),IF(LEFT(E2406,6)="TÉRREO",0,IFERROR(VALUE(LEFT(E2406,FIND("º",SUBSTITUTE(E2406,"°","º"))-1)),""))))</f>
        <v/>
      </c>
      <c r="O2406" s="2">
        <f>IF(OR(F2406="",G2406=""),"",IF(G2406&lt;='RETRATO 2027'!$K$5,"CONCLUÍDA",IF(F2406&lt;='RETRATO 2027'!$K$5,"EM ANDAMENTO","A INICIAR")))</f>
        <v/>
      </c>
    </row>
    <row r="2407">
      <c r="M2407" s="2">
        <f>IF(C2407="","",IFERROR(INDEX($S$5:$S$304,MATCH(C2407,$R$5:$R$304,0))&amp;"","?"))</f>
        <v/>
      </c>
      <c r="N2407" s="2">
        <f>IF(E2407="","",IF(ISNUMBER(SEARCH("SUBSOLO",E2407)),IFERROR(-VALUE(LEFT(E2407,FIND("º",SUBSTITUTE(E2407,"°","º"))-1)),-1),IF(LEFT(E2407,6)="TÉRREO",0,IFERROR(VALUE(LEFT(E2407,FIND("º",SUBSTITUTE(E2407,"°","º"))-1)),""))))</f>
        <v/>
      </c>
      <c r="O2407" s="2">
        <f>IF(OR(F2407="",G2407=""),"",IF(G2407&lt;='RETRATO 2027'!$K$5,"CONCLUÍDA",IF(F2407&lt;='RETRATO 2027'!$K$5,"EM ANDAMENTO","A INICIAR")))</f>
        <v/>
      </c>
    </row>
    <row r="2408">
      <c r="M2408" s="2">
        <f>IF(C2408="","",IFERROR(INDEX($S$5:$S$304,MATCH(C2408,$R$5:$R$304,0))&amp;"","?"))</f>
        <v/>
      </c>
      <c r="N2408" s="2">
        <f>IF(E2408="","",IF(ISNUMBER(SEARCH("SUBSOLO",E2408)),IFERROR(-VALUE(LEFT(E2408,FIND("º",SUBSTITUTE(E2408,"°","º"))-1)),-1),IF(LEFT(E2408,6)="TÉRREO",0,IFERROR(VALUE(LEFT(E2408,FIND("º",SUBSTITUTE(E2408,"°","º"))-1)),""))))</f>
        <v/>
      </c>
      <c r="O2408" s="2">
        <f>IF(OR(F2408="",G2408=""),"",IF(G2408&lt;='RETRATO 2027'!$K$5,"CONCLUÍDA",IF(F2408&lt;='RETRATO 2027'!$K$5,"EM ANDAMENTO","A INICIAR")))</f>
        <v/>
      </c>
    </row>
    <row r="2409">
      <c r="M2409" s="2">
        <f>IF(C2409="","",IFERROR(INDEX($S$5:$S$304,MATCH(C2409,$R$5:$R$304,0))&amp;"","?"))</f>
        <v/>
      </c>
      <c r="N2409" s="2">
        <f>IF(E2409="","",IF(ISNUMBER(SEARCH("SUBSOLO",E2409)),IFERROR(-VALUE(LEFT(E2409,FIND("º",SUBSTITUTE(E2409,"°","º"))-1)),-1),IF(LEFT(E2409,6)="TÉRREO",0,IFERROR(VALUE(LEFT(E2409,FIND("º",SUBSTITUTE(E2409,"°","º"))-1)),""))))</f>
        <v/>
      </c>
      <c r="O2409" s="2">
        <f>IF(OR(F2409="",G2409=""),"",IF(G2409&lt;='RETRATO 2027'!$K$5,"CONCLUÍDA",IF(F2409&lt;='RETRATO 2027'!$K$5,"EM ANDAMENTO","A INICIAR")))</f>
        <v/>
      </c>
    </row>
    <row r="2410">
      <c r="M2410" s="2">
        <f>IF(C2410="","",IFERROR(INDEX($S$5:$S$304,MATCH(C2410,$R$5:$R$304,0))&amp;"","?"))</f>
        <v/>
      </c>
      <c r="N2410" s="2">
        <f>IF(E2410="","",IF(ISNUMBER(SEARCH("SUBSOLO",E2410)),IFERROR(-VALUE(LEFT(E2410,FIND("º",SUBSTITUTE(E2410,"°","º"))-1)),-1),IF(LEFT(E2410,6)="TÉRREO",0,IFERROR(VALUE(LEFT(E2410,FIND("º",SUBSTITUTE(E2410,"°","º"))-1)),""))))</f>
        <v/>
      </c>
      <c r="O2410" s="2">
        <f>IF(OR(F2410="",G2410=""),"",IF(G2410&lt;='RETRATO 2027'!$K$5,"CONCLUÍDA",IF(F2410&lt;='RETRATO 2027'!$K$5,"EM ANDAMENTO","A INICIAR")))</f>
        <v/>
      </c>
    </row>
    <row r="2411">
      <c r="M2411" s="2">
        <f>IF(C2411="","",IFERROR(INDEX($S$5:$S$304,MATCH(C2411,$R$5:$R$304,0))&amp;"","?"))</f>
        <v/>
      </c>
      <c r="N2411" s="2">
        <f>IF(E2411="","",IF(ISNUMBER(SEARCH("SUBSOLO",E2411)),IFERROR(-VALUE(LEFT(E2411,FIND("º",SUBSTITUTE(E2411,"°","º"))-1)),-1),IF(LEFT(E2411,6)="TÉRREO",0,IFERROR(VALUE(LEFT(E2411,FIND("º",SUBSTITUTE(E2411,"°","º"))-1)),""))))</f>
        <v/>
      </c>
      <c r="O2411" s="2">
        <f>IF(OR(F2411="",G2411=""),"",IF(G2411&lt;='RETRATO 2027'!$K$5,"CONCLUÍDA",IF(F2411&lt;='RETRATO 2027'!$K$5,"EM ANDAMENTO","A INICIAR")))</f>
        <v/>
      </c>
    </row>
    <row r="2412">
      <c r="M2412" s="2">
        <f>IF(C2412="","",IFERROR(INDEX($S$5:$S$304,MATCH(C2412,$R$5:$R$304,0))&amp;"","?"))</f>
        <v/>
      </c>
      <c r="N2412" s="2">
        <f>IF(E2412="","",IF(ISNUMBER(SEARCH("SUBSOLO",E2412)),IFERROR(-VALUE(LEFT(E2412,FIND("º",SUBSTITUTE(E2412,"°","º"))-1)),-1),IF(LEFT(E2412,6)="TÉRREO",0,IFERROR(VALUE(LEFT(E2412,FIND("º",SUBSTITUTE(E2412,"°","º"))-1)),""))))</f>
        <v/>
      </c>
      <c r="O2412" s="2">
        <f>IF(OR(F2412="",G2412=""),"",IF(G2412&lt;='RETRATO 2027'!$K$5,"CONCLUÍDA",IF(F2412&lt;='RETRATO 2027'!$K$5,"EM ANDAMENTO","A INICIAR")))</f>
        <v/>
      </c>
    </row>
    <row r="2413">
      <c r="M2413" s="2">
        <f>IF(C2413="","",IFERROR(INDEX($S$5:$S$304,MATCH(C2413,$R$5:$R$304,0))&amp;"","?"))</f>
        <v/>
      </c>
      <c r="N2413" s="2">
        <f>IF(E2413="","",IF(ISNUMBER(SEARCH("SUBSOLO",E2413)),IFERROR(-VALUE(LEFT(E2413,FIND("º",SUBSTITUTE(E2413,"°","º"))-1)),-1),IF(LEFT(E2413,6)="TÉRREO",0,IFERROR(VALUE(LEFT(E2413,FIND("º",SUBSTITUTE(E2413,"°","º"))-1)),""))))</f>
        <v/>
      </c>
      <c r="O2413" s="2">
        <f>IF(OR(F2413="",G2413=""),"",IF(G2413&lt;='RETRATO 2027'!$K$5,"CONCLUÍDA",IF(F2413&lt;='RETRATO 2027'!$K$5,"EM ANDAMENTO","A INICIAR")))</f>
        <v/>
      </c>
    </row>
    <row r="2414">
      <c r="M2414" s="2">
        <f>IF(C2414="","",IFERROR(INDEX($S$5:$S$304,MATCH(C2414,$R$5:$R$304,0))&amp;"","?"))</f>
        <v/>
      </c>
      <c r="N2414" s="2">
        <f>IF(E2414="","",IF(ISNUMBER(SEARCH("SUBSOLO",E2414)),IFERROR(-VALUE(LEFT(E2414,FIND("º",SUBSTITUTE(E2414,"°","º"))-1)),-1),IF(LEFT(E2414,6)="TÉRREO",0,IFERROR(VALUE(LEFT(E2414,FIND("º",SUBSTITUTE(E2414,"°","º"))-1)),""))))</f>
        <v/>
      </c>
      <c r="O2414" s="2">
        <f>IF(OR(F2414="",G2414=""),"",IF(G2414&lt;='RETRATO 2027'!$K$5,"CONCLUÍDA",IF(F2414&lt;='RETRATO 2027'!$K$5,"EM ANDAMENTO","A INICIAR")))</f>
        <v/>
      </c>
    </row>
    <row r="2415">
      <c r="M2415" s="2">
        <f>IF(C2415="","",IFERROR(INDEX($S$5:$S$304,MATCH(C2415,$R$5:$R$304,0))&amp;"","?"))</f>
        <v/>
      </c>
      <c r="N2415" s="2">
        <f>IF(E2415="","",IF(ISNUMBER(SEARCH("SUBSOLO",E2415)),IFERROR(-VALUE(LEFT(E2415,FIND("º",SUBSTITUTE(E2415,"°","º"))-1)),-1),IF(LEFT(E2415,6)="TÉRREO",0,IFERROR(VALUE(LEFT(E2415,FIND("º",SUBSTITUTE(E2415,"°","º"))-1)),""))))</f>
        <v/>
      </c>
      <c r="O2415" s="2">
        <f>IF(OR(F2415="",G2415=""),"",IF(G2415&lt;='RETRATO 2027'!$K$5,"CONCLUÍDA",IF(F2415&lt;='RETRATO 2027'!$K$5,"EM ANDAMENTO","A INICIAR")))</f>
        <v/>
      </c>
    </row>
    <row r="2416">
      <c r="M2416" s="2">
        <f>IF(C2416="","",IFERROR(INDEX($S$5:$S$304,MATCH(C2416,$R$5:$R$304,0))&amp;"","?"))</f>
        <v/>
      </c>
      <c r="N2416" s="2">
        <f>IF(E2416="","",IF(ISNUMBER(SEARCH("SUBSOLO",E2416)),IFERROR(-VALUE(LEFT(E2416,FIND("º",SUBSTITUTE(E2416,"°","º"))-1)),-1),IF(LEFT(E2416,6)="TÉRREO",0,IFERROR(VALUE(LEFT(E2416,FIND("º",SUBSTITUTE(E2416,"°","º"))-1)),""))))</f>
        <v/>
      </c>
      <c r="O2416" s="2">
        <f>IF(OR(F2416="",G2416=""),"",IF(G2416&lt;='RETRATO 2027'!$K$5,"CONCLUÍDA",IF(F2416&lt;='RETRATO 2027'!$K$5,"EM ANDAMENTO","A INICIAR")))</f>
        <v/>
      </c>
    </row>
    <row r="2417">
      <c r="M2417" s="2">
        <f>IF(C2417="","",IFERROR(INDEX($S$5:$S$304,MATCH(C2417,$R$5:$R$304,0))&amp;"","?"))</f>
        <v/>
      </c>
      <c r="N2417" s="2">
        <f>IF(E2417="","",IF(ISNUMBER(SEARCH("SUBSOLO",E2417)),IFERROR(-VALUE(LEFT(E2417,FIND("º",SUBSTITUTE(E2417,"°","º"))-1)),-1),IF(LEFT(E2417,6)="TÉRREO",0,IFERROR(VALUE(LEFT(E2417,FIND("º",SUBSTITUTE(E2417,"°","º"))-1)),""))))</f>
        <v/>
      </c>
      <c r="O2417" s="2">
        <f>IF(OR(F2417="",G2417=""),"",IF(G2417&lt;='RETRATO 2027'!$K$5,"CONCLUÍDA",IF(F2417&lt;='RETRATO 2027'!$K$5,"EM ANDAMENTO","A INICIAR")))</f>
        <v/>
      </c>
    </row>
    <row r="2418">
      <c r="M2418" s="2">
        <f>IF(C2418="","",IFERROR(INDEX($S$5:$S$304,MATCH(C2418,$R$5:$R$304,0))&amp;"","?"))</f>
        <v/>
      </c>
      <c r="N2418" s="2">
        <f>IF(E2418="","",IF(ISNUMBER(SEARCH("SUBSOLO",E2418)),IFERROR(-VALUE(LEFT(E2418,FIND("º",SUBSTITUTE(E2418,"°","º"))-1)),-1),IF(LEFT(E2418,6)="TÉRREO",0,IFERROR(VALUE(LEFT(E2418,FIND("º",SUBSTITUTE(E2418,"°","º"))-1)),""))))</f>
        <v/>
      </c>
      <c r="O2418" s="2">
        <f>IF(OR(F2418="",G2418=""),"",IF(G2418&lt;='RETRATO 2027'!$K$5,"CONCLUÍDA",IF(F2418&lt;='RETRATO 2027'!$K$5,"EM ANDAMENTO","A INICIAR")))</f>
        <v/>
      </c>
    </row>
    <row r="2419">
      <c r="M2419" s="2">
        <f>IF(C2419="","",IFERROR(INDEX($S$5:$S$304,MATCH(C2419,$R$5:$R$304,0))&amp;"","?"))</f>
        <v/>
      </c>
      <c r="N2419" s="2">
        <f>IF(E2419="","",IF(ISNUMBER(SEARCH("SUBSOLO",E2419)),IFERROR(-VALUE(LEFT(E2419,FIND("º",SUBSTITUTE(E2419,"°","º"))-1)),-1),IF(LEFT(E2419,6)="TÉRREO",0,IFERROR(VALUE(LEFT(E2419,FIND("º",SUBSTITUTE(E2419,"°","º"))-1)),""))))</f>
        <v/>
      </c>
      <c r="O2419" s="2">
        <f>IF(OR(F2419="",G2419=""),"",IF(G2419&lt;='RETRATO 2027'!$K$5,"CONCLUÍDA",IF(F2419&lt;='RETRATO 2027'!$K$5,"EM ANDAMENTO","A INICIAR")))</f>
        <v/>
      </c>
    </row>
    <row r="2420">
      <c r="M2420" s="2">
        <f>IF(C2420="","",IFERROR(INDEX($S$5:$S$304,MATCH(C2420,$R$5:$R$304,0))&amp;"","?"))</f>
        <v/>
      </c>
      <c r="N2420" s="2">
        <f>IF(E2420="","",IF(ISNUMBER(SEARCH("SUBSOLO",E2420)),IFERROR(-VALUE(LEFT(E2420,FIND("º",SUBSTITUTE(E2420,"°","º"))-1)),-1),IF(LEFT(E2420,6)="TÉRREO",0,IFERROR(VALUE(LEFT(E2420,FIND("º",SUBSTITUTE(E2420,"°","º"))-1)),""))))</f>
        <v/>
      </c>
      <c r="O2420" s="2">
        <f>IF(OR(F2420="",G2420=""),"",IF(G2420&lt;='RETRATO 2027'!$K$5,"CONCLUÍDA",IF(F2420&lt;='RETRATO 2027'!$K$5,"EM ANDAMENTO","A INICIAR")))</f>
        <v/>
      </c>
    </row>
    <row r="2421">
      <c r="M2421" s="2">
        <f>IF(C2421="","",IFERROR(INDEX($S$5:$S$304,MATCH(C2421,$R$5:$R$304,0))&amp;"","?"))</f>
        <v/>
      </c>
      <c r="N2421" s="2">
        <f>IF(E2421="","",IF(ISNUMBER(SEARCH("SUBSOLO",E2421)),IFERROR(-VALUE(LEFT(E2421,FIND("º",SUBSTITUTE(E2421,"°","º"))-1)),-1),IF(LEFT(E2421,6)="TÉRREO",0,IFERROR(VALUE(LEFT(E2421,FIND("º",SUBSTITUTE(E2421,"°","º"))-1)),""))))</f>
        <v/>
      </c>
      <c r="O2421" s="2">
        <f>IF(OR(F2421="",G2421=""),"",IF(G2421&lt;='RETRATO 2027'!$K$5,"CONCLUÍDA",IF(F2421&lt;='RETRATO 2027'!$K$5,"EM ANDAMENTO","A INICIAR")))</f>
        <v/>
      </c>
    </row>
    <row r="2422">
      <c r="M2422" s="2">
        <f>IF(C2422="","",IFERROR(INDEX($S$5:$S$304,MATCH(C2422,$R$5:$R$304,0))&amp;"","?"))</f>
        <v/>
      </c>
      <c r="N2422" s="2">
        <f>IF(E2422="","",IF(ISNUMBER(SEARCH("SUBSOLO",E2422)),IFERROR(-VALUE(LEFT(E2422,FIND("º",SUBSTITUTE(E2422,"°","º"))-1)),-1),IF(LEFT(E2422,6)="TÉRREO",0,IFERROR(VALUE(LEFT(E2422,FIND("º",SUBSTITUTE(E2422,"°","º"))-1)),""))))</f>
        <v/>
      </c>
      <c r="O2422" s="2">
        <f>IF(OR(F2422="",G2422=""),"",IF(G2422&lt;='RETRATO 2027'!$K$5,"CONCLUÍDA",IF(F2422&lt;='RETRATO 2027'!$K$5,"EM ANDAMENTO","A INICIAR")))</f>
        <v/>
      </c>
    </row>
    <row r="2423">
      <c r="M2423" s="2">
        <f>IF(C2423="","",IFERROR(INDEX($S$5:$S$304,MATCH(C2423,$R$5:$R$304,0))&amp;"","?"))</f>
        <v/>
      </c>
      <c r="N2423" s="2">
        <f>IF(E2423="","",IF(ISNUMBER(SEARCH("SUBSOLO",E2423)),IFERROR(-VALUE(LEFT(E2423,FIND("º",SUBSTITUTE(E2423,"°","º"))-1)),-1),IF(LEFT(E2423,6)="TÉRREO",0,IFERROR(VALUE(LEFT(E2423,FIND("º",SUBSTITUTE(E2423,"°","º"))-1)),""))))</f>
        <v/>
      </c>
      <c r="O2423" s="2">
        <f>IF(OR(F2423="",G2423=""),"",IF(G2423&lt;='RETRATO 2027'!$K$5,"CONCLUÍDA",IF(F2423&lt;='RETRATO 2027'!$K$5,"EM ANDAMENTO","A INICIAR")))</f>
        <v/>
      </c>
    </row>
    <row r="2424">
      <c r="M2424" s="2">
        <f>IF(C2424="","",IFERROR(INDEX($S$5:$S$304,MATCH(C2424,$R$5:$R$304,0))&amp;"","?"))</f>
        <v/>
      </c>
      <c r="N2424" s="2">
        <f>IF(E2424="","",IF(ISNUMBER(SEARCH("SUBSOLO",E2424)),IFERROR(-VALUE(LEFT(E2424,FIND("º",SUBSTITUTE(E2424,"°","º"))-1)),-1),IF(LEFT(E2424,6)="TÉRREO",0,IFERROR(VALUE(LEFT(E2424,FIND("º",SUBSTITUTE(E2424,"°","º"))-1)),""))))</f>
        <v/>
      </c>
      <c r="O2424" s="2">
        <f>IF(OR(F2424="",G2424=""),"",IF(G2424&lt;='RETRATO 2027'!$K$5,"CONCLUÍDA",IF(F2424&lt;='RETRATO 2027'!$K$5,"EM ANDAMENTO","A INICIAR")))</f>
        <v/>
      </c>
    </row>
    <row r="2425">
      <c r="M2425" s="2">
        <f>IF(C2425="","",IFERROR(INDEX($S$5:$S$304,MATCH(C2425,$R$5:$R$304,0))&amp;"","?"))</f>
        <v/>
      </c>
      <c r="N2425" s="2">
        <f>IF(E2425="","",IF(ISNUMBER(SEARCH("SUBSOLO",E2425)),IFERROR(-VALUE(LEFT(E2425,FIND("º",SUBSTITUTE(E2425,"°","º"))-1)),-1),IF(LEFT(E2425,6)="TÉRREO",0,IFERROR(VALUE(LEFT(E2425,FIND("º",SUBSTITUTE(E2425,"°","º"))-1)),""))))</f>
        <v/>
      </c>
      <c r="O2425" s="2">
        <f>IF(OR(F2425="",G2425=""),"",IF(G2425&lt;='RETRATO 2027'!$K$5,"CONCLUÍDA",IF(F2425&lt;='RETRATO 2027'!$K$5,"EM ANDAMENTO","A INICIAR")))</f>
        <v/>
      </c>
    </row>
    <row r="2426">
      <c r="M2426" s="2">
        <f>IF(C2426="","",IFERROR(INDEX($S$5:$S$304,MATCH(C2426,$R$5:$R$304,0))&amp;"","?"))</f>
        <v/>
      </c>
      <c r="N2426" s="2">
        <f>IF(E2426="","",IF(ISNUMBER(SEARCH("SUBSOLO",E2426)),IFERROR(-VALUE(LEFT(E2426,FIND("º",SUBSTITUTE(E2426,"°","º"))-1)),-1),IF(LEFT(E2426,6)="TÉRREO",0,IFERROR(VALUE(LEFT(E2426,FIND("º",SUBSTITUTE(E2426,"°","º"))-1)),""))))</f>
        <v/>
      </c>
      <c r="O2426" s="2">
        <f>IF(OR(F2426="",G2426=""),"",IF(G2426&lt;='RETRATO 2027'!$K$5,"CONCLUÍDA",IF(F2426&lt;='RETRATO 2027'!$K$5,"EM ANDAMENTO","A INICIAR")))</f>
        <v/>
      </c>
    </row>
    <row r="2427">
      <c r="M2427" s="2">
        <f>IF(C2427="","",IFERROR(INDEX($S$5:$S$304,MATCH(C2427,$R$5:$R$304,0))&amp;"","?"))</f>
        <v/>
      </c>
      <c r="N2427" s="2">
        <f>IF(E2427="","",IF(ISNUMBER(SEARCH("SUBSOLO",E2427)),IFERROR(-VALUE(LEFT(E2427,FIND("º",SUBSTITUTE(E2427,"°","º"))-1)),-1),IF(LEFT(E2427,6)="TÉRREO",0,IFERROR(VALUE(LEFT(E2427,FIND("º",SUBSTITUTE(E2427,"°","º"))-1)),""))))</f>
        <v/>
      </c>
      <c r="O2427" s="2">
        <f>IF(OR(F2427="",G2427=""),"",IF(G2427&lt;='RETRATO 2027'!$K$5,"CONCLUÍDA",IF(F2427&lt;='RETRATO 2027'!$K$5,"EM ANDAMENTO","A INICIAR")))</f>
        <v/>
      </c>
    </row>
    <row r="2428">
      <c r="M2428" s="2">
        <f>IF(C2428="","",IFERROR(INDEX($S$5:$S$304,MATCH(C2428,$R$5:$R$304,0))&amp;"","?"))</f>
        <v/>
      </c>
      <c r="N2428" s="2">
        <f>IF(E2428="","",IF(ISNUMBER(SEARCH("SUBSOLO",E2428)),IFERROR(-VALUE(LEFT(E2428,FIND("º",SUBSTITUTE(E2428,"°","º"))-1)),-1),IF(LEFT(E2428,6)="TÉRREO",0,IFERROR(VALUE(LEFT(E2428,FIND("º",SUBSTITUTE(E2428,"°","º"))-1)),""))))</f>
        <v/>
      </c>
      <c r="O2428" s="2">
        <f>IF(OR(F2428="",G2428=""),"",IF(G2428&lt;='RETRATO 2027'!$K$5,"CONCLUÍDA",IF(F2428&lt;='RETRATO 2027'!$K$5,"EM ANDAMENTO","A INICIAR")))</f>
        <v/>
      </c>
    </row>
    <row r="2429">
      <c r="M2429" s="2">
        <f>IF(C2429="","",IFERROR(INDEX($S$5:$S$304,MATCH(C2429,$R$5:$R$304,0))&amp;"","?"))</f>
        <v/>
      </c>
      <c r="N2429" s="2">
        <f>IF(E2429="","",IF(ISNUMBER(SEARCH("SUBSOLO",E2429)),IFERROR(-VALUE(LEFT(E2429,FIND("º",SUBSTITUTE(E2429,"°","º"))-1)),-1),IF(LEFT(E2429,6)="TÉRREO",0,IFERROR(VALUE(LEFT(E2429,FIND("º",SUBSTITUTE(E2429,"°","º"))-1)),""))))</f>
        <v/>
      </c>
      <c r="O2429" s="2">
        <f>IF(OR(F2429="",G2429=""),"",IF(G2429&lt;='RETRATO 2027'!$K$5,"CONCLUÍDA",IF(F2429&lt;='RETRATO 2027'!$K$5,"EM ANDAMENTO","A INICIAR")))</f>
        <v/>
      </c>
    </row>
    <row r="2430">
      <c r="M2430" s="2">
        <f>IF(C2430="","",IFERROR(INDEX($S$5:$S$304,MATCH(C2430,$R$5:$R$304,0))&amp;"","?"))</f>
        <v/>
      </c>
      <c r="N2430" s="2">
        <f>IF(E2430="","",IF(ISNUMBER(SEARCH("SUBSOLO",E2430)),IFERROR(-VALUE(LEFT(E2430,FIND("º",SUBSTITUTE(E2430,"°","º"))-1)),-1),IF(LEFT(E2430,6)="TÉRREO",0,IFERROR(VALUE(LEFT(E2430,FIND("º",SUBSTITUTE(E2430,"°","º"))-1)),""))))</f>
        <v/>
      </c>
      <c r="O2430" s="2">
        <f>IF(OR(F2430="",G2430=""),"",IF(G2430&lt;='RETRATO 2027'!$K$5,"CONCLUÍDA",IF(F2430&lt;='RETRATO 2027'!$K$5,"EM ANDAMENTO","A INICIAR")))</f>
        <v/>
      </c>
    </row>
    <row r="2431">
      <c r="M2431" s="2">
        <f>IF(C2431="","",IFERROR(INDEX($S$5:$S$304,MATCH(C2431,$R$5:$R$304,0))&amp;"","?"))</f>
        <v/>
      </c>
      <c r="N2431" s="2">
        <f>IF(E2431="","",IF(ISNUMBER(SEARCH("SUBSOLO",E2431)),IFERROR(-VALUE(LEFT(E2431,FIND("º",SUBSTITUTE(E2431,"°","º"))-1)),-1),IF(LEFT(E2431,6)="TÉRREO",0,IFERROR(VALUE(LEFT(E2431,FIND("º",SUBSTITUTE(E2431,"°","º"))-1)),""))))</f>
        <v/>
      </c>
      <c r="O2431" s="2">
        <f>IF(OR(F2431="",G2431=""),"",IF(G2431&lt;='RETRATO 2027'!$K$5,"CONCLUÍDA",IF(F2431&lt;='RETRATO 2027'!$K$5,"EM ANDAMENTO","A INICIAR")))</f>
        <v/>
      </c>
    </row>
    <row r="2432">
      <c r="M2432" s="2">
        <f>IF(C2432="","",IFERROR(INDEX($S$5:$S$304,MATCH(C2432,$R$5:$R$304,0))&amp;"","?"))</f>
        <v/>
      </c>
      <c r="N2432" s="2">
        <f>IF(E2432="","",IF(ISNUMBER(SEARCH("SUBSOLO",E2432)),IFERROR(-VALUE(LEFT(E2432,FIND("º",SUBSTITUTE(E2432,"°","º"))-1)),-1),IF(LEFT(E2432,6)="TÉRREO",0,IFERROR(VALUE(LEFT(E2432,FIND("º",SUBSTITUTE(E2432,"°","º"))-1)),""))))</f>
        <v/>
      </c>
      <c r="O2432" s="2">
        <f>IF(OR(F2432="",G2432=""),"",IF(G2432&lt;='RETRATO 2027'!$K$5,"CONCLUÍDA",IF(F2432&lt;='RETRATO 2027'!$K$5,"EM ANDAMENTO","A INICIAR")))</f>
        <v/>
      </c>
    </row>
    <row r="2433">
      <c r="M2433" s="2">
        <f>IF(C2433="","",IFERROR(INDEX($S$5:$S$304,MATCH(C2433,$R$5:$R$304,0))&amp;"","?"))</f>
        <v/>
      </c>
      <c r="N2433" s="2">
        <f>IF(E2433="","",IF(ISNUMBER(SEARCH("SUBSOLO",E2433)),IFERROR(-VALUE(LEFT(E2433,FIND("º",SUBSTITUTE(E2433,"°","º"))-1)),-1),IF(LEFT(E2433,6)="TÉRREO",0,IFERROR(VALUE(LEFT(E2433,FIND("º",SUBSTITUTE(E2433,"°","º"))-1)),""))))</f>
        <v/>
      </c>
      <c r="O2433" s="2">
        <f>IF(OR(F2433="",G2433=""),"",IF(G2433&lt;='RETRATO 2027'!$K$5,"CONCLUÍDA",IF(F2433&lt;='RETRATO 2027'!$K$5,"EM ANDAMENTO","A INICIAR")))</f>
        <v/>
      </c>
    </row>
    <row r="2434">
      <c r="M2434" s="2">
        <f>IF(C2434="","",IFERROR(INDEX($S$5:$S$304,MATCH(C2434,$R$5:$R$304,0))&amp;"","?"))</f>
        <v/>
      </c>
      <c r="N2434" s="2">
        <f>IF(E2434="","",IF(ISNUMBER(SEARCH("SUBSOLO",E2434)),IFERROR(-VALUE(LEFT(E2434,FIND("º",SUBSTITUTE(E2434,"°","º"))-1)),-1),IF(LEFT(E2434,6)="TÉRREO",0,IFERROR(VALUE(LEFT(E2434,FIND("º",SUBSTITUTE(E2434,"°","º"))-1)),""))))</f>
        <v/>
      </c>
      <c r="O2434" s="2">
        <f>IF(OR(F2434="",G2434=""),"",IF(G2434&lt;='RETRATO 2027'!$K$5,"CONCLUÍDA",IF(F2434&lt;='RETRATO 2027'!$K$5,"EM ANDAMENTO","A INICIAR")))</f>
        <v/>
      </c>
    </row>
    <row r="2435">
      <c r="M2435" s="2">
        <f>IF(C2435="","",IFERROR(INDEX($S$5:$S$304,MATCH(C2435,$R$5:$R$304,0))&amp;"","?"))</f>
        <v/>
      </c>
      <c r="N2435" s="2">
        <f>IF(E2435="","",IF(ISNUMBER(SEARCH("SUBSOLO",E2435)),IFERROR(-VALUE(LEFT(E2435,FIND("º",SUBSTITUTE(E2435,"°","º"))-1)),-1),IF(LEFT(E2435,6)="TÉRREO",0,IFERROR(VALUE(LEFT(E2435,FIND("º",SUBSTITUTE(E2435,"°","º"))-1)),""))))</f>
        <v/>
      </c>
      <c r="O2435" s="2">
        <f>IF(OR(F2435="",G2435=""),"",IF(G2435&lt;='RETRATO 2027'!$K$5,"CONCLUÍDA",IF(F2435&lt;='RETRATO 2027'!$K$5,"EM ANDAMENTO","A INICIAR")))</f>
        <v/>
      </c>
    </row>
    <row r="2436">
      <c r="M2436" s="2">
        <f>IF(C2436="","",IFERROR(INDEX($S$5:$S$304,MATCH(C2436,$R$5:$R$304,0))&amp;"","?"))</f>
        <v/>
      </c>
      <c r="N2436" s="2">
        <f>IF(E2436="","",IF(ISNUMBER(SEARCH("SUBSOLO",E2436)),IFERROR(-VALUE(LEFT(E2436,FIND("º",SUBSTITUTE(E2436,"°","º"))-1)),-1),IF(LEFT(E2436,6)="TÉRREO",0,IFERROR(VALUE(LEFT(E2436,FIND("º",SUBSTITUTE(E2436,"°","º"))-1)),""))))</f>
        <v/>
      </c>
      <c r="O2436" s="2">
        <f>IF(OR(F2436="",G2436=""),"",IF(G2436&lt;='RETRATO 2027'!$K$5,"CONCLUÍDA",IF(F2436&lt;='RETRATO 2027'!$K$5,"EM ANDAMENTO","A INICIAR")))</f>
        <v/>
      </c>
    </row>
    <row r="2437">
      <c r="M2437" s="2">
        <f>IF(C2437="","",IFERROR(INDEX($S$5:$S$304,MATCH(C2437,$R$5:$R$304,0))&amp;"","?"))</f>
        <v/>
      </c>
      <c r="N2437" s="2">
        <f>IF(E2437="","",IF(ISNUMBER(SEARCH("SUBSOLO",E2437)),IFERROR(-VALUE(LEFT(E2437,FIND("º",SUBSTITUTE(E2437,"°","º"))-1)),-1),IF(LEFT(E2437,6)="TÉRREO",0,IFERROR(VALUE(LEFT(E2437,FIND("º",SUBSTITUTE(E2437,"°","º"))-1)),""))))</f>
        <v/>
      </c>
      <c r="O2437" s="2">
        <f>IF(OR(F2437="",G2437=""),"",IF(G2437&lt;='RETRATO 2027'!$K$5,"CONCLUÍDA",IF(F2437&lt;='RETRATO 2027'!$K$5,"EM ANDAMENTO","A INICIAR")))</f>
        <v/>
      </c>
    </row>
    <row r="2438">
      <c r="M2438" s="2">
        <f>IF(C2438="","",IFERROR(INDEX($S$5:$S$304,MATCH(C2438,$R$5:$R$304,0))&amp;"","?"))</f>
        <v/>
      </c>
      <c r="N2438" s="2">
        <f>IF(E2438="","",IF(ISNUMBER(SEARCH("SUBSOLO",E2438)),IFERROR(-VALUE(LEFT(E2438,FIND("º",SUBSTITUTE(E2438,"°","º"))-1)),-1),IF(LEFT(E2438,6)="TÉRREO",0,IFERROR(VALUE(LEFT(E2438,FIND("º",SUBSTITUTE(E2438,"°","º"))-1)),""))))</f>
        <v/>
      </c>
      <c r="O2438" s="2">
        <f>IF(OR(F2438="",G2438=""),"",IF(G2438&lt;='RETRATO 2027'!$K$5,"CONCLUÍDA",IF(F2438&lt;='RETRATO 2027'!$K$5,"EM ANDAMENTO","A INICIAR")))</f>
        <v/>
      </c>
    </row>
    <row r="2439">
      <c r="M2439" s="2">
        <f>IF(C2439="","",IFERROR(INDEX($S$5:$S$304,MATCH(C2439,$R$5:$R$304,0))&amp;"","?"))</f>
        <v/>
      </c>
      <c r="N2439" s="2">
        <f>IF(E2439="","",IF(ISNUMBER(SEARCH("SUBSOLO",E2439)),IFERROR(-VALUE(LEFT(E2439,FIND("º",SUBSTITUTE(E2439,"°","º"))-1)),-1),IF(LEFT(E2439,6)="TÉRREO",0,IFERROR(VALUE(LEFT(E2439,FIND("º",SUBSTITUTE(E2439,"°","º"))-1)),""))))</f>
        <v/>
      </c>
      <c r="O2439" s="2">
        <f>IF(OR(F2439="",G2439=""),"",IF(G2439&lt;='RETRATO 2027'!$K$5,"CONCLUÍDA",IF(F2439&lt;='RETRATO 2027'!$K$5,"EM ANDAMENTO","A INICIAR")))</f>
        <v/>
      </c>
    </row>
    <row r="2440">
      <c r="M2440" s="2">
        <f>IF(C2440="","",IFERROR(INDEX($S$5:$S$304,MATCH(C2440,$R$5:$R$304,0))&amp;"","?"))</f>
        <v/>
      </c>
      <c r="N2440" s="2">
        <f>IF(E2440="","",IF(ISNUMBER(SEARCH("SUBSOLO",E2440)),IFERROR(-VALUE(LEFT(E2440,FIND("º",SUBSTITUTE(E2440,"°","º"))-1)),-1),IF(LEFT(E2440,6)="TÉRREO",0,IFERROR(VALUE(LEFT(E2440,FIND("º",SUBSTITUTE(E2440,"°","º"))-1)),""))))</f>
        <v/>
      </c>
      <c r="O2440" s="2">
        <f>IF(OR(F2440="",G2440=""),"",IF(G2440&lt;='RETRATO 2027'!$K$5,"CONCLUÍDA",IF(F2440&lt;='RETRATO 2027'!$K$5,"EM ANDAMENTO","A INICIAR")))</f>
        <v/>
      </c>
    </row>
    <row r="2441">
      <c r="M2441" s="2">
        <f>IF(C2441="","",IFERROR(INDEX($S$5:$S$304,MATCH(C2441,$R$5:$R$304,0))&amp;"","?"))</f>
        <v/>
      </c>
      <c r="N2441" s="2">
        <f>IF(E2441="","",IF(ISNUMBER(SEARCH("SUBSOLO",E2441)),IFERROR(-VALUE(LEFT(E2441,FIND("º",SUBSTITUTE(E2441,"°","º"))-1)),-1),IF(LEFT(E2441,6)="TÉRREO",0,IFERROR(VALUE(LEFT(E2441,FIND("º",SUBSTITUTE(E2441,"°","º"))-1)),""))))</f>
        <v/>
      </c>
      <c r="O2441" s="2">
        <f>IF(OR(F2441="",G2441=""),"",IF(G2441&lt;='RETRATO 2027'!$K$5,"CONCLUÍDA",IF(F2441&lt;='RETRATO 2027'!$K$5,"EM ANDAMENTO","A INICIAR")))</f>
        <v/>
      </c>
    </row>
    <row r="2442">
      <c r="M2442" s="2">
        <f>IF(C2442="","",IFERROR(INDEX($S$5:$S$304,MATCH(C2442,$R$5:$R$304,0))&amp;"","?"))</f>
        <v/>
      </c>
      <c r="N2442" s="2">
        <f>IF(E2442="","",IF(ISNUMBER(SEARCH("SUBSOLO",E2442)),IFERROR(-VALUE(LEFT(E2442,FIND("º",SUBSTITUTE(E2442,"°","º"))-1)),-1),IF(LEFT(E2442,6)="TÉRREO",0,IFERROR(VALUE(LEFT(E2442,FIND("º",SUBSTITUTE(E2442,"°","º"))-1)),""))))</f>
        <v/>
      </c>
      <c r="O2442" s="2">
        <f>IF(OR(F2442="",G2442=""),"",IF(G2442&lt;='RETRATO 2027'!$K$5,"CONCLUÍDA",IF(F2442&lt;='RETRATO 2027'!$K$5,"EM ANDAMENTO","A INICIAR")))</f>
        <v/>
      </c>
    </row>
    <row r="2443">
      <c r="M2443" s="2">
        <f>IF(C2443="","",IFERROR(INDEX($S$5:$S$304,MATCH(C2443,$R$5:$R$304,0))&amp;"","?"))</f>
        <v/>
      </c>
      <c r="N2443" s="2">
        <f>IF(E2443="","",IF(ISNUMBER(SEARCH("SUBSOLO",E2443)),IFERROR(-VALUE(LEFT(E2443,FIND("º",SUBSTITUTE(E2443,"°","º"))-1)),-1),IF(LEFT(E2443,6)="TÉRREO",0,IFERROR(VALUE(LEFT(E2443,FIND("º",SUBSTITUTE(E2443,"°","º"))-1)),""))))</f>
        <v/>
      </c>
      <c r="O2443" s="2">
        <f>IF(OR(F2443="",G2443=""),"",IF(G2443&lt;='RETRATO 2027'!$K$5,"CONCLUÍDA",IF(F2443&lt;='RETRATO 2027'!$K$5,"EM ANDAMENTO","A INICIAR")))</f>
        <v/>
      </c>
    </row>
    <row r="2444">
      <c r="M2444" s="2">
        <f>IF(C2444="","",IFERROR(INDEX($S$5:$S$304,MATCH(C2444,$R$5:$R$304,0))&amp;"","?"))</f>
        <v/>
      </c>
      <c r="N2444" s="2">
        <f>IF(E2444="","",IF(ISNUMBER(SEARCH("SUBSOLO",E2444)),IFERROR(-VALUE(LEFT(E2444,FIND("º",SUBSTITUTE(E2444,"°","º"))-1)),-1),IF(LEFT(E2444,6)="TÉRREO",0,IFERROR(VALUE(LEFT(E2444,FIND("º",SUBSTITUTE(E2444,"°","º"))-1)),""))))</f>
        <v/>
      </c>
      <c r="O2444" s="2">
        <f>IF(OR(F2444="",G2444=""),"",IF(G2444&lt;='RETRATO 2027'!$K$5,"CONCLUÍDA",IF(F2444&lt;='RETRATO 2027'!$K$5,"EM ANDAMENTO","A INICIAR")))</f>
        <v/>
      </c>
    </row>
    <row r="2445">
      <c r="M2445" s="2">
        <f>IF(C2445="","",IFERROR(INDEX($S$5:$S$304,MATCH(C2445,$R$5:$R$304,0))&amp;"","?"))</f>
        <v/>
      </c>
      <c r="N2445" s="2">
        <f>IF(E2445="","",IF(ISNUMBER(SEARCH("SUBSOLO",E2445)),IFERROR(-VALUE(LEFT(E2445,FIND("º",SUBSTITUTE(E2445,"°","º"))-1)),-1),IF(LEFT(E2445,6)="TÉRREO",0,IFERROR(VALUE(LEFT(E2445,FIND("º",SUBSTITUTE(E2445,"°","º"))-1)),""))))</f>
        <v/>
      </c>
      <c r="O2445" s="2">
        <f>IF(OR(F2445="",G2445=""),"",IF(G2445&lt;='RETRATO 2027'!$K$5,"CONCLUÍDA",IF(F2445&lt;='RETRATO 2027'!$K$5,"EM ANDAMENTO","A INICIAR")))</f>
        <v/>
      </c>
    </row>
    <row r="2446">
      <c r="M2446" s="2">
        <f>IF(C2446="","",IFERROR(INDEX($S$5:$S$304,MATCH(C2446,$R$5:$R$304,0))&amp;"","?"))</f>
        <v/>
      </c>
      <c r="N2446" s="2">
        <f>IF(E2446="","",IF(ISNUMBER(SEARCH("SUBSOLO",E2446)),IFERROR(-VALUE(LEFT(E2446,FIND("º",SUBSTITUTE(E2446,"°","º"))-1)),-1),IF(LEFT(E2446,6)="TÉRREO",0,IFERROR(VALUE(LEFT(E2446,FIND("º",SUBSTITUTE(E2446,"°","º"))-1)),""))))</f>
        <v/>
      </c>
      <c r="O2446" s="2">
        <f>IF(OR(F2446="",G2446=""),"",IF(G2446&lt;='RETRATO 2027'!$K$5,"CONCLUÍDA",IF(F2446&lt;='RETRATO 2027'!$K$5,"EM ANDAMENTO","A INICIAR")))</f>
        <v/>
      </c>
    </row>
    <row r="2447">
      <c r="M2447" s="2">
        <f>IF(C2447="","",IFERROR(INDEX($S$5:$S$304,MATCH(C2447,$R$5:$R$304,0))&amp;"","?"))</f>
        <v/>
      </c>
      <c r="N2447" s="2">
        <f>IF(E2447="","",IF(ISNUMBER(SEARCH("SUBSOLO",E2447)),IFERROR(-VALUE(LEFT(E2447,FIND("º",SUBSTITUTE(E2447,"°","º"))-1)),-1),IF(LEFT(E2447,6)="TÉRREO",0,IFERROR(VALUE(LEFT(E2447,FIND("º",SUBSTITUTE(E2447,"°","º"))-1)),""))))</f>
        <v/>
      </c>
      <c r="O2447" s="2">
        <f>IF(OR(F2447="",G2447=""),"",IF(G2447&lt;='RETRATO 2027'!$K$5,"CONCLUÍDA",IF(F2447&lt;='RETRATO 2027'!$K$5,"EM ANDAMENTO","A INICIAR")))</f>
        <v/>
      </c>
    </row>
    <row r="2448">
      <c r="M2448" s="2">
        <f>IF(C2448="","",IFERROR(INDEX($S$5:$S$304,MATCH(C2448,$R$5:$R$304,0))&amp;"","?"))</f>
        <v/>
      </c>
      <c r="N2448" s="2">
        <f>IF(E2448="","",IF(ISNUMBER(SEARCH("SUBSOLO",E2448)),IFERROR(-VALUE(LEFT(E2448,FIND("º",SUBSTITUTE(E2448,"°","º"))-1)),-1),IF(LEFT(E2448,6)="TÉRREO",0,IFERROR(VALUE(LEFT(E2448,FIND("º",SUBSTITUTE(E2448,"°","º"))-1)),""))))</f>
        <v/>
      </c>
      <c r="O2448" s="2">
        <f>IF(OR(F2448="",G2448=""),"",IF(G2448&lt;='RETRATO 2027'!$K$5,"CONCLUÍDA",IF(F2448&lt;='RETRATO 2027'!$K$5,"EM ANDAMENTO","A INICIAR")))</f>
        <v/>
      </c>
    </row>
    <row r="2449">
      <c r="M2449" s="2">
        <f>IF(C2449="","",IFERROR(INDEX($S$5:$S$304,MATCH(C2449,$R$5:$R$304,0))&amp;"","?"))</f>
        <v/>
      </c>
      <c r="N2449" s="2">
        <f>IF(E2449="","",IF(ISNUMBER(SEARCH("SUBSOLO",E2449)),IFERROR(-VALUE(LEFT(E2449,FIND("º",SUBSTITUTE(E2449,"°","º"))-1)),-1),IF(LEFT(E2449,6)="TÉRREO",0,IFERROR(VALUE(LEFT(E2449,FIND("º",SUBSTITUTE(E2449,"°","º"))-1)),""))))</f>
        <v/>
      </c>
      <c r="O2449" s="2">
        <f>IF(OR(F2449="",G2449=""),"",IF(G2449&lt;='RETRATO 2027'!$K$5,"CONCLUÍDA",IF(F2449&lt;='RETRATO 2027'!$K$5,"EM ANDAMENTO","A INICIAR")))</f>
        <v/>
      </c>
    </row>
    <row r="2450">
      <c r="M2450" s="2">
        <f>IF(C2450="","",IFERROR(INDEX($S$5:$S$304,MATCH(C2450,$R$5:$R$304,0))&amp;"","?"))</f>
        <v/>
      </c>
      <c r="N2450" s="2">
        <f>IF(E2450="","",IF(ISNUMBER(SEARCH("SUBSOLO",E2450)),IFERROR(-VALUE(LEFT(E2450,FIND("º",SUBSTITUTE(E2450,"°","º"))-1)),-1),IF(LEFT(E2450,6)="TÉRREO",0,IFERROR(VALUE(LEFT(E2450,FIND("º",SUBSTITUTE(E2450,"°","º"))-1)),""))))</f>
        <v/>
      </c>
      <c r="O2450" s="2">
        <f>IF(OR(F2450="",G2450=""),"",IF(G2450&lt;='RETRATO 2027'!$K$5,"CONCLUÍDA",IF(F2450&lt;='RETRATO 2027'!$K$5,"EM ANDAMENTO","A INICIAR")))</f>
        <v/>
      </c>
    </row>
    <row r="2451">
      <c r="M2451" s="2">
        <f>IF(C2451="","",IFERROR(INDEX($S$5:$S$304,MATCH(C2451,$R$5:$R$304,0))&amp;"","?"))</f>
        <v/>
      </c>
      <c r="N2451" s="2">
        <f>IF(E2451="","",IF(ISNUMBER(SEARCH("SUBSOLO",E2451)),IFERROR(-VALUE(LEFT(E2451,FIND("º",SUBSTITUTE(E2451,"°","º"))-1)),-1),IF(LEFT(E2451,6)="TÉRREO",0,IFERROR(VALUE(LEFT(E2451,FIND("º",SUBSTITUTE(E2451,"°","º"))-1)),""))))</f>
        <v/>
      </c>
      <c r="O2451" s="2">
        <f>IF(OR(F2451="",G2451=""),"",IF(G2451&lt;='RETRATO 2027'!$K$5,"CONCLUÍDA",IF(F2451&lt;='RETRATO 2027'!$K$5,"EM ANDAMENTO","A INICIAR")))</f>
        <v/>
      </c>
    </row>
    <row r="2452">
      <c r="M2452" s="2">
        <f>IF(C2452="","",IFERROR(INDEX($S$5:$S$304,MATCH(C2452,$R$5:$R$304,0))&amp;"","?"))</f>
        <v/>
      </c>
      <c r="N2452" s="2">
        <f>IF(E2452="","",IF(ISNUMBER(SEARCH("SUBSOLO",E2452)),IFERROR(-VALUE(LEFT(E2452,FIND("º",SUBSTITUTE(E2452,"°","º"))-1)),-1),IF(LEFT(E2452,6)="TÉRREO",0,IFERROR(VALUE(LEFT(E2452,FIND("º",SUBSTITUTE(E2452,"°","º"))-1)),""))))</f>
        <v/>
      </c>
      <c r="O2452" s="2">
        <f>IF(OR(F2452="",G2452=""),"",IF(G2452&lt;='RETRATO 2027'!$K$5,"CONCLUÍDA",IF(F2452&lt;='RETRATO 2027'!$K$5,"EM ANDAMENTO","A INICIAR")))</f>
        <v/>
      </c>
    </row>
    <row r="2453">
      <c r="M2453" s="2">
        <f>IF(C2453="","",IFERROR(INDEX($S$5:$S$304,MATCH(C2453,$R$5:$R$304,0))&amp;"","?"))</f>
        <v/>
      </c>
      <c r="N2453" s="2">
        <f>IF(E2453="","",IF(ISNUMBER(SEARCH("SUBSOLO",E2453)),IFERROR(-VALUE(LEFT(E2453,FIND("º",SUBSTITUTE(E2453,"°","º"))-1)),-1),IF(LEFT(E2453,6)="TÉRREO",0,IFERROR(VALUE(LEFT(E2453,FIND("º",SUBSTITUTE(E2453,"°","º"))-1)),""))))</f>
        <v/>
      </c>
      <c r="O2453" s="2">
        <f>IF(OR(F2453="",G2453=""),"",IF(G2453&lt;='RETRATO 2027'!$K$5,"CONCLUÍDA",IF(F2453&lt;='RETRATO 2027'!$K$5,"EM ANDAMENTO","A INICIAR")))</f>
        <v/>
      </c>
    </row>
    <row r="2454">
      <c r="M2454" s="2">
        <f>IF(C2454="","",IFERROR(INDEX($S$5:$S$304,MATCH(C2454,$R$5:$R$304,0))&amp;"","?"))</f>
        <v/>
      </c>
      <c r="N2454" s="2">
        <f>IF(E2454="","",IF(ISNUMBER(SEARCH("SUBSOLO",E2454)),IFERROR(-VALUE(LEFT(E2454,FIND("º",SUBSTITUTE(E2454,"°","º"))-1)),-1),IF(LEFT(E2454,6)="TÉRREO",0,IFERROR(VALUE(LEFT(E2454,FIND("º",SUBSTITUTE(E2454,"°","º"))-1)),""))))</f>
        <v/>
      </c>
      <c r="O2454" s="2">
        <f>IF(OR(F2454="",G2454=""),"",IF(G2454&lt;='RETRATO 2027'!$K$5,"CONCLUÍDA",IF(F2454&lt;='RETRATO 2027'!$K$5,"EM ANDAMENTO","A INICIAR")))</f>
        <v/>
      </c>
    </row>
    <row r="2455">
      <c r="M2455" s="2">
        <f>IF(C2455="","",IFERROR(INDEX($S$5:$S$304,MATCH(C2455,$R$5:$R$304,0))&amp;"","?"))</f>
        <v/>
      </c>
      <c r="N2455" s="2">
        <f>IF(E2455="","",IF(ISNUMBER(SEARCH("SUBSOLO",E2455)),IFERROR(-VALUE(LEFT(E2455,FIND("º",SUBSTITUTE(E2455,"°","º"))-1)),-1),IF(LEFT(E2455,6)="TÉRREO",0,IFERROR(VALUE(LEFT(E2455,FIND("º",SUBSTITUTE(E2455,"°","º"))-1)),""))))</f>
        <v/>
      </c>
      <c r="O2455" s="2">
        <f>IF(OR(F2455="",G2455=""),"",IF(G2455&lt;='RETRATO 2027'!$K$5,"CONCLUÍDA",IF(F2455&lt;='RETRATO 2027'!$K$5,"EM ANDAMENTO","A INICIAR")))</f>
        <v/>
      </c>
    </row>
    <row r="2456">
      <c r="M2456" s="2">
        <f>IF(C2456="","",IFERROR(INDEX($S$5:$S$304,MATCH(C2456,$R$5:$R$304,0))&amp;"","?"))</f>
        <v/>
      </c>
      <c r="N2456" s="2">
        <f>IF(E2456="","",IF(ISNUMBER(SEARCH("SUBSOLO",E2456)),IFERROR(-VALUE(LEFT(E2456,FIND("º",SUBSTITUTE(E2456,"°","º"))-1)),-1),IF(LEFT(E2456,6)="TÉRREO",0,IFERROR(VALUE(LEFT(E2456,FIND("º",SUBSTITUTE(E2456,"°","º"))-1)),""))))</f>
        <v/>
      </c>
      <c r="O2456" s="2">
        <f>IF(OR(F2456="",G2456=""),"",IF(G2456&lt;='RETRATO 2027'!$K$5,"CONCLUÍDA",IF(F2456&lt;='RETRATO 2027'!$K$5,"EM ANDAMENTO","A INICIAR")))</f>
        <v/>
      </c>
    </row>
    <row r="2457">
      <c r="M2457" s="2">
        <f>IF(C2457="","",IFERROR(INDEX($S$5:$S$304,MATCH(C2457,$R$5:$R$304,0))&amp;"","?"))</f>
        <v/>
      </c>
      <c r="N2457" s="2">
        <f>IF(E2457="","",IF(ISNUMBER(SEARCH("SUBSOLO",E2457)),IFERROR(-VALUE(LEFT(E2457,FIND("º",SUBSTITUTE(E2457,"°","º"))-1)),-1),IF(LEFT(E2457,6)="TÉRREO",0,IFERROR(VALUE(LEFT(E2457,FIND("º",SUBSTITUTE(E2457,"°","º"))-1)),""))))</f>
        <v/>
      </c>
      <c r="O2457" s="2">
        <f>IF(OR(F2457="",G2457=""),"",IF(G2457&lt;='RETRATO 2027'!$K$5,"CONCLUÍDA",IF(F2457&lt;='RETRATO 2027'!$K$5,"EM ANDAMENTO","A INICIAR")))</f>
        <v/>
      </c>
    </row>
    <row r="2458">
      <c r="M2458" s="2">
        <f>IF(C2458="","",IFERROR(INDEX($S$5:$S$304,MATCH(C2458,$R$5:$R$304,0))&amp;"","?"))</f>
        <v/>
      </c>
      <c r="N2458" s="2">
        <f>IF(E2458="","",IF(ISNUMBER(SEARCH("SUBSOLO",E2458)),IFERROR(-VALUE(LEFT(E2458,FIND("º",SUBSTITUTE(E2458,"°","º"))-1)),-1),IF(LEFT(E2458,6)="TÉRREO",0,IFERROR(VALUE(LEFT(E2458,FIND("º",SUBSTITUTE(E2458,"°","º"))-1)),""))))</f>
        <v/>
      </c>
      <c r="O2458" s="2">
        <f>IF(OR(F2458="",G2458=""),"",IF(G2458&lt;='RETRATO 2027'!$K$5,"CONCLUÍDA",IF(F2458&lt;='RETRATO 2027'!$K$5,"EM ANDAMENTO","A INICIAR")))</f>
        <v/>
      </c>
    </row>
    <row r="2459">
      <c r="M2459" s="2">
        <f>IF(C2459="","",IFERROR(INDEX($S$5:$S$304,MATCH(C2459,$R$5:$R$304,0))&amp;"","?"))</f>
        <v/>
      </c>
      <c r="N2459" s="2">
        <f>IF(E2459="","",IF(ISNUMBER(SEARCH("SUBSOLO",E2459)),IFERROR(-VALUE(LEFT(E2459,FIND("º",SUBSTITUTE(E2459,"°","º"))-1)),-1),IF(LEFT(E2459,6)="TÉRREO",0,IFERROR(VALUE(LEFT(E2459,FIND("º",SUBSTITUTE(E2459,"°","º"))-1)),""))))</f>
        <v/>
      </c>
      <c r="O2459" s="2">
        <f>IF(OR(F2459="",G2459=""),"",IF(G2459&lt;='RETRATO 2027'!$K$5,"CONCLUÍDA",IF(F2459&lt;='RETRATO 2027'!$K$5,"EM ANDAMENTO","A INICIAR")))</f>
        <v/>
      </c>
    </row>
    <row r="2460">
      <c r="M2460" s="2">
        <f>IF(C2460="","",IFERROR(INDEX($S$5:$S$304,MATCH(C2460,$R$5:$R$304,0))&amp;"","?"))</f>
        <v/>
      </c>
      <c r="N2460" s="2">
        <f>IF(E2460="","",IF(ISNUMBER(SEARCH("SUBSOLO",E2460)),IFERROR(-VALUE(LEFT(E2460,FIND("º",SUBSTITUTE(E2460,"°","º"))-1)),-1),IF(LEFT(E2460,6)="TÉRREO",0,IFERROR(VALUE(LEFT(E2460,FIND("º",SUBSTITUTE(E2460,"°","º"))-1)),""))))</f>
        <v/>
      </c>
      <c r="O2460" s="2">
        <f>IF(OR(F2460="",G2460=""),"",IF(G2460&lt;='RETRATO 2027'!$K$5,"CONCLUÍDA",IF(F2460&lt;='RETRATO 2027'!$K$5,"EM ANDAMENTO","A INICIAR")))</f>
        <v/>
      </c>
    </row>
    <row r="2461">
      <c r="M2461" s="2">
        <f>IF(C2461="","",IFERROR(INDEX($S$5:$S$304,MATCH(C2461,$R$5:$R$304,0))&amp;"","?"))</f>
        <v/>
      </c>
      <c r="N2461" s="2">
        <f>IF(E2461="","",IF(ISNUMBER(SEARCH("SUBSOLO",E2461)),IFERROR(-VALUE(LEFT(E2461,FIND("º",SUBSTITUTE(E2461,"°","º"))-1)),-1),IF(LEFT(E2461,6)="TÉRREO",0,IFERROR(VALUE(LEFT(E2461,FIND("º",SUBSTITUTE(E2461,"°","º"))-1)),""))))</f>
        <v/>
      </c>
      <c r="O2461" s="2">
        <f>IF(OR(F2461="",G2461=""),"",IF(G2461&lt;='RETRATO 2027'!$K$5,"CONCLUÍDA",IF(F2461&lt;='RETRATO 2027'!$K$5,"EM ANDAMENTO","A INICIAR")))</f>
        <v/>
      </c>
    </row>
    <row r="2462">
      <c r="M2462" s="2">
        <f>IF(C2462="","",IFERROR(INDEX($S$5:$S$304,MATCH(C2462,$R$5:$R$304,0))&amp;"","?"))</f>
        <v/>
      </c>
      <c r="N2462" s="2">
        <f>IF(E2462="","",IF(ISNUMBER(SEARCH("SUBSOLO",E2462)),IFERROR(-VALUE(LEFT(E2462,FIND("º",SUBSTITUTE(E2462,"°","º"))-1)),-1),IF(LEFT(E2462,6)="TÉRREO",0,IFERROR(VALUE(LEFT(E2462,FIND("º",SUBSTITUTE(E2462,"°","º"))-1)),""))))</f>
        <v/>
      </c>
      <c r="O2462" s="2">
        <f>IF(OR(F2462="",G2462=""),"",IF(G2462&lt;='RETRATO 2027'!$K$5,"CONCLUÍDA",IF(F2462&lt;='RETRATO 2027'!$K$5,"EM ANDAMENTO","A INICIAR")))</f>
        <v/>
      </c>
    </row>
    <row r="2463">
      <c r="M2463" s="2">
        <f>IF(C2463="","",IFERROR(INDEX($S$5:$S$304,MATCH(C2463,$R$5:$R$304,0))&amp;"","?"))</f>
        <v/>
      </c>
      <c r="N2463" s="2">
        <f>IF(E2463="","",IF(ISNUMBER(SEARCH("SUBSOLO",E2463)),IFERROR(-VALUE(LEFT(E2463,FIND("º",SUBSTITUTE(E2463,"°","º"))-1)),-1),IF(LEFT(E2463,6)="TÉRREO",0,IFERROR(VALUE(LEFT(E2463,FIND("º",SUBSTITUTE(E2463,"°","º"))-1)),""))))</f>
        <v/>
      </c>
      <c r="O2463" s="2">
        <f>IF(OR(F2463="",G2463=""),"",IF(G2463&lt;='RETRATO 2027'!$K$5,"CONCLUÍDA",IF(F2463&lt;='RETRATO 2027'!$K$5,"EM ANDAMENTO","A INICIAR")))</f>
        <v/>
      </c>
    </row>
    <row r="2464">
      <c r="M2464" s="2">
        <f>IF(C2464="","",IFERROR(INDEX($S$5:$S$304,MATCH(C2464,$R$5:$R$304,0))&amp;"","?"))</f>
        <v/>
      </c>
      <c r="N2464" s="2">
        <f>IF(E2464="","",IF(ISNUMBER(SEARCH("SUBSOLO",E2464)),IFERROR(-VALUE(LEFT(E2464,FIND("º",SUBSTITUTE(E2464,"°","º"))-1)),-1),IF(LEFT(E2464,6)="TÉRREO",0,IFERROR(VALUE(LEFT(E2464,FIND("º",SUBSTITUTE(E2464,"°","º"))-1)),""))))</f>
        <v/>
      </c>
      <c r="O2464" s="2">
        <f>IF(OR(F2464="",G2464=""),"",IF(G2464&lt;='RETRATO 2027'!$K$5,"CONCLUÍDA",IF(F2464&lt;='RETRATO 2027'!$K$5,"EM ANDAMENTO","A INICIAR")))</f>
        <v/>
      </c>
    </row>
    <row r="2465">
      <c r="M2465" s="2">
        <f>IF(C2465="","",IFERROR(INDEX($S$5:$S$304,MATCH(C2465,$R$5:$R$304,0))&amp;"","?"))</f>
        <v/>
      </c>
      <c r="N2465" s="2">
        <f>IF(E2465="","",IF(ISNUMBER(SEARCH("SUBSOLO",E2465)),IFERROR(-VALUE(LEFT(E2465,FIND("º",SUBSTITUTE(E2465,"°","º"))-1)),-1),IF(LEFT(E2465,6)="TÉRREO",0,IFERROR(VALUE(LEFT(E2465,FIND("º",SUBSTITUTE(E2465,"°","º"))-1)),""))))</f>
        <v/>
      </c>
      <c r="O2465" s="2">
        <f>IF(OR(F2465="",G2465=""),"",IF(G2465&lt;='RETRATO 2027'!$K$5,"CONCLUÍDA",IF(F2465&lt;='RETRATO 2027'!$K$5,"EM ANDAMENTO","A INICIAR")))</f>
        <v/>
      </c>
    </row>
    <row r="2466">
      <c r="M2466" s="2">
        <f>IF(C2466="","",IFERROR(INDEX($S$5:$S$304,MATCH(C2466,$R$5:$R$304,0))&amp;"","?"))</f>
        <v/>
      </c>
      <c r="N2466" s="2">
        <f>IF(E2466="","",IF(ISNUMBER(SEARCH("SUBSOLO",E2466)),IFERROR(-VALUE(LEFT(E2466,FIND("º",SUBSTITUTE(E2466,"°","º"))-1)),-1),IF(LEFT(E2466,6)="TÉRREO",0,IFERROR(VALUE(LEFT(E2466,FIND("º",SUBSTITUTE(E2466,"°","º"))-1)),""))))</f>
        <v/>
      </c>
      <c r="O2466" s="2">
        <f>IF(OR(F2466="",G2466=""),"",IF(G2466&lt;='RETRATO 2027'!$K$5,"CONCLUÍDA",IF(F2466&lt;='RETRATO 2027'!$K$5,"EM ANDAMENTO","A INICIAR")))</f>
        <v/>
      </c>
    </row>
    <row r="2467">
      <c r="M2467" s="2">
        <f>IF(C2467="","",IFERROR(INDEX($S$5:$S$304,MATCH(C2467,$R$5:$R$304,0))&amp;"","?"))</f>
        <v/>
      </c>
      <c r="N2467" s="2">
        <f>IF(E2467="","",IF(ISNUMBER(SEARCH("SUBSOLO",E2467)),IFERROR(-VALUE(LEFT(E2467,FIND("º",SUBSTITUTE(E2467,"°","º"))-1)),-1),IF(LEFT(E2467,6)="TÉRREO",0,IFERROR(VALUE(LEFT(E2467,FIND("º",SUBSTITUTE(E2467,"°","º"))-1)),""))))</f>
        <v/>
      </c>
      <c r="O2467" s="2">
        <f>IF(OR(F2467="",G2467=""),"",IF(G2467&lt;='RETRATO 2027'!$K$5,"CONCLUÍDA",IF(F2467&lt;='RETRATO 2027'!$K$5,"EM ANDAMENTO","A INICIAR")))</f>
        <v/>
      </c>
    </row>
    <row r="2468">
      <c r="M2468" s="2">
        <f>IF(C2468="","",IFERROR(INDEX($S$5:$S$304,MATCH(C2468,$R$5:$R$304,0))&amp;"","?"))</f>
        <v/>
      </c>
      <c r="N2468" s="2">
        <f>IF(E2468="","",IF(ISNUMBER(SEARCH("SUBSOLO",E2468)),IFERROR(-VALUE(LEFT(E2468,FIND("º",SUBSTITUTE(E2468,"°","º"))-1)),-1),IF(LEFT(E2468,6)="TÉRREO",0,IFERROR(VALUE(LEFT(E2468,FIND("º",SUBSTITUTE(E2468,"°","º"))-1)),""))))</f>
        <v/>
      </c>
      <c r="O2468" s="2">
        <f>IF(OR(F2468="",G2468=""),"",IF(G2468&lt;='RETRATO 2027'!$K$5,"CONCLUÍDA",IF(F2468&lt;='RETRATO 2027'!$K$5,"EM ANDAMENTO","A INICIAR")))</f>
        <v/>
      </c>
    </row>
    <row r="2469">
      <c r="M2469" s="2">
        <f>IF(C2469="","",IFERROR(INDEX($S$5:$S$304,MATCH(C2469,$R$5:$R$304,0))&amp;"","?"))</f>
        <v/>
      </c>
      <c r="N2469" s="2">
        <f>IF(E2469="","",IF(ISNUMBER(SEARCH("SUBSOLO",E2469)),IFERROR(-VALUE(LEFT(E2469,FIND("º",SUBSTITUTE(E2469,"°","º"))-1)),-1),IF(LEFT(E2469,6)="TÉRREO",0,IFERROR(VALUE(LEFT(E2469,FIND("º",SUBSTITUTE(E2469,"°","º"))-1)),""))))</f>
        <v/>
      </c>
      <c r="O2469" s="2">
        <f>IF(OR(F2469="",G2469=""),"",IF(G2469&lt;='RETRATO 2027'!$K$5,"CONCLUÍDA",IF(F2469&lt;='RETRATO 2027'!$K$5,"EM ANDAMENTO","A INICIAR")))</f>
        <v/>
      </c>
    </row>
    <row r="2470">
      <c r="M2470" s="2">
        <f>IF(C2470="","",IFERROR(INDEX($S$5:$S$304,MATCH(C2470,$R$5:$R$304,0))&amp;"","?"))</f>
        <v/>
      </c>
      <c r="N2470" s="2">
        <f>IF(E2470="","",IF(ISNUMBER(SEARCH("SUBSOLO",E2470)),IFERROR(-VALUE(LEFT(E2470,FIND("º",SUBSTITUTE(E2470,"°","º"))-1)),-1),IF(LEFT(E2470,6)="TÉRREO",0,IFERROR(VALUE(LEFT(E2470,FIND("º",SUBSTITUTE(E2470,"°","º"))-1)),""))))</f>
        <v/>
      </c>
      <c r="O2470" s="2">
        <f>IF(OR(F2470="",G2470=""),"",IF(G2470&lt;='RETRATO 2027'!$K$5,"CONCLUÍDA",IF(F2470&lt;='RETRATO 2027'!$K$5,"EM ANDAMENTO","A INICIAR")))</f>
        <v/>
      </c>
    </row>
    <row r="2471">
      <c r="M2471" s="2">
        <f>IF(C2471="","",IFERROR(INDEX($S$5:$S$304,MATCH(C2471,$R$5:$R$304,0))&amp;"","?"))</f>
        <v/>
      </c>
      <c r="N2471" s="2">
        <f>IF(E2471="","",IF(ISNUMBER(SEARCH("SUBSOLO",E2471)),IFERROR(-VALUE(LEFT(E2471,FIND("º",SUBSTITUTE(E2471,"°","º"))-1)),-1),IF(LEFT(E2471,6)="TÉRREO",0,IFERROR(VALUE(LEFT(E2471,FIND("º",SUBSTITUTE(E2471,"°","º"))-1)),""))))</f>
        <v/>
      </c>
      <c r="O2471" s="2">
        <f>IF(OR(F2471="",G2471=""),"",IF(G2471&lt;='RETRATO 2027'!$K$5,"CONCLUÍDA",IF(F2471&lt;='RETRATO 2027'!$K$5,"EM ANDAMENTO","A INICIAR")))</f>
        <v/>
      </c>
    </row>
    <row r="2472">
      <c r="M2472" s="2">
        <f>IF(C2472="","",IFERROR(INDEX($S$5:$S$304,MATCH(C2472,$R$5:$R$304,0))&amp;"","?"))</f>
        <v/>
      </c>
      <c r="N2472" s="2">
        <f>IF(E2472="","",IF(ISNUMBER(SEARCH("SUBSOLO",E2472)),IFERROR(-VALUE(LEFT(E2472,FIND("º",SUBSTITUTE(E2472,"°","º"))-1)),-1),IF(LEFT(E2472,6)="TÉRREO",0,IFERROR(VALUE(LEFT(E2472,FIND("º",SUBSTITUTE(E2472,"°","º"))-1)),""))))</f>
        <v/>
      </c>
      <c r="O2472" s="2">
        <f>IF(OR(F2472="",G2472=""),"",IF(G2472&lt;='RETRATO 2027'!$K$5,"CONCLUÍDA",IF(F2472&lt;='RETRATO 2027'!$K$5,"EM ANDAMENTO","A INICIAR")))</f>
        <v/>
      </c>
    </row>
    <row r="2473">
      <c r="M2473" s="2">
        <f>IF(C2473="","",IFERROR(INDEX($S$5:$S$304,MATCH(C2473,$R$5:$R$304,0))&amp;"","?"))</f>
        <v/>
      </c>
      <c r="N2473" s="2">
        <f>IF(E2473="","",IF(ISNUMBER(SEARCH("SUBSOLO",E2473)),IFERROR(-VALUE(LEFT(E2473,FIND("º",SUBSTITUTE(E2473,"°","º"))-1)),-1),IF(LEFT(E2473,6)="TÉRREO",0,IFERROR(VALUE(LEFT(E2473,FIND("º",SUBSTITUTE(E2473,"°","º"))-1)),""))))</f>
        <v/>
      </c>
      <c r="O2473" s="2">
        <f>IF(OR(F2473="",G2473=""),"",IF(G2473&lt;='RETRATO 2027'!$K$5,"CONCLUÍDA",IF(F2473&lt;='RETRATO 2027'!$K$5,"EM ANDAMENTO","A INICIAR")))</f>
        <v/>
      </c>
    </row>
    <row r="2474">
      <c r="M2474" s="2">
        <f>IF(C2474="","",IFERROR(INDEX($S$5:$S$304,MATCH(C2474,$R$5:$R$304,0))&amp;"","?"))</f>
        <v/>
      </c>
      <c r="N2474" s="2">
        <f>IF(E2474="","",IF(ISNUMBER(SEARCH("SUBSOLO",E2474)),IFERROR(-VALUE(LEFT(E2474,FIND("º",SUBSTITUTE(E2474,"°","º"))-1)),-1),IF(LEFT(E2474,6)="TÉRREO",0,IFERROR(VALUE(LEFT(E2474,FIND("º",SUBSTITUTE(E2474,"°","º"))-1)),""))))</f>
        <v/>
      </c>
      <c r="O2474" s="2">
        <f>IF(OR(F2474="",G2474=""),"",IF(G2474&lt;='RETRATO 2027'!$K$5,"CONCLUÍDA",IF(F2474&lt;='RETRATO 2027'!$K$5,"EM ANDAMENTO","A INICIAR")))</f>
        <v/>
      </c>
    </row>
    <row r="2475">
      <c r="M2475" s="2">
        <f>IF(C2475="","",IFERROR(INDEX($S$5:$S$304,MATCH(C2475,$R$5:$R$304,0))&amp;"","?"))</f>
        <v/>
      </c>
      <c r="N2475" s="2">
        <f>IF(E2475="","",IF(ISNUMBER(SEARCH("SUBSOLO",E2475)),IFERROR(-VALUE(LEFT(E2475,FIND("º",SUBSTITUTE(E2475,"°","º"))-1)),-1),IF(LEFT(E2475,6)="TÉRREO",0,IFERROR(VALUE(LEFT(E2475,FIND("º",SUBSTITUTE(E2475,"°","º"))-1)),""))))</f>
        <v/>
      </c>
      <c r="O2475" s="2">
        <f>IF(OR(F2475="",G2475=""),"",IF(G2475&lt;='RETRATO 2027'!$K$5,"CONCLUÍDA",IF(F2475&lt;='RETRATO 2027'!$K$5,"EM ANDAMENTO","A INICIAR")))</f>
        <v/>
      </c>
    </row>
    <row r="2476">
      <c r="M2476" s="2">
        <f>IF(C2476="","",IFERROR(INDEX($S$5:$S$304,MATCH(C2476,$R$5:$R$304,0))&amp;"","?"))</f>
        <v/>
      </c>
      <c r="N2476" s="2">
        <f>IF(E2476="","",IF(ISNUMBER(SEARCH("SUBSOLO",E2476)),IFERROR(-VALUE(LEFT(E2476,FIND("º",SUBSTITUTE(E2476,"°","º"))-1)),-1),IF(LEFT(E2476,6)="TÉRREO",0,IFERROR(VALUE(LEFT(E2476,FIND("º",SUBSTITUTE(E2476,"°","º"))-1)),""))))</f>
        <v/>
      </c>
      <c r="O2476" s="2">
        <f>IF(OR(F2476="",G2476=""),"",IF(G2476&lt;='RETRATO 2027'!$K$5,"CONCLUÍDA",IF(F2476&lt;='RETRATO 2027'!$K$5,"EM ANDAMENTO","A INICIAR")))</f>
        <v/>
      </c>
    </row>
    <row r="2477">
      <c r="M2477" s="2">
        <f>IF(C2477="","",IFERROR(INDEX($S$5:$S$304,MATCH(C2477,$R$5:$R$304,0))&amp;"","?"))</f>
        <v/>
      </c>
      <c r="N2477" s="2">
        <f>IF(E2477="","",IF(ISNUMBER(SEARCH("SUBSOLO",E2477)),IFERROR(-VALUE(LEFT(E2477,FIND("º",SUBSTITUTE(E2477,"°","º"))-1)),-1),IF(LEFT(E2477,6)="TÉRREO",0,IFERROR(VALUE(LEFT(E2477,FIND("º",SUBSTITUTE(E2477,"°","º"))-1)),""))))</f>
        <v/>
      </c>
      <c r="O2477" s="2">
        <f>IF(OR(F2477="",G2477=""),"",IF(G2477&lt;='RETRATO 2027'!$K$5,"CONCLUÍDA",IF(F2477&lt;='RETRATO 2027'!$K$5,"EM ANDAMENTO","A INICIAR")))</f>
        <v/>
      </c>
    </row>
    <row r="2478">
      <c r="M2478" s="2">
        <f>IF(C2478="","",IFERROR(INDEX($S$5:$S$304,MATCH(C2478,$R$5:$R$304,0))&amp;"","?"))</f>
        <v/>
      </c>
      <c r="N2478" s="2">
        <f>IF(E2478="","",IF(ISNUMBER(SEARCH("SUBSOLO",E2478)),IFERROR(-VALUE(LEFT(E2478,FIND("º",SUBSTITUTE(E2478,"°","º"))-1)),-1),IF(LEFT(E2478,6)="TÉRREO",0,IFERROR(VALUE(LEFT(E2478,FIND("º",SUBSTITUTE(E2478,"°","º"))-1)),""))))</f>
        <v/>
      </c>
      <c r="O2478" s="2">
        <f>IF(OR(F2478="",G2478=""),"",IF(G2478&lt;='RETRATO 2027'!$K$5,"CONCLUÍDA",IF(F2478&lt;='RETRATO 2027'!$K$5,"EM ANDAMENTO","A INICIAR")))</f>
        <v/>
      </c>
    </row>
    <row r="2479">
      <c r="M2479" s="2">
        <f>IF(C2479="","",IFERROR(INDEX($S$5:$S$304,MATCH(C2479,$R$5:$R$304,0))&amp;"","?"))</f>
        <v/>
      </c>
      <c r="N2479" s="2">
        <f>IF(E2479="","",IF(ISNUMBER(SEARCH("SUBSOLO",E2479)),IFERROR(-VALUE(LEFT(E2479,FIND("º",SUBSTITUTE(E2479,"°","º"))-1)),-1),IF(LEFT(E2479,6)="TÉRREO",0,IFERROR(VALUE(LEFT(E2479,FIND("º",SUBSTITUTE(E2479,"°","º"))-1)),""))))</f>
        <v/>
      </c>
      <c r="O2479" s="2">
        <f>IF(OR(F2479="",G2479=""),"",IF(G2479&lt;='RETRATO 2027'!$K$5,"CONCLUÍDA",IF(F2479&lt;='RETRATO 2027'!$K$5,"EM ANDAMENTO","A INICIAR")))</f>
        <v/>
      </c>
    </row>
    <row r="2480">
      <c r="M2480" s="2">
        <f>IF(C2480="","",IFERROR(INDEX($S$5:$S$304,MATCH(C2480,$R$5:$R$304,0))&amp;"","?"))</f>
        <v/>
      </c>
      <c r="N2480" s="2">
        <f>IF(E2480="","",IF(ISNUMBER(SEARCH("SUBSOLO",E2480)),IFERROR(-VALUE(LEFT(E2480,FIND("º",SUBSTITUTE(E2480,"°","º"))-1)),-1),IF(LEFT(E2480,6)="TÉRREO",0,IFERROR(VALUE(LEFT(E2480,FIND("º",SUBSTITUTE(E2480,"°","º"))-1)),""))))</f>
        <v/>
      </c>
      <c r="O2480" s="2">
        <f>IF(OR(F2480="",G2480=""),"",IF(G2480&lt;='RETRATO 2027'!$K$5,"CONCLUÍDA",IF(F2480&lt;='RETRATO 2027'!$K$5,"EM ANDAMENTO","A INICIAR")))</f>
        <v/>
      </c>
    </row>
    <row r="2481">
      <c r="M2481" s="2">
        <f>IF(C2481="","",IFERROR(INDEX($S$5:$S$304,MATCH(C2481,$R$5:$R$304,0))&amp;"","?"))</f>
        <v/>
      </c>
      <c r="N2481" s="2">
        <f>IF(E2481="","",IF(ISNUMBER(SEARCH("SUBSOLO",E2481)),IFERROR(-VALUE(LEFT(E2481,FIND("º",SUBSTITUTE(E2481,"°","º"))-1)),-1),IF(LEFT(E2481,6)="TÉRREO",0,IFERROR(VALUE(LEFT(E2481,FIND("º",SUBSTITUTE(E2481,"°","º"))-1)),""))))</f>
        <v/>
      </c>
      <c r="O2481" s="2">
        <f>IF(OR(F2481="",G2481=""),"",IF(G2481&lt;='RETRATO 2027'!$K$5,"CONCLUÍDA",IF(F2481&lt;='RETRATO 2027'!$K$5,"EM ANDAMENTO","A INICIAR")))</f>
        <v/>
      </c>
    </row>
    <row r="2482">
      <c r="M2482" s="2">
        <f>IF(C2482="","",IFERROR(INDEX($S$5:$S$304,MATCH(C2482,$R$5:$R$304,0))&amp;"","?"))</f>
        <v/>
      </c>
      <c r="N2482" s="2">
        <f>IF(E2482="","",IF(ISNUMBER(SEARCH("SUBSOLO",E2482)),IFERROR(-VALUE(LEFT(E2482,FIND("º",SUBSTITUTE(E2482,"°","º"))-1)),-1),IF(LEFT(E2482,6)="TÉRREO",0,IFERROR(VALUE(LEFT(E2482,FIND("º",SUBSTITUTE(E2482,"°","º"))-1)),""))))</f>
        <v/>
      </c>
      <c r="O2482" s="2">
        <f>IF(OR(F2482="",G2482=""),"",IF(G2482&lt;='RETRATO 2027'!$K$5,"CONCLUÍDA",IF(F2482&lt;='RETRATO 2027'!$K$5,"EM ANDAMENTO","A INICIAR")))</f>
        <v/>
      </c>
    </row>
    <row r="2483">
      <c r="M2483" s="2">
        <f>IF(C2483="","",IFERROR(INDEX($S$5:$S$304,MATCH(C2483,$R$5:$R$304,0))&amp;"","?"))</f>
        <v/>
      </c>
      <c r="N2483" s="2">
        <f>IF(E2483="","",IF(ISNUMBER(SEARCH("SUBSOLO",E2483)),IFERROR(-VALUE(LEFT(E2483,FIND("º",SUBSTITUTE(E2483,"°","º"))-1)),-1),IF(LEFT(E2483,6)="TÉRREO",0,IFERROR(VALUE(LEFT(E2483,FIND("º",SUBSTITUTE(E2483,"°","º"))-1)),""))))</f>
        <v/>
      </c>
      <c r="O2483" s="2">
        <f>IF(OR(F2483="",G2483=""),"",IF(G2483&lt;='RETRATO 2027'!$K$5,"CONCLUÍDA",IF(F2483&lt;='RETRATO 2027'!$K$5,"EM ANDAMENTO","A INICIAR")))</f>
        <v/>
      </c>
    </row>
    <row r="2484">
      <c r="M2484" s="2">
        <f>IF(C2484="","",IFERROR(INDEX($S$5:$S$304,MATCH(C2484,$R$5:$R$304,0))&amp;"","?"))</f>
        <v/>
      </c>
      <c r="N2484" s="2">
        <f>IF(E2484="","",IF(ISNUMBER(SEARCH("SUBSOLO",E2484)),IFERROR(-VALUE(LEFT(E2484,FIND("º",SUBSTITUTE(E2484,"°","º"))-1)),-1),IF(LEFT(E2484,6)="TÉRREO",0,IFERROR(VALUE(LEFT(E2484,FIND("º",SUBSTITUTE(E2484,"°","º"))-1)),""))))</f>
        <v/>
      </c>
      <c r="O2484" s="2">
        <f>IF(OR(F2484="",G2484=""),"",IF(G2484&lt;='RETRATO 2027'!$K$5,"CONCLUÍDA",IF(F2484&lt;='RETRATO 2027'!$K$5,"EM ANDAMENTO","A INICIAR")))</f>
        <v/>
      </c>
    </row>
    <row r="2485">
      <c r="M2485" s="2">
        <f>IF(C2485="","",IFERROR(INDEX($S$5:$S$304,MATCH(C2485,$R$5:$R$304,0))&amp;"","?"))</f>
        <v/>
      </c>
      <c r="N2485" s="2">
        <f>IF(E2485="","",IF(ISNUMBER(SEARCH("SUBSOLO",E2485)),IFERROR(-VALUE(LEFT(E2485,FIND("º",SUBSTITUTE(E2485,"°","º"))-1)),-1),IF(LEFT(E2485,6)="TÉRREO",0,IFERROR(VALUE(LEFT(E2485,FIND("º",SUBSTITUTE(E2485,"°","º"))-1)),""))))</f>
        <v/>
      </c>
      <c r="O2485" s="2">
        <f>IF(OR(F2485="",G2485=""),"",IF(G2485&lt;='RETRATO 2027'!$K$5,"CONCLUÍDA",IF(F2485&lt;='RETRATO 2027'!$K$5,"EM ANDAMENTO","A INICIAR")))</f>
        <v/>
      </c>
    </row>
    <row r="2486">
      <c r="M2486" s="2">
        <f>IF(C2486="","",IFERROR(INDEX($S$5:$S$304,MATCH(C2486,$R$5:$R$304,0))&amp;"","?"))</f>
        <v/>
      </c>
      <c r="N2486" s="2">
        <f>IF(E2486="","",IF(ISNUMBER(SEARCH("SUBSOLO",E2486)),IFERROR(-VALUE(LEFT(E2486,FIND("º",SUBSTITUTE(E2486,"°","º"))-1)),-1),IF(LEFT(E2486,6)="TÉRREO",0,IFERROR(VALUE(LEFT(E2486,FIND("º",SUBSTITUTE(E2486,"°","º"))-1)),""))))</f>
        <v/>
      </c>
      <c r="O2486" s="2">
        <f>IF(OR(F2486="",G2486=""),"",IF(G2486&lt;='RETRATO 2027'!$K$5,"CONCLUÍDA",IF(F2486&lt;='RETRATO 2027'!$K$5,"EM ANDAMENTO","A INICIAR")))</f>
        <v/>
      </c>
    </row>
    <row r="2487">
      <c r="M2487" s="2">
        <f>IF(C2487="","",IFERROR(INDEX($S$5:$S$304,MATCH(C2487,$R$5:$R$304,0))&amp;"","?"))</f>
        <v/>
      </c>
      <c r="N2487" s="2">
        <f>IF(E2487="","",IF(ISNUMBER(SEARCH("SUBSOLO",E2487)),IFERROR(-VALUE(LEFT(E2487,FIND("º",SUBSTITUTE(E2487,"°","º"))-1)),-1),IF(LEFT(E2487,6)="TÉRREO",0,IFERROR(VALUE(LEFT(E2487,FIND("º",SUBSTITUTE(E2487,"°","º"))-1)),""))))</f>
        <v/>
      </c>
      <c r="O2487" s="2">
        <f>IF(OR(F2487="",G2487=""),"",IF(G2487&lt;='RETRATO 2027'!$K$5,"CONCLUÍDA",IF(F2487&lt;='RETRATO 2027'!$K$5,"EM ANDAMENTO","A INICIAR")))</f>
        <v/>
      </c>
    </row>
    <row r="2488">
      <c r="M2488" s="2">
        <f>IF(C2488="","",IFERROR(INDEX($S$5:$S$304,MATCH(C2488,$R$5:$R$304,0))&amp;"","?"))</f>
        <v/>
      </c>
      <c r="N2488" s="2">
        <f>IF(E2488="","",IF(ISNUMBER(SEARCH("SUBSOLO",E2488)),IFERROR(-VALUE(LEFT(E2488,FIND("º",SUBSTITUTE(E2488,"°","º"))-1)),-1),IF(LEFT(E2488,6)="TÉRREO",0,IFERROR(VALUE(LEFT(E2488,FIND("º",SUBSTITUTE(E2488,"°","º"))-1)),""))))</f>
        <v/>
      </c>
      <c r="O2488" s="2">
        <f>IF(OR(F2488="",G2488=""),"",IF(G2488&lt;='RETRATO 2027'!$K$5,"CONCLUÍDA",IF(F2488&lt;='RETRATO 2027'!$K$5,"EM ANDAMENTO","A INICIAR")))</f>
        <v/>
      </c>
    </row>
    <row r="2489">
      <c r="M2489" s="2">
        <f>IF(C2489="","",IFERROR(INDEX($S$5:$S$304,MATCH(C2489,$R$5:$R$304,0))&amp;"","?"))</f>
        <v/>
      </c>
      <c r="N2489" s="2">
        <f>IF(E2489="","",IF(ISNUMBER(SEARCH("SUBSOLO",E2489)),IFERROR(-VALUE(LEFT(E2489,FIND("º",SUBSTITUTE(E2489,"°","º"))-1)),-1),IF(LEFT(E2489,6)="TÉRREO",0,IFERROR(VALUE(LEFT(E2489,FIND("º",SUBSTITUTE(E2489,"°","º"))-1)),""))))</f>
        <v/>
      </c>
      <c r="O2489" s="2">
        <f>IF(OR(F2489="",G2489=""),"",IF(G2489&lt;='RETRATO 2027'!$K$5,"CONCLUÍDA",IF(F2489&lt;='RETRATO 2027'!$K$5,"EM ANDAMENTO","A INICIAR")))</f>
        <v/>
      </c>
    </row>
    <row r="2490">
      <c r="M2490" s="2">
        <f>IF(C2490="","",IFERROR(INDEX($S$5:$S$304,MATCH(C2490,$R$5:$R$304,0))&amp;"","?"))</f>
        <v/>
      </c>
      <c r="N2490" s="2">
        <f>IF(E2490="","",IF(ISNUMBER(SEARCH("SUBSOLO",E2490)),IFERROR(-VALUE(LEFT(E2490,FIND("º",SUBSTITUTE(E2490,"°","º"))-1)),-1),IF(LEFT(E2490,6)="TÉRREO",0,IFERROR(VALUE(LEFT(E2490,FIND("º",SUBSTITUTE(E2490,"°","º"))-1)),""))))</f>
        <v/>
      </c>
      <c r="O2490" s="2">
        <f>IF(OR(F2490="",G2490=""),"",IF(G2490&lt;='RETRATO 2027'!$K$5,"CONCLUÍDA",IF(F2490&lt;='RETRATO 2027'!$K$5,"EM ANDAMENTO","A INICIAR")))</f>
        <v/>
      </c>
    </row>
    <row r="2491">
      <c r="M2491" s="2">
        <f>IF(C2491="","",IFERROR(INDEX($S$5:$S$304,MATCH(C2491,$R$5:$R$304,0))&amp;"","?"))</f>
        <v/>
      </c>
      <c r="N2491" s="2">
        <f>IF(E2491="","",IF(ISNUMBER(SEARCH("SUBSOLO",E2491)),IFERROR(-VALUE(LEFT(E2491,FIND("º",SUBSTITUTE(E2491,"°","º"))-1)),-1),IF(LEFT(E2491,6)="TÉRREO",0,IFERROR(VALUE(LEFT(E2491,FIND("º",SUBSTITUTE(E2491,"°","º"))-1)),""))))</f>
        <v/>
      </c>
      <c r="O2491" s="2">
        <f>IF(OR(F2491="",G2491=""),"",IF(G2491&lt;='RETRATO 2027'!$K$5,"CONCLUÍDA",IF(F2491&lt;='RETRATO 2027'!$K$5,"EM ANDAMENTO","A INICIAR")))</f>
        <v/>
      </c>
    </row>
    <row r="2492">
      <c r="M2492" s="2">
        <f>IF(C2492="","",IFERROR(INDEX($S$5:$S$304,MATCH(C2492,$R$5:$R$304,0))&amp;"","?"))</f>
        <v/>
      </c>
      <c r="N2492" s="2">
        <f>IF(E2492="","",IF(ISNUMBER(SEARCH("SUBSOLO",E2492)),IFERROR(-VALUE(LEFT(E2492,FIND("º",SUBSTITUTE(E2492,"°","º"))-1)),-1),IF(LEFT(E2492,6)="TÉRREO",0,IFERROR(VALUE(LEFT(E2492,FIND("º",SUBSTITUTE(E2492,"°","º"))-1)),""))))</f>
        <v/>
      </c>
      <c r="O2492" s="2">
        <f>IF(OR(F2492="",G2492=""),"",IF(G2492&lt;='RETRATO 2027'!$K$5,"CONCLUÍDA",IF(F2492&lt;='RETRATO 2027'!$K$5,"EM ANDAMENTO","A INICIAR")))</f>
        <v/>
      </c>
    </row>
    <row r="2493">
      <c r="M2493" s="2">
        <f>IF(C2493="","",IFERROR(INDEX($S$5:$S$304,MATCH(C2493,$R$5:$R$304,0))&amp;"","?"))</f>
        <v/>
      </c>
      <c r="N2493" s="2">
        <f>IF(E2493="","",IF(ISNUMBER(SEARCH("SUBSOLO",E2493)),IFERROR(-VALUE(LEFT(E2493,FIND("º",SUBSTITUTE(E2493,"°","º"))-1)),-1),IF(LEFT(E2493,6)="TÉRREO",0,IFERROR(VALUE(LEFT(E2493,FIND("º",SUBSTITUTE(E2493,"°","º"))-1)),""))))</f>
        <v/>
      </c>
      <c r="O2493" s="2">
        <f>IF(OR(F2493="",G2493=""),"",IF(G2493&lt;='RETRATO 2027'!$K$5,"CONCLUÍDA",IF(F2493&lt;='RETRATO 2027'!$K$5,"EM ANDAMENTO","A INICIAR")))</f>
        <v/>
      </c>
    </row>
    <row r="2494">
      <c r="M2494" s="2">
        <f>IF(C2494="","",IFERROR(INDEX($S$5:$S$304,MATCH(C2494,$R$5:$R$304,0))&amp;"","?"))</f>
        <v/>
      </c>
      <c r="N2494" s="2">
        <f>IF(E2494="","",IF(ISNUMBER(SEARCH("SUBSOLO",E2494)),IFERROR(-VALUE(LEFT(E2494,FIND("º",SUBSTITUTE(E2494,"°","º"))-1)),-1),IF(LEFT(E2494,6)="TÉRREO",0,IFERROR(VALUE(LEFT(E2494,FIND("º",SUBSTITUTE(E2494,"°","º"))-1)),""))))</f>
        <v/>
      </c>
      <c r="O2494" s="2">
        <f>IF(OR(F2494="",G2494=""),"",IF(G2494&lt;='RETRATO 2027'!$K$5,"CONCLUÍDA",IF(F2494&lt;='RETRATO 2027'!$K$5,"EM ANDAMENTO","A INICIAR")))</f>
        <v/>
      </c>
    </row>
    <row r="2495">
      <c r="M2495" s="2">
        <f>IF(C2495="","",IFERROR(INDEX($S$5:$S$304,MATCH(C2495,$R$5:$R$304,0))&amp;"","?"))</f>
        <v/>
      </c>
      <c r="N2495" s="2">
        <f>IF(E2495="","",IF(ISNUMBER(SEARCH("SUBSOLO",E2495)),IFERROR(-VALUE(LEFT(E2495,FIND("º",SUBSTITUTE(E2495,"°","º"))-1)),-1),IF(LEFT(E2495,6)="TÉRREO",0,IFERROR(VALUE(LEFT(E2495,FIND("º",SUBSTITUTE(E2495,"°","º"))-1)),""))))</f>
        <v/>
      </c>
      <c r="O2495" s="2">
        <f>IF(OR(F2495="",G2495=""),"",IF(G2495&lt;='RETRATO 2027'!$K$5,"CONCLUÍDA",IF(F2495&lt;='RETRATO 2027'!$K$5,"EM ANDAMENTO","A INICIAR")))</f>
        <v/>
      </c>
    </row>
    <row r="2496">
      <c r="M2496" s="2">
        <f>IF(C2496="","",IFERROR(INDEX($S$5:$S$304,MATCH(C2496,$R$5:$R$304,0))&amp;"","?"))</f>
        <v/>
      </c>
      <c r="N2496" s="2">
        <f>IF(E2496="","",IF(ISNUMBER(SEARCH("SUBSOLO",E2496)),IFERROR(-VALUE(LEFT(E2496,FIND("º",SUBSTITUTE(E2496,"°","º"))-1)),-1),IF(LEFT(E2496,6)="TÉRREO",0,IFERROR(VALUE(LEFT(E2496,FIND("º",SUBSTITUTE(E2496,"°","º"))-1)),""))))</f>
        <v/>
      </c>
      <c r="O2496" s="2">
        <f>IF(OR(F2496="",G2496=""),"",IF(G2496&lt;='RETRATO 2027'!$K$5,"CONCLUÍDA",IF(F2496&lt;='RETRATO 2027'!$K$5,"EM ANDAMENTO","A INICIAR")))</f>
        <v/>
      </c>
    </row>
    <row r="2497">
      <c r="M2497" s="2">
        <f>IF(C2497="","",IFERROR(INDEX($S$5:$S$304,MATCH(C2497,$R$5:$R$304,0))&amp;"","?"))</f>
        <v/>
      </c>
      <c r="N2497" s="2">
        <f>IF(E2497="","",IF(ISNUMBER(SEARCH("SUBSOLO",E2497)),IFERROR(-VALUE(LEFT(E2497,FIND("º",SUBSTITUTE(E2497,"°","º"))-1)),-1),IF(LEFT(E2497,6)="TÉRREO",0,IFERROR(VALUE(LEFT(E2497,FIND("º",SUBSTITUTE(E2497,"°","º"))-1)),""))))</f>
        <v/>
      </c>
      <c r="O2497" s="2">
        <f>IF(OR(F2497="",G2497=""),"",IF(G2497&lt;='RETRATO 2027'!$K$5,"CONCLUÍDA",IF(F2497&lt;='RETRATO 2027'!$K$5,"EM ANDAMENTO","A INICIAR")))</f>
        <v/>
      </c>
    </row>
    <row r="2498">
      <c r="M2498" s="2">
        <f>IF(C2498="","",IFERROR(INDEX($S$5:$S$304,MATCH(C2498,$R$5:$R$304,0))&amp;"","?"))</f>
        <v/>
      </c>
      <c r="N2498" s="2">
        <f>IF(E2498="","",IF(ISNUMBER(SEARCH("SUBSOLO",E2498)),IFERROR(-VALUE(LEFT(E2498,FIND("º",SUBSTITUTE(E2498,"°","º"))-1)),-1),IF(LEFT(E2498,6)="TÉRREO",0,IFERROR(VALUE(LEFT(E2498,FIND("º",SUBSTITUTE(E2498,"°","º"))-1)),""))))</f>
        <v/>
      </c>
      <c r="O2498" s="2">
        <f>IF(OR(F2498="",G2498=""),"",IF(G2498&lt;='RETRATO 2027'!$K$5,"CONCLUÍDA",IF(F2498&lt;='RETRATO 2027'!$K$5,"EM ANDAMENTO","A INICIAR")))</f>
        <v/>
      </c>
    </row>
    <row r="2499">
      <c r="M2499" s="2">
        <f>IF(C2499="","",IFERROR(INDEX($S$5:$S$304,MATCH(C2499,$R$5:$R$304,0))&amp;"","?"))</f>
        <v/>
      </c>
      <c r="N2499" s="2">
        <f>IF(E2499="","",IF(ISNUMBER(SEARCH("SUBSOLO",E2499)),IFERROR(-VALUE(LEFT(E2499,FIND("º",SUBSTITUTE(E2499,"°","º"))-1)),-1),IF(LEFT(E2499,6)="TÉRREO",0,IFERROR(VALUE(LEFT(E2499,FIND("º",SUBSTITUTE(E2499,"°","º"))-1)),""))))</f>
        <v/>
      </c>
      <c r="O2499" s="2">
        <f>IF(OR(F2499="",G2499=""),"",IF(G2499&lt;='RETRATO 2027'!$K$5,"CONCLUÍDA",IF(F2499&lt;='RETRATO 2027'!$K$5,"EM ANDAMENTO","A INICIAR")))</f>
        <v/>
      </c>
    </row>
    <row r="2500">
      <c r="M2500" s="2">
        <f>IF(C2500="","",IFERROR(INDEX($S$5:$S$304,MATCH(C2500,$R$5:$R$304,0))&amp;"","?"))</f>
        <v/>
      </c>
      <c r="N2500" s="2">
        <f>IF(E2500="","",IF(ISNUMBER(SEARCH("SUBSOLO",E2500)),IFERROR(-VALUE(LEFT(E2500,FIND("º",SUBSTITUTE(E2500,"°","º"))-1)),-1),IF(LEFT(E2500,6)="TÉRREO",0,IFERROR(VALUE(LEFT(E2500,FIND("º",SUBSTITUTE(E2500,"°","º"))-1)),""))))</f>
        <v/>
      </c>
      <c r="O2500" s="2">
        <f>IF(OR(F2500="",G2500=""),"",IF(G2500&lt;='RETRATO 2027'!$K$5,"CONCLUÍDA",IF(F2500&lt;='RETRATO 2027'!$K$5,"EM ANDAMENTO","A INICIAR")))</f>
        <v/>
      </c>
    </row>
    <row r="2501">
      <c r="M2501" s="2">
        <f>IF(C2501="","",IFERROR(INDEX($S$5:$S$304,MATCH(C2501,$R$5:$R$304,0))&amp;"","?"))</f>
        <v/>
      </c>
      <c r="N2501" s="2">
        <f>IF(E2501="","",IF(ISNUMBER(SEARCH("SUBSOLO",E2501)),IFERROR(-VALUE(LEFT(E2501,FIND("º",SUBSTITUTE(E2501,"°","º"))-1)),-1),IF(LEFT(E2501,6)="TÉRREO",0,IFERROR(VALUE(LEFT(E2501,FIND("º",SUBSTITUTE(E2501,"°","º"))-1)),""))))</f>
        <v/>
      </c>
      <c r="O2501" s="2">
        <f>IF(OR(F2501="",G2501=""),"",IF(G2501&lt;='RETRATO 2027'!$K$5,"CONCLUÍDA",IF(F2501&lt;='RETRATO 2027'!$K$5,"EM ANDAMENTO","A INICIAR")))</f>
        <v/>
      </c>
    </row>
    <row r="2502">
      <c r="M2502" s="2">
        <f>IF(C2502="","",IFERROR(INDEX($S$5:$S$304,MATCH(C2502,$R$5:$R$304,0))&amp;"","?"))</f>
        <v/>
      </c>
      <c r="N2502" s="2">
        <f>IF(E2502="","",IF(ISNUMBER(SEARCH("SUBSOLO",E2502)),IFERROR(-VALUE(LEFT(E2502,FIND("º",SUBSTITUTE(E2502,"°","º"))-1)),-1),IF(LEFT(E2502,6)="TÉRREO",0,IFERROR(VALUE(LEFT(E2502,FIND("º",SUBSTITUTE(E2502,"°","º"))-1)),""))))</f>
        <v/>
      </c>
      <c r="O2502" s="2">
        <f>IF(OR(F2502="",G2502=""),"",IF(G2502&lt;='RETRATO 2027'!$K$5,"CONCLUÍDA",IF(F2502&lt;='RETRATO 2027'!$K$5,"EM ANDAMENTO","A INICIAR")))</f>
        <v/>
      </c>
    </row>
    <row r="2503">
      <c r="M2503" s="2">
        <f>IF(C2503="","",IFERROR(INDEX($S$5:$S$304,MATCH(C2503,$R$5:$R$304,0))&amp;"","?"))</f>
        <v/>
      </c>
      <c r="N2503" s="2">
        <f>IF(E2503="","",IF(ISNUMBER(SEARCH("SUBSOLO",E2503)),IFERROR(-VALUE(LEFT(E2503,FIND("º",SUBSTITUTE(E2503,"°","º"))-1)),-1),IF(LEFT(E2503,6)="TÉRREO",0,IFERROR(VALUE(LEFT(E2503,FIND("º",SUBSTITUTE(E2503,"°","º"))-1)),""))))</f>
        <v/>
      </c>
      <c r="O2503" s="2">
        <f>IF(OR(F2503="",G2503=""),"",IF(G2503&lt;='RETRATO 2027'!$K$5,"CONCLUÍDA",IF(F2503&lt;='RETRATO 2027'!$K$5,"EM ANDAMENTO","A INICIAR")))</f>
        <v/>
      </c>
    </row>
    <row r="2504">
      <c r="M2504" s="2">
        <f>IF(C2504="","",IFERROR(INDEX($S$5:$S$304,MATCH(C2504,$R$5:$R$304,0))&amp;"","?"))</f>
        <v/>
      </c>
      <c r="N2504" s="2">
        <f>IF(E2504="","",IF(ISNUMBER(SEARCH("SUBSOLO",E2504)),IFERROR(-VALUE(LEFT(E2504,FIND("º",SUBSTITUTE(E2504,"°","º"))-1)),-1),IF(LEFT(E2504,6)="TÉRREO",0,IFERROR(VALUE(LEFT(E2504,FIND("º",SUBSTITUTE(E2504,"°","º"))-1)),""))))</f>
        <v/>
      </c>
      <c r="O2504" s="2">
        <f>IF(OR(F2504="",G2504=""),"",IF(G2504&lt;='RETRATO 2027'!$K$5,"CONCLUÍDA",IF(F2504&lt;='RETRATO 2027'!$K$5,"EM ANDAMENTO","A INICIAR")))</f>
        <v/>
      </c>
    </row>
    <row r="2505">
      <c r="M2505" s="2">
        <f>IF(C2505="","",IFERROR(INDEX($S$5:$S$304,MATCH(C2505,$R$5:$R$304,0))&amp;"","?"))</f>
        <v/>
      </c>
      <c r="N2505" s="2">
        <f>IF(E2505="","",IF(ISNUMBER(SEARCH("SUBSOLO",E2505)),IFERROR(-VALUE(LEFT(E2505,FIND("º",SUBSTITUTE(E2505,"°","º"))-1)),-1),IF(LEFT(E2505,6)="TÉRREO",0,IFERROR(VALUE(LEFT(E2505,FIND("º",SUBSTITUTE(E2505,"°","º"))-1)),""))))</f>
        <v/>
      </c>
      <c r="O2505" s="2">
        <f>IF(OR(F2505="",G2505=""),"",IF(G2505&lt;='RETRATO 2027'!$K$5,"CONCLUÍDA",IF(F2505&lt;='RETRATO 2027'!$K$5,"EM ANDAMENTO","A INICIAR")))</f>
        <v/>
      </c>
    </row>
    <row r="2506">
      <c r="M2506" s="2">
        <f>IF(C2506="","",IFERROR(INDEX($S$5:$S$304,MATCH(C2506,$R$5:$R$304,0))&amp;"","?"))</f>
        <v/>
      </c>
      <c r="N2506" s="2">
        <f>IF(E2506="","",IF(ISNUMBER(SEARCH("SUBSOLO",E2506)),IFERROR(-VALUE(LEFT(E2506,FIND("º",SUBSTITUTE(E2506,"°","º"))-1)),-1),IF(LEFT(E2506,6)="TÉRREO",0,IFERROR(VALUE(LEFT(E2506,FIND("º",SUBSTITUTE(E2506,"°","º"))-1)),""))))</f>
        <v/>
      </c>
      <c r="O2506" s="2">
        <f>IF(OR(F2506="",G2506=""),"",IF(G2506&lt;='RETRATO 2027'!$K$5,"CONCLUÍDA",IF(F2506&lt;='RETRATO 2027'!$K$5,"EM ANDAMENTO","A INICIAR")))</f>
        <v/>
      </c>
    </row>
    <row r="2507">
      <c r="M2507" s="2">
        <f>IF(C2507="","",IFERROR(INDEX($S$5:$S$304,MATCH(C2507,$R$5:$R$304,0))&amp;"","?"))</f>
        <v/>
      </c>
      <c r="N2507" s="2">
        <f>IF(E2507="","",IF(ISNUMBER(SEARCH("SUBSOLO",E2507)),IFERROR(-VALUE(LEFT(E2507,FIND("º",SUBSTITUTE(E2507,"°","º"))-1)),-1),IF(LEFT(E2507,6)="TÉRREO",0,IFERROR(VALUE(LEFT(E2507,FIND("º",SUBSTITUTE(E2507,"°","º"))-1)),""))))</f>
        <v/>
      </c>
      <c r="O2507" s="2">
        <f>IF(OR(F2507="",G2507=""),"",IF(G2507&lt;='RETRATO 2027'!$K$5,"CONCLUÍDA",IF(F2507&lt;='RETRATO 2027'!$K$5,"EM ANDAMENTO","A INICIAR")))</f>
        <v/>
      </c>
    </row>
    <row r="2508">
      <c r="M2508" s="2">
        <f>IF(C2508="","",IFERROR(INDEX($S$5:$S$304,MATCH(C2508,$R$5:$R$304,0))&amp;"","?"))</f>
        <v/>
      </c>
      <c r="N2508" s="2">
        <f>IF(E2508="","",IF(ISNUMBER(SEARCH("SUBSOLO",E2508)),IFERROR(-VALUE(LEFT(E2508,FIND("º",SUBSTITUTE(E2508,"°","º"))-1)),-1),IF(LEFT(E2508,6)="TÉRREO",0,IFERROR(VALUE(LEFT(E2508,FIND("º",SUBSTITUTE(E2508,"°","º"))-1)),""))))</f>
        <v/>
      </c>
      <c r="O2508" s="2">
        <f>IF(OR(F2508="",G2508=""),"",IF(G2508&lt;='RETRATO 2027'!$K$5,"CONCLUÍDA",IF(F2508&lt;='RETRATO 2027'!$K$5,"EM ANDAMENTO","A INICIAR")))</f>
        <v/>
      </c>
    </row>
    <row r="2509">
      <c r="M2509" s="2">
        <f>IF(C2509="","",IFERROR(INDEX($S$5:$S$304,MATCH(C2509,$R$5:$R$304,0))&amp;"","?"))</f>
        <v/>
      </c>
      <c r="N2509" s="2">
        <f>IF(E2509="","",IF(ISNUMBER(SEARCH("SUBSOLO",E2509)),IFERROR(-VALUE(LEFT(E2509,FIND("º",SUBSTITUTE(E2509,"°","º"))-1)),-1),IF(LEFT(E2509,6)="TÉRREO",0,IFERROR(VALUE(LEFT(E2509,FIND("º",SUBSTITUTE(E2509,"°","º"))-1)),""))))</f>
        <v/>
      </c>
      <c r="O2509" s="2">
        <f>IF(OR(F2509="",G2509=""),"",IF(G2509&lt;='RETRATO 2027'!$K$5,"CONCLUÍDA",IF(F2509&lt;='RETRATO 2027'!$K$5,"EM ANDAMENTO","A INICIAR")))</f>
        <v/>
      </c>
    </row>
    <row r="2510">
      <c r="M2510" s="2">
        <f>IF(C2510="","",IFERROR(INDEX($S$5:$S$304,MATCH(C2510,$R$5:$R$304,0))&amp;"","?"))</f>
        <v/>
      </c>
      <c r="N2510" s="2">
        <f>IF(E2510="","",IF(ISNUMBER(SEARCH("SUBSOLO",E2510)),IFERROR(-VALUE(LEFT(E2510,FIND("º",SUBSTITUTE(E2510,"°","º"))-1)),-1),IF(LEFT(E2510,6)="TÉRREO",0,IFERROR(VALUE(LEFT(E2510,FIND("º",SUBSTITUTE(E2510,"°","º"))-1)),""))))</f>
        <v/>
      </c>
      <c r="O2510" s="2">
        <f>IF(OR(F2510="",G2510=""),"",IF(G2510&lt;='RETRATO 2027'!$K$5,"CONCLUÍDA",IF(F2510&lt;='RETRATO 2027'!$K$5,"EM ANDAMENTO","A INICIAR")))</f>
        <v/>
      </c>
    </row>
    <row r="2511">
      <c r="M2511" s="2">
        <f>IF(C2511="","",IFERROR(INDEX($S$5:$S$304,MATCH(C2511,$R$5:$R$304,0))&amp;"","?"))</f>
        <v/>
      </c>
      <c r="N2511" s="2">
        <f>IF(E2511="","",IF(ISNUMBER(SEARCH("SUBSOLO",E2511)),IFERROR(-VALUE(LEFT(E2511,FIND("º",SUBSTITUTE(E2511,"°","º"))-1)),-1),IF(LEFT(E2511,6)="TÉRREO",0,IFERROR(VALUE(LEFT(E2511,FIND("º",SUBSTITUTE(E2511,"°","º"))-1)),""))))</f>
        <v/>
      </c>
      <c r="O2511" s="2">
        <f>IF(OR(F2511="",G2511=""),"",IF(G2511&lt;='RETRATO 2027'!$K$5,"CONCLUÍDA",IF(F2511&lt;='RETRATO 2027'!$K$5,"EM ANDAMENTO","A INICIAR")))</f>
        <v/>
      </c>
    </row>
    <row r="2512">
      <c r="M2512" s="2">
        <f>IF(C2512="","",IFERROR(INDEX($S$5:$S$304,MATCH(C2512,$R$5:$R$304,0))&amp;"","?"))</f>
        <v/>
      </c>
      <c r="N2512" s="2">
        <f>IF(E2512="","",IF(ISNUMBER(SEARCH("SUBSOLO",E2512)),IFERROR(-VALUE(LEFT(E2512,FIND("º",SUBSTITUTE(E2512,"°","º"))-1)),-1),IF(LEFT(E2512,6)="TÉRREO",0,IFERROR(VALUE(LEFT(E2512,FIND("º",SUBSTITUTE(E2512,"°","º"))-1)),""))))</f>
        <v/>
      </c>
      <c r="O2512" s="2">
        <f>IF(OR(F2512="",G2512=""),"",IF(G2512&lt;='RETRATO 2027'!$K$5,"CONCLUÍDA",IF(F2512&lt;='RETRATO 2027'!$K$5,"EM ANDAMENTO","A INICIAR")))</f>
        <v/>
      </c>
    </row>
    <row r="2513">
      <c r="M2513" s="2">
        <f>IF(C2513="","",IFERROR(INDEX($S$5:$S$304,MATCH(C2513,$R$5:$R$304,0))&amp;"","?"))</f>
        <v/>
      </c>
      <c r="N2513" s="2">
        <f>IF(E2513="","",IF(ISNUMBER(SEARCH("SUBSOLO",E2513)),IFERROR(-VALUE(LEFT(E2513,FIND("º",SUBSTITUTE(E2513,"°","º"))-1)),-1),IF(LEFT(E2513,6)="TÉRREO",0,IFERROR(VALUE(LEFT(E2513,FIND("º",SUBSTITUTE(E2513,"°","º"))-1)),""))))</f>
        <v/>
      </c>
      <c r="O2513" s="2">
        <f>IF(OR(F2513="",G2513=""),"",IF(G2513&lt;='RETRATO 2027'!$K$5,"CONCLUÍDA",IF(F2513&lt;='RETRATO 2027'!$K$5,"EM ANDAMENTO","A INICIAR")))</f>
        <v/>
      </c>
    </row>
    <row r="2514">
      <c r="M2514" s="2">
        <f>IF(C2514="","",IFERROR(INDEX($S$5:$S$304,MATCH(C2514,$R$5:$R$304,0))&amp;"","?"))</f>
        <v/>
      </c>
      <c r="N2514" s="2">
        <f>IF(E2514="","",IF(ISNUMBER(SEARCH("SUBSOLO",E2514)),IFERROR(-VALUE(LEFT(E2514,FIND("º",SUBSTITUTE(E2514,"°","º"))-1)),-1),IF(LEFT(E2514,6)="TÉRREO",0,IFERROR(VALUE(LEFT(E2514,FIND("º",SUBSTITUTE(E2514,"°","º"))-1)),""))))</f>
        <v/>
      </c>
      <c r="O2514" s="2">
        <f>IF(OR(F2514="",G2514=""),"",IF(G2514&lt;='RETRATO 2027'!$K$5,"CONCLUÍDA",IF(F2514&lt;='RETRATO 2027'!$K$5,"EM ANDAMENTO","A INICIAR")))</f>
        <v/>
      </c>
    </row>
    <row r="2515">
      <c r="M2515" s="2">
        <f>IF(C2515="","",IFERROR(INDEX($S$5:$S$304,MATCH(C2515,$R$5:$R$304,0))&amp;"","?"))</f>
        <v/>
      </c>
      <c r="N2515" s="2">
        <f>IF(E2515="","",IF(ISNUMBER(SEARCH("SUBSOLO",E2515)),IFERROR(-VALUE(LEFT(E2515,FIND("º",SUBSTITUTE(E2515,"°","º"))-1)),-1),IF(LEFT(E2515,6)="TÉRREO",0,IFERROR(VALUE(LEFT(E2515,FIND("º",SUBSTITUTE(E2515,"°","º"))-1)),""))))</f>
        <v/>
      </c>
      <c r="O2515" s="2">
        <f>IF(OR(F2515="",G2515=""),"",IF(G2515&lt;='RETRATO 2027'!$K$5,"CONCLUÍDA",IF(F2515&lt;='RETRATO 2027'!$K$5,"EM ANDAMENTO","A INICIAR")))</f>
        <v/>
      </c>
    </row>
    <row r="2516">
      <c r="M2516" s="2">
        <f>IF(C2516="","",IFERROR(INDEX($S$5:$S$304,MATCH(C2516,$R$5:$R$304,0))&amp;"","?"))</f>
        <v/>
      </c>
      <c r="N2516" s="2">
        <f>IF(E2516="","",IF(ISNUMBER(SEARCH("SUBSOLO",E2516)),IFERROR(-VALUE(LEFT(E2516,FIND("º",SUBSTITUTE(E2516,"°","º"))-1)),-1),IF(LEFT(E2516,6)="TÉRREO",0,IFERROR(VALUE(LEFT(E2516,FIND("º",SUBSTITUTE(E2516,"°","º"))-1)),""))))</f>
        <v/>
      </c>
      <c r="O2516" s="2">
        <f>IF(OR(F2516="",G2516=""),"",IF(G2516&lt;='RETRATO 2027'!$K$5,"CONCLUÍDA",IF(F2516&lt;='RETRATO 2027'!$K$5,"EM ANDAMENTO","A INICIAR")))</f>
        <v/>
      </c>
    </row>
    <row r="2517">
      <c r="M2517" s="2">
        <f>IF(C2517="","",IFERROR(INDEX($S$5:$S$304,MATCH(C2517,$R$5:$R$304,0))&amp;"","?"))</f>
        <v/>
      </c>
      <c r="N2517" s="2">
        <f>IF(E2517="","",IF(ISNUMBER(SEARCH("SUBSOLO",E2517)),IFERROR(-VALUE(LEFT(E2517,FIND("º",SUBSTITUTE(E2517,"°","º"))-1)),-1),IF(LEFT(E2517,6)="TÉRREO",0,IFERROR(VALUE(LEFT(E2517,FIND("º",SUBSTITUTE(E2517,"°","º"))-1)),""))))</f>
        <v/>
      </c>
      <c r="O2517" s="2">
        <f>IF(OR(F2517="",G2517=""),"",IF(G2517&lt;='RETRATO 2027'!$K$5,"CONCLUÍDA",IF(F2517&lt;='RETRATO 2027'!$K$5,"EM ANDAMENTO","A INICIAR")))</f>
        <v/>
      </c>
    </row>
    <row r="2518">
      <c r="M2518" s="2">
        <f>IF(C2518="","",IFERROR(INDEX($S$5:$S$304,MATCH(C2518,$R$5:$R$304,0))&amp;"","?"))</f>
        <v/>
      </c>
      <c r="N2518" s="2">
        <f>IF(E2518="","",IF(ISNUMBER(SEARCH("SUBSOLO",E2518)),IFERROR(-VALUE(LEFT(E2518,FIND("º",SUBSTITUTE(E2518,"°","º"))-1)),-1),IF(LEFT(E2518,6)="TÉRREO",0,IFERROR(VALUE(LEFT(E2518,FIND("º",SUBSTITUTE(E2518,"°","º"))-1)),""))))</f>
        <v/>
      </c>
      <c r="O2518" s="2">
        <f>IF(OR(F2518="",G2518=""),"",IF(G2518&lt;='RETRATO 2027'!$K$5,"CONCLUÍDA",IF(F2518&lt;='RETRATO 2027'!$K$5,"EM ANDAMENTO","A INICIAR")))</f>
        <v/>
      </c>
    </row>
    <row r="2519">
      <c r="M2519" s="2">
        <f>IF(C2519="","",IFERROR(INDEX($S$5:$S$304,MATCH(C2519,$R$5:$R$304,0))&amp;"","?"))</f>
        <v/>
      </c>
      <c r="N2519" s="2">
        <f>IF(E2519="","",IF(ISNUMBER(SEARCH("SUBSOLO",E2519)),IFERROR(-VALUE(LEFT(E2519,FIND("º",SUBSTITUTE(E2519,"°","º"))-1)),-1),IF(LEFT(E2519,6)="TÉRREO",0,IFERROR(VALUE(LEFT(E2519,FIND("º",SUBSTITUTE(E2519,"°","º"))-1)),""))))</f>
        <v/>
      </c>
      <c r="O2519" s="2">
        <f>IF(OR(F2519="",G2519=""),"",IF(G2519&lt;='RETRATO 2027'!$K$5,"CONCLUÍDA",IF(F2519&lt;='RETRATO 2027'!$K$5,"EM ANDAMENTO","A INICIAR")))</f>
        <v/>
      </c>
    </row>
    <row r="2520">
      <c r="M2520" s="2">
        <f>IF(C2520="","",IFERROR(INDEX($S$5:$S$304,MATCH(C2520,$R$5:$R$304,0))&amp;"","?"))</f>
        <v/>
      </c>
      <c r="N2520" s="2">
        <f>IF(E2520="","",IF(ISNUMBER(SEARCH("SUBSOLO",E2520)),IFERROR(-VALUE(LEFT(E2520,FIND("º",SUBSTITUTE(E2520,"°","º"))-1)),-1),IF(LEFT(E2520,6)="TÉRREO",0,IFERROR(VALUE(LEFT(E2520,FIND("º",SUBSTITUTE(E2520,"°","º"))-1)),""))))</f>
        <v/>
      </c>
      <c r="O2520" s="2">
        <f>IF(OR(F2520="",G2520=""),"",IF(G2520&lt;='RETRATO 2027'!$K$5,"CONCLUÍDA",IF(F2520&lt;='RETRATO 2027'!$K$5,"EM ANDAMENTO","A INICIAR")))</f>
        <v/>
      </c>
    </row>
    <row r="2521">
      <c r="M2521" s="2">
        <f>IF(C2521="","",IFERROR(INDEX($S$5:$S$304,MATCH(C2521,$R$5:$R$304,0))&amp;"","?"))</f>
        <v/>
      </c>
      <c r="N2521" s="2">
        <f>IF(E2521="","",IF(ISNUMBER(SEARCH("SUBSOLO",E2521)),IFERROR(-VALUE(LEFT(E2521,FIND("º",SUBSTITUTE(E2521,"°","º"))-1)),-1),IF(LEFT(E2521,6)="TÉRREO",0,IFERROR(VALUE(LEFT(E2521,FIND("º",SUBSTITUTE(E2521,"°","º"))-1)),""))))</f>
        <v/>
      </c>
      <c r="O2521" s="2">
        <f>IF(OR(F2521="",G2521=""),"",IF(G2521&lt;='RETRATO 2027'!$K$5,"CONCLUÍDA",IF(F2521&lt;='RETRATO 2027'!$K$5,"EM ANDAMENTO","A INICIAR")))</f>
        <v/>
      </c>
    </row>
    <row r="2522">
      <c r="M2522" s="2">
        <f>IF(C2522="","",IFERROR(INDEX($S$5:$S$304,MATCH(C2522,$R$5:$R$304,0))&amp;"","?"))</f>
        <v/>
      </c>
      <c r="N2522" s="2">
        <f>IF(E2522="","",IF(ISNUMBER(SEARCH("SUBSOLO",E2522)),IFERROR(-VALUE(LEFT(E2522,FIND("º",SUBSTITUTE(E2522,"°","º"))-1)),-1),IF(LEFT(E2522,6)="TÉRREO",0,IFERROR(VALUE(LEFT(E2522,FIND("º",SUBSTITUTE(E2522,"°","º"))-1)),""))))</f>
        <v/>
      </c>
      <c r="O2522" s="2">
        <f>IF(OR(F2522="",G2522=""),"",IF(G2522&lt;='RETRATO 2027'!$K$5,"CONCLUÍDA",IF(F2522&lt;='RETRATO 2027'!$K$5,"EM ANDAMENTO","A INICIAR")))</f>
        <v/>
      </c>
    </row>
    <row r="2523">
      <c r="M2523" s="2">
        <f>IF(C2523="","",IFERROR(INDEX($S$5:$S$304,MATCH(C2523,$R$5:$R$304,0))&amp;"","?"))</f>
        <v/>
      </c>
      <c r="N2523" s="2">
        <f>IF(E2523="","",IF(ISNUMBER(SEARCH("SUBSOLO",E2523)),IFERROR(-VALUE(LEFT(E2523,FIND("º",SUBSTITUTE(E2523,"°","º"))-1)),-1),IF(LEFT(E2523,6)="TÉRREO",0,IFERROR(VALUE(LEFT(E2523,FIND("º",SUBSTITUTE(E2523,"°","º"))-1)),""))))</f>
        <v/>
      </c>
      <c r="O2523" s="2">
        <f>IF(OR(F2523="",G2523=""),"",IF(G2523&lt;='RETRATO 2027'!$K$5,"CONCLUÍDA",IF(F2523&lt;='RETRATO 2027'!$K$5,"EM ANDAMENTO","A INICIAR")))</f>
        <v/>
      </c>
    </row>
    <row r="2524">
      <c r="M2524" s="2">
        <f>IF(C2524="","",IFERROR(INDEX($S$5:$S$304,MATCH(C2524,$R$5:$R$304,0))&amp;"","?"))</f>
        <v/>
      </c>
      <c r="N2524" s="2">
        <f>IF(E2524="","",IF(ISNUMBER(SEARCH("SUBSOLO",E2524)),IFERROR(-VALUE(LEFT(E2524,FIND("º",SUBSTITUTE(E2524,"°","º"))-1)),-1),IF(LEFT(E2524,6)="TÉRREO",0,IFERROR(VALUE(LEFT(E2524,FIND("º",SUBSTITUTE(E2524,"°","º"))-1)),""))))</f>
        <v/>
      </c>
      <c r="O2524" s="2">
        <f>IF(OR(F2524="",G2524=""),"",IF(G2524&lt;='RETRATO 2027'!$K$5,"CONCLUÍDA",IF(F2524&lt;='RETRATO 2027'!$K$5,"EM ANDAMENTO","A INICIAR")))</f>
        <v/>
      </c>
    </row>
    <row r="2525">
      <c r="M2525" s="2">
        <f>IF(C2525="","",IFERROR(INDEX($S$5:$S$304,MATCH(C2525,$R$5:$R$304,0))&amp;"","?"))</f>
        <v/>
      </c>
      <c r="N2525" s="2">
        <f>IF(E2525="","",IF(ISNUMBER(SEARCH("SUBSOLO",E2525)),IFERROR(-VALUE(LEFT(E2525,FIND("º",SUBSTITUTE(E2525,"°","º"))-1)),-1),IF(LEFT(E2525,6)="TÉRREO",0,IFERROR(VALUE(LEFT(E2525,FIND("º",SUBSTITUTE(E2525,"°","º"))-1)),""))))</f>
        <v/>
      </c>
      <c r="O2525" s="2">
        <f>IF(OR(F2525="",G2525=""),"",IF(G2525&lt;='RETRATO 2027'!$K$5,"CONCLUÍDA",IF(F2525&lt;='RETRATO 2027'!$K$5,"EM ANDAMENTO","A INICIAR")))</f>
        <v/>
      </c>
    </row>
    <row r="2526">
      <c r="M2526" s="2">
        <f>IF(C2526="","",IFERROR(INDEX($S$5:$S$304,MATCH(C2526,$R$5:$R$304,0))&amp;"","?"))</f>
        <v/>
      </c>
      <c r="N2526" s="2">
        <f>IF(E2526="","",IF(ISNUMBER(SEARCH("SUBSOLO",E2526)),IFERROR(-VALUE(LEFT(E2526,FIND("º",SUBSTITUTE(E2526,"°","º"))-1)),-1),IF(LEFT(E2526,6)="TÉRREO",0,IFERROR(VALUE(LEFT(E2526,FIND("º",SUBSTITUTE(E2526,"°","º"))-1)),""))))</f>
        <v/>
      </c>
      <c r="O2526" s="2">
        <f>IF(OR(F2526="",G2526=""),"",IF(G2526&lt;='RETRATO 2027'!$K$5,"CONCLUÍDA",IF(F2526&lt;='RETRATO 2027'!$K$5,"EM ANDAMENTO","A INICIAR")))</f>
        <v/>
      </c>
    </row>
    <row r="2527">
      <c r="M2527" s="2">
        <f>IF(C2527="","",IFERROR(INDEX($S$5:$S$304,MATCH(C2527,$R$5:$R$304,0))&amp;"","?"))</f>
        <v/>
      </c>
      <c r="N2527" s="2">
        <f>IF(E2527="","",IF(ISNUMBER(SEARCH("SUBSOLO",E2527)),IFERROR(-VALUE(LEFT(E2527,FIND("º",SUBSTITUTE(E2527,"°","º"))-1)),-1),IF(LEFT(E2527,6)="TÉRREO",0,IFERROR(VALUE(LEFT(E2527,FIND("º",SUBSTITUTE(E2527,"°","º"))-1)),""))))</f>
        <v/>
      </c>
      <c r="O2527" s="2">
        <f>IF(OR(F2527="",G2527=""),"",IF(G2527&lt;='RETRATO 2027'!$K$5,"CONCLUÍDA",IF(F2527&lt;='RETRATO 2027'!$K$5,"EM ANDAMENTO","A INICIAR")))</f>
        <v/>
      </c>
    </row>
    <row r="2528">
      <c r="M2528" s="2">
        <f>IF(C2528="","",IFERROR(INDEX($S$5:$S$304,MATCH(C2528,$R$5:$R$304,0))&amp;"","?"))</f>
        <v/>
      </c>
      <c r="N2528" s="2">
        <f>IF(E2528="","",IF(ISNUMBER(SEARCH("SUBSOLO",E2528)),IFERROR(-VALUE(LEFT(E2528,FIND("º",SUBSTITUTE(E2528,"°","º"))-1)),-1),IF(LEFT(E2528,6)="TÉRREO",0,IFERROR(VALUE(LEFT(E2528,FIND("º",SUBSTITUTE(E2528,"°","º"))-1)),""))))</f>
        <v/>
      </c>
      <c r="O2528" s="2">
        <f>IF(OR(F2528="",G2528=""),"",IF(G2528&lt;='RETRATO 2027'!$K$5,"CONCLUÍDA",IF(F2528&lt;='RETRATO 2027'!$K$5,"EM ANDAMENTO","A INICIAR")))</f>
        <v/>
      </c>
    </row>
    <row r="2529">
      <c r="M2529" s="2">
        <f>IF(C2529="","",IFERROR(INDEX($S$5:$S$304,MATCH(C2529,$R$5:$R$304,0))&amp;"","?"))</f>
        <v/>
      </c>
      <c r="N2529" s="2">
        <f>IF(E2529="","",IF(ISNUMBER(SEARCH("SUBSOLO",E2529)),IFERROR(-VALUE(LEFT(E2529,FIND("º",SUBSTITUTE(E2529,"°","º"))-1)),-1),IF(LEFT(E2529,6)="TÉRREO",0,IFERROR(VALUE(LEFT(E2529,FIND("º",SUBSTITUTE(E2529,"°","º"))-1)),""))))</f>
        <v/>
      </c>
      <c r="O2529" s="2">
        <f>IF(OR(F2529="",G2529=""),"",IF(G2529&lt;='RETRATO 2027'!$K$5,"CONCLUÍDA",IF(F2529&lt;='RETRATO 2027'!$K$5,"EM ANDAMENTO","A INICIAR")))</f>
        <v/>
      </c>
    </row>
    <row r="2530">
      <c r="M2530" s="2">
        <f>IF(C2530="","",IFERROR(INDEX($S$5:$S$304,MATCH(C2530,$R$5:$R$304,0))&amp;"","?"))</f>
        <v/>
      </c>
      <c r="N2530" s="2">
        <f>IF(E2530="","",IF(ISNUMBER(SEARCH("SUBSOLO",E2530)),IFERROR(-VALUE(LEFT(E2530,FIND("º",SUBSTITUTE(E2530,"°","º"))-1)),-1),IF(LEFT(E2530,6)="TÉRREO",0,IFERROR(VALUE(LEFT(E2530,FIND("º",SUBSTITUTE(E2530,"°","º"))-1)),""))))</f>
        <v/>
      </c>
      <c r="O2530" s="2">
        <f>IF(OR(F2530="",G2530=""),"",IF(G2530&lt;='RETRATO 2027'!$K$5,"CONCLUÍDA",IF(F2530&lt;='RETRATO 2027'!$K$5,"EM ANDAMENTO","A INICIAR")))</f>
        <v/>
      </c>
    </row>
    <row r="2531">
      <c r="M2531" s="2">
        <f>IF(C2531="","",IFERROR(INDEX($S$5:$S$304,MATCH(C2531,$R$5:$R$304,0))&amp;"","?"))</f>
        <v/>
      </c>
      <c r="N2531" s="2">
        <f>IF(E2531="","",IF(ISNUMBER(SEARCH("SUBSOLO",E2531)),IFERROR(-VALUE(LEFT(E2531,FIND("º",SUBSTITUTE(E2531,"°","º"))-1)),-1),IF(LEFT(E2531,6)="TÉRREO",0,IFERROR(VALUE(LEFT(E2531,FIND("º",SUBSTITUTE(E2531,"°","º"))-1)),""))))</f>
        <v/>
      </c>
      <c r="O2531" s="2">
        <f>IF(OR(F2531="",G2531=""),"",IF(G2531&lt;='RETRATO 2027'!$K$5,"CONCLUÍDA",IF(F2531&lt;='RETRATO 2027'!$K$5,"EM ANDAMENTO","A INICIAR")))</f>
        <v/>
      </c>
    </row>
    <row r="2532">
      <c r="M2532" s="2">
        <f>IF(C2532="","",IFERROR(INDEX($S$5:$S$304,MATCH(C2532,$R$5:$R$304,0))&amp;"","?"))</f>
        <v/>
      </c>
      <c r="N2532" s="2">
        <f>IF(E2532="","",IF(ISNUMBER(SEARCH("SUBSOLO",E2532)),IFERROR(-VALUE(LEFT(E2532,FIND("º",SUBSTITUTE(E2532,"°","º"))-1)),-1),IF(LEFT(E2532,6)="TÉRREO",0,IFERROR(VALUE(LEFT(E2532,FIND("º",SUBSTITUTE(E2532,"°","º"))-1)),""))))</f>
        <v/>
      </c>
      <c r="O2532" s="2">
        <f>IF(OR(F2532="",G2532=""),"",IF(G2532&lt;='RETRATO 2027'!$K$5,"CONCLUÍDA",IF(F2532&lt;='RETRATO 2027'!$K$5,"EM ANDAMENTO","A INICIAR")))</f>
        <v/>
      </c>
    </row>
    <row r="2533">
      <c r="M2533" s="2">
        <f>IF(C2533="","",IFERROR(INDEX($S$5:$S$304,MATCH(C2533,$R$5:$R$304,0))&amp;"","?"))</f>
        <v/>
      </c>
      <c r="N2533" s="2">
        <f>IF(E2533="","",IF(ISNUMBER(SEARCH("SUBSOLO",E2533)),IFERROR(-VALUE(LEFT(E2533,FIND("º",SUBSTITUTE(E2533,"°","º"))-1)),-1),IF(LEFT(E2533,6)="TÉRREO",0,IFERROR(VALUE(LEFT(E2533,FIND("º",SUBSTITUTE(E2533,"°","º"))-1)),""))))</f>
        <v/>
      </c>
      <c r="O2533" s="2">
        <f>IF(OR(F2533="",G2533=""),"",IF(G2533&lt;='RETRATO 2027'!$K$5,"CONCLUÍDA",IF(F2533&lt;='RETRATO 2027'!$K$5,"EM ANDAMENTO","A INICIAR")))</f>
        <v/>
      </c>
    </row>
    <row r="2534">
      <c r="M2534" s="2">
        <f>IF(C2534="","",IFERROR(INDEX($S$5:$S$304,MATCH(C2534,$R$5:$R$304,0))&amp;"","?"))</f>
        <v/>
      </c>
      <c r="N2534" s="2">
        <f>IF(E2534="","",IF(ISNUMBER(SEARCH("SUBSOLO",E2534)),IFERROR(-VALUE(LEFT(E2534,FIND("º",SUBSTITUTE(E2534,"°","º"))-1)),-1),IF(LEFT(E2534,6)="TÉRREO",0,IFERROR(VALUE(LEFT(E2534,FIND("º",SUBSTITUTE(E2534,"°","º"))-1)),""))))</f>
        <v/>
      </c>
      <c r="O2534" s="2">
        <f>IF(OR(F2534="",G2534=""),"",IF(G2534&lt;='RETRATO 2027'!$K$5,"CONCLUÍDA",IF(F2534&lt;='RETRATO 2027'!$K$5,"EM ANDAMENTO","A INICIAR")))</f>
        <v/>
      </c>
    </row>
    <row r="2535">
      <c r="M2535" s="2">
        <f>IF(C2535="","",IFERROR(INDEX($S$5:$S$304,MATCH(C2535,$R$5:$R$304,0))&amp;"","?"))</f>
        <v/>
      </c>
      <c r="N2535" s="2">
        <f>IF(E2535="","",IF(ISNUMBER(SEARCH("SUBSOLO",E2535)),IFERROR(-VALUE(LEFT(E2535,FIND("º",SUBSTITUTE(E2535,"°","º"))-1)),-1),IF(LEFT(E2535,6)="TÉRREO",0,IFERROR(VALUE(LEFT(E2535,FIND("º",SUBSTITUTE(E2535,"°","º"))-1)),""))))</f>
        <v/>
      </c>
      <c r="O2535" s="2">
        <f>IF(OR(F2535="",G2535=""),"",IF(G2535&lt;='RETRATO 2027'!$K$5,"CONCLUÍDA",IF(F2535&lt;='RETRATO 2027'!$K$5,"EM ANDAMENTO","A INICIAR")))</f>
        <v/>
      </c>
    </row>
    <row r="2536">
      <c r="M2536" s="2">
        <f>IF(C2536="","",IFERROR(INDEX($S$5:$S$304,MATCH(C2536,$R$5:$R$304,0))&amp;"","?"))</f>
        <v/>
      </c>
      <c r="N2536" s="2">
        <f>IF(E2536="","",IF(ISNUMBER(SEARCH("SUBSOLO",E2536)),IFERROR(-VALUE(LEFT(E2536,FIND("º",SUBSTITUTE(E2536,"°","º"))-1)),-1),IF(LEFT(E2536,6)="TÉRREO",0,IFERROR(VALUE(LEFT(E2536,FIND("º",SUBSTITUTE(E2536,"°","º"))-1)),""))))</f>
        <v/>
      </c>
      <c r="O2536" s="2">
        <f>IF(OR(F2536="",G2536=""),"",IF(G2536&lt;='RETRATO 2027'!$K$5,"CONCLUÍDA",IF(F2536&lt;='RETRATO 2027'!$K$5,"EM ANDAMENTO","A INICIAR")))</f>
        <v/>
      </c>
    </row>
    <row r="2537">
      <c r="M2537" s="2">
        <f>IF(C2537="","",IFERROR(INDEX($S$5:$S$304,MATCH(C2537,$R$5:$R$304,0))&amp;"","?"))</f>
        <v/>
      </c>
      <c r="N2537" s="2">
        <f>IF(E2537="","",IF(ISNUMBER(SEARCH("SUBSOLO",E2537)),IFERROR(-VALUE(LEFT(E2537,FIND("º",SUBSTITUTE(E2537,"°","º"))-1)),-1),IF(LEFT(E2537,6)="TÉRREO",0,IFERROR(VALUE(LEFT(E2537,FIND("º",SUBSTITUTE(E2537,"°","º"))-1)),""))))</f>
        <v/>
      </c>
      <c r="O2537" s="2">
        <f>IF(OR(F2537="",G2537=""),"",IF(G2537&lt;='RETRATO 2027'!$K$5,"CONCLUÍDA",IF(F2537&lt;='RETRATO 2027'!$K$5,"EM ANDAMENTO","A INICIAR")))</f>
        <v/>
      </c>
    </row>
    <row r="2538">
      <c r="M2538" s="2">
        <f>IF(C2538="","",IFERROR(INDEX($S$5:$S$304,MATCH(C2538,$R$5:$R$304,0))&amp;"","?"))</f>
        <v/>
      </c>
      <c r="N2538" s="2">
        <f>IF(E2538="","",IF(ISNUMBER(SEARCH("SUBSOLO",E2538)),IFERROR(-VALUE(LEFT(E2538,FIND("º",SUBSTITUTE(E2538,"°","º"))-1)),-1),IF(LEFT(E2538,6)="TÉRREO",0,IFERROR(VALUE(LEFT(E2538,FIND("º",SUBSTITUTE(E2538,"°","º"))-1)),""))))</f>
        <v/>
      </c>
      <c r="O2538" s="2">
        <f>IF(OR(F2538="",G2538=""),"",IF(G2538&lt;='RETRATO 2027'!$K$5,"CONCLUÍDA",IF(F2538&lt;='RETRATO 2027'!$K$5,"EM ANDAMENTO","A INICIAR")))</f>
        <v/>
      </c>
    </row>
    <row r="2539">
      <c r="M2539" s="2">
        <f>IF(C2539="","",IFERROR(INDEX($S$5:$S$304,MATCH(C2539,$R$5:$R$304,0))&amp;"","?"))</f>
        <v/>
      </c>
      <c r="N2539" s="2">
        <f>IF(E2539="","",IF(ISNUMBER(SEARCH("SUBSOLO",E2539)),IFERROR(-VALUE(LEFT(E2539,FIND("º",SUBSTITUTE(E2539,"°","º"))-1)),-1),IF(LEFT(E2539,6)="TÉRREO",0,IFERROR(VALUE(LEFT(E2539,FIND("º",SUBSTITUTE(E2539,"°","º"))-1)),""))))</f>
        <v/>
      </c>
      <c r="O2539" s="2">
        <f>IF(OR(F2539="",G2539=""),"",IF(G2539&lt;='RETRATO 2027'!$K$5,"CONCLUÍDA",IF(F2539&lt;='RETRATO 2027'!$K$5,"EM ANDAMENTO","A INICIAR")))</f>
        <v/>
      </c>
    </row>
    <row r="2540">
      <c r="M2540" s="2">
        <f>IF(C2540="","",IFERROR(INDEX($S$5:$S$304,MATCH(C2540,$R$5:$R$304,0))&amp;"","?"))</f>
        <v/>
      </c>
      <c r="N2540" s="2">
        <f>IF(E2540="","",IF(ISNUMBER(SEARCH("SUBSOLO",E2540)),IFERROR(-VALUE(LEFT(E2540,FIND("º",SUBSTITUTE(E2540,"°","º"))-1)),-1),IF(LEFT(E2540,6)="TÉRREO",0,IFERROR(VALUE(LEFT(E2540,FIND("º",SUBSTITUTE(E2540,"°","º"))-1)),""))))</f>
        <v/>
      </c>
      <c r="O2540" s="2">
        <f>IF(OR(F2540="",G2540=""),"",IF(G2540&lt;='RETRATO 2027'!$K$5,"CONCLUÍDA",IF(F2540&lt;='RETRATO 2027'!$K$5,"EM ANDAMENTO","A INICIAR")))</f>
        <v/>
      </c>
    </row>
    <row r="2541">
      <c r="M2541" s="2">
        <f>IF(C2541="","",IFERROR(INDEX($S$5:$S$304,MATCH(C2541,$R$5:$R$304,0))&amp;"","?"))</f>
        <v/>
      </c>
      <c r="N2541" s="2">
        <f>IF(E2541="","",IF(ISNUMBER(SEARCH("SUBSOLO",E2541)),IFERROR(-VALUE(LEFT(E2541,FIND("º",SUBSTITUTE(E2541,"°","º"))-1)),-1),IF(LEFT(E2541,6)="TÉRREO",0,IFERROR(VALUE(LEFT(E2541,FIND("º",SUBSTITUTE(E2541,"°","º"))-1)),""))))</f>
        <v/>
      </c>
      <c r="O2541" s="2">
        <f>IF(OR(F2541="",G2541=""),"",IF(G2541&lt;='RETRATO 2027'!$K$5,"CONCLUÍDA",IF(F2541&lt;='RETRATO 2027'!$K$5,"EM ANDAMENTO","A INICIAR")))</f>
        <v/>
      </c>
    </row>
    <row r="2542">
      <c r="M2542" s="2">
        <f>IF(C2542="","",IFERROR(INDEX($S$5:$S$304,MATCH(C2542,$R$5:$R$304,0))&amp;"","?"))</f>
        <v/>
      </c>
      <c r="N2542" s="2">
        <f>IF(E2542="","",IF(ISNUMBER(SEARCH("SUBSOLO",E2542)),IFERROR(-VALUE(LEFT(E2542,FIND("º",SUBSTITUTE(E2542,"°","º"))-1)),-1),IF(LEFT(E2542,6)="TÉRREO",0,IFERROR(VALUE(LEFT(E2542,FIND("º",SUBSTITUTE(E2542,"°","º"))-1)),""))))</f>
        <v/>
      </c>
      <c r="O2542" s="2">
        <f>IF(OR(F2542="",G2542=""),"",IF(G2542&lt;='RETRATO 2027'!$K$5,"CONCLUÍDA",IF(F2542&lt;='RETRATO 2027'!$K$5,"EM ANDAMENTO","A INICIAR")))</f>
        <v/>
      </c>
    </row>
    <row r="2543">
      <c r="M2543" s="2">
        <f>IF(C2543="","",IFERROR(INDEX($S$5:$S$304,MATCH(C2543,$R$5:$R$304,0))&amp;"","?"))</f>
        <v/>
      </c>
      <c r="N2543" s="2">
        <f>IF(E2543="","",IF(ISNUMBER(SEARCH("SUBSOLO",E2543)),IFERROR(-VALUE(LEFT(E2543,FIND("º",SUBSTITUTE(E2543,"°","º"))-1)),-1),IF(LEFT(E2543,6)="TÉRREO",0,IFERROR(VALUE(LEFT(E2543,FIND("º",SUBSTITUTE(E2543,"°","º"))-1)),""))))</f>
        <v/>
      </c>
      <c r="O2543" s="2">
        <f>IF(OR(F2543="",G2543=""),"",IF(G2543&lt;='RETRATO 2027'!$K$5,"CONCLUÍDA",IF(F2543&lt;='RETRATO 2027'!$K$5,"EM ANDAMENTO","A INICIAR")))</f>
        <v/>
      </c>
    </row>
    <row r="2544">
      <c r="M2544" s="2">
        <f>IF(C2544="","",IFERROR(INDEX($S$5:$S$304,MATCH(C2544,$R$5:$R$304,0))&amp;"","?"))</f>
        <v/>
      </c>
      <c r="N2544" s="2">
        <f>IF(E2544="","",IF(ISNUMBER(SEARCH("SUBSOLO",E2544)),IFERROR(-VALUE(LEFT(E2544,FIND("º",SUBSTITUTE(E2544,"°","º"))-1)),-1),IF(LEFT(E2544,6)="TÉRREO",0,IFERROR(VALUE(LEFT(E2544,FIND("º",SUBSTITUTE(E2544,"°","º"))-1)),""))))</f>
        <v/>
      </c>
      <c r="O2544" s="2">
        <f>IF(OR(F2544="",G2544=""),"",IF(G2544&lt;='RETRATO 2027'!$K$5,"CONCLUÍDA",IF(F2544&lt;='RETRATO 2027'!$K$5,"EM ANDAMENTO","A INICIAR")))</f>
        <v/>
      </c>
    </row>
    <row r="2545">
      <c r="M2545" s="2">
        <f>IF(C2545="","",IFERROR(INDEX($S$5:$S$304,MATCH(C2545,$R$5:$R$304,0))&amp;"","?"))</f>
        <v/>
      </c>
      <c r="N2545" s="2">
        <f>IF(E2545="","",IF(ISNUMBER(SEARCH("SUBSOLO",E2545)),IFERROR(-VALUE(LEFT(E2545,FIND("º",SUBSTITUTE(E2545,"°","º"))-1)),-1),IF(LEFT(E2545,6)="TÉRREO",0,IFERROR(VALUE(LEFT(E2545,FIND("º",SUBSTITUTE(E2545,"°","º"))-1)),""))))</f>
        <v/>
      </c>
      <c r="O2545" s="2">
        <f>IF(OR(F2545="",G2545=""),"",IF(G2545&lt;='RETRATO 2027'!$K$5,"CONCLUÍDA",IF(F2545&lt;='RETRATO 2027'!$K$5,"EM ANDAMENTO","A INICIAR")))</f>
        <v/>
      </c>
    </row>
    <row r="2546">
      <c r="M2546" s="2">
        <f>IF(C2546="","",IFERROR(INDEX($S$5:$S$304,MATCH(C2546,$R$5:$R$304,0))&amp;"","?"))</f>
        <v/>
      </c>
      <c r="N2546" s="2">
        <f>IF(E2546="","",IF(ISNUMBER(SEARCH("SUBSOLO",E2546)),IFERROR(-VALUE(LEFT(E2546,FIND("º",SUBSTITUTE(E2546,"°","º"))-1)),-1),IF(LEFT(E2546,6)="TÉRREO",0,IFERROR(VALUE(LEFT(E2546,FIND("º",SUBSTITUTE(E2546,"°","º"))-1)),""))))</f>
        <v/>
      </c>
      <c r="O2546" s="2">
        <f>IF(OR(F2546="",G2546=""),"",IF(G2546&lt;='RETRATO 2027'!$K$5,"CONCLUÍDA",IF(F2546&lt;='RETRATO 2027'!$K$5,"EM ANDAMENTO","A INICIAR")))</f>
        <v/>
      </c>
    </row>
    <row r="2547">
      <c r="M2547" s="2">
        <f>IF(C2547="","",IFERROR(INDEX($S$5:$S$304,MATCH(C2547,$R$5:$R$304,0))&amp;"","?"))</f>
        <v/>
      </c>
      <c r="N2547" s="2">
        <f>IF(E2547="","",IF(ISNUMBER(SEARCH("SUBSOLO",E2547)),IFERROR(-VALUE(LEFT(E2547,FIND("º",SUBSTITUTE(E2547,"°","º"))-1)),-1),IF(LEFT(E2547,6)="TÉRREO",0,IFERROR(VALUE(LEFT(E2547,FIND("º",SUBSTITUTE(E2547,"°","º"))-1)),""))))</f>
        <v/>
      </c>
      <c r="O2547" s="2">
        <f>IF(OR(F2547="",G2547=""),"",IF(G2547&lt;='RETRATO 2027'!$K$5,"CONCLUÍDA",IF(F2547&lt;='RETRATO 2027'!$K$5,"EM ANDAMENTO","A INICIAR")))</f>
        <v/>
      </c>
    </row>
    <row r="2548">
      <c r="M2548" s="2">
        <f>IF(C2548="","",IFERROR(INDEX($S$5:$S$304,MATCH(C2548,$R$5:$R$304,0))&amp;"","?"))</f>
        <v/>
      </c>
      <c r="N2548" s="2">
        <f>IF(E2548="","",IF(ISNUMBER(SEARCH("SUBSOLO",E2548)),IFERROR(-VALUE(LEFT(E2548,FIND("º",SUBSTITUTE(E2548,"°","º"))-1)),-1),IF(LEFT(E2548,6)="TÉRREO",0,IFERROR(VALUE(LEFT(E2548,FIND("º",SUBSTITUTE(E2548,"°","º"))-1)),""))))</f>
        <v/>
      </c>
      <c r="O2548" s="2">
        <f>IF(OR(F2548="",G2548=""),"",IF(G2548&lt;='RETRATO 2027'!$K$5,"CONCLUÍDA",IF(F2548&lt;='RETRATO 2027'!$K$5,"EM ANDAMENTO","A INICIAR")))</f>
        <v/>
      </c>
    </row>
    <row r="2549">
      <c r="M2549" s="2">
        <f>IF(C2549="","",IFERROR(INDEX($S$5:$S$304,MATCH(C2549,$R$5:$R$304,0))&amp;"","?"))</f>
        <v/>
      </c>
      <c r="N2549" s="2">
        <f>IF(E2549="","",IF(ISNUMBER(SEARCH("SUBSOLO",E2549)),IFERROR(-VALUE(LEFT(E2549,FIND("º",SUBSTITUTE(E2549,"°","º"))-1)),-1),IF(LEFT(E2549,6)="TÉRREO",0,IFERROR(VALUE(LEFT(E2549,FIND("º",SUBSTITUTE(E2549,"°","º"))-1)),""))))</f>
        <v/>
      </c>
      <c r="O2549" s="2">
        <f>IF(OR(F2549="",G2549=""),"",IF(G2549&lt;='RETRATO 2027'!$K$5,"CONCLUÍDA",IF(F2549&lt;='RETRATO 2027'!$K$5,"EM ANDAMENTO","A INICIAR")))</f>
        <v/>
      </c>
    </row>
    <row r="2550">
      <c r="M2550" s="2">
        <f>IF(C2550="","",IFERROR(INDEX($S$5:$S$304,MATCH(C2550,$R$5:$R$304,0))&amp;"","?"))</f>
        <v/>
      </c>
      <c r="N2550" s="2">
        <f>IF(E2550="","",IF(ISNUMBER(SEARCH("SUBSOLO",E2550)),IFERROR(-VALUE(LEFT(E2550,FIND("º",SUBSTITUTE(E2550,"°","º"))-1)),-1),IF(LEFT(E2550,6)="TÉRREO",0,IFERROR(VALUE(LEFT(E2550,FIND("º",SUBSTITUTE(E2550,"°","º"))-1)),""))))</f>
        <v/>
      </c>
      <c r="O2550" s="2">
        <f>IF(OR(F2550="",G2550=""),"",IF(G2550&lt;='RETRATO 2027'!$K$5,"CONCLUÍDA",IF(F2550&lt;='RETRATO 2027'!$K$5,"EM ANDAMENTO","A INICIAR")))</f>
        <v/>
      </c>
    </row>
    <row r="2551">
      <c r="M2551" s="2">
        <f>IF(C2551="","",IFERROR(INDEX($S$5:$S$304,MATCH(C2551,$R$5:$R$304,0))&amp;"","?"))</f>
        <v/>
      </c>
      <c r="N2551" s="2">
        <f>IF(E2551="","",IF(ISNUMBER(SEARCH("SUBSOLO",E2551)),IFERROR(-VALUE(LEFT(E2551,FIND("º",SUBSTITUTE(E2551,"°","º"))-1)),-1),IF(LEFT(E2551,6)="TÉRREO",0,IFERROR(VALUE(LEFT(E2551,FIND("º",SUBSTITUTE(E2551,"°","º"))-1)),""))))</f>
        <v/>
      </c>
      <c r="O2551" s="2">
        <f>IF(OR(F2551="",G2551=""),"",IF(G2551&lt;='RETRATO 2027'!$K$5,"CONCLUÍDA",IF(F2551&lt;='RETRATO 2027'!$K$5,"EM ANDAMENTO","A INICIAR")))</f>
        <v/>
      </c>
    </row>
    <row r="2552">
      <c r="M2552" s="2">
        <f>IF(C2552="","",IFERROR(INDEX($S$5:$S$304,MATCH(C2552,$R$5:$R$304,0))&amp;"","?"))</f>
        <v/>
      </c>
      <c r="N2552" s="2">
        <f>IF(E2552="","",IF(ISNUMBER(SEARCH("SUBSOLO",E2552)),IFERROR(-VALUE(LEFT(E2552,FIND("º",SUBSTITUTE(E2552,"°","º"))-1)),-1),IF(LEFT(E2552,6)="TÉRREO",0,IFERROR(VALUE(LEFT(E2552,FIND("º",SUBSTITUTE(E2552,"°","º"))-1)),""))))</f>
        <v/>
      </c>
      <c r="O2552" s="2">
        <f>IF(OR(F2552="",G2552=""),"",IF(G2552&lt;='RETRATO 2027'!$K$5,"CONCLUÍDA",IF(F2552&lt;='RETRATO 2027'!$K$5,"EM ANDAMENTO","A INICIAR")))</f>
        <v/>
      </c>
    </row>
    <row r="2553">
      <c r="M2553" s="2">
        <f>IF(C2553="","",IFERROR(INDEX($S$5:$S$304,MATCH(C2553,$R$5:$R$304,0))&amp;"","?"))</f>
        <v/>
      </c>
      <c r="N2553" s="2">
        <f>IF(E2553="","",IF(ISNUMBER(SEARCH("SUBSOLO",E2553)),IFERROR(-VALUE(LEFT(E2553,FIND("º",SUBSTITUTE(E2553,"°","º"))-1)),-1),IF(LEFT(E2553,6)="TÉRREO",0,IFERROR(VALUE(LEFT(E2553,FIND("º",SUBSTITUTE(E2553,"°","º"))-1)),""))))</f>
        <v/>
      </c>
      <c r="O2553" s="2">
        <f>IF(OR(F2553="",G2553=""),"",IF(G2553&lt;='RETRATO 2027'!$K$5,"CONCLUÍDA",IF(F2553&lt;='RETRATO 2027'!$K$5,"EM ANDAMENTO","A INICIAR")))</f>
        <v/>
      </c>
    </row>
    <row r="2554">
      <c r="M2554" s="2">
        <f>IF(C2554="","",IFERROR(INDEX($S$5:$S$304,MATCH(C2554,$R$5:$R$304,0))&amp;"","?"))</f>
        <v/>
      </c>
      <c r="N2554" s="2">
        <f>IF(E2554="","",IF(ISNUMBER(SEARCH("SUBSOLO",E2554)),IFERROR(-VALUE(LEFT(E2554,FIND("º",SUBSTITUTE(E2554,"°","º"))-1)),-1),IF(LEFT(E2554,6)="TÉRREO",0,IFERROR(VALUE(LEFT(E2554,FIND("º",SUBSTITUTE(E2554,"°","º"))-1)),""))))</f>
        <v/>
      </c>
      <c r="O2554" s="2">
        <f>IF(OR(F2554="",G2554=""),"",IF(G2554&lt;='RETRATO 2027'!$K$5,"CONCLUÍDA",IF(F2554&lt;='RETRATO 2027'!$K$5,"EM ANDAMENTO","A INICIAR")))</f>
        <v/>
      </c>
    </row>
    <row r="2555">
      <c r="M2555" s="2">
        <f>IF(C2555="","",IFERROR(INDEX($S$5:$S$304,MATCH(C2555,$R$5:$R$304,0))&amp;"","?"))</f>
        <v/>
      </c>
      <c r="N2555" s="2">
        <f>IF(E2555="","",IF(ISNUMBER(SEARCH("SUBSOLO",E2555)),IFERROR(-VALUE(LEFT(E2555,FIND("º",SUBSTITUTE(E2555,"°","º"))-1)),-1),IF(LEFT(E2555,6)="TÉRREO",0,IFERROR(VALUE(LEFT(E2555,FIND("º",SUBSTITUTE(E2555,"°","º"))-1)),""))))</f>
        <v/>
      </c>
      <c r="O2555" s="2">
        <f>IF(OR(F2555="",G2555=""),"",IF(G2555&lt;='RETRATO 2027'!$K$5,"CONCLUÍDA",IF(F2555&lt;='RETRATO 2027'!$K$5,"EM ANDAMENTO","A INICIAR")))</f>
        <v/>
      </c>
    </row>
    <row r="2556">
      <c r="M2556" s="2">
        <f>IF(C2556="","",IFERROR(INDEX($S$5:$S$304,MATCH(C2556,$R$5:$R$304,0))&amp;"","?"))</f>
        <v/>
      </c>
      <c r="N2556" s="2">
        <f>IF(E2556="","",IF(ISNUMBER(SEARCH("SUBSOLO",E2556)),IFERROR(-VALUE(LEFT(E2556,FIND("º",SUBSTITUTE(E2556,"°","º"))-1)),-1),IF(LEFT(E2556,6)="TÉRREO",0,IFERROR(VALUE(LEFT(E2556,FIND("º",SUBSTITUTE(E2556,"°","º"))-1)),""))))</f>
        <v/>
      </c>
      <c r="O2556" s="2">
        <f>IF(OR(F2556="",G2556=""),"",IF(G2556&lt;='RETRATO 2027'!$K$5,"CONCLUÍDA",IF(F2556&lt;='RETRATO 2027'!$K$5,"EM ANDAMENTO","A INICIAR")))</f>
        <v/>
      </c>
    </row>
    <row r="2557">
      <c r="M2557" s="2">
        <f>IF(C2557="","",IFERROR(INDEX($S$5:$S$304,MATCH(C2557,$R$5:$R$304,0))&amp;"","?"))</f>
        <v/>
      </c>
      <c r="N2557" s="2">
        <f>IF(E2557="","",IF(ISNUMBER(SEARCH("SUBSOLO",E2557)),IFERROR(-VALUE(LEFT(E2557,FIND("º",SUBSTITUTE(E2557,"°","º"))-1)),-1),IF(LEFT(E2557,6)="TÉRREO",0,IFERROR(VALUE(LEFT(E2557,FIND("º",SUBSTITUTE(E2557,"°","º"))-1)),""))))</f>
        <v/>
      </c>
      <c r="O2557" s="2">
        <f>IF(OR(F2557="",G2557=""),"",IF(G2557&lt;='RETRATO 2027'!$K$5,"CONCLUÍDA",IF(F2557&lt;='RETRATO 2027'!$K$5,"EM ANDAMENTO","A INICIAR")))</f>
        <v/>
      </c>
    </row>
    <row r="2558">
      <c r="M2558" s="2">
        <f>IF(C2558="","",IFERROR(INDEX($S$5:$S$304,MATCH(C2558,$R$5:$R$304,0))&amp;"","?"))</f>
        <v/>
      </c>
      <c r="N2558" s="2">
        <f>IF(E2558="","",IF(ISNUMBER(SEARCH("SUBSOLO",E2558)),IFERROR(-VALUE(LEFT(E2558,FIND("º",SUBSTITUTE(E2558,"°","º"))-1)),-1),IF(LEFT(E2558,6)="TÉRREO",0,IFERROR(VALUE(LEFT(E2558,FIND("º",SUBSTITUTE(E2558,"°","º"))-1)),""))))</f>
        <v/>
      </c>
      <c r="O2558" s="2">
        <f>IF(OR(F2558="",G2558=""),"",IF(G2558&lt;='RETRATO 2027'!$K$5,"CONCLUÍDA",IF(F2558&lt;='RETRATO 2027'!$K$5,"EM ANDAMENTO","A INICIAR")))</f>
        <v/>
      </c>
    </row>
    <row r="2559">
      <c r="M2559" s="2">
        <f>IF(C2559="","",IFERROR(INDEX($S$5:$S$304,MATCH(C2559,$R$5:$R$304,0))&amp;"","?"))</f>
        <v/>
      </c>
      <c r="N2559" s="2">
        <f>IF(E2559="","",IF(ISNUMBER(SEARCH("SUBSOLO",E2559)),IFERROR(-VALUE(LEFT(E2559,FIND("º",SUBSTITUTE(E2559,"°","º"))-1)),-1),IF(LEFT(E2559,6)="TÉRREO",0,IFERROR(VALUE(LEFT(E2559,FIND("º",SUBSTITUTE(E2559,"°","º"))-1)),""))))</f>
        <v/>
      </c>
      <c r="O2559" s="2">
        <f>IF(OR(F2559="",G2559=""),"",IF(G2559&lt;='RETRATO 2027'!$K$5,"CONCLUÍDA",IF(F2559&lt;='RETRATO 2027'!$K$5,"EM ANDAMENTO","A INICIAR")))</f>
        <v/>
      </c>
    </row>
    <row r="2560">
      <c r="M2560" s="2">
        <f>IF(C2560="","",IFERROR(INDEX($S$5:$S$304,MATCH(C2560,$R$5:$R$304,0))&amp;"","?"))</f>
        <v/>
      </c>
      <c r="N2560" s="2">
        <f>IF(E2560="","",IF(ISNUMBER(SEARCH("SUBSOLO",E2560)),IFERROR(-VALUE(LEFT(E2560,FIND("º",SUBSTITUTE(E2560,"°","º"))-1)),-1),IF(LEFT(E2560,6)="TÉRREO",0,IFERROR(VALUE(LEFT(E2560,FIND("º",SUBSTITUTE(E2560,"°","º"))-1)),""))))</f>
        <v/>
      </c>
      <c r="O2560" s="2">
        <f>IF(OR(F2560="",G2560=""),"",IF(G2560&lt;='RETRATO 2027'!$K$5,"CONCLUÍDA",IF(F2560&lt;='RETRATO 2027'!$K$5,"EM ANDAMENTO","A INICIAR")))</f>
        <v/>
      </c>
    </row>
    <row r="2561">
      <c r="M2561" s="2">
        <f>IF(C2561="","",IFERROR(INDEX($S$5:$S$304,MATCH(C2561,$R$5:$R$304,0))&amp;"","?"))</f>
        <v/>
      </c>
      <c r="N2561" s="2">
        <f>IF(E2561="","",IF(ISNUMBER(SEARCH("SUBSOLO",E2561)),IFERROR(-VALUE(LEFT(E2561,FIND("º",SUBSTITUTE(E2561,"°","º"))-1)),-1),IF(LEFT(E2561,6)="TÉRREO",0,IFERROR(VALUE(LEFT(E2561,FIND("º",SUBSTITUTE(E2561,"°","º"))-1)),""))))</f>
        <v/>
      </c>
      <c r="O2561" s="2">
        <f>IF(OR(F2561="",G2561=""),"",IF(G2561&lt;='RETRATO 2027'!$K$5,"CONCLUÍDA",IF(F2561&lt;='RETRATO 2027'!$K$5,"EM ANDAMENTO","A INICIAR")))</f>
        <v/>
      </c>
    </row>
    <row r="2562">
      <c r="M2562" s="2">
        <f>IF(C2562="","",IFERROR(INDEX($S$5:$S$304,MATCH(C2562,$R$5:$R$304,0))&amp;"","?"))</f>
        <v/>
      </c>
      <c r="N2562" s="2">
        <f>IF(E2562="","",IF(ISNUMBER(SEARCH("SUBSOLO",E2562)),IFERROR(-VALUE(LEFT(E2562,FIND("º",SUBSTITUTE(E2562,"°","º"))-1)),-1),IF(LEFT(E2562,6)="TÉRREO",0,IFERROR(VALUE(LEFT(E2562,FIND("º",SUBSTITUTE(E2562,"°","º"))-1)),""))))</f>
        <v/>
      </c>
      <c r="O2562" s="2">
        <f>IF(OR(F2562="",G2562=""),"",IF(G2562&lt;='RETRATO 2027'!$K$5,"CONCLUÍDA",IF(F2562&lt;='RETRATO 2027'!$K$5,"EM ANDAMENTO","A INICIAR")))</f>
        <v/>
      </c>
    </row>
    <row r="2563">
      <c r="M2563" s="2">
        <f>IF(C2563="","",IFERROR(INDEX($S$5:$S$304,MATCH(C2563,$R$5:$R$304,0))&amp;"","?"))</f>
        <v/>
      </c>
      <c r="N2563" s="2">
        <f>IF(E2563="","",IF(ISNUMBER(SEARCH("SUBSOLO",E2563)),IFERROR(-VALUE(LEFT(E2563,FIND("º",SUBSTITUTE(E2563,"°","º"))-1)),-1),IF(LEFT(E2563,6)="TÉRREO",0,IFERROR(VALUE(LEFT(E2563,FIND("º",SUBSTITUTE(E2563,"°","º"))-1)),""))))</f>
        <v/>
      </c>
      <c r="O2563" s="2">
        <f>IF(OR(F2563="",G2563=""),"",IF(G2563&lt;='RETRATO 2027'!$K$5,"CONCLUÍDA",IF(F2563&lt;='RETRATO 2027'!$K$5,"EM ANDAMENTO","A INICIAR")))</f>
        <v/>
      </c>
    </row>
    <row r="2564">
      <c r="M2564" s="2">
        <f>IF(C2564="","",IFERROR(INDEX($S$5:$S$304,MATCH(C2564,$R$5:$R$304,0))&amp;"","?"))</f>
        <v/>
      </c>
      <c r="N2564" s="2">
        <f>IF(E2564="","",IF(ISNUMBER(SEARCH("SUBSOLO",E2564)),IFERROR(-VALUE(LEFT(E2564,FIND("º",SUBSTITUTE(E2564,"°","º"))-1)),-1),IF(LEFT(E2564,6)="TÉRREO",0,IFERROR(VALUE(LEFT(E2564,FIND("º",SUBSTITUTE(E2564,"°","º"))-1)),""))))</f>
        <v/>
      </c>
      <c r="O2564" s="2">
        <f>IF(OR(F2564="",G2564=""),"",IF(G2564&lt;='RETRATO 2027'!$K$5,"CONCLUÍDA",IF(F2564&lt;='RETRATO 2027'!$K$5,"EM ANDAMENTO","A INICIAR")))</f>
        <v/>
      </c>
    </row>
    <row r="2565">
      <c r="M2565" s="2">
        <f>IF(C2565="","",IFERROR(INDEX($S$5:$S$304,MATCH(C2565,$R$5:$R$304,0))&amp;"","?"))</f>
        <v/>
      </c>
      <c r="N2565" s="2">
        <f>IF(E2565="","",IF(ISNUMBER(SEARCH("SUBSOLO",E2565)),IFERROR(-VALUE(LEFT(E2565,FIND("º",SUBSTITUTE(E2565,"°","º"))-1)),-1),IF(LEFT(E2565,6)="TÉRREO",0,IFERROR(VALUE(LEFT(E2565,FIND("º",SUBSTITUTE(E2565,"°","º"))-1)),""))))</f>
        <v/>
      </c>
      <c r="O2565" s="2">
        <f>IF(OR(F2565="",G2565=""),"",IF(G2565&lt;='RETRATO 2027'!$K$5,"CONCLUÍDA",IF(F2565&lt;='RETRATO 2027'!$K$5,"EM ANDAMENTO","A INICIAR")))</f>
        <v/>
      </c>
    </row>
    <row r="2566">
      <c r="M2566" s="2">
        <f>IF(C2566="","",IFERROR(INDEX($S$5:$S$304,MATCH(C2566,$R$5:$R$304,0))&amp;"","?"))</f>
        <v/>
      </c>
      <c r="N2566" s="2">
        <f>IF(E2566="","",IF(ISNUMBER(SEARCH("SUBSOLO",E2566)),IFERROR(-VALUE(LEFT(E2566,FIND("º",SUBSTITUTE(E2566,"°","º"))-1)),-1),IF(LEFT(E2566,6)="TÉRREO",0,IFERROR(VALUE(LEFT(E2566,FIND("º",SUBSTITUTE(E2566,"°","º"))-1)),""))))</f>
        <v/>
      </c>
      <c r="O2566" s="2">
        <f>IF(OR(F2566="",G2566=""),"",IF(G2566&lt;='RETRATO 2027'!$K$5,"CONCLUÍDA",IF(F2566&lt;='RETRATO 2027'!$K$5,"EM ANDAMENTO","A INICIAR")))</f>
        <v/>
      </c>
    </row>
    <row r="2567">
      <c r="M2567" s="2">
        <f>IF(C2567="","",IFERROR(INDEX($S$5:$S$304,MATCH(C2567,$R$5:$R$304,0))&amp;"","?"))</f>
        <v/>
      </c>
      <c r="N2567" s="2">
        <f>IF(E2567="","",IF(ISNUMBER(SEARCH("SUBSOLO",E2567)),IFERROR(-VALUE(LEFT(E2567,FIND("º",SUBSTITUTE(E2567,"°","º"))-1)),-1),IF(LEFT(E2567,6)="TÉRREO",0,IFERROR(VALUE(LEFT(E2567,FIND("º",SUBSTITUTE(E2567,"°","º"))-1)),""))))</f>
        <v/>
      </c>
      <c r="O2567" s="2">
        <f>IF(OR(F2567="",G2567=""),"",IF(G2567&lt;='RETRATO 2027'!$K$5,"CONCLUÍDA",IF(F2567&lt;='RETRATO 2027'!$K$5,"EM ANDAMENTO","A INICIAR")))</f>
        <v/>
      </c>
    </row>
    <row r="2568">
      <c r="M2568" s="2">
        <f>IF(C2568="","",IFERROR(INDEX($S$5:$S$304,MATCH(C2568,$R$5:$R$304,0))&amp;"","?"))</f>
        <v/>
      </c>
      <c r="N2568" s="2">
        <f>IF(E2568="","",IF(ISNUMBER(SEARCH("SUBSOLO",E2568)),IFERROR(-VALUE(LEFT(E2568,FIND("º",SUBSTITUTE(E2568,"°","º"))-1)),-1),IF(LEFT(E2568,6)="TÉRREO",0,IFERROR(VALUE(LEFT(E2568,FIND("º",SUBSTITUTE(E2568,"°","º"))-1)),""))))</f>
        <v/>
      </c>
      <c r="O2568" s="2">
        <f>IF(OR(F2568="",G2568=""),"",IF(G2568&lt;='RETRATO 2027'!$K$5,"CONCLUÍDA",IF(F2568&lt;='RETRATO 2027'!$K$5,"EM ANDAMENTO","A INICIAR")))</f>
        <v/>
      </c>
    </row>
    <row r="2569">
      <c r="M2569" s="2">
        <f>IF(C2569="","",IFERROR(INDEX($S$5:$S$304,MATCH(C2569,$R$5:$R$304,0))&amp;"","?"))</f>
        <v/>
      </c>
      <c r="N2569" s="2">
        <f>IF(E2569="","",IF(ISNUMBER(SEARCH("SUBSOLO",E2569)),IFERROR(-VALUE(LEFT(E2569,FIND("º",SUBSTITUTE(E2569,"°","º"))-1)),-1),IF(LEFT(E2569,6)="TÉRREO",0,IFERROR(VALUE(LEFT(E2569,FIND("º",SUBSTITUTE(E2569,"°","º"))-1)),""))))</f>
        <v/>
      </c>
      <c r="O2569" s="2">
        <f>IF(OR(F2569="",G2569=""),"",IF(G2569&lt;='RETRATO 2027'!$K$5,"CONCLUÍDA",IF(F2569&lt;='RETRATO 2027'!$K$5,"EM ANDAMENTO","A INICIAR")))</f>
        <v/>
      </c>
    </row>
    <row r="2570">
      <c r="M2570" s="2">
        <f>IF(C2570="","",IFERROR(INDEX($S$5:$S$304,MATCH(C2570,$R$5:$R$304,0))&amp;"","?"))</f>
        <v/>
      </c>
      <c r="N2570" s="2">
        <f>IF(E2570="","",IF(ISNUMBER(SEARCH("SUBSOLO",E2570)),IFERROR(-VALUE(LEFT(E2570,FIND("º",SUBSTITUTE(E2570,"°","º"))-1)),-1),IF(LEFT(E2570,6)="TÉRREO",0,IFERROR(VALUE(LEFT(E2570,FIND("º",SUBSTITUTE(E2570,"°","º"))-1)),""))))</f>
        <v/>
      </c>
      <c r="O2570" s="2">
        <f>IF(OR(F2570="",G2570=""),"",IF(G2570&lt;='RETRATO 2027'!$K$5,"CONCLUÍDA",IF(F2570&lt;='RETRATO 2027'!$K$5,"EM ANDAMENTO","A INICIAR")))</f>
        <v/>
      </c>
    </row>
    <row r="2571">
      <c r="M2571" s="2">
        <f>IF(C2571="","",IFERROR(INDEX($S$5:$S$304,MATCH(C2571,$R$5:$R$304,0))&amp;"","?"))</f>
        <v/>
      </c>
      <c r="N2571" s="2">
        <f>IF(E2571="","",IF(ISNUMBER(SEARCH("SUBSOLO",E2571)),IFERROR(-VALUE(LEFT(E2571,FIND("º",SUBSTITUTE(E2571,"°","º"))-1)),-1),IF(LEFT(E2571,6)="TÉRREO",0,IFERROR(VALUE(LEFT(E2571,FIND("º",SUBSTITUTE(E2571,"°","º"))-1)),""))))</f>
        <v/>
      </c>
      <c r="O2571" s="2">
        <f>IF(OR(F2571="",G2571=""),"",IF(G2571&lt;='RETRATO 2027'!$K$5,"CONCLUÍDA",IF(F2571&lt;='RETRATO 2027'!$K$5,"EM ANDAMENTO","A INICIAR")))</f>
        <v/>
      </c>
    </row>
    <row r="2572">
      <c r="M2572" s="2">
        <f>IF(C2572="","",IFERROR(INDEX($S$5:$S$304,MATCH(C2572,$R$5:$R$304,0))&amp;"","?"))</f>
        <v/>
      </c>
      <c r="N2572" s="2">
        <f>IF(E2572="","",IF(ISNUMBER(SEARCH("SUBSOLO",E2572)),IFERROR(-VALUE(LEFT(E2572,FIND("º",SUBSTITUTE(E2572,"°","º"))-1)),-1),IF(LEFT(E2572,6)="TÉRREO",0,IFERROR(VALUE(LEFT(E2572,FIND("º",SUBSTITUTE(E2572,"°","º"))-1)),""))))</f>
        <v/>
      </c>
      <c r="O2572" s="2">
        <f>IF(OR(F2572="",G2572=""),"",IF(G2572&lt;='RETRATO 2027'!$K$5,"CONCLUÍDA",IF(F2572&lt;='RETRATO 2027'!$K$5,"EM ANDAMENTO","A INICIAR")))</f>
        <v/>
      </c>
    </row>
    <row r="2573">
      <c r="M2573" s="2">
        <f>IF(C2573="","",IFERROR(INDEX($S$5:$S$304,MATCH(C2573,$R$5:$R$304,0))&amp;"","?"))</f>
        <v/>
      </c>
      <c r="N2573" s="2">
        <f>IF(E2573="","",IF(ISNUMBER(SEARCH("SUBSOLO",E2573)),IFERROR(-VALUE(LEFT(E2573,FIND("º",SUBSTITUTE(E2573,"°","º"))-1)),-1),IF(LEFT(E2573,6)="TÉRREO",0,IFERROR(VALUE(LEFT(E2573,FIND("º",SUBSTITUTE(E2573,"°","º"))-1)),""))))</f>
        <v/>
      </c>
      <c r="O2573" s="2">
        <f>IF(OR(F2573="",G2573=""),"",IF(G2573&lt;='RETRATO 2027'!$K$5,"CONCLUÍDA",IF(F2573&lt;='RETRATO 2027'!$K$5,"EM ANDAMENTO","A INICIAR")))</f>
        <v/>
      </c>
    </row>
    <row r="2574">
      <c r="M2574" s="2">
        <f>IF(C2574="","",IFERROR(INDEX($S$5:$S$304,MATCH(C2574,$R$5:$R$304,0))&amp;"","?"))</f>
        <v/>
      </c>
      <c r="N2574" s="2">
        <f>IF(E2574="","",IF(ISNUMBER(SEARCH("SUBSOLO",E2574)),IFERROR(-VALUE(LEFT(E2574,FIND("º",SUBSTITUTE(E2574,"°","º"))-1)),-1),IF(LEFT(E2574,6)="TÉRREO",0,IFERROR(VALUE(LEFT(E2574,FIND("º",SUBSTITUTE(E2574,"°","º"))-1)),""))))</f>
        <v/>
      </c>
      <c r="O2574" s="2">
        <f>IF(OR(F2574="",G2574=""),"",IF(G2574&lt;='RETRATO 2027'!$K$5,"CONCLUÍDA",IF(F2574&lt;='RETRATO 2027'!$K$5,"EM ANDAMENTO","A INICIAR")))</f>
        <v/>
      </c>
    </row>
    <row r="2575">
      <c r="M2575" s="2">
        <f>IF(C2575="","",IFERROR(INDEX($S$5:$S$304,MATCH(C2575,$R$5:$R$304,0))&amp;"","?"))</f>
        <v/>
      </c>
      <c r="N2575" s="2">
        <f>IF(E2575="","",IF(ISNUMBER(SEARCH("SUBSOLO",E2575)),IFERROR(-VALUE(LEFT(E2575,FIND("º",SUBSTITUTE(E2575,"°","º"))-1)),-1),IF(LEFT(E2575,6)="TÉRREO",0,IFERROR(VALUE(LEFT(E2575,FIND("º",SUBSTITUTE(E2575,"°","º"))-1)),""))))</f>
        <v/>
      </c>
      <c r="O2575" s="2">
        <f>IF(OR(F2575="",G2575=""),"",IF(G2575&lt;='RETRATO 2027'!$K$5,"CONCLUÍDA",IF(F2575&lt;='RETRATO 2027'!$K$5,"EM ANDAMENTO","A INICIAR")))</f>
        <v/>
      </c>
    </row>
    <row r="2576">
      <c r="M2576" s="2">
        <f>IF(C2576="","",IFERROR(INDEX($S$5:$S$304,MATCH(C2576,$R$5:$R$304,0))&amp;"","?"))</f>
        <v/>
      </c>
      <c r="N2576" s="2">
        <f>IF(E2576="","",IF(ISNUMBER(SEARCH("SUBSOLO",E2576)),IFERROR(-VALUE(LEFT(E2576,FIND("º",SUBSTITUTE(E2576,"°","º"))-1)),-1),IF(LEFT(E2576,6)="TÉRREO",0,IFERROR(VALUE(LEFT(E2576,FIND("º",SUBSTITUTE(E2576,"°","º"))-1)),""))))</f>
        <v/>
      </c>
      <c r="O2576" s="2">
        <f>IF(OR(F2576="",G2576=""),"",IF(G2576&lt;='RETRATO 2027'!$K$5,"CONCLUÍDA",IF(F2576&lt;='RETRATO 2027'!$K$5,"EM ANDAMENTO","A INICIAR")))</f>
        <v/>
      </c>
    </row>
    <row r="2577">
      <c r="M2577" s="2">
        <f>IF(C2577="","",IFERROR(INDEX($S$5:$S$304,MATCH(C2577,$R$5:$R$304,0))&amp;"","?"))</f>
        <v/>
      </c>
      <c r="N2577" s="2">
        <f>IF(E2577="","",IF(ISNUMBER(SEARCH("SUBSOLO",E2577)),IFERROR(-VALUE(LEFT(E2577,FIND("º",SUBSTITUTE(E2577,"°","º"))-1)),-1),IF(LEFT(E2577,6)="TÉRREO",0,IFERROR(VALUE(LEFT(E2577,FIND("º",SUBSTITUTE(E2577,"°","º"))-1)),""))))</f>
        <v/>
      </c>
      <c r="O2577" s="2">
        <f>IF(OR(F2577="",G2577=""),"",IF(G2577&lt;='RETRATO 2027'!$K$5,"CONCLUÍDA",IF(F2577&lt;='RETRATO 2027'!$K$5,"EM ANDAMENTO","A INICIAR")))</f>
        <v/>
      </c>
    </row>
    <row r="2578">
      <c r="M2578" s="2">
        <f>IF(C2578="","",IFERROR(INDEX($S$5:$S$304,MATCH(C2578,$R$5:$R$304,0))&amp;"","?"))</f>
        <v/>
      </c>
      <c r="N2578" s="2">
        <f>IF(E2578="","",IF(ISNUMBER(SEARCH("SUBSOLO",E2578)),IFERROR(-VALUE(LEFT(E2578,FIND("º",SUBSTITUTE(E2578,"°","º"))-1)),-1),IF(LEFT(E2578,6)="TÉRREO",0,IFERROR(VALUE(LEFT(E2578,FIND("º",SUBSTITUTE(E2578,"°","º"))-1)),""))))</f>
        <v/>
      </c>
      <c r="O2578" s="2">
        <f>IF(OR(F2578="",G2578=""),"",IF(G2578&lt;='RETRATO 2027'!$K$5,"CONCLUÍDA",IF(F2578&lt;='RETRATO 2027'!$K$5,"EM ANDAMENTO","A INICIAR")))</f>
        <v/>
      </c>
    </row>
    <row r="2579">
      <c r="M2579" s="2">
        <f>IF(C2579="","",IFERROR(INDEX($S$5:$S$304,MATCH(C2579,$R$5:$R$304,0))&amp;"","?"))</f>
        <v/>
      </c>
      <c r="N2579" s="2">
        <f>IF(E2579="","",IF(ISNUMBER(SEARCH("SUBSOLO",E2579)),IFERROR(-VALUE(LEFT(E2579,FIND("º",SUBSTITUTE(E2579,"°","º"))-1)),-1),IF(LEFT(E2579,6)="TÉRREO",0,IFERROR(VALUE(LEFT(E2579,FIND("º",SUBSTITUTE(E2579,"°","º"))-1)),""))))</f>
        <v/>
      </c>
      <c r="O2579" s="2">
        <f>IF(OR(F2579="",G2579=""),"",IF(G2579&lt;='RETRATO 2027'!$K$5,"CONCLUÍDA",IF(F2579&lt;='RETRATO 2027'!$K$5,"EM ANDAMENTO","A INICIAR")))</f>
        <v/>
      </c>
    </row>
    <row r="2580">
      <c r="M2580" s="2">
        <f>IF(C2580="","",IFERROR(INDEX($S$5:$S$304,MATCH(C2580,$R$5:$R$304,0))&amp;"","?"))</f>
        <v/>
      </c>
      <c r="N2580" s="2">
        <f>IF(E2580="","",IF(ISNUMBER(SEARCH("SUBSOLO",E2580)),IFERROR(-VALUE(LEFT(E2580,FIND("º",SUBSTITUTE(E2580,"°","º"))-1)),-1),IF(LEFT(E2580,6)="TÉRREO",0,IFERROR(VALUE(LEFT(E2580,FIND("º",SUBSTITUTE(E2580,"°","º"))-1)),""))))</f>
        <v/>
      </c>
      <c r="O2580" s="2">
        <f>IF(OR(F2580="",G2580=""),"",IF(G2580&lt;='RETRATO 2027'!$K$5,"CONCLUÍDA",IF(F2580&lt;='RETRATO 2027'!$K$5,"EM ANDAMENTO","A INICIAR")))</f>
        <v/>
      </c>
    </row>
    <row r="2581">
      <c r="M2581" s="2">
        <f>IF(C2581="","",IFERROR(INDEX($S$5:$S$304,MATCH(C2581,$R$5:$R$304,0))&amp;"","?"))</f>
        <v/>
      </c>
      <c r="N2581" s="2">
        <f>IF(E2581="","",IF(ISNUMBER(SEARCH("SUBSOLO",E2581)),IFERROR(-VALUE(LEFT(E2581,FIND("º",SUBSTITUTE(E2581,"°","º"))-1)),-1),IF(LEFT(E2581,6)="TÉRREO",0,IFERROR(VALUE(LEFT(E2581,FIND("º",SUBSTITUTE(E2581,"°","º"))-1)),""))))</f>
        <v/>
      </c>
      <c r="O2581" s="2">
        <f>IF(OR(F2581="",G2581=""),"",IF(G2581&lt;='RETRATO 2027'!$K$5,"CONCLUÍDA",IF(F2581&lt;='RETRATO 2027'!$K$5,"EM ANDAMENTO","A INICIAR")))</f>
        <v/>
      </c>
    </row>
    <row r="2582">
      <c r="M2582" s="2">
        <f>IF(C2582="","",IFERROR(INDEX($S$5:$S$304,MATCH(C2582,$R$5:$R$304,0))&amp;"","?"))</f>
        <v/>
      </c>
      <c r="N2582" s="2">
        <f>IF(E2582="","",IF(ISNUMBER(SEARCH("SUBSOLO",E2582)),IFERROR(-VALUE(LEFT(E2582,FIND("º",SUBSTITUTE(E2582,"°","º"))-1)),-1),IF(LEFT(E2582,6)="TÉRREO",0,IFERROR(VALUE(LEFT(E2582,FIND("º",SUBSTITUTE(E2582,"°","º"))-1)),""))))</f>
        <v/>
      </c>
      <c r="O2582" s="2">
        <f>IF(OR(F2582="",G2582=""),"",IF(G2582&lt;='RETRATO 2027'!$K$5,"CONCLUÍDA",IF(F2582&lt;='RETRATO 2027'!$K$5,"EM ANDAMENTO","A INICIAR")))</f>
        <v/>
      </c>
    </row>
    <row r="2583">
      <c r="M2583" s="2">
        <f>IF(C2583="","",IFERROR(INDEX($S$5:$S$304,MATCH(C2583,$R$5:$R$304,0))&amp;"","?"))</f>
        <v/>
      </c>
      <c r="N2583" s="2">
        <f>IF(E2583="","",IF(ISNUMBER(SEARCH("SUBSOLO",E2583)),IFERROR(-VALUE(LEFT(E2583,FIND("º",SUBSTITUTE(E2583,"°","º"))-1)),-1),IF(LEFT(E2583,6)="TÉRREO",0,IFERROR(VALUE(LEFT(E2583,FIND("º",SUBSTITUTE(E2583,"°","º"))-1)),""))))</f>
        <v/>
      </c>
      <c r="O2583" s="2">
        <f>IF(OR(F2583="",G2583=""),"",IF(G2583&lt;='RETRATO 2027'!$K$5,"CONCLUÍDA",IF(F2583&lt;='RETRATO 2027'!$K$5,"EM ANDAMENTO","A INICIAR")))</f>
        <v/>
      </c>
    </row>
    <row r="2584">
      <c r="M2584" s="2">
        <f>IF(C2584="","",IFERROR(INDEX($S$5:$S$304,MATCH(C2584,$R$5:$R$304,0))&amp;"","?"))</f>
        <v/>
      </c>
      <c r="N2584" s="2">
        <f>IF(E2584="","",IF(ISNUMBER(SEARCH("SUBSOLO",E2584)),IFERROR(-VALUE(LEFT(E2584,FIND("º",SUBSTITUTE(E2584,"°","º"))-1)),-1),IF(LEFT(E2584,6)="TÉRREO",0,IFERROR(VALUE(LEFT(E2584,FIND("º",SUBSTITUTE(E2584,"°","º"))-1)),""))))</f>
        <v/>
      </c>
      <c r="O2584" s="2">
        <f>IF(OR(F2584="",G2584=""),"",IF(G2584&lt;='RETRATO 2027'!$K$5,"CONCLUÍDA",IF(F2584&lt;='RETRATO 2027'!$K$5,"EM ANDAMENTO","A INICIAR")))</f>
        <v/>
      </c>
    </row>
    <row r="2585">
      <c r="M2585" s="2">
        <f>IF(C2585="","",IFERROR(INDEX($S$5:$S$304,MATCH(C2585,$R$5:$R$304,0))&amp;"","?"))</f>
        <v/>
      </c>
      <c r="N2585" s="2">
        <f>IF(E2585="","",IF(ISNUMBER(SEARCH("SUBSOLO",E2585)),IFERROR(-VALUE(LEFT(E2585,FIND("º",SUBSTITUTE(E2585,"°","º"))-1)),-1),IF(LEFT(E2585,6)="TÉRREO",0,IFERROR(VALUE(LEFT(E2585,FIND("º",SUBSTITUTE(E2585,"°","º"))-1)),""))))</f>
        <v/>
      </c>
      <c r="O2585" s="2">
        <f>IF(OR(F2585="",G2585=""),"",IF(G2585&lt;='RETRATO 2027'!$K$5,"CONCLUÍDA",IF(F2585&lt;='RETRATO 2027'!$K$5,"EM ANDAMENTO","A INICIAR")))</f>
        <v/>
      </c>
    </row>
    <row r="2586">
      <c r="M2586" s="2">
        <f>IF(C2586="","",IFERROR(INDEX($S$5:$S$304,MATCH(C2586,$R$5:$R$304,0))&amp;"","?"))</f>
        <v/>
      </c>
      <c r="N2586" s="2">
        <f>IF(E2586="","",IF(ISNUMBER(SEARCH("SUBSOLO",E2586)),IFERROR(-VALUE(LEFT(E2586,FIND("º",SUBSTITUTE(E2586,"°","º"))-1)),-1),IF(LEFT(E2586,6)="TÉRREO",0,IFERROR(VALUE(LEFT(E2586,FIND("º",SUBSTITUTE(E2586,"°","º"))-1)),""))))</f>
        <v/>
      </c>
      <c r="O2586" s="2">
        <f>IF(OR(F2586="",G2586=""),"",IF(G2586&lt;='RETRATO 2027'!$K$5,"CONCLUÍDA",IF(F2586&lt;='RETRATO 2027'!$K$5,"EM ANDAMENTO","A INICIAR")))</f>
        <v/>
      </c>
    </row>
    <row r="2587">
      <c r="M2587" s="2">
        <f>IF(C2587="","",IFERROR(INDEX($S$5:$S$304,MATCH(C2587,$R$5:$R$304,0))&amp;"","?"))</f>
        <v/>
      </c>
      <c r="N2587" s="2">
        <f>IF(E2587="","",IF(ISNUMBER(SEARCH("SUBSOLO",E2587)),IFERROR(-VALUE(LEFT(E2587,FIND("º",SUBSTITUTE(E2587,"°","º"))-1)),-1),IF(LEFT(E2587,6)="TÉRREO",0,IFERROR(VALUE(LEFT(E2587,FIND("º",SUBSTITUTE(E2587,"°","º"))-1)),""))))</f>
        <v/>
      </c>
      <c r="O2587" s="2">
        <f>IF(OR(F2587="",G2587=""),"",IF(G2587&lt;='RETRATO 2027'!$K$5,"CONCLUÍDA",IF(F2587&lt;='RETRATO 2027'!$K$5,"EM ANDAMENTO","A INICIAR")))</f>
        <v/>
      </c>
    </row>
    <row r="2588">
      <c r="M2588" s="2">
        <f>IF(C2588="","",IFERROR(INDEX($S$5:$S$304,MATCH(C2588,$R$5:$R$304,0))&amp;"","?"))</f>
        <v/>
      </c>
      <c r="N2588" s="2">
        <f>IF(E2588="","",IF(ISNUMBER(SEARCH("SUBSOLO",E2588)),IFERROR(-VALUE(LEFT(E2588,FIND("º",SUBSTITUTE(E2588,"°","º"))-1)),-1),IF(LEFT(E2588,6)="TÉRREO",0,IFERROR(VALUE(LEFT(E2588,FIND("º",SUBSTITUTE(E2588,"°","º"))-1)),""))))</f>
        <v/>
      </c>
      <c r="O2588" s="2">
        <f>IF(OR(F2588="",G2588=""),"",IF(G2588&lt;='RETRATO 2027'!$K$5,"CONCLUÍDA",IF(F2588&lt;='RETRATO 2027'!$K$5,"EM ANDAMENTO","A INICIAR")))</f>
        <v/>
      </c>
    </row>
    <row r="2589">
      <c r="M2589" s="2">
        <f>IF(C2589="","",IFERROR(INDEX($S$5:$S$304,MATCH(C2589,$R$5:$R$304,0))&amp;"","?"))</f>
        <v/>
      </c>
      <c r="N2589" s="2">
        <f>IF(E2589="","",IF(ISNUMBER(SEARCH("SUBSOLO",E2589)),IFERROR(-VALUE(LEFT(E2589,FIND("º",SUBSTITUTE(E2589,"°","º"))-1)),-1),IF(LEFT(E2589,6)="TÉRREO",0,IFERROR(VALUE(LEFT(E2589,FIND("º",SUBSTITUTE(E2589,"°","º"))-1)),""))))</f>
        <v/>
      </c>
      <c r="O2589" s="2">
        <f>IF(OR(F2589="",G2589=""),"",IF(G2589&lt;='RETRATO 2027'!$K$5,"CONCLUÍDA",IF(F2589&lt;='RETRATO 2027'!$K$5,"EM ANDAMENTO","A INICIAR")))</f>
        <v/>
      </c>
    </row>
    <row r="2590">
      <c r="M2590" s="2">
        <f>IF(C2590="","",IFERROR(INDEX($S$5:$S$304,MATCH(C2590,$R$5:$R$304,0))&amp;"","?"))</f>
        <v/>
      </c>
      <c r="N2590" s="2">
        <f>IF(E2590="","",IF(ISNUMBER(SEARCH("SUBSOLO",E2590)),IFERROR(-VALUE(LEFT(E2590,FIND("º",SUBSTITUTE(E2590,"°","º"))-1)),-1),IF(LEFT(E2590,6)="TÉRREO",0,IFERROR(VALUE(LEFT(E2590,FIND("º",SUBSTITUTE(E2590,"°","º"))-1)),""))))</f>
        <v/>
      </c>
      <c r="O2590" s="2">
        <f>IF(OR(F2590="",G2590=""),"",IF(G2590&lt;='RETRATO 2027'!$K$5,"CONCLUÍDA",IF(F2590&lt;='RETRATO 2027'!$K$5,"EM ANDAMENTO","A INICIAR")))</f>
        <v/>
      </c>
    </row>
    <row r="2591">
      <c r="M2591" s="2">
        <f>IF(C2591="","",IFERROR(INDEX($S$5:$S$304,MATCH(C2591,$R$5:$R$304,0))&amp;"","?"))</f>
        <v/>
      </c>
      <c r="N2591" s="2">
        <f>IF(E2591="","",IF(ISNUMBER(SEARCH("SUBSOLO",E2591)),IFERROR(-VALUE(LEFT(E2591,FIND("º",SUBSTITUTE(E2591,"°","º"))-1)),-1),IF(LEFT(E2591,6)="TÉRREO",0,IFERROR(VALUE(LEFT(E2591,FIND("º",SUBSTITUTE(E2591,"°","º"))-1)),""))))</f>
        <v/>
      </c>
      <c r="O2591" s="2">
        <f>IF(OR(F2591="",G2591=""),"",IF(G2591&lt;='RETRATO 2027'!$K$5,"CONCLUÍDA",IF(F2591&lt;='RETRATO 2027'!$K$5,"EM ANDAMENTO","A INICIAR")))</f>
        <v/>
      </c>
    </row>
    <row r="2592">
      <c r="M2592" s="2">
        <f>IF(C2592="","",IFERROR(INDEX($S$5:$S$304,MATCH(C2592,$R$5:$R$304,0))&amp;"","?"))</f>
        <v/>
      </c>
      <c r="N2592" s="2">
        <f>IF(E2592="","",IF(ISNUMBER(SEARCH("SUBSOLO",E2592)),IFERROR(-VALUE(LEFT(E2592,FIND("º",SUBSTITUTE(E2592,"°","º"))-1)),-1),IF(LEFT(E2592,6)="TÉRREO",0,IFERROR(VALUE(LEFT(E2592,FIND("º",SUBSTITUTE(E2592,"°","º"))-1)),""))))</f>
        <v/>
      </c>
      <c r="O2592" s="2">
        <f>IF(OR(F2592="",G2592=""),"",IF(G2592&lt;='RETRATO 2027'!$K$5,"CONCLUÍDA",IF(F2592&lt;='RETRATO 2027'!$K$5,"EM ANDAMENTO","A INICIAR")))</f>
        <v/>
      </c>
    </row>
    <row r="2593">
      <c r="M2593" s="2">
        <f>IF(C2593="","",IFERROR(INDEX($S$5:$S$304,MATCH(C2593,$R$5:$R$304,0))&amp;"","?"))</f>
        <v/>
      </c>
      <c r="N2593" s="2">
        <f>IF(E2593="","",IF(ISNUMBER(SEARCH("SUBSOLO",E2593)),IFERROR(-VALUE(LEFT(E2593,FIND("º",SUBSTITUTE(E2593,"°","º"))-1)),-1),IF(LEFT(E2593,6)="TÉRREO",0,IFERROR(VALUE(LEFT(E2593,FIND("º",SUBSTITUTE(E2593,"°","º"))-1)),""))))</f>
        <v/>
      </c>
      <c r="O2593" s="2">
        <f>IF(OR(F2593="",G2593=""),"",IF(G2593&lt;='RETRATO 2027'!$K$5,"CONCLUÍDA",IF(F2593&lt;='RETRATO 2027'!$K$5,"EM ANDAMENTO","A INICIAR")))</f>
        <v/>
      </c>
    </row>
    <row r="2594">
      <c r="M2594" s="2">
        <f>IF(C2594="","",IFERROR(INDEX($S$5:$S$304,MATCH(C2594,$R$5:$R$304,0))&amp;"","?"))</f>
        <v/>
      </c>
      <c r="N2594" s="2">
        <f>IF(E2594="","",IF(ISNUMBER(SEARCH("SUBSOLO",E2594)),IFERROR(-VALUE(LEFT(E2594,FIND("º",SUBSTITUTE(E2594,"°","º"))-1)),-1),IF(LEFT(E2594,6)="TÉRREO",0,IFERROR(VALUE(LEFT(E2594,FIND("º",SUBSTITUTE(E2594,"°","º"))-1)),""))))</f>
        <v/>
      </c>
      <c r="O2594" s="2">
        <f>IF(OR(F2594="",G2594=""),"",IF(G2594&lt;='RETRATO 2027'!$K$5,"CONCLUÍDA",IF(F2594&lt;='RETRATO 2027'!$K$5,"EM ANDAMENTO","A INICIAR")))</f>
        <v/>
      </c>
    </row>
    <row r="2595">
      <c r="M2595" s="2">
        <f>IF(C2595="","",IFERROR(INDEX($S$5:$S$304,MATCH(C2595,$R$5:$R$304,0))&amp;"","?"))</f>
        <v/>
      </c>
      <c r="N2595" s="2">
        <f>IF(E2595="","",IF(ISNUMBER(SEARCH("SUBSOLO",E2595)),IFERROR(-VALUE(LEFT(E2595,FIND("º",SUBSTITUTE(E2595,"°","º"))-1)),-1),IF(LEFT(E2595,6)="TÉRREO",0,IFERROR(VALUE(LEFT(E2595,FIND("º",SUBSTITUTE(E2595,"°","º"))-1)),""))))</f>
        <v/>
      </c>
      <c r="O2595" s="2">
        <f>IF(OR(F2595="",G2595=""),"",IF(G2595&lt;='RETRATO 2027'!$K$5,"CONCLUÍDA",IF(F2595&lt;='RETRATO 2027'!$K$5,"EM ANDAMENTO","A INICIAR")))</f>
        <v/>
      </c>
    </row>
    <row r="2596">
      <c r="M2596" s="2">
        <f>IF(C2596="","",IFERROR(INDEX($S$5:$S$304,MATCH(C2596,$R$5:$R$304,0))&amp;"","?"))</f>
        <v/>
      </c>
      <c r="N2596" s="2">
        <f>IF(E2596="","",IF(ISNUMBER(SEARCH("SUBSOLO",E2596)),IFERROR(-VALUE(LEFT(E2596,FIND("º",SUBSTITUTE(E2596,"°","º"))-1)),-1),IF(LEFT(E2596,6)="TÉRREO",0,IFERROR(VALUE(LEFT(E2596,FIND("º",SUBSTITUTE(E2596,"°","º"))-1)),""))))</f>
        <v/>
      </c>
      <c r="O2596" s="2">
        <f>IF(OR(F2596="",G2596=""),"",IF(G2596&lt;='RETRATO 2027'!$K$5,"CONCLUÍDA",IF(F2596&lt;='RETRATO 2027'!$K$5,"EM ANDAMENTO","A INICIAR")))</f>
        <v/>
      </c>
    </row>
    <row r="2597">
      <c r="M2597" s="2">
        <f>IF(C2597="","",IFERROR(INDEX($S$5:$S$304,MATCH(C2597,$R$5:$R$304,0))&amp;"","?"))</f>
        <v/>
      </c>
      <c r="N2597" s="2">
        <f>IF(E2597="","",IF(ISNUMBER(SEARCH("SUBSOLO",E2597)),IFERROR(-VALUE(LEFT(E2597,FIND("º",SUBSTITUTE(E2597,"°","º"))-1)),-1),IF(LEFT(E2597,6)="TÉRREO",0,IFERROR(VALUE(LEFT(E2597,FIND("º",SUBSTITUTE(E2597,"°","º"))-1)),""))))</f>
        <v/>
      </c>
      <c r="O2597" s="2">
        <f>IF(OR(F2597="",G2597=""),"",IF(G2597&lt;='RETRATO 2027'!$K$5,"CONCLUÍDA",IF(F2597&lt;='RETRATO 2027'!$K$5,"EM ANDAMENTO","A INICIAR")))</f>
        <v/>
      </c>
    </row>
    <row r="2598">
      <c r="M2598" s="2">
        <f>IF(C2598="","",IFERROR(INDEX($S$5:$S$304,MATCH(C2598,$R$5:$R$304,0))&amp;"","?"))</f>
        <v/>
      </c>
      <c r="N2598" s="2">
        <f>IF(E2598="","",IF(ISNUMBER(SEARCH("SUBSOLO",E2598)),IFERROR(-VALUE(LEFT(E2598,FIND("º",SUBSTITUTE(E2598,"°","º"))-1)),-1),IF(LEFT(E2598,6)="TÉRREO",0,IFERROR(VALUE(LEFT(E2598,FIND("º",SUBSTITUTE(E2598,"°","º"))-1)),""))))</f>
        <v/>
      </c>
      <c r="O2598" s="2">
        <f>IF(OR(F2598="",G2598=""),"",IF(G2598&lt;='RETRATO 2027'!$K$5,"CONCLUÍDA",IF(F2598&lt;='RETRATO 2027'!$K$5,"EM ANDAMENTO","A INICIAR")))</f>
        <v/>
      </c>
    </row>
    <row r="2599">
      <c r="M2599" s="2">
        <f>IF(C2599="","",IFERROR(INDEX($S$5:$S$304,MATCH(C2599,$R$5:$R$304,0))&amp;"","?"))</f>
        <v/>
      </c>
      <c r="N2599" s="2">
        <f>IF(E2599="","",IF(ISNUMBER(SEARCH("SUBSOLO",E2599)),IFERROR(-VALUE(LEFT(E2599,FIND("º",SUBSTITUTE(E2599,"°","º"))-1)),-1),IF(LEFT(E2599,6)="TÉRREO",0,IFERROR(VALUE(LEFT(E2599,FIND("º",SUBSTITUTE(E2599,"°","º"))-1)),""))))</f>
        <v/>
      </c>
      <c r="O2599" s="2">
        <f>IF(OR(F2599="",G2599=""),"",IF(G2599&lt;='RETRATO 2027'!$K$5,"CONCLUÍDA",IF(F2599&lt;='RETRATO 2027'!$K$5,"EM ANDAMENTO","A INICIAR")))</f>
        <v/>
      </c>
    </row>
    <row r="2600">
      <c r="M2600" s="2">
        <f>IF(C2600="","",IFERROR(INDEX($S$5:$S$304,MATCH(C2600,$R$5:$R$304,0))&amp;"","?"))</f>
        <v/>
      </c>
      <c r="N2600" s="2">
        <f>IF(E2600="","",IF(ISNUMBER(SEARCH("SUBSOLO",E2600)),IFERROR(-VALUE(LEFT(E2600,FIND("º",SUBSTITUTE(E2600,"°","º"))-1)),-1),IF(LEFT(E2600,6)="TÉRREO",0,IFERROR(VALUE(LEFT(E2600,FIND("º",SUBSTITUTE(E2600,"°","º"))-1)),""))))</f>
        <v/>
      </c>
      <c r="O2600" s="2">
        <f>IF(OR(F2600="",G2600=""),"",IF(G2600&lt;='RETRATO 2027'!$K$5,"CONCLUÍDA",IF(F2600&lt;='RETRATO 2027'!$K$5,"EM ANDAMENTO","A INICIAR")))</f>
        <v/>
      </c>
    </row>
    <row r="2601">
      <c r="M2601" s="2">
        <f>IF(C2601="","",IFERROR(INDEX($S$5:$S$304,MATCH(C2601,$R$5:$R$304,0))&amp;"","?"))</f>
        <v/>
      </c>
      <c r="N2601" s="2">
        <f>IF(E2601="","",IF(ISNUMBER(SEARCH("SUBSOLO",E2601)),IFERROR(-VALUE(LEFT(E2601,FIND("º",SUBSTITUTE(E2601,"°","º"))-1)),-1),IF(LEFT(E2601,6)="TÉRREO",0,IFERROR(VALUE(LEFT(E2601,FIND("º",SUBSTITUTE(E2601,"°","º"))-1)),""))))</f>
        <v/>
      </c>
      <c r="O2601" s="2">
        <f>IF(OR(F2601="",G2601=""),"",IF(G2601&lt;='RETRATO 2027'!$K$5,"CONCLUÍDA",IF(F2601&lt;='RETRATO 2027'!$K$5,"EM ANDAMENTO","A INICIAR")))</f>
        <v/>
      </c>
    </row>
    <row r="2602">
      <c r="M2602" s="2">
        <f>IF(C2602="","",IFERROR(INDEX($S$5:$S$304,MATCH(C2602,$R$5:$R$304,0))&amp;"","?"))</f>
        <v/>
      </c>
      <c r="N2602" s="2">
        <f>IF(E2602="","",IF(ISNUMBER(SEARCH("SUBSOLO",E2602)),IFERROR(-VALUE(LEFT(E2602,FIND("º",SUBSTITUTE(E2602,"°","º"))-1)),-1),IF(LEFT(E2602,6)="TÉRREO",0,IFERROR(VALUE(LEFT(E2602,FIND("º",SUBSTITUTE(E2602,"°","º"))-1)),""))))</f>
        <v/>
      </c>
      <c r="O2602" s="2">
        <f>IF(OR(F2602="",G2602=""),"",IF(G2602&lt;='RETRATO 2027'!$K$5,"CONCLUÍDA",IF(F2602&lt;='RETRATO 2027'!$K$5,"EM ANDAMENTO","A INICIAR")))</f>
        <v/>
      </c>
    </row>
    <row r="2603">
      <c r="M2603" s="2">
        <f>IF(C2603="","",IFERROR(INDEX($S$5:$S$304,MATCH(C2603,$R$5:$R$304,0))&amp;"","?"))</f>
        <v/>
      </c>
      <c r="N2603" s="2">
        <f>IF(E2603="","",IF(ISNUMBER(SEARCH("SUBSOLO",E2603)),IFERROR(-VALUE(LEFT(E2603,FIND("º",SUBSTITUTE(E2603,"°","º"))-1)),-1),IF(LEFT(E2603,6)="TÉRREO",0,IFERROR(VALUE(LEFT(E2603,FIND("º",SUBSTITUTE(E2603,"°","º"))-1)),""))))</f>
        <v/>
      </c>
      <c r="O2603" s="2">
        <f>IF(OR(F2603="",G2603=""),"",IF(G2603&lt;='RETRATO 2027'!$K$5,"CONCLUÍDA",IF(F2603&lt;='RETRATO 2027'!$K$5,"EM ANDAMENTO","A INICIAR")))</f>
        <v/>
      </c>
    </row>
    <row r="2604">
      <c r="M2604" s="2">
        <f>IF(C2604="","",IFERROR(INDEX($S$5:$S$304,MATCH(C2604,$R$5:$R$304,0))&amp;"","?"))</f>
        <v/>
      </c>
      <c r="N2604" s="2">
        <f>IF(E2604="","",IF(ISNUMBER(SEARCH("SUBSOLO",E2604)),IFERROR(-VALUE(LEFT(E2604,FIND("º",SUBSTITUTE(E2604,"°","º"))-1)),-1),IF(LEFT(E2604,6)="TÉRREO",0,IFERROR(VALUE(LEFT(E2604,FIND("º",SUBSTITUTE(E2604,"°","º"))-1)),""))))</f>
        <v/>
      </c>
      <c r="O2604" s="2">
        <f>IF(OR(F2604="",G2604=""),"",IF(G2604&lt;='RETRATO 2027'!$K$5,"CONCLUÍDA",IF(F2604&lt;='RETRATO 2027'!$K$5,"EM ANDAMENTO","A INICIAR")))</f>
        <v/>
      </c>
    </row>
    <row r="2605">
      <c r="M2605" s="2">
        <f>IF(C2605="","",IFERROR(INDEX($S$5:$S$304,MATCH(C2605,$R$5:$R$304,0))&amp;"","?"))</f>
        <v/>
      </c>
      <c r="N2605" s="2">
        <f>IF(E2605="","",IF(ISNUMBER(SEARCH("SUBSOLO",E2605)),IFERROR(-VALUE(LEFT(E2605,FIND("º",SUBSTITUTE(E2605,"°","º"))-1)),-1),IF(LEFT(E2605,6)="TÉRREO",0,IFERROR(VALUE(LEFT(E2605,FIND("º",SUBSTITUTE(E2605,"°","º"))-1)),""))))</f>
        <v/>
      </c>
      <c r="O2605" s="2">
        <f>IF(OR(F2605="",G2605=""),"",IF(G2605&lt;='RETRATO 2027'!$K$5,"CONCLUÍDA",IF(F2605&lt;='RETRATO 2027'!$K$5,"EM ANDAMENTO","A INICIAR")))</f>
        <v/>
      </c>
    </row>
    <row r="2606">
      <c r="M2606" s="2">
        <f>IF(C2606="","",IFERROR(INDEX($S$5:$S$304,MATCH(C2606,$R$5:$R$304,0))&amp;"","?"))</f>
        <v/>
      </c>
      <c r="N2606" s="2">
        <f>IF(E2606="","",IF(ISNUMBER(SEARCH("SUBSOLO",E2606)),IFERROR(-VALUE(LEFT(E2606,FIND("º",SUBSTITUTE(E2606,"°","º"))-1)),-1),IF(LEFT(E2606,6)="TÉRREO",0,IFERROR(VALUE(LEFT(E2606,FIND("º",SUBSTITUTE(E2606,"°","º"))-1)),""))))</f>
        <v/>
      </c>
      <c r="O2606" s="2">
        <f>IF(OR(F2606="",G2606=""),"",IF(G2606&lt;='RETRATO 2027'!$K$5,"CONCLUÍDA",IF(F2606&lt;='RETRATO 2027'!$K$5,"EM ANDAMENTO","A INICIAR")))</f>
        <v/>
      </c>
    </row>
    <row r="2607">
      <c r="M2607" s="2">
        <f>IF(C2607="","",IFERROR(INDEX($S$5:$S$304,MATCH(C2607,$R$5:$R$304,0))&amp;"","?"))</f>
        <v/>
      </c>
      <c r="N2607" s="2">
        <f>IF(E2607="","",IF(ISNUMBER(SEARCH("SUBSOLO",E2607)),IFERROR(-VALUE(LEFT(E2607,FIND("º",SUBSTITUTE(E2607,"°","º"))-1)),-1),IF(LEFT(E2607,6)="TÉRREO",0,IFERROR(VALUE(LEFT(E2607,FIND("º",SUBSTITUTE(E2607,"°","º"))-1)),""))))</f>
        <v/>
      </c>
      <c r="O2607" s="2">
        <f>IF(OR(F2607="",G2607=""),"",IF(G2607&lt;='RETRATO 2027'!$K$5,"CONCLUÍDA",IF(F2607&lt;='RETRATO 2027'!$K$5,"EM ANDAMENTO","A INICIAR")))</f>
        <v/>
      </c>
    </row>
    <row r="2608">
      <c r="M2608" s="2">
        <f>IF(C2608="","",IFERROR(INDEX($S$5:$S$304,MATCH(C2608,$R$5:$R$304,0))&amp;"","?"))</f>
        <v/>
      </c>
      <c r="N2608" s="2">
        <f>IF(E2608="","",IF(ISNUMBER(SEARCH("SUBSOLO",E2608)),IFERROR(-VALUE(LEFT(E2608,FIND("º",SUBSTITUTE(E2608,"°","º"))-1)),-1),IF(LEFT(E2608,6)="TÉRREO",0,IFERROR(VALUE(LEFT(E2608,FIND("º",SUBSTITUTE(E2608,"°","º"))-1)),""))))</f>
        <v/>
      </c>
      <c r="O2608" s="2">
        <f>IF(OR(F2608="",G2608=""),"",IF(G2608&lt;='RETRATO 2027'!$K$5,"CONCLUÍDA",IF(F2608&lt;='RETRATO 2027'!$K$5,"EM ANDAMENTO","A INICIAR")))</f>
        <v/>
      </c>
    </row>
    <row r="2609">
      <c r="M2609" s="2">
        <f>IF(C2609="","",IFERROR(INDEX($S$5:$S$304,MATCH(C2609,$R$5:$R$304,0))&amp;"","?"))</f>
        <v/>
      </c>
      <c r="N2609" s="2">
        <f>IF(E2609="","",IF(ISNUMBER(SEARCH("SUBSOLO",E2609)),IFERROR(-VALUE(LEFT(E2609,FIND("º",SUBSTITUTE(E2609,"°","º"))-1)),-1),IF(LEFT(E2609,6)="TÉRREO",0,IFERROR(VALUE(LEFT(E2609,FIND("º",SUBSTITUTE(E2609,"°","º"))-1)),""))))</f>
        <v/>
      </c>
      <c r="O2609" s="2">
        <f>IF(OR(F2609="",G2609=""),"",IF(G2609&lt;='RETRATO 2027'!$K$5,"CONCLUÍDA",IF(F2609&lt;='RETRATO 2027'!$K$5,"EM ANDAMENTO","A INICIAR")))</f>
        <v/>
      </c>
    </row>
    <row r="2610">
      <c r="M2610" s="2">
        <f>IF(C2610="","",IFERROR(INDEX($S$5:$S$304,MATCH(C2610,$R$5:$R$304,0))&amp;"","?"))</f>
        <v/>
      </c>
      <c r="N2610" s="2">
        <f>IF(E2610="","",IF(ISNUMBER(SEARCH("SUBSOLO",E2610)),IFERROR(-VALUE(LEFT(E2610,FIND("º",SUBSTITUTE(E2610,"°","º"))-1)),-1),IF(LEFT(E2610,6)="TÉRREO",0,IFERROR(VALUE(LEFT(E2610,FIND("º",SUBSTITUTE(E2610,"°","º"))-1)),""))))</f>
        <v/>
      </c>
      <c r="O2610" s="2">
        <f>IF(OR(F2610="",G2610=""),"",IF(G2610&lt;='RETRATO 2027'!$K$5,"CONCLUÍDA",IF(F2610&lt;='RETRATO 2027'!$K$5,"EM ANDAMENTO","A INICIAR")))</f>
        <v/>
      </c>
    </row>
    <row r="2611">
      <c r="M2611" s="2">
        <f>IF(C2611="","",IFERROR(INDEX($S$5:$S$304,MATCH(C2611,$R$5:$R$304,0))&amp;"","?"))</f>
        <v/>
      </c>
      <c r="N2611" s="2">
        <f>IF(E2611="","",IF(ISNUMBER(SEARCH("SUBSOLO",E2611)),IFERROR(-VALUE(LEFT(E2611,FIND("º",SUBSTITUTE(E2611,"°","º"))-1)),-1),IF(LEFT(E2611,6)="TÉRREO",0,IFERROR(VALUE(LEFT(E2611,FIND("º",SUBSTITUTE(E2611,"°","º"))-1)),""))))</f>
        <v/>
      </c>
      <c r="O2611" s="2">
        <f>IF(OR(F2611="",G2611=""),"",IF(G2611&lt;='RETRATO 2027'!$K$5,"CONCLUÍDA",IF(F2611&lt;='RETRATO 2027'!$K$5,"EM ANDAMENTO","A INICIAR")))</f>
        <v/>
      </c>
    </row>
    <row r="2612">
      <c r="M2612" s="2">
        <f>IF(C2612="","",IFERROR(INDEX($S$5:$S$304,MATCH(C2612,$R$5:$R$304,0))&amp;"","?"))</f>
        <v/>
      </c>
      <c r="N2612" s="2">
        <f>IF(E2612="","",IF(ISNUMBER(SEARCH("SUBSOLO",E2612)),IFERROR(-VALUE(LEFT(E2612,FIND("º",SUBSTITUTE(E2612,"°","º"))-1)),-1),IF(LEFT(E2612,6)="TÉRREO",0,IFERROR(VALUE(LEFT(E2612,FIND("º",SUBSTITUTE(E2612,"°","º"))-1)),""))))</f>
        <v/>
      </c>
      <c r="O2612" s="2">
        <f>IF(OR(F2612="",G2612=""),"",IF(G2612&lt;='RETRATO 2027'!$K$5,"CONCLUÍDA",IF(F2612&lt;='RETRATO 2027'!$K$5,"EM ANDAMENTO","A INICIAR")))</f>
        <v/>
      </c>
    </row>
    <row r="2613">
      <c r="M2613" s="2">
        <f>IF(C2613="","",IFERROR(INDEX($S$5:$S$304,MATCH(C2613,$R$5:$R$304,0))&amp;"","?"))</f>
        <v/>
      </c>
      <c r="N2613" s="2">
        <f>IF(E2613="","",IF(ISNUMBER(SEARCH("SUBSOLO",E2613)),IFERROR(-VALUE(LEFT(E2613,FIND("º",SUBSTITUTE(E2613,"°","º"))-1)),-1),IF(LEFT(E2613,6)="TÉRREO",0,IFERROR(VALUE(LEFT(E2613,FIND("º",SUBSTITUTE(E2613,"°","º"))-1)),""))))</f>
        <v/>
      </c>
      <c r="O2613" s="2">
        <f>IF(OR(F2613="",G2613=""),"",IF(G2613&lt;='RETRATO 2027'!$K$5,"CONCLUÍDA",IF(F2613&lt;='RETRATO 2027'!$K$5,"EM ANDAMENTO","A INICIAR")))</f>
        <v/>
      </c>
    </row>
    <row r="2614">
      <c r="M2614" s="2">
        <f>IF(C2614="","",IFERROR(INDEX($S$5:$S$304,MATCH(C2614,$R$5:$R$304,0))&amp;"","?"))</f>
        <v/>
      </c>
      <c r="N2614" s="2">
        <f>IF(E2614="","",IF(ISNUMBER(SEARCH("SUBSOLO",E2614)),IFERROR(-VALUE(LEFT(E2614,FIND("º",SUBSTITUTE(E2614,"°","º"))-1)),-1),IF(LEFT(E2614,6)="TÉRREO",0,IFERROR(VALUE(LEFT(E2614,FIND("º",SUBSTITUTE(E2614,"°","º"))-1)),""))))</f>
        <v/>
      </c>
      <c r="O2614" s="2">
        <f>IF(OR(F2614="",G2614=""),"",IF(G2614&lt;='RETRATO 2027'!$K$5,"CONCLUÍDA",IF(F2614&lt;='RETRATO 2027'!$K$5,"EM ANDAMENTO","A INICIAR")))</f>
        <v/>
      </c>
    </row>
    <row r="2615">
      <c r="M2615" s="2">
        <f>IF(C2615="","",IFERROR(INDEX($S$5:$S$304,MATCH(C2615,$R$5:$R$304,0))&amp;"","?"))</f>
        <v/>
      </c>
      <c r="N2615" s="2">
        <f>IF(E2615="","",IF(ISNUMBER(SEARCH("SUBSOLO",E2615)),IFERROR(-VALUE(LEFT(E2615,FIND("º",SUBSTITUTE(E2615,"°","º"))-1)),-1),IF(LEFT(E2615,6)="TÉRREO",0,IFERROR(VALUE(LEFT(E2615,FIND("º",SUBSTITUTE(E2615,"°","º"))-1)),""))))</f>
        <v/>
      </c>
      <c r="O2615" s="2">
        <f>IF(OR(F2615="",G2615=""),"",IF(G2615&lt;='RETRATO 2027'!$K$5,"CONCLUÍDA",IF(F2615&lt;='RETRATO 2027'!$K$5,"EM ANDAMENTO","A INICIAR")))</f>
        <v/>
      </c>
    </row>
    <row r="2616">
      <c r="M2616" s="2">
        <f>IF(C2616="","",IFERROR(INDEX($S$5:$S$304,MATCH(C2616,$R$5:$R$304,0))&amp;"","?"))</f>
        <v/>
      </c>
      <c r="N2616" s="2">
        <f>IF(E2616="","",IF(ISNUMBER(SEARCH("SUBSOLO",E2616)),IFERROR(-VALUE(LEFT(E2616,FIND("º",SUBSTITUTE(E2616,"°","º"))-1)),-1),IF(LEFT(E2616,6)="TÉRREO",0,IFERROR(VALUE(LEFT(E2616,FIND("º",SUBSTITUTE(E2616,"°","º"))-1)),""))))</f>
        <v/>
      </c>
      <c r="O2616" s="2">
        <f>IF(OR(F2616="",G2616=""),"",IF(G2616&lt;='RETRATO 2027'!$K$5,"CONCLUÍDA",IF(F2616&lt;='RETRATO 2027'!$K$5,"EM ANDAMENTO","A INICIAR")))</f>
        <v/>
      </c>
    </row>
    <row r="2617">
      <c r="M2617" s="2">
        <f>IF(C2617="","",IFERROR(INDEX($S$5:$S$304,MATCH(C2617,$R$5:$R$304,0))&amp;"","?"))</f>
        <v/>
      </c>
      <c r="N2617" s="2">
        <f>IF(E2617="","",IF(ISNUMBER(SEARCH("SUBSOLO",E2617)),IFERROR(-VALUE(LEFT(E2617,FIND("º",SUBSTITUTE(E2617,"°","º"))-1)),-1),IF(LEFT(E2617,6)="TÉRREO",0,IFERROR(VALUE(LEFT(E2617,FIND("º",SUBSTITUTE(E2617,"°","º"))-1)),""))))</f>
        <v/>
      </c>
      <c r="O2617" s="2">
        <f>IF(OR(F2617="",G2617=""),"",IF(G2617&lt;='RETRATO 2027'!$K$5,"CONCLUÍDA",IF(F2617&lt;='RETRATO 2027'!$K$5,"EM ANDAMENTO","A INICIAR")))</f>
        <v/>
      </c>
    </row>
    <row r="2618">
      <c r="M2618" s="2">
        <f>IF(C2618="","",IFERROR(INDEX($S$5:$S$304,MATCH(C2618,$R$5:$R$304,0))&amp;"","?"))</f>
        <v/>
      </c>
      <c r="N2618" s="2">
        <f>IF(E2618="","",IF(ISNUMBER(SEARCH("SUBSOLO",E2618)),IFERROR(-VALUE(LEFT(E2618,FIND("º",SUBSTITUTE(E2618,"°","º"))-1)),-1),IF(LEFT(E2618,6)="TÉRREO",0,IFERROR(VALUE(LEFT(E2618,FIND("º",SUBSTITUTE(E2618,"°","º"))-1)),""))))</f>
        <v/>
      </c>
      <c r="O2618" s="2">
        <f>IF(OR(F2618="",G2618=""),"",IF(G2618&lt;='RETRATO 2027'!$K$5,"CONCLUÍDA",IF(F2618&lt;='RETRATO 2027'!$K$5,"EM ANDAMENTO","A INICIAR")))</f>
        <v/>
      </c>
    </row>
    <row r="2619">
      <c r="M2619" s="2">
        <f>IF(C2619="","",IFERROR(INDEX($S$5:$S$304,MATCH(C2619,$R$5:$R$304,0))&amp;"","?"))</f>
        <v/>
      </c>
      <c r="N2619" s="2">
        <f>IF(E2619="","",IF(ISNUMBER(SEARCH("SUBSOLO",E2619)),IFERROR(-VALUE(LEFT(E2619,FIND("º",SUBSTITUTE(E2619,"°","º"))-1)),-1),IF(LEFT(E2619,6)="TÉRREO",0,IFERROR(VALUE(LEFT(E2619,FIND("º",SUBSTITUTE(E2619,"°","º"))-1)),""))))</f>
        <v/>
      </c>
      <c r="O2619" s="2">
        <f>IF(OR(F2619="",G2619=""),"",IF(G2619&lt;='RETRATO 2027'!$K$5,"CONCLUÍDA",IF(F2619&lt;='RETRATO 2027'!$K$5,"EM ANDAMENTO","A INICIAR")))</f>
        <v/>
      </c>
    </row>
    <row r="2620">
      <c r="M2620" s="2">
        <f>IF(C2620="","",IFERROR(INDEX($S$5:$S$304,MATCH(C2620,$R$5:$R$304,0))&amp;"","?"))</f>
        <v/>
      </c>
      <c r="N2620" s="2">
        <f>IF(E2620="","",IF(ISNUMBER(SEARCH("SUBSOLO",E2620)),IFERROR(-VALUE(LEFT(E2620,FIND("º",SUBSTITUTE(E2620,"°","º"))-1)),-1),IF(LEFT(E2620,6)="TÉRREO",0,IFERROR(VALUE(LEFT(E2620,FIND("º",SUBSTITUTE(E2620,"°","º"))-1)),""))))</f>
        <v/>
      </c>
      <c r="O2620" s="2">
        <f>IF(OR(F2620="",G2620=""),"",IF(G2620&lt;='RETRATO 2027'!$K$5,"CONCLUÍDA",IF(F2620&lt;='RETRATO 2027'!$K$5,"EM ANDAMENTO","A INICIAR")))</f>
        <v/>
      </c>
    </row>
    <row r="2621">
      <c r="M2621" s="2">
        <f>IF(C2621="","",IFERROR(INDEX($S$5:$S$304,MATCH(C2621,$R$5:$R$304,0))&amp;"","?"))</f>
        <v/>
      </c>
      <c r="N2621" s="2">
        <f>IF(E2621="","",IF(ISNUMBER(SEARCH("SUBSOLO",E2621)),IFERROR(-VALUE(LEFT(E2621,FIND("º",SUBSTITUTE(E2621,"°","º"))-1)),-1),IF(LEFT(E2621,6)="TÉRREO",0,IFERROR(VALUE(LEFT(E2621,FIND("º",SUBSTITUTE(E2621,"°","º"))-1)),""))))</f>
        <v/>
      </c>
      <c r="O2621" s="2">
        <f>IF(OR(F2621="",G2621=""),"",IF(G2621&lt;='RETRATO 2027'!$K$5,"CONCLUÍDA",IF(F2621&lt;='RETRATO 2027'!$K$5,"EM ANDAMENTO","A INICIAR")))</f>
        <v/>
      </c>
    </row>
    <row r="2622">
      <c r="M2622" s="2">
        <f>IF(C2622="","",IFERROR(INDEX($S$5:$S$304,MATCH(C2622,$R$5:$R$304,0))&amp;"","?"))</f>
        <v/>
      </c>
      <c r="N2622" s="2">
        <f>IF(E2622="","",IF(ISNUMBER(SEARCH("SUBSOLO",E2622)),IFERROR(-VALUE(LEFT(E2622,FIND("º",SUBSTITUTE(E2622,"°","º"))-1)),-1),IF(LEFT(E2622,6)="TÉRREO",0,IFERROR(VALUE(LEFT(E2622,FIND("º",SUBSTITUTE(E2622,"°","º"))-1)),""))))</f>
        <v/>
      </c>
      <c r="O2622" s="2">
        <f>IF(OR(F2622="",G2622=""),"",IF(G2622&lt;='RETRATO 2027'!$K$5,"CONCLUÍDA",IF(F2622&lt;='RETRATO 2027'!$K$5,"EM ANDAMENTO","A INICIAR")))</f>
        <v/>
      </c>
    </row>
    <row r="2623">
      <c r="M2623" s="2">
        <f>IF(C2623="","",IFERROR(INDEX($S$5:$S$304,MATCH(C2623,$R$5:$R$304,0))&amp;"","?"))</f>
        <v/>
      </c>
      <c r="N2623" s="2">
        <f>IF(E2623="","",IF(ISNUMBER(SEARCH("SUBSOLO",E2623)),IFERROR(-VALUE(LEFT(E2623,FIND("º",SUBSTITUTE(E2623,"°","º"))-1)),-1),IF(LEFT(E2623,6)="TÉRREO",0,IFERROR(VALUE(LEFT(E2623,FIND("º",SUBSTITUTE(E2623,"°","º"))-1)),""))))</f>
        <v/>
      </c>
      <c r="O2623" s="2">
        <f>IF(OR(F2623="",G2623=""),"",IF(G2623&lt;='RETRATO 2027'!$K$5,"CONCLUÍDA",IF(F2623&lt;='RETRATO 2027'!$K$5,"EM ANDAMENTO","A INICIAR")))</f>
        <v/>
      </c>
    </row>
    <row r="2624">
      <c r="M2624" s="2">
        <f>IF(C2624="","",IFERROR(INDEX($S$5:$S$304,MATCH(C2624,$R$5:$R$304,0))&amp;"","?"))</f>
        <v/>
      </c>
      <c r="N2624" s="2">
        <f>IF(E2624="","",IF(ISNUMBER(SEARCH("SUBSOLO",E2624)),IFERROR(-VALUE(LEFT(E2624,FIND("º",SUBSTITUTE(E2624,"°","º"))-1)),-1),IF(LEFT(E2624,6)="TÉRREO",0,IFERROR(VALUE(LEFT(E2624,FIND("º",SUBSTITUTE(E2624,"°","º"))-1)),""))))</f>
        <v/>
      </c>
      <c r="O2624" s="2">
        <f>IF(OR(F2624="",G2624=""),"",IF(G2624&lt;='RETRATO 2027'!$K$5,"CONCLUÍDA",IF(F2624&lt;='RETRATO 2027'!$K$5,"EM ANDAMENTO","A INICIAR")))</f>
        <v/>
      </c>
    </row>
    <row r="2625">
      <c r="M2625" s="2">
        <f>IF(C2625="","",IFERROR(INDEX($S$5:$S$304,MATCH(C2625,$R$5:$R$304,0))&amp;"","?"))</f>
        <v/>
      </c>
      <c r="N2625" s="2">
        <f>IF(E2625="","",IF(ISNUMBER(SEARCH("SUBSOLO",E2625)),IFERROR(-VALUE(LEFT(E2625,FIND("º",SUBSTITUTE(E2625,"°","º"))-1)),-1),IF(LEFT(E2625,6)="TÉRREO",0,IFERROR(VALUE(LEFT(E2625,FIND("º",SUBSTITUTE(E2625,"°","º"))-1)),""))))</f>
        <v/>
      </c>
      <c r="O2625" s="2">
        <f>IF(OR(F2625="",G2625=""),"",IF(G2625&lt;='RETRATO 2027'!$K$5,"CONCLUÍDA",IF(F2625&lt;='RETRATO 2027'!$K$5,"EM ANDAMENTO","A INICIAR")))</f>
        <v/>
      </c>
    </row>
    <row r="2626">
      <c r="M2626" s="2">
        <f>IF(C2626="","",IFERROR(INDEX($S$5:$S$304,MATCH(C2626,$R$5:$R$304,0))&amp;"","?"))</f>
        <v/>
      </c>
      <c r="N2626" s="2">
        <f>IF(E2626="","",IF(ISNUMBER(SEARCH("SUBSOLO",E2626)),IFERROR(-VALUE(LEFT(E2626,FIND("º",SUBSTITUTE(E2626,"°","º"))-1)),-1),IF(LEFT(E2626,6)="TÉRREO",0,IFERROR(VALUE(LEFT(E2626,FIND("º",SUBSTITUTE(E2626,"°","º"))-1)),""))))</f>
        <v/>
      </c>
      <c r="O2626" s="2">
        <f>IF(OR(F2626="",G2626=""),"",IF(G2626&lt;='RETRATO 2027'!$K$5,"CONCLUÍDA",IF(F2626&lt;='RETRATO 2027'!$K$5,"EM ANDAMENTO","A INICIAR")))</f>
        <v/>
      </c>
    </row>
    <row r="2627">
      <c r="M2627" s="2">
        <f>IF(C2627="","",IFERROR(INDEX($S$5:$S$304,MATCH(C2627,$R$5:$R$304,0))&amp;"","?"))</f>
        <v/>
      </c>
      <c r="N2627" s="2">
        <f>IF(E2627="","",IF(ISNUMBER(SEARCH("SUBSOLO",E2627)),IFERROR(-VALUE(LEFT(E2627,FIND("º",SUBSTITUTE(E2627,"°","º"))-1)),-1),IF(LEFT(E2627,6)="TÉRREO",0,IFERROR(VALUE(LEFT(E2627,FIND("º",SUBSTITUTE(E2627,"°","º"))-1)),""))))</f>
        <v/>
      </c>
      <c r="O2627" s="2">
        <f>IF(OR(F2627="",G2627=""),"",IF(G2627&lt;='RETRATO 2027'!$K$5,"CONCLUÍDA",IF(F2627&lt;='RETRATO 2027'!$K$5,"EM ANDAMENTO","A INICIAR")))</f>
        <v/>
      </c>
    </row>
    <row r="2628">
      <c r="M2628" s="2">
        <f>IF(C2628="","",IFERROR(INDEX($S$5:$S$304,MATCH(C2628,$R$5:$R$304,0))&amp;"","?"))</f>
        <v/>
      </c>
      <c r="N2628" s="2">
        <f>IF(E2628="","",IF(ISNUMBER(SEARCH("SUBSOLO",E2628)),IFERROR(-VALUE(LEFT(E2628,FIND("º",SUBSTITUTE(E2628,"°","º"))-1)),-1),IF(LEFT(E2628,6)="TÉRREO",0,IFERROR(VALUE(LEFT(E2628,FIND("º",SUBSTITUTE(E2628,"°","º"))-1)),""))))</f>
        <v/>
      </c>
      <c r="O2628" s="2">
        <f>IF(OR(F2628="",G2628=""),"",IF(G2628&lt;='RETRATO 2027'!$K$5,"CONCLUÍDA",IF(F2628&lt;='RETRATO 2027'!$K$5,"EM ANDAMENTO","A INICIAR")))</f>
        <v/>
      </c>
    </row>
    <row r="2629">
      <c r="M2629" s="2">
        <f>IF(C2629="","",IFERROR(INDEX($S$5:$S$304,MATCH(C2629,$R$5:$R$304,0))&amp;"","?"))</f>
        <v/>
      </c>
      <c r="N2629" s="2">
        <f>IF(E2629="","",IF(ISNUMBER(SEARCH("SUBSOLO",E2629)),IFERROR(-VALUE(LEFT(E2629,FIND("º",SUBSTITUTE(E2629,"°","º"))-1)),-1),IF(LEFT(E2629,6)="TÉRREO",0,IFERROR(VALUE(LEFT(E2629,FIND("º",SUBSTITUTE(E2629,"°","º"))-1)),""))))</f>
        <v/>
      </c>
      <c r="O2629" s="2">
        <f>IF(OR(F2629="",G2629=""),"",IF(G2629&lt;='RETRATO 2027'!$K$5,"CONCLUÍDA",IF(F2629&lt;='RETRATO 2027'!$K$5,"EM ANDAMENTO","A INICIAR")))</f>
        <v/>
      </c>
    </row>
    <row r="2630">
      <c r="M2630" s="2">
        <f>IF(C2630="","",IFERROR(INDEX($S$5:$S$304,MATCH(C2630,$R$5:$R$304,0))&amp;"","?"))</f>
        <v/>
      </c>
      <c r="N2630" s="2">
        <f>IF(E2630="","",IF(ISNUMBER(SEARCH("SUBSOLO",E2630)),IFERROR(-VALUE(LEFT(E2630,FIND("º",SUBSTITUTE(E2630,"°","º"))-1)),-1),IF(LEFT(E2630,6)="TÉRREO",0,IFERROR(VALUE(LEFT(E2630,FIND("º",SUBSTITUTE(E2630,"°","º"))-1)),""))))</f>
        <v/>
      </c>
      <c r="O2630" s="2">
        <f>IF(OR(F2630="",G2630=""),"",IF(G2630&lt;='RETRATO 2027'!$K$5,"CONCLUÍDA",IF(F2630&lt;='RETRATO 2027'!$K$5,"EM ANDAMENTO","A INICIAR")))</f>
        <v/>
      </c>
    </row>
    <row r="2631">
      <c r="M2631" s="2">
        <f>IF(C2631="","",IFERROR(INDEX($S$5:$S$304,MATCH(C2631,$R$5:$R$304,0))&amp;"","?"))</f>
        <v/>
      </c>
      <c r="N2631" s="2">
        <f>IF(E2631="","",IF(ISNUMBER(SEARCH("SUBSOLO",E2631)),IFERROR(-VALUE(LEFT(E2631,FIND("º",SUBSTITUTE(E2631,"°","º"))-1)),-1),IF(LEFT(E2631,6)="TÉRREO",0,IFERROR(VALUE(LEFT(E2631,FIND("º",SUBSTITUTE(E2631,"°","º"))-1)),""))))</f>
        <v/>
      </c>
      <c r="O2631" s="2">
        <f>IF(OR(F2631="",G2631=""),"",IF(G2631&lt;='RETRATO 2027'!$K$5,"CONCLUÍDA",IF(F2631&lt;='RETRATO 2027'!$K$5,"EM ANDAMENTO","A INICIAR")))</f>
        <v/>
      </c>
    </row>
    <row r="2632">
      <c r="M2632" s="2">
        <f>IF(C2632="","",IFERROR(INDEX($S$5:$S$304,MATCH(C2632,$R$5:$R$304,0))&amp;"","?"))</f>
        <v/>
      </c>
      <c r="N2632" s="2">
        <f>IF(E2632="","",IF(ISNUMBER(SEARCH("SUBSOLO",E2632)),IFERROR(-VALUE(LEFT(E2632,FIND("º",SUBSTITUTE(E2632,"°","º"))-1)),-1),IF(LEFT(E2632,6)="TÉRREO",0,IFERROR(VALUE(LEFT(E2632,FIND("º",SUBSTITUTE(E2632,"°","º"))-1)),""))))</f>
        <v/>
      </c>
      <c r="O2632" s="2">
        <f>IF(OR(F2632="",G2632=""),"",IF(G2632&lt;='RETRATO 2027'!$K$5,"CONCLUÍDA",IF(F2632&lt;='RETRATO 2027'!$K$5,"EM ANDAMENTO","A INICIAR")))</f>
        <v/>
      </c>
    </row>
    <row r="2633">
      <c r="M2633" s="2">
        <f>IF(C2633="","",IFERROR(INDEX($S$5:$S$304,MATCH(C2633,$R$5:$R$304,0))&amp;"","?"))</f>
        <v/>
      </c>
      <c r="N2633" s="2">
        <f>IF(E2633="","",IF(ISNUMBER(SEARCH("SUBSOLO",E2633)),IFERROR(-VALUE(LEFT(E2633,FIND("º",SUBSTITUTE(E2633,"°","º"))-1)),-1),IF(LEFT(E2633,6)="TÉRREO",0,IFERROR(VALUE(LEFT(E2633,FIND("º",SUBSTITUTE(E2633,"°","º"))-1)),""))))</f>
        <v/>
      </c>
      <c r="O2633" s="2">
        <f>IF(OR(F2633="",G2633=""),"",IF(G2633&lt;='RETRATO 2027'!$K$5,"CONCLUÍDA",IF(F2633&lt;='RETRATO 2027'!$K$5,"EM ANDAMENTO","A INICIAR")))</f>
        <v/>
      </c>
    </row>
    <row r="2634">
      <c r="M2634" s="2">
        <f>IF(C2634="","",IFERROR(INDEX($S$5:$S$304,MATCH(C2634,$R$5:$R$304,0))&amp;"","?"))</f>
        <v/>
      </c>
      <c r="N2634" s="2">
        <f>IF(E2634="","",IF(ISNUMBER(SEARCH("SUBSOLO",E2634)),IFERROR(-VALUE(LEFT(E2634,FIND("º",SUBSTITUTE(E2634,"°","º"))-1)),-1),IF(LEFT(E2634,6)="TÉRREO",0,IFERROR(VALUE(LEFT(E2634,FIND("º",SUBSTITUTE(E2634,"°","º"))-1)),""))))</f>
        <v/>
      </c>
      <c r="O2634" s="2">
        <f>IF(OR(F2634="",G2634=""),"",IF(G2634&lt;='RETRATO 2027'!$K$5,"CONCLUÍDA",IF(F2634&lt;='RETRATO 2027'!$K$5,"EM ANDAMENTO","A INICIAR")))</f>
        <v/>
      </c>
    </row>
    <row r="2635">
      <c r="M2635" s="2">
        <f>IF(C2635="","",IFERROR(INDEX($S$5:$S$304,MATCH(C2635,$R$5:$R$304,0))&amp;"","?"))</f>
        <v/>
      </c>
      <c r="N2635" s="2">
        <f>IF(E2635="","",IF(ISNUMBER(SEARCH("SUBSOLO",E2635)),IFERROR(-VALUE(LEFT(E2635,FIND("º",SUBSTITUTE(E2635,"°","º"))-1)),-1),IF(LEFT(E2635,6)="TÉRREO",0,IFERROR(VALUE(LEFT(E2635,FIND("º",SUBSTITUTE(E2635,"°","º"))-1)),""))))</f>
        <v/>
      </c>
      <c r="O2635" s="2">
        <f>IF(OR(F2635="",G2635=""),"",IF(G2635&lt;='RETRATO 2027'!$K$5,"CONCLUÍDA",IF(F2635&lt;='RETRATO 2027'!$K$5,"EM ANDAMENTO","A INICIAR")))</f>
        <v/>
      </c>
    </row>
    <row r="2636">
      <c r="M2636" s="2">
        <f>IF(C2636="","",IFERROR(INDEX($S$5:$S$304,MATCH(C2636,$R$5:$R$304,0))&amp;"","?"))</f>
        <v/>
      </c>
      <c r="N2636" s="2">
        <f>IF(E2636="","",IF(ISNUMBER(SEARCH("SUBSOLO",E2636)),IFERROR(-VALUE(LEFT(E2636,FIND("º",SUBSTITUTE(E2636,"°","º"))-1)),-1),IF(LEFT(E2636,6)="TÉRREO",0,IFERROR(VALUE(LEFT(E2636,FIND("º",SUBSTITUTE(E2636,"°","º"))-1)),""))))</f>
        <v/>
      </c>
      <c r="O2636" s="2">
        <f>IF(OR(F2636="",G2636=""),"",IF(G2636&lt;='RETRATO 2027'!$K$5,"CONCLUÍDA",IF(F2636&lt;='RETRATO 2027'!$K$5,"EM ANDAMENTO","A INICIAR")))</f>
        <v/>
      </c>
    </row>
    <row r="2637">
      <c r="M2637" s="2">
        <f>IF(C2637="","",IFERROR(INDEX($S$5:$S$304,MATCH(C2637,$R$5:$R$304,0))&amp;"","?"))</f>
        <v/>
      </c>
      <c r="N2637" s="2">
        <f>IF(E2637="","",IF(ISNUMBER(SEARCH("SUBSOLO",E2637)),IFERROR(-VALUE(LEFT(E2637,FIND("º",SUBSTITUTE(E2637,"°","º"))-1)),-1),IF(LEFT(E2637,6)="TÉRREO",0,IFERROR(VALUE(LEFT(E2637,FIND("º",SUBSTITUTE(E2637,"°","º"))-1)),""))))</f>
        <v/>
      </c>
      <c r="O2637" s="2">
        <f>IF(OR(F2637="",G2637=""),"",IF(G2637&lt;='RETRATO 2027'!$K$5,"CONCLUÍDA",IF(F2637&lt;='RETRATO 2027'!$K$5,"EM ANDAMENTO","A INICIAR")))</f>
        <v/>
      </c>
    </row>
    <row r="2638">
      <c r="M2638" s="2">
        <f>IF(C2638="","",IFERROR(INDEX($S$5:$S$304,MATCH(C2638,$R$5:$R$304,0))&amp;"","?"))</f>
        <v/>
      </c>
      <c r="N2638" s="2">
        <f>IF(E2638="","",IF(ISNUMBER(SEARCH("SUBSOLO",E2638)),IFERROR(-VALUE(LEFT(E2638,FIND("º",SUBSTITUTE(E2638,"°","º"))-1)),-1),IF(LEFT(E2638,6)="TÉRREO",0,IFERROR(VALUE(LEFT(E2638,FIND("º",SUBSTITUTE(E2638,"°","º"))-1)),""))))</f>
        <v/>
      </c>
      <c r="O2638" s="2">
        <f>IF(OR(F2638="",G2638=""),"",IF(G2638&lt;='RETRATO 2027'!$K$5,"CONCLUÍDA",IF(F2638&lt;='RETRATO 2027'!$K$5,"EM ANDAMENTO","A INICIAR")))</f>
        <v/>
      </c>
    </row>
    <row r="2639">
      <c r="M2639" s="2">
        <f>IF(C2639="","",IFERROR(INDEX($S$5:$S$304,MATCH(C2639,$R$5:$R$304,0))&amp;"","?"))</f>
        <v/>
      </c>
      <c r="N2639" s="2">
        <f>IF(E2639="","",IF(ISNUMBER(SEARCH("SUBSOLO",E2639)),IFERROR(-VALUE(LEFT(E2639,FIND("º",SUBSTITUTE(E2639,"°","º"))-1)),-1),IF(LEFT(E2639,6)="TÉRREO",0,IFERROR(VALUE(LEFT(E2639,FIND("º",SUBSTITUTE(E2639,"°","º"))-1)),""))))</f>
        <v/>
      </c>
      <c r="O2639" s="2">
        <f>IF(OR(F2639="",G2639=""),"",IF(G2639&lt;='RETRATO 2027'!$K$5,"CONCLUÍDA",IF(F2639&lt;='RETRATO 2027'!$K$5,"EM ANDAMENTO","A INICIAR")))</f>
        <v/>
      </c>
    </row>
    <row r="2640">
      <c r="M2640" s="2">
        <f>IF(C2640="","",IFERROR(INDEX($S$5:$S$304,MATCH(C2640,$R$5:$R$304,0))&amp;"","?"))</f>
        <v/>
      </c>
      <c r="N2640" s="2">
        <f>IF(E2640="","",IF(ISNUMBER(SEARCH("SUBSOLO",E2640)),IFERROR(-VALUE(LEFT(E2640,FIND("º",SUBSTITUTE(E2640,"°","º"))-1)),-1),IF(LEFT(E2640,6)="TÉRREO",0,IFERROR(VALUE(LEFT(E2640,FIND("º",SUBSTITUTE(E2640,"°","º"))-1)),""))))</f>
        <v/>
      </c>
      <c r="O2640" s="2">
        <f>IF(OR(F2640="",G2640=""),"",IF(G2640&lt;='RETRATO 2027'!$K$5,"CONCLUÍDA",IF(F2640&lt;='RETRATO 2027'!$K$5,"EM ANDAMENTO","A INICIAR")))</f>
        <v/>
      </c>
    </row>
    <row r="2641">
      <c r="M2641" s="2">
        <f>IF(C2641="","",IFERROR(INDEX($S$5:$S$304,MATCH(C2641,$R$5:$R$304,0))&amp;"","?"))</f>
        <v/>
      </c>
      <c r="N2641" s="2">
        <f>IF(E2641="","",IF(ISNUMBER(SEARCH("SUBSOLO",E2641)),IFERROR(-VALUE(LEFT(E2641,FIND("º",SUBSTITUTE(E2641,"°","º"))-1)),-1),IF(LEFT(E2641,6)="TÉRREO",0,IFERROR(VALUE(LEFT(E2641,FIND("º",SUBSTITUTE(E2641,"°","º"))-1)),""))))</f>
        <v/>
      </c>
      <c r="O2641" s="2">
        <f>IF(OR(F2641="",G2641=""),"",IF(G2641&lt;='RETRATO 2027'!$K$5,"CONCLUÍDA",IF(F2641&lt;='RETRATO 2027'!$K$5,"EM ANDAMENTO","A INICIAR")))</f>
        <v/>
      </c>
    </row>
    <row r="2642">
      <c r="M2642" s="2">
        <f>IF(C2642="","",IFERROR(INDEX($S$5:$S$304,MATCH(C2642,$R$5:$R$304,0))&amp;"","?"))</f>
        <v/>
      </c>
      <c r="N2642" s="2">
        <f>IF(E2642="","",IF(ISNUMBER(SEARCH("SUBSOLO",E2642)),IFERROR(-VALUE(LEFT(E2642,FIND("º",SUBSTITUTE(E2642,"°","º"))-1)),-1),IF(LEFT(E2642,6)="TÉRREO",0,IFERROR(VALUE(LEFT(E2642,FIND("º",SUBSTITUTE(E2642,"°","º"))-1)),""))))</f>
        <v/>
      </c>
      <c r="O2642" s="2">
        <f>IF(OR(F2642="",G2642=""),"",IF(G2642&lt;='RETRATO 2027'!$K$5,"CONCLUÍDA",IF(F2642&lt;='RETRATO 2027'!$K$5,"EM ANDAMENTO","A INICIAR")))</f>
        <v/>
      </c>
    </row>
    <row r="2643">
      <c r="M2643" s="2">
        <f>IF(C2643="","",IFERROR(INDEX($S$5:$S$304,MATCH(C2643,$R$5:$R$304,0))&amp;"","?"))</f>
        <v/>
      </c>
      <c r="N2643" s="2">
        <f>IF(E2643="","",IF(ISNUMBER(SEARCH("SUBSOLO",E2643)),IFERROR(-VALUE(LEFT(E2643,FIND("º",SUBSTITUTE(E2643,"°","º"))-1)),-1),IF(LEFT(E2643,6)="TÉRREO",0,IFERROR(VALUE(LEFT(E2643,FIND("º",SUBSTITUTE(E2643,"°","º"))-1)),""))))</f>
        <v/>
      </c>
      <c r="O2643" s="2">
        <f>IF(OR(F2643="",G2643=""),"",IF(G2643&lt;='RETRATO 2027'!$K$5,"CONCLUÍDA",IF(F2643&lt;='RETRATO 2027'!$K$5,"EM ANDAMENTO","A INICIAR")))</f>
        <v/>
      </c>
    </row>
    <row r="2644">
      <c r="M2644" s="2">
        <f>IF(C2644="","",IFERROR(INDEX($S$5:$S$304,MATCH(C2644,$R$5:$R$304,0))&amp;"","?"))</f>
        <v/>
      </c>
      <c r="N2644" s="2">
        <f>IF(E2644="","",IF(ISNUMBER(SEARCH("SUBSOLO",E2644)),IFERROR(-VALUE(LEFT(E2644,FIND("º",SUBSTITUTE(E2644,"°","º"))-1)),-1),IF(LEFT(E2644,6)="TÉRREO",0,IFERROR(VALUE(LEFT(E2644,FIND("º",SUBSTITUTE(E2644,"°","º"))-1)),""))))</f>
        <v/>
      </c>
      <c r="O2644" s="2">
        <f>IF(OR(F2644="",G2644=""),"",IF(G2644&lt;='RETRATO 2027'!$K$5,"CONCLUÍDA",IF(F2644&lt;='RETRATO 2027'!$K$5,"EM ANDAMENTO","A INICIAR")))</f>
        <v/>
      </c>
    </row>
    <row r="2645">
      <c r="M2645" s="2">
        <f>IF(C2645="","",IFERROR(INDEX($S$5:$S$304,MATCH(C2645,$R$5:$R$304,0))&amp;"","?"))</f>
        <v/>
      </c>
      <c r="N2645" s="2">
        <f>IF(E2645="","",IF(ISNUMBER(SEARCH("SUBSOLO",E2645)),IFERROR(-VALUE(LEFT(E2645,FIND("º",SUBSTITUTE(E2645,"°","º"))-1)),-1),IF(LEFT(E2645,6)="TÉRREO",0,IFERROR(VALUE(LEFT(E2645,FIND("º",SUBSTITUTE(E2645,"°","º"))-1)),""))))</f>
        <v/>
      </c>
      <c r="O2645" s="2">
        <f>IF(OR(F2645="",G2645=""),"",IF(G2645&lt;='RETRATO 2027'!$K$5,"CONCLUÍDA",IF(F2645&lt;='RETRATO 2027'!$K$5,"EM ANDAMENTO","A INICIAR")))</f>
        <v/>
      </c>
    </row>
    <row r="2646">
      <c r="M2646" s="2">
        <f>IF(C2646="","",IFERROR(INDEX($S$5:$S$304,MATCH(C2646,$R$5:$R$304,0))&amp;"","?"))</f>
        <v/>
      </c>
      <c r="N2646" s="2">
        <f>IF(E2646="","",IF(ISNUMBER(SEARCH("SUBSOLO",E2646)),IFERROR(-VALUE(LEFT(E2646,FIND("º",SUBSTITUTE(E2646,"°","º"))-1)),-1),IF(LEFT(E2646,6)="TÉRREO",0,IFERROR(VALUE(LEFT(E2646,FIND("º",SUBSTITUTE(E2646,"°","º"))-1)),""))))</f>
        <v/>
      </c>
      <c r="O2646" s="2">
        <f>IF(OR(F2646="",G2646=""),"",IF(G2646&lt;='RETRATO 2027'!$K$5,"CONCLUÍDA",IF(F2646&lt;='RETRATO 2027'!$K$5,"EM ANDAMENTO","A INICIAR")))</f>
        <v/>
      </c>
    </row>
    <row r="2647">
      <c r="M2647" s="2">
        <f>IF(C2647="","",IFERROR(INDEX($S$5:$S$304,MATCH(C2647,$R$5:$R$304,0))&amp;"","?"))</f>
        <v/>
      </c>
      <c r="N2647" s="2">
        <f>IF(E2647="","",IF(ISNUMBER(SEARCH("SUBSOLO",E2647)),IFERROR(-VALUE(LEFT(E2647,FIND("º",SUBSTITUTE(E2647,"°","º"))-1)),-1),IF(LEFT(E2647,6)="TÉRREO",0,IFERROR(VALUE(LEFT(E2647,FIND("º",SUBSTITUTE(E2647,"°","º"))-1)),""))))</f>
        <v/>
      </c>
      <c r="O2647" s="2">
        <f>IF(OR(F2647="",G2647=""),"",IF(G2647&lt;='RETRATO 2027'!$K$5,"CONCLUÍDA",IF(F2647&lt;='RETRATO 2027'!$K$5,"EM ANDAMENTO","A INICIAR")))</f>
        <v/>
      </c>
    </row>
    <row r="2648">
      <c r="M2648" s="2">
        <f>IF(C2648="","",IFERROR(INDEX($S$5:$S$304,MATCH(C2648,$R$5:$R$304,0))&amp;"","?"))</f>
        <v/>
      </c>
      <c r="N2648" s="2">
        <f>IF(E2648="","",IF(ISNUMBER(SEARCH("SUBSOLO",E2648)),IFERROR(-VALUE(LEFT(E2648,FIND("º",SUBSTITUTE(E2648,"°","º"))-1)),-1),IF(LEFT(E2648,6)="TÉRREO",0,IFERROR(VALUE(LEFT(E2648,FIND("º",SUBSTITUTE(E2648,"°","º"))-1)),""))))</f>
        <v/>
      </c>
      <c r="O2648" s="2">
        <f>IF(OR(F2648="",G2648=""),"",IF(G2648&lt;='RETRATO 2027'!$K$5,"CONCLUÍDA",IF(F2648&lt;='RETRATO 2027'!$K$5,"EM ANDAMENTO","A INICIAR")))</f>
        <v/>
      </c>
    </row>
    <row r="2649">
      <c r="M2649" s="2">
        <f>IF(C2649="","",IFERROR(INDEX($S$5:$S$304,MATCH(C2649,$R$5:$R$304,0))&amp;"","?"))</f>
        <v/>
      </c>
      <c r="N2649" s="2">
        <f>IF(E2649="","",IF(ISNUMBER(SEARCH("SUBSOLO",E2649)),IFERROR(-VALUE(LEFT(E2649,FIND("º",SUBSTITUTE(E2649,"°","º"))-1)),-1),IF(LEFT(E2649,6)="TÉRREO",0,IFERROR(VALUE(LEFT(E2649,FIND("º",SUBSTITUTE(E2649,"°","º"))-1)),""))))</f>
        <v/>
      </c>
      <c r="O2649" s="2">
        <f>IF(OR(F2649="",G2649=""),"",IF(G2649&lt;='RETRATO 2027'!$K$5,"CONCLUÍDA",IF(F2649&lt;='RETRATO 2027'!$K$5,"EM ANDAMENTO","A INICIAR")))</f>
        <v/>
      </c>
    </row>
    <row r="2650">
      <c r="M2650" s="2">
        <f>IF(C2650="","",IFERROR(INDEX($S$5:$S$304,MATCH(C2650,$R$5:$R$304,0))&amp;"","?"))</f>
        <v/>
      </c>
      <c r="N2650" s="2">
        <f>IF(E2650="","",IF(ISNUMBER(SEARCH("SUBSOLO",E2650)),IFERROR(-VALUE(LEFT(E2650,FIND("º",SUBSTITUTE(E2650,"°","º"))-1)),-1),IF(LEFT(E2650,6)="TÉRREO",0,IFERROR(VALUE(LEFT(E2650,FIND("º",SUBSTITUTE(E2650,"°","º"))-1)),""))))</f>
        <v/>
      </c>
      <c r="O2650" s="2">
        <f>IF(OR(F2650="",G2650=""),"",IF(G2650&lt;='RETRATO 2027'!$K$5,"CONCLUÍDA",IF(F2650&lt;='RETRATO 2027'!$K$5,"EM ANDAMENTO","A INICIAR")))</f>
        <v/>
      </c>
    </row>
    <row r="2651">
      <c r="M2651" s="2">
        <f>IF(C2651="","",IFERROR(INDEX($S$5:$S$304,MATCH(C2651,$R$5:$R$304,0))&amp;"","?"))</f>
        <v/>
      </c>
      <c r="N2651" s="2">
        <f>IF(E2651="","",IF(ISNUMBER(SEARCH("SUBSOLO",E2651)),IFERROR(-VALUE(LEFT(E2651,FIND("º",SUBSTITUTE(E2651,"°","º"))-1)),-1),IF(LEFT(E2651,6)="TÉRREO",0,IFERROR(VALUE(LEFT(E2651,FIND("º",SUBSTITUTE(E2651,"°","º"))-1)),""))))</f>
        <v/>
      </c>
      <c r="O2651" s="2">
        <f>IF(OR(F2651="",G2651=""),"",IF(G2651&lt;='RETRATO 2027'!$K$5,"CONCLUÍDA",IF(F2651&lt;='RETRATO 2027'!$K$5,"EM ANDAMENTO","A INICIAR")))</f>
        <v/>
      </c>
    </row>
    <row r="2652">
      <c r="M2652" s="2">
        <f>IF(C2652="","",IFERROR(INDEX($S$5:$S$304,MATCH(C2652,$R$5:$R$304,0))&amp;"","?"))</f>
        <v/>
      </c>
      <c r="N2652" s="2">
        <f>IF(E2652="","",IF(ISNUMBER(SEARCH("SUBSOLO",E2652)),IFERROR(-VALUE(LEFT(E2652,FIND("º",SUBSTITUTE(E2652,"°","º"))-1)),-1),IF(LEFT(E2652,6)="TÉRREO",0,IFERROR(VALUE(LEFT(E2652,FIND("º",SUBSTITUTE(E2652,"°","º"))-1)),""))))</f>
        <v/>
      </c>
      <c r="O2652" s="2">
        <f>IF(OR(F2652="",G2652=""),"",IF(G2652&lt;='RETRATO 2027'!$K$5,"CONCLUÍDA",IF(F2652&lt;='RETRATO 2027'!$K$5,"EM ANDAMENTO","A INICIAR")))</f>
        <v/>
      </c>
    </row>
    <row r="2653">
      <c r="M2653" s="2">
        <f>IF(C2653="","",IFERROR(INDEX($S$5:$S$304,MATCH(C2653,$R$5:$R$304,0))&amp;"","?"))</f>
        <v/>
      </c>
      <c r="N2653" s="2">
        <f>IF(E2653="","",IF(ISNUMBER(SEARCH("SUBSOLO",E2653)),IFERROR(-VALUE(LEFT(E2653,FIND("º",SUBSTITUTE(E2653,"°","º"))-1)),-1),IF(LEFT(E2653,6)="TÉRREO",0,IFERROR(VALUE(LEFT(E2653,FIND("º",SUBSTITUTE(E2653,"°","º"))-1)),""))))</f>
        <v/>
      </c>
      <c r="O2653" s="2">
        <f>IF(OR(F2653="",G2653=""),"",IF(G2653&lt;='RETRATO 2027'!$K$5,"CONCLUÍDA",IF(F2653&lt;='RETRATO 2027'!$K$5,"EM ANDAMENTO","A INICIAR")))</f>
        <v/>
      </c>
    </row>
    <row r="2654">
      <c r="M2654" s="2">
        <f>IF(C2654="","",IFERROR(INDEX($S$5:$S$304,MATCH(C2654,$R$5:$R$304,0))&amp;"","?"))</f>
        <v/>
      </c>
      <c r="N2654" s="2">
        <f>IF(E2654="","",IF(ISNUMBER(SEARCH("SUBSOLO",E2654)),IFERROR(-VALUE(LEFT(E2654,FIND("º",SUBSTITUTE(E2654,"°","º"))-1)),-1),IF(LEFT(E2654,6)="TÉRREO",0,IFERROR(VALUE(LEFT(E2654,FIND("º",SUBSTITUTE(E2654,"°","º"))-1)),""))))</f>
        <v/>
      </c>
      <c r="O2654" s="2">
        <f>IF(OR(F2654="",G2654=""),"",IF(G2654&lt;='RETRATO 2027'!$K$5,"CONCLUÍDA",IF(F2654&lt;='RETRATO 2027'!$K$5,"EM ANDAMENTO","A INICIAR")))</f>
        <v/>
      </c>
    </row>
    <row r="2655">
      <c r="M2655" s="2">
        <f>IF(C2655="","",IFERROR(INDEX($S$5:$S$304,MATCH(C2655,$R$5:$R$304,0))&amp;"","?"))</f>
        <v/>
      </c>
      <c r="N2655" s="2">
        <f>IF(E2655="","",IF(ISNUMBER(SEARCH("SUBSOLO",E2655)),IFERROR(-VALUE(LEFT(E2655,FIND("º",SUBSTITUTE(E2655,"°","º"))-1)),-1),IF(LEFT(E2655,6)="TÉRREO",0,IFERROR(VALUE(LEFT(E2655,FIND("º",SUBSTITUTE(E2655,"°","º"))-1)),""))))</f>
        <v/>
      </c>
      <c r="O2655" s="2">
        <f>IF(OR(F2655="",G2655=""),"",IF(G2655&lt;='RETRATO 2027'!$K$5,"CONCLUÍDA",IF(F2655&lt;='RETRATO 2027'!$K$5,"EM ANDAMENTO","A INICIAR")))</f>
        <v/>
      </c>
    </row>
    <row r="2656">
      <c r="M2656" s="2">
        <f>IF(C2656="","",IFERROR(INDEX($S$5:$S$304,MATCH(C2656,$R$5:$R$304,0))&amp;"","?"))</f>
        <v/>
      </c>
      <c r="N2656" s="2">
        <f>IF(E2656="","",IF(ISNUMBER(SEARCH("SUBSOLO",E2656)),IFERROR(-VALUE(LEFT(E2656,FIND("º",SUBSTITUTE(E2656,"°","º"))-1)),-1),IF(LEFT(E2656,6)="TÉRREO",0,IFERROR(VALUE(LEFT(E2656,FIND("º",SUBSTITUTE(E2656,"°","º"))-1)),""))))</f>
        <v/>
      </c>
      <c r="O2656" s="2">
        <f>IF(OR(F2656="",G2656=""),"",IF(G2656&lt;='RETRATO 2027'!$K$5,"CONCLUÍDA",IF(F2656&lt;='RETRATO 2027'!$K$5,"EM ANDAMENTO","A INICIAR")))</f>
        <v/>
      </c>
    </row>
    <row r="2657">
      <c r="M2657" s="2">
        <f>IF(C2657="","",IFERROR(INDEX($S$5:$S$304,MATCH(C2657,$R$5:$R$304,0))&amp;"","?"))</f>
        <v/>
      </c>
      <c r="N2657" s="2">
        <f>IF(E2657="","",IF(ISNUMBER(SEARCH("SUBSOLO",E2657)),IFERROR(-VALUE(LEFT(E2657,FIND("º",SUBSTITUTE(E2657,"°","º"))-1)),-1),IF(LEFT(E2657,6)="TÉRREO",0,IFERROR(VALUE(LEFT(E2657,FIND("º",SUBSTITUTE(E2657,"°","º"))-1)),""))))</f>
        <v/>
      </c>
      <c r="O2657" s="2">
        <f>IF(OR(F2657="",G2657=""),"",IF(G2657&lt;='RETRATO 2027'!$K$5,"CONCLUÍDA",IF(F2657&lt;='RETRATO 2027'!$K$5,"EM ANDAMENTO","A INICIAR")))</f>
        <v/>
      </c>
    </row>
    <row r="2658">
      <c r="M2658" s="2">
        <f>IF(C2658="","",IFERROR(INDEX($S$5:$S$304,MATCH(C2658,$R$5:$R$304,0))&amp;"","?"))</f>
        <v/>
      </c>
      <c r="N2658" s="2">
        <f>IF(E2658="","",IF(ISNUMBER(SEARCH("SUBSOLO",E2658)),IFERROR(-VALUE(LEFT(E2658,FIND("º",SUBSTITUTE(E2658,"°","º"))-1)),-1),IF(LEFT(E2658,6)="TÉRREO",0,IFERROR(VALUE(LEFT(E2658,FIND("º",SUBSTITUTE(E2658,"°","º"))-1)),""))))</f>
        <v/>
      </c>
      <c r="O2658" s="2">
        <f>IF(OR(F2658="",G2658=""),"",IF(G2658&lt;='RETRATO 2027'!$K$5,"CONCLUÍDA",IF(F2658&lt;='RETRATO 2027'!$K$5,"EM ANDAMENTO","A INICIAR")))</f>
        <v/>
      </c>
    </row>
    <row r="2659">
      <c r="M2659" s="2">
        <f>IF(C2659="","",IFERROR(INDEX($S$5:$S$304,MATCH(C2659,$R$5:$R$304,0))&amp;"","?"))</f>
        <v/>
      </c>
      <c r="N2659" s="2">
        <f>IF(E2659="","",IF(ISNUMBER(SEARCH("SUBSOLO",E2659)),IFERROR(-VALUE(LEFT(E2659,FIND("º",SUBSTITUTE(E2659,"°","º"))-1)),-1),IF(LEFT(E2659,6)="TÉRREO",0,IFERROR(VALUE(LEFT(E2659,FIND("º",SUBSTITUTE(E2659,"°","º"))-1)),""))))</f>
        <v/>
      </c>
      <c r="O2659" s="2">
        <f>IF(OR(F2659="",G2659=""),"",IF(G2659&lt;='RETRATO 2027'!$K$5,"CONCLUÍDA",IF(F2659&lt;='RETRATO 2027'!$K$5,"EM ANDAMENTO","A INICIAR")))</f>
        <v/>
      </c>
    </row>
    <row r="2660">
      <c r="M2660" s="2">
        <f>IF(C2660="","",IFERROR(INDEX($S$5:$S$304,MATCH(C2660,$R$5:$R$304,0))&amp;"","?"))</f>
        <v/>
      </c>
      <c r="N2660" s="2">
        <f>IF(E2660="","",IF(ISNUMBER(SEARCH("SUBSOLO",E2660)),IFERROR(-VALUE(LEFT(E2660,FIND("º",SUBSTITUTE(E2660,"°","º"))-1)),-1),IF(LEFT(E2660,6)="TÉRREO",0,IFERROR(VALUE(LEFT(E2660,FIND("º",SUBSTITUTE(E2660,"°","º"))-1)),""))))</f>
        <v/>
      </c>
      <c r="O2660" s="2">
        <f>IF(OR(F2660="",G2660=""),"",IF(G2660&lt;='RETRATO 2027'!$K$5,"CONCLUÍDA",IF(F2660&lt;='RETRATO 2027'!$K$5,"EM ANDAMENTO","A INICIAR")))</f>
        <v/>
      </c>
    </row>
    <row r="2661">
      <c r="M2661" s="2">
        <f>IF(C2661="","",IFERROR(INDEX($S$5:$S$304,MATCH(C2661,$R$5:$R$304,0))&amp;"","?"))</f>
        <v/>
      </c>
      <c r="N2661" s="2">
        <f>IF(E2661="","",IF(ISNUMBER(SEARCH("SUBSOLO",E2661)),IFERROR(-VALUE(LEFT(E2661,FIND("º",SUBSTITUTE(E2661,"°","º"))-1)),-1),IF(LEFT(E2661,6)="TÉRREO",0,IFERROR(VALUE(LEFT(E2661,FIND("º",SUBSTITUTE(E2661,"°","º"))-1)),""))))</f>
        <v/>
      </c>
      <c r="O2661" s="2">
        <f>IF(OR(F2661="",G2661=""),"",IF(G2661&lt;='RETRATO 2027'!$K$5,"CONCLUÍDA",IF(F2661&lt;='RETRATO 2027'!$K$5,"EM ANDAMENTO","A INICIAR")))</f>
        <v/>
      </c>
    </row>
    <row r="2662">
      <c r="M2662" s="2">
        <f>IF(C2662="","",IFERROR(INDEX($S$5:$S$304,MATCH(C2662,$R$5:$R$304,0))&amp;"","?"))</f>
        <v/>
      </c>
      <c r="N2662" s="2">
        <f>IF(E2662="","",IF(ISNUMBER(SEARCH("SUBSOLO",E2662)),IFERROR(-VALUE(LEFT(E2662,FIND("º",SUBSTITUTE(E2662,"°","º"))-1)),-1),IF(LEFT(E2662,6)="TÉRREO",0,IFERROR(VALUE(LEFT(E2662,FIND("º",SUBSTITUTE(E2662,"°","º"))-1)),""))))</f>
        <v/>
      </c>
      <c r="O2662" s="2">
        <f>IF(OR(F2662="",G2662=""),"",IF(G2662&lt;='RETRATO 2027'!$K$5,"CONCLUÍDA",IF(F2662&lt;='RETRATO 2027'!$K$5,"EM ANDAMENTO","A INICIAR")))</f>
        <v/>
      </c>
    </row>
    <row r="2663">
      <c r="M2663" s="2">
        <f>IF(C2663="","",IFERROR(INDEX($S$5:$S$304,MATCH(C2663,$R$5:$R$304,0))&amp;"","?"))</f>
        <v/>
      </c>
      <c r="N2663" s="2">
        <f>IF(E2663="","",IF(ISNUMBER(SEARCH("SUBSOLO",E2663)),IFERROR(-VALUE(LEFT(E2663,FIND("º",SUBSTITUTE(E2663,"°","º"))-1)),-1),IF(LEFT(E2663,6)="TÉRREO",0,IFERROR(VALUE(LEFT(E2663,FIND("º",SUBSTITUTE(E2663,"°","º"))-1)),""))))</f>
        <v/>
      </c>
      <c r="O2663" s="2">
        <f>IF(OR(F2663="",G2663=""),"",IF(G2663&lt;='RETRATO 2027'!$K$5,"CONCLUÍDA",IF(F2663&lt;='RETRATO 2027'!$K$5,"EM ANDAMENTO","A INICIAR")))</f>
        <v/>
      </c>
    </row>
    <row r="2664">
      <c r="M2664" s="2">
        <f>IF(C2664="","",IFERROR(INDEX($S$5:$S$304,MATCH(C2664,$R$5:$R$304,0))&amp;"","?"))</f>
        <v/>
      </c>
      <c r="N2664" s="2">
        <f>IF(E2664="","",IF(ISNUMBER(SEARCH("SUBSOLO",E2664)),IFERROR(-VALUE(LEFT(E2664,FIND("º",SUBSTITUTE(E2664,"°","º"))-1)),-1),IF(LEFT(E2664,6)="TÉRREO",0,IFERROR(VALUE(LEFT(E2664,FIND("º",SUBSTITUTE(E2664,"°","º"))-1)),""))))</f>
        <v/>
      </c>
      <c r="O2664" s="2">
        <f>IF(OR(F2664="",G2664=""),"",IF(G2664&lt;='RETRATO 2027'!$K$5,"CONCLUÍDA",IF(F2664&lt;='RETRATO 2027'!$K$5,"EM ANDAMENTO","A INICIAR")))</f>
        <v/>
      </c>
    </row>
    <row r="2665">
      <c r="M2665" s="2">
        <f>IF(C2665="","",IFERROR(INDEX($S$5:$S$304,MATCH(C2665,$R$5:$R$304,0))&amp;"","?"))</f>
        <v/>
      </c>
      <c r="N2665" s="2">
        <f>IF(E2665="","",IF(ISNUMBER(SEARCH("SUBSOLO",E2665)),IFERROR(-VALUE(LEFT(E2665,FIND("º",SUBSTITUTE(E2665,"°","º"))-1)),-1),IF(LEFT(E2665,6)="TÉRREO",0,IFERROR(VALUE(LEFT(E2665,FIND("º",SUBSTITUTE(E2665,"°","º"))-1)),""))))</f>
        <v/>
      </c>
      <c r="O2665" s="2">
        <f>IF(OR(F2665="",G2665=""),"",IF(G2665&lt;='RETRATO 2027'!$K$5,"CONCLUÍDA",IF(F2665&lt;='RETRATO 2027'!$K$5,"EM ANDAMENTO","A INICIAR")))</f>
        <v/>
      </c>
    </row>
    <row r="2666">
      <c r="M2666" s="2">
        <f>IF(C2666="","",IFERROR(INDEX($S$5:$S$304,MATCH(C2666,$R$5:$R$304,0))&amp;"","?"))</f>
        <v/>
      </c>
      <c r="N2666" s="2">
        <f>IF(E2666="","",IF(ISNUMBER(SEARCH("SUBSOLO",E2666)),IFERROR(-VALUE(LEFT(E2666,FIND("º",SUBSTITUTE(E2666,"°","º"))-1)),-1),IF(LEFT(E2666,6)="TÉRREO",0,IFERROR(VALUE(LEFT(E2666,FIND("º",SUBSTITUTE(E2666,"°","º"))-1)),""))))</f>
        <v/>
      </c>
      <c r="O2666" s="2">
        <f>IF(OR(F2666="",G2666=""),"",IF(G2666&lt;='RETRATO 2027'!$K$5,"CONCLUÍDA",IF(F2666&lt;='RETRATO 2027'!$K$5,"EM ANDAMENTO","A INICIAR")))</f>
        <v/>
      </c>
    </row>
    <row r="2667">
      <c r="M2667" s="2">
        <f>IF(C2667="","",IFERROR(INDEX($S$5:$S$304,MATCH(C2667,$R$5:$R$304,0))&amp;"","?"))</f>
        <v/>
      </c>
      <c r="N2667" s="2">
        <f>IF(E2667="","",IF(ISNUMBER(SEARCH("SUBSOLO",E2667)),IFERROR(-VALUE(LEFT(E2667,FIND("º",SUBSTITUTE(E2667,"°","º"))-1)),-1),IF(LEFT(E2667,6)="TÉRREO",0,IFERROR(VALUE(LEFT(E2667,FIND("º",SUBSTITUTE(E2667,"°","º"))-1)),""))))</f>
        <v/>
      </c>
      <c r="O2667" s="2">
        <f>IF(OR(F2667="",G2667=""),"",IF(G2667&lt;='RETRATO 2027'!$K$5,"CONCLUÍDA",IF(F2667&lt;='RETRATO 2027'!$K$5,"EM ANDAMENTO","A INICIAR")))</f>
        <v/>
      </c>
    </row>
    <row r="2668">
      <c r="M2668" s="2">
        <f>IF(C2668="","",IFERROR(INDEX($S$5:$S$304,MATCH(C2668,$R$5:$R$304,0))&amp;"","?"))</f>
        <v/>
      </c>
      <c r="N2668" s="2">
        <f>IF(E2668="","",IF(ISNUMBER(SEARCH("SUBSOLO",E2668)),IFERROR(-VALUE(LEFT(E2668,FIND("º",SUBSTITUTE(E2668,"°","º"))-1)),-1),IF(LEFT(E2668,6)="TÉRREO",0,IFERROR(VALUE(LEFT(E2668,FIND("º",SUBSTITUTE(E2668,"°","º"))-1)),""))))</f>
        <v/>
      </c>
      <c r="O2668" s="2">
        <f>IF(OR(F2668="",G2668=""),"",IF(G2668&lt;='RETRATO 2027'!$K$5,"CONCLUÍDA",IF(F2668&lt;='RETRATO 2027'!$K$5,"EM ANDAMENTO","A INICIAR")))</f>
        <v/>
      </c>
    </row>
    <row r="2669">
      <c r="M2669" s="2">
        <f>IF(C2669="","",IFERROR(INDEX($S$5:$S$304,MATCH(C2669,$R$5:$R$304,0))&amp;"","?"))</f>
        <v/>
      </c>
      <c r="N2669" s="2">
        <f>IF(E2669="","",IF(ISNUMBER(SEARCH("SUBSOLO",E2669)),IFERROR(-VALUE(LEFT(E2669,FIND("º",SUBSTITUTE(E2669,"°","º"))-1)),-1),IF(LEFT(E2669,6)="TÉRREO",0,IFERROR(VALUE(LEFT(E2669,FIND("º",SUBSTITUTE(E2669,"°","º"))-1)),""))))</f>
        <v/>
      </c>
      <c r="O2669" s="2">
        <f>IF(OR(F2669="",G2669=""),"",IF(G2669&lt;='RETRATO 2027'!$K$5,"CONCLUÍDA",IF(F2669&lt;='RETRATO 2027'!$K$5,"EM ANDAMENTO","A INICIAR")))</f>
        <v/>
      </c>
    </row>
    <row r="2670">
      <c r="M2670" s="2">
        <f>IF(C2670="","",IFERROR(INDEX($S$5:$S$304,MATCH(C2670,$R$5:$R$304,0))&amp;"","?"))</f>
        <v/>
      </c>
      <c r="N2670" s="2">
        <f>IF(E2670="","",IF(ISNUMBER(SEARCH("SUBSOLO",E2670)),IFERROR(-VALUE(LEFT(E2670,FIND("º",SUBSTITUTE(E2670,"°","º"))-1)),-1),IF(LEFT(E2670,6)="TÉRREO",0,IFERROR(VALUE(LEFT(E2670,FIND("º",SUBSTITUTE(E2670,"°","º"))-1)),""))))</f>
        <v/>
      </c>
      <c r="O2670" s="2">
        <f>IF(OR(F2670="",G2670=""),"",IF(G2670&lt;='RETRATO 2027'!$K$5,"CONCLUÍDA",IF(F2670&lt;='RETRATO 2027'!$K$5,"EM ANDAMENTO","A INICIAR")))</f>
        <v/>
      </c>
    </row>
    <row r="2671">
      <c r="M2671" s="2">
        <f>IF(C2671="","",IFERROR(INDEX($S$5:$S$304,MATCH(C2671,$R$5:$R$304,0))&amp;"","?"))</f>
        <v/>
      </c>
      <c r="N2671" s="2">
        <f>IF(E2671="","",IF(ISNUMBER(SEARCH("SUBSOLO",E2671)),IFERROR(-VALUE(LEFT(E2671,FIND("º",SUBSTITUTE(E2671,"°","º"))-1)),-1),IF(LEFT(E2671,6)="TÉRREO",0,IFERROR(VALUE(LEFT(E2671,FIND("º",SUBSTITUTE(E2671,"°","º"))-1)),""))))</f>
        <v/>
      </c>
      <c r="O2671" s="2">
        <f>IF(OR(F2671="",G2671=""),"",IF(G2671&lt;='RETRATO 2027'!$K$5,"CONCLUÍDA",IF(F2671&lt;='RETRATO 2027'!$K$5,"EM ANDAMENTO","A INICIAR")))</f>
        <v/>
      </c>
    </row>
    <row r="2672">
      <c r="M2672" s="2">
        <f>IF(C2672="","",IFERROR(INDEX($S$5:$S$304,MATCH(C2672,$R$5:$R$304,0))&amp;"","?"))</f>
        <v/>
      </c>
      <c r="N2672" s="2">
        <f>IF(E2672="","",IF(ISNUMBER(SEARCH("SUBSOLO",E2672)),IFERROR(-VALUE(LEFT(E2672,FIND("º",SUBSTITUTE(E2672,"°","º"))-1)),-1),IF(LEFT(E2672,6)="TÉRREO",0,IFERROR(VALUE(LEFT(E2672,FIND("º",SUBSTITUTE(E2672,"°","º"))-1)),""))))</f>
        <v/>
      </c>
      <c r="O2672" s="2">
        <f>IF(OR(F2672="",G2672=""),"",IF(G2672&lt;='RETRATO 2027'!$K$5,"CONCLUÍDA",IF(F2672&lt;='RETRATO 2027'!$K$5,"EM ANDAMENTO","A INICIAR")))</f>
        <v/>
      </c>
    </row>
    <row r="2673">
      <c r="M2673" s="2">
        <f>IF(C2673="","",IFERROR(INDEX($S$5:$S$304,MATCH(C2673,$R$5:$R$304,0))&amp;"","?"))</f>
        <v/>
      </c>
      <c r="N2673" s="2">
        <f>IF(E2673="","",IF(ISNUMBER(SEARCH("SUBSOLO",E2673)),IFERROR(-VALUE(LEFT(E2673,FIND("º",SUBSTITUTE(E2673,"°","º"))-1)),-1),IF(LEFT(E2673,6)="TÉRREO",0,IFERROR(VALUE(LEFT(E2673,FIND("º",SUBSTITUTE(E2673,"°","º"))-1)),""))))</f>
        <v/>
      </c>
      <c r="O2673" s="2">
        <f>IF(OR(F2673="",G2673=""),"",IF(G2673&lt;='RETRATO 2027'!$K$5,"CONCLUÍDA",IF(F2673&lt;='RETRATO 2027'!$K$5,"EM ANDAMENTO","A INICIAR")))</f>
        <v/>
      </c>
    </row>
    <row r="2674">
      <c r="M2674" s="2">
        <f>IF(C2674="","",IFERROR(INDEX($S$5:$S$304,MATCH(C2674,$R$5:$R$304,0))&amp;"","?"))</f>
        <v/>
      </c>
      <c r="N2674" s="2">
        <f>IF(E2674="","",IF(ISNUMBER(SEARCH("SUBSOLO",E2674)),IFERROR(-VALUE(LEFT(E2674,FIND("º",SUBSTITUTE(E2674,"°","º"))-1)),-1),IF(LEFT(E2674,6)="TÉRREO",0,IFERROR(VALUE(LEFT(E2674,FIND("º",SUBSTITUTE(E2674,"°","º"))-1)),""))))</f>
        <v/>
      </c>
      <c r="O2674" s="2">
        <f>IF(OR(F2674="",G2674=""),"",IF(G2674&lt;='RETRATO 2027'!$K$5,"CONCLUÍDA",IF(F2674&lt;='RETRATO 2027'!$K$5,"EM ANDAMENTO","A INICIAR")))</f>
        <v/>
      </c>
    </row>
    <row r="2675">
      <c r="M2675" s="2">
        <f>IF(C2675="","",IFERROR(INDEX($S$5:$S$304,MATCH(C2675,$R$5:$R$304,0))&amp;"","?"))</f>
        <v/>
      </c>
      <c r="N2675" s="2">
        <f>IF(E2675="","",IF(ISNUMBER(SEARCH("SUBSOLO",E2675)),IFERROR(-VALUE(LEFT(E2675,FIND("º",SUBSTITUTE(E2675,"°","º"))-1)),-1),IF(LEFT(E2675,6)="TÉRREO",0,IFERROR(VALUE(LEFT(E2675,FIND("º",SUBSTITUTE(E2675,"°","º"))-1)),""))))</f>
        <v/>
      </c>
      <c r="O2675" s="2">
        <f>IF(OR(F2675="",G2675=""),"",IF(G2675&lt;='RETRATO 2027'!$K$5,"CONCLUÍDA",IF(F2675&lt;='RETRATO 2027'!$K$5,"EM ANDAMENTO","A INICIAR")))</f>
        <v/>
      </c>
    </row>
    <row r="2676">
      <c r="M2676" s="2">
        <f>IF(C2676="","",IFERROR(INDEX($S$5:$S$304,MATCH(C2676,$R$5:$R$304,0))&amp;"","?"))</f>
        <v/>
      </c>
      <c r="N2676" s="2">
        <f>IF(E2676="","",IF(ISNUMBER(SEARCH("SUBSOLO",E2676)),IFERROR(-VALUE(LEFT(E2676,FIND("º",SUBSTITUTE(E2676,"°","º"))-1)),-1),IF(LEFT(E2676,6)="TÉRREO",0,IFERROR(VALUE(LEFT(E2676,FIND("º",SUBSTITUTE(E2676,"°","º"))-1)),""))))</f>
        <v/>
      </c>
      <c r="O2676" s="2">
        <f>IF(OR(F2676="",G2676=""),"",IF(G2676&lt;='RETRATO 2027'!$K$5,"CONCLUÍDA",IF(F2676&lt;='RETRATO 2027'!$K$5,"EM ANDAMENTO","A INICIAR")))</f>
        <v/>
      </c>
    </row>
    <row r="2677">
      <c r="M2677" s="2">
        <f>IF(C2677="","",IFERROR(INDEX($S$5:$S$304,MATCH(C2677,$R$5:$R$304,0))&amp;"","?"))</f>
        <v/>
      </c>
      <c r="N2677" s="2">
        <f>IF(E2677="","",IF(ISNUMBER(SEARCH("SUBSOLO",E2677)),IFERROR(-VALUE(LEFT(E2677,FIND("º",SUBSTITUTE(E2677,"°","º"))-1)),-1),IF(LEFT(E2677,6)="TÉRREO",0,IFERROR(VALUE(LEFT(E2677,FIND("º",SUBSTITUTE(E2677,"°","º"))-1)),""))))</f>
        <v/>
      </c>
      <c r="O2677" s="2">
        <f>IF(OR(F2677="",G2677=""),"",IF(G2677&lt;='RETRATO 2027'!$K$5,"CONCLUÍDA",IF(F2677&lt;='RETRATO 2027'!$K$5,"EM ANDAMENTO","A INICIAR")))</f>
        <v/>
      </c>
    </row>
    <row r="2678">
      <c r="M2678" s="2">
        <f>IF(C2678="","",IFERROR(INDEX($S$5:$S$304,MATCH(C2678,$R$5:$R$304,0))&amp;"","?"))</f>
        <v/>
      </c>
      <c r="N2678" s="2">
        <f>IF(E2678="","",IF(ISNUMBER(SEARCH("SUBSOLO",E2678)),IFERROR(-VALUE(LEFT(E2678,FIND("º",SUBSTITUTE(E2678,"°","º"))-1)),-1),IF(LEFT(E2678,6)="TÉRREO",0,IFERROR(VALUE(LEFT(E2678,FIND("º",SUBSTITUTE(E2678,"°","º"))-1)),""))))</f>
        <v/>
      </c>
      <c r="O2678" s="2">
        <f>IF(OR(F2678="",G2678=""),"",IF(G2678&lt;='RETRATO 2027'!$K$5,"CONCLUÍDA",IF(F2678&lt;='RETRATO 2027'!$K$5,"EM ANDAMENTO","A INICIAR")))</f>
        <v/>
      </c>
    </row>
    <row r="2679">
      <c r="M2679" s="2">
        <f>IF(C2679="","",IFERROR(INDEX($S$5:$S$304,MATCH(C2679,$R$5:$R$304,0))&amp;"","?"))</f>
        <v/>
      </c>
      <c r="N2679" s="2">
        <f>IF(E2679="","",IF(ISNUMBER(SEARCH("SUBSOLO",E2679)),IFERROR(-VALUE(LEFT(E2679,FIND("º",SUBSTITUTE(E2679,"°","º"))-1)),-1),IF(LEFT(E2679,6)="TÉRREO",0,IFERROR(VALUE(LEFT(E2679,FIND("º",SUBSTITUTE(E2679,"°","º"))-1)),""))))</f>
        <v/>
      </c>
      <c r="O2679" s="2">
        <f>IF(OR(F2679="",G2679=""),"",IF(G2679&lt;='RETRATO 2027'!$K$5,"CONCLUÍDA",IF(F2679&lt;='RETRATO 2027'!$K$5,"EM ANDAMENTO","A INICIAR")))</f>
        <v/>
      </c>
    </row>
    <row r="2680">
      <c r="M2680" s="2">
        <f>IF(C2680="","",IFERROR(INDEX($S$5:$S$304,MATCH(C2680,$R$5:$R$304,0))&amp;"","?"))</f>
        <v/>
      </c>
      <c r="N2680" s="2">
        <f>IF(E2680="","",IF(ISNUMBER(SEARCH("SUBSOLO",E2680)),IFERROR(-VALUE(LEFT(E2680,FIND("º",SUBSTITUTE(E2680,"°","º"))-1)),-1),IF(LEFT(E2680,6)="TÉRREO",0,IFERROR(VALUE(LEFT(E2680,FIND("º",SUBSTITUTE(E2680,"°","º"))-1)),""))))</f>
        <v/>
      </c>
      <c r="O2680" s="2">
        <f>IF(OR(F2680="",G2680=""),"",IF(G2680&lt;='RETRATO 2027'!$K$5,"CONCLUÍDA",IF(F2680&lt;='RETRATO 2027'!$K$5,"EM ANDAMENTO","A INICIAR")))</f>
        <v/>
      </c>
    </row>
    <row r="2681">
      <c r="M2681" s="2">
        <f>IF(C2681="","",IFERROR(INDEX($S$5:$S$304,MATCH(C2681,$R$5:$R$304,0))&amp;"","?"))</f>
        <v/>
      </c>
      <c r="N2681" s="2">
        <f>IF(E2681="","",IF(ISNUMBER(SEARCH("SUBSOLO",E2681)),IFERROR(-VALUE(LEFT(E2681,FIND("º",SUBSTITUTE(E2681,"°","º"))-1)),-1),IF(LEFT(E2681,6)="TÉRREO",0,IFERROR(VALUE(LEFT(E2681,FIND("º",SUBSTITUTE(E2681,"°","º"))-1)),""))))</f>
        <v/>
      </c>
      <c r="O2681" s="2">
        <f>IF(OR(F2681="",G2681=""),"",IF(G2681&lt;='RETRATO 2027'!$K$5,"CONCLUÍDA",IF(F2681&lt;='RETRATO 2027'!$K$5,"EM ANDAMENTO","A INICIAR")))</f>
        <v/>
      </c>
    </row>
    <row r="2682">
      <c r="M2682" s="2">
        <f>IF(C2682="","",IFERROR(INDEX($S$5:$S$304,MATCH(C2682,$R$5:$R$304,0))&amp;"","?"))</f>
        <v/>
      </c>
      <c r="N2682" s="2">
        <f>IF(E2682="","",IF(ISNUMBER(SEARCH("SUBSOLO",E2682)),IFERROR(-VALUE(LEFT(E2682,FIND("º",SUBSTITUTE(E2682,"°","º"))-1)),-1),IF(LEFT(E2682,6)="TÉRREO",0,IFERROR(VALUE(LEFT(E2682,FIND("º",SUBSTITUTE(E2682,"°","º"))-1)),""))))</f>
        <v/>
      </c>
      <c r="O2682" s="2">
        <f>IF(OR(F2682="",G2682=""),"",IF(G2682&lt;='RETRATO 2027'!$K$5,"CONCLUÍDA",IF(F2682&lt;='RETRATO 2027'!$K$5,"EM ANDAMENTO","A INICIAR")))</f>
        <v/>
      </c>
    </row>
    <row r="2683">
      <c r="M2683" s="2">
        <f>IF(C2683="","",IFERROR(INDEX($S$5:$S$304,MATCH(C2683,$R$5:$R$304,0))&amp;"","?"))</f>
        <v/>
      </c>
      <c r="N2683" s="2">
        <f>IF(E2683="","",IF(ISNUMBER(SEARCH("SUBSOLO",E2683)),IFERROR(-VALUE(LEFT(E2683,FIND("º",SUBSTITUTE(E2683,"°","º"))-1)),-1),IF(LEFT(E2683,6)="TÉRREO",0,IFERROR(VALUE(LEFT(E2683,FIND("º",SUBSTITUTE(E2683,"°","º"))-1)),""))))</f>
        <v/>
      </c>
      <c r="O2683" s="2">
        <f>IF(OR(F2683="",G2683=""),"",IF(G2683&lt;='RETRATO 2027'!$K$5,"CONCLUÍDA",IF(F2683&lt;='RETRATO 2027'!$K$5,"EM ANDAMENTO","A INICIAR")))</f>
        <v/>
      </c>
    </row>
    <row r="2684">
      <c r="M2684" s="2">
        <f>IF(C2684="","",IFERROR(INDEX($S$5:$S$304,MATCH(C2684,$R$5:$R$304,0))&amp;"","?"))</f>
        <v/>
      </c>
      <c r="N2684" s="2">
        <f>IF(E2684="","",IF(ISNUMBER(SEARCH("SUBSOLO",E2684)),IFERROR(-VALUE(LEFT(E2684,FIND("º",SUBSTITUTE(E2684,"°","º"))-1)),-1),IF(LEFT(E2684,6)="TÉRREO",0,IFERROR(VALUE(LEFT(E2684,FIND("º",SUBSTITUTE(E2684,"°","º"))-1)),""))))</f>
        <v/>
      </c>
      <c r="O2684" s="2">
        <f>IF(OR(F2684="",G2684=""),"",IF(G2684&lt;='RETRATO 2027'!$K$5,"CONCLUÍDA",IF(F2684&lt;='RETRATO 2027'!$K$5,"EM ANDAMENTO","A INICIAR")))</f>
        <v/>
      </c>
    </row>
    <row r="2685">
      <c r="M2685" s="2">
        <f>IF(C2685="","",IFERROR(INDEX($S$5:$S$304,MATCH(C2685,$R$5:$R$304,0))&amp;"","?"))</f>
        <v/>
      </c>
      <c r="N2685" s="2">
        <f>IF(E2685="","",IF(ISNUMBER(SEARCH("SUBSOLO",E2685)),IFERROR(-VALUE(LEFT(E2685,FIND("º",SUBSTITUTE(E2685,"°","º"))-1)),-1),IF(LEFT(E2685,6)="TÉRREO",0,IFERROR(VALUE(LEFT(E2685,FIND("º",SUBSTITUTE(E2685,"°","º"))-1)),""))))</f>
        <v/>
      </c>
      <c r="O2685" s="2">
        <f>IF(OR(F2685="",G2685=""),"",IF(G2685&lt;='RETRATO 2027'!$K$5,"CONCLUÍDA",IF(F2685&lt;='RETRATO 2027'!$K$5,"EM ANDAMENTO","A INICIAR")))</f>
        <v/>
      </c>
    </row>
    <row r="2686">
      <c r="M2686" s="2">
        <f>IF(C2686="","",IFERROR(INDEX($S$5:$S$304,MATCH(C2686,$R$5:$R$304,0))&amp;"","?"))</f>
        <v/>
      </c>
      <c r="N2686" s="2">
        <f>IF(E2686="","",IF(ISNUMBER(SEARCH("SUBSOLO",E2686)),IFERROR(-VALUE(LEFT(E2686,FIND("º",SUBSTITUTE(E2686,"°","º"))-1)),-1),IF(LEFT(E2686,6)="TÉRREO",0,IFERROR(VALUE(LEFT(E2686,FIND("º",SUBSTITUTE(E2686,"°","º"))-1)),""))))</f>
        <v/>
      </c>
      <c r="O2686" s="2">
        <f>IF(OR(F2686="",G2686=""),"",IF(G2686&lt;='RETRATO 2027'!$K$5,"CONCLUÍDA",IF(F2686&lt;='RETRATO 2027'!$K$5,"EM ANDAMENTO","A INICIAR")))</f>
        <v/>
      </c>
    </row>
    <row r="2687">
      <c r="M2687" s="2">
        <f>IF(C2687="","",IFERROR(INDEX($S$5:$S$304,MATCH(C2687,$R$5:$R$304,0))&amp;"","?"))</f>
        <v/>
      </c>
      <c r="N2687" s="2">
        <f>IF(E2687="","",IF(ISNUMBER(SEARCH("SUBSOLO",E2687)),IFERROR(-VALUE(LEFT(E2687,FIND("º",SUBSTITUTE(E2687,"°","º"))-1)),-1),IF(LEFT(E2687,6)="TÉRREO",0,IFERROR(VALUE(LEFT(E2687,FIND("º",SUBSTITUTE(E2687,"°","º"))-1)),""))))</f>
        <v/>
      </c>
      <c r="O2687" s="2">
        <f>IF(OR(F2687="",G2687=""),"",IF(G2687&lt;='RETRATO 2027'!$K$5,"CONCLUÍDA",IF(F2687&lt;='RETRATO 2027'!$K$5,"EM ANDAMENTO","A INICIAR")))</f>
        <v/>
      </c>
    </row>
    <row r="2688">
      <c r="M2688" s="2">
        <f>IF(C2688="","",IFERROR(INDEX($S$5:$S$304,MATCH(C2688,$R$5:$R$304,0))&amp;"","?"))</f>
        <v/>
      </c>
      <c r="N2688" s="2">
        <f>IF(E2688="","",IF(ISNUMBER(SEARCH("SUBSOLO",E2688)),IFERROR(-VALUE(LEFT(E2688,FIND("º",SUBSTITUTE(E2688,"°","º"))-1)),-1),IF(LEFT(E2688,6)="TÉRREO",0,IFERROR(VALUE(LEFT(E2688,FIND("º",SUBSTITUTE(E2688,"°","º"))-1)),""))))</f>
        <v/>
      </c>
      <c r="O2688" s="2">
        <f>IF(OR(F2688="",G2688=""),"",IF(G2688&lt;='RETRATO 2027'!$K$5,"CONCLUÍDA",IF(F2688&lt;='RETRATO 2027'!$K$5,"EM ANDAMENTO","A INICIAR")))</f>
        <v/>
      </c>
    </row>
    <row r="2689">
      <c r="M2689" s="2">
        <f>IF(C2689="","",IFERROR(INDEX($S$5:$S$304,MATCH(C2689,$R$5:$R$304,0))&amp;"","?"))</f>
        <v/>
      </c>
      <c r="N2689" s="2">
        <f>IF(E2689="","",IF(ISNUMBER(SEARCH("SUBSOLO",E2689)),IFERROR(-VALUE(LEFT(E2689,FIND("º",SUBSTITUTE(E2689,"°","º"))-1)),-1),IF(LEFT(E2689,6)="TÉRREO",0,IFERROR(VALUE(LEFT(E2689,FIND("º",SUBSTITUTE(E2689,"°","º"))-1)),""))))</f>
        <v/>
      </c>
      <c r="O2689" s="2">
        <f>IF(OR(F2689="",G2689=""),"",IF(G2689&lt;='RETRATO 2027'!$K$5,"CONCLUÍDA",IF(F2689&lt;='RETRATO 2027'!$K$5,"EM ANDAMENTO","A INICIAR")))</f>
        <v/>
      </c>
    </row>
    <row r="2690">
      <c r="M2690" s="2">
        <f>IF(C2690="","",IFERROR(INDEX($S$5:$S$304,MATCH(C2690,$R$5:$R$304,0))&amp;"","?"))</f>
        <v/>
      </c>
      <c r="N2690" s="2">
        <f>IF(E2690="","",IF(ISNUMBER(SEARCH("SUBSOLO",E2690)),IFERROR(-VALUE(LEFT(E2690,FIND("º",SUBSTITUTE(E2690,"°","º"))-1)),-1),IF(LEFT(E2690,6)="TÉRREO",0,IFERROR(VALUE(LEFT(E2690,FIND("º",SUBSTITUTE(E2690,"°","º"))-1)),""))))</f>
        <v/>
      </c>
      <c r="O2690" s="2">
        <f>IF(OR(F2690="",G2690=""),"",IF(G2690&lt;='RETRATO 2027'!$K$5,"CONCLUÍDA",IF(F2690&lt;='RETRATO 2027'!$K$5,"EM ANDAMENTO","A INICIAR")))</f>
        <v/>
      </c>
    </row>
    <row r="2691">
      <c r="M2691" s="2">
        <f>IF(C2691="","",IFERROR(INDEX($S$5:$S$304,MATCH(C2691,$R$5:$R$304,0))&amp;"","?"))</f>
        <v/>
      </c>
      <c r="N2691" s="2">
        <f>IF(E2691="","",IF(ISNUMBER(SEARCH("SUBSOLO",E2691)),IFERROR(-VALUE(LEFT(E2691,FIND("º",SUBSTITUTE(E2691,"°","º"))-1)),-1),IF(LEFT(E2691,6)="TÉRREO",0,IFERROR(VALUE(LEFT(E2691,FIND("º",SUBSTITUTE(E2691,"°","º"))-1)),""))))</f>
        <v/>
      </c>
      <c r="O2691" s="2">
        <f>IF(OR(F2691="",G2691=""),"",IF(G2691&lt;='RETRATO 2027'!$K$5,"CONCLUÍDA",IF(F2691&lt;='RETRATO 2027'!$K$5,"EM ANDAMENTO","A INICIAR")))</f>
        <v/>
      </c>
    </row>
    <row r="2692">
      <c r="M2692" s="2">
        <f>IF(C2692="","",IFERROR(INDEX($S$5:$S$304,MATCH(C2692,$R$5:$R$304,0))&amp;"","?"))</f>
        <v/>
      </c>
      <c r="N2692" s="2">
        <f>IF(E2692="","",IF(ISNUMBER(SEARCH("SUBSOLO",E2692)),IFERROR(-VALUE(LEFT(E2692,FIND("º",SUBSTITUTE(E2692,"°","º"))-1)),-1),IF(LEFT(E2692,6)="TÉRREO",0,IFERROR(VALUE(LEFT(E2692,FIND("º",SUBSTITUTE(E2692,"°","º"))-1)),""))))</f>
        <v/>
      </c>
      <c r="O2692" s="2">
        <f>IF(OR(F2692="",G2692=""),"",IF(G2692&lt;='RETRATO 2027'!$K$5,"CONCLUÍDA",IF(F2692&lt;='RETRATO 2027'!$K$5,"EM ANDAMENTO","A INICIAR")))</f>
        <v/>
      </c>
    </row>
    <row r="2693">
      <c r="M2693" s="2">
        <f>IF(C2693="","",IFERROR(INDEX($S$5:$S$304,MATCH(C2693,$R$5:$R$304,0))&amp;"","?"))</f>
        <v/>
      </c>
      <c r="N2693" s="2">
        <f>IF(E2693="","",IF(ISNUMBER(SEARCH("SUBSOLO",E2693)),IFERROR(-VALUE(LEFT(E2693,FIND("º",SUBSTITUTE(E2693,"°","º"))-1)),-1),IF(LEFT(E2693,6)="TÉRREO",0,IFERROR(VALUE(LEFT(E2693,FIND("º",SUBSTITUTE(E2693,"°","º"))-1)),""))))</f>
        <v/>
      </c>
      <c r="O2693" s="2">
        <f>IF(OR(F2693="",G2693=""),"",IF(G2693&lt;='RETRATO 2027'!$K$5,"CONCLUÍDA",IF(F2693&lt;='RETRATO 2027'!$K$5,"EM ANDAMENTO","A INICIAR")))</f>
        <v/>
      </c>
    </row>
    <row r="2694">
      <c r="M2694" s="2">
        <f>IF(C2694="","",IFERROR(INDEX($S$5:$S$304,MATCH(C2694,$R$5:$R$304,0))&amp;"","?"))</f>
        <v/>
      </c>
      <c r="N2694" s="2">
        <f>IF(E2694="","",IF(ISNUMBER(SEARCH("SUBSOLO",E2694)),IFERROR(-VALUE(LEFT(E2694,FIND("º",SUBSTITUTE(E2694,"°","º"))-1)),-1),IF(LEFT(E2694,6)="TÉRREO",0,IFERROR(VALUE(LEFT(E2694,FIND("º",SUBSTITUTE(E2694,"°","º"))-1)),""))))</f>
        <v/>
      </c>
      <c r="O2694" s="2">
        <f>IF(OR(F2694="",G2694=""),"",IF(G2694&lt;='RETRATO 2027'!$K$5,"CONCLUÍDA",IF(F2694&lt;='RETRATO 2027'!$K$5,"EM ANDAMENTO","A INICIAR")))</f>
        <v/>
      </c>
    </row>
    <row r="2695">
      <c r="M2695" s="2">
        <f>IF(C2695="","",IFERROR(INDEX($S$5:$S$304,MATCH(C2695,$R$5:$R$304,0))&amp;"","?"))</f>
        <v/>
      </c>
      <c r="N2695" s="2">
        <f>IF(E2695="","",IF(ISNUMBER(SEARCH("SUBSOLO",E2695)),IFERROR(-VALUE(LEFT(E2695,FIND("º",SUBSTITUTE(E2695,"°","º"))-1)),-1),IF(LEFT(E2695,6)="TÉRREO",0,IFERROR(VALUE(LEFT(E2695,FIND("º",SUBSTITUTE(E2695,"°","º"))-1)),""))))</f>
        <v/>
      </c>
      <c r="O2695" s="2">
        <f>IF(OR(F2695="",G2695=""),"",IF(G2695&lt;='RETRATO 2027'!$K$5,"CONCLUÍDA",IF(F2695&lt;='RETRATO 2027'!$K$5,"EM ANDAMENTO","A INICIAR")))</f>
        <v/>
      </c>
    </row>
    <row r="2696">
      <c r="M2696" s="2">
        <f>IF(C2696="","",IFERROR(INDEX($S$5:$S$304,MATCH(C2696,$R$5:$R$304,0))&amp;"","?"))</f>
        <v/>
      </c>
      <c r="N2696" s="2">
        <f>IF(E2696="","",IF(ISNUMBER(SEARCH("SUBSOLO",E2696)),IFERROR(-VALUE(LEFT(E2696,FIND("º",SUBSTITUTE(E2696,"°","º"))-1)),-1),IF(LEFT(E2696,6)="TÉRREO",0,IFERROR(VALUE(LEFT(E2696,FIND("º",SUBSTITUTE(E2696,"°","º"))-1)),""))))</f>
        <v/>
      </c>
      <c r="O2696" s="2">
        <f>IF(OR(F2696="",G2696=""),"",IF(G2696&lt;='RETRATO 2027'!$K$5,"CONCLUÍDA",IF(F2696&lt;='RETRATO 2027'!$K$5,"EM ANDAMENTO","A INICIAR")))</f>
        <v/>
      </c>
    </row>
    <row r="2697">
      <c r="M2697" s="2">
        <f>IF(C2697="","",IFERROR(INDEX($S$5:$S$304,MATCH(C2697,$R$5:$R$304,0))&amp;"","?"))</f>
        <v/>
      </c>
      <c r="N2697" s="2">
        <f>IF(E2697="","",IF(ISNUMBER(SEARCH("SUBSOLO",E2697)),IFERROR(-VALUE(LEFT(E2697,FIND("º",SUBSTITUTE(E2697,"°","º"))-1)),-1),IF(LEFT(E2697,6)="TÉRREO",0,IFERROR(VALUE(LEFT(E2697,FIND("º",SUBSTITUTE(E2697,"°","º"))-1)),""))))</f>
        <v/>
      </c>
      <c r="O2697" s="2">
        <f>IF(OR(F2697="",G2697=""),"",IF(G2697&lt;='RETRATO 2027'!$K$5,"CONCLUÍDA",IF(F2697&lt;='RETRATO 2027'!$K$5,"EM ANDAMENTO","A INICIAR")))</f>
        <v/>
      </c>
    </row>
    <row r="2698">
      <c r="M2698" s="2">
        <f>IF(C2698="","",IFERROR(INDEX($S$5:$S$304,MATCH(C2698,$R$5:$R$304,0))&amp;"","?"))</f>
        <v/>
      </c>
      <c r="N2698" s="2">
        <f>IF(E2698="","",IF(ISNUMBER(SEARCH("SUBSOLO",E2698)),IFERROR(-VALUE(LEFT(E2698,FIND("º",SUBSTITUTE(E2698,"°","º"))-1)),-1),IF(LEFT(E2698,6)="TÉRREO",0,IFERROR(VALUE(LEFT(E2698,FIND("º",SUBSTITUTE(E2698,"°","º"))-1)),""))))</f>
        <v/>
      </c>
      <c r="O2698" s="2">
        <f>IF(OR(F2698="",G2698=""),"",IF(G2698&lt;='RETRATO 2027'!$K$5,"CONCLUÍDA",IF(F2698&lt;='RETRATO 2027'!$K$5,"EM ANDAMENTO","A INICIAR")))</f>
        <v/>
      </c>
    </row>
    <row r="2699">
      <c r="M2699" s="2">
        <f>IF(C2699="","",IFERROR(INDEX($S$5:$S$304,MATCH(C2699,$R$5:$R$304,0))&amp;"","?"))</f>
        <v/>
      </c>
      <c r="N2699" s="2">
        <f>IF(E2699="","",IF(ISNUMBER(SEARCH("SUBSOLO",E2699)),IFERROR(-VALUE(LEFT(E2699,FIND("º",SUBSTITUTE(E2699,"°","º"))-1)),-1),IF(LEFT(E2699,6)="TÉRREO",0,IFERROR(VALUE(LEFT(E2699,FIND("º",SUBSTITUTE(E2699,"°","º"))-1)),""))))</f>
        <v/>
      </c>
      <c r="O2699" s="2">
        <f>IF(OR(F2699="",G2699=""),"",IF(G2699&lt;='RETRATO 2027'!$K$5,"CONCLUÍDA",IF(F2699&lt;='RETRATO 2027'!$K$5,"EM ANDAMENTO","A INICIAR")))</f>
        <v/>
      </c>
    </row>
    <row r="2700">
      <c r="M2700" s="2">
        <f>IF(C2700="","",IFERROR(INDEX($S$5:$S$304,MATCH(C2700,$R$5:$R$304,0))&amp;"","?"))</f>
        <v/>
      </c>
      <c r="N2700" s="2">
        <f>IF(E2700="","",IF(ISNUMBER(SEARCH("SUBSOLO",E2700)),IFERROR(-VALUE(LEFT(E2700,FIND("º",SUBSTITUTE(E2700,"°","º"))-1)),-1),IF(LEFT(E2700,6)="TÉRREO",0,IFERROR(VALUE(LEFT(E2700,FIND("º",SUBSTITUTE(E2700,"°","º"))-1)),""))))</f>
        <v/>
      </c>
      <c r="O2700" s="2">
        <f>IF(OR(F2700="",G2700=""),"",IF(G2700&lt;='RETRATO 2027'!$K$5,"CONCLUÍDA",IF(F2700&lt;='RETRATO 2027'!$K$5,"EM ANDAMENTO","A INICIAR")))</f>
        <v/>
      </c>
    </row>
    <row r="2701">
      <c r="M2701" s="2">
        <f>IF(C2701="","",IFERROR(INDEX($S$5:$S$304,MATCH(C2701,$R$5:$R$304,0))&amp;"","?"))</f>
        <v/>
      </c>
      <c r="N2701" s="2">
        <f>IF(E2701="","",IF(ISNUMBER(SEARCH("SUBSOLO",E2701)),IFERROR(-VALUE(LEFT(E2701,FIND("º",SUBSTITUTE(E2701,"°","º"))-1)),-1),IF(LEFT(E2701,6)="TÉRREO",0,IFERROR(VALUE(LEFT(E2701,FIND("º",SUBSTITUTE(E2701,"°","º"))-1)),""))))</f>
        <v/>
      </c>
      <c r="O2701" s="2">
        <f>IF(OR(F2701="",G2701=""),"",IF(G2701&lt;='RETRATO 2027'!$K$5,"CONCLUÍDA",IF(F2701&lt;='RETRATO 2027'!$K$5,"EM ANDAMENTO","A INICIAR")))</f>
        <v/>
      </c>
    </row>
    <row r="2702">
      <c r="M2702" s="2">
        <f>IF(C2702="","",IFERROR(INDEX($S$5:$S$304,MATCH(C2702,$R$5:$R$304,0))&amp;"","?"))</f>
        <v/>
      </c>
      <c r="N2702" s="2">
        <f>IF(E2702="","",IF(ISNUMBER(SEARCH("SUBSOLO",E2702)),IFERROR(-VALUE(LEFT(E2702,FIND("º",SUBSTITUTE(E2702,"°","º"))-1)),-1),IF(LEFT(E2702,6)="TÉRREO",0,IFERROR(VALUE(LEFT(E2702,FIND("º",SUBSTITUTE(E2702,"°","º"))-1)),""))))</f>
        <v/>
      </c>
      <c r="O2702" s="2">
        <f>IF(OR(F2702="",G2702=""),"",IF(G2702&lt;='RETRATO 2027'!$K$5,"CONCLUÍDA",IF(F2702&lt;='RETRATO 2027'!$K$5,"EM ANDAMENTO","A INICIAR")))</f>
        <v/>
      </c>
    </row>
    <row r="2703">
      <c r="M2703" s="2">
        <f>IF(C2703="","",IFERROR(INDEX($S$5:$S$304,MATCH(C2703,$R$5:$R$304,0))&amp;"","?"))</f>
        <v/>
      </c>
      <c r="N2703" s="2">
        <f>IF(E2703="","",IF(ISNUMBER(SEARCH("SUBSOLO",E2703)),IFERROR(-VALUE(LEFT(E2703,FIND("º",SUBSTITUTE(E2703,"°","º"))-1)),-1),IF(LEFT(E2703,6)="TÉRREO",0,IFERROR(VALUE(LEFT(E2703,FIND("º",SUBSTITUTE(E2703,"°","º"))-1)),""))))</f>
        <v/>
      </c>
      <c r="O2703" s="2">
        <f>IF(OR(F2703="",G2703=""),"",IF(G2703&lt;='RETRATO 2027'!$K$5,"CONCLUÍDA",IF(F2703&lt;='RETRATO 2027'!$K$5,"EM ANDAMENTO","A INICIAR")))</f>
        <v/>
      </c>
    </row>
    <row r="2704">
      <c r="M2704" s="2">
        <f>IF(C2704="","",IFERROR(INDEX($S$5:$S$304,MATCH(C2704,$R$5:$R$304,0))&amp;"","?"))</f>
        <v/>
      </c>
      <c r="N2704" s="2">
        <f>IF(E2704="","",IF(ISNUMBER(SEARCH("SUBSOLO",E2704)),IFERROR(-VALUE(LEFT(E2704,FIND("º",SUBSTITUTE(E2704,"°","º"))-1)),-1),IF(LEFT(E2704,6)="TÉRREO",0,IFERROR(VALUE(LEFT(E2704,FIND("º",SUBSTITUTE(E2704,"°","º"))-1)),""))))</f>
        <v/>
      </c>
      <c r="O2704" s="2">
        <f>IF(OR(F2704="",G2704=""),"",IF(G2704&lt;='RETRATO 2027'!$K$5,"CONCLUÍDA",IF(F2704&lt;='RETRATO 2027'!$K$5,"EM ANDAMENTO","A INICIAR")))</f>
        <v/>
      </c>
    </row>
    <row r="2705">
      <c r="M2705" s="2">
        <f>IF(C2705="","",IFERROR(INDEX($S$5:$S$304,MATCH(C2705,$R$5:$R$304,0))&amp;"","?"))</f>
        <v/>
      </c>
      <c r="N2705" s="2">
        <f>IF(E2705="","",IF(ISNUMBER(SEARCH("SUBSOLO",E2705)),IFERROR(-VALUE(LEFT(E2705,FIND("º",SUBSTITUTE(E2705,"°","º"))-1)),-1),IF(LEFT(E2705,6)="TÉRREO",0,IFERROR(VALUE(LEFT(E2705,FIND("º",SUBSTITUTE(E2705,"°","º"))-1)),""))))</f>
        <v/>
      </c>
      <c r="O2705" s="2">
        <f>IF(OR(F2705="",G2705=""),"",IF(G2705&lt;='RETRATO 2027'!$K$5,"CONCLUÍDA",IF(F2705&lt;='RETRATO 2027'!$K$5,"EM ANDAMENTO","A INICIAR")))</f>
        <v/>
      </c>
    </row>
    <row r="2706">
      <c r="M2706" s="2">
        <f>IF(C2706="","",IFERROR(INDEX($S$5:$S$304,MATCH(C2706,$R$5:$R$304,0))&amp;"","?"))</f>
        <v/>
      </c>
      <c r="N2706" s="2">
        <f>IF(E2706="","",IF(ISNUMBER(SEARCH("SUBSOLO",E2706)),IFERROR(-VALUE(LEFT(E2706,FIND("º",SUBSTITUTE(E2706,"°","º"))-1)),-1),IF(LEFT(E2706,6)="TÉRREO",0,IFERROR(VALUE(LEFT(E2706,FIND("º",SUBSTITUTE(E2706,"°","º"))-1)),""))))</f>
        <v/>
      </c>
      <c r="O2706" s="2">
        <f>IF(OR(F2706="",G2706=""),"",IF(G2706&lt;='RETRATO 2027'!$K$5,"CONCLUÍDA",IF(F2706&lt;='RETRATO 2027'!$K$5,"EM ANDAMENTO","A INICIAR")))</f>
        <v/>
      </c>
    </row>
    <row r="2707">
      <c r="M2707" s="2">
        <f>IF(C2707="","",IFERROR(INDEX($S$5:$S$304,MATCH(C2707,$R$5:$R$304,0))&amp;"","?"))</f>
        <v/>
      </c>
      <c r="N2707" s="2">
        <f>IF(E2707="","",IF(ISNUMBER(SEARCH("SUBSOLO",E2707)),IFERROR(-VALUE(LEFT(E2707,FIND("º",SUBSTITUTE(E2707,"°","º"))-1)),-1),IF(LEFT(E2707,6)="TÉRREO",0,IFERROR(VALUE(LEFT(E2707,FIND("º",SUBSTITUTE(E2707,"°","º"))-1)),""))))</f>
        <v/>
      </c>
      <c r="O2707" s="2">
        <f>IF(OR(F2707="",G2707=""),"",IF(G2707&lt;='RETRATO 2027'!$K$5,"CONCLUÍDA",IF(F2707&lt;='RETRATO 2027'!$K$5,"EM ANDAMENTO","A INICIAR")))</f>
        <v/>
      </c>
    </row>
    <row r="2708">
      <c r="M2708" s="2">
        <f>IF(C2708="","",IFERROR(INDEX($S$5:$S$304,MATCH(C2708,$R$5:$R$304,0))&amp;"","?"))</f>
        <v/>
      </c>
      <c r="N2708" s="2">
        <f>IF(E2708="","",IF(ISNUMBER(SEARCH("SUBSOLO",E2708)),IFERROR(-VALUE(LEFT(E2708,FIND("º",SUBSTITUTE(E2708,"°","º"))-1)),-1),IF(LEFT(E2708,6)="TÉRREO",0,IFERROR(VALUE(LEFT(E2708,FIND("º",SUBSTITUTE(E2708,"°","º"))-1)),""))))</f>
        <v/>
      </c>
      <c r="O2708" s="2">
        <f>IF(OR(F2708="",G2708=""),"",IF(G2708&lt;='RETRATO 2027'!$K$5,"CONCLUÍDA",IF(F2708&lt;='RETRATO 2027'!$K$5,"EM ANDAMENTO","A INICIAR")))</f>
        <v/>
      </c>
    </row>
    <row r="2709">
      <c r="M2709" s="2">
        <f>IF(C2709="","",IFERROR(INDEX($S$5:$S$304,MATCH(C2709,$R$5:$R$304,0))&amp;"","?"))</f>
        <v/>
      </c>
      <c r="N2709" s="2">
        <f>IF(E2709="","",IF(ISNUMBER(SEARCH("SUBSOLO",E2709)),IFERROR(-VALUE(LEFT(E2709,FIND("º",SUBSTITUTE(E2709,"°","º"))-1)),-1),IF(LEFT(E2709,6)="TÉRREO",0,IFERROR(VALUE(LEFT(E2709,FIND("º",SUBSTITUTE(E2709,"°","º"))-1)),""))))</f>
        <v/>
      </c>
      <c r="O2709" s="2">
        <f>IF(OR(F2709="",G2709=""),"",IF(G2709&lt;='RETRATO 2027'!$K$5,"CONCLUÍDA",IF(F2709&lt;='RETRATO 2027'!$K$5,"EM ANDAMENTO","A INICIAR")))</f>
        <v/>
      </c>
    </row>
    <row r="2710">
      <c r="M2710" s="2">
        <f>IF(C2710="","",IFERROR(INDEX($S$5:$S$304,MATCH(C2710,$R$5:$R$304,0))&amp;"","?"))</f>
        <v/>
      </c>
      <c r="N2710" s="2">
        <f>IF(E2710="","",IF(ISNUMBER(SEARCH("SUBSOLO",E2710)),IFERROR(-VALUE(LEFT(E2710,FIND("º",SUBSTITUTE(E2710,"°","º"))-1)),-1),IF(LEFT(E2710,6)="TÉRREO",0,IFERROR(VALUE(LEFT(E2710,FIND("º",SUBSTITUTE(E2710,"°","º"))-1)),""))))</f>
        <v/>
      </c>
      <c r="O2710" s="2">
        <f>IF(OR(F2710="",G2710=""),"",IF(G2710&lt;='RETRATO 2027'!$K$5,"CONCLUÍDA",IF(F2710&lt;='RETRATO 2027'!$K$5,"EM ANDAMENTO","A INICIAR")))</f>
        <v/>
      </c>
    </row>
    <row r="2711">
      <c r="M2711" s="2">
        <f>IF(C2711="","",IFERROR(INDEX($S$5:$S$304,MATCH(C2711,$R$5:$R$304,0))&amp;"","?"))</f>
        <v/>
      </c>
      <c r="N2711" s="2">
        <f>IF(E2711="","",IF(ISNUMBER(SEARCH("SUBSOLO",E2711)),IFERROR(-VALUE(LEFT(E2711,FIND("º",SUBSTITUTE(E2711,"°","º"))-1)),-1),IF(LEFT(E2711,6)="TÉRREO",0,IFERROR(VALUE(LEFT(E2711,FIND("º",SUBSTITUTE(E2711,"°","º"))-1)),""))))</f>
        <v/>
      </c>
      <c r="O2711" s="2">
        <f>IF(OR(F2711="",G2711=""),"",IF(G2711&lt;='RETRATO 2027'!$K$5,"CONCLUÍDA",IF(F2711&lt;='RETRATO 2027'!$K$5,"EM ANDAMENTO","A INICIAR")))</f>
        <v/>
      </c>
    </row>
    <row r="2712">
      <c r="M2712" s="2">
        <f>IF(C2712="","",IFERROR(INDEX($S$5:$S$304,MATCH(C2712,$R$5:$R$304,0))&amp;"","?"))</f>
        <v/>
      </c>
      <c r="N2712" s="2">
        <f>IF(E2712="","",IF(ISNUMBER(SEARCH("SUBSOLO",E2712)),IFERROR(-VALUE(LEFT(E2712,FIND("º",SUBSTITUTE(E2712,"°","º"))-1)),-1),IF(LEFT(E2712,6)="TÉRREO",0,IFERROR(VALUE(LEFT(E2712,FIND("º",SUBSTITUTE(E2712,"°","º"))-1)),""))))</f>
        <v/>
      </c>
      <c r="O2712" s="2">
        <f>IF(OR(F2712="",G2712=""),"",IF(G2712&lt;='RETRATO 2027'!$K$5,"CONCLUÍDA",IF(F2712&lt;='RETRATO 2027'!$K$5,"EM ANDAMENTO","A INICIAR")))</f>
        <v/>
      </c>
    </row>
    <row r="2713">
      <c r="M2713" s="2">
        <f>IF(C2713="","",IFERROR(INDEX($S$5:$S$304,MATCH(C2713,$R$5:$R$304,0))&amp;"","?"))</f>
        <v/>
      </c>
      <c r="N2713" s="2">
        <f>IF(E2713="","",IF(ISNUMBER(SEARCH("SUBSOLO",E2713)),IFERROR(-VALUE(LEFT(E2713,FIND("º",SUBSTITUTE(E2713,"°","º"))-1)),-1),IF(LEFT(E2713,6)="TÉRREO",0,IFERROR(VALUE(LEFT(E2713,FIND("º",SUBSTITUTE(E2713,"°","º"))-1)),""))))</f>
        <v/>
      </c>
      <c r="O2713" s="2">
        <f>IF(OR(F2713="",G2713=""),"",IF(G2713&lt;='RETRATO 2027'!$K$5,"CONCLUÍDA",IF(F2713&lt;='RETRATO 2027'!$K$5,"EM ANDAMENTO","A INICIAR")))</f>
        <v/>
      </c>
    </row>
    <row r="2714">
      <c r="M2714" s="2">
        <f>IF(C2714="","",IFERROR(INDEX($S$5:$S$304,MATCH(C2714,$R$5:$R$304,0))&amp;"","?"))</f>
        <v/>
      </c>
      <c r="N2714" s="2">
        <f>IF(E2714="","",IF(ISNUMBER(SEARCH("SUBSOLO",E2714)),IFERROR(-VALUE(LEFT(E2714,FIND("º",SUBSTITUTE(E2714,"°","º"))-1)),-1),IF(LEFT(E2714,6)="TÉRREO",0,IFERROR(VALUE(LEFT(E2714,FIND("º",SUBSTITUTE(E2714,"°","º"))-1)),""))))</f>
        <v/>
      </c>
      <c r="O2714" s="2">
        <f>IF(OR(F2714="",G2714=""),"",IF(G2714&lt;='RETRATO 2027'!$K$5,"CONCLUÍDA",IF(F2714&lt;='RETRATO 2027'!$K$5,"EM ANDAMENTO","A INICIAR")))</f>
        <v/>
      </c>
    </row>
    <row r="2715">
      <c r="M2715" s="2">
        <f>IF(C2715="","",IFERROR(INDEX($S$5:$S$304,MATCH(C2715,$R$5:$R$304,0))&amp;"","?"))</f>
        <v/>
      </c>
      <c r="N2715" s="2">
        <f>IF(E2715="","",IF(ISNUMBER(SEARCH("SUBSOLO",E2715)),IFERROR(-VALUE(LEFT(E2715,FIND("º",SUBSTITUTE(E2715,"°","º"))-1)),-1),IF(LEFT(E2715,6)="TÉRREO",0,IFERROR(VALUE(LEFT(E2715,FIND("º",SUBSTITUTE(E2715,"°","º"))-1)),""))))</f>
        <v/>
      </c>
      <c r="O2715" s="2">
        <f>IF(OR(F2715="",G2715=""),"",IF(G2715&lt;='RETRATO 2027'!$K$5,"CONCLUÍDA",IF(F2715&lt;='RETRATO 2027'!$K$5,"EM ANDAMENTO","A INICIAR")))</f>
        <v/>
      </c>
    </row>
    <row r="2716">
      <c r="M2716" s="2">
        <f>IF(C2716="","",IFERROR(INDEX($S$5:$S$304,MATCH(C2716,$R$5:$R$304,0))&amp;"","?"))</f>
        <v/>
      </c>
      <c r="N2716" s="2">
        <f>IF(E2716="","",IF(ISNUMBER(SEARCH("SUBSOLO",E2716)),IFERROR(-VALUE(LEFT(E2716,FIND("º",SUBSTITUTE(E2716,"°","º"))-1)),-1),IF(LEFT(E2716,6)="TÉRREO",0,IFERROR(VALUE(LEFT(E2716,FIND("º",SUBSTITUTE(E2716,"°","º"))-1)),""))))</f>
        <v/>
      </c>
      <c r="O2716" s="2">
        <f>IF(OR(F2716="",G2716=""),"",IF(G2716&lt;='RETRATO 2027'!$K$5,"CONCLUÍDA",IF(F2716&lt;='RETRATO 2027'!$K$5,"EM ANDAMENTO","A INICIAR")))</f>
        <v/>
      </c>
    </row>
    <row r="2717">
      <c r="M2717" s="2">
        <f>IF(C2717="","",IFERROR(INDEX($S$5:$S$304,MATCH(C2717,$R$5:$R$304,0))&amp;"","?"))</f>
        <v/>
      </c>
      <c r="N2717" s="2">
        <f>IF(E2717="","",IF(ISNUMBER(SEARCH("SUBSOLO",E2717)),IFERROR(-VALUE(LEFT(E2717,FIND("º",SUBSTITUTE(E2717,"°","º"))-1)),-1),IF(LEFT(E2717,6)="TÉRREO",0,IFERROR(VALUE(LEFT(E2717,FIND("º",SUBSTITUTE(E2717,"°","º"))-1)),""))))</f>
        <v/>
      </c>
      <c r="O2717" s="2">
        <f>IF(OR(F2717="",G2717=""),"",IF(G2717&lt;='RETRATO 2027'!$K$5,"CONCLUÍDA",IF(F2717&lt;='RETRATO 2027'!$K$5,"EM ANDAMENTO","A INICIAR")))</f>
        <v/>
      </c>
    </row>
    <row r="2718">
      <c r="M2718" s="2">
        <f>IF(C2718="","",IFERROR(INDEX($S$5:$S$304,MATCH(C2718,$R$5:$R$304,0))&amp;"","?"))</f>
        <v/>
      </c>
      <c r="N2718" s="2">
        <f>IF(E2718="","",IF(ISNUMBER(SEARCH("SUBSOLO",E2718)),IFERROR(-VALUE(LEFT(E2718,FIND("º",SUBSTITUTE(E2718,"°","º"))-1)),-1),IF(LEFT(E2718,6)="TÉRREO",0,IFERROR(VALUE(LEFT(E2718,FIND("º",SUBSTITUTE(E2718,"°","º"))-1)),""))))</f>
        <v/>
      </c>
      <c r="O2718" s="2">
        <f>IF(OR(F2718="",G2718=""),"",IF(G2718&lt;='RETRATO 2027'!$K$5,"CONCLUÍDA",IF(F2718&lt;='RETRATO 2027'!$K$5,"EM ANDAMENTO","A INICIAR")))</f>
        <v/>
      </c>
    </row>
    <row r="2719">
      <c r="M2719" s="2">
        <f>IF(C2719="","",IFERROR(INDEX($S$5:$S$304,MATCH(C2719,$R$5:$R$304,0))&amp;"","?"))</f>
        <v/>
      </c>
      <c r="N2719" s="2">
        <f>IF(E2719="","",IF(ISNUMBER(SEARCH("SUBSOLO",E2719)),IFERROR(-VALUE(LEFT(E2719,FIND("º",SUBSTITUTE(E2719,"°","º"))-1)),-1),IF(LEFT(E2719,6)="TÉRREO",0,IFERROR(VALUE(LEFT(E2719,FIND("º",SUBSTITUTE(E2719,"°","º"))-1)),""))))</f>
        <v/>
      </c>
      <c r="O2719" s="2">
        <f>IF(OR(F2719="",G2719=""),"",IF(G2719&lt;='RETRATO 2027'!$K$5,"CONCLUÍDA",IF(F2719&lt;='RETRATO 2027'!$K$5,"EM ANDAMENTO","A INICIAR")))</f>
        <v/>
      </c>
    </row>
    <row r="2720">
      <c r="M2720" s="2">
        <f>IF(C2720="","",IFERROR(INDEX($S$5:$S$304,MATCH(C2720,$R$5:$R$304,0))&amp;"","?"))</f>
        <v/>
      </c>
      <c r="N2720" s="2">
        <f>IF(E2720="","",IF(ISNUMBER(SEARCH("SUBSOLO",E2720)),IFERROR(-VALUE(LEFT(E2720,FIND("º",SUBSTITUTE(E2720,"°","º"))-1)),-1),IF(LEFT(E2720,6)="TÉRREO",0,IFERROR(VALUE(LEFT(E2720,FIND("º",SUBSTITUTE(E2720,"°","º"))-1)),""))))</f>
        <v/>
      </c>
      <c r="O2720" s="2">
        <f>IF(OR(F2720="",G2720=""),"",IF(G2720&lt;='RETRATO 2027'!$K$5,"CONCLUÍDA",IF(F2720&lt;='RETRATO 2027'!$K$5,"EM ANDAMENTO","A INICIAR")))</f>
        <v/>
      </c>
    </row>
    <row r="2721">
      <c r="M2721" s="2">
        <f>IF(C2721="","",IFERROR(INDEX($S$5:$S$304,MATCH(C2721,$R$5:$R$304,0))&amp;"","?"))</f>
        <v/>
      </c>
      <c r="N2721" s="2">
        <f>IF(E2721="","",IF(ISNUMBER(SEARCH("SUBSOLO",E2721)),IFERROR(-VALUE(LEFT(E2721,FIND("º",SUBSTITUTE(E2721,"°","º"))-1)),-1),IF(LEFT(E2721,6)="TÉRREO",0,IFERROR(VALUE(LEFT(E2721,FIND("º",SUBSTITUTE(E2721,"°","º"))-1)),""))))</f>
        <v/>
      </c>
      <c r="O2721" s="2">
        <f>IF(OR(F2721="",G2721=""),"",IF(G2721&lt;='RETRATO 2027'!$K$5,"CONCLUÍDA",IF(F2721&lt;='RETRATO 2027'!$K$5,"EM ANDAMENTO","A INICIAR")))</f>
        <v/>
      </c>
    </row>
    <row r="2722">
      <c r="M2722" s="2">
        <f>IF(C2722="","",IFERROR(INDEX($S$5:$S$304,MATCH(C2722,$R$5:$R$304,0))&amp;"","?"))</f>
        <v/>
      </c>
      <c r="N2722" s="2">
        <f>IF(E2722="","",IF(ISNUMBER(SEARCH("SUBSOLO",E2722)),IFERROR(-VALUE(LEFT(E2722,FIND("º",SUBSTITUTE(E2722,"°","º"))-1)),-1),IF(LEFT(E2722,6)="TÉRREO",0,IFERROR(VALUE(LEFT(E2722,FIND("º",SUBSTITUTE(E2722,"°","º"))-1)),""))))</f>
        <v/>
      </c>
      <c r="O2722" s="2">
        <f>IF(OR(F2722="",G2722=""),"",IF(G2722&lt;='RETRATO 2027'!$K$5,"CONCLUÍDA",IF(F2722&lt;='RETRATO 2027'!$K$5,"EM ANDAMENTO","A INICIAR")))</f>
        <v/>
      </c>
    </row>
    <row r="2723">
      <c r="M2723" s="2">
        <f>IF(C2723="","",IFERROR(INDEX($S$5:$S$304,MATCH(C2723,$R$5:$R$304,0))&amp;"","?"))</f>
        <v/>
      </c>
      <c r="N2723" s="2">
        <f>IF(E2723="","",IF(ISNUMBER(SEARCH("SUBSOLO",E2723)),IFERROR(-VALUE(LEFT(E2723,FIND("º",SUBSTITUTE(E2723,"°","º"))-1)),-1),IF(LEFT(E2723,6)="TÉRREO",0,IFERROR(VALUE(LEFT(E2723,FIND("º",SUBSTITUTE(E2723,"°","º"))-1)),""))))</f>
        <v/>
      </c>
      <c r="O2723" s="2">
        <f>IF(OR(F2723="",G2723=""),"",IF(G2723&lt;='RETRATO 2027'!$K$5,"CONCLUÍDA",IF(F2723&lt;='RETRATO 2027'!$K$5,"EM ANDAMENTO","A INICIAR")))</f>
        <v/>
      </c>
    </row>
    <row r="2724">
      <c r="M2724" s="2">
        <f>IF(C2724="","",IFERROR(INDEX($S$5:$S$304,MATCH(C2724,$R$5:$R$304,0))&amp;"","?"))</f>
        <v/>
      </c>
      <c r="N2724" s="2">
        <f>IF(E2724="","",IF(ISNUMBER(SEARCH("SUBSOLO",E2724)),IFERROR(-VALUE(LEFT(E2724,FIND("º",SUBSTITUTE(E2724,"°","º"))-1)),-1),IF(LEFT(E2724,6)="TÉRREO",0,IFERROR(VALUE(LEFT(E2724,FIND("º",SUBSTITUTE(E2724,"°","º"))-1)),""))))</f>
        <v/>
      </c>
      <c r="O2724" s="2">
        <f>IF(OR(F2724="",G2724=""),"",IF(G2724&lt;='RETRATO 2027'!$K$5,"CONCLUÍDA",IF(F2724&lt;='RETRATO 2027'!$K$5,"EM ANDAMENTO","A INICIAR")))</f>
        <v/>
      </c>
    </row>
    <row r="2725">
      <c r="M2725" s="2">
        <f>IF(C2725="","",IFERROR(INDEX($S$5:$S$304,MATCH(C2725,$R$5:$R$304,0))&amp;"","?"))</f>
        <v/>
      </c>
      <c r="N2725" s="2">
        <f>IF(E2725="","",IF(ISNUMBER(SEARCH("SUBSOLO",E2725)),IFERROR(-VALUE(LEFT(E2725,FIND("º",SUBSTITUTE(E2725,"°","º"))-1)),-1),IF(LEFT(E2725,6)="TÉRREO",0,IFERROR(VALUE(LEFT(E2725,FIND("º",SUBSTITUTE(E2725,"°","º"))-1)),""))))</f>
        <v/>
      </c>
      <c r="O2725" s="2">
        <f>IF(OR(F2725="",G2725=""),"",IF(G2725&lt;='RETRATO 2027'!$K$5,"CONCLUÍDA",IF(F2725&lt;='RETRATO 2027'!$K$5,"EM ANDAMENTO","A INICIAR")))</f>
        <v/>
      </c>
    </row>
    <row r="2726">
      <c r="M2726" s="2">
        <f>IF(C2726="","",IFERROR(INDEX($S$5:$S$304,MATCH(C2726,$R$5:$R$304,0))&amp;"","?"))</f>
        <v/>
      </c>
      <c r="N2726" s="2">
        <f>IF(E2726="","",IF(ISNUMBER(SEARCH("SUBSOLO",E2726)),IFERROR(-VALUE(LEFT(E2726,FIND("º",SUBSTITUTE(E2726,"°","º"))-1)),-1),IF(LEFT(E2726,6)="TÉRREO",0,IFERROR(VALUE(LEFT(E2726,FIND("º",SUBSTITUTE(E2726,"°","º"))-1)),""))))</f>
        <v/>
      </c>
      <c r="O2726" s="2">
        <f>IF(OR(F2726="",G2726=""),"",IF(G2726&lt;='RETRATO 2027'!$K$5,"CONCLUÍDA",IF(F2726&lt;='RETRATO 2027'!$K$5,"EM ANDAMENTO","A INICIAR")))</f>
        <v/>
      </c>
    </row>
    <row r="2727">
      <c r="M2727" s="2">
        <f>IF(C2727="","",IFERROR(INDEX($S$5:$S$304,MATCH(C2727,$R$5:$R$304,0))&amp;"","?"))</f>
        <v/>
      </c>
      <c r="N2727" s="2">
        <f>IF(E2727="","",IF(ISNUMBER(SEARCH("SUBSOLO",E2727)),IFERROR(-VALUE(LEFT(E2727,FIND("º",SUBSTITUTE(E2727,"°","º"))-1)),-1),IF(LEFT(E2727,6)="TÉRREO",0,IFERROR(VALUE(LEFT(E2727,FIND("º",SUBSTITUTE(E2727,"°","º"))-1)),""))))</f>
        <v/>
      </c>
      <c r="O2727" s="2">
        <f>IF(OR(F2727="",G2727=""),"",IF(G2727&lt;='RETRATO 2027'!$K$5,"CONCLUÍDA",IF(F2727&lt;='RETRATO 2027'!$K$5,"EM ANDAMENTO","A INICIAR")))</f>
        <v/>
      </c>
    </row>
    <row r="2728">
      <c r="M2728" s="2">
        <f>IF(C2728="","",IFERROR(INDEX($S$5:$S$304,MATCH(C2728,$R$5:$R$304,0))&amp;"","?"))</f>
        <v/>
      </c>
      <c r="N2728" s="2">
        <f>IF(E2728="","",IF(ISNUMBER(SEARCH("SUBSOLO",E2728)),IFERROR(-VALUE(LEFT(E2728,FIND("º",SUBSTITUTE(E2728,"°","º"))-1)),-1),IF(LEFT(E2728,6)="TÉRREO",0,IFERROR(VALUE(LEFT(E2728,FIND("º",SUBSTITUTE(E2728,"°","º"))-1)),""))))</f>
        <v/>
      </c>
      <c r="O2728" s="2">
        <f>IF(OR(F2728="",G2728=""),"",IF(G2728&lt;='RETRATO 2027'!$K$5,"CONCLUÍDA",IF(F2728&lt;='RETRATO 2027'!$K$5,"EM ANDAMENTO","A INICIAR")))</f>
        <v/>
      </c>
    </row>
    <row r="2729">
      <c r="M2729" s="2">
        <f>IF(C2729="","",IFERROR(INDEX($S$5:$S$304,MATCH(C2729,$R$5:$R$304,0))&amp;"","?"))</f>
        <v/>
      </c>
      <c r="N2729" s="2">
        <f>IF(E2729="","",IF(ISNUMBER(SEARCH("SUBSOLO",E2729)),IFERROR(-VALUE(LEFT(E2729,FIND("º",SUBSTITUTE(E2729,"°","º"))-1)),-1),IF(LEFT(E2729,6)="TÉRREO",0,IFERROR(VALUE(LEFT(E2729,FIND("º",SUBSTITUTE(E2729,"°","º"))-1)),""))))</f>
        <v/>
      </c>
      <c r="O2729" s="2">
        <f>IF(OR(F2729="",G2729=""),"",IF(G2729&lt;='RETRATO 2027'!$K$5,"CONCLUÍDA",IF(F2729&lt;='RETRATO 2027'!$K$5,"EM ANDAMENTO","A INICIAR")))</f>
        <v/>
      </c>
    </row>
    <row r="2730">
      <c r="M2730" s="2">
        <f>IF(C2730="","",IFERROR(INDEX($S$5:$S$304,MATCH(C2730,$R$5:$R$304,0))&amp;"","?"))</f>
        <v/>
      </c>
      <c r="N2730" s="2">
        <f>IF(E2730="","",IF(ISNUMBER(SEARCH("SUBSOLO",E2730)),IFERROR(-VALUE(LEFT(E2730,FIND("º",SUBSTITUTE(E2730,"°","º"))-1)),-1),IF(LEFT(E2730,6)="TÉRREO",0,IFERROR(VALUE(LEFT(E2730,FIND("º",SUBSTITUTE(E2730,"°","º"))-1)),""))))</f>
        <v/>
      </c>
      <c r="O2730" s="2">
        <f>IF(OR(F2730="",G2730=""),"",IF(G2730&lt;='RETRATO 2027'!$K$5,"CONCLUÍDA",IF(F2730&lt;='RETRATO 2027'!$K$5,"EM ANDAMENTO","A INICIAR")))</f>
        <v/>
      </c>
    </row>
    <row r="2731">
      <c r="M2731" s="2">
        <f>IF(C2731="","",IFERROR(INDEX($S$5:$S$304,MATCH(C2731,$R$5:$R$304,0))&amp;"","?"))</f>
        <v/>
      </c>
      <c r="N2731" s="2">
        <f>IF(E2731="","",IF(ISNUMBER(SEARCH("SUBSOLO",E2731)),IFERROR(-VALUE(LEFT(E2731,FIND("º",SUBSTITUTE(E2731,"°","º"))-1)),-1),IF(LEFT(E2731,6)="TÉRREO",0,IFERROR(VALUE(LEFT(E2731,FIND("º",SUBSTITUTE(E2731,"°","º"))-1)),""))))</f>
        <v/>
      </c>
      <c r="O2731" s="2">
        <f>IF(OR(F2731="",G2731=""),"",IF(G2731&lt;='RETRATO 2027'!$K$5,"CONCLUÍDA",IF(F2731&lt;='RETRATO 2027'!$K$5,"EM ANDAMENTO","A INICIAR")))</f>
        <v/>
      </c>
    </row>
    <row r="2732">
      <c r="M2732" s="2">
        <f>IF(C2732="","",IFERROR(INDEX($S$5:$S$304,MATCH(C2732,$R$5:$R$304,0))&amp;"","?"))</f>
        <v/>
      </c>
      <c r="N2732" s="2">
        <f>IF(E2732="","",IF(ISNUMBER(SEARCH("SUBSOLO",E2732)),IFERROR(-VALUE(LEFT(E2732,FIND("º",SUBSTITUTE(E2732,"°","º"))-1)),-1),IF(LEFT(E2732,6)="TÉRREO",0,IFERROR(VALUE(LEFT(E2732,FIND("º",SUBSTITUTE(E2732,"°","º"))-1)),""))))</f>
        <v/>
      </c>
      <c r="O2732" s="2">
        <f>IF(OR(F2732="",G2732=""),"",IF(G2732&lt;='RETRATO 2027'!$K$5,"CONCLUÍDA",IF(F2732&lt;='RETRATO 2027'!$K$5,"EM ANDAMENTO","A INICIAR")))</f>
        <v/>
      </c>
    </row>
    <row r="2733">
      <c r="M2733" s="2">
        <f>IF(C2733="","",IFERROR(INDEX($S$5:$S$304,MATCH(C2733,$R$5:$R$304,0))&amp;"","?"))</f>
        <v/>
      </c>
      <c r="N2733" s="2">
        <f>IF(E2733="","",IF(ISNUMBER(SEARCH("SUBSOLO",E2733)),IFERROR(-VALUE(LEFT(E2733,FIND("º",SUBSTITUTE(E2733,"°","º"))-1)),-1),IF(LEFT(E2733,6)="TÉRREO",0,IFERROR(VALUE(LEFT(E2733,FIND("º",SUBSTITUTE(E2733,"°","º"))-1)),""))))</f>
        <v/>
      </c>
      <c r="O2733" s="2">
        <f>IF(OR(F2733="",G2733=""),"",IF(G2733&lt;='RETRATO 2027'!$K$5,"CONCLUÍDA",IF(F2733&lt;='RETRATO 2027'!$K$5,"EM ANDAMENTO","A INICIAR")))</f>
        <v/>
      </c>
    </row>
    <row r="2734">
      <c r="M2734" s="2">
        <f>IF(C2734="","",IFERROR(INDEX($S$5:$S$304,MATCH(C2734,$R$5:$R$304,0))&amp;"","?"))</f>
        <v/>
      </c>
      <c r="N2734" s="2">
        <f>IF(E2734="","",IF(ISNUMBER(SEARCH("SUBSOLO",E2734)),IFERROR(-VALUE(LEFT(E2734,FIND("º",SUBSTITUTE(E2734,"°","º"))-1)),-1),IF(LEFT(E2734,6)="TÉRREO",0,IFERROR(VALUE(LEFT(E2734,FIND("º",SUBSTITUTE(E2734,"°","º"))-1)),""))))</f>
        <v/>
      </c>
      <c r="O2734" s="2">
        <f>IF(OR(F2734="",G2734=""),"",IF(G2734&lt;='RETRATO 2027'!$K$5,"CONCLUÍDA",IF(F2734&lt;='RETRATO 2027'!$K$5,"EM ANDAMENTO","A INICIAR")))</f>
        <v/>
      </c>
    </row>
    <row r="2735">
      <c r="M2735" s="2">
        <f>IF(C2735="","",IFERROR(INDEX($S$5:$S$304,MATCH(C2735,$R$5:$R$304,0))&amp;"","?"))</f>
        <v/>
      </c>
      <c r="N2735" s="2">
        <f>IF(E2735="","",IF(ISNUMBER(SEARCH("SUBSOLO",E2735)),IFERROR(-VALUE(LEFT(E2735,FIND("º",SUBSTITUTE(E2735,"°","º"))-1)),-1),IF(LEFT(E2735,6)="TÉRREO",0,IFERROR(VALUE(LEFT(E2735,FIND("º",SUBSTITUTE(E2735,"°","º"))-1)),""))))</f>
        <v/>
      </c>
      <c r="O2735" s="2">
        <f>IF(OR(F2735="",G2735=""),"",IF(G2735&lt;='RETRATO 2027'!$K$5,"CONCLUÍDA",IF(F2735&lt;='RETRATO 2027'!$K$5,"EM ANDAMENTO","A INICIAR")))</f>
        <v/>
      </c>
    </row>
    <row r="2736">
      <c r="M2736" s="2">
        <f>IF(C2736="","",IFERROR(INDEX($S$5:$S$304,MATCH(C2736,$R$5:$R$304,0))&amp;"","?"))</f>
        <v/>
      </c>
      <c r="N2736" s="2">
        <f>IF(E2736="","",IF(ISNUMBER(SEARCH("SUBSOLO",E2736)),IFERROR(-VALUE(LEFT(E2736,FIND("º",SUBSTITUTE(E2736,"°","º"))-1)),-1),IF(LEFT(E2736,6)="TÉRREO",0,IFERROR(VALUE(LEFT(E2736,FIND("º",SUBSTITUTE(E2736,"°","º"))-1)),""))))</f>
        <v/>
      </c>
      <c r="O2736" s="2">
        <f>IF(OR(F2736="",G2736=""),"",IF(G2736&lt;='RETRATO 2027'!$K$5,"CONCLUÍDA",IF(F2736&lt;='RETRATO 2027'!$K$5,"EM ANDAMENTO","A INICIAR")))</f>
        <v/>
      </c>
    </row>
    <row r="2737">
      <c r="M2737" s="2">
        <f>IF(C2737="","",IFERROR(INDEX($S$5:$S$304,MATCH(C2737,$R$5:$R$304,0))&amp;"","?"))</f>
        <v/>
      </c>
      <c r="N2737" s="2">
        <f>IF(E2737="","",IF(ISNUMBER(SEARCH("SUBSOLO",E2737)),IFERROR(-VALUE(LEFT(E2737,FIND("º",SUBSTITUTE(E2737,"°","º"))-1)),-1),IF(LEFT(E2737,6)="TÉRREO",0,IFERROR(VALUE(LEFT(E2737,FIND("º",SUBSTITUTE(E2737,"°","º"))-1)),""))))</f>
        <v/>
      </c>
      <c r="O2737" s="2">
        <f>IF(OR(F2737="",G2737=""),"",IF(G2737&lt;='RETRATO 2027'!$K$5,"CONCLUÍDA",IF(F2737&lt;='RETRATO 2027'!$K$5,"EM ANDAMENTO","A INICIAR")))</f>
        <v/>
      </c>
    </row>
    <row r="2738">
      <c r="M2738" s="2">
        <f>IF(C2738="","",IFERROR(INDEX($S$5:$S$304,MATCH(C2738,$R$5:$R$304,0))&amp;"","?"))</f>
        <v/>
      </c>
      <c r="N2738" s="2">
        <f>IF(E2738="","",IF(ISNUMBER(SEARCH("SUBSOLO",E2738)),IFERROR(-VALUE(LEFT(E2738,FIND("º",SUBSTITUTE(E2738,"°","º"))-1)),-1),IF(LEFT(E2738,6)="TÉRREO",0,IFERROR(VALUE(LEFT(E2738,FIND("º",SUBSTITUTE(E2738,"°","º"))-1)),""))))</f>
        <v/>
      </c>
      <c r="O2738" s="2">
        <f>IF(OR(F2738="",G2738=""),"",IF(G2738&lt;='RETRATO 2027'!$K$5,"CONCLUÍDA",IF(F2738&lt;='RETRATO 2027'!$K$5,"EM ANDAMENTO","A INICIAR")))</f>
        <v/>
      </c>
    </row>
    <row r="2739">
      <c r="M2739" s="2">
        <f>IF(C2739="","",IFERROR(INDEX($S$5:$S$304,MATCH(C2739,$R$5:$R$304,0))&amp;"","?"))</f>
        <v/>
      </c>
      <c r="N2739" s="2">
        <f>IF(E2739="","",IF(ISNUMBER(SEARCH("SUBSOLO",E2739)),IFERROR(-VALUE(LEFT(E2739,FIND("º",SUBSTITUTE(E2739,"°","º"))-1)),-1),IF(LEFT(E2739,6)="TÉRREO",0,IFERROR(VALUE(LEFT(E2739,FIND("º",SUBSTITUTE(E2739,"°","º"))-1)),""))))</f>
        <v/>
      </c>
      <c r="O2739" s="2">
        <f>IF(OR(F2739="",G2739=""),"",IF(G2739&lt;='RETRATO 2027'!$K$5,"CONCLUÍDA",IF(F2739&lt;='RETRATO 2027'!$K$5,"EM ANDAMENTO","A INICIAR")))</f>
        <v/>
      </c>
    </row>
    <row r="2740">
      <c r="M2740" s="2">
        <f>IF(C2740="","",IFERROR(INDEX($S$5:$S$304,MATCH(C2740,$R$5:$R$304,0))&amp;"","?"))</f>
        <v/>
      </c>
      <c r="N2740" s="2">
        <f>IF(E2740="","",IF(ISNUMBER(SEARCH("SUBSOLO",E2740)),IFERROR(-VALUE(LEFT(E2740,FIND("º",SUBSTITUTE(E2740,"°","º"))-1)),-1),IF(LEFT(E2740,6)="TÉRREO",0,IFERROR(VALUE(LEFT(E2740,FIND("º",SUBSTITUTE(E2740,"°","º"))-1)),""))))</f>
        <v/>
      </c>
      <c r="O2740" s="2">
        <f>IF(OR(F2740="",G2740=""),"",IF(G2740&lt;='RETRATO 2027'!$K$5,"CONCLUÍDA",IF(F2740&lt;='RETRATO 2027'!$K$5,"EM ANDAMENTO","A INICIAR")))</f>
        <v/>
      </c>
    </row>
    <row r="2741">
      <c r="M2741" s="2">
        <f>IF(C2741="","",IFERROR(INDEX($S$5:$S$304,MATCH(C2741,$R$5:$R$304,0))&amp;"","?"))</f>
        <v/>
      </c>
      <c r="N2741" s="2">
        <f>IF(E2741="","",IF(ISNUMBER(SEARCH("SUBSOLO",E2741)),IFERROR(-VALUE(LEFT(E2741,FIND("º",SUBSTITUTE(E2741,"°","º"))-1)),-1),IF(LEFT(E2741,6)="TÉRREO",0,IFERROR(VALUE(LEFT(E2741,FIND("º",SUBSTITUTE(E2741,"°","º"))-1)),""))))</f>
        <v/>
      </c>
      <c r="O2741" s="2">
        <f>IF(OR(F2741="",G2741=""),"",IF(G2741&lt;='RETRATO 2027'!$K$5,"CONCLUÍDA",IF(F2741&lt;='RETRATO 2027'!$K$5,"EM ANDAMENTO","A INICIAR")))</f>
        <v/>
      </c>
    </row>
    <row r="2742">
      <c r="M2742" s="2">
        <f>IF(C2742="","",IFERROR(INDEX($S$5:$S$304,MATCH(C2742,$R$5:$R$304,0))&amp;"","?"))</f>
        <v/>
      </c>
      <c r="N2742" s="2">
        <f>IF(E2742="","",IF(ISNUMBER(SEARCH("SUBSOLO",E2742)),IFERROR(-VALUE(LEFT(E2742,FIND("º",SUBSTITUTE(E2742,"°","º"))-1)),-1),IF(LEFT(E2742,6)="TÉRREO",0,IFERROR(VALUE(LEFT(E2742,FIND("º",SUBSTITUTE(E2742,"°","º"))-1)),""))))</f>
        <v/>
      </c>
      <c r="O2742" s="2">
        <f>IF(OR(F2742="",G2742=""),"",IF(G2742&lt;='RETRATO 2027'!$K$5,"CONCLUÍDA",IF(F2742&lt;='RETRATO 2027'!$K$5,"EM ANDAMENTO","A INICIAR")))</f>
        <v/>
      </c>
    </row>
    <row r="2743">
      <c r="M2743" s="2">
        <f>IF(C2743="","",IFERROR(INDEX($S$5:$S$304,MATCH(C2743,$R$5:$R$304,0))&amp;"","?"))</f>
        <v/>
      </c>
      <c r="N2743" s="2">
        <f>IF(E2743="","",IF(ISNUMBER(SEARCH("SUBSOLO",E2743)),IFERROR(-VALUE(LEFT(E2743,FIND("º",SUBSTITUTE(E2743,"°","º"))-1)),-1),IF(LEFT(E2743,6)="TÉRREO",0,IFERROR(VALUE(LEFT(E2743,FIND("º",SUBSTITUTE(E2743,"°","º"))-1)),""))))</f>
        <v/>
      </c>
      <c r="O2743" s="2">
        <f>IF(OR(F2743="",G2743=""),"",IF(G2743&lt;='RETRATO 2027'!$K$5,"CONCLUÍDA",IF(F2743&lt;='RETRATO 2027'!$K$5,"EM ANDAMENTO","A INICIAR")))</f>
        <v/>
      </c>
    </row>
    <row r="2744">
      <c r="M2744" s="2">
        <f>IF(C2744="","",IFERROR(INDEX($S$5:$S$304,MATCH(C2744,$R$5:$R$304,0))&amp;"","?"))</f>
        <v/>
      </c>
      <c r="N2744" s="2">
        <f>IF(E2744="","",IF(ISNUMBER(SEARCH("SUBSOLO",E2744)),IFERROR(-VALUE(LEFT(E2744,FIND("º",SUBSTITUTE(E2744,"°","º"))-1)),-1),IF(LEFT(E2744,6)="TÉRREO",0,IFERROR(VALUE(LEFT(E2744,FIND("º",SUBSTITUTE(E2744,"°","º"))-1)),""))))</f>
        <v/>
      </c>
      <c r="O2744" s="2">
        <f>IF(OR(F2744="",G2744=""),"",IF(G2744&lt;='RETRATO 2027'!$K$5,"CONCLUÍDA",IF(F2744&lt;='RETRATO 2027'!$K$5,"EM ANDAMENTO","A INICIAR")))</f>
        <v/>
      </c>
    </row>
    <row r="2745">
      <c r="M2745" s="2">
        <f>IF(C2745="","",IFERROR(INDEX($S$5:$S$304,MATCH(C2745,$R$5:$R$304,0))&amp;"","?"))</f>
        <v/>
      </c>
      <c r="N2745" s="2">
        <f>IF(E2745="","",IF(ISNUMBER(SEARCH("SUBSOLO",E2745)),IFERROR(-VALUE(LEFT(E2745,FIND("º",SUBSTITUTE(E2745,"°","º"))-1)),-1),IF(LEFT(E2745,6)="TÉRREO",0,IFERROR(VALUE(LEFT(E2745,FIND("º",SUBSTITUTE(E2745,"°","º"))-1)),""))))</f>
        <v/>
      </c>
      <c r="O2745" s="2">
        <f>IF(OR(F2745="",G2745=""),"",IF(G2745&lt;='RETRATO 2027'!$K$5,"CONCLUÍDA",IF(F2745&lt;='RETRATO 2027'!$K$5,"EM ANDAMENTO","A INICIAR")))</f>
        <v/>
      </c>
    </row>
    <row r="2746">
      <c r="M2746" s="2">
        <f>IF(C2746="","",IFERROR(INDEX($S$5:$S$304,MATCH(C2746,$R$5:$R$304,0))&amp;"","?"))</f>
        <v/>
      </c>
      <c r="N2746" s="2">
        <f>IF(E2746="","",IF(ISNUMBER(SEARCH("SUBSOLO",E2746)),IFERROR(-VALUE(LEFT(E2746,FIND("º",SUBSTITUTE(E2746,"°","º"))-1)),-1),IF(LEFT(E2746,6)="TÉRREO",0,IFERROR(VALUE(LEFT(E2746,FIND("º",SUBSTITUTE(E2746,"°","º"))-1)),""))))</f>
        <v/>
      </c>
      <c r="O2746" s="2">
        <f>IF(OR(F2746="",G2746=""),"",IF(G2746&lt;='RETRATO 2027'!$K$5,"CONCLUÍDA",IF(F2746&lt;='RETRATO 2027'!$K$5,"EM ANDAMENTO","A INICIAR")))</f>
        <v/>
      </c>
    </row>
    <row r="2747">
      <c r="M2747" s="2">
        <f>IF(C2747="","",IFERROR(INDEX($S$5:$S$304,MATCH(C2747,$R$5:$R$304,0))&amp;"","?"))</f>
        <v/>
      </c>
      <c r="N2747" s="2">
        <f>IF(E2747="","",IF(ISNUMBER(SEARCH("SUBSOLO",E2747)),IFERROR(-VALUE(LEFT(E2747,FIND("º",SUBSTITUTE(E2747,"°","º"))-1)),-1),IF(LEFT(E2747,6)="TÉRREO",0,IFERROR(VALUE(LEFT(E2747,FIND("º",SUBSTITUTE(E2747,"°","º"))-1)),""))))</f>
        <v/>
      </c>
      <c r="O2747" s="2">
        <f>IF(OR(F2747="",G2747=""),"",IF(G2747&lt;='RETRATO 2027'!$K$5,"CONCLUÍDA",IF(F2747&lt;='RETRATO 2027'!$K$5,"EM ANDAMENTO","A INICIAR")))</f>
        <v/>
      </c>
    </row>
    <row r="2748">
      <c r="M2748" s="2">
        <f>IF(C2748="","",IFERROR(INDEX($S$5:$S$304,MATCH(C2748,$R$5:$R$304,0))&amp;"","?"))</f>
        <v/>
      </c>
      <c r="N2748" s="2">
        <f>IF(E2748="","",IF(ISNUMBER(SEARCH("SUBSOLO",E2748)),IFERROR(-VALUE(LEFT(E2748,FIND("º",SUBSTITUTE(E2748,"°","º"))-1)),-1),IF(LEFT(E2748,6)="TÉRREO",0,IFERROR(VALUE(LEFT(E2748,FIND("º",SUBSTITUTE(E2748,"°","º"))-1)),""))))</f>
        <v/>
      </c>
      <c r="O2748" s="2">
        <f>IF(OR(F2748="",G2748=""),"",IF(G2748&lt;='RETRATO 2027'!$K$5,"CONCLUÍDA",IF(F2748&lt;='RETRATO 2027'!$K$5,"EM ANDAMENTO","A INICIAR")))</f>
        <v/>
      </c>
    </row>
    <row r="2749">
      <c r="M2749" s="2">
        <f>IF(C2749="","",IFERROR(INDEX($S$5:$S$304,MATCH(C2749,$R$5:$R$304,0))&amp;"","?"))</f>
        <v/>
      </c>
      <c r="N2749" s="2">
        <f>IF(E2749="","",IF(ISNUMBER(SEARCH("SUBSOLO",E2749)),IFERROR(-VALUE(LEFT(E2749,FIND("º",SUBSTITUTE(E2749,"°","º"))-1)),-1),IF(LEFT(E2749,6)="TÉRREO",0,IFERROR(VALUE(LEFT(E2749,FIND("º",SUBSTITUTE(E2749,"°","º"))-1)),""))))</f>
        <v/>
      </c>
      <c r="O2749" s="2">
        <f>IF(OR(F2749="",G2749=""),"",IF(G2749&lt;='RETRATO 2027'!$K$5,"CONCLUÍDA",IF(F2749&lt;='RETRATO 2027'!$K$5,"EM ANDAMENTO","A INICIAR")))</f>
        <v/>
      </c>
    </row>
    <row r="2750">
      <c r="M2750" s="2">
        <f>IF(C2750="","",IFERROR(INDEX($S$5:$S$304,MATCH(C2750,$R$5:$R$304,0))&amp;"","?"))</f>
        <v/>
      </c>
      <c r="N2750" s="2">
        <f>IF(E2750="","",IF(ISNUMBER(SEARCH("SUBSOLO",E2750)),IFERROR(-VALUE(LEFT(E2750,FIND("º",SUBSTITUTE(E2750,"°","º"))-1)),-1),IF(LEFT(E2750,6)="TÉRREO",0,IFERROR(VALUE(LEFT(E2750,FIND("º",SUBSTITUTE(E2750,"°","º"))-1)),""))))</f>
        <v/>
      </c>
      <c r="O2750" s="2">
        <f>IF(OR(F2750="",G2750=""),"",IF(G2750&lt;='RETRATO 2027'!$K$5,"CONCLUÍDA",IF(F2750&lt;='RETRATO 2027'!$K$5,"EM ANDAMENTO","A INICIAR")))</f>
        <v/>
      </c>
    </row>
    <row r="2751">
      <c r="M2751" s="2">
        <f>IF(C2751="","",IFERROR(INDEX($S$5:$S$304,MATCH(C2751,$R$5:$R$304,0))&amp;"","?"))</f>
        <v/>
      </c>
      <c r="N2751" s="2">
        <f>IF(E2751="","",IF(ISNUMBER(SEARCH("SUBSOLO",E2751)),IFERROR(-VALUE(LEFT(E2751,FIND("º",SUBSTITUTE(E2751,"°","º"))-1)),-1),IF(LEFT(E2751,6)="TÉRREO",0,IFERROR(VALUE(LEFT(E2751,FIND("º",SUBSTITUTE(E2751,"°","º"))-1)),""))))</f>
        <v/>
      </c>
      <c r="O2751" s="2">
        <f>IF(OR(F2751="",G2751=""),"",IF(G2751&lt;='RETRATO 2027'!$K$5,"CONCLUÍDA",IF(F2751&lt;='RETRATO 2027'!$K$5,"EM ANDAMENTO","A INICIAR")))</f>
        <v/>
      </c>
    </row>
    <row r="2752">
      <c r="M2752" s="2">
        <f>IF(C2752="","",IFERROR(INDEX($S$5:$S$304,MATCH(C2752,$R$5:$R$304,0))&amp;"","?"))</f>
        <v/>
      </c>
      <c r="N2752" s="2">
        <f>IF(E2752="","",IF(ISNUMBER(SEARCH("SUBSOLO",E2752)),IFERROR(-VALUE(LEFT(E2752,FIND("º",SUBSTITUTE(E2752,"°","º"))-1)),-1),IF(LEFT(E2752,6)="TÉRREO",0,IFERROR(VALUE(LEFT(E2752,FIND("º",SUBSTITUTE(E2752,"°","º"))-1)),""))))</f>
        <v/>
      </c>
      <c r="O2752" s="2">
        <f>IF(OR(F2752="",G2752=""),"",IF(G2752&lt;='RETRATO 2027'!$K$5,"CONCLUÍDA",IF(F2752&lt;='RETRATO 2027'!$K$5,"EM ANDAMENTO","A INICIAR")))</f>
        <v/>
      </c>
    </row>
    <row r="2753">
      <c r="M2753" s="2">
        <f>IF(C2753="","",IFERROR(INDEX($S$5:$S$304,MATCH(C2753,$R$5:$R$304,0))&amp;"","?"))</f>
        <v/>
      </c>
      <c r="N2753" s="2">
        <f>IF(E2753="","",IF(ISNUMBER(SEARCH("SUBSOLO",E2753)),IFERROR(-VALUE(LEFT(E2753,FIND("º",SUBSTITUTE(E2753,"°","º"))-1)),-1),IF(LEFT(E2753,6)="TÉRREO",0,IFERROR(VALUE(LEFT(E2753,FIND("º",SUBSTITUTE(E2753,"°","º"))-1)),""))))</f>
        <v/>
      </c>
      <c r="O2753" s="2">
        <f>IF(OR(F2753="",G2753=""),"",IF(G2753&lt;='RETRATO 2027'!$K$5,"CONCLUÍDA",IF(F2753&lt;='RETRATO 2027'!$K$5,"EM ANDAMENTO","A INICIAR")))</f>
        <v/>
      </c>
    </row>
    <row r="2754">
      <c r="M2754" s="2">
        <f>IF(C2754="","",IFERROR(INDEX($S$5:$S$304,MATCH(C2754,$R$5:$R$304,0))&amp;"","?"))</f>
        <v/>
      </c>
      <c r="N2754" s="2">
        <f>IF(E2754="","",IF(ISNUMBER(SEARCH("SUBSOLO",E2754)),IFERROR(-VALUE(LEFT(E2754,FIND("º",SUBSTITUTE(E2754,"°","º"))-1)),-1),IF(LEFT(E2754,6)="TÉRREO",0,IFERROR(VALUE(LEFT(E2754,FIND("º",SUBSTITUTE(E2754,"°","º"))-1)),""))))</f>
        <v/>
      </c>
      <c r="O2754" s="2">
        <f>IF(OR(F2754="",G2754=""),"",IF(G2754&lt;='RETRATO 2027'!$K$5,"CONCLUÍDA",IF(F2754&lt;='RETRATO 2027'!$K$5,"EM ANDAMENTO","A INICIAR")))</f>
        <v/>
      </c>
    </row>
    <row r="2755">
      <c r="M2755" s="2">
        <f>IF(C2755="","",IFERROR(INDEX($S$5:$S$304,MATCH(C2755,$R$5:$R$304,0))&amp;"","?"))</f>
        <v/>
      </c>
      <c r="N2755" s="2">
        <f>IF(E2755="","",IF(ISNUMBER(SEARCH("SUBSOLO",E2755)),IFERROR(-VALUE(LEFT(E2755,FIND("º",SUBSTITUTE(E2755,"°","º"))-1)),-1),IF(LEFT(E2755,6)="TÉRREO",0,IFERROR(VALUE(LEFT(E2755,FIND("º",SUBSTITUTE(E2755,"°","º"))-1)),""))))</f>
        <v/>
      </c>
      <c r="O2755" s="2">
        <f>IF(OR(F2755="",G2755=""),"",IF(G2755&lt;='RETRATO 2027'!$K$5,"CONCLUÍDA",IF(F2755&lt;='RETRATO 2027'!$K$5,"EM ANDAMENTO","A INICIAR")))</f>
        <v/>
      </c>
    </row>
    <row r="2756">
      <c r="M2756" s="2">
        <f>IF(C2756="","",IFERROR(INDEX($S$5:$S$304,MATCH(C2756,$R$5:$R$304,0))&amp;"","?"))</f>
        <v/>
      </c>
      <c r="N2756" s="2">
        <f>IF(E2756="","",IF(ISNUMBER(SEARCH("SUBSOLO",E2756)),IFERROR(-VALUE(LEFT(E2756,FIND("º",SUBSTITUTE(E2756,"°","º"))-1)),-1),IF(LEFT(E2756,6)="TÉRREO",0,IFERROR(VALUE(LEFT(E2756,FIND("º",SUBSTITUTE(E2756,"°","º"))-1)),""))))</f>
        <v/>
      </c>
      <c r="O2756" s="2">
        <f>IF(OR(F2756="",G2756=""),"",IF(G2756&lt;='RETRATO 2027'!$K$5,"CONCLUÍDA",IF(F2756&lt;='RETRATO 2027'!$K$5,"EM ANDAMENTO","A INICIAR")))</f>
        <v/>
      </c>
    </row>
    <row r="2757">
      <c r="M2757" s="2">
        <f>IF(C2757="","",IFERROR(INDEX($S$5:$S$304,MATCH(C2757,$R$5:$R$304,0))&amp;"","?"))</f>
        <v/>
      </c>
      <c r="N2757" s="2">
        <f>IF(E2757="","",IF(ISNUMBER(SEARCH("SUBSOLO",E2757)),IFERROR(-VALUE(LEFT(E2757,FIND("º",SUBSTITUTE(E2757,"°","º"))-1)),-1),IF(LEFT(E2757,6)="TÉRREO",0,IFERROR(VALUE(LEFT(E2757,FIND("º",SUBSTITUTE(E2757,"°","º"))-1)),""))))</f>
        <v/>
      </c>
      <c r="O2757" s="2">
        <f>IF(OR(F2757="",G2757=""),"",IF(G2757&lt;='RETRATO 2027'!$K$5,"CONCLUÍDA",IF(F2757&lt;='RETRATO 2027'!$K$5,"EM ANDAMENTO","A INICIAR")))</f>
        <v/>
      </c>
    </row>
    <row r="2758">
      <c r="M2758" s="2">
        <f>IF(C2758="","",IFERROR(INDEX($S$5:$S$304,MATCH(C2758,$R$5:$R$304,0))&amp;"","?"))</f>
        <v/>
      </c>
      <c r="N2758" s="2">
        <f>IF(E2758="","",IF(ISNUMBER(SEARCH("SUBSOLO",E2758)),IFERROR(-VALUE(LEFT(E2758,FIND("º",SUBSTITUTE(E2758,"°","º"))-1)),-1),IF(LEFT(E2758,6)="TÉRREO",0,IFERROR(VALUE(LEFT(E2758,FIND("º",SUBSTITUTE(E2758,"°","º"))-1)),""))))</f>
        <v/>
      </c>
      <c r="O2758" s="2">
        <f>IF(OR(F2758="",G2758=""),"",IF(G2758&lt;='RETRATO 2027'!$K$5,"CONCLUÍDA",IF(F2758&lt;='RETRATO 2027'!$K$5,"EM ANDAMENTO","A INICIAR")))</f>
        <v/>
      </c>
    </row>
    <row r="2759">
      <c r="M2759" s="2">
        <f>IF(C2759="","",IFERROR(INDEX($S$5:$S$304,MATCH(C2759,$R$5:$R$304,0))&amp;"","?"))</f>
        <v/>
      </c>
      <c r="N2759" s="2">
        <f>IF(E2759="","",IF(ISNUMBER(SEARCH("SUBSOLO",E2759)),IFERROR(-VALUE(LEFT(E2759,FIND("º",SUBSTITUTE(E2759,"°","º"))-1)),-1),IF(LEFT(E2759,6)="TÉRREO",0,IFERROR(VALUE(LEFT(E2759,FIND("º",SUBSTITUTE(E2759,"°","º"))-1)),""))))</f>
        <v/>
      </c>
      <c r="O2759" s="2">
        <f>IF(OR(F2759="",G2759=""),"",IF(G2759&lt;='RETRATO 2027'!$K$5,"CONCLUÍDA",IF(F2759&lt;='RETRATO 2027'!$K$5,"EM ANDAMENTO","A INICIAR")))</f>
        <v/>
      </c>
    </row>
    <row r="2760">
      <c r="M2760" s="2">
        <f>IF(C2760="","",IFERROR(INDEX($S$5:$S$304,MATCH(C2760,$R$5:$R$304,0))&amp;"","?"))</f>
        <v/>
      </c>
      <c r="N2760" s="2">
        <f>IF(E2760="","",IF(ISNUMBER(SEARCH("SUBSOLO",E2760)),IFERROR(-VALUE(LEFT(E2760,FIND("º",SUBSTITUTE(E2760,"°","º"))-1)),-1),IF(LEFT(E2760,6)="TÉRREO",0,IFERROR(VALUE(LEFT(E2760,FIND("º",SUBSTITUTE(E2760,"°","º"))-1)),""))))</f>
        <v/>
      </c>
      <c r="O2760" s="2">
        <f>IF(OR(F2760="",G2760=""),"",IF(G2760&lt;='RETRATO 2027'!$K$5,"CONCLUÍDA",IF(F2760&lt;='RETRATO 2027'!$K$5,"EM ANDAMENTO","A INICIAR")))</f>
        <v/>
      </c>
    </row>
    <row r="2761">
      <c r="M2761" s="2">
        <f>IF(C2761="","",IFERROR(INDEX($S$5:$S$304,MATCH(C2761,$R$5:$R$304,0))&amp;"","?"))</f>
        <v/>
      </c>
      <c r="N2761" s="2">
        <f>IF(E2761="","",IF(ISNUMBER(SEARCH("SUBSOLO",E2761)),IFERROR(-VALUE(LEFT(E2761,FIND("º",SUBSTITUTE(E2761,"°","º"))-1)),-1),IF(LEFT(E2761,6)="TÉRREO",0,IFERROR(VALUE(LEFT(E2761,FIND("º",SUBSTITUTE(E2761,"°","º"))-1)),""))))</f>
        <v/>
      </c>
      <c r="O2761" s="2">
        <f>IF(OR(F2761="",G2761=""),"",IF(G2761&lt;='RETRATO 2027'!$K$5,"CONCLUÍDA",IF(F2761&lt;='RETRATO 2027'!$K$5,"EM ANDAMENTO","A INICIAR")))</f>
        <v/>
      </c>
    </row>
    <row r="2762">
      <c r="M2762" s="2">
        <f>IF(C2762="","",IFERROR(INDEX($S$5:$S$304,MATCH(C2762,$R$5:$R$304,0))&amp;"","?"))</f>
        <v/>
      </c>
      <c r="N2762" s="2">
        <f>IF(E2762="","",IF(ISNUMBER(SEARCH("SUBSOLO",E2762)),IFERROR(-VALUE(LEFT(E2762,FIND("º",SUBSTITUTE(E2762,"°","º"))-1)),-1),IF(LEFT(E2762,6)="TÉRREO",0,IFERROR(VALUE(LEFT(E2762,FIND("º",SUBSTITUTE(E2762,"°","º"))-1)),""))))</f>
        <v/>
      </c>
      <c r="O2762" s="2">
        <f>IF(OR(F2762="",G2762=""),"",IF(G2762&lt;='RETRATO 2027'!$K$5,"CONCLUÍDA",IF(F2762&lt;='RETRATO 2027'!$K$5,"EM ANDAMENTO","A INICIAR")))</f>
        <v/>
      </c>
    </row>
    <row r="2763">
      <c r="M2763" s="2">
        <f>IF(C2763="","",IFERROR(INDEX($S$5:$S$304,MATCH(C2763,$R$5:$R$304,0))&amp;"","?"))</f>
        <v/>
      </c>
      <c r="N2763" s="2">
        <f>IF(E2763="","",IF(ISNUMBER(SEARCH("SUBSOLO",E2763)),IFERROR(-VALUE(LEFT(E2763,FIND("º",SUBSTITUTE(E2763,"°","º"))-1)),-1),IF(LEFT(E2763,6)="TÉRREO",0,IFERROR(VALUE(LEFT(E2763,FIND("º",SUBSTITUTE(E2763,"°","º"))-1)),""))))</f>
        <v/>
      </c>
      <c r="O2763" s="2">
        <f>IF(OR(F2763="",G2763=""),"",IF(G2763&lt;='RETRATO 2027'!$K$5,"CONCLUÍDA",IF(F2763&lt;='RETRATO 2027'!$K$5,"EM ANDAMENTO","A INICIAR")))</f>
        <v/>
      </c>
    </row>
    <row r="2764">
      <c r="M2764" s="2">
        <f>IF(C2764="","",IFERROR(INDEX($S$5:$S$304,MATCH(C2764,$R$5:$R$304,0))&amp;"","?"))</f>
        <v/>
      </c>
      <c r="N2764" s="2">
        <f>IF(E2764="","",IF(ISNUMBER(SEARCH("SUBSOLO",E2764)),IFERROR(-VALUE(LEFT(E2764,FIND("º",SUBSTITUTE(E2764,"°","º"))-1)),-1),IF(LEFT(E2764,6)="TÉRREO",0,IFERROR(VALUE(LEFT(E2764,FIND("º",SUBSTITUTE(E2764,"°","º"))-1)),""))))</f>
        <v/>
      </c>
      <c r="O2764" s="2">
        <f>IF(OR(F2764="",G2764=""),"",IF(G2764&lt;='RETRATO 2027'!$K$5,"CONCLUÍDA",IF(F2764&lt;='RETRATO 2027'!$K$5,"EM ANDAMENTO","A INICIAR")))</f>
        <v/>
      </c>
    </row>
    <row r="2765">
      <c r="M2765" s="2">
        <f>IF(C2765="","",IFERROR(INDEX($S$5:$S$304,MATCH(C2765,$R$5:$R$304,0))&amp;"","?"))</f>
        <v/>
      </c>
      <c r="N2765" s="2">
        <f>IF(E2765="","",IF(ISNUMBER(SEARCH("SUBSOLO",E2765)),IFERROR(-VALUE(LEFT(E2765,FIND("º",SUBSTITUTE(E2765,"°","º"))-1)),-1),IF(LEFT(E2765,6)="TÉRREO",0,IFERROR(VALUE(LEFT(E2765,FIND("º",SUBSTITUTE(E2765,"°","º"))-1)),""))))</f>
        <v/>
      </c>
      <c r="O2765" s="2">
        <f>IF(OR(F2765="",G2765=""),"",IF(G2765&lt;='RETRATO 2027'!$K$5,"CONCLUÍDA",IF(F2765&lt;='RETRATO 2027'!$K$5,"EM ANDAMENTO","A INICIAR")))</f>
        <v/>
      </c>
    </row>
    <row r="2766">
      <c r="M2766" s="2">
        <f>IF(C2766="","",IFERROR(INDEX($S$5:$S$304,MATCH(C2766,$R$5:$R$304,0))&amp;"","?"))</f>
        <v/>
      </c>
      <c r="N2766" s="2">
        <f>IF(E2766="","",IF(ISNUMBER(SEARCH("SUBSOLO",E2766)),IFERROR(-VALUE(LEFT(E2766,FIND("º",SUBSTITUTE(E2766,"°","º"))-1)),-1),IF(LEFT(E2766,6)="TÉRREO",0,IFERROR(VALUE(LEFT(E2766,FIND("º",SUBSTITUTE(E2766,"°","º"))-1)),""))))</f>
        <v/>
      </c>
      <c r="O2766" s="2">
        <f>IF(OR(F2766="",G2766=""),"",IF(G2766&lt;='RETRATO 2027'!$K$5,"CONCLUÍDA",IF(F2766&lt;='RETRATO 2027'!$K$5,"EM ANDAMENTO","A INICIAR")))</f>
        <v/>
      </c>
    </row>
    <row r="2767">
      <c r="M2767" s="2">
        <f>IF(C2767="","",IFERROR(INDEX($S$5:$S$304,MATCH(C2767,$R$5:$R$304,0))&amp;"","?"))</f>
        <v/>
      </c>
      <c r="N2767" s="2">
        <f>IF(E2767="","",IF(ISNUMBER(SEARCH("SUBSOLO",E2767)),IFERROR(-VALUE(LEFT(E2767,FIND("º",SUBSTITUTE(E2767,"°","º"))-1)),-1),IF(LEFT(E2767,6)="TÉRREO",0,IFERROR(VALUE(LEFT(E2767,FIND("º",SUBSTITUTE(E2767,"°","º"))-1)),""))))</f>
        <v/>
      </c>
      <c r="O2767" s="2">
        <f>IF(OR(F2767="",G2767=""),"",IF(G2767&lt;='RETRATO 2027'!$K$5,"CONCLUÍDA",IF(F2767&lt;='RETRATO 2027'!$K$5,"EM ANDAMENTO","A INICIAR")))</f>
        <v/>
      </c>
    </row>
    <row r="2768">
      <c r="M2768" s="2">
        <f>IF(C2768="","",IFERROR(INDEX($S$5:$S$304,MATCH(C2768,$R$5:$R$304,0))&amp;"","?"))</f>
        <v/>
      </c>
      <c r="N2768" s="2">
        <f>IF(E2768="","",IF(ISNUMBER(SEARCH("SUBSOLO",E2768)),IFERROR(-VALUE(LEFT(E2768,FIND("º",SUBSTITUTE(E2768,"°","º"))-1)),-1),IF(LEFT(E2768,6)="TÉRREO",0,IFERROR(VALUE(LEFT(E2768,FIND("º",SUBSTITUTE(E2768,"°","º"))-1)),""))))</f>
        <v/>
      </c>
      <c r="O2768" s="2">
        <f>IF(OR(F2768="",G2768=""),"",IF(G2768&lt;='RETRATO 2027'!$K$5,"CONCLUÍDA",IF(F2768&lt;='RETRATO 2027'!$K$5,"EM ANDAMENTO","A INICIAR")))</f>
        <v/>
      </c>
    </row>
    <row r="2769">
      <c r="M2769" s="2">
        <f>IF(C2769="","",IFERROR(INDEX($S$5:$S$304,MATCH(C2769,$R$5:$R$304,0))&amp;"","?"))</f>
        <v/>
      </c>
      <c r="N2769" s="2">
        <f>IF(E2769="","",IF(ISNUMBER(SEARCH("SUBSOLO",E2769)),IFERROR(-VALUE(LEFT(E2769,FIND("º",SUBSTITUTE(E2769,"°","º"))-1)),-1),IF(LEFT(E2769,6)="TÉRREO",0,IFERROR(VALUE(LEFT(E2769,FIND("º",SUBSTITUTE(E2769,"°","º"))-1)),""))))</f>
        <v/>
      </c>
      <c r="O2769" s="2">
        <f>IF(OR(F2769="",G2769=""),"",IF(G2769&lt;='RETRATO 2027'!$K$5,"CONCLUÍDA",IF(F2769&lt;='RETRATO 2027'!$K$5,"EM ANDAMENTO","A INICIAR")))</f>
        <v/>
      </c>
    </row>
    <row r="2770">
      <c r="M2770" s="2">
        <f>IF(C2770="","",IFERROR(INDEX($S$5:$S$304,MATCH(C2770,$R$5:$R$304,0))&amp;"","?"))</f>
        <v/>
      </c>
      <c r="N2770" s="2">
        <f>IF(E2770="","",IF(ISNUMBER(SEARCH("SUBSOLO",E2770)),IFERROR(-VALUE(LEFT(E2770,FIND("º",SUBSTITUTE(E2770,"°","º"))-1)),-1),IF(LEFT(E2770,6)="TÉRREO",0,IFERROR(VALUE(LEFT(E2770,FIND("º",SUBSTITUTE(E2770,"°","º"))-1)),""))))</f>
        <v/>
      </c>
      <c r="O2770" s="2">
        <f>IF(OR(F2770="",G2770=""),"",IF(G2770&lt;='RETRATO 2027'!$K$5,"CONCLUÍDA",IF(F2770&lt;='RETRATO 2027'!$K$5,"EM ANDAMENTO","A INICIAR")))</f>
        <v/>
      </c>
    </row>
    <row r="2771">
      <c r="M2771" s="2">
        <f>IF(C2771="","",IFERROR(INDEX($S$5:$S$304,MATCH(C2771,$R$5:$R$304,0))&amp;"","?"))</f>
        <v/>
      </c>
      <c r="N2771" s="2">
        <f>IF(E2771="","",IF(ISNUMBER(SEARCH("SUBSOLO",E2771)),IFERROR(-VALUE(LEFT(E2771,FIND("º",SUBSTITUTE(E2771,"°","º"))-1)),-1),IF(LEFT(E2771,6)="TÉRREO",0,IFERROR(VALUE(LEFT(E2771,FIND("º",SUBSTITUTE(E2771,"°","º"))-1)),""))))</f>
        <v/>
      </c>
      <c r="O2771" s="2">
        <f>IF(OR(F2771="",G2771=""),"",IF(G2771&lt;='RETRATO 2027'!$K$5,"CONCLUÍDA",IF(F2771&lt;='RETRATO 2027'!$K$5,"EM ANDAMENTO","A INICIAR")))</f>
        <v/>
      </c>
    </row>
    <row r="2772">
      <c r="M2772" s="2">
        <f>IF(C2772="","",IFERROR(INDEX($S$5:$S$304,MATCH(C2772,$R$5:$R$304,0))&amp;"","?"))</f>
        <v/>
      </c>
      <c r="N2772" s="2">
        <f>IF(E2772="","",IF(ISNUMBER(SEARCH("SUBSOLO",E2772)),IFERROR(-VALUE(LEFT(E2772,FIND("º",SUBSTITUTE(E2772,"°","º"))-1)),-1),IF(LEFT(E2772,6)="TÉRREO",0,IFERROR(VALUE(LEFT(E2772,FIND("º",SUBSTITUTE(E2772,"°","º"))-1)),""))))</f>
        <v/>
      </c>
      <c r="O2772" s="2">
        <f>IF(OR(F2772="",G2772=""),"",IF(G2772&lt;='RETRATO 2027'!$K$5,"CONCLUÍDA",IF(F2772&lt;='RETRATO 2027'!$K$5,"EM ANDAMENTO","A INICIAR")))</f>
        <v/>
      </c>
    </row>
    <row r="2773">
      <c r="M2773" s="2">
        <f>IF(C2773="","",IFERROR(INDEX($S$5:$S$304,MATCH(C2773,$R$5:$R$304,0))&amp;"","?"))</f>
        <v/>
      </c>
      <c r="N2773" s="2">
        <f>IF(E2773="","",IF(ISNUMBER(SEARCH("SUBSOLO",E2773)),IFERROR(-VALUE(LEFT(E2773,FIND("º",SUBSTITUTE(E2773,"°","º"))-1)),-1),IF(LEFT(E2773,6)="TÉRREO",0,IFERROR(VALUE(LEFT(E2773,FIND("º",SUBSTITUTE(E2773,"°","º"))-1)),""))))</f>
        <v/>
      </c>
      <c r="O2773" s="2">
        <f>IF(OR(F2773="",G2773=""),"",IF(G2773&lt;='RETRATO 2027'!$K$5,"CONCLUÍDA",IF(F2773&lt;='RETRATO 2027'!$K$5,"EM ANDAMENTO","A INICIAR")))</f>
        <v/>
      </c>
    </row>
    <row r="2774">
      <c r="M2774" s="2">
        <f>IF(C2774="","",IFERROR(INDEX($S$5:$S$304,MATCH(C2774,$R$5:$R$304,0))&amp;"","?"))</f>
        <v/>
      </c>
      <c r="N2774" s="2">
        <f>IF(E2774="","",IF(ISNUMBER(SEARCH("SUBSOLO",E2774)),IFERROR(-VALUE(LEFT(E2774,FIND("º",SUBSTITUTE(E2774,"°","º"))-1)),-1),IF(LEFT(E2774,6)="TÉRREO",0,IFERROR(VALUE(LEFT(E2774,FIND("º",SUBSTITUTE(E2774,"°","º"))-1)),""))))</f>
        <v/>
      </c>
      <c r="O2774" s="2">
        <f>IF(OR(F2774="",G2774=""),"",IF(G2774&lt;='RETRATO 2027'!$K$5,"CONCLUÍDA",IF(F2774&lt;='RETRATO 2027'!$K$5,"EM ANDAMENTO","A INICIAR")))</f>
        <v/>
      </c>
    </row>
    <row r="2775">
      <c r="M2775" s="2">
        <f>IF(C2775="","",IFERROR(INDEX($S$5:$S$304,MATCH(C2775,$R$5:$R$304,0))&amp;"","?"))</f>
        <v/>
      </c>
      <c r="N2775" s="2">
        <f>IF(E2775="","",IF(ISNUMBER(SEARCH("SUBSOLO",E2775)),IFERROR(-VALUE(LEFT(E2775,FIND("º",SUBSTITUTE(E2775,"°","º"))-1)),-1),IF(LEFT(E2775,6)="TÉRREO",0,IFERROR(VALUE(LEFT(E2775,FIND("º",SUBSTITUTE(E2775,"°","º"))-1)),""))))</f>
        <v/>
      </c>
      <c r="O2775" s="2">
        <f>IF(OR(F2775="",G2775=""),"",IF(G2775&lt;='RETRATO 2027'!$K$5,"CONCLUÍDA",IF(F2775&lt;='RETRATO 2027'!$K$5,"EM ANDAMENTO","A INICIAR")))</f>
        <v/>
      </c>
    </row>
    <row r="2776">
      <c r="M2776" s="2">
        <f>IF(C2776="","",IFERROR(INDEX($S$5:$S$304,MATCH(C2776,$R$5:$R$304,0))&amp;"","?"))</f>
        <v/>
      </c>
      <c r="N2776" s="2">
        <f>IF(E2776="","",IF(ISNUMBER(SEARCH("SUBSOLO",E2776)),IFERROR(-VALUE(LEFT(E2776,FIND("º",SUBSTITUTE(E2776,"°","º"))-1)),-1),IF(LEFT(E2776,6)="TÉRREO",0,IFERROR(VALUE(LEFT(E2776,FIND("º",SUBSTITUTE(E2776,"°","º"))-1)),""))))</f>
        <v/>
      </c>
      <c r="O2776" s="2">
        <f>IF(OR(F2776="",G2776=""),"",IF(G2776&lt;='RETRATO 2027'!$K$5,"CONCLUÍDA",IF(F2776&lt;='RETRATO 2027'!$K$5,"EM ANDAMENTO","A INICIAR")))</f>
        <v/>
      </c>
    </row>
    <row r="2777">
      <c r="M2777" s="2">
        <f>IF(C2777="","",IFERROR(INDEX($S$5:$S$304,MATCH(C2777,$R$5:$R$304,0))&amp;"","?"))</f>
        <v/>
      </c>
      <c r="N2777" s="2">
        <f>IF(E2777="","",IF(ISNUMBER(SEARCH("SUBSOLO",E2777)),IFERROR(-VALUE(LEFT(E2777,FIND("º",SUBSTITUTE(E2777,"°","º"))-1)),-1),IF(LEFT(E2777,6)="TÉRREO",0,IFERROR(VALUE(LEFT(E2777,FIND("º",SUBSTITUTE(E2777,"°","º"))-1)),""))))</f>
        <v/>
      </c>
      <c r="O2777" s="2">
        <f>IF(OR(F2777="",G2777=""),"",IF(G2777&lt;='RETRATO 2027'!$K$5,"CONCLUÍDA",IF(F2777&lt;='RETRATO 2027'!$K$5,"EM ANDAMENTO","A INICIAR")))</f>
        <v/>
      </c>
    </row>
    <row r="2778">
      <c r="M2778" s="2">
        <f>IF(C2778="","",IFERROR(INDEX($S$5:$S$304,MATCH(C2778,$R$5:$R$304,0))&amp;"","?"))</f>
        <v/>
      </c>
      <c r="N2778" s="2">
        <f>IF(E2778="","",IF(ISNUMBER(SEARCH("SUBSOLO",E2778)),IFERROR(-VALUE(LEFT(E2778,FIND("º",SUBSTITUTE(E2778,"°","º"))-1)),-1),IF(LEFT(E2778,6)="TÉRREO",0,IFERROR(VALUE(LEFT(E2778,FIND("º",SUBSTITUTE(E2778,"°","º"))-1)),""))))</f>
        <v/>
      </c>
      <c r="O2778" s="2">
        <f>IF(OR(F2778="",G2778=""),"",IF(G2778&lt;='RETRATO 2027'!$K$5,"CONCLUÍDA",IF(F2778&lt;='RETRATO 2027'!$K$5,"EM ANDAMENTO","A INICIAR")))</f>
        <v/>
      </c>
    </row>
    <row r="2779">
      <c r="M2779" s="2">
        <f>IF(C2779="","",IFERROR(INDEX($S$5:$S$304,MATCH(C2779,$R$5:$R$304,0))&amp;"","?"))</f>
        <v/>
      </c>
      <c r="N2779" s="2">
        <f>IF(E2779="","",IF(ISNUMBER(SEARCH("SUBSOLO",E2779)),IFERROR(-VALUE(LEFT(E2779,FIND("º",SUBSTITUTE(E2779,"°","º"))-1)),-1),IF(LEFT(E2779,6)="TÉRREO",0,IFERROR(VALUE(LEFT(E2779,FIND("º",SUBSTITUTE(E2779,"°","º"))-1)),""))))</f>
        <v/>
      </c>
      <c r="O2779" s="2">
        <f>IF(OR(F2779="",G2779=""),"",IF(G2779&lt;='RETRATO 2027'!$K$5,"CONCLUÍDA",IF(F2779&lt;='RETRATO 2027'!$K$5,"EM ANDAMENTO","A INICIAR")))</f>
        <v/>
      </c>
    </row>
    <row r="2780">
      <c r="M2780" s="2">
        <f>IF(C2780="","",IFERROR(INDEX($S$5:$S$304,MATCH(C2780,$R$5:$R$304,0))&amp;"","?"))</f>
        <v/>
      </c>
      <c r="N2780" s="2">
        <f>IF(E2780="","",IF(ISNUMBER(SEARCH("SUBSOLO",E2780)),IFERROR(-VALUE(LEFT(E2780,FIND("º",SUBSTITUTE(E2780,"°","º"))-1)),-1),IF(LEFT(E2780,6)="TÉRREO",0,IFERROR(VALUE(LEFT(E2780,FIND("º",SUBSTITUTE(E2780,"°","º"))-1)),""))))</f>
        <v/>
      </c>
      <c r="O2780" s="2">
        <f>IF(OR(F2780="",G2780=""),"",IF(G2780&lt;='RETRATO 2027'!$K$5,"CONCLUÍDA",IF(F2780&lt;='RETRATO 2027'!$K$5,"EM ANDAMENTO","A INICIAR")))</f>
        <v/>
      </c>
    </row>
    <row r="2781">
      <c r="M2781" s="2">
        <f>IF(C2781="","",IFERROR(INDEX($S$5:$S$304,MATCH(C2781,$R$5:$R$304,0))&amp;"","?"))</f>
        <v/>
      </c>
      <c r="N2781" s="2">
        <f>IF(E2781="","",IF(ISNUMBER(SEARCH("SUBSOLO",E2781)),IFERROR(-VALUE(LEFT(E2781,FIND("º",SUBSTITUTE(E2781,"°","º"))-1)),-1),IF(LEFT(E2781,6)="TÉRREO",0,IFERROR(VALUE(LEFT(E2781,FIND("º",SUBSTITUTE(E2781,"°","º"))-1)),""))))</f>
        <v/>
      </c>
      <c r="O2781" s="2">
        <f>IF(OR(F2781="",G2781=""),"",IF(G2781&lt;='RETRATO 2027'!$K$5,"CONCLUÍDA",IF(F2781&lt;='RETRATO 2027'!$K$5,"EM ANDAMENTO","A INICIAR")))</f>
        <v/>
      </c>
    </row>
    <row r="2782">
      <c r="M2782" s="2">
        <f>IF(C2782="","",IFERROR(INDEX($S$5:$S$304,MATCH(C2782,$R$5:$R$304,0))&amp;"","?"))</f>
        <v/>
      </c>
      <c r="N2782" s="2">
        <f>IF(E2782="","",IF(ISNUMBER(SEARCH("SUBSOLO",E2782)),IFERROR(-VALUE(LEFT(E2782,FIND("º",SUBSTITUTE(E2782,"°","º"))-1)),-1),IF(LEFT(E2782,6)="TÉRREO",0,IFERROR(VALUE(LEFT(E2782,FIND("º",SUBSTITUTE(E2782,"°","º"))-1)),""))))</f>
        <v/>
      </c>
      <c r="O2782" s="2">
        <f>IF(OR(F2782="",G2782=""),"",IF(G2782&lt;='RETRATO 2027'!$K$5,"CONCLUÍDA",IF(F2782&lt;='RETRATO 2027'!$K$5,"EM ANDAMENTO","A INICIAR")))</f>
        <v/>
      </c>
    </row>
    <row r="2783">
      <c r="M2783" s="2">
        <f>IF(C2783="","",IFERROR(INDEX($S$5:$S$304,MATCH(C2783,$R$5:$R$304,0))&amp;"","?"))</f>
        <v/>
      </c>
      <c r="N2783" s="2">
        <f>IF(E2783="","",IF(ISNUMBER(SEARCH("SUBSOLO",E2783)),IFERROR(-VALUE(LEFT(E2783,FIND("º",SUBSTITUTE(E2783,"°","º"))-1)),-1),IF(LEFT(E2783,6)="TÉRREO",0,IFERROR(VALUE(LEFT(E2783,FIND("º",SUBSTITUTE(E2783,"°","º"))-1)),""))))</f>
        <v/>
      </c>
      <c r="O2783" s="2">
        <f>IF(OR(F2783="",G2783=""),"",IF(G2783&lt;='RETRATO 2027'!$K$5,"CONCLUÍDA",IF(F2783&lt;='RETRATO 2027'!$K$5,"EM ANDAMENTO","A INICIAR")))</f>
        <v/>
      </c>
    </row>
    <row r="2784">
      <c r="M2784" s="2">
        <f>IF(C2784="","",IFERROR(INDEX($S$5:$S$304,MATCH(C2784,$R$5:$R$304,0))&amp;"","?"))</f>
        <v/>
      </c>
      <c r="N2784" s="2">
        <f>IF(E2784="","",IF(ISNUMBER(SEARCH("SUBSOLO",E2784)),IFERROR(-VALUE(LEFT(E2784,FIND("º",SUBSTITUTE(E2784,"°","º"))-1)),-1),IF(LEFT(E2784,6)="TÉRREO",0,IFERROR(VALUE(LEFT(E2784,FIND("º",SUBSTITUTE(E2784,"°","º"))-1)),""))))</f>
        <v/>
      </c>
      <c r="O2784" s="2">
        <f>IF(OR(F2784="",G2784=""),"",IF(G2784&lt;='RETRATO 2027'!$K$5,"CONCLUÍDA",IF(F2784&lt;='RETRATO 2027'!$K$5,"EM ANDAMENTO","A INICIAR")))</f>
        <v/>
      </c>
    </row>
    <row r="2785">
      <c r="M2785" s="2">
        <f>IF(C2785="","",IFERROR(INDEX($S$5:$S$304,MATCH(C2785,$R$5:$R$304,0))&amp;"","?"))</f>
        <v/>
      </c>
      <c r="N2785" s="2">
        <f>IF(E2785="","",IF(ISNUMBER(SEARCH("SUBSOLO",E2785)),IFERROR(-VALUE(LEFT(E2785,FIND("º",SUBSTITUTE(E2785,"°","º"))-1)),-1),IF(LEFT(E2785,6)="TÉRREO",0,IFERROR(VALUE(LEFT(E2785,FIND("º",SUBSTITUTE(E2785,"°","º"))-1)),""))))</f>
        <v/>
      </c>
      <c r="O2785" s="2">
        <f>IF(OR(F2785="",G2785=""),"",IF(G2785&lt;='RETRATO 2027'!$K$5,"CONCLUÍDA",IF(F2785&lt;='RETRATO 2027'!$K$5,"EM ANDAMENTO","A INICIAR")))</f>
        <v/>
      </c>
    </row>
    <row r="2786">
      <c r="M2786" s="2">
        <f>IF(C2786="","",IFERROR(INDEX($S$5:$S$304,MATCH(C2786,$R$5:$R$304,0))&amp;"","?"))</f>
        <v/>
      </c>
      <c r="N2786" s="2">
        <f>IF(E2786="","",IF(ISNUMBER(SEARCH("SUBSOLO",E2786)),IFERROR(-VALUE(LEFT(E2786,FIND("º",SUBSTITUTE(E2786,"°","º"))-1)),-1),IF(LEFT(E2786,6)="TÉRREO",0,IFERROR(VALUE(LEFT(E2786,FIND("º",SUBSTITUTE(E2786,"°","º"))-1)),""))))</f>
        <v/>
      </c>
      <c r="O2786" s="2">
        <f>IF(OR(F2786="",G2786=""),"",IF(G2786&lt;='RETRATO 2027'!$K$5,"CONCLUÍDA",IF(F2786&lt;='RETRATO 2027'!$K$5,"EM ANDAMENTO","A INICIAR")))</f>
        <v/>
      </c>
    </row>
    <row r="2787">
      <c r="M2787" s="2">
        <f>IF(C2787="","",IFERROR(INDEX($S$5:$S$304,MATCH(C2787,$R$5:$R$304,0))&amp;"","?"))</f>
        <v/>
      </c>
      <c r="N2787" s="2">
        <f>IF(E2787="","",IF(ISNUMBER(SEARCH("SUBSOLO",E2787)),IFERROR(-VALUE(LEFT(E2787,FIND("º",SUBSTITUTE(E2787,"°","º"))-1)),-1),IF(LEFT(E2787,6)="TÉRREO",0,IFERROR(VALUE(LEFT(E2787,FIND("º",SUBSTITUTE(E2787,"°","º"))-1)),""))))</f>
        <v/>
      </c>
      <c r="O2787" s="2">
        <f>IF(OR(F2787="",G2787=""),"",IF(G2787&lt;='RETRATO 2027'!$K$5,"CONCLUÍDA",IF(F2787&lt;='RETRATO 2027'!$K$5,"EM ANDAMENTO","A INICIAR")))</f>
        <v/>
      </c>
    </row>
    <row r="2788">
      <c r="M2788" s="2">
        <f>IF(C2788="","",IFERROR(INDEX($S$5:$S$304,MATCH(C2788,$R$5:$R$304,0))&amp;"","?"))</f>
        <v/>
      </c>
      <c r="N2788" s="2">
        <f>IF(E2788="","",IF(ISNUMBER(SEARCH("SUBSOLO",E2788)),IFERROR(-VALUE(LEFT(E2788,FIND("º",SUBSTITUTE(E2788,"°","º"))-1)),-1),IF(LEFT(E2788,6)="TÉRREO",0,IFERROR(VALUE(LEFT(E2788,FIND("º",SUBSTITUTE(E2788,"°","º"))-1)),""))))</f>
        <v/>
      </c>
      <c r="O2788" s="2">
        <f>IF(OR(F2788="",G2788=""),"",IF(G2788&lt;='RETRATO 2027'!$K$5,"CONCLUÍDA",IF(F2788&lt;='RETRATO 2027'!$K$5,"EM ANDAMENTO","A INICIAR")))</f>
        <v/>
      </c>
    </row>
    <row r="2789">
      <c r="M2789" s="2">
        <f>IF(C2789="","",IFERROR(INDEX($S$5:$S$304,MATCH(C2789,$R$5:$R$304,0))&amp;"","?"))</f>
        <v/>
      </c>
      <c r="N2789" s="2">
        <f>IF(E2789="","",IF(ISNUMBER(SEARCH("SUBSOLO",E2789)),IFERROR(-VALUE(LEFT(E2789,FIND("º",SUBSTITUTE(E2789,"°","º"))-1)),-1),IF(LEFT(E2789,6)="TÉRREO",0,IFERROR(VALUE(LEFT(E2789,FIND("º",SUBSTITUTE(E2789,"°","º"))-1)),""))))</f>
        <v/>
      </c>
      <c r="O2789" s="2">
        <f>IF(OR(F2789="",G2789=""),"",IF(G2789&lt;='RETRATO 2027'!$K$5,"CONCLUÍDA",IF(F2789&lt;='RETRATO 2027'!$K$5,"EM ANDAMENTO","A INICIAR")))</f>
        <v/>
      </c>
    </row>
    <row r="2790">
      <c r="M2790" s="2">
        <f>IF(C2790="","",IFERROR(INDEX($S$5:$S$304,MATCH(C2790,$R$5:$R$304,0))&amp;"","?"))</f>
        <v/>
      </c>
      <c r="N2790" s="2">
        <f>IF(E2790="","",IF(ISNUMBER(SEARCH("SUBSOLO",E2790)),IFERROR(-VALUE(LEFT(E2790,FIND("º",SUBSTITUTE(E2790,"°","º"))-1)),-1),IF(LEFT(E2790,6)="TÉRREO",0,IFERROR(VALUE(LEFT(E2790,FIND("º",SUBSTITUTE(E2790,"°","º"))-1)),""))))</f>
        <v/>
      </c>
      <c r="O2790" s="2">
        <f>IF(OR(F2790="",G2790=""),"",IF(G2790&lt;='RETRATO 2027'!$K$5,"CONCLUÍDA",IF(F2790&lt;='RETRATO 2027'!$K$5,"EM ANDAMENTO","A INICIAR")))</f>
        <v/>
      </c>
    </row>
    <row r="2791">
      <c r="M2791" s="2">
        <f>IF(C2791="","",IFERROR(INDEX($S$5:$S$304,MATCH(C2791,$R$5:$R$304,0))&amp;"","?"))</f>
        <v/>
      </c>
      <c r="N2791" s="2">
        <f>IF(E2791="","",IF(ISNUMBER(SEARCH("SUBSOLO",E2791)),IFERROR(-VALUE(LEFT(E2791,FIND("º",SUBSTITUTE(E2791,"°","º"))-1)),-1),IF(LEFT(E2791,6)="TÉRREO",0,IFERROR(VALUE(LEFT(E2791,FIND("º",SUBSTITUTE(E2791,"°","º"))-1)),""))))</f>
        <v/>
      </c>
      <c r="O2791" s="2">
        <f>IF(OR(F2791="",G2791=""),"",IF(G2791&lt;='RETRATO 2027'!$K$5,"CONCLUÍDA",IF(F2791&lt;='RETRATO 2027'!$K$5,"EM ANDAMENTO","A INICIAR")))</f>
        <v/>
      </c>
    </row>
    <row r="2792">
      <c r="M2792" s="2">
        <f>IF(C2792="","",IFERROR(INDEX($S$5:$S$304,MATCH(C2792,$R$5:$R$304,0))&amp;"","?"))</f>
        <v/>
      </c>
      <c r="N2792" s="2">
        <f>IF(E2792="","",IF(ISNUMBER(SEARCH("SUBSOLO",E2792)),IFERROR(-VALUE(LEFT(E2792,FIND("º",SUBSTITUTE(E2792,"°","º"))-1)),-1),IF(LEFT(E2792,6)="TÉRREO",0,IFERROR(VALUE(LEFT(E2792,FIND("º",SUBSTITUTE(E2792,"°","º"))-1)),""))))</f>
        <v/>
      </c>
      <c r="O2792" s="2">
        <f>IF(OR(F2792="",G2792=""),"",IF(G2792&lt;='RETRATO 2027'!$K$5,"CONCLUÍDA",IF(F2792&lt;='RETRATO 2027'!$K$5,"EM ANDAMENTO","A INICIAR")))</f>
        <v/>
      </c>
    </row>
    <row r="2793">
      <c r="M2793" s="2">
        <f>IF(C2793="","",IFERROR(INDEX($S$5:$S$304,MATCH(C2793,$R$5:$R$304,0))&amp;"","?"))</f>
        <v/>
      </c>
      <c r="N2793" s="2">
        <f>IF(E2793="","",IF(ISNUMBER(SEARCH("SUBSOLO",E2793)),IFERROR(-VALUE(LEFT(E2793,FIND("º",SUBSTITUTE(E2793,"°","º"))-1)),-1),IF(LEFT(E2793,6)="TÉRREO",0,IFERROR(VALUE(LEFT(E2793,FIND("º",SUBSTITUTE(E2793,"°","º"))-1)),""))))</f>
        <v/>
      </c>
      <c r="O2793" s="2">
        <f>IF(OR(F2793="",G2793=""),"",IF(G2793&lt;='RETRATO 2027'!$K$5,"CONCLUÍDA",IF(F2793&lt;='RETRATO 2027'!$K$5,"EM ANDAMENTO","A INICIAR")))</f>
        <v/>
      </c>
    </row>
    <row r="2794">
      <c r="M2794" s="2">
        <f>IF(C2794="","",IFERROR(INDEX($S$5:$S$304,MATCH(C2794,$R$5:$R$304,0))&amp;"","?"))</f>
        <v/>
      </c>
      <c r="N2794" s="2">
        <f>IF(E2794="","",IF(ISNUMBER(SEARCH("SUBSOLO",E2794)),IFERROR(-VALUE(LEFT(E2794,FIND("º",SUBSTITUTE(E2794,"°","º"))-1)),-1),IF(LEFT(E2794,6)="TÉRREO",0,IFERROR(VALUE(LEFT(E2794,FIND("º",SUBSTITUTE(E2794,"°","º"))-1)),""))))</f>
        <v/>
      </c>
      <c r="O2794" s="2">
        <f>IF(OR(F2794="",G2794=""),"",IF(G2794&lt;='RETRATO 2027'!$K$5,"CONCLUÍDA",IF(F2794&lt;='RETRATO 2027'!$K$5,"EM ANDAMENTO","A INICIAR")))</f>
        <v/>
      </c>
    </row>
    <row r="2795">
      <c r="M2795" s="2">
        <f>IF(C2795="","",IFERROR(INDEX($S$5:$S$304,MATCH(C2795,$R$5:$R$304,0))&amp;"","?"))</f>
        <v/>
      </c>
      <c r="N2795" s="2">
        <f>IF(E2795="","",IF(ISNUMBER(SEARCH("SUBSOLO",E2795)),IFERROR(-VALUE(LEFT(E2795,FIND("º",SUBSTITUTE(E2795,"°","º"))-1)),-1),IF(LEFT(E2795,6)="TÉRREO",0,IFERROR(VALUE(LEFT(E2795,FIND("º",SUBSTITUTE(E2795,"°","º"))-1)),""))))</f>
        <v/>
      </c>
      <c r="O2795" s="2">
        <f>IF(OR(F2795="",G2795=""),"",IF(G2795&lt;='RETRATO 2027'!$K$5,"CONCLUÍDA",IF(F2795&lt;='RETRATO 2027'!$K$5,"EM ANDAMENTO","A INICIAR")))</f>
        <v/>
      </c>
    </row>
    <row r="2796">
      <c r="M2796" s="2">
        <f>IF(C2796="","",IFERROR(INDEX($S$5:$S$304,MATCH(C2796,$R$5:$R$304,0))&amp;"","?"))</f>
        <v/>
      </c>
      <c r="N2796" s="2">
        <f>IF(E2796="","",IF(ISNUMBER(SEARCH("SUBSOLO",E2796)),IFERROR(-VALUE(LEFT(E2796,FIND("º",SUBSTITUTE(E2796,"°","º"))-1)),-1),IF(LEFT(E2796,6)="TÉRREO",0,IFERROR(VALUE(LEFT(E2796,FIND("º",SUBSTITUTE(E2796,"°","º"))-1)),""))))</f>
        <v/>
      </c>
      <c r="O2796" s="2">
        <f>IF(OR(F2796="",G2796=""),"",IF(G2796&lt;='RETRATO 2027'!$K$5,"CONCLUÍDA",IF(F2796&lt;='RETRATO 2027'!$K$5,"EM ANDAMENTO","A INICIAR")))</f>
        <v/>
      </c>
    </row>
    <row r="2797">
      <c r="M2797" s="2">
        <f>IF(C2797="","",IFERROR(INDEX($S$5:$S$304,MATCH(C2797,$R$5:$R$304,0))&amp;"","?"))</f>
        <v/>
      </c>
      <c r="N2797" s="2">
        <f>IF(E2797="","",IF(ISNUMBER(SEARCH("SUBSOLO",E2797)),IFERROR(-VALUE(LEFT(E2797,FIND("º",SUBSTITUTE(E2797,"°","º"))-1)),-1),IF(LEFT(E2797,6)="TÉRREO",0,IFERROR(VALUE(LEFT(E2797,FIND("º",SUBSTITUTE(E2797,"°","º"))-1)),""))))</f>
        <v/>
      </c>
      <c r="O2797" s="2">
        <f>IF(OR(F2797="",G2797=""),"",IF(G2797&lt;='RETRATO 2027'!$K$5,"CONCLUÍDA",IF(F2797&lt;='RETRATO 2027'!$K$5,"EM ANDAMENTO","A INICIAR")))</f>
        <v/>
      </c>
    </row>
    <row r="2798">
      <c r="M2798" s="2">
        <f>IF(C2798="","",IFERROR(INDEX($S$5:$S$304,MATCH(C2798,$R$5:$R$304,0))&amp;"","?"))</f>
        <v/>
      </c>
      <c r="N2798" s="2">
        <f>IF(E2798="","",IF(ISNUMBER(SEARCH("SUBSOLO",E2798)),IFERROR(-VALUE(LEFT(E2798,FIND("º",SUBSTITUTE(E2798,"°","º"))-1)),-1),IF(LEFT(E2798,6)="TÉRREO",0,IFERROR(VALUE(LEFT(E2798,FIND("º",SUBSTITUTE(E2798,"°","º"))-1)),""))))</f>
        <v/>
      </c>
      <c r="O2798" s="2">
        <f>IF(OR(F2798="",G2798=""),"",IF(G2798&lt;='RETRATO 2027'!$K$5,"CONCLUÍDA",IF(F2798&lt;='RETRATO 2027'!$K$5,"EM ANDAMENTO","A INICIAR")))</f>
        <v/>
      </c>
    </row>
    <row r="2799">
      <c r="M2799" s="2">
        <f>IF(C2799="","",IFERROR(INDEX($S$5:$S$304,MATCH(C2799,$R$5:$R$304,0))&amp;"","?"))</f>
        <v/>
      </c>
      <c r="N2799" s="2">
        <f>IF(E2799="","",IF(ISNUMBER(SEARCH("SUBSOLO",E2799)),IFERROR(-VALUE(LEFT(E2799,FIND("º",SUBSTITUTE(E2799,"°","º"))-1)),-1),IF(LEFT(E2799,6)="TÉRREO",0,IFERROR(VALUE(LEFT(E2799,FIND("º",SUBSTITUTE(E2799,"°","º"))-1)),""))))</f>
        <v/>
      </c>
      <c r="O2799" s="2">
        <f>IF(OR(F2799="",G2799=""),"",IF(G2799&lt;='RETRATO 2027'!$K$5,"CONCLUÍDA",IF(F2799&lt;='RETRATO 2027'!$K$5,"EM ANDAMENTO","A INICIAR")))</f>
        <v/>
      </c>
    </row>
    <row r="2800">
      <c r="M2800" s="2">
        <f>IF(C2800="","",IFERROR(INDEX($S$5:$S$304,MATCH(C2800,$R$5:$R$304,0))&amp;"","?"))</f>
        <v/>
      </c>
      <c r="N2800" s="2">
        <f>IF(E2800="","",IF(ISNUMBER(SEARCH("SUBSOLO",E2800)),IFERROR(-VALUE(LEFT(E2800,FIND("º",SUBSTITUTE(E2800,"°","º"))-1)),-1),IF(LEFT(E2800,6)="TÉRREO",0,IFERROR(VALUE(LEFT(E2800,FIND("º",SUBSTITUTE(E2800,"°","º"))-1)),""))))</f>
        <v/>
      </c>
      <c r="O2800" s="2">
        <f>IF(OR(F2800="",G2800=""),"",IF(G2800&lt;='RETRATO 2027'!$K$5,"CONCLUÍDA",IF(F2800&lt;='RETRATO 2027'!$K$5,"EM ANDAMENTO","A INICIAR")))</f>
        <v/>
      </c>
    </row>
    <row r="2801">
      <c r="M2801" s="2">
        <f>IF(C2801="","",IFERROR(INDEX($S$5:$S$304,MATCH(C2801,$R$5:$R$304,0))&amp;"","?"))</f>
        <v/>
      </c>
      <c r="N2801" s="2">
        <f>IF(E2801="","",IF(ISNUMBER(SEARCH("SUBSOLO",E2801)),IFERROR(-VALUE(LEFT(E2801,FIND("º",SUBSTITUTE(E2801,"°","º"))-1)),-1),IF(LEFT(E2801,6)="TÉRREO",0,IFERROR(VALUE(LEFT(E2801,FIND("º",SUBSTITUTE(E2801,"°","º"))-1)),""))))</f>
        <v/>
      </c>
      <c r="O2801" s="2">
        <f>IF(OR(F2801="",G2801=""),"",IF(G2801&lt;='RETRATO 2027'!$K$5,"CONCLUÍDA",IF(F2801&lt;='RETRATO 2027'!$K$5,"EM ANDAMENTO","A INICIAR")))</f>
        <v/>
      </c>
    </row>
    <row r="2802">
      <c r="M2802" s="2">
        <f>IF(C2802="","",IFERROR(INDEX($S$5:$S$304,MATCH(C2802,$R$5:$R$304,0))&amp;"","?"))</f>
        <v/>
      </c>
      <c r="N2802" s="2">
        <f>IF(E2802="","",IF(ISNUMBER(SEARCH("SUBSOLO",E2802)),IFERROR(-VALUE(LEFT(E2802,FIND("º",SUBSTITUTE(E2802,"°","º"))-1)),-1),IF(LEFT(E2802,6)="TÉRREO",0,IFERROR(VALUE(LEFT(E2802,FIND("º",SUBSTITUTE(E2802,"°","º"))-1)),""))))</f>
        <v/>
      </c>
      <c r="O2802" s="2">
        <f>IF(OR(F2802="",G2802=""),"",IF(G2802&lt;='RETRATO 2027'!$K$5,"CONCLUÍDA",IF(F2802&lt;='RETRATO 2027'!$K$5,"EM ANDAMENTO","A INICIAR")))</f>
        <v/>
      </c>
    </row>
    <row r="2803">
      <c r="M2803" s="2">
        <f>IF(C2803="","",IFERROR(INDEX($S$5:$S$304,MATCH(C2803,$R$5:$R$304,0))&amp;"","?"))</f>
        <v/>
      </c>
      <c r="N2803" s="2">
        <f>IF(E2803="","",IF(ISNUMBER(SEARCH("SUBSOLO",E2803)),IFERROR(-VALUE(LEFT(E2803,FIND("º",SUBSTITUTE(E2803,"°","º"))-1)),-1),IF(LEFT(E2803,6)="TÉRREO",0,IFERROR(VALUE(LEFT(E2803,FIND("º",SUBSTITUTE(E2803,"°","º"))-1)),""))))</f>
        <v/>
      </c>
      <c r="O2803" s="2">
        <f>IF(OR(F2803="",G2803=""),"",IF(G2803&lt;='RETRATO 2027'!$K$5,"CONCLUÍDA",IF(F2803&lt;='RETRATO 2027'!$K$5,"EM ANDAMENTO","A INICIAR")))</f>
        <v/>
      </c>
    </row>
    <row r="2804">
      <c r="M2804" s="2">
        <f>IF(C2804="","",IFERROR(INDEX($S$5:$S$304,MATCH(C2804,$R$5:$R$304,0))&amp;"","?"))</f>
        <v/>
      </c>
      <c r="N2804" s="2">
        <f>IF(E2804="","",IF(ISNUMBER(SEARCH("SUBSOLO",E2804)),IFERROR(-VALUE(LEFT(E2804,FIND("º",SUBSTITUTE(E2804,"°","º"))-1)),-1),IF(LEFT(E2804,6)="TÉRREO",0,IFERROR(VALUE(LEFT(E2804,FIND("º",SUBSTITUTE(E2804,"°","º"))-1)),""))))</f>
        <v/>
      </c>
      <c r="O2804" s="2">
        <f>IF(OR(F2804="",G2804=""),"",IF(G2804&lt;='RETRATO 2027'!$K$5,"CONCLUÍDA",IF(F2804&lt;='RETRATO 2027'!$K$5,"EM ANDAMENTO","A INICIAR")))</f>
        <v/>
      </c>
    </row>
    <row r="2805">
      <c r="M2805" s="2">
        <f>IF(C2805="","",IFERROR(INDEX($S$5:$S$304,MATCH(C2805,$R$5:$R$304,0))&amp;"","?"))</f>
        <v/>
      </c>
      <c r="N2805" s="2">
        <f>IF(E2805="","",IF(ISNUMBER(SEARCH("SUBSOLO",E2805)),IFERROR(-VALUE(LEFT(E2805,FIND("º",SUBSTITUTE(E2805,"°","º"))-1)),-1),IF(LEFT(E2805,6)="TÉRREO",0,IFERROR(VALUE(LEFT(E2805,FIND("º",SUBSTITUTE(E2805,"°","º"))-1)),""))))</f>
        <v/>
      </c>
      <c r="O2805" s="2">
        <f>IF(OR(F2805="",G2805=""),"",IF(G2805&lt;='RETRATO 2027'!$K$5,"CONCLUÍDA",IF(F2805&lt;='RETRATO 2027'!$K$5,"EM ANDAMENTO","A INICIAR")))</f>
        <v/>
      </c>
    </row>
    <row r="2806">
      <c r="M2806" s="2">
        <f>IF(C2806="","",IFERROR(INDEX($S$5:$S$304,MATCH(C2806,$R$5:$R$304,0))&amp;"","?"))</f>
        <v/>
      </c>
      <c r="N2806" s="2">
        <f>IF(E2806="","",IF(ISNUMBER(SEARCH("SUBSOLO",E2806)),IFERROR(-VALUE(LEFT(E2806,FIND("º",SUBSTITUTE(E2806,"°","º"))-1)),-1),IF(LEFT(E2806,6)="TÉRREO",0,IFERROR(VALUE(LEFT(E2806,FIND("º",SUBSTITUTE(E2806,"°","º"))-1)),""))))</f>
        <v/>
      </c>
      <c r="O2806" s="2">
        <f>IF(OR(F2806="",G2806=""),"",IF(G2806&lt;='RETRATO 2027'!$K$5,"CONCLUÍDA",IF(F2806&lt;='RETRATO 2027'!$K$5,"EM ANDAMENTO","A INICIAR")))</f>
        <v/>
      </c>
    </row>
    <row r="2807">
      <c r="M2807" s="2">
        <f>IF(C2807="","",IFERROR(INDEX($S$5:$S$304,MATCH(C2807,$R$5:$R$304,0))&amp;"","?"))</f>
        <v/>
      </c>
      <c r="N2807" s="2">
        <f>IF(E2807="","",IF(ISNUMBER(SEARCH("SUBSOLO",E2807)),IFERROR(-VALUE(LEFT(E2807,FIND("º",SUBSTITUTE(E2807,"°","º"))-1)),-1),IF(LEFT(E2807,6)="TÉRREO",0,IFERROR(VALUE(LEFT(E2807,FIND("º",SUBSTITUTE(E2807,"°","º"))-1)),""))))</f>
        <v/>
      </c>
      <c r="O2807" s="2">
        <f>IF(OR(F2807="",G2807=""),"",IF(G2807&lt;='RETRATO 2027'!$K$5,"CONCLUÍDA",IF(F2807&lt;='RETRATO 2027'!$K$5,"EM ANDAMENTO","A INICIAR")))</f>
        <v/>
      </c>
    </row>
    <row r="2808">
      <c r="M2808" s="2">
        <f>IF(C2808="","",IFERROR(INDEX($S$5:$S$304,MATCH(C2808,$R$5:$R$304,0))&amp;"","?"))</f>
        <v/>
      </c>
      <c r="N2808" s="2">
        <f>IF(E2808="","",IF(ISNUMBER(SEARCH("SUBSOLO",E2808)),IFERROR(-VALUE(LEFT(E2808,FIND("º",SUBSTITUTE(E2808,"°","º"))-1)),-1),IF(LEFT(E2808,6)="TÉRREO",0,IFERROR(VALUE(LEFT(E2808,FIND("º",SUBSTITUTE(E2808,"°","º"))-1)),""))))</f>
        <v/>
      </c>
      <c r="O2808" s="2">
        <f>IF(OR(F2808="",G2808=""),"",IF(G2808&lt;='RETRATO 2027'!$K$5,"CONCLUÍDA",IF(F2808&lt;='RETRATO 2027'!$K$5,"EM ANDAMENTO","A INICIAR")))</f>
        <v/>
      </c>
    </row>
    <row r="2809">
      <c r="M2809" s="2">
        <f>IF(C2809="","",IFERROR(INDEX($S$5:$S$304,MATCH(C2809,$R$5:$R$304,0))&amp;"","?"))</f>
        <v/>
      </c>
      <c r="N2809" s="2">
        <f>IF(E2809="","",IF(ISNUMBER(SEARCH("SUBSOLO",E2809)),IFERROR(-VALUE(LEFT(E2809,FIND("º",SUBSTITUTE(E2809,"°","º"))-1)),-1),IF(LEFT(E2809,6)="TÉRREO",0,IFERROR(VALUE(LEFT(E2809,FIND("º",SUBSTITUTE(E2809,"°","º"))-1)),""))))</f>
        <v/>
      </c>
      <c r="O2809" s="2">
        <f>IF(OR(F2809="",G2809=""),"",IF(G2809&lt;='RETRATO 2027'!$K$5,"CONCLUÍDA",IF(F2809&lt;='RETRATO 2027'!$K$5,"EM ANDAMENTO","A INICIAR")))</f>
        <v/>
      </c>
    </row>
    <row r="2810">
      <c r="M2810" s="2">
        <f>IF(C2810="","",IFERROR(INDEX($S$5:$S$304,MATCH(C2810,$R$5:$R$304,0))&amp;"","?"))</f>
        <v/>
      </c>
      <c r="N2810" s="2">
        <f>IF(E2810="","",IF(ISNUMBER(SEARCH("SUBSOLO",E2810)),IFERROR(-VALUE(LEFT(E2810,FIND("º",SUBSTITUTE(E2810,"°","º"))-1)),-1),IF(LEFT(E2810,6)="TÉRREO",0,IFERROR(VALUE(LEFT(E2810,FIND("º",SUBSTITUTE(E2810,"°","º"))-1)),""))))</f>
        <v/>
      </c>
      <c r="O2810" s="2">
        <f>IF(OR(F2810="",G2810=""),"",IF(G2810&lt;='RETRATO 2027'!$K$5,"CONCLUÍDA",IF(F2810&lt;='RETRATO 2027'!$K$5,"EM ANDAMENTO","A INICIAR")))</f>
        <v/>
      </c>
    </row>
    <row r="2811">
      <c r="M2811" s="2">
        <f>IF(C2811="","",IFERROR(INDEX($S$5:$S$304,MATCH(C2811,$R$5:$R$304,0))&amp;"","?"))</f>
        <v/>
      </c>
      <c r="N2811" s="2">
        <f>IF(E2811="","",IF(ISNUMBER(SEARCH("SUBSOLO",E2811)),IFERROR(-VALUE(LEFT(E2811,FIND("º",SUBSTITUTE(E2811,"°","º"))-1)),-1),IF(LEFT(E2811,6)="TÉRREO",0,IFERROR(VALUE(LEFT(E2811,FIND("º",SUBSTITUTE(E2811,"°","º"))-1)),""))))</f>
        <v/>
      </c>
      <c r="O2811" s="2">
        <f>IF(OR(F2811="",G2811=""),"",IF(G2811&lt;='RETRATO 2027'!$K$5,"CONCLUÍDA",IF(F2811&lt;='RETRATO 2027'!$K$5,"EM ANDAMENTO","A INICIAR")))</f>
        <v/>
      </c>
    </row>
    <row r="2812">
      <c r="M2812" s="2">
        <f>IF(C2812="","",IFERROR(INDEX($S$5:$S$304,MATCH(C2812,$R$5:$R$304,0))&amp;"","?"))</f>
        <v/>
      </c>
      <c r="N2812" s="2">
        <f>IF(E2812="","",IF(ISNUMBER(SEARCH("SUBSOLO",E2812)),IFERROR(-VALUE(LEFT(E2812,FIND("º",SUBSTITUTE(E2812,"°","º"))-1)),-1),IF(LEFT(E2812,6)="TÉRREO",0,IFERROR(VALUE(LEFT(E2812,FIND("º",SUBSTITUTE(E2812,"°","º"))-1)),""))))</f>
        <v/>
      </c>
      <c r="O2812" s="2">
        <f>IF(OR(F2812="",G2812=""),"",IF(G2812&lt;='RETRATO 2027'!$K$5,"CONCLUÍDA",IF(F2812&lt;='RETRATO 2027'!$K$5,"EM ANDAMENTO","A INICIAR")))</f>
        <v/>
      </c>
    </row>
    <row r="2813">
      <c r="M2813" s="2">
        <f>IF(C2813="","",IFERROR(INDEX($S$5:$S$304,MATCH(C2813,$R$5:$R$304,0))&amp;"","?"))</f>
        <v/>
      </c>
      <c r="N2813" s="2">
        <f>IF(E2813="","",IF(ISNUMBER(SEARCH("SUBSOLO",E2813)),IFERROR(-VALUE(LEFT(E2813,FIND("º",SUBSTITUTE(E2813,"°","º"))-1)),-1),IF(LEFT(E2813,6)="TÉRREO",0,IFERROR(VALUE(LEFT(E2813,FIND("º",SUBSTITUTE(E2813,"°","º"))-1)),""))))</f>
        <v/>
      </c>
      <c r="O2813" s="2">
        <f>IF(OR(F2813="",G2813=""),"",IF(G2813&lt;='RETRATO 2027'!$K$5,"CONCLUÍDA",IF(F2813&lt;='RETRATO 2027'!$K$5,"EM ANDAMENTO","A INICIAR")))</f>
        <v/>
      </c>
    </row>
    <row r="2814">
      <c r="M2814" s="2">
        <f>IF(C2814="","",IFERROR(INDEX($S$5:$S$304,MATCH(C2814,$R$5:$R$304,0))&amp;"","?"))</f>
        <v/>
      </c>
      <c r="N2814" s="2">
        <f>IF(E2814="","",IF(ISNUMBER(SEARCH("SUBSOLO",E2814)),IFERROR(-VALUE(LEFT(E2814,FIND("º",SUBSTITUTE(E2814,"°","º"))-1)),-1),IF(LEFT(E2814,6)="TÉRREO",0,IFERROR(VALUE(LEFT(E2814,FIND("º",SUBSTITUTE(E2814,"°","º"))-1)),""))))</f>
        <v/>
      </c>
      <c r="O2814" s="2">
        <f>IF(OR(F2814="",G2814=""),"",IF(G2814&lt;='RETRATO 2027'!$K$5,"CONCLUÍDA",IF(F2814&lt;='RETRATO 2027'!$K$5,"EM ANDAMENTO","A INICIAR")))</f>
        <v/>
      </c>
    </row>
    <row r="2815">
      <c r="M2815" s="2">
        <f>IF(C2815="","",IFERROR(INDEX($S$5:$S$304,MATCH(C2815,$R$5:$R$304,0))&amp;"","?"))</f>
        <v/>
      </c>
      <c r="N2815" s="2">
        <f>IF(E2815="","",IF(ISNUMBER(SEARCH("SUBSOLO",E2815)),IFERROR(-VALUE(LEFT(E2815,FIND("º",SUBSTITUTE(E2815,"°","º"))-1)),-1),IF(LEFT(E2815,6)="TÉRREO",0,IFERROR(VALUE(LEFT(E2815,FIND("º",SUBSTITUTE(E2815,"°","º"))-1)),""))))</f>
        <v/>
      </c>
      <c r="O2815" s="2">
        <f>IF(OR(F2815="",G2815=""),"",IF(G2815&lt;='RETRATO 2027'!$K$5,"CONCLUÍDA",IF(F2815&lt;='RETRATO 2027'!$K$5,"EM ANDAMENTO","A INICIAR")))</f>
        <v/>
      </c>
    </row>
    <row r="2816">
      <c r="M2816" s="2">
        <f>IF(C2816="","",IFERROR(INDEX($S$5:$S$304,MATCH(C2816,$R$5:$R$304,0))&amp;"","?"))</f>
        <v/>
      </c>
      <c r="N2816" s="2">
        <f>IF(E2816="","",IF(ISNUMBER(SEARCH("SUBSOLO",E2816)),IFERROR(-VALUE(LEFT(E2816,FIND("º",SUBSTITUTE(E2816,"°","º"))-1)),-1),IF(LEFT(E2816,6)="TÉRREO",0,IFERROR(VALUE(LEFT(E2816,FIND("º",SUBSTITUTE(E2816,"°","º"))-1)),""))))</f>
        <v/>
      </c>
      <c r="O2816" s="2">
        <f>IF(OR(F2816="",G2816=""),"",IF(G2816&lt;='RETRATO 2027'!$K$5,"CONCLUÍDA",IF(F2816&lt;='RETRATO 2027'!$K$5,"EM ANDAMENTO","A INICIAR")))</f>
        <v/>
      </c>
    </row>
    <row r="2817">
      <c r="M2817" s="2">
        <f>IF(C2817="","",IFERROR(INDEX($S$5:$S$304,MATCH(C2817,$R$5:$R$304,0))&amp;"","?"))</f>
        <v/>
      </c>
      <c r="N2817" s="2">
        <f>IF(E2817="","",IF(ISNUMBER(SEARCH("SUBSOLO",E2817)),IFERROR(-VALUE(LEFT(E2817,FIND("º",SUBSTITUTE(E2817,"°","º"))-1)),-1),IF(LEFT(E2817,6)="TÉRREO",0,IFERROR(VALUE(LEFT(E2817,FIND("º",SUBSTITUTE(E2817,"°","º"))-1)),""))))</f>
        <v/>
      </c>
      <c r="O2817" s="2">
        <f>IF(OR(F2817="",G2817=""),"",IF(G2817&lt;='RETRATO 2027'!$K$5,"CONCLUÍDA",IF(F2817&lt;='RETRATO 2027'!$K$5,"EM ANDAMENTO","A INICIAR")))</f>
        <v/>
      </c>
    </row>
    <row r="2818">
      <c r="M2818" s="2">
        <f>IF(C2818="","",IFERROR(INDEX($S$5:$S$304,MATCH(C2818,$R$5:$R$304,0))&amp;"","?"))</f>
        <v/>
      </c>
      <c r="N2818" s="2">
        <f>IF(E2818="","",IF(ISNUMBER(SEARCH("SUBSOLO",E2818)),IFERROR(-VALUE(LEFT(E2818,FIND("º",SUBSTITUTE(E2818,"°","º"))-1)),-1),IF(LEFT(E2818,6)="TÉRREO",0,IFERROR(VALUE(LEFT(E2818,FIND("º",SUBSTITUTE(E2818,"°","º"))-1)),""))))</f>
        <v/>
      </c>
      <c r="O2818" s="2">
        <f>IF(OR(F2818="",G2818=""),"",IF(G2818&lt;='RETRATO 2027'!$K$5,"CONCLUÍDA",IF(F2818&lt;='RETRATO 2027'!$K$5,"EM ANDAMENTO","A INICIAR")))</f>
        <v/>
      </c>
    </row>
    <row r="2819">
      <c r="M2819" s="2">
        <f>IF(C2819="","",IFERROR(INDEX($S$5:$S$304,MATCH(C2819,$R$5:$R$304,0))&amp;"","?"))</f>
        <v/>
      </c>
      <c r="N2819" s="2">
        <f>IF(E2819="","",IF(ISNUMBER(SEARCH("SUBSOLO",E2819)),IFERROR(-VALUE(LEFT(E2819,FIND("º",SUBSTITUTE(E2819,"°","º"))-1)),-1),IF(LEFT(E2819,6)="TÉRREO",0,IFERROR(VALUE(LEFT(E2819,FIND("º",SUBSTITUTE(E2819,"°","º"))-1)),""))))</f>
        <v/>
      </c>
      <c r="O2819" s="2">
        <f>IF(OR(F2819="",G2819=""),"",IF(G2819&lt;='RETRATO 2027'!$K$5,"CONCLUÍDA",IF(F2819&lt;='RETRATO 2027'!$K$5,"EM ANDAMENTO","A INICIAR")))</f>
        <v/>
      </c>
    </row>
    <row r="2820">
      <c r="M2820" s="2">
        <f>IF(C2820="","",IFERROR(INDEX($S$5:$S$304,MATCH(C2820,$R$5:$R$304,0))&amp;"","?"))</f>
        <v/>
      </c>
      <c r="N2820" s="2">
        <f>IF(E2820="","",IF(ISNUMBER(SEARCH("SUBSOLO",E2820)),IFERROR(-VALUE(LEFT(E2820,FIND("º",SUBSTITUTE(E2820,"°","º"))-1)),-1),IF(LEFT(E2820,6)="TÉRREO",0,IFERROR(VALUE(LEFT(E2820,FIND("º",SUBSTITUTE(E2820,"°","º"))-1)),""))))</f>
        <v/>
      </c>
      <c r="O2820" s="2">
        <f>IF(OR(F2820="",G2820=""),"",IF(G2820&lt;='RETRATO 2027'!$K$5,"CONCLUÍDA",IF(F2820&lt;='RETRATO 2027'!$K$5,"EM ANDAMENTO","A INICIAR")))</f>
        <v/>
      </c>
    </row>
    <row r="2821">
      <c r="M2821" s="2">
        <f>IF(C2821="","",IFERROR(INDEX($S$5:$S$304,MATCH(C2821,$R$5:$R$304,0))&amp;"","?"))</f>
        <v/>
      </c>
      <c r="N2821" s="2">
        <f>IF(E2821="","",IF(ISNUMBER(SEARCH("SUBSOLO",E2821)),IFERROR(-VALUE(LEFT(E2821,FIND("º",SUBSTITUTE(E2821,"°","º"))-1)),-1),IF(LEFT(E2821,6)="TÉRREO",0,IFERROR(VALUE(LEFT(E2821,FIND("º",SUBSTITUTE(E2821,"°","º"))-1)),""))))</f>
        <v/>
      </c>
      <c r="O2821" s="2">
        <f>IF(OR(F2821="",G2821=""),"",IF(G2821&lt;='RETRATO 2027'!$K$5,"CONCLUÍDA",IF(F2821&lt;='RETRATO 2027'!$K$5,"EM ANDAMENTO","A INICIAR")))</f>
        <v/>
      </c>
    </row>
    <row r="2822">
      <c r="M2822" s="2">
        <f>IF(C2822="","",IFERROR(INDEX($S$5:$S$304,MATCH(C2822,$R$5:$R$304,0))&amp;"","?"))</f>
        <v/>
      </c>
      <c r="N2822" s="2">
        <f>IF(E2822="","",IF(ISNUMBER(SEARCH("SUBSOLO",E2822)),IFERROR(-VALUE(LEFT(E2822,FIND("º",SUBSTITUTE(E2822,"°","º"))-1)),-1),IF(LEFT(E2822,6)="TÉRREO",0,IFERROR(VALUE(LEFT(E2822,FIND("º",SUBSTITUTE(E2822,"°","º"))-1)),""))))</f>
        <v/>
      </c>
      <c r="O2822" s="2">
        <f>IF(OR(F2822="",G2822=""),"",IF(G2822&lt;='RETRATO 2027'!$K$5,"CONCLUÍDA",IF(F2822&lt;='RETRATO 2027'!$K$5,"EM ANDAMENTO","A INICIAR")))</f>
        <v/>
      </c>
    </row>
    <row r="2823">
      <c r="M2823" s="2">
        <f>IF(C2823="","",IFERROR(INDEX($S$5:$S$304,MATCH(C2823,$R$5:$R$304,0))&amp;"","?"))</f>
        <v/>
      </c>
      <c r="N2823" s="2">
        <f>IF(E2823="","",IF(ISNUMBER(SEARCH("SUBSOLO",E2823)),IFERROR(-VALUE(LEFT(E2823,FIND("º",SUBSTITUTE(E2823,"°","º"))-1)),-1),IF(LEFT(E2823,6)="TÉRREO",0,IFERROR(VALUE(LEFT(E2823,FIND("º",SUBSTITUTE(E2823,"°","º"))-1)),""))))</f>
        <v/>
      </c>
      <c r="O2823" s="2">
        <f>IF(OR(F2823="",G2823=""),"",IF(G2823&lt;='RETRATO 2027'!$K$5,"CONCLUÍDA",IF(F2823&lt;='RETRATO 2027'!$K$5,"EM ANDAMENTO","A INICIAR")))</f>
        <v/>
      </c>
    </row>
    <row r="2824">
      <c r="M2824" s="2">
        <f>IF(C2824="","",IFERROR(INDEX($S$5:$S$304,MATCH(C2824,$R$5:$R$304,0))&amp;"","?"))</f>
        <v/>
      </c>
      <c r="N2824" s="2">
        <f>IF(E2824="","",IF(ISNUMBER(SEARCH("SUBSOLO",E2824)),IFERROR(-VALUE(LEFT(E2824,FIND("º",SUBSTITUTE(E2824,"°","º"))-1)),-1),IF(LEFT(E2824,6)="TÉRREO",0,IFERROR(VALUE(LEFT(E2824,FIND("º",SUBSTITUTE(E2824,"°","º"))-1)),""))))</f>
        <v/>
      </c>
      <c r="O2824" s="2">
        <f>IF(OR(F2824="",G2824=""),"",IF(G2824&lt;='RETRATO 2027'!$K$5,"CONCLUÍDA",IF(F2824&lt;='RETRATO 2027'!$K$5,"EM ANDAMENTO","A INICIAR")))</f>
        <v/>
      </c>
    </row>
    <row r="2825">
      <c r="M2825" s="2">
        <f>IF(C2825="","",IFERROR(INDEX($S$5:$S$304,MATCH(C2825,$R$5:$R$304,0))&amp;"","?"))</f>
        <v/>
      </c>
      <c r="N2825" s="2">
        <f>IF(E2825="","",IF(ISNUMBER(SEARCH("SUBSOLO",E2825)),IFERROR(-VALUE(LEFT(E2825,FIND("º",SUBSTITUTE(E2825,"°","º"))-1)),-1),IF(LEFT(E2825,6)="TÉRREO",0,IFERROR(VALUE(LEFT(E2825,FIND("º",SUBSTITUTE(E2825,"°","º"))-1)),""))))</f>
        <v/>
      </c>
      <c r="O2825" s="2">
        <f>IF(OR(F2825="",G2825=""),"",IF(G2825&lt;='RETRATO 2027'!$K$5,"CONCLUÍDA",IF(F2825&lt;='RETRATO 2027'!$K$5,"EM ANDAMENTO","A INICIAR")))</f>
        <v/>
      </c>
    </row>
    <row r="2826">
      <c r="M2826" s="2">
        <f>IF(C2826="","",IFERROR(INDEX($S$5:$S$304,MATCH(C2826,$R$5:$R$304,0))&amp;"","?"))</f>
        <v/>
      </c>
      <c r="N2826" s="2">
        <f>IF(E2826="","",IF(ISNUMBER(SEARCH("SUBSOLO",E2826)),IFERROR(-VALUE(LEFT(E2826,FIND("º",SUBSTITUTE(E2826,"°","º"))-1)),-1),IF(LEFT(E2826,6)="TÉRREO",0,IFERROR(VALUE(LEFT(E2826,FIND("º",SUBSTITUTE(E2826,"°","º"))-1)),""))))</f>
        <v/>
      </c>
      <c r="O2826" s="2">
        <f>IF(OR(F2826="",G2826=""),"",IF(G2826&lt;='RETRATO 2027'!$K$5,"CONCLUÍDA",IF(F2826&lt;='RETRATO 2027'!$K$5,"EM ANDAMENTO","A INICIAR")))</f>
        <v/>
      </c>
    </row>
    <row r="2827">
      <c r="M2827" s="2">
        <f>IF(C2827="","",IFERROR(INDEX($S$5:$S$304,MATCH(C2827,$R$5:$R$304,0))&amp;"","?"))</f>
        <v/>
      </c>
      <c r="N2827" s="2">
        <f>IF(E2827="","",IF(ISNUMBER(SEARCH("SUBSOLO",E2827)),IFERROR(-VALUE(LEFT(E2827,FIND("º",SUBSTITUTE(E2827,"°","º"))-1)),-1),IF(LEFT(E2827,6)="TÉRREO",0,IFERROR(VALUE(LEFT(E2827,FIND("º",SUBSTITUTE(E2827,"°","º"))-1)),""))))</f>
        <v/>
      </c>
      <c r="O2827" s="2">
        <f>IF(OR(F2827="",G2827=""),"",IF(G2827&lt;='RETRATO 2027'!$K$5,"CONCLUÍDA",IF(F2827&lt;='RETRATO 2027'!$K$5,"EM ANDAMENTO","A INICIAR")))</f>
        <v/>
      </c>
    </row>
    <row r="2828">
      <c r="M2828" s="2">
        <f>IF(C2828="","",IFERROR(INDEX($S$5:$S$304,MATCH(C2828,$R$5:$R$304,0))&amp;"","?"))</f>
        <v/>
      </c>
      <c r="N2828" s="2">
        <f>IF(E2828="","",IF(ISNUMBER(SEARCH("SUBSOLO",E2828)),IFERROR(-VALUE(LEFT(E2828,FIND("º",SUBSTITUTE(E2828,"°","º"))-1)),-1),IF(LEFT(E2828,6)="TÉRREO",0,IFERROR(VALUE(LEFT(E2828,FIND("º",SUBSTITUTE(E2828,"°","º"))-1)),""))))</f>
        <v/>
      </c>
      <c r="O2828" s="2">
        <f>IF(OR(F2828="",G2828=""),"",IF(G2828&lt;='RETRATO 2027'!$K$5,"CONCLUÍDA",IF(F2828&lt;='RETRATO 2027'!$K$5,"EM ANDAMENTO","A INICIAR")))</f>
        <v/>
      </c>
    </row>
    <row r="2829">
      <c r="M2829" s="2">
        <f>IF(C2829="","",IFERROR(INDEX($S$5:$S$304,MATCH(C2829,$R$5:$R$304,0))&amp;"","?"))</f>
        <v/>
      </c>
      <c r="N2829" s="2">
        <f>IF(E2829="","",IF(ISNUMBER(SEARCH("SUBSOLO",E2829)),IFERROR(-VALUE(LEFT(E2829,FIND("º",SUBSTITUTE(E2829,"°","º"))-1)),-1),IF(LEFT(E2829,6)="TÉRREO",0,IFERROR(VALUE(LEFT(E2829,FIND("º",SUBSTITUTE(E2829,"°","º"))-1)),""))))</f>
        <v/>
      </c>
      <c r="O2829" s="2">
        <f>IF(OR(F2829="",G2829=""),"",IF(G2829&lt;='RETRATO 2027'!$K$5,"CONCLUÍDA",IF(F2829&lt;='RETRATO 2027'!$K$5,"EM ANDAMENTO","A INICIAR")))</f>
        <v/>
      </c>
    </row>
    <row r="2830">
      <c r="M2830" s="2">
        <f>IF(C2830="","",IFERROR(INDEX($S$5:$S$304,MATCH(C2830,$R$5:$R$304,0))&amp;"","?"))</f>
        <v/>
      </c>
      <c r="N2830" s="2">
        <f>IF(E2830="","",IF(ISNUMBER(SEARCH("SUBSOLO",E2830)),IFERROR(-VALUE(LEFT(E2830,FIND("º",SUBSTITUTE(E2830,"°","º"))-1)),-1),IF(LEFT(E2830,6)="TÉRREO",0,IFERROR(VALUE(LEFT(E2830,FIND("º",SUBSTITUTE(E2830,"°","º"))-1)),""))))</f>
        <v/>
      </c>
      <c r="O2830" s="2">
        <f>IF(OR(F2830="",G2830=""),"",IF(G2830&lt;='RETRATO 2027'!$K$5,"CONCLUÍDA",IF(F2830&lt;='RETRATO 2027'!$K$5,"EM ANDAMENTO","A INICIAR")))</f>
        <v/>
      </c>
    </row>
    <row r="2831">
      <c r="M2831" s="2">
        <f>IF(C2831="","",IFERROR(INDEX($S$5:$S$304,MATCH(C2831,$R$5:$R$304,0))&amp;"","?"))</f>
        <v/>
      </c>
      <c r="N2831" s="2">
        <f>IF(E2831="","",IF(ISNUMBER(SEARCH("SUBSOLO",E2831)),IFERROR(-VALUE(LEFT(E2831,FIND("º",SUBSTITUTE(E2831,"°","º"))-1)),-1),IF(LEFT(E2831,6)="TÉRREO",0,IFERROR(VALUE(LEFT(E2831,FIND("º",SUBSTITUTE(E2831,"°","º"))-1)),""))))</f>
        <v/>
      </c>
      <c r="O2831" s="2">
        <f>IF(OR(F2831="",G2831=""),"",IF(G2831&lt;='RETRATO 2027'!$K$5,"CONCLUÍDA",IF(F2831&lt;='RETRATO 2027'!$K$5,"EM ANDAMENTO","A INICIAR")))</f>
        <v/>
      </c>
    </row>
    <row r="2832">
      <c r="M2832" s="2">
        <f>IF(C2832="","",IFERROR(INDEX($S$5:$S$304,MATCH(C2832,$R$5:$R$304,0))&amp;"","?"))</f>
        <v/>
      </c>
      <c r="N2832" s="2">
        <f>IF(E2832="","",IF(ISNUMBER(SEARCH("SUBSOLO",E2832)),IFERROR(-VALUE(LEFT(E2832,FIND("º",SUBSTITUTE(E2832,"°","º"))-1)),-1),IF(LEFT(E2832,6)="TÉRREO",0,IFERROR(VALUE(LEFT(E2832,FIND("º",SUBSTITUTE(E2832,"°","º"))-1)),""))))</f>
        <v/>
      </c>
      <c r="O2832" s="2">
        <f>IF(OR(F2832="",G2832=""),"",IF(G2832&lt;='RETRATO 2027'!$K$5,"CONCLUÍDA",IF(F2832&lt;='RETRATO 2027'!$K$5,"EM ANDAMENTO","A INICIAR")))</f>
        <v/>
      </c>
    </row>
    <row r="2833">
      <c r="M2833" s="2">
        <f>IF(C2833="","",IFERROR(INDEX($S$5:$S$304,MATCH(C2833,$R$5:$R$304,0))&amp;"","?"))</f>
        <v/>
      </c>
      <c r="N2833" s="2">
        <f>IF(E2833="","",IF(ISNUMBER(SEARCH("SUBSOLO",E2833)),IFERROR(-VALUE(LEFT(E2833,FIND("º",SUBSTITUTE(E2833,"°","º"))-1)),-1),IF(LEFT(E2833,6)="TÉRREO",0,IFERROR(VALUE(LEFT(E2833,FIND("º",SUBSTITUTE(E2833,"°","º"))-1)),""))))</f>
        <v/>
      </c>
      <c r="O2833" s="2">
        <f>IF(OR(F2833="",G2833=""),"",IF(G2833&lt;='RETRATO 2027'!$K$5,"CONCLUÍDA",IF(F2833&lt;='RETRATO 2027'!$K$5,"EM ANDAMENTO","A INICIAR")))</f>
        <v/>
      </c>
    </row>
    <row r="2834">
      <c r="M2834" s="2">
        <f>IF(C2834="","",IFERROR(INDEX($S$5:$S$304,MATCH(C2834,$R$5:$R$304,0))&amp;"","?"))</f>
        <v/>
      </c>
      <c r="N2834" s="2">
        <f>IF(E2834="","",IF(ISNUMBER(SEARCH("SUBSOLO",E2834)),IFERROR(-VALUE(LEFT(E2834,FIND("º",SUBSTITUTE(E2834,"°","º"))-1)),-1),IF(LEFT(E2834,6)="TÉRREO",0,IFERROR(VALUE(LEFT(E2834,FIND("º",SUBSTITUTE(E2834,"°","º"))-1)),""))))</f>
        <v/>
      </c>
      <c r="O2834" s="2">
        <f>IF(OR(F2834="",G2834=""),"",IF(G2834&lt;='RETRATO 2027'!$K$5,"CONCLUÍDA",IF(F2834&lt;='RETRATO 2027'!$K$5,"EM ANDAMENTO","A INICIAR")))</f>
        <v/>
      </c>
    </row>
    <row r="2835">
      <c r="M2835" s="2">
        <f>IF(C2835="","",IFERROR(INDEX($S$5:$S$304,MATCH(C2835,$R$5:$R$304,0))&amp;"","?"))</f>
        <v/>
      </c>
      <c r="N2835" s="2">
        <f>IF(E2835="","",IF(ISNUMBER(SEARCH("SUBSOLO",E2835)),IFERROR(-VALUE(LEFT(E2835,FIND("º",SUBSTITUTE(E2835,"°","º"))-1)),-1),IF(LEFT(E2835,6)="TÉRREO",0,IFERROR(VALUE(LEFT(E2835,FIND("º",SUBSTITUTE(E2835,"°","º"))-1)),""))))</f>
        <v/>
      </c>
      <c r="O2835" s="2">
        <f>IF(OR(F2835="",G2835=""),"",IF(G2835&lt;='RETRATO 2027'!$K$5,"CONCLUÍDA",IF(F2835&lt;='RETRATO 2027'!$K$5,"EM ANDAMENTO","A INICIAR")))</f>
        <v/>
      </c>
    </row>
    <row r="2836">
      <c r="M2836" s="2">
        <f>IF(C2836="","",IFERROR(INDEX($S$5:$S$304,MATCH(C2836,$R$5:$R$304,0))&amp;"","?"))</f>
        <v/>
      </c>
      <c r="N2836" s="2">
        <f>IF(E2836="","",IF(ISNUMBER(SEARCH("SUBSOLO",E2836)),IFERROR(-VALUE(LEFT(E2836,FIND("º",SUBSTITUTE(E2836,"°","º"))-1)),-1),IF(LEFT(E2836,6)="TÉRREO",0,IFERROR(VALUE(LEFT(E2836,FIND("º",SUBSTITUTE(E2836,"°","º"))-1)),""))))</f>
        <v/>
      </c>
      <c r="O2836" s="2">
        <f>IF(OR(F2836="",G2836=""),"",IF(G2836&lt;='RETRATO 2027'!$K$5,"CONCLUÍDA",IF(F2836&lt;='RETRATO 2027'!$K$5,"EM ANDAMENTO","A INICIAR")))</f>
        <v/>
      </c>
    </row>
    <row r="2837">
      <c r="M2837" s="2">
        <f>IF(C2837="","",IFERROR(INDEX($S$5:$S$304,MATCH(C2837,$R$5:$R$304,0))&amp;"","?"))</f>
        <v/>
      </c>
      <c r="N2837" s="2">
        <f>IF(E2837="","",IF(ISNUMBER(SEARCH("SUBSOLO",E2837)),IFERROR(-VALUE(LEFT(E2837,FIND("º",SUBSTITUTE(E2837,"°","º"))-1)),-1),IF(LEFT(E2837,6)="TÉRREO",0,IFERROR(VALUE(LEFT(E2837,FIND("º",SUBSTITUTE(E2837,"°","º"))-1)),""))))</f>
        <v/>
      </c>
      <c r="O2837" s="2">
        <f>IF(OR(F2837="",G2837=""),"",IF(G2837&lt;='RETRATO 2027'!$K$5,"CONCLUÍDA",IF(F2837&lt;='RETRATO 2027'!$K$5,"EM ANDAMENTO","A INICIAR")))</f>
        <v/>
      </c>
    </row>
    <row r="2838">
      <c r="M2838" s="2">
        <f>IF(C2838="","",IFERROR(INDEX($S$5:$S$304,MATCH(C2838,$R$5:$R$304,0))&amp;"","?"))</f>
        <v/>
      </c>
      <c r="N2838" s="2">
        <f>IF(E2838="","",IF(ISNUMBER(SEARCH("SUBSOLO",E2838)),IFERROR(-VALUE(LEFT(E2838,FIND("º",SUBSTITUTE(E2838,"°","º"))-1)),-1),IF(LEFT(E2838,6)="TÉRREO",0,IFERROR(VALUE(LEFT(E2838,FIND("º",SUBSTITUTE(E2838,"°","º"))-1)),""))))</f>
        <v/>
      </c>
      <c r="O2838" s="2">
        <f>IF(OR(F2838="",G2838=""),"",IF(G2838&lt;='RETRATO 2027'!$K$5,"CONCLUÍDA",IF(F2838&lt;='RETRATO 2027'!$K$5,"EM ANDAMENTO","A INICIAR")))</f>
        <v/>
      </c>
    </row>
    <row r="2839">
      <c r="M2839" s="2">
        <f>IF(C2839="","",IFERROR(INDEX($S$5:$S$304,MATCH(C2839,$R$5:$R$304,0))&amp;"","?"))</f>
        <v/>
      </c>
      <c r="N2839" s="2">
        <f>IF(E2839="","",IF(ISNUMBER(SEARCH("SUBSOLO",E2839)),IFERROR(-VALUE(LEFT(E2839,FIND("º",SUBSTITUTE(E2839,"°","º"))-1)),-1),IF(LEFT(E2839,6)="TÉRREO",0,IFERROR(VALUE(LEFT(E2839,FIND("º",SUBSTITUTE(E2839,"°","º"))-1)),""))))</f>
        <v/>
      </c>
      <c r="O2839" s="2">
        <f>IF(OR(F2839="",G2839=""),"",IF(G2839&lt;='RETRATO 2027'!$K$5,"CONCLUÍDA",IF(F2839&lt;='RETRATO 2027'!$K$5,"EM ANDAMENTO","A INICIAR")))</f>
        <v/>
      </c>
    </row>
    <row r="2840">
      <c r="M2840" s="2">
        <f>IF(C2840="","",IFERROR(INDEX($S$5:$S$304,MATCH(C2840,$R$5:$R$304,0))&amp;"","?"))</f>
        <v/>
      </c>
      <c r="N2840" s="2">
        <f>IF(E2840="","",IF(ISNUMBER(SEARCH("SUBSOLO",E2840)),IFERROR(-VALUE(LEFT(E2840,FIND("º",SUBSTITUTE(E2840,"°","º"))-1)),-1),IF(LEFT(E2840,6)="TÉRREO",0,IFERROR(VALUE(LEFT(E2840,FIND("º",SUBSTITUTE(E2840,"°","º"))-1)),""))))</f>
        <v/>
      </c>
      <c r="O2840" s="2">
        <f>IF(OR(F2840="",G2840=""),"",IF(G2840&lt;='RETRATO 2027'!$K$5,"CONCLUÍDA",IF(F2840&lt;='RETRATO 2027'!$K$5,"EM ANDAMENTO","A INICIAR")))</f>
        <v/>
      </c>
    </row>
    <row r="2841">
      <c r="M2841" s="2">
        <f>IF(C2841="","",IFERROR(INDEX($S$5:$S$304,MATCH(C2841,$R$5:$R$304,0))&amp;"","?"))</f>
        <v/>
      </c>
      <c r="N2841" s="2">
        <f>IF(E2841="","",IF(ISNUMBER(SEARCH("SUBSOLO",E2841)),IFERROR(-VALUE(LEFT(E2841,FIND("º",SUBSTITUTE(E2841,"°","º"))-1)),-1),IF(LEFT(E2841,6)="TÉRREO",0,IFERROR(VALUE(LEFT(E2841,FIND("º",SUBSTITUTE(E2841,"°","º"))-1)),""))))</f>
        <v/>
      </c>
      <c r="O2841" s="2">
        <f>IF(OR(F2841="",G2841=""),"",IF(G2841&lt;='RETRATO 2027'!$K$5,"CONCLUÍDA",IF(F2841&lt;='RETRATO 2027'!$K$5,"EM ANDAMENTO","A INICIAR")))</f>
        <v/>
      </c>
    </row>
    <row r="2842">
      <c r="M2842" s="2">
        <f>IF(C2842="","",IFERROR(INDEX($S$5:$S$304,MATCH(C2842,$R$5:$R$304,0))&amp;"","?"))</f>
        <v/>
      </c>
      <c r="N2842" s="2">
        <f>IF(E2842="","",IF(ISNUMBER(SEARCH("SUBSOLO",E2842)),IFERROR(-VALUE(LEFT(E2842,FIND("º",SUBSTITUTE(E2842,"°","º"))-1)),-1),IF(LEFT(E2842,6)="TÉRREO",0,IFERROR(VALUE(LEFT(E2842,FIND("º",SUBSTITUTE(E2842,"°","º"))-1)),""))))</f>
        <v/>
      </c>
      <c r="O2842" s="2">
        <f>IF(OR(F2842="",G2842=""),"",IF(G2842&lt;='RETRATO 2027'!$K$5,"CONCLUÍDA",IF(F2842&lt;='RETRATO 2027'!$K$5,"EM ANDAMENTO","A INICIAR")))</f>
        <v/>
      </c>
    </row>
    <row r="2843">
      <c r="M2843" s="2">
        <f>IF(C2843="","",IFERROR(INDEX($S$5:$S$304,MATCH(C2843,$R$5:$R$304,0))&amp;"","?"))</f>
        <v/>
      </c>
      <c r="N2843" s="2">
        <f>IF(E2843="","",IF(ISNUMBER(SEARCH("SUBSOLO",E2843)),IFERROR(-VALUE(LEFT(E2843,FIND("º",SUBSTITUTE(E2843,"°","º"))-1)),-1),IF(LEFT(E2843,6)="TÉRREO",0,IFERROR(VALUE(LEFT(E2843,FIND("º",SUBSTITUTE(E2843,"°","º"))-1)),""))))</f>
        <v/>
      </c>
      <c r="O2843" s="2">
        <f>IF(OR(F2843="",G2843=""),"",IF(G2843&lt;='RETRATO 2027'!$K$5,"CONCLUÍDA",IF(F2843&lt;='RETRATO 2027'!$K$5,"EM ANDAMENTO","A INICIAR")))</f>
        <v/>
      </c>
    </row>
    <row r="2844">
      <c r="M2844" s="2">
        <f>IF(C2844="","",IFERROR(INDEX($S$5:$S$304,MATCH(C2844,$R$5:$R$304,0))&amp;"","?"))</f>
        <v/>
      </c>
      <c r="N2844" s="2">
        <f>IF(E2844="","",IF(ISNUMBER(SEARCH("SUBSOLO",E2844)),IFERROR(-VALUE(LEFT(E2844,FIND("º",SUBSTITUTE(E2844,"°","º"))-1)),-1),IF(LEFT(E2844,6)="TÉRREO",0,IFERROR(VALUE(LEFT(E2844,FIND("º",SUBSTITUTE(E2844,"°","º"))-1)),""))))</f>
        <v/>
      </c>
      <c r="O2844" s="2">
        <f>IF(OR(F2844="",G2844=""),"",IF(G2844&lt;='RETRATO 2027'!$K$5,"CONCLUÍDA",IF(F2844&lt;='RETRATO 2027'!$K$5,"EM ANDAMENTO","A INICIAR")))</f>
        <v/>
      </c>
    </row>
    <row r="2845">
      <c r="M2845" s="2">
        <f>IF(C2845="","",IFERROR(INDEX($S$5:$S$304,MATCH(C2845,$R$5:$R$304,0))&amp;"","?"))</f>
        <v/>
      </c>
      <c r="N2845" s="2">
        <f>IF(E2845="","",IF(ISNUMBER(SEARCH("SUBSOLO",E2845)),IFERROR(-VALUE(LEFT(E2845,FIND("º",SUBSTITUTE(E2845,"°","º"))-1)),-1),IF(LEFT(E2845,6)="TÉRREO",0,IFERROR(VALUE(LEFT(E2845,FIND("º",SUBSTITUTE(E2845,"°","º"))-1)),""))))</f>
        <v/>
      </c>
      <c r="O2845" s="2">
        <f>IF(OR(F2845="",G2845=""),"",IF(G2845&lt;='RETRATO 2027'!$K$5,"CONCLUÍDA",IF(F2845&lt;='RETRATO 2027'!$K$5,"EM ANDAMENTO","A INICIAR")))</f>
        <v/>
      </c>
    </row>
    <row r="2846">
      <c r="M2846" s="2">
        <f>IF(C2846="","",IFERROR(INDEX($S$5:$S$304,MATCH(C2846,$R$5:$R$304,0))&amp;"","?"))</f>
        <v/>
      </c>
      <c r="N2846" s="2">
        <f>IF(E2846="","",IF(ISNUMBER(SEARCH("SUBSOLO",E2846)),IFERROR(-VALUE(LEFT(E2846,FIND("º",SUBSTITUTE(E2846,"°","º"))-1)),-1),IF(LEFT(E2846,6)="TÉRREO",0,IFERROR(VALUE(LEFT(E2846,FIND("º",SUBSTITUTE(E2846,"°","º"))-1)),""))))</f>
        <v/>
      </c>
      <c r="O2846" s="2">
        <f>IF(OR(F2846="",G2846=""),"",IF(G2846&lt;='RETRATO 2027'!$K$5,"CONCLUÍDA",IF(F2846&lt;='RETRATO 2027'!$K$5,"EM ANDAMENTO","A INICIAR")))</f>
        <v/>
      </c>
    </row>
    <row r="2847">
      <c r="M2847" s="2">
        <f>IF(C2847="","",IFERROR(INDEX($S$5:$S$304,MATCH(C2847,$R$5:$R$304,0))&amp;"","?"))</f>
        <v/>
      </c>
      <c r="N2847" s="2">
        <f>IF(E2847="","",IF(ISNUMBER(SEARCH("SUBSOLO",E2847)),IFERROR(-VALUE(LEFT(E2847,FIND("º",SUBSTITUTE(E2847,"°","º"))-1)),-1),IF(LEFT(E2847,6)="TÉRREO",0,IFERROR(VALUE(LEFT(E2847,FIND("º",SUBSTITUTE(E2847,"°","º"))-1)),""))))</f>
        <v/>
      </c>
      <c r="O2847" s="2">
        <f>IF(OR(F2847="",G2847=""),"",IF(G2847&lt;='RETRATO 2027'!$K$5,"CONCLUÍDA",IF(F2847&lt;='RETRATO 2027'!$K$5,"EM ANDAMENTO","A INICIAR")))</f>
        <v/>
      </c>
    </row>
    <row r="2848">
      <c r="M2848" s="2">
        <f>IF(C2848="","",IFERROR(INDEX($S$5:$S$304,MATCH(C2848,$R$5:$R$304,0))&amp;"","?"))</f>
        <v/>
      </c>
      <c r="N2848" s="2">
        <f>IF(E2848="","",IF(ISNUMBER(SEARCH("SUBSOLO",E2848)),IFERROR(-VALUE(LEFT(E2848,FIND("º",SUBSTITUTE(E2848,"°","º"))-1)),-1),IF(LEFT(E2848,6)="TÉRREO",0,IFERROR(VALUE(LEFT(E2848,FIND("º",SUBSTITUTE(E2848,"°","º"))-1)),""))))</f>
        <v/>
      </c>
      <c r="O2848" s="2">
        <f>IF(OR(F2848="",G2848=""),"",IF(G2848&lt;='RETRATO 2027'!$K$5,"CONCLUÍDA",IF(F2848&lt;='RETRATO 2027'!$K$5,"EM ANDAMENTO","A INICIAR")))</f>
        <v/>
      </c>
    </row>
    <row r="2849">
      <c r="M2849" s="2">
        <f>IF(C2849="","",IFERROR(INDEX($S$5:$S$304,MATCH(C2849,$R$5:$R$304,0))&amp;"","?"))</f>
        <v/>
      </c>
      <c r="N2849" s="2">
        <f>IF(E2849="","",IF(ISNUMBER(SEARCH("SUBSOLO",E2849)),IFERROR(-VALUE(LEFT(E2849,FIND("º",SUBSTITUTE(E2849,"°","º"))-1)),-1),IF(LEFT(E2849,6)="TÉRREO",0,IFERROR(VALUE(LEFT(E2849,FIND("º",SUBSTITUTE(E2849,"°","º"))-1)),""))))</f>
        <v/>
      </c>
      <c r="O2849" s="2">
        <f>IF(OR(F2849="",G2849=""),"",IF(G2849&lt;='RETRATO 2027'!$K$5,"CONCLUÍDA",IF(F2849&lt;='RETRATO 2027'!$K$5,"EM ANDAMENTO","A INICIAR")))</f>
        <v/>
      </c>
    </row>
    <row r="2850">
      <c r="M2850" s="2">
        <f>IF(C2850="","",IFERROR(INDEX($S$5:$S$304,MATCH(C2850,$R$5:$R$304,0))&amp;"","?"))</f>
        <v/>
      </c>
      <c r="N2850" s="2">
        <f>IF(E2850="","",IF(ISNUMBER(SEARCH("SUBSOLO",E2850)),IFERROR(-VALUE(LEFT(E2850,FIND("º",SUBSTITUTE(E2850,"°","º"))-1)),-1),IF(LEFT(E2850,6)="TÉRREO",0,IFERROR(VALUE(LEFT(E2850,FIND("º",SUBSTITUTE(E2850,"°","º"))-1)),""))))</f>
        <v/>
      </c>
      <c r="O2850" s="2">
        <f>IF(OR(F2850="",G2850=""),"",IF(G2850&lt;='RETRATO 2027'!$K$5,"CONCLUÍDA",IF(F2850&lt;='RETRATO 2027'!$K$5,"EM ANDAMENTO","A INICIAR")))</f>
        <v/>
      </c>
    </row>
    <row r="2851">
      <c r="M2851" s="2">
        <f>IF(C2851="","",IFERROR(INDEX($S$5:$S$304,MATCH(C2851,$R$5:$R$304,0))&amp;"","?"))</f>
        <v/>
      </c>
      <c r="N2851" s="2">
        <f>IF(E2851="","",IF(ISNUMBER(SEARCH("SUBSOLO",E2851)),IFERROR(-VALUE(LEFT(E2851,FIND("º",SUBSTITUTE(E2851,"°","º"))-1)),-1),IF(LEFT(E2851,6)="TÉRREO",0,IFERROR(VALUE(LEFT(E2851,FIND("º",SUBSTITUTE(E2851,"°","º"))-1)),""))))</f>
        <v/>
      </c>
      <c r="O2851" s="2">
        <f>IF(OR(F2851="",G2851=""),"",IF(G2851&lt;='RETRATO 2027'!$K$5,"CONCLUÍDA",IF(F2851&lt;='RETRATO 2027'!$K$5,"EM ANDAMENTO","A INICIAR")))</f>
        <v/>
      </c>
    </row>
    <row r="2852">
      <c r="M2852" s="2">
        <f>IF(C2852="","",IFERROR(INDEX($S$5:$S$304,MATCH(C2852,$R$5:$R$304,0))&amp;"","?"))</f>
        <v/>
      </c>
      <c r="N2852" s="2">
        <f>IF(E2852="","",IF(ISNUMBER(SEARCH("SUBSOLO",E2852)),IFERROR(-VALUE(LEFT(E2852,FIND("º",SUBSTITUTE(E2852,"°","º"))-1)),-1),IF(LEFT(E2852,6)="TÉRREO",0,IFERROR(VALUE(LEFT(E2852,FIND("º",SUBSTITUTE(E2852,"°","º"))-1)),""))))</f>
        <v/>
      </c>
      <c r="O2852" s="2">
        <f>IF(OR(F2852="",G2852=""),"",IF(G2852&lt;='RETRATO 2027'!$K$5,"CONCLUÍDA",IF(F2852&lt;='RETRATO 2027'!$K$5,"EM ANDAMENTO","A INICIAR")))</f>
        <v/>
      </c>
    </row>
    <row r="2853">
      <c r="M2853" s="2">
        <f>IF(C2853="","",IFERROR(INDEX($S$5:$S$304,MATCH(C2853,$R$5:$R$304,0))&amp;"","?"))</f>
        <v/>
      </c>
      <c r="N2853" s="2">
        <f>IF(E2853="","",IF(ISNUMBER(SEARCH("SUBSOLO",E2853)),IFERROR(-VALUE(LEFT(E2853,FIND("º",SUBSTITUTE(E2853,"°","º"))-1)),-1),IF(LEFT(E2853,6)="TÉRREO",0,IFERROR(VALUE(LEFT(E2853,FIND("º",SUBSTITUTE(E2853,"°","º"))-1)),""))))</f>
        <v/>
      </c>
      <c r="O2853" s="2">
        <f>IF(OR(F2853="",G2853=""),"",IF(G2853&lt;='RETRATO 2027'!$K$5,"CONCLUÍDA",IF(F2853&lt;='RETRATO 2027'!$K$5,"EM ANDAMENTO","A INICIAR")))</f>
        <v/>
      </c>
    </row>
    <row r="2854">
      <c r="M2854" s="2">
        <f>IF(C2854="","",IFERROR(INDEX($S$5:$S$304,MATCH(C2854,$R$5:$R$304,0))&amp;"","?"))</f>
        <v/>
      </c>
      <c r="N2854" s="2">
        <f>IF(E2854="","",IF(ISNUMBER(SEARCH("SUBSOLO",E2854)),IFERROR(-VALUE(LEFT(E2854,FIND("º",SUBSTITUTE(E2854,"°","º"))-1)),-1),IF(LEFT(E2854,6)="TÉRREO",0,IFERROR(VALUE(LEFT(E2854,FIND("º",SUBSTITUTE(E2854,"°","º"))-1)),""))))</f>
        <v/>
      </c>
      <c r="O2854" s="2">
        <f>IF(OR(F2854="",G2854=""),"",IF(G2854&lt;='RETRATO 2027'!$K$5,"CONCLUÍDA",IF(F2854&lt;='RETRATO 2027'!$K$5,"EM ANDAMENTO","A INICIAR")))</f>
        <v/>
      </c>
    </row>
    <row r="2855">
      <c r="M2855" s="2">
        <f>IF(C2855="","",IFERROR(INDEX($S$5:$S$304,MATCH(C2855,$R$5:$R$304,0))&amp;"","?"))</f>
        <v/>
      </c>
      <c r="N2855" s="2">
        <f>IF(E2855="","",IF(ISNUMBER(SEARCH("SUBSOLO",E2855)),IFERROR(-VALUE(LEFT(E2855,FIND("º",SUBSTITUTE(E2855,"°","º"))-1)),-1),IF(LEFT(E2855,6)="TÉRREO",0,IFERROR(VALUE(LEFT(E2855,FIND("º",SUBSTITUTE(E2855,"°","º"))-1)),""))))</f>
        <v/>
      </c>
      <c r="O2855" s="2">
        <f>IF(OR(F2855="",G2855=""),"",IF(G2855&lt;='RETRATO 2027'!$K$5,"CONCLUÍDA",IF(F2855&lt;='RETRATO 2027'!$K$5,"EM ANDAMENTO","A INICIAR")))</f>
        <v/>
      </c>
    </row>
    <row r="2856">
      <c r="M2856" s="2">
        <f>IF(C2856="","",IFERROR(INDEX($S$5:$S$304,MATCH(C2856,$R$5:$R$304,0))&amp;"","?"))</f>
        <v/>
      </c>
      <c r="N2856" s="2">
        <f>IF(E2856="","",IF(ISNUMBER(SEARCH("SUBSOLO",E2856)),IFERROR(-VALUE(LEFT(E2856,FIND("º",SUBSTITUTE(E2856,"°","º"))-1)),-1),IF(LEFT(E2856,6)="TÉRREO",0,IFERROR(VALUE(LEFT(E2856,FIND("º",SUBSTITUTE(E2856,"°","º"))-1)),""))))</f>
        <v/>
      </c>
      <c r="O2856" s="2">
        <f>IF(OR(F2856="",G2856=""),"",IF(G2856&lt;='RETRATO 2027'!$K$5,"CONCLUÍDA",IF(F2856&lt;='RETRATO 2027'!$K$5,"EM ANDAMENTO","A INICIAR")))</f>
        <v/>
      </c>
    </row>
    <row r="2857">
      <c r="M2857" s="2">
        <f>IF(C2857="","",IFERROR(INDEX($S$5:$S$304,MATCH(C2857,$R$5:$R$304,0))&amp;"","?"))</f>
        <v/>
      </c>
      <c r="N2857" s="2">
        <f>IF(E2857="","",IF(ISNUMBER(SEARCH("SUBSOLO",E2857)),IFERROR(-VALUE(LEFT(E2857,FIND("º",SUBSTITUTE(E2857,"°","º"))-1)),-1),IF(LEFT(E2857,6)="TÉRREO",0,IFERROR(VALUE(LEFT(E2857,FIND("º",SUBSTITUTE(E2857,"°","º"))-1)),""))))</f>
        <v/>
      </c>
      <c r="O2857" s="2">
        <f>IF(OR(F2857="",G2857=""),"",IF(G2857&lt;='RETRATO 2027'!$K$5,"CONCLUÍDA",IF(F2857&lt;='RETRATO 2027'!$K$5,"EM ANDAMENTO","A INICIAR")))</f>
        <v/>
      </c>
    </row>
    <row r="2858">
      <c r="M2858" s="2">
        <f>IF(C2858="","",IFERROR(INDEX($S$5:$S$304,MATCH(C2858,$R$5:$R$304,0))&amp;"","?"))</f>
        <v/>
      </c>
      <c r="N2858" s="2">
        <f>IF(E2858="","",IF(ISNUMBER(SEARCH("SUBSOLO",E2858)),IFERROR(-VALUE(LEFT(E2858,FIND("º",SUBSTITUTE(E2858,"°","º"))-1)),-1),IF(LEFT(E2858,6)="TÉRREO",0,IFERROR(VALUE(LEFT(E2858,FIND("º",SUBSTITUTE(E2858,"°","º"))-1)),""))))</f>
        <v/>
      </c>
      <c r="O2858" s="2">
        <f>IF(OR(F2858="",G2858=""),"",IF(G2858&lt;='RETRATO 2027'!$K$5,"CONCLUÍDA",IF(F2858&lt;='RETRATO 2027'!$K$5,"EM ANDAMENTO","A INICIAR")))</f>
        <v/>
      </c>
    </row>
    <row r="2859">
      <c r="M2859" s="2">
        <f>IF(C2859="","",IFERROR(INDEX($S$5:$S$304,MATCH(C2859,$R$5:$R$304,0))&amp;"","?"))</f>
        <v/>
      </c>
      <c r="N2859" s="2">
        <f>IF(E2859="","",IF(ISNUMBER(SEARCH("SUBSOLO",E2859)),IFERROR(-VALUE(LEFT(E2859,FIND("º",SUBSTITUTE(E2859,"°","º"))-1)),-1),IF(LEFT(E2859,6)="TÉRREO",0,IFERROR(VALUE(LEFT(E2859,FIND("º",SUBSTITUTE(E2859,"°","º"))-1)),""))))</f>
        <v/>
      </c>
      <c r="O2859" s="2">
        <f>IF(OR(F2859="",G2859=""),"",IF(G2859&lt;='RETRATO 2027'!$K$5,"CONCLUÍDA",IF(F2859&lt;='RETRATO 2027'!$K$5,"EM ANDAMENTO","A INICIAR")))</f>
        <v/>
      </c>
    </row>
    <row r="2860">
      <c r="M2860" s="2">
        <f>IF(C2860="","",IFERROR(INDEX($S$5:$S$304,MATCH(C2860,$R$5:$R$304,0))&amp;"","?"))</f>
        <v/>
      </c>
      <c r="N2860" s="2">
        <f>IF(E2860="","",IF(ISNUMBER(SEARCH("SUBSOLO",E2860)),IFERROR(-VALUE(LEFT(E2860,FIND("º",SUBSTITUTE(E2860,"°","º"))-1)),-1),IF(LEFT(E2860,6)="TÉRREO",0,IFERROR(VALUE(LEFT(E2860,FIND("º",SUBSTITUTE(E2860,"°","º"))-1)),""))))</f>
        <v/>
      </c>
      <c r="O2860" s="2">
        <f>IF(OR(F2860="",G2860=""),"",IF(G2860&lt;='RETRATO 2027'!$K$5,"CONCLUÍDA",IF(F2860&lt;='RETRATO 2027'!$K$5,"EM ANDAMENTO","A INICIAR")))</f>
        <v/>
      </c>
    </row>
    <row r="2861">
      <c r="M2861" s="2">
        <f>IF(C2861="","",IFERROR(INDEX($S$5:$S$304,MATCH(C2861,$R$5:$R$304,0))&amp;"","?"))</f>
        <v/>
      </c>
      <c r="N2861" s="2">
        <f>IF(E2861="","",IF(ISNUMBER(SEARCH("SUBSOLO",E2861)),IFERROR(-VALUE(LEFT(E2861,FIND("º",SUBSTITUTE(E2861,"°","º"))-1)),-1),IF(LEFT(E2861,6)="TÉRREO",0,IFERROR(VALUE(LEFT(E2861,FIND("º",SUBSTITUTE(E2861,"°","º"))-1)),""))))</f>
        <v/>
      </c>
      <c r="O2861" s="2">
        <f>IF(OR(F2861="",G2861=""),"",IF(G2861&lt;='RETRATO 2027'!$K$5,"CONCLUÍDA",IF(F2861&lt;='RETRATO 2027'!$K$5,"EM ANDAMENTO","A INICIAR")))</f>
        <v/>
      </c>
    </row>
    <row r="2862">
      <c r="M2862" s="2">
        <f>IF(C2862="","",IFERROR(INDEX($S$5:$S$304,MATCH(C2862,$R$5:$R$304,0))&amp;"","?"))</f>
        <v/>
      </c>
      <c r="N2862" s="2">
        <f>IF(E2862="","",IF(ISNUMBER(SEARCH("SUBSOLO",E2862)),IFERROR(-VALUE(LEFT(E2862,FIND("º",SUBSTITUTE(E2862,"°","º"))-1)),-1),IF(LEFT(E2862,6)="TÉRREO",0,IFERROR(VALUE(LEFT(E2862,FIND("º",SUBSTITUTE(E2862,"°","º"))-1)),""))))</f>
        <v/>
      </c>
      <c r="O2862" s="2">
        <f>IF(OR(F2862="",G2862=""),"",IF(G2862&lt;='RETRATO 2027'!$K$5,"CONCLUÍDA",IF(F2862&lt;='RETRATO 2027'!$K$5,"EM ANDAMENTO","A INICIAR")))</f>
        <v/>
      </c>
    </row>
    <row r="2863">
      <c r="M2863" s="2">
        <f>IF(C2863="","",IFERROR(INDEX($S$5:$S$304,MATCH(C2863,$R$5:$R$304,0))&amp;"","?"))</f>
        <v/>
      </c>
      <c r="N2863" s="2">
        <f>IF(E2863="","",IF(ISNUMBER(SEARCH("SUBSOLO",E2863)),IFERROR(-VALUE(LEFT(E2863,FIND("º",SUBSTITUTE(E2863,"°","º"))-1)),-1),IF(LEFT(E2863,6)="TÉRREO",0,IFERROR(VALUE(LEFT(E2863,FIND("º",SUBSTITUTE(E2863,"°","º"))-1)),""))))</f>
        <v/>
      </c>
      <c r="O2863" s="2">
        <f>IF(OR(F2863="",G2863=""),"",IF(G2863&lt;='RETRATO 2027'!$K$5,"CONCLUÍDA",IF(F2863&lt;='RETRATO 2027'!$K$5,"EM ANDAMENTO","A INICIAR")))</f>
        <v/>
      </c>
    </row>
    <row r="2864">
      <c r="M2864" s="2">
        <f>IF(C2864="","",IFERROR(INDEX($S$5:$S$304,MATCH(C2864,$R$5:$R$304,0))&amp;"","?"))</f>
        <v/>
      </c>
      <c r="N2864" s="2">
        <f>IF(E2864="","",IF(ISNUMBER(SEARCH("SUBSOLO",E2864)),IFERROR(-VALUE(LEFT(E2864,FIND("º",SUBSTITUTE(E2864,"°","º"))-1)),-1),IF(LEFT(E2864,6)="TÉRREO",0,IFERROR(VALUE(LEFT(E2864,FIND("º",SUBSTITUTE(E2864,"°","º"))-1)),""))))</f>
        <v/>
      </c>
      <c r="O2864" s="2">
        <f>IF(OR(F2864="",G2864=""),"",IF(G2864&lt;='RETRATO 2027'!$K$5,"CONCLUÍDA",IF(F2864&lt;='RETRATO 2027'!$K$5,"EM ANDAMENTO","A INICIAR")))</f>
        <v/>
      </c>
    </row>
    <row r="2865">
      <c r="M2865" s="2">
        <f>IF(C2865="","",IFERROR(INDEX($S$5:$S$304,MATCH(C2865,$R$5:$R$304,0))&amp;"","?"))</f>
        <v/>
      </c>
      <c r="N2865" s="2">
        <f>IF(E2865="","",IF(ISNUMBER(SEARCH("SUBSOLO",E2865)),IFERROR(-VALUE(LEFT(E2865,FIND("º",SUBSTITUTE(E2865,"°","º"))-1)),-1),IF(LEFT(E2865,6)="TÉRREO",0,IFERROR(VALUE(LEFT(E2865,FIND("º",SUBSTITUTE(E2865,"°","º"))-1)),""))))</f>
        <v/>
      </c>
      <c r="O2865" s="2">
        <f>IF(OR(F2865="",G2865=""),"",IF(G2865&lt;='RETRATO 2027'!$K$5,"CONCLUÍDA",IF(F2865&lt;='RETRATO 2027'!$K$5,"EM ANDAMENTO","A INICIAR")))</f>
        <v/>
      </c>
    </row>
    <row r="2866">
      <c r="M2866" s="2">
        <f>IF(C2866="","",IFERROR(INDEX($S$5:$S$304,MATCH(C2866,$R$5:$R$304,0))&amp;"","?"))</f>
        <v/>
      </c>
      <c r="N2866" s="2">
        <f>IF(E2866="","",IF(ISNUMBER(SEARCH("SUBSOLO",E2866)),IFERROR(-VALUE(LEFT(E2866,FIND("º",SUBSTITUTE(E2866,"°","º"))-1)),-1),IF(LEFT(E2866,6)="TÉRREO",0,IFERROR(VALUE(LEFT(E2866,FIND("º",SUBSTITUTE(E2866,"°","º"))-1)),""))))</f>
        <v/>
      </c>
      <c r="O2866" s="2">
        <f>IF(OR(F2866="",G2866=""),"",IF(G2866&lt;='RETRATO 2027'!$K$5,"CONCLUÍDA",IF(F2866&lt;='RETRATO 2027'!$K$5,"EM ANDAMENTO","A INICIAR")))</f>
        <v/>
      </c>
    </row>
    <row r="2867">
      <c r="M2867" s="2">
        <f>IF(C2867="","",IFERROR(INDEX($S$5:$S$304,MATCH(C2867,$R$5:$R$304,0))&amp;"","?"))</f>
        <v/>
      </c>
      <c r="N2867" s="2">
        <f>IF(E2867="","",IF(ISNUMBER(SEARCH("SUBSOLO",E2867)),IFERROR(-VALUE(LEFT(E2867,FIND("º",SUBSTITUTE(E2867,"°","º"))-1)),-1),IF(LEFT(E2867,6)="TÉRREO",0,IFERROR(VALUE(LEFT(E2867,FIND("º",SUBSTITUTE(E2867,"°","º"))-1)),""))))</f>
        <v/>
      </c>
      <c r="O2867" s="2">
        <f>IF(OR(F2867="",G2867=""),"",IF(G2867&lt;='RETRATO 2027'!$K$5,"CONCLUÍDA",IF(F2867&lt;='RETRATO 2027'!$K$5,"EM ANDAMENTO","A INICIAR")))</f>
        <v/>
      </c>
    </row>
    <row r="2868">
      <c r="M2868" s="2">
        <f>IF(C2868="","",IFERROR(INDEX($S$5:$S$304,MATCH(C2868,$R$5:$R$304,0))&amp;"","?"))</f>
        <v/>
      </c>
      <c r="N2868" s="2">
        <f>IF(E2868="","",IF(ISNUMBER(SEARCH("SUBSOLO",E2868)),IFERROR(-VALUE(LEFT(E2868,FIND("º",SUBSTITUTE(E2868,"°","º"))-1)),-1),IF(LEFT(E2868,6)="TÉRREO",0,IFERROR(VALUE(LEFT(E2868,FIND("º",SUBSTITUTE(E2868,"°","º"))-1)),""))))</f>
        <v/>
      </c>
      <c r="O2868" s="2">
        <f>IF(OR(F2868="",G2868=""),"",IF(G2868&lt;='RETRATO 2027'!$K$5,"CONCLUÍDA",IF(F2868&lt;='RETRATO 2027'!$K$5,"EM ANDAMENTO","A INICIAR")))</f>
        <v/>
      </c>
    </row>
    <row r="2869">
      <c r="M2869" s="2">
        <f>IF(C2869="","",IFERROR(INDEX($S$5:$S$304,MATCH(C2869,$R$5:$R$304,0))&amp;"","?"))</f>
        <v/>
      </c>
      <c r="N2869" s="2">
        <f>IF(E2869="","",IF(ISNUMBER(SEARCH("SUBSOLO",E2869)),IFERROR(-VALUE(LEFT(E2869,FIND("º",SUBSTITUTE(E2869,"°","º"))-1)),-1),IF(LEFT(E2869,6)="TÉRREO",0,IFERROR(VALUE(LEFT(E2869,FIND("º",SUBSTITUTE(E2869,"°","º"))-1)),""))))</f>
        <v/>
      </c>
      <c r="O2869" s="2">
        <f>IF(OR(F2869="",G2869=""),"",IF(G2869&lt;='RETRATO 2027'!$K$5,"CONCLUÍDA",IF(F2869&lt;='RETRATO 2027'!$K$5,"EM ANDAMENTO","A INICIAR")))</f>
        <v/>
      </c>
    </row>
    <row r="2870">
      <c r="M2870" s="2">
        <f>IF(C2870="","",IFERROR(INDEX($S$5:$S$304,MATCH(C2870,$R$5:$R$304,0))&amp;"","?"))</f>
        <v/>
      </c>
      <c r="N2870" s="2">
        <f>IF(E2870="","",IF(ISNUMBER(SEARCH("SUBSOLO",E2870)),IFERROR(-VALUE(LEFT(E2870,FIND("º",SUBSTITUTE(E2870,"°","º"))-1)),-1),IF(LEFT(E2870,6)="TÉRREO",0,IFERROR(VALUE(LEFT(E2870,FIND("º",SUBSTITUTE(E2870,"°","º"))-1)),""))))</f>
        <v/>
      </c>
      <c r="O2870" s="2">
        <f>IF(OR(F2870="",G2870=""),"",IF(G2870&lt;='RETRATO 2027'!$K$5,"CONCLUÍDA",IF(F2870&lt;='RETRATO 2027'!$K$5,"EM ANDAMENTO","A INICIAR")))</f>
        <v/>
      </c>
    </row>
    <row r="2871">
      <c r="M2871" s="2">
        <f>IF(C2871="","",IFERROR(INDEX($S$5:$S$304,MATCH(C2871,$R$5:$R$304,0))&amp;"","?"))</f>
        <v/>
      </c>
      <c r="N2871" s="2">
        <f>IF(E2871="","",IF(ISNUMBER(SEARCH("SUBSOLO",E2871)),IFERROR(-VALUE(LEFT(E2871,FIND("º",SUBSTITUTE(E2871,"°","º"))-1)),-1),IF(LEFT(E2871,6)="TÉRREO",0,IFERROR(VALUE(LEFT(E2871,FIND("º",SUBSTITUTE(E2871,"°","º"))-1)),""))))</f>
        <v/>
      </c>
      <c r="O2871" s="2">
        <f>IF(OR(F2871="",G2871=""),"",IF(G2871&lt;='RETRATO 2027'!$K$5,"CONCLUÍDA",IF(F2871&lt;='RETRATO 2027'!$K$5,"EM ANDAMENTO","A INICIAR")))</f>
        <v/>
      </c>
    </row>
    <row r="2872">
      <c r="M2872" s="2">
        <f>IF(C2872="","",IFERROR(INDEX($S$5:$S$304,MATCH(C2872,$R$5:$R$304,0))&amp;"","?"))</f>
        <v/>
      </c>
      <c r="N2872" s="2">
        <f>IF(E2872="","",IF(ISNUMBER(SEARCH("SUBSOLO",E2872)),IFERROR(-VALUE(LEFT(E2872,FIND("º",SUBSTITUTE(E2872,"°","º"))-1)),-1),IF(LEFT(E2872,6)="TÉRREO",0,IFERROR(VALUE(LEFT(E2872,FIND("º",SUBSTITUTE(E2872,"°","º"))-1)),""))))</f>
        <v/>
      </c>
      <c r="O2872" s="2">
        <f>IF(OR(F2872="",G2872=""),"",IF(G2872&lt;='RETRATO 2027'!$K$5,"CONCLUÍDA",IF(F2872&lt;='RETRATO 2027'!$K$5,"EM ANDAMENTO","A INICIAR")))</f>
        <v/>
      </c>
    </row>
    <row r="2873">
      <c r="M2873" s="2">
        <f>IF(C2873="","",IFERROR(INDEX($S$5:$S$304,MATCH(C2873,$R$5:$R$304,0))&amp;"","?"))</f>
        <v/>
      </c>
      <c r="N2873" s="2">
        <f>IF(E2873="","",IF(ISNUMBER(SEARCH("SUBSOLO",E2873)),IFERROR(-VALUE(LEFT(E2873,FIND("º",SUBSTITUTE(E2873,"°","º"))-1)),-1),IF(LEFT(E2873,6)="TÉRREO",0,IFERROR(VALUE(LEFT(E2873,FIND("º",SUBSTITUTE(E2873,"°","º"))-1)),""))))</f>
        <v/>
      </c>
      <c r="O2873" s="2">
        <f>IF(OR(F2873="",G2873=""),"",IF(G2873&lt;='RETRATO 2027'!$K$5,"CONCLUÍDA",IF(F2873&lt;='RETRATO 2027'!$K$5,"EM ANDAMENTO","A INICIAR")))</f>
        <v/>
      </c>
    </row>
    <row r="2874">
      <c r="M2874" s="2">
        <f>IF(C2874="","",IFERROR(INDEX($S$5:$S$304,MATCH(C2874,$R$5:$R$304,0))&amp;"","?"))</f>
        <v/>
      </c>
      <c r="N2874" s="2">
        <f>IF(E2874="","",IF(ISNUMBER(SEARCH("SUBSOLO",E2874)),IFERROR(-VALUE(LEFT(E2874,FIND("º",SUBSTITUTE(E2874,"°","º"))-1)),-1),IF(LEFT(E2874,6)="TÉRREO",0,IFERROR(VALUE(LEFT(E2874,FIND("º",SUBSTITUTE(E2874,"°","º"))-1)),""))))</f>
        <v/>
      </c>
      <c r="O2874" s="2">
        <f>IF(OR(F2874="",G2874=""),"",IF(G2874&lt;='RETRATO 2027'!$K$5,"CONCLUÍDA",IF(F2874&lt;='RETRATO 2027'!$K$5,"EM ANDAMENTO","A INICIAR")))</f>
        <v/>
      </c>
    </row>
    <row r="2875">
      <c r="M2875" s="2">
        <f>IF(C2875="","",IFERROR(INDEX($S$5:$S$304,MATCH(C2875,$R$5:$R$304,0))&amp;"","?"))</f>
        <v/>
      </c>
      <c r="N2875" s="2">
        <f>IF(E2875="","",IF(ISNUMBER(SEARCH("SUBSOLO",E2875)),IFERROR(-VALUE(LEFT(E2875,FIND("º",SUBSTITUTE(E2875,"°","º"))-1)),-1),IF(LEFT(E2875,6)="TÉRREO",0,IFERROR(VALUE(LEFT(E2875,FIND("º",SUBSTITUTE(E2875,"°","º"))-1)),""))))</f>
        <v/>
      </c>
      <c r="O2875" s="2">
        <f>IF(OR(F2875="",G2875=""),"",IF(G2875&lt;='RETRATO 2027'!$K$5,"CONCLUÍDA",IF(F2875&lt;='RETRATO 2027'!$K$5,"EM ANDAMENTO","A INICIAR")))</f>
        <v/>
      </c>
    </row>
    <row r="2876">
      <c r="M2876" s="2">
        <f>IF(C2876="","",IFERROR(INDEX($S$5:$S$304,MATCH(C2876,$R$5:$R$304,0))&amp;"","?"))</f>
        <v/>
      </c>
      <c r="N2876" s="2">
        <f>IF(E2876="","",IF(ISNUMBER(SEARCH("SUBSOLO",E2876)),IFERROR(-VALUE(LEFT(E2876,FIND("º",SUBSTITUTE(E2876,"°","º"))-1)),-1),IF(LEFT(E2876,6)="TÉRREO",0,IFERROR(VALUE(LEFT(E2876,FIND("º",SUBSTITUTE(E2876,"°","º"))-1)),""))))</f>
        <v/>
      </c>
      <c r="O2876" s="2">
        <f>IF(OR(F2876="",G2876=""),"",IF(G2876&lt;='RETRATO 2027'!$K$5,"CONCLUÍDA",IF(F2876&lt;='RETRATO 2027'!$K$5,"EM ANDAMENTO","A INICIAR")))</f>
        <v/>
      </c>
    </row>
    <row r="2877">
      <c r="M2877" s="2">
        <f>IF(C2877="","",IFERROR(INDEX($S$5:$S$304,MATCH(C2877,$R$5:$R$304,0))&amp;"","?"))</f>
        <v/>
      </c>
      <c r="N2877" s="2">
        <f>IF(E2877="","",IF(ISNUMBER(SEARCH("SUBSOLO",E2877)),IFERROR(-VALUE(LEFT(E2877,FIND("º",SUBSTITUTE(E2877,"°","º"))-1)),-1),IF(LEFT(E2877,6)="TÉRREO",0,IFERROR(VALUE(LEFT(E2877,FIND("º",SUBSTITUTE(E2877,"°","º"))-1)),""))))</f>
        <v/>
      </c>
      <c r="O2877" s="2">
        <f>IF(OR(F2877="",G2877=""),"",IF(G2877&lt;='RETRATO 2027'!$K$5,"CONCLUÍDA",IF(F2877&lt;='RETRATO 2027'!$K$5,"EM ANDAMENTO","A INICIAR")))</f>
        <v/>
      </c>
    </row>
    <row r="2878">
      <c r="M2878" s="2">
        <f>IF(C2878="","",IFERROR(INDEX($S$5:$S$304,MATCH(C2878,$R$5:$R$304,0))&amp;"","?"))</f>
        <v/>
      </c>
      <c r="N2878" s="2">
        <f>IF(E2878="","",IF(ISNUMBER(SEARCH("SUBSOLO",E2878)),IFERROR(-VALUE(LEFT(E2878,FIND("º",SUBSTITUTE(E2878,"°","º"))-1)),-1),IF(LEFT(E2878,6)="TÉRREO",0,IFERROR(VALUE(LEFT(E2878,FIND("º",SUBSTITUTE(E2878,"°","º"))-1)),""))))</f>
        <v/>
      </c>
      <c r="O2878" s="2">
        <f>IF(OR(F2878="",G2878=""),"",IF(G2878&lt;='RETRATO 2027'!$K$5,"CONCLUÍDA",IF(F2878&lt;='RETRATO 2027'!$K$5,"EM ANDAMENTO","A INICIAR")))</f>
        <v/>
      </c>
    </row>
    <row r="2879">
      <c r="M2879" s="2">
        <f>IF(C2879="","",IFERROR(INDEX($S$5:$S$304,MATCH(C2879,$R$5:$R$304,0))&amp;"","?"))</f>
        <v/>
      </c>
      <c r="N2879" s="2">
        <f>IF(E2879="","",IF(ISNUMBER(SEARCH("SUBSOLO",E2879)),IFERROR(-VALUE(LEFT(E2879,FIND("º",SUBSTITUTE(E2879,"°","º"))-1)),-1),IF(LEFT(E2879,6)="TÉRREO",0,IFERROR(VALUE(LEFT(E2879,FIND("º",SUBSTITUTE(E2879,"°","º"))-1)),""))))</f>
        <v/>
      </c>
      <c r="O2879" s="2">
        <f>IF(OR(F2879="",G2879=""),"",IF(G2879&lt;='RETRATO 2027'!$K$5,"CONCLUÍDA",IF(F2879&lt;='RETRATO 2027'!$K$5,"EM ANDAMENTO","A INICIAR")))</f>
        <v/>
      </c>
    </row>
    <row r="2880">
      <c r="M2880" s="2">
        <f>IF(C2880="","",IFERROR(INDEX($S$5:$S$304,MATCH(C2880,$R$5:$R$304,0))&amp;"","?"))</f>
        <v/>
      </c>
      <c r="N2880" s="2">
        <f>IF(E2880="","",IF(ISNUMBER(SEARCH("SUBSOLO",E2880)),IFERROR(-VALUE(LEFT(E2880,FIND("º",SUBSTITUTE(E2880,"°","º"))-1)),-1),IF(LEFT(E2880,6)="TÉRREO",0,IFERROR(VALUE(LEFT(E2880,FIND("º",SUBSTITUTE(E2880,"°","º"))-1)),""))))</f>
        <v/>
      </c>
      <c r="O2880" s="2">
        <f>IF(OR(F2880="",G2880=""),"",IF(G2880&lt;='RETRATO 2027'!$K$5,"CONCLUÍDA",IF(F2880&lt;='RETRATO 2027'!$K$5,"EM ANDAMENTO","A INICIAR")))</f>
        <v/>
      </c>
    </row>
    <row r="2881">
      <c r="M2881" s="2">
        <f>IF(C2881="","",IFERROR(INDEX($S$5:$S$304,MATCH(C2881,$R$5:$R$304,0))&amp;"","?"))</f>
        <v/>
      </c>
      <c r="N2881" s="2">
        <f>IF(E2881="","",IF(ISNUMBER(SEARCH("SUBSOLO",E2881)),IFERROR(-VALUE(LEFT(E2881,FIND("º",SUBSTITUTE(E2881,"°","º"))-1)),-1),IF(LEFT(E2881,6)="TÉRREO",0,IFERROR(VALUE(LEFT(E2881,FIND("º",SUBSTITUTE(E2881,"°","º"))-1)),""))))</f>
        <v/>
      </c>
      <c r="O2881" s="2">
        <f>IF(OR(F2881="",G2881=""),"",IF(G2881&lt;='RETRATO 2027'!$K$5,"CONCLUÍDA",IF(F2881&lt;='RETRATO 2027'!$K$5,"EM ANDAMENTO","A INICIAR")))</f>
        <v/>
      </c>
    </row>
    <row r="2882">
      <c r="M2882" s="2">
        <f>IF(C2882="","",IFERROR(INDEX($S$5:$S$304,MATCH(C2882,$R$5:$R$304,0))&amp;"","?"))</f>
        <v/>
      </c>
      <c r="N2882" s="2">
        <f>IF(E2882="","",IF(ISNUMBER(SEARCH("SUBSOLO",E2882)),IFERROR(-VALUE(LEFT(E2882,FIND("º",SUBSTITUTE(E2882,"°","º"))-1)),-1),IF(LEFT(E2882,6)="TÉRREO",0,IFERROR(VALUE(LEFT(E2882,FIND("º",SUBSTITUTE(E2882,"°","º"))-1)),""))))</f>
        <v/>
      </c>
      <c r="O2882" s="2">
        <f>IF(OR(F2882="",G2882=""),"",IF(G2882&lt;='RETRATO 2027'!$K$5,"CONCLUÍDA",IF(F2882&lt;='RETRATO 2027'!$K$5,"EM ANDAMENTO","A INICIAR")))</f>
        <v/>
      </c>
    </row>
    <row r="2883">
      <c r="M2883" s="2">
        <f>IF(C2883="","",IFERROR(INDEX($S$5:$S$304,MATCH(C2883,$R$5:$R$304,0))&amp;"","?"))</f>
        <v/>
      </c>
      <c r="N2883" s="2">
        <f>IF(E2883="","",IF(ISNUMBER(SEARCH("SUBSOLO",E2883)),IFERROR(-VALUE(LEFT(E2883,FIND("º",SUBSTITUTE(E2883,"°","º"))-1)),-1),IF(LEFT(E2883,6)="TÉRREO",0,IFERROR(VALUE(LEFT(E2883,FIND("º",SUBSTITUTE(E2883,"°","º"))-1)),""))))</f>
        <v/>
      </c>
      <c r="O2883" s="2">
        <f>IF(OR(F2883="",G2883=""),"",IF(G2883&lt;='RETRATO 2027'!$K$5,"CONCLUÍDA",IF(F2883&lt;='RETRATO 2027'!$K$5,"EM ANDAMENTO","A INICIAR")))</f>
        <v/>
      </c>
    </row>
    <row r="2884">
      <c r="M2884" s="2">
        <f>IF(C2884="","",IFERROR(INDEX($S$5:$S$304,MATCH(C2884,$R$5:$R$304,0))&amp;"","?"))</f>
        <v/>
      </c>
      <c r="N2884" s="2">
        <f>IF(E2884="","",IF(ISNUMBER(SEARCH("SUBSOLO",E2884)),IFERROR(-VALUE(LEFT(E2884,FIND("º",SUBSTITUTE(E2884,"°","º"))-1)),-1),IF(LEFT(E2884,6)="TÉRREO",0,IFERROR(VALUE(LEFT(E2884,FIND("º",SUBSTITUTE(E2884,"°","º"))-1)),""))))</f>
        <v/>
      </c>
      <c r="O2884" s="2">
        <f>IF(OR(F2884="",G2884=""),"",IF(G2884&lt;='RETRATO 2027'!$K$5,"CONCLUÍDA",IF(F2884&lt;='RETRATO 2027'!$K$5,"EM ANDAMENTO","A INICIAR")))</f>
        <v/>
      </c>
    </row>
    <row r="2885">
      <c r="M2885" s="2">
        <f>IF(C2885="","",IFERROR(INDEX($S$5:$S$304,MATCH(C2885,$R$5:$R$304,0))&amp;"","?"))</f>
        <v/>
      </c>
      <c r="N2885" s="2">
        <f>IF(E2885="","",IF(ISNUMBER(SEARCH("SUBSOLO",E2885)),IFERROR(-VALUE(LEFT(E2885,FIND("º",SUBSTITUTE(E2885,"°","º"))-1)),-1),IF(LEFT(E2885,6)="TÉRREO",0,IFERROR(VALUE(LEFT(E2885,FIND("º",SUBSTITUTE(E2885,"°","º"))-1)),""))))</f>
        <v/>
      </c>
      <c r="O2885" s="2">
        <f>IF(OR(F2885="",G2885=""),"",IF(G2885&lt;='RETRATO 2027'!$K$5,"CONCLUÍDA",IF(F2885&lt;='RETRATO 2027'!$K$5,"EM ANDAMENTO","A INICIAR")))</f>
        <v/>
      </c>
    </row>
    <row r="2886">
      <c r="M2886" s="2">
        <f>IF(C2886="","",IFERROR(INDEX($S$5:$S$304,MATCH(C2886,$R$5:$R$304,0))&amp;"","?"))</f>
        <v/>
      </c>
      <c r="N2886" s="2">
        <f>IF(E2886="","",IF(ISNUMBER(SEARCH("SUBSOLO",E2886)),IFERROR(-VALUE(LEFT(E2886,FIND("º",SUBSTITUTE(E2886,"°","º"))-1)),-1),IF(LEFT(E2886,6)="TÉRREO",0,IFERROR(VALUE(LEFT(E2886,FIND("º",SUBSTITUTE(E2886,"°","º"))-1)),""))))</f>
        <v/>
      </c>
      <c r="O2886" s="2">
        <f>IF(OR(F2886="",G2886=""),"",IF(G2886&lt;='RETRATO 2027'!$K$5,"CONCLUÍDA",IF(F2886&lt;='RETRATO 2027'!$K$5,"EM ANDAMENTO","A INICIAR")))</f>
        <v/>
      </c>
    </row>
    <row r="2887">
      <c r="M2887" s="2">
        <f>IF(C2887="","",IFERROR(INDEX($S$5:$S$304,MATCH(C2887,$R$5:$R$304,0))&amp;"","?"))</f>
        <v/>
      </c>
      <c r="N2887" s="2">
        <f>IF(E2887="","",IF(ISNUMBER(SEARCH("SUBSOLO",E2887)),IFERROR(-VALUE(LEFT(E2887,FIND("º",SUBSTITUTE(E2887,"°","º"))-1)),-1),IF(LEFT(E2887,6)="TÉRREO",0,IFERROR(VALUE(LEFT(E2887,FIND("º",SUBSTITUTE(E2887,"°","º"))-1)),""))))</f>
        <v/>
      </c>
      <c r="O2887" s="2">
        <f>IF(OR(F2887="",G2887=""),"",IF(G2887&lt;='RETRATO 2027'!$K$5,"CONCLUÍDA",IF(F2887&lt;='RETRATO 2027'!$K$5,"EM ANDAMENTO","A INICIAR")))</f>
        <v/>
      </c>
    </row>
    <row r="2888">
      <c r="M2888" s="2">
        <f>IF(C2888="","",IFERROR(INDEX($S$5:$S$304,MATCH(C2888,$R$5:$R$304,0))&amp;"","?"))</f>
        <v/>
      </c>
      <c r="N2888" s="2">
        <f>IF(E2888="","",IF(ISNUMBER(SEARCH("SUBSOLO",E2888)),IFERROR(-VALUE(LEFT(E2888,FIND("º",SUBSTITUTE(E2888,"°","º"))-1)),-1),IF(LEFT(E2888,6)="TÉRREO",0,IFERROR(VALUE(LEFT(E2888,FIND("º",SUBSTITUTE(E2888,"°","º"))-1)),""))))</f>
        <v/>
      </c>
      <c r="O2888" s="2">
        <f>IF(OR(F2888="",G2888=""),"",IF(G2888&lt;='RETRATO 2027'!$K$5,"CONCLUÍDA",IF(F2888&lt;='RETRATO 2027'!$K$5,"EM ANDAMENTO","A INICIAR")))</f>
        <v/>
      </c>
    </row>
    <row r="2889">
      <c r="M2889" s="2">
        <f>IF(C2889="","",IFERROR(INDEX($S$5:$S$304,MATCH(C2889,$R$5:$R$304,0))&amp;"","?"))</f>
        <v/>
      </c>
      <c r="N2889" s="2">
        <f>IF(E2889="","",IF(ISNUMBER(SEARCH("SUBSOLO",E2889)),IFERROR(-VALUE(LEFT(E2889,FIND("º",SUBSTITUTE(E2889,"°","º"))-1)),-1),IF(LEFT(E2889,6)="TÉRREO",0,IFERROR(VALUE(LEFT(E2889,FIND("º",SUBSTITUTE(E2889,"°","º"))-1)),""))))</f>
        <v/>
      </c>
      <c r="O2889" s="2">
        <f>IF(OR(F2889="",G2889=""),"",IF(G2889&lt;='RETRATO 2027'!$K$5,"CONCLUÍDA",IF(F2889&lt;='RETRATO 2027'!$K$5,"EM ANDAMENTO","A INICIAR")))</f>
        <v/>
      </c>
    </row>
    <row r="2890">
      <c r="M2890" s="2">
        <f>IF(C2890="","",IFERROR(INDEX($S$5:$S$304,MATCH(C2890,$R$5:$R$304,0))&amp;"","?"))</f>
        <v/>
      </c>
      <c r="N2890" s="2">
        <f>IF(E2890="","",IF(ISNUMBER(SEARCH("SUBSOLO",E2890)),IFERROR(-VALUE(LEFT(E2890,FIND("º",SUBSTITUTE(E2890,"°","º"))-1)),-1),IF(LEFT(E2890,6)="TÉRREO",0,IFERROR(VALUE(LEFT(E2890,FIND("º",SUBSTITUTE(E2890,"°","º"))-1)),""))))</f>
        <v/>
      </c>
      <c r="O2890" s="2">
        <f>IF(OR(F2890="",G2890=""),"",IF(G2890&lt;='RETRATO 2027'!$K$5,"CONCLUÍDA",IF(F2890&lt;='RETRATO 2027'!$K$5,"EM ANDAMENTO","A INICIAR")))</f>
        <v/>
      </c>
    </row>
    <row r="2891">
      <c r="M2891" s="2">
        <f>IF(C2891="","",IFERROR(INDEX($S$5:$S$304,MATCH(C2891,$R$5:$R$304,0))&amp;"","?"))</f>
        <v/>
      </c>
      <c r="N2891" s="2">
        <f>IF(E2891="","",IF(ISNUMBER(SEARCH("SUBSOLO",E2891)),IFERROR(-VALUE(LEFT(E2891,FIND("º",SUBSTITUTE(E2891,"°","º"))-1)),-1),IF(LEFT(E2891,6)="TÉRREO",0,IFERROR(VALUE(LEFT(E2891,FIND("º",SUBSTITUTE(E2891,"°","º"))-1)),""))))</f>
        <v/>
      </c>
      <c r="O2891" s="2">
        <f>IF(OR(F2891="",G2891=""),"",IF(G2891&lt;='RETRATO 2027'!$K$5,"CONCLUÍDA",IF(F2891&lt;='RETRATO 2027'!$K$5,"EM ANDAMENTO","A INICIAR")))</f>
        <v/>
      </c>
    </row>
    <row r="2892">
      <c r="M2892" s="2">
        <f>IF(C2892="","",IFERROR(INDEX($S$5:$S$304,MATCH(C2892,$R$5:$R$304,0))&amp;"","?"))</f>
        <v/>
      </c>
      <c r="N2892" s="2">
        <f>IF(E2892="","",IF(ISNUMBER(SEARCH("SUBSOLO",E2892)),IFERROR(-VALUE(LEFT(E2892,FIND("º",SUBSTITUTE(E2892,"°","º"))-1)),-1),IF(LEFT(E2892,6)="TÉRREO",0,IFERROR(VALUE(LEFT(E2892,FIND("º",SUBSTITUTE(E2892,"°","º"))-1)),""))))</f>
        <v/>
      </c>
      <c r="O2892" s="2">
        <f>IF(OR(F2892="",G2892=""),"",IF(G2892&lt;='RETRATO 2027'!$K$5,"CONCLUÍDA",IF(F2892&lt;='RETRATO 2027'!$K$5,"EM ANDAMENTO","A INICIAR")))</f>
        <v/>
      </c>
    </row>
    <row r="2893">
      <c r="M2893" s="2">
        <f>IF(C2893="","",IFERROR(INDEX($S$5:$S$304,MATCH(C2893,$R$5:$R$304,0))&amp;"","?"))</f>
        <v/>
      </c>
      <c r="N2893" s="2">
        <f>IF(E2893="","",IF(ISNUMBER(SEARCH("SUBSOLO",E2893)),IFERROR(-VALUE(LEFT(E2893,FIND("º",SUBSTITUTE(E2893,"°","º"))-1)),-1),IF(LEFT(E2893,6)="TÉRREO",0,IFERROR(VALUE(LEFT(E2893,FIND("º",SUBSTITUTE(E2893,"°","º"))-1)),""))))</f>
        <v/>
      </c>
      <c r="O2893" s="2">
        <f>IF(OR(F2893="",G2893=""),"",IF(G2893&lt;='RETRATO 2027'!$K$5,"CONCLUÍDA",IF(F2893&lt;='RETRATO 2027'!$K$5,"EM ANDAMENTO","A INICIAR")))</f>
        <v/>
      </c>
    </row>
    <row r="2894">
      <c r="M2894" s="2">
        <f>IF(C2894="","",IFERROR(INDEX($S$5:$S$304,MATCH(C2894,$R$5:$R$304,0))&amp;"","?"))</f>
        <v/>
      </c>
      <c r="N2894" s="2">
        <f>IF(E2894="","",IF(ISNUMBER(SEARCH("SUBSOLO",E2894)),IFERROR(-VALUE(LEFT(E2894,FIND("º",SUBSTITUTE(E2894,"°","º"))-1)),-1),IF(LEFT(E2894,6)="TÉRREO",0,IFERROR(VALUE(LEFT(E2894,FIND("º",SUBSTITUTE(E2894,"°","º"))-1)),""))))</f>
        <v/>
      </c>
      <c r="O2894" s="2">
        <f>IF(OR(F2894="",G2894=""),"",IF(G2894&lt;='RETRATO 2027'!$K$5,"CONCLUÍDA",IF(F2894&lt;='RETRATO 2027'!$K$5,"EM ANDAMENTO","A INICIAR")))</f>
        <v/>
      </c>
    </row>
    <row r="2895">
      <c r="M2895" s="2">
        <f>IF(C2895="","",IFERROR(INDEX($S$5:$S$304,MATCH(C2895,$R$5:$R$304,0))&amp;"","?"))</f>
        <v/>
      </c>
      <c r="N2895" s="2">
        <f>IF(E2895="","",IF(ISNUMBER(SEARCH("SUBSOLO",E2895)),IFERROR(-VALUE(LEFT(E2895,FIND("º",SUBSTITUTE(E2895,"°","º"))-1)),-1),IF(LEFT(E2895,6)="TÉRREO",0,IFERROR(VALUE(LEFT(E2895,FIND("º",SUBSTITUTE(E2895,"°","º"))-1)),""))))</f>
        <v/>
      </c>
      <c r="O2895" s="2">
        <f>IF(OR(F2895="",G2895=""),"",IF(G2895&lt;='RETRATO 2027'!$K$5,"CONCLUÍDA",IF(F2895&lt;='RETRATO 2027'!$K$5,"EM ANDAMENTO","A INICIAR")))</f>
        <v/>
      </c>
    </row>
    <row r="2896">
      <c r="M2896" s="2">
        <f>IF(C2896="","",IFERROR(INDEX($S$5:$S$304,MATCH(C2896,$R$5:$R$304,0))&amp;"","?"))</f>
        <v/>
      </c>
      <c r="N2896" s="2">
        <f>IF(E2896="","",IF(ISNUMBER(SEARCH("SUBSOLO",E2896)),IFERROR(-VALUE(LEFT(E2896,FIND("º",SUBSTITUTE(E2896,"°","º"))-1)),-1),IF(LEFT(E2896,6)="TÉRREO",0,IFERROR(VALUE(LEFT(E2896,FIND("º",SUBSTITUTE(E2896,"°","º"))-1)),""))))</f>
        <v/>
      </c>
      <c r="O2896" s="2">
        <f>IF(OR(F2896="",G2896=""),"",IF(G2896&lt;='RETRATO 2027'!$K$5,"CONCLUÍDA",IF(F2896&lt;='RETRATO 2027'!$K$5,"EM ANDAMENTO","A INICIAR")))</f>
        <v/>
      </c>
    </row>
    <row r="2897">
      <c r="M2897" s="2">
        <f>IF(C2897="","",IFERROR(INDEX($S$5:$S$304,MATCH(C2897,$R$5:$R$304,0))&amp;"","?"))</f>
        <v/>
      </c>
      <c r="N2897" s="2">
        <f>IF(E2897="","",IF(ISNUMBER(SEARCH("SUBSOLO",E2897)),IFERROR(-VALUE(LEFT(E2897,FIND("º",SUBSTITUTE(E2897,"°","º"))-1)),-1),IF(LEFT(E2897,6)="TÉRREO",0,IFERROR(VALUE(LEFT(E2897,FIND("º",SUBSTITUTE(E2897,"°","º"))-1)),""))))</f>
        <v/>
      </c>
      <c r="O2897" s="2">
        <f>IF(OR(F2897="",G2897=""),"",IF(G2897&lt;='RETRATO 2027'!$K$5,"CONCLUÍDA",IF(F2897&lt;='RETRATO 2027'!$K$5,"EM ANDAMENTO","A INICIAR")))</f>
        <v/>
      </c>
    </row>
    <row r="2898">
      <c r="M2898" s="2">
        <f>IF(C2898="","",IFERROR(INDEX($S$5:$S$304,MATCH(C2898,$R$5:$R$304,0))&amp;"","?"))</f>
        <v/>
      </c>
      <c r="N2898" s="2">
        <f>IF(E2898="","",IF(ISNUMBER(SEARCH("SUBSOLO",E2898)),IFERROR(-VALUE(LEFT(E2898,FIND("º",SUBSTITUTE(E2898,"°","º"))-1)),-1),IF(LEFT(E2898,6)="TÉRREO",0,IFERROR(VALUE(LEFT(E2898,FIND("º",SUBSTITUTE(E2898,"°","º"))-1)),""))))</f>
        <v/>
      </c>
      <c r="O2898" s="2">
        <f>IF(OR(F2898="",G2898=""),"",IF(G2898&lt;='RETRATO 2027'!$K$5,"CONCLUÍDA",IF(F2898&lt;='RETRATO 2027'!$K$5,"EM ANDAMENTO","A INICIAR")))</f>
        <v/>
      </c>
    </row>
    <row r="2899">
      <c r="M2899" s="2">
        <f>IF(C2899="","",IFERROR(INDEX($S$5:$S$304,MATCH(C2899,$R$5:$R$304,0))&amp;"","?"))</f>
        <v/>
      </c>
      <c r="N2899" s="2">
        <f>IF(E2899="","",IF(ISNUMBER(SEARCH("SUBSOLO",E2899)),IFERROR(-VALUE(LEFT(E2899,FIND("º",SUBSTITUTE(E2899,"°","º"))-1)),-1),IF(LEFT(E2899,6)="TÉRREO",0,IFERROR(VALUE(LEFT(E2899,FIND("º",SUBSTITUTE(E2899,"°","º"))-1)),""))))</f>
        <v/>
      </c>
      <c r="O2899" s="2">
        <f>IF(OR(F2899="",G2899=""),"",IF(G2899&lt;='RETRATO 2027'!$K$5,"CONCLUÍDA",IF(F2899&lt;='RETRATO 2027'!$K$5,"EM ANDAMENTO","A INICIAR")))</f>
        <v/>
      </c>
    </row>
    <row r="2900">
      <c r="M2900" s="2">
        <f>IF(C2900="","",IFERROR(INDEX($S$5:$S$304,MATCH(C2900,$R$5:$R$304,0))&amp;"","?"))</f>
        <v/>
      </c>
      <c r="N2900" s="2">
        <f>IF(E2900="","",IF(ISNUMBER(SEARCH("SUBSOLO",E2900)),IFERROR(-VALUE(LEFT(E2900,FIND("º",SUBSTITUTE(E2900,"°","º"))-1)),-1),IF(LEFT(E2900,6)="TÉRREO",0,IFERROR(VALUE(LEFT(E2900,FIND("º",SUBSTITUTE(E2900,"°","º"))-1)),""))))</f>
        <v/>
      </c>
      <c r="O2900" s="2">
        <f>IF(OR(F2900="",G2900=""),"",IF(G2900&lt;='RETRATO 2027'!$K$5,"CONCLUÍDA",IF(F2900&lt;='RETRATO 2027'!$K$5,"EM ANDAMENTO","A INICIAR")))</f>
        <v/>
      </c>
    </row>
    <row r="2901">
      <c r="M2901" s="2">
        <f>IF(C2901="","",IFERROR(INDEX($S$5:$S$304,MATCH(C2901,$R$5:$R$304,0))&amp;"","?"))</f>
        <v/>
      </c>
      <c r="N2901" s="2">
        <f>IF(E2901="","",IF(ISNUMBER(SEARCH("SUBSOLO",E2901)),IFERROR(-VALUE(LEFT(E2901,FIND("º",SUBSTITUTE(E2901,"°","º"))-1)),-1),IF(LEFT(E2901,6)="TÉRREO",0,IFERROR(VALUE(LEFT(E2901,FIND("º",SUBSTITUTE(E2901,"°","º"))-1)),""))))</f>
        <v/>
      </c>
      <c r="O2901" s="2">
        <f>IF(OR(F2901="",G2901=""),"",IF(G2901&lt;='RETRATO 2027'!$K$5,"CONCLUÍDA",IF(F2901&lt;='RETRATO 2027'!$K$5,"EM ANDAMENTO","A INICIAR")))</f>
        <v/>
      </c>
    </row>
    <row r="2902">
      <c r="M2902" s="2">
        <f>IF(C2902="","",IFERROR(INDEX($S$5:$S$304,MATCH(C2902,$R$5:$R$304,0))&amp;"","?"))</f>
        <v/>
      </c>
      <c r="N2902" s="2">
        <f>IF(E2902="","",IF(ISNUMBER(SEARCH("SUBSOLO",E2902)),IFERROR(-VALUE(LEFT(E2902,FIND("º",SUBSTITUTE(E2902,"°","º"))-1)),-1),IF(LEFT(E2902,6)="TÉRREO",0,IFERROR(VALUE(LEFT(E2902,FIND("º",SUBSTITUTE(E2902,"°","º"))-1)),""))))</f>
        <v/>
      </c>
      <c r="O2902" s="2">
        <f>IF(OR(F2902="",G2902=""),"",IF(G2902&lt;='RETRATO 2027'!$K$5,"CONCLUÍDA",IF(F2902&lt;='RETRATO 2027'!$K$5,"EM ANDAMENTO","A INICIAR")))</f>
        <v/>
      </c>
    </row>
    <row r="2903">
      <c r="M2903" s="2">
        <f>IF(C2903="","",IFERROR(INDEX($S$5:$S$304,MATCH(C2903,$R$5:$R$304,0))&amp;"","?"))</f>
        <v/>
      </c>
      <c r="N2903" s="2">
        <f>IF(E2903="","",IF(ISNUMBER(SEARCH("SUBSOLO",E2903)),IFERROR(-VALUE(LEFT(E2903,FIND("º",SUBSTITUTE(E2903,"°","º"))-1)),-1),IF(LEFT(E2903,6)="TÉRREO",0,IFERROR(VALUE(LEFT(E2903,FIND("º",SUBSTITUTE(E2903,"°","º"))-1)),""))))</f>
        <v/>
      </c>
      <c r="O2903" s="2">
        <f>IF(OR(F2903="",G2903=""),"",IF(G2903&lt;='RETRATO 2027'!$K$5,"CONCLUÍDA",IF(F2903&lt;='RETRATO 2027'!$K$5,"EM ANDAMENTO","A INICIAR")))</f>
        <v/>
      </c>
    </row>
    <row r="2904">
      <c r="M2904" s="2">
        <f>IF(C2904="","",IFERROR(INDEX($S$5:$S$304,MATCH(C2904,$R$5:$R$304,0))&amp;"","?"))</f>
        <v/>
      </c>
      <c r="N2904" s="2">
        <f>IF(E2904="","",IF(ISNUMBER(SEARCH("SUBSOLO",E2904)),IFERROR(-VALUE(LEFT(E2904,FIND("º",SUBSTITUTE(E2904,"°","º"))-1)),-1),IF(LEFT(E2904,6)="TÉRREO",0,IFERROR(VALUE(LEFT(E2904,FIND("º",SUBSTITUTE(E2904,"°","º"))-1)),""))))</f>
        <v/>
      </c>
      <c r="O2904" s="2">
        <f>IF(OR(F2904="",G2904=""),"",IF(G2904&lt;='RETRATO 2027'!$K$5,"CONCLUÍDA",IF(F2904&lt;='RETRATO 2027'!$K$5,"EM ANDAMENTO","A INICIAR")))</f>
        <v/>
      </c>
    </row>
    <row r="2905">
      <c r="M2905" s="2">
        <f>IF(C2905="","",IFERROR(INDEX($S$5:$S$304,MATCH(C2905,$R$5:$R$304,0))&amp;"","?"))</f>
        <v/>
      </c>
      <c r="N2905" s="2">
        <f>IF(E2905="","",IF(ISNUMBER(SEARCH("SUBSOLO",E2905)),IFERROR(-VALUE(LEFT(E2905,FIND("º",SUBSTITUTE(E2905,"°","º"))-1)),-1),IF(LEFT(E2905,6)="TÉRREO",0,IFERROR(VALUE(LEFT(E2905,FIND("º",SUBSTITUTE(E2905,"°","º"))-1)),""))))</f>
        <v/>
      </c>
      <c r="O2905" s="2">
        <f>IF(OR(F2905="",G2905=""),"",IF(G2905&lt;='RETRATO 2027'!$K$5,"CONCLUÍDA",IF(F2905&lt;='RETRATO 2027'!$K$5,"EM ANDAMENTO","A INICIAR")))</f>
        <v/>
      </c>
    </row>
    <row r="2906">
      <c r="M2906" s="2">
        <f>IF(C2906="","",IFERROR(INDEX($S$5:$S$304,MATCH(C2906,$R$5:$R$304,0))&amp;"","?"))</f>
        <v/>
      </c>
      <c r="N2906" s="2">
        <f>IF(E2906="","",IF(ISNUMBER(SEARCH("SUBSOLO",E2906)),IFERROR(-VALUE(LEFT(E2906,FIND("º",SUBSTITUTE(E2906,"°","º"))-1)),-1),IF(LEFT(E2906,6)="TÉRREO",0,IFERROR(VALUE(LEFT(E2906,FIND("º",SUBSTITUTE(E2906,"°","º"))-1)),""))))</f>
        <v/>
      </c>
      <c r="O2906" s="2">
        <f>IF(OR(F2906="",G2906=""),"",IF(G2906&lt;='RETRATO 2027'!$K$5,"CONCLUÍDA",IF(F2906&lt;='RETRATO 2027'!$K$5,"EM ANDAMENTO","A INICIAR")))</f>
        <v/>
      </c>
    </row>
    <row r="2907">
      <c r="M2907" s="2">
        <f>IF(C2907="","",IFERROR(INDEX($S$5:$S$304,MATCH(C2907,$R$5:$R$304,0))&amp;"","?"))</f>
        <v/>
      </c>
      <c r="N2907" s="2">
        <f>IF(E2907="","",IF(ISNUMBER(SEARCH("SUBSOLO",E2907)),IFERROR(-VALUE(LEFT(E2907,FIND("º",SUBSTITUTE(E2907,"°","º"))-1)),-1),IF(LEFT(E2907,6)="TÉRREO",0,IFERROR(VALUE(LEFT(E2907,FIND("º",SUBSTITUTE(E2907,"°","º"))-1)),""))))</f>
        <v/>
      </c>
      <c r="O2907" s="2">
        <f>IF(OR(F2907="",G2907=""),"",IF(G2907&lt;='RETRATO 2027'!$K$5,"CONCLUÍDA",IF(F2907&lt;='RETRATO 2027'!$K$5,"EM ANDAMENTO","A INICIAR")))</f>
        <v/>
      </c>
    </row>
    <row r="2908">
      <c r="M2908" s="2">
        <f>IF(C2908="","",IFERROR(INDEX($S$5:$S$304,MATCH(C2908,$R$5:$R$304,0))&amp;"","?"))</f>
        <v/>
      </c>
      <c r="N2908" s="2">
        <f>IF(E2908="","",IF(ISNUMBER(SEARCH("SUBSOLO",E2908)),IFERROR(-VALUE(LEFT(E2908,FIND("º",SUBSTITUTE(E2908,"°","º"))-1)),-1),IF(LEFT(E2908,6)="TÉRREO",0,IFERROR(VALUE(LEFT(E2908,FIND("º",SUBSTITUTE(E2908,"°","º"))-1)),""))))</f>
        <v/>
      </c>
      <c r="O2908" s="2">
        <f>IF(OR(F2908="",G2908=""),"",IF(G2908&lt;='RETRATO 2027'!$K$5,"CONCLUÍDA",IF(F2908&lt;='RETRATO 2027'!$K$5,"EM ANDAMENTO","A INICIAR")))</f>
        <v/>
      </c>
    </row>
    <row r="2909">
      <c r="M2909" s="2">
        <f>IF(C2909="","",IFERROR(INDEX($S$5:$S$304,MATCH(C2909,$R$5:$R$304,0))&amp;"","?"))</f>
        <v/>
      </c>
      <c r="N2909" s="2">
        <f>IF(E2909="","",IF(ISNUMBER(SEARCH("SUBSOLO",E2909)),IFERROR(-VALUE(LEFT(E2909,FIND("º",SUBSTITUTE(E2909,"°","º"))-1)),-1),IF(LEFT(E2909,6)="TÉRREO",0,IFERROR(VALUE(LEFT(E2909,FIND("º",SUBSTITUTE(E2909,"°","º"))-1)),""))))</f>
        <v/>
      </c>
      <c r="O2909" s="2">
        <f>IF(OR(F2909="",G2909=""),"",IF(G2909&lt;='RETRATO 2027'!$K$5,"CONCLUÍDA",IF(F2909&lt;='RETRATO 2027'!$K$5,"EM ANDAMENTO","A INICIAR")))</f>
        <v/>
      </c>
    </row>
    <row r="2910">
      <c r="M2910" s="2">
        <f>IF(C2910="","",IFERROR(INDEX($S$5:$S$304,MATCH(C2910,$R$5:$R$304,0))&amp;"","?"))</f>
        <v/>
      </c>
      <c r="N2910" s="2">
        <f>IF(E2910="","",IF(ISNUMBER(SEARCH("SUBSOLO",E2910)),IFERROR(-VALUE(LEFT(E2910,FIND("º",SUBSTITUTE(E2910,"°","º"))-1)),-1),IF(LEFT(E2910,6)="TÉRREO",0,IFERROR(VALUE(LEFT(E2910,FIND("º",SUBSTITUTE(E2910,"°","º"))-1)),""))))</f>
        <v/>
      </c>
      <c r="O2910" s="2">
        <f>IF(OR(F2910="",G2910=""),"",IF(G2910&lt;='RETRATO 2027'!$K$5,"CONCLUÍDA",IF(F2910&lt;='RETRATO 2027'!$K$5,"EM ANDAMENTO","A INICIAR")))</f>
        <v/>
      </c>
    </row>
    <row r="2911">
      <c r="M2911" s="2">
        <f>IF(C2911="","",IFERROR(INDEX($S$5:$S$304,MATCH(C2911,$R$5:$R$304,0))&amp;"","?"))</f>
        <v/>
      </c>
      <c r="N2911" s="2">
        <f>IF(E2911="","",IF(ISNUMBER(SEARCH("SUBSOLO",E2911)),IFERROR(-VALUE(LEFT(E2911,FIND("º",SUBSTITUTE(E2911,"°","º"))-1)),-1),IF(LEFT(E2911,6)="TÉRREO",0,IFERROR(VALUE(LEFT(E2911,FIND("º",SUBSTITUTE(E2911,"°","º"))-1)),""))))</f>
        <v/>
      </c>
      <c r="O2911" s="2">
        <f>IF(OR(F2911="",G2911=""),"",IF(G2911&lt;='RETRATO 2027'!$K$5,"CONCLUÍDA",IF(F2911&lt;='RETRATO 2027'!$K$5,"EM ANDAMENTO","A INICIAR")))</f>
        <v/>
      </c>
    </row>
    <row r="2912">
      <c r="M2912" s="2">
        <f>IF(C2912="","",IFERROR(INDEX($S$5:$S$304,MATCH(C2912,$R$5:$R$304,0))&amp;"","?"))</f>
        <v/>
      </c>
      <c r="N2912" s="2">
        <f>IF(E2912="","",IF(ISNUMBER(SEARCH("SUBSOLO",E2912)),IFERROR(-VALUE(LEFT(E2912,FIND("º",SUBSTITUTE(E2912,"°","º"))-1)),-1),IF(LEFT(E2912,6)="TÉRREO",0,IFERROR(VALUE(LEFT(E2912,FIND("º",SUBSTITUTE(E2912,"°","º"))-1)),""))))</f>
        <v/>
      </c>
      <c r="O2912" s="2">
        <f>IF(OR(F2912="",G2912=""),"",IF(G2912&lt;='RETRATO 2027'!$K$5,"CONCLUÍDA",IF(F2912&lt;='RETRATO 2027'!$K$5,"EM ANDAMENTO","A INICIAR")))</f>
        <v/>
      </c>
    </row>
    <row r="2913">
      <c r="M2913" s="2">
        <f>IF(C2913="","",IFERROR(INDEX($S$5:$S$304,MATCH(C2913,$R$5:$R$304,0))&amp;"","?"))</f>
        <v/>
      </c>
      <c r="N2913" s="2">
        <f>IF(E2913="","",IF(ISNUMBER(SEARCH("SUBSOLO",E2913)),IFERROR(-VALUE(LEFT(E2913,FIND("º",SUBSTITUTE(E2913,"°","º"))-1)),-1),IF(LEFT(E2913,6)="TÉRREO",0,IFERROR(VALUE(LEFT(E2913,FIND("º",SUBSTITUTE(E2913,"°","º"))-1)),""))))</f>
        <v/>
      </c>
      <c r="O2913" s="2">
        <f>IF(OR(F2913="",G2913=""),"",IF(G2913&lt;='RETRATO 2027'!$K$5,"CONCLUÍDA",IF(F2913&lt;='RETRATO 2027'!$K$5,"EM ANDAMENTO","A INICIAR")))</f>
        <v/>
      </c>
    </row>
    <row r="2914">
      <c r="M2914" s="2">
        <f>IF(C2914="","",IFERROR(INDEX($S$5:$S$304,MATCH(C2914,$R$5:$R$304,0))&amp;"","?"))</f>
        <v/>
      </c>
      <c r="N2914" s="2">
        <f>IF(E2914="","",IF(ISNUMBER(SEARCH("SUBSOLO",E2914)),IFERROR(-VALUE(LEFT(E2914,FIND("º",SUBSTITUTE(E2914,"°","º"))-1)),-1),IF(LEFT(E2914,6)="TÉRREO",0,IFERROR(VALUE(LEFT(E2914,FIND("º",SUBSTITUTE(E2914,"°","º"))-1)),""))))</f>
        <v/>
      </c>
      <c r="O2914" s="2">
        <f>IF(OR(F2914="",G2914=""),"",IF(G2914&lt;='RETRATO 2027'!$K$5,"CONCLUÍDA",IF(F2914&lt;='RETRATO 2027'!$K$5,"EM ANDAMENTO","A INICIAR")))</f>
        <v/>
      </c>
    </row>
    <row r="2915">
      <c r="M2915" s="2">
        <f>IF(C2915="","",IFERROR(INDEX($S$5:$S$304,MATCH(C2915,$R$5:$R$304,0))&amp;"","?"))</f>
        <v/>
      </c>
      <c r="N2915" s="2">
        <f>IF(E2915="","",IF(ISNUMBER(SEARCH("SUBSOLO",E2915)),IFERROR(-VALUE(LEFT(E2915,FIND("º",SUBSTITUTE(E2915,"°","º"))-1)),-1),IF(LEFT(E2915,6)="TÉRREO",0,IFERROR(VALUE(LEFT(E2915,FIND("º",SUBSTITUTE(E2915,"°","º"))-1)),""))))</f>
        <v/>
      </c>
      <c r="O2915" s="2">
        <f>IF(OR(F2915="",G2915=""),"",IF(G2915&lt;='RETRATO 2027'!$K$5,"CONCLUÍDA",IF(F2915&lt;='RETRATO 2027'!$K$5,"EM ANDAMENTO","A INICIAR")))</f>
        <v/>
      </c>
    </row>
    <row r="2916">
      <c r="M2916" s="2">
        <f>IF(C2916="","",IFERROR(INDEX($S$5:$S$304,MATCH(C2916,$R$5:$R$304,0))&amp;"","?"))</f>
        <v/>
      </c>
      <c r="N2916" s="2">
        <f>IF(E2916="","",IF(ISNUMBER(SEARCH("SUBSOLO",E2916)),IFERROR(-VALUE(LEFT(E2916,FIND("º",SUBSTITUTE(E2916,"°","º"))-1)),-1),IF(LEFT(E2916,6)="TÉRREO",0,IFERROR(VALUE(LEFT(E2916,FIND("º",SUBSTITUTE(E2916,"°","º"))-1)),""))))</f>
        <v/>
      </c>
      <c r="O2916" s="2">
        <f>IF(OR(F2916="",G2916=""),"",IF(G2916&lt;='RETRATO 2027'!$K$5,"CONCLUÍDA",IF(F2916&lt;='RETRATO 2027'!$K$5,"EM ANDAMENTO","A INICIAR")))</f>
        <v/>
      </c>
    </row>
    <row r="2917">
      <c r="M2917" s="2">
        <f>IF(C2917="","",IFERROR(INDEX($S$5:$S$304,MATCH(C2917,$R$5:$R$304,0))&amp;"","?"))</f>
        <v/>
      </c>
      <c r="N2917" s="2">
        <f>IF(E2917="","",IF(ISNUMBER(SEARCH("SUBSOLO",E2917)),IFERROR(-VALUE(LEFT(E2917,FIND("º",SUBSTITUTE(E2917,"°","º"))-1)),-1),IF(LEFT(E2917,6)="TÉRREO",0,IFERROR(VALUE(LEFT(E2917,FIND("º",SUBSTITUTE(E2917,"°","º"))-1)),""))))</f>
        <v/>
      </c>
      <c r="O2917" s="2">
        <f>IF(OR(F2917="",G2917=""),"",IF(G2917&lt;='RETRATO 2027'!$K$5,"CONCLUÍDA",IF(F2917&lt;='RETRATO 2027'!$K$5,"EM ANDAMENTO","A INICIAR")))</f>
        <v/>
      </c>
    </row>
    <row r="2918">
      <c r="M2918" s="2">
        <f>IF(C2918="","",IFERROR(INDEX($S$5:$S$304,MATCH(C2918,$R$5:$R$304,0))&amp;"","?"))</f>
        <v/>
      </c>
      <c r="N2918" s="2">
        <f>IF(E2918="","",IF(ISNUMBER(SEARCH("SUBSOLO",E2918)),IFERROR(-VALUE(LEFT(E2918,FIND("º",SUBSTITUTE(E2918,"°","º"))-1)),-1),IF(LEFT(E2918,6)="TÉRREO",0,IFERROR(VALUE(LEFT(E2918,FIND("º",SUBSTITUTE(E2918,"°","º"))-1)),""))))</f>
        <v/>
      </c>
      <c r="O2918" s="2">
        <f>IF(OR(F2918="",G2918=""),"",IF(G2918&lt;='RETRATO 2027'!$K$5,"CONCLUÍDA",IF(F2918&lt;='RETRATO 2027'!$K$5,"EM ANDAMENTO","A INICIAR")))</f>
        <v/>
      </c>
    </row>
    <row r="2919">
      <c r="M2919" s="2">
        <f>IF(C2919="","",IFERROR(INDEX($S$5:$S$304,MATCH(C2919,$R$5:$R$304,0))&amp;"","?"))</f>
        <v/>
      </c>
      <c r="N2919" s="2">
        <f>IF(E2919="","",IF(ISNUMBER(SEARCH("SUBSOLO",E2919)),IFERROR(-VALUE(LEFT(E2919,FIND("º",SUBSTITUTE(E2919,"°","º"))-1)),-1),IF(LEFT(E2919,6)="TÉRREO",0,IFERROR(VALUE(LEFT(E2919,FIND("º",SUBSTITUTE(E2919,"°","º"))-1)),""))))</f>
        <v/>
      </c>
      <c r="O2919" s="2">
        <f>IF(OR(F2919="",G2919=""),"",IF(G2919&lt;='RETRATO 2027'!$K$5,"CONCLUÍDA",IF(F2919&lt;='RETRATO 2027'!$K$5,"EM ANDAMENTO","A INICIAR")))</f>
        <v/>
      </c>
    </row>
    <row r="2920">
      <c r="M2920" s="2">
        <f>IF(C2920="","",IFERROR(INDEX($S$5:$S$304,MATCH(C2920,$R$5:$R$304,0))&amp;"","?"))</f>
        <v/>
      </c>
      <c r="N2920" s="2">
        <f>IF(E2920="","",IF(ISNUMBER(SEARCH("SUBSOLO",E2920)),IFERROR(-VALUE(LEFT(E2920,FIND("º",SUBSTITUTE(E2920,"°","º"))-1)),-1),IF(LEFT(E2920,6)="TÉRREO",0,IFERROR(VALUE(LEFT(E2920,FIND("º",SUBSTITUTE(E2920,"°","º"))-1)),""))))</f>
        <v/>
      </c>
      <c r="O2920" s="2">
        <f>IF(OR(F2920="",G2920=""),"",IF(G2920&lt;='RETRATO 2027'!$K$5,"CONCLUÍDA",IF(F2920&lt;='RETRATO 2027'!$K$5,"EM ANDAMENTO","A INICIAR")))</f>
        <v/>
      </c>
    </row>
    <row r="2921">
      <c r="M2921" s="2">
        <f>IF(C2921="","",IFERROR(INDEX($S$5:$S$304,MATCH(C2921,$R$5:$R$304,0))&amp;"","?"))</f>
        <v/>
      </c>
      <c r="N2921" s="2">
        <f>IF(E2921="","",IF(ISNUMBER(SEARCH("SUBSOLO",E2921)),IFERROR(-VALUE(LEFT(E2921,FIND("º",SUBSTITUTE(E2921,"°","º"))-1)),-1),IF(LEFT(E2921,6)="TÉRREO",0,IFERROR(VALUE(LEFT(E2921,FIND("º",SUBSTITUTE(E2921,"°","º"))-1)),""))))</f>
        <v/>
      </c>
      <c r="O2921" s="2">
        <f>IF(OR(F2921="",G2921=""),"",IF(G2921&lt;='RETRATO 2027'!$K$5,"CONCLUÍDA",IF(F2921&lt;='RETRATO 2027'!$K$5,"EM ANDAMENTO","A INICIAR")))</f>
        <v/>
      </c>
    </row>
    <row r="2922">
      <c r="M2922" s="2">
        <f>IF(C2922="","",IFERROR(INDEX($S$5:$S$304,MATCH(C2922,$R$5:$R$304,0))&amp;"","?"))</f>
        <v/>
      </c>
      <c r="N2922" s="2">
        <f>IF(E2922="","",IF(ISNUMBER(SEARCH("SUBSOLO",E2922)),IFERROR(-VALUE(LEFT(E2922,FIND("º",SUBSTITUTE(E2922,"°","º"))-1)),-1),IF(LEFT(E2922,6)="TÉRREO",0,IFERROR(VALUE(LEFT(E2922,FIND("º",SUBSTITUTE(E2922,"°","º"))-1)),""))))</f>
        <v/>
      </c>
      <c r="O2922" s="2">
        <f>IF(OR(F2922="",G2922=""),"",IF(G2922&lt;='RETRATO 2027'!$K$5,"CONCLUÍDA",IF(F2922&lt;='RETRATO 2027'!$K$5,"EM ANDAMENTO","A INICIAR")))</f>
        <v/>
      </c>
    </row>
    <row r="2923">
      <c r="M2923" s="2">
        <f>IF(C2923="","",IFERROR(INDEX($S$5:$S$304,MATCH(C2923,$R$5:$R$304,0))&amp;"","?"))</f>
        <v/>
      </c>
      <c r="N2923" s="2">
        <f>IF(E2923="","",IF(ISNUMBER(SEARCH("SUBSOLO",E2923)),IFERROR(-VALUE(LEFT(E2923,FIND("º",SUBSTITUTE(E2923,"°","º"))-1)),-1),IF(LEFT(E2923,6)="TÉRREO",0,IFERROR(VALUE(LEFT(E2923,FIND("º",SUBSTITUTE(E2923,"°","º"))-1)),""))))</f>
        <v/>
      </c>
      <c r="O2923" s="2">
        <f>IF(OR(F2923="",G2923=""),"",IF(G2923&lt;='RETRATO 2027'!$K$5,"CONCLUÍDA",IF(F2923&lt;='RETRATO 2027'!$K$5,"EM ANDAMENTO","A INICIAR")))</f>
        <v/>
      </c>
    </row>
    <row r="2924">
      <c r="M2924" s="2">
        <f>IF(C2924="","",IFERROR(INDEX($S$5:$S$304,MATCH(C2924,$R$5:$R$304,0))&amp;"","?"))</f>
        <v/>
      </c>
      <c r="N2924" s="2">
        <f>IF(E2924="","",IF(ISNUMBER(SEARCH("SUBSOLO",E2924)),IFERROR(-VALUE(LEFT(E2924,FIND("º",SUBSTITUTE(E2924,"°","º"))-1)),-1),IF(LEFT(E2924,6)="TÉRREO",0,IFERROR(VALUE(LEFT(E2924,FIND("º",SUBSTITUTE(E2924,"°","º"))-1)),""))))</f>
        <v/>
      </c>
      <c r="O2924" s="2">
        <f>IF(OR(F2924="",G2924=""),"",IF(G2924&lt;='RETRATO 2027'!$K$5,"CONCLUÍDA",IF(F2924&lt;='RETRATO 2027'!$K$5,"EM ANDAMENTO","A INICIAR")))</f>
        <v/>
      </c>
    </row>
    <row r="2925">
      <c r="M2925" s="2">
        <f>IF(C2925="","",IFERROR(INDEX($S$5:$S$304,MATCH(C2925,$R$5:$R$304,0))&amp;"","?"))</f>
        <v/>
      </c>
      <c r="N2925" s="2">
        <f>IF(E2925="","",IF(ISNUMBER(SEARCH("SUBSOLO",E2925)),IFERROR(-VALUE(LEFT(E2925,FIND("º",SUBSTITUTE(E2925,"°","º"))-1)),-1),IF(LEFT(E2925,6)="TÉRREO",0,IFERROR(VALUE(LEFT(E2925,FIND("º",SUBSTITUTE(E2925,"°","º"))-1)),""))))</f>
        <v/>
      </c>
      <c r="O2925" s="2">
        <f>IF(OR(F2925="",G2925=""),"",IF(G2925&lt;='RETRATO 2027'!$K$5,"CONCLUÍDA",IF(F2925&lt;='RETRATO 2027'!$K$5,"EM ANDAMENTO","A INICIAR")))</f>
        <v/>
      </c>
    </row>
    <row r="2926">
      <c r="M2926" s="2">
        <f>IF(C2926="","",IFERROR(INDEX($S$5:$S$304,MATCH(C2926,$R$5:$R$304,0))&amp;"","?"))</f>
        <v/>
      </c>
      <c r="N2926" s="2">
        <f>IF(E2926="","",IF(ISNUMBER(SEARCH("SUBSOLO",E2926)),IFERROR(-VALUE(LEFT(E2926,FIND("º",SUBSTITUTE(E2926,"°","º"))-1)),-1),IF(LEFT(E2926,6)="TÉRREO",0,IFERROR(VALUE(LEFT(E2926,FIND("º",SUBSTITUTE(E2926,"°","º"))-1)),""))))</f>
        <v/>
      </c>
      <c r="O2926" s="2">
        <f>IF(OR(F2926="",G2926=""),"",IF(G2926&lt;='RETRATO 2027'!$K$5,"CONCLUÍDA",IF(F2926&lt;='RETRATO 2027'!$K$5,"EM ANDAMENTO","A INICIAR")))</f>
        <v/>
      </c>
    </row>
    <row r="2927">
      <c r="M2927" s="2">
        <f>IF(C2927="","",IFERROR(INDEX($S$5:$S$304,MATCH(C2927,$R$5:$R$304,0))&amp;"","?"))</f>
        <v/>
      </c>
      <c r="N2927" s="2">
        <f>IF(E2927="","",IF(ISNUMBER(SEARCH("SUBSOLO",E2927)),IFERROR(-VALUE(LEFT(E2927,FIND("º",SUBSTITUTE(E2927,"°","º"))-1)),-1),IF(LEFT(E2927,6)="TÉRREO",0,IFERROR(VALUE(LEFT(E2927,FIND("º",SUBSTITUTE(E2927,"°","º"))-1)),""))))</f>
        <v/>
      </c>
      <c r="O2927" s="2">
        <f>IF(OR(F2927="",G2927=""),"",IF(G2927&lt;='RETRATO 2027'!$K$5,"CONCLUÍDA",IF(F2927&lt;='RETRATO 2027'!$K$5,"EM ANDAMENTO","A INICIAR")))</f>
        <v/>
      </c>
    </row>
    <row r="2928">
      <c r="M2928" s="2">
        <f>IF(C2928="","",IFERROR(INDEX($S$5:$S$304,MATCH(C2928,$R$5:$R$304,0))&amp;"","?"))</f>
        <v/>
      </c>
      <c r="N2928" s="2">
        <f>IF(E2928="","",IF(ISNUMBER(SEARCH("SUBSOLO",E2928)),IFERROR(-VALUE(LEFT(E2928,FIND("º",SUBSTITUTE(E2928,"°","º"))-1)),-1),IF(LEFT(E2928,6)="TÉRREO",0,IFERROR(VALUE(LEFT(E2928,FIND("º",SUBSTITUTE(E2928,"°","º"))-1)),""))))</f>
        <v/>
      </c>
      <c r="O2928" s="2">
        <f>IF(OR(F2928="",G2928=""),"",IF(G2928&lt;='RETRATO 2027'!$K$5,"CONCLUÍDA",IF(F2928&lt;='RETRATO 2027'!$K$5,"EM ANDAMENTO","A INICIAR")))</f>
        <v/>
      </c>
    </row>
    <row r="2929">
      <c r="M2929" s="2">
        <f>IF(C2929="","",IFERROR(INDEX($S$5:$S$304,MATCH(C2929,$R$5:$R$304,0))&amp;"","?"))</f>
        <v/>
      </c>
      <c r="N2929" s="2">
        <f>IF(E2929="","",IF(ISNUMBER(SEARCH("SUBSOLO",E2929)),IFERROR(-VALUE(LEFT(E2929,FIND("º",SUBSTITUTE(E2929,"°","º"))-1)),-1),IF(LEFT(E2929,6)="TÉRREO",0,IFERROR(VALUE(LEFT(E2929,FIND("º",SUBSTITUTE(E2929,"°","º"))-1)),""))))</f>
        <v/>
      </c>
      <c r="O2929" s="2">
        <f>IF(OR(F2929="",G2929=""),"",IF(G2929&lt;='RETRATO 2027'!$K$5,"CONCLUÍDA",IF(F2929&lt;='RETRATO 2027'!$K$5,"EM ANDAMENTO","A INICIAR")))</f>
        <v/>
      </c>
    </row>
    <row r="2930">
      <c r="M2930" s="2">
        <f>IF(C2930="","",IFERROR(INDEX($S$5:$S$304,MATCH(C2930,$R$5:$R$304,0))&amp;"","?"))</f>
        <v/>
      </c>
      <c r="N2930" s="2">
        <f>IF(E2930="","",IF(ISNUMBER(SEARCH("SUBSOLO",E2930)),IFERROR(-VALUE(LEFT(E2930,FIND("º",SUBSTITUTE(E2930,"°","º"))-1)),-1),IF(LEFT(E2930,6)="TÉRREO",0,IFERROR(VALUE(LEFT(E2930,FIND("º",SUBSTITUTE(E2930,"°","º"))-1)),""))))</f>
        <v/>
      </c>
      <c r="O2930" s="2">
        <f>IF(OR(F2930="",G2930=""),"",IF(G2930&lt;='RETRATO 2027'!$K$5,"CONCLUÍDA",IF(F2930&lt;='RETRATO 2027'!$K$5,"EM ANDAMENTO","A INICIAR")))</f>
        <v/>
      </c>
    </row>
    <row r="2931">
      <c r="M2931" s="2">
        <f>IF(C2931="","",IFERROR(INDEX($S$5:$S$304,MATCH(C2931,$R$5:$R$304,0))&amp;"","?"))</f>
        <v/>
      </c>
      <c r="N2931" s="2">
        <f>IF(E2931="","",IF(ISNUMBER(SEARCH("SUBSOLO",E2931)),IFERROR(-VALUE(LEFT(E2931,FIND("º",SUBSTITUTE(E2931,"°","º"))-1)),-1),IF(LEFT(E2931,6)="TÉRREO",0,IFERROR(VALUE(LEFT(E2931,FIND("º",SUBSTITUTE(E2931,"°","º"))-1)),""))))</f>
        <v/>
      </c>
      <c r="O2931" s="2">
        <f>IF(OR(F2931="",G2931=""),"",IF(G2931&lt;='RETRATO 2027'!$K$5,"CONCLUÍDA",IF(F2931&lt;='RETRATO 2027'!$K$5,"EM ANDAMENTO","A INICIAR")))</f>
        <v/>
      </c>
    </row>
    <row r="2932">
      <c r="M2932" s="2">
        <f>IF(C2932="","",IFERROR(INDEX($S$5:$S$304,MATCH(C2932,$R$5:$R$304,0))&amp;"","?"))</f>
        <v/>
      </c>
      <c r="N2932" s="2">
        <f>IF(E2932="","",IF(ISNUMBER(SEARCH("SUBSOLO",E2932)),IFERROR(-VALUE(LEFT(E2932,FIND("º",SUBSTITUTE(E2932,"°","º"))-1)),-1),IF(LEFT(E2932,6)="TÉRREO",0,IFERROR(VALUE(LEFT(E2932,FIND("º",SUBSTITUTE(E2932,"°","º"))-1)),""))))</f>
        <v/>
      </c>
      <c r="O2932" s="2">
        <f>IF(OR(F2932="",G2932=""),"",IF(G2932&lt;='RETRATO 2027'!$K$5,"CONCLUÍDA",IF(F2932&lt;='RETRATO 2027'!$K$5,"EM ANDAMENTO","A INICIAR")))</f>
        <v/>
      </c>
    </row>
    <row r="2933">
      <c r="M2933" s="2">
        <f>IF(C2933="","",IFERROR(INDEX($S$5:$S$304,MATCH(C2933,$R$5:$R$304,0))&amp;"","?"))</f>
        <v/>
      </c>
      <c r="N2933" s="2">
        <f>IF(E2933="","",IF(ISNUMBER(SEARCH("SUBSOLO",E2933)),IFERROR(-VALUE(LEFT(E2933,FIND("º",SUBSTITUTE(E2933,"°","º"))-1)),-1),IF(LEFT(E2933,6)="TÉRREO",0,IFERROR(VALUE(LEFT(E2933,FIND("º",SUBSTITUTE(E2933,"°","º"))-1)),""))))</f>
        <v/>
      </c>
      <c r="O2933" s="2">
        <f>IF(OR(F2933="",G2933=""),"",IF(G2933&lt;='RETRATO 2027'!$K$5,"CONCLUÍDA",IF(F2933&lt;='RETRATO 2027'!$K$5,"EM ANDAMENTO","A INICIAR")))</f>
        <v/>
      </c>
    </row>
    <row r="2934">
      <c r="M2934" s="2">
        <f>IF(C2934="","",IFERROR(INDEX($S$5:$S$304,MATCH(C2934,$R$5:$R$304,0))&amp;"","?"))</f>
        <v/>
      </c>
      <c r="N2934" s="2">
        <f>IF(E2934="","",IF(ISNUMBER(SEARCH("SUBSOLO",E2934)),IFERROR(-VALUE(LEFT(E2934,FIND("º",SUBSTITUTE(E2934,"°","º"))-1)),-1),IF(LEFT(E2934,6)="TÉRREO",0,IFERROR(VALUE(LEFT(E2934,FIND("º",SUBSTITUTE(E2934,"°","º"))-1)),""))))</f>
        <v/>
      </c>
      <c r="O2934" s="2">
        <f>IF(OR(F2934="",G2934=""),"",IF(G2934&lt;='RETRATO 2027'!$K$5,"CONCLUÍDA",IF(F2934&lt;='RETRATO 2027'!$K$5,"EM ANDAMENTO","A INICIAR")))</f>
        <v/>
      </c>
    </row>
    <row r="2935">
      <c r="M2935" s="2">
        <f>IF(C2935="","",IFERROR(INDEX($S$5:$S$304,MATCH(C2935,$R$5:$R$304,0))&amp;"","?"))</f>
        <v/>
      </c>
      <c r="N2935" s="2">
        <f>IF(E2935="","",IF(ISNUMBER(SEARCH("SUBSOLO",E2935)),IFERROR(-VALUE(LEFT(E2935,FIND("º",SUBSTITUTE(E2935,"°","º"))-1)),-1),IF(LEFT(E2935,6)="TÉRREO",0,IFERROR(VALUE(LEFT(E2935,FIND("º",SUBSTITUTE(E2935,"°","º"))-1)),""))))</f>
        <v/>
      </c>
      <c r="O2935" s="2">
        <f>IF(OR(F2935="",G2935=""),"",IF(G2935&lt;='RETRATO 2027'!$K$5,"CONCLUÍDA",IF(F2935&lt;='RETRATO 2027'!$K$5,"EM ANDAMENTO","A INICIAR")))</f>
        <v/>
      </c>
    </row>
    <row r="2936">
      <c r="M2936" s="2">
        <f>IF(C2936="","",IFERROR(INDEX($S$5:$S$304,MATCH(C2936,$R$5:$R$304,0))&amp;"","?"))</f>
        <v/>
      </c>
      <c r="N2936" s="2">
        <f>IF(E2936="","",IF(ISNUMBER(SEARCH("SUBSOLO",E2936)),IFERROR(-VALUE(LEFT(E2936,FIND("º",SUBSTITUTE(E2936,"°","º"))-1)),-1),IF(LEFT(E2936,6)="TÉRREO",0,IFERROR(VALUE(LEFT(E2936,FIND("º",SUBSTITUTE(E2936,"°","º"))-1)),""))))</f>
        <v/>
      </c>
      <c r="O2936" s="2">
        <f>IF(OR(F2936="",G2936=""),"",IF(G2936&lt;='RETRATO 2027'!$K$5,"CONCLUÍDA",IF(F2936&lt;='RETRATO 2027'!$K$5,"EM ANDAMENTO","A INICIAR")))</f>
        <v/>
      </c>
    </row>
    <row r="2937">
      <c r="M2937" s="2">
        <f>IF(C2937="","",IFERROR(INDEX($S$5:$S$304,MATCH(C2937,$R$5:$R$304,0))&amp;"","?"))</f>
        <v/>
      </c>
      <c r="N2937" s="2">
        <f>IF(E2937="","",IF(ISNUMBER(SEARCH("SUBSOLO",E2937)),IFERROR(-VALUE(LEFT(E2937,FIND("º",SUBSTITUTE(E2937,"°","º"))-1)),-1),IF(LEFT(E2937,6)="TÉRREO",0,IFERROR(VALUE(LEFT(E2937,FIND("º",SUBSTITUTE(E2937,"°","º"))-1)),""))))</f>
        <v/>
      </c>
      <c r="O2937" s="2">
        <f>IF(OR(F2937="",G2937=""),"",IF(G2937&lt;='RETRATO 2027'!$K$5,"CONCLUÍDA",IF(F2937&lt;='RETRATO 2027'!$K$5,"EM ANDAMENTO","A INICIAR")))</f>
        <v/>
      </c>
    </row>
    <row r="2938">
      <c r="M2938" s="2">
        <f>IF(C2938="","",IFERROR(INDEX($S$5:$S$304,MATCH(C2938,$R$5:$R$304,0))&amp;"","?"))</f>
        <v/>
      </c>
      <c r="N2938" s="2">
        <f>IF(E2938="","",IF(ISNUMBER(SEARCH("SUBSOLO",E2938)),IFERROR(-VALUE(LEFT(E2938,FIND("º",SUBSTITUTE(E2938,"°","º"))-1)),-1),IF(LEFT(E2938,6)="TÉRREO",0,IFERROR(VALUE(LEFT(E2938,FIND("º",SUBSTITUTE(E2938,"°","º"))-1)),""))))</f>
        <v/>
      </c>
      <c r="O2938" s="2">
        <f>IF(OR(F2938="",G2938=""),"",IF(G2938&lt;='RETRATO 2027'!$K$5,"CONCLUÍDA",IF(F2938&lt;='RETRATO 2027'!$K$5,"EM ANDAMENTO","A INICIAR")))</f>
        <v/>
      </c>
    </row>
    <row r="2939">
      <c r="M2939" s="2">
        <f>IF(C2939="","",IFERROR(INDEX($S$5:$S$304,MATCH(C2939,$R$5:$R$304,0))&amp;"","?"))</f>
        <v/>
      </c>
      <c r="N2939" s="2">
        <f>IF(E2939="","",IF(ISNUMBER(SEARCH("SUBSOLO",E2939)),IFERROR(-VALUE(LEFT(E2939,FIND("º",SUBSTITUTE(E2939,"°","º"))-1)),-1),IF(LEFT(E2939,6)="TÉRREO",0,IFERROR(VALUE(LEFT(E2939,FIND("º",SUBSTITUTE(E2939,"°","º"))-1)),""))))</f>
        <v/>
      </c>
      <c r="O2939" s="2">
        <f>IF(OR(F2939="",G2939=""),"",IF(G2939&lt;='RETRATO 2027'!$K$5,"CONCLUÍDA",IF(F2939&lt;='RETRATO 2027'!$K$5,"EM ANDAMENTO","A INICIAR")))</f>
        <v/>
      </c>
    </row>
    <row r="2940">
      <c r="M2940" s="2">
        <f>IF(C2940="","",IFERROR(INDEX($S$5:$S$304,MATCH(C2940,$R$5:$R$304,0))&amp;"","?"))</f>
        <v/>
      </c>
      <c r="N2940" s="2">
        <f>IF(E2940="","",IF(ISNUMBER(SEARCH("SUBSOLO",E2940)),IFERROR(-VALUE(LEFT(E2940,FIND("º",SUBSTITUTE(E2940,"°","º"))-1)),-1),IF(LEFT(E2940,6)="TÉRREO",0,IFERROR(VALUE(LEFT(E2940,FIND("º",SUBSTITUTE(E2940,"°","º"))-1)),""))))</f>
        <v/>
      </c>
      <c r="O2940" s="2">
        <f>IF(OR(F2940="",G2940=""),"",IF(G2940&lt;='RETRATO 2027'!$K$5,"CONCLUÍDA",IF(F2940&lt;='RETRATO 2027'!$K$5,"EM ANDAMENTO","A INICIAR")))</f>
        <v/>
      </c>
    </row>
    <row r="2941">
      <c r="M2941" s="2">
        <f>IF(C2941="","",IFERROR(INDEX($S$5:$S$304,MATCH(C2941,$R$5:$R$304,0))&amp;"","?"))</f>
        <v/>
      </c>
      <c r="N2941" s="2">
        <f>IF(E2941="","",IF(ISNUMBER(SEARCH("SUBSOLO",E2941)),IFERROR(-VALUE(LEFT(E2941,FIND("º",SUBSTITUTE(E2941,"°","º"))-1)),-1),IF(LEFT(E2941,6)="TÉRREO",0,IFERROR(VALUE(LEFT(E2941,FIND("º",SUBSTITUTE(E2941,"°","º"))-1)),""))))</f>
        <v/>
      </c>
      <c r="O2941" s="2">
        <f>IF(OR(F2941="",G2941=""),"",IF(G2941&lt;='RETRATO 2027'!$K$5,"CONCLUÍDA",IF(F2941&lt;='RETRATO 2027'!$K$5,"EM ANDAMENTO","A INICIAR")))</f>
        <v/>
      </c>
    </row>
    <row r="2942">
      <c r="M2942" s="2">
        <f>IF(C2942="","",IFERROR(INDEX($S$5:$S$304,MATCH(C2942,$R$5:$R$304,0))&amp;"","?"))</f>
        <v/>
      </c>
      <c r="N2942" s="2">
        <f>IF(E2942="","",IF(ISNUMBER(SEARCH("SUBSOLO",E2942)),IFERROR(-VALUE(LEFT(E2942,FIND("º",SUBSTITUTE(E2942,"°","º"))-1)),-1),IF(LEFT(E2942,6)="TÉRREO",0,IFERROR(VALUE(LEFT(E2942,FIND("º",SUBSTITUTE(E2942,"°","º"))-1)),""))))</f>
        <v/>
      </c>
      <c r="O2942" s="2">
        <f>IF(OR(F2942="",G2942=""),"",IF(G2942&lt;='RETRATO 2027'!$K$5,"CONCLUÍDA",IF(F2942&lt;='RETRATO 2027'!$K$5,"EM ANDAMENTO","A INICIAR")))</f>
        <v/>
      </c>
    </row>
    <row r="2943">
      <c r="M2943" s="2">
        <f>IF(C2943="","",IFERROR(INDEX($S$5:$S$304,MATCH(C2943,$R$5:$R$304,0))&amp;"","?"))</f>
        <v/>
      </c>
      <c r="N2943" s="2">
        <f>IF(E2943="","",IF(ISNUMBER(SEARCH("SUBSOLO",E2943)),IFERROR(-VALUE(LEFT(E2943,FIND("º",SUBSTITUTE(E2943,"°","º"))-1)),-1),IF(LEFT(E2943,6)="TÉRREO",0,IFERROR(VALUE(LEFT(E2943,FIND("º",SUBSTITUTE(E2943,"°","º"))-1)),""))))</f>
        <v/>
      </c>
      <c r="O2943" s="2">
        <f>IF(OR(F2943="",G2943=""),"",IF(G2943&lt;='RETRATO 2027'!$K$5,"CONCLUÍDA",IF(F2943&lt;='RETRATO 2027'!$K$5,"EM ANDAMENTO","A INICIAR")))</f>
        <v/>
      </c>
    </row>
    <row r="2944">
      <c r="M2944" s="2">
        <f>IF(C2944="","",IFERROR(INDEX($S$5:$S$304,MATCH(C2944,$R$5:$R$304,0))&amp;"","?"))</f>
        <v/>
      </c>
      <c r="N2944" s="2">
        <f>IF(E2944="","",IF(ISNUMBER(SEARCH("SUBSOLO",E2944)),IFERROR(-VALUE(LEFT(E2944,FIND("º",SUBSTITUTE(E2944,"°","º"))-1)),-1),IF(LEFT(E2944,6)="TÉRREO",0,IFERROR(VALUE(LEFT(E2944,FIND("º",SUBSTITUTE(E2944,"°","º"))-1)),""))))</f>
        <v/>
      </c>
      <c r="O2944" s="2">
        <f>IF(OR(F2944="",G2944=""),"",IF(G2944&lt;='RETRATO 2027'!$K$5,"CONCLUÍDA",IF(F2944&lt;='RETRATO 2027'!$K$5,"EM ANDAMENTO","A INICIAR")))</f>
        <v/>
      </c>
    </row>
    <row r="2945">
      <c r="M2945" s="2">
        <f>IF(C2945="","",IFERROR(INDEX($S$5:$S$304,MATCH(C2945,$R$5:$R$304,0))&amp;"","?"))</f>
        <v/>
      </c>
      <c r="N2945" s="2">
        <f>IF(E2945="","",IF(ISNUMBER(SEARCH("SUBSOLO",E2945)),IFERROR(-VALUE(LEFT(E2945,FIND("º",SUBSTITUTE(E2945,"°","º"))-1)),-1),IF(LEFT(E2945,6)="TÉRREO",0,IFERROR(VALUE(LEFT(E2945,FIND("º",SUBSTITUTE(E2945,"°","º"))-1)),""))))</f>
        <v/>
      </c>
      <c r="O2945" s="2">
        <f>IF(OR(F2945="",G2945=""),"",IF(G2945&lt;='RETRATO 2027'!$K$5,"CONCLUÍDA",IF(F2945&lt;='RETRATO 2027'!$K$5,"EM ANDAMENTO","A INICIAR")))</f>
        <v/>
      </c>
    </row>
    <row r="2946">
      <c r="M2946" s="2">
        <f>IF(C2946="","",IFERROR(INDEX($S$5:$S$304,MATCH(C2946,$R$5:$R$304,0))&amp;"","?"))</f>
        <v/>
      </c>
      <c r="N2946" s="2">
        <f>IF(E2946="","",IF(ISNUMBER(SEARCH("SUBSOLO",E2946)),IFERROR(-VALUE(LEFT(E2946,FIND("º",SUBSTITUTE(E2946,"°","º"))-1)),-1),IF(LEFT(E2946,6)="TÉRREO",0,IFERROR(VALUE(LEFT(E2946,FIND("º",SUBSTITUTE(E2946,"°","º"))-1)),""))))</f>
        <v/>
      </c>
      <c r="O2946" s="2">
        <f>IF(OR(F2946="",G2946=""),"",IF(G2946&lt;='RETRATO 2027'!$K$5,"CONCLUÍDA",IF(F2946&lt;='RETRATO 2027'!$K$5,"EM ANDAMENTO","A INICIAR")))</f>
        <v/>
      </c>
    </row>
    <row r="2947">
      <c r="M2947" s="2">
        <f>IF(C2947="","",IFERROR(INDEX($S$5:$S$304,MATCH(C2947,$R$5:$R$304,0))&amp;"","?"))</f>
        <v/>
      </c>
      <c r="N2947" s="2">
        <f>IF(E2947="","",IF(ISNUMBER(SEARCH("SUBSOLO",E2947)),IFERROR(-VALUE(LEFT(E2947,FIND("º",SUBSTITUTE(E2947,"°","º"))-1)),-1),IF(LEFT(E2947,6)="TÉRREO",0,IFERROR(VALUE(LEFT(E2947,FIND("º",SUBSTITUTE(E2947,"°","º"))-1)),""))))</f>
        <v/>
      </c>
      <c r="O2947" s="2">
        <f>IF(OR(F2947="",G2947=""),"",IF(G2947&lt;='RETRATO 2027'!$K$5,"CONCLUÍDA",IF(F2947&lt;='RETRATO 2027'!$K$5,"EM ANDAMENTO","A INICIAR")))</f>
        <v/>
      </c>
    </row>
    <row r="2948">
      <c r="M2948" s="2">
        <f>IF(C2948="","",IFERROR(INDEX($S$5:$S$304,MATCH(C2948,$R$5:$R$304,0))&amp;"","?"))</f>
        <v/>
      </c>
      <c r="N2948" s="2">
        <f>IF(E2948="","",IF(ISNUMBER(SEARCH("SUBSOLO",E2948)),IFERROR(-VALUE(LEFT(E2948,FIND("º",SUBSTITUTE(E2948,"°","º"))-1)),-1),IF(LEFT(E2948,6)="TÉRREO",0,IFERROR(VALUE(LEFT(E2948,FIND("º",SUBSTITUTE(E2948,"°","º"))-1)),""))))</f>
        <v/>
      </c>
      <c r="O2948" s="2">
        <f>IF(OR(F2948="",G2948=""),"",IF(G2948&lt;='RETRATO 2027'!$K$5,"CONCLUÍDA",IF(F2948&lt;='RETRATO 2027'!$K$5,"EM ANDAMENTO","A INICIAR")))</f>
        <v/>
      </c>
    </row>
    <row r="2949">
      <c r="M2949" s="2">
        <f>IF(C2949="","",IFERROR(INDEX($S$5:$S$304,MATCH(C2949,$R$5:$R$304,0))&amp;"","?"))</f>
        <v/>
      </c>
      <c r="N2949" s="2">
        <f>IF(E2949="","",IF(ISNUMBER(SEARCH("SUBSOLO",E2949)),IFERROR(-VALUE(LEFT(E2949,FIND("º",SUBSTITUTE(E2949,"°","º"))-1)),-1),IF(LEFT(E2949,6)="TÉRREO",0,IFERROR(VALUE(LEFT(E2949,FIND("º",SUBSTITUTE(E2949,"°","º"))-1)),""))))</f>
        <v/>
      </c>
      <c r="O2949" s="2">
        <f>IF(OR(F2949="",G2949=""),"",IF(G2949&lt;='RETRATO 2027'!$K$5,"CONCLUÍDA",IF(F2949&lt;='RETRATO 2027'!$K$5,"EM ANDAMENTO","A INICIAR")))</f>
        <v/>
      </c>
    </row>
    <row r="2950">
      <c r="M2950" s="2">
        <f>IF(C2950="","",IFERROR(INDEX($S$5:$S$304,MATCH(C2950,$R$5:$R$304,0))&amp;"","?"))</f>
        <v/>
      </c>
      <c r="N2950" s="2">
        <f>IF(E2950="","",IF(ISNUMBER(SEARCH("SUBSOLO",E2950)),IFERROR(-VALUE(LEFT(E2950,FIND("º",SUBSTITUTE(E2950,"°","º"))-1)),-1),IF(LEFT(E2950,6)="TÉRREO",0,IFERROR(VALUE(LEFT(E2950,FIND("º",SUBSTITUTE(E2950,"°","º"))-1)),""))))</f>
        <v/>
      </c>
      <c r="O2950" s="2">
        <f>IF(OR(F2950="",G2950=""),"",IF(G2950&lt;='RETRATO 2027'!$K$5,"CONCLUÍDA",IF(F2950&lt;='RETRATO 2027'!$K$5,"EM ANDAMENTO","A INICIAR")))</f>
        <v/>
      </c>
    </row>
    <row r="2951">
      <c r="M2951" s="2">
        <f>IF(C2951="","",IFERROR(INDEX($S$5:$S$304,MATCH(C2951,$R$5:$R$304,0))&amp;"","?"))</f>
        <v/>
      </c>
      <c r="N2951" s="2">
        <f>IF(E2951="","",IF(ISNUMBER(SEARCH("SUBSOLO",E2951)),IFERROR(-VALUE(LEFT(E2951,FIND("º",SUBSTITUTE(E2951,"°","º"))-1)),-1),IF(LEFT(E2951,6)="TÉRREO",0,IFERROR(VALUE(LEFT(E2951,FIND("º",SUBSTITUTE(E2951,"°","º"))-1)),""))))</f>
        <v/>
      </c>
      <c r="O2951" s="2">
        <f>IF(OR(F2951="",G2951=""),"",IF(G2951&lt;='RETRATO 2027'!$K$5,"CONCLUÍDA",IF(F2951&lt;='RETRATO 2027'!$K$5,"EM ANDAMENTO","A INICIAR")))</f>
        <v/>
      </c>
    </row>
    <row r="2952">
      <c r="M2952" s="2">
        <f>IF(C2952="","",IFERROR(INDEX($S$5:$S$304,MATCH(C2952,$R$5:$R$304,0))&amp;"","?"))</f>
        <v/>
      </c>
      <c r="N2952" s="2">
        <f>IF(E2952="","",IF(ISNUMBER(SEARCH("SUBSOLO",E2952)),IFERROR(-VALUE(LEFT(E2952,FIND("º",SUBSTITUTE(E2952,"°","º"))-1)),-1),IF(LEFT(E2952,6)="TÉRREO",0,IFERROR(VALUE(LEFT(E2952,FIND("º",SUBSTITUTE(E2952,"°","º"))-1)),""))))</f>
        <v/>
      </c>
      <c r="O2952" s="2">
        <f>IF(OR(F2952="",G2952=""),"",IF(G2952&lt;='RETRATO 2027'!$K$5,"CONCLUÍDA",IF(F2952&lt;='RETRATO 2027'!$K$5,"EM ANDAMENTO","A INICIAR")))</f>
        <v/>
      </c>
    </row>
    <row r="2953">
      <c r="M2953" s="2">
        <f>IF(C2953="","",IFERROR(INDEX($S$5:$S$304,MATCH(C2953,$R$5:$R$304,0))&amp;"","?"))</f>
        <v/>
      </c>
      <c r="N2953" s="2">
        <f>IF(E2953="","",IF(ISNUMBER(SEARCH("SUBSOLO",E2953)),IFERROR(-VALUE(LEFT(E2953,FIND("º",SUBSTITUTE(E2953,"°","º"))-1)),-1),IF(LEFT(E2953,6)="TÉRREO",0,IFERROR(VALUE(LEFT(E2953,FIND("º",SUBSTITUTE(E2953,"°","º"))-1)),""))))</f>
        <v/>
      </c>
      <c r="O2953" s="2">
        <f>IF(OR(F2953="",G2953=""),"",IF(G2953&lt;='RETRATO 2027'!$K$5,"CONCLUÍDA",IF(F2953&lt;='RETRATO 2027'!$K$5,"EM ANDAMENTO","A INICIAR")))</f>
        <v/>
      </c>
    </row>
    <row r="2954">
      <c r="M2954" s="2">
        <f>IF(C2954="","",IFERROR(INDEX($S$5:$S$304,MATCH(C2954,$R$5:$R$304,0))&amp;"","?"))</f>
        <v/>
      </c>
      <c r="N2954" s="2">
        <f>IF(E2954="","",IF(ISNUMBER(SEARCH("SUBSOLO",E2954)),IFERROR(-VALUE(LEFT(E2954,FIND("º",SUBSTITUTE(E2954,"°","º"))-1)),-1),IF(LEFT(E2954,6)="TÉRREO",0,IFERROR(VALUE(LEFT(E2954,FIND("º",SUBSTITUTE(E2954,"°","º"))-1)),""))))</f>
        <v/>
      </c>
      <c r="O2954" s="2">
        <f>IF(OR(F2954="",G2954=""),"",IF(G2954&lt;='RETRATO 2027'!$K$5,"CONCLUÍDA",IF(F2954&lt;='RETRATO 2027'!$K$5,"EM ANDAMENTO","A INICIAR")))</f>
        <v/>
      </c>
    </row>
    <row r="2955">
      <c r="M2955" s="2">
        <f>IF(C2955="","",IFERROR(INDEX($S$5:$S$304,MATCH(C2955,$R$5:$R$304,0))&amp;"","?"))</f>
        <v/>
      </c>
      <c r="N2955" s="2">
        <f>IF(E2955="","",IF(ISNUMBER(SEARCH("SUBSOLO",E2955)),IFERROR(-VALUE(LEFT(E2955,FIND("º",SUBSTITUTE(E2955,"°","º"))-1)),-1),IF(LEFT(E2955,6)="TÉRREO",0,IFERROR(VALUE(LEFT(E2955,FIND("º",SUBSTITUTE(E2955,"°","º"))-1)),""))))</f>
        <v/>
      </c>
      <c r="O2955" s="2">
        <f>IF(OR(F2955="",G2955=""),"",IF(G2955&lt;='RETRATO 2027'!$K$5,"CONCLUÍDA",IF(F2955&lt;='RETRATO 2027'!$K$5,"EM ANDAMENTO","A INICIAR")))</f>
        <v/>
      </c>
    </row>
    <row r="2956">
      <c r="M2956" s="2">
        <f>IF(C2956="","",IFERROR(INDEX($S$5:$S$304,MATCH(C2956,$R$5:$R$304,0))&amp;"","?"))</f>
        <v/>
      </c>
      <c r="N2956" s="2">
        <f>IF(E2956="","",IF(ISNUMBER(SEARCH("SUBSOLO",E2956)),IFERROR(-VALUE(LEFT(E2956,FIND("º",SUBSTITUTE(E2956,"°","º"))-1)),-1),IF(LEFT(E2956,6)="TÉRREO",0,IFERROR(VALUE(LEFT(E2956,FIND("º",SUBSTITUTE(E2956,"°","º"))-1)),""))))</f>
        <v/>
      </c>
      <c r="O2956" s="2">
        <f>IF(OR(F2956="",G2956=""),"",IF(G2956&lt;='RETRATO 2027'!$K$5,"CONCLUÍDA",IF(F2956&lt;='RETRATO 2027'!$K$5,"EM ANDAMENTO","A INICIAR")))</f>
        <v/>
      </c>
    </row>
    <row r="2957">
      <c r="M2957" s="2">
        <f>IF(C2957="","",IFERROR(INDEX($S$5:$S$304,MATCH(C2957,$R$5:$R$304,0))&amp;"","?"))</f>
        <v/>
      </c>
      <c r="N2957" s="2">
        <f>IF(E2957="","",IF(ISNUMBER(SEARCH("SUBSOLO",E2957)),IFERROR(-VALUE(LEFT(E2957,FIND("º",SUBSTITUTE(E2957,"°","º"))-1)),-1),IF(LEFT(E2957,6)="TÉRREO",0,IFERROR(VALUE(LEFT(E2957,FIND("º",SUBSTITUTE(E2957,"°","º"))-1)),""))))</f>
        <v/>
      </c>
      <c r="O2957" s="2">
        <f>IF(OR(F2957="",G2957=""),"",IF(G2957&lt;='RETRATO 2027'!$K$5,"CONCLUÍDA",IF(F2957&lt;='RETRATO 2027'!$K$5,"EM ANDAMENTO","A INICIAR")))</f>
        <v/>
      </c>
    </row>
    <row r="2958">
      <c r="M2958" s="2">
        <f>IF(C2958="","",IFERROR(INDEX($S$5:$S$304,MATCH(C2958,$R$5:$R$304,0))&amp;"","?"))</f>
        <v/>
      </c>
      <c r="N2958" s="2">
        <f>IF(E2958="","",IF(ISNUMBER(SEARCH("SUBSOLO",E2958)),IFERROR(-VALUE(LEFT(E2958,FIND("º",SUBSTITUTE(E2958,"°","º"))-1)),-1),IF(LEFT(E2958,6)="TÉRREO",0,IFERROR(VALUE(LEFT(E2958,FIND("º",SUBSTITUTE(E2958,"°","º"))-1)),""))))</f>
        <v/>
      </c>
      <c r="O2958" s="2">
        <f>IF(OR(F2958="",G2958=""),"",IF(G2958&lt;='RETRATO 2027'!$K$5,"CONCLUÍDA",IF(F2958&lt;='RETRATO 2027'!$K$5,"EM ANDAMENTO","A INICIAR")))</f>
        <v/>
      </c>
    </row>
    <row r="2959">
      <c r="M2959" s="2">
        <f>IF(C2959="","",IFERROR(INDEX($S$5:$S$304,MATCH(C2959,$R$5:$R$304,0))&amp;"","?"))</f>
        <v/>
      </c>
      <c r="N2959" s="2">
        <f>IF(E2959="","",IF(ISNUMBER(SEARCH("SUBSOLO",E2959)),IFERROR(-VALUE(LEFT(E2959,FIND("º",SUBSTITUTE(E2959,"°","º"))-1)),-1),IF(LEFT(E2959,6)="TÉRREO",0,IFERROR(VALUE(LEFT(E2959,FIND("º",SUBSTITUTE(E2959,"°","º"))-1)),""))))</f>
        <v/>
      </c>
      <c r="O2959" s="2">
        <f>IF(OR(F2959="",G2959=""),"",IF(G2959&lt;='RETRATO 2027'!$K$5,"CONCLUÍDA",IF(F2959&lt;='RETRATO 2027'!$K$5,"EM ANDAMENTO","A INICIAR")))</f>
        <v/>
      </c>
    </row>
    <row r="2960">
      <c r="M2960" s="2">
        <f>IF(C2960="","",IFERROR(INDEX($S$5:$S$304,MATCH(C2960,$R$5:$R$304,0))&amp;"","?"))</f>
        <v/>
      </c>
      <c r="N2960" s="2">
        <f>IF(E2960="","",IF(ISNUMBER(SEARCH("SUBSOLO",E2960)),IFERROR(-VALUE(LEFT(E2960,FIND("º",SUBSTITUTE(E2960,"°","º"))-1)),-1),IF(LEFT(E2960,6)="TÉRREO",0,IFERROR(VALUE(LEFT(E2960,FIND("º",SUBSTITUTE(E2960,"°","º"))-1)),""))))</f>
        <v/>
      </c>
      <c r="O2960" s="2">
        <f>IF(OR(F2960="",G2960=""),"",IF(G2960&lt;='RETRATO 2027'!$K$5,"CONCLUÍDA",IF(F2960&lt;='RETRATO 2027'!$K$5,"EM ANDAMENTO","A INICIAR")))</f>
        <v/>
      </c>
    </row>
    <row r="2961">
      <c r="M2961" s="2">
        <f>IF(C2961="","",IFERROR(INDEX($S$5:$S$304,MATCH(C2961,$R$5:$R$304,0))&amp;"","?"))</f>
        <v/>
      </c>
      <c r="N2961" s="2">
        <f>IF(E2961="","",IF(ISNUMBER(SEARCH("SUBSOLO",E2961)),IFERROR(-VALUE(LEFT(E2961,FIND("º",SUBSTITUTE(E2961,"°","º"))-1)),-1),IF(LEFT(E2961,6)="TÉRREO",0,IFERROR(VALUE(LEFT(E2961,FIND("º",SUBSTITUTE(E2961,"°","º"))-1)),""))))</f>
        <v/>
      </c>
      <c r="O2961" s="2">
        <f>IF(OR(F2961="",G2961=""),"",IF(G2961&lt;='RETRATO 2027'!$K$5,"CONCLUÍDA",IF(F2961&lt;='RETRATO 2027'!$K$5,"EM ANDAMENTO","A INICIAR")))</f>
        <v/>
      </c>
    </row>
    <row r="2962">
      <c r="M2962" s="2">
        <f>IF(C2962="","",IFERROR(INDEX($S$5:$S$304,MATCH(C2962,$R$5:$R$304,0))&amp;"","?"))</f>
        <v/>
      </c>
      <c r="N2962" s="2">
        <f>IF(E2962="","",IF(ISNUMBER(SEARCH("SUBSOLO",E2962)),IFERROR(-VALUE(LEFT(E2962,FIND("º",SUBSTITUTE(E2962,"°","º"))-1)),-1),IF(LEFT(E2962,6)="TÉRREO",0,IFERROR(VALUE(LEFT(E2962,FIND("º",SUBSTITUTE(E2962,"°","º"))-1)),""))))</f>
        <v/>
      </c>
      <c r="O2962" s="2">
        <f>IF(OR(F2962="",G2962=""),"",IF(G2962&lt;='RETRATO 2027'!$K$5,"CONCLUÍDA",IF(F2962&lt;='RETRATO 2027'!$K$5,"EM ANDAMENTO","A INICIAR")))</f>
        <v/>
      </c>
    </row>
    <row r="2963">
      <c r="M2963" s="2">
        <f>IF(C2963="","",IFERROR(INDEX($S$5:$S$304,MATCH(C2963,$R$5:$R$304,0))&amp;"","?"))</f>
        <v/>
      </c>
      <c r="N2963" s="2">
        <f>IF(E2963="","",IF(ISNUMBER(SEARCH("SUBSOLO",E2963)),IFERROR(-VALUE(LEFT(E2963,FIND("º",SUBSTITUTE(E2963,"°","º"))-1)),-1),IF(LEFT(E2963,6)="TÉRREO",0,IFERROR(VALUE(LEFT(E2963,FIND("º",SUBSTITUTE(E2963,"°","º"))-1)),""))))</f>
        <v/>
      </c>
      <c r="O2963" s="2">
        <f>IF(OR(F2963="",G2963=""),"",IF(G2963&lt;='RETRATO 2027'!$K$5,"CONCLUÍDA",IF(F2963&lt;='RETRATO 2027'!$K$5,"EM ANDAMENTO","A INICIAR")))</f>
        <v/>
      </c>
    </row>
    <row r="2964">
      <c r="M2964" s="2">
        <f>IF(C2964="","",IFERROR(INDEX($S$5:$S$304,MATCH(C2964,$R$5:$R$304,0))&amp;"","?"))</f>
        <v/>
      </c>
      <c r="N2964" s="2">
        <f>IF(E2964="","",IF(ISNUMBER(SEARCH("SUBSOLO",E2964)),IFERROR(-VALUE(LEFT(E2964,FIND("º",SUBSTITUTE(E2964,"°","º"))-1)),-1),IF(LEFT(E2964,6)="TÉRREO",0,IFERROR(VALUE(LEFT(E2964,FIND("º",SUBSTITUTE(E2964,"°","º"))-1)),""))))</f>
        <v/>
      </c>
      <c r="O2964" s="2">
        <f>IF(OR(F2964="",G2964=""),"",IF(G2964&lt;='RETRATO 2027'!$K$5,"CONCLUÍDA",IF(F2964&lt;='RETRATO 2027'!$K$5,"EM ANDAMENTO","A INICIAR")))</f>
        <v/>
      </c>
    </row>
    <row r="2965">
      <c r="M2965" s="2">
        <f>IF(C2965="","",IFERROR(INDEX($S$5:$S$304,MATCH(C2965,$R$5:$R$304,0))&amp;"","?"))</f>
        <v/>
      </c>
      <c r="N2965" s="2">
        <f>IF(E2965="","",IF(ISNUMBER(SEARCH("SUBSOLO",E2965)),IFERROR(-VALUE(LEFT(E2965,FIND("º",SUBSTITUTE(E2965,"°","º"))-1)),-1),IF(LEFT(E2965,6)="TÉRREO",0,IFERROR(VALUE(LEFT(E2965,FIND("º",SUBSTITUTE(E2965,"°","º"))-1)),""))))</f>
        <v/>
      </c>
      <c r="O2965" s="2">
        <f>IF(OR(F2965="",G2965=""),"",IF(G2965&lt;='RETRATO 2027'!$K$5,"CONCLUÍDA",IF(F2965&lt;='RETRATO 2027'!$K$5,"EM ANDAMENTO","A INICIAR")))</f>
        <v/>
      </c>
    </row>
    <row r="2966">
      <c r="M2966" s="2">
        <f>IF(C2966="","",IFERROR(INDEX($S$5:$S$304,MATCH(C2966,$R$5:$R$304,0))&amp;"","?"))</f>
        <v/>
      </c>
      <c r="N2966" s="2">
        <f>IF(E2966="","",IF(ISNUMBER(SEARCH("SUBSOLO",E2966)),IFERROR(-VALUE(LEFT(E2966,FIND("º",SUBSTITUTE(E2966,"°","º"))-1)),-1),IF(LEFT(E2966,6)="TÉRREO",0,IFERROR(VALUE(LEFT(E2966,FIND("º",SUBSTITUTE(E2966,"°","º"))-1)),""))))</f>
        <v/>
      </c>
      <c r="O2966" s="2">
        <f>IF(OR(F2966="",G2966=""),"",IF(G2966&lt;='RETRATO 2027'!$K$5,"CONCLUÍDA",IF(F2966&lt;='RETRATO 2027'!$K$5,"EM ANDAMENTO","A INICIAR")))</f>
        <v/>
      </c>
    </row>
    <row r="2967">
      <c r="M2967" s="2">
        <f>IF(C2967="","",IFERROR(INDEX($S$5:$S$304,MATCH(C2967,$R$5:$R$304,0))&amp;"","?"))</f>
        <v/>
      </c>
      <c r="N2967" s="2">
        <f>IF(E2967="","",IF(ISNUMBER(SEARCH("SUBSOLO",E2967)),IFERROR(-VALUE(LEFT(E2967,FIND("º",SUBSTITUTE(E2967,"°","º"))-1)),-1),IF(LEFT(E2967,6)="TÉRREO",0,IFERROR(VALUE(LEFT(E2967,FIND("º",SUBSTITUTE(E2967,"°","º"))-1)),""))))</f>
        <v/>
      </c>
      <c r="O2967" s="2">
        <f>IF(OR(F2967="",G2967=""),"",IF(G2967&lt;='RETRATO 2027'!$K$5,"CONCLUÍDA",IF(F2967&lt;='RETRATO 2027'!$K$5,"EM ANDAMENTO","A INICIAR")))</f>
        <v/>
      </c>
    </row>
    <row r="2968">
      <c r="M2968" s="2">
        <f>IF(C2968="","",IFERROR(INDEX($S$5:$S$304,MATCH(C2968,$R$5:$R$304,0))&amp;"","?"))</f>
        <v/>
      </c>
      <c r="N2968" s="2">
        <f>IF(E2968="","",IF(ISNUMBER(SEARCH("SUBSOLO",E2968)),IFERROR(-VALUE(LEFT(E2968,FIND("º",SUBSTITUTE(E2968,"°","º"))-1)),-1),IF(LEFT(E2968,6)="TÉRREO",0,IFERROR(VALUE(LEFT(E2968,FIND("º",SUBSTITUTE(E2968,"°","º"))-1)),""))))</f>
        <v/>
      </c>
      <c r="O2968" s="2">
        <f>IF(OR(F2968="",G2968=""),"",IF(G2968&lt;='RETRATO 2027'!$K$5,"CONCLUÍDA",IF(F2968&lt;='RETRATO 2027'!$K$5,"EM ANDAMENTO","A INICIAR")))</f>
        <v/>
      </c>
    </row>
    <row r="2969">
      <c r="M2969" s="2">
        <f>IF(C2969="","",IFERROR(INDEX($S$5:$S$304,MATCH(C2969,$R$5:$R$304,0))&amp;"","?"))</f>
        <v/>
      </c>
      <c r="N2969" s="2">
        <f>IF(E2969="","",IF(ISNUMBER(SEARCH("SUBSOLO",E2969)),IFERROR(-VALUE(LEFT(E2969,FIND("º",SUBSTITUTE(E2969,"°","º"))-1)),-1),IF(LEFT(E2969,6)="TÉRREO",0,IFERROR(VALUE(LEFT(E2969,FIND("º",SUBSTITUTE(E2969,"°","º"))-1)),""))))</f>
        <v/>
      </c>
      <c r="O2969" s="2">
        <f>IF(OR(F2969="",G2969=""),"",IF(G2969&lt;='RETRATO 2027'!$K$5,"CONCLUÍDA",IF(F2969&lt;='RETRATO 2027'!$K$5,"EM ANDAMENTO","A INICIAR")))</f>
        <v/>
      </c>
    </row>
    <row r="2970">
      <c r="M2970" s="2">
        <f>IF(C2970="","",IFERROR(INDEX($S$5:$S$304,MATCH(C2970,$R$5:$R$304,0))&amp;"","?"))</f>
        <v/>
      </c>
      <c r="N2970" s="2">
        <f>IF(E2970="","",IF(ISNUMBER(SEARCH("SUBSOLO",E2970)),IFERROR(-VALUE(LEFT(E2970,FIND("º",SUBSTITUTE(E2970,"°","º"))-1)),-1),IF(LEFT(E2970,6)="TÉRREO",0,IFERROR(VALUE(LEFT(E2970,FIND("º",SUBSTITUTE(E2970,"°","º"))-1)),""))))</f>
        <v/>
      </c>
      <c r="O2970" s="2">
        <f>IF(OR(F2970="",G2970=""),"",IF(G2970&lt;='RETRATO 2027'!$K$5,"CONCLUÍDA",IF(F2970&lt;='RETRATO 2027'!$K$5,"EM ANDAMENTO","A INICIAR")))</f>
        <v/>
      </c>
    </row>
    <row r="2971">
      <c r="M2971" s="2">
        <f>IF(C2971="","",IFERROR(INDEX($S$5:$S$304,MATCH(C2971,$R$5:$R$304,0))&amp;"","?"))</f>
        <v/>
      </c>
      <c r="N2971" s="2">
        <f>IF(E2971="","",IF(ISNUMBER(SEARCH("SUBSOLO",E2971)),IFERROR(-VALUE(LEFT(E2971,FIND("º",SUBSTITUTE(E2971,"°","º"))-1)),-1),IF(LEFT(E2971,6)="TÉRREO",0,IFERROR(VALUE(LEFT(E2971,FIND("º",SUBSTITUTE(E2971,"°","º"))-1)),""))))</f>
        <v/>
      </c>
      <c r="O2971" s="2">
        <f>IF(OR(F2971="",G2971=""),"",IF(G2971&lt;='RETRATO 2027'!$K$5,"CONCLUÍDA",IF(F2971&lt;='RETRATO 2027'!$K$5,"EM ANDAMENTO","A INICIAR")))</f>
        <v/>
      </c>
    </row>
    <row r="2972">
      <c r="M2972" s="2">
        <f>IF(C2972="","",IFERROR(INDEX($S$5:$S$304,MATCH(C2972,$R$5:$R$304,0))&amp;"","?"))</f>
        <v/>
      </c>
      <c r="N2972" s="2">
        <f>IF(E2972="","",IF(ISNUMBER(SEARCH("SUBSOLO",E2972)),IFERROR(-VALUE(LEFT(E2972,FIND("º",SUBSTITUTE(E2972,"°","º"))-1)),-1),IF(LEFT(E2972,6)="TÉRREO",0,IFERROR(VALUE(LEFT(E2972,FIND("º",SUBSTITUTE(E2972,"°","º"))-1)),""))))</f>
        <v/>
      </c>
      <c r="O2972" s="2">
        <f>IF(OR(F2972="",G2972=""),"",IF(G2972&lt;='RETRATO 2027'!$K$5,"CONCLUÍDA",IF(F2972&lt;='RETRATO 2027'!$K$5,"EM ANDAMENTO","A INICIAR")))</f>
        <v/>
      </c>
    </row>
    <row r="2973">
      <c r="M2973" s="2">
        <f>IF(C2973="","",IFERROR(INDEX($S$5:$S$304,MATCH(C2973,$R$5:$R$304,0))&amp;"","?"))</f>
        <v/>
      </c>
      <c r="N2973" s="2">
        <f>IF(E2973="","",IF(ISNUMBER(SEARCH("SUBSOLO",E2973)),IFERROR(-VALUE(LEFT(E2973,FIND("º",SUBSTITUTE(E2973,"°","º"))-1)),-1),IF(LEFT(E2973,6)="TÉRREO",0,IFERROR(VALUE(LEFT(E2973,FIND("º",SUBSTITUTE(E2973,"°","º"))-1)),""))))</f>
        <v/>
      </c>
      <c r="O2973" s="2">
        <f>IF(OR(F2973="",G2973=""),"",IF(G2973&lt;='RETRATO 2027'!$K$5,"CONCLUÍDA",IF(F2973&lt;='RETRATO 2027'!$K$5,"EM ANDAMENTO","A INICIAR")))</f>
        <v/>
      </c>
    </row>
    <row r="2974">
      <c r="M2974" s="2">
        <f>IF(C2974="","",IFERROR(INDEX($S$5:$S$304,MATCH(C2974,$R$5:$R$304,0))&amp;"","?"))</f>
        <v/>
      </c>
      <c r="N2974" s="2">
        <f>IF(E2974="","",IF(ISNUMBER(SEARCH("SUBSOLO",E2974)),IFERROR(-VALUE(LEFT(E2974,FIND("º",SUBSTITUTE(E2974,"°","º"))-1)),-1),IF(LEFT(E2974,6)="TÉRREO",0,IFERROR(VALUE(LEFT(E2974,FIND("º",SUBSTITUTE(E2974,"°","º"))-1)),""))))</f>
        <v/>
      </c>
      <c r="O2974" s="2">
        <f>IF(OR(F2974="",G2974=""),"",IF(G2974&lt;='RETRATO 2027'!$K$5,"CONCLUÍDA",IF(F2974&lt;='RETRATO 2027'!$K$5,"EM ANDAMENTO","A INICIAR")))</f>
        <v/>
      </c>
    </row>
    <row r="2975">
      <c r="M2975" s="2">
        <f>IF(C2975="","",IFERROR(INDEX($S$5:$S$304,MATCH(C2975,$R$5:$R$304,0))&amp;"","?"))</f>
        <v/>
      </c>
      <c r="N2975" s="2">
        <f>IF(E2975="","",IF(ISNUMBER(SEARCH("SUBSOLO",E2975)),IFERROR(-VALUE(LEFT(E2975,FIND("º",SUBSTITUTE(E2975,"°","º"))-1)),-1),IF(LEFT(E2975,6)="TÉRREO",0,IFERROR(VALUE(LEFT(E2975,FIND("º",SUBSTITUTE(E2975,"°","º"))-1)),""))))</f>
        <v/>
      </c>
      <c r="O2975" s="2">
        <f>IF(OR(F2975="",G2975=""),"",IF(G2975&lt;='RETRATO 2027'!$K$5,"CONCLUÍDA",IF(F2975&lt;='RETRATO 2027'!$K$5,"EM ANDAMENTO","A INICIAR")))</f>
        <v/>
      </c>
    </row>
    <row r="2976">
      <c r="M2976" s="2">
        <f>IF(C2976="","",IFERROR(INDEX($S$5:$S$304,MATCH(C2976,$R$5:$R$304,0))&amp;"","?"))</f>
        <v/>
      </c>
      <c r="N2976" s="2">
        <f>IF(E2976="","",IF(ISNUMBER(SEARCH("SUBSOLO",E2976)),IFERROR(-VALUE(LEFT(E2976,FIND("º",SUBSTITUTE(E2976,"°","º"))-1)),-1),IF(LEFT(E2976,6)="TÉRREO",0,IFERROR(VALUE(LEFT(E2976,FIND("º",SUBSTITUTE(E2976,"°","º"))-1)),""))))</f>
        <v/>
      </c>
      <c r="O2976" s="2">
        <f>IF(OR(F2976="",G2976=""),"",IF(G2976&lt;='RETRATO 2027'!$K$5,"CONCLUÍDA",IF(F2976&lt;='RETRATO 2027'!$K$5,"EM ANDAMENTO","A INICIAR")))</f>
        <v/>
      </c>
    </row>
    <row r="2977">
      <c r="M2977" s="2">
        <f>IF(C2977="","",IFERROR(INDEX($S$5:$S$304,MATCH(C2977,$R$5:$R$304,0))&amp;"","?"))</f>
        <v/>
      </c>
      <c r="N2977" s="2">
        <f>IF(E2977="","",IF(ISNUMBER(SEARCH("SUBSOLO",E2977)),IFERROR(-VALUE(LEFT(E2977,FIND("º",SUBSTITUTE(E2977,"°","º"))-1)),-1),IF(LEFT(E2977,6)="TÉRREO",0,IFERROR(VALUE(LEFT(E2977,FIND("º",SUBSTITUTE(E2977,"°","º"))-1)),""))))</f>
        <v/>
      </c>
      <c r="O2977" s="2">
        <f>IF(OR(F2977="",G2977=""),"",IF(G2977&lt;='RETRATO 2027'!$K$5,"CONCLUÍDA",IF(F2977&lt;='RETRATO 2027'!$K$5,"EM ANDAMENTO","A INICIAR")))</f>
        <v/>
      </c>
    </row>
    <row r="2978">
      <c r="M2978" s="2">
        <f>IF(C2978="","",IFERROR(INDEX($S$5:$S$304,MATCH(C2978,$R$5:$R$304,0))&amp;"","?"))</f>
        <v/>
      </c>
      <c r="N2978" s="2">
        <f>IF(E2978="","",IF(ISNUMBER(SEARCH("SUBSOLO",E2978)),IFERROR(-VALUE(LEFT(E2978,FIND("º",SUBSTITUTE(E2978,"°","º"))-1)),-1),IF(LEFT(E2978,6)="TÉRREO",0,IFERROR(VALUE(LEFT(E2978,FIND("º",SUBSTITUTE(E2978,"°","º"))-1)),""))))</f>
        <v/>
      </c>
      <c r="O2978" s="2">
        <f>IF(OR(F2978="",G2978=""),"",IF(G2978&lt;='RETRATO 2027'!$K$5,"CONCLUÍDA",IF(F2978&lt;='RETRATO 2027'!$K$5,"EM ANDAMENTO","A INICIAR")))</f>
        <v/>
      </c>
    </row>
    <row r="2979">
      <c r="M2979" s="2">
        <f>IF(C2979="","",IFERROR(INDEX($S$5:$S$304,MATCH(C2979,$R$5:$R$304,0))&amp;"","?"))</f>
        <v/>
      </c>
      <c r="N2979" s="2">
        <f>IF(E2979="","",IF(ISNUMBER(SEARCH("SUBSOLO",E2979)),IFERROR(-VALUE(LEFT(E2979,FIND("º",SUBSTITUTE(E2979,"°","º"))-1)),-1),IF(LEFT(E2979,6)="TÉRREO",0,IFERROR(VALUE(LEFT(E2979,FIND("º",SUBSTITUTE(E2979,"°","º"))-1)),""))))</f>
        <v/>
      </c>
      <c r="O2979" s="2">
        <f>IF(OR(F2979="",G2979=""),"",IF(G2979&lt;='RETRATO 2027'!$K$5,"CONCLUÍDA",IF(F2979&lt;='RETRATO 2027'!$K$5,"EM ANDAMENTO","A INICIAR")))</f>
        <v/>
      </c>
    </row>
    <row r="2980">
      <c r="M2980" s="2">
        <f>IF(C2980="","",IFERROR(INDEX($S$5:$S$304,MATCH(C2980,$R$5:$R$304,0))&amp;"","?"))</f>
        <v/>
      </c>
      <c r="N2980" s="2">
        <f>IF(E2980="","",IF(ISNUMBER(SEARCH("SUBSOLO",E2980)),IFERROR(-VALUE(LEFT(E2980,FIND("º",SUBSTITUTE(E2980,"°","º"))-1)),-1),IF(LEFT(E2980,6)="TÉRREO",0,IFERROR(VALUE(LEFT(E2980,FIND("º",SUBSTITUTE(E2980,"°","º"))-1)),""))))</f>
        <v/>
      </c>
      <c r="O2980" s="2">
        <f>IF(OR(F2980="",G2980=""),"",IF(G2980&lt;='RETRATO 2027'!$K$5,"CONCLUÍDA",IF(F2980&lt;='RETRATO 2027'!$K$5,"EM ANDAMENTO","A INICIAR")))</f>
        <v/>
      </c>
    </row>
    <row r="2981">
      <c r="M2981" s="2">
        <f>IF(C2981="","",IFERROR(INDEX($S$5:$S$304,MATCH(C2981,$R$5:$R$304,0))&amp;"","?"))</f>
        <v/>
      </c>
      <c r="N2981" s="2">
        <f>IF(E2981="","",IF(ISNUMBER(SEARCH("SUBSOLO",E2981)),IFERROR(-VALUE(LEFT(E2981,FIND("º",SUBSTITUTE(E2981,"°","º"))-1)),-1),IF(LEFT(E2981,6)="TÉRREO",0,IFERROR(VALUE(LEFT(E2981,FIND("º",SUBSTITUTE(E2981,"°","º"))-1)),""))))</f>
        <v/>
      </c>
      <c r="O2981" s="2">
        <f>IF(OR(F2981="",G2981=""),"",IF(G2981&lt;='RETRATO 2027'!$K$5,"CONCLUÍDA",IF(F2981&lt;='RETRATO 2027'!$K$5,"EM ANDAMENTO","A INICIAR")))</f>
        <v/>
      </c>
    </row>
    <row r="2982">
      <c r="M2982" s="2">
        <f>IF(C2982="","",IFERROR(INDEX($S$5:$S$304,MATCH(C2982,$R$5:$R$304,0))&amp;"","?"))</f>
        <v/>
      </c>
      <c r="N2982" s="2">
        <f>IF(E2982="","",IF(ISNUMBER(SEARCH("SUBSOLO",E2982)),IFERROR(-VALUE(LEFT(E2982,FIND("º",SUBSTITUTE(E2982,"°","º"))-1)),-1),IF(LEFT(E2982,6)="TÉRREO",0,IFERROR(VALUE(LEFT(E2982,FIND("º",SUBSTITUTE(E2982,"°","º"))-1)),""))))</f>
        <v/>
      </c>
      <c r="O2982" s="2">
        <f>IF(OR(F2982="",G2982=""),"",IF(G2982&lt;='RETRATO 2027'!$K$5,"CONCLUÍDA",IF(F2982&lt;='RETRATO 2027'!$K$5,"EM ANDAMENTO","A INICIAR")))</f>
        <v/>
      </c>
    </row>
    <row r="2983">
      <c r="M2983" s="2">
        <f>IF(C2983="","",IFERROR(INDEX($S$5:$S$304,MATCH(C2983,$R$5:$R$304,0))&amp;"","?"))</f>
        <v/>
      </c>
      <c r="N2983" s="2">
        <f>IF(E2983="","",IF(ISNUMBER(SEARCH("SUBSOLO",E2983)),IFERROR(-VALUE(LEFT(E2983,FIND("º",SUBSTITUTE(E2983,"°","º"))-1)),-1),IF(LEFT(E2983,6)="TÉRREO",0,IFERROR(VALUE(LEFT(E2983,FIND("º",SUBSTITUTE(E2983,"°","º"))-1)),""))))</f>
        <v/>
      </c>
      <c r="O2983" s="2">
        <f>IF(OR(F2983="",G2983=""),"",IF(G2983&lt;='RETRATO 2027'!$K$5,"CONCLUÍDA",IF(F2983&lt;='RETRATO 2027'!$K$5,"EM ANDAMENTO","A INICIAR")))</f>
        <v/>
      </c>
    </row>
    <row r="2984">
      <c r="M2984" s="2">
        <f>IF(C2984="","",IFERROR(INDEX($S$5:$S$304,MATCH(C2984,$R$5:$R$304,0))&amp;"","?"))</f>
        <v/>
      </c>
      <c r="N2984" s="2">
        <f>IF(E2984="","",IF(ISNUMBER(SEARCH("SUBSOLO",E2984)),IFERROR(-VALUE(LEFT(E2984,FIND("º",SUBSTITUTE(E2984,"°","º"))-1)),-1),IF(LEFT(E2984,6)="TÉRREO",0,IFERROR(VALUE(LEFT(E2984,FIND("º",SUBSTITUTE(E2984,"°","º"))-1)),""))))</f>
        <v/>
      </c>
      <c r="O2984" s="2">
        <f>IF(OR(F2984="",G2984=""),"",IF(G2984&lt;='RETRATO 2027'!$K$5,"CONCLUÍDA",IF(F2984&lt;='RETRATO 2027'!$K$5,"EM ANDAMENTO","A INICIAR")))</f>
        <v/>
      </c>
    </row>
    <row r="2985">
      <c r="M2985" s="2">
        <f>IF(C2985="","",IFERROR(INDEX($S$5:$S$304,MATCH(C2985,$R$5:$R$304,0))&amp;"","?"))</f>
        <v/>
      </c>
      <c r="N2985" s="2">
        <f>IF(E2985="","",IF(ISNUMBER(SEARCH("SUBSOLO",E2985)),IFERROR(-VALUE(LEFT(E2985,FIND("º",SUBSTITUTE(E2985,"°","º"))-1)),-1),IF(LEFT(E2985,6)="TÉRREO",0,IFERROR(VALUE(LEFT(E2985,FIND("º",SUBSTITUTE(E2985,"°","º"))-1)),""))))</f>
        <v/>
      </c>
      <c r="O2985" s="2">
        <f>IF(OR(F2985="",G2985=""),"",IF(G2985&lt;='RETRATO 2027'!$K$5,"CONCLUÍDA",IF(F2985&lt;='RETRATO 2027'!$K$5,"EM ANDAMENTO","A INICIAR")))</f>
        <v/>
      </c>
    </row>
    <row r="2986">
      <c r="M2986" s="2">
        <f>IF(C2986="","",IFERROR(INDEX($S$5:$S$304,MATCH(C2986,$R$5:$R$304,0))&amp;"","?"))</f>
        <v/>
      </c>
      <c r="N2986" s="2">
        <f>IF(E2986="","",IF(ISNUMBER(SEARCH("SUBSOLO",E2986)),IFERROR(-VALUE(LEFT(E2986,FIND("º",SUBSTITUTE(E2986,"°","º"))-1)),-1),IF(LEFT(E2986,6)="TÉRREO",0,IFERROR(VALUE(LEFT(E2986,FIND("º",SUBSTITUTE(E2986,"°","º"))-1)),""))))</f>
        <v/>
      </c>
      <c r="O2986" s="2">
        <f>IF(OR(F2986="",G2986=""),"",IF(G2986&lt;='RETRATO 2027'!$K$5,"CONCLUÍDA",IF(F2986&lt;='RETRATO 2027'!$K$5,"EM ANDAMENTO","A INICIAR")))</f>
        <v/>
      </c>
    </row>
    <row r="2987">
      <c r="M2987" s="2">
        <f>IF(C2987="","",IFERROR(INDEX($S$5:$S$304,MATCH(C2987,$R$5:$R$304,0))&amp;"","?"))</f>
        <v/>
      </c>
      <c r="N2987" s="2">
        <f>IF(E2987="","",IF(ISNUMBER(SEARCH("SUBSOLO",E2987)),IFERROR(-VALUE(LEFT(E2987,FIND("º",SUBSTITUTE(E2987,"°","º"))-1)),-1),IF(LEFT(E2987,6)="TÉRREO",0,IFERROR(VALUE(LEFT(E2987,FIND("º",SUBSTITUTE(E2987,"°","º"))-1)),""))))</f>
        <v/>
      </c>
      <c r="O2987" s="2">
        <f>IF(OR(F2987="",G2987=""),"",IF(G2987&lt;='RETRATO 2027'!$K$5,"CONCLUÍDA",IF(F2987&lt;='RETRATO 2027'!$K$5,"EM ANDAMENTO","A INICIAR")))</f>
        <v/>
      </c>
    </row>
    <row r="2988">
      <c r="M2988" s="2">
        <f>IF(C2988="","",IFERROR(INDEX($S$5:$S$304,MATCH(C2988,$R$5:$R$304,0))&amp;"","?"))</f>
        <v/>
      </c>
      <c r="N2988" s="2">
        <f>IF(E2988="","",IF(ISNUMBER(SEARCH("SUBSOLO",E2988)),IFERROR(-VALUE(LEFT(E2988,FIND("º",SUBSTITUTE(E2988,"°","º"))-1)),-1),IF(LEFT(E2988,6)="TÉRREO",0,IFERROR(VALUE(LEFT(E2988,FIND("º",SUBSTITUTE(E2988,"°","º"))-1)),""))))</f>
        <v/>
      </c>
      <c r="O2988" s="2">
        <f>IF(OR(F2988="",G2988=""),"",IF(G2988&lt;='RETRATO 2027'!$K$5,"CONCLUÍDA",IF(F2988&lt;='RETRATO 2027'!$K$5,"EM ANDAMENTO","A INICIAR")))</f>
        <v/>
      </c>
    </row>
    <row r="2989">
      <c r="M2989" s="2">
        <f>IF(C2989="","",IFERROR(INDEX($S$5:$S$304,MATCH(C2989,$R$5:$R$304,0))&amp;"","?"))</f>
        <v/>
      </c>
      <c r="N2989" s="2">
        <f>IF(E2989="","",IF(ISNUMBER(SEARCH("SUBSOLO",E2989)),IFERROR(-VALUE(LEFT(E2989,FIND("º",SUBSTITUTE(E2989,"°","º"))-1)),-1),IF(LEFT(E2989,6)="TÉRREO",0,IFERROR(VALUE(LEFT(E2989,FIND("º",SUBSTITUTE(E2989,"°","º"))-1)),""))))</f>
        <v/>
      </c>
      <c r="O2989" s="2">
        <f>IF(OR(F2989="",G2989=""),"",IF(G2989&lt;='RETRATO 2027'!$K$5,"CONCLUÍDA",IF(F2989&lt;='RETRATO 2027'!$K$5,"EM ANDAMENTO","A INICIAR")))</f>
        <v/>
      </c>
    </row>
    <row r="2990">
      <c r="M2990" s="2">
        <f>IF(C2990="","",IFERROR(INDEX($S$5:$S$304,MATCH(C2990,$R$5:$R$304,0))&amp;"","?"))</f>
        <v/>
      </c>
      <c r="N2990" s="2">
        <f>IF(E2990="","",IF(ISNUMBER(SEARCH("SUBSOLO",E2990)),IFERROR(-VALUE(LEFT(E2990,FIND("º",SUBSTITUTE(E2990,"°","º"))-1)),-1),IF(LEFT(E2990,6)="TÉRREO",0,IFERROR(VALUE(LEFT(E2990,FIND("º",SUBSTITUTE(E2990,"°","º"))-1)),""))))</f>
        <v/>
      </c>
      <c r="O2990" s="2">
        <f>IF(OR(F2990="",G2990=""),"",IF(G2990&lt;='RETRATO 2027'!$K$5,"CONCLUÍDA",IF(F2990&lt;='RETRATO 2027'!$K$5,"EM ANDAMENTO","A INICIAR")))</f>
        <v/>
      </c>
    </row>
    <row r="2991">
      <c r="M2991" s="2">
        <f>IF(C2991="","",IFERROR(INDEX($S$5:$S$304,MATCH(C2991,$R$5:$R$304,0))&amp;"","?"))</f>
        <v/>
      </c>
      <c r="N2991" s="2">
        <f>IF(E2991="","",IF(ISNUMBER(SEARCH("SUBSOLO",E2991)),IFERROR(-VALUE(LEFT(E2991,FIND("º",SUBSTITUTE(E2991,"°","º"))-1)),-1),IF(LEFT(E2991,6)="TÉRREO",0,IFERROR(VALUE(LEFT(E2991,FIND("º",SUBSTITUTE(E2991,"°","º"))-1)),""))))</f>
        <v/>
      </c>
      <c r="O2991" s="2">
        <f>IF(OR(F2991="",G2991=""),"",IF(G2991&lt;='RETRATO 2027'!$K$5,"CONCLUÍDA",IF(F2991&lt;='RETRATO 2027'!$K$5,"EM ANDAMENTO","A INICIAR")))</f>
        <v/>
      </c>
    </row>
    <row r="2992">
      <c r="M2992" s="2">
        <f>IF(C2992="","",IFERROR(INDEX($S$5:$S$304,MATCH(C2992,$R$5:$R$304,0))&amp;"","?"))</f>
        <v/>
      </c>
      <c r="N2992" s="2">
        <f>IF(E2992="","",IF(ISNUMBER(SEARCH("SUBSOLO",E2992)),IFERROR(-VALUE(LEFT(E2992,FIND("º",SUBSTITUTE(E2992,"°","º"))-1)),-1),IF(LEFT(E2992,6)="TÉRREO",0,IFERROR(VALUE(LEFT(E2992,FIND("º",SUBSTITUTE(E2992,"°","º"))-1)),""))))</f>
        <v/>
      </c>
      <c r="O2992" s="2">
        <f>IF(OR(F2992="",G2992=""),"",IF(G2992&lt;='RETRATO 2027'!$K$5,"CONCLUÍDA",IF(F2992&lt;='RETRATO 2027'!$K$5,"EM ANDAMENTO","A INICIAR")))</f>
        <v/>
      </c>
    </row>
    <row r="2993">
      <c r="M2993" s="2">
        <f>IF(C2993="","",IFERROR(INDEX($S$5:$S$304,MATCH(C2993,$R$5:$R$304,0))&amp;"","?"))</f>
        <v/>
      </c>
      <c r="N2993" s="2">
        <f>IF(E2993="","",IF(ISNUMBER(SEARCH("SUBSOLO",E2993)),IFERROR(-VALUE(LEFT(E2993,FIND("º",SUBSTITUTE(E2993,"°","º"))-1)),-1),IF(LEFT(E2993,6)="TÉRREO",0,IFERROR(VALUE(LEFT(E2993,FIND("º",SUBSTITUTE(E2993,"°","º"))-1)),""))))</f>
        <v/>
      </c>
      <c r="O2993" s="2">
        <f>IF(OR(F2993="",G2993=""),"",IF(G2993&lt;='RETRATO 2027'!$K$5,"CONCLUÍDA",IF(F2993&lt;='RETRATO 2027'!$K$5,"EM ANDAMENTO","A INICIAR")))</f>
        <v/>
      </c>
    </row>
    <row r="2994">
      <c r="M2994" s="2">
        <f>IF(C2994="","",IFERROR(INDEX($S$5:$S$304,MATCH(C2994,$R$5:$R$304,0))&amp;"","?"))</f>
        <v/>
      </c>
      <c r="N2994" s="2">
        <f>IF(E2994="","",IF(ISNUMBER(SEARCH("SUBSOLO",E2994)),IFERROR(-VALUE(LEFT(E2994,FIND("º",SUBSTITUTE(E2994,"°","º"))-1)),-1),IF(LEFT(E2994,6)="TÉRREO",0,IFERROR(VALUE(LEFT(E2994,FIND("º",SUBSTITUTE(E2994,"°","º"))-1)),""))))</f>
        <v/>
      </c>
      <c r="O2994" s="2">
        <f>IF(OR(F2994="",G2994=""),"",IF(G2994&lt;='RETRATO 2027'!$K$5,"CONCLUÍDA",IF(F2994&lt;='RETRATO 2027'!$K$5,"EM ANDAMENTO","A INICIAR")))</f>
        <v/>
      </c>
    </row>
    <row r="2995">
      <c r="M2995" s="2">
        <f>IF(C2995="","",IFERROR(INDEX($S$5:$S$304,MATCH(C2995,$R$5:$R$304,0))&amp;"","?"))</f>
        <v/>
      </c>
      <c r="N2995" s="2">
        <f>IF(E2995="","",IF(ISNUMBER(SEARCH("SUBSOLO",E2995)),IFERROR(-VALUE(LEFT(E2995,FIND("º",SUBSTITUTE(E2995,"°","º"))-1)),-1),IF(LEFT(E2995,6)="TÉRREO",0,IFERROR(VALUE(LEFT(E2995,FIND("º",SUBSTITUTE(E2995,"°","º"))-1)),""))))</f>
        <v/>
      </c>
      <c r="O2995" s="2">
        <f>IF(OR(F2995="",G2995=""),"",IF(G2995&lt;='RETRATO 2027'!$K$5,"CONCLUÍDA",IF(F2995&lt;='RETRATO 2027'!$K$5,"EM ANDAMENTO","A INICIAR")))</f>
        <v/>
      </c>
    </row>
    <row r="2996">
      <c r="M2996" s="2">
        <f>IF(C2996="","",IFERROR(INDEX($S$5:$S$304,MATCH(C2996,$R$5:$R$304,0))&amp;"","?"))</f>
        <v/>
      </c>
      <c r="N2996" s="2">
        <f>IF(E2996="","",IF(ISNUMBER(SEARCH("SUBSOLO",E2996)),IFERROR(-VALUE(LEFT(E2996,FIND("º",SUBSTITUTE(E2996,"°","º"))-1)),-1),IF(LEFT(E2996,6)="TÉRREO",0,IFERROR(VALUE(LEFT(E2996,FIND("º",SUBSTITUTE(E2996,"°","º"))-1)),""))))</f>
        <v/>
      </c>
      <c r="O2996" s="2">
        <f>IF(OR(F2996="",G2996=""),"",IF(G2996&lt;='RETRATO 2027'!$K$5,"CONCLUÍDA",IF(F2996&lt;='RETRATO 2027'!$K$5,"EM ANDAMENTO","A INICIAR")))</f>
        <v/>
      </c>
    </row>
    <row r="2997">
      <c r="M2997" s="2">
        <f>IF(C2997="","",IFERROR(INDEX($S$5:$S$304,MATCH(C2997,$R$5:$R$304,0))&amp;"","?"))</f>
        <v/>
      </c>
      <c r="N2997" s="2">
        <f>IF(E2997="","",IF(ISNUMBER(SEARCH("SUBSOLO",E2997)),IFERROR(-VALUE(LEFT(E2997,FIND("º",SUBSTITUTE(E2997,"°","º"))-1)),-1),IF(LEFT(E2997,6)="TÉRREO",0,IFERROR(VALUE(LEFT(E2997,FIND("º",SUBSTITUTE(E2997,"°","º"))-1)),""))))</f>
        <v/>
      </c>
      <c r="O2997" s="2">
        <f>IF(OR(F2997="",G2997=""),"",IF(G2997&lt;='RETRATO 2027'!$K$5,"CONCLUÍDA",IF(F2997&lt;='RETRATO 2027'!$K$5,"EM ANDAMENTO","A INICIAR")))</f>
        <v/>
      </c>
    </row>
    <row r="2998">
      <c r="M2998" s="2">
        <f>IF(C2998="","",IFERROR(INDEX($S$5:$S$304,MATCH(C2998,$R$5:$R$304,0))&amp;"","?"))</f>
        <v/>
      </c>
      <c r="N2998" s="2">
        <f>IF(E2998="","",IF(ISNUMBER(SEARCH("SUBSOLO",E2998)),IFERROR(-VALUE(LEFT(E2998,FIND("º",SUBSTITUTE(E2998,"°","º"))-1)),-1),IF(LEFT(E2998,6)="TÉRREO",0,IFERROR(VALUE(LEFT(E2998,FIND("º",SUBSTITUTE(E2998,"°","º"))-1)),""))))</f>
        <v/>
      </c>
      <c r="O2998" s="2">
        <f>IF(OR(F2998="",G2998=""),"",IF(G2998&lt;='RETRATO 2027'!$K$5,"CONCLUÍDA",IF(F2998&lt;='RETRATO 2027'!$K$5,"EM ANDAMENTO","A INICIAR")))</f>
        <v/>
      </c>
    </row>
    <row r="2999">
      <c r="M2999" s="2">
        <f>IF(C2999="","",IFERROR(INDEX($S$5:$S$304,MATCH(C2999,$R$5:$R$304,0))&amp;"","?"))</f>
        <v/>
      </c>
      <c r="N2999" s="2">
        <f>IF(E2999="","",IF(ISNUMBER(SEARCH("SUBSOLO",E2999)),IFERROR(-VALUE(LEFT(E2999,FIND("º",SUBSTITUTE(E2999,"°","º"))-1)),-1),IF(LEFT(E2999,6)="TÉRREO",0,IFERROR(VALUE(LEFT(E2999,FIND("º",SUBSTITUTE(E2999,"°","º"))-1)),""))))</f>
        <v/>
      </c>
      <c r="O2999" s="2">
        <f>IF(OR(F2999="",G2999=""),"",IF(G2999&lt;='RETRATO 2027'!$K$5,"CONCLUÍDA",IF(F2999&lt;='RETRATO 2027'!$K$5,"EM ANDAMENTO","A INICIAR")))</f>
        <v/>
      </c>
    </row>
    <row r="3000">
      <c r="M3000" s="2">
        <f>IF(C3000="","",IFERROR(INDEX($S$5:$S$304,MATCH(C3000,$R$5:$R$304,0))&amp;"","?"))</f>
        <v/>
      </c>
      <c r="N3000" s="2">
        <f>IF(E3000="","",IF(ISNUMBER(SEARCH("SUBSOLO",E3000)),IFERROR(-VALUE(LEFT(E3000,FIND("º",SUBSTITUTE(E3000,"°","º"))-1)),-1),IF(LEFT(E3000,6)="TÉRREO",0,IFERROR(VALUE(LEFT(E3000,FIND("º",SUBSTITUTE(E3000,"°","º"))-1)),""))))</f>
        <v/>
      </c>
      <c r="O3000" s="2">
        <f>IF(OR(F3000="",G3000=""),"",IF(G3000&lt;='RETRATO 2027'!$K$5,"CONCLUÍDA",IF(F3000&lt;='RETRATO 2027'!$K$5,"EM ANDAMENTO","A INICIAR")))</f>
        <v/>
      </c>
    </row>
    <row r="3001">
      <c r="M3001" s="2">
        <f>IF(C3001="","",IFERROR(INDEX($S$5:$S$304,MATCH(C3001,$R$5:$R$304,0))&amp;"","?"))</f>
        <v/>
      </c>
      <c r="N3001" s="2">
        <f>IF(E3001="","",IF(ISNUMBER(SEARCH("SUBSOLO",E3001)),IFERROR(-VALUE(LEFT(E3001,FIND("º",SUBSTITUTE(E3001,"°","º"))-1)),-1),IF(LEFT(E3001,6)="TÉRREO",0,IFERROR(VALUE(LEFT(E3001,FIND("º",SUBSTITUTE(E3001,"°","º"))-1)),""))))</f>
        <v/>
      </c>
      <c r="O3001" s="2">
        <f>IF(OR(F3001="",G3001=""),"",IF(G3001&lt;='RETRATO 2027'!$K$5,"CONCLUÍDA",IF(F3001&lt;='RETRATO 2027'!$K$5,"EM ANDAMENTO","A INICIAR")))</f>
        <v/>
      </c>
    </row>
    <row r="3002">
      <c r="M3002" s="2">
        <f>IF(C3002="","",IFERROR(INDEX($S$5:$S$304,MATCH(C3002,$R$5:$R$304,0))&amp;"","?"))</f>
        <v/>
      </c>
      <c r="N3002" s="2">
        <f>IF(E3002="","",IF(ISNUMBER(SEARCH("SUBSOLO",E3002)),IFERROR(-VALUE(LEFT(E3002,FIND("º",SUBSTITUTE(E3002,"°","º"))-1)),-1),IF(LEFT(E3002,6)="TÉRREO",0,IFERROR(VALUE(LEFT(E3002,FIND("º",SUBSTITUTE(E3002,"°","º"))-1)),""))))</f>
        <v/>
      </c>
      <c r="O3002" s="2">
        <f>IF(OR(F3002="",G3002=""),"",IF(G3002&lt;='RETRATO 2027'!$K$5,"CONCLUÍDA",IF(F3002&lt;='RETRATO 2027'!$K$5,"EM ANDAMENTO","A INICIAR")))</f>
        <v/>
      </c>
    </row>
    <row r="3003">
      <c r="M3003" s="2">
        <f>IF(C3003="","",IFERROR(INDEX($S$5:$S$304,MATCH(C3003,$R$5:$R$304,0))&amp;"","?"))</f>
        <v/>
      </c>
      <c r="N3003" s="2">
        <f>IF(E3003="","",IF(ISNUMBER(SEARCH("SUBSOLO",E3003)),IFERROR(-VALUE(LEFT(E3003,FIND("º",SUBSTITUTE(E3003,"°","º"))-1)),-1),IF(LEFT(E3003,6)="TÉRREO",0,IFERROR(VALUE(LEFT(E3003,FIND("º",SUBSTITUTE(E3003,"°","º"))-1)),""))))</f>
        <v/>
      </c>
      <c r="O3003" s="2">
        <f>IF(OR(F3003="",G3003=""),"",IF(G3003&lt;='RETRATO 2027'!$K$5,"CONCLUÍDA",IF(F3003&lt;='RETRATO 2027'!$K$5,"EM ANDAMENTO","A INICIAR")))</f>
        <v/>
      </c>
    </row>
    <row r="3004">
      <c r="M3004" s="2">
        <f>IF(C3004="","",IFERROR(INDEX($S$5:$S$304,MATCH(C3004,$R$5:$R$304,0))&amp;"","?"))</f>
        <v/>
      </c>
      <c r="N3004" s="2">
        <f>IF(E3004="","",IF(ISNUMBER(SEARCH("SUBSOLO",E3004)),IFERROR(-VALUE(LEFT(E3004,FIND("º",SUBSTITUTE(E3004,"°","º"))-1)),-1),IF(LEFT(E3004,6)="TÉRREO",0,IFERROR(VALUE(LEFT(E3004,FIND("º",SUBSTITUTE(E3004,"°","º"))-1)),""))))</f>
        <v/>
      </c>
      <c r="O3004" s="2">
        <f>IF(OR(F3004="",G3004=""),"",IF(G3004&lt;='RETRATO 2027'!$K$5,"CONCLUÍDA",IF(F3004&lt;='RETRATO 2027'!$K$5,"EM ANDAMENTO","A INICIAR")))</f>
        <v/>
      </c>
    </row>
    <row r="3005">
      <c r="M3005" s="2">
        <f>IF(C3005="","",IFERROR(INDEX($S$5:$S$304,MATCH(C3005,$R$5:$R$304,0))&amp;"","?"))</f>
        <v/>
      </c>
      <c r="N3005" s="2">
        <f>IF(E3005="","",IF(ISNUMBER(SEARCH("SUBSOLO",E3005)),IFERROR(-VALUE(LEFT(E3005,FIND("º",SUBSTITUTE(E3005,"°","º"))-1)),-1),IF(LEFT(E3005,6)="TÉRREO",0,IFERROR(VALUE(LEFT(E3005,FIND("º",SUBSTITUTE(E3005,"°","º"))-1)),""))))</f>
        <v/>
      </c>
      <c r="O3005" s="2">
        <f>IF(OR(F3005="",G3005=""),"",IF(G3005&lt;='RETRATO 2027'!$K$5,"CONCLUÍDA",IF(F3005&lt;='RETRATO 2027'!$K$5,"EM ANDAMENTO","A INICIAR")))</f>
        <v/>
      </c>
    </row>
    <row r="3006">
      <c r="M3006" s="2">
        <f>IF(C3006="","",IFERROR(INDEX($S$5:$S$304,MATCH(C3006,$R$5:$R$304,0))&amp;"","?"))</f>
        <v/>
      </c>
      <c r="N3006" s="2">
        <f>IF(E3006="","",IF(ISNUMBER(SEARCH("SUBSOLO",E3006)),IFERROR(-VALUE(LEFT(E3006,FIND("º",SUBSTITUTE(E3006,"°","º"))-1)),-1),IF(LEFT(E3006,6)="TÉRREO",0,IFERROR(VALUE(LEFT(E3006,FIND("º",SUBSTITUTE(E3006,"°","º"))-1)),""))))</f>
        <v/>
      </c>
      <c r="O3006" s="2">
        <f>IF(OR(F3006="",G3006=""),"",IF(G3006&lt;='RETRATO 2027'!$K$5,"CONCLUÍDA",IF(F3006&lt;='RETRATO 2027'!$K$5,"EM ANDAMENTO","A INICIAR")))</f>
        <v/>
      </c>
    </row>
    <row r="3007">
      <c r="M3007" s="2">
        <f>IF(C3007="","",IFERROR(INDEX($S$5:$S$304,MATCH(C3007,$R$5:$R$304,0))&amp;"","?"))</f>
        <v/>
      </c>
      <c r="N3007" s="2">
        <f>IF(E3007="","",IF(ISNUMBER(SEARCH("SUBSOLO",E3007)),IFERROR(-VALUE(LEFT(E3007,FIND("º",SUBSTITUTE(E3007,"°","º"))-1)),-1),IF(LEFT(E3007,6)="TÉRREO",0,IFERROR(VALUE(LEFT(E3007,FIND("º",SUBSTITUTE(E3007,"°","º"))-1)),""))))</f>
        <v/>
      </c>
      <c r="O3007" s="2">
        <f>IF(OR(F3007="",G3007=""),"",IF(G3007&lt;='RETRATO 2027'!$K$5,"CONCLUÍDA",IF(F3007&lt;='RETRATO 2027'!$K$5,"EM ANDAMENTO","A INICIAR")))</f>
        <v/>
      </c>
    </row>
    <row r="3008">
      <c r="M3008" s="2">
        <f>IF(C3008="","",IFERROR(INDEX($S$5:$S$304,MATCH(C3008,$R$5:$R$304,0))&amp;"","?"))</f>
        <v/>
      </c>
      <c r="N3008" s="2">
        <f>IF(E3008="","",IF(ISNUMBER(SEARCH("SUBSOLO",E3008)),IFERROR(-VALUE(LEFT(E3008,FIND("º",SUBSTITUTE(E3008,"°","º"))-1)),-1),IF(LEFT(E3008,6)="TÉRREO",0,IFERROR(VALUE(LEFT(E3008,FIND("º",SUBSTITUTE(E3008,"°","º"))-1)),""))))</f>
        <v/>
      </c>
      <c r="O3008" s="2">
        <f>IF(OR(F3008="",G3008=""),"",IF(G3008&lt;='RETRATO 2027'!$K$5,"CONCLUÍDA",IF(F3008&lt;='RETRATO 2027'!$K$5,"EM ANDAMENTO","A INICIAR")))</f>
        <v/>
      </c>
    </row>
    <row r="3009">
      <c r="M3009" s="2">
        <f>IF(C3009="","",IFERROR(INDEX($S$5:$S$304,MATCH(C3009,$R$5:$R$304,0))&amp;"","?"))</f>
        <v/>
      </c>
      <c r="N3009" s="2">
        <f>IF(E3009="","",IF(ISNUMBER(SEARCH("SUBSOLO",E3009)),IFERROR(-VALUE(LEFT(E3009,FIND("º",SUBSTITUTE(E3009,"°","º"))-1)),-1),IF(LEFT(E3009,6)="TÉRREO",0,IFERROR(VALUE(LEFT(E3009,FIND("º",SUBSTITUTE(E3009,"°","º"))-1)),""))))</f>
        <v/>
      </c>
      <c r="O3009" s="2">
        <f>IF(OR(F3009="",G3009=""),"",IF(G3009&lt;='RETRATO 2027'!$K$5,"CONCLUÍDA",IF(F3009&lt;='RETRATO 2027'!$K$5,"EM ANDAMENTO","A INICIAR")))</f>
        <v/>
      </c>
    </row>
    <row r="3010">
      <c r="M3010" s="2">
        <f>IF(C3010="","",IFERROR(INDEX($S$5:$S$304,MATCH(C3010,$R$5:$R$304,0))&amp;"","?"))</f>
        <v/>
      </c>
      <c r="N3010" s="2">
        <f>IF(E3010="","",IF(ISNUMBER(SEARCH("SUBSOLO",E3010)),IFERROR(-VALUE(LEFT(E3010,FIND("º",SUBSTITUTE(E3010,"°","º"))-1)),-1),IF(LEFT(E3010,6)="TÉRREO",0,IFERROR(VALUE(LEFT(E3010,FIND("º",SUBSTITUTE(E3010,"°","º"))-1)),""))))</f>
        <v/>
      </c>
      <c r="O3010" s="2">
        <f>IF(OR(F3010="",G3010=""),"",IF(G3010&lt;='RETRATO 2027'!$K$5,"CONCLUÍDA",IF(F3010&lt;='RETRATO 2027'!$K$5,"EM ANDAMENTO","A INICIAR")))</f>
        <v/>
      </c>
    </row>
    <row r="3011">
      <c r="M3011" s="2">
        <f>IF(C3011="","",IFERROR(INDEX($S$5:$S$304,MATCH(C3011,$R$5:$R$304,0))&amp;"","?"))</f>
        <v/>
      </c>
      <c r="N3011" s="2">
        <f>IF(E3011="","",IF(ISNUMBER(SEARCH("SUBSOLO",E3011)),IFERROR(-VALUE(LEFT(E3011,FIND("º",SUBSTITUTE(E3011,"°","º"))-1)),-1),IF(LEFT(E3011,6)="TÉRREO",0,IFERROR(VALUE(LEFT(E3011,FIND("º",SUBSTITUTE(E3011,"°","º"))-1)),""))))</f>
        <v/>
      </c>
      <c r="O3011" s="2">
        <f>IF(OR(F3011="",G3011=""),"",IF(G3011&lt;='RETRATO 2027'!$K$5,"CONCLUÍDA",IF(F3011&lt;='RETRATO 2027'!$K$5,"EM ANDAMENTO","A INICIAR")))</f>
        <v/>
      </c>
    </row>
    <row r="3012">
      <c r="M3012" s="2">
        <f>IF(C3012="","",IFERROR(INDEX($S$5:$S$304,MATCH(C3012,$R$5:$R$304,0))&amp;"","?"))</f>
        <v/>
      </c>
      <c r="N3012" s="2">
        <f>IF(E3012="","",IF(ISNUMBER(SEARCH("SUBSOLO",E3012)),IFERROR(-VALUE(LEFT(E3012,FIND("º",SUBSTITUTE(E3012,"°","º"))-1)),-1),IF(LEFT(E3012,6)="TÉRREO",0,IFERROR(VALUE(LEFT(E3012,FIND("º",SUBSTITUTE(E3012,"°","º"))-1)),""))))</f>
        <v/>
      </c>
      <c r="O3012" s="2">
        <f>IF(OR(F3012="",G3012=""),"",IF(G3012&lt;='RETRATO 2027'!$K$5,"CONCLUÍDA",IF(F3012&lt;='RETRATO 2027'!$K$5,"EM ANDAMENTO","A INICIAR")))</f>
        <v/>
      </c>
    </row>
    <row r="3013">
      <c r="M3013" s="2">
        <f>IF(C3013="","",IFERROR(INDEX($S$5:$S$304,MATCH(C3013,$R$5:$R$304,0))&amp;"","?"))</f>
        <v/>
      </c>
      <c r="N3013" s="2">
        <f>IF(E3013="","",IF(ISNUMBER(SEARCH("SUBSOLO",E3013)),IFERROR(-VALUE(LEFT(E3013,FIND("º",SUBSTITUTE(E3013,"°","º"))-1)),-1),IF(LEFT(E3013,6)="TÉRREO",0,IFERROR(VALUE(LEFT(E3013,FIND("º",SUBSTITUTE(E3013,"°","º"))-1)),""))))</f>
        <v/>
      </c>
      <c r="O3013" s="2">
        <f>IF(OR(F3013="",G3013=""),"",IF(G3013&lt;='RETRATO 2027'!$K$5,"CONCLUÍDA",IF(F3013&lt;='RETRATO 2027'!$K$5,"EM ANDAMENTO","A INICIAR")))</f>
        <v/>
      </c>
    </row>
    <row r="3014">
      <c r="M3014" s="2">
        <f>IF(C3014="","",IFERROR(INDEX($S$5:$S$304,MATCH(C3014,$R$5:$R$304,0))&amp;"","?"))</f>
        <v/>
      </c>
      <c r="N3014" s="2">
        <f>IF(E3014="","",IF(ISNUMBER(SEARCH("SUBSOLO",E3014)),IFERROR(-VALUE(LEFT(E3014,FIND("º",SUBSTITUTE(E3014,"°","º"))-1)),-1),IF(LEFT(E3014,6)="TÉRREO",0,IFERROR(VALUE(LEFT(E3014,FIND("º",SUBSTITUTE(E3014,"°","º"))-1)),""))))</f>
        <v/>
      </c>
      <c r="O3014" s="2">
        <f>IF(OR(F3014="",G3014=""),"",IF(G3014&lt;='RETRATO 2027'!$K$5,"CONCLUÍDA",IF(F3014&lt;='RETRATO 2027'!$K$5,"EM ANDAMENTO","A INICIAR")))</f>
        <v/>
      </c>
    </row>
    <row r="3015">
      <c r="M3015" s="2">
        <f>IF(C3015="","",IFERROR(INDEX($S$5:$S$304,MATCH(C3015,$R$5:$R$304,0))&amp;"","?"))</f>
        <v/>
      </c>
      <c r="N3015" s="2">
        <f>IF(E3015="","",IF(ISNUMBER(SEARCH("SUBSOLO",E3015)),IFERROR(-VALUE(LEFT(E3015,FIND("º",SUBSTITUTE(E3015,"°","º"))-1)),-1),IF(LEFT(E3015,6)="TÉRREO",0,IFERROR(VALUE(LEFT(E3015,FIND("º",SUBSTITUTE(E3015,"°","º"))-1)),""))))</f>
        <v/>
      </c>
      <c r="O3015" s="2">
        <f>IF(OR(F3015="",G3015=""),"",IF(G3015&lt;='RETRATO 2027'!$K$5,"CONCLUÍDA",IF(F3015&lt;='RETRATO 2027'!$K$5,"EM ANDAMENTO","A INICIAR")))</f>
        <v/>
      </c>
    </row>
    <row r="3016">
      <c r="M3016" s="2">
        <f>IF(C3016="","",IFERROR(INDEX($S$5:$S$304,MATCH(C3016,$R$5:$R$304,0))&amp;"","?"))</f>
        <v/>
      </c>
      <c r="N3016" s="2">
        <f>IF(E3016="","",IF(ISNUMBER(SEARCH("SUBSOLO",E3016)),IFERROR(-VALUE(LEFT(E3016,FIND("º",SUBSTITUTE(E3016,"°","º"))-1)),-1),IF(LEFT(E3016,6)="TÉRREO",0,IFERROR(VALUE(LEFT(E3016,FIND("º",SUBSTITUTE(E3016,"°","º"))-1)),""))))</f>
        <v/>
      </c>
      <c r="O3016" s="2">
        <f>IF(OR(F3016="",G3016=""),"",IF(G3016&lt;='RETRATO 2027'!$K$5,"CONCLUÍDA",IF(F3016&lt;='RETRATO 2027'!$K$5,"EM ANDAMENTO","A INICIAR")))</f>
        <v/>
      </c>
    </row>
    <row r="3017">
      <c r="M3017" s="2">
        <f>IF(C3017="","",IFERROR(INDEX($S$5:$S$304,MATCH(C3017,$R$5:$R$304,0))&amp;"","?"))</f>
        <v/>
      </c>
      <c r="N3017" s="2">
        <f>IF(E3017="","",IF(ISNUMBER(SEARCH("SUBSOLO",E3017)),IFERROR(-VALUE(LEFT(E3017,FIND("º",SUBSTITUTE(E3017,"°","º"))-1)),-1),IF(LEFT(E3017,6)="TÉRREO",0,IFERROR(VALUE(LEFT(E3017,FIND("º",SUBSTITUTE(E3017,"°","º"))-1)),""))))</f>
        <v/>
      </c>
      <c r="O3017" s="2">
        <f>IF(OR(F3017="",G3017=""),"",IF(G3017&lt;='RETRATO 2027'!$K$5,"CONCLUÍDA",IF(F3017&lt;='RETRATO 2027'!$K$5,"EM ANDAMENTO","A INICIAR")))</f>
        <v/>
      </c>
    </row>
    <row r="3018">
      <c r="M3018" s="2">
        <f>IF(C3018="","",IFERROR(INDEX($S$5:$S$304,MATCH(C3018,$R$5:$R$304,0))&amp;"","?"))</f>
        <v/>
      </c>
      <c r="N3018" s="2">
        <f>IF(E3018="","",IF(ISNUMBER(SEARCH("SUBSOLO",E3018)),IFERROR(-VALUE(LEFT(E3018,FIND("º",SUBSTITUTE(E3018,"°","º"))-1)),-1),IF(LEFT(E3018,6)="TÉRREO",0,IFERROR(VALUE(LEFT(E3018,FIND("º",SUBSTITUTE(E3018,"°","º"))-1)),""))))</f>
        <v/>
      </c>
      <c r="O3018" s="2">
        <f>IF(OR(F3018="",G3018=""),"",IF(G3018&lt;='RETRATO 2027'!$K$5,"CONCLUÍDA",IF(F3018&lt;='RETRATO 2027'!$K$5,"EM ANDAMENTO","A INICIAR")))</f>
        <v/>
      </c>
    </row>
    <row r="3019">
      <c r="M3019" s="2">
        <f>IF(C3019="","",IFERROR(INDEX($S$5:$S$304,MATCH(C3019,$R$5:$R$304,0))&amp;"","?"))</f>
        <v/>
      </c>
      <c r="N3019" s="2">
        <f>IF(E3019="","",IF(ISNUMBER(SEARCH("SUBSOLO",E3019)),IFERROR(-VALUE(LEFT(E3019,FIND("º",SUBSTITUTE(E3019,"°","º"))-1)),-1),IF(LEFT(E3019,6)="TÉRREO",0,IFERROR(VALUE(LEFT(E3019,FIND("º",SUBSTITUTE(E3019,"°","º"))-1)),""))))</f>
        <v/>
      </c>
      <c r="O3019" s="2">
        <f>IF(OR(F3019="",G3019=""),"",IF(G3019&lt;='RETRATO 2027'!$K$5,"CONCLUÍDA",IF(F3019&lt;='RETRATO 2027'!$K$5,"EM ANDAMENTO","A INICIAR")))</f>
        <v/>
      </c>
    </row>
    <row r="3020">
      <c r="M3020" s="2">
        <f>IF(C3020="","",IFERROR(INDEX($S$5:$S$304,MATCH(C3020,$R$5:$R$304,0))&amp;"","?"))</f>
        <v/>
      </c>
      <c r="N3020" s="2">
        <f>IF(E3020="","",IF(ISNUMBER(SEARCH("SUBSOLO",E3020)),IFERROR(-VALUE(LEFT(E3020,FIND("º",SUBSTITUTE(E3020,"°","º"))-1)),-1),IF(LEFT(E3020,6)="TÉRREO",0,IFERROR(VALUE(LEFT(E3020,FIND("º",SUBSTITUTE(E3020,"°","º"))-1)),""))))</f>
        <v/>
      </c>
      <c r="O3020" s="2">
        <f>IF(OR(F3020="",G3020=""),"",IF(G3020&lt;='RETRATO 2027'!$K$5,"CONCLUÍDA",IF(F3020&lt;='RETRATO 2027'!$K$5,"EM ANDAMENTO","A INICIAR")))</f>
        <v/>
      </c>
    </row>
    <row r="3021">
      <c r="M3021" s="2">
        <f>IF(C3021="","",IFERROR(INDEX($S$5:$S$304,MATCH(C3021,$R$5:$R$304,0))&amp;"","?"))</f>
        <v/>
      </c>
      <c r="N3021" s="2">
        <f>IF(E3021="","",IF(ISNUMBER(SEARCH("SUBSOLO",E3021)),IFERROR(-VALUE(LEFT(E3021,FIND("º",SUBSTITUTE(E3021,"°","º"))-1)),-1),IF(LEFT(E3021,6)="TÉRREO",0,IFERROR(VALUE(LEFT(E3021,FIND("º",SUBSTITUTE(E3021,"°","º"))-1)),""))))</f>
        <v/>
      </c>
      <c r="O3021" s="2">
        <f>IF(OR(F3021="",G3021=""),"",IF(G3021&lt;='RETRATO 2027'!$K$5,"CONCLUÍDA",IF(F3021&lt;='RETRATO 2027'!$K$5,"EM ANDAMENTO","A INICIAR")))</f>
        <v/>
      </c>
    </row>
    <row r="3022">
      <c r="M3022" s="2">
        <f>IF(C3022="","",IFERROR(INDEX($S$5:$S$304,MATCH(C3022,$R$5:$R$304,0))&amp;"","?"))</f>
        <v/>
      </c>
      <c r="N3022" s="2">
        <f>IF(E3022="","",IF(ISNUMBER(SEARCH("SUBSOLO",E3022)),IFERROR(-VALUE(LEFT(E3022,FIND("º",SUBSTITUTE(E3022,"°","º"))-1)),-1),IF(LEFT(E3022,6)="TÉRREO",0,IFERROR(VALUE(LEFT(E3022,FIND("º",SUBSTITUTE(E3022,"°","º"))-1)),""))))</f>
        <v/>
      </c>
      <c r="O3022" s="2">
        <f>IF(OR(F3022="",G3022=""),"",IF(G3022&lt;='RETRATO 2027'!$K$5,"CONCLUÍDA",IF(F3022&lt;='RETRATO 2027'!$K$5,"EM ANDAMENTO","A INICIAR")))</f>
        <v/>
      </c>
    </row>
    <row r="3023">
      <c r="M3023" s="2">
        <f>IF(C3023="","",IFERROR(INDEX($S$5:$S$304,MATCH(C3023,$R$5:$R$304,0))&amp;"","?"))</f>
        <v/>
      </c>
      <c r="N3023" s="2">
        <f>IF(E3023="","",IF(ISNUMBER(SEARCH("SUBSOLO",E3023)),IFERROR(-VALUE(LEFT(E3023,FIND("º",SUBSTITUTE(E3023,"°","º"))-1)),-1),IF(LEFT(E3023,6)="TÉRREO",0,IFERROR(VALUE(LEFT(E3023,FIND("º",SUBSTITUTE(E3023,"°","º"))-1)),""))))</f>
        <v/>
      </c>
      <c r="O3023" s="2">
        <f>IF(OR(F3023="",G3023=""),"",IF(G3023&lt;='RETRATO 2027'!$K$5,"CONCLUÍDA",IF(F3023&lt;='RETRATO 2027'!$K$5,"EM ANDAMENTO","A INICIAR")))</f>
        <v/>
      </c>
    </row>
    <row r="3024">
      <c r="M3024" s="2">
        <f>IF(C3024="","",IFERROR(INDEX($S$5:$S$304,MATCH(C3024,$R$5:$R$304,0))&amp;"","?"))</f>
        <v/>
      </c>
      <c r="N3024" s="2">
        <f>IF(E3024="","",IF(ISNUMBER(SEARCH("SUBSOLO",E3024)),IFERROR(-VALUE(LEFT(E3024,FIND("º",SUBSTITUTE(E3024,"°","º"))-1)),-1),IF(LEFT(E3024,6)="TÉRREO",0,IFERROR(VALUE(LEFT(E3024,FIND("º",SUBSTITUTE(E3024,"°","º"))-1)),""))))</f>
        <v/>
      </c>
      <c r="O3024" s="2">
        <f>IF(OR(F3024="",G3024=""),"",IF(G3024&lt;='RETRATO 2027'!$K$5,"CONCLUÍDA",IF(F3024&lt;='RETRATO 2027'!$K$5,"EM ANDAMENTO","A INICIAR")))</f>
        <v/>
      </c>
    </row>
    <row r="3025">
      <c r="M3025" s="2">
        <f>IF(C3025="","",IFERROR(INDEX($S$5:$S$304,MATCH(C3025,$R$5:$R$304,0))&amp;"","?"))</f>
        <v/>
      </c>
      <c r="N3025" s="2">
        <f>IF(E3025="","",IF(ISNUMBER(SEARCH("SUBSOLO",E3025)),IFERROR(-VALUE(LEFT(E3025,FIND("º",SUBSTITUTE(E3025,"°","º"))-1)),-1),IF(LEFT(E3025,6)="TÉRREO",0,IFERROR(VALUE(LEFT(E3025,FIND("º",SUBSTITUTE(E3025,"°","º"))-1)),""))))</f>
        <v/>
      </c>
      <c r="O3025" s="2">
        <f>IF(OR(F3025="",G3025=""),"",IF(G3025&lt;='RETRATO 2027'!$K$5,"CONCLUÍDA",IF(F3025&lt;='RETRATO 2027'!$K$5,"EM ANDAMENTO","A INICIAR")))</f>
        <v/>
      </c>
    </row>
    <row r="3026">
      <c r="M3026" s="2">
        <f>IF(C3026="","",IFERROR(INDEX($S$5:$S$304,MATCH(C3026,$R$5:$R$304,0))&amp;"","?"))</f>
        <v/>
      </c>
      <c r="N3026" s="2">
        <f>IF(E3026="","",IF(ISNUMBER(SEARCH("SUBSOLO",E3026)),IFERROR(-VALUE(LEFT(E3026,FIND("º",SUBSTITUTE(E3026,"°","º"))-1)),-1),IF(LEFT(E3026,6)="TÉRREO",0,IFERROR(VALUE(LEFT(E3026,FIND("º",SUBSTITUTE(E3026,"°","º"))-1)),""))))</f>
        <v/>
      </c>
      <c r="O3026" s="2">
        <f>IF(OR(F3026="",G3026=""),"",IF(G3026&lt;='RETRATO 2027'!$K$5,"CONCLUÍDA",IF(F3026&lt;='RETRATO 2027'!$K$5,"EM ANDAMENTO","A INICIAR")))</f>
        <v/>
      </c>
    </row>
    <row r="3027">
      <c r="M3027" s="2">
        <f>IF(C3027="","",IFERROR(INDEX($S$5:$S$304,MATCH(C3027,$R$5:$R$304,0))&amp;"","?"))</f>
        <v/>
      </c>
      <c r="N3027" s="2">
        <f>IF(E3027="","",IF(ISNUMBER(SEARCH("SUBSOLO",E3027)),IFERROR(-VALUE(LEFT(E3027,FIND("º",SUBSTITUTE(E3027,"°","º"))-1)),-1),IF(LEFT(E3027,6)="TÉRREO",0,IFERROR(VALUE(LEFT(E3027,FIND("º",SUBSTITUTE(E3027,"°","º"))-1)),""))))</f>
        <v/>
      </c>
      <c r="O3027" s="2">
        <f>IF(OR(F3027="",G3027=""),"",IF(G3027&lt;='RETRATO 2027'!$K$5,"CONCLUÍDA",IF(F3027&lt;='RETRATO 2027'!$K$5,"EM ANDAMENTO","A INICIAR")))</f>
        <v/>
      </c>
    </row>
    <row r="3028">
      <c r="M3028" s="2">
        <f>IF(C3028="","",IFERROR(INDEX($S$5:$S$304,MATCH(C3028,$R$5:$R$304,0))&amp;"","?"))</f>
        <v/>
      </c>
      <c r="N3028" s="2">
        <f>IF(E3028="","",IF(ISNUMBER(SEARCH("SUBSOLO",E3028)),IFERROR(-VALUE(LEFT(E3028,FIND("º",SUBSTITUTE(E3028,"°","º"))-1)),-1),IF(LEFT(E3028,6)="TÉRREO",0,IFERROR(VALUE(LEFT(E3028,FIND("º",SUBSTITUTE(E3028,"°","º"))-1)),""))))</f>
        <v/>
      </c>
      <c r="O3028" s="2">
        <f>IF(OR(F3028="",G3028=""),"",IF(G3028&lt;='RETRATO 2027'!$K$5,"CONCLUÍDA",IF(F3028&lt;='RETRATO 2027'!$K$5,"EM ANDAMENTO","A INICIAR")))</f>
        <v/>
      </c>
    </row>
    <row r="3029">
      <c r="M3029" s="2">
        <f>IF(C3029="","",IFERROR(INDEX($S$5:$S$304,MATCH(C3029,$R$5:$R$304,0))&amp;"","?"))</f>
        <v/>
      </c>
      <c r="N3029" s="2">
        <f>IF(E3029="","",IF(ISNUMBER(SEARCH("SUBSOLO",E3029)),IFERROR(-VALUE(LEFT(E3029,FIND("º",SUBSTITUTE(E3029,"°","º"))-1)),-1),IF(LEFT(E3029,6)="TÉRREO",0,IFERROR(VALUE(LEFT(E3029,FIND("º",SUBSTITUTE(E3029,"°","º"))-1)),""))))</f>
        <v/>
      </c>
      <c r="O3029" s="2">
        <f>IF(OR(F3029="",G3029=""),"",IF(G3029&lt;='RETRATO 2027'!$K$5,"CONCLUÍDA",IF(F3029&lt;='RETRATO 2027'!$K$5,"EM ANDAMENTO","A INICIAR")))</f>
        <v/>
      </c>
    </row>
    <row r="3030">
      <c r="M3030" s="2">
        <f>IF(C3030="","",IFERROR(INDEX($S$5:$S$304,MATCH(C3030,$R$5:$R$304,0))&amp;"","?"))</f>
        <v/>
      </c>
      <c r="N3030" s="2">
        <f>IF(E3030="","",IF(ISNUMBER(SEARCH("SUBSOLO",E3030)),IFERROR(-VALUE(LEFT(E3030,FIND("º",SUBSTITUTE(E3030,"°","º"))-1)),-1),IF(LEFT(E3030,6)="TÉRREO",0,IFERROR(VALUE(LEFT(E3030,FIND("º",SUBSTITUTE(E3030,"°","º"))-1)),""))))</f>
        <v/>
      </c>
      <c r="O3030" s="2">
        <f>IF(OR(F3030="",G3030=""),"",IF(G3030&lt;='RETRATO 2027'!$K$5,"CONCLUÍDA",IF(F3030&lt;='RETRATO 2027'!$K$5,"EM ANDAMENTO","A INICIAR")))</f>
        <v/>
      </c>
    </row>
    <row r="3031">
      <c r="M3031" s="2">
        <f>IF(C3031="","",IFERROR(INDEX($S$5:$S$304,MATCH(C3031,$R$5:$R$304,0))&amp;"","?"))</f>
        <v/>
      </c>
      <c r="N3031" s="2">
        <f>IF(E3031="","",IF(ISNUMBER(SEARCH("SUBSOLO",E3031)),IFERROR(-VALUE(LEFT(E3031,FIND("º",SUBSTITUTE(E3031,"°","º"))-1)),-1),IF(LEFT(E3031,6)="TÉRREO",0,IFERROR(VALUE(LEFT(E3031,FIND("º",SUBSTITUTE(E3031,"°","º"))-1)),""))))</f>
        <v/>
      </c>
      <c r="O3031" s="2">
        <f>IF(OR(F3031="",G3031=""),"",IF(G3031&lt;='RETRATO 2027'!$K$5,"CONCLUÍDA",IF(F3031&lt;='RETRATO 2027'!$K$5,"EM ANDAMENTO","A INICIAR")))</f>
        <v/>
      </c>
    </row>
    <row r="3032">
      <c r="M3032" s="2">
        <f>IF(C3032="","",IFERROR(INDEX($S$5:$S$304,MATCH(C3032,$R$5:$R$304,0))&amp;"","?"))</f>
        <v/>
      </c>
      <c r="N3032" s="2">
        <f>IF(E3032="","",IF(ISNUMBER(SEARCH("SUBSOLO",E3032)),IFERROR(-VALUE(LEFT(E3032,FIND("º",SUBSTITUTE(E3032,"°","º"))-1)),-1),IF(LEFT(E3032,6)="TÉRREO",0,IFERROR(VALUE(LEFT(E3032,FIND("º",SUBSTITUTE(E3032,"°","º"))-1)),""))))</f>
        <v/>
      </c>
      <c r="O3032" s="2">
        <f>IF(OR(F3032="",G3032=""),"",IF(G3032&lt;='RETRATO 2027'!$K$5,"CONCLUÍDA",IF(F3032&lt;='RETRATO 2027'!$K$5,"EM ANDAMENTO","A INICIAR")))</f>
        <v/>
      </c>
    </row>
    <row r="3033">
      <c r="M3033" s="2">
        <f>IF(C3033="","",IFERROR(INDEX($S$5:$S$304,MATCH(C3033,$R$5:$R$304,0))&amp;"","?"))</f>
        <v/>
      </c>
      <c r="N3033" s="2">
        <f>IF(E3033="","",IF(ISNUMBER(SEARCH("SUBSOLO",E3033)),IFERROR(-VALUE(LEFT(E3033,FIND("º",SUBSTITUTE(E3033,"°","º"))-1)),-1),IF(LEFT(E3033,6)="TÉRREO",0,IFERROR(VALUE(LEFT(E3033,FIND("º",SUBSTITUTE(E3033,"°","º"))-1)),""))))</f>
        <v/>
      </c>
      <c r="O3033" s="2">
        <f>IF(OR(F3033="",G3033=""),"",IF(G3033&lt;='RETRATO 2027'!$K$5,"CONCLUÍDA",IF(F3033&lt;='RETRATO 2027'!$K$5,"EM ANDAMENTO","A INICIAR")))</f>
        <v/>
      </c>
    </row>
    <row r="3034">
      <c r="M3034" s="2">
        <f>IF(C3034="","",IFERROR(INDEX($S$5:$S$304,MATCH(C3034,$R$5:$R$304,0))&amp;"","?"))</f>
        <v/>
      </c>
      <c r="N3034" s="2">
        <f>IF(E3034="","",IF(ISNUMBER(SEARCH("SUBSOLO",E3034)),IFERROR(-VALUE(LEFT(E3034,FIND("º",SUBSTITUTE(E3034,"°","º"))-1)),-1),IF(LEFT(E3034,6)="TÉRREO",0,IFERROR(VALUE(LEFT(E3034,FIND("º",SUBSTITUTE(E3034,"°","º"))-1)),""))))</f>
        <v/>
      </c>
      <c r="O3034" s="2">
        <f>IF(OR(F3034="",G3034=""),"",IF(G3034&lt;='RETRATO 2027'!$K$5,"CONCLUÍDA",IF(F3034&lt;='RETRATO 2027'!$K$5,"EM ANDAMENTO","A INICIAR")))</f>
        <v/>
      </c>
    </row>
    <row r="3035">
      <c r="M3035" s="2">
        <f>IF(C3035="","",IFERROR(INDEX($S$5:$S$304,MATCH(C3035,$R$5:$R$304,0))&amp;"","?"))</f>
        <v/>
      </c>
      <c r="N3035" s="2">
        <f>IF(E3035="","",IF(ISNUMBER(SEARCH("SUBSOLO",E3035)),IFERROR(-VALUE(LEFT(E3035,FIND("º",SUBSTITUTE(E3035,"°","º"))-1)),-1),IF(LEFT(E3035,6)="TÉRREO",0,IFERROR(VALUE(LEFT(E3035,FIND("º",SUBSTITUTE(E3035,"°","º"))-1)),""))))</f>
        <v/>
      </c>
      <c r="O3035" s="2">
        <f>IF(OR(F3035="",G3035=""),"",IF(G3035&lt;='RETRATO 2027'!$K$5,"CONCLUÍDA",IF(F3035&lt;='RETRATO 2027'!$K$5,"EM ANDAMENTO","A INICIAR")))</f>
        <v/>
      </c>
    </row>
    <row r="3036">
      <c r="M3036" s="2">
        <f>IF(C3036="","",IFERROR(INDEX($S$5:$S$304,MATCH(C3036,$R$5:$R$304,0))&amp;"","?"))</f>
        <v/>
      </c>
      <c r="N3036" s="2">
        <f>IF(E3036="","",IF(ISNUMBER(SEARCH("SUBSOLO",E3036)),IFERROR(-VALUE(LEFT(E3036,FIND("º",SUBSTITUTE(E3036,"°","º"))-1)),-1),IF(LEFT(E3036,6)="TÉRREO",0,IFERROR(VALUE(LEFT(E3036,FIND("º",SUBSTITUTE(E3036,"°","º"))-1)),""))))</f>
        <v/>
      </c>
      <c r="O3036" s="2">
        <f>IF(OR(F3036="",G3036=""),"",IF(G3036&lt;='RETRATO 2027'!$K$5,"CONCLUÍDA",IF(F3036&lt;='RETRATO 2027'!$K$5,"EM ANDAMENTO","A INICIAR")))</f>
        <v/>
      </c>
    </row>
    <row r="3037">
      <c r="M3037" s="2">
        <f>IF(C3037="","",IFERROR(INDEX($S$5:$S$304,MATCH(C3037,$R$5:$R$304,0))&amp;"","?"))</f>
        <v/>
      </c>
      <c r="N3037" s="2">
        <f>IF(E3037="","",IF(ISNUMBER(SEARCH("SUBSOLO",E3037)),IFERROR(-VALUE(LEFT(E3037,FIND("º",SUBSTITUTE(E3037,"°","º"))-1)),-1),IF(LEFT(E3037,6)="TÉRREO",0,IFERROR(VALUE(LEFT(E3037,FIND("º",SUBSTITUTE(E3037,"°","º"))-1)),""))))</f>
        <v/>
      </c>
      <c r="O3037" s="2">
        <f>IF(OR(F3037="",G3037=""),"",IF(G3037&lt;='RETRATO 2027'!$K$5,"CONCLUÍDA",IF(F3037&lt;='RETRATO 2027'!$K$5,"EM ANDAMENTO","A INICIAR")))</f>
        <v/>
      </c>
    </row>
    <row r="3038">
      <c r="M3038" s="2">
        <f>IF(C3038="","",IFERROR(INDEX($S$5:$S$304,MATCH(C3038,$R$5:$R$304,0))&amp;"","?"))</f>
        <v/>
      </c>
      <c r="N3038" s="2">
        <f>IF(E3038="","",IF(ISNUMBER(SEARCH("SUBSOLO",E3038)),IFERROR(-VALUE(LEFT(E3038,FIND("º",SUBSTITUTE(E3038,"°","º"))-1)),-1),IF(LEFT(E3038,6)="TÉRREO",0,IFERROR(VALUE(LEFT(E3038,FIND("º",SUBSTITUTE(E3038,"°","º"))-1)),""))))</f>
        <v/>
      </c>
      <c r="O3038" s="2">
        <f>IF(OR(F3038="",G3038=""),"",IF(G3038&lt;='RETRATO 2027'!$K$5,"CONCLUÍDA",IF(F3038&lt;='RETRATO 2027'!$K$5,"EM ANDAMENTO","A INICIAR")))</f>
        <v/>
      </c>
    </row>
    <row r="3039">
      <c r="M3039" s="2">
        <f>IF(C3039="","",IFERROR(INDEX($S$5:$S$304,MATCH(C3039,$R$5:$R$304,0))&amp;"","?"))</f>
        <v/>
      </c>
      <c r="N3039" s="2">
        <f>IF(E3039="","",IF(ISNUMBER(SEARCH("SUBSOLO",E3039)),IFERROR(-VALUE(LEFT(E3039,FIND("º",SUBSTITUTE(E3039,"°","º"))-1)),-1),IF(LEFT(E3039,6)="TÉRREO",0,IFERROR(VALUE(LEFT(E3039,FIND("º",SUBSTITUTE(E3039,"°","º"))-1)),""))))</f>
        <v/>
      </c>
      <c r="O3039" s="2">
        <f>IF(OR(F3039="",G3039=""),"",IF(G3039&lt;='RETRATO 2027'!$K$5,"CONCLUÍDA",IF(F3039&lt;='RETRATO 2027'!$K$5,"EM ANDAMENTO","A INICIAR")))</f>
        <v/>
      </c>
    </row>
    <row r="3040">
      <c r="M3040" s="2">
        <f>IF(C3040="","",IFERROR(INDEX($S$5:$S$304,MATCH(C3040,$R$5:$R$304,0))&amp;"","?"))</f>
        <v/>
      </c>
      <c r="N3040" s="2">
        <f>IF(E3040="","",IF(ISNUMBER(SEARCH("SUBSOLO",E3040)),IFERROR(-VALUE(LEFT(E3040,FIND("º",SUBSTITUTE(E3040,"°","º"))-1)),-1),IF(LEFT(E3040,6)="TÉRREO",0,IFERROR(VALUE(LEFT(E3040,FIND("º",SUBSTITUTE(E3040,"°","º"))-1)),""))))</f>
        <v/>
      </c>
      <c r="O3040" s="2">
        <f>IF(OR(F3040="",G3040=""),"",IF(G3040&lt;='RETRATO 2027'!$K$5,"CONCLUÍDA",IF(F3040&lt;='RETRATO 2027'!$K$5,"EM ANDAMENTO","A INICIAR")))</f>
        <v/>
      </c>
    </row>
    <row r="3041">
      <c r="M3041" s="2">
        <f>IF(C3041="","",IFERROR(INDEX($S$5:$S$304,MATCH(C3041,$R$5:$R$304,0))&amp;"","?"))</f>
        <v/>
      </c>
      <c r="N3041" s="2">
        <f>IF(E3041="","",IF(ISNUMBER(SEARCH("SUBSOLO",E3041)),IFERROR(-VALUE(LEFT(E3041,FIND("º",SUBSTITUTE(E3041,"°","º"))-1)),-1),IF(LEFT(E3041,6)="TÉRREO",0,IFERROR(VALUE(LEFT(E3041,FIND("º",SUBSTITUTE(E3041,"°","º"))-1)),""))))</f>
        <v/>
      </c>
      <c r="O3041" s="2">
        <f>IF(OR(F3041="",G3041=""),"",IF(G3041&lt;='RETRATO 2027'!$K$5,"CONCLUÍDA",IF(F3041&lt;='RETRATO 2027'!$K$5,"EM ANDAMENTO","A INICIAR")))</f>
        <v/>
      </c>
    </row>
    <row r="3042">
      <c r="M3042" s="2">
        <f>IF(C3042="","",IFERROR(INDEX($S$5:$S$304,MATCH(C3042,$R$5:$R$304,0))&amp;"","?"))</f>
        <v/>
      </c>
      <c r="N3042" s="2">
        <f>IF(E3042="","",IF(ISNUMBER(SEARCH("SUBSOLO",E3042)),IFERROR(-VALUE(LEFT(E3042,FIND("º",SUBSTITUTE(E3042,"°","º"))-1)),-1),IF(LEFT(E3042,6)="TÉRREO",0,IFERROR(VALUE(LEFT(E3042,FIND("º",SUBSTITUTE(E3042,"°","º"))-1)),""))))</f>
        <v/>
      </c>
      <c r="O3042" s="2">
        <f>IF(OR(F3042="",G3042=""),"",IF(G3042&lt;='RETRATO 2027'!$K$5,"CONCLUÍDA",IF(F3042&lt;='RETRATO 2027'!$K$5,"EM ANDAMENTO","A INICIAR")))</f>
        <v/>
      </c>
    </row>
    <row r="3043">
      <c r="M3043" s="2">
        <f>IF(C3043="","",IFERROR(INDEX($S$5:$S$304,MATCH(C3043,$R$5:$R$304,0))&amp;"","?"))</f>
        <v/>
      </c>
      <c r="N3043" s="2">
        <f>IF(E3043="","",IF(ISNUMBER(SEARCH("SUBSOLO",E3043)),IFERROR(-VALUE(LEFT(E3043,FIND("º",SUBSTITUTE(E3043,"°","º"))-1)),-1),IF(LEFT(E3043,6)="TÉRREO",0,IFERROR(VALUE(LEFT(E3043,FIND("º",SUBSTITUTE(E3043,"°","º"))-1)),""))))</f>
        <v/>
      </c>
      <c r="O3043" s="2">
        <f>IF(OR(F3043="",G3043=""),"",IF(G3043&lt;='RETRATO 2027'!$K$5,"CONCLUÍDA",IF(F3043&lt;='RETRATO 2027'!$K$5,"EM ANDAMENTO","A INICIAR")))</f>
        <v/>
      </c>
    </row>
    <row r="3044">
      <c r="M3044" s="2">
        <f>IF(C3044="","",IFERROR(INDEX($S$5:$S$304,MATCH(C3044,$R$5:$R$304,0))&amp;"","?"))</f>
        <v/>
      </c>
      <c r="N3044" s="2">
        <f>IF(E3044="","",IF(ISNUMBER(SEARCH("SUBSOLO",E3044)),IFERROR(-VALUE(LEFT(E3044,FIND("º",SUBSTITUTE(E3044,"°","º"))-1)),-1),IF(LEFT(E3044,6)="TÉRREO",0,IFERROR(VALUE(LEFT(E3044,FIND("º",SUBSTITUTE(E3044,"°","º"))-1)),""))))</f>
        <v/>
      </c>
      <c r="O3044" s="2">
        <f>IF(OR(F3044="",G3044=""),"",IF(G3044&lt;='RETRATO 2027'!$K$5,"CONCLUÍDA",IF(F3044&lt;='RETRATO 2027'!$K$5,"EM ANDAMENTO","A INICIAR")))</f>
        <v/>
      </c>
    </row>
    <row r="3045">
      <c r="M3045" s="2">
        <f>IF(C3045="","",IFERROR(INDEX($S$5:$S$304,MATCH(C3045,$R$5:$R$304,0))&amp;"","?"))</f>
        <v/>
      </c>
      <c r="N3045" s="2">
        <f>IF(E3045="","",IF(ISNUMBER(SEARCH("SUBSOLO",E3045)),IFERROR(-VALUE(LEFT(E3045,FIND("º",SUBSTITUTE(E3045,"°","º"))-1)),-1),IF(LEFT(E3045,6)="TÉRREO",0,IFERROR(VALUE(LEFT(E3045,FIND("º",SUBSTITUTE(E3045,"°","º"))-1)),""))))</f>
        <v/>
      </c>
      <c r="O3045" s="2">
        <f>IF(OR(F3045="",G3045=""),"",IF(G3045&lt;='RETRATO 2027'!$K$5,"CONCLUÍDA",IF(F3045&lt;='RETRATO 2027'!$K$5,"EM ANDAMENTO","A INICIAR")))</f>
        <v/>
      </c>
    </row>
    <row r="3046">
      <c r="M3046" s="2">
        <f>IF(C3046="","",IFERROR(INDEX($S$5:$S$304,MATCH(C3046,$R$5:$R$304,0))&amp;"","?"))</f>
        <v/>
      </c>
      <c r="N3046" s="2">
        <f>IF(E3046="","",IF(ISNUMBER(SEARCH("SUBSOLO",E3046)),IFERROR(-VALUE(LEFT(E3046,FIND("º",SUBSTITUTE(E3046,"°","º"))-1)),-1),IF(LEFT(E3046,6)="TÉRREO",0,IFERROR(VALUE(LEFT(E3046,FIND("º",SUBSTITUTE(E3046,"°","º"))-1)),""))))</f>
        <v/>
      </c>
      <c r="O3046" s="2">
        <f>IF(OR(F3046="",G3046=""),"",IF(G3046&lt;='RETRATO 2027'!$K$5,"CONCLUÍDA",IF(F3046&lt;='RETRATO 2027'!$K$5,"EM ANDAMENTO","A INICIAR")))</f>
        <v/>
      </c>
    </row>
    <row r="3047">
      <c r="M3047" s="2">
        <f>IF(C3047="","",IFERROR(INDEX($S$5:$S$304,MATCH(C3047,$R$5:$R$304,0))&amp;"","?"))</f>
        <v/>
      </c>
      <c r="N3047" s="2">
        <f>IF(E3047="","",IF(ISNUMBER(SEARCH("SUBSOLO",E3047)),IFERROR(-VALUE(LEFT(E3047,FIND("º",SUBSTITUTE(E3047,"°","º"))-1)),-1),IF(LEFT(E3047,6)="TÉRREO",0,IFERROR(VALUE(LEFT(E3047,FIND("º",SUBSTITUTE(E3047,"°","º"))-1)),""))))</f>
        <v/>
      </c>
      <c r="O3047" s="2">
        <f>IF(OR(F3047="",G3047=""),"",IF(G3047&lt;='RETRATO 2027'!$K$5,"CONCLUÍDA",IF(F3047&lt;='RETRATO 2027'!$K$5,"EM ANDAMENTO","A INICIAR")))</f>
        <v/>
      </c>
    </row>
    <row r="3048">
      <c r="M3048" s="2">
        <f>IF(C3048="","",IFERROR(INDEX($S$5:$S$304,MATCH(C3048,$R$5:$R$304,0))&amp;"","?"))</f>
        <v/>
      </c>
      <c r="N3048" s="2">
        <f>IF(E3048="","",IF(ISNUMBER(SEARCH("SUBSOLO",E3048)),IFERROR(-VALUE(LEFT(E3048,FIND("º",SUBSTITUTE(E3048,"°","º"))-1)),-1),IF(LEFT(E3048,6)="TÉRREO",0,IFERROR(VALUE(LEFT(E3048,FIND("º",SUBSTITUTE(E3048,"°","º"))-1)),""))))</f>
        <v/>
      </c>
      <c r="O3048" s="2">
        <f>IF(OR(F3048="",G3048=""),"",IF(G3048&lt;='RETRATO 2027'!$K$5,"CONCLUÍDA",IF(F3048&lt;='RETRATO 2027'!$K$5,"EM ANDAMENTO","A INICIAR")))</f>
        <v/>
      </c>
    </row>
    <row r="3049">
      <c r="M3049" s="2">
        <f>IF(C3049="","",IFERROR(INDEX($S$5:$S$304,MATCH(C3049,$R$5:$R$304,0))&amp;"","?"))</f>
        <v/>
      </c>
      <c r="N3049" s="2">
        <f>IF(E3049="","",IF(ISNUMBER(SEARCH("SUBSOLO",E3049)),IFERROR(-VALUE(LEFT(E3049,FIND("º",SUBSTITUTE(E3049,"°","º"))-1)),-1),IF(LEFT(E3049,6)="TÉRREO",0,IFERROR(VALUE(LEFT(E3049,FIND("º",SUBSTITUTE(E3049,"°","º"))-1)),""))))</f>
        <v/>
      </c>
      <c r="O3049" s="2">
        <f>IF(OR(F3049="",G3049=""),"",IF(G3049&lt;='RETRATO 2027'!$K$5,"CONCLUÍDA",IF(F3049&lt;='RETRATO 2027'!$K$5,"EM ANDAMENTO","A INICIAR")))</f>
        <v/>
      </c>
    </row>
    <row r="3050">
      <c r="M3050" s="2">
        <f>IF(C3050="","",IFERROR(INDEX($S$5:$S$304,MATCH(C3050,$R$5:$R$304,0))&amp;"","?"))</f>
        <v/>
      </c>
      <c r="N3050" s="2">
        <f>IF(E3050="","",IF(ISNUMBER(SEARCH("SUBSOLO",E3050)),IFERROR(-VALUE(LEFT(E3050,FIND("º",SUBSTITUTE(E3050,"°","º"))-1)),-1),IF(LEFT(E3050,6)="TÉRREO",0,IFERROR(VALUE(LEFT(E3050,FIND("º",SUBSTITUTE(E3050,"°","º"))-1)),""))))</f>
        <v/>
      </c>
      <c r="O3050" s="2">
        <f>IF(OR(F3050="",G3050=""),"",IF(G3050&lt;='RETRATO 2027'!$K$5,"CONCLUÍDA",IF(F3050&lt;='RETRATO 2027'!$K$5,"EM ANDAMENTO","A INICIAR")))</f>
        <v/>
      </c>
    </row>
    <row r="3051">
      <c r="M3051" s="2">
        <f>IF(C3051="","",IFERROR(INDEX($S$5:$S$304,MATCH(C3051,$R$5:$R$304,0))&amp;"","?"))</f>
        <v/>
      </c>
      <c r="N3051" s="2">
        <f>IF(E3051="","",IF(ISNUMBER(SEARCH("SUBSOLO",E3051)),IFERROR(-VALUE(LEFT(E3051,FIND("º",SUBSTITUTE(E3051,"°","º"))-1)),-1),IF(LEFT(E3051,6)="TÉRREO",0,IFERROR(VALUE(LEFT(E3051,FIND("º",SUBSTITUTE(E3051,"°","º"))-1)),""))))</f>
        <v/>
      </c>
      <c r="O3051" s="2">
        <f>IF(OR(F3051="",G3051=""),"",IF(G3051&lt;='RETRATO 2027'!$K$5,"CONCLUÍDA",IF(F3051&lt;='RETRATO 2027'!$K$5,"EM ANDAMENTO","A INICIAR")))</f>
        <v/>
      </c>
    </row>
    <row r="3052">
      <c r="M3052" s="2">
        <f>IF(C3052="","",IFERROR(INDEX($S$5:$S$304,MATCH(C3052,$R$5:$R$304,0))&amp;"","?"))</f>
        <v/>
      </c>
      <c r="N3052" s="2">
        <f>IF(E3052="","",IF(ISNUMBER(SEARCH("SUBSOLO",E3052)),IFERROR(-VALUE(LEFT(E3052,FIND("º",SUBSTITUTE(E3052,"°","º"))-1)),-1),IF(LEFT(E3052,6)="TÉRREO",0,IFERROR(VALUE(LEFT(E3052,FIND("º",SUBSTITUTE(E3052,"°","º"))-1)),""))))</f>
        <v/>
      </c>
      <c r="O3052" s="2">
        <f>IF(OR(F3052="",G3052=""),"",IF(G3052&lt;='RETRATO 2027'!$K$5,"CONCLUÍDA",IF(F3052&lt;='RETRATO 2027'!$K$5,"EM ANDAMENTO","A INICIAR")))</f>
        <v/>
      </c>
    </row>
    <row r="3053">
      <c r="M3053" s="2">
        <f>IF(C3053="","",IFERROR(INDEX($S$5:$S$304,MATCH(C3053,$R$5:$R$304,0))&amp;"","?"))</f>
        <v/>
      </c>
      <c r="N3053" s="2">
        <f>IF(E3053="","",IF(ISNUMBER(SEARCH("SUBSOLO",E3053)),IFERROR(-VALUE(LEFT(E3053,FIND("º",SUBSTITUTE(E3053,"°","º"))-1)),-1),IF(LEFT(E3053,6)="TÉRREO",0,IFERROR(VALUE(LEFT(E3053,FIND("º",SUBSTITUTE(E3053,"°","º"))-1)),""))))</f>
        <v/>
      </c>
      <c r="O3053" s="2">
        <f>IF(OR(F3053="",G3053=""),"",IF(G3053&lt;='RETRATO 2027'!$K$5,"CONCLUÍDA",IF(F3053&lt;='RETRATO 2027'!$K$5,"EM ANDAMENTO","A INICIAR")))</f>
        <v/>
      </c>
    </row>
    <row r="3054">
      <c r="M3054" s="2">
        <f>IF(C3054="","",IFERROR(INDEX($S$5:$S$304,MATCH(C3054,$R$5:$R$304,0))&amp;"","?"))</f>
        <v/>
      </c>
      <c r="N3054" s="2">
        <f>IF(E3054="","",IF(ISNUMBER(SEARCH("SUBSOLO",E3054)),IFERROR(-VALUE(LEFT(E3054,FIND("º",SUBSTITUTE(E3054,"°","º"))-1)),-1),IF(LEFT(E3054,6)="TÉRREO",0,IFERROR(VALUE(LEFT(E3054,FIND("º",SUBSTITUTE(E3054,"°","º"))-1)),""))))</f>
        <v/>
      </c>
      <c r="O3054" s="2">
        <f>IF(OR(F3054="",G3054=""),"",IF(G3054&lt;='RETRATO 2027'!$K$5,"CONCLUÍDA",IF(F3054&lt;='RETRATO 2027'!$K$5,"EM ANDAMENTO","A INICIAR")))</f>
        <v/>
      </c>
    </row>
    <row r="3055">
      <c r="M3055" s="2">
        <f>IF(C3055="","",IFERROR(INDEX($S$5:$S$304,MATCH(C3055,$R$5:$R$304,0))&amp;"","?"))</f>
        <v/>
      </c>
      <c r="N3055" s="2">
        <f>IF(E3055="","",IF(ISNUMBER(SEARCH("SUBSOLO",E3055)),IFERROR(-VALUE(LEFT(E3055,FIND("º",SUBSTITUTE(E3055,"°","º"))-1)),-1),IF(LEFT(E3055,6)="TÉRREO",0,IFERROR(VALUE(LEFT(E3055,FIND("º",SUBSTITUTE(E3055,"°","º"))-1)),""))))</f>
        <v/>
      </c>
      <c r="O3055" s="2">
        <f>IF(OR(F3055="",G3055=""),"",IF(G3055&lt;='RETRATO 2027'!$K$5,"CONCLUÍDA",IF(F3055&lt;='RETRATO 2027'!$K$5,"EM ANDAMENTO","A INICIAR")))</f>
        <v/>
      </c>
    </row>
    <row r="3056">
      <c r="M3056" s="2">
        <f>IF(C3056="","",IFERROR(INDEX($S$5:$S$304,MATCH(C3056,$R$5:$R$304,0))&amp;"","?"))</f>
        <v/>
      </c>
      <c r="N3056" s="2">
        <f>IF(E3056="","",IF(ISNUMBER(SEARCH("SUBSOLO",E3056)),IFERROR(-VALUE(LEFT(E3056,FIND("º",SUBSTITUTE(E3056,"°","º"))-1)),-1),IF(LEFT(E3056,6)="TÉRREO",0,IFERROR(VALUE(LEFT(E3056,FIND("º",SUBSTITUTE(E3056,"°","º"))-1)),""))))</f>
        <v/>
      </c>
      <c r="O3056" s="2">
        <f>IF(OR(F3056="",G3056=""),"",IF(G3056&lt;='RETRATO 2027'!$K$5,"CONCLUÍDA",IF(F3056&lt;='RETRATO 2027'!$K$5,"EM ANDAMENTO","A INICIAR")))</f>
        <v/>
      </c>
    </row>
    <row r="3057">
      <c r="M3057" s="2">
        <f>IF(C3057="","",IFERROR(INDEX($S$5:$S$304,MATCH(C3057,$R$5:$R$304,0))&amp;"","?"))</f>
        <v/>
      </c>
      <c r="N3057" s="2">
        <f>IF(E3057="","",IF(ISNUMBER(SEARCH("SUBSOLO",E3057)),IFERROR(-VALUE(LEFT(E3057,FIND("º",SUBSTITUTE(E3057,"°","º"))-1)),-1),IF(LEFT(E3057,6)="TÉRREO",0,IFERROR(VALUE(LEFT(E3057,FIND("º",SUBSTITUTE(E3057,"°","º"))-1)),""))))</f>
        <v/>
      </c>
      <c r="O3057" s="2">
        <f>IF(OR(F3057="",G3057=""),"",IF(G3057&lt;='RETRATO 2027'!$K$5,"CONCLUÍDA",IF(F3057&lt;='RETRATO 2027'!$K$5,"EM ANDAMENTO","A INICIAR")))</f>
        <v/>
      </c>
    </row>
    <row r="3058">
      <c r="M3058" s="2">
        <f>IF(C3058="","",IFERROR(INDEX($S$5:$S$304,MATCH(C3058,$R$5:$R$304,0))&amp;"","?"))</f>
        <v/>
      </c>
      <c r="N3058" s="2">
        <f>IF(E3058="","",IF(ISNUMBER(SEARCH("SUBSOLO",E3058)),IFERROR(-VALUE(LEFT(E3058,FIND("º",SUBSTITUTE(E3058,"°","º"))-1)),-1),IF(LEFT(E3058,6)="TÉRREO",0,IFERROR(VALUE(LEFT(E3058,FIND("º",SUBSTITUTE(E3058,"°","º"))-1)),""))))</f>
        <v/>
      </c>
      <c r="O3058" s="2">
        <f>IF(OR(F3058="",G3058=""),"",IF(G3058&lt;='RETRATO 2027'!$K$5,"CONCLUÍDA",IF(F3058&lt;='RETRATO 2027'!$K$5,"EM ANDAMENTO","A INICIAR")))</f>
        <v/>
      </c>
    </row>
    <row r="3059">
      <c r="M3059" s="2">
        <f>IF(C3059="","",IFERROR(INDEX($S$5:$S$304,MATCH(C3059,$R$5:$R$304,0))&amp;"","?"))</f>
        <v/>
      </c>
      <c r="N3059" s="2">
        <f>IF(E3059="","",IF(ISNUMBER(SEARCH("SUBSOLO",E3059)),IFERROR(-VALUE(LEFT(E3059,FIND("º",SUBSTITUTE(E3059,"°","º"))-1)),-1),IF(LEFT(E3059,6)="TÉRREO",0,IFERROR(VALUE(LEFT(E3059,FIND("º",SUBSTITUTE(E3059,"°","º"))-1)),""))))</f>
        <v/>
      </c>
      <c r="O3059" s="2">
        <f>IF(OR(F3059="",G3059=""),"",IF(G3059&lt;='RETRATO 2027'!$K$5,"CONCLUÍDA",IF(F3059&lt;='RETRATO 2027'!$K$5,"EM ANDAMENTO","A INICIAR")))</f>
        <v/>
      </c>
    </row>
    <row r="3060">
      <c r="M3060" s="2">
        <f>IF(C3060="","",IFERROR(INDEX($S$5:$S$304,MATCH(C3060,$R$5:$R$304,0))&amp;"","?"))</f>
        <v/>
      </c>
      <c r="N3060" s="2">
        <f>IF(E3060="","",IF(ISNUMBER(SEARCH("SUBSOLO",E3060)),IFERROR(-VALUE(LEFT(E3060,FIND("º",SUBSTITUTE(E3060,"°","º"))-1)),-1),IF(LEFT(E3060,6)="TÉRREO",0,IFERROR(VALUE(LEFT(E3060,FIND("º",SUBSTITUTE(E3060,"°","º"))-1)),""))))</f>
        <v/>
      </c>
      <c r="O3060" s="2">
        <f>IF(OR(F3060="",G3060=""),"",IF(G3060&lt;='RETRATO 2027'!$K$5,"CONCLUÍDA",IF(F3060&lt;='RETRATO 2027'!$K$5,"EM ANDAMENTO","A INICIAR")))</f>
        <v/>
      </c>
    </row>
    <row r="3061">
      <c r="M3061" s="2">
        <f>IF(C3061="","",IFERROR(INDEX($S$5:$S$304,MATCH(C3061,$R$5:$R$304,0))&amp;"","?"))</f>
        <v/>
      </c>
      <c r="N3061" s="2">
        <f>IF(E3061="","",IF(ISNUMBER(SEARCH("SUBSOLO",E3061)),IFERROR(-VALUE(LEFT(E3061,FIND("º",SUBSTITUTE(E3061,"°","º"))-1)),-1),IF(LEFT(E3061,6)="TÉRREO",0,IFERROR(VALUE(LEFT(E3061,FIND("º",SUBSTITUTE(E3061,"°","º"))-1)),""))))</f>
        <v/>
      </c>
      <c r="O3061" s="2">
        <f>IF(OR(F3061="",G3061=""),"",IF(G3061&lt;='RETRATO 2027'!$K$5,"CONCLUÍDA",IF(F3061&lt;='RETRATO 2027'!$K$5,"EM ANDAMENTO","A INICIAR")))</f>
        <v/>
      </c>
    </row>
    <row r="3062">
      <c r="M3062" s="2">
        <f>IF(C3062="","",IFERROR(INDEX($S$5:$S$304,MATCH(C3062,$R$5:$R$304,0))&amp;"","?"))</f>
        <v/>
      </c>
      <c r="N3062" s="2">
        <f>IF(E3062="","",IF(ISNUMBER(SEARCH("SUBSOLO",E3062)),IFERROR(-VALUE(LEFT(E3062,FIND("º",SUBSTITUTE(E3062,"°","º"))-1)),-1),IF(LEFT(E3062,6)="TÉRREO",0,IFERROR(VALUE(LEFT(E3062,FIND("º",SUBSTITUTE(E3062,"°","º"))-1)),""))))</f>
        <v/>
      </c>
      <c r="O3062" s="2">
        <f>IF(OR(F3062="",G3062=""),"",IF(G3062&lt;='RETRATO 2027'!$K$5,"CONCLUÍDA",IF(F3062&lt;='RETRATO 2027'!$K$5,"EM ANDAMENTO","A INICIAR")))</f>
        <v/>
      </c>
    </row>
    <row r="3063">
      <c r="M3063" s="2">
        <f>IF(C3063="","",IFERROR(INDEX($S$5:$S$304,MATCH(C3063,$R$5:$R$304,0))&amp;"","?"))</f>
        <v/>
      </c>
      <c r="N3063" s="2">
        <f>IF(E3063="","",IF(ISNUMBER(SEARCH("SUBSOLO",E3063)),IFERROR(-VALUE(LEFT(E3063,FIND("º",SUBSTITUTE(E3063,"°","º"))-1)),-1),IF(LEFT(E3063,6)="TÉRREO",0,IFERROR(VALUE(LEFT(E3063,FIND("º",SUBSTITUTE(E3063,"°","º"))-1)),""))))</f>
        <v/>
      </c>
      <c r="O3063" s="2">
        <f>IF(OR(F3063="",G3063=""),"",IF(G3063&lt;='RETRATO 2027'!$K$5,"CONCLUÍDA",IF(F3063&lt;='RETRATO 2027'!$K$5,"EM ANDAMENTO","A INICIAR")))</f>
        <v/>
      </c>
    </row>
    <row r="3064">
      <c r="M3064" s="2">
        <f>IF(C3064="","",IFERROR(INDEX($S$5:$S$304,MATCH(C3064,$R$5:$R$304,0))&amp;"","?"))</f>
        <v/>
      </c>
      <c r="N3064" s="2">
        <f>IF(E3064="","",IF(ISNUMBER(SEARCH("SUBSOLO",E3064)),IFERROR(-VALUE(LEFT(E3064,FIND("º",SUBSTITUTE(E3064,"°","º"))-1)),-1),IF(LEFT(E3064,6)="TÉRREO",0,IFERROR(VALUE(LEFT(E3064,FIND("º",SUBSTITUTE(E3064,"°","º"))-1)),""))))</f>
        <v/>
      </c>
      <c r="O3064" s="2">
        <f>IF(OR(F3064="",G3064=""),"",IF(G3064&lt;='RETRATO 2027'!$K$5,"CONCLUÍDA",IF(F3064&lt;='RETRATO 2027'!$K$5,"EM ANDAMENTO","A INICIAR")))</f>
        <v/>
      </c>
    </row>
    <row r="3065">
      <c r="M3065" s="2">
        <f>IF(C3065="","",IFERROR(INDEX($S$5:$S$304,MATCH(C3065,$R$5:$R$304,0))&amp;"","?"))</f>
        <v/>
      </c>
      <c r="N3065" s="2">
        <f>IF(E3065="","",IF(ISNUMBER(SEARCH("SUBSOLO",E3065)),IFERROR(-VALUE(LEFT(E3065,FIND("º",SUBSTITUTE(E3065,"°","º"))-1)),-1),IF(LEFT(E3065,6)="TÉRREO",0,IFERROR(VALUE(LEFT(E3065,FIND("º",SUBSTITUTE(E3065,"°","º"))-1)),""))))</f>
        <v/>
      </c>
      <c r="O3065" s="2">
        <f>IF(OR(F3065="",G3065=""),"",IF(G3065&lt;='RETRATO 2027'!$K$5,"CONCLUÍDA",IF(F3065&lt;='RETRATO 2027'!$K$5,"EM ANDAMENTO","A INICIAR")))</f>
        <v/>
      </c>
    </row>
    <row r="3066">
      <c r="M3066" s="2">
        <f>IF(C3066="","",IFERROR(INDEX($S$5:$S$304,MATCH(C3066,$R$5:$R$304,0))&amp;"","?"))</f>
        <v/>
      </c>
      <c r="N3066" s="2">
        <f>IF(E3066="","",IF(ISNUMBER(SEARCH("SUBSOLO",E3066)),IFERROR(-VALUE(LEFT(E3066,FIND("º",SUBSTITUTE(E3066,"°","º"))-1)),-1),IF(LEFT(E3066,6)="TÉRREO",0,IFERROR(VALUE(LEFT(E3066,FIND("º",SUBSTITUTE(E3066,"°","º"))-1)),""))))</f>
        <v/>
      </c>
      <c r="O3066" s="2">
        <f>IF(OR(F3066="",G3066=""),"",IF(G3066&lt;='RETRATO 2027'!$K$5,"CONCLUÍDA",IF(F3066&lt;='RETRATO 2027'!$K$5,"EM ANDAMENTO","A INICIAR")))</f>
        <v/>
      </c>
    </row>
    <row r="3067">
      <c r="M3067" s="2">
        <f>IF(C3067="","",IFERROR(INDEX($S$5:$S$304,MATCH(C3067,$R$5:$R$304,0))&amp;"","?"))</f>
        <v/>
      </c>
      <c r="N3067" s="2">
        <f>IF(E3067="","",IF(ISNUMBER(SEARCH("SUBSOLO",E3067)),IFERROR(-VALUE(LEFT(E3067,FIND("º",SUBSTITUTE(E3067,"°","º"))-1)),-1),IF(LEFT(E3067,6)="TÉRREO",0,IFERROR(VALUE(LEFT(E3067,FIND("º",SUBSTITUTE(E3067,"°","º"))-1)),""))))</f>
        <v/>
      </c>
      <c r="O3067" s="2">
        <f>IF(OR(F3067="",G3067=""),"",IF(G3067&lt;='RETRATO 2027'!$K$5,"CONCLUÍDA",IF(F3067&lt;='RETRATO 2027'!$K$5,"EM ANDAMENTO","A INICIAR")))</f>
        <v/>
      </c>
    </row>
    <row r="3068">
      <c r="M3068" s="2">
        <f>IF(C3068="","",IFERROR(INDEX($S$5:$S$304,MATCH(C3068,$R$5:$R$304,0))&amp;"","?"))</f>
        <v/>
      </c>
      <c r="N3068" s="2">
        <f>IF(E3068="","",IF(ISNUMBER(SEARCH("SUBSOLO",E3068)),IFERROR(-VALUE(LEFT(E3068,FIND("º",SUBSTITUTE(E3068,"°","º"))-1)),-1),IF(LEFT(E3068,6)="TÉRREO",0,IFERROR(VALUE(LEFT(E3068,FIND("º",SUBSTITUTE(E3068,"°","º"))-1)),""))))</f>
        <v/>
      </c>
      <c r="O3068" s="2">
        <f>IF(OR(F3068="",G3068=""),"",IF(G3068&lt;='RETRATO 2027'!$K$5,"CONCLUÍDA",IF(F3068&lt;='RETRATO 2027'!$K$5,"EM ANDAMENTO","A INICIAR")))</f>
        <v/>
      </c>
    </row>
    <row r="3069">
      <c r="M3069" s="2">
        <f>IF(C3069="","",IFERROR(INDEX($S$5:$S$304,MATCH(C3069,$R$5:$R$304,0))&amp;"","?"))</f>
        <v/>
      </c>
      <c r="N3069" s="2">
        <f>IF(E3069="","",IF(ISNUMBER(SEARCH("SUBSOLO",E3069)),IFERROR(-VALUE(LEFT(E3069,FIND("º",SUBSTITUTE(E3069,"°","º"))-1)),-1),IF(LEFT(E3069,6)="TÉRREO",0,IFERROR(VALUE(LEFT(E3069,FIND("º",SUBSTITUTE(E3069,"°","º"))-1)),""))))</f>
        <v/>
      </c>
      <c r="O3069" s="2">
        <f>IF(OR(F3069="",G3069=""),"",IF(G3069&lt;='RETRATO 2027'!$K$5,"CONCLUÍDA",IF(F3069&lt;='RETRATO 2027'!$K$5,"EM ANDAMENTO","A INICIAR")))</f>
        <v/>
      </c>
    </row>
    <row r="3070">
      <c r="M3070" s="2">
        <f>IF(C3070="","",IFERROR(INDEX($S$5:$S$304,MATCH(C3070,$R$5:$R$304,0))&amp;"","?"))</f>
        <v/>
      </c>
      <c r="N3070" s="2">
        <f>IF(E3070="","",IF(ISNUMBER(SEARCH("SUBSOLO",E3070)),IFERROR(-VALUE(LEFT(E3070,FIND("º",SUBSTITUTE(E3070,"°","º"))-1)),-1),IF(LEFT(E3070,6)="TÉRREO",0,IFERROR(VALUE(LEFT(E3070,FIND("º",SUBSTITUTE(E3070,"°","º"))-1)),""))))</f>
        <v/>
      </c>
      <c r="O3070" s="2">
        <f>IF(OR(F3070="",G3070=""),"",IF(G3070&lt;='RETRATO 2027'!$K$5,"CONCLUÍDA",IF(F3070&lt;='RETRATO 2027'!$K$5,"EM ANDAMENTO","A INICIAR")))</f>
        <v/>
      </c>
    </row>
    <row r="3071">
      <c r="M3071" s="2">
        <f>IF(C3071="","",IFERROR(INDEX($S$5:$S$304,MATCH(C3071,$R$5:$R$304,0))&amp;"","?"))</f>
        <v/>
      </c>
      <c r="N3071" s="2">
        <f>IF(E3071="","",IF(ISNUMBER(SEARCH("SUBSOLO",E3071)),IFERROR(-VALUE(LEFT(E3071,FIND("º",SUBSTITUTE(E3071,"°","º"))-1)),-1),IF(LEFT(E3071,6)="TÉRREO",0,IFERROR(VALUE(LEFT(E3071,FIND("º",SUBSTITUTE(E3071,"°","º"))-1)),""))))</f>
        <v/>
      </c>
      <c r="O3071" s="2">
        <f>IF(OR(F3071="",G3071=""),"",IF(G3071&lt;='RETRATO 2027'!$K$5,"CONCLUÍDA",IF(F3071&lt;='RETRATO 2027'!$K$5,"EM ANDAMENTO","A INICIAR")))</f>
        <v/>
      </c>
    </row>
    <row r="3072">
      <c r="M3072" s="2">
        <f>IF(C3072="","",IFERROR(INDEX($S$5:$S$304,MATCH(C3072,$R$5:$R$304,0))&amp;"","?"))</f>
        <v/>
      </c>
      <c r="N3072" s="2">
        <f>IF(E3072="","",IF(ISNUMBER(SEARCH("SUBSOLO",E3072)),IFERROR(-VALUE(LEFT(E3072,FIND("º",SUBSTITUTE(E3072,"°","º"))-1)),-1),IF(LEFT(E3072,6)="TÉRREO",0,IFERROR(VALUE(LEFT(E3072,FIND("º",SUBSTITUTE(E3072,"°","º"))-1)),""))))</f>
        <v/>
      </c>
      <c r="O3072" s="2">
        <f>IF(OR(F3072="",G3072=""),"",IF(G3072&lt;='RETRATO 2027'!$K$5,"CONCLUÍDA",IF(F3072&lt;='RETRATO 2027'!$K$5,"EM ANDAMENTO","A INICIAR")))</f>
        <v/>
      </c>
    </row>
    <row r="3073">
      <c r="M3073" s="2">
        <f>IF(C3073="","",IFERROR(INDEX($S$5:$S$304,MATCH(C3073,$R$5:$R$304,0))&amp;"","?"))</f>
        <v/>
      </c>
      <c r="N3073" s="2">
        <f>IF(E3073="","",IF(ISNUMBER(SEARCH("SUBSOLO",E3073)),IFERROR(-VALUE(LEFT(E3073,FIND("º",SUBSTITUTE(E3073,"°","º"))-1)),-1),IF(LEFT(E3073,6)="TÉRREO",0,IFERROR(VALUE(LEFT(E3073,FIND("º",SUBSTITUTE(E3073,"°","º"))-1)),""))))</f>
        <v/>
      </c>
      <c r="O3073" s="2">
        <f>IF(OR(F3073="",G3073=""),"",IF(G3073&lt;='RETRATO 2027'!$K$5,"CONCLUÍDA",IF(F3073&lt;='RETRATO 2027'!$K$5,"EM ANDAMENTO","A INICIAR")))</f>
        <v/>
      </c>
    </row>
    <row r="3074">
      <c r="M3074" s="2">
        <f>IF(C3074="","",IFERROR(INDEX($S$5:$S$304,MATCH(C3074,$R$5:$R$304,0))&amp;"","?"))</f>
        <v/>
      </c>
      <c r="N3074" s="2">
        <f>IF(E3074="","",IF(ISNUMBER(SEARCH("SUBSOLO",E3074)),IFERROR(-VALUE(LEFT(E3074,FIND("º",SUBSTITUTE(E3074,"°","º"))-1)),-1),IF(LEFT(E3074,6)="TÉRREO",0,IFERROR(VALUE(LEFT(E3074,FIND("º",SUBSTITUTE(E3074,"°","º"))-1)),""))))</f>
        <v/>
      </c>
      <c r="O3074" s="2">
        <f>IF(OR(F3074="",G3074=""),"",IF(G3074&lt;='RETRATO 2027'!$K$5,"CONCLUÍDA",IF(F3074&lt;='RETRATO 2027'!$K$5,"EM ANDAMENTO","A INICIAR")))</f>
        <v/>
      </c>
    </row>
    <row r="3075">
      <c r="M3075" s="2">
        <f>IF(C3075="","",IFERROR(INDEX($S$5:$S$304,MATCH(C3075,$R$5:$R$304,0))&amp;"","?"))</f>
        <v/>
      </c>
      <c r="N3075" s="2">
        <f>IF(E3075="","",IF(ISNUMBER(SEARCH("SUBSOLO",E3075)),IFERROR(-VALUE(LEFT(E3075,FIND("º",SUBSTITUTE(E3075,"°","º"))-1)),-1),IF(LEFT(E3075,6)="TÉRREO",0,IFERROR(VALUE(LEFT(E3075,FIND("º",SUBSTITUTE(E3075,"°","º"))-1)),""))))</f>
        <v/>
      </c>
      <c r="O3075" s="2">
        <f>IF(OR(F3075="",G3075=""),"",IF(G3075&lt;='RETRATO 2027'!$K$5,"CONCLUÍDA",IF(F3075&lt;='RETRATO 2027'!$K$5,"EM ANDAMENTO","A INICIAR")))</f>
        <v/>
      </c>
    </row>
    <row r="3076">
      <c r="M3076" s="2">
        <f>IF(C3076="","",IFERROR(INDEX($S$5:$S$304,MATCH(C3076,$R$5:$R$304,0))&amp;"","?"))</f>
        <v/>
      </c>
      <c r="N3076" s="2">
        <f>IF(E3076="","",IF(ISNUMBER(SEARCH("SUBSOLO",E3076)),IFERROR(-VALUE(LEFT(E3076,FIND("º",SUBSTITUTE(E3076,"°","º"))-1)),-1),IF(LEFT(E3076,6)="TÉRREO",0,IFERROR(VALUE(LEFT(E3076,FIND("º",SUBSTITUTE(E3076,"°","º"))-1)),""))))</f>
        <v/>
      </c>
      <c r="O3076" s="2">
        <f>IF(OR(F3076="",G3076=""),"",IF(G3076&lt;='RETRATO 2027'!$K$5,"CONCLUÍDA",IF(F3076&lt;='RETRATO 2027'!$K$5,"EM ANDAMENTO","A INICIAR")))</f>
        <v/>
      </c>
    </row>
    <row r="3077">
      <c r="M3077" s="2">
        <f>IF(C3077="","",IFERROR(INDEX($S$5:$S$304,MATCH(C3077,$R$5:$R$304,0))&amp;"","?"))</f>
        <v/>
      </c>
      <c r="N3077" s="2">
        <f>IF(E3077="","",IF(ISNUMBER(SEARCH("SUBSOLO",E3077)),IFERROR(-VALUE(LEFT(E3077,FIND("º",SUBSTITUTE(E3077,"°","º"))-1)),-1),IF(LEFT(E3077,6)="TÉRREO",0,IFERROR(VALUE(LEFT(E3077,FIND("º",SUBSTITUTE(E3077,"°","º"))-1)),""))))</f>
        <v/>
      </c>
      <c r="O3077" s="2">
        <f>IF(OR(F3077="",G3077=""),"",IF(G3077&lt;='RETRATO 2027'!$K$5,"CONCLUÍDA",IF(F3077&lt;='RETRATO 2027'!$K$5,"EM ANDAMENTO","A INICIAR")))</f>
        <v/>
      </c>
    </row>
    <row r="3078">
      <c r="M3078" s="2">
        <f>IF(C3078="","",IFERROR(INDEX($S$5:$S$304,MATCH(C3078,$R$5:$R$304,0))&amp;"","?"))</f>
        <v/>
      </c>
      <c r="N3078" s="2">
        <f>IF(E3078="","",IF(ISNUMBER(SEARCH("SUBSOLO",E3078)),IFERROR(-VALUE(LEFT(E3078,FIND("º",SUBSTITUTE(E3078,"°","º"))-1)),-1),IF(LEFT(E3078,6)="TÉRREO",0,IFERROR(VALUE(LEFT(E3078,FIND("º",SUBSTITUTE(E3078,"°","º"))-1)),""))))</f>
        <v/>
      </c>
      <c r="O3078" s="2">
        <f>IF(OR(F3078="",G3078=""),"",IF(G3078&lt;='RETRATO 2027'!$K$5,"CONCLUÍDA",IF(F3078&lt;='RETRATO 2027'!$K$5,"EM ANDAMENTO","A INICIAR")))</f>
        <v/>
      </c>
    </row>
    <row r="3079">
      <c r="M3079" s="2">
        <f>IF(C3079="","",IFERROR(INDEX($S$5:$S$304,MATCH(C3079,$R$5:$R$304,0))&amp;"","?"))</f>
        <v/>
      </c>
      <c r="N3079" s="2">
        <f>IF(E3079="","",IF(ISNUMBER(SEARCH("SUBSOLO",E3079)),IFERROR(-VALUE(LEFT(E3079,FIND("º",SUBSTITUTE(E3079,"°","º"))-1)),-1),IF(LEFT(E3079,6)="TÉRREO",0,IFERROR(VALUE(LEFT(E3079,FIND("º",SUBSTITUTE(E3079,"°","º"))-1)),""))))</f>
        <v/>
      </c>
      <c r="O3079" s="2">
        <f>IF(OR(F3079="",G3079=""),"",IF(G3079&lt;='RETRATO 2027'!$K$5,"CONCLUÍDA",IF(F3079&lt;='RETRATO 2027'!$K$5,"EM ANDAMENTO","A INICIAR")))</f>
        <v/>
      </c>
    </row>
    <row r="3080">
      <c r="M3080" s="2">
        <f>IF(C3080="","",IFERROR(INDEX($S$5:$S$304,MATCH(C3080,$R$5:$R$304,0))&amp;"","?"))</f>
        <v/>
      </c>
      <c r="N3080" s="2">
        <f>IF(E3080="","",IF(ISNUMBER(SEARCH("SUBSOLO",E3080)),IFERROR(-VALUE(LEFT(E3080,FIND("º",SUBSTITUTE(E3080,"°","º"))-1)),-1),IF(LEFT(E3080,6)="TÉRREO",0,IFERROR(VALUE(LEFT(E3080,FIND("º",SUBSTITUTE(E3080,"°","º"))-1)),""))))</f>
        <v/>
      </c>
      <c r="O3080" s="2">
        <f>IF(OR(F3080="",G3080=""),"",IF(G3080&lt;='RETRATO 2027'!$K$5,"CONCLUÍDA",IF(F3080&lt;='RETRATO 2027'!$K$5,"EM ANDAMENTO","A INICIAR")))</f>
        <v/>
      </c>
    </row>
    <row r="3081">
      <c r="M3081" s="2">
        <f>IF(C3081="","",IFERROR(INDEX($S$5:$S$304,MATCH(C3081,$R$5:$R$304,0))&amp;"","?"))</f>
        <v/>
      </c>
      <c r="N3081" s="2">
        <f>IF(E3081="","",IF(ISNUMBER(SEARCH("SUBSOLO",E3081)),IFERROR(-VALUE(LEFT(E3081,FIND("º",SUBSTITUTE(E3081,"°","º"))-1)),-1),IF(LEFT(E3081,6)="TÉRREO",0,IFERROR(VALUE(LEFT(E3081,FIND("º",SUBSTITUTE(E3081,"°","º"))-1)),""))))</f>
        <v/>
      </c>
      <c r="O3081" s="2">
        <f>IF(OR(F3081="",G3081=""),"",IF(G3081&lt;='RETRATO 2027'!$K$5,"CONCLUÍDA",IF(F3081&lt;='RETRATO 2027'!$K$5,"EM ANDAMENTO","A INICIAR")))</f>
        <v/>
      </c>
    </row>
    <row r="3082">
      <c r="M3082" s="2">
        <f>IF(C3082="","",IFERROR(INDEX($S$5:$S$304,MATCH(C3082,$R$5:$R$304,0))&amp;"","?"))</f>
        <v/>
      </c>
      <c r="N3082" s="2">
        <f>IF(E3082="","",IF(ISNUMBER(SEARCH("SUBSOLO",E3082)),IFERROR(-VALUE(LEFT(E3082,FIND("º",SUBSTITUTE(E3082,"°","º"))-1)),-1),IF(LEFT(E3082,6)="TÉRREO",0,IFERROR(VALUE(LEFT(E3082,FIND("º",SUBSTITUTE(E3082,"°","º"))-1)),""))))</f>
        <v/>
      </c>
      <c r="O3082" s="2">
        <f>IF(OR(F3082="",G3082=""),"",IF(G3082&lt;='RETRATO 2027'!$K$5,"CONCLUÍDA",IF(F3082&lt;='RETRATO 2027'!$K$5,"EM ANDAMENTO","A INICIAR")))</f>
        <v/>
      </c>
    </row>
    <row r="3083">
      <c r="M3083" s="2">
        <f>IF(C3083="","",IFERROR(INDEX($S$5:$S$304,MATCH(C3083,$R$5:$R$304,0))&amp;"","?"))</f>
        <v/>
      </c>
      <c r="N3083" s="2">
        <f>IF(E3083="","",IF(ISNUMBER(SEARCH("SUBSOLO",E3083)),IFERROR(-VALUE(LEFT(E3083,FIND("º",SUBSTITUTE(E3083,"°","º"))-1)),-1),IF(LEFT(E3083,6)="TÉRREO",0,IFERROR(VALUE(LEFT(E3083,FIND("º",SUBSTITUTE(E3083,"°","º"))-1)),""))))</f>
        <v/>
      </c>
      <c r="O3083" s="2">
        <f>IF(OR(F3083="",G3083=""),"",IF(G3083&lt;='RETRATO 2027'!$K$5,"CONCLUÍDA",IF(F3083&lt;='RETRATO 2027'!$K$5,"EM ANDAMENTO","A INICIAR")))</f>
        <v/>
      </c>
    </row>
    <row r="3084">
      <c r="M3084" s="2">
        <f>IF(C3084="","",IFERROR(INDEX($S$5:$S$304,MATCH(C3084,$R$5:$R$304,0))&amp;"","?"))</f>
        <v/>
      </c>
      <c r="N3084" s="2">
        <f>IF(E3084="","",IF(ISNUMBER(SEARCH("SUBSOLO",E3084)),IFERROR(-VALUE(LEFT(E3084,FIND("º",SUBSTITUTE(E3084,"°","º"))-1)),-1),IF(LEFT(E3084,6)="TÉRREO",0,IFERROR(VALUE(LEFT(E3084,FIND("º",SUBSTITUTE(E3084,"°","º"))-1)),""))))</f>
        <v/>
      </c>
      <c r="O3084" s="2">
        <f>IF(OR(F3084="",G3084=""),"",IF(G3084&lt;='RETRATO 2027'!$K$5,"CONCLUÍDA",IF(F3084&lt;='RETRATO 2027'!$K$5,"EM ANDAMENTO","A INICIAR")))</f>
        <v/>
      </c>
    </row>
    <row r="3085">
      <c r="M3085" s="2">
        <f>IF(C3085="","",IFERROR(INDEX($S$5:$S$304,MATCH(C3085,$R$5:$R$304,0))&amp;"","?"))</f>
        <v/>
      </c>
      <c r="N3085" s="2">
        <f>IF(E3085="","",IF(ISNUMBER(SEARCH("SUBSOLO",E3085)),IFERROR(-VALUE(LEFT(E3085,FIND("º",SUBSTITUTE(E3085,"°","º"))-1)),-1),IF(LEFT(E3085,6)="TÉRREO",0,IFERROR(VALUE(LEFT(E3085,FIND("º",SUBSTITUTE(E3085,"°","º"))-1)),""))))</f>
        <v/>
      </c>
      <c r="O3085" s="2">
        <f>IF(OR(F3085="",G3085=""),"",IF(G3085&lt;='RETRATO 2027'!$K$5,"CONCLUÍDA",IF(F3085&lt;='RETRATO 2027'!$K$5,"EM ANDAMENTO","A INICIAR")))</f>
        <v/>
      </c>
    </row>
    <row r="3086">
      <c r="M3086" s="2">
        <f>IF(C3086="","",IFERROR(INDEX($S$5:$S$304,MATCH(C3086,$R$5:$R$304,0))&amp;"","?"))</f>
        <v/>
      </c>
      <c r="N3086" s="2">
        <f>IF(E3086="","",IF(ISNUMBER(SEARCH("SUBSOLO",E3086)),IFERROR(-VALUE(LEFT(E3086,FIND("º",SUBSTITUTE(E3086,"°","º"))-1)),-1),IF(LEFT(E3086,6)="TÉRREO",0,IFERROR(VALUE(LEFT(E3086,FIND("º",SUBSTITUTE(E3086,"°","º"))-1)),""))))</f>
        <v/>
      </c>
      <c r="O3086" s="2">
        <f>IF(OR(F3086="",G3086=""),"",IF(G3086&lt;='RETRATO 2027'!$K$5,"CONCLUÍDA",IF(F3086&lt;='RETRATO 2027'!$K$5,"EM ANDAMENTO","A INICIAR")))</f>
        <v/>
      </c>
    </row>
    <row r="3087">
      <c r="M3087" s="2">
        <f>IF(C3087="","",IFERROR(INDEX($S$5:$S$304,MATCH(C3087,$R$5:$R$304,0))&amp;"","?"))</f>
        <v/>
      </c>
      <c r="N3087" s="2">
        <f>IF(E3087="","",IF(ISNUMBER(SEARCH("SUBSOLO",E3087)),IFERROR(-VALUE(LEFT(E3087,FIND("º",SUBSTITUTE(E3087,"°","º"))-1)),-1),IF(LEFT(E3087,6)="TÉRREO",0,IFERROR(VALUE(LEFT(E3087,FIND("º",SUBSTITUTE(E3087,"°","º"))-1)),""))))</f>
        <v/>
      </c>
      <c r="O3087" s="2">
        <f>IF(OR(F3087="",G3087=""),"",IF(G3087&lt;='RETRATO 2027'!$K$5,"CONCLUÍDA",IF(F3087&lt;='RETRATO 2027'!$K$5,"EM ANDAMENTO","A INICIAR")))</f>
        <v/>
      </c>
    </row>
    <row r="3088">
      <c r="M3088" s="2">
        <f>IF(C3088="","",IFERROR(INDEX($S$5:$S$304,MATCH(C3088,$R$5:$R$304,0))&amp;"","?"))</f>
        <v/>
      </c>
      <c r="N3088" s="2">
        <f>IF(E3088="","",IF(ISNUMBER(SEARCH("SUBSOLO",E3088)),IFERROR(-VALUE(LEFT(E3088,FIND("º",SUBSTITUTE(E3088,"°","º"))-1)),-1),IF(LEFT(E3088,6)="TÉRREO",0,IFERROR(VALUE(LEFT(E3088,FIND("º",SUBSTITUTE(E3088,"°","º"))-1)),""))))</f>
        <v/>
      </c>
      <c r="O3088" s="2">
        <f>IF(OR(F3088="",G3088=""),"",IF(G3088&lt;='RETRATO 2027'!$K$5,"CONCLUÍDA",IF(F3088&lt;='RETRATO 2027'!$K$5,"EM ANDAMENTO","A INICIAR")))</f>
        <v/>
      </c>
    </row>
    <row r="3089">
      <c r="M3089" s="2">
        <f>IF(C3089="","",IFERROR(INDEX($S$5:$S$304,MATCH(C3089,$R$5:$R$304,0))&amp;"","?"))</f>
        <v/>
      </c>
      <c r="N3089" s="2">
        <f>IF(E3089="","",IF(ISNUMBER(SEARCH("SUBSOLO",E3089)),IFERROR(-VALUE(LEFT(E3089,FIND("º",SUBSTITUTE(E3089,"°","º"))-1)),-1),IF(LEFT(E3089,6)="TÉRREO",0,IFERROR(VALUE(LEFT(E3089,FIND("º",SUBSTITUTE(E3089,"°","º"))-1)),""))))</f>
        <v/>
      </c>
      <c r="O3089" s="2">
        <f>IF(OR(F3089="",G3089=""),"",IF(G3089&lt;='RETRATO 2027'!$K$5,"CONCLUÍDA",IF(F3089&lt;='RETRATO 2027'!$K$5,"EM ANDAMENTO","A INICIAR")))</f>
        <v/>
      </c>
    </row>
    <row r="3090">
      <c r="M3090" s="2">
        <f>IF(C3090="","",IFERROR(INDEX($S$5:$S$304,MATCH(C3090,$R$5:$R$304,0))&amp;"","?"))</f>
        <v/>
      </c>
      <c r="N3090" s="2">
        <f>IF(E3090="","",IF(ISNUMBER(SEARCH("SUBSOLO",E3090)),IFERROR(-VALUE(LEFT(E3090,FIND("º",SUBSTITUTE(E3090,"°","º"))-1)),-1),IF(LEFT(E3090,6)="TÉRREO",0,IFERROR(VALUE(LEFT(E3090,FIND("º",SUBSTITUTE(E3090,"°","º"))-1)),""))))</f>
        <v/>
      </c>
      <c r="O3090" s="2">
        <f>IF(OR(F3090="",G3090=""),"",IF(G3090&lt;='RETRATO 2027'!$K$5,"CONCLUÍDA",IF(F3090&lt;='RETRATO 2027'!$K$5,"EM ANDAMENTO","A INICIAR")))</f>
        <v/>
      </c>
    </row>
    <row r="3091">
      <c r="M3091" s="2">
        <f>IF(C3091="","",IFERROR(INDEX($S$5:$S$304,MATCH(C3091,$R$5:$R$304,0))&amp;"","?"))</f>
        <v/>
      </c>
      <c r="N3091" s="2">
        <f>IF(E3091="","",IF(ISNUMBER(SEARCH("SUBSOLO",E3091)),IFERROR(-VALUE(LEFT(E3091,FIND("º",SUBSTITUTE(E3091,"°","º"))-1)),-1),IF(LEFT(E3091,6)="TÉRREO",0,IFERROR(VALUE(LEFT(E3091,FIND("º",SUBSTITUTE(E3091,"°","º"))-1)),""))))</f>
        <v/>
      </c>
      <c r="O3091" s="2">
        <f>IF(OR(F3091="",G3091=""),"",IF(G3091&lt;='RETRATO 2027'!$K$5,"CONCLUÍDA",IF(F3091&lt;='RETRATO 2027'!$K$5,"EM ANDAMENTO","A INICIAR")))</f>
        <v/>
      </c>
    </row>
    <row r="3092">
      <c r="M3092" s="2">
        <f>IF(C3092="","",IFERROR(INDEX($S$5:$S$304,MATCH(C3092,$R$5:$R$304,0))&amp;"","?"))</f>
        <v/>
      </c>
      <c r="N3092" s="2">
        <f>IF(E3092="","",IF(ISNUMBER(SEARCH("SUBSOLO",E3092)),IFERROR(-VALUE(LEFT(E3092,FIND("º",SUBSTITUTE(E3092,"°","º"))-1)),-1),IF(LEFT(E3092,6)="TÉRREO",0,IFERROR(VALUE(LEFT(E3092,FIND("º",SUBSTITUTE(E3092,"°","º"))-1)),""))))</f>
        <v/>
      </c>
      <c r="O3092" s="2">
        <f>IF(OR(F3092="",G3092=""),"",IF(G3092&lt;='RETRATO 2027'!$K$5,"CONCLUÍDA",IF(F3092&lt;='RETRATO 2027'!$K$5,"EM ANDAMENTO","A INICIAR")))</f>
        <v/>
      </c>
    </row>
    <row r="3093">
      <c r="M3093" s="2">
        <f>IF(C3093="","",IFERROR(INDEX($S$5:$S$304,MATCH(C3093,$R$5:$R$304,0))&amp;"","?"))</f>
        <v/>
      </c>
      <c r="N3093" s="2">
        <f>IF(E3093="","",IF(ISNUMBER(SEARCH("SUBSOLO",E3093)),IFERROR(-VALUE(LEFT(E3093,FIND("º",SUBSTITUTE(E3093,"°","º"))-1)),-1),IF(LEFT(E3093,6)="TÉRREO",0,IFERROR(VALUE(LEFT(E3093,FIND("º",SUBSTITUTE(E3093,"°","º"))-1)),""))))</f>
        <v/>
      </c>
      <c r="O3093" s="2">
        <f>IF(OR(F3093="",G3093=""),"",IF(G3093&lt;='RETRATO 2027'!$K$5,"CONCLUÍDA",IF(F3093&lt;='RETRATO 2027'!$K$5,"EM ANDAMENTO","A INICIAR")))</f>
        <v/>
      </c>
    </row>
    <row r="3094">
      <c r="M3094" s="2">
        <f>IF(C3094="","",IFERROR(INDEX($S$5:$S$304,MATCH(C3094,$R$5:$R$304,0))&amp;"","?"))</f>
        <v/>
      </c>
      <c r="N3094" s="2">
        <f>IF(E3094="","",IF(ISNUMBER(SEARCH("SUBSOLO",E3094)),IFERROR(-VALUE(LEFT(E3094,FIND("º",SUBSTITUTE(E3094,"°","º"))-1)),-1),IF(LEFT(E3094,6)="TÉRREO",0,IFERROR(VALUE(LEFT(E3094,FIND("º",SUBSTITUTE(E3094,"°","º"))-1)),""))))</f>
        <v/>
      </c>
      <c r="O3094" s="2">
        <f>IF(OR(F3094="",G3094=""),"",IF(G3094&lt;='RETRATO 2027'!$K$5,"CONCLUÍDA",IF(F3094&lt;='RETRATO 2027'!$K$5,"EM ANDAMENTO","A INICIAR")))</f>
        <v/>
      </c>
    </row>
    <row r="3095">
      <c r="M3095" s="2">
        <f>IF(C3095="","",IFERROR(INDEX($S$5:$S$304,MATCH(C3095,$R$5:$R$304,0))&amp;"","?"))</f>
        <v/>
      </c>
      <c r="N3095" s="2">
        <f>IF(E3095="","",IF(ISNUMBER(SEARCH("SUBSOLO",E3095)),IFERROR(-VALUE(LEFT(E3095,FIND("º",SUBSTITUTE(E3095,"°","º"))-1)),-1),IF(LEFT(E3095,6)="TÉRREO",0,IFERROR(VALUE(LEFT(E3095,FIND("º",SUBSTITUTE(E3095,"°","º"))-1)),""))))</f>
        <v/>
      </c>
      <c r="O3095" s="2">
        <f>IF(OR(F3095="",G3095=""),"",IF(G3095&lt;='RETRATO 2027'!$K$5,"CONCLUÍDA",IF(F3095&lt;='RETRATO 2027'!$K$5,"EM ANDAMENTO","A INICIAR")))</f>
        <v/>
      </c>
    </row>
    <row r="3096">
      <c r="M3096" s="2">
        <f>IF(C3096="","",IFERROR(INDEX($S$5:$S$304,MATCH(C3096,$R$5:$R$304,0))&amp;"","?"))</f>
        <v/>
      </c>
      <c r="N3096" s="2">
        <f>IF(E3096="","",IF(ISNUMBER(SEARCH("SUBSOLO",E3096)),IFERROR(-VALUE(LEFT(E3096,FIND("º",SUBSTITUTE(E3096,"°","º"))-1)),-1),IF(LEFT(E3096,6)="TÉRREO",0,IFERROR(VALUE(LEFT(E3096,FIND("º",SUBSTITUTE(E3096,"°","º"))-1)),""))))</f>
        <v/>
      </c>
      <c r="O3096" s="2">
        <f>IF(OR(F3096="",G3096=""),"",IF(G3096&lt;='RETRATO 2027'!$K$5,"CONCLUÍDA",IF(F3096&lt;='RETRATO 2027'!$K$5,"EM ANDAMENTO","A INICIAR")))</f>
        <v/>
      </c>
    </row>
    <row r="3097">
      <c r="M3097" s="2">
        <f>IF(C3097="","",IFERROR(INDEX($S$5:$S$304,MATCH(C3097,$R$5:$R$304,0))&amp;"","?"))</f>
        <v/>
      </c>
      <c r="N3097" s="2">
        <f>IF(E3097="","",IF(ISNUMBER(SEARCH("SUBSOLO",E3097)),IFERROR(-VALUE(LEFT(E3097,FIND("º",SUBSTITUTE(E3097,"°","º"))-1)),-1),IF(LEFT(E3097,6)="TÉRREO",0,IFERROR(VALUE(LEFT(E3097,FIND("º",SUBSTITUTE(E3097,"°","º"))-1)),""))))</f>
        <v/>
      </c>
      <c r="O3097" s="2">
        <f>IF(OR(F3097="",G3097=""),"",IF(G3097&lt;='RETRATO 2027'!$K$5,"CONCLUÍDA",IF(F3097&lt;='RETRATO 2027'!$K$5,"EM ANDAMENTO","A INICIAR")))</f>
        <v/>
      </c>
    </row>
    <row r="3098">
      <c r="M3098" s="2">
        <f>IF(C3098="","",IFERROR(INDEX($S$5:$S$304,MATCH(C3098,$R$5:$R$304,0))&amp;"","?"))</f>
        <v/>
      </c>
      <c r="N3098" s="2">
        <f>IF(E3098="","",IF(ISNUMBER(SEARCH("SUBSOLO",E3098)),IFERROR(-VALUE(LEFT(E3098,FIND("º",SUBSTITUTE(E3098,"°","º"))-1)),-1),IF(LEFT(E3098,6)="TÉRREO",0,IFERROR(VALUE(LEFT(E3098,FIND("º",SUBSTITUTE(E3098,"°","º"))-1)),""))))</f>
        <v/>
      </c>
      <c r="O3098" s="2">
        <f>IF(OR(F3098="",G3098=""),"",IF(G3098&lt;='RETRATO 2027'!$K$5,"CONCLUÍDA",IF(F3098&lt;='RETRATO 2027'!$K$5,"EM ANDAMENTO","A INICIAR")))</f>
        <v/>
      </c>
    </row>
    <row r="3099">
      <c r="M3099" s="2">
        <f>IF(C3099="","",IFERROR(INDEX($S$5:$S$304,MATCH(C3099,$R$5:$R$304,0))&amp;"","?"))</f>
        <v/>
      </c>
      <c r="N3099" s="2">
        <f>IF(E3099="","",IF(ISNUMBER(SEARCH("SUBSOLO",E3099)),IFERROR(-VALUE(LEFT(E3099,FIND("º",SUBSTITUTE(E3099,"°","º"))-1)),-1),IF(LEFT(E3099,6)="TÉRREO",0,IFERROR(VALUE(LEFT(E3099,FIND("º",SUBSTITUTE(E3099,"°","º"))-1)),""))))</f>
        <v/>
      </c>
      <c r="O3099" s="2">
        <f>IF(OR(F3099="",G3099=""),"",IF(G3099&lt;='RETRATO 2027'!$K$5,"CONCLUÍDA",IF(F3099&lt;='RETRATO 2027'!$K$5,"EM ANDAMENTO","A INICIAR")))</f>
        <v/>
      </c>
    </row>
    <row r="3100">
      <c r="M3100" s="2">
        <f>IF(C3100="","",IFERROR(INDEX($S$5:$S$304,MATCH(C3100,$R$5:$R$304,0))&amp;"","?"))</f>
        <v/>
      </c>
      <c r="N3100" s="2">
        <f>IF(E3100="","",IF(ISNUMBER(SEARCH("SUBSOLO",E3100)),IFERROR(-VALUE(LEFT(E3100,FIND("º",SUBSTITUTE(E3100,"°","º"))-1)),-1),IF(LEFT(E3100,6)="TÉRREO",0,IFERROR(VALUE(LEFT(E3100,FIND("º",SUBSTITUTE(E3100,"°","º"))-1)),""))))</f>
        <v/>
      </c>
      <c r="O3100" s="2">
        <f>IF(OR(F3100="",G3100=""),"",IF(G3100&lt;='RETRATO 2027'!$K$5,"CONCLUÍDA",IF(F3100&lt;='RETRATO 2027'!$K$5,"EM ANDAMENTO","A INICIAR")))</f>
        <v/>
      </c>
    </row>
    <row r="3101">
      <c r="M3101" s="2">
        <f>IF(C3101="","",IFERROR(INDEX($S$5:$S$304,MATCH(C3101,$R$5:$R$304,0))&amp;"","?"))</f>
        <v/>
      </c>
      <c r="N3101" s="2">
        <f>IF(E3101="","",IF(ISNUMBER(SEARCH("SUBSOLO",E3101)),IFERROR(-VALUE(LEFT(E3101,FIND("º",SUBSTITUTE(E3101,"°","º"))-1)),-1),IF(LEFT(E3101,6)="TÉRREO",0,IFERROR(VALUE(LEFT(E3101,FIND("º",SUBSTITUTE(E3101,"°","º"))-1)),""))))</f>
        <v/>
      </c>
      <c r="O3101" s="2">
        <f>IF(OR(F3101="",G3101=""),"",IF(G3101&lt;='RETRATO 2027'!$K$5,"CONCLUÍDA",IF(F3101&lt;='RETRATO 2027'!$K$5,"EM ANDAMENTO","A INICIAR")))</f>
        <v/>
      </c>
    </row>
    <row r="3102">
      <c r="M3102" s="2">
        <f>IF(C3102="","",IFERROR(INDEX($S$5:$S$304,MATCH(C3102,$R$5:$R$304,0))&amp;"","?"))</f>
        <v/>
      </c>
      <c r="N3102" s="2">
        <f>IF(E3102="","",IF(ISNUMBER(SEARCH("SUBSOLO",E3102)),IFERROR(-VALUE(LEFT(E3102,FIND("º",SUBSTITUTE(E3102,"°","º"))-1)),-1),IF(LEFT(E3102,6)="TÉRREO",0,IFERROR(VALUE(LEFT(E3102,FIND("º",SUBSTITUTE(E3102,"°","º"))-1)),""))))</f>
        <v/>
      </c>
      <c r="O3102" s="2">
        <f>IF(OR(F3102="",G3102=""),"",IF(G3102&lt;='RETRATO 2027'!$K$5,"CONCLUÍDA",IF(F3102&lt;='RETRATO 2027'!$K$5,"EM ANDAMENTO","A INICIAR")))</f>
        <v/>
      </c>
    </row>
    <row r="3103">
      <c r="M3103" s="2">
        <f>IF(C3103="","",IFERROR(INDEX($S$5:$S$304,MATCH(C3103,$R$5:$R$304,0))&amp;"","?"))</f>
        <v/>
      </c>
      <c r="N3103" s="2">
        <f>IF(E3103="","",IF(ISNUMBER(SEARCH("SUBSOLO",E3103)),IFERROR(-VALUE(LEFT(E3103,FIND("º",SUBSTITUTE(E3103,"°","º"))-1)),-1),IF(LEFT(E3103,6)="TÉRREO",0,IFERROR(VALUE(LEFT(E3103,FIND("º",SUBSTITUTE(E3103,"°","º"))-1)),""))))</f>
        <v/>
      </c>
      <c r="O3103" s="2">
        <f>IF(OR(F3103="",G3103=""),"",IF(G3103&lt;='RETRATO 2027'!$K$5,"CONCLUÍDA",IF(F3103&lt;='RETRATO 2027'!$K$5,"EM ANDAMENTO","A INICIAR")))</f>
        <v/>
      </c>
    </row>
    <row r="3104">
      <c r="M3104" s="2">
        <f>IF(C3104="","",IFERROR(INDEX($S$5:$S$304,MATCH(C3104,$R$5:$R$304,0))&amp;"","?"))</f>
        <v/>
      </c>
      <c r="N3104" s="2">
        <f>IF(E3104="","",IF(ISNUMBER(SEARCH("SUBSOLO",E3104)),IFERROR(-VALUE(LEFT(E3104,FIND("º",SUBSTITUTE(E3104,"°","º"))-1)),-1),IF(LEFT(E3104,6)="TÉRREO",0,IFERROR(VALUE(LEFT(E3104,FIND("º",SUBSTITUTE(E3104,"°","º"))-1)),""))))</f>
        <v/>
      </c>
      <c r="O3104" s="2">
        <f>IF(OR(F3104="",G3104=""),"",IF(G3104&lt;='RETRATO 2027'!$K$5,"CONCLUÍDA",IF(F3104&lt;='RETRATO 2027'!$K$5,"EM ANDAMENTO","A INICIAR")))</f>
        <v/>
      </c>
    </row>
    <row r="3105">
      <c r="M3105" s="2">
        <f>IF(C3105="","",IFERROR(INDEX($S$5:$S$304,MATCH(C3105,$R$5:$R$304,0))&amp;"","?"))</f>
        <v/>
      </c>
      <c r="N3105" s="2">
        <f>IF(E3105="","",IF(ISNUMBER(SEARCH("SUBSOLO",E3105)),IFERROR(-VALUE(LEFT(E3105,FIND("º",SUBSTITUTE(E3105,"°","º"))-1)),-1),IF(LEFT(E3105,6)="TÉRREO",0,IFERROR(VALUE(LEFT(E3105,FIND("º",SUBSTITUTE(E3105,"°","º"))-1)),""))))</f>
        <v/>
      </c>
      <c r="O3105" s="2">
        <f>IF(OR(F3105="",G3105=""),"",IF(G3105&lt;='RETRATO 2027'!$K$5,"CONCLUÍDA",IF(F3105&lt;='RETRATO 2027'!$K$5,"EM ANDAMENTO","A INICIAR")))</f>
        <v/>
      </c>
    </row>
    <row r="3106">
      <c r="M3106" s="2">
        <f>IF(C3106="","",IFERROR(INDEX($S$5:$S$304,MATCH(C3106,$R$5:$R$304,0))&amp;"","?"))</f>
        <v/>
      </c>
      <c r="N3106" s="2">
        <f>IF(E3106="","",IF(ISNUMBER(SEARCH("SUBSOLO",E3106)),IFERROR(-VALUE(LEFT(E3106,FIND("º",SUBSTITUTE(E3106,"°","º"))-1)),-1),IF(LEFT(E3106,6)="TÉRREO",0,IFERROR(VALUE(LEFT(E3106,FIND("º",SUBSTITUTE(E3106,"°","º"))-1)),""))))</f>
        <v/>
      </c>
      <c r="O3106" s="2">
        <f>IF(OR(F3106="",G3106=""),"",IF(G3106&lt;='RETRATO 2027'!$K$5,"CONCLUÍDA",IF(F3106&lt;='RETRATO 2027'!$K$5,"EM ANDAMENTO","A INICIAR")))</f>
        <v/>
      </c>
    </row>
    <row r="3107">
      <c r="M3107" s="2">
        <f>IF(C3107="","",IFERROR(INDEX($S$5:$S$304,MATCH(C3107,$R$5:$R$304,0))&amp;"","?"))</f>
        <v/>
      </c>
      <c r="N3107" s="2">
        <f>IF(E3107="","",IF(ISNUMBER(SEARCH("SUBSOLO",E3107)),IFERROR(-VALUE(LEFT(E3107,FIND("º",SUBSTITUTE(E3107,"°","º"))-1)),-1),IF(LEFT(E3107,6)="TÉRREO",0,IFERROR(VALUE(LEFT(E3107,FIND("º",SUBSTITUTE(E3107,"°","º"))-1)),""))))</f>
        <v/>
      </c>
      <c r="O3107" s="2">
        <f>IF(OR(F3107="",G3107=""),"",IF(G3107&lt;='RETRATO 2027'!$K$5,"CONCLUÍDA",IF(F3107&lt;='RETRATO 2027'!$K$5,"EM ANDAMENTO","A INICIAR")))</f>
        <v/>
      </c>
    </row>
    <row r="3108">
      <c r="M3108" s="2">
        <f>IF(C3108="","",IFERROR(INDEX($S$5:$S$304,MATCH(C3108,$R$5:$R$304,0))&amp;"","?"))</f>
        <v/>
      </c>
      <c r="N3108" s="2">
        <f>IF(E3108="","",IF(ISNUMBER(SEARCH("SUBSOLO",E3108)),IFERROR(-VALUE(LEFT(E3108,FIND("º",SUBSTITUTE(E3108,"°","º"))-1)),-1),IF(LEFT(E3108,6)="TÉRREO",0,IFERROR(VALUE(LEFT(E3108,FIND("º",SUBSTITUTE(E3108,"°","º"))-1)),""))))</f>
        <v/>
      </c>
      <c r="O3108" s="2">
        <f>IF(OR(F3108="",G3108=""),"",IF(G3108&lt;='RETRATO 2027'!$K$5,"CONCLUÍDA",IF(F3108&lt;='RETRATO 2027'!$K$5,"EM ANDAMENTO","A INICIAR")))</f>
        <v/>
      </c>
    </row>
    <row r="3109">
      <c r="M3109" s="2">
        <f>IF(C3109="","",IFERROR(INDEX($S$5:$S$304,MATCH(C3109,$R$5:$R$304,0))&amp;"","?"))</f>
        <v/>
      </c>
      <c r="N3109" s="2">
        <f>IF(E3109="","",IF(ISNUMBER(SEARCH("SUBSOLO",E3109)),IFERROR(-VALUE(LEFT(E3109,FIND("º",SUBSTITUTE(E3109,"°","º"))-1)),-1),IF(LEFT(E3109,6)="TÉRREO",0,IFERROR(VALUE(LEFT(E3109,FIND("º",SUBSTITUTE(E3109,"°","º"))-1)),""))))</f>
        <v/>
      </c>
      <c r="O3109" s="2">
        <f>IF(OR(F3109="",G3109=""),"",IF(G3109&lt;='RETRATO 2027'!$K$5,"CONCLUÍDA",IF(F3109&lt;='RETRATO 2027'!$K$5,"EM ANDAMENTO","A INICIAR")))</f>
        <v/>
      </c>
    </row>
    <row r="3110">
      <c r="M3110" s="2">
        <f>IF(C3110="","",IFERROR(INDEX($S$5:$S$304,MATCH(C3110,$R$5:$R$304,0))&amp;"","?"))</f>
        <v/>
      </c>
      <c r="N3110" s="2">
        <f>IF(E3110="","",IF(ISNUMBER(SEARCH("SUBSOLO",E3110)),IFERROR(-VALUE(LEFT(E3110,FIND("º",SUBSTITUTE(E3110,"°","º"))-1)),-1),IF(LEFT(E3110,6)="TÉRREO",0,IFERROR(VALUE(LEFT(E3110,FIND("º",SUBSTITUTE(E3110,"°","º"))-1)),""))))</f>
        <v/>
      </c>
      <c r="O3110" s="2">
        <f>IF(OR(F3110="",G3110=""),"",IF(G3110&lt;='RETRATO 2027'!$K$5,"CONCLUÍDA",IF(F3110&lt;='RETRATO 2027'!$K$5,"EM ANDAMENTO","A INICIAR")))</f>
        <v/>
      </c>
    </row>
    <row r="3111">
      <c r="M3111" s="2">
        <f>IF(C3111="","",IFERROR(INDEX($S$5:$S$304,MATCH(C3111,$R$5:$R$304,0))&amp;"","?"))</f>
        <v/>
      </c>
      <c r="N3111" s="2">
        <f>IF(E3111="","",IF(ISNUMBER(SEARCH("SUBSOLO",E3111)),IFERROR(-VALUE(LEFT(E3111,FIND("º",SUBSTITUTE(E3111,"°","º"))-1)),-1),IF(LEFT(E3111,6)="TÉRREO",0,IFERROR(VALUE(LEFT(E3111,FIND("º",SUBSTITUTE(E3111,"°","º"))-1)),""))))</f>
        <v/>
      </c>
      <c r="O3111" s="2">
        <f>IF(OR(F3111="",G3111=""),"",IF(G3111&lt;='RETRATO 2027'!$K$5,"CONCLUÍDA",IF(F3111&lt;='RETRATO 2027'!$K$5,"EM ANDAMENTO","A INICIAR")))</f>
        <v/>
      </c>
    </row>
    <row r="3112">
      <c r="M3112" s="2">
        <f>IF(C3112="","",IFERROR(INDEX($S$5:$S$304,MATCH(C3112,$R$5:$R$304,0))&amp;"","?"))</f>
        <v/>
      </c>
      <c r="N3112" s="2">
        <f>IF(E3112="","",IF(ISNUMBER(SEARCH("SUBSOLO",E3112)),IFERROR(-VALUE(LEFT(E3112,FIND("º",SUBSTITUTE(E3112,"°","º"))-1)),-1),IF(LEFT(E3112,6)="TÉRREO",0,IFERROR(VALUE(LEFT(E3112,FIND("º",SUBSTITUTE(E3112,"°","º"))-1)),""))))</f>
        <v/>
      </c>
      <c r="O3112" s="2">
        <f>IF(OR(F3112="",G3112=""),"",IF(G3112&lt;='RETRATO 2027'!$K$5,"CONCLUÍDA",IF(F3112&lt;='RETRATO 2027'!$K$5,"EM ANDAMENTO","A INICIAR")))</f>
        <v/>
      </c>
    </row>
    <row r="3113">
      <c r="M3113" s="2">
        <f>IF(C3113="","",IFERROR(INDEX($S$5:$S$304,MATCH(C3113,$R$5:$R$304,0))&amp;"","?"))</f>
        <v/>
      </c>
      <c r="N3113" s="2">
        <f>IF(E3113="","",IF(ISNUMBER(SEARCH("SUBSOLO",E3113)),IFERROR(-VALUE(LEFT(E3113,FIND("º",SUBSTITUTE(E3113,"°","º"))-1)),-1),IF(LEFT(E3113,6)="TÉRREO",0,IFERROR(VALUE(LEFT(E3113,FIND("º",SUBSTITUTE(E3113,"°","º"))-1)),""))))</f>
        <v/>
      </c>
      <c r="O3113" s="2">
        <f>IF(OR(F3113="",G3113=""),"",IF(G3113&lt;='RETRATO 2027'!$K$5,"CONCLUÍDA",IF(F3113&lt;='RETRATO 2027'!$K$5,"EM ANDAMENTO","A INICIAR")))</f>
        <v/>
      </c>
    </row>
    <row r="3114">
      <c r="M3114" s="2">
        <f>IF(C3114="","",IFERROR(INDEX($S$5:$S$304,MATCH(C3114,$R$5:$R$304,0))&amp;"","?"))</f>
        <v/>
      </c>
      <c r="N3114" s="2">
        <f>IF(E3114="","",IF(ISNUMBER(SEARCH("SUBSOLO",E3114)),IFERROR(-VALUE(LEFT(E3114,FIND("º",SUBSTITUTE(E3114,"°","º"))-1)),-1),IF(LEFT(E3114,6)="TÉRREO",0,IFERROR(VALUE(LEFT(E3114,FIND("º",SUBSTITUTE(E3114,"°","º"))-1)),""))))</f>
        <v/>
      </c>
      <c r="O3114" s="2">
        <f>IF(OR(F3114="",G3114=""),"",IF(G3114&lt;='RETRATO 2027'!$K$5,"CONCLUÍDA",IF(F3114&lt;='RETRATO 2027'!$K$5,"EM ANDAMENTO","A INICIAR")))</f>
        <v/>
      </c>
    </row>
    <row r="3115">
      <c r="M3115" s="2">
        <f>IF(C3115="","",IFERROR(INDEX($S$5:$S$304,MATCH(C3115,$R$5:$R$304,0))&amp;"","?"))</f>
        <v/>
      </c>
      <c r="N3115" s="2">
        <f>IF(E3115="","",IF(ISNUMBER(SEARCH("SUBSOLO",E3115)),IFERROR(-VALUE(LEFT(E3115,FIND("º",SUBSTITUTE(E3115,"°","º"))-1)),-1),IF(LEFT(E3115,6)="TÉRREO",0,IFERROR(VALUE(LEFT(E3115,FIND("º",SUBSTITUTE(E3115,"°","º"))-1)),""))))</f>
        <v/>
      </c>
      <c r="O3115" s="2">
        <f>IF(OR(F3115="",G3115=""),"",IF(G3115&lt;='RETRATO 2027'!$K$5,"CONCLUÍDA",IF(F3115&lt;='RETRATO 2027'!$K$5,"EM ANDAMENTO","A INICIAR")))</f>
        <v/>
      </c>
    </row>
    <row r="3116">
      <c r="M3116" s="2">
        <f>IF(C3116="","",IFERROR(INDEX($S$5:$S$304,MATCH(C3116,$R$5:$R$304,0))&amp;"","?"))</f>
        <v/>
      </c>
      <c r="N3116" s="2">
        <f>IF(E3116="","",IF(ISNUMBER(SEARCH("SUBSOLO",E3116)),IFERROR(-VALUE(LEFT(E3116,FIND("º",SUBSTITUTE(E3116,"°","º"))-1)),-1),IF(LEFT(E3116,6)="TÉRREO",0,IFERROR(VALUE(LEFT(E3116,FIND("º",SUBSTITUTE(E3116,"°","º"))-1)),""))))</f>
        <v/>
      </c>
      <c r="O3116" s="2">
        <f>IF(OR(F3116="",G3116=""),"",IF(G3116&lt;='RETRATO 2027'!$K$5,"CONCLUÍDA",IF(F3116&lt;='RETRATO 2027'!$K$5,"EM ANDAMENTO","A INICIAR")))</f>
        <v/>
      </c>
    </row>
    <row r="3117">
      <c r="M3117" s="2">
        <f>IF(C3117="","",IFERROR(INDEX($S$5:$S$304,MATCH(C3117,$R$5:$R$304,0))&amp;"","?"))</f>
        <v/>
      </c>
      <c r="N3117" s="2">
        <f>IF(E3117="","",IF(ISNUMBER(SEARCH("SUBSOLO",E3117)),IFERROR(-VALUE(LEFT(E3117,FIND("º",SUBSTITUTE(E3117,"°","º"))-1)),-1),IF(LEFT(E3117,6)="TÉRREO",0,IFERROR(VALUE(LEFT(E3117,FIND("º",SUBSTITUTE(E3117,"°","º"))-1)),""))))</f>
        <v/>
      </c>
      <c r="O3117" s="2">
        <f>IF(OR(F3117="",G3117=""),"",IF(G3117&lt;='RETRATO 2027'!$K$5,"CONCLUÍDA",IF(F3117&lt;='RETRATO 2027'!$K$5,"EM ANDAMENTO","A INICIAR")))</f>
        <v/>
      </c>
    </row>
    <row r="3118">
      <c r="M3118" s="2">
        <f>IF(C3118="","",IFERROR(INDEX($S$5:$S$304,MATCH(C3118,$R$5:$R$304,0))&amp;"","?"))</f>
        <v/>
      </c>
      <c r="N3118" s="2">
        <f>IF(E3118="","",IF(ISNUMBER(SEARCH("SUBSOLO",E3118)),IFERROR(-VALUE(LEFT(E3118,FIND("º",SUBSTITUTE(E3118,"°","º"))-1)),-1),IF(LEFT(E3118,6)="TÉRREO",0,IFERROR(VALUE(LEFT(E3118,FIND("º",SUBSTITUTE(E3118,"°","º"))-1)),""))))</f>
        <v/>
      </c>
      <c r="O3118" s="2">
        <f>IF(OR(F3118="",G3118=""),"",IF(G3118&lt;='RETRATO 2027'!$K$5,"CONCLUÍDA",IF(F3118&lt;='RETRATO 2027'!$K$5,"EM ANDAMENTO","A INICIAR")))</f>
        <v/>
      </c>
    </row>
    <row r="3119">
      <c r="M3119" s="2">
        <f>IF(C3119="","",IFERROR(INDEX($S$5:$S$304,MATCH(C3119,$R$5:$R$304,0))&amp;"","?"))</f>
        <v/>
      </c>
      <c r="N3119" s="2">
        <f>IF(E3119="","",IF(ISNUMBER(SEARCH("SUBSOLO",E3119)),IFERROR(-VALUE(LEFT(E3119,FIND("º",SUBSTITUTE(E3119,"°","º"))-1)),-1),IF(LEFT(E3119,6)="TÉRREO",0,IFERROR(VALUE(LEFT(E3119,FIND("º",SUBSTITUTE(E3119,"°","º"))-1)),""))))</f>
        <v/>
      </c>
      <c r="O3119" s="2">
        <f>IF(OR(F3119="",G3119=""),"",IF(G3119&lt;='RETRATO 2027'!$K$5,"CONCLUÍDA",IF(F3119&lt;='RETRATO 2027'!$K$5,"EM ANDAMENTO","A INICIAR")))</f>
        <v/>
      </c>
    </row>
    <row r="3120">
      <c r="M3120" s="2">
        <f>IF(C3120="","",IFERROR(INDEX($S$5:$S$304,MATCH(C3120,$R$5:$R$304,0))&amp;"","?"))</f>
        <v/>
      </c>
      <c r="N3120" s="2">
        <f>IF(E3120="","",IF(ISNUMBER(SEARCH("SUBSOLO",E3120)),IFERROR(-VALUE(LEFT(E3120,FIND("º",SUBSTITUTE(E3120,"°","º"))-1)),-1),IF(LEFT(E3120,6)="TÉRREO",0,IFERROR(VALUE(LEFT(E3120,FIND("º",SUBSTITUTE(E3120,"°","º"))-1)),""))))</f>
        <v/>
      </c>
      <c r="O3120" s="2">
        <f>IF(OR(F3120="",G3120=""),"",IF(G3120&lt;='RETRATO 2027'!$K$5,"CONCLUÍDA",IF(F3120&lt;='RETRATO 2027'!$K$5,"EM ANDAMENTO","A INICIAR")))</f>
        <v/>
      </c>
    </row>
    <row r="3121">
      <c r="M3121" s="2">
        <f>IF(C3121="","",IFERROR(INDEX($S$5:$S$304,MATCH(C3121,$R$5:$R$304,0))&amp;"","?"))</f>
        <v/>
      </c>
      <c r="N3121" s="2">
        <f>IF(E3121="","",IF(ISNUMBER(SEARCH("SUBSOLO",E3121)),IFERROR(-VALUE(LEFT(E3121,FIND("º",SUBSTITUTE(E3121,"°","º"))-1)),-1),IF(LEFT(E3121,6)="TÉRREO",0,IFERROR(VALUE(LEFT(E3121,FIND("º",SUBSTITUTE(E3121,"°","º"))-1)),""))))</f>
        <v/>
      </c>
      <c r="O3121" s="2">
        <f>IF(OR(F3121="",G3121=""),"",IF(G3121&lt;='RETRATO 2027'!$K$5,"CONCLUÍDA",IF(F3121&lt;='RETRATO 2027'!$K$5,"EM ANDAMENTO","A INICIAR")))</f>
        <v/>
      </c>
    </row>
    <row r="3122">
      <c r="M3122" s="2">
        <f>IF(C3122="","",IFERROR(INDEX($S$5:$S$304,MATCH(C3122,$R$5:$R$304,0))&amp;"","?"))</f>
        <v/>
      </c>
      <c r="N3122" s="2">
        <f>IF(E3122="","",IF(ISNUMBER(SEARCH("SUBSOLO",E3122)),IFERROR(-VALUE(LEFT(E3122,FIND("º",SUBSTITUTE(E3122,"°","º"))-1)),-1),IF(LEFT(E3122,6)="TÉRREO",0,IFERROR(VALUE(LEFT(E3122,FIND("º",SUBSTITUTE(E3122,"°","º"))-1)),""))))</f>
        <v/>
      </c>
      <c r="O3122" s="2">
        <f>IF(OR(F3122="",G3122=""),"",IF(G3122&lt;='RETRATO 2027'!$K$5,"CONCLUÍDA",IF(F3122&lt;='RETRATO 2027'!$K$5,"EM ANDAMENTO","A INICIAR")))</f>
        <v/>
      </c>
    </row>
    <row r="3123">
      <c r="M3123" s="2">
        <f>IF(C3123="","",IFERROR(INDEX($S$5:$S$304,MATCH(C3123,$R$5:$R$304,0))&amp;"","?"))</f>
        <v/>
      </c>
      <c r="N3123" s="2">
        <f>IF(E3123="","",IF(ISNUMBER(SEARCH("SUBSOLO",E3123)),IFERROR(-VALUE(LEFT(E3123,FIND("º",SUBSTITUTE(E3123,"°","º"))-1)),-1),IF(LEFT(E3123,6)="TÉRREO",0,IFERROR(VALUE(LEFT(E3123,FIND("º",SUBSTITUTE(E3123,"°","º"))-1)),""))))</f>
        <v/>
      </c>
      <c r="O3123" s="2">
        <f>IF(OR(F3123="",G3123=""),"",IF(G3123&lt;='RETRATO 2027'!$K$5,"CONCLUÍDA",IF(F3123&lt;='RETRATO 2027'!$K$5,"EM ANDAMENTO","A INICIAR")))</f>
        <v/>
      </c>
    </row>
    <row r="3124">
      <c r="M3124" s="2">
        <f>IF(C3124="","",IFERROR(INDEX($S$5:$S$304,MATCH(C3124,$R$5:$R$304,0))&amp;"","?"))</f>
        <v/>
      </c>
      <c r="N3124" s="2">
        <f>IF(E3124="","",IF(ISNUMBER(SEARCH("SUBSOLO",E3124)),IFERROR(-VALUE(LEFT(E3124,FIND("º",SUBSTITUTE(E3124,"°","º"))-1)),-1),IF(LEFT(E3124,6)="TÉRREO",0,IFERROR(VALUE(LEFT(E3124,FIND("º",SUBSTITUTE(E3124,"°","º"))-1)),""))))</f>
        <v/>
      </c>
      <c r="O3124" s="2">
        <f>IF(OR(F3124="",G3124=""),"",IF(G3124&lt;='RETRATO 2027'!$K$5,"CONCLUÍDA",IF(F3124&lt;='RETRATO 2027'!$K$5,"EM ANDAMENTO","A INICIAR")))</f>
        <v/>
      </c>
    </row>
    <row r="3125">
      <c r="M3125" s="2">
        <f>IF(C3125="","",IFERROR(INDEX($S$5:$S$304,MATCH(C3125,$R$5:$R$304,0))&amp;"","?"))</f>
        <v/>
      </c>
      <c r="N3125" s="2">
        <f>IF(E3125="","",IF(ISNUMBER(SEARCH("SUBSOLO",E3125)),IFERROR(-VALUE(LEFT(E3125,FIND("º",SUBSTITUTE(E3125,"°","º"))-1)),-1),IF(LEFT(E3125,6)="TÉRREO",0,IFERROR(VALUE(LEFT(E3125,FIND("º",SUBSTITUTE(E3125,"°","º"))-1)),""))))</f>
        <v/>
      </c>
      <c r="O3125" s="2">
        <f>IF(OR(F3125="",G3125=""),"",IF(G3125&lt;='RETRATO 2027'!$K$5,"CONCLUÍDA",IF(F3125&lt;='RETRATO 2027'!$K$5,"EM ANDAMENTO","A INICIAR")))</f>
        <v/>
      </c>
    </row>
    <row r="3126">
      <c r="M3126" s="2">
        <f>IF(C3126="","",IFERROR(INDEX($S$5:$S$304,MATCH(C3126,$R$5:$R$304,0))&amp;"","?"))</f>
        <v/>
      </c>
      <c r="N3126" s="2">
        <f>IF(E3126="","",IF(ISNUMBER(SEARCH("SUBSOLO",E3126)),IFERROR(-VALUE(LEFT(E3126,FIND("º",SUBSTITUTE(E3126,"°","º"))-1)),-1),IF(LEFT(E3126,6)="TÉRREO",0,IFERROR(VALUE(LEFT(E3126,FIND("º",SUBSTITUTE(E3126,"°","º"))-1)),""))))</f>
        <v/>
      </c>
      <c r="O3126" s="2">
        <f>IF(OR(F3126="",G3126=""),"",IF(G3126&lt;='RETRATO 2027'!$K$5,"CONCLUÍDA",IF(F3126&lt;='RETRATO 2027'!$K$5,"EM ANDAMENTO","A INICIAR")))</f>
        <v/>
      </c>
    </row>
    <row r="3127">
      <c r="M3127" s="2">
        <f>IF(C3127="","",IFERROR(INDEX($S$5:$S$304,MATCH(C3127,$R$5:$R$304,0))&amp;"","?"))</f>
        <v/>
      </c>
      <c r="N3127" s="2">
        <f>IF(E3127="","",IF(ISNUMBER(SEARCH("SUBSOLO",E3127)),IFERROR(-VALUE(LEFT(E3127,FIND("º",SUBSTITUTE(E3127,"°","º"))-1)),-1),IF(LEFT(E3127,6)="TÉRREO",0,IFERROR(VALUE(LEFT(E3127,FIND("º",SUBSTITUTE(E3127,"°","º"))-1)),""))))</f>
        <v/>
      </c>
      <c r="O3127" s="2">
        <f>IF(OR(F3127="",G3127=""),"",IF(G3127&lt;='RETRATO 2027'!$K$5,"CONCLUÍDA",IF(F3127&lt;='RETRATO 2027'!$K$5,"EM ANDAMENTO","A INICIAR")))</f>
        <v/>
      </c>
    </row>
    <row r="3128">
      <c r="M3128" s="2">
        <f>IF(C3128="","",IFERROR(INDEX($S$5:$S$304,MATCH(C3128,$R$5:$R$304,0))&amp;"","?"))</f>
        <v/>
      </c>
      <c r="N3128" s="2">
        <f>IF(E3128="","",IF(ISNUMBER(SEARCH("SUBSOLO",E3128)),IFERROR(-VALUE(LEFT(E3128,FIND("º",SUBSTITUTE(E3128,"°","º"))-1)),-1),IF(LEFT(E3128,6)="TÉRREO",0,IFERROR(VALUE(LEFT(E3128,FIND("º",SUBSTITUTE(E3128,"°","º"))-1)),""))))</f>
        <v/>
      </c>
      <c r="O3128" s="2">
        <f>IF(OR(F3128="",G3128=""),"",IF(G3128&lt;='RETRATO 2027'!$K$5,"CONCLUÍDA",IF(F3128&lt;='RETRATO 2027'!$K$5,"EM ANDAMENTO","A INICIAR")))</f>
        <v/>
      </c>
    </row>
    <row r="3129">
      <c r="M3129" s="2">
        <f>IF(C3129="","",IFERROR(INDEX($S$5:$S$304,MATCH(C3129,$R$5:$R$304,0))&amp;"","?"))</f>
        <v/>
      </c>
      <c r="N3129" s="2">
        <f>IF(E3129="","",IF(ISNUMBER(SEARCH("SUBSOLO",E3129)),IFERROR(-VALUE(LEFT(E3129,FIND("º",SUBSTITUTE(E3129,"°","º"))-1)),-1),IF(LEFT(E3129,6)="TÉRREO",0,IFERROR(VALUE(LEFT(E3129,FIND("º",SUBSTITUTE(E3129,"°","º"))-1)),""))))</f>
        <v/>
      </c>
      <c r="O3129" s="2">
        <f>IF(OR(F3129="",G3129=""),"",IF(G3129&lt;='RETRATO 2027'!$K$5,"CONCLUÍDA",IF(F3129&lt;='RETRATO 2027'!$K$5,"EM ANDAMENTO","A INICIAR")))</f>
        <v/>
      </c>
    </row>
    <row r="3130">
      <c r="M3130" s="2">
        <f>IF(C3130="","",IFERROR(INDEX($S$5:$S$304,MATCH(C3130,$R$5:$R$304,0))&amp;"","?"))</f>
        <v/>
      </c>
      <c r="N3130" s="2">
        <f>IF(E3130="","",IF(ISNUMBER(SEARCH("SUBSOLO",E3130)),IFERROR(-VALUE(LEFT(E3130,FIND("º",SUBSTITUTE(E3130,"°","º"))-1)),-1),IF(LEFT(E3130,6)="TÉRREO",0,IFERROR(VALUE(LEFT(E3130,FIND("º",SUBSTITUTE(E3130,"°","º"))-1)),""))))</f>
        <v/>
      </c>
      <c r="O3130" s="2">
        <f>IF(OR(F3130="",G3130=""),"",IF(G3130&lt;='RETRATO 2027'!$K$5,"CONCLUÍDA",IF(F3130&lt;='RETRATO 2027'!$K$5,"EM ANDAMENTO","A INICIAR")))</f>
        <v/>
      </c>
    </row>
    <row r="3131">
      <c r="M3131" s="2">
        <f>IF(C3131="","",IFERROR(INDEX($S$5:$S$304,MATCH(C3131,$R$5:$R$304,0))&amp;"","?"))</f>
        <v/>
      </c>
      <c r="N3131" s="2">
        <f>IF(E3131="","",IF(ISNUMBER(SEARCH("SUBSOLO",E3131)),IFERROR(-VALUE(LEFT(E3131,FIND("º",SUBSTITUTE(E3131,"°","º"))-1)),-1),IF(LEFT(E3131,6)="TÉRREO",0,IFERROR(VALUE(LEFT(E3131,FIND("º",SUBSTITUTE(E3131,"°","º"))-1)),""))))</f>
        <v/>
      </c>
      <c r="O3131" s="2">
        <f>IF(OR(F3131="",G3131=""),"",IF(G3131&lt;='RETRATO 2027'!$K$5,"CONCLUÍDA",IF(F3131&lt;='RETRATO 2027'!$K$5,"EM ANDAMENTO","A INICIAR")))</f>
        <v/>
      </c>
    </row>
    <row r="3132">
      <c r="M3132" s="2">
        <f>IF(C3132="","",IFERROR(INDEX($S$5:$S$304,MATCH(C3132,$R$5:$R$304,0))&amp;"","?"))</f>
        <v/>
      </c>
      <c r="N3132" s="2">
        <f>IF(E3132="","",IF(ISNUMBER(SEARCH("SUBSOLO",E3132)),IFERROR(-VALUE(LEFT(E3132,FIND("º",SUBSTITUTE(E3132,"°","º"))-1)),-1),IF(LEFT(E3132,6)="TÉRREO",0,IFERROR(VALUE(LEFT(E3132,FIND("º",SUBSTITUTE(E3132,"°","º"))-1)),""))))</f>
        <v/>
      </c>
      <c r="O3132" s="2">
        <f>IF(OR(F3132="",G3132=""),"",IF(G3132&lt;='RETRATO 2027'!$K$5,"CONCLUÍDA",IF(F3132&lt;='RETRATO 2027'!$K$5,"EM ANDAMENTO","A INICIAR")))</f>
        <v/>
      </c>
    </row>
    <row r="3133">
      <c r="M3133" s="2">
        <f>IF(C3133="","",IFERROR(INDEX($S$5:$S$304,MATCH(C3133,$R$5:$R$304,0))&amp;"","?"))</f>
        <v/>
      </c>
      <c r="N3133" s="2">
        <f>IF(E3133="","",IF(ISNUMBER(SEARCH("SUBSOLO",E3133)),IFERROR(-VALUE(LEFT(E3133,FIND("º",SUBSTITUTE(E3133,"°","º"))-1)),-1),IF(LEFT(E3133,6)="TÉRREO",0,IFERROR(VALUE(LEFT(E3133,FIND("º",SUBSTITUTE(E3133,"°","º"))-1)),""))))</f>
        <v/>
      </c>
      <c r="O3133" s="2">
        <f>IF(OR(F3133="",G3133=""),"",IF(G3133&lt;='RETRATO 2027'!$K$5,"CONCLUÍDA",IF(F3133&lt;='RETRATO 2027'!$K$5,"EM ANDAMENTO","A INICIAR")))</f>
        <v/>
      </c>
    </row>
    <row r="3134">
      <c r="M3134" s="2">
        <f>IF(C3134="","",IFERROR(INDEX($S$5:$S$304,MATCH(C3134,$R$5:$R$304,0))&amp;"","?"))</f>
        <v/>
      </c>
      <c r="N3134" s="2">
        <f>IF(E3134="","",IF(ISNUMBER(SEARCH("SUBSOLO",E3134)),IFERROR(-VALUE(LEFT(E3134,FIND("º",SUBSTITUTE(E3134,"°","º"))-1)),-1),IF(LEFT(E3134,6)="TÉRREO",0,IFERROR(VALUE(LEFT(E3134,FIND("º",SUBSTITUTE(E3134,"°","º"))-1)),""))))</f>
        <v/>
      </c>
      <c r="O3134" s="2">
        <f>IF(OR(F3134="",G3134=""),"",IF(G3134&lt;='RETRATO 2027'!$K$5,"CONCLUÍDA",IF(F3134&lt;='RETRATO 2027'!$K$5,"EM ANDAMENTO","A INICIAR")))</f>
        <v/>
      </c>
    </row>
    <row r="3135">
      <c r="M3135" s="2">
        <f>IF(C3135="","",IFERROR(INDEX($S$5:$S$304,MATCH(C3135,$R$5:$R$304,0))&amp;"","?"))</f>
        <v/>
      </c>
      <c r="N3135" s="2">
        <f>IF(E3135="","",IF(ISNUMBER(SEARCH("SUBSOLO",E3135)),IFERROR(-VALUE(LEFT(E3135,FIND("º",SUBSTITUTE(E3135,"°","º"))-1)),-1),IF(LEFT(E3135,6)="TÉRREO",0,IFERROR(VALUE(LEFT(E3135,FIND("º",SUBSTITUTE(E3135,"°","º"))-1)),""))))</f>
        <v/>
      </c>
      <c r="O3135" s="2">
        <f>IF(OR(F3135="",G3135=""),"",IF(G3135&lt;='RETRATO 2027'!$K$5,"CONCLUÍDA",IF(F3135&lt;='RETRATO 2027'!$K$5,"EM ANDAMENTO","A INICIAR")))</f>
        <v/>
      </c>
    </row>
    <row r="3136">
      <c r="M3136" s="2">
        <f>IF(C3136="","",IFERROR(INDEX($S$5:$S$304,MATCH(C3136,$R$5:$R$304,0))&amp;"","?"))</f>
        <v/>
      </c>
      <c r="N3136" s="2">
        <f>IF(E3136="","",IF(ISNUMBER(SEARCH("SUBSOLO",E3136)),IFERROR(-VALUE(LEFT(E3136,FIND("º",SUBSTITUTE(E3136,"°","º"))-1)),-1),IF(LEFT(E3136,6)="TÉRREO",0,IFERROR(VALUE(LEFT(E3136,FIND("º",SUBSTITUTE(E3136,"°","º"))-1)),""))))</f>
        <v/>
      </c>
      <c r="O3136" s="2">
        <f>IF(OR(F3136="",G3136=""),"",IF(G3136&lt;='RETRATO 2027'!$K$5,"CONCLUÍDA",IF(F3136&lt;='RETRATO 2027'!$K$5,"EM ANDAMENTO","A INICIAR")))</f>
        <v/>
      </c>
    </row>
    <row r="3137">
      <c r="M3137" s="2">
        <f>IF(C3137="","",IFERROR(INDEX($S$5:$S$304,MATCH(C3137,$R$5:$R$304,0))&amp;"","?"))</f>
        <v/>
      </c>
      <c r="N3137" s="2">
        <f>IF(E3137="","",IF(ISNUMBER(SEARCH("SUBSOLO",E3137)),IFERROR(-VALUE(LEFT(E3137,FIND("º",SUBSTITUTE(E3137,"°","º"))-1)),-1),IF(LEFT(E3137,6)="TÉRREO",0,IFERROR(VALUE(LEFT(E3137,FIND("º",SUBSTITUTE(E3137,"°","º"))-1)),""))))</f>
        <v/>
      </c>
      <c r="O3137" s="2">
        <f>IF(OR(F3137="",G3137=""),"",IF(G3137&lt;='RETRATO 2027'!$K$5,"CONCLUÍDA",IF(F3137&lt;='RETRATO 2027'!$K$5,"EM ANDAMENTO","A INICIAR")))</f>
        <v/>
      </c>
    </row>
    <row r="3138">
      <c r="M3138" s="2">
        <f>IF(C3138="","",IFERROR(INDEX($S$5:$S$304,MATCH(C3138,$R$5:$R$304,0))&amp;"","?"))</f>
        <v/>
      </c>
      <c r="N3138" s="2">
        <f>IF(E3138="","",IF(ISNUMBER(SEARCH("SUBSOLO",E3138)),IFERROR(-VALUE(LEFT(E3138,FIND("º",SUBSTITUTE(E3138,"°","º"))-1)),-1),IF(LEFT(E3138,6)="TÉRREO",0,IFERROR(VALUE(LEFT(E3138,FIND("º",SUBSTITUTE(E3138,"°","º"))-1)),""))))</f>
        <v/>
      </c>
      <c r="O3138" s="2">
        <f>IF(OR(F3138="",G3138=""),"",IF(G3138&lt;='RETRATO 2027'!$K$5,"CONCLUÍDA",IF(F3138&lt;='RETRATO 2027'!$K$5,"EM ANDAMENTO","A INICIAR")))</f>
        <v/>
      </c>
    </row>
    <row r="3139">
      <c r="M3139" s="2">
        <f>IF(C3139="","",IFERROR(INDEX($S$5:$S$304,MATCH(C3139,$R$5:$R$304,0))&amp;"","?"))</f>
        <v/>
      </c>
      <c r="N3139" s="2">
        <f>IF(E3139="","",IF(ISNUMBER(SEARCH("SUBSOLO",E3139)),IFERROR(-VALUE(LEFT(E3139,FIND("º",SUBSTITUTE(E3139,"°","º"))-1)),-1),IF(LEFT(E3139,6)="TÉRREO",0,IFERROR(VALUE(LEFT(E3139,FIND("º",SUBSTITUTE(E3139,"°","º"))-1)),""))))</f>
        <v/>
      </c>
      <c r="O3139" s="2">
        <f>IF(OR(F3139="",G3139=""),"",IF(G3139&lt;='RETRATO 2027'!$K$5,"CONCLUÍDA",IF(F3139&lt;='RETRATO 2027'!$K$5,"EM ANDAMENTO","A INICIAR")))</f>
        <v/>
      </c>
    </row>
    <row r="3140">
      <c r="M3140" s="2">
        <f>IF(C3140="","",IFERROR(INDEX($S$5:$S$304,MATCH(C3140,$R$5:$R$304,0))&amp;"","?"))</f>
        <v/>
      </c>
      <c r="N3140" s="2">
        <f>IF(E3140="","",IF(ISNUMBER(SEARCH("SUBSOLO",E3140)),IFERROR(-VALUE(LEFT(E3140,FIND("º",SUBSTITUTE(E3140,"°","º"))-1)),-1),IF(LEFT(E3140,6)="TÉRREO",0,IFERROR(VALUE(LEFT(E3140,FIND("º",SUBSTITUTE(E3140,"°","º"))-1)),""))))</f>
        <v/>
      </c>
      <c r="O3140" s="2">
        <f>IF(OR(F3140="",G3140=""),"",IF(G3140&lt;='RETRATO 2027'!$K$5,"CONCLUÍDA",IF(F3140&lt;='RETRATO 2027'!$K$5,"EM ANDAMENTO","A INICIAR")))</f>
        <v/>
      </c>
    </row>
    <row r="3141">
      <c r="M3141" s="2">
        <f>IF(C3141="","",IFERROR(INDEX($S$5:$S$304,MATCH(C3141,$R$5:$R$304,0))&amp;"","?"))</f>
        <v/>
      </c>
      <c r="N3141" s="2">
        <f>IF(E3141="","",IF(ISNUMBER(SEARCH("SUBSOLO",E3141)),IFERROR(-VALUE(LEFT(E3141,FIND("º",SUBSTITUTE(E3141,"°","º"))-1)),-1),IF(LEFT(E3141,6)="TÉRREO",0,IFERROR(VALUE(LEFT(E3141,FIND("º",SUBSTITUTE(E3141,"°","º"))-1)),""))))</f>
        <v/>
      </c>
      <c r="O3141" s="2">
        <f>IF(OR(F3141="",G3141=""),"",IF(G3141&lt;='RETRATO 2027'!$K$5,"CONCLUÍDA",IF(F3141&lt;='RETRATO 2027'!$K$5,"EM ANDAMENTO","A INICIAR")))</f>
        <v/>
      </c>
    </row>
    <row r="3142">
      <c r="M3142" s="2">
        <f>IF(C3142="","",IFERROR(INDEX($S$5:$S$304,MATCH(C3142,$R$5:$R$304,0))&amp;"","?"))</f>
        <v/>
      </c>
      <c r="N3142" s="2">
        <f>IF(E3142="","",IF(ISNUMBER(SEARCH("SUBSOLO",E3142)),IFERROR(-VALUE(LEFT(E3142,FIND("º",SUBSTITUTE(E3142,"°","º"))-1)),-1),IF(LEFT(E3142,6)="TÉRREO",0,IFERROR(VALUE(LEFT(E3142,FIND("º",SUBSTITUTE(E3142,"°","º"))-1)),""))))</f>
        <v/>
      </c>
      <c r="O3142" s="2">
        <f>IF(OR(F3142="",G3142=""),"",IF(G3142&lt;='RETRATO 2027'!$K$5,"CONCLUÍDA",IF(F3142&lt;='RETRATO 2027'!$K$5,"EM ANDAMENTO","A INICIAR")))</f>
        <v/>
      </c>
    </row>
    <row r="3143">
      <c r="M3143" s="2">
        <f>IF(C3143="","",IFERROR(INDEX($S$5:$S$304,MATCH(C3143,$R$5:$R$304,0))&amp;"","?"))</f>
        <v/>
      </c>
      <c r="N3143" s="2">
        <f>IF(E3143="","",IF(ISNUMBER(SEARCH("SUBSOLO",E3143)),IFERROR(-VALUE(LEFT(E3143,FIND("º",SUBSTITUTE(E3143,"°","º"))-1)),-1),IF(LEFT(E3143,6)="TÉRREO",0,IFERROR(VALUE(LEFT(E3143,FIND("º",SUBSTITUTE(E3143,"°","º"))-1)),""))))</f>
        <v/>
      </c>
      <c r="O3143" s="2">
        <f>IF(OR(F3143="",G3143=""),"",IF(G3143&lt;='RETRATO 2027'!$K$5,"CONCLUÍDA",IF(F3143&lt;='RETRATO 2027'!$K$5,"EM ANDAMENTO","A INICIAR")))</f>
        <v/>
      </c>
    </row>
    <row r="3144">
      <c r="M3144" s="2">
        <f>IF(C3144="","",IFERROR(INDEX($S$5:$S$304,MATCH(C3144,$R$5:$R$304,0))&amp;"","?"))</f>
        <v/>
      </c>
      <c r="N3144" s="2">
        <f>IF(E3144="","",IF(ISNUMBER(SEARCH("SUBSOLO",E3144)),IFERROR(-VALUE(LEFT(E3144,FIND("º",SUBSTITUTE(E3144,"°","º"))-1)),-1),IF(LEFT(E3144,6)="TÉRREO",0,IFERROR(VALUE(LEFT(E3144,FIND("º",SUBSTITUTE(E3144,"°","º"))-1)),""))))</f>
        <v/>
      </c>
      <c r="O3144" s="2">
        <f>IF(OR(F3144="",G3144=""),"",IF(G3144&lt;='RETRATO 2027'!$K$5,"CONCLUÍDA",IF(F3144&lt;='RETRATO 2027'!$K$5,"EM ANDAMENTO","A INICIAR")))</f>
        <v/>
      </c>
    </row>
    <row r="3145">
      <c r="M3145" s="2">
        <f>IF(C3145="","",IFERROR(INDEX($S$5:$S$304,MATCH(C3145,$R$5:$R$304,0))&amp;"","?"))</f>
        <v/>
      </c>
      <c r="N3145" s="2">
        <f>IF(E3145="","",IF(ISNUMBER(SEARCH("SUBSOLO",E3145)),IFERROR(-VALUE(LEFT(E3145,FIND("º",SUBSTITUTE(E3145,"°","º"))-1)),-1),IF(LEFT(E3145,6)="TÉRREO",0,IFERROR(VALUE(LEFT(E3145,FIND("º",SUBSTITUTE(E3145,"°","º"))-1)),""))))</f>
        <v/>
      </c>
      <c r="O3145" s="2">
        <f>IF(OR(F3145="",G3145=""),"",IF(G3145&lt;='RETRATO 2027'!$K$5,"CONCLUÍDA",IF(F3145&lt;='RETRATO 2027'!$K$5,"EM ANDAMENTO","A INICIAR")))</f>
        <v/>
      </c>
    </row>
    <row r="3146">
      <c r="M3146" s="2">
        <f>IF(C3146="","",IFERROR(INDEX($S$5:$S$304,MATCH(C3146,$R$5:$R$304,0))&amp;"","?"))</f>
        <v/>
      </c>
      <c r="N3146" s="2">
        <f>IF(E3146="","",IF(ISNUMBER(SEARCH("SUBSOLO",E3146)),IFERROR(-VALUE(LEFT(E3146,FIND("º",SUBSTITUTE(E3146,"°","º"))-1)),-1),IF(LEFT(E3146,6)="TÉRREO",0,IFERROR(VALUE(LEFT(E3146,FIND("º",SUBSTITUTE(E3146,"°","º"))-1)),""))))</f>
        <v/>
      </c>
      <c r="O3146" s="2">
        <f>IF(OR(F3146="",G3146=""),"",IF(G3146&lt;='RETRATO 2027'!$K$5,"CONCLUÍDA",IF(F3146&lt;='RETRATO 2027'!$K$5,"EM ANDAMENTO","A INICIAR")))</f>
        <v/>
      </c>
    </row>
    <row r="3147">
      <c r="M3147" s="2">
        <f>IF(C3147="","",IFERROR(INDEX($S$5:$S$304,MATCH(C3147,$R$5:$R$304,0))&amp;"","?"))</f>
        <v/>
      </c>
      <c r="N3147" s="2">
        <f>IF(E3147="","",IF(ISNUMBER(SEARCH("SUBSOLO",E3147)),IFERROR(-VALUE(LEFT(E3147,FIND("º",SUBSTITUTE(E3147,"°","º"))-1)),-1),IF(LEFT(E3147,6)="TÉRREO",0,IFERROR(VALUE(LEFT(E3147,FIND("º",SUBSTITUTE(E3147,"°","º"))-1)),""))))</f>
        <v/>
      </c>
      <c r="O3147" s="2">
        <f>IF(OR(F3147="",G3147=""),"",IF(G3147&lt;='RETRATO 2027'!$K$5,"CONCLUÍDA",IF(F3147&lt;='RETRATO 2027'!$K$5,"EM ANDAMENTO","A INICIAR")))</f>
        <v/>
      </c>
    </row>
    <row r="3148">
      <c r="M3148" s="2">
        <f>IF(C3148="","",IFERROR(INDEX($S$5:$S$304,MATCH(C3148,$R$5:$R$304,0))&amp;"","?"))</f>
        <v/>
      </c>
      <c r="N3148" s="2">
        <f>IF(E3148="","",IF(ISNUMBER(SEARCH("SUBSOLO",E3148)),IFERROR(-VALUE(LEFT(E3148,FIND("º",SUBSTITUTE(E3148,"°","º"))-1)),-1),IF(LEFT(E3148,6)="TÉRREO",0,IFERROR(VALUE(LEFT(E3148,FIND("º",SUBSTITUTE(E3148,"°","º"))-1)),""))))</f>
        <v/>
      </c>
      <c r="O3148" s="2">
        <f>IF(OR(F3148="",G3148=""),"",IF(G3148&lt;='RETRATO 2027'!$K$5,"CONCLUÍDA",IF(F3148&lt;='RETRATO 2027'!$K$5,"EM ANDAMENTO","A INICIAR")))</f>
        <v/>
      </c>
    </row>
    <row r="3149">
      <c r="M3149" s="2">
        <f>IF(C3149="","",IFERROR(INDEX($S$5:$S$304,MATCH(C3149,$R$5:$R$304,0))&amp;"","?"))</f>
        <v/>
      </c>
      <c r="N3149" s="2">
        <f>IF(E3149="","",IF(ISNUMBER(SEARCH("SUBSOLO",E3149)),IFERROR(-VALUE(LEFT(E3149,FIND("º",SUBSTITUTE(E3149,"°","º"))-1)),-1),IF(LEFT(E3149,6)="TÉRREO",0,IFERROR(VALUE(LEFT(E3149,FIND("º",SUBSTITUTE(E3149,"°","º"))-1)),""))))</f>
        <v/>
      </c>
      <c r="O3149" s="2">
        <f>IF(OR(F3149="",G3149=""),"",IF(G3149&lt;='RETRATO 2027'!$K$5,"CONCLUÍDA",IF(F3149&lt;='RETRATO 2027'!$K$5,"EM ANDAMENTO","A INICIAR")))</f>
        <v/>
      </c>
    </row>
    <row r="3150">
      <c r="M3150" s="2">
        <f>IF(C3150="","",IFERROR(INDEX($S$5:$S$304,MATCH(C3150,$R$5:$R$304,0))&amp;"","?"))</f>
        <v/>
      </c>
      <c r="N3150" s="2">
        <f>IF(E3150="","",IF(ISNUMBER(SEARCH("SUBSOLO",E3150)),IFERROR(-VALUE(LEFT(E3150,FIND("º",SUBSTITUTE(E3150,"°","º"))-1)),-1),IF(LEFT(E3150,6)="TÉRREO",0,IFERROR(VALUE(LEFT(E3150,FIND("º",SUBSTITUTE(E3150,"°","º"))-1)),""))))</f>
        <v/>
      </c>
      <c r="O3150" s="2">
        <f>IF(OR(F3150="",G3150=""),"",IF(G3150&lt;='RETRATO 2027'!$K$5,"CONCLUÍDA",IF(F3150&lt;='RETRATO 2027'!$K$5,"EM ANDAMENTO","A INICIAR")))</f>
        <v/>
      </c>
    </row>
    <row r="3151">
      <c r="M3151" s="2">
        <f>IF(C3151="","",IFERROR(INDEX($S$5:$S$304,MATCH(C3151,$R$5:$R$304,0))&amp;"","?"))</f>
        <v/>
      </c>
      <c r="N3151" s="2">
        <f>IF(E3151="","",IF(ISNUMBER(SEARCH("SUBSOLO",E3151)),IFERROR(-VALUE(LEFT(E3151,FIND("º",SUBSTITUTE(E3151,"°","º"))-1)),-1),IF(LEFT(E3151,6)="TÉRREO",0,IFERROR(VALUE(LEFT(E3151,FIND("º",SUBSTITUTE(E3151,"°","º"))-1)),""))))</f>
        <v/>
      </c>
      <c r="O3151" s="2">
        <f>IF(OR(F3151="",G3151=""),"",IF(G3151&lt;='RETRATO 2027'!$K$5,"CONCLUÍDA",IF(F3151&lt;='RETRATO 2027'!$K$5,"EM ANDAMENTO","A INICIAR")))</f>
        <v/>
      </c>
    </row>
    <row r="3152">
      <c r="M3152" s="2">
        <f>IF(C3152="","",IFERROR(INDEX($S$5:$S$304,MATCH(C3152,$R$5:$R$304,0))&amp;"","?"))</f>
        <v/>
      </c>
      <c r="N3152" s="2">
        <f>IF(E3152="","",IF(ISNUMBER(SEARCH("SUBSOLO",E3152)),IFERROR(-VALUE(LEFT(E3152,FIND("º",SUBSTITUTE(E3152,"°","º"))-1)),-1),IF(LEFT(E3152,6)="TÉRREO",0,IFERROR(VALUE(LEFT(E3152,FIND("º",SUBSTITUTE(E3152,"°","º"))-1)),""))))</f>
        <v/>
      </c>
      <c r="O3152" s="2">
        <f>IF(OR(F3152="",G3152=""),"",IF(G3152&lt;='RETRATO 2027'!$K$5,"CONCLUÍDA",IF(F3152&lt;='RETRATO 2027'!$K$5,"EM ANDAMENTO","A INICIAR")))</f>
        <v/>
      </c>
    </row>
    <row r="3153">
      <c r="M3153" s="2">
        <f>IF(C3153="","",IFERROR(INDEX($S$5:$S$304,MATCH(C3153,$R$5:$R$304,0))&amp;"","?"))</f>
        <v/>
      </c>
      <c r="N3153" s="2">
        <f>IF(E3153="","",IF(ISNUMBER(SEARCH("SUBSOLO",E3153)),IFERROR(-VALUE(LEFT(E3153,FIND("º",SUBSTITUTE(E3153,"°","º"))-1)),-1),IF(LEFT(E3153,6)="TÉRREO",0,IFERROR(VALUE(LEFT(E3153,FIND("º",SUBSTITUTE(E3153,"°","º"))-1)),""))))</f>
        <v/>
      </c>
      <c r="O3153" s="2">
        <f>IF(OR(F3153="",G3153=""),"",IF(G3153&lt;='RETRATO 2027'!$K$5,"CONCLUÍDA",IF(F3153&lt;='RETRATO 2027'!$K$5,"EM ANDAMENTO","A INICIAR")))</f>
        <v/>
      </c>
    </row>
    <row r="3154">
      <c r="M3154" s="2">
        <f>IF(C3154="","",IFERROR(INDEX($S$5:$S$304,MATCH(C3154,$R$5:$R$304,0))&amp;"","?"))</f>
        <v/>
      </c>
      <c r="N3154" s="2">
        <f>IF(E3154="","",IF(ISNUMBER(SEARCH("SUBSOLO",E3154)),IFERROR(-VALUE(LEFT(E3154,FIND("º",SUBSTITUTE(E3154,"°","º"))-1)),-1),IF(LEFT(E3154,6)="TÉRREO",0,IFERROR(VALUE(LEFT(E3154,FIND("º",SUBSTITUTE(E3154,"°","º"))-1)),""))))</f>
        <v/>
      </c>
      <c r="O3154" s="2">
        <f>IF(OR(F3154="",G3154=""),"",IF(G3154&lt;='RETRATO 2027'!$K$5,"CONCLUÍDA",IF(F3154&lt;='RETRATO 2027'!$K$5,"EM ANDAMENTO","A INICIAR")))</f>
        <v/>
      </c>
    </row>
    <row r="3155">
      <c r="M3155" s="2">
        <f>IF(C3155="","",IFERROR(INDEX($S$5:$S$304,MATCH(C3155,$R$5:$R$304,0))&amp;"","?"))</f>
        <v/>
      </c>
      <c r="N3155" s="2">
        <f>IF(E3155="","",IF(ISNUMBER(SEARCH("SUBSOLO",E3155)),IFERROR(-VALUE(LEFT(E3155,FIND("º",SUBSTITUTE(E3155,"°","º"))-1)),-1),IF(LEFT(E3155,6)="TÉRREO",0,IFERROR(VALUE(LEFT(E3155,FIND("º",SUBSTITUTE(E3155,"°","º"))-1)),""))))</f>
        <v/>
      </c>
      <c r="O3155" s="2">
        <f>IF(OR(F3155="",G3155=""),"",IF(G3155&lt;='RETRATO 2027'!$K$5,"CONCLUÍDA",IF(F3155&lt;='RETRATO 2027'!$K$5,"EM ANDAMENTO","A INICIAR")))</f>
        <v/>
      </c>
    </row>
    <row r="3156">
      <c r="M3156" s="2">
        <f>IF(C3156="","",IFERROR(INDEX($S$5:$S$304,MATCH(C3156,$R$5:$R$304,0))&amp;"","?"))</f>
        <v/>
      </c>
      <c r="N3156" s="2">
        <f>IF(E3156="","",IF(ISNUMBER(SEARCH("SUBSOLO",E3156)),IFERROR(-VALUE(LEFT(E3156,FIND("º",SUBSTITUTE(E3156,"°","º"))-1)),-1),IF(LEFT(E3156,6)="TÉRREO",0,IFERROR(VALUE(LEFT(E3156,FIND("º",SUBSTITUTE(E3156,"°","º"))-1)),""))))</f>
        <v/>
      </c>
      <c r="O3156" s="2">
        <f>IF(OR(F3156="",G3156=""),"",IF(G3156&lt;='RETRATO 2027'!$K$5,"CONCLUÍDA",IF(F3156&lt;='RETRATO 2027'!$K$5,"EM ANDAMENTO","A INICIAR")))</f>
        <v/>
      </c>
    </row>
    <row r="3157">
      <c r="M3157" s="2">
        <f>IF(C3157="","",IFERROR(INDEX($S$5:$S$304,MATCH(C3157,$R$5:$R$304,0))&amp;"","?"))</f>
        <v/>
      </c>
      <c r="N3157" s="2">
        <f>IF(E3157="","",IF(ISNUMBER(SEARCH("SUBSOLO",E3157)),IFERROR(-VALUE(LEFT(E3157,FIND("º",SUBSTITUTE(E3157,"°","º"))-1)),-1),IF(LEFT(E3157,6)="TÉRREO",0,IFERROR(VALUE(LEFT(E3157,FIND("º",SUBSTITUTE(E3157,"°","º"))-1)),""))))</f>
        <v/>
      </c>
      <c r="O3157" s="2">
        <f>IF(OR(F3157="",G3157=""),"",IF(G3157&lt;='RETRATO 2027'!$K$5,"CONCLUÍDA",IF(F3157&lt;='RETRATO 2027'!$K$5,"EM ANDAMENTO","A INICIAR")))</f>
        <v/>
      </c>
    </row>
    <row r="3158">
      <c r="M3158" s="2">
        <f>IF(C3158="","",IFERROR(INDEX($S$5:$S$304,MATCH(C3158,$R$5:$R$304,0))&amp;"","?"))</f>
        <v/>
      </c>
      <c r="N3158" s="2">
        <f>IF(E3158="","",IF(ISNUMBER(SEARCH("SUBSOLO",E3158)),IFERROR(-VALUE(LEFT(E3158,FIND("º",SUBSTITUTE(E3158,"°","º"))-1)),-1),IF(LEFT(E3158,6)="TÉRREO",0,IFERROR(VALUE(LEFT(E3158,FIND("º",SUBSTITUTE(E3158,"°","º"))-1)),""))))</f>
        <v/>
      </c>
      <c r="O3158" s="2">
        <f>IF(OR(F3158="",G3158=""),"",IF(G3158&lt;='RETRATO 2027'!$K$5,"CONCLUÍDA",IF(F3158&lt;='RETRATO 2027'!$K$5,"EM ANDAMENTO","A INICIAR")))</f>
        <v/>
      </c>
    </row>
    <row r="3159">
      <c r="M3159" s="2">
        <f>IF(C3159="","",IFERROR(INDEX($S$5:$S$304,MATCH(C3159,$R$5:$R$304,0))&amp;"","?"))</f>
        <v/>
      </c>
      <c r="N3159" s="2">
        <f>IF(E3159="","",IF(ISNUMBER(SEARCH("SUBSOLO",E3159)),IFERROR(-VALUE(LEFT(E3159,FIND("º",SUBSTITUTE(E3159,"°","º"))-1)),-1),IF(LEFT(E3159,6)="TÉRREO",0,IFERROR(VALUE(LEFT(E3159,FIND("º",SUBSTITUTE(E3159,"°","º"))-1)),""))))</f>
        <v/>
      </c>
      <c r="O3159" s="2">
        <f>IF(OR(F3159="",G3159=""),"",IF(G3159&lt;='RETRATO 2027'!$K$5,"CONCLUÍDA",IF(F3159&lt;='RETRATO 2027'!$K$5,"EM ANDAMENTO","A INICIAR")))</f>
        <v/>
      </c>
    </row>
    <row r="3160">
      <c r="M3160" s="2">
        <f>IF(C3160="","",IFERROR(INDEX($S$5:$S$304,MATCH(C3160,$R$5:$R$304,0))&amp;"","?"))</f>
        <v/>
      </c>
      <c r="N3160" s="2">
        <f>IF(E3160="","",IF(ISNUMBER(SEARCH("SUBSOLO",E3160)),IFERROR(-VALUE(LEFT(E3160,FIND("º",SUBSTITUTE(E3160,"°","º"))-1)),-1),IF(LEFT(E3160,6)="TÉRREO",0,IFERROR(VALUE(LEFT(E3160,FIND("º",SUBSTITUTE(E3160,"°","º"))-1)),""))))</f>
        <v/>
      </c>
      <c r="O3160" s="2">
        <f>IF(OR(F3160="",G3160=""),"",IF(G3160&lt;='RETRATO 2027'!$K$5,"CONCLUÍDA",IF(F3160&lt;='RETRATO 2027'!$K$5,"EM ANDAMENTO","A INICIAR")))</f>
        <v/>
      </c>
    </row>
    <row r="3161">
      <c r="M3161" s="2">
        <f>IF(C3161="","",IFERROR(INDEX($S$5:$S$304,MATCH(C3161,$R$5:$R$304,0))&amp;"","?"))</f>
        <v/>
      </c>
      <c r="N3161" s="2">
        <f>IF(E3161="","",IF(ISNUMBER(SEARCH("SUBSOLO",E3161)),IFERROR(-VALUE(LEFT(E3161,FIND("º",SUBSTITUTE(E3161,"°","º"))-1)),-1),IF(LEFT(E3161,6)="TÉRREO",0,IFERROR(VALUE(LEFT(E3161,FIND("º",SUBSTITUTE(E3161,"°","º"))-1)),""))))</f>
        <v/>
      </c>
      <c r="O3161" s="2">
        <f>IF(OR(F3161="",G3161=""),"",IF(G3161&lt;='RETRATO 2027'!$K$5,"CONCLUÍDA",IF(F3161&lt;='RETRATO 2027'!$K$5,"EM ANDAMENTO","A INICIAR")))</f>
        <v/>
      </c>
    </row>
    <row r="3162">
      <c r="M3162" s="2">
        <f>IF(C3162="","",IFERROR(INDEX($S$5:$S$304,MATCH(C3162,$R$5:$R$304,0))&amp;"","?"))</f>
        <v/>
      </c>
      <c r="N3162" s="2">
        <f>IF(E3162="","",IF(ISNUMBER(SEARCH("SUBSOLO",E3162)),IFERROR(-VALUE(LEFT(E3162,FIND("º",SUBSTITUTE(E3162,"°","º"))-1)),-1),IF(LEFT(E3162,6)="TÉRREO",0,IFERROR(VALUE(LEFT(E3162,FIND("º",SUBSTITUTE(E3162,"°","º"))-1)),""))))</f>
        <v/>
      </c>
      <c r="O3162" s="2">
        <f>IF(OR(F3162="",G3162=""),"",IF(G3162&lt;='RETRATO 2027'!$K$5,"CONCLUÍDA",IF(F3162&lt;='RETRATO 2027'!$K$5,"EM ANDAMENTO","A INICIAR")))</f>
        <v/>
      </c>
    </row>
    <row r="3163">
      <c r="M3163" s="2">
        <f>IF(C3163="","",IFERROR(INDEX($S$5:$S$304,MATCH(C3163,$R$5:$R$304,0))&amp;"","?"))</f>
        <v/>
      </c>
      <c r="N3163" s="2">
        <f>IF(E3163="","",IF(ISNUMBER(SEARCH("SUBSOLO",E3163)),IFERROR(-VALUE(LEFT(E3163,FIND("º",SUBSTITUTE(E3163,"°","º"))-1)),-1),IF(LEFT(E3163,6)="TÉRREO",0,IFERROR(VALUE(LEFT(E3163,FIND("º",SUBSTITUTE(E3163,"°","º"))-1)),""))))</f>
        <v/>
      </c>
      <c r="O3163" s="2">
        <f>IF(OR(F3163="",G3163=""),"",IF(G3163&lt;='RETRATO 2027'!$K$5,"CONCLUÍDA",IF(F3163&lt;='RETRATO 2027'!$K$5,"EM ANDAMENTO","A INICIAR")))</f>
        <v/>
      </c>
    </row>
    <row r="3164">
      <c r="M3164" s="2">
        <f>IF(C3164="","",IFERROR(INDEX($S$5:$S$304,MATCH(C3164,$R$5:$R$304,0))&amp;"","?"))</f>
        <v/>
      </c>
      <c r="N3164" s="2">
        <f>IF(E3164="","",IF(ISNUMBER(SEARCH("SUBSOLO",E3164)),IFERROR(-VALUE(LEFT(E3164,FIND("º",SUBSTITUTE(E3164,"°","º"))-1)),-1),IF(LEFT(E3164,6)="TÉRREO",0,IFERROR(VALUE(LEFT(E3164,FIND("º",SUBSTITUTE(E3164,"°","º"))-1)),""))))</f>
        <v/>
      </c>
      <c r="O3164" s="2">
        <f>IF(OR(F3164="",G3164=""),"",IF(G3164&lt;='RETRATO 2027'!$K$5,"CONCLUÍDA",IF(F3164&lt;='RETRATO 2027'!$K$5,"EM ANDAMENTO","A INICIAR")))</f>
        <v/>
      </c>
    </row>
    <row r="3165">
      <c r="M3165" s="2">
        <f>IF(C3165="","",IFERROR(INDEX($S$5:$S$304,MATCH(C3165,$R$5:$R$304,0))&amp;"","?"))</f>
        <v/>
      </c>
      <c r="N3165" s="2">
        <f>IF(E3165="","",IF(ISNUMBER(SEARCH("SUBSOLO",E3165)),IFERROR(-VALUE(LEFT(E3165,FIND("º",SUBSTITUTE(E3165,"°","º"))-1)),-1),IF(LEFT(E3165,6)="TÉRREO",0,IFERROR(VALUE(LEFT(E3165,FIND("º",SUBSTITUTE(E3165,"°","º"))-1)),""))))</f>
        <v/>
      </c>
      <c r="O3165" s="2">
        <f>IF(OR(F3165="",G3165=""),"",IF(G3165&lt;='RETRATO 2027'!$K$5,"CONCLUÍDA",IF(F3165&lt;='RETRATO 2027'!$K$5,"EM ANDAMENTO","A INICIAR")))</f>
        <v/>
      </c>
    </row>
    <row r="3166">
      <c r="M3166" s="2">
        <f>IF(C3166="","",IFERROR(INDEX($S$5:$S$304,MATCH(C3166,$R$5:$R$304,0))&amp;"","?"))</f>
        <v/>
      </c>
      <c r="N3166" s="2">
        <f>IF(E3166="","",IF(ISNUMBER(SEARCH("SUBSOLO",E3166)),IFERROR(-VALUE(LEFT(E3166,FIND("º",SUBSTITUTE(E3166,"°","º"))-1)),-1),IF(LEFT(E3166,6)="TÉRREO",0,IFERROR(VALUE(LEFT(E3166,FIND("º",SUBSTITUTE(E3166,"°","º"))-1)),""))))</f>
        <v/>
      </c>
      <c r="O3166" s="2">
        <f>IF(OR(F3166="",G3166=""),"",IF(G3166&lt;='RETRATO 2027'!$K$5,"CONCLUÍDA",IF(F3166&lt;='RETRATO 2027'!$K$5,"EM ANDAMENTO","A INICIAR")))</f>
        <v/>
      </c>
    </row>
    <row r="3167">
      <c r="M3167" s="2">
        <f>IF(C3167="","",IFERROR(INDEX($S$5:$S$304,MATCH(C3167,$R$5:$R$304,0))&amp;"","?"))</f>
        <v/>
      </c>
      <c r="N3167" s="2">
        <f>IF(E3167="","",IF(ISNUMBER(SEARCH("SUBSOLO",E3167)),IFERROR(-VALUE(LEFT(E3167,FIND("º",SUBSTITUTE(E3167,"°","º"))-1)),-1),IF(LEFT(E3167,6)="TÉRREO",0,IFERROR(VALUE(LEFT(E3167,FIND("º",SUBSTITUTE(E3167,"°","º"))-1)),""))))</f>
        <v/>
      </c>
      <c r="O3167" s="2">
        <f>IF(OR(F3167="",G3167=""),"",IF(G3167&lt;='RETRATO 2027'!$K$5,"CONCLUÍDA",IF(F3167&lt;='RETRATO 2027'!$K$5,"EM ANDAMENTO","A INICIAR")))</f>
        <v/>
      </c>
    </row>
    <row r="3168">
      <c r="M3168" s="2">
        <f>IF(C3168="","",IFERROR(INDEX($S$5:$S$304,MATCH(C3168,$R$5:$R$304,0))&amp;"","?"))</f>
        <v/>
      </c>
      <c r="N3168" s="2">
        <f>IF(E3168="","",IF(ISNUMBER(SEARCH("SUBSOLO",E3168)),IFERROR(-VALUE(LEFT(E3168,FIND("º",SUBSTITUTE(E3168,"°","º"))-1)),-1),IF(LEFT(E3168,6)="TÉRREO",0,IFERROR(VALUE(LEFT(E3168,FIND("º",SUBSTITUTE(E3168,"°","º"))-1)),""))))</f>
        <v/>
      </c>
      <c r="O3168" s="2">
        <f>IF(OR(F3168="",G3168=""),"",IF(G3168&lt;='RETRATO 2027'!$K$5,"CONCLUÍDA",IF(F3168&lt;='RETRATO 2027'!$K$5,"EM ANDAMENTO","A INICIAR")))</f>
        <v/>
      </c>
    </row>
    <row r="3169">
      <c r="M3169" s="2">
        <f>IF(C3169="","",IFERROR(INDEX($S$5:$S$304,MATCH(C3169,$R$5:$R$304,0))&amp;"","?"))</f>
        <v/>
      </c>
      <c r="N3169" s="2">
        <f>IF(E3169="","",IF(ISNUMBER(SEARCH("SUBSOLO",E3169)),IFERROR(-VALUE(LEFT(E3169,FIND("º",SUBSTITUTE(E3169,"°","º"))-1)),-1),IF(LEFT(E3169,6)="TÉRREO",0,IFERROR(VALUE(LEFT(E3169,FIND("º",SUBSTITUTE(E3169,"°","º"))-1)),""))))</f>
        <v/>
      </c>
      <c r="O3169" s="2">
        <f>IF(OR(F3169="",G3169=""),"",IF(G3169&lt;='RETRATO 2027'!$K$5,"CONCLUÍDA",IF(F3169&lt;='RETRATO 2027'!$K$5,"EM ANDAMENTO","A INICIAR")))</f>
        <v/>
      </c>
    </row>
    <row r="3170">
      <c r="M3170" s="2">
        <f>IF(C3170="","",IFERROR(INDEX($S$5:$S$304,MATCH(C3170,$R$5:$R$304,0))&amp;"","?"))</f>
        <v/>
      </c>
      <c r="N3170" s="2">
        <f>IF(E3170="","",IF(ISNUMBER(SEARCH("SUBSOLO",E3170)),IFERROR(-VALUE(LEFT(E3170,FIND("º",SUBSTITUTE(E3170,"°","º"))-1)),-1),IF(LEFT(E3170,6)="TÉRREO",0,IFERROR(VALUE(LEFT(E3170,FIND("º",SUBSTITUTE(E3170,"°","º"))-1)),""))))</f>
        <v/>
      </c>
      <c r="O3170" s="2">
        <f>IF(OR(F3170="",G3170=""),"",IF(G3170&lt;='RETRATO 2027'!$K$5,"CONCLUÍDA",IF(F3170&lt;='RETRATO 2027'!$K$5,"EM ANDAMENTO","A INICIAR")))</f>
        <v/>
      </c>
    </row>
    <row r="3171">
      <c r="M3171" s="2">
        <f>IF(C3171="","",IFERROR(INDEX($S$5:$S$304,MATCH(C3171,$R$5:$R$304,0))&amp;"","?"))</f>
        <v/>
      </c>
      <c r="N3171" s="2">
        <f>IF(E3171="","",IF(ISNUMBER(SEARCH("SUBSOLO",E3171)),IFERROR(-VALUE(LEFT(E3171,FIND("º",SUBSTITUTE(E3171,"°","º"))-1)),-1),IF(LEFT(E3171,6)="TÉRREO",0,IFERROR(VALUE(LEFT(E3171,FIND("º",SUBSTITUTE(E3171,"°","º"))-1)),""))))</f>
        <v/>
      </c>
      <c r="O3171" s="2">
        <f>IF(OR(F3171="",G3171=""),"",IF(G3171&lt;='RETRATO 2027'!$K$5,"CONCLUÍDA",IF(F3171&lt;='RETRATO 2027'!$K$5,"EM ANDAMENTO","A INICIAR")))</f>
        <v/>
      </c>
    </row>
    <row r="3172">
      <c r="M3172" s="2">
        <f>IF(C3172="","",IFERROR(INDEX($S$5:$S$304,MATCH(C3172,$R$5:$R$304,0))&amp;"","?"))</f>
        <v/>
      </c>
      <c r="N3172" s="2">
        <f>IF(E3172="","",IF(ISNUMBER(SEARCH("SUBSOLO",E3172)),IFERROR(-VALUE(LEFT(E3172,FIND("º",SUBSTITUTE(E3172,"°","º"))-1)),-1),IF(LEFT(E3172,6)="TÉRREO",0,IFERROR(VALUE(LEFT(E3172,FIND("º",SUBSTITUTE(E3172,"°","º"))-1)),""))))</f>
        <v/>
      </c>
      <c r="O3172" s="2">
        <f>IF(OR(F3172="",G3172=""),"",IF(G3172&lt;='RETRATO 2027'!$K$5,"CONCLUÍDA",IF(F3172&lt;='RETRATO 2027'!$K$5,"EM ANDAMENTO","A INICIAR")))</f>
        <v/>
      </c>
    </row>
    <row r="3173">
      <c r="M3173" s="2">
        <f>IF(C3173="","",IFERROR(INDEX($S$5:$S$304,MATCH(C3173,$R$5:$R$304,0))&amp;"","?"))</f>
        <v/>
      </c>
      <c r="N3173" s="2">
        <f>IF(E3173="","",IF(ISNUMBER(SEARCH("SUBSOLO",E3173)),IFERROR(-VALUE(LEFT(E3173,FIND("º",SUBSTITUTE(E3173,"°","º"))-1)),-1),IF(LEFT(E3173,6)="TÉRREO",0,IFERROR(VALUE(LEFT(E3173,FIND("º",SUBSTITUTE(E3173,"°","º"))-1)),""))))</f>
        <v/>
      </c>
      <c r="O3173" s="2">
        <f>IF(OR(F3173="",G3173=""),"",IF(G3173&lt;='RETRATO 2027'!$K$5,"CONCLUÍDA",IF(F3173&lt;='RETRATO 2027'!$K$5,"EM ANDAMENTO","A INICIAR")))</f>
        <v/>
      </c>
    </row>
    <row r="3174">
      <c r="M3174" s="2">
        <f>IF(C3174="","",IFERROR(INDEX($S$5:$S$304,MATCH(C3174,$R$5:$R$304,0))&amp;"","?"))</f>
        <v/>
      </c>
      <c r="N3174" s="2">
        <f>IF(E3174="","",IF(ISNUMBER(SEARCH("SUBSOLO",E3174)),IFERROR(-VALUE(LEFT(E3174,FIND("º",SUBSTITUTE(E3174,"°","º"))-1)),-1),IF(LEFT(E3174,6)="TÉRREO",0,IFERROR(VALUE(LEFT(E3174,FIND("º",SUBSTITUTE(E3174,"°","º"))-1)),""))))</f>
        <v/>
      </c>
      <c r="O3174" s="2">
        <f>IF(OR(F3174="",G3174=""),"",IF(G3174&lt;='RETRATO 2027'!$K$5,"CONCLUÍDA",IF(F3174&lt;='RETRATO 2027'!$K$5,"EM ANDAMENTO","A INICIAR")))</f>
        <v/>
      </c>
    </row>
    <row r="3175">
      <c r="M3175" s="2">
        <f>IF(C3175="","",IFERROR(INDEX($S$5:$S$304,MATCH(C3175,$R$5:$R$304,0))&amp;"","?"))</f>
        <v/>
      </c>
      <c r="N3175" s="2">
        <f>IF(E3175="","",IF(ISNUMBER(SEARCH("SUBSOLO",E3175)),IFERROR(-VALUE(LEFT(E3175,FIND("º",SUBSTITUTE(E3175,"°","º"))-1)),-1),IF(LEFT(E3175,6)="TÉRREO",0,IFERROR(VALUE(LEFT(E3175,FIND("º",SUBSTITUTE(E3175,"°","º"))-1)),""))))</f>
        <v/>
      </c>
      <c r="O3175" s="2">
        <f>IF(OR(F3175="",G3175=""),"",IF(G3175&lt;='RETRATO 2027'!$K$5,"CONCLUÍDA",IF(F3175&lt;='RETRATO 2027'!$K$5,"EM ANDAMENTO","A INICIAR")))</f>
        <v/>
      </c>
    </row>
    <row r="3176">
      <c r="M3176" s="2">
        <f>IF(C3176="","",IFERROR(INDEX($S$5:$S$304,MATCH(C3176,$R$5:$R$304,0))&amp;"","?"))</f>
        <v/>
      </c>
      <c r="N3176" s="2">
        <f>IF(E3176="","",IF(ISNUMBER(SEARCH("SUBSOLO",E3176)),IFERROR(-VALUE(LEFT(E3176,FIND("º",SUBSTITUTE(E3176,"°","º"))-1)),-1),IF(LEFT(E3176,6)="TÉRREO",0,IFERROR(VALUE(LEFT(E3176,FIND("º",SUBSTITUTE(E3176,"°","º"))-1)),""))))</f>
        <v/>
      </c>
      <c r="O3176" s="2">
        <f>IF(OR(F3176="",G3176=""),"",IF(G3176&lt;='RETRATO 2027'!$K$5,"CONCLUÍDA",IF(F3176&lt;='RETRATO 2027'!$K$5,"EM ANDAMENTO","A INICIAR")))</f>
        <v/>
      </c>
    </row>
    <row r="3177">
      <c r="M3177" s="2">
        <f>IF(C3177="","",IFERROR(INDEX($S$5:$S$304,MATCH(C3177,$R$5:$R$304,0))&amp;"","?"))</f>
        <v/>
      </c>
      <c r="N3177" s="2">
        <f>IF(E3177="","",IF(ISNUMBER(SEARCH("SUBSOLO",E3177)),IFERROR(-VALUE(LEFT(E3177,FIND("º",SUBSTITUTE(E3177,"°","º"))-1)),-1),IF(LEFT(E3177,6)="TÉRREO",0,IFERROR(VALUE(LEFT(E3177,FIND("º",SUBSTITUTE(E3177,"°","º"))-1)),""))))</f>
        <v/>
      </c>
      <c r="O3177" s="2">
        <f>IF(OR(F3177="",G3177=""),"",IF(G3177&lt;='RETRATO 2027'!$K$5,"CONCLUÍDA",IF(F3177&lt;='RETRATO 2027'!$K$5,"EM ANDAMENTO","A INICIAR")))</f>
        <v/>
      </c>
    </row>
    <row r="3178">
      <c r="M3178" s="2">
        <f>IF(C3178="","",IFERROR(INDEX($S$5:$S$304,MATCH(C3178,$R$5:$R$304,0))&amp;"","?"))</f>
        <v/>
      </c>
      <c r="N3178" s="2">
        <f>IF(E3178="","",IF(ISNUMBER(SEARCH("SUBSOLO",E3178)),IFERROR(-VALUE(LEFT(E3178,FIND("º",SUBSTITUTE(E3178,"°","º"))-1)),-1),IF(LEFT(E3178,6)="TÉRREO",0,IFERROR(VALUE(LEFT(E3178,FIND("º",SUBSTITUTE(E3178,"°","º"))-1)),""))))</f>
        <v/>
      </c>
      <c r="O3178" s="2">
        <f>IF(OR(F3178="",G3178=""),"",IF(G3178&lt;='RETRATO 2027'!$K$5,"CONCLUÍDA",IF(F3178&lt;='RETRATO 2027'!$K$5,"EM ANDAMENTO","A INICIAR")))</f>
        <v/>
      </c>
    </row>
    <row r="3179">
      <c r="M3179" s="2">
        <f>IF(C3179="","",IFERROR(INDEX($S$5:$S$304,MATCH(C3179,$R$5:$R$304,0))&amp;"","?"))</f>
        <v/>
      </c>
      <c r="N3179" s="2">
        <f>IF(E3179="","",IF(ISNUMBER(SEARCH("SUBSOLO",E3179)),IFERROR(-VALUE(LEFT(E3179,FIND("º",SUBSTITUTE(E3179,"°","º"))-1)),-1),IF(LEFT(E3179,6)="TÉRREO",0,IFERROR(VALUE(LEFT(E3179,FIND("º",SUBSTITUTE(E3179,"°","º"))-1)),""))))</f>
        <v/>
      </c>
      <c r="O3179" s="2">
        <f>IF(OR(F3179="",G3179=""),"",IF(G3179&lt;='RETRATO 2027'!$K$5,"CONCLUÍDA",IF(F3179&lt;='RETRATO 2027'!$K$5,"EM ANDAMENTO","A INICIAR")))</f>
        <v/>
      </c>
    </row>
    <row r="3180">
      <c r="M3180" s="2">
        <f>IF(C3180="","",IFERROR(INDEX($S$5:$S$304,MATCH(C3180,$R$5:$R$304,0))&amp;"","?"))</f>
        <v/>
      </c>
      <c r="N3180" s="2">
        <f>IF(E3180="","",IF(ISNUMBER(SEARCH("SUBSOLO",E3180)),IFERROR(-VALUE(LEFT(E3180,FIND("º",SUBSTITUTE(E3180,"°","º"))-1)),-1),IF(LEFT(E3180,6)="TÉRREO",0,IFERROR(VALUE(LEFT(E3180,FIND("º",SUBSTITUTE(E3180,"°","º"))-1)),""))))</f>
        <v/>
      </c>
      <c r="O3180" s="2">
        <f>IF(OR(F3180="",G3180=""),"",IF(G3180&lt;='RETRATO 2027'!$K$5,"CONCLUÍDA",IF(F3180&lt;='RETRATO 2027'!$K$5,"EM ANDAMENTO","A INICIAR")))</f>
        <v/>
      </c>
    </row>
    <row r="3181">
      <c r="M3181" s="2">
        <f>IF(C3181="","",IFERROR(INDEX($S$5:$S$304,MATCH(C3181,$R$5:$R$304,0))&amp;"","?"))</f>
        <v/>
      </c>
      <c r="N3181" s="2">
        <f>IF(E3181="","",IF(ISNUMBER(SEARCH("SUBSOLO",E3181)),IFERROR(-VALUE(LEFT(E3181,FIND("º",SUBSTITUTE(E3181,"°","º"))-1)),-1),IF(LEFT(E3181,6)="TÉRREO",0,IFERROR(VALUE(LEFT(E3181,FIND("º",SUBSTITUTE(E3181,"°","º"))-1)),""))))</f>
        <v/>
      </c>
      <c r="O3181" s="2">
        <f>IF(OR(F3181="",G3181=""),"",IF(G3181&lt;='RETRATO 2027'!$K$5,"CONCLUÍDA",IF(F3181&lt;='RETRATO 2027'!$K$5,"EM ANDAMENTO","A INICIAR")))</f>
        <v/>
      </c>
    </row>
    <row r="3182">
      <c r="M3182" s="2">
        <f>IF(C3182="","",IFERROR(INDEX($S$5:$S$304,MATCH(C3182,$R$5:$R$304,0))&amp;"","?"))</f>
        <v/>
      </c>
      <c r="N3182" s="2">
        <f>IF(E3182="","",IF(ISNUMBER(SEARCH("SUBSOLO",E3182)),IFERROR(-VALUE(LEFT(E3182,FIND("º",SUBSTITUTE(E3182,"°","º"))-1)),-1),IF(LEFT(E3182,6)="TÉRREO",0,IFERROR(VALUE(LEFT(E3182,FIND("º",SUBSTITUTE(E3182,"°","º"))-1)),""))))</f>
        <v/>
      </c>
      <c r="O3182" s="2">
        <f>IF(OR(F3182="",G3182=""),"",IF(G3182&lt;='RETRATO 2027'!$K$5,"CONCLUÍDA",IF(F3182&lt;='RETRATO 2027'!$K$5,"EM ANDAMENTO","A INICIAR")))</f>
        <v/>
      </c>
    </row>
    <row r="3183">
      <c r="M3183" s="2">
        <f>IF(C3183="","",IFERROR(INDEX($S$5:$S$304,MATCH(C3183,$R$5:$R$304,0))&amp;"","?"))</f>
        <v/>
      </c>
      <c r="N3183" s="2">
        <f>IF(E3183="","",IF(ISNUMBER(SEARCH("SUBSOLO",E3183)),IFERROR(-VALUE(LEFT(E3183,FIND("º",SUBSTITUTE(E3183,"°","º"))-1)),-1),IF(LEFT(E3183,6)="TÉRREO",0,IFERROR(VALUE(LEFT(E3183,FIND("º",SUBSTITUTE(E3183,"°","º"))-1)),""))))</f>
        <v/>
      </c>
      <c r="O3183" s="2">
        <f>IF(OR(F3183="",G3183=""),"",IF(G3183&lt;='RETRATO 2027'!$K$5,"CONCLUÍDA",IF(F3183&lt;='RETRATO 2027'!$K$5,"EM ANDAMENTO","A INICIAR")))</f>
        <v/>
      </c>
    </row>
    <row r="3184">
      <c r="M3184" s="2">
        <f>IF(C3184="","",IFERROR(INDEX($S$5:$S$304,MATCH(C3184,$R$5:$R$304,0))&amp;"","?"))</f>
        <v/>
      </c>
      <c r="N3184" s="2">
        <f>IF(E3184="","",IF(ISNUMBER(SEARCH("SUBSOLO",E3184)),IFERROR(-VALUE(LEFT(E3184,FIND("º",SUBSTITUTE(E3184,"°","º"))-1)),-1),IF(LEFT(E3184,6)="TÉRREO",0,IFERROR(VALUE(LEFT(E3184,FIND("º",SUBSTITUTE(E3184,"°","º"))-1)),""))))</f>
        <v/>
      </c>
      <c r="O3184" s="2">
        <f>IF(OR(F3184="",G3184=""),"",IF(G3184&lt;='RETRATO 2027'!$K$5,"CONCLUÍDA",IF(F3184&lt;='RETRATO 2027'!$K$5,"EM ANDAMENTO","A INICIAR")))</f>
        <v/>
      </c>
    </row>
    <row r="3185">
      <c r="M3185" s="2">
        <f>IF(C3185="","",IFERROR(INDEX($S$5:$S$304,MATCH(C3185,$R$5:$R$304,0))&amp;"","?"))</f>
        <v/>
      </c>
      <c r="N3185" s="2">
        <f>IF(E3185="","",IF(ISNUMBER(SEARCH("SUBSOLO",E3185)),IFERROR(-VALUE(LEFT(E3185,FIND("º",SUBSTITUTE(E3185,"°","º"))-1)),-1),IF(LEFT(E3185,6)="TÉRREO",0,IFERROR(VALUE(LEFT(E3185,FIND("º",SUBSTITUTE(E3185,"°","º"))-1)),""))))</f>
        <v/>
      </c>
      <c r="O3185" s="2">
        <f>IF(OR(F3185="",G3185=""),"",IF(G3185&lt;='RETRATO 2027'!$K$5,"CONCLUÍDA",IF(F3185&lt;='RETRATO 2027'!$K$5,"EM ANDAMENTO","A INICIAR")))</f>
        <v/>
      </c>
    </row>
    <row r="3186">
      <c r="M3186" s="2">
        <f>IF(C3186="","",IFERROR(INDEX($S$5:$S$304,MATCH(C3186,$R$5:$R$304,0))&amp;"","?"))</f>
        <v/>
      </c>
      <c r="N3186" s="2">
        <f>IF(E3186="","",IF(ISNUMBER(SEARCH("SUBSOLO",E3186)),IFERROR(-VALUE(LEFT(E3186,FIND("º",SUBSTITUTE(E3186,"°","º"))-1)),-1),IF(LEFT(E3186,6)="TÉRREO",0,IFERROR(VALUE(LEFT(E3186,FIND("º",SUBSTITUTE(E3186,"°","º"))-1)),""))))</f>
        <v/>
      </c>
      <c r="O3186" s="2">
        <f>IF(OR(F3186="",G3186=""),"",IF(G3186&lt;='RETRATO 2027'!$K$5,"CONCLUÍDA",IF(F3186&lt;='RETRATO 2027'!$K$5,"EM ANDAMENTO","A INICIAR")))</f>
        <v/>
      </c>
    </row>
    <row r="3187">
      <c r="M3187" s="2">
        <f>IF(C3187="","",IFERROR(INDEX($S$5:$S$304,MATCH(C3187,$R$5:$R$304,0))&amp;"","?"))</f>
        <v/>
      </c>
      <c r="N3187" s="2">
        <f>IF(E3187="","",IF(ISNUMBER(SEARCH("SUBSOLO",E3187)),IFERROR(-VALUE(LEFT(E3187,FIND("º",SUBSTITUTE(E3187,"°","º"))-1)),-1),IF(LEFT(E3187,6)="TÉRREO",0,IFERROR(VALUE(LEFT(E3187,FIND("º",SUBSTITUTE(E3187,"°","º"))-1)),""))))</f>
        <v/>
      </c>
      <c r="O3187" s="2">
        <f>IF(OR(F3187="",G3187=""),"",IF(G3187&lt;='RETRATO 2027'!$K$5,"CONCLUÍDA",IF(F3187&lt;='RETRATO 2027'!$K$5,"EM ANDAMENTO","A INICIAR")))</f>
        <v/>
      </c>
    </row>
    <row r="3188">
      <c r="M3188" s="2">
        <f>IF(C3188="","",IFERROR(INDEX($S$5:$S$304,MATCH(C3188,$R$5:$R$304,0))&amp;"","?"))</f>
        <v/>
      </c>
      <c r="N3188" s="2">
        <f>IF(E3188="","",IF(ISNUMBER(SEARCH("SUBSOLO",E3188)),IFERROR(-VALUE(LEFT(E3188,FIND("º",SUBSTITUTE(E3188,"°","º"))-1)),-1),IF(LEFT(E3188,6)="TÉRREO",0,IFERROR(VALUE(LEFT(E3188,FIND("º",SUBSTITUTE(E3188,"°","º"))-1)),""))))</f>
        <v/>
      </c>
      <c r="O3188" s="2">
        <f>IF(OR(F3188="",G3188=""),"",IF(G3188&lt;='RETRATO 2027'!$K$5,"CONCLUÍDA",IF(F3188&lt;='RETRATO 2027'!$K$5,"EM ANDAMENTO","A INICIAR")))</f>
        <v/>
      </c>
    </row>
    <row r="3189">
      <c r="M3189" s="2">
        <f>IF(C3189="","",IFERROR(INDEX($S$5:$S$304,MATCH(C3189,$R$5:$R$304,0))&amp;"","?"))</f>
        <v/>
      </c>
      <c r="N3189" s="2">
        <f>IF(E3189="","",IF(ISNUMBER(SEARCH("SUBSOLO",E3189)),IFERROR(-VALUE(LEFT(E3189,FIND("º",SUBSTITUTE(E3189,"°","º"))-1)),-1),IF(LEFT(E3189,6)="TÉRREO",0,IFERROR(VALUE(LEFT(E3189,FIND("º",SUBSTITUTE(E3189,"°","º"))-1)),""))))</f>
        <v/>
      </c>
      <c r="O3189" s="2">
        <f>IF(OR(F3189="",G3189=""),"",IF(G3189&lt;='RETRATO 2027'!$K$5,"CONCLUÍDA",IF(F3189&lt;='RETRATO 2027'!$K$5,"EM ANDAMENTO","A INICIAR")))</f>
        <v/>
      </c>
    </row>
    <row r="3190">
      <c r="M3190" s="2">
        <f>IF(C3190="","",IFERROR(INDEX($S$5:$S$304,MATCH(C3190,$R$5:$R$304,0))&amp;"","?"))</f>
        <v/>
      </c>
      <c r="N3190" s="2">
        <f>IF(E3190="","",IF(ISNUMBER(SEARCH("SUBSOLO",E3190)),IFERROR(-VALUE(LEFT(E3190,FIND("º",SUBSTITUTE(E3190,"°","º"))-1)),-1),IF(LEFT(E3190,6)="TÉRREO",0,IFERROR(VALUE(LEFT(E3190,FIND("º",SUBSTITUTE(E3190,"°","º"))-1)),""))))</f>
        <v/>
      </c>
      <c r="O3190" s="2">
        <f>IF(OR(F3190="",G3190=""),"",IF(G3190&lt;='RETRATO 2027'!$K$5,"CONCLUÍDA",IF(F3190&lt;='RETRATO 2027'!$K$5,"EM ANDAMENTO","A INICIAR")))</f>
        <v/>
      </c>
    </row>
    <row r="3191">
      <c r="M3191" s="2">
        <f>IF(C3191="","",IFERROR(INDEX($S$5:$S$304,MATCH(C3191,$R$5:$R$304,0))&amp;"","?"))</f>
        <v/>
      </c>
      <c r="N3191" s="2">
        <f>IF(E3191="","",IF(ISNUMBER(SEARCH("SUBSOLO",E3191)),IFERROR(-VALUE(LEFT(E3191,FIND("º",SUBSTITUTE(E3191,"°","º"))-1)),-1),IF(LEFT(E3191,6)="TÉRREO",0,IFERROR(VALUE(LEFT(E3191,FIND("º",SUBSTITUTE(E3191,"°","º"))-1)),""))))</f>
        <v/>
      </c>
      <c r="O3191" s="2">
        <f>IF(OR(F3191="",G3191=""),"",IF(G3191&lt;='RETRATO 2027'!$K$5,"CONCLUÍDA",IF(F3191&lt;='RETRATO 2027'!$K$5,"EM ANDAMENTO","A INICIAR")))</f>
        <v/>
      </c>
    </row>
    <row r="3192">
      <c r="M3192" s="2">
        <f>IF(C3192="","",IFERROR(INDEX($S$5:$S$304,MATCH(C3192,$R$5:$R$304,0))&amp;"","?"))</f>
        <v/>
      </c>
      <c r="N3192" s="2">
        <f>IF(E3192="","",IF(ISNUMBER(SEARCH("SUBSOLO",E3192)),IFERROR(-VALUE(LEFT(E3192,FIND("º",SUBSTITUTE(E3192,"°","º"))-1)),-1),IF(LEFT(E3192,6)="TÉRREO",0,IFERROR(VALUE(LEFT(E3192,FIND("º",SUBSTITUTE(E3192,"°","º"))-1)),""))))</f>
        <v/>
      </c>
      <c r="O3192" s="2">
        <f>IF(OR(F3192="",G3192=""),"",IF(G3192&lt;='RETRATO 2027'!$K$5,"CONCLUÍDA",IF(F3192&lt;='RETRATO 2027'!$K$5,"EM ANDAMENTO","A INICIAR")))</f>
        <v/>
      </c>
    </row>
    <row r="3193">
      <c r="M3193" s="2">
        <f>IF(C3193="","",IFERROR(INDEX($S$5:$S$304,MATCH(C3193,$R$5:$R$304,0))&amp;"","?"))</f>
        <v/>
      </c>
      <c r="N3193" s="2">
        <f>IF(E3193="","",IF(ISNUMBER(SEARCH("SUBSOLO",E3193)),IFERROR(-VALUE(LEFT(E3193,FIND("º",SUBSTITUTE(E3193,"°","º"))-1)),-1),IF(LEFT(E3193,6)="TÉRREO",0,IFERROR(VALUE(LEFT(E3193,FIND("º",SUBSTITUTE(E3193,"°","º"))-1)),""))))</f>
        <v/>
      </c>
      <c r="O3193" s="2">
        <f>IF(OR(F3193="",G3193=""),"",IF(G3193&lt;='RETRATO 2027'!$K$5,"CONCLUÍDA",IF(F3193&lt;='RETRATO 2027'!$K$5,"EM ANDAMENTO","A INICIAR")))</f>
        <v/>
      </c>
    </row>
    <row r="3194">
      <c r="M3194" s="2">
        <f>IF(C3194="","",IFERROR(INDEX($S$5:$S$304,MATCH(C3194,$R$5:$R$304,0))&amp;"","?"))</f>
        <v/>
      </c>
      <c r="N3194" s="2">
        <f>IF(E3194="","",IF(ISNUMBER(SEARCH("SUBSOLO",E3194)),IFERROR(-VALUE(LEFT(E3194,FIND("º",SUBSTITUTE(E3194,"°","º"))-1)),-1),IF(LEFT(E3194,6)="TÉRREO",0,IFERROR(VALUE(LEFT(E3194,FIND("º",SUBSTITUTE(E3194,"°","º"))-1)),""))))</f>
        <v/>
      </c>
      <c r="O3194" s="2">
        <f>IF(OR(F3194="",G3194=""),"",IF(G3194&lt;='RETRATO 2027'!$K$5,"CONCLUÍDA",IF(F3194&lt;='RETRATO 2027'!$K$5,"EM ANDAMENTO","A INICIAR")))</f>
        <v/>
      </c>
    </row>
    <row r="3195">
      <c r="M3195" s="2">
        <f>IF(C3195="","",IFERROR(INDEX($S$5:$S$304,MATCH(C3195,$R$5:$R$304,0))&amp;"","?"))</f>
        <v/>
      </c>
      <c r="N3195" s="2">
        <f>IF(E3195="","",IF(ISNUMBER(SEARCH("SUBSOLO",E3195)),IFERROR(-VALUE(LEFT(E3195,FIND("º",SUBSTITUTE(E3195,"°","º"))-1)),-1),IF(LEFT(E3195,6)="TÉRREO",0,IFERROR(VALUE(LEFT(E3195,FIND("º",SUBSTITUTE(E3195,"°","º"))-1)),""))))</f>
        <v/>
      </c>
      <c r="O3195" s="2">
        <f>IF(OR(F3195="",G3195=""),"",IF(G3195&lt;='RETRATO 2027'!$K$5,"CONCLUÍDA",IF(F3195&lt;='RETRATO 2027'!$K$5,"EM ANDAMENTO","A INICIAR")))</f>
        <v/>
      </c>
    </row>
    <row r="3196">
      <c r="M3196" s="2">
        <f>IF(C3196="","",IFERROR(INDEX($S$5:$S$304,MATCH(C3196,$R$5:$R$304,0))&amp;"","?"))</f>
        <v/>
      </c>
      <c r="N3196" s="2">
        <f>IF(E3196="","",IF(ISNUMBER(SEARCH("SUBSOLO",E3196)),IFERROR(-VALUE(LEFT(E3196,FIND("º",SUBSTITUTE(E3196,"°","º"))-1)),-1),IF(LEFT(E3196,6)="TÉRREO",0,IFERROR(VALUE(LEFT(E3196,FIND("º",SUBSTITUTE(E3196,"°","º"))-1)),""))))</f>
        <v/>
      </c>
      <c r="O3196" s="2">
        <f>IF(OR(F3196="",G3196=""),"",IF(G3196&lt;='RETRATO 2027'!$K$5,"CONCLUÍDA",IF(F3196&lt;='RETRATO 2027'!$K$5,"EM ANDAMENTO","A INICIAR")))</f>
        <v/>
      </c>
    </row>
    <row r="3197">
      <c r="M3197" s="2">
        <f>IF(C3197="","",IFERROR(INDEX($S$5:$S$304,MATCH(C3197,$R$5:$R$304,0))&amp;"","?"))</f>
        <v/>
      </c>
      <c r="N3197" s="2">
        <f>IF(E3197="","",IF(ISNUMBER(SEARCH("SUBSOLO",E3197)),IFERROR(-VALUE(LEFT(E3197,FIND("º",SUBSTITUTE(E3197,"°","º"))-1)),-1),IF(LEFT(E3197,6)="TÉRREO",0,IFERROR(VALUE(LEFT(E3197,FIND("º",SUBSTITUTE(E3197,"°","º"))-1)),""))))</f>
        <v/>
      </c>
      <c r="O3197" s="2">
        <f>IF(OR(F3197="",G3197=""),"",IF(G3197&lt;='RETRATO 2027'!$K$5,"CONCLUÍDA",IF(F3197&lt;='RETRATO 2027'!$K$5,"EM ANDAMENTO","A INICIAR")))</f>
        <v/>
      </c>
    </row>
    <row r="3198">
      <c r="M3198" s="2">
        <f>IF(C3198="","",IFERROR(INDEX($S$5:$S$304,MATCH(C3198,$R$5:$R$304,0))&amp;"","?"))</f>
        <v/>
      </c>
      <c r="N3198" s="2">
        <f>IF(E3198="","",IF(ISNUMBER(SEARCH("SUBSOLO",E3198)),IFERROR(-VALUE(LEFT(E3198,FIND("º",SUBSTITUTE(E3198,"°","º"))-1)),-1),IF(LEFT(E3198,6)="TÉRREO",0,IFERROR(VALUE(LEFT(E3198,FIND("º",SUBSTITUTE(E3198,"°","º"))-1)),""))))</f>
        <v/>
      </c>
      <c r="O3198" s="2">
        <f>IF(OR(F3198="",G3198=""),"",IF(G3198&lt;='RETRATO 2027'!$K$5,"CONCLUÍDA",IF(F3198&lt;='RETRATO 2027'!$K$5,"EM ANDAMENTO","A INICIAR")))</f>
        <v/>
      </c>
    </row>
    <row r="3199">
      <c r="M3199" s="2">
        <f>IF(C3199="","",IFERROR(INDEX($S$5:$S$304,MATCH(C3199,$R$5:$R$304,0))&amp;"","?"))</f>
        <v/>
      </c>
      <c r="N3199" s="2">
        <f>IF(E3199="","",IF(ISNUMBER(SEARCH("SUBSOLO",E3199)),IFERROR(-VALUE(LEFT(E3199,FIND("º",SUBSTITUTE(E3199,"°","º"))-1)),-1),IF(LEFT(E3199,6)="TÉRREO",0,IFERROR(VALUE(LEFT(E3199,FIND("º",SUBSTITUTE(E3199,"°","º"))-1)),""))))</f>
        <v/>
      </c>
      <c r="O3199" s="2">
        <f>IF(OR(F3199="",G3199=""),"",IF(G3199&lt;='RETRATO 2027'!$K$5,"CONCLUÍDA",IF(F3199&lt;='RETRATO 2027'!$K$5,"EM ANDAMENTO","A INICIAR")))</f>
        <v/>
      </c>
    </row>
    <row r="3200">
      <c r="M3200" s="2">
        <f>IF(C3200="","",IFERROR(INDEX($S$5:$S$304,MATCH(C3200,$R$5:$R$304,0))&amp;"","?"))</f>
        <v/>
      </c>
      <c r="N3200" s="2">
        <f>IF(E3200="","",IF(ISNUMBER(SEARCH("SUBSOLO",E3200)),IFERROR(-VALUE(LEFT(E3200,FIND("º",SUBSTITUTE(E3200,"°","º"))-1)),-1),IF(LEFT(E3200,6)="TÉRREO",0,IFERROR(VALUE(LEFT(E3200,FIND("º",SUBSTITUTE(E3200,"°","º"))-1)),""))))</f>
        <v/>
      </c>
      <c r="O3200" s="2">
        <f>IF(OR(F3200="",G3200=""),"",IF(G3200&lt;='RETRATO 2027'!$K$5,"CONCLUÍDA",IF(F3200&lt;='RETRATO 2027'!$K$5,"EM ANDAMENTO","A INICIAR")))</f>
        <v/>
      </c>
    </row>
    <row r="3201">
      <c r="M3201" s="2">
        <f>IF(C3201="","",IFERROR(INDEX($S$5:$S$304,MATCH(C3201,$R$5:$R$304,0))&amp;"","?"))</f>
        <v/>
      </c>
      <c r="N3201" s="2">
        <f>IF(E3201="","",IF(ISNUMBER(SEARCH("SUBSOLO",E3201)),IFERROR(-VALUE(LEFT(E3201,FIND("º",SUBSTITUTE(E3201,"°","º"))-1)),-1),IF(LEFT(E3201,6)="TÉRREO",0,IFERROR(VALUE(LEFT(E3201,FIND("º",SUBSTITUTE(E3201,"°","º"))-1)),""))))</f>
        <v/>
      </c>
      <c r="O3201" s="2">
        <f>IF(OR(F3201="",G3201=""),"",IF(G3201&lt;='RETRATO 2027'!$K$5,"CONCLUÍDA",IF(F3201&lt;='RETRATO 2027'!$K$5,"EM ANDAMENTO","A INICIAR")))</f>
        <v/>
      </c>
    </row>
    <row r="3202">
      <c r="M3202" s="2">
        <f>IF(C3202="","",IFERROR(INDEX($S$5:$S$304,MATCH(C3202,$R$5:$R$304,0))&amp;"","?"))</f>
        <v/>
      </c>
      <c r="N3202" s="2">
        <f>IF(E3202="","",IF(ISNUMBER(SEARCH("SUBSOLO",E3202)),IFERROR(-VALUE(LEFT(E3202,FIND("º",SUBSTITUTE(E3202,"°","º"))-1)),-1),IF(LEFT(E3202,6)="TÉRREO",0,IFERROR(VALUE(LEFT(E3202,FIND("º",SUBSTITUTE(E3202,"°","º"))-1)),""))))</f>
        <v/>
      </c>
      <c r="O3202" s="2">
        <f>IF(OR(F3202="",G3202=""),"",IF(G3202&lt;='RETRATO 2027'!$K$5,"CONCLUÍDA",IF(F3202&lt;='RETRATO 2027'!$K$5,"EM ANDAMENTO","A INICIAR")))</f>
        <v/>
      </c>
    </row>
    <row r="3203">
      <c r="M3203" s="2">
        <f>IF(C3203="","",IFERROR(INDEX($S$5:$S$304,MATCH(C3203,$R$5:$R$304,0))&amp;"","?"))</f>
        <v/>
      </c>
      <c r="N3203" s="2">
        <f>IF(E3203="","",IF(ISNUMBER(SEARCH("SUBSOLO",E3203)),IFERROR(-VALUE(LEFT(E3203,FIND("º",SUBSTITUTE(E3203,"°","º"))-1)),-1),IF(LEFT(E3203,6)="TÉRREO",0,IFERROR(VALUE(LEFT(E3203,FIND("º",SUBSTITUTE(E3203,"°","º"))-1)),""))))</f>
        <v/>
      </c>
      <c r="O3203" s="2">
        <f>IF(OR(F3203="",G3203=""),"",IF(G3203&lt;='RETRATO 2027'!$K$5,"CONCLUÍDA",IF(F3203&lt;='RETRATO 2027'!$K$5,"EM ANDAMENTO","A INICIAR")))</f>
        <v/>
      </c>
    </row>
    <row r="3204">
      <c r="M3204" s="2">
        <f>IF(C3204="","",IFERROR(INDEX($S$5:$S$304,MATCH(C3204,$R$5:$R$304,0))&amp;"","?"))</f>
        <v/>
      </c>
      <c r="N3204" s="2">
        <f>IF(E3204="","",IF(ISNUMBER(SEARCH("SUBSOLO",E3204)),IFERROR(-VALUE(LEFT(E3204,FIND("º",SUBSTITUTE(E3204,"°","º"))-1)),-1),IF(LEFT(E3204,6)="TÉRREO",0,IFERROR(VALUE(LEFT(E3204,FIND("º",SUBSTITUTE(E3204,"°","º"))-1)),""))))</f>
        <v/>
      </c>
      <c r="O3204" s="2">
        <f>IF(OR(F3204="",G3204=""),"",IF(G3204&lt;='RETRATO 2027'!$K$5,"CONCLUÍDA",IF(F3204&lt;='RETRATO 2027'!$K$5,"EM ANDAMENTO","A INICIAR")))</f>
        <v/>
      </c>
    </row>
    <row r="3205">
      <c r="M3205" s="2">
        <f>IF(C3205="","",IFERROR(INDEX($S$5:$S$304,MATCH(C3205,$R$5:$R$304,0))&amp;"","?"))</f>
        <v/>
      </c>
      <c r="N3205" s="2">
        <f>IF(E3205="","",IF(ISNUMBER(SEARCH("SUBSOLO",E3205)),IFERROR(-VALUE(LEFT(E3205,FIND("º",SUBSTITUTE(E3205,"°","º"))-1)),-1),IF(LEFT(E3205,6)="TÉRREO",0,IFERROR(VALUE(LEFT(E3205,FIND("º",SUBSTITUTE(E3205,"°","º"))-1)),""))))</f>
        <v/>
      </c>
      <c r="O3205" s="2">
        <f>IF(OR(F3205="",G3205=""),"",IF(G3205&lt;='RETRATO 2027'!$K$5,"CONCLUÍDA",IF(F3205&lt;='RETRATO 2027'!$K$5,"EM ANDAMENTO","A INICIAR")))</f>
        <v/>
      </c>
    </row>
    <row r="3206">
      <c r="M3206" s="2">
        <f>IF(C3206="","",IFERROR(INDEX($S$5:$S$304,MATCH(C3206,$R$5:$R$304,0))&amp;"","?"))</f>
        <v/>
      </c>
      <c r="N3206" s="2">
        <f>IF(E3206="","",IF(ISNUMBER(SEARCH("SUBSOLO",E3206)),IFERROR(-VALUE(LEFT(E3206,FIND("º",SUBSTITUTE(E3206,"°","º"))-1)),-1),IF(LEFT(E3206,6)="TÉRREO",0,IFERROR(VALUE(LEFT(E3206,FIND("º",SUBSTITUTE(E3206,"°","º"))-1)),""))))</f>
        <v/>
      </c>
      <c r="O3206" s="2">
        <f>IF(OR(F3206="",G3206=""),"",IF(G3206&lt;='RETRATO 2027'!$K$5,"CONCLUÍDA",IF(F3206&lt;='RETRATO 2027'!$K$5,"EM ANDAMENTO","A INICIAR")))</f>
        <v/>
      </c>
    </row>
    <row r="3207">
      <c r="M3207" s="2">
        <f>IF(C3207="","",IFERROR(INDEX($S$5:$S$304,MATCH(C3207,$R$5:$R$304,0))&amp;"","?"))</f>
        <v/>
      </c>
      <c r="N3207" s="2">
        <f>IF(E3207="","",IF(ISNUMBER(SEARCH("SUBSOLO",E3207)),IFERROR(-VALUE(LEFT(E3207,FIND("º",SUBSTITUTE(E3207,"°","º"))-1)),-1),IF(LEFT(E3207,6)="TÉRREO",0,IFERROR(VALUE(LEFT(E3207,FIND("º",SUBSTITUTE(E3207,"°","º"))-1)),""))))</f>
        <v/>
      </c>
      <c r="O3207" s="2">
        <f>IF(OR(F3207="",G3207=""),"",IF(G3207&lt;='RETRATO 2027'!$K$5,"CONCLUÍDA",IF(F3207&lt;='RETRATO 2027'!$K$5,"EM ANDAMENTO","A INICIAR")))</f>
        <v/>
      </c>
    </row>
    <row r="3208">
      <c r="M3208" s="2">
        <f>IF(C3208="","",IFERROR(INDEX($S$5:$S$304,MATCH(C3208,$R$5:$R$304,0))&amp;"","?"))</f>
        <v/>
      </c>
      <c r="N3208" s="2">
        <f>IF(E3208="","",IF(ISNUMBER(SEARCH("SUBSOLO",E3208)),IFERROR(-VALUE(LEFT(E3208,FIND("º",SUBSTITUTE(E3208,"°","º"))-1)),-1),IF(LEFT(E3208,6)="TÉRREO",0,IFERROR(VALUE(LEFT(E3208,FIND("º",SUBSTITUTE(E3208,"°","º"))-1)),""))))</f>
        <v/>
      </c>
      <c r="O3208" s="2">
        <f>IF(OR(F3208="",G3208=""),"",IF(G3208&lt;='RETRATO 2027'!$K$5,"CONCLUÍDA",IF(F3208&lt;='RETRATO 2027'!$K$5,"EM ANDAMENTO","A INICIAR")))</f>
        <v/>
      </c>
    </row>
    <row r="3209">
      <c r="M3209" s="2">
        <f>IF(C3209="","",IFERROR(INDEX($S$5:$S$304,MATCH(C3209,$R$5:$R$304,0))&amp;"","?"))</f>
        <v/>
      </c>
      <c r="N3209" s="2">
        <f>IF(E3209="","",IF(ISNUMBER(SEARCH("SUBSOLO",E3209)),IFERROR(-VALUE(LEFT(E3209,FIND("º",SUBSTITUTE(E3209,"°","º"))-1)),-1),IF(LEFT(E3209,6)="TÉRREO",0,IFERROR(VALUE(LEFT(E3209,FIND("º",SUBSTITUTE(E3209,"°","º"))-1)),""))))</f>
        <v/>
      </c>
      <c r="O3209" s="2">
        <f>IF(OR(F3209="",G3209=""),"",IF(G3209&lt;='RETRATO 2027'!$K$5,"CONCLUÍDA",IF(F3209&lt;='RETRATO 2027'!$K$5,"EM ANDAMENTO","A INICIAR")))</f>
        <v/>
      </c>
    </row>
    <row r="3210">
      <c r="M3210" s="2">
        <f>IF(C3210="","",IFERROR(INDEX($S$5:$S$304,MATCH(C3210,$R$5:$R$304,0))&amp;"","?"))</f>
        <v/>
      </c>
      <c r="N3210" s="2">
        <f>IF(E3210="","",IF(ISNUMBER(SEARCH("SUBSOLO",E3210)),IFERROR(-VALUE(LEFT(E3210,FIND("º",SUBSTITUTE(E3210,"°","º"))-1)),-1),IF(LEFT(E3210,6)="TÉRREO",0,IFERROR(VALUE(LEFT(E3210,FIND("º",SUBSTITUTE(E3210,"°","º"))-1)),""))))</f>
        <v/>
      </c>
      <c r="O3210" s="2">
        <f>IF(OR(F3210="",G3210=""),"",IF(G3210&lt;='RETRATO 2027'!$K$5,"CONCLUÍDA",IF(F3210&lt;='RETRATO 2027'!$K$5,"EM ANDAMENTO","A INICIAR")))</f>
        <v/>
      </c>
    </row>
    <row r="3211">
      <c r="M3211" s="2">
        <f>IF(C3211="","",IFERROR(INDEX($S$5:$S$304,MATCH(C3211,$R$5:$R$304,0))&amp;"","?"))</f>
        <v/>
      </c>
      <c r="N3211" s="2">
        <f>IF(E3211="","",IF(ISNUMBER(SEARCH("SUBSOLO",E3211)),IFERROR(-VALUE(LEFT(E3211,FIND("º",SUBSTITUTE(E3211,"°","º"))-1)),-1),IF(LEFT(E3211,6)="TÉRREO",0,IFERROR(VALUE(LEFT(E3211,FIND("º",SUBSTITUTE(E3211,"°","º"))-1)),""))))</f>
        <v/>
      </c>
      <c r="O3211" s="2">
        <f>IF(OR(F3211="",G3211=""),"",IF(G3211&lt;='RETRATO 2027'!$K$5,"CONCLUÍDA",IF(F3211&lt;='RETRATO 2027'!$K$5,"EM ANDAMENTO","A INICIAR")))</f>
        <v/>
      </c>
    </row>
    <row r="3212">
      <c r="M3212" s="2">
        <f>IF(C3212="","",IFERROR(INDEX($S$5:$S$304,MATCH(C3212,$R$5:$R$304,0))&amp;"","?"))</f>
        <v/>
      </c>
      <c r="N3212" s="2">
        <f>IF(E3212="","",IF(ISNUMBER(SEARCH("SUBSOLO",E3212)),IFERROR(-VALUE(LEFT(E3212,FIND("º",SUBSTITUTE(E3212,"°","º"))-1)),-1),IF(LEFT(E3212,6)="TÉRREO",0,IFERROR(VALUE(LEFT(E3212,FIND("º",SUBSTITUTE(E3212,"°","º"))-1)),""))))</f>
        <v/>
      </c>
      <c r="O3212" s="2">
        <f>IF(OR(F3212="",G3212=""),"",IF(G3212&lt;='RETRATO 2027'!$K$5,"CONCLUÍDA",IF(F3212&lt;='RETRATO 2027'!$K$5,"EM ANDAMENTO","A INICIAR")))</f>
        <v/>
      </c>
    </row>
    <row r="3213">
      <c r="M3213" s="2">
        <f>IF(C3213="","",IFERROR(INDEX($S$5:$S$304,MATCH(C3213,$R$5:$R$304,0))&amp;"","?"))</f>
        <v/>
      </c>
      <c r="N3213" s="2">
        <f>IF(E3213="","",IF(ISNUMBER(SEARCH("SUBSOLO",E3213)),IFERROR(-VALUE(LEFT(E3213,FIND("º",SUBSTITUTE(E3213,"°","º"))-1)),-1),IF(LEFT(E3213,6)="TÉRREO",0,IFERROR(VALUE(LEFT(E3213,FIND("º",SUBSTITUTE(E3213,"°","º"))-1)),""))))</f>
        <v/>
      </c>
      <c r="O3213" s="2">
        <f>IF(OR(F3213="",G3213=""),"",IF(G3213&lt;='RETRATO 2027'!$K$5,"CONCLUÍDA",IF(F3213&lt;='RETRATO 2027'!$K$5,"EM ANDAMENTO","A INICIAR")))</f>
        <v/>
      </c>
    </row>
    <row r="3214">
      <c r="M3214" s="2">
        <f>IF(C3214="","",IFERROR(INDEX($S$5:$S$304,MATCH(C3214,$R$5:$R$304,0))&amp;"","?"))</f>
        <v/>
      </c>
      <c r="N3214" s="2">
        <f>IF(E3214="","",IF(ISNUMBER(SEARCH("SUBSOLO",E3214)),IFERROR(-VALUE(LEFT(E3214,FIND("º",SUBSTITUTE(E3214,"°","º"))-1)),-1),IF(LEFT(E3214,6)="TÉRREO",0,IFERROR(VALUE(LEFT(E3214,FIND("º",SUBSTITUTE(E3214,"°","º"))-1)),""))))</f>
        <v/>
      </c>
      <c r="O3214" s="2">
        <f>IF(OR(F3214="",G3214=""),"",IF(G3214&lt;='RETRATO 2027'!$K$5,"CONCLUÍDA",IF(F3214&lt;='RETRATO 2027'!$K$5,"EM ANDAMENTO","A INICIAR")))</f>
        <v/>
      </c>
    </row>
    <row r="3215">
      <c r="M3215" s="2">
        <f>IF(C3215="","",IFERROR(INDEX($S$5:$S$304,MATCH(C3215,$R$5:$R$304,0))&amp;"","?"))</f>
        <v/>
      </c>
      <c r="N3215" s="2">
        <f>IF(E3215="","",IF(ISNUMBER(SEARCH("SUBSOLO",E3215)),IFERROR(-VALUE(LEFT(E3215,FIND("º",SUBSTITUTE(E3215,"°","º"))-1)),-1),IF(LEFT(E3215,6)="TÉRREO",0,IFERROR(VALUE(LEFT(E3215,FIND("º",SUBSTITUTE(E3215,"°","º"))-1)),""))))</f>
        <v/>
      </c>
      <c r="O3215" s="2">
        <f>IF(OR(F3215="",G3215=""),"",IF(G3215&lt;='RETRATO 2027'!$K$5,"CONCLUÍDA",IF(F3215&lt;='RETRATO 2027'!$K$5,"EM ANDAMENTO","A INICIAR")))</f>
        <v/>
      </c>
    </row>
    <row r="3216">
      <c r="M3216" s="2">
        <f>IF(C3216="","",IFERROR(INDEX($S$5:$S$304,MATCH(C3216,$R$5:$R$304,0))&amp;"","?"))</f>
        <v/>
      </c>
      <c r="N3216" s="2">
        <f>IF(E3216="","",IF(ISNUMBER(SEARCH("SUBSOLO",E3216)),IFERROR(-VALUE(LEFT(E3216,FIND("º",SUBSTITUTE(E3216,"°","º"))-1)),-1),IF(LEFT(E3216,6)="TÉRREO",0,IFERROR(VALUE(LEFT(E3216,FIND("º",SUBSTITUTE(E3216,"°","º"))-1)),""))))</f>
        <v/>
      </c>
      <c r="O3216" s="2">
        <f>IF(OR(F3216="",G3216=""),"",IF(G3216&lt;='RETRATO 2027'!$K$5,"CONCLUÍDA",IF(F3216&lt;='RETRATO 2027'!$K$5,"EM ANDAMENTO","A INICIAR")))</f>
        <v/>
      </c>
    </row>
    <row r="3217">
      <c r="M3217" s="2">
        <f>IF(C3217="","",IFERROR(INDEX($S$5:$S$304,MATCH(C3217,$R$5:$R$304,0))&amp;"","?"))</f>
        <v/>
      </c>
      <c r="N3217" s="2">
        <f>IF(E3217="","",IF(ISNUMBER(SEARCH("SUBSOLO",E3217)),IFERROR(-VALUE(LEFT(E3217,FIND("º",SUBSTITUTE(E3217,"°","º"))-1)),-1),IF(LEFT(E3217,6)="TÉRREO",0,IFERROR(VALUE(LEFT(E3217,FIND("º",SUBSTITUTE(E3217,"°","º"))-1)),""))))</f>
        <v/>
      </c>
      <c r="O3217" s="2">
        <f>IF(OR(F3217="",G3217=""),"",IF(G3217&lt;='RETRATO 2027'!$K$5,"CONCLUÍDA",IF(F3217&lt;='RETRATO 2027'!$K$5,"EM ANDAMENTO","A INICIAR")))</f>
        <v/>
      </c>
    </row>
    <row r="3218">
      <c r="M3218" s="2">
        <f>IF(C3218="","",IFERROR(INDEX($S$5:$S$304,MATCH(C3218,$R$5:$R$304,0))&amp;"","?"))</f>
        <v/>
      </c>
      <c r="N3218" s="2">
        <f>IF(E3218="","",IF(ISNUMBER(SEARCH("SUBSOLO",E3218)),IFERROR(-VALUE(LEFT(E3218,FIND("º",SUBSTITUTE(E3218,"°","º"))-1)),-1),IF(LEFT(E3218,6)="TÉRREO",0,IFERROR(VALUE(LEFT(E3218,FIND("º",SUBSTITUTE(E3218,"°","º"))-1)),""))))</f>
        <v/>
      </c>
      <c r="O3218" s="2">
        <f>IF(OR(F3218="",G3218=""),"",IF(G3218&lt;='RETRATO 2027'!$K$5,"CONCLUÍDA",IF(F3218&lt;='RETRATO 2027'!$K$5,"EM ANDAMENTO","A INICIAR")))</f>
        <v/>
      </c>
    </row>
    <row r="3219">
      <c r="M3219" s="2">
        <f>IF(C3219="","",IFERROR(INDEX($S$5:$S$304,MATCH(C3219,$R$5:$R$304,0))&amp;"","?"))</f>
        <v/>
      </c>
      <c r="N3219" s="2">
        <f>IF(E3219="","",IF(ISNUMBER(SEARCH("SUBSOLO",E3219)),IFERROR(-VALUE(LEFT(E3219,FIND("º",SUBSTITUTE(E3219,"°","º"))-1)),-1),IF(LEFT(E3219,6)="TÉRREO",0,IFERROR(VALUE(LEFT(E3219,FIND("º",SUBSTITUTE(E3219,"°","º"))-1)),""))))</f>
        <v/>
      </c>
      <c r="O3219" s="2">
        <f>IF(OR(F3219="",G3219=""),"",IF(G3219&lt;='RETRATO 2027'!$K$5,"CONCLUÍDA",IF(F3219&lt;='RETRATO 2027'!$K$5,"EM ANDAMENTO","A INICIAR")))</f>
        <v/>
      </c>
    </row>
    <row r="3220">
      <c r="M3220" s="2">
        <f>IF(C3220="","",IFERROR(INDEX($S$5:$S$304,MATCH(C3220,$R$5:$R$304,0))&amp;"","?"))</f>
        <v/>
      </c>
      <c r="N3220" s="2">
        <f>IF(E3220="","",IF(ISNUMBER(SEARCH("SUBSOLO",E3220)),IFERROR(-VALUE(LEFT(E3220,FIND("º",SUBSTITUTE(E3220,"°","º"))-1)),-1),IF(LEFT(E3220,6)="TÉRREO",0,IFERROR(VALUE(LEFT(E3220,FIND("º",SUBSTITUTE(E3220,"°","º"))-1)),""))))</f>
        <v/>
      </c>
      <c r="O3220" s="2">
        <f>IF(OR(F3220="",G3220=""),"",IF(G3220&lt;='RETRATO 2027'!$K$5,"CONCLUÍDA",IF(F3220&lt;='RETRATO 2027'!$K$5,"EM ANDAMENTO","A INICIAR")))</f>
        <v/>
      </c>
    </row>
    <row r="3221">
      <c r="M3221" s="2">
        <f>IF(C3221="","",IFERROR(INDEX($S$5:$S$304,MATCH(C3221,$R$5:$R$304,0))&amp;"","?"))</f>
        <v/>
      </c>
      <c r="N3221" s="2">
        <f>IF(E3221="","",IF(ISNUMBER(SEARCH("SUBSOLO",E3221)),IFERROR(-VALUE(LEFT(E3221,FIND("º",SUBSTITUTE(E3221,"°","º"))-1)),-1),IF(LEFT(E3221,6)="TÉRREO",0,IFERROR(VALUE(LEFT(E3221,FIND("º",SUBSTITUTE(E3221,"°","º"))-1)),""))))</f>
        <v/>
      </c>
      <c r="O3221" s="2">
        <f>IF(OR(F3221="",G3221=""),"",IF(G3221&lt;='RETRATO 2027'!$K$5,"CONCLUÍDA",IF(F3221&lt;='RETRATO 2027'!$K$5,"EM ANDAMENTO","A INICIAR")))</f>
        <v/>
      </c>
    </row>
    <row r="3222">
      <c r="M3222" s="2">
        <f>IF(C3222="","",IFERROR(INDEX($S$5:$S$304,MATCH(C3222,$R$5:$R$304,0))&amp;"","?"))</f>
        <v/>
      </c>
      <c r="N3222" s="2">
        <f>IF(E3222="","",IF(ISNUMBER(SEARCH("SUBSOLO",E3222)),IFERROR(-VALUE(LEFT(E3222,FIND("º",SUBSTITUTE(E3222,"°","º"))-1)),-1),IF(LEFT(E3222,6)="TÉRREO",0,IFERROR(VALUE(LEFT(E3222,FIND("º",SUBSTITUTE(E3222,"°","º"))-1)),""))))</f>
        <v/>
      </c>
      <c r="O3222" s="2">
        <f>IF(OR(F3222="",G3222=""),"",IF(G3222&lt;='RETRATO 2027'!$K$5,"CONCLUÍDA",IF(F3222&lt;='RETRATO 2027'!$K$5,"EM ANDAMENTO","A INICIAR")))</f>
        <v/>
      </c>
    </row>
    <row r="3223">
      <c r="M3223" s="2">
        <f>IF(C3223="","",IFERROR(INDEX($S$5:$S$304,MATCH(C3223,$R$5:$R$304,0))&amp;"","?"))</f>
        <v/>
      </c>
      <c r="N3223" s="2">
        <f>IF(E3223="","",IF(ISNUMBER(SEARCH("SUBSOLO",E3223)),IFERROR(-VALUE(LEFT(E3223,FIND("º",SUBSTITUTE(E3223,"°","º"))-1)),-1),IF(LEFT(E3223,6)="TÉRREO",0,IFERROR(VALUE(LEFT(E3223,FIND("º",SUBSTITUTE(E3223,"°","º"))-1)),""))))</f>
        <v/>
      </c>
      <c r="O3223" s="2">
        <f>IF(OR(F3223="",G3223=""),"",IF(G3223&lt;='RETRATO 2027'!$K$5,"CONCLUÍDA",IF(F3223&lt;='RETRATO 2027'!$K$5,"EM ANDAMENTO","A INICIAR")))</f>
        <v/>
      </c>
    </row>
    <row r="3224">
      <c r="M3224" s="2">
        <f>IF(C3224="","",IFERROR(INDEX($S$5:$S$304,MATCH(C3224,$R$5:$R$304,0))&amp;"","?"))</f>
        <v/>
      </c>
      <c r="N3224" s="2">
        <f>IF(E3224="","",IF(ISNUMBER(SEARCH("SUBSOLO",E3224)),IFERROR(-VALUE(LEFT(E3224,FIND("º",SUBSTITUTE(E3224,"°","º"))-1)),-1),IF(LEFT(E3224,6)="TÉRREO",0,IFERROR(VALUE(LEFT(E3224,FIND("º",SUBSTITUTE(E3224,"°","º"))-1)),""))))</f>
        <v/>
      </c>
      <c r="O3224" s="2">
        <f>IF(OR(F3224="",G3224=""),"",IF(G3224&lt;='RETRATO 2027'!$K$5,"CONCLUÍDA",IF(F3224&lt;='RETRATO 2027'!$K$5,"EM ANDAMENTO","A INICIAR")))</f>
        <v/>
      </c>
    </row>
    <row r="3225">
      <c r="M3225" s="2">
        <f>IF(C3225="","",IFERROR(INDEX($S$5:$S$304,MATCH(C3225,$R$5:$R$304,0))&amp;"","?"))</f>
        <v/>
      </c>
      <c r="N3225" s="2">
        <f>IF(E3225="","",IF(ISNUMBER(SEARCH("SUBSOLO",E3225)),IFERROR(-VALUE(LEFT(E3225,FIND("º",SUBSTITUTE(E3225,"°","º"))-1)),-1),IF(LEFT(E3225,6)="TÉRREO",0,IFERROR(VALUE(LEFT(E3225,FIND("º",SUBSTITUTE(E3225,"°","º"))-1)),""))))</f>
        <v/>
      </c>
      <c r="O3225" s="2">
        <f>IF(OR(F3225="",G3225=""),"",IF(G3225&lt;='RETRATO 2027'!$K$5,"CONCLUÍDA",IF(F3225&lt;='RETRATO 2027'!$K$5,"EM ANDAMENTO","A INICIAR")))</f>
        <v/>
      </c>
    </row>
    <row r="3226">
      <c r="M3226" s="2">
        <f>IF(C3226="","",IFERROR(INDEX($S$5:$S$304,MATCH(C3226,$R$5:$R$304,0))&amp;"","?"))</f>
        <v/>
      </c>
      <c r="N3226" s="2">
        <f>IF(E3226="","",IF(ISNUMBER(SEARCH("SUBSOLO",E3226)),IFERROR(-VALUE(LEFT(E3226,FIND("º",SUBSTITUTE(E3226,"°","º"))-1)),-1),IF(LEFT(E3226,6)="TÉRREO",0,IFERROR(VALUE(LEFT(E3226,FIND("º",SUBSTITUTE(E3226,"°","º"))-1)),""))))</f>
        <v/>
      </c>
      <c r="O3226" s="2">
        <f>IF(OR(F3226="",G3226=""),"",IF(G3226&lt;='RETRATO 2027'!$K$5,"CONCLUÍDA",IF(F3226&lt;='RETRATO 2027'!$K$5,"EM ANDAMENTO","A INICIAR")))</f>
        <v/>
      </c>
    </row>
    <row r="3227">
      <c r="M3227" s="2">
        <f>IF(C3227="","",IFERROR(INDEX($S$5:$S$304,MATCH(C3227,$R$5:$R$304,0))&amp;"","?"))</f>
        <v/>
      </c>
      <c r="N3227" s="2">
        <f>IF(E3227="","",IF(ISNUMBER(SEARCH("SUBSOLO",E3227)),IFERROR(-VALUE(LEFT(E3227,FIND("º",SUBSTITUTE(E3227,"°","º"))-1)),-1),IF(LEFT(E3227,6)="TÉRREO",0,IFERROR(VALUE(LEFT(E3227,FIND("º",SUBSTITUTE(E3227,"°","º"))-1)),""))))</f>
        <v/>
      </c>
      <c r="O3227" s="2">
        <f>IF(OR(F3227="",G3227=""),"",IF(G3227&lt;='RETRATO 2027'!$K$5,"CONCLUÍDA",IF(F3227&lt;='RETRATO 2027'!$K$5,"EM ANDAMENTO","A INICIAR")))</f>
        <v/>
      </c>
    </row>
    <row r="3228">
      <c r="M3228" s="2">
        <f>IF(C3228="","",IFERROR(INDEX($S$5:$S$304,MATCH(C3228,$R$5:$R$304,0))&amp;"","?"))</f>
        <v/>
      </c>
      <c r="N3228" s="2">
        <f>IF(E3228="","",IF(ISNUMBER(SEARCH("SUBSOLO",E3228)),IFERROR(-VALUE(LEFT(E3228,FIND("º",SUBSTITUTE(E3228,"°","º"))-1)),-1),IF(LEFT(E3228,6)="TÉRREO",0,IFERROR(VALUE(LEFT(E3228,FIND("º",SUBSTITUTE(E3228,"°","º"))-1)),""))))</f>
        <v/>
      </c>
      <c r="O3228" s="2">
        <f>IF(OR(F3228="",G3228=""),"",IF(G3228&lt;='RETRATO 2027'!$K$5,"CONCLUÍDA",IF(F3228&lt;='RETRATO 2027'!$K$5,"EM ANDAMENTO","A INICIAR")))</f>
        <v/>
      </c>
    </row>
    <row r="3229">
      <c r="M3229" s="2">
        <f>IF(C3229="","",IFERROR(INDEX($S$5:$S$304,MATCH(C3229,$R$5:$R$304,0))&amp;"","?"))</f>
        <v/>
      </c>
      <c r="N3229" s="2">
        <f>IF(E3229="","",IF(ISNUMBER(SEARCH("SUBSOLO",E3229)),IFERROR(-VALUE(LEFT(E3229,FIND("º",SUBSTITUTE(E3229,"°","º"))-1)),-1),IF(LEFT(E3229,6)="TÉRREO",0,IFERROR(VALUE(LEFT(E3229,FIND("º",SUBSTITUTE(E3229,"°","º"))-1)),""))))</f>
        <v/>
      </c>
      <c r="O3229" s="2">
        <f>IF(OR(F3229="",G3229=""),"",IF(G3229&lt;='RETRATO 2027'!$K$5,"CONCLUÍDA",IF(F3229&lt;='RETRATO 2027'!$K$5,"EM ANDAMENTO","A INICIAR")))</f>
        <v/>
      </c>
    </row>
    <row r="3230">
      <c r="M3230" s="2">
        <f>IF(C3230="","",IFERROR(INDEX($S$5:$S$304,MATCH(C3230,$R$5:$R$304,0))&amp;"","?"))</f>
        <v/>
      </c>
      <c r="N3230" s="2">
        <f>IF(E3230="","",IF(ISNUMBER(SEARCH("SUBSOLO",E3230)),IFERROR(-VALUE(LEFT(E3230,FIND("º",SUBSTITUTE(E3230,"°","º"))-1)),-1),IF(LEFT(E3230,6)="TÉRREO",0,IFERROR(VALUE(LEFT(E3230,FIND("º",SUBSTITUTE(E3230,"°","º"))-1)),""))))</f>
        <v/>
      </c>
      <c r="O3230" s="2">
        <f>IF(OR(F3230="",G3230=""),"",IF(G3230&lt;='RETRATO 2027'!$K$5,"CONCLUÍDA",IF(F3230&lt;='RETRATO 2027'!$K$5,"EM ANDAMENTO","A INICIAR")))</f>
        <v/>
      </c>
    </row>
    <row r="3231">
      <c r="M3231" s="2">
        <f>IF(C3231="","",IFERROR(INDEX($S$5:$S$304,MATCH(C3231,$R$5:$R$304,0))&amp;"","?"))</f>
        <v/>
      </c>
      <c r="N3231" s="2">
        <f>IF(E3231="","",IF(ISNUMBER(SEARCH("SUBSOLO",E3231)),IFERROR(-VALUE(LEFT(E3231,FIND("º",SUBSTITUTE(E3231,"°","º"))-1)),-1),IF(LEFT(E3231,6)="TÉRREO",0,IFERROR(VALUE(LEFT(E3231,FIND("º",SUBSTITUTE(E3231,"°","º"))-1)),""))))</f>
        <v/>
      </c>
      <c r="O3231" s="2">
        <f>IF(OR(F3231="",G3231=""),"",IF(G3231&lt;='RETRATO 2027'!$K$5,"CONCLUÍDA",IF(F3231&lt;='RETRATO 2027'!$K$5,"EM ANDAMENTO","A INICIAR")))</f>
        <v/>
      </c>
    </row>
    <row r="3232">
      <c r="M3232" s="2">
        <f>IF(C3232="","",IFERROR(INDEX($S$5:$S$304,MATCH(C3232,$R$5:$R$304,0))&amp;"","?"))</f>
        <v/>
      </c>
      <c r="N3232" s="2">
        <f>IF(E3232="","",IF(ISNUMBER(SEARCH("SUBSOLO",E3232)),IFERROR(-VALUE(LEFT(E3232,FIND("º",SUBSTITUTE(E3232,"°","º"))-1)),-1),IF(LEFT(E3232,6)="TÉRREO",0,IFERROR(VALUE(LEFT(E3232,FIND("º",SUBSTITUTE(E3232,"°","º"))-1)),""))))</f>
        <v/>
      </c>
      <c r="O3232" s="2">
        <f>IF(OR(F3232="",G3232=""),"",IF(G3232&lt;='RETRATO 2027'!$K$5,"CONCLUÍDA",IF(F3232&lt;='RETRATO 2027'!$K$5,"EM ANDAMENTO","A INICIAR")))</f>
        <v/>
      </c>
    </row>
    <row r="3233">
      <c r="M3233" s="2">
        <f>IF(C3233="","",IFERROR(INDEX($S$5:$S$304,MATCH(C3233,$R$5:$R$304,0))&amp;"","?"))</f>
        <v/>
      </c>
      <c r="N3233" s="2">
        <f>IF(E3233="","",IF(ISNUMBER(SEARCH("SUBSOLO",E3233)),IFERROR(-VALUE(LEFT(E3233,FIND("º",SUBSTITUTE(E3233,"°","º"))-1)),-1),IF(LEFT(E3233,6)="TÉRREO",0,IFERROR(VALUE(LEFT(E3233,FIND("º",SUBSTITUTE(E3233,"°","º"))-1)),""))))</f>
        <v/>
      </c>
      <c r="O3233" s="2">
        <f>IF(OR(F3233="",G3233=""),"",IF(G3233&lt;='RETRATO 2027'!$K$5,"CONCLUÍDA",IF(F3233&lt;='RETRATO 2027'!$K$5,"EM ANDAMENTO","A INICIAR")))</f>
        <v/>
      </c>
    </row>
    <row r="3234">
      <c r="M3234" s="2">
        <f>IF(C3234="","",IFERROR(INDEX($S$5:$S$304,MATCH(C3234,$R$5:$R$304,0))&amp;"","?"))</f>
        <v/>
      </c>
      <c r="N3234" s="2">
        <f>IF(E3234="","",IF(ISNUMBER(SEARCH("SUBSOLO",E3234)),IFERROR(-VALUE(LEFT(E3234,FIND("º",SUBSTITUTE(E3234,"°","º"))-1)),-1),IF(LEFT(E3234,6)="TÉRREO",0,IFERROR(VALUE(LEFT(E3234,FIND("º",SUBSTITUTE(E3234,"°","º"))-1)),""))))</f>
        <v/>
      </c>
      <c r="O3234" s="2">
        <f>IF(OR(F3234="",G3234=""),"",IF(G3234&lt;='RETRATO 2027'!$K$5,"CONCLUÍDA",IF(F3234&lt;='RETRATO 2027'!$K$5,"EM ANDAMENTO","A INICIAR")))</f>
        <v/>
      </c>
    </row>
    <row r="3235">
      <c r="M3235" s="2">
        <f>IF(C3235="","",IFERROR(INDEX($S$5:$S$304,MATCH(C3235,$R$5:$R$304,0))&amp;"","?"))</f>
        <v/>
      </c>
      <c r="N3235" s="2">
        <f>IF(E3235="","",IF(ISNUMBER(SEARCH("SUBSOLO",E3235)),IFERROR(-VALUE(LEFT(E3235,FIND("º",SUBSTITUTE(E3235,"°","º"))-1)),-1),IF(LEFT(E3235,6)="TÉRREO",0,IFERROR(VALUE(LEFT(E3235,FIND("º",SUBSTITUTE(E3235,"°","º"))-1)),""))))</f>
        <v/>
      </c>
      <c r="O3235" s="2">
        <f>IF(OR(F3235="",G3235=""),"",IF(G3235&lt;='RETRATO 2027'!$K$5,"CONCLUÍDA",IF(F3235&lt;='RETRATO 2027'!$K$5,"EM ANDAMENTO","A INICIAR")))</f>
        <v/>
      </c>
    </row>
    <row r="3236">
      <c r="M3236" s="2">
        <f>IF(C3236="","",IFERROR(INDEX($S$5:$S$304,MATCH(C3236,$R$5:$R$304,0))&amp;"","?"))</f>
        <v/>
      </c>
      <c r="N3236" s="2">
        <f>IF(E3236="","",IF(ISNUMBER(SEARCH("SUBSOLO",E3236)),IFERROR(-VALUE(LEFT(E3236,FIND("º",SUBSTITUTE(E3236,"°","º"))-1)),-1),IF(LEFT(E3236,6)="TÉRREO",0,IFERROR(VALUE(LEFT(E3236,FIND("º",SUBSTITUTE(E3236,"°","º"))-1)),""))))</f>
        <v/>
      </c>
      <c r="O3236" s="2">
        <f>IF(OR(F3236="",G3236=""),"",IF(G3236&lt;='RETRATO 2027'!$K$5,"CONCLUÍDA",IF(F3236&lt;='RETRATO 2027'!$K$5,"EM ANDAMENTO","A INICIAR")))</f>
        <v/>
      </c>
    </row>
    <row r="3237">
      <c r="M3237" s="2">
        <f>IF(C3237="","",IFERROR(INDEX($S$5:$S$304,MATCH(C3237,$R$5:$R$304,0))&amp;"","?"))</f>
        <v/>
      </c>
      <c r="N3237" s="2">
        <f>IF(E3237="","",IF(ISNUMBER(SEARCH("SUBSOLO",E3237)),IFERROR(-VALUE(LEFT(E3237,FIND("º",SUBSTITUTE(E3237,"°","º"))-1)),-1),IF(LEFT(E3237,6)="TÉRREO",0,IFERROR(VALUE(LEFT(E3237,FIND("º",SUBSTITUTE(E3237,"°","º"))-1)),""))))</f>
        <v/>
      </c>
      <c r="O3237" s="2">
        <f>IF(OR(F3237="",G3237=""),"",IF(G3237&lt;='RETRATO 2027'!$K$5,"CONCLUÍDA",IF(F3237&lt;='RETRATO 2027'!$K$5,"EM ANDAMENTO","A INICIAR")))</f>
        <v/>
      </c>
    </row>
    <row r="3238">
      <c r="M3238" s="2">
        <f>IF(C3238="","",IFERROR(INDEX($S$5:$S$304,MATCH(C3238,$R$5:$R$304,0))&amp;"","?"))</f>
        <v/>
      </c>
      <c r="N3238" s="2">
        <f>IF(E3238="","",IF(ISNUMBER(SEARCH("SUBSOLO",E3238)),IFERROR(-VALUE(LEFT(E3238,FIND("º",SUBSTITUTE(E3238,"°","º"))-1)),-1),IF(LEFT(E3238,6)="TÉRREO",0,IFERROR(VALUE(LEFT(E3238,FIND("º",SUBSTITUTE(E3238,"°","º"))-1)),""))))</f>
        <v/>
      </c>
      <c r="O3238" s="2">
        <f>IF(OR(F3238="",G3238=""),"",IF(G3238&lt;='RETRATO 2027'!$K$5,"CONCLUÍDA",IF(F3238&lt;='RETRATO 2027'!$K$5,"EM ANDAMENTO","A INICIAR")))</f>
        <v/>
      </c>
    </row>
    <row r="3239">
      <c r="M3239" s="2">
        <f>IF(C3239="","",IFERROR(INDEX($S$5:$S$304,MATCH(C3239,$R$5:$R$304,0))&amp;"","?"))</f>
        <v/>
      </c>
      <c r="N3239" s="2">
        <f>IF(E3239="","",IF(ISNUMBER(SEARCH("SUBSOLO",E3239)),IFERROR(-VALUE(LEFT(E3239,FIND("º",SUBSTITUTE(E3239,"°","º"))-1)),-1),IF(LEFT(E3239,6)="TÉRREO",0,IFERROR(VALUE(LEFT(E3239,FIND("º",SUBSTITUTE(E3239,"°","º"))-1)),""))))</f>
        <v/>
      </c>
      <c r="O3239" s="2">
        <f>IF(OR(F3239="",G3239=""),"",IF(G3239&lt;='RETRATO 2027'!$K$5,"CONCLUÍDA",IF(F3239&lt;='RETRATO 2027'!$K$5,"EM ANDAMENTO","A INICIAR")))</f>
        <v/>
      </c>
    </row>
    <row r="3240">
      <c r="M3240" s="2">
        <f>IF(C3240="","",IFERROR(INDEX($S$5:$S$304,MATCH(C3240,$R$5:$R$304,0))&amp;"","?"))</f>
        <v/>
      </c>
      <c r="N3240" s="2">
        <f>IF(E3240="","",IF(ISNUMBER(SEARCH("SUBSOLO",E3240)),IFERROR(-VALUE(LEFT(E3240,FIND("º",SUBSTITUTE(E3240,"°","º"))-1)),-1),IF(LEFT(E3240,6)="TÉRREO",0,IFERROR(VALUE(LEFT(E3240,FIND("º",SUBSTITUTE(E3240,"°","º"))-1)),""))))</f>
        <v/>
      </c>
      <c r="O3240" s="2">
        <f>IF(OR(F3240="",G3240=""),"",IF(G3240&lt;='RETRATO 2027'!$K$5,"CONCLUÍDA",IF(F3240&lt;='RETRATO 2027'!$K$5,"EM ANDAMENTO","A INICIAR")))</f>
        <v/>
      </c>
    </row>
    <row r="3241">
      <c r="M3241" s="2">
        <f>IF(C3241="","",IFERROR(INDEX($S$5:$S$304,MATCH(C3241,$R$5:$R$304,0))&amp;"","?"))</f>
        <v/>
      </c>
      <c r="N3241" s="2">
        <f>IF(E3241="","",IF(ISNUMBER(SEARCH("SUBSOLO",E3241)),IFERROR(-VALUE(LEFT(E3241,FIND("º",SUBSTITUTE(E3241,"°","º"))-1)),-1),IF(LEFT(E3241,6)="TÉRREO",0,IFERROR(VALUE(LEFT(E3241,FIND("º",SUBSTITUTE(E3241,"°","º"))-1)),""))))</f>
        <v/>
      </c>
      <c r="O3241" s="2">
        <f>IF(OR(F3241="",G3241=""),"",IF(G3241&lt;='RETRATO 2027'!$K$5,"CONCLUÍDA",IF(F3241&lt;='RETRATO 2027'!$K$5,"EM ANDAMENTO","A INICIAR")))</f>
        <v/>
      </c>
    </row>
    <row r="3242">
      <c r="M3242" s="2">
        <f>IF(C3242="","",IFERROR(INDEX($S$5:$S$304,MATCH(C3242,$R$5:$R$304,0))&amp;"","?"))</f>
        <v/>
      </c>
      <c r="N3242" s="2">
        <f>IF(E3242="","",IF(ISNUMBER(SEARCH("SUBSOLO",E3242)),IFERROR(-VALUE(LEFT(E3242,FIND("º",SUBSTITUTE(E3242,"°","º"))-1)),-1),IF(LEFT(E3242,6)="TÉRREO",0,IFERROR(VALUE(LEFT(E3242,FIND("º",SUBSTITUTE(E3242,"°","º"))-1)),""))))</f>
        <v/>
      </c>
      <c r="O3242" s="2">
        <f>IF(OR(F3242="",G3242=""),"",IF(G3242&lt;='RETRATO 2027'!$K$5,"CONCLUÍDA",IF(F3242&lt;='RETRATO 2027'!$K$5,"EM ANDAMENTO","A INICIAR")))</f>
        <v/>
      </c>
    </row>
    <row r="3243">
      <c r="M3243" s="2">
        <f>IF(C3243="","",IFERROR(INDEX($S$5:$S$304,MATCH(C3243,$R$5:$R$304,0))&amp;"","?"))</f>
        <v/>
      </c>
      <c r="N3243" s="2">
        <f>IF(E3243="","",IF(ISNUMBER(SEARCH("SUBSOLO",E3243)),IFERROR(-VALUE(LEFT(E3243,FIND("º",SUBSTITUTE(E3243,"°","º"))-1)),-1),IF(LEFT(E3243,6)="TÉRREO",0,IFERROR(VALUE(LEFT(E3243,FIND("º",SUBSTITUTE(E3243,"°","º"))-1)),""))))</f>
        <v/>
      </c>
      <c r="O3243" s="2">
        <f>IF(OR(F3243="",G3243=""),"",IF(G3243&lt;='RETRATO 2027'!$K$5,"CONCLUÍDA",IF(F3243&lt;='RETRATO 2027'!$K$5,"EM ANDAMENTO","A INICIAR")))</f>
        <v/>
      </c>
    </row>
    <row r="3244">
      <c r="M3244" s="2">
        <f>IF(C3244="","",IFERROR(INDEX($S$5:$S$304,MATCH(C3244,$R$5:$R$304,0))&amp;"","?"))</f>
        <v/>
      </c>
      <c r="N3244" s="2">
        <f>IF(E3244="","",IF(ISNUMBER(SEARCH("SUBSOLO",E3244)),IFERROR(-VALUE(LEFT(E3244,FIND("º",SUBSTITUTE(E3244,"°","º"))-1)),-1),IF(LEFT(E3244,6)="TÉRREO",0,IFERROR(VALUE(LEFT(E3244,FIND("º",SUBSTITUTE(E3244,"°","º"))-1)),""))))</f>
        <v/>
      </c>
      <c r="O3244" s="2">
        <f>IF(OR(F3244="",G3244=""),"",IF(G3244&lt;='RETRATO 2027'!$K$5,"CONCLUÍDA",IF(F3244&lt;='RETRATO 2027'!$K$5,"EM ANDAMENTO","A INICIAR")))</f>
        <v/>
      </c>
    </row>
    <row r="3245">
      <c r="M3245" s="2">
        <f>IF(C3245="","",IFERROR(INDEX($S$5:$S$304,MATCH(C3245,$R$5:$R$304,0))&amp;"","?"))</f>
        <v/>
      </c>
      <c r="N3245" s="2">
        <f>IF(E3245="","",IF(ISNUMBER(SEARCH("SUBSOLO",E3245)),IFERROR(-VALUE(LEFT(E3245,FIND("º",SUBSTITUTE(E3245,"°","º"))-1)),-1),IF(LEFT(E3245,6)="TÉRREO",0,IFERROR(VALUE(LEFT(E3245,FIND("º",SUBSTITUTE(E3245,"°","º"))-1)),""))))</f>
        <v/>
      </c>
      <c r="O3245" s="2">
        <f>IF(OR(F3245="",G3245=""),"",IF(G3245&lt;='RETRATO 2027'!$K$5,"CONCLUÍDA",IF(F3245&lt;='RETRATO 2027'!$K$5,"EM ANDAMENTO","A INICIAR")))</f>
        <v/>
      </c>
    </row>
    <row r="3246">
      <c r="M3246" s="2">
        <f>IF(C3246="","",IFERROR(INDEX($S$5:$S$304,MATCH(C3246,$R$5:$R$304,0))&amp;"","?"))</f>
        <v/>
      </c>
      <c r="N3246" s="2">
        <f>IF(E3246="","",IF(ISNUMBER(SEARCH("SUBSOLO",E3246)),IFERROR(-VALUE(LEFT(E3246,FIND("º",SUBSTITUTE(E3246,"°","º"))-1)),-1),IF(LEFT(E3246,6)="TÉRREO",0,IFERROR(VALUE(LEFT(E3246,FIND("º",SUBSTITUTE(E3246,"°","º"))-1)),""))))</f>
        <v/>
      </c>
      <c r="O3246" s="2">
        <f>IF(OR(F3246="",G3246=""),"",IF(G3246&lt;='RETRATO 2027'!$K$5,"CONCLUÍDA",IF(F3246&lt;='RETRATO 2027'!$K$5,"EM ANDAMENTO","A INICIAR")))</f>
        <v/>
      </c>
    </row>
    <row r="3247">
      <c r="M3247" s="2">
        <f>IF(C3247="","",IFERROR(INDEX($S$5:$S$304,MATCH(C3247,$R$5:$R$304,0))&amp;"","?"))</f>
        <v/>
      </c>
      <c r="N3247" s="2">
        <f>IF(E3247="","",IF(ISNUMBER(SEARCH("SUBSOLO",E3247)),IFERROR(-VALUE(LEFT(E3247,FIND("º",SUBSTITUTE(E3247,"°","º"))-1)),-1),IF(LEFT(E3247,6)="TÉRREO",0,IFERROR(VALUE(LEFT(E3247,FIND("º",SUBSTITUTE(E3247,"°","º"))-1)),""))))</f>
        <v/>
      </c>
      <c r="O3247" s="2">
        <f>IF(OR(F3247="",G3247=""),"",IF(G3247&lt;='RETRATO 2027'!$K$5,"CONCLUÍDA",IF(F3247&lt;='RETRATO 2027'!$K$5,"EM ANDAMENTO","A INICIAR")))</f>
        <v/>
      </c>
    </row>
    <row r="3248">
      <c r="M3248" s="2">
        <f>IF(C3248="","",IFERROR(INDEX($S$5:$S$304,MATCH(C3248,$R$5:$R$304,0))&amp;"","?"))</f>
        <v/>
      </c>
      <c r="N3248" s="2">
        <f>IF(E3248="","",IF(ISNUMBER(SEARCH("SUBSOLO",E3248)),IFERROR(-VALUE(LEFT(E3248,FIND("º",SUBSTITUTE(E3248,"°","º"))-1)),-1),IF(LEFT(E3248,6)="TÉRREO",0,IFERROR(VALUE(LEFT(E3248,FIND("º",SUBSTITUTE(E3248,"°","º"))-1)),""))))</f>
        <v/>
      </c>
      <c r="O3248" s="2">
        <f>IF(OR(F3248="",G3248=""),"",IF(G3248&lt;='RETRATO 2027'!$K$5,"CONCLUÍDA",IF(F3248&lt;='RETRATO 2027'!$K$5,"EM ANDAMENTO","A INICIAR")))</f>
        <v/>
      </c>
    </row>
    <row r="3249">
      <c r="M3249" s="2">
        <f>IF(C3249="","",IFERROR(INDEX($S$5:$S$304,MATCH(C3249,$R$5:$R$304,0))&amp;"","?"))</f>
        <v/>
      </c>
      <c r="N3249" s="2">
        <f>IF(E3249="","",IF(ISNUMBER(SEARCH("SUBSOLO",E3249)),IFERROR(-VALUE(LEFT(E3249,FIND("º",SUBSTITUTE(E3249,"°","º"))-1)),-1),IF(LEFT(E3249,6)="TÉRREO",0,IFERROR(VALUE(LEFT(E3249,FIND("º",SUBSTITUTE(E3249,"°","º"))-1)),""))))</f>
        <v/>
      </c>
      <c r="O3249" s="2">
        <f>IF(OR(F3249="",G3249=""),"",IF(G3249&lt;='RETRATO 2027'!$K$5,"CONCLUÍDA",IF(F3249&lt;='RETRATO 2027'!$K$5,"EM ANDAMENTO","A INICIAR")))</f>
        <v/>
      </c>
    </row>
    <row r="3250">
      <c r="M3250" s="2">
        <f>IF(C3250="","",IFERROR(INDEX($S$5:$S$304,MATCH(C3250,$R$5:$R$304,0))&amp;"","?"))</f>
        <v/>
      </c>
      <c r="N3250" s="2">
        <f>IF(E3250="","",IF(ISNUMBER(SEARCH("SUBSOLO",E3250)),IFERROR(-VALUE(LEFT(E3250,FIND("º",SUBSTITUTE(E3250,"°","º"))-1)),-1),IF(LEFT(E3250,6)="TÉRREO",0,IFERROR(VALUE(LEFT(E3250,FIND("º",SUBSTITUTE(E3250,"°","º"))-1)),""))))</f>
        <v/>
      </c>
      <c r="O3250" s="2">
        <f>IF(OR(F3250="",G3250=""),"",IF(G3250&lt;='RETRATO 2027'!$K$5,"CONCLUÍDA",IF(F3250&lt;='RETRATO 2027'!$K$5,"EM ANDAMENTO","A INICIAR")))</f>
        <v/>
      </c>
    </row>
    <row r="3251">
      <c r="M3251" s="2">
        <f>IF(C3251="","",IFERROR(INDEX($S$5:$S$304,MATCH(C3251,$R$5:$R$304,0))&amp;"","?"))</f>
        <v/>
      </c>
      <c r="N3251" s="2">
        <f>IF(E3251="","",IF(ISNUMBER(SEARCH("SUBSOLO",E3251)),IFERROR(-VALUE(LEFT(E3251,FIND("º",SUBSTITUTE(E3251,"°","º"))-1)),-1),IF(LEFT(E3251,6)="TÉRREO",0,IFERROR(VALUE(LEFT(E3251,FIND("º",SUBSTITUTE(E3251,"°","º"))-1)),""))))</f>
        <v/>
      </c>
      <c r="O3251" s="2">
        <f>IF(OR(F3251="",G3251=""),"",IF(G3251&lt;='RETRATO 2027'!$K$5,"CONCLUÍDA",IF(F3251&lt;='RETRATO 2027'!$K$5,"EM ANDAMENTO","A INICIAR")))</f>
        <v/>
      </c>
    </row>
    <row r="3252">
      <c r="M3252" s="2">
        <f>IF(C3252="","",IFERROR(INDEX($S$5:$S$304,MATCH(C3252,$R$5:$R$304,0))&amp;"","?"))</f>
        <v/>
      </c>
      <c r="N3252" s="2">
        <f>IF(E3252="","",IF(ISNUMBER(SEARCH("SUBSOLO",E3252)),IFERROR(-VALUE(LEFT(E3252,FIND("º",SUBSTITUTE(E3252,"°","º"))-1)),-1),IF(LEFT(E3252,6)="TÉRREO",0,IFERROR(VALUE(LEFT(E3252,FIND("º",SUBSTITUTE(E3252,"°","º"))-1)),""))))</f>
        <v/>
      </c>
      <c r="O3252" s="2">
        <f>IF(OR(F3252="",G3252=""),"",IF(G3252&lt;='RETRATO 2027'!$K$5,"CONCLUÍDA",IF(F3252&lt;='RETRATO 2027'!$K$5,"EM ANDAMENTO","A INICIAR")))</f>
        <v/>
      </c>
    </row>
    <row r="3253">
      <c r="M3253" s="2">
        <f>IF(C3253="","",IFERROR(INDEX($S$5:$S$304,MATCH(C3253,$R$5:$R$304,0))&amp;"","?"))</f>
        <v/>
      </c>
      <c r="N3253" s="2">
        <f>IF(E3253="","",IF(ISNUMBER(SEARCH("SUBSOLO",E3253)),IFERROR(-VALUE(LEFT(E3253,FIND("º",SUBSTITUTE(E3253,"°","º"))-1)),-1),IF(LEFT(E3253,6)="TÉRREO",0,IFERROR(VALUE(LEFT(E3253,FIND("º",SUBSTITUTE(E3253,"°","º"))-1)),""))))</f>
        <v/>
      </c>
      <c r="O3253" s="2">
        <f>IF(OR(F3253="",G3253=""),"",IF(G3253&lt;='RETRATO 2027'!$K$5,"CONCLUÍDA",IF(F3253&lt;='RETRATO 2027'!$K$5,"EM ANDAMENTO","A INICIAR")))</f>
        <v/>
      </c>
    </row>
    <row r="3254">
      <c r="M3254" s="2">
        <f>IF(C3254="","",IFERROR(INDEX($S$5:$S$304,MATCH(C3254,$R$5:$R$304,0))&amp;"","?"))</f>
        <v/>
      </c>
      <c r="N3254" s="2">
        <f>IF(E3254="","",IF(ISNUMBER(SEARCH("SUBSOLO",E3254)),IFERROR(-VALUE(LEFT(E3254,FIND("º",SUBSTITUTE(E3254,"°","º"))-1)),-1),IF(LEFT(E3254,6)="TÉRREO",0,IFERROR(VALUE(LEFT(E3254,FIND("º",SUBSTITUTE(E3254,"°","º"))-1)),""))))</f>
        <v/>
      </c>
      <c r="O3254" s="2">
        <f>IF(OR(F3254="",G3254=""),"",IF(G3254&lt;='RETRATO 2027'!$K$5,"CONCLUÍDA",IF(F3254&lt;='RETRATO 2027'!$K$5,"EM ANDAMENTO","A INICIAR")))</f>
        <v/>
      </c>
    </row>
    <row r="3255">
      <c r="M3255" s="2">
        <f>IF(C3255="","",IFERROR(INDEX($S$5:$S$304,MATCH(C3255,$R$5:$R$304,0))&amp;"","?"))</f>
        <v/>
      </c>
      <c r="N3255" s="2">
        <f>IF(E3255="","",IF(ISNUMBER(SEARCH("SUBSOLO",E3255)),IFERROR(-VALUE(LEFT(E3255,FIND("º",SUBSTITUTE(E3255,"°","º"))-1)),-1),IF(LEFT(E3255,6)="TÉRREO",0,IFERROR(VALUE(LEFT(E3255,FIND("º",SUBSTITUTE(E3255,"°","º"))-1)),""))))</f>
        <v/>
      </c>
      <c r="O3255" s="2">
        <f>IF(OR(F3255="",G3255=""),"",IF(G3255&lt;='RETRATO 2027'!$K$5,"CONCLUÍDA",IF(F3255&lt;='RETRATO 2027'!$K$5,"EM ANDAMENTO","A INICIAR")))</f>
        <v/>
      </c>
    </row>
    <row r="3256">
      <c r="M3256" s="2">
        <f>IF(C3256="","",IFERROR(INDEX($S$5:$S$304,MATCH(C3256,$R$5:$R$304,0))&amp;"","?"))</f>
        <v/>
      </c>
      <c r="N3256" s="2">
        <f>IF(E3256="","",IF(ISNUMBER(SEARCH("SUBSOLO",E3256)),IFERROR(-VALUE(LEFT(E3256,FIND("º",SUBSTITUTE(E3256,"°","º"))-1)),-1),IF(LEFT(E3256,6)="TÉRREO",0,IFERROR(VALUE(LEFT(E3256,FIND("º",SUBSTITUTE(E3256,"°","º"))-1)),""))))</f>
        <v/>
      </c>
      <c r="O3256" s="2">
        <f>IF(OR(F3256="",G3256=""),"",IF(G3256&lt;='RETRATO 2027'!$K$5,"CONCLUÍDA",IF(F3256&lt;='RETRATO 2027'!$K$5,"EM ANDAMENTO","A INICIAR")))</f>
        <v/>
      </c>
    </row>
    <row r="3257">
      <c r="M3257" s="2">
        <f>IF(C3257="","",IFERROR(INDEX($S$5:$S$304,MATCH(C3257,$R$5:$R$304,0))&amp;"","?"))</f>
        <v/>
      </c>
      <c r="N3257" s="2">
        <f>IF(E3257="","",IF(ISNUMBER(SEARCH("SUBSOLO",E3257)),IFERROR(-VALUE(LEFT(E3257,FIND("º",SUBSTITUTE(E3257,"°","º"))-1)),-1),IF(LEFT(E3257,6)="TÉRREO",0,IFERROR(VALUE(LEFT(E3257,FIND("º",SUBSTITUTE(E3257,"°","º"))-1)),""))))</f>
        <v/>
      </c>
      <c r="O3257" s="2">
        <f>IF(OR(F3257="",G3257=""),"",IF(G3257&lt;='RETRATO 2027'!$K$5,"CONCLUÍDA",IF(F3257&lt;='RETRATO 2027'!$K$5,"EM ANDAMENTO","A INICIAR")))</f>
        <v/>
      </c>
    </row>
    <row r="3258">
      <c r="M3258" s="2">
        <f>IF(C3258="","",IFERROR(INDEX($S$5:$S$304,MATCH(C3258,$R$5:$R$304,0))&amp;"","?"))</f>
        <v/>
      </c>
      <c r="N3258" s="2">
        <f>IF(E3258="","",IF(ISNUMBER(SEARCH("SUBSOLO",E3258)),IFERROR(-VALUE(LEFT(E3258,FIND("º",SUBSTITUTE(E3258,"°","º"))-1)),-1),IF(LEFT(E3258,6)="TÉRREO",0,IFERROR(VALUE(LEFT(E3258,FIND("º",SUBSTITUTE(E3258,"°","º"))-1)),""))))</f>
        <v/>
      </c>
      <c r="O3258" s="2">
        <f>IF(OR(F3258="",G3258=""),"",IF(G3258&lt;='RETRATO 2027'!$K$5,"CONCLUÍDA",IF(F3258&lt;='RETRATO 2027'!$K$5,"EM ANDAMENTO","A INICIAR")))</f>
        <v/>
      </c>
    </row>
    <row r="3259">
      <c r="M3259" s="2">
        <f>IF(C3259="","",IFERROR(INDEX($S$5:$S$304,MATCH(C3259,$R$5:$R$304,0))&amp;"","?"))</f>
        <v/>
      </c>
      <c r="N3259" s="2">
        <f>IF(E3259="","",IF(ISNUMBER(SEARCH("SUBSOLO",E3259)),IFERROR(-VALUE(LEFT(E3259,FIND("º",SUBSTITUTE(E3259,"°","º"))-1)),-1),IF(LEFT(E3259,6)="TÉRREO",0,IFERROR(VALUE(LEFT(E3259,FIND("º",SUBSTITUTE(E3259,"°","º"))-1)),""))))</f>
        <v/>
      </c>
      <c r="O3259" s="2">
        <f>IF(OR(F3259="",G3259=""),"",IF(G3259&lt;='RETRATO 2027'!$K$5,"CONCLUÍDA",IF(F3259&lt;='RETRATO 2027'!$K$5,"EM ANDAMENTO","A INICIAR")))</f>
        <v/>
      </c>
    </row>
    <row r="3260">
      <c r="M3260" s="2">
        <f>IF(C3260="","",IFERROR(INDEX($S$5:$S$304,MATCH(C3260,$R$5:$R$304,0))&amp;"","?"))</f>
        <v/>
      </c>
      <c r="N3260" s="2">
        <f>IF(E3260="","",IF(ISNUMBER(SEARCH("SUBSOLO",E3260)),IFERROR(-VALUE(LEFT(E3260,FIND("º",SUBSTITUTE(E3260,"°","º"))-1)),-1),IF(LEFT(E3260,6)="TÉRREO",0,IFERROR(VALUE(LEFT(E3260,FIND("º",SUBSTITUTE(E3260,"°","º"))-1)),""))))</f>
        <v/>
      </c>
      <c r="O3260" s="2">
        <f>IF(OR(F3260="",G3260=""),"",IF(G3260&lt;='RETRATO 2027'!$K$5,"CONCLUÍDA",IF(F3260&lt;='RETRATO 2027'!$K$5,"EM ANDAMENTO","A INICIAR")))</f>
        <v/>
      </c>
    </row>
    <row r="3261">
      <c r="M3261" s="2">
        <f>IF(C3261="","",IFERROR(INDEX($S$5:$S$304,MATCH(C3261,$R$5:$R$304,0))&amp;"","?"))</f>
        <v/>
      </c>
      <c r="N3261" s="2">
        <f>IF(E3261="","",IF(ISNUMBER(SEARCH("SUBSOLO",E3261)),IFERROR(-VALUE(LEFT(E3261,FIND("º",SUBSTITUTE(E3261,"°","º"))-1)),-1),IF(LEFT(E3261,6)="TÉRREO",0,IFERROR(VALUE(LEFT(E3261,FIND("º",SUBSTITUTE(E3261,"°","º"))-1)),""))))</f>
        <v/>
      </c>
      <c r="O3261" s="2">
        <f>IF(OR(F3261="",G3261=""),"",IF(G3261&lt;='RETRATO 2027'!$K$5,"CONCLUÍDA",IF(F3261&lt;='RETRATO 2027'!$K$5,"EM ANDAMENTO","A INICIAR")))</f>
        <v/>
      </c>
    </row>
    <row r="3262">
      <c r="M3262" s="2">
        <f>IF(C3262="","",IFERROR(INDEX($S$5:$S$304,MATCH(C3262,$R$5:$R$304,0))&amp;"","?"))</f>
        <v/>
      </c>
      <c r="N3262" s="2">
        <f>IF(E3262="","",IF(ISNUMBER(SEARCH("SUBSOLO",E3262)),IFERROR(-VALUE(LEFT(E3262,FIND("º",SUBSTITUTE(E3262,"°","º"))-1)),-1),IF(LEFT(E3262,6)="TÉRREO",0,IFERROR(VALUE(LEFT(E3262,FIND("º",SUBSTITUTE(E3262,"°","º"))-1)),""))))</f>
        <v/>
      </c>
      <c r="O3262" s="2">
        <f>IF(OR(F3262="",G3262=""),"",IF(G3262&lt;='RETRATO 2027'!$K$5,"CONCLUÍDA",IF(F3262&lt;='RETRATO 2027'!$K$5,"EM ANDAMENTO","A INICIAR")))</f>
        <v/>
      </c>
    </row>
    <row r="3263">
      <c r="M3263" s="2">
        <f>IF(C3263="","",IFERROR(INDEX($S$5:$S$304,MATCH(C3263,$R$5:$R$304,0))&amp;"","?"))</f>
        <v/>
      </c>
      <c r="N3263" s="2">
        <f>IF(E3263="","",IF(ISNUMBER(SEARCH("SUBSOLO",E3263)),IFERROR(-VALUE(LEFT(E3263,FIND("º",SUBSTITUTE(E3263,"°","º"))-1)),-1),IF(LEFT(E3263,6)="TÉRREO",0,IFERROR(VALUE(LEFT(E3263,FIND("º",SUBSTITUTE(E3263,"°","º"))-1)),""))))</f>
        <v/>
      </c>
      <c r="O3263" s="2">
        <f>IF(OR(F3263="",G3263=""),"",IF(G3263&lt;='RETRATO 2027'!$K$5,"CONCLUÍDA",IF(F3263&lt;='RETRATO 2027'!$K$5,"EM ANDAMENTO","A INICIAR")))</f>
        <v/>
      </c>
    </row>
    <row r="3264">
      <c r="M3264" s="2">
        <f>IF(C3264="","",IFERROR(INDEX($S$5:$S$304,MATCH(C3264,$R$5:$R$304,0))&amp;"","?"))</f>
        <v/>
      </c>
      <c r="N3264" s="2">
        <f>IF(E3264="","",IF(ISNUMBER(SEARCH("SUBSOLO",E3264)),IFERROR(-VALUE(LEFT(E3264,FIND("º",SUBSTITUTE(E3264,"°","º"))-1)),-1),IF(LEFT(E3264,6)="TÉRREO",0,IFERROR(VALUE(LEFT(E3264,FIND("º",SUBSTITUTE(E3264,"°","º"))-1)),""))))</f>
        <v/>
      </c>
      <c r="O3264" s="2">
        <f>IF(OR(F3264="",G3264=""),"",IF(G3264&lt;='RETRATO 2027'!$K$5,"CONCLUÍDA",IF(F3264&lt;='RETRATO 2027'!$K$5,"EM ANDAMENTO","A INICIAR")))</f>
        <v/>
      </c>
    </row>
    <row r="3265">
      <c r="M3265" s="2">
        <f>IF(C3265="","",IFERROR(INDEX($S$5:$S$304,MATCH(C3265,$R$5:$R$304,0))&amp;"","?"))</f>
        <v/>
      </c>
      <c r="N3265" s="2">
        <f>IF(E3265="","",IF(ISNUMBER(SEARCH("SUBSOLO",E3265)),IFERROR(-VALUE(LEFT(E3265,FIND("º",SUBSTITUTE(E3265,"°","º"))-1)),-1),IF(LEFT(E3265,6)="TÉRREO",0,IFERROR(VALUE(LEFT(E3265,FIND("º",SUBSTITUTE(E3265,"°","º"))-1)),""))))</f>
        <v/>
      </c>
      <c r="O3265" s="2">
        <f>IF(OR(F3265="",G3265=""),"",IF(G3265&lt;='RETRATO 2027'!$K$5,"CONCLUÍDA",IF(F3265&lt;='RETRATO 2027'!$K$5,"EM ANDAMENTO","A INICIAR")))</f>
        <v/>
      </c>
    </row>
    <row r="3266">
      <c r="M3266" s="2">
        <f>IF(C3266="","",IFERROR(INDEX($S$5:$S$304,MATCH(C3266,$R$5:$R$304,0))&amp;"","?"))</f>
        <v/>
      </c>
      <c r="N3266" s="2">
        <f>IF(E3266="","",IF(ISNUMBER(SEARCH("SUBSOLO",E3266)),IFERROR(-VALUE(LEFT(E3266,FIND("º",SUBSTITUTE(E3266,"°","º"))-1)),-1),IF(LEFT(E3266,6)="TÉRREO",0,IFERROR(VALUE(LEFT(E3266,FIND("º",SUBSTITUTE(E3266,"°","º"))-1)),""))))</f>
        <v/>
      </c>
      <c r="O3266" s="2">
        <f>IF(OR(F3266="",G3266=""),"",IF(G3266&lt;='RETRATO 2027'!$K$5,"CONCLUÍDA",IF(F3266&lt;='RETRATO 2027'!$K$5,"EM ANDAMENTO","A INICIAR")))</f>
        <v/>
      </c>
    </row>
    <row r="3267">
      <c r="M3267" s="2">
        <f>IF(C3267="","",IFERROR(INDEX($S$5:$S$304,MATCH(C3267,$R$5:$R$304,0))&amp;"","?"))</f>
        <v/>
      </c>
      <c r="N3267" s="2">
        <f>IF(E3267="","",IF(ISNUMBER(SEARCH("SUBSOLO",E3267)),IFERROR(-VALUE(LEFT(E3267,FIND("º",SUBSTITUTE(E3267,"°","º"))-1)),-1),IF(LEFT(E3267,6)="TÉRREO",0,IFERROR(VALUE(LEFT(E3267,FIND("º",SUBSTITUTE(E3267,"°","º"))-1)),""))))</f>
        <v/>
      </c>
      <c r="O3267" s="2">
        <f>IF(OR(F3267="",G3267=""),"",IF(G3267&lt;='RETRATO 2027'!$K$5,"CONCLUÍDA",IF(F3267&lt;='RETRATO 2027'!$K$5,"EM ANDAMENTO","A INICIAR")))</f>
        <v/>
      </c>
    </row>
    <row r="3268">
      <c r="M3268" s="2">
        <f>IF(C3268="","",IFERROR(INDEX($S$5:$S$304,MATCH(C3268,$R$5:$R$304,0))&amp;"","?"))</f>
        <v/>
      </c>
      <c r="N3268" s="2">
        <f>IF(E3268="","",IF(ISNUMBER(SEARCH("SUBSOLO",E3268)),IFERROR(-VALUE(LEFT(E3268,FIND("º",SUBSTITUTE(E3268,"°","º"))-1)),-1),IF(LEFT(E3268,6)="TÉRREO",0,IFERROR(VALUE(LEFT(E3268,FIND("º",SUBSTITUTE(E3268,"°","º"))-1)),""))))</f>
        <v/>
      </c>
      <c r="O3268" s="2">
        <f>IF(OR(F3268="",G3268=""),"",IF(G3268&lt;='RETRATO 2027'!$K$5,"CONCLUÍDA",IF(F3268&lt;='RETRATO 2027'!$K$5,"EM ANDAMENTO","A INICIAR")))</f>
        <v/>
      </c>
    </row>
    <row r="3269">
      <c r="M3269" s="2">
        <f>IF(C3269="","",IFERROR(INDEX($S$5:$S$304,MATCH(C3269,$R$5:$R$304,0))&amp;"","?"))</f>
        <v/>
      </c>
      <c r="N3269" s="2">
        <f>IF(E3269="","",IF(ISNUMBER(SEARCH("SUBSOLO",E3269)),IFERROR(-VALUE(LEFT(E3269,FIND("º",SUBSTITUTE(E3269,"°","º"))-1)),-1),IF(LEFT(E3269,6)="TÉRREO",0,IFERROR(VALUE(LEFT(E3269,FIND("º",SUBSTITUTE(E3269,"°","º"))-1)),""))))</f>
        <v/>
      </c>
      <c r="O3269" s="2">
        <f>IF(OR(F3269="",G3269=""),"",IF(G3269&lt;='RETRATO 2027'!$K$5,"CONCLUÍDA",IF(F3269&lt;='RETRATO 2027'!$K$5,"EM ANDAMENTO","A INICIAR")))</f>
        <v/>
      </c>
    </row>
    <row r="3270">
      <c r="M3270" s="2">
        <f>IF(C3270="","",IFERROR(INDEX($S$5:$S$304,MATCH(C3270,$R$5:$R$304,0))&amp;"","?"))</f>
        <v/>
      </c>
      <c r="N3270" s="2">
        <f>IF(E3270="","",IF(ISNUMBER(SEARCH("SUBSOLO",E3270)),IFERROR(-VALUE(LEFT(E3270,FIND("º",SUBSTITUTE(E3270,"°","º"))-1)),-1),IF(LEFT(E3270,6)="TÉRREO",0,IFERROR(VALUE(LEFT(E3270,FIND("º",SUBSTITUTE(E3270,"°","º"))-1)),""))))</f>
        <v/>
      </c>
      <c r="O3270" s="2">
        <f>IF(OR(F3270="",G3270=""),"",IF(G3270&lt;='RETRATO 2027'!$K$5,"CONCLUÍDA",IF(F3270&lt;='RETRATO 2027'!$K$5,"EM ANDAMENTO","A INICIAR")))</f>
        <v/>
      </c>
    </row>
    <row r="3271">
      <c r="M3271" s="2">
        <f>IF(C3271="","",IFERROR(INDEX($S$5:$S$304,MATCH(C3271,$R$5:$R$304,0))&amp;"","?"))</f>
        <v/>
      </c>
      <c r="N3271" s="2">
        <f>IF(E3271="","",IF(ISNUMBER(SEARCH("SUBSOLO",E3271)),IFERROR(-VALUE(LEFT(E3271,FIND("º",SUBSTITUTE(E3271,"°","º"))-1)),-1),IF(LEFT(E3271,6)="TÉRREO",0,IFERROR(VALUE(LEFT(E3271,FIND("º",SUBSTITUTE(E3271,"°","º"))-1)),""))))</f>
        <v/>
      </c>
      <c r="O3271" s="2">
        <f>IF(OR(F3271="",G3271=""),"",IF(G3271&lt;='RETRATO 2027'!$K$5,"CONCLUÍDA",IF(F3271&lt;='RETRATO 2027'!$K$5,"EM ANDAMENTO","A INICIAR")))</f>
        <v/>
      </c>
    </row>
    <row r="3272">
      <c r="M3272" s="2">
        <f>IF(C3272="","",IFERROR(INDEX($S$5:$S$304,MATCH(C3272,$R$5:$R$304,0))&amp;"","?"))</f>
        <v/>
      </c>
      <c r="N3272" s="2">
        <f>IF(E3272="","",IF(ISNUMBER(SEARCH("SUBSOLO",E3272)),IFERROR(-VALUE(LEFT(E3272,FIND("º",SUBSTITUTE(E3272,"°","º"))-1)),-1),IF(LEFT(E3272,6)="TÉRREO",0,IFERROR(VALUE(LEFT(E3272,FIND("º",SUBSTITUTE(E3272,"°","º"))-1)),""))))</f>
        <v/>
      </c>
      <c r="O3272" s="2">
        <f>IF(OR(F3272="",G3272=""),"",IF(G3272&lt;='RETRATO 2027'!$K$5,"CONCLUÍDA",IF(F3272&lt;='RETRATO 2027'!$K$5,"EM ANDAMENTO","A INICIAR")))</f>
        <v/>
      </c>
    </row>
    <row r="3273">
      <c r="M3273" s="2">
        <f>IF(C3273="","",IFERROR(INDEX($S$5:$S$304,MATCH(C3273,$R$5:$R$304,0))&amp;"","?"))</f>
        <v/>
      </c>
      <c r="N3273" s="2">
        <f>IF(E3273="","",IF(ISNUMBER(SEARCH("SUBSOLO",E3273)),IFERROR(-VALUE(LEFT(E3273,FIND("º",SUBSTITUTE(E3273,"°","º"))-1)),-1),IF(LEFT(E3273,6)="TÉRREO",0,IFERROR(VALUE(LEFT(E3273,FIND("º",SUBSTITUTE(E3273,"°","º"))-1)),""))))</f>
        <v/>
      </c>
      <c r="O3273" s="2">
        <f>IF(OR(F3273="",G3273=""),"",IF(G3273&lt;='RETRATO 2027'!$K$5,"CONCLUÍDA",IF(F3273&lt;='RETRATO 2027'!$K$5,"EM ANDAMENTO","A INICIAR")))</f>
        <v/>
      </c>
    </row>
    <row r="3274">
      <c r="M3274" s="2">
        <f>IF(C3274="","",IFERROR(INDEX($S$5:$S$304,MATCH(C3274,$R$5:$R$304,0))&amp;"","?"))</f>
        <v/>
      </c>
      <c r="N3274" s="2">
        <f>IF(E3274="","",IF(ISNUMBER(SEARCH("SUBSOLO",E3274)),IFERROR(-VALUE(LEFT(E3274,FIND("º",SUBSTITUTE(E3274,"°","º"))-1)),-1),IF(LEFT(E3274,6)="TÉRREO",0,IFERROR(VALUE(LEFT(E3274,FIND("º",SUBSTITUTE(E3274,"°","º"))-1)),""))))</f>
        <v/>
      </c>
      <c r="O3274" s="2">
        <f>IF(OR(F3274="",G3274=""),"",IF(G3274&lt;='RETRATO 2027'!$K$5,"CONCLUÍDA",IF(F3274&lt;='RETRATO 2027'!$K$5,"EM ANDAMENTO","A INICIAR")))</f>
        <v/>
      </c>
    </row>
    <row r="3275">
      <c r="M3275" s="2">
        <f>IF(C3275="","",IFERROR(INDEX($S$5:$S$304,MATCH(C3275,$R$5:$R$304,0))&amp;"","?"))</f>
        <v/>
      </c>
      <c r="N3275" s="2">
        <f>IF(E3275="","",IF(ISNUMBER(SEARCH("SUBSOLO",E3275)),IFERROR(-VALUE(LEFT(E3275,FIND("º",SUBSTITUTE(E3275,"°","º"))-1)),-1),IF(LEFT(E3275,6)="TÉRREO",0,IFERROR(VALUE(LEFT(E3275,FIND("º",SUBSTITUTE(E3275,"°","º"))-1)),""))))</f>
        <v/>
      </c>
      <c r="O3275" s="2">
        <f>IF(OR(F3275="",G3275=""),"",IF(G3275&lt;='RETRATO 2027'!$K$5,"CONCLUÍDA",IF(F3275&lt;='RETRATO 2027'!$K$5,"EM ANDAMENTO","A INICIAR")))</f>
        <v/>
      </c>
    </row>
    <row r="3276">
      <c r="M3276" s="2">
        <f>IF(C3276="","",IFERROR(INDEX($S$5:$S$304,MATCH(C3276,$R$5:$R$304,0))&amp;"","?"))</f>
        <v/>
      </c>
      <c r="N3276" s="2">
        <f>IF(E3276="","",IF(ISNUMBER(SEARCH("SUBSOLO",E3276)),IFERROR(-VALUE(LEFT(E3276,FIND("º",SUBSTITUTE(E3276,"°","º"))-1)),-1),IF(LEFT(E3276,6)="TÉRREO",0,IFERROR(VALUE(LEFT(E3276,FIND("º",SUBSTITUTE(E3276,"°","º"))-1)),""))))</f>
        <v/>
      </c>
      <c r="O3276" s="2">
        <f>IF(OR(F3276="",G3276=""),"",IF(G3276&lt;='RETRATO 2027'!$K$5,"CONCLUÍDA",IF(F3276&lt;='RETRATO 2027'!$K$5,"EM ANDAMENTO","A INICIAR")))</f>
        <v/>
      </c>
    </row>
    <row r="3277">
      <c r="M3277" s="2">
        <f>IF(C3277="","",IFERROR(INDEX($S$5:$S$304,MATCH(C3277,$R$5:$R$304,0))&amp;"","?"))</f>
        <v/>
      </c>
      <c r="N3277" s="2">
        <f>IF(E3277="","",IF(ISNUMBER(SEARCH("SUBSOLO",E3277)),IFERROR(-VALUE(LEFT(E3277,FIND("º",SUBSTITUTE(E3277,"°","º"))-1)),-1),IF(LEFT(E3277,6)="TÉRREO",0,IFERROR(VALUE(LEFT(E3277,FIND("º",SUBSTITUTE(E3277,"°","º"))-1)),""))))</f>
        <v/>
      </c>
      <c r="O3277" s="2">
        <f>IF(OR(F3277="",G3277=""),"",IF(G3277&lt;='RETRATO 2027'!$K$5,"CONCLUÍDA",IF(F3277&lt;='RETRATO 2027'!$K$5,"EM ANDAMENTO","A INICIAR")))</f>
        <v/>
      </c>
    </row>
    <row r="3278">
      <c r="M3278" s="2">
        <f>IF(C3278="","",IFERROR(INDEX($S$5:$S$304,MATCH(C3278,$R$5:$R$304,0))&amp;"","?"))</f>
        <v/>
      </c>
      <c r="N3278" s="2">
        <f>IF(E3278="","",IF(ISNUMBER(SEARCH("SUBSOLO",E3278)),IFERROR(-VALUE(LEFT(E3278,FIND("º",SUBSTITUTE(E3278,"°","º"))-1)),-1),IF(LEFT(E3278,6)="TÉRREO",0,IFERROR(VALUE(LEFT(E3278,FIND("º",SUBSTITUTE(E3278,"°","º"))-1)),""))))</f>
        <v/>
      </c>
      <c r="O3278" s="2">
        <f>IF(OR(F3278="",G3278=""),"",IF(G3278&lt;='RETRATO 2027'!$K$5,"CONCLUÍDA",IF(F3278&lt;='RETRATO 2027'!$K$5,"EM ANDAMENTO","A INICIAR")))</f>
        <v/>
      </c>
    </row>
    <row r="3279">
      <c r="M3279" s="2">
        <f>IF(C3279="","",IFERROR(INDEX($S$5:$S$304,MATCH(C3279,$R$5:$R$304,0))&amp;"","?"))</f>
        <v/>
      </c>
      <c r="N3279" s="2">
        <f>IF(E3279="","",IF(ISNUMBER(SEARCH("SUBSOLO",E3279)),IFERROR(-VALUE(LEFT(E3279,FIND("º",SUBSTITUTE(E3279,"°","º"))-1)),-1),IF(LEFT(E3279,6)="TÉRREO",0,IFERROR(VALUE(LEFT(E3279,FIND("º",SUBSTITUTE(E3279,"°","º"))-1)),""))))</f>
        <v/>
      </c>
      <c r="O3279" s="2">
        <f>IF(OR(F3279="",G3279=""),"",IF(G3279&lt;='RETRATO 2027'!$K$5,"CONCLUÍDA",IF(F3279&lt;='RETRATO 2027'!$K$5,"EM ANDAMENTO","A INICIAR")))</f>
        <v/>
      </c>
    </row>
    <row r="3280">
      <c r="M3280" s="2">
        <f>IF(C3280="","",IFERROR(INDEX($S$5:$S$304,MATCH(C3280,$R$5:$R$304,0))&amp;"","?"))</f>
        <v/>
      </c>
      <c r="N3280" s="2">
        <f>IF(E3280="","",IF(ISNUMBER(SEARCH("SUBSOLO",E3280)),IFERROR(-VALUE(LEFT(E3280,FIND("º",SUBSTITUTE(E3280,"°","º"))-1)),-1),IF(LEFT(E3280,6)="TÉRREO",0,IFERROR(VALUE(LEFT(E3280,FIND("º",SUBSTITUTE(E3280,"°","º"))-1)),""))))</f>
        <v/>
      </c>
      <c r="O3280" s="2">
        <f>IF(OR(F3280="",G3280=""),"",IF(G3280&lt;='RETRATO 2027'!$K$5,"CONCLUÍDA",IF(F3280&lt;='RETRATO 2027'!$K$5,"EM ANDAMENTO","A INICIAR")))</f>
        <v/>
      </c>
    </row>
    <row r="3281">
      <c r="M3281" s="2">
        <f>IF(C3281="","",IFERROR(INDEX($S$5:$S$304,MATCH(C3281,$R$5:$R$304,0))&amp;"","?"))</f>
        <v/>
      </c>
      <c r="N3281" s="2">
        <f>IF(E3281="","",IF(ISNUMBER(SEARCH("SUBSOLO",E3281)),IFERROR(-VALUE(LEFT(E3281,FIND("º",SUBSTITUTE(E3281,"°","º"))-1)),-1),IF(LEFT(E3281,6)="TÉRREO",0,IFERROR(VALUE(LEFT(E3281,FIND("º",SUBSTITUTE(E3281,"°","º"))-1)),""))))</f>
        <v/>
      </c>
      <c r="O3281" s="2">
        <f>IF(OR(F3281="",G3281=""),"",IF(G3281&lt;='RETRATO 2027'!$K$5,"CONCLUÍDA",IF(F3281&lt;='RETRATO 2027'!$K$5,"EM ANDAMENTO","A INICIAR")))</f>
        <v/>
      </c>
    </row>
    <row r="3282">
      <c r="M3282" s="2">
        <f>IF(C3282="","",IFERROR(INDEX($S$5:$S$304,MATCH(C3282,$R$5:$R$304,0))&amp;"","?"))</f>
        <v/>
      </c>
      <c r="N3282" s="2">
        <f>IF(E3282="","",IF(ISNUMBER(SEARCH("SUBSOLO",E3282)),IFERROR(-VALUE(LEFT(E3282,FIND("º",SUBSTITUTE(E3282,"°","º"))-1)),-1),IF(LEFT(E3282,6)="TÉRREO",0,IFERROR(VALUE(LEFT(E3282,FIND("º",SUBSTITUTE(E3282,"°","º"))-1)),""))))</f>
        <v/>
      </c>
      <c r="O3282" s="2">
        <f>IF(OR(F3282="",G3282=""),"",IF(G3282&lt;='RETRATO 2027'!$K$5,"CONCLUÍDA",IF(F3282&lt;='RETRATO 2027'!$K$5,"EM ANDAMENTO","A INICIAR")))</f>
        <v/>
      </c>
    </row>
    <row r="3283">
      <c r="M3283" s="2">
        <f>IF(C3283="","",IFERROR(INDEX($S$5:$S$304,MATCH(C3283,$R$5:$R$304,0))&amp;"","?"))</f>
        <v/>
      </c>
      <c r="N3283" s="2">
        <f>IF(E3283="","",IF(ISNUMBER(SEARCH("SUBSOLO",E3283)),IFERROR(-VALUE(LEFT(E3283,FIND("º",SUBSTITUTE(E3283,"°","º"))-1)),-1),IF(LEFT(E3283,6)="TÉRREO",0,IFERROR(VALUE(LEFT(E3283,FIND("º",SUBSTITUTE(E3283,"°","º"))-1)),""))))</f>
        <v/>
      </c>
      <c r="O3283" s="2">
        <f>IF(OR(F3283="",G3283=""),"",IF(G3283&lt;='RETRATO 2027'!$K$5,"CONCLUÍDA",IF(F3283&lt;='RETRATO 2027'!$K$5,"EM ANDAMENTO","A INICIAR")))</f>
        <v/>
      </c>
    </row>
    <row r="3284">
      <c r="M3284" s="2">
        <f>IF(C3284="","",IFERROR(INDEX($S$5:$S$304,MATCH(C3284,$R$5:$R$304,0))&amp;"","?"))</f>
        <v/>
      </c>
      <c r="N3284" s="2">
        <f>IF(E3284="","",IF(ISNUMBER(SEARCH("SUBSOLO",E3284)),IFERROR(-VALUE(LEFT(E3284,FIND("º",SUBSTITUTE(E3284,"°","º"))-1)),-1),IF(LEFT(E3284,6)="TÉRREO",0,IFERROR(VALUE(LEFT(E3284,FIND("º",SUBSTITUTE(E3284,"°","º"))-1)),""))))</f>
        <v/>
      </c>
      <c r="O3284" s="2">
        <f>IF(OR(F3284="",G3284=""),"",IF(G3284&lt;='RETRATO 2027'!$K$5,"CONCLUÍDA",IF(F3284&lt;='RETRATO 2027'!$K$5,"EM ANDAMENTO","A INICIAR")))</f>
        <v/>
      </c>
    </row>
    <row r="3285">
      <c r="M3285" s="2">
        <f>IF(C3285="","",IFERROR(INDEX($S$5:$S$304,MATCH(C3285,$R$5:$R$304,0))&amp;"","?"))</f>
        <v/>
      </c>
      <c r="N3285" s="2">
        <f>IF(E3285="","",IF(ISNUMBER(SEARCH("SUBSOLO",E3285)),IFERROR(-VALUE(LEFT(E3285,FIND("º",SUBSTITUTE(E3285,"°","º"))-1)),-1),IF(LEFT(E3285,6)="TÉRREO",0,IFERROR(VALUE(LEFT(E3285,FIND("º",SUBSTITUTE(E3285,"°","º"))-1)),""))))</f>
        <v/>
      </c>
      <c r="O3285" s="2">
        <f>IF(OR(F3285="",G3285=""),"",IF(G3285&lt;='RETRATO 2027'!$K$5,"CONCLUÍDA",IF(F3285&lt;='RETRATO 2027'!$K$5,"EM ANDAMENTO","A INICIAR")))</f>
        <v/>
      </c>
    </row>
    <row r="3286">
      <c r="M3286" s="2">
        <f>IF(C3286="","",IFERROR(INDEX($S$5:$S$304,MATCH(C3286,$R$5:$R$304,0))&amp;"","?"))</f>
        <v/>
      </c>
      <c r="N3286" s="2">
        <f>IF(E3286="","",IF(ISNUMBER(SEARCH("SUBSOLO",E3286)),IFERROR(-VALUE(LEFT(E3286,FIND("º",SUBSTITUTE(E3286,"°","º"))-1)),-1),IF(LEFT(E3286,6)="TÉRREO",0,IFERROR(VALUE(LEFT(E3286,FIND("º",SUBSTITUTE(E3286,"°","º"))-1)),""))))</f>
        <v/>
      </c>
      <c r="O3286" s="2">
        <f>IF(OR(F3286="",G3286=""),"",IF(G3286&lt;='RETRATO 2027'!$K$5,"CONCLUÍDA",IF(F3286&lt;='RETRATO 2027'!$K$5,"EM ANDAMENTO","A INICIAR")))</f>
        <v/>
      </c>
    </row>
    <row r="3287">
      <c r="M3287" s="2">
        <f>IF(C3287="","",IFERROR(INDEX($S$5:$S$304,MATCH(C3287,$R$5:$R$304,0))&amp;"","?"))</f>
        <v/>
      </c>
      <c r="N3287" s="2">
        <f>IF(E3287="","",IF(ISNUMBER(SEARCH("SUBSOLO",E3287)),IFERROR(-VALUE(LEFT(E3287,FIND("º",SUBSTITUTE(E3287,"°","º"))-1)),-1),IF(LEFT(E3287,6)="TÉRREO",0,IFERROR(VALUE(LEFT(E3287,FIND("º",SUBSTITUTE(E3287,"°","º"))-1)),""))))</f>
        <v/>
      </c>
      <c r="O3287" s="2">
        <f>IF(OR(F3287="",G3287=""),"",IF(G3287&lt;='RETRATO 2027'!$K$5,"CONCLUÍDA",IF(F3287&lt;='RETRATO 2027'!$K$5,"EM ANDAMENTO","A INICIAR")))</f>
        <v/>
      </c>
    </row>
    <row r="3288">
      <c r="M3288" s="2">
        <f>IF(C3288="","",IFERROR(INDEX($S$5:$S$304,MATCH(C3288,$R$5:$R$304,0))&amp;"","?"))</f>
        <v/>
      </c>
      <c r="N3288" s="2">
        <f>IF(E3288="","",IF(ISNUMBER(SEARCH("SUBSOLO",E3288)),IFERROR(-VALUE(LEFT(E3288,FIND("º",SUBSTITUTE(E3288,"°","º"))-1)),-1),IF(LEFT(E3288,6)="TÉRREO",0,IFERROR(VALUE(LEFT(E3288,FIND("º",SUBSTITUTE(E3288,"°","º"))-1)),""))))</f>
        <v/>
      </c>
      <c r="O3288" s="2">
        <f>IF(OR(F3288="",G3288=""),"",IF(G3288&lt;='RETRATO 2027'!$K$5,"CONCLUÍDA",IF(F3288&lt;='RETRATO 2027'!$K$5,"EM ANDAMENTO","A INICIAR")))</f>
        <v/>
      </c>
    </row>
    <row r="3289">
      <c r="M3289" s="2">
        <f>IF(C3289="","",IFERROR(INDEX($S$5:$S$304,MATCH(C3289,$R$5:$R$304,0))&amp;"","?"))</f>
        <v/>
      </c>
      <c r="N3289" s="2">
        <f>IF(E3289="","",IF(ISNUMBER(SEARCH("SUBSOLO",E3289)),IFERROR(-VALUE(LEFT(E3289,FIND("º",SUBSTITUTE(E3289,"°","º"))-1)),-1),IF(LEFT(E3289,6)="TÉRREO",0,IFERROR(VALUE(LEFT(E3289,FIND("º",SUBSTITUTE(E3289,"°","º"))-1)),""))))</f>
        <v/>
      </c>
      <c r="O3289" s="2">
        <f>IF(OR(F3289="",G3289=""),"",IF(G3289&lt;='RETRATO 2027'!$K$5,"CONCLUÍDA",IF(F3289&lt;='RETRATO 2027'!$K$5,"EM ANDAMENTO","A INICIAR")))</f>
        <v/>
      </c>
    </row>
    <row r="3290">
      <c r="M3290" s="2">
        <f>IF(C3290="","",IFERROR(INDEX($S$5:$S$304,MATCH(C3290,$R$5:$R$304,0))&amp;"","?"))</f>
        <v/>
      </c>
      <c r="N3290" s="2">
        <f>IF(E3290="","",IF(ISNUMBER(SEARCH("SUBSOLO",E3290)),IFERROR(-VALUE(LEFT(E3290,FIND("º",SUBSTITUTE(E3290,"°","º"))-1)),-1),IF(LEFT(E3290,6)="TÉRREO",0,IFERROR(VALUE(LEFT(E3290,FIND("º",SUBSTITUTE(E3290,"°","º"))-1)),""))))</f>
        <v/>
      </c>
      <c r="O3290" s="2">
        <f>IF(OR(F3290="",G3290=""),"",IF(G3290&lt;='RETRATO 2027'!$K$5,"CONCLUÍDA",IF(F3290&lt;='RETRATO 2027'!$K$5,"EM ANDAMENTO","A INICIAR")))</f>
        <v/>
      </c>
    </row>
    <row r="3291">
      <c r="M3291" s="2">
        <f>IF(C3291="","",IFERROR(INDEX($S$5:$S$304,MATCH(C3291,$R$5:$R$304,0))&amp;"","?"))</f>
        <v/>
      </c>
      <c r="N3291" s="2">
        <f>IF(E3291="","",IF(ISNUMBER(SEARCH("SUBSOLO",E3291)),IFERROR(-VALUE(LEFT(E3291,FIND("º",SUBSTITUTE(E3291,"°","º"))-1)),-1),IF(LEFT(E3291,6)="TÉRREO",0,IFERROR(VALUE(LEFT(E3291,FIND("º",SUBSTITUTE(E3291,"°","º"))-1)),""))))</f>
        <v/>
      </c>
      <c r="O3291" s="2">
        <f>IF(OR(F3291="",G3291=""),"",IF(G3291&lt;='RETRATO 2027'!$K$5,"CONCLUÍDA",IF(F3291&lt;='RETRATO 2027'!$K$5,"EM ANDAMENTO","A INICIAR")))</f>
        <v/>
      </c>
    </row>
    <row r="3292">
      <c r="M3292" s="2">
        <f>IF(C3292="","",IFERROR(INDEX($S$5:$S$304,MATCH(C3292,$R$5:$R$304,0))&amp;"","?"))</f>
        <v/>
      </c>
      <c r="N3292" s="2">
        <f>IF(E3292="","",IF(ISNUMBER(SEARCH("SUBSOLO",E3292)),IFERROR(-VALUE(LEFT(E3292,FIND("º",SUBSTITUTE(E3292,"°","º"))-1)),-1),IF(LEFT(E3292,6)="TÉRREO",0,IFERROR(VALUE(LEFT(E3292,FIND("º",SUBSTITUTE(E3292,"°","º"))-1)),""))))</f>
        <v/>
      </c>
      <c r="O3292" s="2">
        <f>IF(OR(F3292="",G3292=""),"",IF(G3292&lt;='RETRATO 2027'!$K$5,"CONCLUÍDA",IF(F3292&lt;='RETRATO 2027'!$K$5,"EM ANDAMENTO","A INICIAR")))</f>
        <v/>
      </c>
    </row>
    <row r="3293">
      <c r="M3293" s="2">
        <f>IF(C3293="","",IFERROR(INDEX($S$5:$S$304,MATCH(C3293,$R$5:$R$304,0))&amp;"","?"))</f>
        <v/>
      </c>
      <c r="N3293" s="2">
        <f>IF(E3293="","",IF(ISNUMBER(SEARCH("SUBSOLO",E3293)),IFERROR(-VALUE(LEFT(E3293,FIND("º",SUBSTITUTE(E3293,"°","º"))-1)),-1),IF(LEFT(E3293,6)="TÉRREO",0,IFERROR(VALUE(LEFT(E3293,FIND("º",SUBSTITUTE(E3293,"°","º"))-1)),""))))</f>
        <v/>
      </c>
      <c r="O3293" s="2">
        <f>IF(OR(F3293="",G3293=""),"",IF(G3293&lt;='RETRATO 2027'!$K$5,"CONCLUÍDA",IF(F3293&lt;='RETRATO 2027'!$K$5,"EM ANDAMENTO","A INICIAR")))</f>
        <v/>
      </c>
    </row>
    <row r="3294">
      <c r="M3294" s="2">
        <f>IF(C3294="","",IFERROR(INDEX($S$5:$S$304,MATCH(C3294,$R$5:$R$304,0))&amp;"","?"))</f>
        <v/>
      </c>
      <c r="N3294" s="2">
        <f>IF(E3294="","",IF(ISNUMBER(SEARCH("SUBSOLO",E3294)),IFERROR(-VALUE(LEFT(E3294,FIND("º",SUBSTITUTE(E3294,"°","º"))-1)),-1),IF(LEFT(E3294,6)="TÉRREO",0,IFERROR(VALUE(LEFT(E3294,FIND("º",SUBSTITUTE(E3294,"°","º"))-1)),""))))</f>
        <v/>
      </c>
      <c r="O3294" s="2">
        <f>IF(OR(F3294="",G3294=""),"",IF(G3294&lt;='RETRATO 2027'!$K$5,"CONCLUÍDA",IF(F3294&lt;='RETRATO 2027'!$K$5,"EM ANDAMENTO","A INICIAR")))</f>
        <v/>
      </c>
    </row>
    <row r="3295">
      <c r="M3295" s="2">
        <f>IF(C3295="","",IFERROR(INDEX($S$5:$S$304,MATCH(C3295,$R$5:$R$304,0))&amp;"","?"))</f>
        <v/>
      </c>
      <c r="N3295" s="2">
        <f>IF(E3295="","",IF(ISNUMBER(SEARCH("SUBSOLO",E3295)),IFERROR(-VALUE(LEFT(E3295,FIND("º",SUBSTITUTE(E3295,"°","º"))-1)),-1),IF(LEFT(E3295,6)="TÉRREO",0,IFERROR(VALUE(LEFT(E3295,FIND("º",SUBSTITUTE(E3295,"°","º"))-1)),""))))</f>
        <v/>
      </c>
      <c r="O3295" s="2">
        <f>IF(OR(F3295="",G3295=""),"",IF(G3295&lt;='RETRATO 2027'!$K$5,"CONCLUÍDA",IF(F3295&lt;='RETRATO 2027'!$K$5,"EM ANDAMENTO","A INICIAR")))</f>
        <v/>
      </c>
    </row>
    <row r="3296">
      <c r="M3296" s="2">
        <f>IF(C3296="","",IFERROR(INDEX($S$5:$S$304,MATCH(C3296,$R$5:$R$304,0))&amp;"","?"))</f>
        <v/>
      </c>
      <c r="N3296" s="2">
        <f>IF(E3296="","",IF(ISNUMBER(SEARCH("SUBSOLO",E3296)),IFERROR(-VALUE(LEFT(E3296,FIND("º",SUBSTITUTE(E3296,"°","º"))-1)),-1),IF(LEFT(E3296,6)="TÉRREO",0,IFERROR(VALUE(LEFT(E3296,FIND("º",SUBSTITUTE(E3296,"°","º"))-1)),""))))</f>
        <v/>
      </c>
      <c r="O3296" s="2">
        <f>IF(OR(F3296="",G3296=""),"",IF(G3296&lt;='RETRATO 2027'!$K$5,"CONCLUÍDA",IF(F3296&lt;='RETRATO 2027'!$K$5,"EM ANDAMENTO","A INICIAR")))</f>
        <v/>
      </c>
    </row>
    <row r="3297">
      <c r="M3297" s="2">
        <f>IF(C3297="","",IFERROR(INDEX($S$5:$S$304,MATCH(C3297,$R$5:$R$304,0))&amp;"","?"))</f>
        <v/>
      </c>
      <c r="N3297" s="2">
        <f>IF(E3297="","",IF(ISNUMBER(SEARCH("SUBSOLO",E3297)),IFERROR(-VALUE(LEFT(E3297,FIND("º",SUBSTITUTE(E3297,"°","º"))-1)),-1),IF(LEFT(E3297,6)="TÉRREO",0,IFERROR(VALUE(LEFT(E3297,FIND("º",SUBSTITUTE(E3297,"°","º"))-1)),""))))</f>
        <v/>
      </c>
      <c r="O3297" s="2">
        <f>IF(OR(F3297="",G3297=""),"",IF(G3297&lt;='RETRATO 2027'!$K$5,"CONCLUÍDA",IF(F3297&lt;='RETRATO 2027'!$K$5,"EM ANDAMENTO","A INICIAR")))</f>
        <v/>
      </c>
    </row>
    <row r="3298">
      <c r="M3298" s="2">
        <f>IF(C3298="","",IFERROR(INDEX($S$5:$S$304,MATCH(C3298,$R$5:$R$304,0))&amp;"","?"))</f>
        <v/>
      </c>
      <c r="N3298" s="2">
        <f>IF(E3298="","",IF(ISNUMBER(SEARCH("SUBSOLO",E3298)),IFERROR(-VALUE(LEFT(E3298,FIND("º",SUBSTITUTE(E3298,"°","º"))-1)),-1),IF(LEFT(E3298,6)="TÉRREO",0,IFERROR(VALUE(LEFT(E3298,FIND("º",SUBSTITUTE(E3298,"°","º"))-1)),""))))</f>
        <v/>
      </c>
      <c r="O3298" s="2">
        <f>IF(OR(F3298="",G3298=""),"",IF(G3298&lt;='RETRATO 2027'!$K$5,"CONCLUÍDA",IF(F3298&lt;='RETRATO 2027'!$K$5,"EM ANDAMENTO","A INICIAR")))</f>
        <v/>
      </c>
    </row>
    <row r="3299">
      <c r="M3299" s="2">
        <f>IF(C3299="","",IFERROR(INDEX($S$5:$S$304,MATCH(C3299,$R$5:$R$304,0))&amp;"","?"))</f>
        <v/>
      </c>
      <c r="N3299" s="2">
        <f>IF(E3299="","",IF(ISNUMBER(SEARCH("SUBSOLO",E3299)),IFERROR(-VALUE(LEFT(E3299,FIND("º",SUBSTITUTE(E3299,"°","º"))-1)),-1),IF(LEFT(E3299,6)="TÉRREO",0,IFERROR(VALUE(LEFT(E3299,FIND("º",SUBSTITUTE(E3299,"°","º"))-1)),""))))</f>
        <v/>
      </c>
      <c r="O3299" s="2">
        <f>IF(OR(F3299="",G3299=""),"",IF(G3299&lt;='RETRATO 2027'!$K$5,"CONCLUÍDA",IF(F3299&lt;='RETRATO 2027'!$K$5,"EM ANDAMENTO","A INICIAR")))</f>
        <v/>
      </c>
    </row>
    <row r="3300">
      <c r="M3300" s="2">
        <f>IF(C3300="","",IFERROR(INDEX($S$5:$S$304,MATCH(C3300,$R$5:$R$304,0))&amp;"","?"))</f>
        <v/>
      </c>
      <c r="N3300" s="2">
        <f>IF(E3300="","",IF(ISNUMBER(SEARCH("SUBSOLO",E3300)),IFERROR(-VALUE(LEFT(E3300,FIND("º",SUBSTITUTE(E3300,"°","º"))-1)),-1),IF(LEFT(E3300,6)="TÉRREO",0,IFERROR(VALUE(LEFT(E3300,FIND("º",SUBSTITUTE(E3300,"°","º"))-1)),""))))</f>
        <v/>
      </c>
      <c r="O3300" s="2">
        <f>IF(OR(F3300="",G3300=""),"",IF(G3300&lt;='RETRATO 2027'!$K$5,"CONCLUÍDA",IF(F3300&lt;='RETRATO 2027'!$K$5,"EM ANDAMENTO","A INICIAR")))</f>
        <v/>
      </c>
    </row>
    <row r="3301">
      <c r="M3301" s="2">
        <f>IF(C3301="","",IFERROR(INDEX($S$5:$S$304,MATCH(C3301,$R$5:$R$304,0))&amp;"","?"))</f>
        <v/>
      </c>
      <c r="N3301" s="2">
        <f>IF(E3301="","",IF(ISNUMBER(SEARCH("SUBSOLO",E3301)),IFERROR(-VALUE(LEFT(E3301,FIND("º",SUBSTITUTE(E3301,"°","º"))-1)),-1),IF(LEFT(E3301,6)="TÉRREO",0,IFERROR(VALUE(LEFT(E3301,FIND("º",SUBSTITUTE(E3301,"°","º"))-1)),""))))</f>
        <v/>
      </c>
      <c r="O3301" s="2">
        <f>IF(OR(F3301="",G3301=""),"",IF(G3301&lt;='RETRATO 2027'!$K$5,"CONCLUÍDA",IF(F3301&lt;='RETRATO 2027'!$K$5,"EM ANDAMENTO","A INICIAR")))</f>
        <v/>
      </c>
    </row>
    <row r="3302">
      <c r="M3302" s="2">
        <f>IF(C3302="","",IFERROR(INDEX($S$5:$S$304,MATCH(C3302,$R$5:$R$304,0))&amp;"","?"))</f>
        <v/>
      </c>
      <c r="N3302" s="2">
        <f>IF(E3302="","",IF(ISNUMBER(SEARCH("SUBSOLO",E3302)),IFERROR(-VALUE(LEFT(E3302,FIND("º",SUBSTITUTE(E3302,"°","º"))-1)),-1),IF(LEFT(E3302,6)="TÉRREO",0,IFERROR(VALUE(LEFT(E3302,FIND("º",SUBSTITUTE(E3302,"°","º"))-1)),""))))</f>
        <v/>
      </c>
      <c r="O3302" s="2">
        <f>IF(OR(F3302="",G3302=""),"",IF(G3302&lt;='RETRATO 2027'!$K$5,"CONCLUÍDA",IF(F3302&lt;='RETRATO 2027'!$K$5,"EM ANDAMENTO","A INICIAR")))</f>
        <v/>
      </c>
    </row>
    <row r="3303">
      <c r="M3303" s="2">
        <f>IF(C3303="","",IFERROR(INDEX($S$5:$S$304,MATCH(C3303,$R$5:$R$304,0))&amp;"","?"))</f>
        <v/>
      </c>
      <c r="N3303" s="2">
        <f>IF(E3303="","",IF(ISNUMBER(SEARCH("SUBSOLO",E3303)),IFERROR(-VALUE(LEFT(E3303,FIND("º",SUBSTITUTE(E3303,"°","º"))-1)),-1),IF(LEFT(E3303,6)="TÉRREO",0,IFERROR(VALUE(LEFT(E3303,FIND("º",SUBSTITUTE(E3303,"°","º"))-1)),""))))</f>
        <v/>
      </c>
      <c r="O3303" s="2">
        <f>IF(OR(F3303="",G3303=""),"",IF(G3303&lt;='RETRATO 2027'!$K$5,"CONCLUÍDA",IF(F3303&lt;='RETRATO 2027'!$K$5,"EM ANDAMENTO","A INICIAR")))</f>
        <v/>
      </c>
    </row>
    <row r="3304">
      <c r="M3304" s="2">
        <f>IF(C3304="","",IFERROR(INDEX($S$5:$S$304,MATCH(C3304,$R$5:$R$304,0))&amp;"","?"))</f>
        <v/>
      </c>
      <c r="N3304" s="2">
        <f>IF(E3304="","",IF(ISNUMBER(SEARCH("SUBSOLO",E3304)),IFERROR(-VALUE(LEFT(E3304,FIND("º",SUBSTITUTE(E3304,"°","º"))-1)),-1),IF(LEFT(E3304,6)="TÉRREO",0,IFERROR(VALUE(LEFT(E3304,FIND("º",SUBSTITUTE(E3304,"°","º"))-1)),""))))</f>
        <v/>
      </c>
      <c r="O3304" s="2">
        <f>IF(OR(F3304="",G3304=""),"",IF(G3304&lt;='RETRATO 2027'!$K$5,"CONCLUÍDA",IF(F3304&lt;='RETRATO 2027'!$K$5,"EM ANDAMENTO","A INICIAR")))</f>
        <v/>
      </c>
    </row>
    <row r="3305">
      <c r="M3305" s="2">
        <f>IF(C3305="","",IFERROR(INDEX($S$5:$S$304,MATCH(C3305,$R$5:$R$304,0))&amp;"","?"))</f>
        <v/>
      </c>
      <c r="N3305" s="2">
        <f>IF(E3305="","",IF(ISNUMBER(SEARCH("SUBSOLO",E3305)),IFERROR(-VALUE(LEFT(E3305,FIND("º",SUBSTITUTE(E3305,"°","º"))-1)),-1),IF(LEFT(E3305,6)="TÉRREO",0,IFERROR(VALUE(LEFT(E3305,FIND("º",SUBSTITUTE(E3305,"°","º"))-1)),""))))</f>
        <v/>
      </c>
      <c r="O3305" s="2">
        <f>IF(OR(F3305="",G3305=""),"",IF(G3305&lt;='RETRATO 2027'!$K$5,"CONCLUÍDA",IF(F3305&lt;='RETRATO 2027'!$K$5,"EM ANDAMENTO","A INICIAR")))</f>
        <v/>
      </c>
    </row>
    <row r="3306">
      <c r="M3306" s="2">
        <f>IF(C3306="","",IFERROR(INDEX($S$5:$S$304,MATCH(C3306,$R$5:$R$304,0))&amp;"","?"))</f>
        <v/>
      </c>
      <c r="N3306" s="2">
        <f>IF(E3306="","",IF(ISNUMBER(SEARCH("SUBSOLO",E3306)),IFERROR(-VALUE(LEFT(E3306,FIND("º",SUBSTITUTE(E3306,"°","º"))-1)),-1),IF(LEFT(E3306,6)="TÉRREO",0,IFERROR(VALUE(LEFT(E3306,FIND("º",SUBSTITUTE(E3306,"°","º"))-1)),""))))</f>
        <v/>
      </c>
      <c r="O3306" s="2">
        <f>IF(OR(F3306="",G3306=""),"",IF(G3306&lt;='RETRATO 2027'!$K$5,"CONCLUÍDA",IF(F3306&lt;='RETRATO 2027'!$K$5,"EM ANDAMENTO","A INICIAR")))</f>
        <v/>
      </c>
    </row>
    <row r="3307">
      <c r="M3307" s="2">
        <f>IF(C3307="","",IFERROR(INDEX($S$5:$S$304,MATCH(C3307,$R$5:$R$304,0))&amp;"","?"))</f>
        <v/>
      </c>
      <c r="N3307" s="2">
        <f>IF(E3307="","",IF(ISNUMBER(SEARCH("SUBSOLO",E3307)),IFERROR(-VALUE(LEFT(E3307,FIND("º",SUBSTITUTE(E3307,"°","º"))-1)),-1),IF(LEFT(E3307,6)="TÉRREO",0,IFERROR(VALUE(LEFT(E3307,FIND("º",SUBSTITUTE(E3307,"°","º"))-1)),""))))</f>
        <v/>
      </c>
      <c r="O3307" s="2">
        <f>IF(OR(F3307="",G3307=""),"",IF(G3307&lt;='RETRATO 2027'!$K$5,"CONCLUÍDA",IF(F3307&lt;='RETRATO 2027'!$K$5,"EM ANDAMENTO","A INICIAR")))</f>
        <v/>
      </c>
    </row>
    <row r="3308">
      <c r="M3308" s="2">
        <f>IF(C3308="","",IFERROR(INDEX($S$5:$S$304,MATCH(C3308,$R$5:$R$304,0))&amp;"","?"))</f>
        <v/>
      </c>
      <c r="N3308" s="2">
        <f>IF(E3308="","",IF(ISNUMBER(SEARCH("SUBSOLO",E3308)),IFERROR(-VALUE(LEFT(E3308,FIND("º",SUBSTITUTE(E3308,"°","º"))-1)),-1),IF(LEFT(E3308,6)="TÉRREO",0,IFERROR(VALUE(LEFT(E3308,FIND("º",SUBSTITUTE(E3308,"°","º"))-1)),""))))</f>
        <v/>
      </c>
      <c r="O3308" s="2">
        <f>IF(OR(F3308="",G3308=""),"",IF(G3308&lt;='RETRATO 2027'!$K$5,"CONCLUÍDA",IF(F3308&lt;='RETRATO 2027'!$K$5,"EM ANDAMENTO","A INICIAR")))</f>
        <v/>
      </c>
    </row>
    <row r="3309">
      <c r="M3309" s="2">
        <f>IF(C3309="","",IFERROR(INDEX($S$5:$S$304,MATCH(C3309,$R$5:$R$304,0))&amp;"","?"))</f>
        <v/>
      </c>
      <c r="N3309" s="2">
        <f>IF(E3309="","",IF(ISNUMBER(SEARCH("SUBSOLO",E3309)),IFERROR(-VALUE(LEFT(E3309,FIND("º",SUBSTITUTE(E3309,"°","º"))-1)),-1),IF(LEFT(E3309,6)="TÉRREO",0,IFERROR(VALUE(LEFT(E3309,FIND("º",SUBSTITUTE(E3309,"°","º"))-1)),""))))</f>
        <v/>
      </c>
      <c r="O3309" s="2">
        <f>IF(OR(F3309="",G3309=""),"",IF(G3309&lt;='RETRATO 2027'!$K$5,"CONCLUÍDA",IF(F3309&lt;='RETRATO 2027'!$K$5,"EM ANDAMENTO","A INICIAR")))</f>
        <v/>
      </c>
    </row>
    <row r="3310">
      <c r="M3310" s="2">
        <f>IF(C3310="","",IFERROR(INDEX($S$5:$S$304,MATCH(C3310,$R$5:$R$304,0))&amp;"","?"))</f>
        <v/>
      </c>
      <c r="N3310" s="2">
        <f>IF(E3310="","",IF(ISNUMBER(SEARCH("SUBSOLO",E3310)),IFERROR(-VALUE(LEFT(E3310,FIND("º",SUBSTITUTE(E3310,"°","º"))-1)),-1),IF(LEFT(E3310,6)="TÉRREO",0,IFERROR(VALUE(LEFT(E3310,FIND("º",SUBSTITUTE(E3310,"°","º"))-1)),""))))</f>
        <v/>
      </c>
      <c r="O3310" s="2">
        <f>IF(OR(F3310="",G3310=""),"",IF(G3310&lt;='RETRATO 2027'!$K$5,"CONCLUÍDA",IF(F3310&lt;='RETRATO 2027'!$K$5,"EM ANDAMENTO","A INICIAR")))</f>
        <v/>
      </c>
    </row>
    <row r="3311">
      <c r="M3311" s="2">
        <f>IF(C3311="","",IFERROR(INDEX($S$5:$S$304,MATCH(C3311,$R$5:$R$304,0))&amp;"","?"))</f>
        <v/>
      </c>
      <c r="N3311" s="2">
        <f>IF(E3311="","",IF(ISNUMBER(SEARCH("SUBSOLO",E3311)),IFERROR(-VALUE(LEFT(E3311,FIND("º",SUBSTITUTE(E3311,"°","º"))-1)),-1),IF(LEFT(E3311,6)="TÉRREO",0,IFERROR(VALUE(LEFT(E3311,FIND("º",SUBSTITUTE(E3311,"°","º"))-1)),""))))</f>
        <v/>
      </c>
      <c r="O3311" s="2">
        <f>IF(OR(F3311="",G3311=""),"",IF(G3311&lt;='RETRATO 2027'!$K$5,"CONCLUÍDA",IF(F3311&lt;='RETRATO 2027'!$K$5,"EM ANDAMENTO","A INICIAR")))</f>
        <v/>
      </c>
    </row>
    <row r="3312">
      <c r="M3312" s="2">
        <f>IF(C3312="","",IFERROR(INDEX($S$5:$S$304,MATCH(C3312,$R$5:$R$304,0))&amp;"","?"))</f>
        <v/>
      </c>
      <c r="N3312" s="2">
        <f>IF(E3312="","",IF(ISNUMBER(SEARCH("SUBSOLO",E3312)),IFERROR(-VALUE(LEFT(E3312,FIND("º",SUBSTITUTE(E3312,"°","º"))-1)),-1),IF(LEFT(E3312,6)="TÉRREO",0,IFERROR(VALUE(LEFT(E3312,FIND("º",SUBSTITUTE(E3312,"°","º"))-1)),""))))</f>
        <v/>
      </c>
      <c r="O3312" s="2">
        <f>IF(OR(F3312="",G3312=""),"",IF(G3312&lt;='RETRATO 2027'!$K$5,"CONCLUÍDA",IF(F3312&lt;='RETRATO 2027'!$K$5,"EM ANDAMENTO","A INICIAR")))</f>
        <v/>
      </c>
    </row>
    <row r="3313">
      <c r="M3313" s="2">
        <f>IF(C3313="","",IFERROR(INDEX($S$5:$S$304,MATCH(C3313,$R$5:$R$304,0))&amp;"","?"))</f>
        <v/>
      </c>
      <c r="N3313" s="2">
        <f>IF(E3313="","",IF(ISNUMBER(SEARCH("SUBSOLO",E3313)),IFERROR(-VALUE(LEFT(E3313,FIND("º",SUBSTITUTE(E3313,"°","º"))-1)),-1),IF(LEFT(E3313,6)="TÉRREO",0,IFERROR(VALUE(LEFT(E3313,FIND("º",SUBSTITUTE(E3313,"°","º"))-1)),""))))</f>
        <v/>
      </c>
      <c r="O3313" s="2">
        <f>IF(OR(F3313="",G3313=""),"",IF(G3313&lt;='RETRATO 2027'!$K$5,"CONCLUÍDA",IF(F3313&lt;='RETRATO 2027'!$K$5,"EM ANDAMENTO","A INICIAR")))</f>
        <v/>
      </c>
    </row>
    <row r="3314">
      <c r="M3314" s="2">
        <f>IF(C3314="","",IFERROR(INDEX($S$5:$S$304,MATCH(C3314,$R$5:$R$304,0))&amp;"","?"))</f>
        <v/>
      </c>
      <c r="N3314" s="2">
        <f>IF(E3314="","",IF(ISNUMBER(SEARCH("SUBSOLO",E3314)),IFERROR(-VALUE(LEFT(E3314,FIND("º",SUBSTITUTE(E3314,"°","º"))-1)),-1),IF(LEFT(E3314,6)="TÉRREO",0,IFERROR(VALUE(LEFT(E3314,FIND("º",SUBSTITUTE(E3314,"°","º"))-1)),""))))</f>
        <v/>
      </c>
      <c r="O3314" s="2">
        <f>IF(OR(F3314="",G3314=""),"",IF(G3314&lt;='RETRATO 2027'!$K$5,"CONCLUÍDA",IF(F3314&lt;='RETRATO 2027'!$K$5,"EM ANDAMENTO","A INICIAR")))</f>
        <v/>
      </c>
    </row>
    <row r="3315">
      <c r="M3315" s="2">
        <f>IF(C3315="","",IFERROR(INDEX($S$5:$S$304,MATCH(C3315,$R$5:$R$304,0))&amp;"","?"))</f>
        <v/>
      </c>
      <c r="N3315" s="2">
        <f>IF(E3315="","",IF(ISNUMBER(SEARCH("SUBSOLO",E3315)),IFERROR(-VALUE(LEFT(E3315,FIND("º",SUBSTITUTE(E3315,"°","º"))-1)),-1),IF(LEFT(E3315,6)="TÉRREO",0,IFERROR(VALUE(LEFT(E3315,FIND("º",SUBSTITUTE(E3315,"°","º"))-1)),""))))</f>
        <v/>
      </c>
      <c r="O3315" s="2">
        <f>IF(OR(F3315="",G3315=""),"",IF(G3315&lt;='RETRATO 2027'!$K$5,"CONCLUÍDA",IF(F3315&lt;='RETRATO 2027'!$K$5,"EM ANDAMENTO","A INICIAR")))</f>
        <v/>
      </c>
    </row>
    <row r="3316">
      <c r="M3316" s="2">
        <f>IF(C3316="","",IFERROR(INDEX($S$5:$S$304,MATCH(C3316,$R$5:$R$304,0))&amp;"","?"))</f>
        <v/>
      </c>
      <c r="N3316" s="2">
        <f>IF(E3316="","",IF(ISNUMBER(SEARCH("SUBSOLO",E3316)),IFERROR(-VALUE(LEFT(E3316,FIND("º",SUBSTITUTE(E3316,"°","º"))-1)),-1),IF(LEFT(E3316,6)="TÉRREO",0,IFERROR(VALUE(LEFT(E3316,FIND("º",SUBSTITUTE(E3316,"°","º"))-1)),""))))</f>
        <v/>
      </c>
      <c r="O3316" s="2">
        <f>IF(OR(F3316="",G3316=""),"",IF(G3316&lt;='RETRATO 2027'!$K$5,"CONCLUÍDA",IF(F3316&lt;='RETRATO 2027'!$K$5,"EM ANDAMENTO","A INICIAR")))</f>
        <v/>
      </c>
    </row>
    <row r="3317">
      <c r="M3317" s="2">
        <f>IF(C3317="","",IFERROR(INDEX($S$5:$S$304,MATCH(C3317,$R$5:$R$304,0))&amp;"","?"))</f>
        <v/>
      </c>
      <c r="N3317" s="2">
        <f>IF(E3317="","",IF(ISNUMBER(SEARCH("SUBSOLO",E3317)),IFERROR(-VALUE(LEFT(E3317,FIND("º",SUBSTITUTE(E3317,"°","º"))-1)),-1),IF(LEFT(E3317,6)="TÉRREO",0,IFERROR(VALUE(LEFT(E3317,FIND("º",SUBSTITUTE(E3317,"°","º"))-1)),""))))</f>
        <v/>
      </c>
      <c r="O3317" s="2">
        <f>IF(OR(F3317="",G3317=""),"",IF(G3317&lt;='RETRATO 2027'!$K$5,"CONCLUÍDA",IF(F3317&lt;='RETRATO 2027'!$K$5,"EM ANDAMENTO","A INICIAR")))</f>
        <v/>
      </c>
    </row>
    <row r="3318">
      <c r="M3318" s="2">
        <f>IF(C3318="","",IFERROR(INDEX($S$5:$S$304,MATCH(C3318,$R$5:$R$304,0))&amp;"","?"))</f>
        <v/>
      </c>
      <c r="N3318" s="2">
        <f>IF(E3318="","",IF(ISNUMBER(SEARCH("SUBSOLO",E3318)),IFERROR(-VALUE(LEFT(E3318,FIND("º",SUBSTITUTE(E3318,"°","º"))-1)),-1),IF(LEFT(E3318,6)="TÉRREO",0,IFERROR(VALUE(LEFT(E3318,FIND("º",SUBSTITUTE(E3318,"°","º"))-1)),""))))</f>
        <v/>
      </c>
      <c r="O3318" s="2">
        <f>IF(OR(F3318="",G3318=""),"",IF(G3318&lt;='RETRATO 2027'!$K$5,"CONCLUÍDA",IF(F3318&lt;='RETRATO 2027'!$K$5,"EM ANDAMENTO","A INICIAR")))</f>
        <v/>
      </c>
    </row>
    <row r="3319">
      <c r="M3319" s="2">
        <f>IF(C3319="","",IFERROR(INDEX($S$5:$S$304,MATCH(C3319,$R$5:$R$304,0))&amp;"","?"))</f>
        <v/>
      </c>
      <c r="N3319" s="2">
        <f>IF(E3319="","",IF(ISNUMBER(SEARCH("SUBSOLO",E3319)),IFERROR(-VALUE(LEFT(E3319,FIND("º",SUBSTITUTE(E3319,"°","º"))-1)),-1),IF(LEFT(E3319,6)="TÉRREO",0,IFERROR(VALUE(LEFT(E3319,FIND("º",SUBSTITUTE(E3319,"°","º"))-1)),""))))</f>
        <v/>
      </c>
      <c r="O3319" s="2">
        <f>IF(OR(F3319="",G3319=""),"",IF(G3319&lt;='RETRATO 2027'!$K$5,"CONCLUÍDA",IF(F3319&lt;='RETRATO 2027'!$K$5,"EM ANDAMENTO","A INICIAR")))</f>
        <v/>
      </c>
    </row>
    <row r="3320">
      <c r="M3320" s="2">
        <f>IF(C3320="","",IFERROR(INDEX($S$5:$S$304,MATCH(C3320,$R$5:$R$304,0))&amp;"","?"))</f>
        <v/>
      </c>
      <c r="N3320" s="2">
        <f>IF(E3320="","",IF(ISNUMBER(SEARCH("SUBSOLO",E3320)),IFERROR(-VALUE(LEFT(E3320,FIND("º",SUBSTITUTE(E3320,"°","º"))-1)),-1),IF(LEFT(E3320,6)="TÉRREO",0,IFERROR(VALUE(LEFT(E3320,FIND("º",SUBSTITUTE(E3320,"°","º"))-1)),""))))</f>
        <v/>
      </c>
      <c r="O3320" s="2">
        <f>IF(OR(F3320="",G3320=""),"",IF(G3320&lt;='RETRATO 2027'!$K$5,"CONCLUÍDA",IF(F3320&lt;='RETRATO 2027'!$K$5,"EM ANDAMENTO","A INICIAR")))</f>
        <v/>
      </c>
    </row>
    <row r="3321">
      <c r="M3321" s="2">
        <f>IF(C3321="","",IFERROR(INDEX($S$5:$S$304,MATCH(C3321,$R$5:$R$304,0))&amp;"","?"))</f>
        <v/>
      </c>
      <c r="N3321" s="2">
        <f>IF(E3321="","",IF(ISNUMBER(SEARCH("SUBSOLO",E3321)),IFERROR(-VALUE(LEFT(E3321,FIND("º",SUBSTITUTE(E3321,"°","º"))-1)),-1),IF(LEFT(E3321,6)="TÉRREO",0,IFERROR(VALUE(LEFT(E3321,FIND("º",SUBSTITUTE(E3321,"°","º"))-1)),""))))</f>
        <v/>
      </c>
      <c r="O3321" s="2">
        <f>IF(OR(F3321="",G3321=""),"",IF(G3321&lt;='RETRATO 2027'!$K$5,"CONCLUÍDA",IF(F3321&lt;='RETRATO 2027'!$K$5,"EM ANDAMENTO","A INICIAR")))</f>
        <v/>
      </c>
    </row>
    <row r="3322">
      <c r="M3322" s="2">
        <f>IF(C3322="","",IFERROR(INDEX($S$5:$S$304,MATCH(C3322,$R$5:$R$304,0))&amp;"","?"))</f>
        <v/>
      </c>
      <c r="N3322" s="2">
        <f>IF(E3322="","",IF(ISNUMBER(SEARCH("SUBSOLO",E3322)),IFERROR(-VALUE(LEFT(E3322,FIND("º",SUBSTITUTE(E3322,"°","º"))-1)),-1),IF(LEFT(E3322,6)="TÉRREO",0,IFERROR(VALUE(LEFT(E3322,FIND("º",SUBSTITUTE(E3322,"°","º"))-1)),""))))</f>
        <v/>
      </c>
      <c r="O3322" s="2">
        <f>IF(OR(F3322="",G3322=""),"",IF(G3322&lt;='RETRATO 2027'!$K$5,"CONCLUÍDA",IF(F3322&lt;='RETRATO 2027'!$K$5,"EM ANDAMENTO","A INICIAR")))</f>
        <v/>
      </c>
    </row>
    <row r="3323">
      <c r="M3323" s="2">
        <f>IF(C3323="","",IFERROR(INDEX($S$5:$S$304,MATCH(C3323,$R$5:$R$304,0))&amp;"","?"))</f>
        <v/>
      </c>
      <c r="N3323" s="2">
        <f>IF(E3323="","",IF(ISNUMBER(SEARCH("SUBSOLO",E3323)),IFERROR(-VALUE(LEFT(E3323,FIND("º",SUBSTITUTE(E3323,"°","º"))-1)),-1),IF(LEFT(E3323,6)="TÉRREO",0,IFERROR(VALUE(LEFT(E3323,FIND("º",SUBSTITUTE(E3323,"°","º"))-1)),""))))</f>
        <v/>
      </c>
      <c r="O3323" s="2">
        <f>IF(OR(F3323="",G3323=""),"",IF(G3323&lt;='RETRATO 2027'!$K$5,"CONCLUÍDA",IF(F3323&lt;='RETRATO 2027'!$K$5,"EM ANDAMENTO","A INICIAR")))</f>
        <v/>
      </c>
    </row>
    <row r="3324">
      <c r="M3324" s="2">
        <f>IF(C3324="","",IFERROR(INDEX($S$5:$S$304,MATCH(C3324,$R$5:$R$304,0))&amp;"","?"))</f>
        <v/>
      </c>
      <c r="N3324" s="2">
        <f>IF(E3324="","",IF(ISNUMBER(SEARCH("SUBSOLO",E3324)),IFERROR(-VALUE(LEFT(E3324,FIND("º",SUBSTITUTE(E3324,"°","º"))-1)),-1),IF(LEFT(E3324,6)="TÉRREO",0,IFERROR(VALUE(LEFT(E3324,FIND("º",SUBSTITUTE(E3324,"°","º"))-1)),""))))</f>
        <v/>
      </c>
      <c r="O3324" s="2">
        <f>IF(OR(F3324="",G3324=""),"",IF(G3324&lt;='RETRATO 2027'!$K$5,"CONCLUÍDA",IF(F3324&lt;='RETRATO 2027'!$K$5,"EM ANDAMENTO","A INICIAR")))</f>
        <v/>
      </c>
    </row>
    <row r="3325">
      <c r="M3325" s="2">
        <f>IF(C3325="","",IFERROR(INDEX($S$5:$S$304,MATCH(C3325,$R$5:$R$304,0))&amp;"","?"))</f>
        <v/>
      </c>
      <c r="N3325" s="2">
        <f>IF(E3325="","",IF(ISNUMBER(SEARCH("SUBSOLO",E3325)),IFERROR(-VALUE(LEFT(E3325,FIND("º",SUBSTITUTE(E3325,"°","º"))-1)),-1),IF(LEFT(E3325,6)="TÉRREO",0,IFERROR(VALUE(LEFT(E3325,FIND("º",SUBSTITUTE(E3325,"°","º"))-1)),""))))</f>
        <v/>
      </c>
      <c r="O3325" s="2">
        <f>IF(OR(F3325="",G3325=""),"",IF(G3325&lt;='RETRATO 2027'!$K$5,"CONCLUÍDA",IF(F3325&lt;='RETRATO 2027'!$K$5,"EM ANDAMENTO","A INICIAR")))</f>
        <v/>
      </c>
    </row>
    <row r="3326">
      <c r="M3326" s="2">
        <f>IF(C3326="","",IFERROR(INDEX($S$5:$S$304,MATCH(C3326,$R$5:$R$304,0))&amp;"","?"))</f>
        <v/>
      </c>
      <c r="N3326" s="2">
        <f>IF(E3326="","",IF(ISNUMBER(SEARCH("SUBSOLO",E3326)),IFERROR(-VALUE(LEFT(E3326,FIND("º",SUBSTITUTE(E3326,"°","º"))-1)),-1),IF(LEFT(E3326,6)="TÉRREO",0,IFERROR(VALUE(LEFT(E3326,FIND("º",SUBSTITUTE(E3326,"°","º"))-1)),""))))</f>
        <v/>
      </c>
      <c r="O3326" s="2">
        <f>IF(OR(F3326="",G3326=""),"",IF(G3326&lt;='RETRATO 2027'!$K$5,"CONCLUÍDA",IF(F3326&lt;='RETRATO 2027'!$K$5,"EM ANDAMENTO","A INICIAR")))</f>
        <v/>
      </c>
    </row>
    <row r="3327">
      <c r="M3327" s="2">
        <f>IF(C3327="","",IFERROR(INDEX($S$5:$S$304,MATCH(C3327,$R$5:$R$304,0))&amp;"","?"))</f>
        <v/>
      </c>
      <c r="N3327" s="2">
        <f>IF(E3327="","",IF(ISNUMBER(SEARCH("SUBSOLO",E3327)),IFERROR(-VALUE(LEFT(E3327,FIND("º",SUBSTITUTE(E3327,"°","º"))-1)),-1),IF(LEFT(E3327,6)="TÉRREO",0,IFERROR(VALUE(LEFT(E3327,FIND("º",SUBSTITUTE(E3327,"°","º"))-1)),""))))</f>
        <v/>
      </c>
      <c r="O3327" s="2">
        <f>IF(OR(F3327="",G3327=""),"",IF(G3327&lt;='RETRATO 2027'!$K$5,"CONCLUÍDA",IF(F3327&lt;='RETRATO 2027'!$K$5,"EM ANDAMENTO","A INICIAR")))</f>
        <v/>
      </c>
    </row>
    <row r="3328">
      <c r="M3328" s="2">
        <f>IF(C3328="","",IFERROR(INDEX($S$5:$S$304,MATCH(C3328,$R$5:$R$304,0))&amp;"","?"))</f>
        <v/>
      </c>
      <c r="N3328" s="2">
        <f>IF(E3328="","",IF(ISNUMBER(SEARCH("SUBSOLO",E3328)),IFERROR(-VALUE(LEFT(E3328,FIND("º",SUBSTITUTE(E3328,"°","º"))-1)),-1),IF(LEFT(E3328,6)="TÉRREO",0,IFERROR(VALUE(LEFT(E3328,FIND("º",SUBSTITUTE(E3328,"°","º"))-1)),""))))</f>
        <v/>
      </c>
      <c r="O3328" s="2">
        <f>IF(OR(F3328="",G3328=""),"",IF(G3328&lt;='RETRATO 2027'!$K$5,"CONCLUÍDA",IF(F3328&lt;='RETRATO 2027'!$K$5,"EM ANDAMENTO","A INICIAR")))</f>
        <v/>
      </c>
    </row>
    <row r="3329">
      <c r="M3329" s="2">
        <f>IF(C3329="","",IFERROR(INDEX($S$5:$S$304,MATCH(C3329,$R$5:$R$304,0))&amp;"","?"))</f>
        <v/>
      </c>
      <c r="N3329" s="2">
        <f>IF(E3329="","",IF(ISNUMBER(SEARCH("SUBSOLO",E3329)),IFERROR(-VALUE(LEFT(E3329,FIND("º",SUBSTITUTE(E3329,"°","º"))-1)),-1),IF(LEFT(E3329,6)="TÉRREO",0,IFERROR(VALUE(LEFT(E3329,FIND("º",SUBSTITUTE(E3329,"°","º"))-1)),""))))</f>
        <v/>
      </c>
      <c r="O3329" s="2">
        <f>IF(OR(F3329="",G3329=""),"",IF(G3329&lt;='RETRATO 2027'!$K$5,"CONCLUÍDA",IF(F3329&lt;='RETRATO 2027'!$K$5,"EM ANDAMENTO","A INICIAR")))</f>
        <v/>
      </c>
    </row>
    <row r="3330">
      <c r="M3330" s="2">
        <f>IF(C3330="","",IFERROR(INDEX($S$5:$S$304,MATCH(C3330,$R$5:$R$304,0))&amp;"","?"))</f>
        <v/>
      </c>
      <c r="N3330" s="2">
        <f>IF(E3330="","",IF(ISNUMBER(SEARCH("SUBSOLO",E3330)),IFERROR(-VALUE(LEFT(E3330,FIND("º",SUBSTITUTE(E3330,"°","º"))-1)),-1),IF(LEFT(E3330,6)="TÉRREO",0,IFERROR(VALUE(LEFT(E3330,FIND("º",SUBSTITUTE(E3330,"°","º"))-1)),""))))</f>
        <v/>
      </c>
      <c r="O3330" s="2">
        <f>IF(OR(F3330="",G3330=""),"",IF(G3330&lt;='RETRATO 2027'!$K$5,"CONCLUÍDA",IF(F3330&lt;='RETRATO 2027'!$K$5,"EM ANDAMENTO","A INICIAR")))</f>
        <v/>
      </c>
    </row>
    <row r="3331">
      <c r="M3331" s="2">
        <f>IF(C3331="","",IFERROR(INDEX($S$5:$S$304,MATCH(C3331,$R$5:$R$304,0))&amp;"","?"))</f>
        <v/>
      </c>
      <c r="N3331" s="2">
        <f>IF(E3331="","",IF(ISNUMBER(SEARCH("SUBSOLO",E3331)),IFERROR(-VALUE(LEFT(E3331,FIND("º",SUBSTITUTE(E3331,"°","º"))-1)),-1),IF(LEFT(E3331,6)="TÉRREO",0,IFERROR(VALUE(LEFT(E3331,FIND("º",SUBSTITUTE(E3331,"°","º"))-1)),""))))</f>
        <v/>
      </c>
      <c r="O3331" s="2">
        <f>IF(OR(F3331="",G3331=""),"",IF(G3331&lt;='RETRATO 2027'!$K$5,"CONCLUÍDA",IF(F3331&lt;='RETRATO 2027'!$K$5,"EM ANDAMENTO","A INICIAR")))</f>
        <v/>
      </c>
    </row>
    <row r="3332">
      <c r="M3332" s="2">
        <f>IF(C3332="","",IFERROR(INDEX($S$5:$S$304,MATCH(C3332,$R$5:$R$304,0))&amp;"","?"))</f>
        <v/>
      </c>
      <c r="N3332" s="2">
        <f>IF(E3332="","",IF(ISNUMBER(SEARCH("SUBSOLO",E3332)),IFERROR(-VALUE(LEFT(E3332,FIND("º",SUBSTITUTE(E3332,"°","º"))-1)),-1),IF(LEFT(E3332,6)="TÉRREO",0,IFERROR(VALUE(LEFT(E3332,FIND("º",SUBSTITUTE(E3332,"°","º"))-1)),""))))</f>
        <v/>
      </c>
      <c r="O3332" s="2">
        <f>IF(OR(F3332="",G3332=""),"",IF(G3332&lt;='RETRATO 2027'!$K$5,"CONCLUÍDA",IF(F3332&lt;='RETRATO 2027'!$K$5,"EM ANDAMENTO","A INICIAR")))</f>
        <v/>
      </c>
    </row>
    <row r="3333">
      <c r="M3333" s="2">
        <f>IF(C3333="","",IFERROR(INDEX($S$5:$S$304,MATCH(C3333,$R$5:$R$304,0))&amp;"","?"))</f>
        <v/>
      </c>
      <c r="N3333" s="2">
        <f>IF(E3333="","",IF(ISNUMBER(SEARCH("SUBSOLO",E3333)),IFERROR(-VALUE(LEFT(E3333,FIND("º",SUBSTITUTE(E3333,"°","º"))-1)),-1),IF(LEFT(E3333,6)="TÉRREO",0,IFERROR(VALUE(LEFT(E3333,FIND("º",SUBSTITUTE(E3333,"°","º"))-1)),""))))</f>
        <v/>
      </c>
      <c r="O3333" s="2">
        <f>IF(OR(F3333="",G3333=""),"",IF(G3333&lt;='RETRATO 2027'!$K$5,"CONCLUÍDA",IF(F3333&lt;='RETRATO 2027'!$K$5,"EM ANDAMENTO","A INICIAR")))</f>
        <v/>
      </c>
    </row>
    <row r="3334">
      <c r="M3334" s="2">
        <f>IF(C3334="","",IFERROR(INDEX($S$5:$S$304,MATCH(C3334,$R$5:$R$304,0))&amp;"","?"))</f>
        <v/>
      </c>
      <c r="N3334" s="2">
        <f>IF(E3334="","",IF(ISNUMBER(SEARCH("SUBSOLO",E3334)),IFERROR(-VALUE(LEFT(E3334,FIND("º",SUBSTITUTE(E3334,"°","º"))-1)),-1),IF(LEFT(E3334,6)="TÉRREO",0,IFERROR(VALUE(LEFT(E3334,FIND("º",SUBSTITUTE(E3334,"°","º"))-1)),""))))</f>
        <v/>
      </c>
      <c r="O3334" s="2">
        <f>IF(OR(F3334="",G3334=""),"",IF(G3334&lt;='RETRATO 2027'!$K$5,"CONCLUÍDA",IF(F3334&lt;='RETRATO 2027'!$K$5,"EM ANDAMENTO","A INICIAR")))</f>
        <v/>
      </c>
    </row>
    <row r="3335">
      <c r="M3335" s="2">
        <f>IF(C3335="","",IFERROR(INDEX($S$5:$S$304,MATCH(C3335,$R$5:$R$304,0))&amp;"","?"))</f>
        <v/>
      </c>
      <c r="N3335" s="2">
        <f>IF(E3335="","",IF(ISNUMBER(SEARCH("SUBSOLO",E3335)),IFERROR(-VALUE(LEFT(E3335,FIND("º",SUBSTITUTE(E3335,"°","º"))-1)),-1),IF(LEFT(E3335,6)="TÉRREO",0,IFERROR(VALUE(LEFT(E3335,FIND("º",SUBSTITUTE(E3335,"°","º"))-1)),""))))</f>
        <v/>
      </c>
      <c r="O3335" s="2">
        <f>IF(OR(F3335="",G3335=""),"",IF(G3335&lt;='RETRATO 2027'!$K$5,"CONCLUÍDA",IF(F3335&lt;='RETRATO 2027'!$K$5,"EM ANDAMENTO","A INICIAR")))</f>
        <v/>
      </c>
    </row>
    <row r="3336">
      <c r="M3336" s="2">
        <f>IF(C3336="","",IFERROR(INDEX($S$5:$S$304,MATCH(C3336,$R$5:$R$304,0))&amp;"","?"))</f>
        <v/>
      </c>
      <c r="N3336" s="2">
        <f>IF(E3336="","",IF(ISNUMBER(SEARCH("SUBSOLO",E3336)),IFERROR(-VALUE(LEFT(E3336,FIND("º",SUBSTITUTE(E3336,"°","º"))-1)),-1),IF(LEFT(E3336,6)="TÉRREO",0,IFERROR(VALUE(LEFT(E3336,FIND("º",SUBSTITUTE(E3336,"°","º"))-1)),""))))</f>
        <v/>
      </c>
      <c r="O3336" s="2">
        <f>IF(OR(F3336="",G3336=""),"",IF(G3336&lt;='RETRATO 2027'!$K$5,"CONCLUÍDA",IF(F3336&lt;='RETRATO 2027'!$K$5,"EM ANDAMENTO","A INICIAR")))</f>
        <v/>
      </c>
    </row>
    <row r="3337">
      <c r="M3337" s="2">
        <f>IF(C3337="","",IFERROR(INDEX($S$5:$S$304,MATCH(C3337,$R$5:$R$304,0))&amp;"","?"))</f>
        <v/>
      </c>
      <c r="N3337" s="2">
        <f>IF(E3337="","",IF(ISNUMBER(SEARCH("SUBSOLO",E3337)),IFERROR(-VALUE(LEFT(E3337,FIND("º",SUBSTITUTE(E3337,"°","º"))-1)),-1),IF(LEFT(E3337,6)="TÉRREO",0,IFERROR(VALUE(LEFT(E3337,FIND("º",SUBSTITUTE(E3337,"°","º"))-1)),""))))</f>
        <v/>
      </c>
      <c r="O3337" s="2">
        <f>IF(OR(F3337="",G3337=""),"",IF(G3337&lt;='RETRATO 2027'!$K$5,"CONCLUÍDA",IF(F3337&lt;='RETRATO 2027'!$K$5,"EM ANDAMENTO","A INICIAR")))</f>
        <v/>
      </c>
    </row>
    <row r="3338">
      <c r="M3338" s="2">
        <f>IF(C3338="","",IFERROR(INDEX($S$5:$S$304,MATCH(C3338,$R$5:$R$304,0))&amp;"","?"))</f>
        <v/>
      </c>
      <c r="N3338" s="2">
        <f>IF(E3338="","",IF(ISNUMBER(SEARCH("SUBSOLO",E3338)),IFERROR(-VALUE(LEFT(E3338,FIND("º",SUBSTITUTE(E3338,"°","º"))-1)),-1),IF(LEFT(E3338,6)="TÉRREO",0,IFERROR(VALUE(LEFT(E3338,FIND("º",SUBSTITUTE(E3338,"°","º"))-1)),""))))</f>
        <v/>
      </c>
      <c r="O3338" s="2">
        <f>IF(OR(F3338="",G3338=""),"",IF(G3338&lt;='RETRATO 2027'!$K$5,"CONCLUÍDA",IF(F3338&lt;='RETRATO 2027'!$K$5,"EM ANDAMENTO","A INICIAR")))</f>
        <v/>
      </c>
    </row>
    <row r="3339">
      <c r="M3339" s="2">
        <f>IF(C3339="","",IFERROR(INDEX($S$5:$S$304,MATCH(C3339,$R$5:$R$304,0))&amp;"","?"))</f>
        <v/>
      </c>
      <c r="N3339" s="2">
        <f>IF(E3339="","",IF(ISNUMBER(SEARCH("SUBSOLO",E3339)),IFERROR(-VALUE(LEFT(E3339,FIND("º",SUBSTITUTE(E3339,"°","º"))-1)),-1),IF(LEFT(E3339,6)="TÉRREO",0,IFERROR(VALUE(LEFT(E3339,FIND("º",SUBSTITUTE(E3339,"°","º"))-1)),""))))</f>
        <v/>
      </c>
      <c r="O3339" s="2">
        <f>IF(OR(F3339="",G3339=""),"",IF(G3339&lt;='RETRATO 2027'!$K$5,"CONCLUÍDA",IF(F3339&lt;='RETRATO 2027'!$K$5,"EM ANDAMENTO","A INICIAR")))</f>
        <v/>
      </c>
    </row>
    <row r="3340">
      <c r="M3340" s="2">
        <f>IF(C3340="","",IFERROR(INDEX($S$5:$S$304,MATCH(C3340,$R$5:$R$304,0))&amp;"","?"))</f>
        <v/>
      </c>
      <c r="N3340" s="2">
        <f>IF(E3340="","",IF(ISNUMBER(SEARCH("SUBSOLO",E3340)),IFERROR(-VALUE(LEFT(E3340,FIND("º",SUBSTITUTE(E3340,"°","º"))-1)),-1),IF(LEFT(E3340,6)="TÉRREO",0,IFERROR(VALUE(LEFT(E3340,FIND("º",SUBSTITUTE(E3340,"°","º"))-1)),""))))</f>
        <v/>
      </c>
      <c r="O3340" s="2">
        <f>IF(OR(F3340="",G3340=""),"",IF(G3340&lt;='RETRATO 2027'!$K$5,"CONCLUÍDA",IF(F3340&lt;='RETRATO 2027'!$K$5,"EM ANDAMENTO","A INICIAR")))</f>
        <v/>
      </c>
    </row>
    <row r="3341">
      <c r="M3341" s="2">
        <f>IF(C3341="","",IFERROR(INDEX($S$5:$S$304,MATCH(C3341,$R$5:$R$304,0))&amp;"","?"))</f>
        <v/>
      </c>
      <c r="N3341" s="2">
        <f>IF(E3341="","",IF(ISNUMBER(SEARCH("SUBSOLO",E3341)),IFERROR(-VALUE(LEFT(E3341,FIND("º",SUBSTITUTE(E3341,"°","º"))-1)),-1),IF(LEFT(E3341,6)="TÉRREO",0,IFERROR(VALUE(LEFT(E3341,FIND("º",SUBSTITUTE(E3341,"°","º"))-1)),""))))</f>
        <v/>
      </c>
      <c r="O3341" s="2">
        <f>IF(OR(F3341="",G3341=""),"",IF(G3341&lt;='RETRATO 2027'!$K$5,"CONCLUÍDA",IF(F3341&lt;='RETRATO 2027'!$K$5,"EM ANDAMENTO","A INICIAR")))</f>
        <v/>
      </c>
    </row>
    <row r="3342">
      <c r="M3342" s="2">
        <f>IF(C3342="","",IFERROR(INDEX($S$5:$S$304,MATCH(C3342,$R$5:$R$304,0))&amp;"","?"))</f>
        <v/>
      </c>
      <c r="N3342" s="2">
        <f>IF(E3342="","",IF(ISNUMBER(SEARCH("SUBSOLO",E3342)),IFERROR(-VALUE(LEFT(E3342,FIND("º",SUBSTITUTE(E3342,"°","º"))-1)),-1),IF(LEFT(E3342,6)="TÉRREO",0,IFERROR(VALUE(LEFT(E3342,FIND("º",SUBSTITUTE(E3342,"°","º"))-1)),""))))</f>
        <v/>
      </c>
      <c r="O3342" s="2">
        <f>IF(OR(F3342="",G3342=""),"",IF(G3342&lt;='RETRATO 2027'!$K$5,"CONCLUÍDA",IF(F3342&lt;='RETRATO 2027'!$K$5,"EM ANDAMENTO","A INICIAR")))</f>
        <v/>
      </c>
    </row>
    <row r="3343">
      <c r="M3343" s="2">
        <f>IF(C3343="","",IFERROR(INDEX($S$5:$S$304,MATCH(C3343,$R$5:$R$304,0))&amp;"","?"))</f>
        <v/>
      </c>
      <c r="N3343" s="2">
        <f>IF(E3343="","",IF(ISNUMBER(SEARCH("SUBSOLO",E3343)),IFERROR(-VALUE(LEFT(E3343,FIND("º",SUBSTITUTE(E3343,"°","º"))-1)),-1),IF(LEFT(E3343,6)="TÉRREO",0,IFERROR(VALUE(LEFT(E3343,FIND("º",SUBSTITUTE(E3343,"°","º"))-1)),""))))</f>
        <v/>
      </c>
      <c r="O3343" s="2">
        <f>IF(OR(F3343="",G3343=""),"",IF(G3343&lt;='RETRATO 2027'!$K$5,"CONCLUÍDA",IF(F3343&lt;='RETRATO 2027'!$K$5,"EM ANDAMENTO","A INICIAR")))</f>
        <v/>
      </c>
    </row>
    <row r="3344">
      <c r="M3344" s="2">
        <f>IF(C3344="","",IFERROR(INDEX($S$5:$S$304,MATCH(C3344,$R$5:$R$304,0))&amp;"","?"))</f>
        <v/>
      </c>
      <c r="N3344" s="2">
        <f>IF(E3344="","",IF(ISNUMBER(SEARCH("SUBSOLO",E3344)),IFERROR(-VALUE(LEFT(E3344,FIND("º",SUBSTITUTE(E3344,"°","º"))-1)),-1),IF(LEFT(E3344,6)="TÉRREO",0,IFERROR(VALUE(LEFT(E3344,FIND("º",SUBSTITUTE(E3344,"°","º"))-1)),""))))</f>
        <v/>
      </c>
      <c r="O3344" s="2">
        <f>IF(OR(F3344="",G3344=""),"",IF(G3344&lt;='RETRATO 2027'!$K$5,"CONCLUÍDA",IF(F3344&lt;='RETRATO 2027'!$K$5,"EM ANDAMENTO","A INICIAR")))</f>
        <v/>
      </c>
    </row>
    <row r="3345">
      <c r="M3345" s="2">
        <f>IF(C3345="","",IFERROR(INDEX($S$5:$S$304,MATCH(C3345,$R$5:$R$304,0))&amp;"","?"))</f>
        <v/>
      </c>
      <c r="N3345" s="2">
        <f>IF(E3345="","",IF(ISNUMBER(SEARCH("SUBSOLO",E3345)),IFERROR(-VALUE(LEFT(E3345,FIND("º",SUBSTITUTE(E3345,"°","º"))-1)),-1),IF(LEFT(E3345,6)="TÉRREO",0,IFERROR(VALUE(LEFT(E3345,FIND("º",SUBSTITUTE(E3345,"°","º"))-1)),""))))</f>
        <v/>
      </c>
      <c r="O3345" s="2">
        <f>IF(OR(F3345="",G3345=""),"",IF(G3345&lt;='RETRATO 2027'!$K$5,"CONCLUÍDA",IF(F3345&lt;='RETRATO 2027'!$K$5,"EM ANDAMENTO","A INICIAR")))</f>
        <v/>
      </c>
    </row>
    <row r="3346">
      <c r="M3346" s="2">
        <f>IF(C3346="","",IFERROR(INDEX($S$5:$S$304,MATCH(C3346,$R$5:$R$304,0))&amp;"","?"))</f>
        <v/>
      </c>
      <c r="N3346" s="2">
        <f>IF(E3346="","",IF(ISNUMBER(SEARCH("SUBSOLO",E3346)),IFERROR(-VALUE(LEFT(E3346,FIND("º",SUBSTITUTE(E3346,"°","º"))-1)),-1),IF(LEFT(E3346,6)="TÉRREO",0,IFERROR(VALUE(LEFT(E3346,FIND("º",SUBSTITUTE(E3346,"°","º"))-1)),""))))</f>
        <v/>
      </c>
      <c r="O3346" s="2">
        <f>IF(OR(F3346="",G3346=""),"",IF(G3346&lt;='RETRATO 2027'!$K$5,"CONCLUÍDA",IF(F3346&lt;='RETRATO 2027'!$K$5,"EM ANDAMENTO","A INICIAR")))</f>
        <v/>
      </c>
    </row>
    <row r="3347">
      <c r="M3347" s="2">
        <f>IF(C3347="","",IFERROR(INDEX($S$5:$S$304,MATCH(C3347,$R$5:$R$304,0))&amp;"","?"))</f>
        <v/>
      </c>
      <c r="N3347" s="2">
        <f>IF(E3347="","",IF(ISNUMBER(SEARCH("SUBSOLO",E3347)),IFERROR(-VALUE(LEFT(E3347,FIND("º",SUBSTITUTE(E3347,"°","º"))-1)),-1),IF(LEFT(E3347,6)="TÉRREO",0,IFERROR(VALUE(LEFT(E3347,FIND("º",SUBSTITUTE(E3347,"°","º"))-1)),""))))</f>
        <v/>
      </c>
      <c r="O3347" s="2">
        <f>IF(OR(F3347="",G3347=""),"",IF(G3347&lt;='RETRATO 2027'!$K$5,"CONCLUÍDA",IF(F3347&lt;='RETRATO 2027'!$K$5,"EM ANDAMENTO","A INICIAR")))</f>
        <v/>
      </c>
    </row>
    <row r="3348">
      <c r="M3348" s="2">
        <f>IF(C3348="","",IFERROR(INDEX($S$5:$S$304,MATCH(C3348,$R$5:$R$304,0))&amp;"","?"))</f>
        <v/>
      </c>
      <c r="N3348" s="2">
        <f>IF(E3348="","",IF(ISNUMBER(SEARCH("SUBSOLO",E3348)),IFERROR(-VALUE(LEFT(E3348,FIND("º",SUBSTITUTE(E3348,"°","º"))-1)),-1),IF(LEFT(E3348,6)="TÉRREO",0,IFERROR(VALUE(LEFT(E3348,FIND("º",SUBSTITUTE(E3348,"°","º"))-1)),""))))</f>
        <v/>
      </c>
      <c r="O3348" s="2">
        <f>IF(OR(F3348="",G3348=""),"",IF(G3348&lt;='RETRATO 2027'!$K$5,"CONCLUÍDA",IF(F3348&lt;='RETRATO 2027'!$K$5,"EM ANDAMENTO","A INICIAR")))</f>
        <v/>
      </c>
    </row>
    <row r="3349">
      <c r="M3349" s="2">
        <f>IF(C3349="","",IFERROR(INDEX($S$5:$S$304,MATCH(C3349,$R$5:$R$304,0))&amp;"","?"))</f>
        <v/>
      </c>
      <c r="N3349" s="2">
        <f>IF(E3349="","",IF(ISNUMBER(SEARCH("SUBSOLO",E3349)),IFERROR(-VALUE(LEFT(E3349,FIND("º",SUBSTITUTE(E3349,"°","º"))-1)),-1),IF(LEFT(E3349,6)="TÉRREO",0,IFERROR(VALUE(LEFT(E3349,FIND("º",SUBSTITUTE(E3349,"°","º"))-1)),""))))</f>
        <v/>
      </c>
      <c r="O3349" s="2">
        <f>IF(OR(F3349="",G3349=""),"",IF(G3349&lt;='RETRATO 2027'!$K$5,"CONCLUÍDA",IF(F3349&lt;='RETRATO 2027'!$K$5,"EM ANDAMENTO","A INICIAR")))</f>
        <v/>
      </c>
    </row>
    <row r="3350">
      <c r="M3350" s="2">
        <f>IF(C3350="","",IFERROR(INDEX($S$5:$S$304,MATCH(C3350,$R$5:$R$304,0))&amp;"","?"))</f>
        <v/>
      </c>
      <c r="N3350" s="2">
        <f>IF(E3350="","",IF(ISNUMBER(SEARCH("SUBSOLO",E3350)),IFERROR(-VALUE(LEFT(E3350,FIND("º",SUBSTITUTE(E3350,"°","º"))-1)),-1),IF(LEFT(E3350,6)="TÉRREO",0,IFERROR(VALUE(LEFT(E3350,FIND("º",SUBSTITUTE(E3350,"°","º"))-1)),""))))</f>
        <v/>
      </c>
      <c r="O3350" s="2">
        <f>IF(OR(F3350="",G3350=""),"",IF(G3350&lt;='RETRATO 2027'!$K$5,"CONCLUÍDA",IF(F3350&lt;='RETRATO 2027'!$K$5,"EM ANDAMENTO","A INICIAR")))</f>
        <v/>
      </c>
    </row>
    <row r="3351">
      <c r="M3351" s="2">
        <f>IF(C3351="","",IFERROR(INDEX($S$5:$S$304,MATCH(C3351,$R$5:$R$304,0))&amp;"","?"))</f>
        <v/>
      </c>
      <c r="N3351" s="2">
        <f>IF(E3351="","",IF(ISNUMBER(SEARCH("SUBSOLO",E3351)),IFERROR(-VALUE(LEFT(E3351,FIND("º",SUBSTITUTE(E3351,"°","º"))-1)),-1),IF(LEFT(E3351,6)="TÉRREO",0,IFERROR(VALUE(LEFT(E3351,FIND("º",SUBSTITUTE(E3351,"°","º"))-1)),""))))</f>
        <v/>
      </c>
      <c r="O3351" s="2">
        <f>IF(OR(F3351="",G3351=""),"",IF(G3351&lt;='RETRATO 2027'!$K$5,"CONCLUÍDA",IF(F3351&lt;='RETRATO 2027'!$K$5,"EM ANDAMENTO","A INICIAR")))</f>
        <v/>
      </c>
    </row>
    <row r="3352">
      <c r="M3352" s="2">
        <f>IF(C3352="","",IFERROR(INDEX($S$5:$S$304,MATCH(C3352,$R$5:$R$304,0))&amp;"","?"))</f>
        <v/>
      </c>
      <c r="N3352" s="2">
        <f>IF(E3352="","",IF(ISNUMBER(SEARCH("SUBSOLO",E3352)),IFERROR(-VALUE(LEFT(E3352,FIND("º",SUBSTITUTE(E3352,"°","º"))-1)),-1),IF(LEFT(E3352,6)="TÉRREO",0,IFERROR(VALUE(LEFT(E3352,FIND("º",SUBSTITUTE(E3352,"°","º"))-1)),""))))</f>
        <v/>
      </c>
      <c r="O3352" s="2">
        <f>IF(OR(F3352="",G3352=""),"",IF(G3352&lt;='RETRATO 2027'!$K$5,"CONCLUÍDA",IF(F3352&lt;='RETRATO 2027'!$K$5,"EM ANDAMENTO","A INICIAR")))</f>
        <v/>
      </c>
    </row>
    <row r="3353">
      <c r="M3353" s="2">
        <f>IF(C3353="","",IFERROR(INDEX($S$5:$S$304,MATCH(C3353,$R$5:$R$304,0))&amp;"","?"))</f>
        <v/>
      </c>
      <c r="N3353" s="2">
        <f>IF(E3353="","",IF(ISNUMBER(SEARCH("SUBSOLO",E3353)),IFERROR(-VALUE(LEFT(E3353,FIND("º",SUBSTITUTE(E3353,"°","º"))-1)),-1),IF(LEFT(E3353,6)="TÉRREO",0,IFERROR(VALUE(LEFT(E3353,FIND("º",SUBSTITUTE(E3353,"°","º"))-1)),""))))</f>
        <v/>
      </c>
      <c r="O3353" s="2">
        <f>IF(OR(F3353="",G3353=""),"",IF(G3353&lt;='RETRATO 2027'!$K$5,"CONCLUÍDA",IF(F3353&lt;='RETRATO 2027'!$K$5,"EM ANDAMENTO","A INICIAR")))</f>
        <v/>
      </c>
    </row>
    <row r="3354">
      <c r="M3354" s="2">
        <f>IF(C3354="","",IFERROR(INDEX($S$5:$S$304,MATCH(C3354,$R$5:$R$304,0))&amp;"","?"))</f>
        <v/>
      </c>
      <c r="N3354" s="2">
        <f>IF(E3354="","",IF(ISNUMBER(SEARCH("SUBSOLO",E3354)),IFERROR(-VALUE(LEFT(E3354,FIND("º",SUBSTITUTE(E3354,"°","º"))-1)),-1),IF(LEFT(E3354,6)="TÉRREO",0,IFERROR(VALUE(LEFT(E3354,FIND("º",SUBSTITUTE(E3354,"°","º"))-1)),""))))</f>
        <v/>
      </c>
      <c r="O3354" s="2">
        <f>IF(OR(F3354="",G3354=""),"",IF(G3354&lt;='RETRATO 2027'!$K$5,"CONCLUÍDA",IF(F3354&lt;='RETRATO 2027'!$K$5,"EM ANDAMENTO","A INICIAR")))</f>
        <v/>
      </c>
    </row>
    <row r="3355">
      <c r="M3355" s="2">
        <f>IF(C3355="","",IFERROR(INDEX($S$5:$S$304,MATCH(C3355,$R$5:$R$304,0))&amp;"","?"))</f>
        <v/>
      </c>
      <c r="N3355" s="2">
        <f>IF(E3355="","",IF(ISNUMBER(SEARCH("SUBSOLO",E3355)),IFERROR(-VALUE(LEFT(E3355,FIND("º",SUBSTITUTE(E3355,"°","º"))-1)),-1),IF(LEFT(E3355,6)="TÉRREO",0,IFERROR(VALUE(LEFT(E3355,FIND("º",SUBSTITUTE(E3355,"°","º"))-1)),""))))</f>
        <v/>
      </c>
      <c r="O3355" s="2">
        <f>IF(OR(F3355="",G3355=""),"",IF(G3355&lt;='RETRATO 2027'!$K$5,"CONCLUÍDA",IF(F3355&lt;='RETRATO 2027'!$K$5,"EM ANDAMENTO","A INICIAR")))</f>
        <v/>
      </c>
    </row>
    <row r="3356">
      <c r="M3356" s="2">
        <f>IF(C3356="","",IFERROR(INDEX($S$5:$S$304,MATCH(C3356,$R$5:$R$304,0))&amp;"","?"))</f>
        <v/>
      </c>
      <c r="N3356" s="2">
        <f>IF(E3356="","",IF(ISNUMBER(SEARCH("SUBSOLO",E3356)),IFERROR(-VALUE(LEFT(E3356,FIND("º",SUBSTITUTE(E3356,"°","º"))-1)),-1),IF(LEFT(E3356,6)="TÉRREO",0,IFERROR(VALUE(LEFT(E3356,FIND("º",SUBSTITUTE(E3356,"°","º"))-1)),""))))</f>
        <v/>
      </c>
      <c r="O3356" s="2">
        <f>IF(OR(F3356="",G3356=""),"",IF(G3356&lt;='RETRATO 2027'!$K$5,"CONCLUÍDA",IF(F3356&lt;='RETRATO 2027'!$K$5,"EM ANDAMENTO","A INICIAR")))</f>
        <v/>
      </c>
    </row>
    <row r="3357">
      <c r="M3357" s="2">
        <f>IF(C3357="","",IFERROR(INDEX($S$5:$S$304,MATCH(C3357,$R$5:$R$304,0))&amp;"","?"))</f>
        <v/>
      </c>
      <c r="N3357" s="2">
        <f>IF(E3357="","",IF(ISNUMBER(SEARCH("SUBSOLO",E3357)),IFERROR(-VALUE(LEFT(E3357,FIND("º",SUBSTITUTE(E3357,"°","º"))-1)),-1),IF(LEFT(E3357,6)="TÉRREO",0,IFERROR(VALUE(LEFT(E3357,FIND("º",SUBSTITUTE(E3357,"°","º"))-1)),""))))</f>
        <v/>
      </c>
      <c r="O3357" s="2">
        <f>IF(OR(F3357="",G3357=""),"",IF(G3357&lt;='RETRATO 2027'!$K$5,"CONCLUÍDA",IF(F3357&lt;='RETRATO 2027'!$K$5,"EM ANDAMENTO","A INICIAR")))</f>
        <v/>
      </c>
    </row>
    <row r="3358">
      <c r="M3358" s="2">
        <f>IF(C3358="","",IFERROR(INDEX($S$5:$S$304,MATCH(C3358,$R$5:$R$304,0))&amp;"","?"))</f>
        <v/>
      </c>
      <c r="N3358" s="2">
        <f>IF(E3358="","",IF(ISNUMBER(SEARCH("SUBSOLO",E3358)),IFERROR(-VALUE(LEFT(E3358,FIND("º",SUBSTITUTE(E3358,"°","º"))-1)),-1),IF(LEFT(E3358,6)="TÉRREO",0,IFERROR(VALUE(LEFT(E3358,FIND("º",SUBSTITUTE(E3358,"°","º"))-1)),""))))</f>
        <v/>
      </c>
      <c r="O3358" s="2">
        <f>IF(OR(F3358="",G3358=""),"",IF(G3358&lt;='RETRATO 2027'!$K$5,"CONCLUÍDA",IF(F3358&lt;='RETRATO 2027'!$K$5,"EM ANDAMENTO","A INICIAR")))</f>
        <v/>
      </c>
    </row>
    <row r="3359">
      <c r="M3359" s="2">
        <f>IF(C3359="","",IFERROR(INDEX($S$5:$S$304,MATCH(C3359,$R$5:$R$304,0))&amp;"","?"))</f>
        <v/>
      </c>
      <c r="N3359" s="2">
        <f>IF(E3359="","",IF(ISNUMBER(SEARCH("SUBSOLO",E3359)),IFERROR(-VALUE(LEFT(E3359,FIND("º",SUBSTITUTE(E3359,"°","º"))-1)),-1),IF(LEFT(E3359,6)="TÉRREO",0,IFERROR(VALUE(LEFT(E3359,FIND("º",SUBSTITUTE(E3359,"°","º"))-1)),""))))</f>
        <v/>
      </c>
      <c r="O3359" s="2">
        <f>IF(OR(F3359="",G3359=""),"",IF(G3359&lt;='RETRATO 2027'!$K$5,"CONCLUÍDA",IF(F3359&lt;='RETRATO 2027'!$K$5,"EM ANDAMENTO","A INICIAR")))</f>
        <v/>
      </c>
    </row>
    <row r="3360">
      <c r="M3360" s="2">
        <f>IF(C3360="","",IFERROR(INDEX($S$5:$S$304,MATCH(C3360,$R$5:$R$304,0))&amp;"","?"))</f>
        <v/>
      </c>
      <c r="N3360" s="2">
        <f>IF(E3360="","",IF(ISNUMBER(SEARCH("SUBSOLO",E3360)),IFERROR(-VALUE(LEFT(E3360,FIND("º",SUBSTITUTE(E3360,"°","º"))-1)),-1),IF(LEFT(E3360,6)="TÉRREO",0,IFERROR(VALUE(LEFT(E3360,FIND("º",SUBSTITUTE(E3360,"°","º"))-1)),""))))</f>
        <v/>
      </c>
      <c r="O3360" s="2">
        <f>IF(OR(F3360="",G3360=""),"",IF(G3360&lt;='RETRATO 2027'!$K$5,"CONCLUÍDA",IF(F3360&lt;='RETRATO 2027'!$K$5,"EM ANDAMENTO","A INICIAR")))</f>
        <v/>
      </c>
    </row>
    <row r="3361">
      <c r="M3361" s="2">
        <f>IF(C3361="","",IFERROR(INDEX($S$5:$S$304,MATCH(C3361,$R$5:$R$304,0))&amp;"","?"))</f>
        <v/>
      </c>
      <c r="N3361" s="2">
        <f>IF(E3361="","",IF(ISNUMBER(SEARCH("SUBSOLO",E3361)),IFERROR(-VALUE(LEFT(E3361,FIND("º",SUBSTITUTE(E3361,"°","º"))-1)),-1),IF(LEFT(E3361,6)="TÉRREO",0,IFERROR(VALUE(LEFT(E3361,FIND("º",SUBSTITUTE(E3361,"°","º"))-1)),""))))</f>
        <v/>
      </c>
      <c r="O3361" s="2">
        <f>IF(OR(F3361="",G3361=""),"",IF(G3361&lt;='RETRATO 2027'!$K$5,"CONCLUÍDA",IF(F3361&lt;='RETRATO 2027'!$K$5,"EM ANDAMENTO","A INICIAR")))</f>
        <v/>
      </c>
    </row>
    <row r="3362">
      <c r="M3362" s="2">
        <f>IF(C3362="","",IFERROR(INDEX($S$5:$S$304,MATCH(C3362,$R$5:$R$304,0))&amp;"","?"))</f>
        <v/>
      </c>
      <c r="N3362" s="2">
        <f>IF(E3362="","",IF(ISNUMBER(SEARCH("SUBSOLO",E3362)),IFERROR(-VALUE(LEFT(E3362,FIND("º",SUBSTITUTE(E3362,"°","º"))-1)),-1),IF(LEFT(E3362,6)="TÉRREO",0,IFERROR(VALUE(LEFT(E3362,FIND("º",SUBSTITUTE(E3362,"°","º"))-1)),""))))</f>
        <v/>
      </c>
      <c r="O3362" s="2">
        <f>IF(OR(F3362="",G3362=""),"",IF(G3362&lt;='RETRATO 2027'!$K$5,"CONCLUÍDA",IF(F3362&lt;='RETRATO 2027'!$K$5,"EM ANDAMENTO","A INICIAR")))</f>
        <v/>
      </c>
    </row>
    <row r="3363">
      <c r="M3363" s="2">
        <f>IF(C3363="","",IFERROR(INDEX($S$5:$S$304,MATCH(C3363,$R$5:$R$304,0))&amp;"","?"))</f>
        <v/>
      </c>
      <c r="N3363" s="2">
        <f>IF(E3363="","",IF(ISNUMBER(SEARCH("SUBSOLO",E3363)),IFERROR(-VALUE(LEFT(E3363,FIND("º",SUBSTITUTE(E3363,"°","º"))-1)),-1),IF(LEFT(E3363,6)="TÉRREO",0,IFERROR(VALUE(LEFT(E3363,FIND("º",SUBSTITUTE(E3363,"°","º"))-1)),""))))</f>
        <v/>
      </c>
      <c r="O3363" s="2">
        <f>IF(OR(F3363="",G3363=""),"",IF(G3363&lt;='RETRATO 2027'!$K$5,"CONCLUÍDA",IF(F3363&lt;='RETRATO 2027'!$K$5,"EM ANDAMENTO","A INICIAR")))</f>
        <v/>
      </c>
    </row>
    <row r="3364">
      <c r="M3364" s="2">
        <f>IF(C3364="","",IFERROR(INDEX($S$5:$S$304,MATCH(C3364,$R$5:$R$304,0))&amp;"","?"))</f>
        <v/>
      </c>
      <c r="N3364" s="2">
        <f>IF(E3364="","",IF(ISNUMBER(SEARCH("SUBSOLO",E3364)),IFERROR(-VALUE(LEFT(E3364,FIND("º",SUBSTITUTE(E3364,"°","º"))-1)),-1),IF(LEFT(E3364,6)="TÉRREO",0,IFERROR(VALUE(LEFT(E3364,FIND("º",SUBSTITUTE(E3364,"°","º"))-1)),""))))</f>
        <v/>
      </c>
      <c r="O3364" s="2">
        <f>IF(OR(F3364="",G3364=""),"",IF(G3364&lt;='RETRATO 2027'!$K$5,"CONCLUÍDA",IF(F3364&lt;='RETRATO 2027'!$K$5,"EM ANDAMENTO","A INICIAR")))</f>
        <v/>
      </c>
    </row>
    <row r="3365">
      <c r="M3365" s="2">
        <f>IF(C3365="","",IFERROR(INDEX($S$5:$S$304,MATCH(C3365,$R$5:$R$304,0))&amp;"","?"))</f>
        <v/>
      </c>
      <c r="N3365" s="2">
        <f>IF(E3365="","",IF(ISNUMBER(SEARCH("SUBSOLO",E3365)),IFERROR(-VALUE(LEFT(E3365,FIND("º",SUBSTITUTE(E3365,"°","º"))-1)),-1),IF(LEFT(E3365,6)="TÉRREO",0,IFERROR(VALUE(LEFT(E3365,FIND("º",SUBSTITUTE(E3365,"°","º"))-1)),""))))</f>
        <v/>
      </c>
      <c r="O3365" s="2">
        <f>IF(OR(F3365="",G3365=""),"",IF(G3365&lt;='RETRATO 2027'!$K$5,"CONCLUÍDA",IF(F3365&lt;='RETRATO 2027'!$K$5,"EM ANDAMENTO","A INICIAR")))</f>
        <v/>
      </c>
    </row>
    <row r="3366">
      <c r="M3366" s="2">
        <f>IF(C3366="","",IFERROR(INDEX($S$5:$S$304,MATCH(C3366,$R$5:$R$304,0))&amp;"","?"))</f>
        <v/>
      </c>
      <c r="N3366" s="2">
        <f>IF(E3366="","",IF(ISNUMBER(SEARCH("SUBSOLO",E3366)),IFERROR(-VALUE(LEFT(E3366,FIND("º",SUBSTITUTE(E3366,"°","º"))-1)),-1),IF(LEFT(E3366,6)="TÉRREO",0,IFERROR(VALUE(LEFT(E3366,FIND("º",SUBSTITUTE(E3366,"°","º"))-1)),""))))</f>
        <v/>
      </c>
      <c r="O3366" s="2">
        <f>IF(OR(F3366="",G3366=""),"",IF(G3366&lt;='RETRATO 2027'!$K$5,"CONCLUÍDA",IF(F3366&lt;='RETRATO 2027'!$K$5,"EM ANDAMENTO","A INICIAR")))</f>
        <v/>
      </c>
    </row>
    <row r="3367">
      <c r="M3367" s="2">
        <f>IF(C3367="","",IFERROR(INDEX($S$5:$S$304,MATCH(C3367,$R$5:$R$304,0))&amp;"","?"))</f>
        <v/>
      </c>
      <c r="N3367" s="2">
        <f>IF(E3367="","",IF(ISNUMBER(SEARCH("SUBSOLO",E3367)),IFERROR(-VALUE(LEFT(E3367,FIND("º",SUBSTITUTE(E3367,"°","º"))-1)),-1),IF(LEFT(E3367,6)="TÉRREO",0,IFERROR(VALUE(LEFT(E3367,FIND("º",SUBSTITUTE(E3367,"°","º"))-1)),""))))</f>
        <v/>
      </c>
      <c r="O3367" s="2">
        <f>IF(OR(F3367="",G3367=""),"",IF(G3367&lt;='RETRATO 2027'!$K$5,"CONCLUÍDA",IF(F3367&lt;='RETRATO 2027'!$K$5,"EM ANDAMENTO","A INICIAR")))</f>
        <v/>
      </c>
    </row>
    <row r="3368">
      <c r="M3368" s="2">
        <f>IF(C3368="","",IFERROR(INDEX($S$5:$S$304,MATCH(C3368,$R$5:$R$304,0))&amp;"","?"))</f>
        <v/>
      </c>
      <c r="N3368" s="2">
        <f>IF(E3368="","",IF(ISNUMBER(SEARCH("SUBSOLO",E3368)),IFERROR(-VALUE(LEFT(E3368,FIND("º",SUBSTITUTE(E3368,"°","º"))-1)),-1),IF(LEFT(E3368,6)="TÉRREO",0,IFERROR(VALUE(LEFT(E3368,FIND("º",SUBSTITUTE(E3368,"°","º"))-1)),""))))</f>
        <v/>
      </c>
      <c r="O3368" s="2">
        <f>IF(OR(F3368="",G3368=""),"",IF(G3368&lt;='RETRATO 2027'!$K$5,"CONCLUÍDA",IF(F3368&lt;='RETRATO 2027'!$K$5,"EM ANDAMENTO","A INICIAR")))</f>
        <v/>
      </c>
    </row>
    <row r="3369">
      <c r="M3369" s="2">
        <f>IF(C3369="","",IFERROR(INDEX($S$5:$S$304,MATCH(C3369,$R$5:$R$304,0))&amp;"","?"))</f>
        <v/>
      </c>
      <c r="N3369" s="2">
        <f>IF(E3369="","",IF(ISNUMBER(SEARCH("SUBSOLO",E3369)),IFERROR(-VALUE(LEFT(E3369,FIND("º",SUBSTITUTE(E3369,"°","º"))-1)),-1),IF(LEFT(E3369,6)="TÉRREO",0,IFERROR(VALUE(LEFT(E3369,FIND("º",SUBSTITUTE(E3369,"°","º"))-1)),""))))</f>
        <v/>
      </c>
      <c r="O3369" s="2">
        <f>IF(OR(F3369="",G3369=""),"",IF(G3369&lt;='RETRATO 2027'!$K$5,"CONCLUÍDA",IF(F3369&lt;='RETRATO 2027'!$K$5,"EM ANDAMENTO","A INICIAR")))</f>
        <v/>
      </c>
    </row>
    <row r="3370">
      <c r="M3370" s="2">
        <f>IF(C3370="","",IFERROR(INDEX($S$5:$S$304,MATCH(C3370,$R$5:$R$304,0))&amp;"","?"))</f>
        <v/>
      </c>
      <c r="N3370" s="2">
        <f>IF(E3370="","",IF(ISNUMBER(SEARCH("SUBSOLO",E3370)),IFERROR(-VALUE(LEFT(E3370,FIND("º",SUBSTITUTE(E3370,"°","º"))-1)),-1),IF(LEFT(E3370,6)="TÉRREO",0,IFERROR(VALUE(LEFT(E3370,FIND("º",SUBSTITUTE(E3370,"°","º"))-1)),""))))</f>
        <v/>
      </c>
      <c r="O3370" s="2">
        <f>IF(OR(F3370="",G3370=""),"",IF(G3370&lt;='RETRATO 2027'!$K$5,"CONCLUÍDA",IF(F3370&lt;='RETRATO 2027'!$K$5,"EM ANDAMENTO","A INICIAR")))</f>
        <v/>
      </c>
    </row>
    <row r="3371">
      <c r="M3371" s="2">
        <f>IF(C3371="","",IFERROR(INDEX($S$5:$S$304,MATCH(C3371,$R$5:$R$304,0))&amp;"","?"))</f>
        <v/>
      </c>
      <c r="N3371" s="2">
        <f>IF(E3371="","",IF(ISNUMBER(SEARCH("SUBSOLO",E3371)),IFERROR(-VALUE(LEFT(E3371,FIND("º",SUBSTITUTE(E3371,"°","º"))-1)),-1),IF(LEFT(E3371,6)="TÉRREO",0,IFERROR(VALUE(LEFT(E3371,FIND("º",SUBSTITUTE(E3371,"°","º"))-1)),""))))</f>
        <v/>
      </c>
      <c r="O3371" s="2">
        <f>IF(OR(F3371="",G3371=""),"",IF(G3371&lt;='RETRATO 2027'!$K$5,"CONCLUÍDA",IF(F3371&lt;='RETRATO 2027'!$K$5,"EM ANDAMENTO","A INICIAR")))</f>
        <v/>
      </c>
    </row>
    <row r="3372">
      <c r="M3372" s="2">
        <f>IF(C3372="","",IFERROR(INDEX($S$5:$S$304,MATCH(C3372,$R$5:$R$304,0))&amp;"","?"))</f>
        <v/>
      </c>
      <c r="N3372" s="2">
        <f>IF(E3372="","",IF(ISNUMBER(SEARCH("SUBSOLO",E3372)),IFERROR(-VALUE(LEFT(E3372,FIND("º",SUBSTITUTE(E3372,"°","º"))-1)),-1),IF(LEFT(E3372,6)="TÉRREO",0,IFERROR(VALUE(LEFT(E3372,FIND("º",SUBSTITUTE(E3372,"°","º"))-1)),""))))</f>
        <v/>
      </c>
      <c r="O3372" s="2">
        <f>IF(OR(F3372="",G3372=""),"",IF(G3372&lt;='RETRATO 2027'!$K$5,"CONCLUÍDA",IF(F3372&lt;='RETRATO 2027'!$K$5,"EM ANDAMENTO","A INICIAR")))</f>
        <v/>
      </c>
    </row>
    <row r="3373">
      <c r="M3373" s="2">
        <f>IF(C3373="","",IFERROR(INDEX($S$5:$S$304,MATCH(C3373,$R$5:$R$304,0))&amp;"","?"))</f>
        <v/>
      </c>
      <c r="N3373" s="2">
        <f>IF(E3373="","",IF(ISNUMBER(SEARCH("SUBSOLO",E3373)),IFERROR(-VALUE(LEFT(E3373,FIND("º",SUBSTITUTE(E3373,"°","º"))-1)),-1),IF(LEFT(E3373,6)="TÉRREO",0,IFERROR(VALUE(LEFT(E3373,FIND("º",SUBSTITUTE(E3373,"°","º"))-1)),""))))</f>
        <v/>
      </c>
      <c r="O3373" s="2">
        <f>IF(OR(F3373="",G3373=""),"",IF(G3373&lt;='RETRATO 2027'!$K$5,"CONCLUÍDA",IF(F3373&lt;='RETRATO 2027'!$K$5,"EM ANDAMENTO","A INICIAR")))</f>
        <v/>
      </c>
    </row>
    <row r="3374">
      <c r="M3374" s="2">
        <f>IF(C3374="","",IFERROR(INDEX($S$5:$S$304,MATCH(C3374,$R$5:$R$304,0))&amp;"","?"))</f>
        <v/>
      </c>
      <c r="N3374" s="2">
        <f>IF(E3374="","",IF(ISNUMBER(SEARCH("SUBSOLO",E3374)),IFERROR(-VALUE(LEFT(E3374,FIND("º",SUBSTITUTE(E3374,"°","º"))-1)),-1),IF(LEFT(E3374,6)="TÉRREO",0,IFERROR(VALUE(LEFT(E3374,FIND("º",SUBSTITUTE(E3374,"°","º"))-1)),""))))</f>
        <v/>
      </c>
      <c r="O3374" s="2">
        <f>IF(OR(F3374="",G3374=""),"",IF(G3374&lt;='RETRATO 2027'!$K$5,"CONCLUÍDA",IF(F3374&lt;='RETRATO 2027'!$K$5,"EM ANDAMENTO","A INICIAR")))</f>
        <v/>
      </c>
    </row>
    <row r="3375">
      <c r="M3375" s="2">
        <f>IF(C3375="","",IFERROR(INDEX($S$5:$S$304,MATCH(C3375,$R$5:$R$304,0))&amp;"","?"))</f>
        <v/>
      </c>
      <c r="N3375" s="2">
        <f>IF(E3375="","",IF(ISNUMBER(SEARCH("SUBSOLO",E3375)),IFERROR(-VALUE(LEFT(E3375,FIND("º",SUBSTITUTE(E3375,"°","º"))-1)),-1),IF(LEFT(E3375,6)="TÉRREO",0,IFERROR(VALUE(LEFT(E3375,FIND("º",SUBSTITUTE(E3375,"°","º"))-1)),""))))</f>
        <v/>
      </c>
      <c r="O3375" s="2">
        <f>IF(OR(F3375="",G3375=""),"",IF(G3375&lt;='RETRATO 2027'!$K$5,"CONCLUÍDA",IF(F3375&lt;='RETRATO 2027'!$K$5,"EM ANDAMENTO","A INICIAR")))</f>
        <v/>
      </c>
    </row>
    <row r="3376">
      <c r="M3376" s="2">
        <f>IF(C3376="","",IFERROR(INDEX($S$5:$S$304,MATCH(C3376,$R$5:$R$304,0))&amp;"","?"))</f>
        <v/>
      </c>
      <c r="N3376" s="2">
        <f>IF(E3376="","",IF(ISNUMBER(SEARCH("SUBSOLO",E3376)),IFERROR(-VALUE(LEFT(E3376,FIND("º",SUBSTITUTE(E3376,"°","º"))-1)),-1),IF(LEFT(E3376,6)="TÉRREO",0,IFERROR(VALUE(LEFT(E3376,FIND("º",SUBSTITUTE(E3376,"°","º"))-1)),""))))</f>
        <v/>
      </c>
      <c r="O3376" s="2">
        <f>IF(OR(F3376="",G3376=""),"",IF(G3376&lt;='RETRATO 2027'!$K$5,"CONCLUÍDA",IF(F3376&lt;='RETRATO 2027'!$K$5,"EM ANDAMENTO","A INICIAR")))</f>
        <v/>
      </c>
    </row>
    <row r="3377">
      <c r="M3377" s="2">
        <f>IF(C3377="","",IFERROR(INDEX($S$5:$S$304,MATCH(C3377,$R$5:$R$304,0))&amp;"","?"))</f>
        <v/>
      </c>
      <c r="N3377" s="2">
        <f>IF(E3377="","",IF(ISNUMBER(SEARCH("SUBSOLO",E3377)),IFERROR(-VALUE(LEFT(E3377,FIND("º",SUBSTITUTE(E3377,"°","º"))-1)),-1),IF(LEFT(E3377,6)="TÉRREO",0,IFERROR(VALUE(LEFT(E3377,FIND("º",SUBSTITUTE(E3377,"°","º"))-1)),""))))</f>
        <v/>
      </c>
      <c r="O3377" s="2">
        <f>IF(OR(F3377="",G3377=""),"",IF(G3377&lt;='RETRATO 2027'!$K$5,"CONCLUÍDA",IF(F3377&lt;='RETRATO 2027'!$K$5,"EM ANDAMENTO","A INICIAR")))</f>
        <v/>
      </c>
    </row>
    <row r="3378">
      <c r="M3378" s="2">
        <f>IF(C3378="","",IFERROR(INDEX($S$5:$S$304,MATCH(C3378,$R$5:$R$304,0))&amp;"","?"))</f>
        <v/>
      </c>
      <c r="N3378" s="2">
        <f>IF(E3378="","",IF(ISNUMBER(SEARCH("SUBSOLO",E3378)),IFERROR(-VALUE(LEFT(E3378,FIND("º",SUBSTITUTE(E3378,"°","º"))-1)),-1),IF(LEFT(E3378,6)="TÉRREO",0,IFERROR(VALUE(LEFT(E3378,FIND("º",SUBSTITUTE(E3378,"°","º"))-1)),""))))</f>
        <v/>
      </c>
      <c r="O3378" s="2">
        <f>IF(OR(F3378="",G3378=""),"",IF(G3378&lt;='RETRATO 2027'!$K$5,"CONCLUÍDA",IF(F3378&lt;='RETRATO 2027'!$K$5,"EM ANDAMENTO","A INICIAR")))</f>
        <v/>
      </c>
    </row>
    <row r="3379">
      <c r="M3379" s="2">
        <f>IF(C3379="","",IFERROR(INDEX($S$5:$S$304,MATCH(C3379,$R$5:$R$304,0))&amp;"","?"))</f>
        <v/>
      </c>
      <c r="N3379" s="2">
        <f>IF(E3379="","",IF(ISNUMBER(SEARCH("SUBSOLO",E3379)),IFERROR(-VALUE(LEFT(E3379,FIND("º",SUBSTITUTE(E3379,"°","º"))-1)),-1),IF(LEFT(E3379,6)="TÉRREO",0,IFERROR(VALUE(LEFT(E3379,FIND("º",SUBSTITUTE(E3379,"°","º"))-1)),""))))</f>
        <v/>
      </c>
      <c r="O3379" s="2">
        <f>IF(OR(F3379="",G3379=""),"",IF(G3379&lt;='RETRATO 2027'!$K$5,"CONCLUÍDA",IF(F3379&lt;='RETRATO 2027'!$K$5,"EM ANDAMENTO","A INICIAR")))</f>
        <v/>
      </c>
    </row>
    <row r="3380">
      <c r="M3380" s="2">
        <f>IF(C3380="","",IFERROR(INDEX($S$5:$S$304,MATCH(C3380,$R$5:$R$304,0))&amp;"","?"))</f>
        <v/>
      </c>
      <c r="N3380" s="2">
        <f>IF(E3380="","",IF(ISNUMBER(SEARCH("SUBSOLO",E3380)),IFERROR(-VALUE(LEFT(E3380,FIND("º",SUBSTITUTE(E3380,"°","º"))-1)),-1),IF(LEFT(E3380,6)="TÉRREO",0,IFERROR(VALUE(LEFT(E3380,FIND("º",SUBSTITUTE(E3380,"°","º"))-1)),""))))</f>
        <v/>
      </c>
      <c r="O3380" s="2">
        <f>IF(OR(F3380="",G3380=""),"",IF(G3380&lt;='RETRATO 2027'!$K$5,"CONCLUÍDA",IF(F3380&lt;='RETRATO 2027'!$K$5,"EM ANDAMENTO","A INICIAR")))</f>
        <v/>
      </c>
    </row>
    <row r="3381">
      <c r="M3381" s="2">
        <f>IF(C3381="","",IFERROR(INDEX($S$5:$S$304,MATCH(C3381,$R$5:$R$304,0))&amp;"","?"))</f>
        <v/>
      </c>
      <c r="N3381" s="2">
        <f>IF(E3381="","",IF(ISNUMBER(SEARCH("SUBSOLO",E3381)),IFERROR(-VALUE(LEFT(E3381,FIND("º",SUBSTITUTE(E3381,"°","º"))-1)),-1),IF(LEFT(E3381,6)="TÉRREO",0,IFERROR(VALUE(LEFT(E3381,FIND("º",SUBSTITUTE(E3381,"°","º"))-1)),""))))</f>
        <v/>
      </c>
      <c r="O3381" s="2">
        <f>IF(OR(F3381="",G3381=""),"",IF(G3381&lt;='RETRATO 2027'!$K$5,"CONCLUÍDA",IF(F3381&lt;='RETRATO 2027'!$K$5,"EM ANDAMENTO","A INICIAR")))</f>
        <v/>
      </c>
    </row>
    <row r="3382">
      <c r="M3382" s="2">
        <f>IF(C3382="","",IFERROR(INDEX($S$5:$S$304,MATCH(C3382,$R$5:$R$304,0))&amp;"","?"))</f>
        <v/>
      </c>
      <c r="N3382" s="2">
        <f>IF(E3382="","",IF(ISNUMBER(SEARCH("SUBSOLO",E3382)),IFERROR(-VALUE(LEFT(E3382,FIND("º",SUBSTITUTE(E3382,"°","º"))-1)),-1),IF(LEFT(E3382,6)="TÉRREO",0,IFERROR(VALUE(LEFT(E3382,FIND("º",SUBSTITUTE(E3382,"°","º"))-1)),""))))</f>
        <v/>
      </c>
      <c r="O3382" s="2">
        <f>IF(OR(F3382="",G3382=""),"",IF(G3382&lt;='RETRATO 2027'!$K$5,"CONCLUÍDA",IF(F3382&lt;='RETRATO 2027'!$K$5,"EM ANDAMENTO","A INICIAR")))</f>
        <v/>
      </c>
    </row>
    <row r="3383">
      <c r="M3383" s="2">
        <f>IF(C3383="","",IFERROR(INDEX($S$5:$S$304,MATCH(C3383,$R$5:$R$304,0))&amp;"","?"))</f>
        <v/>
      </c>
      <c r="N3383" s="2">
        <f>IF(E3383="","",IF(ISNUMBER(SEARCH("SUBSOLO",E3383)),IFERROR(-VALUE(LEFT(E3383,FIND("º",SUBSTITUTE(E3383,"°","º"))-1)),-1),IF(LEFT(E3383,6)="TÉRREO",0,IFERROR(VALUE(LEFT(E3383,FIND("º",SUBSTITUTE(E3383,"°","º"))-1)),""))))</f>
        <v/>
      </c>
      <c r="O3383" s="2">
        <f>IF(OR(F3383="",G3383=""),"",IF(G3383&lt;='RETRATO 2027'!$K$5,"CONCLUÍDA",IF(F3383&lt;='RETRATO 2027'!$K$5,"EM ANDAMENTO","A INICIAR")))</f>
        <v/>
      </c>
    </row>
    <row r="3384">
      <c r="M3384" s="2">
        <f>IF(C3384="","",IFERROR(INDEX($S$5:$S$304,MATCH(C3384,$R$5:$R$304,0))&amp;"","?"))</f>
        <v/>
      </c>
      <c r="N3384" s="2">
        <f>IF(E3384="","",IF(ISNUMBER(SEARCH("SUBSOLO",E3384)),IFERROR(-VALUE(LEFT(E3384,FIND("º",SUBSTITUTE(E3384,"°","º"))-1)),-1),IF(LEFT(E3384,6)="TÉRREO",0,IFERROR(VALUE(LEFT(E3384,FIND("º",SUBSTITUTE(E3384,"°","º"))-1)),""))))</f>
        <v/>
      </c>
      <c r="O3384" s="2">
        <f>IF(OR(F3384="",G3384=""),"",IF(G3384&lt;='RETRATO 2027'!$K$5,"CONCLUÍDA",IF(F3384&lt;='RETRATO 2027'!$K$5,"EM ANDAMENTO","A INICIAR")))</f>
        <v/>
      </c>
    </row>
    <row r="3385">
      <c r="M3385" s="2">
        <f>IF(C3385="","",IFERROR(INDEX($S$5:$S$304,MATCH(C3385,$R$5:$R$304,0))&amp;"","?"))</f>
        <v/>
      </c>
      <c r="N3385" s="2">
        <f>IF(E3385="","",IF(ISNUMBER(SEARCH("SUBSOLO",E3385)),IFERROR(-VALUE(LEFT(E3385,FIND("º",SUBSTITUTE(E3385,"°","º"))-1)),-1),IF(LEFT(E3385,6)="TÉRREO",0,IFERROR(VALUE(LEFT(E3385,FIND("º",SUBSTITUTE(E3385,"°","º"))-1)),""))))</f>
        <v/>
      </c>
      <c r="O3385" s="2">
        <f>IF(OR(F3385="",G3385=""),"",IF(G3385&lt;='RETRATO 2027'!$K$5,"CONCLUÍDA",IF(F3385&lt;='RETRATO 2027'!$K$5,"EM ANDAMENTO","A INICIAR")))</f>
        <v/>
      </c>
    </row>
    <row r="3386">
      <c r="M3386" s="2">
        <f>IF(C3386="","",IFERROR(INDEX($S$5:$S$304,MATCH(C3386,$R$5:$R$304,0))&amp;"","?"))</f>
        <v/>
      </c>
      <c r="N3386" s="2">
        <f>IF(E3386="","",IF(ISNUMBER(SEARCH("SUBSOLO",E3386)),IFERROR(-VALUE(LEFT(E3386,FIND("º",SUBSTITUTE(E3386,"°","º"))-1)),-1),IF(LEFT(E3386,6)="TÉRREO",0,IFERROR(VALUE(LEFT(E3386,FIND("º",SUBSTITUTE(E3386,"°","º"))-1)),""))))</f>
        <v/>
      </c>
      <c r="O3386" s="2">
        <f>IF(OR(F3386="",G3386=""),"",IF(G3386&lt;='RETRATO 2027'!$K$5,"CONCLUÍDA",IF(F3386&lt;='RETRATO 2027'!$K$5,"EM ANDAMENTO","A INICIAR")))</f>
        <v/>
      </c>
    </row>
    <row r="3387">
      <c r="M3387" s="2">
        <f>IF(C3387="","",IFERROR(INDEX($S$5:$S$304,MATCH(C3387,$R$5:$R$304,0))&amp;"","?"))</f>
        <v/>
      </c>
      <c r="N3387" s="2">
        <f>IF(E3387="","",IF(ISNUMBER(SEARCH("SUBSOLO",E3387)),IFERROR(-VALUE(LEFT(E3387,FIND("º",SUBSTITUTE(E3387,"°","º"))-1)),-1),IF(LEFT(E3387,6)="TÉRREO",0,IFERROR(VALUE(LEFT(E3387,FIND("º",SUBSTITUTE(E3387,"°","º"))-1)),""))))</f>
        <v/>
      </c>
      <c r="O3387" s="2">
        <f>IF(OR(F3387="",G3387=""),"",IF(G3387&lt;='RETRATO 2027'!$K$5,"CONCLUÍDA",IF(F3387&lt;='RETRATO 2027'!$K$5,"EM ANDAMENTO","A INICIAR")))</f>
        <v/>
      </c>
    </row>
    <row r="3388">
      <c r="M3388" s="2">
        <f>IF(C3388="","",IFERROR(INDEX($S$5:$S$304,MATCH(C3388,$R$5:$R$304,0))&amp;"","?"))</f>
        <v/>
      </c>
      <c r="N3388" s="2">
        <f>IF(E3388="","",IF(ISNUMBER(SEARCH("SUBSOLO",E3388)),IFERROR(-VALUE(LEFT(E3388,FIND("º",SUBSTITUTE(E3388,"°","º"))-1)),-1),IF(LEFT(E3388,6)="TÉRREO",0,IFERROR(VALUE(LEFT(E3388,FIND("º",SUBSTITUTE(E3388,"°","º"))-1)),""))))</f>
        <v/>
      </c>
      <c r="O3388" s="2">
        <f>IF(OR(F3388="",G3388=""),"",IF(G3388&lt;='RETRATO 2027'!$K$5,"CONCLUÍDA",IF(F3388&lt;='RETRATO 2027'!$K$5,"EM ANDAMENTO","A INICIAR")))</f>
        <v/>
      </c>
    </row>
    <row r="3389">
      <c r="M3389" s="2">
        <f>IF(C3389="","",IFERROR(INDEX($S$5:$S$304,MATCH(C3389,$R$5:$R$304,0))&amp;"","?"))</f>
        <v/>
      </c>
      <c r="N3389" s="2">
        <f>IF(E3389="","",IF(ISNUMBER(SEARCH("SUBSOLO",E3389)),IFERROR(-VALUE(LEFT(E3389,FIND("º",SUBSTITUTE(E3389,"°","º"))-1)),-1),IF(LEFT(E3389,6)="TÉRREO",0,IFERROR(VALUE(LEFT(E3389,FIND("º",SUBSTITUTE(E3389,"°","º"))-1)),""))))</f>
        <v/>
      </c>
      <c r="O3389" s="2">
        <f>IF(OR(F3389="",G3389=""),"",IF(G3389&lt;='RETRATO 2027'!$K$5,"CONCLUÍDA",IF(F3389&lt;='RETRATO 2027'!$K$5,"EM ANDAMENTO","A INICIAR")))</f>
        <v/>
      </c>
    </row>
    <row r="3390">
      <c r="M3390" s="2">
        <f>IF(C3390="","",IFERROR(INDEX($S$5:$S$304,MATCH(C3390,$R$5:$R$304,0))&amp;"","?"))</f>
        <v/>
      </c>
      <c r="N3390" s="2">
        <f>IF(E3390="","",IF(ISNUMBER(SEARCH("SUBSOLO",E3390)),IFERROR(-VALUE(LEFT(E3390,FIND("º",SUBSTITUTE(E3390,"°","º"))-1)),-1),IF(LEFT(E3390,6)="TÉRREO",0,IFERROR(VALUE(LEFT(E3390,FIND("º",SUBSTITUTE(E3390,"°","º"))-1)),""))))</f>
        <v/>
      </c>
      <c r="O3390" s="2">
        <f>IF(OR(F3390="",G3390=""),"",IF(G3390&lt;='RETRATO 2027'!$K$5,"CONCLUÍDA",IF(F3390&lt;='RETRATO 2027'!$K$5,"EM ANDAMENTO","A INICIAR")))</f>
        <v/>
      </c>
    </row>
    <row r="3391">
      <c r="M3391" s="2">
        <f>IF(C3391="","",IFERROR(INDEX($S$5:$S$304,MATCH(C3391,$R$5:$R$304,0))&amp;"","?"))</f>
        <v/>
      </c>
      <c r="N3391" s="2">
        <f>IF(E3391="","",IF(ISNUMBER(SEARCH("SUBSOLO",E3391)),IFERROR(-VALUE(LEFT(E3391,FIND("º",SUBSTITUTE(E3391,"°","º"))-1)),-1),IF(LEFT(E3391,6)="TÉRREO",0,IFERROR(VALUE(LEFT(E3391,FIND("º",SUBSTITUTE(E3391,"°","º"))-1)),""))))</f>
        <v/>
      </c>
      <c r="O3391" s="2">
        <f>IF(OR(F3391="",G3391=""),"",IF(G3391&lt;='RETRATO 2027'!$K$5,"CONCLUÍDA",IF(F3391&lt;='RETRATO 2027'!$K$5,"EM ANDAMENTO","A INICIAR")))</f>
        <v/>
      </c>
    </row>
    <row r="3392">
      <c r="M3392" s="2">
        <f>IF(C3392="","",IFERROR(INDEX($S$5:$S$304,MATCH(C3392,$R$5:$R$304,0))&amp;"","?"))</f>
        <v/>
      </c>
      <c r="N3392" s="2">
        <f>IF(E3392="","",IF(ISNUMBER(SEARCH("SUBSOLO",E3392)),IFERROR(-VALUE(LEFT(E3392,FIND("º",SUBSTITUTE(E3392,"°","º"))-1)),-1),IF(LEFT(E3392,6)="TÉRREO",0,IFERROR(VALUE(LEFT(E3392,FIND("º",SUBSTITUTE(E3392,"°","º"))-1)),""))))</f>
        <v/>
      </c>
      <c r="O3392" s="2">
        <f>IF(OR(F3392="",G3392=""),"",IF(G3392&lt;='RETRATO 2027'!$K$5,"CONCLUÍDA",IF(F3392&lt;='RETRATO 2027'!$K$5,"EM ANDAMENTO","A INICIAR")))</f>
        <v/>
      </c>
    </row>
    <row r="3393">
      <c r="M3393" s="2">
        <f>IF(C3393="","",IFERROR(INDEX($S$5:$S$304,MATCH(C3393,$R$5:$R$304,0))&amp;"","?"))</f>
        <v/>
      </c>
      <c r="N3393" s="2">
        <f>IF(E3393="","",IF(ISNUMBER(SEARCH("SUBSOLO",E3393)),IFERROR(-VALUE(LEFT(E3393,FIND("º",SUBSTITUTE(E3393,"°","º"))-1)),-1),IF(LEFT(E3393,6)="TÉRREO",0,IFERROR(VALUE(LEFT(E3393,FIND("º",SUBSTITUTE(E3393,"°","º"))-1)),""))))</f>
        <v/>
      </c>
      <c r="O3393" s="2">
        <f>IF(OR(F3393="",G3393=""),"",IF(G3393&lt;='RETRATO 2027'!$K$5,"CONCLUÍDA",IF(F3393&lt;='RETRATO 2027'!$K$5,"EM ANDAMENTO","A INICIAR")))</f>
        <v/>
      </c>
    </row>
    <row r="3394">
      <c r="M3394" s="2">
        <f>IF(C3394="","",IFERROR(INDEX($S$5:$S$304,MATCH(C3394,$R$5:$R$304,0))&amp;"","?"))</f>
        <v/>
      </c>
      <c r="N3394" s="2">
        <f>IF(E3394="","",IF(ISNUMBER(SEARCH("SUBSOLO",E3394)),IFERROR(-VALUE(LEFT(E3394,FIND("º",SUBSTITUTE(E3394,"°","º"))-1)),-1),IF(LEFT(E3394,6)="TÉRREO",0,IFERROR(VALUE(LEFT(E3394,FIND("º",SUBSTITUTE(E3394,"°","º"))-1)),""))))</f>
        <v/>
      </c>
      <c r="O3394" s="2">
        <f>IF(OR(F3394="",G3394=""),"",IF(G3394&lt;='RETRATO 2027'!$K$5,"CONCLUÍDA",IF(F3394&lt;='RETRATO 2027'!$K$5,"EM ANDAMENTO","A INICIAR")))</f>
        <v/>
      </c>
    </row>
    <row r="3395">
      <c r="M3395" s="2">
        <f>IF(C3395="","",IFERROR(INDEX($S$5:$S$304,MATCH(C3395,$R$5:$R$304,0))&amp;"","?"))</f>
        <v/>
      </c>
      <c r="N3395" s="2">
        <f>IF(E3395="","",IF(ISNUMBER(SEARCH("SUBSOLO",E3395)),IFERROR(-VALUE(LEFT(E3395,FIND("º",SUBSTITUTE(E3395,"°","º"))-1)),-1),IF(LEFT(E3395,6)="TÉRREO",0,IFERROR(VALUE(LEFT(E3395,FIND("º",SUBSTITUTE(E3395,"°","º"))-1)),""))))</f>
        <v/>
      </c>
      <c r="O3395" s="2">
        <f>IF(OR(F3395="",G3395=""),"",IF(G3395&lt;='RETRATO 2027'!$K$5,"CONCLUÍDA",IF(F3395&lt;='RETRATO 2027'!$K$5,"EM ANDAMENTO","A INICIAR")))</f>
        <v/>
      </c>
    </row>
    <row r="3396">
      <c r="M3396" s="2">
        <f>IF(C3396="","",IFERROR(INDEX($S$5:$S$304,MATCH(C3396,$R$5:$R$304,0))&amp;"","?"))</f>
        <v/>
      </c>
      <c r="N3396" s="2">
        <f>IF(E3396="","",IF(ISNUMBER(SEARCH("SUBSOLO",E3396)),IFERROR(-VALUE(LEFT(E3396,FIND("º",SUBSTITUTE(E3396,"°","º"))-1)),-1),IF(LEFT(E3396,6)="TÉRREO",0,IFERROR(VALUE(LEFT(E3396,FIND("º",SUBSTITUTE(E3396,"°","º"))-1)),""))))</f>
        <v/>
      </c>
      <c r="O3396" s="2">
        <f>IF(OR(F3396="",G3396=""),"",IF(G3396&lt;='RETRATO 2027'!$K$5,"CONCLUÍDA",IF(F3396&lt;='RETRATO 2027'!$K$5,"EM ANDAMENTO","A INICIAR")))</f>
        <v/>
      </c>
    </row>
    <row r="3397">
      <c r="M3397" s="2">
        <f>IF(C3397="","",IFERROR(INDEX($S$5:$S$304,MATCH(C3397,$R$5:$R$304,0))&amp;"","?"))</f>
        <v/>
      </c>
      <c r="N3397" s="2">
        <f>IF(E3397="","",IF(ISNUMBER(SEARCH("SUBSOLO",E3397)),IFERROR(-VALUE(LEFT(E3397,FIND("º",SUBSTITUTE(E3397,"°","º"))-1)),-1),IF(LEFT(E3397,6)="TÉRREO",0,IFERROR(VALUE(LEFT(E3397,FIND("º",SUBSTITUTE(E3397,"°","º"))-1)),""))))</f>
        <v/>
      </c>
      <c r="O3397" s="2">
        <f>IF(OR(F3397="",G3397=""),"",IF(G3397&lt;='RETRATO 2027'!$K$5,"CONCLUÍDA",IF(F3397&lt;='RETRATO 2027'!$K$5,"EM ANDAMENTO","A INICIAR")))</f>
        <v/>
      </c>
    </row>
    <row r="3398">
      <c r="M3398" s="2">
        <f>IF(C3398="","",IFERROR(INDEX($S$5:$S$304,MATCH(C3398,$R$5:$R$304,0))&amp;"","?"))</f>
        <v/>
      </c>
      <c r="N3398" s="2">
        <f>IF(E3398="","",IF(ISNUMBER(SEARCH("SUBSOLO",E3398)),IFERROR(-VALUE(LEFT(E3398,FIND("º",SUBSTITUTE(E3398,"°","º"))-1)),-1),IF(LEFT(E3398,6)="TÉRREO",0,IFERROR(VALUE(LEFT(E3398,FIND("º",SUBSTITUTE(E3398,"°","º"))-1)),""))))</f>
        <v/>
      </c>
      <c r="O3398" s="2">
        <f>IF(OR(F3398="",G3398=""),"",IF(G3398&lt;='RETRATO 2027'!$K$5,"CONCLUÍDA",IF(F3398&lt;='RETRATO 2027'!$K$5,"EM ANDAMENTO","A INICIAR")))</f>
        <v/>
      </c>
    </row>
    <row r="3399">
      <c r="M3399" s="2">
        <f>IF(C3399="","",IFERROR(INDEX($S$5:$S$304,MATCH(C3399,$R$5:$R$304,0))&amp;"","?"))</f>
        <v/>
      </c>
      <c r="N3399" s="2">
        <f>IF(E3399="","",IF(ISNUMBER(SEARCH("SUBSOLO",E3399)),IFERROR(-VALUE(LEFT(E3399,FIND("º",SUBSTITUTE(E3399,"°","º"))-1)),-1),IF(LEFT(E3399,6)="TÉRREO",0,IFERROR(VALUE(LEFT(E3399,FIND("º",SUBSTITUTE(E3399,"°","º"))-1)),""))))</f>
        <v/>
      </c>
      <c r="O3399" s="2">
        <f>IF(OR(F3399="",G3399=""),"",IF(G3399&lt;='RETRATO 2027'!$K$5,"CONCLUÍDA",IF(F3399&lt;='RETRATO 2027'!$K$5,"EM ANDAMENTO","A INICIAR")))</f>
        <v/>
      </c>
    </row>
    <row r="3400">
      <c r="M3400" s="2">
        <f>IF(C3400="","",IFERROR(INDEX($S$5:$S$304,MATCH(C3400,$R$5:$R$304,0))&amp;"","?"))</f>
        <v/>
      </c>
      <c r="N3400" s="2">
        <f>IF(E3400="","",IF(ISNUMBER(SEARCH("SUBSOLO",E3400)),IFERROR(-VALUE(LEFT(E3400,FIND("º",SUBSTITUTE(E3400,"°","º"))-1)),-1),IF(LEFT(E3400,6)="TÉRREO",0,IFERROR(VALUE(LEFT(E3400,FIND("º",SUBSTITUTE(E3400,"°","º"))-1)),""))))</f>
        <v/>
      </c>
      <c r="O3400" s="2">
        <f>IF(OR(F3400="",G3400=""),"",IF(G3400&lt;='RETRATO 2027'!$K$5,"CONCLUÍDA",IF(F3400&lt;='RETRATO 2027'!$K$5,"EM ANDAMENTO","A INICIAR")))</f>
        <v/>
      </c>
    </row>
    <row r="3401">
      <c r="M3401" s="2">
        <f>IF(C3401="","",IFERROR(INDEX($S$5:$S$304,MATCH(C3401,$R$5:$R$304,0))&amp;"","?"))</f>
        <v/>
      </c>
      <c r="N3401" s="2">
        <f>IF(E3401="","",IF(ISNUMBER(SEARCH("SUBSOLO",E3401)),IFERROR(-VALUE(LEFT(E3401,FIND("º",SUBSTITUTE(E3401,"°","º"))-1)),-1),IF(LEFT(E3401,6)="TÉRREO",0,IFERROR(VALUE(LEFT(E3401,FIND("º",SUBSTITUTE(E3401,"°","º"))-1)),""))))</f>
        <v/>
      </c>
      <c r="O3401" s="2">
        <f>IF(OR(F3401="",G3401=""),"",IF(G3401&lt;='RETRATO 2027'!$K$5,"CONCLUÍDA",IF(F3401&lt;='RETRATO 2027'!$K$5,"EM ANDAMENTO","A INICIAR")))</f>
        <v/>
      </c>
    </row>
    <row r="3402">
      <c r="M3402" s="2">
        <f>IF(C3402="","",IFERROR(INDEX($S$5:$S$304,MATCH(C3402,$R$5:$R$304,0))&amp;"","?"))</f>
        <v/>
      </c>
      <c r="N3402" s="2">
        <f>IF(E3402="","",IF(ISNUMBER(SEARCH("SUBSOLO",E3402)),IFERROR(-VALUE(LEFT(E3402,FIND("º",SUBSTITUTE(E3402,"°","º"))-1)),-1),IF(LEFT(E3402,6)="TÉRREO",0,IFERROR(VALUE(LEFT(E3402,FIND("º",SUBSTITUTE(E3402,"°","º"))-1)),""))))</f>
        <v/>
      </c>
      <c r="O3402" s="2">
        <f>IF(OR(F3402="",G3402=""),"",IF(G3402&lt;='RETRATO 2027'!$K$5,"CONCLUÍDA",IF(F3402&lt;='RETRATO 2027'!$K$5,"EM ANDAMENTO","A INICIAR")))</f>
        <v/>
      </c>
    </row>
    <row r="3403">
      <c r="M3403" s="2">
        <f>IF(C3403="","",IFERROR(INDEX($S$5:$S$304,MATCH(C3403,$R$5:$R$304,0))&amp;"","?"))</f>
        <v/>
      </c>
      <c r="N3403" s="2">
        <f>IF(E3403="","",IF(ISNUMBER(SEARCH("SUBSOLO",E3403)),IFERROR(-VALUE(LEFT(E3403,FIND("º",SUBSTITUTE(E3403,"°","º"))-1)),-1),IF(LEFT(E3403,6)="TÉRREO",0,IFERROR(VALUE(LEFT(E3403,FIND("º",SUBSTITUTE(E3403,"°","º"))-1)),""))))</f>
        <v/>
      </c>
      <c r="O3403" s="2">
        <f>IF(OR(F3403="",G3403=""),"",IF(G3403&lt;='RETRATO 2027'!$K$5,"CONCLUÍDA",IF(F3403&lt;='RETRATO 2027'!$K$5,"EM ANDAMENTO","A INICIAR")))</f>
        <v/>
      </c>
    </row>
    <row r="3404">
      <c r="M3404" s="2">
        <f>IF(C3404="","",IFERROR(INDEX($S$5:$S$304,MATCH(C3404,$R$5:$R$304,0))&amp;"","?"))</f>
        <v/>
      </c>
      <c r="N3404" s="2">
        <f>IF(E3404="","",IF(ISNUMBER(SEARCH("SUBSOLO",E3404)),IFERROR(-VALUE(LEFT(E3404,FIND("º",SUBSTITUTE(E3404,"°","º"))-1)),-1),IF(LEFT(E3404,6)="TÉRREO",0,IFERROR(VALUE(LEFT(E3404,FIND("º",SUBSTITUTE(E3404,"°","º"))-1)),""))))</f>
        <v/>
      </c>
      <c r="O3404" s="2">
        <f>IF(OR(F3404="",G3404=""),"",IF(G3404&lt;='RETRATO 2027'!$K$5,"CONCLUÍDA",IF(F3404&lt;='RETRATO 2027'!$K$5,"EM ANDAMENTO","A INICIAR")))</f>
        <v/>
      </c>
    </row>
    <row r="3405">
      <c r="M3405" s="2">
        <f>IF(C3405="","",IFERROR(INDEX($S$5:$S$304,MATCH(C3405,$R$5:$R$304,0))&amp;"","?"))</f>
        <v/>
      </c>
      <c r="N3405" s="2">
        <f>IF(E3405="","",IF(ISNUMBER(SEARCH("SUBSOLO",E3405)),IFERROR(-VALUE(LEFT(E3405,FIND("º",SUBSTITUTE(E3405,"°","º"))-1)),-1),IF(LEFT(E3405,6)="TÉRREO",0,IFERROR(VALUE(LEFT(E3405,FIND("º",SUBSTITUTE(E3405,"°","º"))-1)),""))))</f>
        <v/>
      </c>
      <c r="O3405" s="2">
        <f>IF(OR(F3405="",G3405=""),"",IF(G3405&lt;='RETRATO 2027'!$K$5,"CONCLUÍDA",IF(F3405&lt;='RETRATO 2027'!$K$5,"EM ANDAMENTO","A INICIAR")))</f>
        <v/>
      </c>
    </row>
    <row r="3406">
      <c r="M3406" s="2">
        <f>IF(C3406="","",IFERROR(INDEX($S$5:$S$304,MATCH(C3406,$R$5:$R$304,0))&amp;"","?"))</f>
        <v/>
      </c>
      <c r="N3406" s="2">
        <f>IF(E3406="","",IF(ISNUMBER(SEARCH("SUBSOLO",E3406)),IFERROR(-VALUE(LEFT(E3406,FIND("º",SUBSTITUTE(E3406,"°","º"))-1)),-1),IF(LEFT(E3406,6)="TÉRREO",0,IFERROR(VALUE(LEFT(E3406,FIND("º",SUBSTITUTE(E3406,"°","º"))-1)),""))))</f>
        <v/>
      </c>
      <c r="O3406" s="2">
        <f>IF(OR(F3406="",G3406=""),"",IF(G3406&lt;='RETRATO 2027'!$K$5,"CONCLUÍDA",IF(F3406&lt;='RETRATO 2027'!$K$5,"EM ANDAMENTO","A INICIAR")))</f>
        <v/>
      </c>
    </row>
    <row r="3407">
      <c r="M3407" s="2">
        <f>IF(C3407="","",IFERROR(INDEX($S$5:$S$304,MATCH(C3407,$R$5:$R$304,0))&amp;"","?"))</f>
        <v/>
      </c>
      <c r="N3407" s="2">
        <f>IF(E3407="","",IF(ISNUMBER(SEARCH("SUBSOLO",E3407)),IFERROR(-VALUE(LEFT(E3407,FIND("º",SUBSTITUTE(E3407,"°","º"))-1)),-1),IF(LEFT(E3407,6)="TÉRREO",0,IFERROR(VALUE(LEFT(E3407,FIND("º",SUBSTITUTE(E3407,"°","º"))-1)),""))))</f>
        <v/>
      </c>
      <c r="O3407" s="2">
        <f>IF(OR(F3407="",G3407=""),"",IF(G3407&lt;='RETRATO 2027'!$K$5,"CONCLUÍDA",IF(F3407&lt;='RETRATO 2027'!$K$5,"EM ANDAMENTO","A INICIAR")))</f>
        <v/>
      </c>
    </row>
    <row r="3408">
      <c r="M3408" s="2">
        <f>IF(C3408="","",IFERROR(INDEX($S$5:$S$304,MATCH(C3408,$R$5:$R$304,0))&amp;"","?"))</f>
        <v/>
      </c>
      <c r="N3408" s="2">
        <f>IF(E3408="","",IF(ISNUMBER(SEARCH("SUBSOLO",E3408)),IFERROR(-VALUE(LEFT(E3408,FIND("º",SUBSTITUTE(E3408,"°","º"))-1)),-1),IF(LEFT(E3408,6)="TÉRREO",0,IFERROR(VALUE(LEFT(E3408,FIND("º",SUBSTITUTE(E3408,"°","º"))-1)),""))))</f>
        <v/>
      </c>
      <c r="O3408" s="2">
        <f>IF(OR(F3408="",G3408=""),"",IF(G3408&lt;='RETRATO 2027'!$K$5,"CONCLUÍDA",IF(F3408&lt;='RETRATO 2027'!$K$5,"EM ANDAMENTO","A INICIAR")))</f>
        <v/>
      </c>
    </row>
    <row r="3409">
      <c r="M3409" s="2">
        <f>IF(C3409="","",IFERROR(INDEX($S$5:$S$304,MATCH(C3409,$R$5:$R$304,0))&amp;"","?"))</f>
        <v/>
      </c>
      <c r="N3409" s="2">
        <f>IF(E3409="","",IF(ISNUMBER(SEARCH("SUBSOLO",E3409)),IFERROR(-VALUE(LEFT(E3409,FIND("º",SUBSTITUTE(E3409,"°","º"))-1)),-1),IF(LEFT(E3409,6)="TÉRREO",0,IFERROR(VALUE(LEFT(E3409,FIND("º",SUBSTITUTE(E3409,"°","º"))-1)),""))))</f>
        <v/>
      </c>
      <c r="O3409" s="2">
        <f>IF(OR(F3409="",G3409=""),"",IF(G3409&lt;='RETRATO 2027'!$K$5,"CONCLUÍDA",IF(F3409&lt;='RETRATO 2027'!$K$5,"EM ANDAMENTO","A INICIAR")))</f>
        <v/>
      </c>
    </row>
    <row r="3410">
      <c r="M3410" s="2">
        <f>IF(C3410="","",IFERROR(INDEX($S$5:$S$304,MATCH(C3410,$R$5:$R$304,0))&amp;"","?"))</f>
        <v/>
      </c>
      <c r="N3410" s="2">
        <f>IF(E3410="","",IF(ISNUMBER(SEARCH("SUBSOLO",E3410)),IFERROR(-VALUE(LEFT(E3410,FIND("º",SUBSTITUTE(E3410,"°","º"))-1)),-1),IF(LEFT(E3410,6)="TÉRREO",0,IFERROR(VALUE(LEFT(E3410,FIND("º",SUBSTITUTE(E3410,"°","º"))-1)),""))))</f>
        <v/>
      </c>
      <c r="O3410" s="2">
        <f>IF(OR(F3410="",G3410=""),"",IF(G3410&lt;='RETRATO 2027'!$K$5,"CONCLUÍDA",IF(F3410&lt;='RETRATO 2027'!$K$5,"EM ANDAMENTO","A INICIAR")))</f>
        <v/>
      </c>
    </row>
    <row r="3411">
      <c r="M3411" s="2">
        <f>IF(C3411="","",IFERROR(INDEX($S$5:$S$304,MATCH(C3411,$R$5:$R$304,0))&amp;"","?"))</f>
        <v/>
      </c>
      <c r="N3411" s="2">
        <f>IF(E3411="","",IF(ISNUMBER(SEARCH("SUBSOLO",E3411)),IFERROR(-VALUE(LEFT(E3411,FIND("º",SUBSTITUTE(E3411,"°","º"))-1)),-1),IF(LEFT(E3411,6)="TÉRREO",0,IFERROR(VALUE(LEFT(E3411,FIND("º",SUBSTITUTE(E3411,"°","º"))-1)),""))))</f>
        <v/>
      </c>
      <c r="O3411" s="2">
        <f>IF(OR(F3411="",G3411=""),"",IF(G3411&lt;='RETRATO 2027'!$K$5,"CONCLUÍDA",IF(F3411&lt;='RETRATO 2027'!$K$5,"EM ANDAMENTO","A INICIAR")))</f>
        <v/>
      </c>
    </row>
    <row r="3412">
      <c r="M3412" s="2">
        <f>IF(C3412="","",IFERROR(INDEX($S$5:$S$304,MATCH(C3412,$R$5:$R$304,0))&amp;"","?"))</f>
        <v/>
      </c>
      <c r="N3412" s="2">
        <f>IF(E3412="","",IF(ISNUMBER(SEARCH("SUBSOLO",E3412)),IFERROR(-VALUE(LEFT(E3412,FIND("º",SUBSTITUTE(E3412,"°","º"))-1)),-1),IF(LEFT(E3412,6)="TÉRREO",0,IFERROR(VALUE(LEFT(E3412,FIND("º",SUBSTITUTE(E3412,"°","º"))-1)),""))))</f>
        <v/>
      </c>
      <c r="O3412" s="2">
        <f>IF(OR(F3412="",G3412=""),"",IF(G3412&lt;='RETRATO 2027'!$K$5,"CONCLUÍDA",IF(F3412&lt;='RETRATO 2027'!$K$5,"EM ANDAMENTO","A INICIAR")))</f>
        <v/>
      </c>
    </row>
    <row r="3413">
      <c r="M3413" s="2">
        <f>IF(C3413="","",IFERROR(INDEX($S$5:$S$304,MATCH(C3413,$R$5:$R$304,0))&amp;"","?"))</f>
        <v/>
      </c>
      <c r="N3413" s="2">
        <f>IF(E3413="","",IF(ISNUMBER(SEARCH("SUBSOLO",E3413)),IFERROR(-VALUE(LEFT(E3413,FIND("º",SUBSTITUTE(E3413,"°","º"))-1)),-1),IF(LEFT(E3413,6)="TÉRREO",0,IFERROR(VALUE(LEFT(E3413,FIND("º",SUBSTITUTE(E3413,"°","º"))-1)),""))))</f>
        <v/>
      </c>
      <c r="O3413" s="2">
        <f>IF(OR(F3413="",G3413=""),"",IF(G3413&lt;='RETRATO 2027'!$K$5,"CONCLUÍDA",IF(F3413&lt;='RETRATO 2027'!$K$5,"EM ANDAMENTO","A INICIAR")))</f>
        <v/>
      </c>
    </row>
    <row r="3414">
      <c r="M3414" s="2">
        <f>IF(C3414="","",IFERROR(INDEX($S$5:$S$304,MATCH(C3414,$R$5:$R$304,0))&amp;"","?"))</f>
        <v/>
      </c>
      <c r="N3414" s="2">
        <f>IF(E3414="","",IF(ISNUMBER(SEARCH("SUBSOLO",E3414)),IFERROR(-VALUE(LEFT(E3414,FIND("º",SUBSTITUTE(E3414,"°","º"))-1)),-1),IF(LEFT(E3414,6)="TÉRREO",0,IFERROR(VALUE(LEFT(E3414,FIND("º",SUBSTITUTE(E3414,"°","º"))-1)),""))))</f>
        <v/>
      </c>
      <c r="O3414" s="2">
        <f>IF(OR(F3414="",G3414=""),"",IF(G3414&lt;='RETRATO 2027'!$K$5,"CONCLUÍDA",IF(F3414&lt;='RETRATO 2027'!$K$5,"EM ANDAMENTO","A INICIAR")))</f>
        <v/>
      </c>
    </row>
    <row r="3415">
      <c r="M3415" s="2">
        <f>IF(C3415="","",IFERROR(INDEX($S$5:$S$304,MATCH(C3415,$R$5:$R$304,0))&amp;"","?"))</f>
        <v/>
      </c>
      <c r="N3415" s="2">
        <f>IF(E3415="","",IF(ISNUMBER(SEARCH("SUBSOLO",E3415)),IFERROR(-VALUE(LEFT(E3415,FIND("º",SUBSTITUTE(E3415,"°","º"))-1)),-1),IF(LEFT(E3415,6)="TÉRREO",0,IFERROR(VALUE(LEFT(E3415,FIND("º",SUBSTITUTE(E3415,"°","º"))-1)),""))))</f>
        <v/>
      </c>
      <c r="O3415" s="2">
        <f>IF(OR(F3415="",G3415=""),"",IF(G3415&lt;='RETRATO 2027'!$K$5,"CONCLUÍDA",IF(F3415&lt;='RETRATO 2027'!$K$5,"EM ANDAMENTO","A INICIAR")))</f>
        <v/>
      </c>
    </row>
    <row r="3416">
      <c r="M3416" s="2">
        <f>IF(C3416="","",IFERROR(INDEX($S$5:$S$304,MATCH(C3416,$R$5:$R$304,0))&amp;"","?"))</f>
        <v/>
      </c>
      <c r="N3416" s="2">
        <f>IF(E3416="","",IF(ISNUMBER(SEARCH("SUBSOLO",E3416)),IFERROR(-VALUE(LEFT(E3416,FIND("º",SUBSTITUTE(E3416,"°","º"))-1)),-1),IF(LEFT(E3416,6)="TÉRREO",0,IFERROR(VALUE(LEFT(E3416,FIND("º",SUBSTITUTE(E3416,"°","º"))-1)),""))))</f>
        <v/>
      </c>
      <c r="O3416" s="2">
        <f>IF(OR(F3416="",G3416=""),"",IF(G3416&lt;='RETRATO 2027'!$K$5,"CONCLUÍDA",IF(F3416&lt;='RETRATO 2027'!$K$5,"EM ANDAMENTO","A INICIAR")))</f>
        <v/>
      </c>
    </row>
    <row r="3417">
      <c r="M3417" s="2">
        <f>IF(C3417="","",IFERROR(INDEX($S$5:$S$304,MATCH(C3417,$R$5:$R$304,0))&amp;"","?"))</f>
        <v/>
      </c>
      <c r="N3417" s="2">
        <f>IF(E3417="","",IF(ISNUMBER(SEARCH("SUBSOLO",E3417)),IFERROR(-VALUE(LEFT(E3417,FIND("º",SUBSTITUTE(E3417,"°","º"))-1)),-1),IF(LEFT(E3417,6)="TÉRREO",0,IFERROR(VALUE(LEFT(E3417,FIND("º",SUBSTITUTE(E3417,"°","º"))-1)),""))))</f>
        <v/>
      </c>
      <c r="O3417" s="2">
        <f>IF(OR(F3417="",G3417=""),"",IF(G3417&lt;='RETRATO 2027'!$K$5,"CONCLUÍDA",IF(F3417&lt;='RETRATO 2027'!$K$5,"EM ANDAMENTO","A INICIAR")))</f>
        <v/>
      </c>
    </row>
    <row r="3418">
      <c r="M3418" s="2">
        <f>IF(C3418="","",IFERROR(INDEX($S$5:$S$304,MATCH(C3418,$R$5:$R$304,0))&amp;"","?"))</f>
        <v/>
      </c>
      <c r="N3418" s="2">
        <f>IF(E3418="","",IF(ISNUMBER(SEARCH("SUBSOLO",E3418)),IFERROR(-VALUE(LEFT(E3418,FIND("º",SUBSTITUTE(E3418,"°","º"))-1)),-1),IF(LEFT(E3418,6)="TÉRREO",0,IFERROR(VALUE(LEFT(E3418,FIND("º",SUBSTITUTE(E3418,"°","º"))-1)),""))))</f>
        <v/>
      </c>
      <c r="O3418" s="2">
        <f>IF(OR(F3418="",G3418=""),"",IF(G3418&lt;='RETRATO 2027'!$K$5,"CONCLUÍDA",IF(F3418&lt;='RETRATO 2027'!$K$5,"EM ANDAMENTO","A INICIAR")))</f>
        <v/>
      </c>
    </row>
    <row r="3419">
      <c r="M3419" s="2">
        <f>IF(C3419="","",IFERROR(INDEX($S$5:$S$304,MATCH(C3419,$R$5:$R$304,0))&amp;"","?"))</f>
        <v/>
      </c>
      <c r="N3419" s="2">
        <f>IF(E3419="","",IF(ISNUMBER(SEARCH("SUBSOLO",E3419)),IFERROR(-VALUE(LEFT(E3419,FIND("º",SUBSTITUTE(E3419,"°","º"))-1)),-1),IF(LEFT(E3419,6)="TÉRREO",0,IFERROR(VALUE(LEFT(E3419,FIND("º",SUBSTITUTE(E3419,"°","º"))-1)),""))))</f>
        <v/>
      </c>
      <c r="O3419" s="2">
        <f>IF(OR(F3419="",G3419=""),"",IF(G3419&lt;='RETRATO 2027'!$K$5,"CONCLUÍDA",IF(F3419&lt;='RETRATO 2027'!$K$5,"EM ANDAMENTO","A INICIAR")))</f>
        <v/>
      </c>
    </row>
    <row r="3420">
      <c r="M3420" s="2">
        <f>IF(C3420="","",IFERROR(INDEX($S$5:$S$304,MATCH(C3420,$R$5:$R$304,0))&amp;"","?"))</f>
        <v/>
      </c>
      <c r="N3420" s="2">
        <f>IF(E3420="","",IF(ISNUMBER(SEARCH("SUBSOLO",E3420)),IFERROR(-VALUE(LEFT(E3420,FIND("º",SUBSTITUTE(E3420,"°","º"))-1)),-1),IF(LEFT(E3420,6)="TÉRREO",0,IFERROR(VALUE(LEFT(E3420,FIND("º",SUBSTITUTE(E3420,"°","º"))-1)),""))))</f>
        <v/>
      </c>
      <c r="O3420" s="2">
        <f>IF(OR(F3420="",G3420=""),"",IF(G3420&lt;='RETRATO 2027'!$K$5,"CONCLUÍDA",IF(F3420&lt;='RETRATO 2027'!$K$5,"EM ANDAMENTO","A INICIAR")))</f>
        <v/>
      </c>
    </row>
    <row r="3421">
      <c r="M3421" s="2">
        <f>IF(C3421="","",IFERROR(INDEX($S$5:$S$304,MATCH(C3421,$R$5:$R$304,0))&amp;"","?"))</f>
        <v/>
      </c>
      <c r="N3421" s="2">
        <f>IF(E3421="","",IF(ISNUMBER(SEARCH("SUBSOLO",E3421)),IFERROR(-VALUE(LEFT(E3421,FIND("º",SUBSTITUTE(E3421,"°","º"))-1)),-1),IF(LEFT(E3421,6)="TÉRREO",0,IFERROR(VALUE(LEFT(E3421,FIND("º",SUBSTITUTE(E3421,"°","º"))-1)),""))))</f>
        <v/>
      </c>
      <c r="O3421" s="2">
        <f>IF(OR(F3421="",G3421=""),"",IF(G3421&lt;='RETRATO 2027'!$K$5,"CONCLUÍDA",IF(F3421&lt;='RETRATO 2027'!$K$5,"EM ANDAMENTO","A INICIAR")))</f>
        <v/>
      </c>
    </row>
    <row r="3422">
      <c r="M3422" s="2">
        <f>IF(C3422="","",IFERROR(INDEX($S$5:$S$304,MATCH(C3422,$R$5:$R$304,0))&amp;"","?"))</f>
        <v/>
      </c>
      <c r="N3422" s="2">
        <f>IF(E3422="","",IF(ISNUMBER(SEARCH("SUBSOLO",E3422)),IFERROR(-VALUE(LEFT(E3422,FIND("º",SUBSTITUTE(E3422,"°","º"))-1)),-1),IF(LEFT(E3422,6)="TÉRREO",0,IFERROR(VALUE(LEFT(E3422,FIND("º",SUBSTITUTE(E3422,"°","º"))-1)),""))))</f>
        <v/>
      </c>
      <c r="O3422" s="2">
        <f>IF(OR(F3422="",G3422=""),"",IF(G3422&lt;='RETRATO 2027'!$K$5,"CONCLUÍDA",IF(F3422&lt;='RETRATO 2027'!$K$5,"EM ANDAMENTO","A INICIAR")))</f>
        <v/>
      </c>
    </row>
    <row r="3423">
      <c r="M3423" s="2">
        <f>IF(C3423="","",IFERROR(INDEX($S$5:$S$304,MATCH(C3423,$R$5:$R$304,0))&amp;"","?"))</f>
        <v/>
      </c>
      <c r="N3423" s="2">
        <f>IF(E3423="","",IF(ISNUMBER(SEARCH("SUBSOLO",E3423)),IFERROR(-VALUE(LEFT(E3423,FIND("º",SUBSTITUTE(E3423,"°","º"))-1)),-1),IF(LEFT(E3423,6)="TÉRREO",0,IFERROR(VALUE(LEFT(E3423,FIND("º",SUBSTITUTE(E3423,"°","º"))-1)),""))))</f>
        <v/>
      </c>
      <c r="O3423" s="2">
        <f>IF(OR(F3423="",G3423=""),"",IF(G3423&lt;='RETRATO 2027'!$K$5,"CONCLUÍDA",IF(F3423&lt;='RETRATO 2027'!$K$5,"EM ANDAMENTO","A INICIAR")))</f>
        <v/>
      </c>
    </row>
    <row r="3424">
      <c r="M3424" s="2">
        <f>IF(C3424="","",IFERROR(INDEX($S$5:$S$304,MATCH(C3424,$R$5:$R$304,0))&amp;"","?"))</f>
        <v/>
      </c>
      <c r="N3424" s="2">
        <f>IF(E3424="","",IF(ISNUMBER(SEARCH("SUBSOLO",E3424)),IFERROR(-VALUE(LEFT(E3424,FIND("º",SUBSTITUTE(E3424,"°","º"))-1)),-1),IF(LEFT(E3424,6)="TÉRREO",0,IFERROR(VALUE(LEFT(E3424,FIND("º",SUBSTITUTE(E3424,"°","º"))-1)),""))))</f>
        <v/>
      </c>
      <c r="O3424" s="2">
        <f>IF(OR(F3424="",G3424=""),"",IF(G3424&lt;='RETRATO 2027'!$K$5,"CONCLUÍDA",IF(F3424&lt;='RETRATO 2027'!$K$5,"EM ANDAMENTO","A INICIAR")))</f>
        <v/>
      </c>
    </row>
    <row r="3425">
      <c r="M3425" s="2">
        <f>IF(C3425="","",IFERROR(INDEX($S$5:$S$304,MATCH(C3425,$R$5:$R$304,0))&amp;"","?"))</f>
        <v/>
      </c>
      <c r="N3425" s="2">
        <f>IF(E3425="","",IF(ISNUMBER(SEARCH("SUBSOLO",E3425)),IFERROR(-VALUE(LEFT(E3425,FIND("º",SUBSTITUTE(E3425,"°","º"))-1)),-1),IF(LEFT(E3425,6)="TÉRREO",0,IFERROR(VALUE(LEFT(E3425,FIND("º",SUBSTITUTE(E3425,"°","º"))-1)),""))))</f>
        <v/>
      </c>
      <c r="O3425" s="2">
        <f>IF(OR(F3425="",G3425=""),"",IF(G3425&lt;='RETRATO 2027'!$K$5,"CONCLUÍDA",IF(F3425&lt;='RETRATO 2027'!$K$5,"EM ANDAMENTO","A INICIAR")))</f>
        <v/>
      </c>
    </row>
    <row r="3426">
      <c r="M3426" s="2">
        <f>IF(C3426="","",IFERROR(INDEX($S$5:$S$304,MATCH(C3426,$R$5:$R$304,0))&amp;"","?"))</f>
        <v/>
      </c>
      <c r="N3426" s="2">
        <f>IF(E3426="","",IF(ISNUMBER(SEARCH("SUBSOLO",E3426)),IFERROR(-VALUE(LEFT(E3426,FIND("º",SUBSTITUTE(E3426,"°","º"))-1)),-1),IF(LEFT(E3426,6)="TÉRREO",0,IFERROR(VALUE(LEFT(E3426,FIND("º",SUBSTITUTE(E3426,"°","º"))-1)),""))))</f>
        <v/>
      </c>
      <c r="O3426" s="2">
        <f>IF(OR(F3426="",G3426=""),"",IF(G3426&lt;='RETRATO 2027'!$K$5,"CONCLUÍDA",IF(F3426&lt;='RETRATO 2027'!$K$5,"EM ANDAMENTO","A INICIAR")))</f>
        <v/>
      </c>
    </row>
    <row r="3427">
      <c r="M3427" s="2">
        <f>IF(C3427="","",IFERROR(INDEX($S$5:$S$304,MATCH(C3427,$R$5:$R$304,0))&amp;"","?"))</f>
        <v/>
      </c>
      <c r="N3427" s="2">
        <f>IF(E3427="","",IF(ISNUMBER(SEARCH("SUBSOLO",E3427)),IFERROR(-VALUE(LEFT(E3427,FIND("º",SUBSTITUTE(E3427,"°","º"))-1)),-1),IF(LEFT(E3427,6)="TÉRREO",0,IFERROR(VALUE(LEFT(E3427,FIND("º",SUBSTITUTE(E3427,"°","º"))-1)),""))))</f>
        <v/>
      </c>
      <c r="O3427" s="2">
        <f>IF(OR(F3427="",G3427=""),"",IF(G3427&lt;='RETRATO 2027'!$K$5,"CONCLUÍDA",IF(F3427&lt;='RETRATO 2027'!$K$5,"EM ANDAMENTO","A INICIAR")))</f>
        <v/>
      </c>
    </row>
    <row r="3428">
      <c r="M3428" s="2">
        <f>IF(C3428="","",IFERROR(INDEX($S$5:$S$304,MATCH(C3428,$R$5:$R$304,0))&amp;"","?"))</f>
        <v/>
      </c>
      <c r="N3428" s="2">
        <f>IF(E3428="","",IF(ISNUMBER(SEARCH("SUBSOLO",E3428)),IFERROR(-VALUE(LEFT(E3428,FIND("º",SUBSTITUTE(E3428,"°","º"))-1)),-1),IF(LEFT(E3428,6)="TÉRREO",0,IFERROR(VALUE(LEFT(E3428,FIND("º",SUBSTITUTE(E3428,"°","º"))-1)),""))))</f>
        <v/>
      </c>
      <c r="O3428" s="2">
        <f>IF(OR(F3428="",G3428=""),"",IF(G3428&lt;='RETRATO 2027'!$K$5,"CONCLUÍDA",IF(F3428&lt;='RETRATO 2027'!$K$5,"EM ANDAMENTO","A INICIAR")))</f>
        <v/>
      </c>
    </row>
    <row r="3429">
      <c r="M3429" s="2">
        <f>IF(C3429="","",IFERROR(INDEX($S$5:$S$304,MATCH(C3429,$R$5:$R$304,0))&amp;"","?"))</f>
        <v/>
      </c>
      <c r="N3429" s="2">
        <f>IF(E3429="","",IF(ISNUMBER(SEARCH("SUBSOLO",E3429)),IFERROR(-VALUE(LEFT(E3429,FIND("º",SUBSTITUTE(E3429,"°","º"))-1)),-1),IF(LEFT(E3429,6)="TÉRREO",0,IFERROR(VALUE(LEFT(E3429,FIND("º",SUBSTITUTE(E3429,"°","º"))-1)),""))))</f>
        <v/>
      </c>
      <c r="O3429" s="2">
        <f>IF(OR(F3429="",G3429=""),"",IF(G3429&lt;='RETRATO 2027'!$K$5,"CONCLUÍDA",IF(F3429&lt;='RETRATO 2027'!$K$5,"EM ANDAMENTO","A INICIAR")))</f>
        <v/>
      </c>
    </row>
    <row r="3430">
      <c r="M3430" s="2">
        <f>IF(C3430="","",IFERROR(INDEX($S$5:$S$304,MATCH(C3430,$R$5:$R$304,0))&amp;"","?"))</f>
        <v/>
      </c>
      <c r="N3430" s="2">
        <f>IF(E3430="","",IF(ISNUMBER(SEARCH("SUBSOLO",E3430)),IFERROR(-VALUE(LEFT(E3430,FIND("º",SUBSTITUTE(E3430,"°","º"))-1)),-1),IF(LEFT(E3430,6)="TÉRREO",0,IFERROR(VALUE(LEFT(E3430,FIND("º",SUBSTITUTE(E3430,"°","º"))-1)),""))))</f>
        <v/>
      </c>
      <c r="O3430" s="2">
        <f>IF(OR(F3430="",G3430=""),"",IF(G3430&lt;='RETRATO 2027'!$K$5,"CONCLUÍDA",IF(F3430&lt;='RETRATO 2027'!$K$5,"EM ANDAMENTO","A INICIAR")))</f>
        <v/>
      </c>
    </row>
    <row r="3431">
      <c r="M3431" s="2">
        <f>IF(C3431="","",IFERROR(INDEX($S$5:$S$304,MATCH(C3431,$R$5:$R$304,0))&amp;"","?"))</f>
        <v/>
      </c>
      <c r="N3431" s="2">
        <f>IF(E3431="","",IF(ISNUMBER(SEARCH("SUBSOLO",E3431)),IFERROR(-VALUE(LEFT(E3431,FIND("º",SUBSTITUTE(E3431,"°","º"))-1)),-1),IF(LEFT(E3431,6)="TÉRREO",0,IFERROR(VALUE(LEFT(E3431,FIND("º",SUBSTITUTE(E3431,"°","º"))-1)),""))))</f>
        <v/>
      </c>
      <c r="O3431" s="2">
        <f>IF(OR(F3431="",G3431=""),"",IF(G3431&lt;='RETRATO 2027'!$K$5,"CONCLUÍDA",IF(F3431&lt;='RETRATO 2027'!$K$5,"EM ANDAMENTO","A INICIAR")))</f>
        <v/>
      </c>
    </row>
    <row r="3432">
      <c r="M3432" s="2">
        <f>IF(C3432="","",IFERROR(INDEX($S$5:$S$304,MATCH(C3432,$R$5:$R$304,0))&amp;"","?"))</f>
        <v/>
      </c>
      <c r="N3432" s="2">
        <f>IF(E3432="","",IF(ISNUMBER(SEARCH("SUBSOLO",E3432)),IFERROR(-VALUE(LEFT(E3432,FIND("º",SUBSTITUTE(E3432,"°","º"))-1)),-1),IF(LEFT(E3432,6)="TÉRREO",0,IFERROR(VALUE(LEFT(E3432,FIND("º",SUBSTITUTE(E3432,"°","º"))-1)),""))))</f>
        <v/>
      </c>
      <c r="O3432" s="2">
        <f>IF(OR(F3432="",G3432=""),"",IF(G3432&lt;='RETRATO 2027'!$K$5,"CONCLUÍDA",IF(F3432&lt;='RETRATO 2027'!$K$5,"EM ANDAMENTO","A INICIAR")))</f>
        <v/>
      </c>
    </row>
    <row r="3433">
      <c r="M3433" s="2">
        <f>IF(C3433="","",IFERROR(INDEX($S$5:$S$304,MATCH(C3433,$R$5:$R$304,0))&amp;"","?"))</f>
        <v/>
      </c>
      <c r="N3433" s="2">
        <f>IF(E3433="","",IF(ISNUMBER(SEARCH("SUBSOLO",E3433)),IFERROR(-VALUE(LEFT(E3433,FIND("º",SUBSTITUTE(E3433,"°","º"))-1)),-1),IF(LEFT(E3433,6)="TÉRREO",0,IFERROR(VALUE(LEFT(E3433,FIND("º",SUBSTITUTE(E3433,"°","º"))-1)),""))))</f>
        <v/>
      </c>
      <c r="O3433" s="2">
        <f>IF(OR(F3433="",G3433=""),"",IF(G3433&lt;='RETRATO 2027'!$K$5,"CONCLUÍDA",IF(F3433&lt;='RETRATO 2027'!$K$5,"EM ANDAMENTO","A INICIAR")))</f>
        <v/>
      </c>
    </row>
    <row r="3434">
      <c r="M3434" s="2">
        <f>IF(C3434="","",IFERROR(INDEX($S$5:$S$304,MATCH(C3434,$R$5:$R$304,0))&amp;"","?"))</f>
        <v/>
      </c>
      <c r="N3434" s="2">
        <f>IF(E3434="","",IF(ISNUMBER(SEARCH("SUBSOLO",E3434)),IFERROR(-VALUE(LEFT(E3434,FIND("º",SUBSTITUTE(E3434,"°","º"))-1)),-1),IF(LEFT(E3434,6)="TÉRREO",0,IFERROR(VALUE(LEFT(E3434,FIND("º",SUBSTITUTE(E3434,"°","º"))-1)),""))))</f>
        <v/>
      </c>
      <c r="O3434" s="2">
        <f>IF(OR(F3434="",G3434=""),"",IF(G3434&lt;='RETRATO 2027'!$K$5,"CONCLUÍDA",IF(F3434&lt;='RETRATO 2027'!$K$5,"EM ANDAMENTO","A INICIAR")))</f>
        <v/>
      </c>
    </row>
    <row r="3435">
      <c r="M3435" s="2">
        <f>IF(C3435="","",IFERROR(INDEX($S$5:$S$304,MATCH(C3435,$R$5:$R$304,0))&amp;"","?"))</f>
        <v/>
      </c>
      <c r="N3435" s="2">
        <f>IF(E3435="","",IF(ISNUMBER(SEARCH("SUBSOLO",E3435)),IFERROR(-VALUE(LEFT(E3435,FIND("º",SUBSTITUTE(E3435,"°","º"))-1)),-1),IF(LEFT(E3435,6)="TÉRREO",0,IFERROR(VALUE(LEFT(E3435,FIND("º",SUBSTITUTE(E3435,"°","º"))-1)),""))))</f>
        <v/>
      </c>
      <c r="O3435" s="2">
        <f>IF(OR(F3435="",G3435=""),"",IF(G3435&lt;='RETRATO 2027'!$K$5,"CONCLUÍDA",IF(F3435&lt;='RETRATO 2027'!$K$5,"EM ANDAMENTO","A INICIAR")))</f>
        <v/>
      </c>
    </row>
    <row r="3436">
      <c r="M3436" s="2">
        <f>IF(C3436="","",IFERROR(INDEX($S$5:$S$304,MATCH(C3436,$R$5:$R$304,0))&amp;"","?"))</f>
        <v/>
      </c>
      <c r="N3436" s="2">
        <f>IF(E3436="","",IF(ISNUMBER(SEARCH("SUBSOLO",E3436)),IFERROR(-VALUE(LEFT(E3436,FIND("º",SUBSTITUTE(E3436,"°","º"))-1)),-1),IF(LEFT(E3436,6)="TÉRREO",0,IFERROR(VALUE(LEFT(E3436,FIND("º",SUBSTITUTE(E3436,"°","º"))-1)),""))))</f>
        <v/>
      </c>
      <c r="O3436" s="2">
        <f>IF(OR(F3436="",G3436=""),"",IF(G3436&lt;='RETRATO 2027'!$K$5,"CONCLUÍDA",IF(F3436&lt;='RETRATO 2027'!$K$5,"EM ANDAMENTO","A INICIAR")))</f>
        <v/>
      </c>
    </row>
    <row r="3437">
      <c r="M3437" s="2">
        <f>IF(C3437="","",IFERROR(INDEX($S$5:$S$304,MATCH(C3437,$R$5:$R$304,0))&amp;"","?"))</f>
        <v/>
      </c>
      <c r="N3437" s="2">
        <f>IF(E3437="","",IF(ISNUMBER(SEARCH("SUBSOLO",E3437)),IFERROR(-VALUE(LEFT(E3437,FIND("º",SUBSTITUTE(E3437,"°","º"))-1)),-1),IF(LEFT(E3437,6)="TÉRREO",0,IFERROR(VALUE(LEFT(E3437,FIND("º",SUBSTITUTE(E3437,"°","º"))-1)),""))))</f>
        <v/>
      </c>
      <c r="O3437" s="2">
        <f>IF(OR(F3437="",G3437=""),"",IF(G3437&lt;='RETRATO 2027'!$K$5,"CONCLUÍDA",IF(F3437&lt;='RETRATO 2027'!$K$5,"EM ANDAMENTO","A INICIAR")))</f>
        <v/>
      </c>
    </row>
    <row r="3438">
      <c r="M3438" s="2">
        <f>IF(C3438="","",IFERROR(INDEX($S$5:$S$304,MATCH(C3438,$R$5:$R$304,0))&amp;"","?"))</f>
        <v/>
      </c>
      <c r="N3438" s="2">
        <f>IF(E3438="","",IF(ISNUMBER(SEARCH("SUBSOLO",E3438)),IFERROR(-VALUE(LEFT(E3438,FIND("º",SUBSTITUTE(E3438,"°","º"))-1)),-1),IF(LEFT(E3438,6)="TÉRREO",0,IFERROR(VALUE(LEFT(E3438,FIND("º",SUBSTITUTE(E3438,"°","º"))-1)),""))))</f>
        <v/>
      </c>
      <c r="O3438" s="2">
        <f>IF(OR(F3438="",G3438=""),"",IF(G3438&lt;='RETRATO 2027'!$K$5,"CONCLUÍDA",IF(F3438&lt;='RETRATO 2027'!$K$5,"EM ANDAMENTO","A INICIAR")))</f>
        <v/>
      </c>
    </row>
    <row r="3439">
      <c r="M3439" s="2">
        <f>IF(C3439="","",IFERROR(INDEX($S$5:$S$304,MATCH(C3439,$R$5:$R$304,0))&amp;"","?"))</f>
        <v/>
      </c>
      <c r="N3439" s="2">
        <f>IF(E3439="","",IF(ISNUMBER(SEARCH("SUBSOLO",E3439)),IFERROR(-VALUE(LEFT(E3439,FIND("º",SUBSTITUTE(E3439,"°","º"))-1)),-1),IF(LEFT(E3439,6)="TÉRREO",0,IFERROR(VALUE(LEFT(E3439,FIND("º",SUBSTITUTE(E3439,"°","º"))-1)),""))))</f>
        <v/>
      </c>
      <c r="O3439" s="2">
        <f>IF(OR(F3439="",G3439=""),"",IF(G3439&lt;='RETRATO 2027'!$K$5,"CONCLUÍDA",IF(F3439&lt;='RETRATO 2027'!$K$5,"EM ANDAMENTO","A INICIAR")))</f>
        <v/>
      </c>
    </row>
    <row r="3440">
      <c r="M3440" s="2">
        <f>IF(C3440="","",IFERROR(INDEX($S$5:$S$304,MATCH(C3440,$R$5:$R$304,0))&amp;"","?"))</f>
        <v/>
      </c>
      <c r="N3440" s="2">
        <f>IF(E3440="","",IF(ISNUMBER(SEARCH("SUBSOLO",E3440)),IFERROR(-VALUE(LEFT(E3440,FIND("º",SUBSTITUTE(E3440,"°","º"))-1)),-1),IF(LEFT(E3440,6)="TÉRREO",0,IFERROR(VALUE(LEFT(E3440,FIND("º",SUBSTITUTE(E3440,"°","º"))-1)),""))))</f>
        <v/>
      </c>
      <c r="O3440" s="2">
        <f>IF(OR(F3440="",G3440=""),"",IF(G3440&lt;='RETRATO 2027'!$K$5,"CONCLUÍDA",IF(F3440&lt;='RETRATO 2027'!$K$5,"EM ANDAMENTO","A INICIAR")))</f>
        <v/>
      </c>
    </row>
    <row r="3441">
      <c r="M3441" s="2">
        <f>IF(C3441="","",IFERROR(INDEX($S$5:$S$304,MATCH(C3441,$R$5:$R$304,0))&amp;"","?"))</f>
        <v/>
      </c>
      <c r="N3441" s="2">
        <f>IF(E3441="","",IF(ISNUMBER(SEARCH("SUBSOLO",E3441)),IFERROR(-VALUE(LEFT(E3441,FIND("º",SUBSTITUTE(E3441,"°","º"))-1)),-1),IF(LEFT(E3441,6)="TÉRREO",0,IFERROR(VALUE(LEFT(E3441,FIND("º",SUBSTITUTE(E3441,"°","º"))-1)),""))))</f>
        <v/>
      </c>
      <c r="O3441" s="2">
        <f>IF(OR(F3441="",G3441=""),"",IF(G3441&lt;='RETRATO 2027'!$K$5,"CONCLUÍDA",IF(F3441&lt;='RETRATO 2027'!$K$5,"EM ANDAMENTO","A INICIAR")))</f>
        <v/>
      </c>
    </row>
    <row r="3442">
      <c r="M3442" s="2">
        <f>IF(C3442="","",IFERROR(INDEX($S$5:$S$304,MATCH(C3442,$R$5:$R$304,0))&amp;"","?"))</f>
        <v/>
      </c>
      <c r="N3442" s="2">
        <f>IF(E3442="","",IF(ISNUMBER(SEARCH("SUBSOLO",E3442)),IFERROR(-VALUE(LEFT(E3442,FIND("º",SUBSTITUTE(E3442,"°","º"))-1)),-1),IF(LEFT(E3442,6)="TÉRREO",0,IFERROR(VALUE(LEFT(E3442,FIND("º",SUBSTITUTE(E3442,"°","º"))-1)),""))))</f>
        <v/>
      </c>
      <c r="O3442" s="2">
        <f>IF(OR(F3442="",G3442=""),"",IF(G3442&lt;='RETRATO 2027'!$K$5,"CONCLUÍDA",IF(F3442&lt;='RETRATO 2027'!$K$5,"EM ANDAMENTO","A INICIAR")))</f>
        <v/>
      </c>
    </row>
    <row r="3443">
      <c r="M3443" s="2">
        <f>IF(C3443="","",IFERROR(INDEX($S$5:$S$304,MATCH(C3443,$R$5:$R$304,0))&amp;"","?"))</f>
        <v/>
      </c>
      <c r="N3443" s="2">
        <f>IF(E3443="","",IF(ISNUMBER(SEARCH("SUBSOLO",E3443)),IFERROR(-VALUE(LEFT(E3443,FIND("º",SUBSTITUTE(E3443,"°","º"))-1)),-1),IF(LEFT(E3443,6)="TÉRREO",0,IFERROR(VALUE(LEFT(E3443,FIND("º",SUBSTITUTE(E3443,"°","º"))-1)),""))))</f>
        <v/>
      </c>
      <c r="O3443" s="2">
        <f>IF(OR(F3443="",G3443=""),"",IF(G3443&lt;='RETRATO 2027'!$K$5,"CONCLUÍDA",IF(F3443&lt;='RETRATO 2027'!$K$5,"EM ANDAMENTO","A INICIAR")))</f>
        <v/>
      </c>
    </row>
    <row r="3444">
      <c r="M3444" s="2">
        <f>IF(C3444="","",IFERROR(INDEX($S$5:$S$304,MATCH(C3444,$R$5:$R$304,0))&amp;"","?"))</f>
        <v/>
      </c>
      <c r="N3444" s="2">
        <f>IF(E3444="","",IF(ISNUMBER(SEARCH("SUBSOLO",E3444)),IFERROR(-VALUE(LEFT(E3444,FIND("º",SUBSTITUTE(E3444,"°","º"))-1)),-1),IF(LEFT(E3444,6)="TÉRREO",0,IFERROR(VALUE(LEFT(E3444,FIND("º",SUBSTITUTE(E3444,"°","º"))-1)),""))))</f>
        <v/>
      </c>
      <c r="O3444" s="2">
        <f>IF(OR(F3444="",G3444=""),"",IF(G3444&lt;='RETRATO 2027'!$K$5,"CONCLUÍDA",IF(F3444&lt;='RETRATO 2027'!$K$5,"EM ANDAMENTO","A INICIAR")))</f>
        <v/>
      </c>
    </row>
    <row r="3445">
      <c r="M3445" s="2">
        <f>IF(C3445="","",IFERROR(INDEX($S$5:$S$304,MATCH(C3445,$R$5:$R$304,0))&amp;"","?"))</f>
        <v/>
      </c>
      <c r="N3445" s="2">
        <f>IF(E3445="","",IF(ISNUMBER(SEARCH("SUBSOLO",E3445)),IFERROR(-VALUE(LEFT(E3445,FIND("º",SUBSTITUTE(E3445,"°","º"))-1)),-1),IF(LEFT(E3445,6)="TÉRREO",0,IFERROR(VALUE(LEFT(E3445,FIND("º",SUBSTITUTE(E3445,"°","º"))-1)),""))))</f>
        <v/>
      </c>
      <c r="O3445" s="2">
        <f>IF(OR(F3445="",G3445=""),"",IF(G3445&lt;='RETRATO 2027'!$K$5,"CONCLUÍDA",IF(F3445&lt;='RETRATO 2027'!$K$5,"EM ANDAMENTO","A INICIAR")))</f>
        <v/>
      </c>
    </row>
    <row r="3446">
      <c r="M3446" s="2">
        <f>IF(C3446="","",IFERROR(INDEX($S$5:$S$304,MATCH(C3446,$R$5:$R$304,0))&amp;"","?"))</f>
        <v/>
      </c>
      <c r="N3446" s="2">
        <f>IF(E3446="","",IF(ISNUMBER(SEARCH("SUBSOLO",E3446)),IFERROR(-VALUE(LEFT(E3446,FIND("º",SUBSTITUTE(E3446,"°","º"))-1)),-1),IF(LEFT(E3446,6)="TÉRREO",0,IFERROR(VALUE(LEFT(E3446,FIND("º",SUBSTITUTE(E3446,"°","º"))-1)),""))))</f>
        <v/>
      </c>
      <c r="O3446" s="2">
        <f>IF(OR(F3446="",G3446=""),"",IF(G3446&lt;='RETRATO 2027'!$K$5,"CONCLUÍDA",IF(F3446&lt;='RETRATO 2027'!$K$5,"EM ANDAMENTO","A INICIAR")))</f>
        <v/>
      </c>
    </row>
    <row r="3447">
      <c r="M3447" s="2">
        <f>IF(C3447="","",IFERROR(INDEX($S$5:$S$304,MATCH(C3447,$R$5:$R$304,0))&amp;"","?"))</f>
        <v/>
      </c>
      <c r="N3447" s="2">
        <f>IF(E3447="","",IF(ISNUMBER(SEARCH("SUBSOLO",E3447)),IFERROR(-VALUE(LEFT(E3447,FIND("º",SUBSTITUTE(E3447,"°","º"))-1)),-1),IF(LEFT(E3447,6)="TÉRREO",0,IFERROR(VALUE(LEFT(E3447,FIND("º",SUBSTITUTE(E3447,"°","º"))-1)),""))))</f>
        <v/>
      </c>
      <c r="O3447" s="2">
        <f>IF(OR(F3447="",G3447=""),"",IF(G3447&lt;='RETRATO 2027'!$K$5,"CONCLUÍDA",IF(F3447&lt;='RETRATO 2027'!$K$5,"EM ANDAMENTO","A INICIAR")))</f>
        <v/>
      </c>
    </row>
    <row r="3448">
      <c r="M3448" s="2">
        <f>IF(C3448="","",IFERROR(INDEX($S$5:$S$304,MATCH(C3448,$R$5:$R$304,0))&amp;"","?"))</f>
        <v/>
      </c>
      <c r="N3448" s="2">
        <f>IF(E3448="","",IF(ISNUMBER(SEARCH("SUBSOLO",E3448)),IFERROR(-VALUE(LEFT(E3448,FIND("º",SUBSTITUTE(E3448,"°","º"))-1)),-1),IF(LEFT(E3448,6)="TÉRREO",0,IFERROR(VALUE(LEFT(E3448,FIND("º",SUBSTITUTE(E3448,"°","º"))-1)),""))))</f>
        <v/>
      </c>
      <c r="O3448" s="2">
        <f>IF(OR(F3448="",G3448=""),"",IF(G3448&lt;='RETRATO 2027'!$K$5,"CONCLUÍDA",IF(F3448&lt;='RETRATO 2027'!$K$5,"EM ANDAMENTO","A INICIAR")))</f>
        <v/>
      </c>
    </row>
    <row r="3449">
      <c r="M3449" s="2">
        <f>IF(C3449="","",IFERROR(INDEX($S$5:$S$304,MATCH(C3449,$R$5:$R$304,0))&amp;"","?"))</f>
        <v/>
      </c>
      <c r="N3449" s="2">
        <f>IF(E3449="","",IF(ISNUMBER(SEARCH("SUBSOLO",E3449)),IFERROR(-VALUE(LEFT(E3449,FIND("º",SUBSTITUTE(E3449,"°","º"))-1)),-1),IF(LEFT(E3449,6)="TÉRREO",0,IFERROR(VALUE(LEFT(E3449,FIND("º",SUBSTITUTE(E3449,"°","º"))-1)),""))))</f>
        <v/>
      </c>
      <c r="O3449" s="2">
        <f>IF(OR(F3449="",G3449=""),"",IF(G3449&lt;='RETRATO 2027'!$K$5,"CONCLUÍDA",IF(F3449&lt;='RETRATO 2027'!$K$5,"EM ANDAMENTO","A INICIAR")))</f>
        <v/>
      </c>
    </row>
    <row r="3450">
      <c r="M3450" s="2">
        <f>IF(C3450="","",IFERROR(INDEX($S$5:$S$304,MATCH(C3450,$R$5:$R$304,0))&amp;"","?"))</f>
        <v/>
      </c>
      <c r="N3450" s="2">
        <f>IF(E3450="","",IF(ISNUMBER(SEARCH("SUBSOLO",E3450)),IFERROR(-VALUE(LEFT(E3450,FIND("º",SUBSTITUTE(E3450,"°","º"))-1)),-1),IF(LEFT(E3450,6)="TÉRREO",0,IFERROR(VALUE(LEFT(E3450,FIND("º",SUBSTITUTE(E3450,"°","º"))-1)),""))))</f>
        <v/>
      </c>
      <c r="O3450" s="2">
        <f>IF(OR(F3450="",G3450=""),"",IF(G3450&lt;='RETRATO 2027'!$K$5,"CONCLUÍDA",IF(F3450&lt;='RETRATO 2027'!$K$5,"EM ANDAMENTO","A INICIAR")))</f>
        <v/>
      </c>
    </row>
    <row r="3451">
      <c r="M3451" s="2">
        <f>IF(C3451="","",IFERROR(INDEX($S$5:$S$304,MATCH(C3451,$R$5:$R$304,0))&amp;"","?"))</f>
        <v/>
      </c>
      <c r="N3451" s="2">
        <f>IF(E3451="","",IF(ISNUMBER(SEARCH("SUBSOLO",E3451)),IFERROR(-VALUE(LEFT(E3451,FIND("º",SUBSTITUTE(E3451,"°","º"))-1)),-1),IF(LEFT(E3451,6)="TÉRREO",0,IFERROR(VALUE(LEFT(E3451,FIND("º",SUBSTITUTE(E3451,"°","º"))-1)),""))))</f>
        <v/>
      </c>
      <c r="O3451" s="2">
        <f>IF(OR(F3451="",G3451=""),"",IF(G3451&lt;='RETRATO 2027'!$K$5,"CONCLUÍDA",IF(F3451&lt;='RETRATO 2027'!$K$5,"EM ANDAMENTO","A INICIAR")))</f>
        <v/>
      </c>
    </row>
    <row r="3452">
      <c r="M3452" s="2">
        <f>IF(C3452="","",IFERROR(INDEX($S$5:$S$304,MATCH(C3452,$R$5:$R$304,0))&amp;"","?"))</f>
        <v/>
      </c>
      <c r="N3452" s="2">
        <f>IF(E3452="","",IF(ISNUMBER(SEARCH("SUBSOLO",E3452)),IFERROR(-VALUE(LEFT(E3452,FIND("º",SUBSTITUTE(E3452,"°","º"))-1)),-1),IF(LEFT(E3452,6)="TÉRREO",0,IFERROR(VALUE(LEFT(E3452,FIND("º",SUBSTITUTE(E3452,"°","º"))-1)),""))))</f>
        <v/>
      </c>
      <c r="O3452" s="2">
        <f>IF(OR(F3452="",G3452=""),"",IF(G3452&lt;='RETRATO 2027'!$K$5,"CONCLUÍDA",IF(F3452&lt;='RETRATO 2027'!$K$5,"EM ANDAMENTO","A INICIAR")))</f>
        <v/>
      </c>
    </row>
    <row r="3453">
      <c r="M3453" s="2">
        <f>IF(C3453="","",IFERROR(INDEX($S$5:$S$304,MATCH(C3453,$R$5:$R$304,0))&amp;"","?"))</f>
        <v/>
      </c>
      <c r="N3453" s="2">
        <f>IF(E3453="","",IF(ISNUMBER(SEARCH("SUBSOLO",E3453)),IFERROR(-VALUE(LEFT(E3453,FIND("º",SUBSTITUTE(E3453,"°","º"))-1)),-1),IF(LEFT(E3453,6)="TÉRREO",0,IFERROR(VALUE(LEFT(E3453,FIND("º",SUBSTITUTE(E3453,"°","º"))-1)),""))))</f>
        <v/>
      </c>
      <c r="O3453" s="2">
        <f>IF(OR(F3453="",G3453=""),"",IF(G3453&lt;='RETRATO 2027'!$K$5,"CONCLUÍDA",IF(F3453&lt;='RETRATO 2027'!$K$5,"EM ANDAMENTO","A INICIAR")))</f>
        <v/>
      </c>
    </row>
    <row r="3454">
      <c r="M3454" s="2">
        <f>IF(C3454="","",IFERROR(INDEX($S$5:$S$304,MATCH(C3454,$R$5:$R$304,0))&amp;"","?"))</f>
        <v/>
      </c>
      <c r="N3454" s="2">
        <f>IF(E3454="","",IF(ISNUMBER(SEARCH("SUBSOLO",E3454)),IFERROR(-VALUE(LEFT(E3454,FIND("º",SUBSTITUTE(E3454,"°","º"))-1)),-1),IF(LEFT(E3454,6)="TÉRREO",0,IFERROR(VALUE(LEFT(E3454,FIND("º",SUBSTITUTE(E3454,"°","º"))-1)),""))))</f>
        <v/>
      </c>
      <c r="O3454" s="2">
        <f>IF(OR(F3454="",G3454=""),"",IF(G3454&lt;='RETRATO 2027'!$K$5,"CONCLUÍDA",IF(F3454&lt;='RETRATO 2027'!$K$5,"EM ANDAMENTO","A INICIAR")))</f>
        <v/>
      </c>
    </row>
    <row r="3455">
      <c r="M3455" s="2">
        <f>IF(C3455="","",IFERROR(INDEX($S$5:$S$304,MATCH(C3455,$R$5:$R$304,0))&amp;"","?"))</f>
        <v/>
      </c>
      <c r="N3455" s="2">
        <f>IF(E3455="","",IF(ISNUMBER(SEARCH("SUBSOLO",E3455)),IFERROR(-VALUE(LEFT(E3455,FIND("º",SUBSTITUTE(E3455,"°","º"))-1)),-1),IF(LEFT(E3455,6)="TÉRREO",0,IFERROR(VALUE(LEFT(E3455,FIND("º",SUBSTITUTE(E3455,"°","º"))-1)),""))))</f>
        <v/>
      </c>
      <c r="O3455" s="2">
        <f>IF(OR(F3455="",G3455=""),"",IF(G3455&lt;='RETRATO 2027'!$K$5,"CONCLUÍDA",IF(F3455&lt;='RETRATO 2027'!$K$5,"EM ANDAMENTO","A INICIAR")))</f>
        <v/>
      </c>
    </row>
    <row r="3456">
      <c r="M3456" s="2">
        <f>IF(C3456="","",IFERROR(INDEX($S$5:$S$304,MATCH(C3456,$R$5:$R$304,0))&amp;"","?"))</f>
        <v/>
      </c>
      <c r="N3456" s="2">
        <f>IF(E3456="","",IF(ISNUMBER(SEARCH("SUBSOLO",E3456)),IFERROR(-VALUE(LEFT(E3456,FIND("º",SUBSTITUTE(E3456,"°","º"))-1)),-1),IF(LEFT(E3456,6)="TÉRREO",0,IFERROR(VALUE(LEFT(E3456,FIND("º",SUBSTITUTE(E3456,"°","º"))-1)),""))))</f>
        <v/>
      </c>
      <c r="O3456" s="2">
        <f>IF(OR(F3456="",G3456=""),"",IF(G3456&lt;='RETRATO 2027'!$K$5,"CONCLUÍDA",IF(F3456&lt;='RETRATO 2027'!$K$5,"EM ANDAMENTO","A INICIAR")))</f>
        <v/>
      </c>
    </row>
    <row r="3457">
      <c r="M3457" s="2">
        <f>IF(C3457="","",IFERROR(INDEX($S$5:$S$304,MATCH(C3457,$R$5:$R$304,0))&amp;"","?"))</f>
        <v/>
      </c>
      <c r="N3457" s="2">
        <f>IF(E3457="","",IF(ISNUMBER(SEARCH("SUBSOLO",E3457)),IFERROR(-VALUE(LEFT(E3457,FIND("º",SUBSTITUTE(E3457,"°","º"))-1)),-1),IF(LEFT(E3457,6)="TÉRREO",0,IFERROR(VALUE(LEFT(E3457,FIND("º",SUBSTITUTE(E3457,"°","º"))-1)),""))))</f>
        <v/>
      </c>
      <c r="O3457" s="2">
        <f>IF(OR(F3457="",G3457=""),"",IF(G3457&lt;='RETRATO 2027'!$K$5,"CONCLUÍDA",IF(F3457&lt;='RETRATO 2027'!$K$5,"EM ANDAMENTO","A INICIAR")))</f>
        <v/>
      </c>
    </row>
    <row r="3458">
      <c r="M3458" s="2">
        <f>IF(C3458="","",IFERROR(INDEX($S$5:$S$304,MATCH(C3458,$R$5:$R$304,0))&amp;"","?"))</f>
        <v/>
      </c>
      <c r="N3458" s="2">
        <f>IF(E3458="","",IF(ISNUMBER(SEARCH("SUBSOLO",E3458)),IFERROR(-VALUE(LEFT(E3458,FIND("º",SUBSTITUTE(E3458,"°","º"))-1)),-1),IF(LEFT(E3458,6)="TÉRREO",0,IFERROR(VALUE(LEFT(E3458,FIND("º",SUBSTITUTE(E3458,"°","º"))-1)),""))))</f>
        <v/>
      </c>
      <c r="O3458" s="2">
        <f>IF(OR(F3458="",G3458=""),"",IF(G3458&lt;='RETRATO 2027'!$K$5,"CONCLUÍDA",IF(F3458&lt;='RETRATO 2027'!$K$5,"EM ANDAMENTO","A INICIAR")))</f>
        <v/>
      </c>
    </row>
    <row r="3459">
      <c r="M3459" s="2">
        <f>IF(C3459="","",IFERROR(INDEX($S$5:$S$304,MATCH(C3459,$R$5:$R$304,0))&amp;"","?"))</f>
        <v/>
      </c>
      <c r="N3459" s="2">
        <f>IF(E3459="","",IF(ISNUMBER(SEARCH("SUBSOLO",E3459)),IFERROR(-VALUE(LEFT(E3459,FIND("º",SUBSTITUTE(E3459,"°","º"))-1)),-1),IF(LEFT(E3459,6)="TÉRREO",0,IFERROR(VALUE(LEFT(E3459,FIND("º",SUBSTITUTE(E3459,"°","º"))-1)),""))))</f>
        <v/>
      </c>
      <c r="O3459" s="2">
        <f>IF(OR(F3459="",G3459=""),"",IF(G3459&lt;='RETRATO 2027'!$K$5,"CONCLUÍDA",IF(F3459&lt;='RETRATO 2027'!$K$5,"EM ANDAMENTO","A INICIAR")))</f>
        <v/>
      </c>
    </row>
    <row r="3460">
      <c r="M3460" s="2">
        <f>IF(C3460="","",IFERROR(INDEX($S$5:$S$304,MATCH(C3460,$R$5:$R$304,0))&amp;"","?"))</f>
        <v/>
      </c>
      <c r="N3460" s="2">
        <f>IF(E3460="","",IF(ISNUMBER(SEARCH("SUBSOLO",E3460)),IFERROR(-VALUE(LEFT(E3460,FIND("º",SUBSTITUTE(E3460,"°","º"))-1)),-1),IF(LEFT(E3460,6)="TÉRREO",0,IFERROR(VALUE(LEFT(E3460,FIND("º",SUBSTITUTE(E3460,"°","º"))-1)),""))))</f>
        <v/>
      </c>
      <c r="O3460" s="2">
        <f>IF(OR(F3460="",G3460=""),"",IF(G3460&lt;='RETRATO 2027'!$K$5,"CONCLUÍDA",IF(F3460&lt;='RETRATO 2027'!$K$5,"EM ANDAMENTO","A INICIAR")))</f>
        <v/>
      </c>
    </row>
    <row r="3461">
      <c r="M3461" s="2">
        <f>IF(C3461="","",IFERROR(INDEX($S$5:$S$304,MATCH(C3461,$R$5:$R$304,0))&amp;"","?"))</f>
        <v/>
      </c>
      <c r="N3461" s="2">
        <f>IF(E3461="","",IF(ISNUMBER(SEARCH("SUBSOLO",E3461)),IFERROR(-VALUE(LEFT(E3461,FIND("º",SUBSTITUTE(E3461,"°","º"))-1)),-1),IF(LEFT(E3461,6)="TÉRREO",0,IFERROR(VALUE(LEFT(E3461,FIND("º",SUBSTITUTE(E3461,"°","º"))-1)),""))))</f>
        <v/>
      </c>
      <c r="O3461" s="2">
        <f>IF(OR(F3461="",G3461=""),"",IF(G3461&lt;='RETRATO 2027'!$K$5,"CONCLUÍDA",IF(F3461&lt;='RETRATO 2027'!$K$5,"EM ANDAMENTO","A INICIAR")))</f>
        <v/>
      </c>
    </row>
    <row r="3462">
      <c r="M3462" s="2">
        <f>IF(C3462="","",IFERROR(INDEX($S$5:$S$304,MATCH(C3462,$R$5:$R$304,0))&amp;"","?"))</f>
        <v/>
      </c>
      <c r="N3462" s="2">
        <f>IF(E3462="","",IF(ISNUMBER(SEARCH("SUBSOLO",E3462)),IFERROR(-VALUE(LEFT(E3462,FIND("º",SUBSTITUTE(E3462,"°","º"))-1)),-1),IF(LEFT(E3462,6)="TÉRREO",0,IFERROR(VALUE(LEFT(E3462,FIND("º",SUBSTITUTE(E3462,"°","º"))-1)),""))))</f>
        <v/>
      </c>
      <c r="O3462" s="2">
        <f>IF(OR(F3462="",G3462=""),"",IF(G3462&lt;='RETRATO 2027'!$K$5,"CONCLUÍDA",IF(F3462&lt;='RETRATO 2027'!$K$5,"EM ANDAMENTO","A INICIAR")))</f>
        <v/>
      </c>
    </row>
    <row r="3463">
      <c r="M3463" s="2">
        <f>IF(C3463="","",IFERROR(INDEX($S$5:$S$304,MATCH(C3463,$R$5:$R$304,0))&amp;"","?"))</f>
        <v/>
      </c>
      <c r="N3463" s="2">
        <f>IF(E3463="","",IF(ISNUMBER(SEARCH("SUBSOLO",E3463)),IFERROR(-VALUE(LEFT(E3463,FIND("º",SUBSTITUTE(E3463,"°","º"))-1)),-1),IF(LEFT(E3463,6)="TÉRREO",0,IFERROR(VALUE(LEFT(E3463,FIND("º",SUBSTITUTE(E3463,"°","º"))-1)),""))))</f>
        <v/>
      </c>
      <c r="O3463" s="2">
        <f>IF(OR(F3463="",G3463=""),"",IF(G3463&lt;='RETRATO 2027'!$K$5,"CONCLUÍDA",IF(F3463&lt;='RETRATO 2027'!$K$5,"EM ANDAMENTO","A INICIAR")))</f>
        <v/>
      </c>
    </row>
    <row r="3464">
      <c r="M3464" s="2">
        <f>IF(C3464="","",IFERROR(INDEX($S$5:$S$304,MATCH(C3464,$R$5:$R$304,0))&amp;"","?"))</f>
        <v/>
      </c>
      <c r="N3464" s="2">
        <f>IF(E3464="","",IF(ISNUMBER(SEARCH("SUBSOLO",E3464)),IFERROR(-VALUE(LEFT(E3464,FIND("º",SUBSTITUTE(E3464,"°","º"))-1)),-1),IF(LEFT(E3464,6)="TÉRREO",0,IFERROR(VALUE(LEFT(E3464,FIND("º",SUBSTITUTE(E3464,"°","º"))-1)),""))))</f>
        <v/>
      </c>
      <c r="O3464" s="2">
        <f>IF(OR(F3464="",G3464=""),"",IF(G3464&lt;='RETRATO 2027'!$K$5,"CONCLUÍDA",IF(F3464&lt;='RETRATO 2027'!$K$5,"EM ANDAMENTO","A INICIAR")))</f>
        <v/>
      </c>
    </row>
    <row r="3465">
      <c r="M3465" s="2">
        <f>IF(C3465="","",IFERROR(INDEX($S$5:$S$304,MATCH(C3465,$R$5:$R$304,0))&amp;"","?"))</f>
        <v/>
      </c>
      <c r="N3465" s="2">
        <f>IF(E3465="","",IF(ISNUMBER(SEARCH("SUBSOLO",E3465)),IFERROR(-VALUE(LEFT(E3465,FIND("º",SUBSTITUTE(E3465,"°","º"))-1)),-1),IF(LEFT(E3465,6)="TÉRREO",0,IFERROR(VALUE(LEFT(E3465,FIND("º",SUBSTITUTE(E3465,"°","º"))-1)),""))))</f>
        <v/>
      </c>
      <c r="O3465" s="2">
        <f>IF(OR(F3465="",G3465=""),"",IF(G3465&lt;='RETRATO 2027'!$K$5,"CONCLUÍDA",IF(F3465&lt;='RETRATO 2027'!$K$5,"EM ANDAMENTO","A INICIAR")))</f>
        <v/>
      </c>
    </row>
    <row r="3466">
      <c r="M3466" s="2">
        <f>IF(C3466="","",IFERROR(INDEX($S$5:$S$304,MATCH(C3466,$R$5:$R$304,0))&amp;"","?"))</f>
        <v/>
      </c>
      <c r="N3466" s="2">
        <f>IF(E3466="","",IF(ISNUMBER(SEARCH("SUBSOLO",E3466)),IFERROR(-VALUE(LEFT(E3466,FIND("º",SUBSTITUTE(E3466,"°","º"))-1)),-1),IF(LEFT(E3466,6)="TÉRREO",0,IFERROR(VALUE(LEFT(E3466,FIND("º",SUBSTITUTE(E3466,"°","º"))-1)),""))))</f>
        <v/>
      </c>
      <c r="O3466" s="2">
        <f>IF(OR(F3466="",G3466=""),"",IF(G3466&lt;='RETRATO 2027'!$K$5,"CONCLUÍDA",IF(F3466&lt;='RETRATO 2027'!$K$5,"EM ANDAMENTO","A INICIAR")))</f>
        <v/>
      </c>
    </row>
    <row r="3467">
      <c r="M3467" s="2">
        <f>IF(C3467="","",IFERROR(INDEX($S$5:$S$304,MATCH(C3467,$R$5:$R$304,0))&amp;"","?"))</f>
        <v/>
      </c>
      <c r="N3467" s="2">
        <f>IF(E3467="","",IF(ISNUMBER(SEARCH("SUBSOLO",E3467)),IFERROR(-VALUE(LEFT(E3467,FIND("º",SUBSTITUTE(E3467,"°","º"))-1)),-1),IF(LEFT(E3467,6)="TÉRREO",0,IFERROR(VALUE(LEFT(E3467,FIND("º",SUBSTITUTE(E3467,"°","º"))-1)),""))))</f>
        <v/>
      </c>
      <c r="O3467" s="2">
        <f>IF(OR(F3467="",G3467=""),"",IF(G3467&lt;='RETRATO 2027'!$K$5,"CONCLUÍDA",IF(F3467&lt;='RETRATO 2027'!$K$5,"EM ANDAMENTO","A INICIAR")))</f>
        <v/>
      </c>
    </row>
    <row r="3468">
      <c r="M3468" s="2">
        <f>IF(C3468="","",IFERROR(INDEX($S$5:$S$304,MATCH(C3468,$R$5:$R$304,0))&amp;"","?"))</f>
        <v/>
      </c>
      <c r="N3468" s="2">
        <f>IF(E3468="","",IF(ISNUMBER(SEARCH("SUBSOLO",E3468)),IFERROR(-VALUE(LEFT(E3468,FIND("º",SUBSTITUTE(E3468,"°","º"))-1)),-1),IF(LEFT(E3468,6)="TÉRREO",0,IFERROR(VALUE(LEFT(E3468,FIND("º",SUBSTITUTE(E3468,"°","º"))-1)),""))))</f>
        <v/>
      </c>
      <c r="O3468" s="2">
        <f>IF(OR(F3468="",G3468=""),"",IF(G3468&lt;='RETRATO 2027'!$K$5,"CONCLUÍDA",IF(F3468&lt;='RETRATO 2027'!$K$5,"EM ANDAMENTO","A INICIAR")))</f>
        <v/>
      </c>
    </row>
    <row r="3469">
      <c r="M3469" s="2">
        <f>IF(C3469="","",IFERROR(INDEX($S$5:$S$304,MATCH(C3469,$R$5:$R$304,0))&amp;"","?"))</f>
        <v/>
      </c>
      <c r="N3469" s="2">
        <f>IF(E3469="","",IF(ISNUMBER(SEARCH("SUBSOLO",E3469)),IFERROR(-VALUE(LEFT(E3469,FIND("º",SUBSTITUTE(E3469,"°","º"))-1)),-1),IF(LEFT(E3469,6)="TÉRREO",0,IFERROR(VALUE(LEFT(E3469,FIND("º",SUBSTITUTE(E3469,"°","º"))-1)),""))))</f>
        <v/>
      </c>
      <c r="O3469" s="2">
        <f>IF(OR(F3469="",G3469=""),"",IF(G3469&lt;='RETRATO 2027'!$K$5,"CONCLUÍDA",IF(F3469&lt;='RETRATO 2027'!$K$5,"EM ANDAMENTO","A INICIAR")))</f>
        <v/>
      </c>
    </row>
    <row r="3470">
      <c r="M3470" s="2">
        <f>IF(C3470="","",IFERROR(INDEX($S$5:$S$304,MATCH(C3470,$R$5:$R$304,0))&amp;"","?"))</f>
        <v/>
      </c>
      <c r="N3470" s="2">
        <f>IF(E3470="","",IF(ISNUMBER(SEARCH("SUBSOLO",E3470)),IFERROR(-VALUE(LEFT(E3470,FIND("º",SUBSTITUTE(E3470,"°","º"))-1)),-1),IF(LEFT(E3470,6)="TÉRREO",0,IFERROR(VALUE(LEFT(E3470,FIND("º",SUBSTITUTE(E3470,"°","º"))-1)),""))))</f>
        <v/>
      </c>
      <c r="O3470" s="2">
        <f>IF(OR(F3470="",G3470=""),"",IF(G3470&lt;='RETRATO 2027'!$K$5,"CONCLUÍDA",IF(F3470&lt;='RETRATO 2027'!$K$5,"EM ANDAMENTO","A INICIAR")))</f>
        <v/>
      </c>
    </row>
    <row r="3471">
      <c r="M3471" s="2">
        <f>IF(C3471="","",IFERROR(INDEX($S$5:$S$304,MATCH(C3471,$R$5:$R$304,0))&amp;"","?"))</f>
        <v/>
      </c>
      <c r="N3471" s="2">
        <f>IF(E3471="","",IF(ISNUMBER(SEARCH("SUBSOLO",E3471)),IFERROR(-VALUE(LEFT(E3471,FIND("º",SUBSTITUTE(E3471,"°","º"))-1)),-1),IF(LEFT(E3471,6)="TÉRREO",0,IFERROR(VALUE(LEFT(E3471,FIND("º",SUBSTITUTE(E3471,"°","º"))-1)),""))))</f>
        <v/>
      </c>
      <c r="O3471" s="2">
        <f>IF(OR(F3471="",G3471=""),"",IF(G3471&lt;='RETRATO 2027'!$K$5,"CONCLUÍDA",IF(F3471&lt;='RETRATO 2027'!$K$5,"EM ANDAMENTO","A INICIAR")))</f>
        <v/>
      </c>
    </row>
    <row r="3472">
      <c r="M3472" s="2">
        <f>IF(C3472="","",IFERROR(INDEX($S$5:$S$304,MATCH(C3472,$R$5:$R$304,0))&amp;"","?"))</f>
        <v/>
      </c>
      <c r="N3472" s="2">
        <f>IF(E3472="","",IF(ISNUMBER(SEARCH("SUBSOLO",E3472)),IFERROR(-VALUE(LEFT(E3472,FIND("º",SUBSTITUTE(E3472,"°","º"))-1)),-1),IF(LEFT(E3472,6)="TÉRREO",0,IFERROR(VALUE(LEFT(E3472,FIND("º",SUBSTITUTE(E3472,"°","º"))-1)),""))))</f>
        <v/>
      </c>
      <c r="O3472" s="2">
        <f>IF(OR(F3472="",G3472=""),"",IF(G3472&lt;='RETRATO 2027'!$K$5,"CONCLUÍDA",IF(F3472&lt;='RETRATO 2027'!$K$5,"EM ANDAMENTO","A INICIAR")))</f>
        <v/>
      </c>
    </row>
    <row r="3473">
      <c r="M3473" s="2">
        <f>IF(C3473="","",IFERROR(INDEX($S$5:$S$304,MATCH(C3473,$R$5:$R$304,0))&amp;"","?"))</f>
        <v/>
      </c>
      <c r="N3473" s="2">
        <f>IF(E3473="","",IF(ISNUMBER(SEARCH("SUBSOLO",E3473)),IFERROR(-VALUE(LEFT(E3473,FIND("º",SUBSTITUTE(E3473,"°","º"))-1)),-1),IF(LEFT(E3473,6)="TÉRREO",0,IFERROR(VALUE(LEFT(E3473,FIND("º",SUBSTITUTE(E3473,"°","º"))-1)),""))))</f>
        <v/>
      </c>
      <c r="O3473" s="2">
        <f>IF(OR(F3473="",G3473=""),"",IF(G3473&lt;='RETRATO 2027'!$K$5,"CONCLUÍDA",IF(F3473&lt;='RETRATO 2027'!$K$5,"EM ANDAMENTO","A INICIAR")))</f>
        <v/>
      </c>
    </row>
    <row r="3474">
      <c r="M3474" s="2">
        <f>IF(C3474="","",IFERROR(INDEX($S$5:$S$304,MATCH(C3474,$R$5:$R$304,0))&amp;"","?"))</f>
        <v/>
      </c>
      <c r="N3474" s="2">
        <f>IF(E3474="","",IF(ISNUMBER(SEARCH("SUBSOLO",E3474)),IFERROR(-VALUE(LEFT(E3474,FIND("º",SUBSTITUTE(E3474,"°","º"))-1)),-1),IF(LEFT(E3474,6)="TÉRREO",0,IFERROR(VALUE(LEFT(E3474,FIND("º",SUBSTITUTE(E3474,"°","º"))-1)),""))))</f>
        <v/>
      </c>
      <c r="O3474" s="2">
        <f>IF(OR(F3474="",G3474=""),"",IF(G3474&lt;='RETRATO 2027'!$K$5,"CONCLUÍDA",IF(F3474&lt;='RETRATO 2027'!$K$5,"EM ANDAMENTO","A INICIAR")))</f>
        <v/>
      </c>
    </row>
    <row r="3475">
      <c r="M3475" s="2">
        <f>IF(C3475="","",IFERROR(INDEX($S$5:$S$304,MATCH(C3475,$R$5:$R$304,0))&amp;"","?"))</f>
        <v/>
      </c>
      <c r="N3475" s="2">
        <f>IF(E3475="","",IF(ISNUMBER(SEARCH("SUBSOLO",E3475)),IFERROR(-VALUE(LEFT(E3475,FIND("º",SUBSTITUTE(E3475,"°","º"))-1)),-1),IF(LEFT(E3475,6)="TÉRREO",0,IFERROR(VALUE(LEFT(E3475,FIND("º",SUBSTITUTE(E3475,"°","º"))-1)),""))))</f>
        <v/>
      </c>
      <c r="O3475" s="2">
        <f>IF(OR(F3475="",G3475=""),"",IF(G3475&lt;='RETRATO 2027'!$K$5,"CONCLUÍDA",IF(F3475&lt;='RETRATO 2027'!$K$5,"EM ANDAMENTO","A INICIAR")))</f>
        <v/>
      </c>
    </row>
    <row r="3476">
      <c r="M3476" s="2">
        <f>IF(C3476="","",IFERROR(INDEX($S$5:$S$304,MATCH(C3476,$R$5:$R$304,0))&amp;"","?"))</f>
        <v/>
      </c>
      <c r="N3476" s="2">
        <f>IF(E3476="","",IF(ISNUMBER(SEARCH("SUBSOLO",E3476)),IFERROR(-VALUE(LEFT(E3476,FIND("º",SUBSTITUTE(E3476,"°","º"))-1)),-1),IF(LEFT(E3476,6)="TÉRREO",0,IFERROR(VALUE(LEFT(E3476,FIND("º",SUBSTITUTE(E3476,"°","º"))-1)),""))))</f>
        <v/>
      </c>
      <c r="O3476" s="2">
        <f>IF(OR(F3476="",G3476=""),"",IF(G3476&lt;='RETRATO 2027'!$K$5,"CONCLUÍDA",IF(F3476&lt;='RETRATO 2027'!$K$5,"EM ANDAMENTO","A INICIAR")))</f>
        <v/>
      </c>
    </row>
    <row r="3477">
      <c r="M3477" s="2">
        <f>IF(C3477="","",IFERROR(INDEX($S$5:$S$304,MATCH(C3477,$R$5:$R$304,0))&amp;"","?"))</f>
        <v/>
      </c>
      <c r="N3477" s="2">
        <f>IF(E3477="","",IF(ISNUMBER(SEARCH("SUBSOLO",E3477)),IFERROR(-VALUE(LEFT(E3477,FIND("º",SUBSTITUTE(E3477,"°","º"))-1)),-1),IF(LEFT(E3477,6)="TÉRREO",0,IFERROR(VALUE(LEFT(E3477,FIND("º",SUBSTITUTE(E3477,"°","º"))-1)),""))))</f>
        <v/>
      </c>
      <c r="O3477" s="2">
        <f>IF(OR(F3477="",G3477=""),"",IF(G3477&lt;='RETRATO 2027'!$K$5,"CONCLUÍDA",IF(F3477&lt;='RETRATO 2027'!$K$5,"EM ANDAMENTO","A INICIAR")))</f>
        <v/>
      </c>
    </row>
    <row r="3478">
      <c r="M3478" s="2">
        <f>IF(C3478="","",IFERROR(INDEX($S$5:$S$304,MATCH(C3478,$R$5:$R$304,0))&amp;"","?"))</f>
        <v/>
      </c>
      <c r="N3478" s="2">
        <f>IF(E3478="","",IF(ISNUMBER(SEARCH("SUBSOLO",E3478)),IFERROR(-VALUE(LEFT(E3478,FIND("º",SUBSTITUTE(E3478,"°","º"))-1)),-1),IF(LEFT(E3478,6)="TÉRREO",0,IFERROR(VALUE(LEFT(E3478,FIND("º",SUBSTITUTE(E3478,"°","º"))-1)),""))))</f>
        <v/>
      </c>
      <c r="O3478" s="2">
        <f>IF(OR(F3478="",G3478=""),"",IF(G3478&lt;='RETRATO 2027'!$K$5,"CONCLUÍDA",IF(F3478&lt;='RETRATO 2027'!$K$5,"EM ANDAMENTO","A INICIAR")))</f>
        <v/>
      </c>
    </row>
    <row r="3479">
      <c r="M3479" s="2">
        <f>IF(C3479="","",IFERROR(INDEX($S$5:$S$304,MATCH(C3479,$R$5:$R$304,0))&amp;"","?"))</f>
        <v/>
      </c>
      <c r="N3479" s="2">
        <f>IF(E3479="","",IF(ISNUMBER(SEARCH("SUBSOLO",E3479)),IFERROR(-VALUE(LEFT(E3479,FIND("º",SUBSTITUTE(E3479,"°","º"))-1)),-1),IF(LEFT(E3479,6)="TÉRREO",0,IFERROR(VALUE(LEFT(E3479,FIND("º",SUBSTITUTE(E3479,"°","º"))-1)),""))))</f>
        <v/>
      </c>
      <c r="O3479" s="2">
        <f>IF(OR(F3479="",G3479=""),"",IF(G3479&lt;='RETRATO 2027'!$K$5,"CONCLUÍDA",IF(F3479&lt;='RETRATO 2027'!$K$5,"EM ANDAMENTO","A INICIAR")))</f>
        <v/>
      </c>
    </row>
    <row r="3480">
      <c r="M3480" s="2">
        <f>IF(C3480="","",IFERROR(INDEX($S$5:$S$304,MATCH(C3480,$R$5:$R$304,0))&amp;"","?"))</f>
        <v/>
      </c>
      <c r="N3480" s="2">
        <f>IF(E3480="","",IF(ISNUMBER(SEARCH("SUBSOLO",E3480)),IFERROR(-VALUE(LEFT(E3480,FIND("º",SUBSTITUTE(E3480,"°","º"))-1)),-1),IF(LEFT(E3480,6)="TÉRREO",0,IFERROR(VALUE(LEFT(E3480,FIND("º",SUBSTITUTE(E3480,"°","º"))-1)),""))))</f>
        <v/>
      </c>
      <c r="O3480" s="2">
        <f>IF(OR(F3480="",G3480=""),"",IF(G3480&lt;='RETRATO 2027'!$K$5,"CONCLUÍDA",IF(F3480&lt;='RETRATO 2027'!$K$5,"EM ANDAMENTO","A INICIAR")))</f>
        <v/>
      </c>
    </row>
    <row r="3481">
      <c r="M3481" s="2">
        <f>IF(C3481="","",IFERROR(INDEX($S$5:$S$304,MATCH(C3481,$R$5:$R$304,0))&amp;"","?"))</f>
        <v/>
      </c>
      <c r="N3481" s="2">
        <f>IF(E3481="","",IF(ISNUMBER(SEARCH("SUBSOLO",E3481)),IFERROR(-VALUE(LEFT(E3481,FIND("º",SUBSTITUTE(E3481,"°","º"))-1)),-1),IF(LEFT(E3481,6)="TÉRREO",0,IFERROR(VALUE(LEFT(E3481,FIND("º",SUBSTITUTE(E3481,"°","º"))-1)),""))))</f>
        <v/>
      </c>
      <c r="O3481" s="2">
        <f>IF(OR(F3481="",G3481=""),"",IF(G3481&lt;='RETRATO 2027'!$K$5,"CONCLUÍDA",IF(F3481&lt;='RETRATO 2027'!$K$5,"EM ANDAMENTO","A INICIAR")))</f>
        <v/>
      </c>
    </row>
    <row r="3482">
      <c r="M3482" s="2">
        <f>IF(C3482="","",IFERROR(INDEX($S$5:$S$304,MATCH(C3482,$R$5:$R$304,0))&amp;"","?"))</f>
        <v/>
      </c>
      <c r="N3482" s="2">
        <f>IF(E3482="","",IF(ISNUMBER(SEARCH("SUBSOLO",E3482)),IFERROR(-VALUE(LEFT(E3482,FIND("º",SUBSTITUTE(E3482,"°","º"))-1)),-1),IF(LEFT(E3482,6)="TÉRREO",0,IFERROR(VALUE(LEFT(E3482,FIND("º",SUBSTITUTE(E3482,"°","º"))-1)),""))))</f>
        <v/>
      </c>
      <c r="O3482" s="2">
        <f>IF(OR(F3482="",G3482=""),"",IF(G3482&lt;='RETRATO 2027'!$K$5,"CONCLUÍDA",IF(F3482&lt;='RETRATO 2027'!$K$5,"EM ANDAMENTO","A INICIAR")))</f>
        <v/>
      </c>
    </row>
    <row r="3483">
      <c r="M3483" s="2">
        <f>IF(C3483="","",IFERROR(INDEX($S$5:$S$304,MATCH(C3483,$R$5:$R$304,0))&amp;"","?"))</f>
        <v/>
      </c>
      <c r="N3483" s="2">
        <f>IF(E3483="","",IF(ISNUMBER(SEARCH("SUBSOLO",E3483)),IFERROR(-VALUE(LEFT(E3483,FIND("º",SUBSTITUTE(E3483,"°","º"))-1)),-1),IF(LEFT(E3483,6)="TÉRREO",0,IFERROR(VALUE(LEFT(E3483,FIND("º",SUBSTITUTE(E3483,"°","º"))-1)),""))))</f>
        <v/>
      </c>
      <c r="O3483" s="2">
        <f>IF(OR(F3483="",G3483=""),"",IF(G3483&lt;='RETRATO 2027'!$K$5,"CONCLUÍDA",IF(F3483&lt;='RETRATO 2027'!$K$5,"EM ANDAMENTO","A INICIAR")))</f>
        <v/>
      </c>
    </row>
    <row r="3484">
      <c r="M3484" s="2">
        <f>IF(C3484="","",IFERROR(INDEX($S$5:$S$304,MATCH(C3484,$R$5:$R$304,0))&amp;"","?"))</f>
        <v/>
      </c>
      <c r="N3484" s="2">
        <f>IF(E3484="","",IF(ISNUMBER(SEARCH("SUBSOLO",E3484)),IFERROR(-VALUE(LEFT(E3484,FIND("º",SUBSTITUTE(E3484,"°","º"))-1)),-1),IF(LEFT(E3484,6)="TÉRREO",0,IFERROR(VALUE(LEFT(E3484,FIND("º",SUBSTITUTE(E3484,"°","º"))-1)),""))))</f>
        <v/>
      </c>
      <c r="O3484" s="2">
        <f>IF(OR(F3484="",G3484=""),"",IF(G3484&lt;='RETRATO 2027'!$K$5,"CONCLUÍDA",IF(F3484&lt;='RETRATO 2027'!$K$5,"EM ANDAMENTO","A INICIAR")))</f>
        <v/>
      </c>
    </row>
    <row r="3485">
      <c r="M3485" s="2">
        <f>IF(C3485="","",IFERROR(INDEX($S$5:$S$304,MATCH(C3485,$R$5:$R$304,0))&amp;"","?"))</f>
        <v/>
      </c>
      <c r="N3485" s="2">
        <f>IF(E3485="","",IF(ISNUMBER(SEARCH("SUBSOLO",E3485)),IFERROR(-VALUE(LEFT(E3485,FIND("º",SUBSTITUTE(E3485,"°","º"))-1)),-1),IF(LEFT(E3485,6)="TÉRREO",0,IFERROR(VALUE(LEFT(E3485,FIND("º",SUBSTITUTE(E3485,"°","º"))-1)),""))))</f>
        <v/>
      </c>
      <c r="O3485" s="2">
        <f>IF(OR(F3485="",G3485=""),"",IF(G3485&lt;='RETRATO 2027'!$K$5,"CONCLUÍDA",IF(F3485&lt;='RETRATO 2027'!$K$5,"EM ANDAMENTO","A INICIAR")))</f>
        <v/>
      </c>
    </row>
    <row r="3486">
      <c r="M3486" s="2">
        <f>IF(C3486="","",IFERROR(INDEX($S$5:$S$304,MATCH(C3486,$R$5:$R$304,0))&amp;"","?"))</f>
        <v/>
      </c>
      <c r="N3486" s="2">
        <f>IF(E3486="","",IF(ISNUMBER(SEARCH("SUBSOLO",E3486)),IFERROR(-VALUE(LEFT(E3486,FIND("º",SUBSTITUTE(E3486,"°","º"))-1)),-1),IF(LEFT(E3486,6)="TÉRREO",0,IFERROR(VALUE(LEFT(E3486,FIND("º",SUBSTITUTE(E3486,"°","º"))-1)),""))))</f>
        <v/>
      </c>
      <c r="O3486" s="2">
        <f>IF(OR(F3486="",G3486=""),"",IF(G3486&lt;='RETRATO 2027'!$K$5,"CONCLUÍDA",IF(F3486&lt;='RETRATO 2027'!$K$5,"EM ANDAMENTO","A INICIAR")))</f>
        <v/>
      </c>
    </row>
    <row r="3487">
      <c r="M3487" s="2">
        <f>IF(C3487="","",IFERROR(INDEX($S$5:$S$304,MATCH(C3487,$R$5:$R$304,0))&amp;"","?"))</f>
        <v/>
      </c>
      <c r="N3487" s="2">
        <f>IF(E3487="","",IF(ISNUMBER(SEARCH("SUBSOLO",E3487)),IFERROR(-VALUE(LEFT(E3487,FIND("º",SUBSTITUTE(E3487,"°","º"))-1)),-1),IF(LEFT(E3487,6)="TÉRREO",0,IFERROR(VALUE(LEFT(E3487,FIND("º",SUBSTITUTE(E3487,"°","º"))-1)),""))))</f>
        <v/>
      </c>
      <c r="O3487" s="2">
        <f>IF(OR(F3487="",G3487=""),"",IF(G3487&lt;='RETRATO 2027'!$K$5,"CONCLUÍDA",IF(F3487&lt;='RETRATO 2027'!$K$5,"EM ANDAMENTO","A INICIAR")))</f>
        <v/>
      </c>
    </row>
    <row r="3488">
      <c r="M3488" s="2">
        <f>IF(C3488="","",IFERROR(INDEX($S$5:$S$304,MATCH(C3488,$R$5:$R$304,0))&amp;"","?"))</f>
        <v/>
      </c>
      <c r="N3488" s="2">
        <f>IF(E3488="","",IF(ISNUMBER(SEARCH("SUBSOLO",E3488)),IFERROR(-VALUE(LEFT(E3488,FIND("º",SUBSTITUTE(E3488,"°","º"))-1)),-1),IF(LEFT(E3488,6)="TÉRREO",0,IFERROR(VALUE(LEFT(E3488,FIND("º",SUBSTITUTE(E3488,"°","º"))-1)),""))))</f>
        <v/>
      </c>
      <c r="O3488" s="2">
        <f>IF(OR(F3488="",G3488=""),"",IF(G3488&lt;='RETRATO 2027'!$K$5,"CONCLUÍDA",IF(F3488&lt;='RETRATO 2027'!$K$5,"EM ANDAMENTO","A INICIAR")))</f>
        <v/>
      </c>
    </row>
    <row r="3489">
      <c r="M3489" s="2">
        <f>IF(C3489="","",IFERROR(INDEX($S$5:$S$304,MATCH(C3489,$R$5:$R$304,0))&amp;"","?"))</f>
        <v/>
      </c>
      <c r="N3489" s="2">
        <f>IF(E3489="","",IF(ISNUMBER(SEARCH("SUBSOLO",E3489)),IFERROR(-VALUE(LEFT(E3489,FIND("º",SUBSTITUTE(E3489,"°","º"))-1)),-1),IF(LEFT(E3489,6)="TÉRREO",0,IFERROR(VALUE(LEFT(E3489,FIND("º",SUBSTITUTE(E3489,"°","º"))-1)),""))))</f>
        <v/>
      </c>
      <c r="O3489" s="2">
        <f>IF(OR(F3489="",G3489=""),"",IF(G3489&lt;='RETRATO 2027'!$K$5,"CONCLUÍDA",IF(F3489&lt;='RETRATO 2027'!$K$5,"EM ANDAMENTO","A INICIAR")))</f>
        <v/>
      </c>
    </row>
    <row r="3490">
      <c r="M3490" s="2">
        <f>IF(C3490="","",IFERROR(INDEX($S$5:$S$304,MATCH(C3490,$R$5:$R$304,0))&amp;"","?"))</f>
        <v/>
      </c>
      <c r="N3490" s="2">
        <f>IF(E3490="","",IF(ISNUMBER(SEARCH("SUBSOLO",E3490)),IFERROR(-VALUE(LEFT(E3490,FIND("º",SUBSTITUTE(E3490,"°","º"))-1)),-1),IF(LEFT(E3490,6)="TÉRREO",0,IFERROR(VALUE(LEFT(E3490,FIND("º",SUBSTITUTE(E3490,"°","º"))-1)),""))))</f>
        <v/>
      </c>
      <c r="O3490" s="2">
        <f>IF(OR(F3490="",G3490=""),"",IF(G3490&lt;='RETRATO 2027'!$K$5,"CONCLUÍDA",IF(F3490&lt;='RETRATO 2027'!$K$5,"EM ANDAMENTO","A INICIAR")))</f>
        <v/>
      </c>
    </row>
    <row r="3491">
      <c r="M3491" s="2">
        <f>IF(C3491="","",IFERROR(INDEX($S$5:$S$304,MATCH(C3491,$R$5:$R$304,0))&amp;"","?"))</f>
        <v/>
      </c>
      <c r="N3491" s="2">
        <f>IF(E3491="","",IF(ISNUMBER(SEARCH("SUBSOLO",E3491)),IFERROR(-VALUE(LEFT(E3491,FIND("º",SUBSTITUTE(E3491,"°","º"))-1)),-1),IF(LEFT(E3491,6)="TÉRREO",0,IFERROR(VALUE(LEFT(E3491,FIND("º",SUBSTITUTE(E3491,"°","º"))-1)),""))))</f>
        <v/>
      </c>
      <c r="O3491" s="2">
        <f>IF(OR(F3491="",G3491=""),"",IF(G3491&lt;='RETRATO 2027'!$K$5,"CONCLUÍDA",IF(F3491&lt;='RETRATO 2027'!$K$5,"EM ANDAMENTO","A INICIAR")))</f>
        <v/>
      </c>
    </row>
    <row r="3492">
      <c r="M3492" s="2">
        <f>IF(C3492="","",IFERROR(INDEX($S$5:$S$304,MATCH(C3492,$R$5:$R$304,0))&amp;"","?"))</f>
        <v/>
      </c>
      <c r="N3492" s="2">
        <f>IF(E3492="","",IF(ISNUMBER(SEARCH("SUBSOLO",E3492)),IFERROR(-VALUE(LEFT(E3492,FIND("º",SUBSTITUTE(E3492,"°","º"))-1)),-1),IF(LEFT(E3492,6)="TÉRREO",0,IFERROR(VALUE(LEFT(E3492,FIND("º",SUBSTITUTE(E3492,"°","º"))-1)),""))))</f>
        <v/>
      </c>
      <c r="O3492" s="2">
        <f>IF(OR(F3492="",G3492=""),"",IF(G3492&lt;='RETRATO 2027'!$K$5,"CONCLUÍDA",IF(F3492&lt;='RETRATO 2027'!$K$5,"EM ANDAMENTO","A INICIAR")))</f>
        <v/>
      </c>
    </row>
    <row r="3493">
      <c r="M3493" s="2">
        <f>IF(C3493="","",IFERROR(INDEX($S$5:$S$304,MATCH(C3493,$R$5:$R$304,0))&amp;"","?"))</f>
        <v/>
      </c>
      <c r="N3493" s="2">
        <f>IF(E3493="","",IF(ISNUMBER(SEARCH("SUBSOLO",E3493)),IFERROR(-VALUE(LEFT(E3493,FIND("º",SUBSTITUTE(E3493,"°","º"))-1)),-1),IF(LEFT(E3493,6)="TÉRREO",0,IFERROR(VALUE(LEFT(E3493,FIND("º",SUBSTITUTE(E3493,"°","º"))-1)),""))))</f>
        <v/>
      </c>
      <c r="O3493" s="2">
        <f>IF(OR(F3493="",G3493=""),"",IF(G3493&lt;='RETRATO 2027'!$K$5,"CONCLUÍDA",IF(F3493&lt;='RETRATO 2027'!$K$5,"EM ANDAMENTO","A INICIAR")))</f>
        <v/>
      </c>
    </row>
    <row r="3494">
      <c r="M3494" s="2">
        <f>IF(C3494="","",IFERROR(INDEX($S$5:$S$304,MATCH(C3494,$R$5:$R$304,0))&amp;"","?"))</f>
        <v/>
      </c>
      <c r="N3494" s="2">
        <f>IF(E3494="","",IF(ISNUMBER(SEARCH("SUBSOLO",E3494)),IFERROR(-VALUE(LEFT(E3494,FIND("º",SUBSTITUTE(E3494,"°","º"))-1)),-1),IF(LEFT(E3494,6)="TÉRREO",0,IFERROR(VALUE(LEFT(E3494,FIND("º",SUBSTITUTE(E3494,"°","º"))-1)),""))))</f>
        <v/>
      </c>
      <c r="O3494" s="2">
        <f>IF(OR(F3494="",G3494=""),"",IF(G3494&lt;='RETRATO 2027'!$K$5,"CONCLUÍDA",IF(F3494&lt;='RETRATO 2027'!$K$5,"EM ANDAMENTO","A INICIAR")))</f>
        <v/>
      </c>
    </row>
    <row r="3495">
      <c r="M3495" s="2">
        <f>IF(C3495="","",IFERROR(INDEX($S$5:$S$304,MATCH(C3495,$R$5:$R$304,0))&amp;"","?"))</f>
        <v/>
      </c>
      <c r="N3495" s="2">
        <f>IF(E3495="","",IF(ISNUMBER(SEARCH("SUBSOLO",E3495)),IFERROR(-VALUE(LEFT(E3495,FIND("º",SUBSTITUTE(E3495,"°","º"))-1)),-1),IF(LEFT(E3495,6)="TÉRREO",0,IFERROR(VALUE(LEFT(E3495,FIND("º",SUBSTITUTE(E3495,"°","º"))-1)),""))))</f>
        <v/>
      </c>
      <c r="O3495" s="2">
        <f>IF(OR(F3495="",G3495=""),"",IF(G3495&lt;='RETRATO 2027'!$K$5,"CONCLUÍDA",IF(F3495&lt;='RETRATO 2027'!$K$5,"EM ANDAMENTO","A INICIAR")))</f>
        <v/>
      </c>
    </row>
    <row r="3496">
      <c r="M3496" s="2">
        <f>IF(C3496="","",IFERROR(INDEX($S$5:$S$304,MATCH(C3496,$R$5:$R$304,0))&amp;"","?"))</f>
        <v/>
      </c>
      <c r="N3496" s="2">
        <f>IF(E3496="","",IF(ISNUMBER(SEARCH("SUBSOLO",E3496)),IFERROR(-VALUE(LEFT(E3496,FIND("º",SUBSTITUTE(E3496,"°","º"))-1)),-1),IF(LEFT(E3496,6)="TÉRREO",0,IFERROR(VALUE(LEFT(E3496,FIND("º",SUBSTITUTE(E3496,"°","º"))-1)),""))))</f>
        <v/>
      </c>
      <c r="O3496" s="2">
        <f>IF(OR(F3496="",G3496=""),"",IF(G3496&lt;='RETRATO 2027'!$K$5,"CONCLUÍDA",IF(F3496&lt;='RETRATO 2027'!$K$5,"EM ANDAMENTO","A INICIAR")))</f>
        <v/>
      </c>
    </row>
    <row r="3497">
      <c r="M3497" s="2">
        <f>IF(C3497="","",IFERROR(INDEX($S$5:$S$304,MATCH(C3497,$R$5:$R$304,0))&amp;"","?"))</f>
        <v/>
      </c>
      <c r="N3497" s="2">
        <f>IF(E3497="","",IF(ISNUMBER(SEARCH("SUBSOLO",E3497)),IFERROR(-VALUE(LEFT(E3497,FIND("º",SUBSTITUTE(E3497,"°","º"))-1)),-1),IF(LEFT(E3497,6)="TÉRREO",0,IFERROR(VALUE(LEFT(E3497,FIND("º",SUBSTITUTE(E3497,"°","º"))-1)),""))))</f>
        <v/>
      </c>
      <c r="O3497" s="2">
        <f>IF(OR(F3497="",G3497=""),"",IF(G3497&lt;='RETRATO 2027'!$K$5,"CONCLUÍDA",IF(F3497&lt;='RETRATO 2027'!$K$5,"EM ANDAMENTO","A INICIAR")))</f>
        <v/>
      </c>
    </row>
    <row r="3498">
      <c r="M3498" s="2">
        <f>IF(C3498="","",IFERROR(INDEX($S$5:$S$304,MATCH(C3498,$R$5:$R$304,0))&amp;"","?"))</f>
        <v/>
      </c>
      <c r="N3498" s="2">
        <f>IF(E3498="","",IF(ISNUMBER(SEARCH("SUBSOLO",E3498)),IFERROR(-VALUE(LEFT(E3498,FIND("º",SUBSTITUTE(E3498,"°","º"))-1)),-1),IF(LEFT(E3498,6)="TÉRREO",0,IFERROR(VALUE(LEFT(E3498,FIND("º",SUBSTITUTE(E3498,"°","º"))-1)),""))))</f>
        <v/>
      </c>
      <c r="O3498" s="2">
        <f>IF(OR(F3498="",G3498=""),"",IF(G3498&lt;='RETRATO 2027'!$K$5,"CONCLUÍDA",IF(F3498&lt;='RETRATO 2027'!$K$5,"EM ANDAMENTO","A INICIAR")))</f>
        <v/>
      </c>
    </row>
    <row r="3499">
      <c r="M3499" s="2">
        <f>IF(C3499="","",IFERROR(INDEX($S$5:$S$304,MATCH(C3499,$R$5:$R$304,0))&amp;"","?"))</f>
        <v/>
      </c>
      <c r="N3499" s="2">
        <f>IF(E3499="","",IF(ISNUMBER(SEARCH("SUBSOLO",E3499)),IFERROR(-VALUE(LEFT(E3499,FIND("º",SUBSTITUTE(E3499,"°","º"))-1)),-1),IF(LEFT(E3499,6)="TÉRREO",0,IFERROR(VALUE(LEFT(E3499,FIND("º",SUBSTITUTE(E3499,"°","º"))-1)),""))))</f>
        <v/>
      </c>
      <c r="O3499" s="2">
        <f>IF(OR(F3499="",G3499=""),"",IF(G3499&lt;='RETRATO 2027'!$K$5,"CONCLUÍDA",IF(F3499&lt;='RETRATO 2027'!$K$5,"EM ANDAMENTO","A INICIAR")))</f>
        <v/>
      </c>
    </row>
    <row r="3500">
      <c r="M3500" s="2">
        <f>IF(C3500="","",IFERROR(INDEX($S$5:$S$304,MATCH(C3500,$R$5:$R$304,0))&amp;"","?"))</f>
        <v/>
      </c>
      <c r="N3500" s="2">
        <f>IF(E3500="","",IF(ISNUMBER(SEARCH("SUBSOLO",E3500)),IFERROR(-VALUE(LEFT(E3500,FIND("º",SUBSTITUTE(E3500,"°","º"))-1)),-1),IF(LEFT(E3500,6)="TÉRREO",0,IFERROR(VALUE(LEFT(E3500,FIND("º",SUBSTITUTE(E3500,"°","º"))-1)),""))))</f>
        <v/>
      </c>
      <c r="O3500" s="2">
        <f>IF(OR(F3500="",G3500=""),"",IF(G3500&lt;='RETRATO 2027'!$K$5,"CONCLUÍDA",IF(F3500&lt;='RETRATO 2027'!$K$5,"EM ANDAMENTO","A INICIAR")))</f>
        <v/>
      </c>
    </row>
    <row r="3501">
      <c r="M3501" s="2">
        <f>IF(C3501="","",IFERROR(INDEX($S$5:$S$304,MATCH(C3501,$R$5:$R$304,0))&amp;"","?"))</f>
        <v/>
      </c>
      <c r="N3501" s="2">
        <f>IF(E3501="","",IF(ISNUMBER(SEARCH("SUBSOLO",E3501)),IFERROR(-VALUE(LEFT(E3501,FIND("º",SUBSTITUTE(E3501,"°","º"))-1)),-1),IF(LEFT(E3501,6)="TÉRREO",0,IFERROR(VALUE(LEFT(E3501,FIND("º",SUBSTITUTE(E3501,"°","º"))-1)),""))))</f>
        <v/>
      </c>
      <c r="O3501" s="2">
        <f>IF(OR(F3501="",G3501=""),"",IF(G3501&lt;='RETRATO 2027'!$K$5,"CONCLUÍDA",IF(F3501&lt;='RETRATO 2027'!$K$5,"EM ANDAMENTO","A INICIAR")))</f>
        <v/>
      </c>
    </row>
    <row r="3502">
      <c r="M3502" s="2">
        <f>IF(C3502="","",IFERROR(INDEX($S$5:$S$304,MATCH(C3502,$R$5:$R$304,0))&amp;"","?"))</f>
        <v/>
      </c>
      <c r="N3502" s="2">
        <f>IF(E3502="","",IF(ISNUMBER(SEARCH("SUBSOLO",E3502)),IFERROR(-VALUE(LEFT(E3502,FIND("º",SUBSTITUTE(E3502,"°","º"))-1)),-1),IF(LEFT(E3502,6)="TÉRREO",0,IFERROR(VALUE(LEFT(E3502,FIND("º",SUBSTITUTE(E3502,"°","º"))-1)),""))))</f>
        <v/>
      </c>
      <c r="O3502" s="2">
        <f>IF(OR(F3502="",G3502=""),"",IF(G3502&lt;='RETRATO 2027'!$K$5,"CONCLUÍDA",IF(F3502&lt;='RETRATO 2027'!$K$5,"EM ANDAMENTO","A INICIAR")))</f>
        <v/>
      </c>
    </row>
    <row r="3503">
      <c r="M3503" s="2">
        <f>IF(C3503="","",IFERROR(INDEX($S$5:$S$304,MATCH(C3503,$R$5:$R$304,0))&amp;"","?"))</f>
        <v/>
      </c>
      <c r="N3503" s="2">
        <f>IF(E3503="","",IF(ISNUMBER(SEARCH("SUBSOLO",E3503)),IFERROR(-VALUE(LEFT(E3503,FIND("º",SUBSTITUTE(E3503,"°","º"))-1)),-1),IF(LEFT(E3503,6)="TÉRREO",0,IFERROR(VALUE(LEFT(E3503,FIND("º",SUBSTITUTE(E3503,"°","º"))-1)),""))))</f>
        <v/>
      </c>
      <c r="O3503" s="2">
        <f>IF(OR(F3503="",G3503=""),"",IF(G3503&lt;='RETRATO 2027'!$K$5,"CONCLUÍDA",IF(F3503&lt;='RETRATO 2027'!$K$5,"EM ANDAMENTO","A INICIAR")))</f>
        <v/>
      </c>
    </row>
    <row r="3504">
      <c r="M3504" s="2">
        <f>IF(C3504="","",IFERROR(INDEX($S$5:$S$304,MATCH(C3504,$R$5:$R$304,0))&amp;"","?"))</f>
        <v/>
      </c>
      <c r="N3504" s="2">
        <f>IF(E3504="","",IF(ISNUMBER(SEARCH("SUBSOLO",E3504)),IFERROR(-VALUE(LEFT(E3504,FIND("º",SUBSTITUTE(E3504,"°","º"))-1)),-1),IF(LEFT(E3504,6)="TÉRREO",0,IFERROR(VALUE(LEFT(E3504,FIND("º",SUBSTITUTE(E3504,"°","º"))-1)),""))))</f>
        <v/>
      </c>
      <c r="O3504" s="2">
        <f>IF(OR(F3504="",G3504=""),"",IF(G3504&lt;='RETRATO 2027'!$K$5,"CONCLUÍDA",IF(F3504&lt;='RETRATO 2027'!$K$5,"EM ANDAMENTO","A INICIAR")))</f>
        <v/>
      </c>
    </row>
    <row r="3505">
      <c r="M3505" s="2">
        <f>IF(C3505="","",IFERROR(INDEX($S$5:$S$304,MATCH(C3505,$R$5:$R$304,0))&amp;"","?"))</f>
        <v/>
      </c>
      <c r="N3505" s="2">
        <f>IF(E3505="","",IF(ISNUMBER(SEARCH("SUBSOLO",E3505)),IFERROR(-VALUE(LEFT(E3505,FIND("º",SUBSTITUTE(E3505,"°","º"))-1)),-1),IF(LEFT(E3505,6)="TÉRREO",0,IFERROR(VALUE(LEFT(E3505,FIND("º",SUBSTITUTE(E3505,"°","º"))-1)),""))))</f>
        <v/>
      </c>
      <c r="O3505" s="2">
        <f>IF(OR(F3505="",G3505=""),"",IF(G3505&lt;='RETRATO 2027'!$K$5,"CONCLUÍDA",IF(F3505&lt;='RETRATO 2027'!$K$5,"EM ANDAMENTO","A INICIAR")))</f>
        <v/>
      </c>
    </row>
    <row r="3506">
      <c r="M3506" s="2">
        <f>IF(C3506="","",IFERROR(INDEX($S$5:$S$304,MATCH(C3506,$R$5:$R$304,0))&amp;"","?"))</f>
        <v/>
      </c>
      <c r="N3506" s="2">
        <f>IF(E3506="","",IF(ISNUMBER(SEARCH("SUBSOLO",E3506)),IFERROR(-VALUE(LEFT(E3506,FIND("º",SUBSTITUTE(E3506,"°","º"))-1)),-1),IF(LEFT(E3506,6)="TÉRREO",0,IFERROR(VALUE(LEFT(E3506,FIND("º",SUBSTITUTE(E3506,"°","º"))-1)),""))))</f>
        <v/>
      </c>
      <c r="O3506" s="2">
        <f>IF(OR(F3506="",G3506=""),"",IF(G3506&lt;='RETRATO 2027'!$K$5,"CONCLUÍDA",IF(F3506&lt;='RETRATO 2027'!$K$5,"EM ANDAMENTO","A INICIAR")))</f>
        <v/>
      </c>
    </row>
    <row r="3507">
      <c r="M3507" s="2">
        <f>IF(C3507="","",IFERROR(INDEX($S$5:$S$304,MATCH(C3507,$R$5:$R$304,0))&amp;"","?"))</f>
        <v/>
      </c>
      <c r="N3507" s="2">
        <f>IF(E3507="","",IF(ISNUMBER(SEARCH("SUBSOLO",E3507)),IFERROR(-VALUE(LEFT(E3507,FIND("º",SUBSTITUTE(E3507,"°","º"))-1)),-1),IF(LEFT(E3507,6)="TÉRREO",0,IFERROR(VALUE(LEFT(E3507,FIND("º",SUBSTITUTE(E3507,"°","º"))-1)),""))))</f>
        <v/>
      </c>
      <c r="O3507" s="2">
        <f>IF(OR(F3507="",G3507=""),"",IF(G3507&lt;='RETRATO 2027'!$K$5,"CONCLUÍDA",IF(F3507&lt;='RETRATO 2027'!$K$5,"EM ANDAMENTO","A INICIAR")))</f>
        <v/>
      </c>
    </row>
    <row r="3508">
      <c r="M3508" s="2">
        <f>IF(C3508="","",IFERROR(INDEX($S$5:$S$304,MATCH(C3508,$R$5:$R$304,0))&amp;"","?"))</f>
        <v/>
      </c>
      <c r="N3508" s="2">
        <f>IF(E3508="","",IF(ISNUMBER(SEARCH("SUBSOLO",E3508)),IFERROR(-VALUE(LEFT(E3508,FIND("º",SUBSTITUTE(E3508,"°","º"))-1)),-1),IF(LEFT(E3508,6)="TÉRREO",0,IFERROR(VALUE(LEFT(E3508,FIND("º",SUBSTITUTE(E3508,"°","º"))-1)),""))))</f>
        <v/>
      </c>
      <c r="O3508" s="2">
        <f>IF(OR(F3508="",G3508=""),"",IF(G3508&lt;='RETRATO 2027'!$K$5,"CONCLUÍDA",IF(F3508&lt;='RETRATO 2027'!$K$5,"EM ANDAMENTO","A INICIAR")))</f>
        <v/>
      </c>
    </row>
    <row r="3509">
      <c r="M3509" s="2">
        <f>IF(C3509="","",IFERROR(INDEX($S$5:$S$304,MATCH(C3509,$R$5:$R$304,0))&amp;"","?"))</f>
        <v/>
      </c>
      <c r="N3509" s="2">
        <f>IF(E3509="","",IF(ISNUMBER(SEARCH("SUBSOLO",E3509)),IFERROR(-VALUE(LEFT(E3509,FIND("º",SUBSTITUTE(E3509,"°","º"))-1)),-1),IF(LEFT(E3509,6)="TÉRREO",0,IFERROR(VALUE(LEFT(E3509,FIND("º",SUBSTITUTE(E3509,"°","º"))-1)),""))))</f>
        <v/>
      </c>
      <c r="O3509" s="2">
        <f>IF(OR(F3509="",G3509=""),"",IF(G3509&lt;='RETRATO 2027'!$K$5,"CONCLUÍDA",IF(F3509&lt;='RETRATO 2027'!$K$5,"EM ANDAMENTO","A INICIAR")))</f>
        <v/>
      </c>
    </row>
    <row r="3510">
      <c r="M3510" s="2">
        <f>IF(C3510="","",IFERROR(INDEX($S$5:$S$304,MATCH(C3510,$R$5:$R$304,0))&amp;"","?"))</f>
        <v/>
      </c>
      <c r="N3510" s="2">
        <f>IF(E3510="","",IF(ISNUMBER(SEARCH("SUBSOLO",E3510)),IFERROR(-VALUE(LEFT(E3510,FIND("º",SUBSTITUTE(E3510,"°","º"))-1)),-1),IF(LEFT(E3510,6)="TÉRREO",0,IFERROR(VALUE(LEFT(E3510,FIND("º",SUBSTITUTE(E3510,"°","º"))-1)),""))))</f>
        <v/>
      </c>
      <c r="O3510" s="2">
        <f>IF(OR(F3510="",G3510=""),"",IF(G3510&lt;='RETRATO 2027'!$K$5,"CONCLUÍDA",IF(F3510&lt;='RETRATO 2027'!$K$5,"EM ANDAMENTO","A INICIAR")))</f>
        <v/>
      </c>
    </row>
    <row r="3511">
      <c r="M3511" s="2">
        <f>IF(C3511="","",IFERROR(INDEX($S$5:$S$304,MATCH(C3511,$R$5:$R$304,0))&amp;"","?"))</f>
        <v/>
      </c>
      <c r="N3511" s="2">
        <f>IF(E3511="","",IF(ISNUMBER(SEARCH("SUBSOLO",E3511)),IFERROR(-VALUE(LEFT(E3511,FIND("º",SUBSTITUTE(E3511,"°","º"))-1)),-1),IF(LEFT(E3511,6)="TÉRREO",0,IFERROR(VALUE(LEFT(E3511,FIND("º",SUBSTITUTE(E3511,"°","º"))-1)),""))))</f>
        <v/>
      </c>
      <c r="O3511" s="2">
        <f>IF(OR(F3511="",G3511=""),"",IF(G3511&lt;='RETRATO 2027'!$K$5,"CONCLUÍDA",IF(F3511&lt;='RETRATO 2027'!$K$5,"EM ANDAMENTO","A INICIAR")))</f>
        <v/>
      </c>
    </row>
    <row r="3512">
      <c r="M3512" s="2">
        <f>IF(C3512="","",IFERROR(INDEX($S$5:$S$304,MATCH(C3512,$R$5:$R$304,0))&amp;"","?"))</f>
        <v/>
      </c>
      <c r="N3512" s="2">
        <f>IF(E3512="","",IF(ISNUMBER(SEARCH("SUBSOLO",E3512)),IFERROR(-VALUE(LEFT(E3512,FIND("º",SUBSTITUTE(E3512,"°","º"))-1)),-1),IF(LEFT(E3512,6)="TÉRREO",0,IFERROR(VALUE(LEFT(E3512,FIND("º",SUBSTITUTE(E3512,"°","º"))-1)),""))))</f>
        <v/>
      </c>
      <c r="O3512" s="2">
        <f>IF(OR(F3512="",G3512=""),"",IF(G3512&lt;='RETRATO 2027'!$K$5,"CONCLUÍDA",IF(F3512&lt;='RETRATO 2027'!$K$5,"EM ANDAMENTO","A INICIAR")))</f>
        <v/>
      </c>
    </row>
    <row r="3513">
      <c r="M3513" s="2">
        <f>IF(C3513="","",IFERROR(INDEX($S$5:$S$304,MATCH(C3513,$R$5:$R$304,0))&amp;"","?"))</f>
        <v/>
      </c>
      <c r="N3513" s="2">
        <f>IF(E3513="","",IF(ISNUMBER(SEARCH("SUBSOLO",E3513)),IFERROR(-VALUE(LEFT(E3513,FIND("º",SUBSTITUTE(E3513,"°","º"))-1)),-1),IF(LEFT(E3513,6)="TÉRREO",0,IFERROR(VALUE(LEFT(E3513,FIND("º",SUBSTITUTE(E3513,"°","º"))-1)),""))))</f>
        <v/>
      </c>
      <c r="O3513" s="2">
        <f>IF(OR(F3513="",G3513=""),"",IF(G3513&lt;='RETRATO 2027'!$K$5,"CONCLUÍDA",IF(F3513&lt;='RETRATO 2027'!$K$5,"EM ANDAMENTO","A INICIAR")))</f>
        <v/>
      </c>
    </row>
    <row r="3514">
      <c r="M3514" s="2">
        <f>IF(C3514="","",IFERROR(INDEX($S$5:$S$304,MATCH(C3514,$R$5:$R$304,0))&amp;"","?"))</f>
        <v/>
      </c>
      <c r="N3514" s="2">
        <f>IF(E3514="","",IF(ISNUMBER(SEARCH("SUBSOLO",E3514)),IFERROR(-VALUE(LEFT(E3514,FIND("º",SUBSTITUTE(E3514,"°","º"))-1)),-1),IF(LEFT(E3514,6)="TÉRREO",0,IFERROR(VALUE(LEFT(E3514,FIND("º",SUBSTITUTE(E3514,"°","º"))-1)),""))))</f>
        <v/>
      </c>
      <c r="O3514" s="2">
        <f>IF(OR(F3514="",G3514=""),"",IF(G3514&lt;='RETRATO 2027'!$K$5,"CONCLUÍDA",IF(F3514&lt;='RETRATO 2027'!$K$5,"EM ANDAMENTO","A INICIAR")))</f>
        <v/>
      </c>
    </row>
    <row r="3515">
      <c r="M3515" s="2">
        <f>IF(C3515="","",IFERROR(INDEX($S$5:$S$304,MATCH(C3515,$R$5:$R$304,0))&amp;"","?"))</f>
        <v/>
      </c>
      <c r="N3515" s="2">
        <f>IF(E3515="","",IF(ISNUMBER(SEARCH("SUBSOLO",E3515)),IFERROR(-VALUE(LEFT(E3515,FIND("º",SUBSTITUTE(E3515,"°","º"))-1)),-1),IF(LEFT(E3515,6)="TÉRREO",0,IFERROR(VALUE(LEFT(E3515,FIND("º",SUBSTITUTE(E3515,"°","º"))-1)),""))))</f>
        <v/>
      </c>
      <c r="O3515" s="2">
        <f>IF(OR(F3515="",G3515=""),"",IF(G3515&lt;='RETRATO 2027'!$K$5,"CONCLUÍDA",IF(F3515&lt;='RETRATO 2027'!$K$5,"EM ANDAMENTO","A INICIAR")))</f>
        <v/>
      </c>
    </row>
    <row r="3516">
      <c r="M3516" s="2">
        <f>IF(C3516="","",IFERROR(INDEX($S$5:$S$304,MATCH(C3516,$R$5:$R$304,0))&amp;"","?"))</f>
        <v/>
      </c>
      <c r="N3516" s="2">
        <f>IF(E3516="","",IF(ISNUMBER(SEARCH("SUBSOLO",E3516)),IFERROR(-VALUE(LEFT(E3516,FIND("º",SUBSTITUTE(E3516,"°","º"))-1)),-1),IF(LEFT(E3516,6)="TÉRREO",0,IFERROR(VALUE(LEFT(E3516,FIND("º",SUBSTITUTE(E3516,"°","º"))-1)),""))))</f>
        <v/>
      </c>
      <c r="O3516" s="2">
        <f>IF(OR(F3516="",G3516=""),"",IF(G3516&lt;='RETRATO 2027'!$K$5,"CONCLUÍDA",IF(F3516&lt;='RETRATO 2027'!$K$5,"EM ANDAMENTO","A INICIAR")))</f>
        <v/>
      </c>
    </row>
    <row r="3517">
      <c r="M3517" s="2">
        <f>IF(C3517="","",IFERROR(INDEX($S$5:$S$304,MATCH(C3517,$R$5:$R$304,0))&amp;"","?"))</f>
        <v/>
      </c>
      <c r="N3517" s="2">
        <f>IF(E3517="","",IF(ISNUMBER(SEARCH("SUBSOLO",E3517)),IFERROR(-VALUE(LEFT(E3517,FIND("º",SUBSTITUTE(E3517,"°","º"))-1)),-1),IF(LEFT(E3517,6)="TÉRREO",0,IFERROR(VALUE(LEFT(E3517,FIND("º",SUBSTITUTE(E3517,"°","º"))-1)),""))))</f>
        <v/>
      </c>
      <c r="O3517" s="2">
        <f>IF(OR(F3517="",G3517=""),"",IF(G3517&lt;='RETRATO 2027'!$K$5,"CONCLUÍDA",IF(F3517&lt;='RETRATO 2027'!$K$5,"EM ANDAMENTO","A INICIAR")))</f>
        <v/>
      </c>
    </row>
    <row r="3518">
      <c r="M3518" s="2">
        <f>IF(C3518="","",IFERROR(INDEX($S$5:$S$304,MATCH(C3518,$R$5:$R$304,0))&amp;"","?"))</f>
        <v/>
      </c>
      <c r="N3518" s="2">
        <f>IF(E3518="","",IF(ISNUMBER(SEARCH("SUBSOLO",E3518)),IFERROR(-VALUE(LEFT(E3518,FIND("º",SUBSTITUTE(E3518,"°","º"))-1)),-1),IF(LEFT(E3518,6)="TÉRREO",0,IFERROR(VALUE(LEFT(E3518,FIND("º",SUBSTITUTE(E3518,"°","º"))-1)),""))))</f>
        <v/>
      </c>
      <c r="O3518" s="2">
        <f>IF(OR(F3518="",G3518=""),"",IF(G3518&lt;='RETRATO 2027'!$K$5,"CONCLUÍDA",IF(F3518&lt;='RETRATO 2027'!$K$5,"EM ANDAMENTO","A INICIAR")))</f>
        <v/>
      </c>
    </row>
    <row r="3519">
      <c r="M3519" s="2">
        <f>IF(C3519="","",IFERROR(INDEX($S$5:$S$304,MATCH(C3519,$R$5:$R$304,0))&amp;"","?"))</f>
        <v/>
      </c>
      <c r="N3519" s="2">
        <f>IF(E3519="","",IF(ISNUMBER(SEARCH("SUBSOLO",E3519)),IFERROR(-VALUE(LEFT(E3519,FIND("º",SUBSTITUTE(E3519,"°","º"))-1)),-1),IF(LEFT(E3519,6)="TÉRREO",0,IFERROR(VALUE(LEFT(E3519,FIND("º",SUBSTITUTE(E3519,"°","º"))-1)),""))))</f>
        <v/>
      </c>
      <c r="O3519" s="2">
        <f>IF(OR(F3519="",G3519=""),"",IF(G3519&lt;='RETRATO 2027'!$K$5,"CONCLUÍDA",IF(F3519&lt;='RETRATO 2027'!$K$5,"EM ANDAMENTO","A INICIAR")))</f>
        <v/>
      </c>
    </row>
    <row r="3520">
      <c r="M3520" s="2">
        <f>IF(C3520="","",IFERROR(INDEX($S$5:$S$304,MATCH(C3520,$R$5:$R$304,0))&amp;"","?"))</f>
        <v/>
      </c>
      <c r="N3520" s="2">
        <f>IF(E3520="","",IF(ISNUMBER(SEARCH("SUBSOLO",E3520)),IFERROR(-VALUE(LEFT(E3520,FIND("º",SUBSTITUTE(E3520,"°","º"))-1)),-1),IF(LEFT(E3520,6)="TÉRREO",0,IFERROR(VALUE(LEFT(E3520,FIND("º",SUBSTITUTE(E3520,"°","º"))-1)),""))))</f>
        <v/>
      </c>
      <c r="O3520" s="2">
        <f>IF(OR(F3520="",G3520=""),"",IF(G3520&lt;='RETRATO 2027'!$K$5,"CONCLUÍDA",IF(F3520&lt;='RETRATO 2027'!$K$5,"EM ANDAMENTO","A INICIAR")))</f>
        <v/>
      </c>
    </row>
    <row r="3521">
      <c r="M3521" s="2">
        <f>IF(C3521="","",IFERROR(INDEX($S$5:$S$304,MATCH(C3521,$R$5:$R$304,0))&amp;"","?"))</f>
        <v/>
      </c>
      <c r="N3521" s="2">
        <f>IF(E3521="","",IF(ISNUMBER(SEARCH("SUBSOLO",E3521)),IFERROR(-VALUE(LEFT(E3521,FIND("º",SUBSTITUTE(E3521,"°","º"))-1)),-1),IF(LEFT(E3521,6)="TÉRREO",0,IFERROR(VALUE(LEFT(E3521,FIND("º",SUBSTITUTE(E3521,"°","º"))-1)),""))))</f>
        <v/>
      </c>
      <c r="O3521" s="2">
        <f>IF(OR(F3521="",G3521=""),"",IF(G3521&lt;='RETRATO 2027'!$K$5,"CONCLUÍDA",IF(F3521&lt;='RETRATO 2027'!$K$5,"EM ANDAMENTO","A INICIAR")))</f>
        <v/>
      </c>
    </row>
    <row r="3522">
      <c r="M3522" s="2">
        <f>IF(C3522="","",IFERROR(INDEX($S$5:$S$304,MATCH(C3522,$R$5:$R$304,0))&amp;"","?"))</f>
        <v/>
      </c>
      <c r="N3522" s="2">
        <f>IF(E3522="","",IF(ISNUMBER(SEARCH("SUBSOLO",E3522)),IFERROR(-VALUE(LEFT(E3522,FIND("º",SUBSTITUTE(E3522,"°","º"))-1)),-1),IF(LEFT(E3522,6)="TÉRREO",0,IFERROR(VALUE(LEFT(E3522,FIND("º",SUBSTITUTE(E3522,"°","º"))-1)),""))))</f>
        <v/>
      </c>
      <c r="O3522" s="2">
        <f>IF(OR(F3522="",G3522=""),"",IF(G3522&lt;='RETRATO 2027'!$K$5,"CONCLUÍDA",IF(F3522&lt;='RETRATO 2027'!$K$5,"EM ANDAMENTO","A INICIAR")))</f>
        <v/>
      </c>
    </row>
    <row r="3523">
      <c r="M3523" s="2">
        <f>IF(C3523="","",IFERROR(INDEX($S$5:$S$304,MATCH(C3523,$R$5:$R$304,0))&amp;"","?"))</f>
        <v/>
      </c>
      <c r="N3523" s="2">
        <f>IF(E3523="","",IF(ISNUMBER(SEARCH("SUBSOLO",E3523)),IFERROR(-VALUE(LEFT(E3523,FIND("º",SUBSTITUTE(E3523,"°","º"))-1)),-1),IF(LEFT(E3523,6)="TÉRREO",0,IFERROR(VALUE(LEFT(E3523,FIND("º",SUBSTITUTE(E3523,"°","º"))-1)),""))))</f>
        <v/>
      </c>
      <c r="O3523" s="2">
        <f>IF(OR(F3523="",G3523=""),"",IF(G3523&lt;='RETRATO 2027'!$K$5,"CONCLUÍDA",IF(F3523&lt;='RETRATO 2027'!$K$5,"EM ANDAMENTO","A INICIAR")))</f>
        <v/>
      </c>
    </row>
    <row r="3524">
      <c r="M3524" s="2">
        <f>IF(C3524="","",IFERROR(INDEX($S$5:$S$304,MATCH(C3524,$R$5:$R$304,0))&amp;"","?"))</f>
        <v/>
      </c>
      <c r="N3524" s="2">
        <f>IF(E3524="","",IF(ISNUMBER(SEARCH("SUBSOLO",E3524)),IFERROR(-VALUE(LEFT(E3524,FIND("º",SUBSTITUTE(E3524,"°","º"))-1)),-1),IF(LEFT(E3524,6)="TÉRREO",0,IFERROR(VALUE(LEFT(E3524,FIND("º",SUBSTITUTE(E3524,"°","º"))-1)),""))))</f>
        <v/>
      </c>
      <c r="O3524" s="2">
        <f>IF(OR(F3524="",G3524=""),"",IF(G3524&lt;='RETRATO 2027'!$K$5,"CONCLUÍDA",IF(F3524&lt;='RETRATO 2027'!$K$5,"EM ANDAMENTO","A INICIAR")))</f>
        <v/>
      </c>
    </row>
    <row r="3525">
      <c r="M3525" s="2">
        <f>IF(C3525="","",IFERROR(INDEX($S$5:$S$304,MATCH(C3525,$R$5:$R$304,0))&amp;"","?"))</f>
        <v/>
      </c>
      <c r="N3525" s="2">
        <f>IF(E3525="","",IF(ISNUMBER(SEARCH("SUBSOLO",E3525)),IFERROR(-VALUE(LEFT(E3525,FIND("º",SUBSTITUTE(E3525,"°","º"))-1)),-1),IF(LEFT(E3525,6)="TÉRREO",0,IFERROR(VALUE(LEFT(E3525,FIND("º",SUBSTITUTE(E3525,"°","º"))-1)),""))))</f>
        <v/>
      </c>
      <c r="O3525" s="2">
        <f>IF(OR(F3525="",G3525=""),"",IF(G3525&lt;='RETRATO 2027'!$K$5,"CONCLUÍDA",IF(F3525&lt;='RETRATO 2027'!$K$5,"EM ANDAMENTO","A INICIAR")))</f>
        <v/>
      </c>
    </row>
    <row r="3526">
      <c r="M3526" s="2">
        <f>IF(C3526="","",IFERROR(INDEX($S$5:$S$304,MATCH(C3526,$R$5:$R$304,0))&amp;"","?"))</f>
        <v/>
      </c>
      <c r="N3526" s="2">
        <f>IF(E3526="","",IF(ISNUMBER(SEARCH("SUBSOLO",E3526)),IFERROR(-VALUE(LEFT(E3526,FIND("º",SUBSTITUTE(E3526,"°","º"))-1)),-1),IF(LEFT(E3526,6)="TÉRREO",0,IFERROR(VALUE(LEFT(E3526,FIND("º",SUBSTITUTE(E3526,"°","º"))-1)),""))))</f>
        <v/>
      </c>
      <c r="O3526" s="2">
        <f>IF(OR(F3526="",G3526=""),"",IF(G3526&lt;='RETRATO 2027'!$K$5,"CONCLUÍDA",IF(F3526&lt;='RETRATO 2027'!$K$5,"EM ANDAMENTO","A INICIAR")))</f>
        <v/>
      </c>
    </row>
    <row r="3527">
      <c r="M3527" s="2">
        <f>IF(C3527="","",IFERROR(INDEX($S$5:$S$304,MATCH(C3527,$R$5:$R$304,0))&amp;"","?"))</f>
        <v/>
      </c>
      <c r="N3527" s="2">
        <f>IF(E3527="","",IF(ISNUMBER(SEARCH("SUBSOLO",E3527)),IFERROR(-VALUE(LEFT(E3527,FIND("º",SUBSTITUTE(E3527,"°","º"))-1)),-1),IF(LEFT(E3527,6)="TÉRREO",0,IFERROR(VALUE(LEFT(E3527,FIND("º",SUBSTITUTE(E3527,"°","º"))-1)),""))))</f>
        <v/>
      </c>
      <c r="O3527" s="2">
        <f>IF(OR(F3527="",G3527=""),"",IF(G3527&lt;='RETRATO 2027'!$K$5,"CONCLUÍDA",IF(F3527&lt;='RETRATO 2027'!$K$5,"EM ANDAMENTO","A INICIAR")))</f>
        <v/>
      </c>
    </row>
    <row r="3528">
      <c r="M3528" s="2">
        <f>IF(C3528="","",IFERROR(INDEX($S$5:$S$304,MATCH(C3528,$R$5:$R$304,0))&amp;"","?"))</f>
        <v/>
      </c>
      <c r="N3528" s="2">
        <f>IF(E3528="","",IF(ISNUMBER(SEARCH("SUBSOLO",E3528)),IFERROR(-VALUE(LEFT(E3528,FIND("º",SUBSTITUTE(E3528,"°","º"))-1)),-1),IF(LEFT(E3528,6)="TÉRREO",0,IFERROR(VALUE(LEFT(E3528,FIND("º",SUBSTITUTE(E3528,"°","º"))-1)),""))))</f>
        <v/>
      </c>
      <c r="O3528" s="2">
        <f>IF(OR(F3528="",G3528=""),"",IF(G3528&lt;='RETRATO 2027'!$K$5,"CONCLUÍDA",IF(F3528&lt;='RETRATO 2027'!$K$5,"EM ANDAMENTO","A INICIAR")))</f>
        <v/>
      </c>
    </row>
    <row r="3529">
      <c r="M3529" s="2">
        <f>IF(C3529="","",IFERROR(INDEX($S$5:$S$304,MATCH(C3529,$R$5:$R$304,0))&amp;"","?"))</f>
        <v/>
      </c>
      <c r="N3529" s="2">
        <f>IF(E3529="","",IF(ISNUMBER(SEARCH("SUBSOLO",E3529)),IFERROR(-VALUE(LEFT(E3529,FIND("º",SUBSTITUTE(E3529,"°","º"))-1)),-1),IF(LEFT(E3529,6)="TÉRREO",0,IFERROR(VALUE(LEFT(E3529,FIND("º",SUBSTITUTE(E3529,"°","º"))-1)),""))))</f>
        <v/>
      </c>
      <c r="O3529" s="2">
        <f>IF(OR(F3529="",G3529=""),"",IF(G3529&lt;='RETRATO 2027'!$K$5,"CONCLUÍDA",IF(F3529&lt;='RETRATO 2027'!$K$5,"EM ANDAMENTO","A INICIAR")))</f>
        <v/>
      </c>
    </row>
    <row r="3530">
      <c r="M3530" s="2">
        <f>IF(C3530="","",IFERROR(INDEX($S$5:$S$304,MATCH(C3530,$R$5:$R$304,0))&amp;"","?"))</f>
        <v/>
      </c>
      <c r="N3530" s="2">
        <f>IF(E3530="","",IF(ISNUMBER(SEARCH("SUBSOLO",E3530)),IFERROR(-VALUE(LEFT(E3530,FIND("º",SUBSTITUTE(E3530,"°","º"))-1)),-1),IF(LEFT(E3530,6)="TÉRREO",0,IFERROR(VALUE(LEFT(E3530,FIND("º",SUBSTITUTE(E3530,"°","º"))-1)),""))))</f>
        <v/>
      </c>
      <c r="O3530" s="2">
        <f>IF(OR(F3530="",G3530=""),"",IF(G3530&lt;='RETRATO 2027'!$K$5,"CONCLUÍDA",IF(F3530&lt;='RETRATO 2027'!$K$5,"EM ANDAMENTO","A INICIAR")))</f>
        <v/>
      </c>
    </row>
    <row r="3531">
      <c r="M3531" s="2">
        <f>IF(C3531="","",IFERROR(INDEX($S$5:$S$304,MATCH(C3531,$R$5:$R$304,0))&amp;"","?"))</f>
        <v/>
      </c>
      <c r="N3531" s="2">
        <f>IF(E3531="","",IF(ISNUMBER(SEARCH("SUBSOLO",E3531)),IFERROR(-VALUE(LEFT(E3531,FIND("º",SUBSTITUTE(E3531,"°","º"))-1)),-1),IF(LEFT(E3531,6)="TÉRREO",0,IFERROR(VALUE(LEFT(E3531,FIND("º",SUBSTITUTE(E3531,"°","º"))-1)),""))))</f>
        <v/>
      </c>
      <c r="O3531" s="2">
        <f>IF(OR(F3531="",G3531=""),"",IF(G3531&lt;='RETRATO 2027'!$K$5,"CONCLUÍDA",IF(F3531&lt;='RETRATO 2027'!$K$5,"EM ANDAMENTO","A INICIAR")))</f>
        <v/>
      </c>
    </row>
    <row r="3532">
      <c r="M3532" s="2">
        <f>IF(C3532="","",IFERROR(INDEX($S$5:$S$304,MATCH(C3532,$R$5:$R$304,0))&amp;"","?"))</f>
        <v/>
      </c>
      <c r="N3532" s="2">
        <f>IF(E3532="","",IF(ISNUMBER(SEARCH("SUBSOLO",E3532)),IFERROR(-VALUE(LEFT(E3532,FIND("º",SUBSTITUTE(E3532,"°","º"))-1)),-1),IF(LEFT(E3532,6)="TÉRREO",0,IFERROR(VALUE(LEFT(E3532,FIND("º",SUBSTITUTE(E3532,"°","º"))-1)),""))))</f>
        <v/>
      </c>
      <c r="O3532" s="2">
        <f>IF(OR(F3532="",G3532=""),"",IF(G3532&lt;='RETRATO 2027'!$K$5,"CONCLUÍDA",IF(F3532&lt;='RETRATO 2027'!$K$5,"EM ANDAMENTO","A INICIAR")))</f>
        <v/>
      </c>
    </row>
    <row r="3533">
      <c r="M3533" s="2">
        <f>IF(C3533="","",IFERROR(INDEX($S$5:$S$304,MATCH(C3533,$R$5:$R$304,0))&amp;"","?"))</f>
        <v/>
      </c>
      <c r="N3533" s="2">
        <f>IF(E3533="","",IF(ISNUMBER(SEARCH("SUBSOLO",E3533)),IFERROR(-VALUE(LEFT(E3533,FIND("º",SUBSTITUTE(E3533,"°","º"))-1)),-1),IF(LEFT(E3533,6)="TÉRREO",0,IFERROR(VALUE(LEFT(E3533,FIND("º",SUBSTITUTE(E3533,"°","º"))-1)),""))))</f>
        <v/>
      </c>
      <c r="O3533" s="2">
        <f>IF(OR(F3533="",G3533=""),"",IF(G3533&lt;='RETRATO 2027'!$K$5,"CONCLUÍDA",IF(F3533&lt;='RETRATO 2027'!$K$5,"EM ANDAMENTO","A INICIAR")))</f>
        <v/>
      </c>
    </row>
    <row r="3534">
      <c r="M3534" s="2">
        <f>IF(C3534="","",IFERROR(INDEX($S$5:$S$304,MATCH(C3534,$R$5:$R$304,0))&amp;"","?"))</f>
        <v/>
      </c>
      <c r="N3534" s="2">
        <f>IF(E3534="","",IF(ISNUMBER(SEARCH("SUBSOLO",E3534)),IFERROR(-VALUE(LEFT(E3534,FIND("º",SUBSTITUTE(E3534,"°","º"))-1)),-1),IF(LEFT(E3534,6)="TÉRREO",0,IFERROR(VALUE(LEFT(E3534,FIND("º",SUBSTITUTE(E3534,"°","º"))-1)),""))))</f>
        <v/>
      </c>
      <c r="O3534" s="2">
        <f>IF(OR(F3534="",G3534=""),"",IF(G3534&lt;='RETRATO 2027'!$K$5,"CONCLUÍDA",IF(F3534&lt;='RETRATO 2027'!$K$5,"EM ANDAMENTO","A INICIAR")))</f>
        <v/>
      </c>
    </row>
    <row r="3535">
      <c r="M3535" s="2">
        <f>IF(C3535="","",IFERROR(INDEX($S$5:$S$304,MATCH(C3535,$R$5:$R$304,0))&amp;"","?"))</f>
        <v/>
      </c>
      <c r="N3535" s="2">
        <f>IF(E3535="","",IF(ISNUMBER(SEARCH("SUBSOLO",E3535)),IFERROR(-VALUE(LEFT(E3535,FIND("º",SUBSTITUTE(E3535,"°","º"))-1)),-1),IF(LEFT(E3535,6)="TÉRREO",0,IFERROR(VALUE(LEFT(E3535,FIND("º",SUBSTITUTE(E3535,"°","º"))-1)),""))))</f>
        <v/>
      </c>
      <c r="O3535" s="2">
        <f>IF(OR(F3535="",G3535=""),"",IF(G3535&lt;='RETRATO 2027'!$K$5,"CONCLUÍDA",IF(F3535&lt;='RETRATO 2027'!$K$5,"EM ANDAMENTO","A INICIAR")))</f>
        <v/>
      </c>
    </row>
    <row r="3536">
      <c r="M3536" s="2">
        <f>IF(C3536="","",IFERROR(INDEX($S$5:$S$304,MATCH(C3536,$R$5:$R$304,0))&amp;"","?"))</f>
        <v/>
      </c>
      <c r="N3536" s="2">
        <f>IF(E3536="","",IF(ISNUMBER(SEARCH("SUBSOLO",E3536)),IFERROR(-VALUE(LEFT(E3536,FIND("º",SUBSTITUTE(E3536,"°","º"))-1)),-1),IF(LEFT(E3536,6)="TÉRREO",0,IFERROR(VALUE(LEFT(E3536,FIND("º",SUBSTITUTE(E3536,"°","º"))-1)),""))))</f>
        <v/>
      </c>
      <c r="O3536" s="2">
        <f>IF(OR(F3536="",G3536=""),"",IF(G3536&lt;='RETRATO 2027'!$K$5,"CONCLUÍDA",IF(F3536&lt;='RETRATO 2027'!$K$5,"EM ANDAMENTO","A INICIAR")))</f>
        <v/>
      </c>
    </row>
    <row r="3537">
      <c r="M3537" s="2">
        <f>IF(C3537="","",IFERROR(INDEX($S$5:$S$304,MATCH(C3537,$R$5:$R$304,0))&amp;"","?"))</f>
        <v/>
      </c>
      <c r="N3537" s="2">
        <f>IF(E3537="","",IF(ISNUMBER(SEARCH("SUBSOLO",E3537)),IFERROR(-VALUE(LEFT(E3537,FIND("º",SUBSTITUTE(E3537,"°","º"))-1)),-1),IF(LEFT(E3537,6)="TÉRREO",0,IFERROR(VALUE(LEFT(E3537,FIND("º",SUBSTITUTE(E3537,"°","º"))-1)),""))))</f>
        <v/>
      </c>
      <c r="O3537" s="2">
        <f>IF(OR(F3537="",G3537=""),"",IF(G3537&lt;='RETRATO 2027'!$K$5,"CONCLUÍDA",IF(F3537&lt;='RETRATO 2027'!$K$5,"EM ANDAMENTO","A INICIAR")))</f>
        <v/>
      </c>
    </row>
    <row r="3538">
      <c r="M3538" s="2">
        <f>IF(C3538="","",IFERROR(INDEX($S$5:$S$304,MATCH(C3538,$R$5:$R$304,0))&amp;"","?"))</f>
        <v/>
      </c>
      <c r="N3538" s="2">
        <f>IF(E3538="","",IF(ISNUMBER(SEARCH("SUBSOLO",E3538)),IFERROR(-VALUE(LEFT(E3538,FIND("º",SUBSTITUTE(E3538,"°","º"))-1)),-1),IF(LEFT(E3538,6)="TÉRREO",0,IFERROR(VALUE(LEFT(E3538,FIND("º",SUBSTITUTE(E3538,"°","º"))-1)),""))))</f>
        <v/>
      </c>
      <c r="O3538" s="2">
        <f>IF(OR(F3538="",G3538=""),"",IF(G3538&lt;='RETRATO 2027'!$K$5,"CONCLUÍDA",IF(F3538&lt;='RETRATO 2027'!$K$5,"EM ANDAMENTO","A INICIAR")))</f>
        <v/>
      </c>
    </row>
    <row r="3539">
      <c r="M3539" s="2">
        <f>IF(C3539="","",IFERROR(INDEX($S$5:$S$304,MATCH(C3539,$R$5:$R$304,0))&amp;"","?"))</f>
        <v/>
      </c>
      <c r="N3539" s="2">
        <f>IF(E3539="","",IF(ISNUMBER(SEARCH("SUBSOLO",E3539)),IFERROR(-VALUE(LEFT(E3539,FIND("º",SUBSTITUTE(E3539,"°","º"))-1)),-1),IF(LEFT(E3539,6)="TÉRREO",0,IFERROR(VALUE(LEFT(E3539,FIND("º",SUBSTITUTE(E3539,"°","º"))-1)),""))))</f>
        <v/>
      </c>
      <c r="O3539" s="2">
        <f>IF(OR(F3539="",G3539=""),"",IF(G3539&lt;='RETRATO 2027'!$K$5,"CONCLUÍDA",IF(F3539&lt;='RETRATO 2027'!$K$5,"EM ANDAMENTO","A INICIAR")))</f>
        <v/>
      </c>
    </row>
    <row r="3540">
      <c r="M3540" s="2">
        <f>IF(C3540="","",IFERROR(INDEX($S$5:$S$304,MATCH(C3540,$R$5:$R$304,0))&amp;"","?"))</f>
        <v/>
      </c>
      <c r="N3540" s="2">
        <f>IF(E3540="","",IF(ISNUMBER(SEARCH("SUBSOLO",E3540)),IFERROR(-VALUE(LEFT(E3540,FIND("º",SUBSTITUTE(E3540,"°","º"))-1)),-1),IF(LEFT(E3540,6)="TÉRREO",0,IFERROR(VALUE(LEFT(E3540,FIND("º",SUBSTITUTE(E3540,"°","º"))-1)),""))))</f>
        <v/>
      </c>
      <c r="O3540" s="2">
        <f>IF(OR(F3540="",G3540=""),"",IF(G3540&lt;='RETRATO 2027'!$K$5,"CONCLUÍDA",IF(F3540&lt;='RETRATO 2027'!$K$5,"EM ANDAMENTO","A INICIAR")))</f>
        <v/>
      </c>
    </row>
    <row r="3541">
      <c r="M3541" s="2">
        <f>IF(C3541="","",IFERROR(INDEX($S$5:$S$304,MATCH(C3541,$R$5:$R$304,0))&amp;"","?"))</f>
        <v/>
      </c>
      <c r="N3541" s="2">
        <f>IF(E3541="","",IF(ISNUMBER(SEARCH("SUBSOLO",E3541)),IFERROR(-VALUE(LEFT(E3541,FIND("º",SUBSTITUTE(E3541,"°","º"))-1)),-1),IF(LEFT(E3541,6)="TÉRREO",0,IFERROR(VALUE(LEFT(E3541,FIND("º",SUBSTITUTE(E3541,"°","º"))-1)),""))))</f>
        <v/>
      </c>
      <c r="O3541" s="2">
        <f>IF(OR(F3541="",G3541=""),"",IF(G3541&lt;='RETRATO 2027'!$K$5,"CONCLUÍDA",IF(F3541&lt;='RETRATO 2027'!$K$5,"EM ANDAMENTO","A INICIAR")))</f>
        <v/>
      </c>
    </row>
    <row r="3542">
      <c r="M3542" s="2">
        <f>IF(C3542="","",IFERROR(INDEX($S$5:$S$304,MATCH(C3542,$R$5:$R$304,0))&amp;"","?"))</f>
        <v/>
      </c>
      <c r="N3542" s="2">
        <f>IF(E3542="","",IF(ISNUMBER(SEARCH("SUBSOLO",E3542)),IFERROR(-VALUE(LEFT(E3542,FIND("º",SUBSTITUTE(E3542,"°","º"))-1)),-1),IF(LEFT(E3542,6)="TÉRREO",0,IFERROR(VALUE(LEFT(E3542,FIND("º",SUBSTITUTE(E3542,"°","º"))-1)),""))))</f>
        <v/>
      </c>
      <c r="O3542" s="2">
        <f>IF(OR(F3542="",G3542=""),"",IF(G3542&lt;='RETRATO 2027'!$K$5,"CONCLUÍDA",IF(F3542&lt;='RETRATO 2027'!$K$5,"EM ANDAMENTO","A INICIAR")))</f>
        <v/>
      </c>
    </row>
    <row r="3543">
      <c r="M3543" s="2">
        <f>IF(C3543="","",IFERROR(INDEX($S$5:$S$304,MATCH(C3543,$R$5:$R$304,0))&amp;"","?"))</f>
        <v/>
      </c>
      <c r="N3543" s="2">
        <f>IF(E3543="","",IF(ISNUMBER(SEARCH("SUBSOLO",E3543)),IFERROR(-VALUE(LEFT(E3543,FIND("º",SUBSTITUTE(E3543,"°","º"))-1)),-1),IF(LEFT(E3543,6)="TÉRREO",0,IFERROR(VALUE(LEFT(E3543,FIND("º",SUBSTITUTE(E3543,"°","º"))-1)),""))))</f>
        <v/>
      </c>
      <c r="O3543" s="2">
        <f>IF(OR(F3543="",G3543=""),"",IF(G3543&lt;='RETRATO 2027'!$K$5,"CONCLUÍDA",IF(F3543&lt;='RETRATO 2027'!$K$5,"EM ANDAMENTO","A INICIAR")))</f>
        <v/>
      </c>
    </row>
    <row r="3544">
      <c r="M3544" s="2">
        <f>IF(C3544="","",IFERROR(INDEX($S$5:$S$304,MATCH(C3544,$R$5:$R$304,0))&amp;"","?"))</f>
        <v/>
      </c>
      <c r="N3544" s="2">
        <f>IF(E3544="","",IF(ISNUMBER(SEARCH("SUBSOLO",E3544)),IFERROR(-VALUE(LEFT(E3544,FIND("º",SUBSTITUTE(E3544,"°","º"))-1)),-1),IF(LEFT(E3544,6)="TÉRREO",0,IFERROR(VALUE(LEFT(E3544,FIND("º",SUBSTITUTE(E3544,"°","º"))-1)),""))))</f>
        <v/>
      </c>
      <c r="O3544" s="2">
        <f>IF(OR(F3544="",G3544=""),"",IF(G3544&lt;='RETRATO 2027'!$K$5,"CONCLUÍDA",IF(F3544&lt;='RETRATO 2027'!$K$5,"EM ANDAMENTO","A INICIAR")))</f>
        <v/>
      </c>
    </row>
    <row r="3545">
      <c r="M3545" s="2">
        <f>IF(C3545="","",IFERROR(INDEX($S$5:$S$304,MATCH(C3545,$R$5:$R$304,0))&amp;"","?"))</f>
        <v/>
      </c>
      <c r="N3545" s="2">
        <f>IF(E3545="","",IF(ISNUMBER(SEARCH("SUBSOLO",E3545)),IFERROR(-VALUE(LEFT(E3545,FIND("º",SUBSTITUTE(E3545,"°","º"))-1)),-1),IF(LEFT(E3545,6)="TÉRREO",0,IFERROR(VALUE(LEFT(E3545,FIND("º",SUBSTITUTE(E3545,"°","º"))-1)),""))))</f>
        <v/>
      </c>
      <c r="O3545" s="2">
        <f>IF(OR(F3545="",G3545=""),"",IF(G3545&lt;='RETRATO 2027'!$K$5,"CONCLUÍDA",IF(F3545&lt;='RETRATO 2027'!$K$5,"EM ANDAMENTO","A INICIAR")))</f>
        <v/>
      </c>
    </row>
    <row r="3546">
      <c r="M3546" s="2">
        <f>IF(C3546="","",IFERROR(INDEX($S$5:$S$304,MATCH(C3546,$R$5:$R$304,0))&amp;"","?"))</f>
        <v/>
      </c>
      <c r="N3546" s="2">
        <f>IF(E3546="","",IF(ISNUMBER(SEARCH("SUBSOLO",E3546)),IFERROR(-VALUE(LEFT(E3546,FIND("º",SUBSTITUTE(E3546,"°","º"))-1)),-1),IF(LEFT(E3546,6)="TÉRREO",0,IFERROR(VALUE(LEFT(E3546,FIND("º",SUBSTITUTE(E3546,"°","º"))-1)),""))))</f>
        <v/>
      </c>
      <c r="O3546" s="2">
        <f>IF(OR(F3546="",G3546=""),"",IF(G3546&lt;='RETRATO 2027'!$K$5,"CONCLUÍDA",IF(F3546&lt;='RETRATO 2027'!$K$5,"EM ANDAMENTO","A INICIAR")))</f>
        <v/>
      </c>
    </row>
    <row r="3547">
      <c r="M3547" s="2">
        <f>IF(C3547="","",IFERROR(INDEX($S$5:$S$304,MATCH(C3547,$R$5:$R$304,0))&amp;"","?"))</f>
        <v/>
      </c>
      <c r="N3547" s="2">
        <f>IF(E3547="","",IF(ISNUMBER(SEARCH("SUBSOLO",E3547)),IFERROR(-VALUE(LEFT(E3547,FIND("º",SUBSTITUTE(E3547,"°","º"))-1)),-1),IF(LEFT(E3547,6)="TÉRREO",0,IFERROR(VALUE(LEFT(E3547,FIND("º",SUBSTITUTE(E3547,"°","º"))-1)),""))))</f>
        <v/>
      </c>
      <c r="O3547" s="2">
        <f>IF(OR(F3547="",G3547=""),"",IF(G3547&lt;='RETRATO 2027'!$K$5,"CONCLUÍDA",IF(F3547&lt;='RETRATO 2027'!$K$5,"EM ANDAMENTO","A INICIAR")))</f>
        <v/>
      </c>
    </row>
    <row r="3548">
      <c r="M3548" s="2">
        <f>IF(C3548="","",IFERROR(INDEX($S$5:$S$304,MATCH(C3548,$R$5:$R$304,0))&amp;"","?"))</f>
        <v/>
      </c>
      <c r="N3548" s="2">
        <f>IF(E3548="","",IF(ISNUMBER(SEARCH("SUBSOLO",E3548)),IFERROR(-VALUE(LEFT(E3548,FIND("º",SUBSTITUTE(E3548,"°","º"))-1)),-1),IF(LEFT(E3548,6)="TÉRREO",0,IFERROR(VALUE(LEFT(E3548,FIND("º",SUBSTITUTE(E3548,"°","º"))-1)),""))))</f>
        <v/>
      </c>
      <c r="O3548" s="2">
        <f>IF(OR(F3548="",G3548=""),"",IF(G3548&lt;='RETRATO 2027'!$K$5,"CONCLUÍDA",IF(F3548&lt;='RETRATO 2027'!$K$5,"EM ANDAMENTO","A INICIAR")))</f>
        <v/>
      </c>
    </row>
    <row r="3549">
      <c r="M3549" s="2">
        <f>IF(C3549="","",IFERROR(INDEX($S$5:$S$304,MATCH(C3549,$R$5:$R$304,0))&amp;"","?"))</f>
        <v/>
      </c>
      <c r="N3549" s="2">
        <f>IF(E3549="","",IF(ISNUMBER(SEARCH("SUBSOLO",E3549)),IFERROR(-VALUE(LEFT(E3549,FIND("º",SUBSTITUTE(E3549,"°","º"))-1)),-1),IF(LEFT(E3549,6)="TÉRREO",0,IFERROR(VALUE(LEFT(E3549,FIND("º",SUBSTITUTE(E3549,"°","º"))-1)),""))))</f>
        <v/>
      </c>
      <c r="O3549" s="2">
        <f>IF(OR(F3549="",G3549=""),"",IF(G3549&lt;='RETRATO 2027'!$K$5,"CONCLUÍDA",IF(F3549&lt;='RETRATO 2027'!$K$5,"EM ANDAMENTO","A INICIAR")))</f>
        <v/>
      </c>
    </row>
    <row r="3550">
      <c r="M3550" s="2">
        <f>IF(C3550="","",IFERROR(INDEX($S$5:$S$304,MATCH(C3550,$R$5:$R$304,0))&amp;"","?"))</f>
        <v/>
      </c>
      <c r="N3550" s="2">
        <f>IF(E3550="","",IF(ISNUMBER(SEARCH("SUBSOLO",E3550)),IFERROR(-VALUE(LEFT(E3550,FIND("º",SUBSTITUTE(E3550,"°","º"))-1)),-1),IF(LEFT(E3550,6)="TÉRREO",0,IFERROR(VALUE(LEFT(E3550,FIND("º",SUBSTITUTE(E3550,"°","º"))-1)),""))))</f>
        <v/>
      </c>
      <c r="O3550" s="2">
        <f>IF(OR(F3550="",G3550=""),"",IF(G3550&lt;='RETRATO 2027'!$K$5,"CONCLUÍDA",IF(F3550&lt;='RETRATO 2027'!$K$5,"EM ANDAMENTO","A INICIAR")))</f>
        <v/>
      </c>
    </row>
    <row r="3551">
      <c r="M3551" s="2">
        <f>IF(C3551="","",IFERROR(INDEX($S$5:$S$304,MATCH(C3551,$R$5:$R$304,0))&amp;"","?"))</f>
        <v/>
      </c>
      <c r="N3551" s="2">
        <f>IF(E3551="","",IF(ISNUMBER(SEARCH("SUBSOLO",E3551)),IFERROR(-VALUE(LEFT(E3551,FIND("º",SUBSTITUTE(E3551,"°","º"))-1)),-1),IF(LEFT(E3551,6)="TÉRREO",0,IFERROR(VALUE(LEFT(E3551,FIND("º",SUBSTITUTE(E3551,"°","º"))-1)),""))))</f>
        <v/>
      </c>
      <c r="O3551" s="2">
        <f>IF(OR(F3551="",G3551=""),"",IF(G3551&lt;='RETRATO 2027'!$K$5,"CONCLUÍDA",IF(F3551&lt;='RETRATO 2027'!$K$5,"EM ANDAMENTO","A INICIAR")))</f>
        <v/>
      </c>
    </row>
    <row r="3552">
      <c r="M3552" s="2">
        <f>IF(C3552="","",IFERROR(INDEX($S$5:$S$304,MATCH(C3552,$R$5:$R$304,0))&amp;"","?"))</f>
        <v/>
      </c>
      <c r="N3552" s="2">
        <f>IF(E3552="","",IF(ISNUMBER(SEARCH("SUBSOLO",E3552)),IFERROR(-VALUE(LEFT(E3552,FIND("º",SUBSTITUTE(E3552,"°","º"))-1)),-1),IF(LEFT(E3552,6)="TÉRREO",0,IFERROR(VALUE(LEFT(E3552,FIND("º",SUBSTITUTE(E3552,"°","º"))-1)),""))))</f>
        <v/>
      </c>
      <c r="O3552" s="2">
        <f>IF(OR(F3552="",G3552=""),"",IF(G3552&lt;='RETRATO 2027'!$K$5,"CONCLUÍDA",IF(F3552&lt;='RETRATO 2027'!$K$5,"EM ANDAMENTO","A INICIAR")))</f>
        <v/>
      </c>
    </row>
    <row r="3553">
      <c r="M3553" s="2">
        <f>IF(C3553="","",IFERROR(INDEX($S$5:$S$304,MATCH(C3553,$R$5:$R$304,0))&amp;"","?"))</f>
        <v/>
      </c>
      <c r="N3553" s="2">
        <f>IF(E3553="","",IF(ISNUMBER(SEARCH("SUBSOLO",E3553)),IFERROR(-VALUE(LEFT(E3553,FIND("º",SUBSTITUTE(E3553,"°","º"))-1)),-1),IF(LEFT(E3553,6)="TÉRREO",0,IFERROR(VALUE(LEFT(E3553,FIND("º",SUBSTITUTE(E3553,"°","º"))-1)),""))))</f>
        <v/>
      </c>
      <c r="O3553" s="2">
        <f>IF(OR(F3553="",G3553=""),"",IF(G3553&lt;='RETRATO 2027'!$K$5,"CONCLUÍDA",IF(F3553&lt;='RETRATO 2027'!$K$5,"EM ANDAMENTO","A INICIAR")))</f>
        <v/>
      </c>
    </row>
    <row r="3554">
      <c r="M3554" s="2">
        <f>IF(C3554="","",IFERROR(INDEX($S$5:$S$304,MATCH(C3554,$R$5:$R$304,0))&amp;"","?"))</f>
        <v/>
      </c>
      <c r="N3554" s="2">
        <f>IF(E3554="","",IF(ISNUMBER(SEARCH("SUBSOLO",E3554)),IFERROR(-VALUE(LEFT(E3554,FIND("º",SUBSTITUTE(E3554,"°","º"))-1)),-1),IF(LEFT(E3554,6)="TÉRREO",0,IFERROR(VALUE(LEFT(E3554,FIND("º",SUBSTITUTE(E3554,"°","º"))-1)),""))))</f>
        <v/>
      </c>
      <c r="O3554" s="2">
        <f>IF(OR(F3554="",G3554=""),"",IF(G3554&lt;='RETRATO 2027'!$K$5,"CONCLUÍDA",IF(F3554&lt;='RETRATO 2027'!$K$5,"EM ANDAMENTO","A INICIAR")))</f>
        <v/>
      </c>
    </row>
    <row r="3555">
      <c r="M3555" s="2">
        <f>IF(C3555="","",IFERROR(INDEX($S$5:$S$304,MATCH(C3555,$R$5:$R$304,0))&amp;"","?"))</f>
        <v/>
      </c>
      <c r="N3555" s="2">
        <f>IF(E3555="","",IF(ISNUMBER(SEARCH("SUBSOLO",E3555)),IFERROR(-VALUE(LEFT(E3555,FIND("º",SUBSTITUTE(E3555,"°","º"))-1)),-1),IF(LEFT(E3555,6)="TÉRREO",0,IFERROR(VALUE(LEFT(E3555,FIND("º",SUBSTITUTE(E3555,"°","º"))-1)),""))))</f>
        <v/>
      </c>
      <c r="O3555" s="2">
        <f>IF(OR(F3555="",G3555=""),"",IF(G3555&lt;='RETRATO 2027'!$K$5,"CONCLUÍDA",IF(F3555&lt;='RETRATO 2027'!$K$5,"EM ANDAMENTO","A INICIAR")))</f>
        <v/>
      </c>
    </row>
    <row r="3556">
      <c r="M3556" s="2">
        <f>IF(C3556="","",IFERROR(INDEX($S$5:$S$304,MATCH(C3556,$R$5:$R$304,0))&amp;"","?"))</f>
        <v/>
      </c>
      <c r="N3556" s="2">
        <f>IF(E3556="","",IF(ISNUMBER(SEARCH("SUBSOLO",E3556)),IFERROR(-VALUE(LEFT(E3556,FIND("º",SUBSTITUTE(E3556,"°","º"))-1)),-1),IF(LEFT(E3556,6)="TÉRREO",0,IFERROR(VALUE(LEFT(E3556,FIND("º",SUBSTITUTE(E3556,"°","º"))-1)),""))))</f>
        <v/>
      </c>
      <c r="O3556" s="2">
        <f>IF(OR(F3556="",G3556=""),"",IF(G3556&lt;='RETRATO 2027'!$K$5,"CONCLUÍDA",IF(F3556&lt;='RETRATO 2027'!$K$5,"EM ANDAMENTO","A INICIAR")))</f>
        <v/>
      </c>
    </row>
    <row r="3557">
      <c r="M3557" s="2">
        <f>IF(C3557="","",IFERROR(INDEX($S$5:$S$304,MATCH(C3557,$R$5:$R$304,0))&amp;"","?"))</f>
        <v/>
      </c>
      <c r="N3557" s="2">
        <f>IF(E3557="","",IF(ISNUMBER(SEARCH("SUBSOLO",E3557)),IFERROR(-VALUE(LEFT(E3557,FIND("º",SUBSTITUTE(E3557,"°","º"))-1)),-1),IF(LEFT(E3557,6)="TÉRREO",0,IFERROR(VALUE(LEFT(E3557,FIND("º",SUBSTITUTE(E3557,"°","º"))-1)),""))))</f>
        <v/>
      </c>
      <c r="O3557" s="2">
        <f>IF(OR(F3557="",G3557=""),"",IF(G3557&lt;='RETRATO 2027'!$K$5,"CONCLUÍDA",IF(F3557&lt;='RETRATO 2027'!$K$5,"EM ANDAMENTO","A INICIAR")))</f>
        <v/>
      </c>
    </row>
    <row r="3558">
      <c r="M3558" s="2">
        <f>IF(C3558="","",IFERROR(INDEX($S$5:$S$304,MATCH(C3558,$R$5:$R$304,0))&amp;"","?"))</f>
        <v/>
      </c>
      <c r="N3558" s="2">
        <f>IF(E3558="","",IF(ISNUMBER(SEARCH("SUBSOLO",E3558)),IFERROR(-VALUE(LEFT(E3558,FIND("º",SUBSTITUTE(E3558,"°","º"))-1)),-1),IF(LEFT(E3558,6)="TÉRREO",0,IFERROR(VALUE(LEFT(E3558,FIND("º",SUBSTITUTE(E3558,"°","º"))-1)),""))))</f>
        <v/>
      </c>
      <c r="O3558" s="2">
        <f>IF(OR(F3558="",G3558=""),"",IF(G3558&lt;='RETRATO 2027'!$K$5,"CONCLUÍDA",IF(F3558&lt;='RETRATO 2027'!$K$5,"EM ANDAMENTO","A INICIAR")))</f>
        <v/>
      </c>
    </row>
    <row r="3559">
      <c r="M3559" s="2">
        <f>IF(C3559="","",IFERROR(INDEX($S$5:$S$304,MATCH(C3559,$R$5:$R$304,0))&amp;"","?"))</f>
        <v/>
      </c>
      <c r="N3559" s="2">
        <f>IF(E3559="","",IF(ISNUMBER(SEARCH("SUBSOLO",E3559)),IFERROR(-VALUE(LEFT(E3559,FIND("º",SUBSTITUTE(E3559,"°","º"))-1)),-1),IF(LEFT(E3559,6)="TÉRREO",0,IFERROR(VALUE(LEFT(E3559,FIND("º",SUBSTITUTE(E3559,"°","º"))-1)),""))))</f>
        <v/>
      </c>
      <c r="O3559" s="2">
        <f>IF(OR(F3559="",G3559=""),"",IF(G3559&lt;='RETRATO 2027'!$K$5,"CONCLUÍDA",IF(F3559&lt;='RETRATO 2027'!$K$5,"EM ANDAMENTO","A INICIAR")))</f>
        <v/>
      </c>
    </row>
    <row r="3560">
      <c r="M3560" s="2">
        <f>IF(C3560="","",IFERROR(INDEX($S$5:$S$304,MATCH(C3560,$R$5:$R$304,0))&amp;"","?"))</f>
        <v/>
      </c>
      <c r="N3560" s="2">
        <f>IF(E3560="","",IF(ISNUMBER(SEARCH("SUBSOLO",E3560)),IFERROR(-VALUE(LEFT(E3560,FIND("º",SUBSTITUTE(E3560,"°","º"))-1)),-1),IF(LEFT(E3560,6)="TÉRREO",0,IFERROR(VALUE(LEFT(E3560,FIND("º",SUBSTITUTE(E3560,"°","º"))-1)),""))))</f>
        <v/>
      </c>
      <c r="O3560" s="2">
        <f>IF(OR(F3560="",G3560=""),"",IF(G3560&lt;='RETRATO 2027'!$K$5,"CONCLUÍDA",IF(F3560&lt;='RETRATO 2027'!$K$5,"EM ANDAMENTO","A INICIAR")))</f>
        <v/>
      </c>
    </row>
    <row r="3561">
      <c r="M3561" s="2">
        <f>IF(C3561="","",IFERROR(INDEX($S$5:$S$304,MATCH(C3561,$R$5:$R$304,0))&amp;"","?"))</f>
        <v/>
      </c>
      <c r="N3561" s="2">
        <f>IF(E3561="","",IF(ISNUMBER(SEARCH("SUBSOLO",E3561)),IFERROR(-VALUE(LEFT(E3561,FIND("º",SUBSTITUTE(E3561,"°","º"))-1)),-1),IF(LEFT(E3561,6)="TÉRREO",0,IFERROR(VALUE(LEFT(E3561,FIND("º",SUBSTITUTE(E3561,"°","º"))-1)),""))))</f>
        <v/>
      </c>
      <c r="O3561" s="2">
        <f>IF(OR(F3561="",G3561=""),"",IF(G3561&lt;='RETRATO 2027'!$K$5,"CONCLUÍDA",IF(F3561&lt;='RETRATO 2027'!$K$5,"EM ANDAMENTO","A INICIAR")))</f>
        <v/>
      </c>
    </row>
    <row r="3562">
      <c r="M3562" s="2">
        <f>IF(C3562="","",IFERROR(INDEX($S$5:$S$304,MATCH(C3562,$R$5:$R$304,0))&amp;"","?"))</f>
        <v/>
      </c>
      <c r="N3562" s="2">
        <f>IF(E3562="","",IF(ISNUMBER(SEARCH("SUBSOLO",E3562)),IFERROR(-VALUE(LEFT(E3562,FIND("º",SUBSTITUTE(E3562,"°","º"))-1)),-1),IF(LEFT(E3562,6)="TÉRREO",0,IFERROR(VALUE(LEFT(E3562,FIND("º",SUBSTITUTE(E3562,"°","º"))-1)),""))))</f>
        <v/>
      </c>
      <c r="O3562" s="2">
        <f>IF(OR(F3562="",G3562=""),"",IF(G3562&lt;='RETRATO 2027'!$K$5,"CONCLUÍDA",IF(F3562&lt;='RETRATO 2027'!$K$5,"EM ANDAMENTO","A INICIAR")))</f>
        <v/>
      </c>
    </row>
    <row r="3563">
      <c r="M3563" s="2">
        <f>IF(C3563="","",IFERROR(INDEX($S$5:$S$304,MATCH(C3563,$R$5:$R$304,0))&amp;"","?"))</f>
        <v/>
      </c>
      <c r="N3563" s="2">
        <f>IF(E3563="","",IF(ISNUMBER(SEARCH("SUBSOLO",E3563)),IFERROR(-VALUE(LEFT(E3563,FIND("º",SUBSTITUTE(E3563,"°","º"))-1)),-1),IF(LEFT(E3563,6)="TÉRREO",0,IFERROR(VALUE(LEFT(E3563,FIND("º",SUBSTITUTE(E3563,"°","º"))-1)),""))))</f>
        <v/>
      </c>
      <c r="O3563" s="2">
        <f>IF(OR(F3563="",G3563=""),"",IF(G3563&lt;='RETRATO 2027'!$K$5,"CONCLUÍDA",IF(F3563&lt;='RETRATO 2027'!$K$5,"EM ANDAMENTO","A INICIAR")))</f>
        <v/>
      </c>
    </row>
    <row r="3564">
      <c r="M3564" s="2">
        <f>IF(C3564="","",IFERROR(INDEX($S$5:$S$304,MATCH(C3564,$R$5:$R$304,0))&amp;"","?"))</f>
        <v/>
      </c>
      <c r="N3564" s="2">
        <f>IF(E3564="","",IF(ISNUMBER(SEARCH("SUBSOLO",E3564)),IFERROR(-VALUE(LEFT(E3564,FIND("º",SUBSTITUTE(E3564,"°","º"))-1)),-1),IF(LEFT(E3564,6)="TÉRREO",0,IFERROR(VALUE(LEFT(E3564,FIND("º",SUBSTITUTE(E3564,"°","º"))-1)),""))))</f>
        <v/>
      </c>
      <c r="O3564" s="2">
        <f>IF(OR(F3564="",G3564=""),"",IF(G3564&lt;='RETRATO 2027'!$K$5,"CONCLUÍDA",IF(F3564&lt;='RETRATO 2027'!$K$5,"EM ANDAMENTO","A INICIAR")))</f>
        <v/>
      </c>
    </row>
    <row r="3565">
      <c r="M3565" s="2">
        <f>IF(C3565="","",IFERROR(INDEX($S$5:$S$304,MATCH(C3565,$R$5:$R$304,0))&amp;"","?"))</f>
        <v/>
      </c>
      <c r="N3565" s="2">
        <f>IF(E3565="","",IF(ISNUMBER(SEARCH("SUBSOLO",E3565)),IFERROR(-VALUE(LEFT(E3565,FIND("º",SUBSTITUTE(E3565,"°","º"))-1)),-1),IF(LEFT(E3565,6)="TÉRREO",0,IFERROR(VALUE(LEFT(E3565,FIND("º",SUBSTITUTE(E3565,"°","º"))-1)),""))))</f>
        <v/>
      </c>
      <c r="O3565" s="2">
        <f>IF(OR(F3565="",G3565=""),"",IF(G3565&lt;='RETRATO 2027'!$K$5,"CONCLUÍDA",IF(F3565&lt;='RETRATO 2027'!$K$5,"EM ANDAMENTO","A INICIAR")))</f>
        <v/>
      </c>
    </row>
    <row r="3566">
      <c r="M3566" s="2">
        <f>IF(C3566="","",IFERROR(INDEX($S$5:$S$304,MATCH(C3566,$R$5:$R$304,0))&amp;"","?"))</f>
        <v/>
      </c>
      <c r="N3566" s="2">
        <f>IF(E3566="","",IF(ISNUMBER(SEARCH("SUBSOLO",E3566)),IFERROR(-VALUE(LEFT(E3566,FIND("º",SUBSTITUTE(E3566,"°","º"))-1)),-1),IF(LEFT(E3566,6)="TÉRREO",0,IFERROR(VALUE(LEFT(E3566,FIND("º",SUBSTITUTE(E3566,"°","º"))-1)),""))))</f>
        <v/>
      </c>
      <c r="O3566" s="2">
        <f>IF(OR(F3566="",G3566=""),"",IF(G3566&lt;='RETRATO 2027'!$K$5,"CONCLUÍDA",IF(F3566&lt;='RETRATO 2027'!$K$5,"EM ANDAMENTO","A INICIAR")))</f>
        <v/>
      </c>
    </row>
    <row r="3567">
      <c r="M3567" s="2">
        <f>IF(C3567="","",IFERROR(INDEX($S$5:$S$304,MATCH(C3567,$R$5:$R$304,0))&amp;"","?"))</f>
        <v/>
      </c>
      <c r="N3567" s="2">
        <f>IF(E3567="","",IF(ISNUMBER(SEARCH("SUBSOLO",E3567)),IFERROR(-VALUE(LEFT(E3567,FIND("º",SUBSTITUTE(E3567,"°","º"))-1)),-1),IF(LEFT(E3567,6)="TÉRREO",0,IFERROR(VALUE(LEFT(E3567,FIND("º",SUBSTITUTE(E3567,"°","º"))-1)),""))))</f>
        <v/>
      </c>
      <c r="O3567" s="2">
        <f>IF(OR(F3567="",G3567=""),"",IF(G3567&lt;='RETRATO 2027'!$K$5,"CONCLUÍDA",IF(F3567&lt;='RETRATO 2027'!$K$5,"EM ANDAMENTO","A INICIAR")))</f>
        <v/>
      </c>
    </row>
    <row r="3568">
      <c r="M3568" s="2">
        <f>IF(C3568="","",IFERROR(INDEX($S$5:$S$304,MATCH(C3568,$R$5:$R$304,0))&amp;"","?"))</f>
        <v/>
      </c>
      <c r="N3568" s="2">
        <f>IF(E3568="","",IF(ISNUMBER(SEARCH("SUBSOLO",E3568)),IFERROR(-VALUE(LEFT(E3568,FIND("º",SUBSTITUTE(E3568,"°","º"))-1)),-1),IF(LEFT(E3568,6)="TÉRREO",0,IFERROR(VALUE(LEFT(E3568,FIND("º",SUBSTITUTE(E3568,"°","º"))-1)),""))))</f>
        <v/>
      </c>
      <c r="O3568" s="2">
        <f>IF(OR(F3568="",G3568=""),"",IF(G3568&lt;='RETRATO 2027'!$K$5,"CONCLUÍDA",IF(F3568&lt;='RETRATO 2027'!$K$5,"EM ANDAMENTO","A INICIAR")))</f>
        <v/>
      </c>
    </row>
    <row r="3569">
      <c r="M3569" s="2">
        <f>IF(C3569="","",IFERROR(INDEX($S$5:$S$304,MATCH(C3569,$R$5:$R$304,0))&amp;"","?"))</f>
        <v/>
      </c>
      <c r="N3569" s="2">
        <f>IF(E3569="","",IF(ISNUMBER(SEARCH("SUBSOLO",E3569)),IFERROR(-VALUE(LEFT(E3569,FIND("º",SUBSTITUTE(E3569,"°","º"))-1)),-1),IF(LEFT(E3569,6)="TÉRREO",0,IFERROR(VALUE(LEFT(E3569,FIND("º",SUBSTITUTE(E3569,"°","º"))-1)),""))))</f>
        <v/>
      </c>
      <c r="O3569" s="2">
        <f>IF(OR(F3569="",G3569=""),"",IF(G3569&lt;='RETRATO 2027'!$K$5,"CONCLUÍDA",IF(F3569&lt;='RETRATO 2027'!$K$5,"EM ANDAMENTO","A INICIAR")))</f>
        <v/>
      </c>
    </row>
    <row r="3570">
      <c r="M3570" s="2">
        <f>IF(C3570="","",IFERROR(INDEX($S$5:$S$304,MATCH(C3570,$R$5:$R$304,0))&amp;"","?"))</f>
        <v/>
      </c>
      <c r="N3570" s="2">
        <f>IF(E3570="","",IF(ISNUMBER(SEARCH("SUBSOLO",E3570)),IFERROR(-VALUE(LEFT(E3570,FIND("º",SUBSTITUTE(E3570,"°","º"))-1)),-1),IF(LEFT(E3570,6)="TÉRREO",0,IFERROR(VALUE(LEFT(E3570,FIND("º",SUBSTITUTE(E3570,"°","º"))-1)),""))))</f>
        <v/>
      </c>
      <c r="O3570" s="2">
        <f>IF(OR(F3570="",G3570=""),"",IF(G3570&lt;='RETRATO 2027'!$K$5,"CONCLUÍDA",IF(F3570&lt;='RETRATO 2027'!$K$5,"EM ANDAMENTO","A INICIAR")))</f>
        <v/>
      </c>
    </row>
    <row r="3571">
      <c r="M3571" s="2">
        <f>IF(C3571="","",IFERROR(INDEX($S$5:$S$304,MATCH(C3571,$R$5:$R$304,0))&amp;"","?"))</f>
        <v/>
      </c>
      <c r="N3571" s="2">
        <f>IF(E3571="","",IF(ISNUMBER(SEARCH("SUBSOLO",E3571)),IFERROR(-VALUE(LEFT(E3571,FIND("º",SUBSTITUTE(E3571,"°","º"))-1)),-1),IF(LEFT(E3571,6)="TÉRREO",0,IFERROR(VALUE(LEFT(E3571,FIND("º",SUBSTITUTE(E3571,"°","º"))-1)),""))))</f>
        <v/>
      </c>
      <c r="O3571" s="2">
        <f>IF(OR(F3571="",G3571=""),"",IF(G3571&lt;='RETRATO 2027'!$K$5,"CONCLUÍDA",IF(F3571&lt;='RETRATO 2027'!$K$5,"EM ANDAMENTO","A INICIAR")))</f>
        <v/>
      </c>
    </row>
    <row r="3572">
      <c r="M3572" s="2">
        <f>IF(C3572="","",IFERROR(INDEX($S$5:$S$304,MATCH(C3572,$R$5:$R$304,0))&amp;"","?"))</f>
        <v/>
      </c>
      <c r="N3572" s="2">
        <f>IF(E3572="","",IF(ISNUMBER(SEARCH("SUBSOLO",E3572)),IFERROR(-VALUE(LEFT(E3572,FIND("º",SUBSTITUTE(E3572,"°","º"))-1)),-1),IF(LEFT(E3572,6)="TÉRREO",0,IFERROR(VALUE(LEFT(E3572,FIND("º",SUBSTITUTE(E3572,"°","º"))-1)),""))))</f>
        <v/>
      </c>
      <c r="O3572" s="2">
        <f>IF(OR(F3572="",G3572=""),"",IF(G3572&lt;='RETRATO 2027'!$K$5,"CONCLUÍDA",IF(F3572&lt;='RETRATO 2027'!$K$5,"EM ANDAMENTO","A INICIAR")))</f>
        <v/>
      </c>
    </row>
    <row r="3573">
      <c r="M3573" s="2">
        <f>IF(C3573="","",IFERROR(INDEX($S$5:$S$304,MATCH(C3573,$R$5:$R$304,0))&amp;"","?"))</f>
        <v/>
      </c>
      <c r="N3573" s="2">
        <f>IF(E3573="","",IF(ISNUMBER(SEARCH("SUBSOLO",E3573)),IFERROR(-VALUE(LEFT(E3573,FIND("º",SUBSTITUTE(E3573,"°","º"))-1)),-1),IF(LEFT(E3573,6)="TÉRREO",0,IFERROR(VALUE(LEFT(E3573,FIND("º",SUBSTITUTE(E3573,"°","º"))-1)),""))))</f>
        <v/>
      </c>
      <c r="O3573" s="2">
        <f>IF(OR(F3573="",G3573=""),"",IF(G3573&lt;='RETRATO 2027'!$K$5,"CONCLUÍDA",IF(F3573&lt;='RETRATO 2027'!$K$5,"EM ANDAMENTO","A INICIAR")))</f>
        <v/>
      </c>
    </row>
    <row r="3574">
      <c r="M3574" s="2">
        <f>IF(C3574="","",IFERROR(INDEX($S$5:$S$304,MATCH(C3574,$R$5:$R$304,0))&amp;"","?"))</f>
        <v/>
      </c>
      <c r="N3574" s="2">
        <f>IF(E3574="","",IF(ISNUMBER(SEARCH("SUBSOLO",E3574)),IFERROR(-VALUE(LEFT(E3574,FIND("º",SUBSTITUTE(E3574,"°","º"))-1)),-1),IF(LEFT(E3574,6)="TÉRREO",0,IFERROR(VALUE(LEFT(E3574,FIND("º",SUBSTITUTE(E3574,"°","º"))-1)),""))))</f>
        <v/>
      </c>
      <c r="O3574" s="2">
        <f>IF(OR(F3574="",G3574=""),"",IF(G3574&lt;='RETRATO 2027'!$K$5,"CONCLUÍDA",IF(F3574&lt;='RETRATO 2027'!$K$5,"EM ANDAMENTO","A INICIAR")))</f>
        <v/>
      </c>
    </row>
    <row r="3575">
      <c r="M3575" s="2">
        <f>IF(C3575="","",IFERROR(INDEX($S$5:$S$304,MATCH(C3575,$R$5:$R$304,0))&amp;"","?"))</f>
        <v/>
      </c>
      <c r="N3575" s="2">
        <f>IF(E3575="","",IF(ISNUMBER(SEARCH("SUBSOLO",E3575)),IFERROR(-VALUE(LEFT(E3575,FIND("º",SUBSTITUTE(E3575,"°","º"))-1)),-1),IF(LEFT(E3575,6)="TÉRREO",0,IFERROR(VALUE(LEFT(E3575,FIND("º",SUBSTITUTE(E3575,"°","º"))-1)),""))))</f>
        <v/>
      </c>
      <c r="O3575" s="2">
        <f>IF(OR(F3575="",G3575=""),"",IF(G3575&lt;='RETRATO 2027'!$K$5,"CONCLUÍDA",IF(F3575&lt;='RETRATO 2027'!$K$5,"EM ANDAMENTO","A INICIAR")))</f>
        <v/>
      </c>
    </row>
    <row r="3576">
      <c r="M3576" s="2">
        <f>IF(C3576="","",IFERROR(INDEX($S$5:$S$304,MATCH(C3576,$R$5:$R$304,0))&amp;"","?"))</f>
        <v/>
      </c>
      <c r="N3576" s="2">
        <f>IF(E3576="","",IF(ISNUMBER(SEARCH("SUBSOLO",E3576)),IFERROR(-VALUE(LEFT(E3576,FIND("º",SUBSTITUTE(E3576,"°","º"))-1)),-1),IF(LEFT(E3576,6)="TÉRREO",0,IFERROR(VALUE(LEFT(E3576,FIND("º",SUBSTITUTE(E3576,"°","º"))-1)),""))))</f>
        <v/>
      </c>
      <c r="O3576" s="2">
        <f>IF(OR(F3576="",G3576=""),"",IF(G3576&lt;='RETRATO 2027'!$K$5,"CONCLUÍDA",IF(F3576&lt;='RETRATO 2027'!$K$5,"EM ANDAMENTO","A INICIAR")))</f>
        <v/>
      </c>
    </row>
    <row r="3577">
      <c r="M3577" s="2">
        <f>IF(C3577="","",IFERROR(INDEX($S$5:$S$304,MATCH(C3577,$R$5:$R$304,0))&amp;"","?"))</f>
        <v/>
      </c>
      <c r="N3577" s="2">
        <f>IF(E3577="","",IF(ISNUMBER(SEARCH("SUBSOLO",E3577)),IFERROR(-VALUE(LEFT(E3577,FIND("º",SUBSTITUTE(E3577,"°","º"))-1)),-1),IF(LEFT(E3577,6)="TÉRREO",0,IFERROR(VALUE(LEFT(E3577,FIND("º",SUBSTITUTE(E3577,"°","º"))-1)),""))))</f>
        <v/>
      </c>
      <c r="O3577" s="2">
        <f>IF(OR(F3577="",G3577=""),"",IF(G3577&lt;='RETRATO 2027'!$K$5,"CONCLUÍDA",IF(F3577&lt;='RETRATO 2027'!$K$5,"EM ANDAMENTO","A INICIAR")))</f>
        <v/>
      </c>
    </row>
    <row r="3578">
      <c r="M3578" s="2">
        <f>IF(C3578="","",IFERROR(INDEX($S$5:$S$304,MATCH(C3578,$R$5:$R$304,0))&amp;"","?"))</f>
        <v/>
      </c>
      <c r="N3578" s="2">
        <f>IF(E3578="","",IF(ISNUMBER(SEARCH("SUBSOLO",E3578)),IFERROR(-VALUE(LEFT(E3578,FIND("º",SUBSTITUTE(E3578,"°","º"))-1)),-1),IF(LEFT(E3578,6)="TÉRREO",0,IFERROR(VALUE(LEFT(E3578,FIND("º",SUBSTITUTE(E3578,"°","º"))-1)),""))))</f>
        <v/>
      </c>
      <c r="O3578" s="2">
        <f>IF(OR(F3578="",G3578=""),"",IF(G3578&lt;='RETRATO 2027'!$K$5,"CONCLUÍDA",IF(F3578&lt;='RETRATO 2027'!$K$5,"EM ANDAMENTO","A INICIAR")))</f>
        <v/>
      </c>
    </row>
    <row r="3579">
      <c r="M3579" s="2">
        <f>IF(C3579="","",IFERROR(INDEX($S$5:$S$304,MATCH(C3579,$R$5:$R$304,0))&amp;"","?"))</f>
        <v/>
      </c>
      <c r="N3579" s="2">
        <f>IF(E3579="","",IF(ISNUMBER(SEARCH("SUBSOLO",E3579)),IFERROR(-VALUE(LEFT(E3579,FIND("º",SUBSTITUTE(E3579,"°","º"))-1)),-1),IF(LEFT(E3579,6)="TÉRREO",0,IFERROR(VALUE(LEFT(E3579,FIND("º",SUBSTITUTE(E3579,"°","º"))-1)),""))))</f>
        <v/>
      </c>
      <c r="O3579" s="2">
        <f>IF(OR(F3579="",G3579=""),"",IF(G3579&lt;='RETRATO 2027'!$K$5,"CONCLUÍDA",IF(F3579&lt;='RETRATO 2027'!$K$5,"EM ANDAMENTO","A INICIAR")))</f>
        <v/>
      </c>
    </row>
    <row r="3580">
      <c r="M3580" s="2">
        <f>IF(C3580="","",IFERROR(INDEX($S$5:$S$304,MATCH(C3580,$R$5:$R$304,0))&amp;"","?"))</f>
        <v/>
      </c>
      <c r="N3580" s="2">
        <f>IF(E3580="","",IF(ISNUMBER(SEARCH("SUBSOLO",E3580)),IFERROR(-VALUE(LEFT(E3580,FIND("º",SUBSTITUTE(E3580,"°","º"))-1)),-1),IF(LEFT(E3580,6)="TÉRREO",0,IFERROR(VALUE(LEFT(E3580,FIND("º",SUBSTITUTE(E3580,"°","º"))-1)),""))))</f>
        <v/>
      </c>
      <c r="O3580" s="2">
        <f>IF(OR(F3580="",G3580=""),"",IF(G3580&lt;='RETRATO 2027'!$K$5,"CONCLUÍDA",IF(F3580&lt;='RETRATO 2027'!$K$5,"EM ANDAMENTO","A INICIAR")))</f>
        <v/>
      </c>
    </row>
    <row r="3581">
      <c r="M3581" s="2">
        <f>IF(C3581="","",IFERROR(INDEX($S$5:$S$304,MATCH(C3581,$R$5:$R$304,0))&amp;"","?"))</f>
        <v/>
      </c>
      <c r="N3581" s="2">
        <f>IF(E3581="","",IF(ISNUMBER(SEARCH("SUBSOLO",E3581)),IFERROR(-VALUE(LEFT(E3581,FIND("º",SUBSTITUTE(E3581,"°","º"))-1)),-1),IF(LEFT(E3581,6)="TÉRREO",0,IFERROR(VALUE(LEFT(E3581,FIND("º",SUBSTITUTE(E3581,"°","º"))-1)),""))))</f>
        <v/>
      </c>
      <c r="O3581" s="2">
        <f>IF(OR(F3581="",G3581=""),"",IF(G3581&lt;='RETRATO 2027'!$K$5,"CONCLUÍDA",IF(F3581&lt;='RETRATO 2027'!$K$5,"EM ANDAMENTO","A INICIAR")))</f>
        <v/>
      </c>
    </row>
    <row r="3582">
      <c r="M3582" s="2">
        <f>IF(C3582="","",IFERROR(INDEX($S$5:$S$304,MATCH(C3582,$R$5:$R$304,0))&amp;"","?"))</f>
        <v/>
      </c>
      <c r="N3582" s="2">
        <f>IF(E3582="","",IF(ISNUMBER(SEARCH("SUBSOLO",E3582)),IFERROR(-VALUE(LEFT(E3582,FIND("º",SUBSTITUTE(E3582,"°","º"))-1)),-1),IF(LEFT(E3582,6)="TÉRREO",0,IFERROR(VALUE(LEFT(E3582,FIND("º",SUBSTITUTE(E3582,"°","º"))-1)),""))))</f>
        <v/>
      </c>
      <c r="O3582" s="2">
        <f>IF(OR(F3582="",G3582=""),"",IF(G3582&lt;='RETRATO 2027'!$K$5,"CONCLUÍDA",IF(F3582&lt;='RETRATO 2027'!$K$5,"EM ANDAMENTO","A INICIAR")))</f>
        <v/>
      </c>
    </row>
    <row r="3583">
      <c r="M3583" s="2">
        <f>IF(C3583="","",IFERROR(INDEX($S$5:$S$304,MATCH(C3583,$R$5:$R$304,0))&amp;"","?"))</f>
        <v/>
      </c>
      <c r="N3583" s="2">
        <f>IF(E3583="","",IF(ISNUMBER(SEARCH("SUBSOLO",E3583)),IFERROR(-VALUE(LEFT(E3583,FIND("º",SUBSTITUTE(E3583,"°","º"))-1)),-1),IF(LEFT(E3583,6)="TÉRREO",0,IFERROR(VALUE(LEFT(E3583,FIND("º",SUBSTITUTE(E3583,"°","º"))-1)),""))))</f>
        <v/>
      </c>
      <c r="O3583" s="2">
        <f>IF(OR(F3583="",G3583=""),"",IF(G3583&lt;='RETRATO 2027'!$K$5,"CONCLUÍDA",IF(F3583&lt;='RETRATO 2027'!$K$5,"EM ANDAMENTO","A INICIAR")))</f>
        <v/>
      </c>
    </row>
    <row r="3584">
      <c r="M3584" s="2">
        <f>IF(C3584="","",IFERROR(INDEX($S$5:$S$304,MATCH(C3584,$R$5:$R$304,0))&amp;"","?"))</f>
        <v/>
      </c>
      <c r="N3584" s="2">
        <f>IF(E3584="","",IF(ISNUMBER(SEARCH("SUBSOLO",E3584)),IFERROR(-VALUE(LEFT(E3584,FIND("º",SUBSTITUTE(E3584,"°","º"))-1)),-1),IF(LEFT(E3584,6)="TÉRREO",0,IFERROR(VALUE(LEFT(E3584,FIND("º",SUBSTITUTE(E3584,"°","º"))-1)),""))))</f>
        <v/>
      </c>
      <c r="O3584" s="2">
        <f>IF(OR(F3584="",G3584=""),"",IF(G3584&lt;='RETRATO 2027'!$K$5,"CONCLUÍDA",IF(F3584&lt;='RETRATO 2027'!$K$5,"EM ANDAMENTO","A INICIAR")))</f>
        <v/>
      </c>
    </row>
    <row r="3585">
      <c r="M3585" s="2">
        <f>IF(C3585="","",IFERROR(INDEX($S$5:$S$304,MATCH(C3585,$R$5:$R$304,0))&amp;"","?"))</f>
        <v/>
      </c>
      <c r="N3585" s="2">
        <f>IF(E3585="","",IF(ISNUMBER(SEARCH("SUBSOLO",E3585)),IFERROR(-VALUE(LEFT(E3585,FIND("º",SUBSTITUTE(E3585,"°","º"))-1)),-1),IF(LEFT(E3585,6)="TÉRREO",0,IFERROR(VALUE(LEFT(E3585,FIND("º",SUBSTITUTE(E3585,"°","º"))-1)),""))))</f>
        <v/>
      </c>
      <c r="O3585" s="2">
        <f>IF(OR(F3585="",G3585=""),"",IF(G3585&lt;='RETRATO 2027'!$K$5,"CONCLUÍDA",IF(F3585&lt;='RETRATO 2027'!$K$5,"EM ANDAMENTO","A INICIAR")))</f>
        <v/>
      </c>
    </row>
    <row r="3586">
      <c r="M3586" s="2">
        <f>IF(C3586="","",IFERROR(INDEX($S$5:$S$304,MATCH(C3586,$R$5:$R$304,0))&amp;"","?"))</f>
        <v/>
      </c>
      <c r="N3586" s="2">
        <f>IF(E3586="","",IF(ISNUMBER(SEARCH("SUBSOLO",E3586)),IFERROR(-VALUE(LEFT(E3586,FIND("º",SUBSTITUTE(E3586,"°","º"))-1)),-1),IF(LEFT(E3586,6)="TÉRREO",0,IFERROR(VALUE(LEFT(E3586,FIND("º",SUBSTITUTE(E3586,"°","º"))-1)),""))))</f>
        <v/>
      </c>
      <c r="O3586" s="2">
        <f>IF(OR(F3586="",G3586=""),"",IF(G3586&lt;='RETRATO 2027'!$K$5,"CONCLUÍDA",IF(F3586&lt;='RETRATO 2027'!$K$5,"EM ANDAMENTO","A INICIAR")))</f>
        <v/>
      </c>
    </row>
    <row r="3587">
      <c r="M3587" s="2">
        <f>IF(C3587="","",IFERROR(INDEX($S$5:$S$304,MATCH(C3587,$R$5:$R$304,0))&amp;"","?"))</f>
        <v/>
      </c>
      <c r="N3587" s="2">
        <f>IF(E3587="","",IF(ISNUMBER(SEARCH("SUBSOLO",E3587)),IFERROR(-VALUE(LEFT(E3587,FIND("º",SUBSTITUTE(E3587,"°","º"))-1)),-1),IF(LEFT(E3587,6)="TÉRREO",0,IFERROR(VALUE(LEFT(E3587,FIND("º",SUBSTITUTE(E3587,"°","º"))-1)),""))))</f>
        <v/>
      </c>
      <c r="O3587" s="2">
        <f>IF(OR(F3587="",G3587=""),"",IF(G3587&lt;='RETRATO 2027'!$K$5,"CONCLUÍDA",IF(F3587&lt;='RETRATO 2027'!$K$5,"EM ANDAMENTO","A INICIAR")))</f>
        <v/>
      </c>
    </row>
    <row r="3588">
      <c r="M3588" s="2">
        <f>IF(C3588="","",IFERROR(INDEX($S$5:$S$304,MATCH(C3588,$R$5:$R$304,0))&amp;"","?"))</f>
        <v/>
      </c>
      <c r="N3588" s="2">
        <f>IF(E3588="","",IF(ISNUMBER(SEARCH("SUBSOLO",E3588)),IFERROR(-VALUE(LEFT(E3588,FIND("º",SUBSTITUTE(E3588,"°","º"))-1)),-1),IF(LEFT(E3588,6)="TÉRREO",0,IFERROR(VALUE(LEFT(E3588,FIND("º",SUBSTITUTE(E3588,"°","º"))-1)),""))))</f>
        <v/>
      </c>
      <c r="O3588" s="2">
        <f>IF(OR(F3588="",G3588=""),"",IF(G3588&lt;='RETRATO 2027'!$K$5,"CONCLUÍDA",IF(F3588&lt;='RETRATO 2027'!$K$5,"EM ANDAMENTO","A INICIAR")))</f>
        <v/>
      </c>
    </row>
    <row r="3589">
      <c r="M3589" s="2">
        <f>IF(C3589="","",IFERROR(INDEX($S$5:$S$304,MATCH(C3589,$R$5:$R$304,0))&amp;"","?"))</f>
        <v/>
      </c>
      <c r="N3589" s="2">
        <f>IF(E3589="","",IF(ISNUMBER(SEARCH("SUBSOLO",E3589)),IFERROR(-VALUE(LEFT(E3589,FIND("º",SUBSTITUTE(E3589,"°","º"))-1)),-1),IF(LEFT(E3589,6)="TÉRREO",0,IFERROR(VALUE(LEFT(E3589,FIND("º",SUBSTITUTE(E3589,"°","º"))-1)),""))))</f>
        <v/>
      </c>
      <c r="O3589" s="2">
        <f>IF(OR(F3589="",G3589=""),"",IF(G3589&lt;='RETRATO 2027'!$K$5,"CONCLUÍDA",IF(F3589&lt;='RETRATO 2027'!$K$5,"EM ANDAMENTO","A INICIAR")))</f>
        <v/>
      </c>
    </row>
    <row r="3590">
      <c r="M3590" s="2">
        <f>IF(C3590="","",IFERROR(INDEX($S$5:$S$304,MATCH(C3590,$R$5:$R$304,0))&amp;"","?"))</f>
        <v/>
      </c>
      <c r="N3590" s="2">
        <f>IF(E3590="","",IF(ISNUMBER(SEARCH("SUBSOLO",E3590)),IFERROR(-VALUE(LEFT(E3590,FIND("º",SUBSTITUTE(E3590,"°","º"))-1)),-1),IF(LEFT(E3590,6)="TÉRREO",0,IFERROR(VALUE(LEFT(E3590,FIND("º",SUBSTITUTE(E3590,"°","º"))-1)),""))))</f>
        <v/>
      </c>
      <c r="O3590" s="2">
        <f>IF(OR(F3590="",G3590=""),"",IF(G3590&lt;='RETRATO 2027'!$K$5,"CONCLUÍDA",IF(F3590&lt;='RETRATO 2027'!$K$5,"EM ANDAMENTO","A INICIAR")))</f>
        <v/>
      </c>
    </row>
    <row r="3591">
      <c r="M3591" s="2">
        <f>IF(C3591="","",IFERROR(INDEX($S$5:$S$304,MATCH(C3591,$R$5:$R$304,0))&amp;"","?"))</f>
        <v/>
      </c>
      <c r="N3591" s="2">
        <f>IF(E3591="","",IF(ISNUMBER(SEARCH("SUBSOLO",E3591)),IFERROR(-VALUE(LEFT(E3591,FIND("º",SUBSTITUTE(E3591,"°","º"))-1)),-1),IF(LEFT(E3591,6)="TÉRREO",0,IFERROR(VALUE(LEFT(E3591,FIND("º",SUBSTITUTE(E3591,"°","º"))-1)),""))))</f>
        <v/>
      </c>
      <c r="O3591" s="2">
        <f>IF(OR(F3591="",G3591=""),"",IF(G3591&lt;='RETRATO 2027'!$K$5,"CONCLUÍDA",IF(F3591&lt;='RETRATO 2027'!$K$5,"EM ANDAMENTO","A INICIAR")))</f>
        <v/>
      </c>
    </row>
    <row r="3592">
      <c r="M3592" s="2">
        <f>IF(C3592="","",IFERROR(INDEX($S$5:$S$304,MATCH(C3592,$R$5:$R$304,0))&amp;"","?"))</f>
        <v/>
      </c>
      <c r="N3592" s="2">
        <f>IF(E3592="","",IF(ISNUMBER(SEARCH("SUBSOLO",E3592)),IFERROR(-VALUE(LEFT(E3592,FIND("º",SUBSTITUTE(E3592,"°","º"))-1)),-1),IF(LEFT(E3592,6)="TÉRREO",0,IFERROR(VALUE(LEFT(E3592,FIND("º",SUBSTITUTE(E3592,"°","º"))-1)),""))))</f>
        <v/>
      </c>
      <c r="O3592" s="2">
        <f>IF(OR(F3592="",G3592=""),"",IF(G3592&lt;='RETRATO 2027'!$K$5,"CONCLUÍDA",IF(F3592&lt;='RETRATO 2027'!$K$5,"EM ANDAMENTO","A INICIAR")))</f>
        <v/>
      </c>
    </row>
    <row r="3593">
      <c r="M3593" s="2">
        <f>IF(C3593="","",IFERROR(INDEX($S$5:$S$304,MATCH(C3593,$R$5:$R$304,0))&amp;"","?"))</f>
        <v/>
      </c>
      <c r="N3593" s="2">
        <f>IF(E3593="","",IF(ISNUMBER(SEARCH("SUBSOLO",E3593)),IFERROR(-VALUE(LEFT(E3593,FIND("º",SUBSTITUTE(E3593,"°","º"))-1)),-1),IF(LEFT(E3593,6)="TÉRREO",0,IFERROR(VALUE(LEFT(E3593,FIND("º",SUBSTITUTE(E3593,"°","º"))-1)),""))))</f>
        <v/>
      </c>
      <c r="O3593" s="2">
        <f>IF(OR(F3593="",G3593=""),"",IF(G3593&lt;='RETRATO 2027'!$K$5,"CONCLUÍDA",IF(F3593&lt;='RETRATO 2027'!$K$5,"EM ANDAMENTO","A INICIAR")))</f>
        <v/>
      </c>
    </row>
    <row r="3594">
      <c r="M3594" s="2">
        <f>IF(C3594="","",IFERROR(INDEX($S$5:$S$304,MATCH(C3594,$R$5:$R$304,0))&amp;"","?"))</f>
        <v/>
      </c>
      <c r="N3594" s="2">
        <f>IF(E3594="","",IF(ISNUMBER(SEARCH("SUBSOLO",E3594)),IFERROR(-VALUE(LEFT(E3594,FIND("º",SUBSTITUTE(E3594,"°","º"))-1)),-1),IF(LEFT(E3594,6)="TÉRREO",0,IFERROR(VALUE(LEFT(E3594,FIND("º",SUBSTITUTE(E3594,"°","º"))-1)),""))))</f>
        <v/>
      </c>
      <c r="O3594" s="2">
        <f>IF(OR(F3594="",G3594=""),"",IF(G3594&lt;='RETRATO 2027'!$K$5,"CONCLUÍDA",IF(F3594&lt;='RETRATO 2027'!$K$5,"EM ANDAMENTO","A INICIAR")))</f>
        <v/>
      </c>
    </row>
    <row r="3595">
      <c r="M3595" s="2">
        <f>IF(C3595="","",IFERROR(INDEX($S$5:$S$304,MATCH(C3595,$R$5:$R$304,0))&amp;"","?"))</f>
        <v/>
      </c>
      <c r="N3595" s="2">
        <f>IF(E3595="","",IF(ISNUMBER(SEARCH("SUBSOLO",E3595)),IFERROR(-VALUE(LEFT(E3595,FIND("º",SUBSTITUTE(E3595,"°","º"))-1)),-1),IF(LEFT(E3595,6)="TÉRREO",0,IFERROR(VALUE(LEFT(E3595,FIND("º",SUBSTITUTE(E3595,"°","º"))-1)),""))))</f>
        <v/>
      </c>
      <c r="O3595" s="2">
        <f>IF(OR(F3595="",G3595=""),"",IF(G3595&lt;='RETRATO 2027'!$K$5,"CONCLUÍDA",IF(F3595&lt;='RETRATO 2027'!$K$5,"EM ANDAMENTO","A INICIAR")))</f>
        <v/>
      </c>
    </row>
    <row r="3596">
      <c r="M3596" s="2">
        <f>IF(C3596="","",IFERROR(INDEX($S$5:$S$304,MATCH(C3596,$R$5:$R$304,0))&amp;"","?"))</f>
        <v/>
      </c>
      <c r="N3596" s="2">
        <f>IF(E3596="","",IF(ISNUMBER(SEARCH("SUBSOLO",E3596)),IFERROR(-VALUE(LEFT(E3596,FIND("º",SUBSTITUTE(E3596,"°","º"))-1)),-1),IF(LEFT(E3596,6)="TÉRREO",0,IFERROR(VALUE(LEFT(E3596,FIND("º",SUBSTITUTE(E3596,"°","º"))-1)),""))))</f>
        <v/>
      </c>
      <c r="O3596" s="2">
        <f>IF(OR(F3596="",G3596=""),"",IF(G3596&lt;='RETRATO 2027'!$K$5,"CONCLUÍDA",IF(F3596&lt;='RETRATO 2027'!$K$5,"EM ANDAMENTO","A INICIAR")))</f>
        <v/>
      </c>
    </row>
    <row r="3597">
      <c r="M3597" s="2">
        <f>IF(C3597="","",IFERROR(INDEX($S$5:$S$304,MATCH(C3597,$R$5:$R$304,0))&amp;"","?"))</f>
        <v/>
      </c>
      <c r="N3597" s="2">
        <f>IF(E3597="","",IF(ISNUMBER(SEARCH("SUBSOLO",E3597)),IFERROR(-VALUE(LEFT(E3597,FIND("º",SUBSTITUTE(E3597,"°","º"))-1)),-1),IF(LEFT(E3597,6)="TÉRREO",0,IFERROR(VALUE(LEFT(E3597,FIND("º",SUBSTITUTE(E3597,"°","º"))-1)),""))))</f>
        <v/>
      </c>
      <c r="O3597" s="2">
        <f>IF(OR(F3597="",G3597=""),"",IF(G3597&lt;='RETRATO 2027'!$K$5,"CONCLUÍDA",IF(F3597&lt;='RETRATO 2027'!$K$5,"EM ANDAMENTO","A INICIAR")))</f>
        <v/>
      </c>
    </row>
    <row r="3598">
      <c r="M3598" s="2">
        <f>IF(C3598="","",IFERROR(INDEX($S$5:$S$304,MATCH(C3598,$R$5:$R$304,0))&amp;"","?"))</f>
        <v/>
      </c>
      <c r="N3598" s="2">
        <f>IF(E3598="","",IF(ISNUMBER(SEARCH("SUBSOLO",E3598)),IFERROR(-VALUE(LEFT(E3598,FIND("º",SUBSTITUTE(E3598,"°","º"))-1)),-1),IF(LEFT(E3598,6)="TÉRREO",0,IFERROR(VALUE(LEFT(E3598,FIND("º",SUBSTITUTE(E3598,"°","º"))-1)),""))))</f>
        <v/>
      </c>
      <c r="O3598" s="2">
        <f>IF(OR(F3598="",G3598=""),"",IF(G3598&lt;='RETRATO 2027'!$K$5,"CONCLUÍDA",IF(F3598&lt;='RETRATO 2027'!$K$5,"EM ANDAMENTO","A INICIAR")))</f>
        <v/>
      </c>
    </row>
    <row r="3599">
      <c r="M3599" s="2">
        <f>IF(C3599="","",IFERROR(INDEX($S$5:$S$304,MATCH(C3599,$R$5:$R$304,0))&amp;"","?"))</f>
        <v/>
      </c>
      <c r="N3599" s="2">
        <f>IF(E3599="","",IF(ISNUMBER(SEARCH("SUBSOLO",E3599)),IFERROR(-VALUE(LEFT(E3599,FIND("º",SUBSTITUTE(E3599,"°","º"))-1)),-1),IF(LEFT(E3599,6)="TÉRREO",0,IFERROR(VALUE(LEFT(E3599,FIND("º",SUBSTITUTE(E3599,"°","º"))-1)),""))))</f>
        <v/>
      </c>
      <c r="O3599" s="2">
        <f>IF(OR(F3599="",G3599=""),"",IF(G3599&lt;='RETRATO 2027'!$K$5,"CONCLUÍDA",IF(F3599&lt;='RETRATO 2027'!$K$5,"EM ANDAMENTO","A INICIAR")))</f>
        <v/>
      </c>
    </row>
    <row r="3600">
      <c r="M3600" s="2">
        <f>IF(C3600="","",IFERROR(INDEX($S$5:$S$304,MATCH(C3600,$R$5:$R$304,0))&amp;"","?"))</f>
        <v/>
      </c>
      <c r="N3600" s="2">
        <f>IF(E3600="","",IF(ISNUMBER(SEARCH("SUBSOLO",E3600)),IFERROR(-VALUE(LEFT(E3600,FIND("º",SUBSTITUTE(E3600,"°","º"))-1)),-1),IF(LEFT(E3600,6)="TÉRREO",0,IFERROR(VALUE(LEFT(E3600,FIND("º",SUBSTITUTE(E3600,"°","º"))-1)),""))))</f>
        <v/>
      </c>
      <c r="O3600" s="2">
        <f>IF(OR(F3600="",G3600=""),"",IF(G3600&lt;='RETRATO 2027'!$K$5,"CONCLUÍDA",IF(F3600&lt;='RETRATO 2027'!$K$5,"EM ANDAMENTO","A INICIAR")))</f>
        <v/>
      </c>
    </row>
    <row r="3601">
      <c r="M3601" s="2">
        <f>IF(C3601="","",IFERROR(INDEX($S$5:$S$304,MATCH(C3601,$R$5:$R$304,0))&amp;"","?"))</f>
        <v/>
      </c>
      <c r="N3601" s="2">
        <f>IF(E3601="","",IF(ISNUMBER(SEARCH("SUBSOLO",E3601)),IFERROR(-VALUE(LEFT(E3601,FIND("º",SUBSTITUTE(E3601,"°","º"))-1)),-1),IF(LEFT(E3601,6)="TÉRREO",0,IFERROR(VALUE(LEFT(E3601,FIND("º",SUBSTITUTE(E3601,"°","º"))-1)),""))))</f>
        <v/>
      </c>
      <c r="O3601" s="2">
        <f>IF(OR(F3601="",G3601=""),"",IF(G3601&lt;='RETRATO 2027'!$K$5,"CONCLUÍDA",IF(F3601&lt;='RETRATO 2027'!$K$5,"EM ANDAMENTO","A INICIAR")))</f>
        <v/>
      </c>
    </row>
    <row r="3602">
      <c r="M3602" s="2">
        <f>IF(C3602="","",IFERROR(INDEX($S$5:$S$304,MATCH(C3602,$R$5:$R$304,0))&amp;"","?"))</f>
        <v/>
      </c>
      <c r="N3602" s="2">
        <f>IF(E3602="","",IF(ISNUMBER(SEARCH("SUBSOLO",E3602)),IFERROR(-VALUE(LEFT(E3602,FIND("º",SUBSTITUTE(E3602,"°","º"))-1)),-1),IF(LEFT(E3602,6)="TÉRREO",0,IFERROR(VALUE(LEFT(E3602,FIND("º",SUBSTITUTE(E3602,"°","º"))-1)),""))))</f>
        <v/>
      </c>
      <c r="O3602" s="2">
        <f>IF(OR(F3602="",G3602=""),"",IF(G3602&lt;='RETRATO 2027'!$K$5,"CONCLUÍDA",IF(F3602&lt;='RETRATO 2027'!$K$5,"EM ANDAMENTO","A INICIAR")))</f>
        <v/>
      </c>
    </row>
    <row r="3603">
      <c r="M3603" s="2">
        <f>IF(C3603="","",IFERROR(INDEX($S$5:$S$304,MATCH(C3603,$R$5:$R$304,0))&amp;"","?"))</f>
        <v/>
      </c>
      <c r="N3603" s="2">
        <f>IF(E3603="","",IF(ISNUMBER(SEARCH("SUBSOLO",E3603)),IFERROR(-VALUE(LEFT(E3603,FIND("º",SUBSTITUTE(E3603,"°","º"))-1)),-1),IF(LEFT(E3603,6)="TÉRREO",0,IFERROR(VALUE(LEFT(E3603,FIND("º",SUBSTITUTE(E3603,"°","º"))-1)),""))))</f>
        <v/>
      </c>
      <c r="O3603" s="2">
        <f>IF(OR(F3603="",G3603=""),"",IF(G3603&lt;='RETRATO 2027'!$K$5,"CONCLUÍDA",IF(F3603&lt;='RETRATO 2027'!$K$5,"EM ANDAMENTO","A INICIAR")))</f>
        <v/>
      </c>
    </row>
    <row r="3604">
      <c r="M3604" s="2">
        <f>IF(C3604="","",IFERROR(INDEX($S$5:$S$304,MATCH(C3604,$R$5:$R$304,0))&amp;"","?"))</f>
        <v/>
      </c>
      <c r="N3604" s="2">
        <f>IF(E3604="","",IF(ISNUMBER(SEARCH("SUBSOLO",E3604)),IFERROR(-VALUE(LEFT(E3604,FIND("º",SUBSTITUTE(E3604,"°","º"))-1)),-1),IF(LEFT(E3604,6)="TÉRREO",0,IFERROR(VALUE(LEFT(E3604,FIND("º",SUBSTITUTE(E3604,"°","º"))-1)),""))))</f>
        <v/>
      </c>
      <c r="O3604" s="2">
        <f>IF(OR(F3604="",G3604=""),"",IF(G3604&lt;='RETRATO 2027'!$K$5,"CONCLUÍDA",IF(F3604&lt;='RETRATO 2027'!$K$5,"EM ANDAMENTO","A INICIAR")))</f>
        <v/>
      </c>
    </row>
    <row r="3605">
      <c r="M3605" s="2">
        <f>IF(C3605="","",IFERROR(INDEX($S$5:$S$304,MATCH(C3605,$R$5:$R$304,0))&amp;"","?"))</f>
        <v/>
      </c>
      <c r="N3605" s="2">
        <f>IF(E3605="","",IF(ISNUMBER(SEARCH("SUBSOLO",E3605)),IFERROR(-VALUE(LEFT(E3605,FIND("º",SUBSTITUTE(E3605,"°","º"))-1)),-1),IF(LEFT(E3605,6)="TÉRREO",0,IFERROR(VALUE(LEFT(E3605,FIND("º",SUBSTITUTE(E3605,"°","º"))-1)),""))))</f>
        <v/>
      </c>
      <c r="O3605" s="2">
        <f>IF(OR(F3605="",G3605=""),"",IF(G3605&lt;='RETRATO 2027'!$K$5,"CONCLUÍDA",IF(F3605&lt;='RETRATO 2027'!$K$5,"EM ANDAMENTO","A INICIAR")))</f>
        <v/>
      </c>
    </row>
    <row r="3606">
      <c r="M3606" s="2">
        <f>IF(C3606="","",IFERROR(INDEX($S$5:$S$304,MATCH(C3606,$R$5:$R$304,0))&amp;"","?"))</f>
        <v/>
      </c>
      <c r="N3606" s="2">
        <f>IF(E3606="","",IF(ISNUMBER(SEARCH("SUBSOLO",E3606)),IFERROR(-VALUE(LEFT(E3606,FIND("º",SUBSTITUTE(E3606,"°","º"))-1)),-1),IF(LEFT(E3606,6)="TÉRREO",0,IFERROR(VALUE(LEFT(E3606,FIND("º",SUBSTITUTE(E3606,"°","º"))-1)),""))))</f>
        <v/>
      </c>
      <c r="O3606" s="2">
        <f>IF(OR(F3606="",G3606=""),"",IF(G3606&lt;='RETRATO 2027'!$K$5,"CONCLUÍDA",IF(F3606&lt;='RETRATO 2027'!$K$5,"EM ANDAMENTO","A INICIAR")))</f>
        <v/>
      </c>
    </row>
    <row r="3607">
      <c r="M3607" s="2">
        <f>IF(C3607="","",IFERROR(INDEX($S$5:$S$304,MATCH(C3607,$R$5:$R$304,0))&amp;"","?"))</f>
        <v/>
      </c>
      <c r="N3607" s="2">
        <f>IF(E3607="","",IF(ISNUMBER(SEARCH("SUBSOLO",E3607)),IFERROR(-VALUE(LEFT(E3607,FIND("º",SUBSTITUTE(E3607,"°","º"))-1)),-1),IF(LEFT(E3607,6)="TÉRREO",0,IFERROR(VALUE(LEFT(E3607,FIND("º",SUBSTITUTE(E3607,"°","º"))-1)),""))))</f>
        <v/>
      </c>
      <c r="O3607" s="2">
        <f>IF(OR(F3607="",G3607=""),"",IF(G3607&lt;='RETRATO 2027'!$K$5,"CONCLUÍDA",IF(F3607&lt;='RETRATO 2027'!$K$5,"EM ANDAMENTO","A INICIAR")))</f>
        <v/>
      </c>
    </row>
    <row r="3608">
      <c r="M3608" s="2">
        <f>IF(C3608="","",IFERROR(INDEX($S$5:$S$304,MATCH(C3608,$R$5:$R$304,0))&amp;"","?"))</f>
        <v/>
      </c>
      <c r="N3608" s="2">
        <f>IF(E3608="","",IF(ISNUMBER(SEARCH("SUBSOLO",E3608)),IFERROR(-VALUE(LEFT(E3608,FIND("º",SUBSTITUTE(E3608,"°","º"))-1)),-1),IF(LEFT(E3608,6)="TÉRREO",0,IFERROR(VALUE(LEFT(E3608,FIND("º",SUBSTITUTE(E3608,"°","º"))-1)),""))))</f>
        <v/>
      </c>
      <c r="O3608" s="2">
        <f>IF(OR(F3608="",G3608=""),"",IF(G3608&lt;='RETRATO 2027'!$K$5,"CONCLUÍDA",IF(F3608&lt;='RETRATO 2027'!$K$5,"EM ANDAMENTO","A INICIAR")))</f>
        <v/>
      </c>
    </row>
    <row r="3609">
      <c r="M3609" s="2">
        <f>IF(C3609="","",IFERROR(INDEX($S$5:$S$304,MATCH(C3609,$R$5:$R$304,0))&amp;"","?"))</f>
        <v/>
      </c>
      <c r="N3609" s="2">
        <f>IF(E3609="","",IF(ISNUMBER(SEARCH("SUBSOLO",E3609)),IFERROR(-VALUE(LEFT(E3609,FIND("º",SUBSTITUTE(E3609,"°","º"))-1)),-1),IF(LEFT(E3609,6)="TÉRREO",0,IFERROR(VALUE(LEFT(E3609,FIND("º",SUBSTITUTE(E3609,"°","º"))-1)),""))))</f>
        <v/>
      </c>
      <c r="O3609" s="2">
        <f>IF(OR(F3609="",G3609=""),"",IF(G3609&lt;='RETRATO 2027'!$K$5,"CONCLUÍDA",IF(F3609&lt;='RETRATO 2027'!$K$5,"EM ANDAMENTO","A INICIAR")))</f>
        <v/>
      </c>
    </row>
    <row r="3610">
      <c r="M3610" s="2">
        <f>IF(C3610="","",IFERROR(INDEX($S$5:$S$304,MATCH(C3610,$R$5:$R$304,0))&amp;"","?"))</f>
        <v/>
      </c>
      <c r="N3610" s="2">
        <f>IF(E3610="","",IF(ISNUMBER(SEARCH("SUBSOLO",E3610)),IFERROR(-VALUE(LEFT(E3610,FIND("º",SUBSTITUTE(E3610,"°","º"))-1)),-1),IF(LEFT(E3610,6)="TÉRREO",0,IFERROR(VALUE(LEFT(E3610,FIND("º",SUBSTITUTE(E3610,"°","º"))-1)),""))))</f>
        <v/>
      </c>
      <c r="O3610" s="2">
        <f>IF(OR(F3610="",G3610=""),"",IF(G3610&lt;='RETRATO 2027'!$K$5,"CONCLUÍDA",IF(F3610&lt;='RETRATO 2027'!$K$5,"EM ANDAMENTO","A INICIAR")))</f>
        <v/>
      </c>
    </row>
    <row r="3611">
      <c r="M3611" s="2">
        <f>IF(C3611="","",IFERROR(INDEX($S$5:$S$304,MATCH(C3611,$R$5:$R$304,0))&amp;"","?"))</f>
        <v/>
      </c>
      <c r="N3611" s="2">
        <f>IF(E3611="","",IF(ISNUMBER(SEARCH("SUBSOLO",E3611)),IFERROR(-VALUE(LEFT(E3611,FIND("º",SUBSTITUTE(E3611,"°","º"))-1)),-1),IF(LEFT(E3611,6)="TÉRREO",0,IFERROR(VALUE(LEFT(E3611,FIND("º",SUBSTITUTE(E3611,"°","º"))-1)),""))))</f>
        <v/>
      </c>
      <c r="O3611" s="2">
        <f>IF(OR(F3611="",G3611=""),"",IF(G3611&lt;='RETRATO 2027'!$K$5,"CONCLUÍDA",IF(F3611&lt;='RETRATO 2027'!$K$5,"EM ANDAMENTO","A INICIAR")))</f>
        <v/>
      </c>
    </row>
    <row r="3612">
      <c r="M3612" s="2">
        <f>IF(C3612="","",IFERROR(INDEX($S$5:$S$304,MATCH(C3612,$R$5:$R$304,0))&amp;"","?"))</f>
        <v/>
      </c>
      <c r="N3612" s="2">
        <f>IF(E3612="","",IF(ISNUMBER(SEARCH("SUBSOLO",E3612)),IFERROR(-VALUE(LEFT(E3612,FIND("º",SUBSTITUTE(E3612,"°","º"))-1)),-1),IF(LEFT(E3612,6)="TÉRREO",0,IFERROR(VALUE(LEFT(E3612,FIND("º",SUBSTITUTE(E3612,"°","º"))-1)),""))))</f>
        <v/>
      </c>
      <c r="O3612" s="2">
        <f>IF(OR(F3612="",G3612=""),"",IF(G3612&lt;='RETRATO 2027'!$K$5,"CONCLUÍDA",IF(F3612&lt;='RETRATO 2027'!$K$5,"EM ANDAMENTO","A INICIAR")))</f>
        <v/>
      </c>
    </row>
    <row r="3613">
      <c r="M3613" s="2">
        <f>IF(C3613="","",IFERROR(INDEX($S$5:$S$304,MATCH(C3613,$R$5:$R$304,0))&amp;"","?"))</f>
        <v/>
      </c>
      <c r="N3613" s="2">
        <f>IF(E3613="","",IF(ISNUMBER(SEARCH("SUBSOLO",E3613)),IFERROR(-VALUE(LEFT(E3613,FIND("º",SUBSTITUTE(E3613,"°","º"))-1)),-1),IF(LEFT(E3613,6)="TÉRREO",0,IFERROR(VALUE(LEFT(E3613,FIND("º",SUBSTITUTE(E3613,"°","º"))-1)),""))))</f>
        <v/>
      </c>
      <c r="O3613" s="2">
        <f>IF(OR(F3613="",G3613=""),"",IF(G3613&lt;='RETRATO 2027'!$K$5,"CONCLUÍDA",IF(F3613&lt;='RETRATO 2027'!$K$5,"EM ANDAMENTO","A INICIAR")))</f>
        <v/>
      </c>
    </row>
    <row r="3614">
      <c r="M3614" s="2">
        <f>IF(C3614="","",IFERROR(INDEX($S$5:$S$304,MATCH(C3614,$R$5:$R$304,0))&amp;"","?"))</f>
        <v/>
      </c>
      <c r="N3614" s="2">
        <f>IF(E3614="","",IF(ISNUMBER(SEARCH("SUBSOLO",E3614)),IFERROR(-VALUE(LEFT(E3614,FIND("º",SUBSTITUTE(E3614,"°","º"))-1)),-1),IF(LEFT(E3614,6)="TÉRREO",0,IFERROR(VALUE(LEFT(E3614,FIND("º",SUBSTITUTE(E3614,"°","º"))-1)),""))))</f>
        <v/>
      </c>
      <c r="O3614" s="2">
        <f>IF(OR(F3614="",G3614=""),"",IF(G3614&lt;='RETRATO 2027'!$K$5,"CONCLUÍDA",IF(F3614&lt;='RETRATO 2027'!$K$5,"EM ANDAMENTO","A INICIAR")))</f>
        <v/>
      </c>
    </row>
    <row r="3615">
      <c r="M3615" s="2">
        <f>IF(C3615="","",IFERROR(INDEX($S$5:$S$304,MATCH(C3615,$R$5:$R$304,0))&amp;"","?"))</f>
        <v/>
      </c>
      <c r="N3615" s="2">
        <f>IF(E3615="","",IF(ISNUMBER(SEARCH("SUBSOLO",E3615)),IFERROR(-VALUE(LEFT(E3615,FIND("º",SUBSTITUTE(E3615,"°","º"))-1)),-1),IF(LEFT(E3615,6)="TÉRREO",0,IFERROR(VALUE(LEFT(E3615,FIND("º",SUBSTITUTE(E3615,"°","º"))-1)),""))))</f>
        <v/>
      </c>
      <c r="O3615" s="2">
        <f>IF(OR(F3615="",G3615=""),"",IF(G3615&lt;='RETRATO 2027'!$K$5,"CONCLUÍDA",IF(F3615&lt;='RETRATO 2027'!$K$5,"EM ANDAMENTO","A INICIAR")))</f>
        <v/>
      </c>
    </row>
    <row r="3616">
      <c r="M3616" s="2">
        <f>IF(C3616="","",IFERROR(INDEX($S$5:$S$304,MATCH(C3616,$R$5:$R$304,0))&amp;"","?"))</f>
        <v/>
      </c>
      <c r="N3616" s="2">
        <f>IF(E3616="","",IF(ISNUMBER(SEARCH("SUBSOLO",E3616)),IFERROR(-VALUE(LEFT(E3616,FIND("º",SUBSTITUTE(E3616,"°","º"))-1)),-1),IF(LEFT(E3616,6)="TÉRREO",0,IFERROR(VALUE(LEFT(E3616,FIND("º",SUBSTITUTE(E3616,"°","º"))-1)),""))))</f>
        <v/>
      </c>
      <c r="O3616" s="2">
        <f>IF(OR(F3616="",G3616=""),"",IF(G3616&lt;='RETRATO 2027'!$K$5,"CONCLUÍDA",IF(F3616&lt;='RETRATO 2027'!$K$5,"EM ANDAMENTO","A INICIAR")))</f>
        <v/>
      </c>
    </row>
    <row r="3617">
      <c r="M3617" s="2">
        <f>IF(C3617="","",IFERROR(INDEX($S$5:$S$304,MATCH(C3617,$R$5:$R$304,0))&amp;"","?"))</f>
        <v/>
      </c>
      <c r="N3617" s="2">
        <f>IF(E3617="","",IF(ISNUMBER(SEARCH("SUBSOLO",E3617)),IFERROR(-VALUE(LEFT(E3617,FIND("º",SUBSTITUTE(E3617,"°","º"))-1)),-1),IF(LEFT(E3617,6)="TÉRREO",0,IFERROR(VALUE(LEFT(E3617,FIND("º",SUBSTITUTE(E3617,"°","º"))-1)),""))))</f>
        <v/>
      </c>
      <c r="O3617" s="2">
        <f>IF(OR(F3617="",G3617=""),"",IF(G3617&lt;='RETRATO 2027'!$K$5,"CONCLUÍDA",IF(F3617&lt;='RETRATO 2027'!$K$5,"EM ANDAMENTO","A INICIAR")))</f>
        <v/>
      </c>
    </row>
    <row r="3618">
      <c r="M3618" s="2">
        <f>IF(C3618="","",IFERROR(INDEX($S$5:$S$304,MATCH(C3618,$R$5:$R$304,0))&amp;"","?"))</f>
        <v/>
      </c>
      <c r="N3618" s="2">
        <f>IF(E3618="","",IF(ISNUMBER(SEARCH("SUBSOLO",E3618)),IFERROR(-VALUE(LEFT(E3618,FIND("º",SUBSTITUTE(E3618,"°","º"))-1)),-1),IF(LEFT(E3618,6)="TÉRREO",0,IFERROR(VALUE(LEFT(E3618,FIND("º",SUBSTITUTE(E3618,"°","º"))-1)),""))))</f>
        <v/>
      </c>
      <c r="O3618" s="2">
        <f>IF(OR(F3618="",G3618=""),"",IF(G3618&lt;='RETRATO 2027'!$K$5,"CONCLUÍDA",IF(F3618&lt;='RETRATO 2027'!$K$5,"EM ANDAMENTO","A INICIAR")))</f>
        <v/>
      </c>
    </row>
    <row r="3619">
      <c r="M3619" s="2">
        <f>IF(C3619="","",IFERROR(INDEX($S$5:$S$304,MATCH(C3619,$R$5:$R$304,0))&amp;"","?"))</f>
        <v/>
      </c>
      <c r="N3619" s="2">
        <f>IF(E3619="","",IF(ISNUMBER(SEARCH("SUBSOLO",E3619)),IFERROR(-VALUE(LEFT(E3619,FIND("º",SUBSTITUTE(E3619,"°","º"))-1)),-1),IF(LEFT(E3619,6)="TÉRREO",0,IFERROR(VALUE(LEFT(E3619,FIND("º",SUBSTITUTE(E3619,"°","º"))-1)),""))))</f>
        <v/>
      </c>
      <c r="O3619" s="2">
        <f>IF(OR(F3619="",G3619=""),"",IF(G3619&lt;='RETRATO 2027'!$K$5,"CONCLUÍDA",IF(F3619&lt;='RETRATO 2027'!$K$5,"EM ANDAMENTO","A INICIAR")))</f>
        <v/>
      </c>
    </row>
    <row r="3620">
      <c r="M3620" s="2">
        <f>IF(C3620="","",IFERROR(INDEX($S$5:$S$304,MATCH(C3620,$R$5:$R$304,0))&amp;"","?"))</f>
        <v/>
      </c>
      <c r="N3620" s="2">
        <f>IF(E3620="","",IF(ISNUMBER(SEARCH("SUBSOLO",E3620)),IFERROR(-VALUE(LEFT(E3620,FIND("º",SUBSTITUTE(E3620,"°","º"))-1)),-1),IF(LEFT(E3620,6)="TÉRREO",0,IFERROR(VALUE(LEFT(E3620,FIND("º",SUBSTITUTE(E3620,"°","º"))-1)),""))))</f>
        <v/>
      </c>
      <c r="O3620" s="2">
        <f>IF(OR(F3620="",G3620=""),"",IF(G3620&lt;='RETRATO 2027'!$K$5,"CONCLUÍDA",IF(F3620&lt;='RETRATO 2027'!$K$5,"EM ANDAMENTO","A INICIAR")))</f>
        <v/>
      </c>
    </row>
    <row r="3621">
      <c r="M3621" s="2">
        <f>IF(C3621="","",IFERROR(INDEX($S$5:$S$304,MATCH(C3621,$R$5:$R$304,0))&amp;"","?"))</f>
        <v/>
      </c>
      <c r="N3621" s="2">
        <f>IF(E3621="","",IF(ISNUMBER(SEARCH("SUBSOLO",E3621)),IFERROR(-VALUE(LEFT(E3621,FIND("º",SUBSTITUTE(E3621,"°","º"))-1)),-1),IF(LEFT(E3621,6)="TÉRREO",0,IFERROR(VALUE(LEFT(E3621,FIND("º",SUBSTITUTE(E3621,"°","º"))-1)),""))))</f>
        <v/>
      </c>
      <c r="O3621" s="2">
        <f>IF(OR(F3621="",G3621=""),"",IF(G3621&lt;='RETRATO 2027'!$K$5,"CONCLUÍDA",IF(F3621&lt;='RETRATO 2027'!$K$5,"EM ANDAMENTO","A INICIAR")))</f>
        <v/>
      </c>
    </row>
    <row r="3622">
      <c r="M3622" s="2">
        <f>IF(C3622="","",IFERROR(INDEX($S$5:$S$304,MATCH(C3622,$R$5:$R$304,0))&amp;"","?"))</f>
        <v/>
      </c>
      <c r="N3622" s="2">
        <f>IF(E3622="","",IF(ISNUMBER(SEARCH("SUBSOLO",E3622)),IFERROR(-VALUE(LEFT(E3622,FIND("º",SUBSTITUTE(E3622,"°","º"))-1)),-1),IF(LEFT(E3622,6)="TÉRREO",0,IFERROR(VALUE(LEFT(E3622,FIND("º",SUBSTITUTE(E3622,"°","º"))-1)),""))))</f>
        <v/>
      </c>
      <c r="O3622" s="2">
        <f>IF(OR(F3622="",G3622=""),"",IF(G3622&lt;='RETRATO 2027'!$K$5,"CONCLUÍDA",IF(F3622&lt;='RETRATO 2027'!$K$5,"EM ANDAMENTO","A INICIAR")))</f>
        <v/>
      </c>
    </row>
    <row r="3623">
      <c r="M3623" s="2">
        <f>IF(C3623="","",IFERROR(INDEX($S$5:$S$304,MATCH(C3623,$R$5:$R$304,0))&amp;"","?"))</f>
        <v/>
      </c>
      <c r="N3623" s="2">
        <f>IF(E3623="","",IF(ISNUMBER(SEARCH("SUBSOLO",E3623)),IFERROR(-VALUE(LEFT(E3623,FIND("º",SUBSTITUTE(E3623,"°","º"))-1)),-1),IF(LEFT(E3623,6)="TÉRREO",0,IFERROR(VALUE(LEFT(E3623,FIND("º",SUBSTITUTE(E3623,"°","º"))-1)),""))))</f>
        <v/>
      </c>
      <c r="O3623" s="2">
        <f>IF(OR(F3623="",G3623=""),"",IF(G3623&lt;='RETRATO 2027'!$K$5,"CONCLUÍDA",IF(F3623&lt;='RETRATO 2027'!$K$5,"EM ANDAMENTO","A INICIAR")))</f>
        <v/>
      </c>
    </row>
    <row r="3624">
      <c r="M3624" s="2">
        <f>IF(C3624="","",IFERROR(INDEX($S$5:$S$304,MATCH(C3624,$R$5:$R$304,0))&amp;"","?"))</f>
        <v/>
      </c>
      <c r="N3624" s="2">
        <f>IF(E3624="","",IF(ISNUMBER(SEARCH("SUBSOLO",E3624)),IFERROR(-VALUE(LEFT(E3624,FIND("º",SUBSTITUTE(E3624,"°","º"))-1)),-1),IF(LEFT(E3624,6)="TÉRREO",0,IFERROR(VALUE(LEFT(E3624,FIND("º",SUBSTITUTE(E3624,"°","º"))-1)),""))))</f>
        <v/>
      </c>
      <c r="O3624" s="2">
        <f>IF(OR(F3624="",G3624=""),"",IF(G3624&lt;='RETRATO 2027'!$K$5,"CONCLUÍDA",IF(F3624&lt;='RETRATO 2027'!$K$5,"EM ANDAMENTO","A INICIAR")))</f>
        <v/>
      </c>
    </row>
    <row r="3625">
      <c r="M3625" s="2">
        <f>IF(C3625="","",IFERROR(INDEX($S$5:$S$304,MATCH(C3625,$R$5:$R$304,0))&amp;"","?"))</f>
        <v/>
      </c>
      <c r="N3625" s="2">
        <f>IF(E3625="","",IF(ISNUMBER(SEARCH("SUBSOLO",E3625)),IFERROR(-VALUE(LEFT(E3625,FIND("º",SUBSTITUTE(E3625,"°","º"))-1)),-1),IF(LEFT(E3625,6)="TÉRREO",0,IFERROR(VALUE(LEFT(E3625,FIND("º",SUBSTITUTE(E3625,"°","º"))-1)),""))))</f>
        <v/>
      </c>
      <c r="O3625" s="2">
        <f>IF(OR(F3625="",G3625=""),"",IF(G3625&lt;='RETRATO 2027'!$K$5,"CONCLUÍDA",IF(F3625&lt;='RETRATO 2027'!$K$5,"EM ANDAMENTO","A INICIAR")))</f>
        <v/>
      </c>
    </row>
    <row r="3626">
      <c r="M3626" s="2">
        <f>IF(C3626="","",IFERROR(INDEX($S$5:$S$304,MATCH(C3626,$R$5:$R$304,0))&amp;"","?"))</f>
        <v/>
      </c>
      <c r="N3626" s="2">
        <f>IF(E3626="","",IF(ISNUMBER(SEARCH("SUBSOLO",E3626)),IFERROR(-VALUE(LEFT(E3626,FIND("º",SUBSTITUTE(E3626,"°","º"))-1)),-1),IF(LEFT(E3626,6)="TÉRREO",0,IFERROR(VALUE(LEFT(E3626,FIND("º",SUBSTITUTE(E3626,"°","º"))-1)),""))))</f>
        <v/>
      </c>
      <c r="O3626" s="2">
        <f>IF(OR(F3626="",G3626=""),"",IF(G3626&lt;='RETRATO 2027'!$K$5,"CONCLUÍDA",IF(F3626&lt;='RETRATO 2027'!$K$5,"EM ANDAMENTO","A INICIAR")))</f>
        <v/>
      </c>
    </row>
    <row r="3627">
      <c r="M3627" s="2">
        <f>IF(C3627="","",IFERROR(INDEX($S$5:$S$304,MATCH(C3627,$R$5:$R$304,0))&amp;"","?"))</f>
        <v/>
      </c>
      <c r="N3627" s="2">
        <f>IF(E3627="","",IF(ISNUMBER(SEARCH("SUBSOLO",E3627)),IFERROR(-VALUE(LEFT(E3627,FIND("º",SUBSTITUTE(E3627,"°","º"))-1)),-1),IF(LEFT(E3627,6)="TÉRREO",0,IFERROR(VALUE(LEFT(E3627,FIND("º",SUBSTITUTE(E3627,"°","º"))-1)),""))))</f>
        <v/>
      </c>
      <c r="O3627" s="2">
        <f>IF(OR(F3627="",G3627=""),"",IF(G3627&lt;='RETRATO 2027'!$K$5,"CONCLUÍDA",IF(F3627&lt;='RETRATO 2027'!$K$5,"EM ANDAMENTO","A INICIAR")))</f>
        <v/>
      </c>
    </row>
    <row r="3628">
      <c r="M3628" s="2">
        <f>IF(C3628="","",IFERROR(INDEX($S$5:$S$304,MATCH(C3628,$R$5:$R$304,0))&amp;"","?"))</f>
        <v/>
      </c>
      <c r="N3628" s="2">
        <f>IF(E3628="","",IF(ISNUMBER(SEARCH("SUBSOLO",E3628)),IFERROR(-VALUE(LEFT(E3628,FIND("º",SUBSTITUTE(E3628,"°","º"))-1)),-1),IF(LEFT(E3628,6)="TÉRREO",0,IFERROR(VALUE(LEFT(E3628,FIND("º",SUBSTITUTE(E3628,"°","º"))-1)),""))))</f>
        <v/>
      </c>
      <c r="O3628" s="2">
        <f>IF(OR(F3628="",G3628=""),"",IF(G3628&lt;='RETRATO 2027'!$K$5,"CONCLUÍDA",IF(F3628&lt;='RETRATO 2027'!$K$5,"EM ANDAMENTO","A INICIAR")))</f>
        <v/>
      </c>
    </row>
    <row r="3629">
      <c r="M3629" s="2">
        <f>IF(C3629="","",IFERROR(INDEX($S$5:$S$304,MATCH(C3629,$R$5:$R$304,0))&amp;"","?"))</f>
        <v/>
      </c>
      <c r="N3629" s="2">
        <f>IF(E3629="","",IF(ISNUMBER(SEARCH("SUBSOLO",E3629)),IFERROR(-VALUE(LEFT(E3629,FIND("º",SUBSTITUTE(E3629,"°","º"))-1)),-1),IF(LEFT(E3629,6)="TÉRREO",0,IFERROR(VALUE(LEFT(E3629,FIND("º",SUBSTITUTE(E3629,"°","º"))-1)),""))))</f>
        <v/>
      </c>
      <c r="O3629" s="2">
        <f>IF(OR(F3629="",G3629=""),"",IF(G3629&lt;='RETRATO 2027'!$K$5,"CONCLUÍDA",IF(F3629&lt;='RETRATO 2027'!$K$5,"EM ANDAMENTO","A INICIAR")))</f>
        <v/>
      </c>
    </row>
    <row r="3630">
      <c r="M3630" s="2">
        <f>IF(C3630="","",IFERROR(INDEX($S$5:$S$304,MATCH(C3630,$R$5:$R$304,0))&amp;"","?"))</f>
        <v/>
      </c>
      <c r="N3630" s="2">
        <f>IF(E3630="","",IF(ISNUMBER(SEARCH("SUBSOLO",E3630)),IFERROR(-VALUE(LEFT(E3630,FIND("º",SUBSTITUTE(E3630,"°","º"))-1)),-1),IF(LEFT(E3630,6)="TÉRREO",0,IFERROR(VALUE(LEFT(E3630,FIND("º",SUBSTITUTE(E3630,"°","º"))-1)),""))))</f>
        <v/>
      </c>
      <c r="O3630" s="2">
        <f>IF(OR(F3630="",G3630=""),"",IF(G3630&lt;='RETRATO 2027'!$K$5,"CONCLUÍDA",IF(F3630&lt;='RETRATO 2027'!$K$5,"EM ANDAMENTO","A INICIAR")))</f>
        <v/>
      </c>
    </row>
    <row r="3631">
      <c r="M3631" s="2">
        <f>IF(C3631="","",IFERROR(INDEX($S$5:$S$304,MATCH(C3631,$R$5:$R$304,0))&amp;"","?"))</f>
        <v/>
      </c>
      <c r="N3631" s="2">
        <f>IF(E3631="","",IF(ISNUMBER(SEARCH("SUBSOLO",E3631)),IFERROR(-VALUE(LEFT(E3631,FIND("º",SUBSTITUTE(E3631,"°","º"))-1)),-1),IF(LEFT(E3631,6)="TÉRREO",0,IFERROR(VALUE(LEFT(E3631,FIND("º",SUBSTITUTE(E3631,"°","º"))-1)),""))))</f>
        <v/>
      </c>
      <c r="O3631" s="2">
        <f>IF(OR(F3631="",G3631=""),"",IF(G3631&lt;='RETRATO 2027'!$K$5,"CONCLUÍDA",IF(F3631&lt;='RETRATO 2027'!$K$5,"EM ANDAMENTO","A INICIAR")))</f>
        <v/>
      </c>
    </row>
    <row r="3632">
      <c r="M3632" s="2">
        <f>IF(C3632="","",IFERROR(INDEX($S$5:$S$304,MATCH(C3632,$R$5:$R$304,0))&amp;"","?"))</f>
        <v/>
      </c>
      <c r="N3632" s="2">
        <f>IF(E3632="","",IF(ISNUMBER(SEARCH("SUBSOLO",E3632)),IFERROR(-VALUE(LEFT(E3632,FIND("º",SUBSTITUTE(E3632,"°","º"))-1)),-1),IF(LEFT(E3632,6)="TÉRREO",0,IFERROR(VALUE(LEFT(E3632,FIND("º",SUBSTITUTE(E3632,"°","º"))-1)),""))))</f>
        <v/>
      </c>
      <c r="O3632" s="2">
        <f>IF(OR(F3632="",G3632=""),"",IF(G3632&lt;='RETRATO 2027'!$K$5,"CONCLUÍDA",IF(F3632&lt;='RETRATO 2027'!$K$5,"EM ANDAMENTO","A INICIAR")))</f>
        <v/>
      </c>
    </row>
    <row r="3633">
      <c r="M3633" s="2">
        <f>IF(C3633="","",IFERROR(INDEX($S$5:$S$304,MATCH(C3633,$R$5:$R$304,0))&amp;"","?"))</f>
        <v/>
      </c>
      <c r="N3633" s="2">
        <f>IF(E3633="","",IF(ISNUMBER(SEARCH("SUBSOLO",E3633)),IFERROR(-VALUE(LEFT(E3633,FIND("º",SUBSTITUTE(E3633,"°","º"))-1)),-1),IF(LEFT(E3633,6)="TÉRREO",0,IFERROR(VALUE(LEFT(E3633,FIND("º",SUBSTITUTE(E3633,"°","º"))-1)),""))))</f>
        <v/>
      </c>
      <c r="O3633" s="2">
        <f>IF(OR(F3633="",G3633=""),"",IF(G3633&lt;='RETRATO 2027'!$K$5,"CONCLUÍDA",IF(F3633&lt;='RETRATO 2027'!$K$5,"EM ANDAMENTO","A INICIAR")))</f>
        <v/>
      </c>
    </row>
    <row r="3634">
      <c r="M3634" s="2">
        <f>IF(C3634="","",IFERROR(INDEX($S$5:$S$304,MATCH(C3634,$R$5:$R$304,0))&amp;"","?"))</f>
        <v/>
      </c>
      <c r="N3634" s="2">
        <f>IF(E3634="","",IF(ISNUMBER(SEARCH("SUBSOLO",E3634)),IFERROR(-VALUE(LEFT(E3634,FIND("º",SUBSTITUTE(E3634,"°","º"))-1)),-1),IF(LEFT(E3634,6)="TÉRREO",0,IFERROR(VALUE(LEFT(E3634,FIND("º",SUBSTITUTE(E3634,"°","º"))-1)),""))))</f>
        <v/>
      </c>
      <c r="O3634" s="2">
        <f>IF(OR(F3634="",G3634=""),"",IF(G3634&lt;='RETRATO 2027'!$K$5,"CONCLUÍDA",IF(F3634&lt;='RETRATO 2027'!$K$5,"EM ANDAMENTO","A INICIAR")))</f>
        <v/>
      </c>
    </row>
    <row r="3635">
      <c r="M3635" s="2">
        <f>IF(C3635="","",IFERROR(INDEX($S$5:$S$304,MATCH(C3635,$R$5:$R$304,0))&amp;"","?"))</f>
        <v/>
      </c>
      <c r="N3635" s="2">
        <f>IF(E3635="","",IF(ISNUMBER(SEARCH("SUBSOLO",E3635)),IFERROR(-VALUE(LEFT(E3635,FIND("º",SUBSTITUTE(E3635,"°","º"))-1)),-1),IF(LEFT(E3635,6)="TÉRREO",0,IFERROR(VALUE(LEFT(E3635,FIND("º",SUBSTITUTE(E3635,"°","º"))-1)),""))))</f>
        <v/>
      </c>
      <c r="O3635" s="2">
        <f>IF(OR(F3635="",G3635=""),"",IF(G3635&lt;='RETRATO 2027'!$K$5,"CONCLUÍDA",IF(F3635&lt;='RETRATO 2027'!$K$5,"EM ANDAMENTO","A INICIAR")))</f>
        <v/>
      </c>
    </row>
    <row r="3636">
      <c r="M3636" s="2">
        <f>IF(C3636="","",IFERROR(INDEX($S$5:$S$304,MATCH(C3636,$R$5:$R$304,0))&amp;"","?"))</f>
        <v/>
      </c>
      <c r="N3636" s="2">
        <f>IF(E3636="","",IF(ISNUMBER(SEARCH("SUBSOLO",E3636)),IFERROR(-VALUE(LEFT(E3636,FIND("º",SUBSTITUTE(E3636,"°","º"))-1)),-1),IF(LEFT(E3636,6)="TÉRREO",0,IFERROR(VALUE(LEFT(E3636,FIND("º",SUBSTITUTE(E3636,"°","º"))-1)),""))))</f>
        <v/>
      </c>
      <c r="O3636" s="2">
        <f>IF(OR(F3636="",G3636=""),"",IF(G3636&lt;='RETRATO 2027'!$K$5,"CONCLUÍDA",IF(F3636&lt;='RETRATO 2027'!$K$5,"EM ANDAMENTO","A INICIAR")))</f>
        <v/>
      </c>
    </row>
    <row r="3637">
      <c r="M3637" s="2">
        <f>IF(C3637="","",IFERROR(INDEX($S$5:$S$304,MATCH(C3637,$R$5:$R$304,0))&amp;"","?"))</f>
        <v/>
      </c>
      <c r="N3637" s="2">
        <f>IF(E3637="","",IF(ISNUMBER(SEARCH("SUBSOLO",E3637)),IFERROR(-VALUE(LEFT(E3637,FIND("º",SUBSTITUTE(E3637,"°","º"))-1)),-1),IF(LEFT(E3637,6)="TÉRREO",0,IFERROR(VALUE(LEFT(E3637,FIND("º",SUBSTITUTE(E3637,"°","º"))-1)),""))))</f>
        <v/>
      </c>
      <c r="O3637" s="2">
        <f>IF(OR(F3637="",G3637=""),"",IF(G3637&lt;='RETRATO 2027'!$K$5,"CONCLUÍDA",IF(F3637&lt;='RETRATO 2027'!$K$5,"EM ANDAMENTO","A INICIAR")))</f>
        <v/>
      </c>
    </row>
    <row r="3638">
      <c r="M3638" s="2">
        <f>IF(C3638="","",IFERROR(INDEX($S$5:$S$304,MATCH(C3638,$R$5:$R$304,0))&amp;"","?"))</f>
        <v/>
      </c>
      <c r="N3638" s="2">
        <f>IF(E3638="","",IF(ISNUMBER(SEARCH("SUBSOLO",E3638)),IFERROR(-VALUE(LEFT(E3638,FIND("º",SUBSTITUTE(E3638,"°","º"))-1)),-1),IF(LEFT(E3638,6)="TÉRREO",0,IFERROR(VALUE(LEFT(E3638,FIND("º",SUBSTITUTE(E3638,"°","º"))-1)),""))))</f>
        <v/>
      </c>
      <c r="O3638" s="2">
        <f>IF(OR(F3638="",G3638=""),"",IF(G3638&lt;='RETRATO 2027'!$K$5,"CONCLUÍDA",IF(F3638&lt;='RETRATO 2027'!$K$5,"EM ANDAMENTO","A INICIAR")))</f>
        <v/>
      </c>
    </row>
    <row r="3639">
      <c r="M3639" s="2">
        <f>IF(C3639="","",IFERROR(INDEX($S$5:$S$304,MATCH(C3639,$R$5:$R$304,0))&amp;"","?"))</f>
        <v/>
      </c>
      <c r="N3639" s="2">
        <f>IF(E3639="","",IF(ISNUMBER(SEARCH("SUBSOLO",E3639)),IFERROR(-VALUE(LEFT(E3639,FIND("º",SUBSTITUTE(E3639,"°","º"))-1)),-1),IF(LEFT(E3639,6)="TÉRREO",0,IFERROR(VALUE(LEFT(E3639,FIND("º",SUBSTITUTE(E3639,"°","º"))-1)),""))))</f>
        <v/>
      </c>
      <c r="O3639" s="2">
        <f>IF(OR(F3639="",G3639=""),"",IF(G3639&lt;='RETRATO 2027'!$K$5,"CONCLUÍDA",IF(F3639&lt;='RETRATO 2027'!$K$5,"EM ANDAMENTO","A INICIAR")))</f>
        <v/>
      </c>
    </row>
    <row r="3640">
      <c r="M3640" s="2">
        <f>IF(C3640="","",IFERROR(INDEX($S$5:$S$304,MATCH(C3640,$R$5:$R$304,0))&amp;"","?"))</f>
        <v/>
      </c>
      <c r="N3640" s="2">
        <f>IF(E3640="","",IF(ISNUMBER(SEARCH("SUBSOLO",E3640)),IFERROR(-VALUE(LEFT(E3640,FIND("º",SUBSTITUTE(E3640,"°","º"))-1)),-1),IF(LEFT(E3640,6)="TÉRREO",0,IFERROR(VALUE(LEFT(E3640,FIND("º",SUBSTITUTE(E3640,"°","º"))-1)),""))))</f>
        <v/>
      </c>
      <c r="O3640" s="2">
        <f>IF(OR(F3640="",G3640=""),"",IF(G3640&lt;='RETRATO 2027'!$K$5,"CONCLUÍDA",IF(F3640&lt;='RETRATO 2027'!$K$5,"EM ANDAMENTO","A INICIAR")))</f>
        <v/>
      </c>
    </row>
    <row r="3641">
      <c r="M3641" s="2">
        <f>IF(C3641="","",IFERROR(INDEX($S$5:$S$304,MATCH(C3641,$R$5:$R$304,0))&amp;"","?"))</f>
        <v/>
      </c>
      <c r="N3641" s="2">
        <f>IF(E3641="","",IF(ISNUMBER(SEARCH("SUBSOLO",E3641)),IFERROR(-VALUE(LEFT(E3641,FIND("º",SUBSTITUTE(E3641,"°","º"))-1)),-1),IF(LEFT(E3641,6)="TÉRREO",0,IFERROR(VALUE(LEFT(E3641,FIND("º",SUBSTITUTE(E3641,"°","º"))-1)),""))))</f>
        <v/>
      </c>
      <c r="O3641" s="2">
        <f>IF(OR(F3641="",G3641=""),"",IF(G3641&lt;='RETRATO 2027'!$K$5,"CONCLUÍDA",IF(F3641&lt;='RETRATO 2027'!$K$5,"EM ANDAMENTO","A INICIAR")))</f>
        <v/>
      </c>
    </row>
    <row r="3642">
      <c r="M3642" s="2">
        <f>IF(C3642="","",IFERROR(INDEX($S$5:$S$304,MATCH(C3642,$R$5:$R$304,0))&amp;"","?"))</f>
        <v/>
      </c>
      <c r="N3642" s="2">
        <f>IF(E3642="","",IF(ISNUMBER(SEARCH("SUBSOLO",E3642)),IFERROR(-VALUE(LEFT(E3642,FIND("º",SUBSTITUTE(E3642,"°","º"))-1)),-1),IF(LEFT(E3642,6)="TÉRREO",0,IFERROR(VALUE(LEFT(E3642,FIND("º",SUBSTITUTE(E3642,"°","º"))-1)),""))))</f>
        <v/>
      </c>
      <c r="O3642" s="2">
        <f>IF(OR(F3642="",G3642=""),"",IF(G3642&lt;='RETRATO 2027'!$K$5,"CONCLUÍDA",IF(F3642&lt;='RETRATO 2027'!$K$5,"EM ANDAMENTO","A INICIAR")))</f>
        <v/>
      </c>
    </row>
    <row r="3643">
      <c r="M3643" s="2">
        <f>IF(C3643="","",IFERROR(INDEX($S$5:$S$304,MATCH(C3643,$R$5:$R$304,0))&amp;"","?"))</f>
        <v/>
      </c>
      <c r="N3643" s="2">
        <f>IF(E3643="","",IF(ISNUMBER(SEARCH("SUBSOLO",E3643)),IFERROR(-VALUE(LEFT(E3643,FIND("º",SUBSTITUTE(E3643,"°","º"))-1)),-1),IF(LEFT(E3643,6)="TÉRREO",0,IFERROR(VALUE(LEFT(E3643,FIND("º",SUBSTITUTE(E3643,"°","º"))-1)),""))))</f>
        <v/>
      </c>
      <c r="O3643" s="2">
        <f>IF(OR(F3643="",G3643=""),"",IF(G3643&lt;='RETRATO 2027'!$K$5,"CONCLUÍDA",IF(F3643&lt;='RETRATO 2027'!$K$5,"EM ANDAMENTO","A INICIAR")))</f>
        <v/>
      </c>
    </row>
    <row r="3644">
      <c r="M3644" s="2">
        <f>IF(C3644="","",IFERROR(INDEX($S$5:$S$304,MATCH(C3644,$R$5:$R$304,0))&amp;"","?"))</f>
        <v/>
      </c>
      <c r="N3644" s="2">
        <f>IF(E3644="","",IF(ISNUMBER(SEARCH("SUBSOLO",E3644)),IFERROR(-VALUE(LEFT(E3644,FIND("º",SUBSTITUTE(E3644,"°","º"))-1)),-1),IF(LEFT(E3644,6)="TÉRREO",0,IFERROR(VALUE(LEFT(E3644,FIND("º",SUBSTITUTE(E3644,"°","º"))-1)),""))))</f>
        <v/>
      </c>
      <c r="O3644" s="2">
        <f>IF(OR(F3644="",G3644=""),"",IF(G3644&lt;='RETRATO 2027'!$K$5,"CONCLUÍDA",IF(F3644&lt;='RETRATO 2027'!$K$5,"EM ANDAMENTO","A INICIAR")))</f>
        <v/>
      </c>
    </row>
    <row r="3645">
      <c r="M3645" s="2">
        <f>IF(C3645="","",IFERROR(INDEX($S$5:$S$304,MATCH(C3645,$R$5:$R$304,0))&amp;"","?"))</f>
        <v/>
      </c>
      <c r="N3645" s="2">
        <f>IF(E3645="","",IF(ISNUMBER(SEARCH("SUBSOLO",E3645)),IFERROR(-VALUE(LEFT(E3645,FIND("º",SUBSTITUTE(E3645,"°","º"))-1)),-1),IF(LEFT(E3645,6)="TÉRREO",0,IFERROR(VALUE(LEFT(E3645,FIND("º",SUBSTITUTE(E3645,"°","º"))-1)),""))))</f>
        <v/>
      </c>
      <c r="O3645" s="2">
        <f>IF(OR(F3645="",G3645=""),"",IF(G3645&lt;='RETRATO 2027'!$K$5,"CONCLUÍDA",IF(F3645&lt;='RETRATO 2027'!$K$5,"EM ANDAMENTO","A INICIAR")))</f>
        <v/>
      </c>
    </row>
    <row r="3646">
      <c r="M3646" s="2">
        <f>IF(C3646="","",IFERROR(INDEX($S$5:$S$304,MATCH(C3646,$R$5:$R$304,0))&amp;"","?"))</f>
        <v/>
      </c>
      <c r="N3646" s="2">
        <f>IF(E3646="","",IF(ISNUMBER(SEARCH("SUBSOLO",E3646)),IFERROR(-VALUE(LEFT(E3646,FIND("º",SUBSTITUTE(E3646,"°","º"))-1)),-1),IF(LEFT(E3646,6)="TÉRREO",0,IFERROR(VALUE(LEFT(E3646,FIND("º",SUBSTITUTE(E3646,"°","º"))-1)),""))))</f>
        <v/>
      </c>
      <c r="O3646" s="2">
        <f>IF(OR(F3646="",G3646=""),"",IF(G3646&lt;='RETRATO 2027'!$K$5,"CONCLUÍDA",IF(F3646&lt;='RETRATO 2027'!$K$5,"EM ANDAMENTO","A INICIAR")))</f>
        <v/>
      </c>
    </row>
    <row r="3647">
      <c r="M3647" s="2">
        <f>IF(C3647="","",IFERROR(INDEX($S$5:$S$304,MATCH(C3647,$R$5:$R$304,0))&amp;"","?"))</f>
        <v/>
      </c>
      <c r="N3647" s="2">
        <f>IF(E3647="","",IF(ISNUMBER(SEARCH("SUBSOLO",E3647)),IFERROR(-VALUE(LEFT(E3647,FIND("º",SUBSTITUTE(E3647,"°","º"))-1)),-1),IF(LEFT(E3647,6)="TÉRREO",0,IFERROR(VALUE(LEFT(E3647,FIND("º",SUBSTITUTE(E3647,"°","º"))-1)),""))))</f>
        <v/>
      </c>
      <c r="O3647" s="2">
        <f>IF(OR(F3647="",G3647=""),"",IF(G3647&lt;='RETRATO 2027'!$K$5,"CONCLUÍDA",IF(F3647&lt;='RETRATO 2027'!$K$5,"EM ANDAMENTO","A INICIAR")))</f>
        <v/>
      </c>
    </row>
    <row r="3648">
      <c r="M3648" s="2">
        <f>IF(C3648="","",IFERROR(INDEX($S$5:$S$304,MATCH(C3648,$R$5:$R$304,0))&amp;"","?"))</f>
        <v/>
      </c>
      <c r="N3648" s="2">
        <f>IF(E3648="","",IF(ISNUMBER(SEARCH("SUBSOLO",E3648)),IFERROR(-VALUE(LEFT(E3648,FIND("º",SUBSTITUTE(E3648,"°","º"))-1)),-1),IF(LEFT(E3648,6)="TÉRREO",0,IFERROR(VALUE(LEFT(E3648,FIND("º",SUBSTITUTE(E3648,"°","º"))-1)),""))))</f>
        <v/>
      </c>
      <c r="O3648" s="2">
        <f>IF(OR(F3648="",G3648=""),"",IF(G3648&lt;='RETRATO 2027'!$K$5,"CONCLUÍDA",IF(F3648&lt;='RETRATO 2027'!$K$5,"EM ANDAMENTO","A INICIAR")))</f>
        <v/>
      </c>
    </row>
    <row r="3649">
      <c r="M3649" s="2">
        <f>IF(C3649="","",IFERROR(INDEX($S$5:$S$304,MATCH(C3649,$R$5:$R$304,0))&amp;"","?"))</f>
        <v/>
      </c>
      <c r="N3649" s="2">
        <f>IF(E3649="","",IF(ISNUMBER(SEARCH("SUBSOLO",E3649)),IFERROR(-VALUE(LEFT(E3649,FIND("º",SUBSTITUTE(E3649,"°","º"))-1)),-1),IF(LEFT(E3649,6)="TÉRREO",0,IFERROR(VALUE(LEFT(E3649,FIND("º",SUBSTITUTE(E3649,"°","º"))-1)),""))))</f>
        <v/>
      </c>
      <c r="O3649" s="2">
        <f>IF(OR(F3649="",G3649=""),"",IF(G3649&lt;='RETRATO 2027'!$K$5,"CONCLUÍDA",IF(F3649&lt;='RETRATO 2027'!$K$5,"EM ANDAMENTO","A INICIAR")))</f>
        <v/>
      </c>
    </row>
    <row r="3650">
      <c r="M3650" s="2">
        <f>IF(C3650="","",IFERROR(INDEX($S$5:$S$304,MATCH(C3650,$R$5:$R$304,0))&amp;"","?"))</f>
        <v/>
      </c>
      <c r="N3650" s="2">
        <f>IF(E3650="","",IF(ISNUMBER(SEARCH("SUBSOLO",E3650)),IFERROR(-VALUE(LEFT(E3650,FIND("º",SUBSTITUTE(E3650,"°","º"))-1)),-1),IF(LEFT(E3650,6)="TÉRREO",0,IFERROR(VALUE(LEFT(E3650,FIND("º",SUBSTITUTE(E3650,"°","º"))-1)),""))))</f>
        <v/>
      </c>
      <c r="O3650" s="2">
        <f>IF(OR(F3650="",G3650=""),"",IF(G3650&lt;='RETRATO 2027'!$K$5,"CONCLUÍDA",IF(F3650&lt;='RETRATO 2027'!$K$5,"EM ANDAMENTO","A INICIAR")))</f>
        <v/>
      </c>
    </row>
    <row r="3651">
      <c r="M3651" s="2">
        <f>IF(C3651="","",IFERROR(INDEX($S$5:$S$304,MATCH(C3651,$R$5:$R$304,0))&amp;"","?"))</f>
        <v/>
      </c>
      <c r="N3651" s="2">
        <f>IF(E3651="","",IF(ISNUMBER(SEARCH("SUBSOLO",E3651)),IFERROR(-VALUE(LEFT(E3651,FIND("º",SUBSTITUTE(E3651,"°","º"))-1)),-1),IF(LEFT(E3651,6)="TÉRREO",0,IFERROR(VALUE(LEFT(E3651,FIND("º",SUBSTITUTE(E3651,"°","º"))-1)),""))))</f>
        <v/>
      </c>
      <c r="O3651" s="2">
        <f>IF(OR(F3651="",G3651=""),"",IF(G3651&lt;='RETRATO 2027'!$K$5,"CONCLUÍDA",IF(F3651&lt;='RETRATO 2027'!$K$5,"EM ANDAMENTO","A INICIAR")))</f>
        <v/>
      </c>
    </row>
    <row r="3652">
      <c r="M3652" s="2">
        <f>IF(C3652="","",IFERROR(INDEX($S$5:$S$304,MATCH(C3652,$R$5:$R$304,0))&amp;"","?"))</f>
        <v/>
      </c>
      <c r="N3652" s="2">
        <f>IF(E3652="","",IF(ISNUMBER(SEARCH("SUBSOLO",E3652)),IFERROR(-VALUE(LEFT(E3652,FIND("º",SUBSTITUTE(E3652,"°","º"))-1)),-1),IF(LEFT(E3652,6)="TÉRREO",0,IFERROR(VALUE(LEFT(E3652,FIND("º",SUBSTITUTE(E3652,"°","º"))-1)),""))))</f>
        <v/>
      </c>
      <c r="O3652" s="2">
        <f>IF(OR(F3652="",G3652=""),"",IF(G3652&lt;='RETRATO 2027'!$K$5,"CONCLUÍDA",IF(F3652&lt;='RETRATO 2027'!$K$5,"EM ANDAMENTO","A INICIAR")))</f>
        <v/>
      </c>
    </row>
    <row r="3653">
      <c r="M3653" s="2">
        <f>IF(C3653="","",IFERROR(INDEX($S$5:$S$304,MATCH(C3653,$R$5:$R$304,0))&amp;"","?"))</f>
        <v/>
      </c>
      <c r="N3653" s="2">
        <f>IF(E3653="","",IF(ISNUMBER(SEARCH("SUBSOLO",E3653)),IFERROR(-VALUE(LEFT(E3653,FIND("º",SUBSTITUTE(E3653,"°","º"))-1)),-1),IF(LEFT(E3653,6)="TÉRREO",0,IFERROR(VALUE(LEFT(E3653,FIND("º",SUBSTITUTE(E3653,"°","º"))-1)),""))))</f>
        <v/>
      </c>
      <c r="O3653" s="2">
        <f>IF(OR(F3653="",G3653=""),"",IF(G3653&lt;='RETRATO 2027'!$K$5,"CONCLUÍDA",IF(F3653&lt;='RETRATO 2027'!$K$5,"EM ANDAMENTO","A INICIAR")))</f>
        <v/>
      </c>
    </row>
    <row r="3654">
      <c r="M3654" s="2">
        <f>IF(C3654="","",IFERROR(INDEX($S$5:$S$304,MATCH(C3654,$R$5:$R$304,0))&amp;"","?"))</f>
        <v/>
      </c>
      <c r="N3654" s="2">
        <f>IF(E3654="","",IF(ISNUMBER(SEARCH("SUBSOLO",E3654)),IFERROR(-VALUE(LEFT(E3654,FIND("º",SUBSTITUTE(E3654,"°","º"))-1)),-1),IF(LEFT(E3654,6)="TÉRREO",0,IFERROR(VALUE(LEFT(E3654,FIND("º",SUBSTITUTE(E3654,"°","º"))-1)),""))))</f>
        <v/>
      </c>
      <c r="O3654" s="2">
        <f>IF(OR(F3654="",G3654=""),"",IF(G3654&lt;='RETRATO 2027'!$K$5,"CONCLUÍDA",IF(F3654&lt;='RETRATO 2027'!$K$5,"EM ANDAMENTO","A INICIAR")))</f>
        <v/>
      </c>
    </row>
    <row r="3655">
      <c r="M3655" s="2">
        <f>IF(C3655="","",IFERROR(INDEX($S$5:$S$304,MATCH(C3655,$R$5:$R$304,0))&amp;"","?"))</f>
        <v/>
      </c>
      <c r="N3655" s="2">
        <f>IF(E3655="","",IF(ISNUMBER(SEARCH("SUBSOLO",E3655)),IFERROR(-VALUE(LEFT(E3655,FIND("º",SUBSTITUTE(E3655,"°","º"))-1)),-1),IF(LEFT(E3655,6)="TÉRREO",0,IFERROR(VALUE(LEFT(E3655,FIND("º",SUBSTITUTE(E3655,"°","º"))-1)),""))))</f>
        <v/>
      </c>
      <c r="O3655" s="2">
        <f>IF(OR(F3655="",G3655=""),"",IF(G3655&lt;='RETRATO 2027'!$K$5,"CONCLUÍDA",IF(F3655&lt;='RETRATO 2027'!$K$5,"EM ANDAMENTO","A INICIAR")))</f>
        <v/>
      </c>
    </row>
    <row r="3656">
      <c r="M3656" s="2">
        <f>IF(C3656="","",IFERROR(INDEX($S$5:$S$304,MATCH(C3656,$R$5:$R$304,0))&amp;"","?"))</f>
        <v/>
      </c>
      <c r="N3656" s="2">
        <f>IF(E3656="","",IF(ISNUMBER(SEARCH("SUBSOLO",E3656)),IFERROR(-VALUE(LEFT(E3656,FIND("º",SUBSTITUTE(E3656,"°","º"))-1)),-1),IF(LEFT(E3656,6)="TÉRREO",0,IFERROR(VALUE(LEFT(E3656,FIND("º",SUBSTITUTE(E3656,"°","º"))-1)),""))))</f>
        <v/>
      </c>
      <c r="O3656" s="2">
        <f>IF(OR(F3656="",G3656=""),"",IF(G3656&lt;='RETRATO 2027'!$K$5,"CONCLUÍDA",IF(F3656&lt;='RETRATO 2027'!$K$5,"EM ANDAMENTO","A INICIAR")))</f>
        <v/>
      </c>
    </row>
    <row r="3657">
      <c r="M3657" s="2">
        <f>IF(C3657="","",IFERROR(INDEX($S$5:$S$304,MATCH(C3657,$R$5:$R$304,0))&amp;"","?"))</f>
        <v/>
      </c>
      <c r="N3657" s="2">
        <f>IF(E3657="","",IF(ISNUMBER(SEARCH("SUBSOLO",E3657)),IFERROR(-VALUE(LEFT(E3657,FIND("º",SUBSTITUTE(E3657,"°","º"))-1)),-1),IF(LEFT(E3657,6)="TÉRREO",0,IFERROR(VALUE(LEFT(E3657,FIND("º",SUBSTITUTE(E3657,"°","º"))-1)),""))))</f>
        <v/>
      </c>
      <c r="O3657" s="2">
        <f>IF(OR(F3657="",G3657=""),"",IF(G3657&lt;='RETRATO 2027'!$K$5,"CONCLUÍDA",IF(F3657&lt;='RETRATO 2027'!$K$5,"EM ANDAMENTO","A INICIAR")))</f>
        <v/>
      </c>
    </row>
    <row r="3658">
      <c r="M3658" s="2">
        <f>IF(C3658="","",IFERROR(INDEX($S$5:$S$304,MATCH(C3658,$R$5:$R$304,0))&amp;"","?"))</f>
        <v/>
      </c>
      <c r="N3658" s="2">
        <f>IF(E3658="","",IF(ISNUMBER(SEARCH("SUBSOLO",E3658)),IFERROR(-VALUE(LEFT(E3658,FIND("º",SUBSTITUTE(E3658,"°","º"))-1)),-1),IF(LEFT(E3658,6)="TÉRREO",0,IFERROR(VALUE(LEFT(E3658,FIND("º",SUBSTITUTE(E3658,"°","º"))-1)),""))))</f>
        <v/>
      </c>
      <c r="O3658" s="2">
        <f>IF(OR(F3658="",G3658=""),"",IF(G3658&lt;='RETRATO 2027'!$K$5,"CONCLUÍDA",IF(F3658&lt;='RETRATO 2027'!$K$5,"EM ANDAMENTO","A INICIAR")))</f>
        <v/>
      </c>
    </row>
    <row r="3659">
      <c r="M3659" s="2">
        <f>IF(C3659="","",IFERROR(INDEX($S$5:$S$304,MATCH(C3659,$R$5:$R$304,0))&amp;"","?"))</f>
        <v/>
      </c>
      <c r="N3659" s="2">
        <f>IF(E3659="","",IF(ISNUMBER(SEARCH("SUBSOLO",E3659)),IFERROR(-VALUE(LEFT(E3659,FIND("º",SUBSTITUTE(E3659,"°","º"))-1)),-1),IF(LEFT(E3659,6)="TÉRREO",0,IFERROR(VALUE(LEFT(E3659,FIND("º",SUBSTITUTE(E3659,"°","º"))-1)),""))))</f>
        <v/>
      </c>
      <c r="O3659" s="2">
        <f>IF(OR(F3659="",G3659=""),"",IF(G3659&lt;='RETRATO 2027'!$K$5,"CONCLUÍDA",IF(F3659&lt;='RETRATO 2027'!$K$5,"EM ANDAMENTO","A INICIAR")))</f>
        <v/>
      </c>
    </row>
    <row r="3660">
      <c r="M3660" s="2">
        <f>IF(C3660="","",IFERROR(INDEX($S$5:$S$304,MATCH(C3660,$R$5:$R$304,0))&amp;"","?"))</f>
        <v/>
      </c>
      <c r="N3660" s="2">
        <f>IF(E3660="","",IF(ISNUMBER(SEARCH("SUBSOLO",E3660)),IFERROR(-VALUE(LEFT(E3660,FIND("º",SUBSTITUTE(E3660,"°","º"))-1)),-1),IF(LEFT(E3660,6)="TÉRREO",0,IFERROR(VALUE(LEFT(E3660,FIND("º",SUBSTITUTE(E3660,"°","º"))-1)),""))))</f>
        <v/>
      </c>
      <c r="O3660" s="2">
        <f>IF(OR(F3660="",G3660=""),"",IF(G3660&lt;='RETRATO 2027'!$K$5,"CONCLUÍDA",IF(F3660&lt;='RETRATO 2027'!$K$5,"EM ANDAMENTO","A INICIAR")))</f>
        <v/>
      </c>
    </row>
    <row r="3661">
      <c r="M3661" s="2">
        <f>IF(C3661="","",IFERROR(INDEX($S$5:$S$304,MATCH(C3661,$R$5:$R$304,0))&amp;"","?"))</f>
        <v/>
      </c>
      <c r="N3661" s="2">
        <f>IF(E3661="","",IF(ISNUMBER(SEARCH("SUBSOLO",E3661)),IFERROR(-VALUE(LEFT(E3661,FIND("º",SUBSTITUTE(E3661,"°","º"))-1)),-1),IF(LEFT(E3661,6)="TÉRREO",0,IFERROR(VALUE(LEFT(E3661,FIND("º",SUBSTITUTE(E3661,"°","º"))-1)),""))))</f>
        <v/>
      </c>
      <c r="O3661" s="2">
        <f>IF(OR(F3661="",G3661=""),"",IF(G3661&lt;='RETRATO 2027'!$K$5,"CONCLUÍDA",IF(F3661&lt;='RETRATO 2027'!$K$5,"EM ANDAMENTO","A INICIAR")))</f>
        <v/>
      </c>
    </row>
    <row r="3662">
      <c r="M3662" s="2">
        <f>IF(C3662="","",IFERROR(INDEX($S$5:$S$304,MATCH(C3662,$R$5:$R$304,0))&amp;"","?"))</f>
        <v/>
      </c>
      <c r="N3662" s="2">
        <f>IF(E3662="","",IF(ISNUMBER(SEARCH("SUBSOLO",E3662)),IFERROR(-VALUE(LEFT(E3662,FIND("º",SUBSTITUTE(E3662,"°","º"))-1)),-1),IF(LEFT(E3662,6)="TÉRREO",0,IFERROR(VALUE(LEFT(E3662,FIND("º",SUBSTITUTE(E3662,"°","º"))-1)),""))))</f>
        <v/>
      </c>
      <c r="O3662" s="2">
        <f>IF(OR(F3662="",G3662=""),"",IF(G3662&lt;='RETRATO 2027'!$K$5,"CONCLUÍDA",IF(F3662&lt;='RETRATO 2027'!$K$5,"EM ANDAMENTO","A INICIAR")))</f>
        <v/>
      </c>
    </row>
    <row r="3663">
      <c r="M3663" s="2">
        <f>IF(C3663="","",IFERROR(INDEX($S$5:$S$304,MATCH(C3663,$R$5:$R$304,0))&amp;"","?"))</f>
        <v/>
      </c>
      <c r="N3663" s="2">
        <f>IF(E3663="","",IF(ISNUMBER(SEARCH("SUBSOLO",E3663)),IFERROR(-VALUE(LEFT(E3663,FIND("º",SUBSTITUTE(E3663,"°","º"))-1)),-1),IF(LEFT(E3663,6)="TÉRREO",0,IFERROR(VALUE(LEFT(E3663,FIND("º",SUBSTITUTE(E3663,"°","º"))-1)),""))))</f>
        <v/>
      </c>
      <c r="O3663" s="2">
        <f>IF(OR(F3663="",G3663=""),"",IF(G3663&lt;='RETRATO 2027'!$K$5,"CONCLUÍDA",IF(F3663&lt;='RETRATO 2027'!$K$5,"EM ANDAMENTO","A INICIAR")))</f>
        <v/>
      </c>
    </row>
    <row r="3664">
      <c r="M3664" s="2">
        <f>IF(C3664="","",IFERROR(INDEX($S$5:$S$304,MATCH(C3664,$R$5:$R$304,0))&amp;"","?"))</f>
        <v/>
      </c>
      <c r="N3664" s="2">
        <f>IF(E3664="","",IF(ISNUMBER(SEARCH("SUBSOLO",E3664)),IFERROR(-VALUE(LEFT(E3664,FIND("º",SUBSTITUTE(E3664,"°","º"))-1)),-1),IF(LEFT(E3664,6)="TÉRREO",0,IFERROR(VALUE(LEFT(E3664,FIND("º",SUBSTITUTE(E3664,"°","º"))-1)),""))))</f>
        <v/>
      </c>
      <c r="O3664" s="2">
        <f>IF(OR(F3664="",G3664=""),"",IF(G3664&lt;='RETRATO 2027'!$K$5,"CONCLUÍDA",IF(F3664&lt;='RETRATO 2027'!$K$5,"EM ANDAMENTO","A INICIAR")))</f>
        <v/>
      </c>
    </row>
    <row r="3665">
      <c r="M3665" s="2">
        <f>IF(C3665="","",IFERROR(INDEX($S$5:$S$304,MATCH(C3665,$R$5:$R$304,0))&amp;"","?"))</f>
        <v/>
      </c>
      <c r="N3665" s="2">
        <f>IF(E3665="","",IF(ISNUMBER(SEARCH("SUBSOLO",E3665)),IFERROR(-VALUE(LEFT(E3665,FIND("º",SUBSTITUTE(E3665,"°","º"))-1)),-1),IF(LEFT(E3665,6)="TÉRREO",0,IFERROR(VALUE(LEFT(E3665,FIND("º",SUBSTITUTE(E3665,"°","º"))-1)),""))))</f>
        <v/>
      </c>
      <c r="O3665" s="2">
        <f>IF(OR(F3665="",G3665=""),"",IF(G3665&lt;='RETRATO 2027'!$K$5,"CONCLUÍDA",IF(F3665&lt;='RETRATO 2027'!$K$5,"EM ANDAMENTO","A INICIAR")))</f>
        <v/>
      </c>
    </row>
    <row r="3666">
      <c r="M3666" s="2">
        <f>IF(C3666="","",IFERROR(INDEX($S$5:$S$304,MATCH(C3666,$R$5:$R$304,0))&amp;"","?"))</f>
        <v/>
      </c>
      <c r="N3666" s="2">
        <f>IF(E3666="","",IF(ISNUMBER(SEARCH("SUBSOLO",E3666)),IFERROR(-VALUE(LEFT(E3666,FIND("º",SUBSTITUTE(E3666,"°","º"))-1)),-1),IF(LEFT(E3666,6)="TÉRREO",0,IFERROR(VALUE(LEFT(E3666,FIND("º",SUBSTITUTE(E3666,"°","º"))-1)),""))))</f>
        <v/>
      </c>
      <c r="O3666" s="2">
        <f>IF(OR(F3666="",G3666=""),"",IF(G3666&lt;='RETRATO 2027'!$K$5,"CONCLUÍDA",IF(F3666&lt;='RETRATO 2027'!$K$5,"EM ANDAMENTO","A INICIAR")))</f>
        <v/>
      </c>
    </row>
    <row r="3667">
      <c r="M3667" s="2">
        <f>IF(C3667="","",IFERROR(INDEX($S$5:$S$304,MATCH(C3667,$R$5:$R$304,0))&amp;"","?"))</f>
        <v/>
      </c>
      <c r="N3667" s="2">
        <f>IF(E3667="","",IF(ISNUMBER(SEARCH("SUBSOLO",E3667)),IFERROR(-VALUE(LEFT(E3667,FIND("º",SUBSTITUTE(E3667,"°","º"))-1)),-1),IF(LEFT(E3667,6)="TÉRREO",0,IFERROR(VALUE(LEFT(E3667,FIND("º",SUBSTITUTE(E3667,"°","º"))-1)),""))))</f>
        <v/>
      </c>
      <c r="O3667" s="2">
        <f>IF(OR(F3667="",G3667=""),"",IF(G3667&lt;='RETRATO 2027'!$K$5,"CONCLUÍDA",IF(F3667&lt;='RETRATO 2027'!$K$5,"EM ANDAMENTO","A INICIAR")))</f>
        <v/>
      </c>
    </row>
    <row r="3668">
      <c r="M3668" s="2">
        <f>IF(C3668="","",IFERROR(INDEX($S$5:$S$304,MATCH(C3668,$R$5:$R$304,0))&amp;"","?"))</f>
        <v/>
      </c>
      <c r="N3668" s="2">
        <f>IF(E3668="","",IF(ISNUMBER(SEARCH("SUBSOLO",E3668)),IFERROR(-VALUE(LEFT(E3668,FIND("º",SUBSTITUTE(E3668,"°","º"))-1)),-1),IF(LEFT(E3668,6)="TÉRREO",0,IFERROR(VALUE(LEFT(E3668,FIND("º",SUBSTITUTE(E3668,"°","º"))-1)),""))))</f>
        <v/>
      </c>
      <c r="O3668" s="2">
        <f>IF(OR(F3668="",G3668=""),"",IF(G3668&lt;='RETRATO 2027'!$K$5,"CONCLUÍDA",IF(F3668&lt;='RETRATO 2027'!$K$5,"EM ANDAMENTO","A INICIAR")))</f>
        <v/>
      </c>
    </row>
    <row r="3669">
      <c r="M3669" s="2">
        <f>IF(C3669="","",IFERROR(INDEX($S$5:$S$304,MATCH(C3669,$R$5:$R$304,0))&amp;"","?"))</f>
        <v/>
      </c>
      <c r="N3669" s="2">
        <f>IF(E3669="","",IF(ISNUMBER(SEARCH("SUBSOLO",E3669)),IFERROR(-VALUE(LEFT(E3669,FIND("º",SUBSTITUTE(E3669,"°","º"))-1)),-1),IF(LEFT(E3669,6)="TÉRREO",0,IFERROR(VALUE(LEFT(E3669,FIND("º",SUBSTITUTE(E3669,"°","º"))-1)),""))))</f>
        <v/>
      </c>
      <c r="O3669" s="2">
        <f>IF(OR(F3669="",G3669=""),"",IF(G3669&lt;='RETRATO 2027'!$K$5,"CONCLUÍDA",IF(F3669&lt;='RETRATO 2027'!$K$5,"EM ANDAMENTO","A INICIAR")))</f>
        <v/>
      </c>
    </row>
    <row r="3670">
      <c r="M3670" s="2">
        <f>IF(C3670="","",IFERROR(INDEX($S$5:$S$304,MATCH(C3670,$R$5:$R$304,0))&amp;"","?"))</f>
        <v/>
      </c>
      <c r="N3670" s="2">
        <f>IF(E3670="","",IF(ISNUMBER(SEARCH("SUBSOLO",E3670)),IFERROR(-VALUE(LEFT(E3670,FIND("º",SUBSTITUTE(E3670,"°","º"))-1)),-1),IF(LEFT(E3670,6)="TÉRREO",0,IFERROR(VALUE(LEFT(E3670,FIND("º",SUBSTITUTE(E3670,"°","º"))-1)),""))))</f>
        <v/>
      </c>
      <c r="O3670" s="2">
        <f>IF(OR(F3670="",G3670=""),"",IF(G3670&lt;='RETRATO 2027'!$K$5,"CONCLUÍDA",IF(F3670&lt;='RETRATO 2027'!$K$5,"EM ANDAMENTO","A INICIAR")))</f>
        <v/>
      </c>
    </row>
    <row r="3671">
      <c r="M3671" s="2">
        <f>IF(C3671="","",IFERROR(INDEX($S$5:$S$304,MATCH(C3671,$R$5:$R$304,0))&amp;"","?"))</f>
        <v/>
      </c>
      <c r="N3671" s="2">
        <f>IF(E3671="","",IF(ISNUMBER(SEARCH("SUBSOLO",E3671)),IFERROR(-VALUE(LEFT(E3671,FIND("º",SUBSTITUTE(E3671,"°","º"))-1)),-1),IF(LEFT(E3671,6)="TÉRREO",0,IFERROR(VALUE(LEFT(E3671,FIND("º",SUBSTITUTE(E3671,"°","º"))-1)),""))))</f>
        <v/>
      </c>
      <c r="O3671" s="2">
        <f>IF(OR(F3671="",G3671=""),"",IF(G3671&lt;='RETRATO 2027'!$K$5,"CONCLUÍDA",IF(F3671&lt;='RETRATO 2027'!$K$5,"EM ANDAMENTO","A INICIAR")))</f>
        <v/>
      </c>
    </row>
    <row r="3672">
      <c r="M3672" s="2">
        <f>IF(C3672="","",IFERROR(INDEX($S$5:$S$304,MATCH(C3672,$R$5:$R$304,0))&amp;"","?"))</f>
        <v/>
      </c>
      <c r="N3672" s="2">
        <f>IF(E3672="","",IF(ISNUMBER(SEARCH("SUBSOLO",E3672)),IFERROR(-VALUE(LEFT(E3672,FIND("º",SUBSTITUTE(E3672,"°","º"))-1)),-1),IF(LEFT(E3672,6)="TÉRREO",0,IFERROR(VALUE(LEFT(E3672,FIND("º",SUBSTITUTE(E3672,"°","º"))-1)),""))))</f>
        <v/>
      </c>
      <c r="O3672" s="2">
        <f>IF(OR(F3672="",G3672=""),"",IF(G3672&lt;='RETRATO 2027'!$K$5,"CONCLUÍDA",IF(F3672&lt;='RETRATO 2027'!$K$5,"EM ANDAMENTO","A INICIAR")))</f>
        <v/>
      </c>
    </row>
    <row r="3673">
      <c r="M3673" s="2">
        <f>IF(C3673="","",IFERROR(INDEX($S$5:$S$304,MATCH(C3673,$R$5:$R$304,0))&amp;"","?"))</f>
        <v/>
      </c>
      <c r="N3673" s="2">
        <f>IF(E3673="","",IF(ISNUMBER(SEARCH("SUBSOLO",E3673)),IFERROR(-VALUE(LEFT(E3673,FIND("º",SUBSTITUTE(E3673,"°","º"))-1)),-1),IF(LEFT(E3673,6)="TÉRREO",0,IFERROR(VALUE(LEFT(E3673,FIND("º",SUBSTITUTE(E3673,"°","º"))-1)),""))))</f>
        <v/>
      </c>
      <c r="O3673" s="2">
        <f>IF(OR(F3673="",G3673=""),"",IF(G3673&lt;='RETRATO 2027'!$K$5,"CONCLUÍDA",IF(F3673&lt;='RETRATO 2027'!$K$5,"EM ANDAMENTO","A INICIAR")))</f>
        <v/>
      </c>
    </row>
    <row r="3674">
      <c r="M3674" s="2">
        <f>IF(C3674="","",IFERROR(INDEX($S$5:$S$304,MATCH(C3674,$R$5:$R$304,0))&amp;"","?"))</f>
        <v/>
      </c>
      <c r="N3674" s="2">
        <f>IF(E3674="","",IF(ISNUMBER(SEARCH("SUBSOLO",E3674)),IFERROR(-VALUE(LEFT(E3674,FIND("º",SUBSTITUTE(E3674,"°","º"))-1)),-1),IF(LEFT(E3674,6)="TÉRREO",0,IFERROR(VALUE(LEFT(E3674,FIND("º",SUBSTITUTE(E3674,"°","º"))-1)),""))))</f>
        <v/>
      </c>
      <c r="O3674" s="2">
        <f>IF(OR(F3674="",G3674=""),"",IF(G3674&lt;='RETRATO 2027'!$K$5,"CONCLUÍDA",IF(F3674&lt;='RETRATO 2027'!$K$5,"EM ANDAMENTO","A INICIAR")))</f>
        <v/>
      </c>
    </row>
    <row r="3675">
      <c r="M3675" s="2">
        <f>IF(C3675="","",IFERROR(INDEX($S$5:$S$304,MATCH(C3675,$R$5:$R$304,0))&amp;"","?"))</f>
        <v/>
      </c>
      <c r="N3675" s="2">
        <f>IF(E3675="","",IF(ISNUMBER(SEARCH("SUBSOLO",E3675)),IFERROR(-VALUE(LEFT(E3675,FIND("º",SUBSTITUTE(E3675,"°","º"))-1)),-1),IF(LEFT(E3675,6)="TÉRREO",0,IFERROR(VALUE(LEFT(E3675,FIND("º",SUBSTITUTE(E3675,"°","º"))-1)),""))))</f>
        <v/>
      </c>
      <c r="O3675" s="2">
        <f>IF(OR(F3675="",G3675=""),"",IF(G3675&lt;='RETRATO 2027'!$K$5,"CONCLUÍDA",IF(F3675&lt;='RETRATO 2027'!$K$5,"EM ANDAMENTO","A INICIAR")))</f>
        <v/>
      </c>
    </row>
    <row r="3676">
      <c r="M3676" s="2">
        <f>IF(C3676="","",IFERROR(INDEX($S$5:$S$304,MATCH(C3676,$R$5:$R$304,0))&amp;"","?"))</f>
        <v/>
      </c>
      <c r="N3676" s="2">
        <f>IF(E3676="","",IF(ISNUMBER(SEARCH("SUBSOLO",E3676)),IFERROR(-VALUE(LEFT(E3676,FIND("º",SUBSTITUTE(E3676,"°","º"))-1)),-1),IF(LEFT(E3676,6)="TÉRREO",0,IFERROR(VALUE(LEFT(E3676,FIND("º",SUBSTITUTE(E3676,"°","º"))-1)),""))))</f>
        <v/>
      </c>
      <c r="O3676" s="2">
        <f>IF(OR(F3676="",G3676=""),"",IF(G3676&lt;='RETRATO 2027'!$K$5,"CONCLUÍDA",IF(F3676&lt;='RETRATO 2027'!$K$5,"EM ANDAMENTO","A INICIAR")))</f>
        <v/>
      </c>
    </row>
    <row r="3677">
      <c r="M3677" s="2">
        <f>IF(C3677="","",IFERROR(INDEX($S$5:$S$304,MATCH(C3677,$R$5:$R$304,0))&amp;"","?"))</f>
        <v/>
      </c>
      <c r="N3677" s="2">
        <f>IF(E3677="","",IF(ISNUMBER(SEARCH("SUBSOLO",E3677)),IFERROR(-VALUE(LEFT(E3677,FIND("º",SUBSTITUTE(E3677,"°","º"))-1)),-1),IF(LEFT(E3677,6)="TÉRREO",0,IFERROR(VALUE(LEFT(E3677,FIND("º",SUBSTITUTE(E3677,"°","º"))-1)),""))))</f>
        <v/>
      </c>
      <c r="O3677" s="2">
        <f>IF(OR(F3677="",G3677=""),"",IF(G3677&lt;='RETRATO 2027'!$K$5,"CONCLUÍDA",IF(F3677&lt;='RETRATO 2027'!$K$5,"EM ANDAMENTO","A INICIAR")))</f>
        <v/>
      </c>
    </row>
    <row r="3678">
      <c r="M3678" s="2">
        <f>IF(C3678="","",IFERROR(INDEX($S$5:$S$304,MATCH(C3678,$R$5:$R$304,0))&amp;"","?"))</f>
        <v/>
      </c>
      <c r="N3678" s="2">
        <f>IF(E3678="","",IF(ISNUMBER(SEARCH("SUBSOLO",E3678)),IFERROR(-VALUE(LEFT(E3678,FIND("º",SUBSTITUTE(E3678,"°","º"))-1)),-1),IF(LEFT(E3678,6)="TÉRREO",0,IFERROR(VALUE(LEFT(E3678,FIND("º",SUBSTITUTE(E3678,"°","º"))-1)),""))))</f>
        <v/>
      </c>
      <c r="O3678" s="2">
        <f>IF(OR(F3678="",G3678=""),"",IF(G3678&lt;='RETRATO 2027'!$K$5,"CONCLUÍDA",IF(F3678&lt;='RETRATO 2027'!$K$5,"EM ANDAMENTO","A INICIAR")))</f>
        <v/>
      </c>
    </row>
    <row r="3679">
      <c r="M3679" s="2">
        <f>IF(C3679="","",IFERROR(INDEX($S$5:$S$304,MATCH(C3679,$R$5:$R$304,0))&amp;"","?"))</f>
        <v/>
      </c>
      <c r="N3679" s="2">
        <f>IF(E3679="","",IF(ISNUMBER(SEARCH("SUBSOLO",E3679)),IFERROR(-VALUE(LEFT(E3679,FIND("º",SUBSTITUTE(E3679,"°","º"))-1)),-1),IF(LEFT(E3679,6)="TÉRREO",0,IFERROR(VALUE(LEFT(E3679,FIND("º",SUBSTITUTE(E3679,"°","º"))-1)),""))))</f>
        <v/>
      </c>
      <c r="O3679" s="2">
        <f>IF(OR(F3679="",G3679=""),"",IF(G3679&lt;='RETRATO 2027'!$K$5,"CONCLUÍDA",IF(F3679&lt;='RETRATO 2027'!$K$5,"EM ANDAMENTO","A INICIAR")))</f>
        <v/>
      </c>
    </row>
    <row r="3680">
      <c r="M3680" s="2">
        <f>IF(C3680="","",IFERROR(INDEX($S$5:$S$304,MATCH(C3680,$R$5:$R$304,0))&amp;"","?"))</f>
        <v/>
      </c>
      <c r="N3680" s="2">
        <f>IF(E3680="","",IF(ISNUMBER(SEARCH("SUBSOLO",E3680)),IFERROR(-VALUE(LEFT(E3680,FIND("º",SUBSTITUTE(E3680,"°","º"))-1)),-1),IF(LEFT(E3680,6)="TÉRREO",0,IFERROR(VALUE(LEFT(E3680,FIND("º",SUBSTITUTE(E3680,"°","º"))-1)),""))))</f>
        <v/>
      </c>
      <c r="O3680" s="2">
        <f>IF(OR(F3680="",G3680=""),"",IF(G3680&lt;='RETRATO 2027'!$K$5,"CONCLUÍDA",IF(F3680&lt;='RETRATO 2027'!$K$5,"EM ANDAMENTO","A INICIAR")))</f>
        <v/>
      </c>
    </row>
    <row r="3681">
      <c r="M3681" s="2">
        <f>IF(C3681="","",IFERROR(INDEX($S$5:$S$304,MATCH(C3681,$R$5:$R$304,0))&amp;"","?"))</f>
        <v/>
      </c>
      <c r="N3681" s="2">
        <f>IF(E3681="","",IF(ISNUMBER(SEARCH("SUBSOLO",E3681)),IFERROR(-VALUE(LEFT(E3681,FIND("º",SUBSTITUTE(E3681,"°","º"))-1)),-1),IF(LEFT(E3681,6)="TÉRREO",0,IFERROR(VALUE(LEFT(E3681,FIND("º",SUBSTITUTE(E3681,"°","º"))-1)),""))))</f>
        <v/>
      </c>
      <c r="O3681" s="2">
        <f>IF(OR(F3681="",G3681=""),"",IF(G3681&lt;='RETRATO 2027'!$K$5,"CONCLUÍDA",IF(F3681&lt;='RETRATO 2027'!$K$5,"EM ANDAMENTO","A INICIAR")))</f>
        <v/>
      </c>
    </row>
    <row r="3682">
      <c r="M3682" s="2">
        <f>IF(C3682="","",IFERROR(INDEX($S$5:$S$304,MATCH(C3682,$R$5:$R$304,0))&amp;"","?"))</f>
        <v/>
      </c>
      <c r="N3682" s="2">
        <f>IF(E3682="","",IF(ISNUMBER(SEARCH("SUBSOLO",E3682)),IFERROR(-VALUE(LEFT(E3682,FIND("º",SUBSTITUTE(E3682,"°","º"))-1)),-1),IF(LEFT(E3682,6)="TÉRREO",0,IFERROR(VALUE(LEFT(E3682,FIND("º",SUBSTITUTE(E3682,"°","º"))-1)),""))))</f>
        <v/>
      </c>
      <c r="O3682" s="2">
        <f>IF(OR(F3682="",G3682=""),"",IF(G3682&lt;='RETRATO 2027'!$K$5,"CONCLUÍDA",IF(F3682&lt;='RETRATO 2027'!$K$5,"EM ANDAMENTO","A INICIAR")))</f>
        <v/>
      </c>
    </row>
    <row r="3683">
      <c r="M3683" s="2">
        <f>IF(C3683="","",IFERROR(INDEX($S$5:$S$304,MATCH(C3683,$R$5:$R$304,0))&amp;"","?"))</f>
        <v/>
      </c>
      <c r="N3683" s="2">
        <f>IF(E3683="","",IF(ISNUMBER(SEARCH("SUBSOLO",E3683)),IFERROR(-VALUE(LEFT(E3683,FIND("º",SUBSTITUTE(E3683,"°","º"))-1)),-1),IF(LEFT(E3683,6)="TÉRREO",0,IFERROR(VALUE(LEFT(E3683,FIND("º",SUBSTITUTE(E3683,"°","º"))-1)),""))))</f>
        <v/>
      </c>
      <c r="O3683" s="2">
        <f>IF(OR(F3683="",G3683=""),"",IF(G3683&lt;='RETRATO 2027'!$K$5,"CONCLUÍDA",IF(F3683&lt;='RETRATO 2027'!$K$5,"EM ANDAMENTO","A INICIAR")))</f>
        <v/>
      </c>
    </row>
    <row r="3684">
      <c r="M3684" s="2">
        <f>IF(C3684="","",IFERROR(INDEX($S$5:$S$304,MATCH(C3684,$R$5:$R$304,0))&amp;"","?"))</f>
        <v/>
      </c>
      <c r="N3684" s="2">
        <f>IF(E3684="","",IF(ISNUMBER(SEARCH("SUBSOLO",E3684)),IFERROR(-VALUE(LEFT(E3684,FIND("º",SUBSTITUTE(E3684,"°","º"))-1)),-1),IF(LEFT(E3684,6)="TÉRREO",0,IFERROR(VALUE(LEFT(E3684,FIND("º",SUBSTITUTE(E3684,"°","º"))-1)),""))))</f>
        <v/>
      </c>
      <c r="O3684" s="2">
        <f>IF(OR(F3684="",G3684=""),"",IF(G3684&lt;='RETRATO 2027'!$K$5,"CONCLUÍDA",IF(F3684&lt;='RETRATO 2027'!$K$5,"EM ANDAMENTO","A INICIAR")))</f>
        <v/>
      </c>
    </row>
    <row r="3685">
      <c r="M3685" s="2">
        <f>IF(C3685="","",IFERROR(INDEX($S$5:$S$304,MATCH(C3685,$R$5:$R$304,0))&amp;"","?"))</f>
        <v/>
      </c>
      <c r="N3685" s="2">
        <f>IF(E3685="","",IF(ISNUMBER(SEARCH("SUBSOLO",E3685)),IFERROR(-VALUE(LEFT(E3685,FIND("º",SUBSTITUTE(E3685,"°","º"))-1)),-1),IF(LEFT(E3685,6)="TÉRREO",0,IFERROR(VALUE(LEFT(E3685,FIND("º",SUBSTITUTE(E3685,"°","º"))-1)),""))))</f>
        <v/>
      </c>
      <c r="O3685" s="2">
        <f>IF(OR(F3685="",G3685=""),"",IF(G3685&lt;='RETRATO 2027'!$K$5,"CONCLUÍDA",IF(F3685&lt;='RETRATO 2027'!$K$5,"EM ANDAMENTO","A INICIAR")))</f>
        <v/>
      </c>
    </row>
    <row r="3686">
      <c r="M3686" s="2">
        <f>IF(C3686="","",IFERROR(INDEX($S$5:$S$304,MATCH(C3686,$R$5:$R$304,0))&amp;"","?"))</f>
        <v/>
      </c>
      <c r="N3686" s="2">
        <f>IF(E3686="","",IF(ISNUMBER(SEARCH("SUBSOLO",E3686)),IFERROR(-VALUE(LEFT(E3686,FIND("º",SUBSTITUTE(E3686,"°","º"))-1)),-1),IF(LEFT(E3686,6)="TÉRREO",0,IFERROR(VALUE(LEFT(E3686,FIND("º",SUBSTITUTE(E3686,"°","º"))-1)),""))))</f>
        <v/>
      </c>
      <c r="O3686" s="2">
        <f>IF(OR(F3686="",G3686=""),"",IF(G3686&lt;='RETRATO 2027'!$K$5,"CONCLUÍDA",IF(F3686&lt;='RETRATO 2027'!$K$5,"EM ANDAMENTO","A INICIAR")))</f>
        <v/>
      </c>
    </row>
    <row r="3687">
      <c r="M3687" s="2">
        <f>IF(C3687="","",IFERROR(INDEX($S$5:$S$304,MATCH(C3687,$R$5:$R$304,0))&amp;"","?"))</f>
        <v/>
      </c>
      <c r="N3687" s="2">
        <f>IF(E3687="","",IF(ISNUMBER(SEARCH("SUBSOLO",E3687)),IFERROR(-VALUE(LEFT(E3687,FIND("º",SUBSTITUTE(E3687,"°","º"))-1)),-1),IF(LEFT(E3687,6)="TÉRREO",0,IFERROR(VALUE(LEFT(E3687,FIND("º",SUBSTITUTE(E3687,"°","º"))-1)),""))))</f>
        <v/>
      </c>
      <c r="O3687" s="2">
        <f>IF(OR(F3687="",G3687=""),"",IF(G3687&lt;='RETRATO 2027'!$K$5,"CONCLUÍDA",IF(F3687&lt;='RETRATO 2027'!$K$5,"EM ANDAMENTO","A INICIAR")))</f>
        <v/>
      </c>
    </row>
    <row r="3688">
      <c r="M3688" s="2">
        <f>IF(C3688="","",IFERROR(INDEX($S$5:$S$304,MATCH(C3688,$R$5:$R$304,0))&amp;"","?"))</f>
        <v/>
      </c>
      <c r="N3688" s="2">
        <f>IF(E3688="","",IF(ISNUMBER(SEARCH("SUBSOLO",E3688)),IFERROR(-VALUE(LEFT(E3688,FIND("º",SUBSTITUTE(E3688,"°","º"))-1)),-1),IF(LEFT(E3688,6)="TÉRREO",0,IFERROR(VALUE(LEFT(E3688,FIND("º",SUBSTITUTE(E3688,"°","º"))-1)),""))))</f>
        <v/>
      </c>
      <c r="O3688" s="2">
        <f>IF(OR(F3688="",G3688=""),"",IF(G3688&lt;='RETRATO 2027'!$K$5,"CONCLUÍDA",IF(F3688&lt;='RETRATO 2027'!$K$5,"EM ANDAMENTO","A INICIAR")))</f>
        <v/>
      </c>
    </row>
    <row r="3689">
      <c r="M3689" s="2">
        <f>IF(C3689="","",IFERROR(INDEX($S$5:$S$304,MATCH(C3689,$R$5:$R$304,0))&amp;"","?"))</f>
        <v/>
      </c>
      <c r="N3689" s="2">
        <f>IF(E3689="","",IF(ISNUMBER(SEARCH("SUBSOLO",E3689)),IFERROR(-VALUE(LEFT(E3689,FIND("º",SUBSTITUTE(E3689,"°","º"))-1)),-1),IF(LEFT(E3689,6)="TÉRREO",0,IFERROR(VALUE(LEFT(E3689,FIND("º",SUBSTITUTE(E3689,"°","º"))-1)),""))))</f>
        <v/>
      </c>
      <c r="O3689" s="2">
        <f>IF(OR(F3689="",G3689=""),"",IF(G3689&lt;='RETRATO 2027'!$K$5,"CONCLUÍDA",IF(F3689&lt;='RETRATO 2027'!$K$5,"EM ANDAMENTO","A INICIAR")))</f>
        <v/>
      </c>
    </row>
    <row r="3690">
      <c r="M3690" s="2">
        <f>IF(C3690="","",IFERROR(INDEX($S$5:$S$304,MATCH(C3690,$R$5:$R$304,0))&amp;"","?"))</f>
        <v/>
      </c>
      <c r="N3690" s="2">
        <f>IF(E3690="","",IF(ISNUMBER(SEARCH("SUBSOLO",E3690)),IFERROR(-VALUE(LEFT(E3690,FIND("º",SUBSTITUTE(E3690,"°","º"))-1)),-1),IF(LEFT(E3690,6)="TÉRREO",0,IFERROR(VALUE(LEFT(E3690,FIND("º",SUBSTITUTE(E3690,"°","º"))-1)),""))))</f>
        <v/>
      </c>
      <c r="O3690" s="2">
        <f>IF(OR(F3690="",G3690=""),"",IF(G3690&lt;='RETRATO 2027'!$K$5,"CONCLUÍDA",IF(F3690&lt;='RETRATO 2027'!$K$5,"EM ANDAMENTO","A INICIAR")))</f>
        <v/>
      </c>
    </row>
    <row r="3691">
      <c r="M3691" s="2">
        <f>IF(C3691="","",IFERROR(INDEX($S$5:$S$304,MATCH(C3691,$R$5:$R$304,0))&amp;"","?"))</f>
        <v/>
      </c>
      <c r="N3691" s="2">
        <f>IF(E3691="","",IF(ISNUMBER(SEARCH("SUBSOLO",E3691)),IFERROR(-VALUE(LEFT(E3691,FIND("º",SUBSTITUTE(E3691,"°","º"))-1)),-1),IF(LEFT(E3691,6)="TÉRREO",0,IFERROR(VALUE(LEFT(E3691,FIND("º",SUBSTITUTE(E3691,"°","º"))-1)),""))))</f>
        <v/>
      </c>
      <c r="O3691" s="2">
        <f>IF(OR(F3691="",G3691=""),"",IF(G3691&lt;='RETRATO 2027'!$K$5,"CONCLUÍDA",IF(F3691&lt;='RETRATO 2027'!$K$5,"EM ANDAMENTO","A INICIAR")))</f>
        <v/>
      </c>
    </row>
    <row r="3692">
      <c r="M3692" s="2">
        <f>IF(C3692="","",IFERROR(INDEX($S$5:$S$304,MATCH(C3692,$R$5:$R$304,0))&amp;"","?"))</f>
        <v/>
      </c>
      <c r="N3692" s="2">
        <f>IF(E3692="","",IF(ISNUMBER(SEARCH("SUBSOLO",E3692)),IFERROR(-VALUE(LEFT(E3692,FIND("º",SUBSTITUTE(E3692,"°","º"))-1)),-1),IF(LEFT(E3692,6)="TÉRREO",0,IFERROR(VALUE(LEFT(E3692,FIND("º",SUBSTITUTE(E3692,"°","º"))-1)),""))))</f>
        <v/>
      </c>
      <c r="O3692" s="2">
        <f>IF(OR(F3692="",G3692=""),"",IF(G3692&lt;='RETRATO 2027'!$K$5,"CONCLUÍDA",IF(F3692&lt;='RETRATO 2027'!$K$5,"EM ANDAMENTO","A INICIAR")))</f>
        <v/>
      </c>
    </row>
    <row r="3693">
      <c r="M3693" s="2">
        <f>IF(C3693="","",IFERROR(INDEX($S$5:$S$304,MATCH(C3693,$R$5:$R$304,0))&amp;"","?"))</f>
        <v/>
      </c>
      <c r="N3693" s="2">
        <f>IF(E3693="","",IF(ISNUMBER(SEARCH("SUBSOLO",E3693)),IFERROR(-VALUE(LEFT(E3693,FIND("º",SUBSTITUTE(E3693,"°","º"))-1)),-1),IF(LEFT(E3693,6)="TÉRREO",0,IFERROR(VALUE(LEFT(E3693,FIND("º",SUBSTITUTE(E3693,"°","º"))-1)),""))))</f>
        <v/>
      </c>
      <c r="O3693" s="2">
        <f>IF(OR(F3693="",G3693=""),"",IF(G3693&lt;='RETRATO 2027'!$K$5,"CONCLUÍDA",IF(F3693&lt;='RETRATO 2027'!$K$5,"EM ANDAMENTO","A INICIAR")))</f>
        <v/>
      </c>
    </row>
    <row r="3694">
      <c r="M3694" s="2">
        <f>IF(C3694="","",IFERROR(INDEX($S$5:$S$304,MATCH(C3694,$R$5:$R$304,0))&amp;"","?"))</f>
        <v/>
      </c>
      <c r="N3694" s="2">
        <f>IF(E3694="","",IF(ISNUMBER(SEARCH("SUBSOLO",E3694)),IFERROR(-VALUE(LEFT(E3694,FIND("º",SUBSTITUTE(E3694,"°","º"))-1)),-1),IF(LEFT(E3694,6)="TÉRREO",0,IFERROR(VALUE(LEFT(E3694,FIND("º",SUBSTITUTE(E3694,"°","º"))-1)),""))))</f>
        <v/>
      </c>
      <c r="O3694" s="2">
        <f>IF(OR(F3694="",G3694=""),"",IF(G3694&lt;='RETRATO 2027'!$K$5,"CONCLUÍDA",IF(F3694&lt;='RETRATO 2027'!$K$5,"EM ANDAMENTO","A INICIAR")))</f>
        <v/>
      </c>
    </row>
    <row r="3695">
      <c r="M3695" s="2">
        <f>IF(C3695="","",IFERROR(INDEX($S$5:$S$304,MATCH(C3695,$R$5:$R$304,0))&amp;"","?"))</f>
        <v/>
      </c>
      <c r="N3695" s="2">
        <f>IF(E3695="","",IF(ISNUMBER(SEARCH("SUBSOLO",E3695)),IFERROR(-VALUE(LEFT(E3695,FIND("º",SUBSTITUTE(E3695,"°","º"))-1)),-1),IF(LEFT(E3695,6)="TÉRREO",0,IFERROR(VALUE(LEFT(E3695,FIND("º",SUBSTITUTE(E3695,"°","º"))-1)),""))))</f>
        <v/>
      </c>
      <c r="O3695" s="2">
        <f>IF(OR(F3695="",G3695=""),"",IF(G3695&lt;='RETRATO 2027'!$K$5,"CONCLUÍDA",IF(F3695&lt;='RETRATO 2027'!$K$5,"EM ANDAMENTO","A INICIAR")))</f>
        <v/>
      </c>
    </row>
    <row r="3696">
      <c r="M3696" s="2">
        <f>IF(C3696="","",IFERROR(INDEX($S$5:$S$304,MATCH(C3696,$R$5:$R$304,0))&amp;"","?"))</f>
        <v/>
      </c>
      <c r="N3696" s="2">
        <f>IF(E3696="","",IF(ISNUMBER(SEARCH("SUBSOLO",E3696)),IFERROR(-VALUE(LEFT(E3696,FIND("º",SUBSTITUTE(E3696,"°","º"))-1)),-1),IF(LEFT(E3696,6)="TÉRREO",0,IFERROR(VALUE(LEFT(E3696,FIND("º",SUBSTITUTE(E3696,"°","º"))-1)),""))))</f>
        <v/>
      </c>
      <c r="O3696" s="2">
        <f>IF(OR(F3696="",G3696=""),"",IF(G3696&lt;='RETRATO 2027'!$K$5,"CONCLUÍDA",IF(F3696&lt;='RETRATO 2027'!$K$5,"EM ANDAMENTO","A INICIAR")))</f>
        <v/>
      </c>
    </row>
    <row r="3697">
      <c r="M3697" s="2">
        <f>IF(C3697="","",IFERROR(INDEX($S$5:$S$304,MATCH(C3697,$R$5:$R$304,0))&amp;"","?"))</f>
        <v/>
      </c>
      <c r="N3697" s="2">
        <f>IF(E3697="","",IF(ISNUMBER(SEARCH("SUBSOLO",E3697)),IFERROR(-VALUE(LEFT(E3697,FIND("º",SUBSTITUTE(E3697,"°","º"))-1)),-1),IF(LEFT(E3697,6)="TÉRREO",0,IFERROR(VALUE(LEFT(E3697,FIND("º",SUBSTITUTE(E3697,"°","º"))-1)),""))))</f>
        <v/>
      </c>
      <c r="O3697" s="2">
        <f>IF(OR(F3697="",G3697=""),"",IF(G3697&lt;='RETRATO 2027'!$K$5,"CONCLUÍDA",IF(F3697&lt;='RETRATO 2027'!$K$5,"EM ANDAMENTO","A INICIAR")))</f>
        <v/>
      </c>
    </row>
    <row r="3698">
      <c r="M3698" s="2">
        <f>IF(C3698="","",IFERROR(INDEX($S$5:$S$304,MATCH(C3698,$R$5:$R$304,0))&amp;"","?"))</f>
        <v/>
      </c>
      <c r="N3698" s="2">
        <f>IF(E3698="","",IF(ISNUMBER(SEARCH("SUBSOLO",E3698)),IFERROR(-VALUE(LEFT(E3698,FIND("º",SUBSTITUTE(E3698,"°","º"))-1)),-1),IF(LEFT(E3698,6)="TÉRREO",0,IFERROR(VALUE(LEFT(E3698,FIND("º",SUBSTITUTE(E3698,"°","º"))-1)),""))))</f>
        <v/>
      </c>
      <c r="O3698" s="2">
        <f>IF(OR(F3698="",G3698=""),"",IF(G3698&lt;='RETRATO 2027'!$K$5,"CONCLUÍDA",IF(F3698&lt;='RETRATO 2027'!$K$5,"EM ANDAMENTO","A INICIAR")))</f>
        <v/>
      </c>
    </row>
    <row r="3699">
      <c r="M3699" s="2">
        <f>IF(C3699="","",IFERROR(INDEX($S$5:$S$304,MATCH(C3699,$R$5:$R$304,0))&amp;"","?"))</f>
        <v/>
      </c>
      <c r="N3699" s="2">
        <f>IF(E3699="","",IF(ISNUMBER(SEARCH("SUBSOLO",E3699)),IFERROR(-VALUE(LEFT(E3699,FIND("º",SUBSTITUTE(E3699,"°","º"))-1)),-1),IF(LEFT(E3699,6)="TÉRREO",0,IFERROR(VALUE(LEFT(E3699,FIND("º",SUBSTITUTE(E3699,"°","º"))-1)),""))))</f>
        <v/>
      </c>
      <c r="O3699" s="2">
        <f>IF(OR(F3699="",G3699=""),"",IF(G3699&lt;='RETRATO 2027'!$K$5,"CONCLUÍDA",IF(F3699&lt;='RETRATO 2027'!$K$5,"EM ANDAMENTO","A INICIAR")))</f>
        <v/>
      </c>
    </row>
    <row r="3700">
      <c r="M3700" s="2">
        <f>IF(C3700="","",IFERROR(INDEX($S$5:$S$304,MATCH(C3700,$R$5:$R$304,0))&amp;"","?"))</f>
        <v/>
      </c>
      <c r="N3700" s="2">
        <f>IF(E3700="","",IF(ISNUMBER(SEARCH("SUBSOLO",E3700)),IFERROR(-VALUE(LEFT(E3700,FIND("º",SUBSTITUTE(E3700,"°","º"))-1)),-1),IF(LEFT(E3700,6)="TÉRREO",0,IFERROR(VALUE(LEFT(E3700,FIND("º",SUBSTITUTE(E3700,"°","º"))-1)),""))))</f>
        <v/>
      </c>
      <c r="O3700" s="2">
        <f>IF(OR(F3700="",G3700=""),"",IF(G3700&lt;='RETRATO 2027'!$K$5,"CONCLUÍDA",IF(F3700&lt;='RETRATO 2027'!$K$5,"EM ANDAMENTO","A INICIAR")))</f>
        <v/>
      </c>
    </row>
    <row r="3701">
      <c r="M3701" s="2">
        <f>IF(C3701="","",IFERROR(INDEX($S$5:$S$304,MATCH(C3701,$R$5:$R$304,0))&amp;"","?"))</f>
        <v/>
      </c>
      <c r="N3701" s="2">
        <f>IF(E3701="","",IF(ISNUMBER(SEARCH("SUBSOLO",E3701)),IFERROR(-VALUE(LEFT(E3701,FIND("º",SUBSTITUTE(E3701,"°","º"))-1)),-1),IF(LEFT(E3701,6)="TÉRREO",0,IFERROR(VALUE(LEFT(E3701,FIND("º",SUBSTITUTE(E3701,"°","º"))-1)),""))))</f>
        <v/>
      </c>
      <c r="O3701" s="2">
        <f>IF(OR(F3701="",G3701=""),"",IF(G3701&lt;='RETRATO 2027'!$K$5,"CONCLUÍDA",IF(F3701&lt;='RETRATO 2027'!$K$5,"EM ANDAMENTO","A INICIAR")))</f>
        <v/>
      </c>
    </row>
    <row r="3702">
      <c r="M3702" s="2">
        <f>IF(C3702="","",IFERROR(INDEX($S$5:$S$304,MATCH(C3702,$R$5:$R$304,0))&amp;"","?"))</f>
        <v/>
      </c>
      <c r="N3702" s="2">
        <f>IF(E3702="","",IF(ISNUMBER(SEARCH("SUBSOLO",E3702)),IFERROR(-VALUE(LEFT(E3702,FIND("º",SUBSTITUTE(E3702,"°","º"))-1)),-1),IF(LEFT(E3702,6)="TÉRREO",0,IFERROR(VALUE(LEFT(E3702,FIND("º",SUBSTITUTE(E3702,"°","º"))-1)),""))))</f>
        <v/>
      </c>
      <c r="O3702" s="2">
        <f>IF(OR(F3702="",G3702=""),"",IF(G3702&lt;='RETRATO 2027'!$K$5,"CONCLUÍDA",IF(F3702&lt;='RETRATO 2027'!$K$5,"EM ANDAMENTO","A INICIAR")))</f>
        <v/>
      </c>
    </row>
    <row r="3703">
      <c r="M3703" s="2">
        <f>IF(C3703="","",IFERROR(INDEX($S$5:$S$304,MATCH(C3703,$R$5:$R$304,0))&amp;"","?"))</f>
        <v/>
      </c>
      <c r="N3703" s="2">
        <f>IF(E3703="","",IF(ISNUMBER(SEARCH("SUBSOLO",E3703)),IFERROR(-VALUE(LEFT(E3703,FIND("º",SUBSTITUTE(E3703,"°","º"))-1)),-1),IF(LEFT(E3703,6)="TÉRREO",0,IFERROR(VALUE(LEFT(E3703,FIND("º",SUBSTITUTE(E3703,"°","º"))-1)),""))))</f>
        <v/>
      </c>
      <c r="O3703" s="2">
        <f>IF(OR(F3703="",G3703=""),"",IF(G3703&lt;='RETRATO 2027'!$K$5,"CONCLUÍDA",IF(F3703&lt;='RETRATO 2027'!$K$5,"EM ANDAMENTO","A INICIAR")))</f>
        <v/>
      </c>
    </row>
    <row r="3704">
      <c r="M3704" s="2">
        <f>IF(C3704="","",IFERROR(INDEX($S$5:$S$304,MATCH(C3704,$R$5:$R$304,0))&amp;"","?"))</f>
        <v/>
      </c>
      <c r="N3704" s="2">
        <f>IF(E3704="","",IF(ISNUMBER(SEARCH("SUBSOLO",E3704)),IFERROR(-VALUE(LEFT(E3704,FIND("º",SUBSTITUTE(E3704,"°","º"))-1)),-1),IF(LEFT(E3704,6)="TÉRREO",0,IFERROR(VALUE(LEFT(E3704,FIND("º",SUBSTITUTE(E3704,"°","º"))-1)),""))))</f>
        <v/>
      </c>
      <c r="O3704" s="2">
        <f>IF(OR(F3704="",G3704=""),"",IF(G3704&lt;='RETRATO 2027'!$K$5,"CONCLUÍDA",IF(F3704&lt;='RETRATO 2027'!$K$5,"EM ANDAMENTO","A INICIAR")))</f>
        <v/>
      </c>
    </row>
    <row r="3705">
      <c r="M3705" s="2">
        <f>IF(C3705="","",IFERROR(INDEX($S$5:$S$304,MATCH(C3705,$R$5:$R$304,0))&amp;"","?"))</f>
        <v/>
      </c>
      <c r="N3705" s="2">
        <f>IF(E3705="","",IF(ISNUMBER(SEARCH("SUBSOLO",E3705)),IFERROR(-VALUE(LEFT(E3705,FIND("º",SUBSTITUTE(E3705,"°","º"))-1)),-1),IF(LEFT(E3705,6)="TÉRREO",0,IFERROR(VALUE(LEFT(E3705,FIND("º",SUBSTITUTE(E3705,"°","º"))-1)),""))))</f>
        <v/>
      </c>
      <c r="O3705" s="2">
        <f>IF(OR(F3705="",G3705=""),"",IF(G3705&lt;='RETRATO 2027'!$K$5,"CONCLUÍDA",IF(F3705&lt;='RETRATO 2027'!$K$5,"EM ANDAMENTO","A INICIAR")))</f>
        <v/>
      </c>
    </row>
    <row r="3706">
      <c r="M3706" s="2">
        <f>IF(C3706="","",IFERROR(INDEX($S$5:$S$304,MATCH(C3706,$R$5:$R$304,0))&amp;"","?"))</f>
        <v/>
      </c>
      <c r="N3706" s="2">
        <f>IF(E3706="","",IF(ISNUMBER(SEARCH("SUBSOLO",E3706)),IFERROR(-VALUE(LEFT(E3706,FIND("º",SUBSTITUTE(E3706,"°","º"))-1)),-1),IF(LEFT(E3706,6)="TÉRREO",0,IFERROR(VALUE(LEFT(E3706,FIND("º",SUBSTITUTE(E3706,"°","º"))-1)),""))))</f>
        <v/>
      </c>
      <c r="O3706" s="2">
        <f>IF(OR(F3706="",G3706=""),"",IF(G3706&lt;='RETRATO 2027'!$K$5,"CONCLUÍDA",IF(F3706&lt;='RETRATO 2027'!$K$5,"EM ANDAMENTO","A INICIAR")))</f>
        <v/>
      </c>
    </row>
    <row r="3707">
      <c r="M3707" s="2">
        <f>IF(C3707="","",IFERROR(INDEX($S$5:$S$304,MATCH(C3707,$R$5:$R$304,0))&amp;"","?"))</f>
        <v/>
      </c>
      <c r="N3707" s="2">
        <f>IF(E3707="","",IF(ISNUMBER(SEARCH("SUBSOLO",E3707)),IFERROR(-VALUE(LEFT(E3707,FIND("º",SUBSTITUTE(E3707,"°","º"))-1)),-1),IF(LEFT(E3707,6)="TÉRREO",0,IFERROR(VALUE(LEFT(E3707,FIND("º",SUBSTITUTE(E3707,"°","º"))-1)),""))))</f>
        <v/>
      </c>
      <c r="O3707" s="2">
        <f>IF(OR(F3707="",G3707=""),"",IF(G3707&lt;='RETRATO 2027'!$K$5,"CONCLUÍDA",IF(F3707&lt;='RETRATO 2027'!$K$5,"EM ANDAMENTO","A INICIAR")))</f>
        <v/>
      </c>
    </row>
    <row r="3708">
      <c r="M3708" s="2">
        <f>IF(C3708="","",IFERROR(INDEX($S$5:$S$304,MATCH(C3708,$R$5:$R$304,0))&amp;"","?"))</f>
        <v/>
      </c>
      <c r="N3708" s="2">
        <f>IF(E3708="","",IF(ISNUMBER(SEARCH("SUBSOLO",E3708)),IFERROR(-VALUE(LEFT(E3708,FIND("º",SUBSTITUTE(E3708,"°","º"))-1)),-1),IF(LEFT(E3708,6)="TÉRREO",0,IFERROR(VALUE(LEFT(E3708,FIND("º",SUBSTITUTE(E3708,"°","º"))-1)),""))))</f>
        <v/>
      </c>
      <c r="O3708" s="2">
        <f>IF(OR(F3708="",G3708=""),"",IF(G3708&lt;='RETRATO 2027'!$K$5,"CONCLUÍDA",IF(F3708&lt;='RETRATO 2027'!$K$5,"EM ANDAMENTO","A INICIAR")))</f>
        <v/>
      </c>
    </row>
    <row r="3709">
      <c r="M3709" s="2">
        <f>IF(C3709="","",IFERROR(INDEX($S$5:$S$304,MATCH(C3709,$R$5:$R$304,0))&amp;"","?"))</f>
        <v/>
      </c>
      <c r="N3709" s="2">
        <f>IF(E3709="","",IF(ISNUMBER(SEARCH("SUBSOLO",E3709)),IFERROR(-VALUE(LEFT(E3709,FIND("º",SUBSTITUTE(E3709,"°","º"))-1)),-1),IF(LEFT(E3709,6)="TÉRREO",0,IFERROR(VALUE(LEFT(E3709,FIND("º",SUBSTITUTE(E3709,"°","º"))-1)),""))))</f>
        <v/>
      </c>
      <c r="O3709" s="2">
        <f>IF(OR(F3709="",G3709=""),"",IF(G3709&lt;='RETRATO 2027'!$K$5,"CONCLUÍDA",IF(F3709&lt;='RETRATO 2027'!$K$5,"EM ANDAMENTO","A INICIAR")))</f>
        <v/>
      </c>
    </row>
    <row r="3710">
      <c r="M3710" s="2">
        <f>IF(C3710="","",IFERROR(INDEX($S$5:$S$304,MATCH(C3710,$R$5:$R$304,0))&amp;"","?"))</f>
        <v/>
      </c>
      <c r="N3710" s="2">
        <f>IF(E3710="","",IF(ISNUMBER(SEARCH("SUBSOLO",E3710)),IFERROR(-VALUE(LEFT(E3710,FIND("º",SUBSTITUTE(E3710,"°","º"))-1)),-1),IF(LEFT(E3710,6)="TÉRREO",0,IFERROR(VALUE(LEFT(E3710,FIND("º",SUBSTITUTE(E3710,"°","º"))-1)),""))))</f>
        <v/>
      </c>
      <c r="O3710" s="2">
        <f>IF(OR(F3710="",G3710=""),"",IF(G3710&lt;='RETRATO 2027'!$K$5,"CONCLUÍDA",IF(F3710&lt;='RETRATO 2027'!$K$5,"EM ANDAMENTO","A INICIAR")))</f>
        <v/>
      </c>
    </row>
    <row r="3711">
      <c r="M3711" s="2">
        <f>IF(C3711="","",IFERROR(INDEX($S$5:$S$304,MATCH(C3711,$R$5:$R$304,0))&amp;"","?"))</f>
        <v/>
      </c>
      <c r="N3711" s="2">
        <f>IF(E3711="","",IF(ISNUMBER(SEARCH("SUBSOLO",E3711)),IFERROR(-VALUE(LEFT(E3711,FIND("º",SUBSTITUTE(E3711,"°","º"))-1)),-1),IF(LEFT(E3711,6)="TÉRREO",0,IFERROR(VALUE(LEFT(E3711,FIND("º",SUBSTITUTE(E3711,"°","º"))-1)),""))))</f>
        <v/>
      </c>
      <c r="O3711" s="2">
        <f>IF(OR(F3711="",G3711=""),"",IF(G3711&lt;='RETRATO 2027'!$K$5,"CONCLUÍDA",IF(F3711&lt;='RETRATO 2027'!$K$5,"EM ANDAMENTO","A INICIAR")))</f>
        <v/>
      </c>
    </row>
    <row r="3712">
      <c r="M3712" s="2">
        <f>IF(C3712="","",IFERROR(INDEX($S$5:$S$304,MATCH(C3712,$R$5:$R$304,0))&amp;"","?"))</f>
        <v/>
      </c>
      <c r="N3712" s="2">
        <f>IF(E3712="","",IF(ISNUMBER(SEARCH("SUBSOLO",E3712)),IFERROR(-VALUE(LEFT(E3712,FIND("º",SUBSTITUTE(E3712,"°","º"))-1)),-1),IF(LEFT(E3712,6)="TÉRREO",0,IFERROR(VALUE(LEFT(E3712,FIND("º",SUBSTITUTE(E3712,"°","º"))-1)),""))))</f>
        <v/>
      </c>
      <c r="O3712" s="2">
        <f>IF(OR(F3712="",G3712=""),"",IF(G3712&lt;='RETRATO 2027'!$K$5,"CONCLUÍDA",IF(F3712&lt;='RETRATO 2027'!$K$5,"EM ANDAMENTO","A INICIAR")))</f>
        <v/>
      </c>
    </row>
    <row r="3713">
      <c r="M3713" s="2">
        <f>IF(C3713="","",IFERROR(INDEX($S$5:$S$304,MATCH(C3713,$R$5:$R$304,0))&amp;"","?"))</f>
        <v/>
      </c>
      <c r="N3713" s="2">
        <f>IF(E3713="","",IF(ISNUMBER(SEARCH("SUBSOLO",E3713)),IFERROR(-VALUE(LEFT(E3713,FIND("º",SUBSTITUTE(E3713,"°","º"))-1)),-1),IF(LEFT(E3713,6)="TÉRREO",0,IFERROR(VALUE(LEFT(E3713,FIND("º",SUBSTITUTE(E3713,"°","º"))-1)),""))))</f>
        <v/>
      </c>
      <c r="O3713" s="2">
        <f>IF(OR(F3713="",G3713=""),"",IF(G3713&lt;='RETRATO 2027'!$K$5,"CONCLUÍDA",IF(F3713&lt;='RETRATO 2027'!$K$5,"EM ANDAMENTO","A INICIAR")))</f>
        <v/>
      </c>
    </row>
    <row r="3714">
      <c r="M3714" s="2">
        <f>IF(C3714="","",IFERROR(INDEX($S$5:$S$304,MATCH(C3714,$R$5:$R$304,0))&amp;"","?"))</f>
        <v/>
      </c>
      <c r="N3714" s="2">
        <f>IF(E3714="","",IF(ISNUMBER(SEARCH("SUBSOLO",E3714)),IFERROR(-VALUE(LEFT(E3714,FIND("º",SUBSTITUTE(E3714,"°","º"))-1)),-1),IF(LEFT(E3714,6)="TÉRREO",0,IFERROR(VALUE(LEFT(E3714,FIND("º",SUBSTITUTE(E3714,"°","º"))-1)),""))))</f>
        <v/>
      </c>
      <c r="O3714" s="2">
        <f>IF(OR(F3714="",G3714=""),"",IF(G3714&lt;='RETRATO 2027'!$K$5,"CONCLUÍDA",IF(F3714&lt;='RETRATO 2027'!$K$5,"EM ANDAMENTO","A INICIAR")))</f>
        <v/>
      </c>
    </row>
    <row r="3715">
      <c r="M3715" s="2">
        <f>IF(C3715="","",IFERROR(INDEX($S$5:$S$304,MATCH(C3715,$R$5:$R$304,0))&amp;"","?"))</f>
        <v/>
      </c>
      <c r="N3715" s="2">
        <f>IF(E3715="","",IF(ISNUMBER(SEARCH("SUBSOLO",E3715)),IFERROR(-VALUE(LEFT(E3715,FIND("º",SUBSTITUTE(E3715,"°","º"))-1)),-1),IF(LEFT(E3715,6)="TÉRREO",0,IFERROR(VALUE(LEFT(E3715,FIND("º",SUBSTITUTE(E3715,"°","º"))-1)),""))))</f>
        <v/>
      </c>
      <c r="O3715" s="2">
        <f>IF(OR(F3715="",G3715=""),"",IF(G3715&lt;='RETRATO 2027'!$K$5,"CONCLUÍDA",IF(F3715&lt;='RETRATO 2027'!$K$5,"EM ANDAMENTO","A INICIAR")))</f>
        <v/>
      </c>
    </row>
    <row r="3716">
      <c r="M3716" s="2">
        <f>IF(C3716="","",IFERROR(INDEX($S$5:$S$304,MATCH(C3716,$R$5:$R$304,0))&amp;"","?"))</f>
        <v/>
      </c>
      <c r="N3716" s="2">
        <f>IF(E3716="","",IF(ISNUMBER(SEARCH("SUBSOLO",E3716)),IFERROR(-VALUE(LEFT(E3716,FIND("º",SUBSTITUTE(E3716,"°","º"))-1)),-1),IF(LEFT(E3716,6)="TÉRREO",0,IFERROR(VALUE(LEFT(E3716,FIND("º",SUBSTITUTE(E3716,"°","º"))-1)),""))))</f>
        <v/>
      </c>
      <c r="O3716" s="2">
        <f>IF(OR(F3716="",G3716=""),"",IF(G3716&lt;='RETRATO 2027'!$K$5,"CONCLUÍDA",IF(F3716&lt;='RETRATO 2027'!$K$5,"EM ANDAMENTO","A INICIAR")))</f>
        <v/>
      </c>
    </row>
    <row r="3717">
      <c r="M3717" s="2">
        <f>IF(C3717="","",IFERROR(INDEX($S$5:$S$304,MATCH(C3717,$R$5:$R$304,0))&amp;"","?"))</f>
        <v/>
      </c>
      <c r="N3717" s="2">
        <f>IF(E3717="","",IF(ISNUMBER(SEARCH("SUBSOLO",E3717)),IFERROR(-VALUE(LEFT(E3717,FIND("º",SUBSTITUTE(E3717,"°","º"))-1)),-1),IF(LEFT(E3717,6)="TÉRREO",0,IFERROR(VALUE(LEFT(E3717,FIND("º",SUBSTITUTE(E3717,"°","º"))-1)),""))))</f>
        <v/>
      </c>
      <c r="O3717" s="2">
        <f>IF(OR(F3717="",G3717=""),"",IF(G3717&lt;='RETRATO 2027'!$K$5,"CONCLUÍDA",IF(F3717&lt;='RETRATO 2027'!$K$5,"EM ANDAMENTO","A INICIAR")))</f>
        <v/>
      </c>
    </row>
    <row r="3718">
      <c r="M3718" s="2">
        <f>IF(C3718="","",IFERROR(INDEX($S$5:$S$304,MATCH(C3718,$R$5:$R$304,0))&amp;"","?"))</f>
        <v/>
      </c>
      <c r="N3718" s="2">
        <f>IF(E3718="","",IF(ISNUMBER(SEARCH("SUBSOLO",E3718)),IFERROR(-VALUE(LEFT(E3718,FIND("º",SUBSTITUTE(E3718,"°","º"))-1)),-1),IF(LEFT(E3718,6)="TÉRREO",0,IFERROR(VALUE(LEFT(E3718,FIND("º",SUBSTITUTE(E3718,"°","º"))-1)),""))))</f>
        <v/>
      </c>
      <c r="O3718" s="2">
        <f>IF(OR(F3718="",G3718=""),"",IF(G3718&lt;='RETRATO 2027'!$K$5,"CONCLUÍDA",IF(F3718&lt;='RETRATO 2027'!$K$5,"EM ANDAMENTO","A INICIAR")))</f>
        <v/>
      </c>
    </row>
    <row r="3719">
      <c r="M3719" s="2">
        <f>IF(C3719="","",IFERROR(INDEX($S$5:$S$304,MATCH(C3719,$R$5:$R$304,0))&amp;"","?"))</f>
        <v/>
      </c>
      <c r="N3719" s="2">
        <f>IF(E3719="","",IF(ISNUMBER(SEARCH("SUBSOLO",E3719)),IFERROR(-VALUE(LEFT(E3719,FIND("º",SUBSTITUTE(E3719,"°","º"))-1)),-1),IF(LEFT(E3719,6)="TÉRREO",0,IFERROR(VALUE(LEFT(E3719,FIND("º",SUBSTITUTE(E3719,"°","º"))-1)),""))))</f>
        <v/>
      </c>
      <c r="O3719" s="2">
        <f>IF(OR(F3719="",G3719=""),"",IF(G3719&lt;='RETRATO 2027'!$K$5,"CONCLUÍDA",IF(F3719&lt;='RETRATO 2027'!$K$5,"EM ANDAMENTO","A INICIAR")))</f>
        <v/>
      </c>
    </row>
    <row r="3720">
      <c r="M3720" s="2">
        <f>IF(C3720="","",IFERROR(INDEX($S$5:$S$304,MATCH(C3720,$R$5:$R$304,0))&amp;"","?"))</f>
        <v/>
      </c>
      <c r="N3720" s="2">
        <f>IF(E3720="","",IF(ISNUMBER(SEARCH("SUBSOLO",E3720)),IFERROR(-VALUE(LEFT(E3720,FIND("º",SUBSTITUTE(E3720,"°","º"))-1)),-1),IF(LEFT(E3720,6)="TÉRREO",0,IFERROR(VALUE(LEFT(E3720,FIND("º",SUBSTITUTE(E3720,"°","º"))-1)),""))))</f>
        <v/>
      </c>
      <c r="O3720" s="2">
        <f>IF(OR(F3720="",G3720=""),"",IF(G3720&lt;='RETRATO 2027'!$K$5,"CONCLUÍDA",IF(F3720&lt;='RETRATO 2027'!$K$5,"EM ANDAMENTO","A INICIAR")))</f>
        <v/>
      </c>
    </row>
    <row r="3721">
      <c r="M3721" s="2">
        <f>IF(C3721="","",IFERROR(INDEX($S$5:$S$304,MATCH(C3721,$R$5:$R$304,0))&amp;"","?"))</f>
        <v/>
      </c>
      <c r="N3721" s="2">
        <f>IF(E3721="","",IF(ISNUMBER(SEARCH("SUBSOLO",E3721)),IFERROR(-VALUE(LEFT(E3721,FIND("º",SUBSTITUTE(E3721,"°","º"))-1)),-1),IF(LEFT(E3721,6)="TÉRREO",0,IFERROR(VALUE(LEFT(E3721,FIND("º",SUBSTITUTE(E3721,"°","º"))-1)),""))))</f>
        <v/>
      </c>
      <c r="O3721" s="2">
        <f>IF(OR(F3721="",G3721=""),"",IF(G3721&lt;='RETRATO 2027'!$K$5,"CONCLUÍDA",IF(F3721&lt;='RETRATO 2027'!$K$5,"EM ANDAMENTO","A INICIAR")))</f>
        <v/>
      </c>
    </row>
    <row r="3722">
      <c r="M3722" s="2">
        <f>IF(C3722="","",IFERROR(INDEX($S$5:$S$304,MATCH(C3722,$R$5:$R$304,0))&amp;"","?"))</f>
        <v/>
      </c>
      <c r="N3722" s="2">
        <f>IF(E3722="","",IF(ISNUMBER(SEARCH("SUBSOLO",E3722)),IFERROR(-VALUE(LEFT(E3722,FIND("º",SUBSTITUTE(E3722,"°","º"))-1)),-1),IF(LEFT(E3722,6)="TÉRREO",0,IFERROR(VALUE(LEFT(E3722,FIND("º",SUBSTITUTE(E3722,"°","º"))-1)),""))))</f>
        <v/>
      </c>
      <c r="O3722" s="2">
        <f>IF(OR(F3722="",G3722=""),"",IF(G3722&lt;='RETRATO 2027'!$K$5,"CONCLUÍDA",IF(F3722&lt;='RETRATO 2027'!$K$5,"EM ANDAMENTO","A INICIAR")))</f>
        <v/>
      </c>
    </row>
    <row r="3723">
      <c r="M3723" s="2">
        <f>IF(C3723="","",IFERROR(INDEX($S$5:$S$304,MATCH(C3723,$R$5:$R$304,0))&amp;"","?"))</f>
        <v/>
      </c>
      <c r="N3723" s="2">
        <f>IF(E3723="","",IF(ISNUMBER(SEARCH("SUBSOLO",E3723)),IFERROR(-VALUE(LEFT(E3723,FIND("º",SUBSTITUTE(E3723,"°","º"))-1)),-1),IF(LEFT(E3723,6)="TÉRREO",0,IFERROR(VALUE(LEFT(E3723,FIND("º",SUBSTITUTE(E3723,"°","º"))-1)),""))))</f>
        <v/>
      </c>
      <c r="O3723" s="2">
        <f>IF(OR(F3723="",G3723=""),"",IF(G3723&lt;='RETRATO 2027'!$K$5,"CONCLUÍDA",IF(F3723&lt;='RETRATO 2027'!$K$5,"EM ANDAMENTO","A INICIAR")))</f>
        <v/>
      </c>
    </row>
    <row r="3724">
      <c r="M3724" s="2">
        <f>IF(C3724="","",IFERROR(INDEX($S$5:$S$304,MATCH(C3724,$R$5:$R$304,0))&amp;"","?"))</f>
        <v/>
      </c>
      <c r="N3724" s="2">
        <f>IF(E3724="","",IF(ISNUMBER(SEARCH("SUBSOLO",E3724)),IFERROR(-VALUE(LEFT(E3724,FIND("º",SUBSTITUTE(E3724,"°","º"))-1)),-1),IF(LEFT(E3724,6)="TÉRREO",0,IFERROR(VALUE(LEFT(E3724,FIND("º",SUBSTITUTE(E3724,"°","º"))-1)),""))))</f>
        <v/>
      </c>
      <c r="O3724" s="2">
        <f>IF(OR(F3724="",G3724=""),"",IF(G3724&lt;='RETRATO 2027'!$K$5,"CONCLUÍDA",IF(F3724&lt;='RETRATO 2027'!$K$5,"EM ANDAMENTO","A INICIAR")))</f>
        <v/>
      </c>
    </row>
    <row r="3725">
      <c r="M3725" s="2">
        <f>IF(C3725="","",IFERROR(INDEX($S$5:$S$304,MATCH(C3725,$R$5:$R$304,0))&amp;"","?"))</f>
        <v/>
      </c>
      <c r="N3725" s="2">
        <f>IF(E3725="","",IF(ISNUMBER(SEARCH("SUBSOLO",E3725)),IFERROR(-VALUE(LEFT(E3725,FIND("º",SUBSTITUTE(E3725,"°","º"))-1)),-1),IF(LEFT(E3725,6)="TÉRREO",0,IFERROR(VALUE(LEFT(E3725,FIND("º",SUBSTITUTE(E3725,"°","º"))-1)),""))))</f>
        <v/>
      </c>
      <c r="O3725" s="2">
        <f>IF(OR(F3725="",G3725=""),"",IF(G3725&lt;='RETRATO 2027'!$K$5,"CONCLUÍDA",IF(F3725&lt;='RETRATO 2027'!$K$5,"EM ANDAMENTO","A INICIAR")))</f>
        <v/>
      </c>
    </row>
    <row r="3726">
      <c r="M3726" s="2">
        <f>IF(C3726="","",IFERROR(INDEX($S$5:$S$304,MATCH(C3726,$R$5:$R$304,0))&amp;"","?"))</f>
        <v/>
      </c>
      <c r="N3726" s="2">
        <f>IF(E3726="","",IF(ISNUMBER(SEARCH("SUBSOLO",E3726)),IFERROR(-VALUE(LEFT(E3726,FIND("º",SUBSTITUTE(E3726,"°","º"))-1)),-1),IF(LEFT(E3726,6)="TÉRREO",0,IFERROR(VALUE(LEFT(E3726,FIND("º",SUBSTITUTE(E3726,"°","º"))-1)),""))))</f>
        <v/>
      </c>
      <c r="O3726" s="2">
        <f>IF(OR(F3726="",G3726=""),"",IF(G3726&lt;='RETRATO 2027'!$K$5,"CONCLUÍDA",IF(F3726&lt;='RETRATO 2027'!$K$5,"EM ANDAMENTO","A INICIAR")))</f>
        <v/>
      </c>
    </row>
    <row r="3727">
      <c r="M3727" s="2">
        <f>IF(C3727="","",IFERROR(INDEX($S$5:$S$304,MATCH(C3727,$R$5:$R$304,0))&amp;"","?"))</f>
        <v/>
      </c>
      <c r="N3727" s="2">
        <f>IF(E3727="","",IF(ISNUMBER(SEARCH("SUBSOLO",E3727)),IFERROR(-VALUE(LEFT(E3727,FIND("º",SUBSTITUTE(E3727,"°","º"))-1)),-1),IF(LEFT(E3727,6)="TÉRREO",0,IFERROR(VALUE(LEFT(E3727,FIND("º",SUBSTITUTE(E3727,"°","º"))-1)),""))))</f>
        <v/>
      </c>
      <c r="O3727" s="2">
        <f>IF(OR(F3727="",G3727=""),"",IF(G3727&lt;='RETRATO 2027'!$K$5,"CONCLUÍDA",IF(F3727&lt;='RETRATO 2027'!$K$5,"EM ANDAMENTO","A INICIAR")))</f>
        <v/>
      </c>
    </row>
    <row r="3728">
      <c r="M3728" s="2">
        <f>IF(C3728="","",IFERROR(INDEX($S$5:$S$304,MATCH(C3728,$R$5:$R$304,0))&amp;"","?"))</f>
        <v/>
      </c>
      <c r="N3728" s="2">
        <f>IF(E3728="","",IF(ISNUMBER(SEARCH("SUBSOLO",E3728)),IFERROR(-VALUE(LEFT(E3728,FIND("º",SUBSTITUTE(E3728,"°","º"))-1)),-1),IF(LEFT(E3728,6)="TÉRREO",0,IFERROR(VALUE(LEFT(E3728,FIND("º",SUBSTITUTE(E3728,"°","º"))-1)),""))))</f>
        <v/>
      </c>
      <c r="O3728" s="2">
        <f>IF(OR(F3728="",G3728=""),"",IF(G3728&lt;='RETRATO 2027'!$K$5,"CONCLUÍDA",IF(F3728&lt;='RETRATO 2027'!$K$5,"EM ANDAMENTO","A INICIAR")))</f>
        <v/>
      </c>
    </row>
    <row r="3729">
      <c r="M3729" s="2">
        <f>IF(C3729="","",IFERROR(INDEX($S$5:$S$304,MATCH(C3729,$R$5:$R$304,0))&amp;"","?"))</f>
        <v/>
      </c>
      <c r="N3729" s="2">
        <f>IF(E3729="","",IF(ISNUMBER(SEARCH("SUBSOLO",E3729)),IFERROR(-VALUE(LEFT(E3729,FIND("º",SUBSTITUTE(E3729,"°","º"))-1)),-1),IF(LEFT(E3729,6)="TÉRREO",0,IFERROR(VALUE(LEFT(E3729,FIND("º",SUBSTITUTE(E3729,"°","º"))-1)),""))))</f>
        <v/>
      </c>
      <c r="O3729" s="2">
        <f>IF(OR(F3729="",G3729=""),"",IF(G3729&lt;='RETRATO 2027'!$K$5,"CONCLUÍDA",IF(F3729&lt;='RETRATO 2027'!$K$5,"EM ANDAMENTO","A INICIAR")))</f>
        <v/>
      </c>
    </row>
    <row r="3730">
      <c r="M3730" s="2">
        <f>IF(C3730="","",IFERROR(INDEX($S$5:$S$304,MATCH(C3730,$R$5:$R$304,0))&amp;"","?"))</f>
        <v/>
      </c>
      <c r="N3730" s="2">
        <f>IF(E3730="","",IF(ISNUMBER(SEARCH("SUBSOLO",E3730)),IFERROR(-VALUE(LEFT(E3730,FIND("º",SUBSTITUTE(E3730,"°","º"))-1)),-1),IF(LEFT(E3730,6)="TÉRREO",0,IFERROR(VALUE(LEFT(E3730,FIND("º",SUBSTITUTE(E3730,"°","º"))-1)),""))))</f>
        <v/>
      </c>
      <c r="O3730" s="2">
        <f>IF(OR(F3730="",G3730=""),"",IF(G3730&lt;='RETRATO 2027'!$K$5,"CONCLUÍDA",IF(F3730&lt;='RETRATO 2027'!$K$5,"EM ANDAMENTO","A INICIAR")))</f>
        <v/>
      </c>
    </row>
    <row r="3731">
      <c r="M3731" s="2">
        <f>IF(C3731="","",IFERROR(INDEX($S$5:$S$304,MATCH(C3731,$R$5:$R$304,0))&amp;"","?"))</f>
        <v/>
      </c>
      <c r="N3731" s="2">
        <f>IF(E3731="","",IF(ISNUMBER(SEARCH("SUBSOLO",E3731)),IFERROR(-VALUE(LEFT(E3731,FIND("º",SUBSTITUTE(E3731,"°","º"))-1)),-1),IF(LEFT(E3731,6)="TÉRREO",0,IFERROR(VALUE(LEFT(E3731,FIND("º",SUBSTITUTE(E3731,"°","º"))-1)),""))))</f>
        <v/>
      </c>
      <c r="O3731" s="2">
        <f>IF(OR(F3731="",G3731=""),"",IF(G3731&lt;='RETRATO 2027'!$K$5,"CONCLUÍDA",IF(F3731&lt;='RETRATO 2027'!$K$5,"EM ANDAMENTO","A INICIAR")))</f>
        <v/>
      </c>
    </row>
    <row r="3732">
      <c r="M3732" s="2">
        <f>IF(C3732="","",IFERROR(INDEX($S$5:$S$304,MATCH(C3732,$R$5:$R$304,0))&amp;"","?"))</f>
        <v/>
      </c>
      <c r="N3732" s="2">
        <f>IF(E3732="","",IF(ISNUMBER(SEARCH("SUBSOLO",E3732)),IFERROR(-VALUE(LEFT(E3732,FIND("º",SUBSTITUTE(E3732,"°","º"))-1)),-1),IF(LEFT(E3732,6)="TÉRREO",0,IFERROR(VALUE(LEFT(E3732,FIND("º",SUBSTITUTE(E3732,"°","º"))-1)),""))))</f>
        <v/>
      </c>
      <c r="O3732" s="2">
        <f>IF(OR(F3732="",G3732=""),"",IF(G3732&lt;='RETRATO 2027'!$K$5,"CONCLUÍDA",IF(F3732&lt;='RETRATO 2027'!$K$5,"EM ANDAMENTO","A INICIAR")))</f>
        <v/>
      </c>
    </row>
    <row r="3733">
      <c r="M3733" s="2">
        <f>IF(C3733="","",IFERROR(INDEX($S$5:$S$304,MATCH(C3733,$R$5:$R$304,0))&amp;"","?"))</f>
        <v/>
      </c>
      <c r="N3733" s="2">
        <f>IF(E3733="","",IF(ISNUMBER(SEARCH("SUBSOLO",E3733)),IFERROR(-VALUE(LEFT(E3733,FIND("º",SUBSTITUTE(E3733,"°","º"))-1)),-1),IF(LEFT(E3733,6)="TÉRREO",0,IFERROR(VALUE(LEFT(E3733,FIND("º",SUBSTITUTE(E3733,"°","º"))-1)),""))))</f>
        <v/>
      </c>
      <c r="O3733" s="2">
        <f>IF(OR(F3733="",G3733=""),"",IF(G3733&lt;='RETRATO 2027'!$K$5,"CONCLUÍDA",IF(F3733&lt;='RETRATO 2027'!$K$5,"EM ANDAMENTO","A INICIAR")))</f>
        <v/>
      </c>
    </row>
    <row r="3734">
      <c r="M3734" s="2">
        <f>IF(C3734="","",IFERROR(INDEX($S$5:$S$304,MATCH(C3734,$R$5:$R$304,0))&amp;"","?"))</f>
        <v/>
      </c>
      <c r="N3734" s="2">
        <f>IF(E3734="","",IF(ISNUMBER(SEARCH("SUBSOLO",E3734)),IFERROR(-VALUE(LEFT(E3734,FIND("º",SUBSTITUTE(E3734,"°","º"))-1)),-1),IF(LEFT(E3734,6)="TÉRREO",0,IFERROR(VALUE(LEFT(E3734,FIND("º",SUBSTITUTE(E3734,"°","º"))-1)),""))))</f>
        <v/>
      </c>
      <c r="O3734" s="2">
        <f>IF(OR(F3734="",G3734=""),"",IF(G3734&lt;='RETRATO 2027'!$K$5,"CONCLUÍDA",IF(F3734&lt;='RETRATO 2027'!$K$5,"EM ANDAMENTO","A INICIAR")))</f>
        <v/>
      </c>
    </row>
    <row r="3735">
      <c r="M3735" s="2">
        <f>IF(C3735="","",IFERROR(INDEX($S$5:$S$304,MATCH(C3735,$R$5:$R$304,0))&amp;"","?"))</f>
        <v/>
      </c>
      <c r="N3735" s="2">
        <f>IF(E3735="","",IF(ISNUMBER(SEARCH("SUBSOLO",E3735)),IFERROR(-VALUE(LEFT(E3735,FIND("º",SUBSTITUTE(E3735,"°","º"))-1)),-1),IF(LEFT(E3735,6)="TÉRREO",0,IFERROR(VALUE(LEFT(E3735,FIND("º",SUBSTITUTE(E3735,"°","º"))-1)),""))))</f>
        <v/>
      </c>
      <c r="O3735" s="2">
        <f>IF(OR(F3735="",G3735=""),"",IF(G3735&lt;='RETRATO 2027'!$K$5,"CONCLUÍDA",IF(F3735&lt;='RETRATO 2027'!$K$5,"EM ANDAMENTO","A INICIAR")))</f>
        <v/>
      </c>
    </row>
    <row r="3736">
      <c r="M3736" s="2">
        <f>IF(C3736="","",IFERROR(INDEX($S$5:$S$304,MATCH(C3736,$R$5:$R$304,0))&amp;"","?"))</f>
        <v/>
      </c>
      <c r="N3736" s="2">
        <f>IF(E3736="","",IF(ISNUMBER(SEARCH("SUBSOLO",E3736)),IFERROR(-VALUE(LEFT(E3736,FIND("º",SUBSTITUTE(E3736,"°","º"))-1)),-1),IF(LEFT(E3736,6)="TÉRREO",0,IFERROR(VALUE(LEFT(E3736,FIND("º",SUBSTITUTE(E3736,"°","º"))-1)),""))))</f>
        <v/>
      </c>
      <c r="O3736" s="2">
        <f>IF(OR(F3736="",G3736=""),"",IF(G3736&lt;='RETRATO 2027'!$K$5,"CONCLUÍDA",IF(F3736&lt;='RETRATO 2027'!$K$5,"EM ANDAMENTO","A INICIAR")))</f>
        <v/>
      </c>
    </row>
    <row r="3737">
      <c r="M3737" s="2">
        <f>IF(C3737="","",IFERROR(INDEX($S$5:$S$304,MATCH(C3737,$R$5:$R$304,0))&amp;"","?"))</f>
        <v/>
      </c>
      <c r="N3737" s="2">
        <f>IF(E3737="","",IF(ISNUMBER(SEARCH("SUBSOLO",E3737)),IFERROR(-VALUE(LEFT(E3737,FIND("º",SUBSTITUTE(E3737,"°","º"))-1)),-1),IF(LEFT(E3737,6)="TÉRREO",0,IFERROR(VALUE(LEFT(E3737,FIND("º",SUBSTITUTE(E3737,"°","º"))-1)),""))))</f>
        <v/>
      </c>
      <c r="O3737" s="2">
        <f>IF(OR(F3737="",G3737=""),"",IF(G3737&lt;='RETRATO 2027'!$K$5,"CONCLUÍDA",IF(F3737&lt;='RETRATO 2027'!$K$5,"EM ANDAMENTO","A INICIAR")))</f>
        <v/>
      </c>
    </row>
    <row r="3738">
      <c r="M3738" s="2">
        <f>IF(C3738="","",IFERROR(INDEX($S$5:$S$304,MATCH(C3738,$R$5:$R$304,0))&amp;"","?"))</f>
        <v/>
      </c>
      <c r="N3738" s="2">
        <f>IF(E3738="","",IF(ISNUMBER(SEARCH("SUBSOLO",E3738)),IFERROR(-VALUE(LEFT(E3738,FIND("º",SUBSTITUTE(E3738,"°","º"))-1)),-1),IF(LEFT(E3738,6)="TÉRREO",0,IFERROR(VALUE(LEFT(E3738,FIND("º",SUBSTITUTE(E3738,"°","º"))-1)),""))))</f>
        <v/>
      </c>
      <c r="O3738" s="2">
        <f>IF(OR(F3738="",G3738=""),"",IF(G3738&lt;='RETRATO 2027'!$K$5,"CONCLUÍDA",IF(F3738&lt;='RETRATO 2027'!$K$5,"EM ANDAMENTO","A INICIAR")))</f>
        <v/>
      </c>
    </row>
    <row r="3739">
      <c r="M3739" s="2">
        <f>IF(C3739="","",IFERROR(INDEX($S$5:$S$304,MATCH(C3739,$R$5:$R$304,0))&amp;"","?"))</f>
        <v/>
      </c>
      <c r="N3739" s="2">
        <f>IF(E3739="","",IF(ISNUMBER(SEARCH("SUBSOLO",E3739)),IFERROR(-VALUE(LEFT(E3739,FIND("º",SUBSTITUTE(E3739,"°","º"))-1)),-1),IF(LEFT(E3739,6)="TÉRREO",0,IFERROR(VALUE(LEFT(E3739,FIND("º",SUBSTITUTE(E3739,"°","º"))-1)),""))))</f>
        <v/>
      </c>
      <c r="O3739" s="2">
        <f>IF(OR(F3739="",G3739=""),"",IF(G3739&lt;='RETRATO 2027'!$K$5,"CONCLUÍDA",IF(F3739&lt;='RETRATO 2027'!$K$5,"EM ANDAMENTO","A INICIAR")))</f>
        <v/>
      </c>
    </row>
    <row r="3740">
      <c r="M3740" s="2">
        <f>IF(C3740="","",IFERROR(INDEX($S$5:$S$304,MATCH(C3740,$R$5:$R$304,0))&amp;"","?"))</f>
        <v/>
      </c>
      <c r="N3740" s="2">
        <f>IF(E3740="","",IF(ISNUMBER(SEARCH("SUBSOLO",E3740)),IFERROR(-VALUE(LEFT(E3740,FIND("º",SUBSTITUTE(E3740,"°","º"))-1)),-1),IF(LEFT(E3740,6)="TÉRREO",0,IFERROR(VALUE(LEFT(E3740,FIND("º",SUBSTITUTE(E3740,"°","º"))-1)),""))))</f>
        <v/>
      </c>
      <c r="O3740" s="2">
        <f>IF(OR(F3740="",G3740=""),"",IF(G3740&lt;='RETRATO 2027'!$K$5,"CONCLUÍDA",IF(F3740&lt;='RETRATO 2027'!$K$5,"EM ANDAMENTO","A INICIAR")))</f>
        <v/>
      </c>
    </row>
    <row r="3741">
      <c r="M3741" s="2">
        <f>IF(C3741="","",IFERROR(INDEX($S$5:$S$304,MATCH(C3741,$R$5:$R$304,0))&amp;"","?"))</f>
        <v/>
      </c>
      <c r="N3741" s="2">
        <f>IF(E3741="","",IF(ISNUMBER(SEARCH("SUBSOLO",E3741)),IFERROR(-VALUE(LEFT(E3741,FIND("º",SUBSTITUTE(E3741,"°","º"))-1)),-1),IF(LEFT(E3741,6)="TÉRREO",0,IFERROR(VALUE(LEFT(E3741,FIND("º",SUBSTITUTE(E3741,"°","º"))-1)),""))))</f>
        <v/>
      </c>
      <c r="O3741" s="2">
        <f>IF(OR(F3741="",G3741=""),"",IF(G3741&lt;='RETRATO 2027'!$K$5,"CONCLUÍDA",IF(F3741&lt;='RETRATO 2027'!$K$5,"EM ANDAMENTO","A INICIAR")))</f>
        <v/>
      </c>
    </row>
    <row r="3742">
      <c r="M3742" s="2">
        <f>IF(C3742="","",IFERROR(INDEX($S$5:$S$304,MATCH(C3742,$R$5:$R$304,0))&amp;"","?"))</f>
        <v/>
      </c>
      <c r="N3742" s="2">
        <f>IF(E3742="","",IF(ISNUMBER(SEARCH("SUBSOLO",E3742)),IFERROR(-VALUE(LEFT(E3742,FIND("º",SUBSTITUTE(E3742,"°","º"))-1)),-1),IF(LEFT(E3742,6)="TÉRREO",0,IFERROR(VALUE(LEFT(E3742,FIND("º",SUBSTITUTE(E3742,"°","º"))-1)),""))))</f>
        <v/>
      </c>
      <c r="O3742" s="2">
        <f>IF(OR(F3742="",G3742=""),"",IF(G3742&lt;='RETRATO 2027'!$K$5,"CONCLUÍDA",IF(F3742&lt;='RETRATO 2027'!$K$5,"EM ANDAMENTO","A INICIAR")))</f>
        <v/>
      </c>
    </row>
    <row r="3743">
      <c r="M3743" s="2">
        <f>IF(C3743="","",IFERROR(INDEX($S$5:$S$304,MATCH(C3743,$R$5:$R$304,0))&amp;"","?"))</f>
        <v/>
      </c>
      <c r="N3743" s="2">
        <f>IF(E3743="","",IF(ISNUMBER(SEARCH("SUBSOLO",E3743)),IFERROR(-VALUE(LEFT(E3743,FIND("º",SUBSTITUTE(E3743,"°","º"))-1)),-1),IF(LEFT(E3743,6)="TÉRREO",0,IFERROR(VALUE(LEFT(E3743,FIND("º",SUBSTITUTE(E3743,"°","º"))-1)),""))))</f>
        <v/>
      </c>
      <c r="O3743" s="2">
        <f>IF(OR(F3743="",G3743=""),"",IF(G3743&lt;='RETRATO 2027'!$K$5,"CONCLUÍDA",IF(F3743&lt;='RETRATO 2027'!$K$5,"EM ANDAMENTO","A INICIAR")))</f>
        <v/>
      </c>
    </row>
    <row r="3744">
      <c r="M3744" s="2">
        <f>IF(C3744="","",IFERROR(INDEX($S$5:$S$304,MATCH(C3744,$R$5:$R$304,0))&amp;"","?"))</f>
        <v/>
      </c>
      <c r="N3744" s="2">
        <f>IF(E3744="","",IF(ISNUMBER(SEARCH("SUBSOLO",E3744)),IFERROR(-VALUE(LEFT(E3744,FIND("º",SUBSTITUTE(E3744,"°","º"))-1)),-1),IF(LEFT(E3744,6)="TÉRREO",0,IFERROR(VALUE(LEFT(E3744,FIND("º",SUBSTITUTE(E3744,"°","º"))-1)),""))))</f>
        <v/>
      </c>
      <c r="O3744" s="2">
        <f>IF(OR(F3744="",G3744=""),"",IF(G3744&lt;='RETRATO 2027'!$K$5,"CONCLUÍDA",IF(F3744&lt;='RETRATO 2027'!$K$5,"EM ANDAMENTO","A INICIAR")))</f>
        <v/>
      </c>
    </row>
    <row r="3745">
      <c r="M3745" s="2">
        <f>IF(C3745="","",IFERROR(INDEX($S$5:$S$304,MATCH(C3745,$R$5:$R$304,0))&amp;"","?"))</f>
        <v/>
      </c>
      <c r="N3745" s="2">
        <f>IF(E3745="","",IF(ISNUMBER(SEARCH("SUBSOLO",E3745)),IFERROR(-VALUE(LEFT(E3745,FIND("º",SUBSTITUTE(E3745,"°","º"))-1)),-1),IF(LEFT(E3745,6)="TÉRREO",0,IFERROR(VALUE(LEFT(E3745,FIND("º",SUBSTITUTE(E3745,"°","º"))-1)),""))))</f>
        <v/>
      </c>
      <c r="O3745" s="2">
        <f>IF(OR(F3745="",G3745=""),"",IF(G3745&lt;='RETRATO 2027'!$K$5,"CONCLUÍDA",IF(F3745&lt;='RETRATO 2027'!$K$5,"EM ANDAMENTO","A INICIAR")))</f>
        <v/>
      </c>
    </row>
    <row r="3746">
      <c r="M3746" s="2">
        <f>IF(C3746="","",IFERROR(INDEX($S$5:$S$304,MATCH(C3746,$R$5:$R$304,0))&amp;"","?"))</f>
        <v/>
      </c>
      <c r="N3746" s="2">
        <f>IF(E3746="","",IF(ISNUMBER(SEARCH("SUBSOLO",E3746)),IFERROR(-VALUE(LEFT(E3746,FIND("º",SUBSTITUTE(E3746,"°","º"))-1)),-1),IF(LEFT(E3746,6)="TÉRREO",0,IFERROR(VALUE(LEFT(E3746,FIND("º",SUBSTITUTE(E3746,"°","º"))-1)),""))))</f>
        <v/>
      </c>
      <c r="O3746" s="2">
        <f>IF(OR(F3746="",G3746=""),"",IF(G3746&lt;='RETRATO 2027'!$K$5,"CONCLUÍDA",IF(F3746&lt;='RETRATO 2027'!$K$5,"EM ANDAMENTO","A INICIAR")))</f>
        <v/>
      </c>
    </row>
    <row r="3747">
      <c r="M3747" s="2">
        <f>IF(C3747="","",IFERROR(INDEX($S$5:$S$304,MATCH(C3747,$R$5:$R$304,0))&amp;"","?"))</f>
        <v/>
      </c>
      <c r="N3747" s="2">
        <f>IF(E3747="","",IF(ISNUMBER(SEARCH("SUBSOLO",E3747)),IFERROR(-VALUE(LEFT(E3747,FIND("º",SUBSTITUTE(E3747,"°","º"))-1)),-1),IF(LEFT(E3747,6)="TÉRREO",0,IFERROR(VALUE(LEFT(E3747,FIND("º",SUBSTITUTE(E3747,"°","º"))-1)),""))))</f>
        <v/>
      </c>
      <c r="O3747" s="2">
        <f>IF(OR(F3747="",G3747=""),"",IF(G3747&lt;='RETRATO 2027'!$K$5,"CONCLUÍDA",IF(F3747&lt;='RETRATO 2027'!$K$5,"EM ANDAMENTO","A INICIAR")))</f>
        <v/>
      </c>
    </row>
    <row r="3748">
      <c r="M3748" s="2">
        <f>IF(C3748="","",IFERROR(INDEX($S$5:$S$304,MATCH(C3748,$R$5:$R$304,0))&amp;"","?"))</f>
        <v/>
      </c>
      <c r="N3748" s="2">
        <f>IF(E3748="","",IF(ISNUMBER(SEARCH("SUBSOLO",E3748)),IFERROR(-VALUE(LEFT(E3748,FIND("º",SUBSTITUTE(E3748,"°","º"))-1)),-1),IF(LEFT(E3748,6)="TÉRREO",0,IFERROR(VALUE(LEFT(E3748,FIND("º",SUBSTITUTE(E3748,"°","º"))-1)),""))))</f>
        <v/>
      </c>
      <c r="O3748" s="2">
        <f>IF(OR(F3748="",G3748=""),"",IF(G3748&lt;='RETRATO 2027'!$K$5,"CONCLUÍDA",IF(F3748&lt;='RETRATO 2027'!$K$5,"EM ANDAMENTO","A INICIAR")))</f>
        <v/>
      </c>
    </row>
    <row r="3749">
      <c r="M3749" s="2">
        <f>IF(C3749="","",IFERROR(INDEX($S$5:$S$304,MATCH(C3749,$R$5:$R$304,0))&amp;"","?"))</f>
        <v/>
      </c>
      <c r="N3749" s="2">
        <f>IF(E3749="","",IF(ISNUMBER(SEARCH("SUBSOLO",E3749)),IFERROR(-VALUE(LEFT(E3749,FIND("º",SUBSTITUTE(E3749,"°","º"))-1)),-1),IF(LEFT(E3749,6)="TÉRREO",0,IFERROR(VALUE(LEFT(E3749,FIND("º",SUBSTITUTE(E3749,"°","º"))-1)),""))))</f>
        <v/>
      </c>
      <c r="O3749" s="2">
        <f>IF(OR(F3749="",G3749=""),"",IF(G3749&lt;='RETRATO 2027'!$K$5,"CONCLUÍDA",IF(F3749&lt;='RETRATO 2027'!$K$5,"EM ANDAMENTO","A INICIAR")))</f>
        <v/>
      </c>
    </row>
    <row r="3750">
      <c r="M3750" s="2">
        <f>IF(C3750="","",IFERROR(INDEX($S$5:$S$304,MATCH(C3750,$R$5:$R$304,0))&amp;"","?"))</f>
        <v/>
      </c>
      <c r="N3750" s="2">
        <f>IF(E3750="","",IF(ISNUMBER(SEARCH("SUBSOLO",E3750)),IFERROR(-VALUE(LEFT(E3750,FIND("º",SUBSTITUTE(E3750,"°","º"))-1)),-1),IF(LEFT(E3750,6)="TÉRREO",0,IFERROR(VALUE(LEFT(E3750,FIND("º",SUBSTITUTE(E3750,"°","º"))-1)),""))))</f>
        <v/>
      </c>
      <c r="O3750" s="2">
        <f>IF(OR(F3750="",G3750=""),"",IF(G3750&lt;='RETRATO 2027'!$K$5,"CONCLUÍDA",IF(F3750&lt;='RETRATO 2027'!$K$5,"EM ANDAMENTO","A INICIAR")))</f>
        <v/>
      </c>
    </row>
    <row r="3751">
      <c r="M3751" s="2">
        <f>IF(C3751="","",IFERROR(INDEX($S$5:$S$304,MATCH(C3751,$R$5:$R$304,0))&amp;"","?"))</f>
        <v/>
      </c>
      <c r="N3751" s="2">
        <f>IF(E3751="","",IF(ISNUMBER(SEARCH("SUBSOLO",E3751)),IFERROR(-VALUE(LEFT(E3751,FIND("º",SUBSTITUTE(E3751,"°","º"))-1)),-1),IF(LEFT(E3751,6)="TÉRREO",0,IFERROR(VALUE(LEFT(E3751,FIND("º",SUBSTITUTE(E3751,"°","º"))-1)),""))))</f>
        <v/>
      </c>
      <c r="O3751" s="2">
        <f>IF(OR(F3751="",G3751=""),"",IF(G3751&lt;='RETRATO 2027'!$K$5,"CONCLUÍDA",IF(F3751&lt;='RETRATO 2027'!$K$5,"EM ANDAMENTO","A INICIAR")))</f>
        <v/>
      </c>
    </row>
    <row r="3752">
      <c r="M3752" s="2">
        <f>IF(C3752="","",IFERROR(INDEX($S$5:$S$304,MATCH(C3752,$R$5:$R$304,0))&amp;"","?"))</f>
        <v/>
      </c>
      <c r="N3752" s="2">
        <f>IF(E3752="","",IF(ISNUMBER(SEARCH("SUBSOLO",E3752)),IFERROR(-VALUE(LEFT(E3752,FIND("º",SUBSTITUTE(E3752,"°","º"))-1)),-1),IF(LEFT(E3752,6)="TÉRREO",0,IFERROR(VALUE(LEFT(E3752,FIND("º",SUBSTITUTE(E3752,"°","º"))-1)),""))))</f>
        <v/>
      </c>
      <c r="O3752" s="2">
        <f>IF(OR(F3752="",G3752=""),"",IF(G3752&lt;='RETRATO 2027'!$K$5,"CONCLUÍDA",IF(F3752&lt;='RETRATO 2027'!$K$5,"EM ANDAMENTO","A INICIAR")))</f>
        <v/>
      </c>
    </row>
    <row r="3753">
      <c r="M3753" s="2">
        <f>IF(C3753="","",IFERROR(INDEX($S$5:$S$304,MATCH(C3753,$R$5:$R$304,0))&amp;"","?"))</f>
        <v/>
      </c>
      <c r="N3753" s="2">
        <f>IF(E3753="","",IF(ISNUMBER(SEARCH("SUBSOLO",E3753)),IFERROR(-VALUE(LEFT(E3753,FIND("º",SUBSTITUTE(E3753,"°","º"))-1)),-1),IF(LEFT(E3753,6)="TÉRREO",0,IFERROR(VALUE(LEFT(E3753,FIND("º",SUBSTITUTE(E3753,"°","º"))-1)),""))))</f>
        <v/>
      </c>
      <c r="O3753" s="2">
        <f>IF(OR(F3753="",G3753=""),"",IF(G3753&lt;='RETRATO 2027'!$K$5,"CONCLUÍDA",IF(F3753&lt;='RETRATO 2027'!$K$5,"EM ANDAMENTO","A INICIAR")))</f>
        <v/>
      </c>
    </row>
    <row r="3754">
      <c r="M3754" s="2">
        <f>IF(C3754="","",IFERROR(INDEX($S$5:$S$304,MATCH(C3754,$R$5:$R$304,0))&amp;"","?"))</f>
        <v/>
      </c>
      <c r="N3754" s="2">
        <f>IF(E3754="","",IF(ISNUMBER(SEARCH("SUBSOLO",E3754)),IFERROR(-VALUE(LEFT(E3754,FIND("º",SUBSTITUTE(E3754,"°","º"))-1)),-1),IF(LEFT(E3754,6)="TÉRREO",0,IFERROR(VALUE(LEFT(E3754,FIND("º",SUBSTITUTE(E3754,"°","º"))-1)),""))))</f>
        <v/>
      </c>
      <c r="O3754" s="2">
        <f>IF(OR(F3754="",G3754=""),"",IF(G3754&lt;='RETRATO 2027'!$K$5,"CONCLUÍDA",IF(F3754&lt;='RETRATO 2027'!$K$5,"EM ANDAMENTO","A INICIAR")))</f>
        <v/>
      </c>
    </row>
    <row r="3755">
      <c r="M3755" s="2">
        <f>IF(C3755="","",IFERROR(INDEX($S$5:$S$304,MATCH(C3755,$R$5:$R$304,0))&amp;"","?"))</f>
        <v/>
      </c>
      <c r="N3755" s="2">
        <f>IF(E3755="","",IF(ISNUMBER(SEARCH("SUBSOLO",E3755)),IFERROR(-VALUE(LEFT(E3755,FIND("º",SUBSTITUTE(E3755,"°","º"))-1)),-1),IF(LEFT(E3755,6)="TÉRREO",0,IFERROR(VALUE(LEFT(E3755,FIND("º",SUBSTITUTE(E3755,"°","º"))-1)),""))))</f>
        <v/>
      </c>
      <c r="O3755" s="2">
        <f>IF(OR(F3755="",G3755=""),"",IF(G3755&lt;='RETRATO 2027'!$K$5,"CONCLUÍDA",IF(F3755&lt;='RETRATO 2027'!$K$5,"EM ANDAMENTO","A INICIAR")))</f>
        <v/>
      </c>
    </row>
    <row r="3756">
      <c r="M3756" s="2">
        <f>IF(C3756="","",IFERROR(INDEX($S$5:$S$304,MATCH(C3756,$R$5:$R$304,0))&amp;"","?"))</f>
        <v/>
      </c>
      <c r="N3756" s="2">
        <f>IF(E3756="","",IF(ISNUMBER(SEARCH("SUBSOLO",E3756)),IFERROR(-VALUE(LEFT(E3756,FIND("º",SUBSTITUTE(E3756,"°","º"))-1)),-1),IF(LEFT(E3756,6)="TÉRREO",0,IFERROR(VALUE(LEFT(E3756,FIND("º",SUBSTITUTE(E3756,"°","º"))-1)),""))))</f>
        <v/>
      </c>
      <c r="O3756" s="2">
        <f>IF(OR(F3756="",G3756=""),"",IF(G3756&lt;='RETRATO 2027'!$K$5,"CONCLUÍDA",IF(F3756&lt;='RETRATO 2027'!$K$5,"EM ANDAMENTO","A INICIAR")))</f>
        <v/>
      </c>
    </row>
    <row r="3757">
      <c r="M3757" s="2">
        <f>IF(C3757="","",IFERROR(INDEX($S$5:$S$304,MATCH(C3757,$R$5:$R$304,0))&amp;"","?"))</f>
        <v/>
      </c>
      <c r="N3757" s="2">
        <f>IF(E3757="","",IF(ISNUMBER(SEARCH("SUBSOLO",E3757)),IFERROR(-VALUE(LEFT(E3757,FIND("º",SUBSTITUTE(E3757,"°","º"))-1)),-1),IF(LEFT(E3757,6)="TÉRREO",0,IFERROR(VALUE(LEFT(E3757,FIND("º",SUBSTITUTE(E3757,"°","º"))-1)),""))))</f>
        <v/>
      </c>
      <c r="O3757" s="2">
        <f>IF(OR(F3757="",G3757=""),"",IF(G3757&lt;='RETRATO 2027'!$K$5,"CONCLUÍDA",IF(F3757&lt;='RETRATO 2027'!$K$5,"EM ANDAMENTO","A INICIAR")))</f>
        <v/>
      </c>
    </row>
    <row r="3758">
      <c r="M3758" s="2">
        <f>IF(C3758="","",IFERROR(INDEX($S$5:$S$304,MATCH(C3758,$R$5:$R$304,0))&amp;"","?"))</f>
        <v/>
      </c>
      <c r="N3758" s="2">
        <f>IF(E3758="","",IF(ISNUMBER(SEARCH("SUBSOLO",E3758)),IFERROR(-VALUE(LEFT(E3758,FIND("º",SUBSTITUTE(E3758,"°","º"))-1)),-1),IF(LEFT(E3758,6)="TÉRREO",0,IFERROR(VALUE(LEFT(E3758,FIND("º",SUBSTITUTE(E3758,"°","º"))-1)),""))))</f>
        <v/>
      </c>
      <c r="O3758" s="2">
        <f>IF(OR(F3758="",G3758=""),"",IF(G3758&lt;='RETRATO 2027'!$K$5,"CONCLUÍDA",IF(F3758&lt;='RETRATO 2027'!$K$5,"EM ANDAMENTO","A INICIAR")))</f>
        <v/>
      </c>
    </row>
    <row r="3759">
      <c r="M3759" s="2">
        <f>IF(C3759="","",IFERROR(INDEX($S$5:$S$304,MATCH(C3759,$R$5:$R$304,0))&amp;"","?"))</f>
        <v/>
      </c>
      <c r="N3759" s="2">
        <f>IF(E3759="","",IF(ISNUMBER(SEARCH("SUBSOLO",E3759)),IFERROR(-VALUE(LEFT(E3759,FIND("º",SUBSTITUTE(E3759,"°","º"))-1)),-1),IF(LEFT(E3759,6)="TÉRREO",0,IFERROR(VALUE(LEFT(E3759,FIND("º",SUBSTITUTE(E3759,"°","º"))-1)),""))))</f>
        <v/>
      </c>
      <c r="O3759" s="2">
        <f>IF(OR(F3759="",G3759=""),"",IF(G3759&lt;='RETRATO 2027'!$K$5,"CONCLUÍDA",IF(F3759&lt;='RETRATO 2027'!$K$5,"EM ANDAMENTO","A INICIAR")))</f>
        <v/>
      </c>
    </row>
    <row r="3760">
      <c r="M3760" s="2">
        <f>IF(C3760="","",IFERROR(INDEX($S$5:$S$304,MATCH(C3760,$R$5:$R$304,0))&amp;"","?"))</f>
        <v/>
      </c>
      <c r="N3760" s="2">
        <f>IF(E3760="","",IF(ISNUMBER(SEARCH("SUBSOLO",E3760)),IFERROR(-VALUE(LEFT(E3760,FIND("º",SUBSTITUTE(E3760,"°","º"))-1)),-1),IF(LEFT(E3760,6)="TÉRREO",0,IFERROR(VALUE(LEFT(E3760,FIND("º",SUBSTITUTE(E3760,"°","º"))-1)),""))))</f>
        <v/>
      </c>
      <c r="O3760" s="2">
        <f>IF(OR(F3760="",G3760=""),"",IF(G3760&lt;='RETRATO 2027'!$K$5,"CONCLUÍDA",IF(F3760&lt;='RETRATO 2027'!$K$5,"EM ANDAMENTO","A INICIAR")))</f>
        <v/>
      </c>
    </row>
    <row r="3761">
      <c r="M3761" s="2">
        <f>IF(C3761="","",IFERROR(INDEX($S$5:$S$304,MATCH(C3761,$R$5:$R$304,0))&amp;"","?"))</f>
        <v/>
      </c>
      <c r="N3761" s="2">
        <f>IF(E3761="","",IF(ISNUMBER(SEARCH("SUBSOLO",E3761)),IFERROR(-VALUE(LEFT(E3761,FIND("º",SUBSTITUTE(E3761,"°","º"))-1)),-1),IF(LEFT(E3761,6)="TÉRREO",0,IFERROR(VALUE(LEFT(E3761,FIND("º",SUBSTITUTE(E3761,"°","º"))-1)),""))))</f>
        <v/>
      </c>
      <c r="O3761" s="2">
        <f>IF(OR(F3761="",G3761=""),"",IF(G3761&lt;='RETRATO 2027'!$K$5,"CONCLUÍDA",IF(F3761&lt;='RETRATO 2027'!$K$5,"EM ANDAMENTO","A INICIAR")))</f>
        <v/>
      </c>
    </row>
    <row r="3762">
      <c r="M3762" s="2">
        <f>IF(C3762="","",IFERROR(INDEX($S$5:$S$304,MATCH(C3762,$R$5:$R$304,0))&amp;"","?"))</f>
        <v/>
      </c>
      <c r="N3762" s="2">
        <f>IF(E3762="","",IF(ISNUMBER(SEARCH("SUBSOLO",E3762)),IFERROR(-VALUE(LEFT(E3762,FIND("º",SUBSTITUTE(E3762,"°","º"))-1)),-1),IF(LEFT(E3762,6)="TÉRREO",0,IFERROR(VALUE(LEFT(E3762,FIND("º",SUBSTITUTE(E3762,"°","º"))-1)),""))))</f>
        <v/>
      </c>
      <c r="O3762" s="2">
        <f>IF(OR(F3762="",G3762=""),"",IF(G3762&lt;='RETRATO 2027'!$K$5,"CONCLUÍDA",IF(F3762&lt;='RETRATO 2027'!$K$5,"EM ANDAMENTO","A INICIAR")))</f>
        <v/>
      </c>
    </row>
    <row r="3763">
      <c r="M3763" s="2">
        <f>IF(C3763="","",IFERROR(INDEX($S$5:$S$304,MATCH(C3763,$R$5:$R$304,0))&amp;"","?"))</f>
        <v/>
      </c>
      <c r="N3763" s="2">
        <f>IF(E3763="","",IF(ISNUMBER(SEARCH("SUBSOLO",E3763)),IFERROR(-VALUE(LEFT(E3763,FIND("º",SUBSTITUTE(E3763,"°","º"))-1)),-1),IF(LEFT(E3763,6)="TÉRREO",0,IFERROR(VALUE(LEFT(E3763,FIND("º",SUBSTITUTE(E3763,"°","º"))-1)),""))))</f>
        <v/>
      </c>
      <c r="O3763" s="2">
        <f>IF(OR(F3763="",G3763=""),"",IF(G3763&lt;='RETRATO 2027'!$K$5,"CONCLUÍDA",IF(F3763&lt;='RETRATO 2027'!$K$5,"EM ANDAMENTO","A INICIAR")))</f>
        <v/>
      </c>
    </row>
    <row r="3764">
      <c r="M3764" s="2">
        <f>IF(C3764="","",IFERROR(INDEX($S$5:$S$304,MATCH(C3764,$R$5:$R$304,0))&amp;"","?"))</f>
        <v/>
      </c>
      <c r="N3764" s="2">
        <f>IF(E3764="","",IF(ISNUMBER(SEARCH("SUBSOLO",E3764)),IFERROR(-VALUE(LEFT(E3764,FIND("º",SUBSTITUTE(E3764,"°","º"))-1)),-1),IF(LEFT(E3764,6)="TÉRREO",0,IFERROR(VALUE(LEFT(E3764,FIND("º",SUBSTITUTE(E3764,"°","º"))-1)),""))))</f>
        <v/>
      </c>
      <c r="O3764" s="2">
        <f>IF(OR(F3764="",G3764=""),"",IF(G3764&lt;='RETRATO 2027'!$K$5,"CONCLUÍDA",IF(F3764&lt;='RETRATO 2027'!$K$5,"EM ANDAMENTO","A INICIAR")))</f>
        <v/>
      </c>
    </row>
    <row r="3765">
      <c r="M3765" s="2">
        <f>IF(C3765="","",IFERROR(INDEX($S$5:$S$304,MATCH(C3765,$R$5:$R$304,0))&amp;"","?"))</f>
        <v/>
      </c>
      <c r="N3765" s="2">
        <f>IF(E3765="","",IF(ISNUMBER(SEARCH("SUBSOLO",E3765)),IFERROR(-VALUE(LEFT(E3765,FIND("º",SUBSTITUTE(E3765,"°","º"))-1)),-1),IF(LEFT(E3765,6)="TÉRREO",0,IFERROR(VALUE(LEFT(E3765,FIND("º",SUBSTITUTE(E3765,"°","º"))-1)),""))))</f>
        <v/>
      </c>
      <c r="O3765" s="2">
        <f>IF(OR(F3765="",G3765=""),"",IF(G3765&lt;='RETRATO 2027'!$K$5,"CONCLUÍDA",IF(F3765&lt;='RETRATO 2027'!$K$5,"EM ANDAMENTO","A INICIAR")))</f>
        <v/>
      </c>
    </row>
    <row r="3766">
      <c r="M3766" s="2">
        <f>IF(C3766="","",IFERROR(INDEX($S$5:$S$304,MATCH(C3766,$R$5:$R$304,0))&amp;"","?"))</f>
        <v/>
      </c>
      <c r="N3766" s="2">
        <f>IF(E3766="","",IF(ISNUMBER(SEARCH("SUBSOLO",E3766)),IFERROR(-VALUE(LEFT(E3766,FIND("º",SUBSTITUTE(E3766,"°","º"))-1)),-1),IF(LEFT(E3766,6)="TÉRREO",0,IFERROR(VALUE(LEFT(E3766,FIND("º",SUBSTITUTE(E3766,"°","º"))-1)),""))))</f>
        <v/>
      </c>
      <c r="O3766" s="2">
        <f>IF(OR(F3766="",G3766=""),"",IF(G3766&lt;='RETRATO 2027'!$K$5,"CONCLUÍDA",IF(F3766&lt;='RETRATO 2027'!$K$5,"EM ANDAMENTO","A INICIAR")))</f>
        <v/>
      </c>
    </row>
    <row r="3767">
      <c r="M3767" s="2">
        <f>IF(C3767="","",IFERROR(INDEX($S$5:$S$304,MATCH(C3767,$R$5:$R$304,0))&amp;"","?"))</f>
        <v/>
      </c>
      <c r="N3767" s="2">
        <f>IF(E3767="","",IF(ISNUMBER(SEARCH("SUBSOLO",E3767)),IFERROR(-VALUE(LEFT(E3767,FIND("º",SUBSTITUTE(E3767,"°","º"))-1)),-1),IF(LEFT(E3767,6)="TÉRREO",0,IFERROR(VALUE(LEFT(E3767,FIND("º",SUBSTITUTE(E3767,"°","º"))-1)),""))))</f>
        <v/>
      </c>
      <c r="O3767" s="2">
        <f>IF(OR(F3767="",G3767=""),"",IF(G3767&lt;='RETRATO 2027'!$K$5,"CONCLUÍDA",IF(F3767&lt;='RETRATO 2027'!$K$5,"EM ANDAMENTO","A INICIAR")))</f>
        <v/>
      </c>
    </row>
    <row r="3768">
      <c r="M3768" s="2">
        <f>IF(C3768="","",IFERROR(INDEX($S$5:$S$304,MATCH(C3768,$R$5:$R$304,0))&amp;"","?"))</f>
        <v/>
      </c>
      <c r="N3768" s="2">
        <f>IF(E3768="","",IF(ISNUMBER(SEARCH("SUBSOLO",E3768)),IFERROR(-VALUE(LEFT(E3768,FIND("º",SUBSTITUTE(E3768,"°","º"))-1)),-1),IF(LEFT(E3768,6)="TÉRREO",0,IFERROR(VALUE(LEFT(E3768,FIND("º",SUBSTITUTE(E3768,"°","º"))-1)),""))))</f>
        <v/>
      </c>
      <c r="O3768" s="2">
        <f>IF(OR(F3768="",G3768=""),"",IF(G3768&lt;='RETRATO 2027'!$K$5,"CONCLUÍDA",IF(F3768&lt;='RETRATO 2027'!$K$5,"EM ANDAMENTO","A INICIAR")))</f>
        <v/>
      </c>
    </row>
    <row r="3769">
      <c r="M3769" s="2">
        <f>IF(C3769="","",IFERROR(INDEX($S$5:$S$304,MATCH(C3769,$R$5:$R$304,0))&amp;"","?"))</f>
        <v/>
      </c>
      <c r="N3769" s="2">
        <f>IF(E3769="","",IF(ISNUMBER(SEARCH("SUBSOLO",E3769)),IFERROR(-VALUE(LEFT(E3769,FIND("º",SUBSTITUTE(E3769,"°","º"))-1)),-1),IF(LEFT(E3769,6)="TÉRREO",0,IFERROR(VALUE(LEFT(E3769,FIND("º",SUBSTITUTE(E3769,"°","º"))-1)),""))))</f>
        <v/>
      </c>
      <c r="O3769" s="2">
        <f>IF(OR(F3769="",G3769=""),"",IF(G3769&lt;='RETRATO 2027'!$K$5,"CONCLUÍDA",IF(F3769&lt;='RETRATO 2027'!$K$5,"EM ANDAMENTO","A INICIAR")))</f>
        <v/>
      </c>
    </row>
    <row r="3770">
      <c r="M3770" s="2">
        <f>IF(C3770="","",IFERROR(INDEX($S$5:$S$304,MATCH(C3770,$R$5:$R$304,0))&amp;"","?"))</f>
        <v/>
      </c>
      <c r="N3770" s="2">
        <f>IF(E3770="","",IF(ISNUMBER(SEARCH("SUBSOLO",E3770)),IFERROR(-VALUE(LEFT(E3770,FIND("º",SUBSTITUTE(E3770,"°","º"))-1)),-1),IF(LEFT(E3770,6)="TÉRREO",0,IFERROR(VALUE(LEFT(E3770,FIND("º",SUBSTITUTE(E3770,"°","º"))-1)),""))))</f>
        <v/>
      </c>
      <c r="O3770" s="2">
        <f>IF(OR(F3770="",G3770=""),"",IF(G3770&lt;='RETRATO 2027'!$K$5,"CONCLUÍDA",IF(F3770&lt;='RETRATO 2027'!$K$5,"EM ANDAMENTO","A INICIAR")))</f>
        <v/>
      </c>
    </row>
    <row r="3771">
      <c r="M3771" s="2">
        <f>IF(C3771="","",IFERROR(INDEX($S$5:$S$304,MATCH(C3771,$R$5:$R$304,0))&amp;"","?"))</f>
        <v/>
      </c>
      <c r="N3771" s="2">
        <f>IF(E3771="","",IF(ISNUMBER(SEARCH("SUBSOLO",E3771)),IFERROR(-VALUE(LEFT(E3771,FIND("º",SUBSTITUTE(E3771,"°","º"))-1)),-1),IF(LEFT(E3771,6)="TÉRREO",0,IFERROR(VALUE(LEFT(E3771,FIND("º",SUBSTITUTE(E3771,"°","º"))-1)),""))))</f>
        <v/>
      </c>
      <c r="O3771" s="2">
        <f>IF(OR(F3771="",G3771=""),"",IF(G3771&lt;='RETRATO 2027'!$K$5,"CONCLUÍDA",IF(F3771&lt;='RETRATO 2027'!$K$5,"EM ANDAMENTO","A INICIAR")))</f>
        <v/>
      </c>
    </row>
    <row r="3772">
      <c r="M3772" s="2">
        <f>IF(C3772="","",IFERROR(INDEX($S$5:$S$304,MATCH(C3772,$R$5:$R$304,0))&amp;"","?"))</f>
        <v/>
      </c>
      <c r="N3772" s="2">
        <f>IF(E3772="","",IF(ISNUMBER(SEARCH("SUBSOLO",E3772)),IFERROR(-VALUE(LEFT(E3772,FIND("º",SUBSTITUTE(E3772,"°","º"))-1)),-1),IF(LEFT(E3772,6)="TÉRREO",0,IFERROR(VALUE(LEFT(E3772,FIND("º",SUBSTITUTE(E3772,"°","º"))-1)),""))))</f>
        <v/>
      </c>
      <c r="O3772" s="2">
        <f>IF(OR(F3772="",G3772=""),"",IF(G3772&lt;='RETRATO 2027'!$K$5,"CONCLUÍDA",IF(F3772&lt;='RETRATO 2027'!$K$5,"EM ANDAMENTO","A INICIAR")))</f>
        <v/>
      </c>
    </row>
    <row r="3773">
      <c r="M3773" s="2">
        <f>IF(C3773="","",IFERROR(INDEX($S$5:$S$304,MATCH(C3773,$R$5:$R$304,0))&amp;"","?"))</f>
        <v/>
      </c>
      <c r="N3773" s="2">
        <f>IF(E3773="","",IF(ISNUMBER(SEARCH("SUBSOLO",E3773)),IFERROR(-VALUE(LEFT(E3773,FIND("º",SUBSTITUTE(E3773,"°","º"))-1)),-1),IF(LEFT(E3773,6)="TÉRREO",0,IFERROR(VALUE(LEFT(E3773,FIND("º",SUBSTITUTE(E3773,"°","º"))-1)),""))))</f>
        <v/>
      </c>
      <c r="O3773" s="2">
        <f>IF(OR(F3773="",G3773=""),"",IF(G3773&lt;='RETRATO 2027'!$K$5,"CONCLUÍDA",IF(F3773&lt;='RETRATO 2027'!$K$5,"EM ANDAMENTO","A INICIAR")))</f>
        <v/>
      </c>
    </row>
    <row r="3774">
      <c r="M3774" s="2">
        <f>IF(C3774="","",IFERROR(INDEX($S$5:$S$304,MATCH(C3774,$R$5:$R$304,0))&amp;"","?"))</f>
        <v/>
      </c>
      <c r="N3774" s="2">
        <f>IF(E3774="","",IF(ISNUMBER(SEARCH("SUBSOLO",E3774)),IFERROR(-VALUE(LEFT(E3774,FIND("º",SUBSTITUTE(E3774,"°","º"))-1)),-1),IF(LEFT(E3774,6)="TÉRREO",0,IFERROR(VALUE(LEFT(E3774,FIND("º",SUBSTITUTE(E3774,"°","º"))-1)),""))))</f>
        <v/>
      </c>
      <c r="O3774" s="2">
        <f>IF(OR(F3774="",G3774=""),"",IF(G3774&lt;='RETRATO 2027'!$K$5,"CONCLUÍDA",IF(F3774&lt;='RETRATO 2027'!$K$5,"EM ANDAMENTO","A INICIAR")))</f>
        <v/>
      </c>
    </row>
    <row r="3775">
      <c r="M3775" s="2">
        <f>IF(C3775="","",IFERROR(INDEX($S$5:$S$304,MATCH(C3775,$R$5:$R$304,0))&amp;"","?"))</f>
        <v/>
      </c>
      <c r="N3775" s="2">
        <f>IF(E3775="","",IF(ISNUMBER(SEARCH("SUBSOLO",E3775)),IFERROR(-VALUE(LEFT(E3775,FIND("º",SUBSTITUTE(E3775,"°","º"))-1)),-1),IF(LEFT(E3775,6)="TÉRREO",0,IFERROR(VALUE(LEFT(E3775,FIND("º",SUBSTITUTE(E3775,"°","º"))-1)),""))))</f>
        <v/>
      </c>
      <c r="O3775" s="2">
        <f>IF(OR(F3775="",G3775=""),"",IF(G3775&lt;='RETRATO 2027'!$K$5,"CONCLUÍDA",IF(F3775&lt;='RETRATO 2027'!$K$5,"EM ANDAMENTO","A INICIAR")))</f>
        <v/>
      </c>
    </row>
    <row r="3776">
      <c r="M3776" s="2">
        <f>IF(C3776="","",IFERROR(INDEX($S$5:$S$304,MATCH(C3776,$R$5:$R$304,0))&amp;"","?"))</f>
        <v/>
      </c>
      <c r="N3776" s="2">
        <f>IF(E3776="","",IF(ISNUMBER(SEARCH("SUBSOLO",E3776)),IFERROR(-VALUE(LEFT(E3776,FIND("º",SUBSTITUTE(E3776,"°","º"))-1)),-1),IF(LEFT(E3776,6)="TÉRREO",0,IFERROR(VALUE(LEFT(E3776,FIND("º",SUBSTITUTE(E3776,"°","º"))-1)),""))))</f>
        <v/>
      </c>
      <c r="O3776" s="2">
        <f>IF(OR(F3776="",G3776=""),"",IF(G3776&lt;='RETRATO 2027'!$K$5,"CONCLUÍDA",IF(F3776&lt;='RETRATO 2027'!$K$5,"EM ANDAMENTO","A INICIAR")))</f>
        <v/>
      </c>
    </row>
    <row r="3777">
      <c r="M3777" s="2">
        <f>IF(C3777="","",IFERROR(INDEX($S$5:$S$304,MATCH(C3777,$R$5:$R$304,0))&amp;"","?"))</f>
        <v/>
      </c>
      <c r="N3777" s="2">
        <f>IF(E3777="","",IF(ISNUMBER(SEARCH("SUBSOLO",E3777)),IFERROR(-VALUE(LEFT(E3777,FIND("º",SUBSTITUTE(E3777,"°","º"))-1)),-1),IF(LEFT(E3777,6)="TÉRREO",0,IFERROR(VALUE(LEFT(E3777,FIND("º",SUBSTITUTE(E3777,"°","º"))-1)),""))))</f>
        <v/>
      </c>
      <c r="O3777" s="2">
        <f>IF(OR(F3777="",G3777=""),"",IF(G3777&lt;='RETRATO 2027'!$K$5,"CONCLUÍDA",IF(F3777&lt;='RETRATO 2027'!$K$5,"EM ANDAMENTO","A INICIAR")))</f>
        <v/>
      </c>
    </row>
    <row r="3778">
      <c r="M3778" s="2">
        <f>IF(C3778="","",IFERROR(INDEX($S$5:$S$304,MATCH(C3778,$R$5:$R$304,0))&amp;"","?"))</f>
        <v/>
      </c>
      <c r="N3778" s="2">
        <f>IF(E3778="","",IF(ISNUMBER(SEARCH("SUBSOLO",E3778)),IFERROR(-VALUE(LEFT(E3778,FIND("º",SUBSTITUTE(E3778,"°","º"))-1)),-1),IF(LEFT(E3778,6)="TÉRREO",0,IFERROR(VALUE(LEFT(E3778,FIND("º",SUBSTITUTE(E3778,"°","º"))-1)),""))))</f>
        <v/>
      </c>
      <c r="O3778" s="2">
        <f>IF(OR(F3778="",G3778=""),"",IF(G3778&lt;='RETRATO 2027'!$K$5,"CONCLUÍDA",IF(F3778&lt;='RETRATO 2027'!$K$5,"EM ANDAMENTO","A INICIAR")))</f>
        <v/>
      </c>
    </row>
    <row r="3779">
      <c r="M3779" s="2">
        <f>IF(C3779="","",IFERROR(INDEX($S$5:$S$304,MATCH(C3779,$R$5:$R$304,0))&amp;"","?"))</f>
        <v/>
      </c>
      <c r="N3779" s="2">
        <f>IF(E3779="","",IF(ISNUMBER(SEARCH("SUBSOLO",E3779)),IFERROR(-VALUE(LEFT(E3779,FIND("º",SUBSTITUTE(E3779,"°","º"))-1)),-1),IF(LEFT(E3779,6)="TÉRREO",0,IFERROR(VALUE(LEFT(E3779,FIND("º",SUBSTITUTE(E3779,"°","º"))-1)),""))))</f>
        <v/>
      </c>
      <c r="O3779" s="2">
        <f>IF(OR(F3779="",G3779=""),"",IF(G3779&lt;='RETRATO 2027'!$K$5,"CONCLUÍDA",IF(F3779&lt;='RETRATO 2027'!$K$5,"EM ANDAMENTO","A INICIAR")))</f>
        <v/>
      </c>
    </row>
    <row r="3780">
      <c r="M3780" s="2">
        <f>IF(C3780="","",IFERROR(INDEX($S$5:$S$304,MATCH(C3780,$R$5:$R$304,0))&amp;"","?"))</f>
        <v/>
      </c>
      <c r="N3780" s="2">
        <f>IF(E3780="","",IF(ISNUMBER(SEARCH("SUBSOLO",E3780)),IFERROR(-VALUE(LEFT(E3780,FIND("º",SUBSTITUTE(E3780,"°","º"))-1)),-1),IF(LEFT(E3780,6)="TÉRREO",0,IFERROR(VALUE(LEFT(E3780,FIND("º",SUBSTITUTE(E3780,"°","º"))-1)),""))))</f>
        <v/>
      </c>
      <c r="O3780" s="2">
        <f>IF(OR(F3780="",G3780=""),"",IF(G3780&lt;='RETRATO 2027'!$K$5,"CONCLUÍDA",IF(F3780&lt;='RETRATO 2027'!$K$5,"EM ANDAMENTO","A INICIAR")))</f>
        <v/>
      </c>
    </row>
    <row r="3781">
      <c r="M3781" s="2">
        <f>IF(C3781="","",IFERROR(INDEX($S$5:$S$304,MATCH(C3781,$R$5:$R$304,0))&amp;"","?"))</f>
        <v/>
      </c>
      <c r="N3781" s="2">
        <f>IF(E3781="","",IF(ISNUMBER(SEARCH("SUBSOLO",E3781)),IFERROR(-VALUE(LEFT(E3781,FIND("º",SUBSTITUTE(E3781,"°","º"))-1)),-1),IF(LEFT(E3781,6)="TÉRREO",0,IFERROR(VALUE(LEFT(E3781,FIND("º",SUBSTITUTE(E3781,"°","º"))-1)),""))))</f>
        <v/>
      </c>
      <c r="O3781" s="2">
        <f>IF(OR(F3781="",G3781=""),"",IF(G3781&lt;='RETRATO 2027'!$K$5,"CONCLUÍDA",IF(F3781&lt;='RETRATO 2027'!$K$5,"EM ANDAMENTO","A INICIAR")))</f>
        <v/>
      </c>
    </row>
    <row r="3782">
      <c r="M3782" s="2">
        <f>IF(C3782="","",IFERROR(INDEX($S$5:$S$304,MATCH(C3782,$R$5:$R$304,0))&amp;"","?"))</f>
        <v/>
      </c>
      <c r="N3782" s="2">
        <f>IF(E3782="","",IF(ISNUMBER(SEARCH("SUBSOLO",E3782)),IFERROR(-VALUE(LEFT(E3782,FIND("º",SUBSTITUTE(E3782,"°","º"))-1)),-1),IF(LEFT(E3782,6)="TÉRREO",0,IFERROR(VALUE(LEFT(E3782,FIND("º",SUBSTITUTE(E3782,"°","º"))-1)),""))))</f>
        <v/>
      </c>
      <c r="O3782" s="2">
        <f>IF(OR(F3782="",G3782=""),"",IF(G3782&lt;='RETRATO 2027'!$K$5,"CONCLUÍDA",IF(F3782&lt;='RETRATO 2027'!$K$5,"EM ANDAMENTO","A INICIAR")))</f>
        <v/>
      </c>
    </row>
    <row r="3783">
      <c r="M3783" s="2">
        <f>IF(C3783="","",IFERROR(INDEX($S$5:$S$304,MATCH(C3783,$R$5:$R$304,0))&amp;"","?"))</f>
        <v/>
      </c>
      <c r="N3783" s="2">
        <f>IF(E3783="","",IF(ISNUMBER(SEARCH("SUBSOLO",E3783)),IFERROR(-VALUE(LEFT(E3783,FIND("º",SUBSTITUTE(E3783,"°","º"))-1)),-1),IF(LEFT(E3783,6)="TÉRREO",0,IFERROR(VALUE(LEFT(E3783,FIND("º",SUBSTITUTE(E3783,"°","º"))-1)),""))))</f>
        <v/>
      </c>
      <c r="O3783" s="2">
        <f>IF(OR(F3783="",G3783=""),"",IF(G3783&lt;='RETRATO 2027'!$K$5,"CONCLUÍDA",IF(F3783&lt;='RETRATO 2027'!$K$5,"EM ANDAMENTO","A INICIAR")))</f>
        <v/>
      </c>
    </row>
    <row r="3784">
      <c r="M3784" s="2">
        <f>IF(C3784="","",IFERROR(INDEX($S$5:$S$304,MATCH(C3784,$R$5:$R$304,0))&amp;"","?"))</f>
        <v/>
      </c>
      <c r="N3784" s="2">
        <f>IF(E3784="","",IF(ISNUMBER(SEARCH("SUBSOLO",E3784)),IFERROR(-VALUE(LEFT(E3784,FIND("º",SUBSTITUTE(E3784,"°","º"))-1)),-1),IF(LEFT(E3784,6)="TÉRREO",0,IFERROR(VALUE(LEFT(E3784,FIND("º",SUBSTITUTE(E3784,"°","º"))-1)),""))))</f>
        <v/>
      </c>
      <c r="O3784" s="2">
        <f>IF(OR(F3784="",G3784=""),"",IF(G3784&lt;='RETRATO 2027'!$K$5,"CONCLUÍDA",IF(F3784&lt;='RETRATO 2027'!$K$5,"EM ANDAMENTO","A INICIAR")))</f>
        <v/>
      </c>
    </row>
    <row r="3785">
      <c r="M3785" s="2">
        <f>IF(C3785="","",IFERROR(INDEX($S$5:$S$304,MATCH(C3785,$R$5:$R$304,0))&amp;"","?"))</f>
        <v/>
      </c>
      <c r="N3785" s="2">
        <f>IF(E3785="","",IF(ISNUMBER(SEARCH("SUBSOLO",E3785)),IFERROR(-VALUE(LEFT(E3785,FIND("º",SUBSTITUTE(E3785,"°","º"))-1)),-1),IF(LEFT(E3785,6)="TÉRREO",0,IFERROR(VALUE(LEFT(E3785,FIND("º",SUBSTITUTE(E3785,"°","º"))-1)),""))))</f>
        <v/>
      </c>
      <c r="O3785" s="2">
        <f>IF(OR(F3785="",G3785=""),"",IF(G3785&lt;='RETRATO 2027'!$K$5,"CONCLUÍDA",IF(F3785&lt;='RETRATO 2027'!$K$5,"EM ANDAMENTO","A INICIAR")))</f>
        <v/>
      </c>
    </row>
    <row r="3786">
      <c r="M3786" s="2">
        <f>IF(C3786="","",IFERROR(INDEX($S$5:$S$304,MATCH(C3786,$R$5:$R$304,0))&amp;"","?"))</f>
        <v/>
      </c>
      <c r="N3786" s="2">
        <f>IF(E3786="","",IF(ISNUMBER(SEARCH("SUBSOLO",E3786)),IFERROR(-VALUE(LEFT(E3786,FIND("º",SUBSTITUTE(E3786,"°","º"))-1)),-1),IF(LEFT(E3786,6)="TÉRREO",0,IFERROR(VALUE(LEFT(E3786,FIND("º",SUBSTITUTE(E3786,"°","º"))-1)),""))))</f>
        <v/>
      </c>
      <c r="O3786" s="2">
        <f>IF(OR(F3786="",G3786=""),"",IF(G3786&lt;='RETRATO 2027'!$K$5,"CONCLUÍDA",IF(F3786&lt;='RETRATO 2027'!$K$5,"EM ANDAMENTO","A INICIAR")))</f>
        <v/>
      </c>
    </row>
    <row r="3787">
      <c r="M3787" s="2">
        <f>IF(C3787="","",IFERROR(INDEX($S$5:$S$304,MATCH(C3787,$R$5:$R$304,0))&amp;"","?"))</f>
        <v/>
      </c>
      <c r="N3787" s="2">
        <f>IF(E3787="","",IF(ISNUMBER(SEARCH("SUBSOLO",E3787)),IFERROR(-VALUE(LEFT(E3787,FIND("º",SUBSTITUTE(E3787,"°","º"))-1)),-1),IF(LEFT(E3787,6)="TÉRREO",0,IFERROR(VALUE(LEFT(E3787,FIND("º",SUBSTITUTE(E3787,"°","º"))-1)),""))))</f>
        <v/>
      </c>
      <c r="O3787" s="2">
        <f>IF(OR(F3787="",G3787=""),"",IF(G3787&lt;='RETRATO 2027'!$K$5,"CONCLUÍDA",IF(F3787&lt;='RETRATO 2027'!$K$5,"EM ANDAMENTO","A INICIAR")))</f>
        <v/>
      </c>
    </row>
    <row r="3788">
      <c r="M3788" s="2">
        <f>IF(C3788="","",IFERROR(INDEX($S$5:$S$304,MATCH(C3788,$R$5:$R$304,0))&amp;"","?"))</f>
        <v/>
      </c>
      <c r="N3788" s="2">
        <f>IF(E3788="","",IF(ISNUMBER(SEARCH("SUBSOLO",E3788)),IFERROR(-VALUE(LEFT(E3788,FIND("º",SUBSTITUTE(E3788,"°","º"))-1)),-1),IF(LEFT(E3788,6)="TÉRREO",0,IFERROR(VALUE(LEFT(E3788,FIND("º",SUBSTITUTE(E3788,"°","º"))-1)),""))))</f>
        <v/>
      </c>
      <c r="O3788" s="2">
        <f>IF(OR(F3788="",G3788=""),"",IF(G3788&lt;='RETRATO 2027'!$K$5,"CONCLUÍDA",IF(F3788&lt;='RETRATO 2027'!$K$5,"EM ANDAMENTO","A INICIAR")))</f>
        <v/>
      </c>
    </row>
    <row r="3789">
      <c r="M3789" s="2">
        <f>IF(C3789="","",IFERROR(INDEX($S$5:$S$304,MATCH(C3789,$R$5:$R$304,0))&amp;"","?"))</f>
        <v/>
      </c>
      <c r="N3789" s="2">
        <f>IF(E3789="","",IF(ISNUMBER(SEARCH("SUBSOLO",E3789)),IFERROR(-VALUE(LEFT(E3789,FIND("º",SUBSTITUTE(E3789,"°","º"))-1)),-1),IF(LEFT(E3789,6)="TÉRREO",0,IFERROR(VALUE(LEFT(E3789,FIND("º",SUBSTITUTE(E3789,"°","º"))-1)),""))))</f>
        <v/>
      </c>
      <c r="O3789" s="2">
        <f>IF(OR(F3789="",G3789=""),"",IF(G3789&lt;='RETRATO 2027'!$K$5,"CONCLUÍDA",IF(F3789&lt;='RETRATO 2027'!$K$5,"EM ANDAMENTO","A INICIAR")))</f>
        <v/>
      </c>
    </row>
    <row r="3790">
      <c r="M3790" s="2">
        <f>IF(C3790="","",IFERROR(INDEX($S$5:$S$304,MATCH(C3790,$R$5:$R$304,0))&amp;"","?"))</f>
        <v/>
      </c>
      <c r="N3790" s="2">
        <f>IF(E3790="","",IF(ISNUMBER(SEARCH("SUBSOLO",E3790)),IFERROR(-VALUE(LEFT(E3790,FIND("º",SUBSTITUTE(E3790,"°","º"))-1)),-1),IF(LEFT(E3790,6)="TÉRREO",0,IFERROR(VALUE(LEFT(E3790,FIND("º",SUBSTITUTE(E3790,"°","º"))-1)),""))))</f>
        <v/>
      </c>
      <c r="O3790" s="2">
        <f>IF(OR(F3790="",G3790=""),"",IF(G3790&lt;='RETRATO 2027'!$K$5,"CONCLUÍDA",IF(F3790&lt;='RETRATO 2027'!$K$5,"EM ANDAMENTO","A INICIAR")))</f>
        <v/>
      </c>
    </row>
    <row r="3791">
      <c r="M3791" s="2">
        <f>IF(C3791="","",IFERROR(INDEX($S$5:$S$304,MATCH(C3791,$R$5:$R$304,0))&amp;"","?"))</f>
        <v/>
      </c>
      <c r="N3791" s="2">
        <f>IF(E3791="","",IF(ISNUMBER(SEARCH("SUBSOLO",E3791)),IFERROR(-VALUE(LEFT(E3791,FIND("º",SUBSTITUTE(E3791,"°","º"))-1)),-1),IF(LEFT(E3791,6)="TÉRREO",0,IFERROR(VALUE(LEFT(E3791,FIND("º",SUBSTITUTE(E3791,"°","º"))-1)),""))))</f>
        <v/>
      </c>
      <c r="O3791" s="2">
        <f>IF(OR(F3791="",G3791=""),"",IF(G3791&lt;='RETRATO 2027'!$K$5,"CONCLUÍDA",IF(F3791&lt;='RETRATO 2027'!$K$5,"EM ANDAMENTO","A INICIAR")))</f>
        <v/>
      </c>
    </row>
    <row r="3792">
      <c r="M3792" s="2">
        <f>IF(C3792="","",IFERROR(INDEX($S$5:$S$304,MATCH(C3792,$R$5:$R$304,0))&amp;"","?"))</f>
        <v/>
      </c>
      <c r="N3792" s="2">
        <f>IF(E3792="","",IF(ISNUMBER(SEARCH("SUBSOLO",E3792)),IFERROR(-VALUE(LEFT(E3792,FIND("º",SUBSTITUTE(E3792,"°","º"))-1)),-1),IF(LEFT(E3792,6)="TÉRREO",0,IFERROR(VALUE(LEFT(E3792,FIND("º",SUBSTITUTE(E3792,"°","º"))-1)),""))))</f>
        <v/>
      </c>
      <c r="O3792" s="2">
        <f>IF(OR(F3792="",G3792=""),"",IF(G3792&lt;='RETRATO 2027'!$K$5,"CONCLUÍDA",IF(F3792&lt;='RETRATO 2027'!$K$5,"EM ANDAMENTO","A INICIAR")))</f>
        <v/>
      </c>
    </row>
    <row r="3793">
      <c r="M3793" s="2">
        <f>IF(C3793="","",IFERROR(INDEX($S$5:$S$304,MATCH(C3793,$R$5:$R$304,0))&amp;"","?"))</f>
        <v/>
      </c>
      <c r="N3793" s="2">
        <f>IF(E3793="","",IF(ISNUMBER(SEARCH("SUBSOLO",E3793)),IFERROR(-VALUE(LEFT(E3793,FIND("º",SUBSTITUTE(E3793,"°","º"))-1)),-1),IF(LEFT(E3793,6)="TÉRREO",0,IFERROR(VALUE(LEFT(E3793,FIND("º",SUBSTITUTE(E3793,"°","º"))-1)),""))))</f>
        <v/>
      </c>
      <c r="O3793" s="2">
        <f>IF(OR(F3793="",G3793=""),"",IF(G3793&lt;='RETRATO 2027'!$K$5,"CONCLUÍDA",IF(F3793&lt;='RETRATO 2027'!$K$5,"EM ANDAMENTO","A INICIAR")))</f>
        <v/>
      </c>
    </row>
    <row r="3794">
      <c r="M3794" s="2">
        <f>IF(C3794="","",IFERROR(INDEX($S$5:$S$304,MATCH(C3794,$R$5:$R$304,0))&amp;"","?"))</f>
        <v/>
      </c>
      <c r="N3794" s="2">
        <f>IF(E3794="","",IF(ISNUMBER(SEARCH("SUBSOLO",E3794)),IFERROR(-VALUE(LEFT(E3794,FIND("º",SUBSTITUTE(E3794,"°","º"))-1)),-1),IF(LEFT(E3794,6)="TÉRREO",0,IFERROR(VALUE(LEFT(E3794,FIND("º",SUBSTITUTE(E3794,"°","º"))-1)),""))))</f>
        <v/>
      </c>
      <c r="O3794" s="2">
        <f>IF(OR(F3794="",G3794=""),"",IF(G3794&lt;='RETRATO 2027'!$K$5,"CONCLUÍDA",IF(F3794&lt;='RETRATO 2027'!$K$5,"EM ANDAMENTO","A INICIAR")))</f>
        <v/>
      </c>
    </row>
    <row r="3795">
      <c r="M3795" s="2">
        <f>IF(C3795="","",IFERROR(INDEX($S$5:$S$304,MATCH(C3795,$R$5:$R$304,0))&amp;"","?"))</f>
        <v/>
      </c>
      <c r="N3795" s="2">
        <f>IF(E3795="","",IF(ISNUMBER(SEARCH("SUBSOLO",E3795)),IFERROR(-VALUE(LEFT(E3795,FIND("º",SUBSTITUTE(E3795,"°","º"))-1)),-1),IF(LEFT(E3795,6)="TÉRREO",0,IFERROR(VALUE(LEFT(E3795,FIND("º",SUBSTITUTE(E3795,"°","º"))-1)),""))))</f>
        <v/>
      </c>
      <c r="O3795" s="2">
        <f>IF(OR(F3795="",G3795=""),"",IF(G3795&lt;='RETRATO 2027'!$K$5,"CONCLUÍDA",IF(F3795&lt;='RETRATO 2027'!$K$5,"EM ANDAMENTO","A INICIAR")))</f>
        <v/>
      </c>
    </row>
    <row r="3796">
      <c r="M3796" s="2">
        <f>IF(C3796="","",IFERROR(INDEX($S$5:$S$304,MATCH(C3796,$R$5:$R$304,0))&amp;"","?"))</f>
        <v/>
      </c>
      <c r="N3796" s="2">
        <f>IF(E3796="","",IF(ISNUMBER(SEARCH("SUBSOLO",E3796)),IFERROR(-VALUE(LEFT(E3796,FIND("º",SUBSTITUTE(E3796,"°","º"))-1)),-1),IF(LEFT(E3796,6)="TÉRREO",0,IFERROR(VALUE(LEFT(E3796,FIND("º",SUBSTITUTE(E3796,"°","º"))-1)),""))))</f>
        <v/>
      </c>
      <c r="O3796" s="2">
        <f>IF(OR(F3796="",G3796=""),"",IF(G3796&lt;='RETRATO 2027'!$K$5,"CONCLUÍDA",IF(F3796&lt;='RETRATO 2027'!$K$5,"EM ANDAMENTO","A INICIAR")))</f>
        <v/>
      </c>
    </row>
    <row r="3797">
      <c r="M3797" s="2">
        <f>IF(C3797="","",IFERROR(INDEX($S$5:$S$304,MATCH(C3797,$R$5:$R$304,0))&amp;"","?"))</f>
        <v/>
      </c>
      <c r="N3797" s="2">
        <f>IF(E3797="","",IF(ISNUMBER(SEARCH("SUBSOLO",E3797)),IFERROR(-VALUE(LEFT(E3797,FIND("º",SUBSTITUTE(E3797,"°","º"))-1)),-1),IF(LEFT(E3797,6)="TÉRREO",0,IFERROR(VALUE(LEFT(E3797,FIND("º",SUBSTITUTE(E3797,"°","º"))-1)),""))))</f>
        <v/>
      </c>
      <c r="O3797" s="2">
        <f>IF(OR(F3797="",G3797=""),"",IF(G3797&lt;='RETRATO 2027'!$K$5,"CONCLUÍDA",IF(F3797&lt;='RETRATO 2027'!$K$5,"EM ANDAMENTO","A INICIAR")))</f>
        <v/>
      </c>
    </row>
    <row r="3798">
      <c r="M3798" s="2">
        <f>IF(C3798="","",IFERROR(INDEX($S$5:$S$304,MATCH(C3798,$R$5:$R$304,0))&amp;"","?"))</f>
        <v/>
      </c>
      <c r="N3798" s="2">
        <f>IF(E3798="","",IF(ISNUMBER(SEARCH("SUBSOLO",E3798)),IFERROR(-VALUE(LEFT(E3798,FIND("º",SUBSTITUTE(E3798,"°","º"))-1)),-1),IF(LEFT(E3798,6)="TÉRREO",0,IFERROR(VALUE(LEFT(E3798,FIND("º",SUBSTITUTE(E3798,"°","º"))-1)),""))))</f>
        <v/>
      </c>
      <c r="O3798" s="2">
        <f>IF(OR(F3798="",G3798=""),"",IF(G3798&lt;='RETRATO 2027'!$K$5,"CONCLUÍDA",IF(F3798&lt;='RETRATO 2027'!$K$5,"EM ANDAMENTO","A INICIAR")))</f>
        <v/>
      </c>
    </row>
    <row r="3799">
      <c r="M3799" s="2">
        <f>IF(C3799="","",IFERROR(INDEX($S$5:$S$304,MATCH(C3799,$R$5:$R$304,0))&amp;"","?"))</f>
        <v/>
      </c>
      <c r="N3799" s="2">
        <f>IF(E3799="","",IF(ISNUMBER(SEARCH("SUBSOLO",E3799)),IFERROR(-VALUE(LEFT(E3799,FIND("º",SUBSTITUTE(E3799,"°","º"))-1)),-1),IF(LEFT(E3799,6)="TÉRREO",0,IFERROR(VALUE(LEFT(E3799,FIND("º",SUBSTITUTE(E3799,"°","º"))-1)),""))))</f>
        <v/>
      </c>
      <c r="O3799" s="2">
        <f>IF(OR(F3799="",G3799=""),"",IF(G3799&lt;='RETRATO 2027'!$K$5,"CONCLUÍDA",IF(F3799&lt;='RETRATO 2027'!$K$5,"EM ANDAMENTO","A INICIAR")))</f>
        <v/>
      </c>
    </row>
    <row r="3800">
      <c r="M3800" s="2">
        <f>IF(C3800="","",IFERROR(INDEX($S$5:$S$304,MATCH(C3800,$R$5:$R$304,0))&amp;"","?"))</f>
        <v/>
      </c>
      <c r="N3800" s="2">
        <f>IF(E3800="","",IF(ISNUMBER(SEARCH("SUBSOLO",E3800)),IFERROR(-VALUE(LEFT(E3800,FIND("º",SUBSTITUTE(E3800,"°","º"))-1)),-1),IF(LEFT(E3800,6)="TÉRREO",0,IFERROR(VALUE(LEFT(E3800,FIND("º",SUBSTITUTE(E3800,"°","º"))-1)),""))))</f>
        <v/>
      </c>
      <c r="O3800" s="2">
        <f>IF(OR(F3800="",G3800=""),"",IF(G3800&lt;='RETRATO 2027'!$K$5,"CONCLUÍDA",IF(F3800&lt;='RETRATO 2027'!$K$5,"EM ANDAMENTO","A INICIAR")))</f>
        <v/>
      </c>
    </row>
    <row r="3801">
      <c r="M3801" s="2">
        <f>IF(C3801="","",IFERROR(INDEX($S$5:$S$304,MATCH(C3801,$R$5:$R$304,0))&amp;"","?"))</f>
        <v/>
      </c>
      <c r="N3801" s="2">
        <f>IF(E3801="","",IF(ISNUMBER(SEARCH("SUBSOLO",E3801)),IFERROR(-VALUE(LEFT(E3801,FIND("º",SUBSTITUTE(E3801,"°","º"))-1)),-1),IF(LEFT(E3801,6)="TÉRREO",0,IFERROR(VALUE(LEFT(E3801,FIND("º",SUBSTITUTE(E3801,"°","º"))-1)),""))))</f>
        <v/>
      </c>
      <c r="O3801" s="2">
        <f>IF(OR(F3801="",G3801=""),"",IF(G3801&lt;='RETRATO 2027'!$K$5,"CONCLUÍDA",IF(F3801&lt;='RETRATO 2027'!$K$5,"EM ANDAMENTO","A INICIAR")))</f>
        <v/>
      </c>
    </row>
    <row r="3802">
      <c r="M3802" s="2">
        <f>IF(C3802="","",IFERROR(INDEX($S$5:$S$304,MATCH(C3802,$R$5:$R$304,0))&amp;"","?"))</f>
        <v/>
      </c>
      <c r="N3802" s="2">
        <f>IF(E3802="","",IF(ISNUMBER(SEARCH("SUBSOLO",E3802)),IFERROR(-VALUE(LEFT(E3802,FIND("º",SUBSTITUTE(E3802,"°","º"))-1)),-1),IF(LEFT(E3802,6)="TÉRREO",0,IFERROR(VALUE(LEFT(E3802,FIND("º",SUBSTITUTE(E3802,"°","º"))-1)),""))))</f>
        <v/>
      </c>
      <c r="O3802" s="2">
        <f>IF(OR(F3802="",G3802=""),"",IF(G3802&lt;='RETRATO 2027'!$K$5,"CONCLUÍDA",IF(F3802&lt;='RETRATO 2027'!$K$5,"EM ANDAMENTO","A INICIAR")))</f>
        <v/>
      </c>
    </row>
    <row r="3803">
      <c r="M3803" s="2">
        <f>IF(C3803="","",IFERROR(INDEX($S$5:$S$304,MATCH(C3803,$R$5:$R$304,0))&amp;"","?"))</f>
        <v/>
      </c>
      <c r="N3803" s="2">
        <f>IF(E3803="","",IF(ISNUMBER(SEARCH("SUBSOLO",E3803)),IFERROR(-VALUE(LEFT(E3803,FIND("º",SUBSTITUTE(E3803,"°","º"))-1)),-1),IF(LEFT(E3803,6)="TÉRREO",0,IFERROR(VALUE(LEFT(E3803,FIND("º",SUBSTITUTE(E3803,"°","º"))-1)),""))))</f>
        <v/>
      </c>
      <c r="O3803" s="2">
        <f>IF(OR(F3803="",G3803=""),"",IF(G3803&lt;='RETRATO 2027'!$K$5,"CONCLUÍDA",IF(F3803&lt;='RETRATO 2027'!$K$5,"EM ANDAMENTO","A INICIAR")))</f>
        <v/>
      </c>
    </row>
    <row r="3804">
      <c r="M3804" s="2">
        <f>IF(C3804="","",IFERROR(INDEX($S$5:$S$304,MATCH(C3804,$R$5:$R$304,0))&amp;"","?"))</f>
        <v/>
      </c>
      <c r="N3804" s="2">
        <f>IF(E3804="","",IF(ISNUMBER(SEARCH("SUBSOLO",E3804)),IFERROR(-VALUE(LEFT(E3804,FIND("º",SUBSTITUTE(E3804,"°","º"))-1)),-1),IF(LEFT(E3804,6)="TÉRREO",0,IFERROR(VALUE(LEFT(E3804,FIND("º",SUBSTITUTE(E3804,"°","º"))-1)),""))))</f>
        <v/>
      </c>
      <c r="O3804" s="2">
        <f>IF(OR(F3804="",G3804=""),"",IF(G3804&lt;='RETRATO 2027'!$K$5,"CONCLUÍDA",IF(F3804&lt;='RETRATO 2027'!$K$5,"EM ANDAMENTO","A INICIAR")))</f>
        <v/>
      </c>
    </row>
    <row r="3805">
      <c r="M3805" s="2">
        <f>IF(C3805="","",IFERROR(INDEX($S$5:$S$304,MATCH(C3805,$R$5:$R$304,0))&amp;"","?"))</f>
        <v/>
      </c>
      <c r="N3805" s="2">
        <f>IF(E3805="","",IF(ISNUMBER(SEARCH("SUBSOLO",E3805)),IFERROR(-VALUE(LEFT(E3805,FIND("º",SUBSTITUTE(E3805,"°","º"))-1)),-1),IF(LEFT(E3805,6)="TÉRREO",0,IFERROR(VALUE(LEFT(E3805,FIND("º",SUBSTITUTE(E3805,"°","º"))-1)),""))))</f>
        <v/>
      </c>
      <c r="O3805" s="2">
        <f>IF(OR(F3805="",G3805=""),"",IF(G3805&lt;='RETRATO 2027'!$K$5,"CONCLUÍDA",IF(F3805&lt;='RETRATO 2027'!$K$5,"EM ANDAMENTO","A INICIAR")))</f>
        <v/>
      </c>
    </row>
    <row r="3806">
      <c r="M3806" s="2">
        <f>IF(C3806="","",IFERROR(INDEX($S$5:$S$304,MATCH(C3806,$R$5:$R$304,0))&amp;"","?"))</f>
        <v/>
      </c>
      <c r="N3806" s="2">
        <f>IF(E3806="","",IF(ISNUMBER(SEARCH("SUBSOLO",E3806)),IFERROR(-VALUE(LEFT(E3806,FIND("º",SUBSTITUTE(E3806,"°","º"))-1)),-1),IF(LEFT(E3806,6)="TÉRREO",0,IFERROR(VALUE(LEFT(E3806,FIND("º",SUBSTITUTE(E3806,"°","º"))-1)),""))))</f>
        <v/>
      </c>
      <c r="O3806" s="2">
        <f>IF(OR(F3806="",G3806=""),"",IF(G3806&lt;='RETRATO 2027'!$K$5,"CONCLUÍDA",IF(F3806&lt;='RETRATO 2027'!$K$5,"EM ANDAMENTO","A INICIAR")))</f>
        <v/>
      </c>
    </row>
    <row r="3807">
      <c r="M3807" s="2">
        <f>IF(C3807="","",IFERROR(INDEX($S$5:$S$304,MATCH(C3807,$R$5:$R$304,0))&amp;"","?"))</f>
        <v/>
      </c>
      <c r="N3807" s="2">
        <f>IF(E3807="","",IF(ISNUMBER(SEARCH("SUBSOLO",E3807)),IFERROR(-VALUE(LEFT(E3807,FIND("º",SUBSTITUTE(E3807,"°","º"))-1)),-1),IF(LEFT(E3807,6)="TÉRREO",0,IFERROR(VALUE(LEFT(E3807,FIND("º",SUBSTITUTE(E3807,"°","º"))-1)),""))))</f>
        <v/>
      </c>
      <c r="O3807" s="2">
        <f>IF(OR(F3807="",G3807=""),"",IF(G3807&lt;='RETRATO 2027'!$K$5,"CONCLUÍDA",IF(F3807&lt;='RETRATO 2027'!$K$5,"EM ANDAMENTO","A INICIAR")))</f>
        <v/>
      </c>
    </row>
    <row r="3808">
      <c r="M3808" s="2">
        <f>IF(C3808="","",IFERROR(INDEX($S$5:$S$304,MATCH(C3808,$R$5:$R$304,0))&amp;"","?"))</f>
        <v/>
      </c>
      <c r="N3808" s="2">
        <f>IF(E3808="","",IF(ISNUMBER(SEARCH("SUBSOLO",E3808)),IFERROR(-VALUE(LEFT(E3808,FIND("º",SUBSTITUTE(E3808,"°","º"))-1)),-1),IF(LEFT(E3808,6)="TÉRREO",0,IFERROR(VALUE(LEFT(E3808,FIND("º",SUBSTITUTE(E3808,"°","º"))-1)),""))))</f>
        <v/>
      </c>
      <c r="O3808" s="2">
        <f>IF(OR(F3808="",G3808=""),"",IF(G3808&lt;='RETRATO 2027'!$K$5,"CONCLUÍDA",IF(F3808&lt;='RETRATO 2027'!$K$5,"EM ANDAMENTO","A INICIAR")))</f>
        <v/>
      </c>
    </row>
    <row r="3809">
      <c r="M3809" s="2">
        <f>IF(C3809="","",IFERROR(INDEX($S$5:$S$304,MATCH(C3809,$R$5:$R$304,0))&amp;"","?"))</f>
        <v/>
      </c>
      <c r="N3809" s="2">
        <f>IF(E3809="","",IF(ISNUMBER(SEARCH("SUBSOLO",E3809)),IFERROR(-VALUE(LEFT(E3809,FIND("º",SUBSTITUTE(E3809,"°","º"))-1)),-1),IF(LEFT(E3809,6)="TÉRREO",0,IFERROR(VALUE(LEFT(E3809,FIND("º",SUBSTITUTE(E3809,"°","º"))-1)),""))))</f>
        <v/>
      </c>
      <c r="O3809" s="2">
        <f>IF(OR(F3809="",G3809=""),"",IF(G3809&lt;='RETRATO 2027'!$K$5,"CONCLUÍDA",IF(F3809&lt;='RETRATO 2027'!$K$5,"EM ANDAMENTO","A INICIAR")))</f>
        <v/>
      </c>
    </row>
    <row r="3810">
      <c r="M3810" s="2">
        <f>IF(C3810="","",IFERROR(INDEX($S$5:$S$304,MATCH(C3810,$R$5:$R$304,0))&amp;"","?"))</f>
        <v/>
      </c>
      <c r="N3810" s="2">
        <f>IF(E3810="","",IF(ISNUMBER(SEARCH("SUBSOLO",E3810)),IFERROR(-VALUE(LEFT(E3810,FIND("º",SUBSTITUTE(E3810,"°","º"))-1)),-1),IF(LEFT(E3810,6)="TÉRREO",0,IFERROR(VALUE(LEFT(E3810,FIND("º",SUBSTITUTE(E3810,"°","º"))-1)),""))))</f>
        <v/>
      </c>
      <c r="O3810" s="2">
        <f>IF(OR(F3810="",G3810=""),"",IF(G3810&lt;='RETRATO 2027'!$K$5,"CONCLUÍDA",IF(F3810&lt;='RETRATO 2027'!$K$5,"EM ANDAMENTO","A INICIAR")))</f>
        <v/>
      </c>
    </row>
    <row r="3811">
      <c r="M3811" s="2">
        <f>IF(C3811="","",IFERROR(INDEX($S$5:$S$304,MATCH(C3811,$R$5:$R$304,0))&amp;"","?"))</f>
        <v/>
      </c>
      <c r="N3811" s="2">
        <f>IF(E3811="","",IF(ISNUMBER(SEARCH("SUBSOLO",E3811)),IFERROR(-VALUE(LEFT(E3811,FIND("º",SUBSTITUTE(E3811,"°","º"))-1)),-1),IF(LEFT(E3811,6)="TÉRREO",0,IFERROR(VALUE(LEFT(E3811,FIND("º",SUBSTITUTE(E3811,"°","º"))-1)),""))))</f>
        <v/>
      </c>
      <c r="O3811" s="2">
        <f>IF(OR(F3811="",G3811=""),"",IF(G3811&lt;='RETRATO 2027'!$K$5,"CONCLUÍDA",IF(F3811&lt;='RETRATO 2027'!$K$5,"EM ANDAMENTO","A INICIAR")))</f>
        <v/>
      </c>
    </row>
    <row r="3812">
      <c r="M3812" s="2">
        <f>IF(C3812="","",IFERROR(INDEX($S$5:$S$304,MATCH(C3812,$R$5:$R$304,0))&amp;"","?"))</f>
        <v/>
      </c>
      <c r="N3812" s="2">
        <f>IF(E3812="","",IF(ISNUMBER(SEARCH("SUBSOLO",E3812)),IFERROR(-VALUE(LEFT(E3812,FIND("º",SUBSTITUTE(E3812,"°","º"))-1)),-1),IF(LEFT(E3812,6)="TÉRREO",0,IFERROR(VALUE(LEFT(E3812,FIND("º",SUBSTITUTE(E3812,"°","º"))-1)),""))))</f>
        <v/>
      </c>
      <c r="O3812" s="2">
        <f>IF(OR(F3812="",G3812=""),"",IF(G3812&lt;='RETRATO 2027'!$K$5,"CONCLUÍDA",IF(F3812&lt;='RETRATO 2027'!$K$5,"EM ANDAMENTO","A INICIAR")))</f>
        <v/>
      </c>
    </row>
    <row r="3813">
      <c r="M3813" s="2">
        <f>IF(C3813="","",IFERROR(INDEX($S$5:$S$304,MATCH(C3813,$R$5:$R$304,0))&amp;"","?"))</f>
        <v/>
      </c>
      <c r="N3813" s="2">
        <f>IF(E3813="","",IF(ISNUMBER(SEARCH("SUBSOLO",E3813)),IFERROR(-VALUE(LEFT(E3813,FIND("º",SUBSTITUTE(E3813,"°","º"))-1)),-1),IF(LEFT(E3813,6)="TÉRREO",0,IFERROR(VALUE(LEFT(E3813,FIND("º",SUBSTITUTE(E3813,"°","º"))-1)),""))))</f>
        <v/>
      </c>
      <c r="O3813" s="2">
        <f>IF(OR(F3813="",G3813=""),"",IF(G3813&lt;='RETRATO 2027'!$K$5,"CONCLUÍDA",IF(F3813&lt;='RETRATO 2027'!$K$5,"EM ANDAMENTO","A INICIAR")))</f>
        <v/>
      </c>
    </row>
    <row r="3814">
      <c r="M3814" s="2">
        <f>IF(C3814="","",IFERROR(INDEX($S$5:$S$304,MATCH(C3814,$R$5:$R$304,0))&amp;"","?"))</f>
        <v/>
      </c>
      <c r="N3814" s="2">
        <f>IF(E3814="","",IF(ISNUMBER(SEARCH("SUBSOLO",E3814)),IFERROR(-VALUE(LEFT(E3814,FIND("º",SUBSTITUTE(E3814,"°","º"))-1)),-1),IF(LEFT(E3814,6)="TÉRREO",0,IFERROR(VALUE(LEFT(E3814,FIND("º",SUBSTITUTE(E3814,"°","º"))-1)),""))))</f>
        <v/>
      </c>
      <c r="O3814" s="2">
        <f>IF(OR(F3814="",G3814=""),"",IF(G3814&lt;='RETRATO 2027'!$K$5,"CONCLUÍDA",IF(F3814&lt;='RETRATO 2027'!$K$5,"EM ANDAMENTO","A INICIAR")))</f>
        <v/>
      </c>
    </row>
    <row r="3815">
      <c r="M3815" s="2">
        <f>IF(C3815="","",IFERROR(INDEX($S$5:$S$304,MATCH(C3815,$R$5:$R$304,0))&amp;"","?"))</f>
        <v/>
      </c>
      <c r="N3815" s="2">
        <f>IF(E3815="","",IF(ISNUMBER(SEARCH("SUBSOLO",E3815)),IFERROR(-VALUE(LEFT(E3815,FIND("º",SUBSTITUTE(E3815,"°","º"))-1)),-1),IF(LEFT(E3815,6)="TÉRREO",0,IFERROR(VALUE(LEFT(E3815,FIND("º",SUBSTITUTE(E3815,"°","º"))-1)),""))))</f>
        <v/>
      </c>
      <c r="O3815" s="2">
        <f>IF(OR(F3815="",G3815=""),"",IF(G3815&lt;='RETRATO 2027'!$K$5,"CONCLUÍDA",IF(F3815&lt;='RETRATO 2027'!$K$5,"EM ANDAMENTO","A INICIAR")))</f>
        <v/>
      </c>
    </row>
    <row r="3816">
      <c r="M3816" s="2">
        <f>IF(C3816="","",IFERROR(INDEX($S$5:$S$304,MATCH(C3816,$R$5:$R$304,0))&amp;"","?"))</f>
        <v/>
      </c>
      <c r="N3816" s="2">
        <f>IF(E3816="","",IF(ISNUMBER(SEARCH("SUBSOLO",E3816)),IFERROR(-VALUE(LEFT(E3816,FIND("º",SUBSTITUTE(E3816,"°","º"))-1)),-1),IF(LEFT(E3816,6)="TÉRREO",0,IFERROR(VALUE(LEFT(E3816,FIND("º",SUBSTITUTE(E3816,"°","º"))-1)),""))))</f>
        <v/>
      </c>
      <c r="O3816" s="2">
        <f>IF(OR(F3816="",G3816=""),"",IF(G3816&lt;='RETRATO 2027'!$K$5,"CONCLUÍDA",IF(F3816&lt;='RETRATO 2027'!$K$5,"EM ANDAMENTO","A INICIAR")))</f>
        <v/>
      </c>
    </row>
    <row r="3817">
      <c r="M3817" s="2">
        <f>IF(C3817="","",IFERROR(INDEX($S$5:$S$304,MATCH(C3817,$R$5:$R$304,0))&amp;"","?"))</f>
        <v/>
      </c>
      <c r="N3817" s="2">
        <f>IF(E3817="","",IF(ISNUMBER(SEARCH("SUBSOLO",E3817)),IFERROR(-VALUE(LEFT(E3817,FIND("º",SUBSTITUTE(E3817,"°","º"))-1)),-1),IF(LEFT(E3817,6)="TÉRREO",0,IFERROR(VALUE(LEFT(E3817,FIND("º",SUBSTITUTE(E3817,"°","º"))-1)),""))))</f>
        <v/>
      </c>
      <c r="O3817" s="2">
        <f>IF(OR(F3817="",G3817=""),"",IF(G3817&lt;='RETRATO 2027'!$K$5,"CONCLUÍDA",IF(F3817&lt;='RETRATO 2027'!$K$5,"EM ANDAMENTO","A INICIAR")))</f>
        <v/>
      </c>
    </row>
    <row r="3818">
      <c r="M3818" s="2">
        <f>IF(C3818="","",IFERROR(INDEX($S$5:$S$304,MATCH(C3818,$R$5:$R$304,0))&amp;"","?"))</f>
        <v/>
      </c>
      <c r="N3818" s="2">
        <f>IF(E3818="","",IF(ISNUMBER(SEARCH("SUBSOLO",E3818)),IFERROR(-VALUE(LEFT(E3818,FIND("º",SUBSTITUTE(E3818,"°","º"))-1)),-1),IF(LEFT(E3818,6)="TÉRREO",0,IFERROR(VALUE(LEFT(E3818,FIND("º",SUBSTITUTE(E3818,"°","º"))-1)),""))))</f>
        <v/>
      </c>
      <c r="O3818" s="2">
        <f>IF(OR(F3818="",G3818=""),"",IF(G3818&lt;='RETRATO 2027'!$K$5,"CONCLUÍDA",IF(F3818&lt;='RETRATO 2027'!$K$5,"EM ANDAMENTO","A INICIAR")))</f>
        <v/>
      </c>
    </row>
    <row r="3819">
      <c r="M3819" s="2">
        <f>IF(C3819="","",IFERROR(INDEX($S$5:$S$304,MATCH(C3819,$R$5:$R$304,0))&amp;"","?"))</f>
        <v/>
      </c>
      <c r="N3819" s="2">
        <f>IF(E3819="","",IF(ISNUMBER(SEARCH("SUBSOLO",E3819)),IFERROR(-VALUE(LEFT(E3819,FIND("º",SUBSTITUTE(E3819,"°","º"))-1)),-1),IF(LEFT(E3819,6)="TÉRREO",0,IFERROR(VALUE(LEFT(E3819,FIND("º",SUBSTITUTE(E3819,"°","º"))-1)),""))))</f>
        <v/>
      </c>
      <c r="O3819" s="2">
        <f>IF(OR(F3819="",G3819=""),"",IF(G3819&lt;='RETRATO 2027'!$K$5,"CONCLUÍDA",IF(F3819&lt;='RETRATO 2027'!$K$5,"EM ANDAMENTO","A INICIAR")))</f>
        <v/>
      </c>
    </row>
    <row r="3820">
      <c r="M3820" s="2">
        <f>IF(C3820="","",IFERROR(INDEX($S$5:$S$304,MATCH(C3820,$R$5:$R$304,0))&amp;"","?"))</f>
        <v/>
      </c>
      <c r="N3820" s="2">
        <f>IF(E3820="","",IF(ISNUMBER(SEARCH("SUBSOLO",E3820)),IFERROR(-VALUE(LEFT(E3820,FIND("º",SUBSTITUTE(E3820,"°","º"))-1)),-1),IF(LEFT(E3820,6)="TÉRREO",0,IFERROR(VALUE(LEFT(E3820,FIND("º",SUBSTITUTE(E3820,"°","º"))-1)),""))))</f>
        <v/>
      </c>
      <c r="O3820" s="2">
        <f>IF(OR(F3820="",G3820=""),"",IF(G3820&lt;='RETRATO 2027'!$K$5,"CONCLUÍDA",IF(F3820&lt;='RETRATO 2027'!$K$5,"EM ANDAMENTO","A INICIAR")))</f>
        <v/>
      </c>
    </row>
    <row r="3821">
      <c r="M3821" s="2">
        <f>IF(C3821="","",IFERROR(INDEX($S$5:$S$304,MATCH(C3821,$R$5:$R$304,0))&amp;"","?"))</f>
        <v/>
      </c>
      <c r="N3821" s="2">
        <f>IF(E3821="","",IF(ISNUMBER(SEARCH("SUBSOLO",E3821)),IFERROR(-VALUE(LEFT(E3821,FIND("º",SUBSTITUTE(E3821,"°","º"))-1)),-1),IF(LEFT(E3821,6)="TÉRREO",0,IFERROR(VALUE(LEFT(E3821,FIND("º",SUBSTITUTE(E3821,"°","º"))-1)),""))))</f>
        <v/>
      </c>
      <c r="O3821" s="2">
        <f>IF(OR(F3821="",G3821=""),"",IF(G3821&lt;='RETRATO 2027'!$K$5,"CONCLUÍDA",IF(F3821&lt;='RETRATO 2027'!$K$5,"EM ANDAMENTO","A INICIAR")))</f>
        <v/>
      </c>
    </row>
    <row r="3822">
      <c r="M3822" s="2">
        <f>IF(C3822="","",IFERROR(INDEX($S$5:$S$304,MATCH(C3822,$R$5:$R$304,0))&amp;"","?"))</f>
        <v/>
      </c>
      <c r="N3822" s="2">
        <f>IF(E3822="","",IF(ISNUMBER(SEARCH("SUBSOLO",E3822)),IFERROR(-VALUE(LEFT(E3822,FIND("º",SUBSTITUTE(E3822,"°","º"))-1)),-1),IF(LEFT(E3822,6)="TÉRREO",0,IFERROR(VALUE(LEFT(E3822,FIND("º",SUBSTITUTE(E3822,"°","º"))-1)),""))))</f>
        <v/>
      </c>
      <c r="O3822" s="2">
        <f>IF(OR(F3822="",G3822=""),"",IF(G3822&lt;='RETRATO 2027'!$K$5,"CONCLUÍDA",IF(F3822&lt;='RETRATO 2027'!$K$5,"EM ANDAMENTO","A INICIAR")))</f>
        <v/>
      </c>
    </row>
    <row r="3823">
      <c r="M3823" s="2">
        <f>IF(C3823="","",IFERROR(INDEX($S$5:$S$304,MATCH(C3823,$R$5:$R$304,0))&amp;"","?"))</f>
        <v/>
      </c>
      <c r="N3823" s="2">
        <f>IF(E3823="","",IF(ISNUMBER(SEARCH("SUBSOLO",E3823)),IFERROR(-VALUE(LEFT(E3823,FIND("º",SUBSTITUTE(E3823,"°","º"))-1)),-1),IF(LEFT(E3823,6)="TÉRREO",0,IFERROR(VALUE(LEFT(E3823,FIND("º",SUBSTITUTE(E3823,"°","º"))-1)),""))))</f>
        <v/>
      </c>
      <c r="O3823" s="2">
        <f>IF(OR(F3823="",G3823=""),"",IF(G3823&lt;='RETRATO 2027'!$K$5,"CONCLUÍDA",IF(F3823&lt;='RETRATO 2027'!$K$5,"EM ANDAMENTO","A INICIAR")))</f>
        <v/>
      </c>
    </row>
    <row r="3824">
      <c r="M3824" s="2">
        <f>IF(C3824="","",IFERROR(INDEX($S$5:$S$304,MATCH(C3824,$R$5:$R$304,0))&amp;"","?"))</f>
        <v/>
      </c>
      <c r="N3824" s="2">
        <f>IF(E3824="","",IF(ISNUMBER(SEARCH("SUBSOLO",E3824)),IFERROR(-VALUE(LEFT(E3824,FIND("º",SUBSTITUTE(E3824,"°","º"))-1)),-1),IF(LEFT(E3824,6)="TÉRREO",0,IFERROR(VALUE(LEFT(E3824,FIND("º",SUBSTITUTE(E3824,"°","º"))-1)),""))))</f>
        <v/>
      </c>
      <c r="O3824" s="2">
        <f>IF(OR(F3824="",G3824=""),"",IF(G3824&lt;='RETRATO 2027'!$K$5,"CONCLUÍDA",IF(F3824&lt;='RETRATO 2027'!$K$5,"EM ANDAMENTO","A INICIAR")))</f>
        <v/>
      </c>
    </row>
    <row r="3825">
      <c r="M3825" s="2">
        <f>IF(C3825="","",IFERROR(INDEX($S$5:$S$304,MATCH(C3825,$R$5:$R$304,0))&amp;"","?"))</f>
        <v/>
      </c>
      <c r="N3825" s="2">
        <f>IF(E3825="","",IF(ISNUMBER(SEARCH("SUBSOLO",E3825)),IFERROR(-VALUE(LEFT(E3825,FIND("º",SUBSTITUTE(E3825,"°","º"))-1)),-1),IF(LEFT(E3825,6)="TÉRREO",0,IFERROR(VALUE(LEFT(E3825,FIND("º",SUBSTITUTE(E3825,"°","º"))-1)),""))))</f>
        <v/>
      </c>
      <c r="O3825" s="2">
        <f>IF(OR(F3825="",G3825=""),"",IF(G3825&lt;='RETRATO 2027'!$K$5,"CONCLUÍDA",IF(F3825&lt;='RETRATO 2027'!$K$5,"EM ANDAMENTO","A INICIAR")))</f>
        <v/>
      </c>
    </row>
    <row r="3826">
      <c r="M3826" s="2">
        <f>IF(C3826="","",IFERROR(INDEX($S$5:$S$304,MATCH(C3826,$R$5:$R$304,0))&amp;"","?"))</f>
        <v/>
      </c>
      <c r="N3826" s="2">
        <f>IF(E3826="","",IF(ISNUMBER(SEARCH("SUBSOLO",E3826)),IFERROR(-VALUE(LEFT(E3826,FIND("º",SUBSTITUTE(E3826,"°","º"))-1)),-1),IF(LEFT(E3826,6)="TÉRREO",0,IFERROR(VALUE(LEFT(E3826,FIND("º",SUBSTITUTE(E3826,"°","º"))-1)),""))))</f>
        <v/>
      </c>
      <c r="O3826" s="2">
        <f>IF(OR(F3826="",G3826=""),"",IF(G3826&lt;='RETRATO 2027'!$K$5,"CONCLUÍDA",IF(F3826&lt;='RETRATO 2027'!$K$5,"EM ANDAMENTO","A INICIAR")))</f>
        <v/>
      </c>
    </row>
    <row r="3827">
      <c r="M3827" s="2">
        <f>IF(C3827="","",IFERROR(INDEX($S$5:$S$304,MATCH(C3827,$R$5:$R$304,0))&amp;"","?"))</f>
        <v/>
      </c>
      <c r="N3827" s="2">
        <f>IF(E3827="","",IF(ISNUMBER(SEARCH("SUBSOLO",E3827)),IFERROR(-VALUE(LEFT(E3827,FIND("º",SUBSTITUTE(E3827,"°","º"))-1)),-1),IF(LEFT(E3827,6)="TÉRREO",0,IFERROR(VALUE(LEFT(E3827,FIND("º",SUBSTITUTE(E3827,"°","º"))-1)),""))))</f>
        <v/>
      </c>
      <c r="O3827" s="2">
        <f>IF(OR(F3827="",G3827=""),"",IF(G3827&lt;='RETRATO 2027'!$K$5,"CONCLUÍDA",IF(F3827&lt;='RETRATO 2027'!$K$5,"EM ANDAMENTO","A INICIAR")))</f>
        <v/>
      </c>
    </row>
    <row r="3828">
      <c r="M3828" s="2">
        <f>IF(C3828="","",IFERROR(INDEX($S$5:$S$304,MATCH(C3828,$R$5:$R$304,0))&amp;"","?"))</f>
        <v/>
      </c>
      <c r="N3828" s="2">
        <f>IF(E3828="","",IF(ISNUMBER(SEARCH("SUBSOLO",E3828)),IFERROR(-VALUE(LEFT(E3828,FIND("º",SUBSTITUTE(E3828,"°","º"))-1)),-1),IF(LEFT(E3828,6)="TÉRREO",0,IFERROR(VALUE(LEFT(E3828,FIND("º",SUBSTITUTE(E3828,"°","º"))-1)),""))))</f>
        <v/>
      </c>
      <c r="O3828" s="2">
        <f>IF(OR(F3828="",G3828=""),"",IF(G3828&lt;='RETRATO 2027'!$K$5,"CONCLUÍDA",IF(F3828&lt;='RETRATO 2027'!$K$5,"EM ANDAMENTO","A INICIAR")))</f>
        <v/>
      </c>
    </row>
    <row r="3829">
      <c r="M3829" s="2">
        <f>IF(C3829="","",IFERROR(INDEX($S$5:$S$304,MATCH(C3829,$R$5:$R$304,0))&amp;"","?"))</f>
        <v/>
      </c>
      <c r="N3829" s="2">
        <f>IF(E3829="","",IF(ISNUMBER(SEARCH("SUBSOLO",E3829)),IFERROR(-VALUE(LEFT(E3829,FIND("º",SUBSTITUTE(E3829,"°","º"))-1)),-1),IF(LEFT(E3829,6)="TÉRREO",0,IFERROR(VALUE(LEFT(E3829,FIND("º",SUBSTITUTE(E3829,"°","º"))-1)),""))))</f>
        <v/>
      </c>
      <c r="O3829" s="2">
        <f>IF(OR(F3829="",G3829=""),"",IF(G3829&lt;='RETRATO 2027'!$K$5,"CONCLUÍDA",IF(F3829&lt;='RETRATO 2027'!$K$5,"EM ANDAMENTO","A INICIAR")))</f>
        <v/>
      </c>
    </row>
    <row r="3830">
      <c r="M3830" s="2">
        <f>IF(C3830="","",IFERROR(INDEX($S$5:$S$304,MATCH(C3830,$R$5:$R$304,0))&amp;"","?"))</f>
        <v/>
      </c>
      <c r="N3830" s="2">
        <f>IF(E3830="","",IF(ISNUMBER(SEARCH("SUBSOLO",E3830)),IFERROR(-VALUE(LEFT(E3830,FIND("º",SUBSTITUTE(E3830,"°","º"))-1)),-1),IF(LEFT(E3830,6)="TÉRREO",0,IFERROR(VALUE(LEFT(E3830,FIND("º",SUBSTITUTE(E3830,"°","º"))-1)),""))))</f>
        <v/>
      </c>
      <c r="O3830" s="2">
        <f>IF(OR(F3830="",G3830=""),"",IF(G3830&lt;='RETRATO 2027'!$K$5,"CONCLUÍDA",IF(F3830&lt;='RETRATO 2027'!$K$5,"EM ANDAMENTO","A INICIAR")))</f>
        <v/>
      </c>
    </row>
    <row r="3831">
      <c r="M3831" s="2">
        <f>IF(C3831="","",IFERROR(INDEX($S$5:$S$304,MATCH(C3831,$R$5:$R$304,0))&amp;"","?"))</f>
        <v/>
      </c>
      <c r="N3831" s="2">
        <f>IF(E3831="","",IF(ISNUMBER(SEARCH("SUBSOLO",E3831)),IFERROR(-VALUE(LEFT(E3831,FIND("º",SUBSTITUTE(E3831,"°","º"))-1)),-1),IF(LEFT(E3831,6)="TÉRREO",0,IFERROR(VALUE(LEFT(E3831,FIND("º",SUBSTITUTE(E3831,"°","º"))-1)),""))))</f>
        <v/>
      </c>
      <c r="O3831" s="2">
        <f>IF(OR(F3831="",G3831=""),"",IF(G3831&lt;='RETRATO 2027'!$K$5,"CONCLUÍDA",IF(F3831&lt;='RETRATO 2027'!$K$5,"EM ANDAMENTO","A INICIAR")))</f>
        <v/>
      </c>
    </row>
    <row r="3832">
      <c r="M3832" s="2">
        <f>IF(C3832="","",IFERROR(INDEX($S$5:$S$304,MATCH(C3832,$R$5:$R$304,0))&amp;"","?"))</f>
        <v/>
      </c>
      <c r="N3832" s="2">
        <f>IF(E3832="","",IF(ISNUMBER(SEARCH("SUBSOLO",E3832)),IFERROR(-VALUE(LEFT(E3832,FIND("º",SUBSTITUTE(E3832,"°","º"))-1)),-1),IF(LEFT(E3832,6)="TÉRREO",0,IFERROR(VALUE(LEFT(E3832,FIND("º",SUBSTITUTE(E3832,"°","º"))-1)),""))))</f>
        <v/>
      </c>
      <c r="O3832" s="2">
        <f>IF(OR(F3832="",G3832=""),"",IF(G3832&lt;='RETRATO 2027'!$K$5,"CONCLUÍDA",IF(F3832&lt;='RETRATO 2027'!$K$5,"EM ANDAMENTO","A INICIAR")))</f>
        <v/>
      </c>
    </row>
    <row r="3833">
      <c r="M3833" s="2">
        <f>IF(C3833="","",IFERROR(INDEX($S$5:$S$304,MATCH(C3833,$R$5:$R$304,0))&amp;"","?"))</f>
        <v/>
      </c>
      <c r="N3833" s="2">
        <f>IF(E3833="","",IF(ISNUMBER(SEARCH("SUBSOLO",E3833)),IFERROR(-VALUE(LEFT(E3833,FIND("º",SUBSTITUTE(E3833,"°","º"))-1)),-1),IF(LEFT(E3833,6)="TÉRREO",0,IFERROR(VALUE(LEFT(E3833,FIND("º",SUBSTITUTE(E3833,"°","º"))-1)),""))))</f>
        <v/>
      </c>
      <c r="O3833" s="2">
        <f>IF(OR(F3833="",G3833=""),"",IF(G3833&lt;='RETRATO 2027'!$K$5,"CONCLUÍDA",IF(F3833&lt;='RETRATO 2027'!$K$5,"EM ANDAMENTO","A INICIAR")))</f>
        <v/>
      </c>
    </row>
    <row r="3834">
      <c r="M3834" s="2">
        <f>IF(C3834="","",IFERROR(INDEX($S$5:$S$304,MATCH(C3834,$R$5:$R$304,0))&amp;"","?"))</f>
        <v/>
      </c>
      <c r="N3834" s="2">
        <f>IF(E3834="","",IF(ISNUMBER(SEARCH("SUBSOLO",E3834)),IFERROR(-VALUE(LEFT(E3834,FIND("º",SUBSTITUTE(E3834,"°","º"))-1)),-1),IF(LEFT(E3834,6)="TÉRREO",0,IFERROR(VALUE(LEFT(E3834,FIND("º",SUBSTITUTE(E3834,"°","º"))-1)),""))))</f>
        <v/>
      </c>
      <c r="O3834" s="2">
        <f>IF(OR(F3834="",G3834=""),"",IF(G3834&lt;='RETRATO 2027'!$K$5,"CONCLUÍDA",IF(F3834&lt;='RETRATO 2027'!$K$5,"EM ANDAMENTO","A INICIAR")))</f>
        <v/>
      </c>
    </row>
    <row r="3835">
      <c r="M3835" s="2">
        <f>IF(C3835="","",IFERROR(INDEX($S$5:$S$304,MATCH(C3835,$R$5:$R$304,0))&amp;"","?"))</f>
        <v/>
      </c>
      <c r="N3835" s="2">
        <f>IF(E3835="","",IF(ISNUMBER(SEARCH("SUBSOLO",E3835)),IFERROR(-VALUE(LEFT(E3835,FIND("º",SUBSTITUTE(E3835,"°","º"))-1)),-1),IF(LEFT(E3835,6)="TÉRREO",0,IFERROR(VALUE(LEFT(E3835,FIND("º",SUBSTITUTE(E3835,"°","º"))-1)),""))))</f>
        <v/>
      </c>
      <c r="O3835" s="2">
        <f>IF(OR(F3835="",G3835=""),"",IF(G3835&lt;='RETRATO 2027'!$K$5,"CONCLUÍDA",IF(F3835&lt;='RETRATO 2027'!$K$5,"EM ANDAMENTO","A INICIAR")))</f>
        <v/>
      </c>
    </row>
    <row r="3836">
      <c r="M3836" s="2">
        <f>IF(C3836="","",IFERROR(INDEX($S$5:$S$304,MATCH(C3836,$R$5:$R$304,0))&amp;"","?"))</f>
        <v/>
      </c>
      <c r="N3836" s="2">
        <f>IF(E3836="","",IF(ISNUMBER(SEARCH("SUBSOLO",E3836)),IFERROR(-VALUE(LEFT(E3836,FIND("º",SUBSTITUTE(E3836,"°","º"))-1)),-1),IF(LEFT(E3836,6)="TÉRREO",0,IFERROR(VALUE(LEFT(E3836,FIND("º",SUBSTITUTE(E3836,"°","º"))-1)),""))))</f>
        <v/>
      </c>
      <c r="O3836" s="2">
        <f>IF(OR(F3836="",G3836=""),"",IF(G3836&lt;='RETRATO 2027'!$K$5,"CONCLUÍDA",IF(F3836&lt;='RETRATO 2027'!$K$5,"EM ANDAMENTO","A INICIAR")))</f>
        <v/>
      </c>
    </row>
    <row r="3837">
      <c r="M3837" s="2">
        <f>IF(C3837="","",IFERROR(INDEX($S$5:$S$304,MATCH(C3837,$R$5:$R$304,0))&amp;"","?"))</f>
        <v/>
      </c>
      <c r="N3837" s="2">
        <f>IF(E3837="","",IF(ISNUMBER(SEARCH("SUBSOLO",E3837)),IFERROR(-VALUE(LEFT(E3837,FIND("º",SUBSTITUTE(E3837,"°","º"))-1)),-1),IF(LEFT(E3837,6)="TÉRREO",0,IFERROR(VALUE(LEFT(E3837,FIND("º",SUBSTITUTE(E3837,"°","º"))-1)),""))))</f>
        <v/>
      </c>
      <c r="O3837" s="2">
        <f>IF(OR(F3837="",G3837=""),"",IF(G3837&lt;='RETRATO 2027'!$K$5,"CONCLUÍDA",IF(F3837&lt;='RETRATO 2027'!$K$5,"EM ANDAMENTO","A INICIAR")))</f>
        <v/>
      </c>
    </row>
    <row r="3838">
      <c r="M3838" s="2">
        <f>IF(C3838="","",IFERROR(INDEX($S$5:$S$304,MATCH(C3838,$R$5:$R$304,0))&amp;"","?"))</f>
        <v/>
      </c>
      <c r="N3838" s="2">
        <f>IF(E3838="","",IF(ISNUMBER(SEARCH("SUBSOLO",E3838)),IFERROR(-VALUE(LEFT(E3838,FIND("º",SUBSTITUTE(E3838,"°","º"))-1)),-1),IF(LEFT(E3838,6)="TÉRREO",0,IFERROR(VALUE(LEFT(E3838,FIND("º",SUBSTITUTE(E3838,"°","º"))-1)),""))))</f>
        <v/>
      </c>
      <c r="O3838" s="2">
        <f>IF(OR(F3838="",G3838=""),"",IF(G3838&lt;='RETRATO 2027'!$K$5,"CONCLUÍDA",IF(F3838&lt;='RETRATO 2027'!$K$5,"EM ANDAMENTO","A INICIAR")))</f>
        <v/>
      </c>
    </row>
    <row r="3839">
      <c r="M3839" s="2">
        <f>IF(C3839="","",IFERROR(INDEX($S$5:$S$304,MATCH(C3839,$R$5:$R$304,0))&amp;"","?"))</f>
        <v/>
      </c>
      <c r="N3839" s="2">
        <f>IF(E3839="","",IF(ISNUMBER(SEARCH("SUBSOLO",E3839)),IFERROR(-VALUE(LEFT(E3839,FIND("º",SUBSTITUTE(E3839,"°","º"))-1)),-1),IF(LEFT(E3839,6)="TÉRREO",0,IFERROR(VALUE(LEFT(E3839,FIND("º",SUBSTITUTE(E3839,"°","º"))-1)),""))))</f>
        <v/>
      </c>
      <c r="O3839" s="2">
        <f>IF(OR(F3839="",G3839=""),"",IF(G3839&lt;='RETRATO 2027'!$K$5,"CONCLUÍDA",IF(F3839&lt;='RETRATO 2027'!$K$5,"EM ANDAMENTO","A INICIAR")))</f>
        <v/>
      </c>
    </row>
    <row r="3840">
      <c r="M3840" s="2">
        <f>IF(C3840="","",IFERROR(INDEX($S$5:$S$304,MATCH(C3840,$R$5:$R$304,0))&amp;"","?"))</f>
        <v/>
      </c>
      <c r="N3840" s="2">
        <f>IF(E3840="","",IF(ISNUMBER(SEARCH("SUBSOLO",E3840)),IFERROR(-VALUE(LEFT(E3840,FIND("º",SUBSTITUTE(E3840,"°","º"))-1)),-1),IF(LEFT(E3840,6)="TÉRREO",0,IFERROR(VALUE(LEFT(E3840,FIND("º",SUBSTITUTE(E3840,"°","º"))-1)),""))))</f>
        <v/>
      </c>
      <c r="O3840" s="2">
        <f>IF(OR(F3840="",G3840=""),"",IF(G3840&lt;='RETRATO 2027'!$K$5,"CONCLUÍDA",IF(F3840&lt;='RETRATO 2027'!$K$5,"EM ANDAMENTO","A INICIAR")))</f>
        <v/>
      </c>
    </row>
    <row r="3841">
      <c r="M3841" s="2">
        <f>IF(C3841="","",IFERROR(INDEX($S$5:$S$304,MATCH(C3841,$R$5:$R$304,0))&amp;"","?"))</f>
        <v/>
      </c>
      <c r="N3841" s="2">
        <f>IF(E3841="","",IF(ISNUMBER(SEARCH("SUBSOLO",E3841)),IFERROR(-VALUE(LEFT(E3841,FIND("º",SUBSTITUTE(E3841,"°","º"))-1)),-1),IF(LEFT(E3841,6)="TÉRREO",0,IFERROR(VALUE(LEFT(E3841,FIND("º",SUBSTITUTE(E3841,"°","º"))-1)),""))))</f>
        <v/>
      </c>
      <c r="O3841" s="2">
        <f>IF(OR(F3841="",G3841=""),"",IF(G3841&lt;='RETRATO 2027'!$K$5,"CONCLUÍDA",IF(F3841&lt;='RETRATO 2027'!$K$5,"EM ANDAMENTO","A INICIAR")))</f>
        <v/>
      </c>
    </row>
    <row r="3842">
      <c r="M3842" s="2">
        <f>IF(C3842="","",IFERROR(INDEX($S$5:$S$304,MATCH(C3842,$R$5:$R$304,0))&amp;"","?"))</f>
        <v/>
      </c>
      <c r="N3842" s="2">
        <f>IF(E3842="","",IF(ISNUMBER(SEARCH("SUBSOLO",E3842)),IFERROR(-VALUE(LEFT(E3842,FIND("º",SUBSTITUTE(E3842,"°","º"))-1)),-1),IF(LEFT(E3842,6)="TÉRREO",0,IFERROR(VALUE(LEFT(E3842,FIND("º",SUBSTITUTE(E3842,"°","º"))-1)),""))))</f>
        <v/>
      </c>
      <c r="O3842" s="2">
        <f>IF(OR(F3842="",G3842=""),"",IF(G3842&lt;='RETRATO 2027'!$K$5,"CONCLUÍDA",IF(F3842&lt;='RETRATO 2027'!$K$5,"EM ANDAMENTO","A INICIAR")))</f>
        <v/>
      </c>
    </row>
    <row r="3843">
      <c r="M3843" s="2">
        <f>IF(C3843="","",IFERROR(INDEX($S$5:$S$304,MATCH(C3843,$R$5:$R$304,0))&amp;"","?"))</f>
        <v/>
      </c>
      <c r="N3843" s="2">
        <f>IF(E3843="","",IF(ISNUMBER(SEARCH("SUBSOLO",E3843)),IFERROR(-VALUE(LEFT(E3843,FIND("º",SUBSTITUTE(E3843,"°","º"))-1)),-1),IF(LEFT(E3843,6)="TÉRREO",0,IFERROR(VALUE(LEFT(E3843,FIND("º",SUBSTITUTE(E3843,"°","º"))-1)),""))))</f>
        <v/>
      </c>
      <c r="O3843" s="2">
        <f>IF(OR(F3843="",G3843=""),"",IF(G3843&lt;='RETRATO 2027'!$K$5,"CONCLUÍDA",IF(F3843&lt;='RETRATO 2027'!$K$5,"EM ANDAMENTO","A INICIAR")))</f>
        <v/>
      </c>
    </row>
    <row r="3844">
      <c r="M3844" s="2">
        <f>IF(C3844="","",IFERROR(INDEX($S$5:$S$304,MATCH(C3844,$R$5:$R$304,0))&amp;"","?"))</f>
        <v/>
      </c>
      <c r="N3844" s="2">
        <f>IF(E3844="","",IF(ISNUMBER(SEARCH("SUBSOLO",E3844)),IFERROR(-VALUE(LEFT(E3844,FIND("º",SUBSTITUTE(E3844,"°","º"))-1)),-1),IF(LEFT(E3844,6)="TÉRREO",0,IFERROR(VALUE(LEFT(E3844,FIND("º",SUBSTITUTE(E3844,"°","º"))-1)),""))))</f>
        <v/>
      </c>
      <c r="O3844" s="2">
        <f>IF(OR(F3844="",G3844=""),"",IF(G3844&lt;='RETRATO 2027'!$K$5,"CONCLUÍDA",IF(F3844&lt;='RETRATO 2027'!$K$5,"EM ANDAMENTO","A INICIAR")))</f>
        <v/>
      </c>
    </row>
    <row r="3845">
      <c r="M3845" s="2">
        <f>IF(C3845="","",IFERROR(INDEX($S$5:$S$304,MATCH(C3845,$R$5:$R$304,0))&amp;"","?"))</f>
        <v/>
      </c>
      <c r="N3845" s="2">
        <f>IF(E3845="","",IF(ISNUMBER(SEARCH("SUBSOLO",E3845)),IFERROR(-VALUE(LEFT(E3845,FIND("º",SUBSTITUTE(E3845,"°","º"))-1)),-1),IF(LEFT(E3845,6)="TÉRREO",0,IFERROR(VALUE(LEFT(E3845,FIND("º",SUBSTITUTE(E3845,"°","º"))-1)),""))))</f>
        <v/>
      </c>
      <c r="O3845" s="2">
        <f>IF(OR(F3845="",G3845=""),"",IF(G3845&lt;='RETRATO 2027'!$K$5,"CONCLUÍDA",IF(F3845&lt;='RETRATO 2027'!$K$5,"EM ANDAMENTO","A INICIAR")))</f>
        <v/>
      </c>
    </row>
    <row r="3846">
      <c r="M3846" s="2">
        <f>IF(C3846="","",IFERROR(INDEX($S$5:$S$304,MATCH(C3846,$R$5:$R$304,0))&amp;"","?"))</f>
        <v/>
      </c>
      <c r="N3846" s="2">
        <f>IF(E3846="","",IF(ISNUMBER(SEARCH("SUBSOLO",E3846)),IFERROR(-VALUE(LEFT(E3846,FIND("º",SUBSTITUTE(E3846,"°","º"))-1)),-1),IF(LEFT(E3846,6)="TÉRREO",0,IFERROR(VALUE(LEFT(E3846,FIND("º",SUBSTITUTE(E3846,"°","º"))-1)),""))))</f>
        <v/>
      </c>
      <c r="O3846" s="2">
        <f>IF(OR(F3846="",G3846=""),"",IF(G3846&lt;='RETRATO 2027'!$K$5,"CONCLUÍDA",IF(F3846&lt;='RETRATO 2027'!$K$5,"EM ANDAMENTO","A INICIAR")))</f>
        <v/>
      </c>
    </row>
    <row r="3847">
      <c r="M3847" s="2">
        <f>IF(C3847="","",IFERROR(INDEX($S$5:$S$304,MATCH(C3847,$R$5:$R$304,0))&amp;"","?"))</f>
        <v/>
      </c>
      <c r="N3847" s="2">
        <f>IF(E3847="","",IF(ISNUMBER(SEARCH("SUBSOLO",E3847)),IFERROR(-VALUE(LEFT(E3847,FIND("º",SUBSTITUTE(E3847,"°","º"))-1)),-1),IF(LEFT(E3847,6)="TÉRREO",0,IFERROR(VALUE(LEFT(E3847,FIND("º",SUBSTITUTE(E3847,"°","º"))-1)),""))))</f>
        <v/>
      </c>
      <c r="O3847" s="2">
        <f>IF(OR(F3847="",G3847=""),"",IF(G3847&lt;='RETRATO 2027'!$K$5,"CONCLUÍDA",IF(F3847&lt;='RETRATO 2027'!$K$5,"EM ANDAMENTO","A INICIAR")))</f>
        <v/>
      </c>
    </row>
    <row r="3848">
      <c r="M3848" s="2">
        <f>IF(C3848="","",IFERROR(INDEX($S$5:$S$304,MATCH(C3848,$R$5:$R$304,0))&amp;"","?"))</f>
        <v/>
      </c>
      <c r="N3848" s="2">
        <f>IF(E3848="","",IF(ISNUMBER(SEARCH("SUBSOLO",E3848)),IFERROR(-VALUE(LEFT(E3848,FIND("º",SUBSTITUTE(E3848,"°","º"))-1)),-1),IF(LEFT(E3848,6)="TÉRREO",0,IFERROR(VALUE(LEFT(E3848,FIND("º",SUBSTITUTE(E3848,"°","º"))-1)),""))))</f>
        <v/>
      </c>
      <c r="O3848" s="2">
        <f>IF(OR(F3848="",G3848=""),"",IF(G3848&lt;='RETRATO 2027'!$K$5,"CONCLUÍDA",IF(F3848&lt;='RETRATO 2027'!$K$5,"EM ANDAMENTO","A INICIAR")))</f>
        <v/>
      </c>
    </row>
    <row r="3849">
      <c r="M3849" s="2">
        <f>IF(C3849="","",IFERROR(INDEX($S$5:$S$304,MATCH(C3849,$R$5:$R$304,0))&amp;"","?"))</f>
        <v/>
      </c>
      <c r="N3849" s="2">
        <f>IF(E3849="","",IF(ISNUMBER(SEARCH("SUBSOLO",E3849)),IFERROR(-VALUE(LEFT(E3849,FIND("º",SUBSTITUTE(E3849,"°","º"))-1)),-1),IF(LEFT(E3849,6)="TÉRREO",0,IFERROR(VALUE(LEFT(E3849,FIND("º",SUBSTITUTE(E3849,"°","º"))-1)),""))))</f>
        <v/>
      </c>
      <c r="O3849" s="2">
        <f>IF(OR(F3849="",G3849=""),"",IF(G3849&lt;='RETRATO 2027'!$K$5,"CONCLUÍDA",IF(F3849&lt;='RETRATO 2027'!$K$5,"EM ANDAMENTO","A INICIAR")))</f>
        <v/>
      </c>
    </row>
    <row r="3850">
      <c r="M3850" s="2">
        <f>IF(C3850="","",IFERROR(INDEX($S$5:$S$304,MATCH(C3850,$R$5:$R$304,0))&amp;"","?"))</f>
        <v/>
      </c>
      <c r="N3850" s="2">
        <f>IF(E3850="","",IF(ISNUMBER(SEARCH("SUBSOLO",E3850)),IFERROR(-VALUE(LEFT(E3850,FIND("º",SUBSTITUTE(E3850,"°","º"))-1)),-1),IF(LEFT(E3850,6)="TÉRREO",0,IFERROR(VALUE(LEFT(E3850,FIND("º",SUBSTITUTE(E3850,"°","º"))-1)),""))))</f>
        <v/>
      </c>
      <c r="O3850" s="2">
        <f>IF(OR(F3850="",G3850=""),"",IF(G3850&lt;='RETRATO 2027'!$K$5,"CONCLUÍDA",IF(F3850&lt;='RETRATO 2027'!$K$5,"EM ANDAMENTO","A INICIAR")))</f>
        <v/>
      </c>
    </row>
    <row r="3851">
      <c r="M3851" s="2">
        <f>IF(C3851="","",IFERROR(INDEX($S$5:$S$304,MATCH(C3851,$R$5:$R$304,0))&amp;"","?"))</f>
        <v/>
      </c>
      <c r="N3851" s="2">
        <f>IF(E3851="","",IF(ISNUMBER(SEARCH("SUBSOLO",E3851)),IFERROR(-VALUE(LEFT(E3851,FIND("º",SUBSTITUTE(E3851,"°","º"))-1)),-1),IF(LEFT(E3851,6)="TÉRREO",0,IFERROR(VALUE(LEFT(E3851,FIND("º",SUBSTITUTE(E3851,"°","º"))-1)),""))))</f>
        <v/>
      </c>
      <c r="O3851" s="2">
        <f>IF(OR(F3851="",G3851=""),"",IF(G3851&lt;='RETRATO 2027'!$K$5,"CONCLUÍDA",IF(F3851&lt;='RETRATO 2027'!$K$5,"EM ANDAMENTO","A INICIAR")))</f>
        <v/>
      </c>
    </row>
    <row r="3852">
      <c r="M3852" s="2">
        <f>IF(C3852="","",IFERROR(INDEX($S$5:$S$304,MATCH(C3852,$R$5:$R$304,0))&amp;"","?"))</f>
        <v/>
      </c>
      <c r="N3852" s="2">
        <f>IF(E3852="","",IF(ISNUMBER(SEARCH("SUBSOLO",E3852)),IFERROR(-VALUE(LEFT(E3852,FIND("º",SUBSTITUTE(E3852,"°","º"))-1)),-1),IF(LEFT(E3852,6)="TÉRREO",0,IFERROR(VALUE(LEFT(E3852,FIND("º",SUBSTITUTE(E3852,"°","º"))-1)),""))))</f>
        <v/>
      </c>
      <c r="O3852" s="2">
        <f>IF(OR(F3852="",G3852=""),"",IF(G3852&lt;='RETRATO 2027'!$K$5,"CONCLUÍDA",IF(F3852&lt;='RETRATO 2027'!$K$5,"EM ANDAMENTO","A INICIAR")))</f>
        <v/>
      </c>
    </row>
    <row r="3853">
      <c r="M3853" s="2">
        <f>IF(C3853="","",IFERROR(INDEX($S$5:$S$304,MATCH(C3853,$R$5:$R$304,0))&amp;"","?"))</f>
        <v/>
      </c>
      <c r="N3853" s="2">
        <f>IF(E3853="","",IF(ISNUMBER(SEARCH("SUBSOLO",E3853)),IFERROR(-VALUE(LEFT(E3853,FIND("º",SUBSTITUTE(E3853,"°","º"))-1)),-1),IF(LEFT(E3853,6)="TÉRREO",0,IFERROR(VALUE(LEFT(E3853,FIND("º",SUBSTITUTE(E3853,"°","º"))-1)),""))))</f>
        <v/>
      </c>
      <c r="O3853" s="2">
        <f>IF(OR(F3853="",G3853=""),"",IF(G3853&lt;='RETRATO 2027'!$K$5,"CONCLUÍDA",IF(F3853&lt;='RETRATO 2027'!$K$5,"EM ANDAMENTO","A INICIAR")))</f>
        <v/>
      </c>
    </row>
    <row r="3854">
      <c r="M3854" s="2">
        <f>IF(C3854="","",IFERROR(INDEX($S$5:$S$304,MATCH(C3854,$R$5:$R$304,0))&amp;"","?"))</f>
        <v/>
      </c>
      <c r="N3854" s="2">
        <f>IF(E3854="","",IF(ISNUMBER(SEARCH("SUBSOLO",E3854)),IFERROR(-VALUE(LEFT(E3854,FIND("º",SUBSTITUTE(E3854,"°","º"))-1)),-1),IF(LEFT(E3854,6)="TÉRREO",0,IFERROR(VALUE(LEFT(E3854,FIND("º",SUBSTITUTE(E3854,"°","º"))-1)),""))))</f>
        <v/>
      </c>
      <c r="O3854" s="2">
        <f>IF(OR(F3854="",G3854=""),"",IF(G3854&lt;='RETRATO 2027'!$K$5,"CONCLUÍDA",IF(F3854&lt;='RETRATO 2027'!$K$5,"EM ANDAMENTO","A INICIAR")))</f>
        <v/>
      </c>
    </row>
    <row r="3855">
      <c r="M3855" s="2">
        <f>IF(C3855="","",IFERROR(INDEX($S$5:$S$304,MATCH(C3855,$R$5:$R$304,0))&amp;"","?"))</f>
        <v/>
      </c>
      <c r="N3855" s="2">
        <f>IF(E3855="","",IF(ISNUMBER(SEARCH("SUBSOLO",E3855)),IFERROR(-VALUE(LEFT(E3855,FIND("º",SUBSTITUTE(E3855,"°","º"))-1)),-1),IF(LEFT(E3855,6)="TÉRREO",0,IFERROR(VALUE(LEFT(E3855,FIND("º",SUBSTITUTE(E3855,"°","º"))-1)),""))))</f>
        <v/>
      </c>
      <c r="O3855" s="2">
        <f>IF(OR(F3855="",G3855=""),"",IF(G3855&lt;='RETRATO 2027'!$K$5,"CONCLUÍDA",IF(F3855&lt;='RETRATO 2027'!$K$5,"EM ANDAMENTO","A INICIAR")))</f>
        <v/>
      </c>
    </row>
    <row r="3856">
      <c r="M3856" s="2">
        <f>IF(C3856="","",IFERROR(INDEX($S$5:$S$304,MATCH(C3856,$R$5:$R$304,0))&amp;"","?"))</f>
        <v/>
      </c>
      <c r="N3856" s="2">
        <f>IF(E3856="","",IF(ISNUMBER(SEARCH("SUBSOLO",E3856)),IFERROR(-VALUE(LEFT(E3856,FIND("º",SUBSTITUTE(E3856,"°","º"))-1)),-1),IF(LEFT(E3856,6)="TÉRREO",0,IFERROR(VALUE(LEFT(E3856,FIND("º",SUBSTITUTE(E3856,"°","º"))-1)),""))))</f>
        <v/>
      </c>
      <c r="O3856" s="2">
        <f>IF(OR(F3856="",G3856=""),"",IF(G3856&lt;='RETRATO 2027'!$K$5,"CONCLUÍDA",IF(F3856&lt;='RETRATO 2027'!$K$5,"EM ANDAMENTO","A INICIAR")))</f>
        <v/>
      </c>
    </row>
    <row r="3857">
      <c r="M3857" s="2">
        <f>IF(C3857="","",IFERROR(INDEX($S$5:$S$304,MATCH(C3857,$R$5:$R$304,0))&amp;"","?"))</f>
        <v/>
      </c>
      <c r="N3857" s="2">
        <f>IF(E3857="","",IF(ISNUMBER(SEARCH("SUBSOLO",E3857)),IFERROR(-VALUE(LEFT(E3857,FIND("º",SUBSTITUTE(E3857,"°","º"))-1)),-1),IF(LEFT(E3857,6)="TÉRREO",0,IFERROR(VALUE(LEFT(E3857,FIND("º",SUBSTITUTE(E3857,"°","º"))-1)),""))))</f>
        <v/>
      </c>
      <c r="O3857" s="2">
        <f>IF(OR(F3857="",G3857=""),"",IF(G3857&lt;='RETRATO 2027'!$K$5,"CONCLUÍDA",IF(F3857&lt;='RETRATO 2027'!$K$5,"EM ANDAMENTO","A INICIAR")))</f>
        <v/>
      </c>
    </row>
    <row r="3858">
      <c r="M3858" s="2">
        <f>IF(C3858="","",IFERROR(INDEX($S$5:$S$304,MATCH(C3858,$R$5:$R$304,0))&amp;"","?"))</f>
        <v/>
      </c>
      <c r="N3858" s="2">
        <f>IF(E3858="","",IF(ISNUMBER(SEARCH("SUBSOLO",E3858)),IFERROR(-VALUE(LEFT(E3858,FIND("º",SUBSTITUTE(E3858,"°","º"))-1)),-1),IF(LEFT(E3858,6)="TÉRREO",0,IFERROR(VALUE(LEFT(E3858,FIND("º",SUBSTITUTE(E3858,"°","º"))-1)),""))))</f>
        <v/>
      </c>
      <c r="O3858" s="2">
        <f>IF(OR(F3858="",G3858=""),"",IF(G3858&lt;='RETRATO 2027'!$K$5,"CONCLUÍDA",IF(F3858&lt;='RETRATO 2027'!$K$5,"EM ANDAMENTO","A INICIAR")))</f>
        <v/>
      </c>
    </row>
    <row r="3859">
      <c r="M3859" s="2">
        <f>IF(C3859="","",IFERROR(INDEX($S$5:$S$304,MATCH(C3859,$R$5:$R$304,0))&amp;"","?"))</f>
        <v/>
      </c>
      <c r="N3859" s="2">
        <f>IF(E3859="","",IF(ISNUMBER(SEARCH("SUBSOLO",E3859)),IFERROR(-VALUE(LEFT(E3859,FIND("º",SUBSTITUTE(E3859,"°","º"))-1)),-1),IF(LEFT(E3859,6)="TÉRREO",0,IFERROR(VALUE(LEFT(E3859,FIND("º",SUBSTITUTE(E3859,"°","º"))-1)),""))))</f>
        <v/>
      </c>
      <c r="O3859" s="2">
        <f>IF(OR(F3859="",G3859=""),"",IF(G3859&lt;='RETRATO 2027'!$K$5,"CONCLUÍDA",IF(F3859&lt;='RETRATO 2027'!$K$5,"EM ANDAMENTO","A INICIAR")))</f>
        <v/>
      </c>
    </row>
    <row r="3860">
      <c r="M3860" s="2">
        <f>IF(C3860="","",IFERROR(INDEX($S$5:$S$304,MATCH(C3860,$R$5:$R$304,0))&amp;"","?"))</f>
        <v/>
      </c>
      <c r="N3860" s="2">
        <f>IF(E3860="","",IF(ISNUMBER(SEARCH("SUBSOLO",E3860)),IFERROR(-VALUE(LEFT(E3860,FIND("º",SUBSTITUTE(E3860,"°","º"))-1)),-1),IF(LEFT(E3860,6)="TÉRREO",0,IFERROR(VALUE(LEFT(E3860,FIND("º",SUBSTITUTE(E3860,"°","º"))-1)),""))))</f>
        <v/>
      </c>
      <c r="O3860" s="2">
        <f>IF(OR(F3860="",G3860=""),"",IF(G3860&lt;='RETRATO 2027'!$K$5,"CONCLUÍDA",IF(F3860&lt;='RETRATO 2027'!$K$5,"EM ANDAMENTO","A INICIAR")))</f>
        <v/>
      </c>
    </row>
    <row r="3861">
      <c r="M3861" s="2">
        <f>IF(C3861="","",IFERROR(INDEX($S$5:$S$304,MATCH(C3861,$R$5:$R$304,0))&amp;"","?"))</f>
        <v/>
      </c>
      <c r="N3861" s="2">
        <f>IF(E3861="","",IF(ISNUMBER(SEARCH("SUBSOLO",E3861)),IFERROR(-VALUE(LEFT(E3861,FIND("º",SUBSTITUTE(E3861,"°","º"))-1)),-1),IF(LEFT(E3861,6)="TÉRREO",0,IFERROR(VALUE(LEFT(E3861,FIND("º",SUBSTITUTE(E3861,"°","º"))-1)),""))))</f>
        <v/>
      </c>
      <c r="O3861" s="2">
        <f>IF(OR(F3861="",G3861=""),"",IF(G3861&lt;='RETRATO 2027'!$K$5,"CONCLUÍDA",IF(F3861&lt;='RETRATO 2027'!$K$5,"EM ANDAMENTO","A INICIAR")))</f>
        <v/>
      </c>
    </row>
    <row r="3862">
      <c r="M3862" s="2">
        <f>IF(C3862="","",IFERROR(INDEX($S$5:$S$304,MATCH(C3862,$R$5:$R$304,0))&amp;"","?"))</f>
        <v/>
      </c>
      <c r="N3862" s="2">
        <f>IF(E3862="","",IF(ISNUMBER(SEARCH("SUBSOLO",E3862)),IFERROR(-VALUE(LEFT(E3862,FIND("º",SUBSTITUTE(E3862,"°","º"))-1)),-1),IF(LEFT(E3862,6)="TÉRREO",0,IFERROR(VALUE(LEFT(E3862,FIND("º",SUBSTITUTE(E3862,"°","º"))-1)),""))))</f>
        <v/>
      </c>
      <c r="O3862" s="2">
        <f>IF(OR(F3862="",G3862=""),"",IF(G3862&lt;='RETRATO 2027'!$K$5,"CONCLUÍDA",IF(F3862&lt;='RETRATO 2027'!$K$5,"EM ANDAMENTO","A INICIAR")))</f>
        <v/>
      </c>
    </row>
    <row r="3863">
      <c r="M3863" s="2">
        <f>IF(C3863="","",IFERROR(INDEX($S$5:$S$304,MATCH(C3863,$R$5:$R$304,0))&amp;"","?"))</f>
        <v/>
      </c>
      <c r="N3863" s="2">
        <f>IF(E3863="","",IF(ISNUMBER(SEARCH("SUBSOLO",E3863)),IFERROR(-VALUE(LEFT(E3863,FIND("º",SUBSTITUTE(E3863,"°","º"))-1)),-1),IF(LEFT(E3863,6)="TÉRREO",0,IFERROR(VALUE(LEFT(E3863,FIND("º",SUBSTITUTE(E3863,"°","º"))-1)),""))))</f>
        <v/>
      </c>
      <c r="O3863" s="2">
        <f>IF(OR(F3863="",G3863=""),"",IF(G3863&lt;='RETRATO 2027'!$K$5,"CONCLUÍDA",IF(F3863&lt;='RETRATO 2027'!$K$5,"EM ANDAMENTO","A INICIAR")))</f>
        <v/>
      </c>
    </row>
    <row r="3864">
      <c r="M3864" s="2">
        <f>IF(C3864="","",IFERROR(INDEX($S$5:$S$304,MATCH(C3864,$R$5:$R$304,0))&amp;"","?"))</f>
        <v/>
      </c>
      <c r="N3864" s="2">
        <f>IF(E3864="","",IF(ISNUMBER(SEARCH("SUBSOLO",E3864)),IFERROR(-VALUE(LEFT(E3864,FIND("º",SUBSTITUTE(E3864,"°","º"))-1)),-1),IF(LEFT(E3864,6)="TÉRREO",0,IFERROR(VALUE(LEFT(E3864,FIND("º",SUBSTITUTE(E3864,"°","º"))-1)),""))))</f>
        <v/>
      </c>
      <c r="O3864" s="2">
        <f>IF(OR(F3864="",G3864=""),"",IF(G3864&lt;='RETRATO 2027'!$K$5,"CONCLUÍDA",IF(F3864&lt;='RETRATO 2027'!$K$5,"EM ANDAMENTO","A INICIAR")))</f>
        <v/>
      </c>
    </row>
    <row r="3865">
      <c r="M3865" s="2">
        <f>IF(C3865="","",IFERROR(INDEX($S$5:$S$304,MATCH(C3865,$R$5:$R$304,0))&amp;"","?"))</f>
        <v/>
      </c>
      <c r="N3865" s="2">
        <f>IF(E3865="","",IF(ISNUMBER(SEARCH("SUBSOLO",E3865)),IFERROR(-VALUE(LEFT(E3865,FIND("º",SUBSTITUTE(E3865,"°","º"))-1)),-1),IF(LEFT(E3865,6)="TÉRREO",0,IFERROR(VALUE(LEFT(E3865,FIND("º",SUBSTITUTE(E3865,"°","º"))-1)),""))))</f>
        <v/>
      </c>
      <c r="O3865" s="2">
        <f>IF(OR(F3865="",G3865=""),"",IF(G3865&lt;='RETRATO 2027'!$K$5,"CONCLUÍDA",IF(F3865&lt;='RETRATO 2027'!$K$5,"EM ANDAMENTO","A INICIAR")))</f>
        <v/>
      </c>
    </row>
    <row r="3866">
      <c r="M3866" s="2">
        <f>IF(C3866="","",IFERROR(INDEX($S$5:$S$304,MATCH(C3866,$R$5:$R$304,0))&amp;"","?"))</f>
        <v/>
      </c>
      <c r="N3866" s="2">
        <f>IF(E3866="","",IF(ISNUMBER(SEARCH("SUBSOLO",E3866)),IFERROR(-VALUE(LEFT(E3866,FIND("º",SUBSTITUTE(E3866,"°","º"))-1)),-1),IF(LEFT(E3866,6)="TÉRREO",0,IFERROR(VALUE(LEFT(E3866,FIND("º",SUBSTITUTE(E3866,"°","º"))-1)),""))))</f>
        <v/>
      </c>
      <c r="O3866" s="2">
        <f>IF(OR(F3866="",G3866=""),"",IF(G3866&lt;='RETRATO 2027'!$K$5,"CONCLUÍDA",IF(F3866&lt;='RETRATO 2027'!$K$5,"EM ANDAMENTO","A INICIAR")))</f>
        <v/>
      </c>
    </row>
    <row r="3867">
      <c r="M3867" s="2">
        <f>IF(C3867="","",IFERROR(INDEX($S$5:$S$304,MATCH(C3867,$R$5:$R$304,0))&amp;"","?"))</f>
        <v/>
      </c>
      <c r="N3867" s="2">
        <f>IF(E3867="","",IF(ISNUMBER(SEARCH("SUBSOLO",E3867)),IFERROR(-VALUE(LEFT(E3867,FIND("º",SUBSTITUTE(E3867,"°","º"))-1)),-1),IF(LEFT(E3867,6)="TÉRREO",0,IFERROR(VALUE(LEFT(E3867,FIND("º",SUBSTITUTE(E3867,"°","º"))-1)),""))))</f>
        <v/>
      </c>
      <c r="O3867" s="2">
        <f>IF(OR(F3867="",G3867=""),"",IF(G3867&lt;='RETRATO 2027'!$K$5,"CONCLUÍDA",IF(F3867&lt;='RETRATO 2027'!$K$5,"EM ANDAMENTO","A INICIAR")))</f>
        <v/>
      </c>
    </row>
    <row r="3868">
      <c r="M3868" s="2">
        <f>IF(C3868="","",IFERROR(INDEX($S$5:$S$304,MATCH(C3868,$R$5:$R$304,0))&amp;"","?"))</f>
        <v/>
      </c>
      <c r="N3868" s="2">
        <f>IF(E3868="","",IF(ISNUMBER(SEARCH("SUBSOLO",E3868)),IFERROR(-VALUE(LEFT(E3868,FIND("º",SUBSTITUTE(E3868,"°","º"))-1)),-1),IF(LEFT(E3868,6)="TÉRREO",0,IFERROR(VALUE(LEFT(E3868,FIND("º",SUBSTITUTE(E3868,"°","º"))-1)),""))))</f>
        <v/>
      </c>
      <c r="O3868" s="2">
        <f>IF(OR(F3868="",G3868=""),"",IF(G3868&lt;='RETRATO 2027'!$K$5,"CONCLUÍDA",IF(F3868&lt;='RETRATO 2027'!$K$5,"EM ANDAMENTO","A INICIAR")))</f>
        <v/>
      </c>
    </row>
    <row r="3869">
      <c r="M3869" s="2">
        <f>IF(C3869="","",IFERROR(INDEX($S$5:$S$304,MATCH(C3869,$R$5:$R$304,0))&amp;"","?"))</f>
        <v/>
      </c>
      <c r="N3869" s="2">
        <f>IF(E3869="","",IF(ISNUMBER(SEARCH("SUBSOLO",E3869)),IFERROR(-VALUE(LEFT(E3869,FIND("º",SUBSTITUTE(E3869,"°","º"))-1)),-1),IF(LEFT(E3869,6)="TÉRREO",0,IFERROR(VALUE(LEFT(E3869,FIND("º",SUBSTITUTE(E3869,"°","º"))-1)),""))))</f>
        <v/>
      </c>
      <c r="O3869" s="2">
        <f>IF(OR(F3869="",G3869=""),"",IF(G3869&lt;='RETRATO 2027'!$K$5,"CONCLUÍDA",IF(F3869&lt;='RETRATO 2027'!$K$5,"EM ANDAMENTO","A INICIAR")))</f>
        <v/>
      </c>
    </row>
    <row r="3870">
      <c r="M3870" s="2">
        <f>IF(C3870="","",IFERROR(INDEX($S$5:$S$304,MATCH(C3870,$R$5:$R$304,0))&amp;"","?"))</f>
        <v/>
      </c>
      <c r="N3870" s="2">
        <f>IF(E3870="","",IF(ISNUMBER(SEARCH("SUBSOLO",E3870)),IFERROR(-VALUE(LEFT(E3870,FIND("º",SUBSTITUTE(E3870,"°","º"))-1)),-1),IF(LEFT(E3870,6)="TÉRREO",0,IFERROR(VALUE(LEFT(E3870,FIND("º",SUBSTITUTE(E3870,"°","º"))-1)),""))))</f>
        <v/>
      </c>
      <c r="O3870" s="2">
        <f>IF(OR(F3870="",G3870=""),"",IF(G3870&lt;='RETRATO 2027'!$K$5,"CONCLUÍDA",IF(F3870&lt;='RETRATO 2027'!$K$5,"EM ANDAMENTO","A INICIAR")))</f>
        <v/>
      </c>
    </row>
    <row r="3871">
      <c r="M3871" s="2">
        <f>IF(C3871="","",IFERROR(INDEX($S$5:$S$304,MATCH(C3871,$R$5:$R$304,0))&amp;"","?"))</f>
        <v/>
      </c>
      <c r="N3871" s="2">
        <f>IF(E3871="","",IF(ISNUMBER(SEARCH("SUBSOLO",E3871)),IFERROR(-VALUE(LEFT(E3871,FIND("º",SUBSTITUTE(E3871,"°","º"))-1)),-1),IF(LEFT(E3871,6)="TÉRREO",0,IFERROR(VALUE(LEFT(E3871,FIND("º",SUBSTITUTE(E3871,"°","º"))-1)),""))))</f>
        <v/>
      </c>
      <c r="O3871" s="2">
        <f>IF(OR(F3871="",G3871=""),"",IF(G3871&lt;='RETRATO 2027'!$K$5,"CONCLUÍDA",IF(F3871&lt;='RETRATO 2027'!$K$5,"EM ANDAMENTO","A INICIAR")))</f>
        <v/>
      </c>
    </row>
    <row r="3872">
      <c r="M3872" s="2">
        <f>IF(C3872="","",IFERROR(INDEX($S$5:$S$304,MATCH(C3872,$R$5:$R$304,0))&amp;"","?"))</f>
        <v/>
      </c>
      <c r="N3872" s="2">
        <f>IF(E3872="","",IF(ISNUMBER(SEARCH("SUBSOLO",E3872)),IFERROR(-VALUE(LEFT(E3872,FIND("º",SUBSTITUTE(E3872,"°","º"))-1)),-1),IF(LEFT(E3872,6)="TÉRREO",0,IFERROR(VALUE(LEFT(E3872,FIND("º",SUBSTITUTE(E3872,"°","º"))-1)),""))))</f>
        <v/>
      </c>
      <c r="O3872" s="2">
        <f>IF(OR(F3872="",G3872=""),"",IF(G3872&lt;='RETRATO 2027'!$K$5,"CONCLUÍDA",IF(F3872&lt;='RETRATO 2027'!$K$5,"EM ANDAMENTO","A INICIAR")))</f>
        <v/>
      </c>
    </row>
    <row r="3873">
      <c r="M3873" s="2">
        <f>IF(C3873="","",IFERROR(INDEX($S$5:$S$304,MATCH(C3873,$R$5:$R$304,0))&amp;"","?"))</f>
        <v/>
      </c>
      <c r="N3873" s="2">
        <f>IF(E3873="","",IF(ISNUMBER(SEARCH("SUBSOLO",E3873)),IFERROR(-VALUE(LEFT(E3873,FIND("º",SUBSTITUTE(E3873,"°","º"))-1)),-1),IF(LEFT(E3873,6)="TÉRREO",0,IFERROR(VALUE(LEFT(E3873,FIND("º",SUBSTITUTE(E3873,"°","º"))-1)),""))))</f>
        <v/>
      </c>
      <c r="O3873" s="2">
        <f>IF(OR(F3873="",G3873=""),"",IF(G3873&lt;='RETRATO 2027'!$K$5,"CONCLUÍDA",IF(F3873&lt;='RETRATO 2027'!$K$5,"EM ANDAMENTO","A INICIAR")))</f>
        <v/>
      </c>
    </row>
    <row r="3874">
      <c r="M3874" s="2">
        <f>IF(C3874="","",IFERROR(INDEX($S$5:$S$304,MATCH(C3874,$R$5:$R$304,0))&amp;"","?"))</f>
        <v/>
      </c>
      <c r="N3874" s="2">
        <f>IF(E3874="","",IF(ISNUMBER(SEARCH("SUBSOLO",E3874)),IFERROR(-VALUE(LEFT(E3874,FIND("º",SUBSTITUTE(E3874,"°","º"))-1)),-1),IF(LEFT(E3874,6)="TÉRREO",0,IFERROR(VALUE(LEFT(E3874,FIND("º",SUBSTITUTE(E3874,"°","º"))-1)),""))))</f>
        <v/>
      </c>
      <c r="O3874" s="2">
        <f>IF(OR(F3874="",G3874=""),"",IF(G3874&lt;='RETRATO 2027'!$K$5,"CONCLUÍDA",IF(F3874&lt;='RETRATO 2027'!$K$5,"EM ANDAMENTO","A INICIAR")))</f>
        <v/>
      </c>
    </row>
    <row r="3875">
      <c r="M3875" s="2">
        <f>IF(C3875="","",IFERROR(INDEX($S$5:$S$304,MATCH(C3875,$R$5:$R$304,0))&amp;"","?"))</f>
        <v/>
      </c>
      <c r="N3875" s="2">
        <f>IF(E3875="","",IF(ISNUMBER(SEARCH("SUBSOLO",E3875)),IFERROR(-VALUE(LEFT(E3875,FIND("º",SUBSTITUTE(E3875,"°","º"))-1)),-1),IF(LEFT(E3875,6)="TÉRREO",0,IFERROR(VALUE(LEFT(E3875,FIND("º",SUBSTITUTE(E3875,"°","º"))-1)),""))))</f>
        <v/>
      </c>
      <c r="O3875" s="2">
        <f>IF(OR(F3875="",G3875=""),"",IF(G3875&lt;='RETRATO 2027'!$K$5,"CONCLUÍDA",IF(F3875&lt;='RETRATO 2027'!$K$5,"EM ANDAMENTO","A INICIAR")))</f>
        <v/>
      </c>
    </row>
    <row r="3876">
      <c r="M3876" s="2">
        <f>IF(C3876="","",IFERROR(INDEX($S$5:$S$304,MATCH(C3876,$R$5:$R$304,0))&amp;"","?"))</f>
        <v/>
      </c>
      <c r="N3876" s="2">
        <f>IF(E3876="","",IF(ISNUMBER(SEARCH("SUBSOLO",E3876)),IFERROR(-VALUE(LEFT(E3876,FIND("º",SUBSTITUTE(E3876,"°","º"))-1)),-1),IF(LEFT(E3876,6)="TÉRREO",0,IFERROR(VALUE(LEFT(E3876,FIND("º",SUBSTITUTE(E3876,"°","º"))-1)),""))))</f>
        <v/>
      </c>
      <c r="O3876" s="2">
        <f>IF(OR(F3876="",G3876=""),"",IF(G3876&lt;='RETRATO 2027'!$K$5,"CONCLUÍDA",IF(F3876&lt;='RETRATO 2027'!$K$5,"EM ANDAMENTO","A INICIAR")))</f>
        <v/>
      </c>
    </row>
    <row r="3877">
      <c r="M3877" s="2">
        <f>IF(C3877="","",IFERROR(INDEX($S$5:$S$304,MATCH(C3877,$R$5:$R$304,0))&amp;"","?"))</f>
        <v/>
      </c>
      <c r="N3877" s="2">
        <f>IF(E3877="","",IF(ISNUMBER(SEARCH("SUBSOLO",E3877)),IFERROR(-VALUE(LEFT(E3877,FIND("º",SUBSTITUTE(E3877,"°","º"))-1)),-1),IF(LEFT(E3877,6)="TÉRREO",0,IFERROR(VALUE(LEFT(E3877,FIND("º",SUBSTITUTE(E3877,"°","º"))-1)),""))))</f>
        <v/>
      </c>
      <c r="O3877" s="2">
        <f>IF(OR(F3877="",G3877=""),"",IF(G3877&lt;='RETRATO 2027'!$K$5,"CONCLUÍDA",IF(F3877&lt;='RETRATO 2027'!$K$5,"EM ANDAMENTO","A INICIAR")))</f>
        <v/>
      </c>
    </row>
    <row r="3878">
      <c r="M3878" s="2">
        <f>IF(C3878="","",IFERROR(INDEX($S$5:$S$304,MATCH(C3878,$R$5:$R$304,0))&amp;"","?"))</f>
        <v/>
      </c>
      <c r="N3878" s="2">
        <f>IF(E3878="","",IF(ISNUMBER(SEARCH("SUBSOLO",E3878)),IFERROR(-VALUE(LEFT(E3878,FIND("º",SUBSTITUTE(E3878,"°","º"))-1)),-1),IF(LEFT(E3878,6)="TÉRREO",0,IFERROR(VALUE(LEFT(E3878,FIND("º",SUBSTITUTE(E3878,"°","º"))-1)),""))))</f>
        <v/>
      </c>
      <c r="O3878" s="2">
        <f>IF(OR(F3878="",G3878=""),"",IF(G3878&lt;='RETRATO 2027'!$K$5,"CONCLUÍDA",IF(F3878&lt;='RETRATO 2027'!$K$5,"EM ANDAMENTO","A INICIAR")))</f>
        <v/>
      </c>
    </row>
    <row r="3879">
      <c r="M3879" s="2">
        <f>IF(C3879="","",IFERROR(INDEX($S$5:$S$304,MATCH(C3879,$R$5:$R$304,0))&amp;"","?"))</f>
        <v/>
      </c>
      <c r="N3879" s="2">
        <f>IF(E3879="","",IF(ISNUMBER(SEARCH("SUBSOLO",E3879)),IFERROR(-VALUE(LEFT(E3879,FIND("º",SUBSTITUTE(E3879,"°","º"))-1)),-1),IF(LEFT(E3879,6)="TÉRREO",0,IFERROR(VALUE(LEFT(E3879,FIND("º",SUBSTITUTE(E3879,"°","º"))-1)),""))))</f>
        <v/>
      </c>
      <c r="O3879" s="2">
        <f>IF(OR(F3879="",G3879=""),"",IF(G3879&lt;='RETRATO 2027'!$K$5,"CONCLUÍDA",IF(F3879&lt;='RETRATO 2027'!$K$5,"EM ANDAMENTO","A INICIAR")))</f>
        <v/>
      </c>
    </row>
    <row r="3880">
      <c r="M3880" s="2">
        <f>IF(C3880="","",IFERROR(INDEX($S$5:$S$304,MATCH(C3880,$R$5:$R$304,0))&amp;"","?"))</f>
        <v/>
      </c>
      <c r="N3880" s="2">
        <f>IF(E3880="","",IF(ISNUMBER(SEARCH("SUBSOLO",E3880)),IFERROR(-VALUE(LEFT(E3880,FIND("º",SUBSTITUTE(E3880,"°","º"))-1)),-1),IF(LEFT(E3880,6)="TÉRREO",0,IFERROR(VALUE(LEFT(E3880,FIND("º",SUBSTITUTE(E3880,"°","º"))-1)),""))))</f>
        <v/>
      </c>
      <c r="O3880" s="2">
        <f>IF(OR(F3880="",G3880=""),"",IF(G3880&lt;='RETRATO 2027'!$K$5,"CONCLUÍDA",IF(F3880&lt;='RETRATO 2027'!$K$5,"EM ANDAMENTO","A INICIAR")))</f>
        <v/>
      </c>
    </row>
    <row r="3881">
      <c r="M3881" s="2">
        <f>IF(C3881="","",IFERROR(INDEX($S$5:$S$304,MATCH(C3881,$R$5:$R$304,0))&amp;"","?"))</f>
        <v/>
      </c>
      <c r="N3881" s="2">
        <f>IF(E3881="","",IF(ISNUMBER(SEARCH("SUBSOLO",E3881)),IFERROR(-VALUE(LEFT(E3881,FIND("º",SUBSTITUTE(E3881,"°","º"))-1)),-1),IF(LEFT(E3881,6)="TÉRREO",0,IFERROR(VALUE(LEFT(E3881,FIND("º",SUBSTITUTE(E3881,"°","º"))-1)),""))))</f>
        <v/>
      </c>
      <c r="O3881" s="2">
        <f>IF(OR(F3881="",G3881=""),"",IF(G3881&lt;='RETRATO 2027'!$K$5,"CONCLUÍDA",IF(F3881&lt;='RETRATO 2027'!$K$5,"EM ANDAMENTO","A INICIAR")))</f>
        <v/>
      </c>
    </row>
    <row r="3882">
      <c r="M3882" s="2">
        <f>IF(C3882="","",IFERROR(INDEX($S$5:$S$304,MATCH(C3882,$R$5:$R$304,0))&amp;"","?"))</f>
        <v/>
      </c>
      <c r="N3882" s="2">
        <f>IF(E3882="","",IF(ISNUMBER(SEARCH("SUBSOLO",E3882)),IFERROR(-VALUE(LEFT(E3882,FIND("º",SUBSTITUTE(E3882,"°","º"))-1)),-1),IF(LEFT(E3882,6)="TÉRREO",0,IFERROR(VALUE(LEFT(E3882,FIND("º",SUBSTITUTE(E3882,"°","º"))-1)),""))))</f>
        <v/>
      </c>
      <c r="O3882" s="2">
        <f>IF(OR(F3882="",G3882=""),"",IF(G3882&lt;='RETRATO 2027'!$K$5,"CONCLUÍDA",IF(F3882&lt;='RETRATO 2027'!$K$5,"EM ANDAMENTO","A INICIAR")))</f>
        <v/>
      </c>
    </row>
    <row r="3883">
      <c r="M3883" s="2">
        <f>IF(C3883="","",IFERROR(INDEX($S$5:$S$304,MATCH(C3883,$R$5:$R$304,0))&amp;"","?"))</f>
        <v/>
      </c>
      <c r="N3883" s="2">
        <f>IF(E3883="","",IF(ISNUMBER(SEARCH("SUBSOLO",E3883)),IFERROR(-VALUE(LEFT(E3883,FIND("º",SUBSTITUTE(E3883,"°","º"))-1)),-1),IF(LEFT(E3883,6)="TÉRREO",0,IFERROR(VALUE(LEFT(E3883,FIND("º",SUBSTITUTE(E3883,"°","º"))-1)),""))))</f>
        <v/>
      </c>
      <c r="O3883" s="2">
        <f>IF(OR(F3883="",G3883=""),"",IF(G3883&lt;='RETRATO 2027'!$K$5,"CONCLUÍDA",IF(F3883&lt;='RETRATO 2027'!$K$5,"EM ANDAMENTO","A INICIAR")))</f>
        <v/>
      </c>
    </row>
    <row r="3884">
      <c r="M3884" s="2">
        <f>IF(C3884="","",IFERROR(INDEX($S$5:$S$304,MATCH(C3884,$R$5:$R$304,0))&amp;"","?"))</f>
        <v/>
      </c>
      <c r="N3884" s="2">
        <f>IF(E3884="","",IF(ISNUMBER(SEARCH("SUBSOLO",E3884)),IFERROR(-VALUE(LEFT(E3884,FIND("º",SUBSTITUTE(E3884,"°","º"))-1)),-1),IF(LEFT(E3884,6)="TÉRREO",0,IFERROR(VALUE(LEFT(E3884,FIND("º",SUBSTITUTE(E3884,"°","º"))-1)),""))))</f>
        <v/>
      </c>
      <c r="O3884" s="2">
        <f>IF(OR(F3884="",G3884=""),"",IF(G3884&lt;='RETRATO 2027'!$K$5,"CONCLUÍDA",IF(F3884&lt;='RETRATO 2027'!$K$5,"EM ANDAMENTO","A INICIAR")))</f>
        <v/>
      </c>
    </row>
    <row r="3885">
      <c r="M3885" s="2">
        <f>IF(C3885="","",IFERROR(INDEX($S$5:$S$304,MATCH(C3885,$R$5:$R$304,0))&amp;"","?"))</f>
        <v/>
      </c>
      <c r="N3885" s="2">
        <f>IF(E3885="","",IF(ISNUMBER(SEARCH("SUBSOLO",E3885)),IFERROR(-VALUE(LEFT(E3885,FIND("º",SUBSTITUTE(E3885,"°","º"))-1)),-1),IF(LEFT(E3885,6)="TÉRREO",0,IFERROR(VALUE(LEFT(E3885,FIND("º",SUBSTITUTE(E3885,"°","º"))-1)),""))))</f>
        <v/>
      </c>
      <c r="O3885" s="2">
        <f>IF(OR(F3885="",G3885=""),"",IF(G3885&lt;='RETRATO 2027'!$K$5,"CONCLUÍDA",IF(F3885&lt;='RETRATO 2027'!$K$5,"EM ANDAMENTO","A INICIAR")))</f>
        <v/>
      </c>
    </row>
    <row r="3886">
      <c r="M3886" s="2">
        <f>IF(C3886="","",IFERROR(INDEX($S$5:$S$304,MATCH(C3886,$R$5:$R$304,0))&amp;"","?"))</f>
        <v/>
      </c>
      <c r="N3886" s="2">
        <f>IF(E3886="","",IF(ISNUMBER(SEARCH("SUBSOLO",E3886)),IFERROR(-VALUE(LEFT(E3886,FIND("º",SUBSTITUTE(E3886,"°","º"))-1)),-1),IF(LEFT(E3886,6)="TÉRREO",0,IFERROR(VALUE(LEFT(E3886,FIND("º",SUBSTITUTE(E3886,"°","º"))-1)),""))))</f>
        <v/>
      </c>
      <c r="O3886" s="2">
        <f>IF(OR(F3886="",G3886=""),"",IF(G3886&lt;='RETRATO 2027'!$K$5,"CONCLUÍDA",IF(F3886&lt;='RETRATO 2027'!$K$5,"EM ANDAMENTO","A INICIAR")))</f>
        <v/>
      </c>
    </row>
    <row r="3887">
      <c r="M3887" s="2">
        <f>IF(C3887="","",IFERROR(INDEX($S$5:$S$304,MATCH(C3887,$R$5:$R$304,0))&amp;"","?"))</f>
        <v/>
      </c>
      <c r="N3887" s="2">
        <f>IF(E3887="","",IF(ISNUMBER(SEARCH("SUBSOLO",E3887)),IFERROR(-VALUE(LEFT(E3887,FIND("º",SUBSTITUTE(E3887,"°","º"))-1)),-1),IF(LEFT(E3887,6)="TÉRREO",0,IFERROR(VALUE(LEFT(E3887,FIND("º",SUBSTITUTE(E3887,"°","º"))-1)),""))))</f>
        <v/>
      </c>
      <c r="O3887" s="2">
        <f>IF(OR(F3887="",G3887=""),"",IF(G3887&lt;='RETRATO 2027'!$K$5,"CONCLUÍDA",IF(F3887&lt;='RETRATO 2027'!$K$5,"EM ANDAMENTO","A INICIAR")))</f>
        <v/>
      </c>
    </row>
    <row r="3888">
      <c r="M3888" s="2">
        <f>IF(C3888="","",IFERROR(INDEX($S$5:$S$304,MATCH(C3888,$R$5:$R$304,0))&amp;"","?"))</f>
        <v/>
      </c>
      <c r="N3888" s="2">
        <f>IF(E3888="","",IF(ISNUMBER(SEARCH("SUBSOLO",E3888)),IFERROR(-VALUE(LEFT(E3888,FIND("º",SUBSTITUTE(E3888,"°","º"))-1)),-1),IF(LEFT(E3888,6)="TÉRREO",0,IFERROR(VALUE(LEFT(E3888,FIND("º",SUBSTITUTE(E3888,"°","º"))-1)),""))))</f>
        <v/>
      </c>
      <c r="O3888" s="2">
        <f>IF(OR(F3888="",G3888=""),"",IF(G3888&lt;='RETRATO 2027'!$K$5,"CONCLUÍDA",IF(F3888&lt;='RETRATO 2027'!$K$5,"EM ANDAMENTO","A INICIAR")))</f>
        <v/>
      </c>
    </row>
    <row r="3889">
      <c r="M3889" s="2">
        <f>IF(C3889="","",IFERROR(INDEX($S$5:$S$304,MATCH(C3889,$R$5:$R$304,0))&amp;"","?"))</f>
        <v/>
      </c>
      <c r="N3889" s="2">
        <f>IF(E3889="","",IF(ISNUMBER(SEARCH("SUBSOLO",E3889)),IFERROR(-VALUE(LEFT(E3889,FIND("º",SUBSTITUTE(E3889,"°","º"))-1)),-1),IF(LEFT(E3889,6)="TÉRREO",0,IFERROR(VALUE(LEFT(E3889,FIND("º",SUBSTITUTE(E3889,"°","º"))-1)),""))))</f>
        <v/>
      </c>
      <c r="O3889" s="2">
        <f>IF(OR(F3889="",G3889=""),"",IF(G3889&lt;='RETRATO 2027'!$K$5,"CONCLUÍDA",IF(F3889&lt;='RETRATO 2027'!$K$5,"EM ANDAMENTO","A INICIAR")))</f>
        <v/>
      </c>
    </row>
    <row r="3890">
      <c r="M3890" s="2">
        <f>IF(C3890="","",IFERROR(INDEX($S$5:$S$304,MATCH(C3890,$R$5:$R$304,0))&amp;"","?"))</f>
        <v/>
      </c>
      <c r="N3890" s="2">
        <f>IF(E3890="","",IF(ISNUMBER(SEARCH("SUBSOLO",E3890)),IFERROR(-VALUE(LEFT(E3890,FIND("º",SUBSTITUTE(E3890,"°","º"))-1)),-1),IF(LEFT(E3890,6)="TÉRREO",0,IFERROR(VALUE(LEFT(E3890,FIND("º",SUBSTITUTE(E3890,"°","º"))-1)),""))))</f>
        <v/>
      </c>
      <c r="O3890" s="2">
        <f>IF(OR(F3890="",G3890=""),"",IF(G3890&lt;='RETRATO 2027'!$K$5,"CONCLUÍDA",IF(F3890&lt;='RETRATO 2027'!$K$5,"EM ANDAMENTO","A INICIAR")))</f>
        <v/>
      </c>
    </row>
    <row r="3891">
      <c r="M3891" s="2">
        <f>IF(C3891="","",IFERROR(INDEX($S$5:$S$304,MATCH(C3891,$R$5:$R$304,0))&amp;"","?"))</f>
        <v/>
      </c>
      <c r="N3891" s="2">
        <f>IF(E3891="","",IF(ISNUMBER(SEARCH("SUBSOLO",E3891)),IFERROR(-VALUE(LEFT(E3891,FIND("º",SUBSTITUTE(E3891,"°","º"))-1)),-1),IF(LEFT(E3891,6)="TÉRREO",0,IFERROR(VALUE(LEFT(E3891,FIND("º",SUBSTITUTE(E3891,"°","º"))-1)),""))))</f>
        <v/>
      </c>
      <c r="O3891" s="2">
        <f>IF(OR(F3891="",G3891=""),"",IF(G3891&lt;='RETRATO 2027'!$K$5,"CONCLUÍDA",IF(F3891&lt;='RETRATO 2027'!$K$5,"EM ANDAMENTO","A INICIAR")))</f>
        <v/>
      </c>
    </row>
    <row r="3892">
      <c r="M3892" s="2">
        <f>IF(C3892="","",IFERROR(INDEX($S$5:$S$304,MATCH(C3892,$R$5:$R$304,0))&amp;"","?"))</f>
        <v/>
      </c>
      <c r="N3892" s="2">
        <f>IF(E3892="","",IF(ISNUMBER(SEARCH("SUBSOLO",E3892)),IFERROR(-VALUE(LEFT(E3892,FIND("º",SUBSTITUTE(E3892,"°","º"))-1)),-1),IF(LEFT(E3892,6)="TÉRREO",0,IFERROR(VALUE(LEFT(E3892,FIND("º",SUBSTITUTE(E3892,"°","º"))-1)),""))))</f>
        <v/>
      </c>
      <c r="O3892" s="2">
        <f>IF(OR(F3892="",G3892=""),"",IF(G3892&lt;='RETRATO 2027'!$K$5,"CONCLUÍDA",IF(F3892&lt;='RETRATO 2027'!$K$5,"EM ANDAMENTO","A INICIAR")))</f>
        <v/>
      </c>
    </row>
    <row r="3893">
      <c r="M3893" s="2">
        <f>IF(C3893="","",IFERROR(INDEX($S$5:$S$304,MATCH(C3893,$R$5:$R$304,0))&amp;"","?"))</f>
        <v/>
      </c>
      <c r="N3893" s="2">
        <f>IF(E3893="","",IF(ISNUMBER(SEARCH("SUBSOLO",E3893)),IFERROR(-VALUE(LEFT(E3893,FIND("º",SUBSTITUTE(E3893,"°","º"))-1)),-1),IF(LEFT(E3893,6)="TÉRREO",0,IFERROR(VALUE(LEFT(E3893,FIND("º",SUBSTITUTE(E3893,"°","º"))-1)),""))))</f>
        <v/>
      </c>
      <c r="O3893" s="2">
        <f>IF(OR(F3893="",G3893=""),"",IF(G3893&lt;='RETRATO 2027'!$K$5,"CONCLUÍDA",IF(F3893&lt;='RETRATO 2027'!$K$5,"EM ANDAMENTO","A INICIAR")))</f>
        <v/>
      </c>
    </row>
    <row r="3894">
      <c r="M3894" s="2">
        <f>IF(C3894="","",IFERROR(INDEX($S$5:$S$304,MATCH(C3894,$R$5:$R$304,0))&amp;"","?"))</f>
        <v/>
      </c>
      <c r="N3894" s="2">
        <f>IF(E3894="","",IF(ISNUMBER(SEARCH("SUBSOLO",E3894)),IFERROR(-VALUE(LEFT(E3894,FIND("º",SUBSTITUTE(E3894,"°","º"))-1)),-1),IF(LEFT(E3894,6)="TÉRREO",0,IFERROR(VALUE(LEFT(E3894,FIND("º",SUBSTITUTE(E3894,"°","º"))-1)),""))))</f>
        <v/>
      </c>
      <c r="O3894" s="2">
        <f>IF(OR(F3894="",G3894=""),"",IF(G3894&lt;='RETRATO 2027'!$K$5,"CONCLUÍDA",IF(F3894&lt;='RETRATO 2027'!$K$5,"EM ANDAMENTO","A INICIAR")))</f>
        <v/>
      </c>
    </row>
    <row r="3895">
      <c r="M3895" s="2">
        <f>IF(C3895="","",IFERROR(INDEX($S$5:$S$304,MATCH(C3895,$R$5:$R$304,0))&amp;"","?"))</f>
        <v/>
      </c>
      <c r="N3895" s="2">
        <f>IF(E3895="","",IF(ISNUMBER(SEARCH("SUBSOLO",E3895)),IFERROR(-VALUE(LEFT(E3895,FIND("º",SUBSTITUTE(E3895,"°","º"))-1)),-1),IF(LEFT(E3895,6)="TÉRREO",0,IFERROR(VALUE(LEFT(E3895,FIND("º",SUBSTITUTE(E3895,"°","º"))-1)),""))))</f>
        <v/>
      </c>
      <c r="O3895" s="2">
        <f>IF(OR(F3895="",G3895=""),"",IF(G3895&lt;='RETRATO 2027'!$K$5,"CONCLUÍDA",IF(F3895&lt;='RETRATO 2027'!$K$5,"EM ANDAMENTO","A INICIAR")))</f>
        <v/>
      </c>
    </row>
    <row r="3896">
      <c r="M3896" s="2">
        <f>IF(C3896="","",IFERROR(INDEX($S$5:$S$304,MATCH(C3896,$R$5:$R$304,0))&amp;"","?"))</f>
        <v/>
      </c>
      <c r="N3896" s="2">
        <f>IF(E3896="","",IF(ISNUMBER(SEARCH("SUBSOLO",E3896)),IFERROR(-VALUE(LEFT(E3896,FIND("º",SUBSTITUTE(E3896,"°","º"))-1)),-1),IF(LEFT(E3896,6)="TÉRREO",0,IFERROR(VALUE(LEFT(E3896,FIND("º",SUBSTITUTE(E3896,"°","º"))-1)),""))))</f>
        <v/>
      </c>
      <c r="O3896" s="2">
        <f>IF(OR(F3896="",G3896=""),"",IF(G3896&lt;='RETRATO 2027'!$K$5,"CONCLUÍDA",IF(F3896&lt;='RETRATO 2027'!$K$5,"EM ANDAMENTO","A INICIAR")))</f>
        <v/>
      </c>
    </row>
    <row r="3897">
      <c r="M3897" s="2">
        <f>IF(C3897="","",IFERROR(INDEX($S$5:$S$304,MATCH(C3897,$R$5:$R$304,0))&amp;"","?"))</f>
        <v/>
      </c>
      <c r="N3897" s="2">
        <f>IF(E3897="","",IF(ISNUMBER(SEARCH("SUBSOLO",E3897)),IFERROR(-VALUE(LEFT(E3897,FIND("º",SUBSTITUTE(E3897,"°","º"))-1)),-1),IF(LEFT(E3897,6)="TÉRREO",0,IFERROR(VALUE(LEFT(E3897,FIND("º",SUBSTITUTE(E3897,"°","º"))-1)),""))))</f>
        <v/>
      </c>
      <c r="O3897" s="2">
        <f>IF(OR(F3897="",G3897=""),"",IF(G3897&lt;='RETRATO 2027'!$K$5,"CONCLUÍDA",IF(F3897&lt;='RETRATO 2027'!$K$5,"EM ANDAMENTO","A INICIAR")))</f>
        <v/>
      </c>
    </row>
    <row r="3898">
      <c r="M3898" s="2">
        <f>IF(C3898="","",IFERROR(INDEX($S$5:$S$304,MATCH(C3898,$R$5:$R$304,0))&amp;"","?"))</f>
        <v/>
      </c>
      <c r="N3898" s="2">
        <f>IF(E3898="","",IF(ISNUMBER(SEARCH("SUBSOLO",E3898)),IFERROR(-VALUE(LEFT(E3898,FIND("º",SUBSTITUTE(E3898,"°","º"))-1)),-1),IF(LEFT(E3898,6)="TÉRREO",0,IFERROR(VALUE(LEFT(E3898,FIND("º",SUBSTITUTE(E3898,"°","º"))-1)),""))))</f>
        <v/>
      </c>
      <c r="O3898" s="2">
        <f>IF(OR(F3898="",G3898=""),"",IF(G3898&lt;='RETRATO 2027'!$K$5,"CONCLUÍDA",IF(F3898&lt;='RETRATO 2027'!$K$5,"EM ANDAMENTO","A INICIAR")))</f>
        <v/>
      </c>
    </row>
    <row r="3899">
      <c r="M3899" s="2">
        <f>IF(C3899="","",IFERROR(INDEX($S$5:$S$304,MATCH(C3899,$R$5:$R$304,0))&amp;"","?"))</f>
        <v/>
      </c>
      <c r="N3899" s="2">
        <f>IF(E3899="","",IF(ISNUMBER(SEARCH("SUBSOLO",E3899)),IFERROR(-VALUE(LEFT(E3899,FIND("º",SUBSTITUTE(E3899,"°","º"))-1)),-1),IF(LEFT(E3899,6)="TÉRREO",0,IFERROR(VALUE(LEFT(E3899,FIND("º",SUBSTITUTE(E3899,"°","º"))-1)),""))))</f>
        <v/>
      </c>
      <c r="O3899" s="2">
        <f>IF(OR(F3899="",G3899=""),"",IF(G3899&lt;='RETRATO 2027'!$K$5,"CONCLUÍDA",IF(F3899&lt;='RETRATO 2027'!$K$5,"EM ANDAMENTO","A INICIAR")))</f>
        <v/>
      </c>
    </row>
    <row r="3900">
      <c r="M3900" s="2">
        <f>IF(C3900="","",IFERROR(INDEX($S$5:$S$304,MATCH(C3900,$R$5:$R$304,0))&amp;"","?"))</f>
        <v/>
      </c>
      <c r="N3900" s="2">
        <f>IF(E3900="","",IF(ISNUMBER(SEARCH("SUBSOLO",E3900)),IFERROR(-VALUE(LEFT(E3900,FIND("º",SUBSTITUTE(E3900,"°","º"))-1)),-1),IF(LEFT(E3900,6)="TÉRREO",0,IFERROR(VALUE(LEFT(E3900,FIND("º",SUBSTITUTE(E3900,"°","º"))-1)),""))))</f>
        <v/>
      </c>
      <c r="O3900" s="2">
        <f>IF(OR(F3900="",G3900=""),"",IF(G3900&lt;='RETRATO 2027'!$K$5,"CONCLUÍDA",IF(F3900&lt;='RETRATO 2027'!$K$5,"EM ANDAMENTO","A INICIAR")))</f>
        <v/>
      </c>
    </row>
    <row r="3901">
      <c r="M3901" s="2">
        <f>IF(C3901="","",IFERROR(INDEX($S$5:$S$304,MATCH(C3901,$R$5:$R$304,0))&amp;"","?"))</f>
        <v/>
      </c>
      <c r="N3901" s="2">
        <f>IF(E3901="","",IF(ISNUMBER(SEARCH("SUBSOLO",E3901)),IFERROR(-VALUE(LEFT(E3901,FIND("º",SUBSTITUTE(E3901,"°","º"))-1)),-1),IF(LEFT(E3901,6)="TÉRREO",0,IFERROR(VALUE(LEFT(E3901,FIND("º",SUBSTITUTE(E3901,"°","º"))-1)),""))))</f>
        <v/>
      </c>
      <c r="O3901" s="2">
        <f>IF(OR(F3901="",G3901=""),"",IF(G3901&lt;='RETRATO 2027'!$K$5,"CONCLUÍDA",IF(F3901&lt;='RETRATO 2027'!$K$5,"EM ANDAMENTO","A INICIAR")))</f>
        <v/>
      </c>
    </row>
    <row r="3902">
      <c r="M3902" s="2">
        <f>IF(C3902="","",IFERROR(INDEX($S$5:$S$304,MATCH(C3902,$R$5:$R$304,0))&amp;"","?"))</f>
        <v/>
      </c>
      <c r="N3902" s="2">
        <f>IF(E3902="","",IF(ISNUMBER(SEARCH("SUBSOLO",E3902)),IFERROR(-VALUE(LEFT(E3902,FIND("º",SUBSTITUTE(E3902,"°","º"))-1)),-1),IF(LEFT(E3902,6)="TÉRREO",0,IFERROR(VALUE(LEFT(E3902,FIND("º",SUBSTITUTE(E3902,"°","º"))-1)),""))))</f>
        <v/>
      </c>
      <c r="O3902" s="2">
        <f>IF(OR(F3902="",G3902=""),"",IF(G3902&lt;='RETRATO 2027'!$K$5,"CONCLUÍDA",IF(F3902&lt;='RETRATO 2027'!$K$5,"EM ANDAMENTO","A INICIAR")))</f>
        <v/>
      </c>
    </row>
    <row r="3903">
      <c r="M3903" s="2">
        <f>IF(C3903="","",IFERROR(INDEX($S$5:$S$304,MATCH(C3903,$R$5:$R$304,0))&amp;"","?"))</f>
        <v/>
      </c>
      <c r="N3903" s="2">
        <f>IF(E3903="","",IF(ISNUMBER(SEARCH("SUBSOLO",E3903)),IFERROR(-VALUE(LEFT(E3903,FIND("º",SUBSTITUTE(E3903,"°","º"))-1)),-1),IF(LEFT(E3903,6)="TÉRREO",0,IFERROR(VALUE(LEFT(E3903,FIND("º",SUBSTITUTE(E3903,"°","º"))-1)),""))))</f>
        <v/>
      </c>
      <c r="O3903" s="2">
        <f>IF(OR(F3903="",G3903=""),"",IF(G3903&lt;='RETRATO 2027'!$K$5,"CONCLUÍDA",IF(F3903&lt;='RETRATO 2027'!$K$5,"EM ANDAMENTO","A INICIAR")))</f>
        <v/>
      </c>
    </row>
    <row r="3904">
      <c r="M3904" s="2">
        <f>IF(C3904="","",IFERROR(INDEX($S$5:$S$304,MATCH(C3904,$R$5:$R$304,0))&amp;"","?"))</f>
        <v/>
      </c>
      <c r="N3904" s="2">
        <f>IF(E3904="","",IF(ISNUMBER(SEARCH("SUBSOLO",E3904)),IFERROR(-VALUE(LEFT(E3904,FIND("º",SUBSTITUTE(E3904,"°","º"))-1)),-1),IF(LEFT(E3904,6)="TÉRREO",0,IFERROR(VALUE(LEFT(E3904,FIND("º",SUBSTITUTE(E3904,"°","º"))-1)),""))))</f>
        <v/>
      </c>
      <c r="O3904" s="2">
        <f>IF(OR(F3904="",G3904=""),"",IF(G3904&lt;='RETRATO 2027'!$K$5,"CONCLUÍDA",IF(F3904&lt;='RETRATO 2027'!$K$5,"EM ANDAMENTO","A INICIAR")))</f>
        <v/>
      </c>
    </row>
    <row r="3905">
      <c r="M3905" s="2">
        <f>IF(C3905="","",IFERROR(INDEX($S$5:$S$304,MATCH(C3905,$R$5:$R$304,0))&amp;"","?"))</f>
        <v/>
      </c>
      <c r="N3905" s="2">
        <f>IF(E3905="","",IF(ISNUMBER(SEARCH("SUBSOLO",E3905)),IFERROR(-VALUE(LEFT(E3905,FIND("º",SUBSTITUTE(E3905,"°","º"))-1)),-1),IF(LEFT(E3905,6)="TÉRREO",0,IFERROR(VALUE(LEFT(E3905,FIND("º",SUBSTITUTE(E3905,"°","º"))-1)),""))))</f>
        <v/>
      </c>
      <c r="O3905" s="2">
        <f>IF(OR(F3905="",G3905=""),"",IF(G3905&lt;='RETRATO 2027'!$K$5,"CONCLUÍDA",IF(F3905&lt;='RETRATO 2027'!$K$5,"EM ANDAMENTO","A INICIAR")))</f>
        <v/>
      </c>
    </row>
    <row r="3906">
      <c r="M3906" s="2">
        <f>IF(C3906="","",IFERROR(INDEX($S$5:$S$304,MATCH(C3906,$R$5:$R$304,0))&amp;"","?"))</f>
        <v/>
      </c>
      <c r="N3906" s="2">
        <f>IF(E3906="","",IF(ISNUMBER(SEARCH("SUBSOLO",E3906)),IFERROR(-VALUE(LEFT(E3906,FIND("º",SUBSTITUTE(E3906,"°","º"))-1)),-1),IF(LEFT(E3906,6)="TÉRREO",0,IFERROR(VALUE(LEFT(E3906,FIND("º",SUBSTITUTE(E3906,"°","º"))-1)),""))))</f>
        <v/>
      </c>
      <c r="O3906" s="2">
        <f>IF(OR(F3906="",G3906=""),"",IF(G3906&lt;='RETRATO 2027'!$K$5,"CONCLUÍDA",IF(F3906&lt;='RETRATO 2027'!$K$5,"EM ANDAMENTO","A INICIAR")))</f>
        <v/>
      </c>
    </row>
    <row r="3907">
      <c r="M3907" s="2">
        <f>IF(C3907="","",IFERROR(INDEX($S$5:$S$304,MATCH(C3907,$R$5:$R$304,0))&amp;"","?"))</f>
        <v/>
      </c>
      <c r="N3907" s="2">
        <f>IF(E3907="","",IF(ISNUMBER(SEARCH("SUBSOLO",E3907)),IFERROR(-VALUE(LEFT(E3907,FIND("º",SUBSTITUTE(E3907,"°","º"))-1)),-1),IF(LEFT(E3907,6)="TÉRREO",0,IFERROR(VALUE(LEFT(E3907,FIND("º",SUBSTITUTE(E3907,"°","º"))-1)),""))))</f>
        <v/>
      </c>
      <c r="O3907" s="2">
        <f>IF(OR(F3907="",G3907=""),"",IF(G3907&lt;='RETRATO 2027'!$K$5,"CONCLUÍDA",IF(F3907&lt;='RETRATO 2027'!$K$5,"EM ANDAMENTO","A INICIAR")))</f>
        <v/>
      </c>
    </row>
    <row r="3908">
      <c r="M3908" s="2">
        <f>IF(C3908="","",IFERROR(INDEX($S$5:$S$304,MATCH(C3908,$R$5:$R$304,0))&amp;"","?"))</f>
        <v/>
      </c>
      <c r="N3908" s="2">
        <f>IF(E3908="","",IF(ISNUMBER(SEARCH("SUBSOLO",E3908)),IFERROR(-VALUE(LEFT(E3908,FIND("º",SUBSTITUTE(E3908,"°","º"))-1)),-1),IF(LEFT(E3908,6)="TÉRREO",0,IFERROR(VALUE(LEFT(E3908,FIND("º",SUBSTITUTE(E3908,"°","º"))-1)),""))))</f>
        <v/>
      </c>
      <c r="O3908" s="2">
        <f>IF(OR(F3908="",G3908=""),"",IF(G3908&lt;='RETRATO 2027'!$K$5,"CONCLUÍDA",IF(F3908&lt;='RETRATO 2027'!$K$5,"EM ANDAMENTO","A INICIAR")))</f>
        <v/>
      </c>
    </row>
    <row r="3909">
      <c r="M3909" s="2">
        <f>IF(C3909="","",IFERROR(INDEX($S$5:$S$304,MATCH(C3909,$R$5:$R$304,0))&amp;"","?"))</f>
        <v/>
      </c>
      <c r="N3909" s="2">
        <f>IF(E3909="","",IF(ISNUMBER(SEARCH("SUBSOLO",E3909)),IFERROR(-VALUE(LEFT(E3909,FIND("º",SUBSTITUTE(E3909,"°","º"))-1)),-1),IF(LEFT(E3909,6)="TÉRREO",0,IFERROR(VALUE(LEFT(E3909,FIND("º",SUBSTITUTE(E3909,"°","º"))-1)),""))))</f>
        <v/>
      </c>
      <c r="O3909" s="2">
        <f>IF(OR(F3909="",G3909=""),"",IF(G3909&lt;='RETRATO 2027'!$K$5,"CONCLUÍDA",IF(F3909&lt;='RETRATO 2027'!$K$5,"EM ANDAMENTO","A INICIAR")))</f>
        <v/>
      </c>
    </row>
    <row r="3910">
      <c r="M3910" s="2">
        <f>IF(C3910="","",IFERROR(INDEX($S$5:$S$304,MATCH(C3910,$R$5:$R$304,0))&amp;"","?"))</f>
        <v/>
      </c>
      <c r="N3910" s="2">
        <f>IF(E3910="","",IF(ISNUMBER(SEARCH("SUBSOLO",E3910)),IFERROR(-VALUE(LEFT(E3910,FIND("º",SUBSTITUTE(E3910,"°","º"))-1)),-1),IF(LEFT(E3910,6)="TÉRREO",0,IFERROR(VALUE(LEFT(E3910,FIND("º",SUBSTITUTE(E3910,"°","º"))-1)),""))))</f>
        <v/>
      </c>
      <c r="O3910" s="2">
        <f>IF(OR(F3910="",G3910=""),"",IF(G3910&lt;='RETRATO 2027'!$K$5,"CONCLUÍDA",IF(F3910&lt;='RETRATO 2027'!$K$5,"EM ANDAMENTO","A INICIAR")))</f>
        <v/>
      </c>
    </row>
    <row r="3911">
      <c r="M3911" s="2">
        <f>IF(C3911="","",IFERROR(INDEX($S$5:$S$304,MATCH(C3911,$R$5:$R$304,0))&amp;"","?"))</f>
        <v/>
      </c>
      <c r="N3911" s="2">
        <f>IF(E3911="","",IF(ISNUMBER(SEARCH("SUBSOLO",E3911)),IFERROR(-VALUE(LEFT(E3911,FIND("º",SUBSTITUTE(E3911,"°","º"))-1)),-1),IF(LEFT(E3911,6)="TÉRREO",0,IFERROR(VALUE(LEFT(E3911,FIND("º",SUBSTITUTE(E3911,"°","º"))-1)),""))))</f>
        <v/>
      </c>
      <c r="O3911" s="2">
        <f>IF(OR(F3911="",G3911=""),"",IF(G3911&lt;='RETRATO 2027'!$K$5,"CONCLUÍDA",IF(F3911&lt;='RETRATO 2027'!$K$5,"EM ANDAMENTO","A INICIAR")))</f>
        <v/>
      </c>
    </row>
    <row r="3912">
      <c r="M3912" s="2">
        <f>IF(C3912="","",IFERROR(INDEX($S$5:$S$304,MATCH(C3912,$R$5:$R$304,0))&amp;"","?"))</f>
        <v/>
      </c>
      <c r="N3912" s="2">
        <f>IF(E3912="","",IF(ISNUMBER(SEARCH("SUBSOLO",E3912)),IFERROR(-VALUE(LEFT(E3912,FIND("º",SUBSTITUTE(E3912,"°","º"))-1)),-1),IF(LEFT(E3912,6)="TÉRREO",0,IFERROR(VALUE(LEFT(E3912,FIND("º",SUBSTITUTE(E3912,"°","º"))-1)),""))))</f>
        <v/>
      </c>
      <c r="O3912" s="2">
        <f>IF(OR(F3912="",G3912=""),"",IF(G3912&lt;='RETRATO 2027'!$K$5,"CONCLUÍDA",IF(F3912&lt;='RETRATO 2027'!$K$5,"EM ANDAMENTO","A INICIAR")))</f>
        <v/>
      </c>
    </row>
    <row r="3913">
      <c r="M3913" s="2">
        <f>IF(C3913="","",IFERROR(INDEX($S$5:$S$304,MATCH(C3913,$R$5:$R$304,0))&amp;"","?"))</f>
        <v/>
      </c>
      <c r="N3913" s="2">
        <f>IF(E3913="","",IF(ISNUMBER(SEARCH("SUBSOLO",E3913)),IFERROR(-VALUE(LEFT(E3913,FIND("º",SUBSTITUTE(E3913,"°","º"))-1)),-1),IF(LEFT(E3913,6)="TÉRREO",0,IFERROR(VALUE(LEFT(E3913,FIND("º",SUBSTITUTE(E3913,"°","º"))-1)),""))))</f>
        <v/>
      </c>
      <c r="O3913" s="2">
        <f>IF(OR(F3913="",G3913=""),"",IF(G3913&lt;='RETRATO 2027'!$K$5,"CONCLUÍDA",IF(F3913&lt;='RETRATO 2027'!$K$5,"EM ANDAMENTO","A INICIAR")))</f>
        <v/>
      </c>
    </row>
    <row r="3914">
      <c r="M3914" s="2">
        <f>IF(C3914="","",IFERROR(INDEX($S$5:$S$304,MATCH(C3914,$R$5:$R$304,0))&amp;"","?"))</f>
        <v/>
      </c>
      <c r="N3914" s="2">
        <f>IF(E3914="","",IF(ISNUMBER(SEARCH("SUBSOLO",E3914)),IFERROR(-VALUE(LEFT(E3914,FIND("º",SUBSTITUTE(E3914,"°","º"))-1)),-1),IF(LEFT(E3914,6)="TÉRREO",0,IFERROR(VALUE(LEFT(E3914,FIND("º",SUBSTITUTE(E3914,"°","º"))-1)),""))))</f>
        <v/>
      </c>
      <c r="O3914" s="2">
        <f>IF(OR(F3914="",G3914=""),"",IF(G3914&lt;='RETRATO 2027'!$K$5,"CONCLUÍDA",IF(F3914&lt;='RETRATO 2027'!$K$5,"EM ANDAMENTO","A INICIAR")))</f>
        <v/>
      </c>
    </row>
    <row r="3915">
      <c r="M3915" s="2">
        <f>IF(C3915="","",IFERROR(INDEX($S$5:$S$304,MATCH(C3915,$R$5:$R$304,0))&amp;"","?"))</f>
        <v/>
      </c>
      <c r="N3915" s="2">
        <f>IF(E3915="","",IF(ISNUMBER(SEARCH("SUBSOLO",E3915)),IFERROR(-VALUE(LEFT(E3915,FIND("º",SUBSTITUTE(E3915,"°","º"))-1)),-1),IF(LEFT(E3915,6)="TÉRREO",0,IFERROR(VALUE(LEFT(E3915,FIND("º",SUBSTITUTE(E3915,"°","º"))-1)),""))))</f>
        <v/>
      </c>
      <c r="O3915" s="2">
        <f>IF(OR(F3915="",G3915=""),"",IF(G3915&lt;='RETRATO 2027'!$K$5,"CONCLUÍDA",IF(F3915&lt;='RETRATO 2027'!$K$5,"EM ANDAMENTO","A INICIAR")))</f>
        <v/>
      </c>
    </row>
    <row r="3916">
      <c r="M3916" s="2">
        <f>IF(C3916="","",IFERROR(INDEX($S$5:$S$304,MATCH(C3916,$R$5:$R$304,0))&amp;"","?"))</f>
        <v/>
      </c>
      <c r="N3916" s="2">
        <f>IF(E3916="","",IF(ISNUMBER(SEARCH("SUBSOLO",E3916)),IFERROR(-VALUE(LEFT(E3916,FIND("º",SUBSTITUTE(E3916,"°","º"))-1)),-1),IF(LEFT(E3916,6)="TÉRREO",0,IFERROR(VALUE(LEFT(E3916,FIND("º",SUBSTITUTE(E3916,"°","º"))-1)),""))))</f>
        <v/>
      </c>
      <c r="O3916" s="2">
        <f>IF(OR(F3916="",G3916=""),"",IF(G3916&lt;='RETRATO 2027'!$K$5,"CONCLUÍDA",IF(F3916&lt;='RETRATO 2027'!$K$5,"EM ANDAMENTO","A INICIAR")))</f>
        <v/>
      </c>
    </row>
    <row r="3917">
      <c r="M3917" s="2">
        <f>IF(C3917="","",IFERROR(INDEX($S$5:$S$304,MATCH(C3917,$R$5:$R$304,0))&amp;"","?"))</f>
        <v/>
      </c>
      <c r="N3917" s="2">
        <f>IF(E3917="","",IF(ISNUMBER(SEARCH("SUBSOLO",E3917)),IFERROR(-VALUE(LEFT(E3917,FIND("º",SUBSTITUTE(E3917,"°","º"))-1)),-1),IF(LEFT(E3917,6)="TÉRREO",0,IFERROR(VALUE(LEFT(E3917,FIND("º",SUBSTITUTE(E3917,"°","º"))-1)),""))))</f>
        <v/>
      </c>
      <c r="O3917" s="2">
        <f>IF(OR(F3917="",G3917=""),"",IF(G3917&lt;='RETRATO 2027'!$K$5,"CONCLUÍDA",IF(F3917&lt;='RETRATO 2027'!$K$5,"EM ANDAMENTO","A INICIAR")))</f>
        <v/>
      </c>
    </row>
    <row r="3918">
      <c r="M3918" s="2">
        <f>IF(C3918="","",IFERROR(INDEX($S$5:$S$304,MATCH(C3918,$R$5:$R$304,0))&amp;"","?"))</f>
        <v/>
      </c>
      <c r="N3918" s="2">
        <f>IF(E3918="","",IF(ISNUMBER(SEARCH("SUBSOLO",E3918)),IFERROR(-VALUE(LEFT(E3918,FIND("º",SUBSTITUTE(E3918,"°","º"))-1)),-1),IF(LEFT(E3918,6)="TÉRREO",0,IFERROR(VALUE(LEFT(E3918,FIND("º",SUBSTITUTE(E3918,"°","º"))-1)),""))))</f>
        <v/>
      </c>
      <c r="O3918" s="2">
        <f>IF(OR(F3918="",G3918=""),"",IF(G3918&lt;='RETRATO 2027'!$K$5,"CONCLUÍDA",IF(F3918&lt;='RETRATO 2027'!$K$5,"EM ANDAMENTO","A INICIAR")))</f>
        <v/>
      </c>
    </row>
    <row r="3919">
      <c r="M3919" s="2">
        <f>IF(C3919="","",IFERROR(INDEX($S$5:$S$304,MATCH(C3919,$R$5:$R$304,0))&amp;"","?"))</f>
        <v/>
      </c>
      <c r="N3919" s="2">
        <f>IF(E3919="","",IF(ISNUMBER(SEARCH("SUBSOLO",E3919)),IFERROR(-VALUE(LEFT(E3919,FIND("º",SUBSTITUTE(E3919,"°","º"))-1)),-1),IF(LEFT(E3919,6)="TÉRREO",0,IFERROR(VALUE(LEFT(E3919,FIND("º",SUBSTITUTE(E3919,"°","º"))-1)),""))))</f>
        <v/>
      </c>
      <c r="O3919" s="2">
        <f>IF(OR(F3919="",G3919=""),"",IF(G3919&lt;='RETRATO 2027'!$K$5,"CONCLUÍDA",IF(F3919&lt;='RETRATO 2027'!$K$5,"EM ANDAMENTO","A INICIAR")))</f>
        <v/>
      </c>
    </row>
    <row r="3920">
      <c r="M3920" s="2">
        <f>IF(C3920="","",IFERROR(INDEX($S$5:$S$304,MATCH(C3920,$R$5:$R$304,0))&amp;"","?"))</f>
        <v/>
      </c>
      <c r="N3920" s="2">
        <f>IF(E3920="","",IF(ISNUMBER(SEARCH("SUBSOLO",E3920)),IFERROR(-VALUE(LEFT(E3920,FIND("º",SUBSTITUTE(E3920,"°","º"))-1)),-1),IF(LEFT(E3920,6)="TÉRREO",0,IFERROR(VALUE(LEFT(E3920,FIND("º",SUBSTITUTE(E3920,"°","º"))-1)),""))))</f>
        <v/>
      </c>
      <c r="O3920" s="2">
        <f>IF(OR(F3920="",G3920=""),"",IF(G3920&lt;='RETRATO 2027'!$K$5,"CONCLUÍDA",IF(F3920&lt;='RETRATO 2027'!$K$5,"EM ANDAMENTO","A INICIAR")))</f>
        <v/>
      </c>
    </row>
    <row r="3921">
      <c r="M3921" s="2">
        <f>IF(C3921="","",IFERROR(INDEX($S$5:$S$304,MATCH(C3921,$R$5:$R$304,0))&amp;"","?"))</f>
        <v/>
      </c>
      <c r="N3921" s="2">
        <f>IF(E3921="","",IF(ISNUMBER(SEARCH("SUBSOLO",E3921)),IFERROR(-VALUE(LEFT(E3921,FIND("º",SUBSTITUTE(E3921,"°","º"))-1)),-1),IF(LEFT(E3921,6)="TÉRREO",0,IFERROR(VALUE(LEFT(E3921,FIND("º",SUBSTITUTE(E3921,"°","º"))-1)),""))))</f>
        <v/>
      </c>
      <c r="O3921" s="2">
        <f>IF(OR(F3921="",G3921=""),"",IF(G3921&lt;='RETRATO 2027'!$K$5,"CONCLUÍDA",IF(F3921&lt;='RETRATO 2027'!$K$5,"EM ANDAMENTO","A INICIAR")))</f>
        <v/>
      </c>
    </row>
    <row r="3922">
      <c r="M3922" s="2">
        <f>IF(C3922="","",IFERROR(INDEX($S$5:$S$304,MATCH(C3922,$R$5:$R$304,0))&amp;"","?"))</f>
        <v/>
      </c>
      <c r="N3922" s="2">
        <f>IF(E3922="","",IF(ISNUMBER(SEARCH("SUBSOLO",E3922)),IFERROR(-VALUE(LEFT(E3922,FIND("º",SUBSTITUTE(E3922,"°","º"))-1)),-1),IF(LEFT(E3922,6)="TÉRREO",0,IFERROR(VALUE(LEFT(E3922,FIND("º",SUBSTITUTE(E3922,"°","º"))-1)),""))))</f>
        <v/>
      </c>
      <c r="O3922" s="2">
        <f>IF(OR(F3922="",G3922=""),"",IF(G3922&lt;='RETRATO 2027'!$K$5,"CONCLUÍDA",IF(F3922&lt;='RETRATO 2027'!$K$5,"EM ANDAMENTO","A INICIAR")))</f>
        <v/>
      </c>
    </row>
    <row r="3923">
      <c r="M3923" s="2">
        <f>IF(C3923="","",IFERROR(INDEX($S$5:$S$304,MATCH(C3923,$R$5:$R$304,0))&amp;"","?"))</f>
        <v/>
      </c>
      <c r="N3923" s="2">
        <f>IF(E3923="","",IF(ISNUMBER(SEARCH("SUBSOLO",E3923)),IFERROR(-VALUE(LEFT(E3923,FIND("º",SUBSTITUTE(E3923,"°","º"))-1)),-1),IF(LEFT(E3923,6)="TÉRREO",0,IFERROR(VALUE(LEFT(E3923,FIND("º",SUBSTITUTE(E3923,"°","º"))-1)),""))))</f>
        <v/>
      </c>
      <c r="O3923" s="2">
        <f>IF(OR(F3923="",G3923=""),"",IF(G3923&lt;='RETRATO 2027'!$K$5,"CONCLUÍDA",IF(F3923&lt;='RETRATO 2027'!$K$5,"EM ANDAMENTO","A INICIAR")))</f>
        <v/>
      </c>
    </row>
    <row r="3924">
      <c r="M3924" s="2">
        <f>IF(C3924="","",IFERROR(INDEX($S$5:$S$304,MATCH(C3924,$R$5:$R$304,0))&amp;"","?"))</f>
        <v/>
      </c>
      <c r="N3924" s="2">
        <f>IF(E3924="","",IF(ISNUMBER(SEARCH("SUBSOLO",E3924)),IFERROR(-VALUE(LEFT(E3924,FIND("º",SUBSTITUTE(E3924,"°","º"))-1)),-1),IF(LEFT(E3924,6)="TÉRREO",0,IFERROR(VALUE(LEFT(E3924,FIND("º",SUBSTITUTE(E3924,"°","º"))-1)),""))))</f>
        <v/>
      </c>
      <c r="O3924" s="2">
        <f>IF(OR(F3924="",G3924=""),"",IF(G3924&lt;='RETRATO 2027'!$K$5,"CONCLUÍDA",IF(F3924&lt;='RETRATO 2027'!$K$5,"EM ANDAMENTO","A INICIAR")))</f>
        <v/>
      </c>
    </row>
    <row r="3925">
      <c r="M3925" s="2">
        <f>IF(C3925="","",IFERROR(INDEX($S$5:$S$304,MATCH(C3925,$R$5:$R$304,0))&amp;"","?"))</f>
        <v/>
      </c>
      <c r="N3925" s="2">
        <f>IF(E3925="","",IF(ISNUMBER(SEARCH("SUBSOLO",E3925)),IFERROR(-VALUE(LEFT(E3925,FIND("º",SUBSTITUTE(E3925,"°","º"))-1)),-1),IF(LEFT(E3925,6)="TÉRREO",0,IFERROR(VALUE(LEFT(E3925,FIND("º",SUBSTITUTE(E3925,"°","º"))-1)),""))))</f>
        <v/>
      </c>
      <c r="O3925" s="2">
        <f>IF(OR(F3925="",G3925=""),"",IF(G3925&lt;='RETRATO 2027'!$K$5,"CONCLUÍDA",IF(F3925&lt;='RETRATO 2027'!$K$5,"EM ANDAMENTO","A INICIAR")))</f>
        <v/>
      </c>
    </row>
    <row r="3926">
      <c r="M3926" s="2">
        <f>IF(C3926="","",IFERROR(INDEX($S$5:$S$304,MATCH(C3926,$R$5:$R$304,0))&amp;"","?"))</f>
        <v/>
      </c>
      <c r="N3926" s="2">
        <f>IF(E3926="","",IF(ISNUMBER(SEARCH("SUBSOLO",E3926)),IFERROR(-VALUE(LEFT(E3926,FIND("º",SUBSTITUTE(E3926,"°","º"))-1)),-1),IF(LEFT(E3926,6)="TÉRREO",0,IFERROR(VALUE(LEFT(E3926,FIND("º",SUBSTITUTE(E3926,"°","º"))-1)),""))))</f>
        <v/>
      </c>
      <c r="O3926" s="2">
        <f>IF(OR(F3926="",G3926=""),"",IF(G3926&lt;='RETRATO 2027'!$K$5,"CONCLUÍDA",IF(F3926&lt;='RETRATO 2027'!$K$5,"EM ANDAMENTO","A INICIAR")))</f>
        <v/>
      </c>
    </row>
    <row r="3927">
      <c r="M3927" s="2">
        <f>IF(C3927="","",IFERROR(INDEX($S$5:$S$304,MATCH(C3927,$R$5:$R$304,0))&amp;"","?"))</f>
        <v/>
      </c>
      <c r="N3927" s="2">
        <f>IF(E3927="","",IF(ISNUMBER(SEARCH("SUBSOLO",E3927)),IFERROR(-VALUE(LEFT(E3927,FIND("º",SUBSTITUTE(E3927,"°","º"))-1)),-1),IF(LEFT(E3927,6)="TÉRREO",0,IFERROR(VALUE(LEFT(E3927,FIND("º",SUBSTITUTE(E3927,"°","º"))-1)),""))))</f>
        <v/>
      </c>
      <c r="O3927" s="2">
        <f>IF(OR(F3927="",G3927=""),"",IF(G3927&lt;='RETRATO 2027'!$K$5,"CONCLUÍDA",IF(F3927&lt;='RETRATO 2027'!$K$5,"EM ANDAMENTO","A INICIAR")))</f>
        <v/>
      </c>
    </row>
    <row r="3928">
      <c r="M3928" s="2">
        <f>IF(C3928="","",IFERROR(INDEX($S$5:$S$304,MATCH(C3928,$R$5:$R$304,0))&amp;"","?"))</f>
        <v/>
      </c>
      <c r="N3928" s="2">
        <f>IF(E3928="","",IF(ISNUMBER(SEARCH("SUBSOLO",E3928)),IFERROR(-VALUE(LEFT(E3928,FIND("º",SUBSTITUTE(E3928,"°","º"))-1)),-1),IF(LEFT(E3928,6)="TÉRREO",0,IFERROR(VALUE(LEFT(E3928,FIND("º",SUBSTITUTE(E3928,"°","º"))-1)),""))))</f>
        <v/>
      </c>
      <c r="O3928" s="2">
        <f>IF(OR(F3928="",G3928=""),"",IF(G3928&lt;='RETRATO 2027'!$K$5,"CONCLUÍDA",IF(F3928&lt;='RETRATO 2027'!$K$5,"EM ANDAMENTO","A INICIAR")))</f>
        <v/>
      </c>
    </row>
    <row r="3929">
      <c r="M3929" s="2">
        <f>IF(C3929="","",IFERROR(INDEX($S$5:$S$304,MATCH(C3929,$R$5:$R$304,0))&amp;"","?"))</f>
        <v/>
      </c>
      <c r="N3929" s="2">
        <f>IF(E3929="","",IF(ISNUMBER(SEARCH("SUBSOLO",E3929)),IFERROR(-VALUE(LEFT(E3929,FIND("º",SUBSTITUTE(E3929,"°","º"))-1)),-1),IF(LEFT(E3929,6)="TÉRREO",0,IFERROR(VALUE(LEFT(E3929,FIND("º",SUBSTITUTE(E3929,"°","º"))-1)),""))))</f>
        <v/>
      </c>
      <c r="O3929" s="2">
        <f>IF(OR(F3929="",G3929=""),"",IF(G3929&lt;='RETRATO 2027'!$K$5,"CONCLUÍDA",IF(F3929&lt;='RETRATO 2027'!$K$5,"EM ANDAMENTO","A INICIAR")))</f>
        <v/>
      </c>
    </row>
    <row r="3930">
      <c r="M3930" s="2">
        <f>IF(C3930="","",IFERROR(INDEX($S$5:$S$304,MATCH(C3930,$R$5:$R$304,0))&amp;"","?"))</f>
        <v/>
      </c>
      <c r="N3930" s="2">
        <f>IF(E3930="","",IF(ISNUMBER(SEARCH("SUBSOLO",E3930)),IFERROR(-VALUE(LEFT(E3930,FIND("º",SUBSTITUTE(E3930,"°","º"))-1)),-1),IF(LEFT(E3930,6)="TÉRREO",0,IFERROR(VALUE(LEFT(E3930,FIND("º",SUBSTITUTE(E3930,"°","º"))-1)),""))))</f>
        <v/>
      </c>
      <c r="O3930" s="2">
        <f>IF(OR(F3930="",G3930=""),"",IF(G3930&lt;='RETRATO 2027'!$K$5,"CONCLUÍDA",IF(F3930&lt;='RETRATO 2027'!$K$5,"EM ANDAMENTO","A INICIAR")))</f>
        <v/>
      </c>
    </row>
    <row r="3931">
      <c r="M3931" s="2">
        <f>IF(C3931="","",IFERROR(INDEX($S$5:$S$304,MATCH(C3931,$R$5:$R$304,0))&amp;"","?"))</f>
        <v/>
      </c>
      <c r="N3931" s="2">
        <f>IF(E3931="","",IF(ISNUMBER(SEARCH("SUBSOLO",E3931)),IFERROR(-VALUE(LEFT(E3931,FIND("º",SUBSTITUTE(E3931,"°","º"))-1)),-1),IF(LEFT(E3931,6)="TÉRREO",0,IFERROR(VALUE(LEFT(E3931,FIND("º",SUBSTITUTE(E3931,"°","º"))-1)),""))))</f>
        <v/>
      </c>
      <c r="O3931" s="2">
        <f>IF(OR(F3931="",G3931=""),"",IF(G3931&lt;='RETRATO 2027'!$K$5,"CONCLUÍDA",IF(F3931&lt;='RETRATO 2027'!$K$5,"EM ANDAMENTO","A INICIAR")))</f>
        <v/>
      </c>
    </row>
    <row r="3932">
      <c r="M3932" s="2">
        <f>IF(C3932="","",IFERROR(INDEX($S$5:$S$304,MATCH(C3932,$R$5:$R$304,0))&amp;"","?"))</f>
        <v/>
      </c>
      <c r="N3932" s="2">
        <f>IF(E3932="","",IF(ISNUMBER(SEARCH("SUBSOLO",E3932)),IFERROR(-VALUE(LEFT(E3932,FIND("º",SUBSTITUTE(E3932,"°","º"))-1)),-1),IF(LEFT(E3932,6)="TÉRREO",0,IFERROR(VALUE(LEFT(E3932,FIND("º",SUBSTITUTE(E3932,"°","º"))-1)),""))))</f>
        <v/>
      </c>
      <c r="O3932" s="2">
        <f>IF(OR(F3932="",G3932=""),"",IF(G3932&lt;='RETRATO 2027'!$K$5,"CONCLUÍDA",IF(F3932&lt;='RETRATO 2027'!$K$5,"EM ANDAMENTO","A INICIAR")))</f>
        <v/>
      </c>
    </row>
    <row r="3933">
      <c r="M3933" s="2">
        <f>IF(C3933="","",IFERROR(INDEX($S$5:$S$304,MATCH(C3933,$R$5:$R$304,0))&amp;"","?"))</f>
        <v/>
      </c>
      <c r="N3933" s="2">
        <f>IF(E3933="","",IF(ISNUMBER(SEARCH("SUBSOLO",E3933)),IFERROR(-VALUE(LEFT(E3933,FIND("º",SUBSTITUTE(E3933,"°","º"))-1)),-1),IF(LEFT(E3933,6)="TÉRREO",0,IFERROR(VALUE(LEFT(E3933,FIND("º",SUBSTITUTE(E3933,"°","º"))-1)),""))))</f>
        <v/>
      </c>
      <c r="O3933" s="2">
        <f>IF(OR(F3933="",G3933=""),"",IF(G3933&lt;='RETRATO 2027'!$K$5,"CONCLUÍDA",IF(F3933&lt;='RETRATO 2027'!$K$5,"EM ANDAMENTO","A INICIAR")))</f>
        <v/>
      </c>
    </row>
    <row r="3934">
      <c r="M3934" s="2">
        <f>IF(C3934="","",IFERROR(INDEX($S$5:$S$304,MATCH(C3934,$R$5:$R$304,0))&amp;"","?"))</f>
        <v/>
      </c>
      <c r="N3934" s="2">
        <f>IF(E3934="","",IF(ISNUMBER(SEARCH("SUBSOLO",E3934)),IFERROR(-VALUE(LEFT(E3934,FIND("º",SUBSTITUTE(E3934,"°","º"))-1)),-1),IF(LEFT(E3934,6)="TÉRREO",0,IFERROR(VALUE(LEFT(E3934,FIND("º",SUBSTITUTE(E3934,"°","º"))-1)),""))))</f>
        <v/>
      </c>
      <c r="O3934" s="2">
        <f>IF(OR(F3934="",G3934=""),"",IF(G3934&lt;='RETRATO 2027'!$K$5,"CONCLUÍDA",IF(F3934&lt;='RETRATO 2027'!$K$5,"EM ANDAMENTO","A INICIAR")))</f>
        <v/>
      </c>
    </row>
    <row r="3935">
      <c r="M3935" s="2">
        <f>IF(C3935="","",IFERROR(INDEX($S$5:$S$304,MATCH(C3935,$R$5:$R$304,0))&amp;"","?"))</f>
        <v/>
      </c>
      <c r="N3935" s="2">
        <f>IF(E3935="","",IF(ISNUMBER(SEARCH("SUBSOLO",E3935)),IFERROR(-VALUE(LEFT(E3935,FIND("º",SUBSTITUTE(E3935,"°","º"))-1)),-1),IF(LEFT(E3935,6)="TÉRREO",0,IFERROR(VALUE(LEFT(E3935,FIND("º",SUBSTITUTE(E3935,"°","º"))-1)),""))))</f>
        <v/>
      </c>
      <c r="O3935" s="2">
        <f>IF(OR(F3935="",G3935=""),"",IF(G3935&lt;='RETRATO 2027'!$K$5,"CONCLUÍDA",IF(F3935&lt;='RETRATO 2027'!$K$5,"EM ANDAMENTO","A INICIAR")))</f>
        <v/>
      </c>
    </row>
    <row r="3936">
      <c r="M3936" s="2">
        <f>IF(C3936="","",IFERROR(INDEX($S$5:$S$304,MATCH(C3936,$R$5:$R$304,0))&amp;"","?"))</f>
        <v/>
      </c>
      <c r="N3936" s="2">
        <f>IF(E3936="","",IF(ISNUMBER(SEARCH("SUBSOLO",E3936)),IFERROR(-VALUE(LEFT(E3936,FIND("º",SUBSTITUTE(E3936,"°","º"))-1)),-1),IF(LEFT(E3936,6)="TÉRREO",0,IFERROR(VALUE(LEFT(E3936,FIND("º",SUBSTITUTE(E3936,"°","º"))-1)),""))))</f>
        <v/>
      </c>
      <c r="O3936" s="2">
        <f>IF(OR(F3936="",G3936=""),"",IF(G3936&lt;='RETRATO 2027'!$K$5,"CONCLUÍDA",IF(F3936&lt;='RETRATO 2027'!$K$5,"EM ANDAMENTO","A INICIAR")))</f>
        <v/>
      </c>
    </row>
    <row r="3937">
      <c r="M3937" s="2">
        <f>IF(C3937="","",IFERROR(INDEX($S$5:$S$304,MATCH(C3937,$R$5:$R$304,0))&amp;"","?"))</f>
        <v/>
      </c>
      <c r="N3937" s="2">
        <f>IF(E3937="","",IF(ISNUMBER(SEARCH("SUBSOLO",E3937)),IFERROR(-VALUE(LEFT(E3937,FIND("º",SUBSTITUTE(E3937,"°","º"))-1)),-1),IF(LEFT(E3937,6)="TÉRREO",0,IFERROR(VALUE(LEFT(E3937,FIND("º",SUBSTITUTE(E3937,"°","º"))-1)),""))))</f>
        <v/>
      </c>
      <c r="O3937" s="2">
        <f>IF(OR(F3937="",G3937=""),"",IF(G3937&lt;='RETRATO 2027'!$K$5,"CONCLUÍDA",IF(F3937&lt;='RETRATO 2027'!$K$5,"EM ANDAMENTO","A INICIAR")))</f>
        <v/>
      </c>
    </row>
    <row r="3938">
      <c r="M3938" s="2">
        <f>IF(C3938="","",IFERROR(INDEX($S$5:$S$304,MATCH(C3938,$R$5:$R$304,0))&amp;"","?"))</f>
        <v/>
      </c>
      <c r="N3938" s="2">
        <f>IF(E3938="","",IF(ISNUMBER(SEARCH("SUBSOLO",E3938)),IFERROR(-VALUE(LEFT(E3938,FIND("º",SUBSTITUTE(E3938,"°","º"))-1)),-1),IF(LEFT(E3938,6)="TÉRREO",0,IFERROR(VALUE(LEFT(E3938,FIND("º",SUBSTITUTE(E3938,"°","º"))-1)),""))))</f>
        <v/>
      </c>
      <c r="O3938" s="2">
        <f>IF(OR(F3938="",G3938=""),"",IF(G3938&lt;='RETRATO 2027'!$K$5,"CONCLUÍDA",IF(F3938&lt;='RETRATO 2027'!$K$5,"EM ANDAMENTO","A INICIAR")))</f>
        <v/>
      </c>
    </row>
    <row r="3939">
      <c r="M3939" s="2">
        <f>IF(C3939="","",IFERROR(INDEX($S$5:$S$304,MATCH(C3939,$R$5:$R$304,0))&amp;"","?"))</f>
        <v/>
      </c>
      <c r="N3939" s="2">
        <f>IF(E3939="","",IF(ISNUMBER(SEARCH("SUBSOLO",E3939)),IFERROR(-VALUE(LEFT(E3939,FIND("º",SUBSTITUTE(E3939,"°","º"))-1)),-1),IF(LEFT(E3939,6)="TÉRREO",0,IFERROR(VALUE(LEFT(E3939,FIND("º",SUBSTITUTE(E3939,"°","º"))-1)),""))))</f>
        <v/>
      </c>
      <c r="O3939" s="2">
        <f>IF(OR(F3939="",G3939=""),"",IF(G3939&lt;='RETRATO 2027'!$K$5,"CONCLUÍDA",IF(F3939&lt;='RETRATO 2027'!$K$5,"EM ANDAMENTO","A INICIAR")))</f>
        <v/>
      </c>
    </row>
    <row r="3940">
      <c r="M3940" s="2">
        <f>IF(C3940="","",IFERROR(INDEX($S$5:$S$304,MATCH(C3940,$R$5:$R$304,0))&amp;"","?"))</f>
        <v/>
      </c>
      <c r="N3940" s="2">
        <f>IF(E3940="","",IF(ISNUMBER(SEARCH("SUBSOLO",E3940)),IFERROR(-VALUE(LEFT(E3940,FIND("º",SUBSTITUTE(E3940,"°","º"))-1)),-1),IF(LEFT(E3940,6)="TÉRREO",0,IFERROR(VALUE(LEFT(E3940,FIND("º",SUBSTITUTE(E3940,"°","º"))-1)),""))))</f>
        <v/>
      </c>
      <c r="O3940" s="2">
        <f>IF(OR(F3940="",G3940=""),"",IF(G3940&lt;='RETRATO 2027'!$K$5,"CONCLUÍDA",IF(F3940&lt;='RETRATO 2027'!$K$5,"EM ANDAMENTO","A INICIAR")))</f>
        <v/>
      </c>
    </row>
    <row r="3941">
      <c r="M3941" s="2">
        <f>IF(C3941="","",IFERROR(INDEX($S$5:$S$304,MATCH(C3941,$R$5:$R$304,0))&amp;"","?"))</f>
        <v/>
      </c>
      <c r="N3941" s="2">
        <f>IF(E3941="","",IF(ISNUMBER(SEARCH("SUBSOLO",E3941)),IFERROR(-VALUE(LEFT(E3941,FIND("º",SUBSTITUTE(E3941,"°","º"))-1)),-1),IF(LEFT(E3941,6)="TÉRREO",0,IFERROR(VALUE(LEFT(E3941,FIND("º",SUBSTITUTE(E3941,"°","º"))-1)),""))))</f>
        <v/>
      </c>
      <c r="O3941" s="2">
        <f>IF(OR(F3941="",G3941=""),"",IF(G3941&lt;='RETRATO 2027'!$K$5,"CONCLUÍDA",IF(F3941&lt;='RETRATO 2027'!$K$5,"EM ANDAMENTO","A INICIAR")))</f>
        <v/>
      </c>
    </row>
    <row r="3942">
      <c r="M3942" s="2">
        <f>IF(C3942="","",IFERROR(INDEX($S$5:$S$304,MATCH(C3942,$R$5:$R$304,0))&amp;"","?"))</f>
        <v/>
      </c>
      <c r="N3942" s="2">
        <f>IF(E3942="","",IF(ISNUMBER(SEARCH("SUBSOLO",E3942)),IFERROR(-VALUE(LEFT(E3942,FIND("º",SUBSTITUTE(E3942,"°","º"))-1)),-1),IF(LEFT(E3942,6)="TÉRREO",0,IFERROR(VALUE(LEFT(E3942,FIND("º",SUBSTITUTE(E3942,"°","º"))-1)),""))))</f>
        <v/>
      </c>
      <c r="O3942" s="2">
        <f>IF(OR(F3942="",G3942=""),"",IF(G3942&lt;='RETRATO 2027'!$K$5,"CONCLUÍDA",IF(F3942&lt;='RETRATO 2027'!$K$5,"EM ANDAMENTO","A INICIAR")))</f>
        <v/>
      </c>
    </row>
    <row r="3943">
      <c r="M3943" s="2">
        <f>IF(C3943="","",IFERROR(INDEX($S$5:$S$304,MATCH(C3943,$R$5:$R$304,0))&amp;"","?"))</f>
        <v/>
      </c>
      <c r="N3943" s="2">
        <f>IF(E3943="","",IF(ISNUMBER(SEARCH("SUBSOLO",E3943)),IFERROR(-VALUE(LEFT(E3943,FIND("º",SUBSTITUTE(E3943,"°","º"))-1)),-1),IF(LEFT(E3943,6)="TÉRREO",0,IFERROR(VALUE(LEFT(E3943,FIND("º",SUBSTITUTE(E3943,"°","º"))-1)),""))))</f>
        <v/>
      </c>
      <c r="O3943" s="2">
        <f>IF(OR(F3943="",G3943=""),"",IF(G3943&lt;='RETRATO 2027'!$K$5,"CONCLUÍDA",IF(F3943&lt;='RETRATO 2027'!$K$5,"EM ANDAMENTO","A INICIAR")))</f>
        <v/>
      </c>
    </row>
    <row r="3944">
      <c r="M3944" s="2">
        <f>IF(C3944="","",IFERROR(INDEX($S$5:$S$304,MATCH(C3944,$R$5:$R$304,0))&amp;"","?"))</f>
        <v/>
      </c>
      <c r="N3944" s="2">
        <f>IF(E3944="","",IF(ISNUMBER(SEARCH("SUBSOLO",E3944)),IFERROR(-VALUE(LEFT(E3944,FIND("º",SUBSTITUTE(E3944,"°","º"))-1)),-1),IF(LEFT(E3944,6)="TÉRREO",0,IFERROR(VALUE(LEFT(E3944,FIND("º",SUBSTITUTE(E3944,"°","º"))-1)),""))))</f>
        <v/>
      </c>
      <c r="O3944" s="2">
        <f>IF(OR(F3944="",G3944=""),"",IF(G3944&lt;='RETRATO 2027'!$K$5,"CONCLUÍDA",IF(F3944&lt;='RETRATO 2027'!$K$5,"EM ANDAMENTO","A INICIAR")))</f>
        <v/>
      </c>
    </row>
    <row r="3945">
      <c r="M3945" s="2">
        <f>IF(C3945="","",IFERROR(INDEX($S$5:$S$304,MATCH(C3945,$R$5:$R$304,0))&amp;"","?"))</f>
        <v/>
      </c>
      <c r="N3945" s="2">
        <f>IF(E3945="","",IF(ISNUMBER(SEARCH("SUBSOLO",E3945)),IFERROR(-VALUE(LEFT(E3945,FIND("º",SUBSTITUTE(E3945,"°","º"))-1)),-1),IF(LEFT(E3945,6)="TÉRREO",0,IFERROR(VALUE(LEFT(E3945,FIND("º",SUBSTITUTE(E3945,"°","º"))-1)),""))))</f>
        <v/>
      </c>
      <c r="O3945" s="2">
        <f>IF(OR(F3945="",G3945=""),"",IF(G3945&lt;='RETRATO 2027'!$K$5,"CONCLUÍDA",IF(F3945&lt;='RETRATO 2027'!$K$5,"EM ANDAMENTO","A INICIAR")))</f>
        <v/>
      </c>
    </row>
    <row r="3946">
      <c r="M3946" s="2">
        <f>IF(C3946="","",IFERROR(INDEX($S$5:$S$304,MATCH(C3946,$R$5:$R$304,0))&amp;"","?"))</f>
        <v/>
      </c>
      <c r="N3946" s="2">
        <f>IF(E3946="","",IF(ISNUMBER(SEARCH("SUBSOLO",E3946)),IFERROR(-VALUE(LEFT(E3946,FIND("º",SUBSTITUTE(E3946,"°","º"))-1)),-1),IF(LEFT(E3946,6)="TÉRREO",0,IFERROR(VALUE(LEFT(E3946,FIND("º",SUBSTITUTE(E3946,"°","º"))-1)),""))))</f>
        <v/>
      </c>
      <c r="O3946" s="2">
        <f>IF(OR(F3946="",G3946=""),"",IF(G3946&lt;='RETRATO 2027'!$K$5,"CONCLUÍDA",IF(F3946&lt;='RETRATO 2027'!$K$5,"EM ANDAMENTO","A INICIAR")))</f>
        <v/>
      </c>
    </row>
    <row r="3947">
      <c r="M3947" s="2">
        <f>IF(C3947="","",IFERROR(INDEX($S$5:$S$304,MATCH(C3947,$R$5:$R$304,0))&amp;"","?"))</f>
        <v/>
      </c>
      <c r="N3947" s="2">
        <f>IF(E3947="","",IF(ISNUMBER(SEARCH("SUBSOLO",E3947)),IFERROR(-VALUE(LEFT(E3947,FIND("º",SUBSTITUTE(E3947,"°","º"))-1)),-1),IF(LEFT(E3947,6)="TÉRREO",0,IFERROR(VALUE(LEFT(E3947,FIND("º",SUBSTITUTE(E3947,"°","º"))-1)),""))))</f>
        <v/>
      </c>
      <c r="O3947" s="2">
        <f>IF(OR(F3947="",G3947=""),"",IF(G3947&lt;='RETRATO 2027'!$K$5,"CONCLUÍDA",IF(F3947&lt;='RETRATO 2027'!$K$5,"EM ANDAMENTO","A INICIAR")))</f>
        <v/>
      </c>
    </row>
    <row r="3948">
      <c r="M3948" s="2">
        <f>IF(C3948="","",IFERROR(INDEX($S$5:$S$304,MATCH(C3948,$R$5:$R$304,0))&amp;"","?"))</f>
        <v/>
      </c>
      <c r="N3948" s="2">
        <f>IF(E3948="","",IF(ISNUMBER(SEARCH("SUBSOLO",E3948)),IFERROR(-VALUE(LEFT(E3948,FIND("º",SUBSTITUTE(E3948,"°","º"))-1)),-1),IF(LEFT(E3948,6)="TÉRREO",0,IFERROR(VALUE(LEFT(E3948,FIND("º",SUBSTITUTE(E3948,"°","º"))-1)),""))))</f>
        <v/>
      </c>
      <c r="O3948" s="2">
        <f>IF(OR(F3948="",G3948=""),"",IF(G3948&lt;='RETRATO 2027'!$K$5,"CONCLUÍDA",IF(F3948&lt;='RETRATO 2027'!$K$5,"EM ANDAMENTO","A INICIAR")))</f>
        <v/>
      </c>
    </row>
    <row r="3949">
      <c r="M3949" s="2">
        <f>IF(C3949="","",IFERROR(INDEX($S$5:$S$304,MATCH(C3949,$R$5:$R$304,0))&amp;"","?"))</f>
        <v/>
      </c>
      <c r="N3949" s="2">
        <f>IF(E3949="","",IF(ISNUMBER(SEARCH("SUBSOLO",E3949)),IFERROR(-VALUE(LEFT(E3949,FIND("º",SUBSTITUTE(E3949,"°","º"))-1)),-1),IF(LEFT(E3949,6)="TÉRREO",0,IFERROR(VALUE(LEFT(E3949,FIND("º",SUBSTITUTE(E3949,"°","º"))-1)),""))))</f>
        <v/>
      </c>
      <c r="O3949" s="2">
        <f>IF(OR(F3949="",G3949=""),"",IF(G3949&lt;='RETRATO 2027'!$K$5,"CONCLUÍDA",IF(F3949&lt;='RETRATO 2027'!$K$5,"EM ANDAMENTO","A INICIAR")))</f>
        <v/>
      </c>
    </row>
    <row r="3950">
      <c r="M3950" s="2">
        <f>IF(C3950="","",IFERROR(INDEX($S$5:$S$304,MATCH(C3950,$R$5:$R$304,0))&amp;"","?"))</f>
        <v/>
      </c>
      <c r="N3950" s="2">
        <f>IF(E3950="","",IF(ISNUMBER(SEARCH("SUBSOLO",E3950)),IFERROR(-VALUE(LEFT(E3950,FIND("º",SUBSTITUTE(E3950,"°","º"))-1)),-1),IF(LEFT(E3950,6)="TÉRREO",0,IFERROR(VALUE(LEFT(E3950,FIND("º",SUBSTITUTE(E3950,"°","º"))-1)),""))))</f>
        <v/>
      </c>
      <c r="O3950" s="2">
        <f>IF(OR(F3950="",G3950=""),"",IF(G3950&lt;='RETRATO 2027'!$K$5,"CONCLUÍDA",IF(F3950&lt;='RETRATO 2027'!$K$5,"EM ANDAMENTO","A INICIAR")))</f>
        <v/>
      </c>
    </row>
    <row r="3951">
      <c r="M3951" s="2">
        <f>IF(C3951="","",IFERROR(INDEX($S$5:$S$304,MATCH(C3951,$R$5:$R$304,0))&amp;"","?"))</f>
        <v/>
      </c>
      <c r="N3951" s="2">
        <f>IF(E3951="","",IF(ISNUMBER(SEARCH("SUBSOLO",E3951)),IFERROR(-VALUE(LEFT(E3951,FIND("º",SUBSTITUTE(E3951,"°","º"))-1)),-1),IF(LEFT(E3951,6)="TÉRREO",0,IFERROR(VALUE(LEFT(E3951,FIND("º",SUBSTITUTE(E3951,"°","º"))-1)),""))))</f>
        <v/>
      </c>
      <c r="O3951" s="2">
        <f>IF(OR(F3951="",G3951=""),"",IF(G3951&lt;='RETRATO 2027'!$K$5,"CONCLUÍDA",IF(F3951&lt;='RETRATO 2027'!$K$5,"EM ANDAMENTO","A INICIAR")))</f>
        <v/>
      </c>
    </row>
    <row r="3952">
      <c r="M3952" s="2">
        <f>IF(C3952="","",IFERROR(INDEX($S$5:$S$304,MATCH(C3952,$R$5:$R$304,0))&amp;"","?"))</f>
        <v/>
      </c>
      <c r="N3952" s="2">
        <f>IF(E3952="","",IF(ISNUMBER(SEARCH("SUBSOLO",E3952)),IFERROR(-VALUE(LEFT(E3952,FIND("º",SUBSTITUTE(E3952,"°","º"))-1)),-1),IF(LEFT(E3952,6)="TÉRREO",0,IFERROR(VALUE(LEFT(E3952,FIND("º",SUBSTITUTE(E3952,"°","º"))-1)),""))))</f>
        <v/>
      </c>
      <c r="O3952" s="2">
        <f>IF(OR(F3952="",G3952=""),"",IF(G3952&lt;='RETRATO 2027'!$K$5,"CONCLUÍDA",IF(F3952&lt;='RETRATO 2027'!$K$5,"EM ANDAMENTO","A INICIAR")))</f>
        <v/>
      </c>
    </row>
    <row r="3953">
      <c r="M3953" s="2">
        <f>IF(C3953="","",IFERROR(INDEX($S$5:$S$304,MATCH(C3953,$R$5:$R$304,0))&amp;"","?"))</f>
        <v/>
      </c>
      <c r="N3953" s="2">
        <f>IF(E3953="","",IF(ISNUMBER(SEARCH("SUBSOLO",E3953)),IFERROR(-VALUE(LEFT(E3953,FIND("º",SUBSTITUTE(E3953,"°","º"))-1)),-1),IF(LEFT(E3953,6)="TÉRREO",0,IFERROR(VALUE(LEFT(E3953,FIND("º",SUBSTITUTE(E3953,"°","º"))-1)),""))))</f>
        <v/>
      </c>
      <c r="O3953" s="2">
        <f>IF(OR(F3953="",G3953=""),"",IF(G3953&lt;='RETRATO 2027'!$K$5,"CONCLUÍDA",IF(F3953&lt;='RETRATO 2027'!$K$5,"EM ANDAMENTO","A INICIAR")))</f>
        <v/>
      </c>
    </row>
    <row r="3954">
      <c r="M3954" s="2">
        <f>IF(C3954="","",IFERROR(INDEX($S$5:$S$304,MATCH(C3954,$R$5:$R$304,0))&amp;"","?"))</f>
        <v/>
      </c>
      <c r="N3954" s="2">
        <f>IF(E3954="","",IF(ISNUMBER(SEARCH("SUBSOLO",E3954)),IFERROR(-VALUE(LEFT(E3954,FIND("º",SUBSTITUTE(E3954,"°","º"))-1)),-1),IF(LEFT(E3954,6)="TÉRREO",0,IFERROR(VALUE(LEFT(E3954,FIND("º",SUBSTITUTE(E3954,"°","º"))-1)),""))))</f>
        <v/>
      </c>
      <c r="O3954" s="2">
        <f>IF(OR(F3954="",G3954=""),"",IF(G3954&lt;='RETRATO 2027'!$K$5,"CONCLUÍDA",IF(F3954&lt;='RETRATO 2027'!$K$5,"EM ANDAMENTO","A INICIAR")))</f>
        <v/>
      </c>
    </row>
    <row r="3955">
      <c r="M3955" s="2">
        <f>IF(C3955="","",IFERROR(INDEX($S$5:$S$304,MATCH(C3955,$R$5:$R$304,0))&amp;"","?"))</f>
        <v/>
      </c>
      <c r="N3955" s="2">
        <f>IF(E3955="","",IF(ISNUMBER(SEARCH("SUBSOLO",E3955)),IFERROR(-VALUE(LEFT(E3955,FIND("º",SUBSTITUTE(E3955,"°","º"))-1)),-1),IF(LEFT(E3955,6)="TÉRREO",0,IFERROR(VALUE(LEFT(E3955,FIND("º",SUBSTITUTE(E3955,"°","º"))-1)),""))))</f>
        <v/>
      </c>
      <c r="O3955" s="2">
        <f>IF(OR(F3955="",G3955=""),"",IF(G3955&lt;='RETRATO 2027'!$K$5,"CONCLUÍDA",IF(F3955&lt;='RETRATO 2027'!$K$5,"EM ANDAMENTO","A INICIAR")))</f>
        <v/>
      </c>
    </row>
    <row r="3956">
      <c r="M3956" s="2">
        <f>IF(C3956="","",IFERROR(INDEX($S$5:$S$304,MATCH(C3956,$R$5:$R$304,0))&amp;"","?"))</f>
        <v/>
      </c>
      <c r="N3956" s="2">
        <f>IF(E3956="","",IF(ISNUMBER(SEARCH("SUBSOLO",E3956)),IFERROR(-VALUE(LEFT(E3956,FIND("º",SUBSTITUTE(E3956,"°","º"))-1)),-1),IF(LEFT(E3956,6)="TÉRREO",0,IFERROR(VALUE(LEFT(E3956,FIND("º",SUBSTITUTE(E3956,"°","º"))-1)),""))))</f>
        <v/>
      </c>
      <c r="O3956" s="2">
        <f>IF(OR(F3956="",G3956=""),"",IF(G3956&lt;='RETRATO 2027'!$K$5,"CONCLUÍDA",IF(F3956&lt;='RETRATO 2027'!$K$5,"EM ANDAMENTO","A INICIAR")))</f>
        <v/>
      </c>
    </row>
    <row r="3957">
      <c r="M3957" s="2">
        <f>IF(C3957="","",IFERROR(INDEX($S$5:$S$304,MATCH(C3957,$R$5:$R$304,0))&amp;"","?"))</f>
        <v/>
      </c>
      <c r="N3957" s="2">
        <f>IF(E3957="","",IF(ISNUMBER(SEARCH("SUBSOLO",E3957)),IFERROR(-VALUE(LEFT(E3957,FIND("º",SUBSTITUTE(E3957,"°","º"))-1)),-1),IF(LEFT(E3957,6)="TÉRREO",0,IFERROR(VALUE(LEFT(E3957,FIND("º",SUBSTITUTE(E3957,"°","º"))-1)),""))))</f>
        <v/>
      </c>
      <c r="O3957" s="2">
        <f>IF(OR(F3957="",G3957=""),"",IF(G3957&lt;='RETRATO 2027'!$K$5,"CONCLUÍDA",IF(F3957&lt;='RETRATO 2027'!$K$5,"EM ANDAMENTO","A INICIAR")))</f>
        <v/>
      </c>
    </row>
    <row r="3958">
      <c r="M3958" s="2">
        <f>IF(C3958="","",IFERROR(INDEX($S$5:$S$304,MATCH(C3958,$R$5:$R$304,0))&amp;"","?"))</f>
        <v/>
      </c>
      <c r="N3958" s="2">
        <f>IF(E3958="","",IF(ISNUMBER(SEARCH("SUBSOLO",E3958)),IFERROR(-VALUE(LEFT(E3958,FIND("º",SUBSTITUTE(E3958,"°","º"))-1)),-1),IF(LEFT(E3958,6)="TÉRREO",0,IFERROR(VALUE(LEFT(E3958,FIND("º",SUBSTITUTE(E3958,"°","º"))-1)),""))))</f>
        <v/>
      </c>
      <c r="O3958" s="2">
        <f>IF(OR(F3958="",G3958=""),"",IF(G3958&lt;='RETRATO 2027'!$K$5,"CONCLUÍDA",IF(F3958&lt;='RETRATO 2027'!$K$5,"EM ANDAMENTO","A INICIAR")))</f>
        <v/>
      </c>
    </row>
    <row r="3959">
      <c r="M3959" s="2">
        <f>IF(C3959="","",IFERROR(INDEX($S$5:$S$304,MATCH(C3959,$R$5:$R$304,0))&amp;"","?"))</f>
        <v/>
      </c>
      <c r="N3959" s="2">
        <f>IF(E3959="","",IF(ISNUMBER(SEARCH("SUBSOLO",E3959)),IFERROR(-VALUE(LEFT(E3959,FIND("º",SUBSTITUTE(E3959,"°","º"))-1)),-1),IF(LEFT(E3959,6)="TÉRREO",0,IFERROR(VALUE(LEFT(E3959,FIND("º",SUBSTITUTE(E3959,"°","º"))-1)),""))))</f>
        <v/>
      </c>
      <c r="O3959" s="2">
        <f>IF(OR(F3959="",G3959=""),"",IF(G3959&lt;='RETRATO 2027'!$K$5,"CONCLUÍDA",IF(F3959&lt;='RETRATO 2027'!$K$5,"EM ANDAMENTO","A INICIAR")))</f>
        <v/>
      </c>
    </row>
    <row r="3960">
      <c r="M3960" s="2">
        <f>IF(C3960="","",IFERROR(INDEX($S$5:$S$304,MATCH(C3960,$R$5:$R$304,0))&amp;"","?"))</f>
        <v/>
      </c>
      <c r="N3960" s="2">
        <f>IF(E3960="","",IF(ISNUMBER(SEARCH("SUBSOLO",E3960)),IFERROR(-VALUE(LEFT(E3960,FIND("º",SUBSTITUTE(E3960,"°","º"))-1)),-1),IF(LEFT(E3960,6)="TÉRREO",0,IFERROR(VALUE(LEFT(E3960,FIND("º",SUBSTITUTE(E3960,"°","º"))-1)),""))))</f>
        <v/>
      </c>
      <c r="O3960" s="2">
        <f>IF(OR(F3960="",G3960=""),"",IF(G3960&lt;='RETRATO 2027'!$K$5,"CONCLUÍDA",IF(F3960&lt;='RETRATO 2027'!$K$5,"EM ANDAMENTO","A INICIAR")))</f>
        <v/>
      </c>
    </row>
    <row r="3961">
      <c r="M3961" s="2">
        <f>IF(C3961="","",IFERROR(INDEX($S$5:$S$304,MATCH(C3961,$R$5:$R$304,0))&amp;"","?"))</f>
        <v/>
      </c>
      <c r="N3961" s="2">
        <f>IF(E3961="","",IF(ISNUMBER(SEARCH("SUBSOLO",E3961)),IFERROR(-VALUE(LEFT(E3961,FIND("º",SUBSTITUTE(E3961,"°","º"))-1)),-1),IF(LEFT(E3961,6)="TÉRREO",0,IFERROR(VALUE(LEFT(E3961,FIND("º",SUBSTITUTE(E3961,"°","º"))-1)),""))))</f>
        <v/>
      </c>
      <c r="O3961" s="2">
        <f>IF(OR(F3961="",G3961=""),"",IF(G3961&lt;='RETRATO 2027'!$K$5,"CONCLUÍDA",IF(F3961&lt;='RETRATO 2027'!$K$5,"EM ANDAMENTO","A INICIAR")))</f>
        <v/>
      </c>
    </row>
    <row r="3962">
      <c r="M3962" s="2">
        <f>IF(C3962="","",IFERROR(INDEX($S$5:$S$304,MATCH(C3962,$R$5:$R$304,0))&amp;"","?"))</f>
        <v/>
      </c>
      <c r="N3962" s="2">
        <f>IF(E3962="","",IF(ISNUMBER(SEARCH("SUBSOLO",E3962)),IFERROR(-VALUE(LEFT(E3962,FIND("º",SUBSTITUTE(E3962,"°","º"))-1)),-1),IF(LEFT(E3962,6)="TÉRREO",0,IFERROR(VALUE(LEFT(E3962,FIND("º",SUBSTITUTE(E3962,"°","º"))-1)),""))))</f>
        <v/>
      </c>
      <c r="O3962" s="2">
        <f>IF(OR(F3962="",G3962=""),"",IF(G3962&lt;='RETRATO 2027'!$K$5,"CONCLUÍDA",IF(F3962&lt;='RETRATO 2027'!$K$5,"EM ANDAMENTO","A INICIAR")))</f>
        <v/>
      </c>
    </row>
    <row r="3963">
      <c r="M3963" s="2">
        <f>IF(C3963="","",IFERROR(INDEX($S$5:$S$304,MATCH(C3963,$R$5:$R$304,0))&amp;"","?"))</f>
        <v/>
      </c>
      <c r="N3963" s="2">
        <f>IF(E3963="","",IF(ISNUMBER(SEARCH("SUBSOLO",E3963)),IFERROR(-VALUE(LEFT(E3963,FIND("º",SUBSTITUTE(E3963,"°","º"))-1)),-1),IF(LEFT(E3963,6)="TÉRREO",0,IFERROR(VALUE(LEFT(E3963,FIND("º",SUBSTITUTE(E3963,"°","º"))-1)),""))))</f>
        <v/>
      </c>
      <c r="O3963" s="2">
        <f>IF(OR(F3963="",G3963=""),"",IF(G3963&lt;='RETRATO 2027'!$K$5,"CONCLUÍDA",IF(F3963&lt;='RETRATO 2027'!$K$5,"EM ANDAMENTO","A INICIAR")))</f>
        <v/>
      </c>
    </row>
    <row r="3964">
      <c r="M3964" s="2">
        <f>IF(C3964="","",IFERROR(INDEX($S$5:$S$304,MATCH(C3964,$R$5:$R$304,0))&amp;"","?"))</f>
        <v/>
      </c>
      <c r="N3964" s="2">
        <f>IF(E3964="","",IF(ISNUMBER(SEARCH("SUBSOLO",E3964)),IFERROR(-VALUE(LEFT(E3964,FIND("º",SUBSTITUTE(E3964,"°","º"))-1)),-1),IF(LEFT(E3964,6)="TÉRREO",0,IFERROR(VALUE(LEFT(E3964,FIND("º",SUBSTITUTE(E3964,"°","º"))-1)),""))))</f>
        <v/>
      </c>
      <c r="O3964" s="2">
        <f>IF(OR(F3964="",G3964=""),"",IF(G3964&lt;='RETRATO 2027'!$K$5,"CONCLUÍDA",IF(F3964&lt;='RETRATO 2027'!$K$5,"EM ANDAMENTO","A INICIAR")))</f>
        <v/>
      </c>
    </row>
    <row r="3965">
      <c r="M3965" s="2">
        <f>IF(C3965="","",IFERROR(INDEX($S$5:$S$304,MATCH(C3965,$R$5:$R$304,0))&amp;"","?"))</f>
        <v/>
      </c>
      <c r="N3965" s="2">
        <f>IF(E3965="","",IF(ISNUMBER(SEARCH("SUBSOLO",E3965)),IFERROR(-VALUE(LEFT(E3965,FIND("º",SUBSTITUTE(E3965,"°","º"))-1)),-1),IF(LEFT(E3965,6)="TÉRREO",0,IFERROR(VALUE(LEFT(E3965,FIND("º",SUBSTITUTE(E3965,"°","º"))-1)),""))))</f>
        <v/>
      </c>
      <c r="O3965" s="2">
        <f>IF(OR(F3965="",G3965=""),"",IF(G3965&lt;='RETRATO 2027'!$K$5,"CONCLUÍDA",IF(F3965&lt;='RETRATO 2027'!$K$5,"EM ANDAMENTO","A INICIAR")))</f>
        <v/>
      </c>
    </row>
    <row r="3966">
      <c r="M3966" s="2">
        <f>IF(C3966="","",IFERROR(INDEX($S$5:$S$304,MATCH(C3966,$R$5:$R$304,0))&amp;"","?"))</f>
        <v/>
      </c>
      <c r="N3966" s="2">
        <f>IF(E3966="","",IF(ISNUMBER(SEARCH("SUBSOLO",E3966)),IFERROR(-VALUE(LEFT(E3966,FIND("º",SUBSTITUTE(E3966,"°","º"))-1)),-1),IF(LEFT(E3966,6)="TÉRREO",0,IFERROR(VALUE(LEFT(E3966,FIND("º",SUBSTITUTE(E3966,"°","º"))-1)),""))))</f>
        <v/>
      </c>
      <c r="O3966" s="2">
        <f>IF(OR(F3966="",G3966=""),"",IF(G3966&lt;='RETRATO 2027'!$K$5,"CONCLUÍDA",IF(F3966&lt;='RETRATO 2027'!$K$5,"EM ANDAMENTO","A INICIAR")))</f>
        <v/>
      </c>
    </row>
    <row r="3967">
      <c r="M3967" s="2">
        <f>IF(C3967="","",IFERROR(INDEX($S$5:$S$304,MATCH(C3967,$R$5:$R$304,0))&amp;"","?"))</f>
        <v/>
      </c>
      <c r="N3967" s="2">
        <f>IF(E3967="","",IF(ISNUMBER(SEARCH("SUBSOLO",E3967)),IFERROR(-VALUE(LEFT(E3967,FIND("º",SUBSTITUTE(E3967,"°","º"))-1)),-1),IF(LEFT(E3967,6)="TÉRREO",0,IFERROR(VALUE(LEFT(E3967,FIND("º",SUBSTITUTE(E3967,"°","º"))-1)),""))))</f>
        <v/>
      </c>
      <c r="O3967" s="2">
        <f>IF(OR(F3967="",G3967=""),"",IF(G3967&lt;='RETRATO 2027'!$K$5,"CONCLUÍDA",IF(F3967&lt;='RETRATO 2027'!$K$5,"EM ANDAMENTO","A INICIAR")))</f>
        <v/>
      </c>
    </row>
    <row r="3968">
      <c r="M3968" s="2">
        <f>IF(C3968="","",IFERROR(INDEX($S$5:$S$304,MATCH(C3968,$R$5:$R$304,0))&amp;"","?"))</f>
        <v/>
      </c>
      <c r="N3968" s="2">
        <f>IF(E3968="","",IF(ISNUMBER(SEARCH("SUBSOLO",E3968)),IFERROR(-VALUE(LEFT(E3968,FIND("º",SUBSTITUTE(E3968,"°","º"))-1)),-1),IF(LEFT(E3968,6)="TÉRREO",0,IFERROR(VALUE(LEFT(E3968,FIND("º",SUBSTITUTE(E3968,"°","º"))-1)),""))))</f>
        <v/>
      </c>
      <c r="O3968" s="2">
        <f>IF(OR(F3968="",G3968=""),"",IF(G3968&lt;='RETRATO 2027'!$K$5,"CONCLUÍDA",IF(F3968&lt;='RETRATO 2027'!$K$5,"EM ANDAMENTO","A INICIAR")))</f>
        <v/>
      </c>
    </row>
    <row r="3969">
      <c r="M3969" s="2">
        <f>IF(C3969="","",IFERROR(INDEX($S$5:$S$304,MATCH(C3969,$R$5:$R$304,0))&amp;"","?"))</f>
        <v/>
      </c>
      <c r="N3969" s="2">
        <f>IF(E3969="","",IF(ISNUMBER(SEARCH("SUBSOLO",E3969)),IFERROR(-VALUE(LEFT(E3969,FIND("º",SUBSTITUTE(E3969,"°","º"))-1)),-1),IF(LEFT(E3969,6)="TÉRREO",0,IFERROR(VALUE(LEFT(E3969,FIND("º",SUBSTITUTE(E3969,"°","º"))-1)),""))))</f>
        <v/>
      </c>
      <c r="O3969" s="2">
        <f>IF(OR(F3969="",G3969=""),"",IF(G3969&lt;='RETRATO 2027'!$K$5,"CONCLUÍDA",IF(F3969&lt;='RETRATO 2027'!$K$5,"EM ANDAMENTO","A INICIAR")))</f>
        <v/>
      </c>
    </row>
    <row r="3970">
      <c r="M3970" s="2">
        <f>IF(C3970="","",IFERROR(INDEX($S$5:$S$304,MATCH(C3970,$R$5:$R$304,0))&amp;"","?"))</f>
        <v/>
      </c>
      <c r="N3970" s="2">
        <f>IF(E3970="","",IF(ISNUMBER(SEARCH("SUBSOLO",E3970)),IFERROR(-VALUE(LEFT(E3970,FIND("º",SUBSTITUTE(E3970,"°","º"))-1)),-1),IF(LEFT(E3970,6)="TÉRREO",0,IFERROR(VALUE(LEFT(E3970,FIND("º",SUBSTITUTE(E3970,"°","º"))-1)),""))))</f>
        <v/>
      </c>
      <c r="O3970" s="2">
        <f>IF(OR(F3970="",G3970=""),"",IF(G3970&lt;='RETRATO 2027'!$K$5,"CONCLUÍDA",IF(F3970&lt;='RETRATO 2027'!$K$5,"EM ANDAMENTO","A INICIAR")))</f>
        <v/>
      </c>
    </row>
    <row r="3971">
      <c r="M3971" s="2">
        <f>IF(C3971="","",IFERROR(INDEX($S$5:$S$304,MATCH(C3971,$R$5:$R$304,0))&amp;"","?"))</f>
        <v/>
      </c>
      <c r="N3971" s="2">
        <f>IF(E3971="","",IF(ISNUMBER(SEARCH("SUBSOLO",E3971)),IFERROR(-VALUE(LEFT(E3971,FIND("º",SUBSTITUTE(E3971,"°","º"))-1)),-1),IF(LEFT(E3971,6)="TÉRREO",0,IFERROR(VALUE(LEFT(E3971,FIND("º",SUBSTITUTE(E3971,"°","º"))-1)),""))))</f>
        <v/>
      </c>
      <c r="O3971" s="2">
        <f>IF(OR(F3971="",G3971=""),"",IF(G3971&lt;='RETRATO 2027'!$K$5,"CONCLUÍDA",IF(F3971&lt;='RETRATO 2027'!$K$5,"EM ANDAMENTO","A INICIAR")))</f>
        <v/>
      </c>
    </row>
    <row r="3972">
      <c r="M3972" s="2">
        <f>IF(C3972="","",IFERROR(INDEX($S$5:$S$304,MATCH(C3972,$R$5:$R$304,0))&amp;"","?"))</f>
        <v/>
      </c>
      <c r="N3972" s="2">
        <f>IF(E3972="","",IF(ISNUMBER(SEARCH("SUBSOLO",E3972)),IFERROR(-VALUE(LEFT(E3972,FIND("º",SUBSTITUTE(E3972,"°","º"))-1)),-1),IF(LEFT(E3972,6)="TÉRREO",0,IFERROR(VALUE(LEFT(E3972,FIND("º",SUBSTITUTE(E3972,"°","º"))-1)),""))))</f>
        <v/>
      </c>
      <c r="O3972" s="2">
        <f>IF(OR(F3972="",G3972=""),"",IF(G3972&lt;='RETRATO 2027'!$K$5,"CONCLUÍDA",IF(F3972&lt;='RETRATO 2027'!$K$5,"EM ANDAMENTO","A INICIAR")))</f>
        <v/>
      </c>
    </row>
    <row r="3973">
      <c r="M3973" s="2">
        <f>IF(C3973="","",IFERROR(INDEX($S$5:$S$304,MATCH(C3973,$R$5:$R$304,0))&amp;"","?"))</f>
        <v/>
      </c>
      <c r="N3973" s="2">
        <f>IF(E3973="","",IF(ISNUMBER(SEARCH("SUBSOLO",E3973)),IFERROR(-VALUE(LEFT(E3973,FIND("º",SUBSTITUTE(E3973,"°","º"))-1)),-1),IF(LEFT(E3973,6)="TÉRREO",0,IFERROR(VALUE(LEFT(E3973,FIND("º",SUBSTITUTE(E3973,"°","º"))-1)),""))))</f>
        <v/>
      </c>
      <c r="O3973" s="2">
        <f>IF(OR(F3973="",G3973=""),"",IF(G3973&lt;='RETRATO 2027'!$K$5,"CONCLUÍDA",IF(F3973&lt;='RETRATO 2027'!$K$5,"EM ANDAMENTO","A INICIAR")))</f>
        <v/>
      </c>
    </row>
    <row r="3974">
      <c r="M3974" s="2">
        <f>IF(C3974="","",IFERROR(INDEX($S$5:$S$304,MATCH(C3974,$R$5:$R$304,0))&amp;"","?"))</f>
        <v/>
      </c>
      <c r="N3974" s="2">
        <f>IF(E3974="","",IF(ISNUMBER(SEARCH("SUBSOLO",E3974)),IFERROR(-VALUE(LEFT(E3974,FIND("º",SUBSTITUTE(E3974,"°","º"))-1)),-1),IF(LEFT(E3974,6)="TÉRREO",0,IFERROR(VALUE(LEFT(E3974,FIND("º",SUBSTITUTE(E3974,"°","º"))-1)),""))))</f>
        <v/>
      </c>
      <c r="O3974" s="2">
        <f>IF(OR(F3974="",G3974=""),"",IF(G3974&lt;='RETRATO 2027'!$K$5,"CONCLUÍDA",IF(F3974&lt;='RETRATO 2027'!$K$5,"EM ANDAMENTO","A INICIAR")))</f>
        <v/>
      </c>
    </row>
    <row r="3975">
      <c r="M3975" s="2">
        <f>IF(C3975="","",IFERROR(INDEX($S$5:$S$304,MATCH(C3975,$R$5:$R$304,0))&amp;"","?"))</f>
        <v/>
      </c>
      <c r="N3975" s="2">
        <f>IF(E3975="","",IF(ISNUMBER(SEARCH("SUBSOLO",E3975)),IFERROR(-VALUE(LEFT(E3975,FIND("º",SUBSTITUTE(E3975,"°","º"))-1)),-1),IF(LEFT(E3975,6)="TÉRREO",0,IFERROR(VALUE(LEFT(E3975,FIND("º",SUBSTITUTE(E3975,"°","º"))-1)),""))))</f>
        <v/>
      </c>
      <c r="O3975" s="2">
        <f>IF(OR(F3975="",G3975=""),"",IF(G3975&lt;='RETRATO 2027'!$K$5,"CONCLUÍDA",IF(F3975&lt;='RETRATO 2027'!$K$5,"EM ANDAMENTO","A INICIAR")))</f>
        <v/>
      </c>
    </row>
    <row r="3976">
      <c r="M3976" s="2">
        <f>IF(C3976="","",IFERROR(INDEX($S$5:$S$304,MATCH(C3976,$R$5:$R$304,0))&amp;"","?"))</f>
        <v/>
      </c>
      <c r="N3976" s="2">
        <f>IF(E3976="","",IF(ISNUMBER(SEARCH("SUBSOLO",E3976)),IFERROR(-VALUE(LEFT(E3976,FIND("º",SUBSTITUTE(E3976,"°","º"))-1)),-1),IF(LEFT(E3976,6)="TÉRREO",0,IFERROR(VALUE(LEFT(E3976,FIND("º",SUBSTITUTE(E3976,"°","º"))-1)),""))))</f>
        <v/>
      </c>
      <c r="O3976" s="2">
        <f>IF(OR(F3976="",G3976=""),"",IF(G3976&lt;='RETRATO 2027'!$K$5,"CONCLUÍDA",IF(F3976&lt;='RETRATO 2027'!$K$5,"EM ANDAMENTO","A INICIAR")))</f>
        <v/>
      </c>
    </row>
    <row r="3977">
      <c r="M3977" s="2">
        <f>IF(C3977="","",IFERROR(INDEX($S$5:$S$304,MATCH(C3977,$R$5:$R$304,0))&amp;"","?"))</f>
        <v/>
      </c>
      <c r="N3977" s="2">
        <f>IF(E3977="","",IF(ISNUMBER(SEARCH("SUBSOLO",E3977)),IFERROR(-VALUE(LEFT(E3977,FIND("º",SUBSTITUTE(E3977,"°","º"))-1)),-1),IF(LEFT(E3977,6)="TÉRREO",0,IFERROR(VALUE(LEFT(E3977,FIND("º",SUBSTITUTE(E3977,"°","º"))-1)),""))))</f>
        <v/>
      </c>
      <c r="O3977" s="2">
        <f>IF(OR(F3977="",G3977=""),"",IF(G3977&lt;='RETRATO 2027'!$K$5,"CONCLUÍDA",IF(F3977&lt;='RETRATO 2027'!$K$5,"EM ANDAMENTO","A INICIAR")))</f>
        <v/>
      </c>
    </row>
    <row r="3978">
      <c r="M3978" s="2">
        <f>IF(C3978="","",IFERROR(INDEX($S$5:$S$304,MATCH(C3978,$R$5:$R$304,0))&amp;"","?"))</f>
        <v/>
      </c>
      <c r="N3978" s="2">
        <f>IF(E3978="","",IF(ISNUMBER(SEARCH("SUBSOLO",E3978)),IFERROR(-VALUE(LEFT(E3978,FIND("º",SUBSTITUTE(E3978,"°","º"))-1)),-1),IF(LEFT(E3978,6)="TÉRREO",0,IFERROR(VALUE(LEFT(E3978,FIND("º",SUBSTITUTE(E3978,"°","º"))-1)),""))))</f>
        <v/>
      </c>
      <c r="O3978" s="2">
        <f>IF(OR(F3978="",G3978=""),"",IF(G3978&lt;='RETRATO 2027'!$K$5,"CONCLUÍDA",IF(F3978&lt;='RETRATO 2027'!$K$5,"EM ANDAMENTO","A INICIAR")))</f>
        <v/>
      </c>
    </row>
    <row r="3979">
      <c r="M3979" s="2">
        <f>IF(C3979="","",IFERROR(INDEX($S$5:$S$304,MATCH(C3979,$R$5:$R$304,0))&amp;"","?"))</f>
        <v/>
      </c>
      <c r="N3979" s="2">
        <f>IF(E3979="","",IF(ISNUMBER(SEARCH("SUBSOLO",E3979)),IFERROR(-VALUE(LEFT(E3979,FIND("º",SUBSTITUTE(E3979,"°","º"))-1)),-1),IF(LEFT(E3979,6)="TÉRREO",0,IFERROR(VALUE(LEFT(E3979,FIND("º",SUBSTITUTE(E3979,"°","º"))-1)),""))))</f>
        <v/>
      </c>
      <c r="O3979" s="2">
        <f>IF(OR(F3979="",G3979=""),"",IF(G3979&lt;='RETRATO 2027'!$K$5,"CONCLUÍDA",IF(F3979&lt;='RETRATO 2027'!$K$5,"EM ANDAMENTO","A INICIAR")))</f>
        <v/>
      </c>
    </row>
    <row r="3980">
      <c r="M3980" s="2">
        <f>IF(C3980="","",IFERROR(INDEX($S$5:$S$304,MATCH(C3980,$R$5:$R$304,0))&amp;"","?"))</f>
        <v/>
      </c>
      <c r="N3980" s="2">
        <f>IF(E3980="","",IF(ISNUMBER(SEARCH("SUBSOLO",E3980)),IFERROR(-VALUE(LEFT(E3980,FIND("º",SUBSTITUTE(E3980,"°","º"))-1)),-1),IF(LEFT(E3980,6)="TÉRREO",0,IFERROR(VALUE(LEFT(E3980,FIND("º",SUBSTITUTE(E3980,"°","º"))-1)),""))))</f>
        <v/>
      </c>
      <c r="O3980" s="2">
        <f>IF(OR(F3980="",G3980=""),"",IF(G3980&lt;='RETRATO 2027'!$K$5,"CONCLUÍDA",IF(F3980&lt;='RETRATO 2027'!$K$5,"EM ANDAMENTO","A INICIAR")))</f>
        <v/>
      </c>
    </row>
    <row r="3981">
      <c r="M3981" s="2">
        <f>IF(C3981="","",IFERROR(INDEX($S$5:$S$304,MATCH(C3981,$R$5:$R$304,0))&amp;"","?"))</f>
        <v/>
      </c>
      <c r="N3981" s="2">
        <f>IF(E3981="","",IF(ISNUMBER(SEARCH("SUBSOLO",E3981)),IFERROR(-VALUE(LEFT(E3981,FIND("º",SUBSTITUTE(E3981,"°","º"))-1)),-1),IF(LEFT(E3981,6)="TÉRREO",0,IFERROR(VALUE(LEFT(E3981,FIND("º",SUBSTITUTE(E3981,"°","º"))-1)),""))))</f>
        <v/>
      </c>
      <c r="O3981" s="2">
        <f>IF(OR(F3981="",G3981=""),"",IF(G3981&lt;='RETRATO 2027'!$K$5,"CONCLUÍDA",IF(F3981&lt;='RETRATO 2027'!$K$5,"EM ANDAMENTO","A INICIAR")))</f>
        <v/>
      </c>
    </row>
    <row r="3982">
      <c r="M3982" s="2">
        <f>IF(C3982="","",IFERROR(INDEX($S$5:$S$304,MATCH(C3982,$R$5:$R$304,0))&amp;"","?"))</f>
        <v/>
      </c>
      <c r="N3982" s="2">
        <f>IF(E3982="","",IF(ISNUMBER(SEARCH("SUBSOLO",E3982)),IFERROR(-VALUE(LEFT(E3982,FIND("º",SUBSTITUTE(E3982,"°","º"))-1)),-1),IF(LEFT(E3982,6)="TÉRREO",0,IFERROR(VALUE(LEFT(E3982,FIND("º",SUBSTITUTE(E3982,"°","º"))-1)),""))))</f>
        <v/>
      </c>
      <c r="O3982" s="2">
        <f>IF(OR(F3982="",G3982=""),"",IF(G3982&lt;='RETRATO 2027'!$K$5,"CONCLUÍDA",IF(F3982&lt;='RETRATO 2027'!$K$5,"EM ANDAMENTO","A INICIAR")))</f>
        <v/>
      </c>
    </row>
    <row r="3983">
      <c r="M3983" s="2">
        <f>IF(C3983="","",IFERROR(INDEX($S$5:$S$304,MATCH(C3983,$R$5:$R$304,0))&amp;"","?"))</f>
        <v/>
      </c>
      <c r="N3983" s="2">
        <f>IF(E3983="","",IF(ISNUMBER(SEARCH("SUBSOLO",E3983)),IFERROR(-VALUE(LEFT(E3983,FIND("º",SUBSTITUTE(E3983,"°","º"))-1)),-1),IF(LEFT(E3983,6)="TÉRREO",0,IFERROR(VALUE(LEFT(E3983,FIND("º",SUBSTITUTE(E3983,"°","º"))-1)),""))))</f>
        <v/>
      </c>
      <c r="O3983" s="2">
        <f>IF(OR(F3983="",G3983=""),"",IF(G3983&lt;='RETRATO 2027'!$K$5,"CONCLUÍDA",IF(F3983&lt;='RETRATO 2027'!$K$5,"EM ANDAMENTO","A INICIAR")))</f>
        <v/>
      </c>
    </row>
    <row r="3984">
      <c r="M3984" s="2">
        <f>IF(C3984="","",IFERROR(INDEX($S$5:$S$304,MATCH(C3984,$R$5:$R$304,0))&amp;"","?"))</f>
        <v/>
      </c>
      <c r="N3984" s="2">
        <f>IF(E3984="","",IF(ISNUMBER(SEARCH("SUBSOLO",E3984)),IFERROR(-VALUE(LEFT(E3984,FIND("º",SUBSTITUTE(E3984,"°","º"))-1)),-1),IF(LEFT(E3984,6)="TÉRREO",0,IFERROR(VALUE(LEFT(E3984,FIND("º",SUBSTITUTE(E3984,"°","º"))-1)),""))))</f>
        <v/>
      </c>
      <c r="O3984" s="2">
        <f>IF(OR(F3984="",G3984=""),"",IF(G3984&lt;='RETRATO 2027'!$K$5,"CONCLUÍDA",IF(F3984&lt;='RETRATO 2027'!$K$5,"EM ANDAMENTO","A INICIAR")))</f>
        <v/>
      </c>
    </row>
    <row r="3985">
      <c r="M3985" s="2">
        <f>IF(C3985="","",IFERROR(INDEX($S$5:$S$304,MATCH(C3985,$R$5:$R$304,0))&amp;"","?"))</f>
        <v/>
      </c>
      <c r="N3985" s="2">
        <f>IF(E3985="","",IF(ISNUMBER(SEARCH("SUBSOLO",E3985)),IFERROR(-VALUE(LEFT(E3985,FIND("º",SUBSTITUTE(E3985,"°","º"))-1)),-1),IF(LEFT(E3985,6)="TÉRREO",0,IFERROR(VALUE(LEFT(E3985,FIND("º",SUBSTITUTE(E3985,"°","º"))-1)),""))))</f>
        <v/>
      </c>
      <c r="O3985" s="2">
        <f>IF(OR(F3985="",G3985=""),"",IF(G3985&lt;='RETRATO 2027'!$K$5,"CONCLUÍDA",IF(F3985&lt;='RETRATO 2027'!$K$5,"EM ANDAMENTO","A INICIAR")))</f>
        <v/>
      </c>
    </row>
    <row r="3986">
      <c r="M3986" s="2">
        <f>IF(C3986="","",IFERROR(INDEX($S$5:$S$304,MATCH(C3986,$R$5:$R$304,0))&amp;"","?"))</f>
        <v/>
      </c>
      <c r="N3986" s="2">
        <f>IF(E3986="","",IF(ISNUMBER(SEARCH("SUBSOLO",E3986)),IFERROR(-VALUE(LEFT(E3986,FIND("º",SUBSTITUTE(E3986,"°","º"))-1)),-1),IF(LEFT(E3986,6)="TÉRREO",0,IFERROR(VALUE(LEFT(E3986,FIND("º",SUBSTITUTE(E3986,"°","º"))-1)),""))))</f>
        <v/>
      </c>
      <c r="O3986" s="2">
        <f>IF(OR(F3986="",G3986=""),"",IF(G3986&lt;='RETRATO 2027'!$K$5,"CONCLUÍDA",IF(F3986&lt;='RETRATO 2027'!$K$5,"EM ANDAMENTO","A INICIAR")))</f>
        <v/>
      </c>
    </row>
    <row r="3987">
      <c r="M3987" s="2">
        <f>IF(C3987="","",IFERROR(INDEX($S$5:$S$304,MATCH(C3987,$R$5:$R$304,0))&amp;"","?"))</f>
        <v/>
      </c>
      <c r="N3987" s="2">
        <f>IF(E3987="","",IF(ISNUMBER(SEARCH("SUBSOLO",E3987)),IFERROR(-VALUE(LEFT(E3987,FIND("º",SUBSTITUTE(E3987,"°","º"))-1)),-1),IF(LEFT(E3987,6)="TÉRREO",0,IFERROR(VALUE(LEFT(E3987,FIND("º",SUBSTITUTE(E3987,"°","º"))-1)),""))))</f>
        <v/>
      </c>
      <c r="O3987" s="2">
        <f>IF(OR(F3987="",G3987=""),"",IF(G3987&lt;='RETRATO 2027'!$K$5,"CONCLUÍDA",IF(F3987&lt;='RETRATO 2027'!$K$5,"EM ANDAMENTO","A INICIAR")))</f>
        <v/>
      </c>
    </row>
    <row r="3988">
      <c r="M3988" s="2">
        <f>IF(C3988="","",IFERROR(INDEX($S$5:$S$304,MATCH(C3988,$R$5:$R$304,0))&amp;"","?"))</f>
        <v/>
      </c>
      <c r="N3988" s="2">
        <f>IF(E3988="","",IF(ISNUMBER(SEARCH("SUBSOLO",E3988)),IFERROR(-VALUE(LEFT(E3988,FIND("º",SUBSTITUTE(E3988,"°","º"))-1)),-1),IF(LEFT(E3988,6)="TÉRREO",0,IFERROR(VALUE(LEFT(E3988,FIND("º",SUBSTITUTE(E3988,"°","º"))-1)),""))))</f>
        <v/>
      </c>
      <c r="O3988" s="2">
        <f>IF(OR(F3988="",G3988=""),"",IF(G3988&lt;='RETRATO 2027'!$K$5,"CONCLUÍDA",IF(F3988&lt;='RETRATO 2027'!$K$5,"EM ANDAMENTO","A INICIAR")))</f>
        <v/>
      </c>
    </row>
    <row r="3989">
      <c r="M3989" s="2">
        <f>IF(C3989="","",IFERROR(INDEX($S$5:$S$304,MATCH(C3989,$R$5:$R$304,0))&amp;"","?"))</f>
        <v/>
      </c>
      <c r="N3989" s="2">
        <f>IF(E3989="","",IF(ISNUMBER(SEARCH("SUBSOLO",E3989)),IFERROR(-VALUE(LEFT(E3989,FIND("º",SUBSTITUTE(E3989,"°","º"))-1)),-1),IF(LEFT(E3989,6)="TÉRREO",0,IFERROR(VALUE(LEFT(E3989,FIND("º",SUBSTITUTE(E3989,"°","º"))-1)),""))))</f>
        <v/>
      </c>
      <c r="O3989" s="2">
        <f>IF(OR(F3989="",G3989=""),"",IF(G3989&lt;='RETRATO 2027'!$K$5,"CONCLUÍDA",IF(F3989&lt;='RETRATO 2027'!$K$5,"EM ANDAMENTO","A INICIAR")))</f>
        <v/>
      </c>
    </row>
    <row r="3990">
      <c r="M3990" s="2">
        <f>IF(C3990="","",IFERROR(INDEX($S$5:$S$304,MATCH(C3990,$R$5:$R$304,0))&amp;"","?"))</f>
        <v/>
      </c>
      <c r="N3990" s="2">
        <f>IF(E3990="","",IF(ISNUMBER(SEARCH("SUBSOLO",E3990)),IFERROR(-VALUE(LEFT(E3990,FIND("º",SUBSTITUTE(E3990,"°","º"))-1)),-1),IF(LEFT(E3990,6)="TÉRREO",0,IFERROR(VALUE(LEFT(E3990,FIND("º",SUBSTITUTE(E3990,"°","º"))-1)),""))))</f>
        <v/>
      </c>
      <c r="O3990" s="2">
        <f>IF(OR(F3990="",G3990=""),"",IF(G3990&lt;='RETRATO 2027'!$K$5,"CONCLUÍDA",IF(F3990&lt;='RETRATO 2027'!$K$5,"EM ANDAMENTO","A INICIAR")))</f>
        <v/>
      </c>
    </row>
    <row r="3991">
      <c r="M3991" s="2">
        <f>IF(C3991="","",IFERROR(INDEX($S$5:$S$304,MATCH(C3991,$R$5:$R$304,0))&amp;"","?"))</f>
        <v/>
      </c>
      <c r="N3991" s="2">
        <f>IF(E3991="","",IF(ISNUMBER(SEARCH("SUBSOLO",E3991)),IFERROR(-VALUE(LEFT(E3991,FIND("º",SUBSTITUTE(E3991,"°","º"))-1)),-1),IF(LEFT(E3991,6)="TÉRREO",0,IFERROR(VALUE(LEFT(E3991,FIND("º",SUBSTITUTE(E3991,"°","º"))-1)),""))))</f>
        <v/>
      </c>
      <c r="O3991" s="2">
        <f>IF(OR(F3991="",G3991=""),"",IF(G3991&lt;='RETRATO 2027'!$K$5,"CONCLUÍDA",IF(F3991&lt;='RETRATO 2027'!$K$5,"EM ANDAMENTO","A INICIAR")))</f>
        <v/>
      </c>
    </row>
    <row r="3992">
      <c r="M3992" s="2">
        <f>IF(C3992="","",IFERROR(INDEX($S$5:$S$304,MATCH(C3992,$R$5:$R$304,0))&amp;"","?"))</f>
        <v/>
      </c>
      <c r="N3992" s="2">
        <f>IF(E3992="","",IF(ISNUMBER(SEARCH("SUBSOLO",E3992)),IFERROR(-VALUE(LEFT(E3992,FIND("º",SUBSTITUTE(E3992,"°","º"))-1)),-1),IF(LEFT(E3992,6)="TÉRREO",0,IFERROR(VALUE(LEFT(E3992,FIND("º",SUBSTITUTE(E3992,"°","º"))-1)),""))))</f>
        <v/>
      </c>
      <c r="O3992" s="2">
        <f>IF(OR(F3992="",G3992=""),"",IF(G3992&lt;='RETRATO 2027'!$K$5,"CONCLUÍDA",IF(F3992&lt;='RETRATO 2027'!$K$5,"EM ANDAMENTO","A INICIAR")))</f>
        <v/>
      </c>
    </row>
    <row r="3993">
      <c r="M3993" s="2">
        <f>IF(C3993="","",IFERROR(INDEX($S$5:$S$304,MATCH(C3993,$R$5:$R$304,0))&amp;"","?"))</f>
        <v/>
      </c>
      <c r="N3993" s="2">
        <f>IF(E3993="","",IF(ISNUMBER(SEARCH("SUBSOLO",E3993)),IFERROR(-VALUE(LEFT(E3993,FIND("º",SUBSTITUTE(E3993,"°","º"))-1)),-1),IF(LEFT(E3993,6)="TÉRREO",0,IFERROR(VALUE(LEFT(E3993,FIND("º",SUBSTITUTE(E3993,"°","º"))-1)),""))))</f>
        <v/>
      </c>
      <c r="O3993" s="2">
        <f>IF(OR(F3993="",G3993=""),"",IF(G3993&lt;='RETRATO 2027'!$K$5,"CONCLUÍDA",IF(F3993&lt;='RETRATO 2027'!$K$5,"EM ANDAMENTO","A INICIAR")))</f>
        <v/>
      </c>
    </row>
    <row r="3994">
      <c r="M3994" s="2">
        <f>IF(C3994="","",IFERROR(INDEX($S$5:$S$304,MATCH(C3994,$R$5:$R$304,0))&amp;"","?"))</f>
        <v/>
      </c>
      <c r="N3994" s="2">
        <f>IF(E3994="","",IF(ISNUMBER(SEARCH("SUBSOLO",E3994)),IFERROR(-VALUE(LEFT(E3994,FIND("º",SUBSTITUTE(E3994,"°","º"))-1)),-1),IF(LEFT(E3994,6)="TÉRREO",0,IFERROR(VALUE(LEFT(E3994,FIND("º",SUBSTITUTE(E3994,"°","º"))-1)),""))))</f>
        <v/>
      </c>
      <c r="O3994" s="2">
        <f>IF(OR(F3994="",G3994=""),"",IF(G3994&lt;='RETRATO 2027'!$K$5,"CONCLUÍDA",IF(F3994&lt;='RETRATO 2027'!$K$5,"EM ANDAMENTO","A INICIAR")))</f>
        <v/>
      </c>
    </row>
    <row r="3995">
      <c r="M3995" s="2">
        <f>IF(C3995="","",IFERROR(INDEX($S$5:$S$304,MATCH(C3995,$R$5:$R$304,0))&amp;"","?"))</f>
        <v/>
      </c>
      <c r="N3995" s="2">
        <f>IF(E3995="","",IF(ISNUMBER(SEARCH("SUBSOLO",E3995)),IFERROR(-VALUE(LEFT(E3995,FIND("º",SUBSTITUTE(E3995,"°","º"))-1)),-1),IF(LEFT(E3995,6)="TÉRREO",0,IFERROR(VALUE(LEFT(E3995,FIND("º",SUBSTITUTE(E3995,"°","º"))-1)),""))))</f>
        <v/>
      </c>
      <c r="O3995" s="2">
        <f>IF(OR(F3995="",G3995=""),"",IF(G3995&lt;='RETRATO 2027'!$K$5,"CONCLUÍDA",IF(F3995&lt;='RETRATO 2027'!$K$5,"EM ANDAMENTO","A INICIAR")))</f>
        <v/>
      </c>
    </row>
    <row r="3996">
      <c r="M3996" s="2">
        <f>IF(C3996="","",IFERROR(INDEX($S$5:$S$304,MATCH(C3996,$R$5:$R$304,0))&amp;"","?"))</f>
        <v/>
      </c>
      <c r="N3996" s="2">
        <f>IF(E3996="","",IF(ISNUMBER(SEARCH("SUBSOLO",E3996)),IFERROR(-VALUE(LEFT(E3996,FIND("º",SUBSTITUTE(E3996,"°","º"))-1)),-1),IF(LEFT(E3996,6)="TÉRREO",0,IFERROR(VALUE(LEFT(E3996,FIND("º",SUBSTITUTE(E3996,"°","º"))-1)),""))))</f>
        <v/>
      </c>
      <c r="O3996" s="2">
        <f>IF(OR(F3996="",G3996=""),"",IF(G3996&lt;='RETRATO 2027'!$K$5,"CONCLUÍDA",IF(F3996&lt;='RETRATO 2027'!$K$5,"EM ANDAMENTO","A INICIAR")))</f>
        <v/>
      </c>
    </row>
    <row r="3997">
      <c r="M3997" s="2">
        <f>IF(C3997="","",IFERROR(INDEX($S$5:$S$304,MATCH(C3997,$R$5:$R$304,0))&amp;"","?"))</f>
        <v/>
      </c>
      <c r="N3997" s="2">
        <f>IF(E3997="","",IF(ISNUMBER(SEARCH("SUBSOLO",E3997)),IFERROR(-VALUE(LEFT(E3997,FIND("º",SUBSTITUTE(E3997,"°","º"))-1)),-1),IF(LEFT(E3997,6)="TÉRREO",0,IFERROR(VALUE(LEFT(E3997,FIND("º",SUBSTITUTE(E3997,"°","º"))-1)),""))))</f>
        <v/>
      </c>
      <c r="O3997" s="2">
        <f>IF(OR(F3997="",G3997=""),"",IF(G3997&lt;='RETRATO 2027'!$K$5,"CONCLUÍDA",IF(F3997&lt;='RETRATO 2027'!$K$5,"EM ANDAMENTO","A INICIAR")))</f>
        <v/>
      </c>
    </row>
    <row r="3998">
      <c r="M3998" s="2">
        <f>IF(C3998="","",IFERROR(INDEX($S$5:$S$304,MATCH(C3998,$R$5:$R$304,0))&amp;"","?"))</f>
        <v/>
      </c>
      <c r="N3998" s="2">
        <f>IF(E3998="","",IF(ISNUMBER(SEARCH("SUBSOLO",E3998)),IFERROR(-VALUE(LEFT(E3998,FIND("º",SUBSTITUTE(E3998,"°","º"))-1)),-1),IF(LEFT(E3998,6)="TÉRREO",0,IFERROR(VALUE(LEFT(E3998,FIND("º",SUBSTITUTE(E3998,"°","º"))-1)),""))))</f>
        <v/>
      </c>
      <c r="O3998" s="2">
        <f>IF(OR(F3998="",G3998=""),"",IF(G3998&lt;='RETRATO 2027'!$K$5,"CONCLUÍDA",IF(F3998&lt;='RETRATO 2027'!$K$5,"EM ANDAMENTO","A INICIAR")))</f>
        <v/>
      </c>
    </row>
    <row r="3999">
      <c r="M3999" s="2">
        <f>IF(C3999="","",IFERROR(INDEX($S$5:$S$304,MATCH(C3999,$R$5:$R$304,0))&amp;"","?"))</f>
        <v/>
      </c>
      <c r="N3999" s="2">
        <f>IF(E3999="","",IF(ISNUMBER(SEARCH("SUBSOLO",E3999)),IFERROR(-VALUE(LEFT(E3999,FIND("º",SUBSTITUTE(E3999,"°","º"))-1)),-1),IF(LEFT(E3999,6)="TÉRREO",0,IFERROR(VALUE(LEFT(E3999,FIND("º",SUBSTITUTE(E3999,"°","º"))-1)),""))))</f>
        <v/>
      </c>
      <c r="O3999" s="2">
        <f>IF(OR(F3999="",G3999=""),"",IF(G3999&lt;='RETRATO 2027'!$K$5,"CONCLUÍDA",IF(F3999&lt;='RETRATO 2027'!$K$5,"EM ANDAMENTO","A INICIAR")))</f>
        <v/>
      </c>
    </row>
    <row r="4000">
      <c r="M4000" s="2">
        <f>IF(C4000="","",IFERROR(INDEX($S$5:$S$304,MATCH(C4000,$R$5:$R$304,0))&amp;"","?"))</f>
        <v/>
      </c>
      <c r="N4000" s="2">
        <f>IF(E4000="","",IF(ISNUMBER(SEARCH("SUBSOLO",E4000)),IFERROR(-VALUE(LEFT(E4000,FIND("º",SUBSTITUTE(E4000,"°","º"))-1)),-1),IF(LEFT(E4000,6)="TÉRREO",0,IFERROR(VALUE(LEFT(E4000,FIND("º",SUBSTITUTE(E4000,"°","º"))-1)),""))))</f>
        <v/>
      </c>
      <c r="O4000" s="2">
        <f>IF(OR(F4000="",G4000=""),"",IF(G4000&lt;='RETRATO 2027'!$K$5,"CONCLUÍDA",IF(F4000&lt;='RETRATO 2027'!$K$5,"EM ANDAMENTO","A INICIAR")))</f>
        <v/>
      </c>
    </row>
    <row r="4001">
      <c r="M4001" s="2">
        <f>IF(C4001="","",IFERROR(INDEX($S$5:$S$304,MATCH(C4001,$R$5:$R$304,0))&amp;"","?"))</f>
        <v/>
      </c>
      <c r="N4001" s="2">
        <f>IF(E4001="","",IF(ISNUMBER(SEARCH("SUBSOLO",E4001)),IFERROR(-VALUE(LEFT(E4001,FIND("º",SUBSTITUTE(E4001,"°","º"))-1)),-1),IF(LEFT(E4001,6)="TÉRREO",0,IFERROR(VALUE(LEFT(E4001,FIND("º",SUBSTITUTE(E4001,"°","º"))-1)),""))))</f>
        <v/>
      </c>
      <c r="O4001" s="2">
        <f>IF(OR(F4001="",G4001=""),"",IF(G4001&lt;='RETRATO 2027'!$K$5,"CONCLUÍDA",IF(F4001&lt;='RETRATO 2027'!$K$5,"EM ANDAMENTO","A INICIAR")))</f>
        <v/>
      </c>
    </row>
    <row r="4002">
      <c r="M4002" s="2">
        <f>IF(C4002="","",IFERROR(INDEX($S$5:$S$304,MATCH(C4002,$R$5:$R$304,0))&amp;"","?"))</f>
        <v/>
      </c>
      <c r="N4002" s="2">
        <f>IF(E4002="","",IF(ISNUMBER(SEARCH("SUBSOLO",E4002)),IFERROR(-VALUE(LEFT(E4002,FIND("º",SUBSTITUTE(E4002,"°","º"))-1)),-1),IF(LEFT(E4002,6)="TÉRREO",0,IFERROR(VALUE(LEFT(E4002,FIND("º",SUBSTITUTE(E4002,"°","º"))-1)),""))))</f>
        <v/>
      </c>
      <c r="O4002" s="2">
        <f>IF(OR(F4002="",G4002=""),"",IF(G4002&lt;='RETRATO 2027'!$K$5,"CONCLUÍDA",IF(F4002&lt;='RETRATO 2027'!$K$5,"EM ANDAMENTO","A INICIAR")))</f>
        <v/>
      </c>
    </row>
    <row r="4003">
      <c r="M4003" s="2">
        <f>IF(C4003="","",IFERROR(INDEX($S$5:$S$304,MATCH(C4003,$R$5:$R$304,0))&amp;"","?"))</f>
        <v/>
      </c>
      <c r="N4003" s="2">
        <f>IF(E4003="","",IF(ISNUMBER(SEARCH("SUBSOLO",E4003)),IFERROR(-VALUE(LEFT(E4003,FIND("º",SUBSTITUTE(E4003,"°","º"))-1)),-1),IF(LEFT(E4003,6)="TÉRREO",0,IFERROR(VALUE(LEFT(E4003,FIND("º",SUBSTITUTE(E4003,"°","º"))-1)),""))))</f>
        <v/>
      </c>
      <c r="O4003" s="2">
        <f>IF(OR(F4003="",G4003=""),"",IF(G4003&lt;='RETRATO 2027'!$K$5,"CONCLUÍDA",IF(F4003&lt;='RETRATO 2027'!$K$5,"EM ANDAMENTO","A INICIAR")))</f>
        <v/>
      </c>
    </row>
    <row r="4004">
      <c r="M4004" s="2">
        <f>IF(C4004="","",IFERROR(INDEX($S$5:$S$304,MATCH(C4004,$R$5:$R$304,0))&amp;"","?"))</f>
        <v/>
      </c>
      <c r="N4004" s="2">
        <f>IF(E4004="","",IF(ISNUMBER(SEARCH("SUBSOLO",E4004)),IFERROR(-VALUE(LEFT(E4004,FIND("º",SUBSTITUTE(E4004,"°","º"))-1)),-1),IF(LEFT(E4004,6)="TÉRREO",0,IFERROR(VALUE(LEFT(E4004,FIND("º",SUBSTITUTE(E4004,"°","º"))-1)),""))))</f>
        <v/>
      </c>
      <c r="O4004" s="2">
        <f>IF(OR(F4004="",G4004=""),"",IF(G4004&lt;='RETRATO 2027'!$K$5,"CONCLUÍDA",IF(F4004&lt;='RETRATO 2027'!$K$5,"EM ANDAMENTO","A INICIAR")))</f>
        <v/>
      </c>
    </row>
    <row r="4005">
      <c r="M4005" s="2">
        <f>IF(C4005="","",IFERROR(INDEX($S$5:$S$304,MATCH(C4005,$R$5:$R$304,0))&amp;"","?"))</f>
        <v/>
      </c>
      <c r="N4005" s="2">
        <f>IF(E4005="","",IF(ISNUMBER(SEARCH("SUBSOLO",E4005)),IFERROR(-VALUE(LEFT(E4005,FIND("º",SUBSTITUTE(E4005,"°","º"))-1)),-1),IF(LEFT(E4005,6)="TÉRREO",0,IFERROR(VALUE(LEFT(E4005,FIND("º",SUBSTITUTE(E4005,"°","º"))-1)),""))))</f>
        <v/>
      </c>
      <c r="O4005" s="2">
        <f>IF(OR(F4005="",G4005=""),"",IF(G4005&lt;='RETRATO 2027'!$K$5,"CONCLUÍDA",IF(F4005&lt;='RETRATO 2027'!$K$5,"EM ANDAMENTO","A INICIAR")))</f>
        <v/>
      </c>
    </row>
    <row r="4006">
      <c r="M4006" s="2">
        <f>IF(C4006="","",IFERROR(INDEX($S$5:$S$304,MATCH(C4006,$R$5:$R$304,0))&amp;"","?"))</f>
        <v/>
      </c>
      <c r="N4006" s="2">
        <f>IF(E4006="","",IF(ISNUMBER(SEARCH("SUBSOLO",E4006)),IFERROR(-VALUE(LEFT(E4006,FIND("º",SUBSTITUTE(E4006,"°","º"))-1)),-1),IF(LEFT(E4006,6)="TÉRREO",0,IFERROR(VALUE(LEFT(E4006,FIND("º",SUBSTITUTE(E4006,"°","º"))-1)),""))))</f>
        <v/>
      </c>
      <c r="O4006" s="2">
        <f>IF(OR(F4006="",G4006=""),"",IF(G4006&lt;='RETRATO 2027'!$K$5,"CONCLUÍDA",IF(F4006&lt;='RETRATO 2027'!$K$5,"EM ANDAMENTO","A INICIAR")))</f>
        <v/>
      </c>
    </row>
    <row r="4007">
      <c r="M4007" s="2">
        <f>IF(C4007="","",IFERROR(INDEX($S$5:$S$304,MATCH(C4007,$R$5:$R$304,0))&amp;"","?"))</f>
        <v/>
      </c>
      <c r="N4007" s="2">
        <f>IF(E4007="","",IF(ISNUMBER(SEARCH("SUBSOLO",E4007)),IFERROR(-VALUE(LEFT(E4007,FIND("º",SUBSTITUTE(E4007,"°","º"))-1)),-1),IF(LEFT(E4007,6)="TÉRREO",0,IFERROR(VALUE(LEFT(E4007,FIND("º",SUBSTITUTE(E4007,"°","º"))-1)),""))))</f>
        <v/>
      </c>
      <c r="O4007" s="2">
        <f>IF(OR(F4007="",G4007=""),"",IF(G4007&lt;='RETRATO 2027'!$K$5,"CONCLUÍDA",IF(F4007&lt;='RETRATO 2027'!$K$5,"EM ANDAMENTO","A INICIAR")))</f>
        <v/>
      </c>
    </row>
    <row r="4008">
      <c r="M4008" s="2">
        <f>IF(C4008="","",IFERROR(INDEX($S$5:$S$304,MATCH(C4008,$R$5:$R$304,0))&amp;"","?"))</f>
        <v/>
      </c>
      <c r="N4008" s="2">
        <f>IF(E4008="","",IF(ISNUMBER(SEARCH("SUBSOLO",E4008)),IFERROR(-VALUE(LEFT(E4008,FIND("º",SUBSTITUTE(E4008,"°","º"))-1)),-1),IF(LEFT(E4008,6)="TÉRREO",0,IFERROR(VALUE(LEFT(E4008,FIND("º",SUBSTITUTE(E4008,"°","º"))-1)),""))))</f>
        <v/>
      </c>
      <c r="O4008" s="2">
        <f>IF(OR(F4008="",G4008=""),"",IF(G4008&lt;='RETRATO 2027'!$K$5,"CONCLUÍDA",IF(F4008&lt;='RETRATO 2027'!$K$5,"EM ANDAMENTO","A INICIAR")))</f>
        <v/>
      </c>
    </row>
    <row r="4009">
      <c r="M4009" s="2">
        <f>IF(C4009="","",IFERROR(INDEX($S$5:$S$304,MATCH(C4009,$R$5:$R$304,0))&amp;"","?"))</f>
        <v/>
      </c>
      <c r="N4009" s="2">
        <f>IF(E4009="","",IF(ISNUMBER(SEARCH("SUBSOLO",E4009)),IFERROR(-VALUE(LEFT(E4009,FIND("º",SUBSTITUTE(E4009,"°","º"))-1)),-1),IF(LEFT(E4009,6)="TÉRREO",0,IFERROR(VALUE(LEFT(E4009,FIND("º",SUBSTITUTE(E4009,"°","º"))-1)),""))))</f>
        <v/>
      </c>
      <c r="O4009" s="2">
        <f>IF(OR(F4009="",G4009=""),"",IF(G4009&lt;='RETRATO 2027'!$K$5,"CONCLUÍDA",IF(F4009&lt;='RETRATO 2027'!$K$5,"EM ANDAMENTO","A INICIAR")))</f>
        <v/>
      </c>
    </row>
    <row r="4010">
      <c r="M4010" s="2">
        <f>IF(C4010="","",IFERROR(INDEX($S$5:$S$304,MATCH(C4010,$R$5:$R$304,0))&amp;"","?"))</f>
        <v/>
      </c>
      <c r="N4010" s="2">
        <f>IF(E4010="","",IF(ISNUMBER(SEARCH("SUBSOLO",E4010)),IFERROR(-VALUE(LEFT(E4010,FIND("º",SUBSTITUTE(E4010,"°","º"))-1)),-1),IF(LEFT(E4010,6)="TÉRREO",0,IFERROR(VALUE(LEFT(E4010,FIND("º",SUBSTITUTE(E4010,"°","º"))-1)),""))))</f>
        <v/>
      </c>
      <c r="O4010" s="2">
        <f>IF(OR(F4010="",G4010=""),"",IF(G4010&lt;='RETRATO 2027'!$K$5,"CONCLUÍDA",IF(F4010&lt;='RETRATO 2027'!$K$5,"EM ANDAMENTO","A INICIAR")))</f>
        <v/>
      </c>
    </row>
    <row r="4011">
      <c r="M4011" s="2">
        <f>IF(C4011="","",IFERROR(INDEX($S$5:$S$304,MATCH(C4011,$R$5:$R$304,0))&amp;"","?"))</f>
        <v/>
      </c>
      <c r="N4011" s="2">
        <f>IF(E4011="","",IF(ISNUMBER(SEARCH("SUBSOLO",E4011)),IFERROR(-VALUE(LEFT(E4011,FIND("º",SUBSTITUTE(E4011,"°","º"))-1)),-1),IF(LEFT(E4011,6)="TÉRREO",0,IFERROR(VALUE(LEFT(E4011,FIND("º",SUBSTITUTE(E4011,"°","º"))-1)),""))))</f>
        <v/>
      </c>
      <c r="O4011" s="2">
        <f>IF(OR(F4011="",G4011=""),"",IF(G4011&lt;='RETRATO 2027'!$K$5,"CONCLUÍDA",IF(F4011&lt;='RETRATO 2027'!$K$5,"EM ANDAMENTO","A INICIAR")))</f>
        <v/>
      </c>
    </row>
    <row r="4012">
      <c r="M4012" s="2">
        <f>IF(C4012="","",IFERROR(INDEX($S$5:$S$304,MATCH(C4012,$R$5:$R$304,0))&amp;"","?"))</f>
        <v/>
      </c>
      <c r="N4012" s="2">
        <f>IF(E4012="","",IF(ISNUMBER(SEARCH("SUBSOLO",E4012)),IFERROR(-VALUE(LEFT(E4012,FIND("º",SUBSTITUTE(E4012,"°","º"))-1)),-1),IF(LEFT(E4012,6)="TÉRREO",0,IFERROR(VALUE(LEFT(E4012,FIND("º",SUBSTITUTE(E4012,"°","º"))-1)),""))))</f>
        <v/>
      </c>
      <c r="O4012" s="2">
        <f>IF(OR(F4012="",G4012=""),"",IF(G4012&lt;='RETRATO 2027'!$K$5,"CONCLUÍDA",IF(F4012&lt;='RETRATO 2027'!$K$5,"EM ANDAMENTO","A INICIAR")))</f>
        <v/>
      </c>
    </row>
    <row r="4013">
      <c r="M4013" s="2">
        <f>IF(C4013="","",IFERROR(INDEX($S$5:$S$304,MATCH(C4013,$R$5:$R$304,0))&amp;"","?"))</f>
        <v/>
      </c>
      <c r="N4013" s="2">
        <f>IF(E4013="","",IF(ISNUMBER(SEARCH("SUBSOLO",E4013)),IFERROR(-VALUE(LEFT(E4013,FIND("º",SUBSTITUTE(E4013,"°","º"))-1)),-1),IF(LEFT(E4013,6)="TÉRREO",0,IFERROR(VALUE(LEFT(E4013,FIND("º",SUBSTITUTE(E4013,"°","º"))-1)),""))))</f>
        <v/>
      </c>
      <c r="O4013" s="2">
        <f>IF(OR(F4013="",G4013=""),"",IF(G4013&lt;='RETRATO 2027'!$K$5,"CONCLUÍDA",IF(F4013&lt;='RETRATO 2027'!$K$5,"EM ANDAMENTO","A INICIAR")))</f>
        <v/>
      </c>
    </row>
    <row r="4014">
      <c r="M4014" s="2">
        <f>IF(C4014="","",IFERROR(INDEX($S$5:$S$304,MATCH(C4014,$R$5:$R$304,0))&amp;"","?"))</f>
        <v/>
      </c>
      <c r="N4014" s="2">
        <f>IF(E4014="","",IF(ISNUMBER(SEARCH("SUBSOLO",E4014)),IFERROR(-VALUE(LEFT(E4014,FIND("º",SUBSTITUTE(E4014,"°","º"))-1)),-1),IF(LEFT(E4014,6)="TÉRREO",0,IFERROR(VALUE(LEFT(E4014,FIND("º",SUBSTITUTE(E4014,"°","º"))-1)),""))))</f>
        <v/>
      </c>
      <c r="O4014" s="2">
        <f>IF(OR(F4014="",G4014=""),"",IF(G4014&lt;='RETRATO 2027'!$K$5,"CONCLUÍDA",IF(F4014&lt;='RETRATO 2027'!$K$5,"EM ANDAMENTO","A INICIAR")))</f>
        <v/>
      </c>
    </row>
    <row r="4015">
      <c r="M4015" s="2">
        <f>IF(C4015="","",IFERROR(INDEX($S$5:$S$304,MATCH(C4015,$R$5:$R$304,0))&amp;"","?"))</f>
        <v/>
      </c>
      <c r="N4015" s="2">
        <f>IF(E4015="","",IF(ISNUMBER(SEARCH("SUBSOLO",E4015)),IFERROR(-VALUE(LEFT(E4015,FIND("º",SUBSTITUTE(E4015,"°","º"))-1)),-1),IF(LEFT(E4015,6)="TÉRREO",0,IFERROR(VALUE(LEFT(E4015,FIND("º",SUBSTITUTE(E4015,"°","º"))-1)),""))))</f>
        <v/>
      </c>
      <c r="O4015" s="2">
        <f>IF(OR(F4015="",G4015=""),"",IF(G4015&lt;='RETRATO 2027'!$K$5,"CONCLUÍDA",IF(F4015&lt;='RETRATO 2027'!$K$5,"EM ANDAMENTO","A INICIAR")))</f>
        <v/>
      </c>
    </row>
    <row r="4016">
      <c r="M4016" s="2">
        <f>IF(C4016="","",IFERROR(INDEX($S$5:$S$304,MATCH(C4016,$R$5:$R$304,0))&amp;"","?"))</f>
        <v/>
      </c>
      <c r="N4016" s="2">
        <f>IF(E4016="","",IF(ISNUMBER(SEARCH("SUBSOLO",E4016)),IFERROR(-VALUE(LEFT(E4016,FIND("º",SUBSTITUTE(E4016,"°","º"))-1)),-1),IF(LEFT(E4016,6)="TÉRREO",0,IFERROR(VALUE(LEFT(E4016,FIND("º",SUBSTITUTE(E4016,"°","º"))-1)),""))))</f>
        <v/>
      </c>
      <c r="O4016" s="2">
        <f>IF(OR(F4016="",G4016=""),"",IF(G4016&lt;='RETRATO 2027'!$K$5,"CONCLUÍDA",IF(F4016&lt;='RETRATO 2027'!$K$5,"EM ANDAMENTO","A INICIAR")))</f>
        <v/>
      </c>
    </row>
    <row r="4017">
      <c r="M4017" s="2">
        <f>IF(C4017="","",IFERROR(INDEX($S$5:$S$304,MATCH(C4017,$R$5:$R$304,0))&amp;"","?"))</f>
        <v/>
      </c>
      <c r="N4017" s="2">
        <f>IF(E4017="","",IF(ISNUMBER(SEARCH("SUBSOLO",E4017)),IFERROR(-VALUE(LEFT(E4017,FIND("º",SUBSTITUTE(E4017,"°","º"))-1)),-1),IF(LEFT(E4017,6)="TÉRREO",0,IFERROR(VALUE(LEFT(E4017,FIND("º",SUBSTITUTE(E4017,"°","º"))-1)),""))))</f>
        <v/>
      </c>
      <c r="O4017" s="2">
        <f>IF(OR(F4017="",G4017=""),"",IF(G4017&lt;='RETRATO 2027'!$K$5,"CONCLUÍDA",IF(F4017&lt;='RETRATO 2027'!$K$5,"EM ANDAMENTO","A INICIAR")))</f>
        <v/>
      </c>
    </row>
    <row r="4018">
      <c r="M4018" s="2">
        <f>IF(C4018="","",IFERROR(INDEX($S$5:$S$304,MATCH(C4018,$R$5:$R$304,0))&amp;"","?"))</f>
        <v/>
      </c>
      <c r="N4018" s="2">
        <f>IF(E4018="","",IF(ISNUMBER(SEARCH("SUBSOLO",E4018)),IFERROR(-VALUE(LEFT(E4018,FIND("º",SUBSTITUTE(E4018,"°","º"))-1)),-1),IF(LEFT(E4018,6)="TÉRREO",0,IFERROR(VALUE(LEFT(E4018,FIND("º",SUBSTITUTE(E4018,"°","º"))-1)),""))))</f>
        <v/>
      </c>
      <c r="O4018" s="2">
        <f>IF(OR(F4018="",G4018=""),"",IF(G4018&lt;='RETRATO 2027'!$K$5,"CONCLUÍDA",IF(F4018&lt;='RETRATO 2027'!$K$5,"EM ANDAMENTO","A INICIAR")))</f>
        <v/>
      </c>
    </row>
    <row r="4019">
      <c r="M4019" s="2">
        <f>IF(C4019="","",IFERROR(INDEX($S$5:$S$304,MATCH(C4019,$R$5:$R$304,0))&amp;"","?"))</f>
        <v/>
      </c>
      <c r="N4019" s="2">
        <f>IF(E4019="","",IF(ISNUMBER(SEARCH("SUBSOLO",E4019)),IFERROR(-VALUE(LEFT(E4019,FIND("º",SUBSTITUTE(E4019,"°","º"))-1)),-1),IF(LEFT(E4019,6)="TÉRREO",0,IFERROR(VALUE(LEFT(E4019,FIND("º",SUBSTITUTE(E4019,"°","º"))-1)),""))))</f>
        <v/>
      </c>
      <c r="O4019" s="2">
        <f>IF(OR(F4019="",G4019=""),"",IF(G4019&lt;='RETRATO 2027'!$K$5,"CONCLUÍDA",IF(F4019&lt;='RETRATO 2027'!$K$5,"EM ANDAMENTO","A INICIAR")))</f>
        <v/>
      </c>
    </row>
    <row r="4020">
      <c r="M4020" s="2">
        <f>IF(C4020="","",IFERROR(INDEX($S$5:$S$304,MATCH(C4020,$R$5:$R$304,0))&amp;"","?"))</f>
        <v/>
      </c>
      <c r="N4020" s="2">
        <f>IF(E4020="","",IF(ISNUMBER(SEARCH("SUBSOLO",E4020)),IFERROR(-VALUE(LEFT(E4020,FIND("º",SUBSTITUTE(E4020,"°","º"))-1)),-1),IF(LEFT(E4020,6)="TÉRREO",0,IFERROR(VALUE(LEFT(E4020,FIND("º",SUBSTITUTE(E4020,"°","º"))-1)),""))))</f>
        <v/>
      </c>
      <c r="O4020" s="2">
        <f>IF(OR(F4020="",G4020=""),"",IF(G4020&lt;='RETRATO 2027'!$K$5,"CONCLUÍDA",IF(F4020&lt;='RETRATO 2027'!$K$5,"EM ANDAMENTO","A INICIAR")))</f>
        <v/>
      </c>
    </row>
    <row r="4021">
      <c r="M4021" s="2">
        <f>IF(C4021="","",IFERROR(INDEX($S$5:$S$304,MATCH(C4021,$R$5:$R$304,0))&amp;"","?"))</f>
        <v/>
      </c>
      <c r="N4021" s="2">
        <f>IF(E4021="","",IF(ISNUMBER(SEARCH("SUBSOLO",E4021)),IFERROR(-VALUE(LEFT(E4021,FIND("º",SUBSTITUTE(E4021,"°","º"))-1)),-1),IF(LEFT(E4021,6)="TÉRREO",0,IFERROR(VALUE(LEFT(E4021,FIND("º",SUBSTITUTE(E4021,"°","º"))-1)),""))))</f>
        <v/>
      </c>
      <c r="O4021" s="2">
        <f>IF(OR(F4021="",G4021=""),"",IF(G4021&lt;='RETRATO 2027'!$K$5,"CONCLUÍDA",IF(F4021&lt;='RETRATO 2027'!$K$5,"EM ANDAMENTO","A INICIAR")))</f>
        <v/>
      </c>
    </row>
    <row r="4022">
      <c r="M4022" s="2">
        <f>IF(C4022="","",IFERROR(INDEX($S$5:$S$304,MATCH(C4022,$R$5:$R$304,0))&amp;"","?"))</f>
        <v/>
      </c>
      <c r="N4022" s="2">
        <f>IF(E4022="","",IF(ISNUMBER(SEARCH("SUBSOLO",E4022)),IFERROR(-VALUE(LEFT(E4022,FIND("º",SUBSTITUTE(E4022,"°","º"))-1)),-1),IF(LEFT(E4022,6)="TÉRREO",0,IFERROR(VALUE(LEFT(E4022,FIND("º",SUBSTITUTE(E4022,"°","º"))-1)),""))))</f>
        <v/>
      </c>
      <c r="O4022" s="2">
        <f>IF(OR(F4022="",G4022=""),"",IF(G4022&lt;='RETRATO 2027'!$K$5,"CONCLUÍDA",IF(F4022&lt;='RETRATO 2027'!$K$5,"EM ANDAMENTO","A INICIAR")))</f>
        <v/>
      </c>
    </row>
    <row r="4023">
      <c r="M4023" s="2">
        <f>IF(C4023="","",IFERROR(INDEX($S$5:$S$304,MATCH(C4023,$R$5:$R$304,0))&amp;"","?"))</f>
        <v/>
      </c>
      <c r="N4023" s="2">
        <f>IF(E4023="","",IF(ISNUMBER(SEARCH("SUBSOLO",E4023)),IFERROR(-VALUE(LEFT(E4023,FIND("º",SUBSTITUTE(E4023,"°","º"))-1)),-1),IF(LEFT(E4023,6)="TÉRREO",0,IFERROR(VALUE(LEFT(E4023,FIND("º",SUBSTITUTE(E4023,"°","º"))-1)),""))))</f>
        <v/>
      </c>
      <c r="O4023" s="2">
        <f>IF(OR(F4023="",G4023=""),"",IF(G4023&lt;='RETRATO 2027'!$K$5,"CONCLUÍDA",IF(F4023&lt;='RETRATO 2027'!$K$5,"EM ANDAMENTO","A INICIAR")))</f>
        <v/>
      </c>
    </row>
    <row r="4024">
      <c r="M4024" s="2">
        <f>IF(C4024="","",IFERROR(INDEX($S$5:$S$304,MATCH(C4024,$R$5:$R$304,0))&amp;"","?"))</f>
        <v/>
      </c>
      <c r="N4024" s="2">
        <f>IF(E4024="","",IF(ISNUMBER(SEARCH("SUBSOLO",E4024)),IFERROR(-VALUE(LEFT(E4024,FIND("º",SUBSTITUTE(E4024,"°","º"))-1)),-1),IF(LEFT(E4024,6)="TÉRREO",0,IFERROR(VALUE(LEFT(E4024,FIND("º",SUBSTITUTE(E4024,"°","º"))-1)),""))))</f>
        <v/>
      </c>
      <c r="O4024" s="2">
        <f>IF(OR(F4024="",G4024=""),"",IF(G4024&lt;='RETRATO 2027'!$K$5,"CONCLUÍDA",IF(F4024&lt;='RETRATO 2027'!$K$5,"EM ANDAMENTO","A INICIAR")))</f>
        <v/>
      </c>
    </row>
    <row r="4025">
      <c r="M4025" s="2">
        <f>IF(C4025="","",IFERROR(INDEX($S$5:$S$304,MATCH(C4025,$R$5:$R$304,0))&amp;"","?"))</f>
        <v/>
      </c>
      <c r="N4025" s="2">
        <f>IF(E4025="","",IF(ISNUMBER(SEARCH("SUBSOLO",E4025)),IFERROR(-VALUE(LEFT(E4025,FIND("º",SUBSTITUTE(E4025,"°","º"))-1)),-1),IF(LEFT(E4025,6)="TÉRREO",0,IFERROR(VALUE(LEFT(E4025,FIND("º",SUBSTITUTE(E4025,"°","º"))-1)),""))))</f>
        <v/>
      </c>
      <c r="O4025" s="2">
        <f>IF(OR(F4025="",G4025=""),"",IF(G4025&lt;='RETRATO 2027'!$K$5,"CONCLUÍDA",IF(F4025&lt;='RETRATO 2027'!$K$5,"EM ANDAMENTO","A INICIAR")))</f>
        <v/>
      </c>
    </row>
    <row r="4026">
      <c r="M4026" s="2">
        <f>IF(C4026="","",IFERROR(INDEX($S$5:$S$304,MATCH(C4026,$R$5:$R$304,0))&amp;"","?"))</f>
        <v/>
      </c>
      <c r="N4026" s="2">
        <f>IF(E4026="","",IF(ISNUMBER(SEARCH("SUBSOLO",E4026)),IFERROR(-VALUE(LEFT(E4026,FIND("º",SUBSTITUTE(E4026,"°","º"))-1)),-1),IF(LEFT(E4026,6)="TÉRREO",0,IFERROR(VALUE(LEFT(E4026,FIND("º",SUBSTITUTE(E4026,"°","º"))-1)),""))))</f>
        <v/>
      </c>
      <c r="O4026" s="2">
        <f>IF(OR(F4026="",G4026=""),"",IF(G4026&lt;='RETRATO 2027'!$K$5,"CONCLUÍDA",IF(F4026&lt;='RETRATO 2027'!$K$5,"EM ANDAMENTO","A INICIAR")))</f>
        <v/>
      </c>
    </row>
    <row r="4027">
      <c r="M4027" s="2">
        <f>IF(C4027="","",IFERROR(INDEX($S$5:$S$304,MATCH(C4027,$R$5:$R$304,0))&amp;"","?"))</f>
        <v/>
      </c>
      <c r="N4027" s="2">
        <f>IF(E4027="","",IF(ISNUMBER(SEARCH("SUBSOLO",E4027)),IFERROR(-VALUE(LEFT(E4027,FIND("º",SUBSTITUTE(E4027,"°","º"))-1)),-1),IF(LEFT(E4027,6)="TÉRREO",0,IFERROR(VALUE(LEFT(E4027,FIND("º",SUBSTITUTE(E4027,"°","º"))-1)),""))))</f>
        <v/>
      </c>
      <c r="O4027" s="2">
        <f>IF(OR(F4027="",G4027=""),"",IF(G4027&lt;='RETRATO 2027'!$K$5,"CONCLUÍDA",IF(F4027&lt;='RETRATO 2027'!$K$5,"EM ANDAMENTO","A INICIAR")))</f>
        <v/>
      </c>
    </row>
    <row r="4028">
      <c r="M4028" s="2">
        <f>IF(C4028="","",IFERROR(INDEX($S$5:$S$304,MATCH(C4028,$R$5:$R$304,0))&amp;"","?"))</f>
        <v/>
      </c>
      <c r="N4028" s="2">
        <f>IF(E4028="","",IF(ISNUMBER(SEARCH("SUBSOLO",E4028)),IFERROR(-VALUE(LEFT(E4028,FIND("º",SUBSTITUTE(E4028,"°","º"))-1)),-1),IF(LEFT(E4028,6)="TÉRREO",0,IFERROR(VALUE(LEFT(E4028,FIND("º",SUBSTITUTE(E4028,"°","º"))-1)),""))))</f>
        <v/>
      </c>
      <c r="O4028" s="2">
        <f>IF(OR(F4028="",G4028=""),"",IF(G4028&lt;='RETRATO 2027'!$K$5,"CONCLUÍDA",IF(F4028&lt;='RETRATO 2027'!$K$5,"EM ANDAMENTO","A INICIAR")))</f>
        <v/>
      </c>
    </row>
    <row r="4029">
      <c r="M4029" s="2">
        <f>IF(C4029="","",IFERROR(INDEX($S$5:$S$304,MATCH(C4029,$R$5:$R$304,0))&amp;"","?"))</f>
        <v/>
      </c>
      <c r="N4029" s="2">
        <f>IF(E4029="","",IF(ISNUMBER(SEARCH("SUBSOLO",E4029)),IFERROR(-VALUE(LEFT(E4029,FIND("º",SUBSTITUTE(E4029,"°","º"))-1)),-1),IF(LEFT(E4029,6)="TÉRREO",0,IFERROR(VALUE(LEFT(E4029,FIND("º",SUBSTITUTE(E4029,"°","º"))-1)),""))))</f>
        <v/>
      </c>
      <c r="O4029" s="2">
        <f>IF(OR(F4029="",G4029=""),"",IF(G4029&lt;='RETRATO 2027'!$K$5,"CONCLUÍDA",IF(F4029&lt;='RETRATO 2027'!$K$5,"EM ANDAMENTO","A INICIAR")))</f>
        <v/>
      </c>
    </row>
    <row r="4030">
      <c r="M4030" s="2">
        <f>IF(C4030="","",IFERROR(INDEX($S$5:$S$304,MATCH(C4030,$R$5:$R$304,0))&amp;"","?"))</f>
        <v/>
      </c>
      <c r="N4030" s="2">
        <f>IF(E4030="","",IF(ISNUMBER(SEARCH("SUBSOLO",E4030)),IFERROR(-VALUE(LEFT(E4030,FIND("º",SUBSTITUTE(E4030,"°","º"))-1)),-1),IF(LEFT(E4030,6)="TÉRREO",0,IFERROR(VALUE(LEFT(E4030,FIND("º",SUBSTITUTE(E4030,"°","º"))-1)),""))))</f>
        <v/>
      </c>
      <c r="O4030" s="2">
        <f>IF(OR(F4030="",G4030=""),"",IF(G4030&lt;='RETRATO 2027'!$K$5,"CONCLUÍDA",IF(F4030&lt;='RETRATO 2027'!$K$5,"EM ANDAMENTO","A INICIAR")))</f>
        <v/>
      </c>
    </row>
    <row r="4031">
      <c r="M4031" s="2">
        <f>IF(C4031="","",IFERROR(INDEX($S$5:$S$304,MATCH(C4031,$R$5:$R$304,0))&amp;"","?"))</f>
        <v/>
      </c>
      <c r="N4031" s="2">
        <f>IF(E4031="","",IF(ISNUMBER(SEARCH("SUBSOLO",E4031)),IFERROR(-VALUE(LEFT(E4031,FIND("º",SUBSTITUTE(E4031,"°","º"))-1)),-1),IF(LEFT(E4031,6)="TÉRREO",0,IFERROR(VALUE(LEFT(E4031,FIND("º",SUBSTITUTE(E4031,"°","º"))-1)),""))))</f>
        <v/>
      </c>
      <c r="O4031" s="2">
        <f>IF(OR(F4031="",G4031=""),"",IF(G4031&lt;='RETRATO 2027'!$K$5,"CONCLUÍDA",IF(F4031&lt;='RETRATO 2027'!$K$5,"EM ANDAMENTO","A INICIAR")))</f>
        <v/>
      </c>
    </row>
    <row r="4032">
      <c r="M4032" s="2">
        <f>IF(C4032="","",IFERROR(INDEX($S$5:$S$304,MATCH(C4032,$R$5:$R$304,0))&amp;"","?"))</f>
        <v/>
      </c>
      <c r="N4032" s="2">
        <f>IF(E4032="","",IF(ISNUMBER(SEARCH("SUBSOLO",E4032)),IFERROR(-VALUE(LEFT(E4032,FIND("º",SUBSTITUTE(E4032,"°","º"))-1)),-1),IF(LEFT(E4032,6)="TÉRREO",0,IFERROR(VALUE(LEFT(E4032,FIND("º",SUBSTITUTE(E4032,"°","º"))-1)),""))))</f>
        <v/>
      </c>
      <c r="O4032" s="2">
        <f>IF(OR(F4032="",G4032=""),"",IF(G4032&lt;='RETRATO 2027'!$K$5,"CONCLUÍDA",IF(F4032&lt;='RETRATO 2027'!$K$5,"EM ANDAMENTO","A INICIAR")))</f>
        <v/>
      </c>
    </row>
    <row r="4033">
      <c r="M4033" s="2">
        <f>IF(C4033="","",IFERROR(INDEX($S$5:$S$304,MATCH(C4033,$R$5:$R$304,0))&amp;"","?"))</f>
        <v/>
      </c>
      <c r="N4033" s="2">
        <f>IF(E4033="","",IF(ISNUMBER(SEARCH("SUBSOLO",E4033)),IFERROR(-VALUE(LEFT(E4033,FIND("º",SUBSTITUTE(E4033,"°","º"))-1)),-1),IF(LEFT(E4033,6)="TÉRREO",0,IFERROR(VALUE(LEFT(E4033,FIND("º",SUBSTITUTE(E4033,"°","º"))-1)),""))))</f>
        <v/>
      </c>
      <c r="O4033" s="2">
        <f>IF(OR(F4033="",G4033=""),"",IF(G4033&lt;='RETRATO 2027'!$K$5,"CONCLUÍDA",IF(F4033&lt;='RETRATO 2027'!$K$5,"EM ANDAMENTO","A INICIAR")))</f>
        <v/>
      </c>
    </row>
    <row r="4034">
      <c r="M4034" s="2">
        <f>IF(C4034="","",IFERROR(INDEX($S$5:$S$304,MATCH(C4034,$R$5:$R$304,0))&amp;"","?"))</f>
        <v/>
      </c>
      <c r="N4034" s="2">
        <f>IF(E4034="","",IF(ISNUMBER(SEARCH("SUBSOLO",E4034)),IFERROR(-VALUE(LEFT(E4034,FIND("º",SUBSTITUTE(E4034,"°","º"))-1)),-1),IF(LEFT(E4034,6)="TÉRREO",0,IFERROR(VALUE(LEFT(E4034,FIND("º",SUBSTITUTE(E4034,"°","º"))-1)),""))))</f>
        <v/>
      </c>
      <c r="O4034" s="2">
        <f>IF(OR(F4034="",G4034=""),"",IF(G4034&lt;='RETRATO 2027'!$K$5,"CONCLUÍDA",IF(F4034&lt;='RETRATO 2027'!$K$5,"EM ANDAMENTO","A INICIAR")))</f>
        <v/>
      </c>
    </row>
    <row r="4035">
      <c r="M4035" s="2">
        <f>IF(C4035="","",IFERROR(INDEX($S$5:$S$304,MATCH(C4035,$R$5:$R$304,0))&amp;"","?"))</f>
        <v/>
      </c>
      <c r="N4035" s="2">
        <f>IF(E4035="","",IF(ISNUMBER(SEARCH("SUBSOLO",E4035)),IFERROR(-VALUE(LEFT(E4035,FIND("º",SUBSTITUTE(E4035,"°","º"))-1)),-1),IF(LEFT(E4035,6)="TÉRREO",0,IFERROR(VALUE(LEFT(E4035,FIND("º",SUBSTITUTE(E4035,"°","º"))-1)),""))))</f>
        <v/>
      </c>
      <c r="O4035" s="2">
        <f>IF(OR(F4035="",G4035=""),"",IF(G4035&lt;='RETRATO 2027'!$K$5,"CONCLUÍDA",IF(F4035&lt;='RETRATO 2027'!$K$5,"EM ANDAMENTO","A INICIAR")))</f>
        <v/>
      </c>
    </row>
    <row r="4036">
      <c r="M4036" s="2">
        <f>IF(C4036="","",IFERROR(INDEX($S$5:$S$304,MATCH(C4036,$R$5:$R$304,0))&amp;"","?"))</f>
        <v/>
      </c>
      <c r="N4036" s="2">
        <f>IF(E4036="","",IF(ISNUMBER(SEARCH("SUBSOLO",E4036)),IFERROR(-VALUE(LEFT(E4036,FIND("º",SUBSTITUTE(E4036,"°","º"))-1)),-1),IF(LEFT(E4036,6)="TÉRREO",0,IFERROR(VALUE(LEFT(E4036,FIND("º",SUBSTITUTE(E4036,"°","º"))-1)),""))))</f>
        <v/>
      </c>
      <c r="O4036" s="2">
        <f>IF(OR(F4036="",G4036=""),"",IF(G4036&lt;='RETRATO 2027'!$K$5,"CONCLUÍDA",IF(F4036&lt;='RETRATO 2027'!$K$5,"EM ANDAMENTO","A INICIAR")))</f>
        <v/>
      </c>
    </row>
    <row r="4037">
      <c r="M4037" s="2">
        <f>IF(C4037="","",IFERROR(INDEX($S$5:$S$304,MATCH(C4037,$R$5:$R$304,0))&amp;"","?"))</f>
        <v/>
      </c>
      <c r="N4037" s="2">
        <f>IF(E4037="","",IF(ISNUMBER(SEARCH("SUBSOLO",E4037)),IFERROR(-VALUE(LEFT(E4037,FIND("º",SUBSTITUTE(E4037,"°","º"))-1)),-1),IF(LEFT(E4037,6)="TÉRREO",0,IFERROR(VALUE(LEFT(E4037,FIND("º",SUBSTITUTE(E4037,"°","º"))-1)),""))))</f>
        <v/>
      </c>
      <c r="O4037" s="2">
        <f>IF(OR(F4037="",G4037=""),"",IF(G4037&lt;='RETRATO 2027'!$K$5,"CONCLUÍDA",IF(F4037&lt;='RETRATO 2027'!$K$5,"EM ANDAMENTO","A INICIAR")))</f>
        <v/>
      </c>
    </row>
    <row r="4038">
      <c r="M4038" s="2">
        <f>IF(C4038="","",IFERROR(INDEX($S$5:$S$304,MATCH(C4038,$R$5:$R$304,0))&amp;"","?"))</f>
        <v/>
      </c>
      <c r="N4038" s="2">
        <f>IF(E4038="","",IF(ISNUMBER(SEARCH("SUBSOLO",E4038)),IFERROR(-VALUE(LEFT(E4038,FIND("º",SUBSTITUTE(E4038,"°","º"))-1)),-1),IF(LEFT(E4038,6)="TÉRREO",0,IFERROR(VALUE(LEFT(E4038,FIND("º",SUBSTITUTE(E4038,"°","º"))-1)),""))))</f>
        <v/>
      </c>
      <c r="O4038" s="2">
        <f>IF(OR(F4038="",G4038=""),"",IF(G4038&lt;='RETRATO 2027'!$K$5,"CONCLUÍDA",IF(F4038&lt;='RETRATO 2027'!$K$5,"EM ANDAMENTO","A INICIAR")))</f>
        <v/>
      </c>
    </row>
    <row r="4039">
      <c r="M4039" s="2">
        <f>IF(C4039="","",IFERROR(INDEX($S$5:$S$304,MATCH(C4039,$R$5:$R$304,0))&amp;"","?"))</f>
        <v/>
      </c>
      <c r="N4039" s="2">
        <f>IF(E4039="","",IF(ISNUMBER(SEARCH("SUBSOLO",E4039)),IFERROR(-VALUE(LEFT(E4039,FIND("º",SUBSTITUTE(E4039,"°","º"))-1)),-1),IF(LEFT(E4039,6)="TÉRREO",0,IFERROR(VALUE(LEFT(E4039,FIND("º",SUBSTITUTE(E4039,"°","º"))-1)),""))))</f>
        <v/>
      </c>
      <c r="O4039" s="2">
        <f>IF(OR(F4039="",G4039=""),"",IF(G4039&lt;='RETRATO 2027'!$K$5,"CONCLUÍDA",IF(F4039&lt;='RETRATO 2027'!$K$5,"EM ANDAMENTO","A INICIAR")))</f>
        <v/>
      </c>
    </row>
    <row r="4040">
      <c r="M4040" s="2">
        <f>IF(C4040="","",IFERROR(INDEX($S$5:$S$304,MATCH(C4040,$R$5:$R$304,0))&amp;"","?"))</f>
        <v/>
      </c>
      <c r="N4040" s="2">
        <f>IF(E4040="","",IF(ISNUMBER(SEARCH("SUBSOLO",E4040)),IFERROR(-VALUE(LEFT(E4040,FIND("º",SUBSTITUTE(E4040,"°","º"))-1)),-1),IF(LEFT(E4040,6)="TÉRREO",0,IFERROR(VALUE(LEFT(E4040,FIND("º",SUBSTITUTE(E4040,"°","º"))-1)),""))))</f>
        <v/>
      </c>
      <c r="O4040" s="2">
        <f>IF(OR(F4040="",G4040=""),"",IF(G4040&lt;='RETRATO 2027'!$K$5,"CONCLUÍDA",IF(F4040&lt;='RETRATO 2027'!$K$5,"EM ANDAMENTO","A INICIAR")))</f>
        <v/>
      </c>
    </row>
    <row r="4041">
      <c r="M4041" s="2">
        <f>IF(C4041="","",IFERROR(INDEX($S$5:$S$304,MATCH(C4041,$R$5:$R$304,0))&amp;"","?"))</f>
        <v/>
      </c>
      <c r="N4041" s="2">
        <f>IF(E4041="","",IF(ISNUMBER(SEARCH("SUBSOLO",E4041)),IFERROR(-VALUE(LEFT(E4041,FIND("º",SUBSTITUTE(E4041,"°","º"))-1)),-1),IF(LEFT(E4041,6)="TÉRREO",0,IFERROR(VALUE(LEFT(E4041,FIND("º",SUBSTITUTE(E4041,"°","º"))-1)),""))))</f>
        <v/>
      </c>
      <c r="O4041" s="2">
        <f>IF(OR(F4041="",G4041=""),"",IF(G4041&lt;='RETRATO 2027'!$K$5,"CONCLUÍDA",IF(F4041&lt;='RETRATO 2027'!$K$5,"EM ANDAMENTO","A INICIAR")))</f>
        <v/>
      </c>
    </row>
    <row r="4042">
      <c r="M4042" s="2">
        <f>IF(C4042="","",IFERROR(INDEX($S$5:$S$304,MATCH(C4042,$R$5:$R$304,0))&amp;"","?"))</f>
        <v/>
      </c>
      <c r="N4042" s="2">
        <f>IF(E4042="","",IF(ISNUMBER(SEARCH("SUBSOLO",E4042)),IFERROR(-VALUE(LEFT(E4042,FIND("º",SUBSTITUTE(E4042,"°","º"))-1)),-1),IF(LEFT(E4042,6)="TÉRREO",0,IFERROR(VALUE(LEFT(E4042,FIND("º",SUBSTITUTE(E4042,"°","º"))-1)),""))))</f>
        <v/>
      </c>
      <c r="O4042" s="2">
        <f>IF(OR(F4042="",G4042=""),"",IF(G4042&lt;='RETRATO 2027'!$K$5,"CONCLUÍDA",IF(F4042&lt;='RETRATO 2027'!$K$5,"EM ANDAMENTO","A INICIAR")))</f>
        <v/>
      </c>
    </row>
    <row r="4043">
      <c r="M4043" s="2">
        <f>IF(C4043="","",IFERROR(INDEX($S$5:$S$304,MATCH(C4043,$R$5:$R$304,0))&amp;"","?"))</f>
        <v/>
      </c>
      <c r="N4043" s="2">
        <f>IF(E4043="","",IF(ISNUMBER(SEARCH("SUBSOLO",E4043)),IFERROR(-VALUE(LEFT(E4043,FIND("º",SUBSTITUTE(E4043,"°","º"))-1)),-1),IF(LEFT(E4043,6)="TÉRREO",0,IFERROR(VALUE(LEFT(E4043,FIND("º",SUBSTITUTE(E4043,"°","º"))-1)),""))))</f>
        <v/>
      </c>
      <c r="O4043" s="2">
        <f>IF(OR(F4043="",G4043=""),"",IF(G4043&lt;='RETRATO 2027'!$K$5,"CONCLUÍDA",IF(F4043&lt;='RETRATO 2027'!$K$5,"EM ANDAMENTO","A INICIAR")))</f>
        <v/>
      </c>
    </row>
    <row r="4044">
      <c r="M4044" s="2">
        <f>IF(C4044="","",IFERROR(INDEX($S$5:$S$304,MATCH(C4044,$R$5:$R$304,0))&amp;"","?"))</f>
        <v/>
      </c>
      <c r="N4044" s="2">
        <f>IF(E4044="","",IF(ISNUMBER(SEARCH("SUBSOLO",E4044)),IFERROR(-VALUE(LEFT(E4044,FIND("º",SUBSTITUTE(E4044,"°","º"))-1)),-1),IF(LEFT(E4044,6)="TÉRREO",0,IFERROR(VALUE(LEFT(E4044,FIND("º",SUBSTITUTE(E4044,"°","º"))-1)),""))))</f>
        <v/>
      </c>
      <c r="O4044" s="2">
        <f>IF(OR(F4044="",G4044=""),"",IF(G4044&lt;='RETRATO 2027'!$K$5,"CONCLUÍDA",IF(F4044&lt;='RETRATO 2027'!$K$5,"EM ANDAMENTO","A INICIAR")))</f>
        <v/>
      </c>
    </row>
    <row r="4045">
      <c r="M4045" s="2">
        <f>IF(C4045="","",IFERROR(INDEX($S$5:$S$304,MATCH(C4045,$R$5:$R$304,0))&amp;"","?"))</f>
        <v/>
      </c>
      <c r="N4045" s="2">
        <f>IF(E4045="","",IF(ISNUMBER(SEARCH("SUBSOLO",E4045)),IFERROR(-VALUE(LEFT(E4045,FIND("º",SUBSTITUTE(E4045,"°","º"))-1)),-1),IF(LEFT(E4045,6)="TÉRREO",0,IFERROR(VALUE(LEFT(E4045,FIND("º",SUBSTITUTE(E4045,"°","º"))-1)),""))))</f>
        <v/>
      </c>
      <c r="O4045" s="2">
        <f>IF(OR(F4045="",G4045=""),"",IF(G4045&lt;='RETRATO 2027'!$K$5,"CONCLUÍDA",IF(F4045&lt;='RETRATO 2027'!$K$5,"EM ANDAMENTO","A INICIAR")))</f>
        <v/>
      </c>
    </row>
    <row r="4046">
      <c r="M4046" s="2">
        <f>IF(C4046="","",IFERROR(INDEX($S$5:$S$304,MATCH(C4046,$R$5:$R$304,0))&amp;"","?"))</f>
        <v/>
      </c>
      <c r="N4046" s="2">
        <f>IF(E4046="","",IF(ISNUMBER(SEARCH("SUBSOLO",E4046)),IFERROR(-VALUE(LEFT(E4046,FIND("º",SUBSTITUTE(E4046,"°","º"))-1)),-1),IF(LEFT(E4046,6)="TÉRREO",0,IFERROR(VALUE(LEFT(E4046,FIND("º",SUBSTITUTE(E4046,"°","º"))-1)),""))))</f>
        <v/>
      </c>
      <c r="O4046" s="2">
        <f>IF(OR(F4046="",G4046=""),"",IF(G4046&lt;='RETRATO 2027'!$K$5,"CONCLUÍDA",IF(F4046&lt;='RETRATO 2027'!$K$5,"EM ANDAMENTO","A INICIAR")))</f>
        <v/>
      </c>
    </row>
    <row r="4047">
      <c r="M4047" s="2">
        <f>IF(C4047="","",IFERROR(INDEX($S$5:$S$304,MATCH(C4047,$R$5:$R$304,0))&amp;"","?"))</f>
        <v/>
      </c>
      <c r="N4047" s="2">
        <f>IF(E4047="","",IF(ISNUMBER(SEARCH("SUBSOLO",E4047)),IFERROR(-VALUE(LEFT(E4047,FIND("º",SUBSTITUTE(E4047,"°","º"))-1)),-1),IF(LEFT(E4047,6)="TÉRREO",0,IFERROR(VALUE(LEFT(E4047,FIND("º",SUBSTITUTE(E4047,"°","º"))-1)),""))))</f>
        <v/>
      </c>
      <c r="O4047" s="2">
        <f>IF(OR(F4047="",G4047=""),"",IF(G4047&lt;='RETRATO 2027'!$K$5,"CONCLUÍDA",IF(F4047&lt;='RETRATO 2027'!$K$5,"EM ANDAMENTO","A INICIAR")))</f>
        <v/>
      </c>
    </row>
    <row r="4048">
      <c r="M4048" s="2">
        <f>IF(C4048="","",IFERROR(INDEX($S$5:$S$304,MATCH(C4048,$R$5:$R$304,0))&amp;"","?"))</f>
        <v/>
      </c>
      <c r="N4048" s="2">
        <f>IF(E4048="","",IF(ISNUMBER(SEARCH("SUBSOLO",E4048)),IFERROR(-VALUE(LEFT(E4048,FIND("º",SUBSTITUTE(E4048,"°","º"))-1)),-1),IF(LEFT(E4048,6)="TÉRREO",0,IFERROR(VALUE(LEFT(E4048,FIND("º",SUBSTITUTE(E4048,"°","º"))-1)),""))))</f>
        <v/>
      </c>
      <c r="O4048" s="2">
        <f>IF(OR(F4048="",G4048=""),"",IF(G4048&lt;='RETRATO 2027'!$K$5,"CONCLUÍDA",IF(F4048&lt;='RETRATO 2027'!$K$5,"EM ANDAMENTO","A INICIAR")))</f>
        <v/>
      </c>
    </row>
    <row r="4049">
      <c r="M4049" s="2">
        <f>IF(C4049="","",IFERROR(INDEX($S$5:$S$304,MATCH(C4049,$R$5:$R$304,0))&amp;"","?"))</f>
        <v/>
      </c>
      <c r="N4049" s="2">
        <f>IF(E4049="","",IF(ISNUMBER(SEARCH("SUBSOLO",E4049)),IFERROR(-VALUE(LEFT(E4049,FIND("º",SUBSTITUTE(E4049,"°","º"))-1)),-1),IF(LEFT(E4049,6)="TÉRREO",0,IFERROR(VALUE(LEFT(E4049,FIND("º",SUBSTITUTE(E4049,"°","º"))-1)),""))))</f>
        <v/>
      </c>
      <c r="O4049" s="2">
        <f>IF(OR(F4049="",G4049=""),"",IF(G4049&lt;='RETRATO 2027'!$K$5,"CONCLUÍDA",IF(F4049&lt;='RETRATO 2027'!$K$5,"EM ANDAMENTO","A INICIAR")))</f>
        <v/>
      </c>
    </row>
    <row r="4050">
      <c r="M4050" s="2">
        <f>IF(C4050="","",IFERROR(INDEX($S$5:$S$304,MATCH(C4050,$R$5:$R$304,0))&amp;"","?"))</f>
        <v/>
      </c>
      <c r="N4050" s="2">
        <f>IF(E4050="","",IF(ISNUMBER(SEARCH("SUBSOLO",E4050)),IFERROR(-VALUE(LEFT(E4050,FIND("º",SUBSTITUTE(E4050,"°","º"))-1)),-1),IF(LEFT(E4050,6)="TÉRREO",0,IFERROR(VALUE(LEFT(E4050,FIND("º",SUBSTITUTE(E4050,"°","º"))-1)),""))))</f>
        <v/>
      </c>
      <c r="O4050" s="2">
        <f>IF(OR(F4050="",G4050=""),"",IF(G4050&lt;='RETRATO 2027'!$K$5,"CONCLUÍDA",IF(F4050&lt;='RETRATO 2027'!$K$5,"EM ANDAMENTO","A INICIAR")))</f>
        <v/>
      </c>
    </row>
    <row r="4051">
      <c r="M4051" s="2">
        <f>IF(C4051="","",IFERROR(INDEX($S$5:$S$304,MATCH(C4051,$R$5:$R$304,0))&amp;"","?"))</f>
        <v/>
      </c>
      <c r="N4051" s="2">
        <f>IF(E4051="","",IF(ISNUMBER(SEARCH("SUBSOLO",E4051)),IFERROR(-VALUE(LEFT(E4051,FIND("º",SUBSTITUTE(E4051,"°","º"))-1)),-1),IF(LEFT(E4051,6)="TÉRREO",0,IFERROR(VALUE(LEFT(E4051,FIND("º",SUBSTITUTE(E4051,"°","º"))-1)),""))))</f>
        <v/>
      </c>
      <c r="O4051" s="2">
        <f>IF(OR(F4051="",G4051=""),"",IF(G4051&lt;='RETRATO 2027'!$K$5,"CONCLUÍDA",IF(F4051&lt;='RETRATO 2027'!$K$5,"EM ANDAMENTO","A INICIAR")))</f>
        <v/>
      </c>
    </row>
    <row r="4052">
      <c r="M4052" s="2">
        <f>IF(C4052="","",IFERROR(INDEX($S$5:$S$304,MATCH(C4052,$R$5:$R$304,0))&amp;"","?"))</f>
        <v/>
      </c>
      <c r="N4052" s="2">
        <f>IF(E4052="","",IF(ISNUMBER(SEARCH("SUBSOLO",E4052)),IFERROR(-VALUE(LEFT(E4052,FIND("º",SUBSTITUTE(E4052,"°","º"))-1)),-1),IF(LEFT(E4052,6)="TÉRREO",0,IFERROR(VALUE(LEFT(E4052,FIND("º",SUBSTITUTE(E4052,"°","º"))-1)),""))))</f>
        <v/>
      </c>
      <c r="O4052" s="2">
        <f>IF(OR(F4052="",G4052=""),"",IF(G4052&lt;='RETRATO 2027'!$K$5,"CONCLUÍDA",IF(F4052&lt;='RETRATO 2027'!$K$5,"EM ANDAMENTO","A INICIAR")))</f>
        <v/>
      </c>
    </row>
    <row r="4053">
      <c r="M4053" s="2">
        <f>IF(C4053="","",IFERROR(INDEX($S$5:$S$304,MATCH(C4053,$R$5:$R$304,0))&amp;"","?"))</f>
        <v/>
      </c>
      <c r="N4053" s="2">
        <f>IF(E4053="","",IF(ISNUMBER(SEARCH("SUBSOLO",E4053)),IFERROR(-VALUE(LEFT(E4053,FIND("º",SUBSTITUTE(E4053,"°","º"))-1)),-1),IF(LEFT(E4053,6)="TÉRREO",0,IFERROR(VALUE(LEFT(E4053,FIND("º",SUBSTITUTE(E4053,"°","º"))-1)),""))))</f>
        <v/>
      </c>
      <c r="O4053" s="2">
        <f>IF(OR(F4053="",G4053=""),"",IF(G4053&lt;='RETRATO 2027'!$K$5,"CONCLUÍDA",IF(F4053&lt;='RETRATO 2027'!$K$5,"EM ANDAMENTO","A INICIAR")))</f>
        <v/>
      </c>
    </row>
    <row r="4054">
      <c r="M4054" s="2">
        <f>IF(C4054="","",IFERROR(INDEX($S$5:$S$304,MATCH(C4054,$R$5:$R$304,0))&amp;"","?"))</f>
        <v/>
      </c>
      <c r="N4054" s="2">
        <f>IF(E4054="","",IF(ISNUMBER(SEARCH("SUBSOLO",E4054)),IFERROR(-VALUE(LEFT(E4054,FIND("º",SUBSTITUTE(E4054,"°","º"))-1)),-1),IF(LEFT(E4054,6)="TÉRREO",0,IFERROR(VALUE(LEFT(E4054,FIND("º",SUBSTITUTE(E4054,"°","º"))-1)),""))))</f>
        <v/>
      </c>
      <c r="O4054" s="2">
        <f>IF(OR(F4054="",G4054=""),"",IF(G4054&lt;='RETRATO 2027'!$K$5,"CONCLUÍDA",IF(F4054&lt;='RETRATO 2027'!$K$5,"EM ANDAMENTO","A INICIAR")))</f>
        <v/>
      </c>
    </row>
    <row r="4055">
      <c r="M4055" s="2">
        <f>IF(C4055="","",IFERROR(INDEX($S$5:$S$304,MATCH(C4055,$R$5:$R$304,0))&amp;"","?"))</f>
        <v/>
      </c>
      <c r="N4055" s="2">
        <f>IF(E4055="","",IF(ISNUMBER(SEARCH("SUBSOLO",E4055)),IFERROR(-VALUE(LEFT(E4055,FIND("º",SUBSTITUTE(E4055,"°","º"))-1)),-1),IF(LEFT(E4055,6)="TÉRREO",0,IFERROR(VALUE(LEFT(E4055,FIND("º",SUBSTITUTE(E4055,"°","º"))-1)),""))))</f>
        <v/>
      </c>
      <c r="O4055" s="2">
        <f>IF(OR(F4055="",G4055=""),"",IF(G4055&lt;='RETRATO 2027'!$K$5,"CONCLUÍDA",IF(F4055&lt;='RETRATO 2027'!$K$5,"EM ANDAMENTO","A INICIAR")))</f>
        <v/>
      </c>
    </row>
    <row r="4056">
      <c r="M4056" s="2">
        <f>IF(C4056="","",IFERROR(INDEX($S$5:$S$304,MATCH(C4056,$R$5:$R$304,0))&amp;"","?"))</f>
        <v/>
      </c>
      <c r="N4056" s="2">
        <f>IF(E4056="","",IF(ISNUMBER(SEARCH("SUBSOLO",E4056)),IFERROR(-VALUE(LEFT(E4056,FIND("º",SUBSTITUTE(E4056,"°","º"))-1)),-1),IF(LEFT(E4056,6)="TÉRREO",0,IFERROR(VALUE(LEFT(E4056,FIND("º",SUBSTITUTE(E4056,"°","º"))-1)),""))))</f>
        <v/>
      </c>
      <c r="O4056" s="2">
        <f>IF(OR(F4056="",G4056=""),"",IF(G4056&lt;='RETRATO 2027'!$K$5,"CONCLUÍDA",IF(F4056&lt;='RETRATO 2027'!$K$5,"EM ANDAMENTO","A INICIAR")))</f>
        <v/>
      </c>
    </row>
    <row r="4057">
      <c r="M4057" s="2">
        <f>IF(C4057="","",IFERROR(INDEX($S$5:$S$304,MATCH(C4057,$R$5:$R$304,0))&amp;"","?"))</f>
        <v/>
      </c>
      <c r="N4057" s="2">
        <f>IF(E4057="","",IF(ISNUMBER(SEARCH("SUBSOLO",E4057)),IFERROR(-VALUE(LEFT(E4057,FIND("º",SUBSTITUTE(E4057,"°","º"))-1)),-1),IF(LEFT(E4057,6)="TÉRREO",0,IFERROR(VALUE(LEFT(E4057,FIND("º",SUBSTITUTE(E4057,"°","º"))-1)),""))))</f>
        <v/>
      </c>
      <c r="O4057" s="2">
        <f>IF(OR(F4057="",G4057=""),"",IF(G4057&lt;='RETRATO 2027'!$K$5,"CONCLUÍDA",IF(F4057&lt;='RETRATO 2027'!$K$5,"EM ANDAMENTO","A INICIAR")))</f>
        <v/>
      </c>
    </row>
    <row r="4058">
      <c r="M4058" s="2">
        <f>IF(C4058="","",IFERROR(INDEX($S$5:$S$304,MATCH(C4058,$R$5:$R$304,0))&amp;"","?"))</f>
        <v/>
      </c>
      <c r="N4058" s="2">
        <f>IF(E4058="","",IF(ISNUMBER(SEARCH("SUBSOLO",E4058)),IFERROR(-VALUE(LEFT(E4058,FIND("º",SUBSTITUTE(E4058,"°","º"))-1)),-1),IF(LEFT(E4058,6)="TÉRREO",0,IFERROR(VALUE(LEFT(E4058,FIND("º",SUBSTITUTE(E4058,"°","º"))-1)),""))))</f>
        <v/>
      </c>
      <c r="O4058" s="2">
        <f>IF(OR(F4058="",G4058=""),"",IF(G4058&lt;='RETRATO 2027'!$K$5,"CONCLUÍDA",IF(F4058&lt;='RETRATO 2027'!$K$5,"EM ANDAMENTO","A INICIAR")))</f>
        <v/>
      </c>
    </row>
    <row r="4059">
      <c r="M4059" s="2">
        <f>IF(C4059="","",IFERROR(INDEX($S$5:$S$304,MATCH(C4059,$R$5:$R$304,0))&amp;"","?"))</f>
        <v/>
      </c>
      <c r="N4059" s="2">
        <f>IF(E4059="","",IF(ISNUMBER(SEARCH("SUBSOLO",E4059)),IFERROR(-VALUE(LEFT(E4059,FIND("º",SUBSTITUTE(E4059,"°","º"))-1)),-1),IF(LEFT(E4059,6)="TÉRREO",0,IFERROR(VALUE(LEFT(E4059,FIND("º",SUBSTITUTE(E4059,"°","º"))-1)),""))))</f>
        <v/>
      </c>
      <c r="O4059" s="2">
        <f>IF(OR(F4059="",G4059=""),"",IF(G4059&lt;='RETRATO 2027'!$K$5,"CONCLUÍDA",IF(F4059&lt;='RETRATO 2027'!$K$5,"EM ANDAMENTO","A INICIAR")))</f>
        <v/>
      </c>
    </row>
    <row r="4060">
      <c r="M4060" s="2">
        <f>IF(C4060="","",IFERROR(INDEX($S$5:$S$304,MATCH(C4060,$R$5:$R$304,0))&amp;"","?"))</f>
        <v/>
      </c>
      <c r="N4060" s="2">
        <f>IF(E4060="","",IF(ISNUMBER(SEARCH("SUBSOLO",E4060)),IFERROR(-VALUE(LEFT(E4060,FIND("º",SUBSTITUTE(E4060,"°","º"))-1)),-1),IF(LEFT(E4060,6)="TÉRREO",0,IFERROR(VALUE(LEFT(E4060,FIND("º",SUBSTITUTE(E4060,"°","º"))-1)),""))))</f>
        <v/>
      </c>
      <c r="O4060" s="2">
        <f>IF(OR(F4060="",G4060=""),"",IF(G4060&lt;='RETRATO 2027'!$K$5,"CONCLUÍDA",IF(F4060&lt;='RETRATO 2027'!$K$5,"EM ANDAMENTO","A INICIAR")))</f>
        <v/>
      </c>
    </row>
    <row r="4061">
      <c r="M4061" s="2">
        <f>IF(C4061="","",IFERROR(INDEX($S$5:$S$304,MATCH(C4061,$R$5:$R$304,0))&amp;"","?"))</f>
        <v/>
      </c>
      <c r="N4061" s="2">
        <f>IF(E4061="","",IF(ISNUMBER(SEARCH("SUBSOLO",E4061)),IFERROR(-VALUE(LEFT(E4061,FIND("º",SUBSTITUTE(E4061,"°","º"))-1)),-1),IF(LEFT(E4061,6)="TÉRREO",0,IFERROR(VALUE(LEFT(E4061,FIND("º",SUBSTITUTE(E4061,"°","º"))-1)),""))))</f>
        <v/>
      </c>
      <c r="O4061" s="2">
        <f>IF(OR(F4061="",G4061=""),"",IF(G4061&lt;='RETRATO 2027'!$K$5,"CONCLUÍDA",IF(F4061&lt;='RETRATO 2027'!$K$5,"EM ANDAMENTO","A INICIAR")))</f>
        <v/>
      </c>
    </row>
    <row r="4062">
      <c r="M4062" s="2">
        <f>IF(C4062="","",IFERROR(INDEX($S$5:$S$304,MATCH(C4062,$R$5:$R$304,0))&amp;"","?"))</f>
        <v/>
      </c>
      <c r="N4062" s="2">
        <f>IF(E4062="","",IF(ISNUMBER(SEARCH("SUBSOLO",E4062)),IFERROR(-VALUE(LEFT(E4062,FIND("º",SUBSTITUTE(E4062,"°","º"))-1)),-1),IF(LEFT(E4062,6)="TÉRREO",0,IFERROR(VALUE(LEFT(E4062,FIND("º",SUBSTITUTE(E4062,"°","º"))-1)),""))))</f>
        <v/>
      </c>
      <c r="O4062" s="2">
        <f>IF(OR(F4062="",G4062=""),"",IF(G4062&lt;='RETRATO 2027'!$K$5,"CONCLUÍDA",IF(F4062&lt;='RETRATO 2027'!$K$5,"EM ANDAMENTO","A INICIAR")))</f>
        <v/>
      </c>
    </row>
    <row r="4063">
      <c r="M4063" s="2">
        <f>IF(C4063="","",IFERROR(INDEX($S$5:$S$304,MATCH(C4063,$R$5:$R$304,0))&amp;"","?"))</f>
        <v/>
      </c>
      <c r="N4063" s="2">
        <f>IF(E4063="","",IF(ISNUMBER(SEARCH("SUBSOLO",E4063)),IFERROR(-VALUE(LEFT(E4063,FIND("º",SUBSTITUTE(E4063,"°","º"))-1)),-1),IF(LEFT(E4063,6)="TÉRREO",0,IFERROR(VALUE(LEFT(E4063,FIND("º",SUBSTITUTE(E4063,"°","º"))-1)),""))))</f>
        <v/>
      </c>
      <c r="O4063" s="2">
        <f>IF(OR(F4063="",G4063=""),"",IF(G4063&lt;='RETRATO 2027'!$K$5,"CONCLUÍDA",IF(F4063&lt;='RETRATO 2027'!$K$5,"EM ANDAMENTO","A INICIAR")))</f>
        <v/>
      </c>
    </row>
    <row r="4064">
      <c r="M4064" s="2">
        <f>IF(C4064="","",IFERROR(INDEX($S$5:$S$304,MATCH(C4064,$R$5:$R$304,0))&amp;"","?"))</f>
        <v/>
      </c>
      <c r="N4064" s="2">
        <f>IF(E4064="","",IF(ISNUMBER(SEARCH("SUBSOLO",E4064)),IFERROR(-VALUE(LEFT(E4064,FIND("º",SUBSTITUTE(E4064,"°","º"))-1)),-1),IF(LEFT(E4064,6)="TÉRREO",0,IFERROR(VALUE(LEFT(E4064,FIND("º",SUBSTITUTE(E4064,"°","º"))-1)),""))))</f>
        <v/>
      </c>
      <c r="O4064" s="2">
        <f>IF(OR(F4064="",G4064=""),"",IF(G4064&lt;='RETRATO 2027'!$K$5,"CONCLUÍDA",IF(F4064&lt;='RETRATO 2027'!$K$5,"EM ANDAMENTO","A INICIAR")))</f>
        <v/>
      </c>
    </row>
    <row r="4065">
      <c r="M4065" s="2">
        <f>IF(C4065="","",IFERROR(INDEX($S$5:$S$304,MATCH(C4065,$R$5:$R$304,0))&amp;"","?"))</f>
        <v/>
      </c>
      <c r="N4065" s="2">
        <f>IF(E4065="","",IF(ISNUMBER(SEARCH("SUBSOLO",E4065)),IFERROR(-VALUE(LEFT(E4065,FIND("º",SUBSTITUTE(E4065,"°","º"))-1)),-1),IF(LEFT(E4065,6)="TÉRREO",0,IFERROR(VALUE(LEFT(E4065,FIND("º",SUBSTITUTE(E4065,"°","º"))-1)),""))))</f>
        <v/>
      </c>
      <c r="O4065" s="2">
        <f>IF(OR(F4065="",G4065=""),"",IF(G4065&lt;='RETRATO 2027'!$K$5,"CONCLUÍDA",IF(F4065&lt;='RETRATO 2027'!$K$5,"EM ANDAMENTO","A INICIAR")))</f>
        <v/>
      </c>
    </row>
    <row r="4066">
      <c r="M4066" s="2">
        <f>IF(C4066="","",IFERROR(INDEX($S$5:$S$304,MATCH(C4066,$R$5:$R$304,0))&amp;"","?"))</f>
        <v/>
      </c>
      <c r="N4066" s="2">
        <f>IF(E4066="","",IF(ISNUMBER(SEARCH("SUBSOLO",E4066)),IFERROR(-VALUE(LEFT(E4066,FIND("º",SUBSTITUTE(E4066,"°","º"))-1)),-1),IF(LEFT(E4066,6)="TÉRREO",0,IFERROR(VALUE(LEFT(E4066,FIND("º",SUBSTITUTE(E4066,"°","º"))-1)),""))))</f>
        <v/>
      </c>
      <c r="O4066" s="2">
        <f>IF(OR(F4066="",G4066=""),"",IF(G4066&lt;='RETRATO 2027'!$K$5,"CONCLUÍDA",IF(F4066&lt;='RETRATO 2027'!$K$5,"EM ANDAMENTO","A INICIAR")))</f>
        <v/>
      </c>
    </row>
    <row r="4067">
      <c r="M4067" s="2">
        <f>IF(C4067="","",IFERROR(INDEX($S$5:$S$304,MATCH(C4067,$R$5:$R$304,0))&amp;"","?"))</f>
        <v/>
      </c>
      <c r="N4067" s="2">
        <f>IF(E4067="","",IF(ISNUMBER(SEARCH("SUBSOLO",E4067)),IFERROR(-VALUE(LEFT(E4067,FIND("º",SUBSTITUTE(E4067,"°","º"))-1)),-1),IF(LEFT(E4067,6)="TÉRREO",0,IFERROR(VALUE(LEFT(E4067,FIND("º",SUBSTITUTE(E4067,"°","º"))-1)),""))))</f>
        <v/>
      </c>
      <c r="O4067" s="2">
        <f>IF(OR(F4067="",G4067=""),"",IF(G4067&lt;='RETRATO 2027'!$K$5,"CONCLUÍDA",IF(F4067&lt;='RETRATO 2027'!$K$5,"EM ANDAMENTO","A INICIAR")))</f>
        <v/>
      </c>
    </row>
    <row r="4068">
      <c r="M4068" s="2">
        <f>IF(C4068="","",IFERROR(INDEX($S$5:$S$304,MATCH(C4068,$R$5:$R$304,0))&amp;"","?"))</f>
        <v/>
      </c>
      <c r="N4068" s="2">
        <f>IF(E4068="","",IF(ISNUMBER(SEARCH("SUBSOLO",E4068)),IFERROR(-VALUE(LEFT(E4068,FIND("º",SUBSTITUTE(E4068,"°","º"))-1)),-1),IF(LEFT(E4068,6)="TÉRREO",0,IFERROR(VALUE(LEFT(E4068,FIND("º",SUBSTITUTE(E4068,"°","º"))-1)),""))))</f>
        <v/>
      </c>
      <c r="O4068" s="2">
        <f>IF(OR(F4068="",G4068=""),"",IF(G4068&lt;='RETRATO 2027'!$K$5,"CONCLUÍDA",IF(F4068&lt;='RETRATO 2027'!$K$5,"EM ANDAMENTO","A INICIAR")))</f>
        <v/>
      </c>
    </row>
    <row r="4069">
      <c r="M4069" s="2">
        <f>IF(C4069="","",IFERROR(INDEX($S$5:$S$304,MATCH(C4069,$R$5:$R$304,0))&amp;"","?"))</f>
        <v/>
      </c>
      <c r="N4069" s="2">
        <f>IF(E4069="","",IF(ISNUMBER(SEARCH("SUBSOLO",E4069)),IFERROR(-VALUE(LEFT(E4069,FIND("º",SUBSTITUTE(E4069,"°","º"))-1)),-1),IF(LEFT(E4069,6)="TÉRREO",0,IFERROR(VALUE(LEFT(E4069,FIND("º",SUBSTITUTE(E4069,"°","º"))-1)),""))))</f>
        <v/>
      </c>
      <c r="O4069" s="2">
        <f>IF(OR(F4069="",G4069=""),"",IF(G4069&lt;='RETRATO 2027'!$K$5,"CONCLUÍDA",IF(F4069&lt;='RETRATO 2027'!$K$5,"EM ANDAMENTO","A INICIAR")))</f>
        <v/>
      </c>
    </row>
    <row r="4070">
      <c r="M4070" s="2">
        <f>IF(C4070="","",IFERROR(INDEX($S$5:$S$304,MATCH(C4070,$R$5:$R$304,0))&amp;"","?"))</f>
        <v/>
      </c>
      <c r="N4070" s="2">
        <f>IF(E4070="","",IF(ISNUMBER(SEARCH("SUBSOLO",E4070)),IFERROR(-VALUE(LEFT(E4070,FIND("º",SUBSTITUTE(E4070,"°","º"))-1)),-1),IF(LEFT(E4070,6)="TÉRREO",0,IFERROR(VALUE(LEFT(E4070,FIND("º",SUBSTITUTE(E4070,"°","º"))-1)),""))))</f>
        <v/>
      </c>
      <c r="O4070" s="2">
        <f>IF(OR(F4070="",G4070=""),"",IF(G4070&lt;='RETRATO 2027'!$K$5,"CONCLUÍDA",IF(F4070&lt;='RETRATO 2027'!$K$5,"EM ANDAMENTO","A INICIAR")))</f>
        <v/>
      </c>
    </row>
    <row r="4071">
      <c r="M4071" s="2">
        <f>IF(C4071="","",IFERROR(INDEX($S$5:$S$304,MATCH(C4071,$R$5:$R$304,0))&amp;"","?"))</f>
        <v/>
      </c>
      <c r="N4071" s="2">
        <f>IF(E4071="","",IF(ISNUMBER(SEARCH("SUBSOLO",E4071)),IFERROR(-VALUE(LEFT(E4071,FIND("º",SUBSTITUTE(E4071,"°","º"))-1)),-1),IF(LEFT(E4071,6)="TÉRREO",0,IFERROR(VALUE(LEFT(E4071,FIND("º",SUBSTITUTE(E4071,"°","º"))-1)),""))))</f>
        <v/>
      </c>
      <c r="O4071" s="2">
        <f>IF(OR(F4071="",G4071=""),"",IF(G4071&lt;='RETRATO 2027'!$K$5,"CONCLUÍDA",IF(F4071&lt;='RETRATO 2027'!$K$5,"EM ANDAMENTO","A INICIAR")))</f>
        <v/>
      </c>
    </row>
    <row r="4072">
      <c r="M4072" s="2">
        <f>IF(C4072="","",IFERROR(INDEX($S$5:$S$304,MATCH(C4072,$R$5:$R$304,0))&amp;"","?"))</f>
        <v/>
      </c>
      <c r="N4072" s="2">
        <f>IF(E4072="","",IF(ISNUMBER(SEARCH("SUBSOLO",E4072)),IFERROR(-VALUE(LEFT(E4072,FIND("º",SUBSTITUTE(E4072,"°","º"))-1)),-1),IF(LEFT(E4072,6)="TÉRREO",0,IFERROR(VALUE(LEFT(E4072,FIND("º",SUBSTITUTE(E4072,"°","º"))-1)),""))))</f>
        <v/>
      </c>
      <c r="O4072" s="2">
        <f>IF(OR(F4072="",G4072=""),"",IF(G4072&lt;='RETRATO 2027'!$K$5,"CONCLUÍDA",IF(F4072&lt;='RETRATO 2027'!$K$5,"EM ANDAMENTO","A INICIAR")))</f>
        <v/>
      </c>
    </row>
    <row r="4073">
      <c r="M4073" s="2">
        <f>IF(C4073="","",IFERROR(INDEX($S$5:$S$304,MATCH(C4073,$R$5:$R$304,0))&amp;"","?"))</f>
        <v/>
      </c>
      <c r="N4073" s="2">
        <f>IF(E4073="","",IF(ISNUMBER(SEARCH("SUBSOLO",E4073)),IFERROR(-VALUE(LEFT(E4073,FIND("º",SUBSTITUTE(E4073,"°","º"))-1)),-1),IF(LEFT(E4073,6)="TÉRREO",0,IFERROR(VALUE(LEFT(E4073,FIND("º",SUBSTITUTE(E4073,"°","º"))-1)),""))))</f>
        <v/>
      </c>
      <c r="O4073" s="2">
        <f>IF(OR(F4073="",G4073=""),"",IF(G4073&lt;='RETRATO 2027'!$K$5,"CONCLUÍDA",IF(F4073&lt;='RETRATO 2027'!$K$5,"EM ANDAMENTO","A INICIAR")))</f>
        <v/>
      </c>
    </row>
    <row r="4074">
      <c r="M4074" s="2">
        <f>IF(C4074="","",IFERROR(INDEX($S$5:$S$304,MATCH(C4074,$R$5:$R$304,0))&amp;"","?"))</f>
        <v/>
      </c>
      <c r="N4074" s="2">
        <f>IF(E4074="","",IF(ISNUMBER(SEARCH("SUBSOLO",E4074)),IFERROR(-VALUE(LEFT(E4074,FIND("º",SUBSTITUTE(E4074,"°","º"))-1)),-1),IF(LEFT(E4074,6)="TÉRREO",0,IFERROR(VALUE(LEFT(E4074,FIND("º",SUBSTITUTE(E4074,"°","º"))-1)),""))))</f>
        <v/>
      </c>
      <c r="O4074" s="2">
        <f>IF(OR(F4074="",G4074=""),"",IF(G4074&lt;='RETRATO 2027'!$K$5,"CONCLUÍDA",IF(F4074&lt;='RETRATO 2027'!$K$5,"EM ANDAMENTO","A INICIAR")))</f>
        <v/>
      </c>
    </row>
    <row r="4075">
      <c r="M4075" s="2">
        <f>IF(C4075="","",IFERROR(INDEX($S$5:$S$304,MATCH(C4075,$R$5:$R$304,0))&amp;"","?"))</f>
        <v/>
      </c>
      <c r="N4075" s="2">
        <f>IF(E4075="","",IF(ISNUMBER(SEARCH("SUBSOLO",E4075)),IFERROR(-VALUE(LEFT(E4075,FIND("º",SUBSTITUTE(E4075,"°","º"))-1)),-1),IF(LEFT(E4075,6)="TÉRREO",0,IFERROR(VALUE(LEFT(E4075,FIND("º",SUBSTITUTE(E4075,"°","º"))-1)),""))))</f>
        <v/>
      </c>
      <c r="O4075" s="2">
        <f>IF(OR(F4075="",G4075=""),"",IF(G4075&lt;='RETRATO 2027'!$K$5,"CONCLUÍDA",IF(F4075&lt;='RETRATO 2027'!$K$5,"EM ANDAMENTO","A INICIAR")))</f>
        <v/>
      </c>
    </row>
    <row r="4076">
      <c r="M4076" s="2">
        <f>IF(C4076="","",IFERROR(INDEX($S$5:$S$304,MATCH(C4076,$R$5:$R$304,0))&amp;"","?"))</f>
        <v/>
      </c>
      <c r="N4076" s="2">
        <f>IF(E4076="","",IF(ISNUMBER(SEARCH("SUBSOLO",E4076)),IFERROR(-VALUE(LEFT(E4076,FIND("º",SUBSTITUTE(E4076,"°","º"))-1)),-1),IF(LEFT(E4076,6)="TÉRREO",0,IFERROR(VALUE(LEFT(E4076,FIND("º",SUBSTITUTE(E4076,"°","º"))-1)),""))))</f>
        <v/>
      </c>
      <c r="O4076" s="2">
        <f>IF(OR(F4076="",G4076=""),"",IF(G4076&lt;='RETRATO 2027'!$K$5,"CONCLUÍDA",IF(F4076&lt;='RETRATO 2027'!$K$5,"EM ANDAMENTO","A INICIAR")))</f>
        <v/>
      </c>
    </row>
    <row r="4077">
      <c r="M4077" s="2">
        <f>IF(C4077="","",IFERROR(INDEX($S$5:$S$304,MATCH(C4077,$R$5:$R$304,0))&amp;"","?"))</f>
        <v/>
      </c>
      <c r="N4077" s="2">
        <f>IF(E4077="","",IF(ISNUMBER(SEARCH("SUBSOLO",E4077)),IFERROR(-VALUE(LEFT(E4077,FIND("º",SUBSTITUTE(E4077,"°","º"))-1)),-1),IF(LEFT(E4077,6)="TÉRREO",0,IFERROR(VALUE(LEFT(E4077,FIND("º",SUBSTITUTE(E4077,"°","º"))-1)),""))))</f>
        <v/>
      </c>
      <c r="O4077" s="2">
        <f>IF(OR(F4077="",G4077=""),"",IF(G4077&lt;='RETRATO 2027'!$K$5,"CONCLUÍDA",IF(F4077&lt;='RETRATO 2027'!$K$5,"EM ANDAMENTO","A INICIAR")))</f>
        <v/>
      </c>
    </row>
    <row r="4078">
      <c r="M4078" s="2">
        <f>IF(C4078="","",IFERROR(INDEX($S$5:$S$304,MATCH(C4078,$R$5:$R$304,0))&amp;"","?"))</f>
        <v/>
      </c>
      <c r="N4078" s="2">
        <f>IF(E4078="","",IF(ISNUMBER(SEARCH("SUBSOLO",E4078)),IFERROR(-VALUE(LEFT(E4078,FIND("º",SUBSTITUTE(E4078,"°","º"))-1)),-1),IF(LEFT(E4078,6)="TÉRREO",0,IFERROR(VALUE(LEFT(E4078,FIND("º",SUBSTITUTE(E4078,"°","º"))-1)),""))))</f>
        <v/>
      </c>
      <c r="O4078" s="2">
        <f>IF(OR(F4078="",G4078=""),"",IF(G4078&lt;='RETRATO 2027'!$K$5,"CONCLUÍDA",IF(F4078&lt;='RETRATO 2027'!$K$5,"EM ANDAMENTO","A INICIAR")))</f>
        <v/>
      </c>
    </row>
    <row r="4079">
      <c r="M4079" s="2">
        <f>IF(C4079="","",IFERROR(INDEX($S$5:$S$304,MATCH(C4079,$R$5:$R$304,0))&amp;"","?"))</f>
        <v/>
      </c>
      <c r="N4079" s="2">
        <f>IF(E4079="","",IF(ISNUMBER(SEARCH("SUBSOLO",E4079)),IFERROR(-VALUE(LEFT(E4079,FIND("º",SUBSTITUTE(E4079,"°","º"))-1)),-1),IF(LEFT(E4079,6)="TÉRREO",0,IFERROR(VALUE(LEFT(E4079,FIND("º",SUBSTITUTE(E4079,"°","º"))-1)),""))))</f>
        <v/>
      </c>
      <c r="O4079" s="2">
        <f>IF(OR(F4079="",G4079=""),"",IF(G4079&lt;='RETRATO 2027'!$K$5,"CONCLUÍDA",IF(F4079&lt;='RETRATO 2027'!$K$5,"EM ANDAMENTO","A INICIAR")))</f>
        <v/>
      </c>
    </row>
    <row r="4080">
      <c r="M4080" s="2">
        <f>IF(C4080="","",IFERROR(INDEX($S$5:$S$304,MATCH(C4080,$R$5:$R$304,0))&amp;"","?"))</f>
        <v/>
      </c>
      <c r="N4080" s="2">
        <f>IF(E4080="","",IF(ISNUMBER(SEARCH("SUBSOLO",E4080)),IFERROR(-VALUE(LEFT(E4080,FIND("º",SUBSTITUTE(E4080,"°","º"))-1)),-1),IF(LEFT(E4080,6)="TÉRREO",0,IFERROR(VALUE(LEFT(E4080,FIND("º",SUBSTITUTE(E4080,"°","º"))-1)),""))))</f>
        <v/>
      </c>
      <c r="O4080" s="2">
        <f>IF(OR(F4080="",G4080=""),"",IF(G4080&lt;='RETRATO 2027'!$K$5,"CONCLUÍDA",IF(F4080&lt;='RETRATO 2027'!$K$5,"EM ANDAMENTO","A INICIAR")))</f>
        <v/>
      </c>
    </row>
    <row r="4081">
      <c r="M4081" s="2">
        <f>IF(C4081="","",IFERROR(INDEX($S$5:$S$304,MATCH(C4081,$R$5:$R$304,0))&amp;"","?"))</f>
        <v/>
      </c>
      <c r="N4081" s="2">
        <f>IF(E4081="","",IF(ISNUMBER(SEARCH("SUBSOLO",E4081)),IFERROR(-VALUE(LEFT(E4081,FIND("º",SUBSTITUTE(E4081,"°","º"))-1)),-1),IF(LEFT(E4081,6)="TÉRREO",0,IFERROR(VALUE(LEFT(E4081,FIND("º",SUBSTITUTE(E4081,"°","º"))-1)),""))))</f>
        <v/>
      </c>
      <c r="O4081" s="2">
        <f>IF(OR(F4081="",G4081=""),"",IF(G4081&lt;='RETRATO 2027'!$K$5,"CONCLUÍDA",IF(F4081&lt;='RETRATO 2027'!$K$5,"EM ANDAMENTO","A INICIAR")))</f>
        <v/>
      </c>
    </row>
    <row r="4082">
      <c r="M4082" s="2">
        <f>IF(C4082="","",IFERROR(INDEX($S$5:$S$304,MATCH(C4082,$R$5:$R$304,0))&amp;"","?"))</f>
        <v/>
      </c>
      <c r="N4082" s="2">
        <f>IF(E4082="","",IF(ISNUMBER(SEARCH("SUBSOLO",E4082)),IFERROR(-VALUE(LEFT(E4082,FIND("º",SUBSTITUTE(E4082,"°","º"))-1)),-1),IF(LEFT(E4082,6)="TÉRREO",0,IFERROR(VALUE(LEFT(E4082,FIND("º",SUBSTITUTE(E4082,"°","º"))-1)),""))))</f>
        <v/>
      </c>
      <c r="O4082" s="2">
        <f>IF(OR(F4082="",G4082=""),"",IF(G4082&lt;='RETRATO 2027'!$K$5,"CONCLUÍDA",IF(F4082&lt;='RETRATO 2027'!$K$5,"EM ANDAMENTO","A INICIAR")))</f>
        <v/>
      </c>
    </row>
    <row r="4083">
      <c r="M4083" s="2">
        <f>IF(C4083="","",IFERROR(INDEX($S$5:$S$304,MATCH(C4083,$R$5:$R$304,0))&amp;"","?"))</f>
        <v/>
      </c>
      <c r="N4083" s="2">
        <f>IF(E4083="","",IF(ISNUMBER(SEARCH("SUBSOLO",E4083)),IFERROR(-VALUE(LEFT(E4083,FIND("º",SUBSTITUTE(E4083,"°","º"))-1)),-1),IF(LEFT(E4083,6)="TÉRREO",0,IFERROR(VALUE(LEFT(E4083,FIND("º",SUBSTITUTE(E4083,"°","º"))-1)),""))))</f>
        <v/>
      </c>
      <c r="O4083" s="2">
        <f>IF(OR(F4083="",G4083=""),"",IF(G4083&lt;='RETRATO 2027'!$K$5,"CONCLUÍDA",IF(F4083&lt;='RETRATO 2027'!$K$5,"EM ANDAMENTO","A INICIAR")))</f>
        <v/>
      </c>
    </row>
    <row r="4084">
      <c r="M4084" s="2">
        <f>IF(C4084="","",IFERROR(INDEX($S$5:$S$304,MATCH(C4084,$R$5:$R$304,0))&amp;"","?"))</f>
        <v/>
      </c>
      <c r="N4084" s="2">
        <f>IF(E4084="","",IF(ISNUMBER(SEARCH("SUBSOLO",E4084)),IFERROR(-VALUE(LEFT(E4084,FIND("º",SUBSTITUTE(E4084,"°","º"))-1)),-1),IF(LEFT(E4084,6)="TÉRREO",0,IFERROR(VALUE(LEFT(E4084,FIND("º",SUBSTITUTE(E4084,"°","º"))-1)),""))))</f>
        <v/>
      </c>
      <c r="O4084" s="2">
        <f>IF(OR(F4084="",G4084=""),"",IF(G4084&lt;='RETRATO 2027'!$K$5,"CONCLUÍDA",IF(F4084&lt;='RETRATO 2027'!$K$5,"EM ANDAMENTO","A INICIAR")))</f>
        <v/>
      </c>
    </row>
    <row r="4085">
      <c r="M4085" s="2">
        <f>IF(C4085="","",IFERROR(INDEX($S$5:$S$304,MATCH(C4085,$R$5:$R$304,0))&amp;"","?"))</f>
        <v/>
      </c>
      <c r="N4085" s="2">
        <f>IF(E4085="","",IF(ISNUMBER(SEARCH("SUBSOLO",E4085)),IFERROR(-VALUE(LEFT(E4085,FIND("º",SUBSTITUTE(E4085,"°","º"))-1)),-1),IF(LEFT(E4085,6)="TÉRREO",0,IFERROR(VALUE(LEFT(E4085,FIND("º",SUBSTITUTE(E4085,"°","º"))-1)),""))))</f>
        <v/>
      </c>
      <c r="O4085" s="2">
        <f>IF(OR(F4085="",G4085=""),"",IF(G4085&lt;='RETRATO 2027'!$K$5,"CONCLUÍDA",IF(F4085&lt;='RETRATO 2027'!$K$5,"EM ANDAMENTO","A INICIAR")))</f>
        <v/>
      </c>
    </row>
    <row r="4086">
      <c r="M4086" s="2">
        <f>IF(C4086="","",IFERROR(INDEX($S$5:$S$304,MATCH(C4086,$R$5:$R$304,0))&amp;"","?"))</f>
        <v/>
      </c>
      <c r="N4086" s="2">
        <f>IF(E4086="","",IF(ISNUMBER(SEARCH("SUBSOLO",E4086)),IFERROR(-VALUE(LEFT(E4086,FIND("º",SUBSTITUTE(E4086,"°","º"))-1)),-1),IF(LEFT(E4086,6)="TÉRREO",0,IFERROR(VALUE(LEFT(E4086,FIND("º",SUBSTITUTE(E4086,"°","º"))-1)),""))))</f>
        <v/>
      </c>
      <c r="O4086" s="2">
        <f>IF(OR(F4086="",G4086=""),"",IF(G4086&lt;='RETRATO 2027'!$K$5,"CONCLUÍDA",IF(F4086&lt;='RETRATO 2027'!$K$5,"EM ANDAMENTO","A INICIAR")))</f>
        <v/>
      </c>
    </row>
    <row r="4087">
      <c r="M4087" s="2">
        <f>IF(C4087="","",IFERROR(INDEX($S$5:$S$304,MATCH(C4087,$R$5:$R$304,0))&amp;"","?"))</f>
        <v/>
      </c>
      <c r="N4087" s="2">
        <f>IF(E4087="","",IF(ISNUMBER(SEARCH("SUBSOLO",E4087)),IFERROR(-VALUE(LEFT(E4087,FIND("º",SUBSTITUTE(E4087,"°","º"))-1)),-1),IF(LEFT(E4087,6)="TÉRREO",0,IFERROR(VALUE(LEFT(E4087,FIND("º",SUBSTITUTE(E4087,"°","º"))-1)),""))))</f>
        <v/>
      </c>
      <c r="O4087" s="2">
        <f>IF(OR(F4087="",G4087=""),"",IF(G4087&lt;='RETRATO 2027'!$K$5,"CONCLUÍDA",IF(F4087&lt;='RETRATO 2027'!$K$5,"EM ANDAMENTO","A INICIAR")))</f>
        <v/>
      </c>
    </row>
    <row r="4088">
      <c r="M4088" s="2">
        <f>IF(C4088="","",IFERROR(INDEX($S$5:$S$304,MATCH(C4088,$R$5:$R$304,0))&amp;"","?"))</f>
        <v/>
      </c>
      <c r="N4088" s="2">
        <f>IF(E4088="","",IF(ISNUMBER(SEARCH("SUBSOLO",E4088)),IFERROR(-VALUE(LEFT(E4088,FIND("º",SUBSTITUTE(E4088,"°","º"))-1)),-1),IF(LEFT(E4088,6)="TÉRREO",0,IFERROR(VALUE(LEFT(E4088,FIND("º",SUBSTITUTE(E4088,"°","º"))-1)),""))))</f>
        <v/>
      </c>
      <c r="O4088" s="2">
        <f>IF(OR(F4088="",G4088=""),"",IF(G4088&lt;='RETRATO 2027'!$K$5,"CONCLUÍDA",IF(F4088&lt;='RETRATO 2027'!$K$5,"EM ANDAMENTO","A INICIAR")))</f>
        <v/>
      </c>
    </row>
    <row r="4089">
      <c r="M4089" s="2">
        <f>IF(C4089="","",IFERROR(INDEX($S$5:$S$304,MATCH(C4089,$R$5:$R$304,0))&amp;"","?"))</f>
        <v/>
      </c>
      <c r="N4089" s="2">
        <f>IF(E4089="","",IF(ISNUMBER(SEARCH("SUBSOLO",E4089)),IFERROR(-VALUE(LEFT(E4089,FIND("º",SUBSTITUTE(E4089,"°","º"))-1)),-1),IF(LEFT(E4089,6)="TÉRREO",0,IFERROR(VALUE(LEFT(E4089,FIND("º",SUBSTITUTE(E4089,"°","º"))-1)),""))))</f>
        <v/>
      </c>
      <c r="O4089" s="2">
        <f>IF(OR(F4089="",G4089=""),"",IF(G4089&lt;='RETRATO 2027'!$K$5,"CONCLUÍDA",IF(F4089&lt;='RETRATO 2027'!$K$5,"EM ANDAMENTO","A INICIAR")))</f>
        <v/>
      </c>
    </row>
    <row r="4090">
      <c r="M4090" s="2">
        <f>IF(C4090="","",IFERROR(INDEX($S$5:$S$304,MATCH(C4090,$R$5:$R$304,0))&amp;"","?"))</f>
        <v/>
      </c>
      <c r="N4090" s="2">
        <f>IF(E4090="","",IF(ISNUMBER(SEARCH("SUBSOLO",E4090)),IFERROR(-VALUE(LEFT(E4090,FIND("º",SUBSTITUTE(E4090,"°","º"))-1)),-1),IF(LEFT(E4090,6)="TÉRREO",0,IFERROR(VALUE(LEFT(E4090,FIND("º",SUBSTITUTE(E4090,"°","º"))-1)),""))))</f>
        <v/>
      </c>
      <c r="O4090" s="2">
        <f>IF(OR(F4090="",G4090=""),"",IF(G4090&lt;='RETRATO 2027'!$K$5,"CONCLUÍDA",IF(F4090&lt;='RETRATO 2027'!$K$5,"EM ANDAMENTO","A INICIAR")))</f>
        <v/>
      </c>
    </row>
    <row r="4091">
      <c r="M4091" s="2">
        <f>IF(C4091="","",IFERROR(INDEX($S$5:$S$304,MATCH(C4091,$R$5:$R$304,0))&amp;"","?"))</f>
        <v/>
      </c>
      <c r="N4091" s="2">
        <f>IF(E4091="","",IF(ISNUMBER(SEARCH("SUBSOLO",E4091)),IFERROR(-VALUE(LEFT(E4091,FIND("º",SUBSTITUTE(E4091,"°","º"))-1)),-1),IF(LEFT(E4091,6)="TÉRREO",0,IFERROR(VALUE(LEFT(E4091,FIND("º",SUBSTITUTE(E4091,"°","º"))-1)),""))))</f>
        <v/>
      </c>
      <c r="O4091" s="2">
        <f>IF(OR(F4091="",G4091=""),"",IF(G4091&lt;='RETRATO 2027'!$K$5,"CONCLUÍDA",IF(F4091&lt;='RETRATO 2027'!$K$5,"EM ANDAMENTO","A INICIAR")))</f>
        <v/>
      </c>
    </row>
    <row r="4092">
      <c r="M4092" s="2">
        <f>IF(C4092="","",IFERROR(INDEX($S$5:$S$304,MATCH(C4092,$R$5:$R$304,0))&amp;"","?"))</f>
        <v/>
      </c>
      <c r="N4092" s="2">
        <f>IF(E4092="","",IF(ISNUMBER(SEARCH("SUBSOLO",E4092)),IFERROR(-VALUE(LEFT(E4092,FIND("º",SUBSTITUTE(E4092,"°","º"))-1)),-1),IF(LEFT(E4092,6)="TÉRREO",0,IFERROR(VALUE(LEFT(E4092,FIND("º",SUBSTITUTE(E4092,"°","º"))-1)),""))))</f>
        <v/>
      </c>
      <c r="O4092" s="2">
        <f>IF(OR(F4092="",G4092=""),"",IF(G4092&lt;='RETRATO 2027'!$K$5,"CONCLUÍDA",IF(F4092&lt;='RETRATO 2027'!$K$5,"EM ANDAMENTO","A INICIAR")))</f>
        <v/>
      </c>
    </row>
    <row r="4093">
      <c r="M4093" s="2">
        <f>IF(C4093="","",IFERROR(INDEX($S$5:$S$304,MATCH(C4093,$R$5:$R$304,0))&amp;"","?"))</f>
        <v/>
      </c>
      <c r="N4093" s="2">
        <f>IF(E4093="","",IF(ISNUMBER(SEARCH("SUBSOLO",E4093)),IFERROR(-VALUE(LEFT(E4093,FIND("º",SUBSTITUTE(E4093,"°","º"))-1)),-1),IF(LEFT(E4093,6)="TÉRREO",0,IFERROR(VALUE(LEFT(E4093,FIND("º",SUBSTITUTE(E4093,"°","º"))-1)),""))))</f>
        <v/>
      </c>
      <c r="O4093" s="2">
        <f>IF(OR(F4093="",G4093=""),"",IF(G4093&lt;='RETRATO 2027'!$K$5,"CONCLUÍDA",IF(F4093&lt;='RETRATO 2027'!$K$5,"EM ANDAMENTO","A INICIAR")))</f>
        <v/>
      </c>
    </row>
    <row r="4094">
      <c r="M4094" s="2">
        <f>IF(C4094="","",IFERROR(INDEX($S$5:$S$304,MATCH(C4094,$R$5:$R$304,0))&amp;"","?"))</f>
        <v/>
      </c>
      <c r="N4094" s="2">
        <f>IF(E4094="","",IF(ISNUMBER(SEARCH("SUBSOLO",E4094)),IFERROR(-VALUE(LEFT(E4094,FIND("º",SUBSTITUTE(E4094,"°","º"))-1)),-1),IF(LEFT(E4094,6)="TÉRREO",0,IFERROR(VALUE(LEFT(E4094,FIND("º",SUBSTITUTE(E4094,"°","º"))-1)),""))))</f>
        <v/>
      </c>
      <c r="O4094" s="2">
        <f>IF(OR(F4094="",G4094=""),"",IF(G4094&lt;='RETRATO 2027'!$K$5,"CONCLUÍDA",IF(F4094&lt;='RETRATO 2027'!$K$5,"EM ANDAMENTO","A INICIAR")))</f>
        <v/>
      </c>
    </row>
    <row r="4095">
      <c r="M4095" s="2">
        <f>IF(C4095="","",IFERROR(INDEX($S$5:$S$304,MATCH(C4095,$R$5:$R$304,0))&amp;"","?"))</f>
        <v/>
      </c>
      <c r="N4095" s="2">
        <f>IF(E4095="","",IF(ISNUMBER(SEARCH("SUBSOLO",E4095)),IFERROR(-VALUE(LEFT(E4095,FIND("º",SUBSTITUTE(E4095,"°","º"))-1)),-1),IF(LEFT(E4095,6)="TÉRREO",0,IFERROR(VALUE(LEFT(E4095,FIND("º",SUBSTITUTE(E4095,"°","º"))-1)),""))))</f>
        <v/>
      </c>
      <c r="O4095" s="2">
        <f>IF(OR(F4095="",G4095=""),"",IF(G4095&lt;='RETRATO 2027'!$K$5,"CONCLUÍDA",IF(F4095&lt;='RETRATO 2027'!$K$5,"EM ANDAMENTO","A INICIAR")))</f>
        <v/>
      </c>
    </row>
    <row r="4096">
      <c r="M4096" s="2">
        <f>IF(C4096="","",IFERROR(INDEX($S$5:$S$304,MATCH(C4096,$R$5:$R$304,0))&amp;"","?"))</f>
        <v/>
      </c>
      <c r="N4096" s="2">
        <f>IF(E4096="","",IF(ISNUMBER(SEARCH("SUBSOLO",E4096)),IFERROR(-VALUE(LEFT(E4096,FIND("º",SUBSTITUTE(E4096,"°","º"))-1)),-1),IF(LEFT(E4096,6)="TÉRREO",0,IFERROR(VALUE(LEFT(E4096,FIND("º",SUBSTITUTE(E4096,"°","º"))-1)),""))))</f>
        <v/>
      </c>
      <c r="O4096" s="2">
        <f>IF(OR(F4096="",G4096=""),"",IF(G4096&lt;='RETRATO 2027'!$K$5,"CONCLUÍDA",IF(F4096&lt;='RETRATO 2027'!$K$5,"EM ANDAMENTO","A INICIAR")))</f>
        <v/>
      </c>
    </row>
    <row r="4097">
      <c r="M4097" s="2">
        <f>IF(C4097="","",IFERROR(INDEX($S$5:$S$304,MATCH(C4097,$R$5:$R$304,0))&amp;"","?"))</f>
        <v/>
      </c>
      <c r="N4097" s="2">
        <f>IF(E4097="","",IF(ISNUMBER(SEARCH("SUBSOLO",E4097)),IFERROR(-VALUE(LEFT(E4097,FIND("º",SUBSTITUTE(E4097,"°","º"))-1)),-1),IF(LEFT(E4097,6)="TÉRREO",0,IFERROR(VALUE(LEFT(E4097,FIND("º",SUBSTITUTE(E4097,"°","º"))-1)),""))))</f>
        <v/>
      </c>
      <c r="O4097" s="2">
        <f>IF(OR(F4097="",G4097=""),"",IF(G4097&lt;='RETRATO 2027'!$K$5,"CONCLUÍDA",IF(F4097&lt;='RETRATO 2027'!$K$5,"EM ANDAMENTO","A INICIAR")))</f>
        <v/>
      </c>
    </row>
    <row r="4098">
      <c r="M4098" s="2">
        <f>IF(C4098="","",IFERROR(INDEX($S$5:$S$304,MATCH(C4098,$R$5:$R$304,0))&amp;"","?"))</f>
        <v/>
      </c>
      <c r="N4098" s="2">
        <f>IF(E4098="","",IF(ISNUMBER(SEARCH("SUBSOLO",E4098)),IFERROR(-VALUE(LEFT(E4098,FIND("º",SUBSTITUTE(E4098,"°","º"))-1)),-1),IF(LEFT(E4098,6)="TÉRREO",0,IFERROR(VALUE(LEFT(E4098,FIND("º",SUBSTITUTE(E4098,"°","º"))-1)),""))))</f>
        <v/>
      </c>
      <c r="O4098" s="2">
        <f>IF(OR(F4098="",G4098=""),"",IF(G4098&lt;='RETRATO 2027'!$K$5,"CONCLUÍDA",IF(F4098&lt;='RETRATO 2027'!$K$5,"EM ANDAMENTO","A INICIAR")))</f>
        <v/>
      </c>
    </row>
    <row r="4099">
      <c r="M4099" s="2">
        <f>IF(C4099="","",IFERROR(INDEX($S$5:$S$304,MATCH(C4099,$R$5:$R$304,0))&amp;"","?"))</f>
        <v/>
      </c>
      <c r="N4099" s="2">
        <f>IF(E4099="","",IF(ISNUMBER(SEARCH("SUBSOLO",E4099)),IFERROR(-VALUE(LEFT(E4099,FIND("º",SUBSTITUTE(E4099,"°","º"))-1)),-1),IF(LEFT(E4099,6)="TÉRREO",0,IFERROR(VALUE(LEFT(E4099,FIND("º",SUBSTITUTE(E4099,"°","º"))-1)),""))))</f>
        <v/>
      </c>
      <c r="O4099" s="2">
        <f>IF(OR(F4099="",G4099=""),"",IF(G4099&lt;='RETRATO 2027'!$K$5,"CONCLUÍDA",IF(F4099&lt;='RETRATO 2027'!$K$5,"EM ANDAMENTO","A INICIAR")))</f>
        <v/>
      </c>
    </row>
    <row r="4100">
      <c r="M4100" s="2">
        <f>IF(C4100="","",IFERROR(INDEX($S$5:$S$304,MATCH(C4100,$R$5:$R$304,0))&amp;"","?"))</f>
        <v/>
      </c>
      <c r="N4100" s="2">
        <f>IF(E4100="","",IF(ISNUMBER(SEARCH("SUBSOLO",E4100)),IFERROR(-VALUE(LEFT(E4100,FIND("º",SUBSTITUTE(E4100,"°","º"))-1)),-1),IF(LEFT(E4100,6)="TÉRREO",0,IFERROR(VALUE(LEFT(E4100,FIND("º",SUBSTITUTE(E4100,"°","º"))-1)),""))))</f>
        <v/>
      </c>
      <c r="O4100" s="2">
        <f>IF(OR(F4100="",G4100=""),"",IF(G4100&lt;='RETRATO 2027'!$K$5,"CONCLUÍDA",IF(F4100&lt;='RETRATO 2027'!$K$5,"EM ANDAMENTO","A INICIAR")))</f>
        <v/>
      </c>
    </row>
    <row r="4101">
      <c r="M4101" s="2">
        <f>IF(C4101="","",IFERROR(INDEX($S$5:$S$304,MATCH(C4101,$R$5:$R$304,0))&amp;"","?"))</f>
        <v/>
      </c>
      <c r="N4101" s="2">
        <f>IF(E4101="","",IF(ISNUMBER(SEARCH("SUBSOLO",E4101)),IFERROR(-VALUE(LEFT(E4101,FIND("º",SUBSTITUTE(E4101,"°","º"))-1)),-1),IF(LEFT(E4101,6)="TÉRREO",0,IFERROR(VALUE(LEFT(E4101,FIND("º",SUBSTITUTE(E4101,"°","º"))-1)),""))))</f>
        <v/>
      </c>
      <c r="O4101" s="2">
        <f>IF(OR(F4101="",G4101=""),"",IF(G4101&lt;='RETRATO 2027'!$K$5,"CONCLUÍDA",IF(F4101&lt;='RETRATO 2027'!$K$5,"EM ANDAMENTO","A INICIAR")))</f>
        <v/>
      </c>
    </row>
    <row r="4102">
      <c r="M4102" s="2">
        <f>IF(C4102="","",IFERROR(INDEX($S$5:$S$304,MATCH(C4102,$R$5:$R$304,0))&amp;"","?"))</f>
        <v/>
      </c>
      <c r="N4102" s="2">
        <f>IF(E4102="","",IF(ISNUMBER(SEARCH("SUBSOLO",E4102)),IFERROR(-VALUE(LEFT(E4102,FIND("º",SUBSTITUTE(E4102,"°","º"))-1)),-1),IF(LEFT(E4102,6)="TÉRREO",0,IFERROR(VALUE(LEFT(E4102,FIND("º",SUBSTITUTE(E4102,"°","º"))-1)),""))))</f>
        <v/>
      </c>
      <c r="O4102" s="2">
        <f>IF(OR(F4102="",G4102=""),"",IF(G4102&lt;='RETRATO 2027'!$K$5,"CONCLUÍDA",IF(F4102&lt;='RETRATO 2027'!$K$5,"EM ANDAMENTO","A INICIAR")))</f>
        <v/>
      </c>
    </row>
    <row r="4103">
      <c r="M4103" s="2">
        <f>IF(C4103="","",IFERROR(INDEX($S$5:$S$304,MATCH(C4103,$R$5:$R$304,0))&amp;"","?"))</f>
        <v/>
      </c>
      <c r="N4103" s="2">
        <f>IF(E4103="","",IF(ISNUMBER(SEARCH("SUBSOLO",E4103)),IFERROR(-VALUE(LEFT(E4103,FIND("º",SUBSTITUTE(E4103,"°","º"))-1)),-1),IF(LEFT(E4103,6)="TÉRREO",0,IFERROR(VALUE(LEFT(E4103,FIND("º",SUBSTITUTE(E4103,"°","º"))-1)),""))))</f>
        <v/>
      </c>
      <c r="O4103" s="2">
        <f>IF(OR(F4103="",G4103=""),"",IF(G4103&lt;='RETRATO 2027'!$K$5,"CONCLUÍDA",IF(F4103&lt;='RETRATO 2027'!$K$5,"EM ANDAMENTO","A INICIAR")))</f>
        <v/>
      </c>
    </row>
    <row r="4104">
      <c r="M4104" s="2">
        <f>IF(C4104="","",IFERROR(INDEX($S$5:$S$304,MATCH(C4104,$R$5:$R$304,0))&amp;"","?"))</f>
        <v/>
      </c>
      <c r="N4104" s="2">
        <f>IF(E4104="","",IF(ISNUMBER(SEARCH("SUBSOLO",E4104)),IFERROR(-VALUE(LEFT(E4104,FIND("º",SUBSTITUTE(E4104,"°","º"))-1)),-1),IF(LEFT(E4104,6)="TÉRREO",0,IFERROR(VALUE(LEFT(E4104,FIND("º",SUBSTITUTE(E4104,"°","º"))-1)),""))))</f>
        <v/>
      </c>
      <c r="O4104" s="2">
        <f>IF(OR(F4104="",G4104=""),"",IF(G4104&lt;='RETRATO 2027'!$K$5,"CONCLUÍDA",IF(F4104&lt;='RETRATO 2027'!$K$5,"EM ANDAMENTO","A INICIAR")))</f>
        <v/>
      </c>
    </row>
    <row r="4105">
      <c r="M4105" s="2">
        <f>IF(C4105="","",IFERROR(INDEX($S$5:$S$304,MATCH(C4105,$R$5:$R$304,0))&amp;"","?"))</f>
        <v/>
      </c>
      <c r="N4105" s="2">
        <f>IF(E4105="","",IF(ISNUMBER(SEARCH("SUBSOLO",E4105)),IFERROR(-VALUE(LEFT(E4105,FIND("º",SUBSTITUTE(E4105,"°","º"))-1)),-1),IF(LEFT(E4105,6)="TÉRREO",0,IFERROR(VALUE(LEFT(E4105,FIND("º",SUBSTITUTE(E4105,"°","º"))-1)),""))))</f>
        <v/>
      </c>
      <c r="O4105" s="2">
        <f>IF(OR(F4105="",G4105=""),"",IF(G4105&lt;='RETRATO 2027'!$K$5,"CONCLUÍDA",IF(F4105&lt;='RETRATO 2027'!$K$5,"EM ANDAMENTO","A INICIAR")))</f>
        <v/>
      </c>
    </row>
    <row r="4106">
      <c r="M4106" s="2">
        <f>IF(C4106="","",IFERROR(INDEX($S$5:$S$304,MATCH(C4106,$R$5:$R$304,0))&amp;"","?"))</f>
        <v/>
      </c>
      <c r="N4106" s="2">
        <f>IF(E4106="","",IF(ISNUMBER(SEARCH("SUBSOLO",E4106)),IFERROR(-VALUE(LEFT(E4106,FIND("º",SUBSTITUTE(E4106,"°","º"))-1)),-1),IF(LEFT(E4106,6)="TÉRREO",0,IFERROR(VALUE(LEFT(E4106,FIND("º",SUBSTITUTE(E4106,"°","º"))-1)),""))))</f>
        <v/>
      </c>
      <c r="O4106" s="2">
        <f>IF(OR(F4106="",G4106=""),"",IF(G4106&lt;='RETRATO 2027'!$K$5,"CONCLUÍDA",IF(F4106&lt;='RETRATO 2027'!$K$5,"EM ANDAMENTO","A INICIAR")))</f>
        <v/>
      </c>
    </row>
    <row r="4107">
      <c r="M4107" s="2">
        <f>IF(C4107="","",IFERROR(INDEX($S$5:$S$304,MATCH(C4107,$R$5:$R$304,0))&amp;"","?"))</f>
        <v/>
      </c>
      <c r="N4107" s="2">
        <f>IF(E4107="","",IF(ISNUMBER(SEARCH("SUBSOLO",E4107)),IFERROR(-VALUE(LEFT(E4107,FIND("º",SUBSTITUTE(E4107,"°","º"))-1)),-1),IF(LEFT(E4107,6)="TÉRREO",0,IFERROR(VALUE(LEFT(E4107,FIND("º",SUBSTITUTE(E4107,"°","º"))-1)),""))))</f>
        <v/>
      </c>
      <c r="O4107" s="2">
        <f>IF(OR(F4107="",G4107=""),"",IF(G4107&lt;='RETRATO 2027'!$K$5,"CONCLUÍDA",IF(F4107&lt;='RETRATO 2027'!$K$5,"EM ANDAMENTO","A INICIAR")))</f>
        <v/>
      </c>
    </row>
    <row r="4108">
      <c r="M4108" s="2">
        <f>IF(C4108="","",IFERROR(INDEX($S$5:$S$304,MATCH(C4108,$R$5:$R$304,0))&amp;"","?"))</f>
        <v/>
      </c>
      <c r="N4108" s="2">
        <f>IF(E4108="","",IF(ISNUMBER(SEARCH("SUBSOLO",E4108)),IFERROR(-VALUE(LEFT(E4108,FIND("º",SUBSTITUTE(E4108,"°","º"))-1)),-1),IF(LEFT(E4108,6)="TÉRREO",0,IFERROR(VALUE(LEFT(E4108,FIND("º",SUBSTITUTE(E4108,"°","º"))-1)),""))))</f>
        <v/>
      </c>
      <c r="O4108" s="2">
        <f>IF(OR(F4108="",G4108=""),"",IF(G4108&lt;='RETRATO 2027'!$K$5,"CONCLUÍDA",IF(F4108&lt;='RETRATO 2027'!$K$5,"EM ANDAMENTO","A INICIAR")))</f>
        <v/>
      </c>
    </row>
    <row r="4109">
      <c r="M4109" s="2">
        <f>IF(C4109="","",IFERROR(INDEX($S$5:$S$304,MATCH(C4109,$R$5:$R$304,0))&amp;"","?"))</f>
        <v/>
      </c>
      <c r="N4109" s="2">
        <f>IF(E4109="","",IF(ISNUMBER(SEARCH("SUBSOLO",E4109)),IFERROR(-VALUE(LEFT(E4109,FIND("º",SUBSTITUTE(E4109,"°","º"))-1)),-1),IF(LEFT(E4109,6)="TÉRREO",0,IFERROR(VALUE(LEFT(E4109,FIND("º",SUBSTITUTE(E4109,"°","º"))-1)),""))))</f>
        <v/>
      </c>
      <c r="O4109" s="2">
        <f>IF(OR(F4109="",G4109=""),"",IF(G4109&lt;='RETRATO 2027'!$K$5,"CONCLUÍDA",IF(F4109&lt;='RETRATO 2027'!$K$5,"EM ANDAMENTO","A INICIAR")))</f>
        <v/>
      </c>
    </row>
    <row r="4110">
      <c r="M4110" s="2">
        <f>IF(C4110="","",IFERROR(INDEX($S$5:$S$304,MATCH(C4110,$R$5:$R$304,0))&amp;"","?"))</f>
        <v/>
      </c>
      <c r="N4110" s="2">
        <f>IF(E4110="","",IF(ISNUMBER(SEARCH("SUBSOLO",E4110)),IFERROR(-VALUE(LEFT(E4110,FIND("º",SUBSTITUTE(E4110,"°","º"))-1)),-1),IF(LEFT(E4110,6)="TÉRREO",0,IFERROR(VALUE(LEFT(E4110,FIND("º",SUBSTITUTE(E4110,"°","º"))-1)),""))))</f>
        <v/>
      </c>
      <c r="O4110" s="2">
        <f>IF(OR(F4110="",G4110=""),"",IF(G4110&lt;='RETRATO 2027'!$K$5,"CONCLUÍDA",IF(F4110&lt;='RETRATO 2027'!$K$5,"EM ANDAMENTO","A INICIAR")))</f>
        <v/>
      </c>
    </row>
    <row r="4111">
      <c r="M4111" s="2">
        <f>IF(C4111="","",IFERROR(INDEX($S$5:$S$304,MATCH(C4111,$R$5:$R$304,0))&amp;"","?"))</f>
        <v/>
      </c>
      <c r="N4111" s="2">
        <f>IF(E4111="","",IF(ISNUMBER(SEARCH("SUBSOLO",E4111)),IFERROR(-VALUE(LEFT(E4111,FIND("º",SUBSTITUTE(E4111,"°","º"))-1)),-1),IF(LEFT(E4111,6)="TÉRREO",0,IFERROR(VALUE(LEFT(E4111,FIND("º",SUBSTITUTE(E4111,"°","º"))-1)),""))))</f>
        <v/>
      </c>
      <c r="O4111" s="2">
        <f>IF(OR(F4111="",G4111=""),"",IF(G4111&lt;='RETRATO 2027'!$K$5,"CONCLUÍDA",IF(F4111&lt;='RETRATO 2027'!$K$5,"EM ANDAMENTO","A INICIAR")))</f>
        <v/>
      </c>
    </row>
    <row r="4112">
      <c r="M4112" s="2">
        <f>IF(C4112="","",IFERROR(INDEX($S$5:$S$304,MATCH(C4112,$R$5:$R$304,0))&amp;"","?"))</f>
        <v/>
      </c>
      <c r="N4112" s="2">
        <f>IF(E4112="","",IF(ISNUMBER(SEARCH("SUBSOLO",E4112)),IFERROR(-VALUE(LEFT(E4112,FIND("º",SUBSTITUTE(E4112,"°","º"))-1)),-1),IF(LEFT(E4112,6)="TÉRREO",0,IFERROR(VALUE(LEFT(E4112,FIND("º",SUBSTITUTE(E4112,"°","º"))-1)),""))))</f>
        <v/>
      </c>
      <c r="O4112" s="2">
        <f>IF(OR(F4112="",G4112=""),"",IF(G4112&lt;='RETRATO 2027'!$K$5,"CONCLUÍDA",IF(F4112&lt;='RETRATO 2027'!$K$5,"EM ANDAMENTO","A INICIAR")))</f>
        <v/>
      </c>
    </row>
    <row r="4113">
      <c r="M4113" s="2">
        <f>IF(C4113="","",IFERROR(INDEX($S$5:$S$304,MATCH(C4113,$R$5:$R$304,0))&amp;"","?"))</f>
        <v/>
      </c>
      <c r="N4113" s="2">
        <f>IF(E4113="","",IF(ISNUMBER(SEARCH("SUBSOLO",E4113)),IFERROR(-VALUE(LEFT(E4113,FIND("º",SUBSTITUTE(E4113,"°","º"))-1)),-1),IF(LEFT(E4113,6)="TÉRREO",0,IFERROR(VALUE(LEFT(E4113,FIND("º",SUBSTITUTE(E4113,"°","º"))-1)),""))))</f>
        <v/>
      </c>
      <c r="O4113" s="2">
        <f>IF(OR(F4113="",G4113=""),"",IF(G4113&lt;='RETRATO 2027'!$K$5,"CONCLUÍDA",IF(F4113&lt;='RETRATO 2027'!$K$5,"EM ANDAMENTO","A INICIAR")))</f>
        <v/>
      </c>
    </row>
    <row r="4114">
      <c r="M4114" s="2">
        <f>IF(C4114="","",IFERROR(INDEX($S$5:$S$304,MATCH(C4114,$R$5:$R$304,0))&amp;"","?"))</f>
        <v/>
      </c>
      <c r="N4114" s="2">
        <f>IF(E4114="","",IF(ISNUMBER(SEARCH("SUBSOLO",E4114)),IFERROR(-VALUE(LEFT(E4114,FIND("º",SUBSTITUTE(E4114,"°","º"))-1)),-1),IF(LEFT(E4114,6)="TÉRREO",0,IFERROR(VALUE(LEFT(E4114,FIND("º",SUBSTITUTE(E4114,"°","º"))-1)),""))))</f>
        <v/>
      </c>
      <c r="O4114" s="2">
        <f>IF(OR(F4114="",G4114=""),"",IF(G4114&lt;='RETRATO 2027'!$K$5,"CONCLUÍDA",IF(F4114&lt;='RETRATO 2027'!$K$5,"EM ANDAMENTO","A INICIAR")))</f>
        <v/>
      </c>
    </row>
    <row r="4115">
      <c r="M4115" s="2">
        <f>IF(C4115="","",IFERROR(INDEX($S$5:$S$304,MATCH(C4115,$R$5:$R$304,0))&amp;"","?"))</f>
        <v/>
      </c>
      <c r="N4115" s="2">
        <f>IF(E4115="","",IF(ISNUMBER(SEARCH("SUBSOLO",E4115)),IFERROR(-VALUE(LEFT(E4115,FIND("º",SUBSTITUTE(E4115,"°","º"))-1)),-1),IF(LEFT(E4115,6)="TÉRREO",0,IFERROR(VALUE(LEFT(E4115,FIND("º",SUBSTITUTE(E4115,"°","º"))-1)),""))))</f>
        <v/>
      </c>
      <c r="O4115" s="2">
        <f>IF(OR(F4115="",G4115=""),"",IF(G4115&lt;='RETRATO 2027'!$K$5,"CONCLUÍDA",IF(F4115&lt;='RETRATO 2027'!$K$5,"EM ANDAMENTO","A INICIAR")))</f>
        <v/>
      </c>
    </row>
    <row r="4116">
      <c r="M4116" s="2">
        <f>IF(C4116="","",IFERROR(INDEX($S$5:$S$304,MATCH(C4116,$R$5:$R$304,0))&amp;"","?"))</f>
        <v/>
      </c>
      <c r="N4116" s="2">
        <f>IF(E4116="","",IF(ISNUMBER(SEARCH("SUBSOLO",E4116)),IFERROR(-VALUE(LEFT(E4116,FIND("º",SUBSTITUTE(E4116,"°","º"))-1)),-1),IF(LEFT(E4116,6)="TÉRREO",0,IFERROR(VALUE(LEFT(E4116,FIND("º",SUBSTITUTE(E4116,"°","º"))-1)),""))))</f>
        <v/>
      </c>
      <c r="O4116" s="2">
        <f>IF(OR(F4116="",G4116=""),"",IF(G4116&lt;='RETRATO 2027'!$K$5,"CONCLUÍDA",IF(F4116&lt;='RETRATO 2027'!$K$5,"EM ANDAMENTO","A INICIAR")))</f>
        <v/>
      </c>
    </row>
    <row r="4117">
      <c r="M4117" s="2">
        <f>IF(C4117="","",IFERROR(INDEX($S$5:$S$304,MATCH(C4117,$R$5:$R$304,0))&amp;"","?"))</f>
        <v/>
      </c>
      <c r="N4117" s="2">
        <f>IF(E4117="","",IF(ISNUMBER(SEARCH("SUBSOLO",E4117)),IFERROR(-VALUE(LEFT(E4117,FIND("º",SUBSTITUTE(E4117,"°","º"))-1)),-1),IF(LEFT(E4117,6)="TÉRREO",0,IFERROR(VALUE(LEFT(E4117,FIND("º",SUBSTITUTE(E4117,"°","º"))-1)),""))))</f>
        <v/>
      </c>
      <c r="O4117" s="2">
        <f>IF(OR(F4117="",G4117=""),"",IF(G4117&lt;='RETRATO 2027'!$K$5,"CONCLUÍDA",IF(F4117&lt;='RETRATO 2027'!$K$5,"EM ANDAMENTO","A INICIAR")))</f>
        <v/>
      </c>
    </row>
    <row r="4118">
      <c r="M4118" s="2">
        <f>IF(C4118="","",IFERROR(INDEX($S$5:$S$304,MATCH(C4118,$R$5:$R$304,0))&amp;"","?"))</f>
        <v/>
      </c>
      <c r="N4118" s="2">
        <f>IF(E4118="","",IF(ISNUMBER(SEARCH("SUBSOLO",E4118)),IFERROR(-VALUE(LEFT(E4118,FIND("º",SUBSTITUTE(E4118,"°","º"))-1)),-1),IF(LEFT(E4118,6)="TÉRREO",0,IFERROR(VALUE(LEFT(E4118,FIND("º",SUBSTITUTE(E4118,"°","º"))-1)),""))))</f>
        <v/>
      </c>
      <c r="O4118" s="2">
        <f>IF(OR(F4118="",G4118=""),"",IF(G4118&lt;='RETRATO 2027'!$K$5,"CONCLUÍDA",IF(F4118&lt;='RETRATO 2027'!$K$5,"EM ANDAMENTO","A INICIAR")))</f>
        <v/>
      </c>
    </row>
    <row r="4119">
      <c r="M4119" s="2">
        <f>IF(C4119="","",IFERROR(INDEX($S$5:$S$304,MATCH(C4119,$R$5:$R$304,0))&amp;"","?"))</f>
        <v/>
      </c>
      <c r="N4119" s="2">
        <f>IF(E4119="","",IF(ISNUMBER(SEARCH("SUBSOLO",E4119)),IFERROR(-VALUE(LEFT(E4119,FIND("º",SUBSTITUTE(E4119,"°","º"))-1)),-1),IF(LEFT(E4119,6)="TÉRREO",0,IFERROR(VALUE(LEFT(E4119,FIND("º",SUBSTITUTE(E4119,"°","º"))-1)),""))))</f>
        <v/>
      </c>
      <c r="O4119" s="2">
        <f>IF(OR(F4119="",G4119=""),"",IF(G4119&lt;='RETRATO 2027'!$K$5,"CONCLUÍDA",IF(F4119&lt;='RETRATO 2027'!$K$5,"EM ANDAMENTO","A INICIAR")))</f>
        <v/>
      </c>
    </row>
    <row r="4120">
      <c r="M4120" s="2">
        <f>IF(C4120="","",IFERROR(INDEX($S$5:$S$304,MATCH(C4120,$R$5:$R$304,0))&amp;"","?"))</f>
        <v/>
      </c>
      <c r="N4120" s="2">
        <f>IF(E4120="","",IF(ISNUMBER(SEARCH("SUBSOLO",E4120)),IFERROR(-VALUE(LEFT(E4120,FIND("º",SUBSTITUTE(E4120,"°","º"))-1)),-1),IF(LEFT(E4120,6)="TÉRREO",0,IFERROR(VALUE(LEFT(E4120,FIND("º",SUBSTITUTE(E4120,"°","º"))-1)),""))))</f>
        <v/>
      </c>
      <c r="O4120" s="2">
        <f>IF(OR(F4120="",G4120=""),"",IF(G4120&lt;='RETRATO 2027'!$K$5,"CONCLUÍDA",IF(F4120&lt;='RETRATO 2027'!$K$5,"EM ANDAMENTO","A INICIAR")))</f>
        <v/>
      </c>
    </row>
    <row r="4121">
      <c r="M4121" s="2">
        <f>IF(C4121="","",IFERROR(INDEX($S$5:$S$304,MATCH(C4121,$R$5:$R$304,0))&amp;"","?"))</f>
        <v/>
      </c>
      <c r="N4121" s="2">
        <f>IF(E4121="","",IF(ISNUMBER(SEARCH("SUBSOLO",E4121)),IFERROR(-VALUE(LEFT(E4121,FIND("º",SUBSTITUTE(E4121,"°","º"))-1)),-1),IF(LEFT(E4121,6)="TÉRREO",0,IFERROR(VALUE(LEFT(E4121,FIND("º",SUBSTITUTE(E4121,"°","º"))-1)),""))))</f>
        <v/>
      </c>
      <c r="O4121" s="2">
        <f>IF(OR(F4121="",G4121=""),"",IF(G4121&lt;='RETRATO 2027'!$K$5,"CONCLUÍDA",IF(F4121&lt;='RETRATO 2027'!$K$5,"EM ANDAMENTO","A INICIAR")))</f>
        <v/>
      </c>
    </row>
    <row r="4122">
      <c r="M4122" s="2">
        <f>IF(C4122="","",IFERROR(INDEX($S$5:$S$304,MATCH(C4122,$R$5:$R$304,0))&amp;"","?"))</f>
        <v/>
      </c>
      <c r="N4122" s="2">
        <f>IF(E4122="","",IF(ISNUMBER(SEARCH("SUBSOLO",E4122)),IFERROR(-VALUE(LEFT(E4122,FIND("º",SUBSTITUTE(E4122,"°","º"))-1)),-1),IF(LEFT(E4122,6)="TÉRREO",0,IFERROR(VALUE(LEFT(E4122,FIND("º",SUBSTITUTE(E4122,"°","º"))-1)),""))))</f>
        <v/>
      </c>
      <c r="O4122" s="2">
        <f>IF(OR(F4122="",G4122=""),"",IF(G4122&lt;='RETRATO 2027'!$K$5,"CONCLUÍDA",IF(F4122&lt;='RETRATO 2027'!$K$5,"EM ANDAMENTO","A INICIAR")))</f>
        <v/>
      </c>
    </row>
    <row r="4123">
      <c r="M4123" s="2">
        <f>IF(C4123="","",IFERROR(INDEX($S$5:$S$304,MATCH(C4123,$R$5:$R$304,0))&amp;"","?"))</f>
        <v/>
      </c>
      <c r="N4123" s="2">
        <f>IF(E4123="","",IF(ISNUMBER(SEARCH("SUBSOLO",E4123)),IFERROR(-VALUE(LEFT(E4123,FIND("º",SUBSTITUTE(E4123,"°","º"))-1)),-1),IF(LEFT(E4123,6)="TÉRREO",0,IFERROR(VALUE(LEFT(E4123,FIND("º",SUBSTITUTE(E4123,"°","º"))-1)),""))))</f>
        <v/>
      </c>
      <c r="O4123" s="2">
        <f>IF(OR(F4123="",G4123=""),"",IF(G4123&lt;='RETRATO 2027'!$K$5,"CONCLUÍDA",IF(F4123&lt;='RETRATO 2027'!$K$5,"EM ANDAMENTO","A INICIAR")))</f>
        <v/>
      </c>
    </row>
    <row r="4124">
      <c r="M4124" s="2">
        <f>IF(C4124="","",IFERROR(INDEX($S$5:$S$304,MATCH(C4124,$R$5:$R$304,0))&amp;"","?"))</f>
        <v/>
      </c>
      <c r="N4124" s="2">
        <f>IF(E4124="","",IF(ISNUMBER(SEARCH("SUBSOLO",E4124)),IFERROR(-VALUE(LEFT(E4124,FIND("º",SUBSTITUTE(E4124,"°","º"))-1)),-1),IF(LEFT(E4124,6)="TÉRREO",0,IFERROR(VALUE(LEFT(E4124,FIND("º",SUBSTITUTE(E4124,"°","º"))-1)),""))))</f>
        <v/>
      </c>
      <c r="O4124" s="2">
        <f>IF(OR(F4124="",G4124=""),"",IF(G4124&lt;='RETRATO 2027'!$K$5,"CONCLUÍDA",IF(F4124&lt;='RETRATO 2027'!$K$5,"EM ANDAMENTO","A INICIAR")))</f>
        <v/>
      </c>
    </row>
    <row r="4125">
      <c r="M4125" s="2">
        <f>IF(C4125="","",IFERROR(INDEX($S$5:$S$304,MATCH(C4125,$R$5:$R$304,0))&amp;"","?"))</f>
        <v/>
      </c>
      <c r="N4125" s="2">
        <f>IF(E4125="","",IF(ISNUMBER(SEARCH("SUBSOLO",E4125)),IFERROR(-VALUE(LEFT(E4125,FIND("º",SUBSTITUTE(E4125,"°","º"))-1)),-1),IF(LEFT(E4125,6)="TÉRREO",0,IFERROR(VALUE(LEFT(E4125,FIND("º",SUBSTITUTE(E4125,"°","º"))-1)),""))))</f>
        <v/>
      </c>
      <c r="O4125" s="2">
        <f>IF(OR(F4125="",G4125=""),"",IF(G4125&lt;='RETRATO 2027'!$K$5,"CONCLUÍDA",IF(F4125&lt;='RETRATO 2027'!$K$5,"EM ANDAMENTO","A INICIAR")))</f>
        <v/>
      </c>
    </row>
    <row r="4126">
      <c r="M4126" s="2">
        <f>IF(C4126="","",IFERROR(INDEX($S$5:$S$304,MATCH(C4126,$R$5:$R$304,0))&amp;"","?"))</f>
        <v/>
      </c>
      <c r="N4126" s="2">
        <f>IF(E4126="","",IF(ISNUMBER(SEARCH("SUBSOLO",E4126)),IFERROR(-VALUE(LEFT(E4126,FIND("º",SUBSTITUTE(E4126,"°","º"))-1)),-1),IF(LEFT(E4126,6)="TÉRREO",0,IFERROR(VALUE(LEFT(E4126,FIND("º",SUBSTITUTE(E4126,"°","º"))-1)),""))))</f>
        <v/>
      </c>
      <c r="O4126" s="2">
        <f>IF(OR(F4126="",G4126=""),"",IF(G4126&lt;='RETRATO 2027'!$K$5,"CONCLUÍDA",IF(F4126&lt;='RETRATO 2027'!$K$5,"EM ANDAMENTO","A INICIAR")))</f>
        <v/>
      </c>
    </row>
    <row r="4127">
      <c r="M4127" s="2">
        <f>IF(C4127="","",IFERROR(INDEX($S$5:$S$304,MATCH(C4127,$R$5:$R$304,0))&amp;"","?"))</f>
        <v/>
      </c>
      <c r="N4127" s="2">
        <f>IF(E4127="","",IF(ISNUMBER(SEARCH("SUBSOLO",E4127)),IFERROR(-VALUE(LEFT(E4127,FIND("º",SUBSTITUTE(E4127,"°","º"))-1)),-1),IF(LEFT(E4127,6)="TÉRREO",0,IFERROR(VALUE(LEFT(E4127,FIND("º",SUBSTITUTE(E4127,"°","º"))-1)),""))))</f>
        <v/>
      </c>
      <c r="O4127" s="2">
        <f>IF(OR(F4127="",G4127=""),"",IF(G4127&lt;='RETRATO 2027'!$K$5,"CONCLUÍDA",IF(F4127&lt;='RETRATO 2027'!$K$5,"EM ANDAMENTO","A INICIAR")))</f>
        <v/>
      </c>
    </row>
    <row r="4128">
      <c r="M4128" s="2">
        <f>IF(C4128="","",IFERROR(INDEX($S$5:$S$304,MATCH(C4128,$R$5:$R$304,0))&amp;"","?"))</f>
        <v/>
      </c>
      <c r="N4128" s="2">
        <f>IF(E4128="","",IF(ISNUMBER(SEARCH("SUBSOLO",E4128)),IFERROR(-VALUE(LEFT(E4128,FIND("º",SUBSTITUTE(E4128,"°","º"))-1)),-1),IF(LEFT(E4128,6)="TÉRREO",0,IFERROR(VALUE(LEFT(E4128,FIND("º",SUBSTITUTE(E4128,"°","º"))-1)),""))))</f>
        <v/>
      </c>
      <c r="O4128" s="2">
        <f>IF(OR(F4128="",G4128=""),"",IF(G4128&lt;='RETRATO 2027'!$K$5,"CONCLUÍDA",IF(F4128&lt;='RETRATO 2027'!$K$5,"EM ANDAMENTO","A INICIAR")))</f>
        <v/>
      </c>
    </row>
    <row r="4129">
      <c r="M4129" s="2">
        <f>IF(C4129="","",IFERROR(INDEX($S$5:$S$304,MATCH(C4129,$R$5:$R$304,0))&amp;"","?"))</f>
        <v/>
      </c>
      <c r="N4129" s="2">
        <f>IF(E4129="","",IF(ISNUMBER(SEARCH("SUBSOLO",E4129)),IFERROR(-VALUE(LEFT(E4129,FIND("º",SUBSTITUTE(E4129,"°","º"))-1)),-1),IF(LEFT(E4129,6)="TÉRREO",0,IFERROR(VALUE(LEFT(E4129,FIND("º",SUBSTITUTE(E4129,"°","º"))-1)),""))))</f>
        <v/>
      </c>
      <c r="O4129" s="2">
        <f>IF(OR(F4129="",G4129=""),"",IF(G4129&lt;='RETRATO 2027'!$K$5,"CONCLUÍDA",IF(F4129&lt;='RETRATO 2027'!$K$5,"EM ANDAMENTO","A INICIAR")))</f>
        <v/>
      </c>
    </row>
    <row r="4130">
      <c r="M4130" s="2">
        <f>IF(C4130="","",IFERROR(INDEX($S$5:$S$304,MATCH(C4130,$R$5:$R$304,0))&amp;"","?"))</f>
        <v/>
      </c>
      <c r="N4130" s="2">
        <f>IF(E4130="","",IF(ISNUMBER(SEARCH("SUBSOLO",E4130)),IFERROR(-VALUE(LEFT(E4130,FIND("º",SUBSTITUTE(E4130,"°","º"))-1)),-1),IF(LEFT(E4130,6)="TÉRREO",0,IFERROR(VALUE(LEFT(E4130,FIND("º",SUBSTITUTE(E4130,"°","º"))-1)),""))))</f>
        <v/>
      </c>
      <c r="O4130" s="2">
        <f>IF(OR(F4130="",G4130=""),"",IF(G4130&lt;='RETRATO 2027'!$K$5,"CONCLUÍDA",IF(F4130&lt;='RETRATO 2027'!$K$5,"EM ANDAMENTO","A INICIAR")))</f>
        <v/>
      </c>
    </row>
    <row r="4131">
      <c r="M4131" s="2">
        <f>IF(C4131="","",IFERROR(INDEX($S$5:$S$304,MATCH(C4131,$R$5:$R$304,0))&amp;"","?"))</f>
        <v/>
      </c>
      <c r="N4131" s="2">
        <f>IF(E4131="","",IF(ISNUMBER(SEARCH("SUBSOLO",E4131)),IFERROR(-VALUE(LEFT(E4131,FIND("º",SUBSTITUTE(E4131,"°","º"))-1)),-1),IF(LEFT(E4131,6)="TÉRREO",0,IFERROR(VALUE(LEFT(E4131,FIND("º",SUBSTITUTE(E4131,"°","º"))-1)),""))))</f>
        <v/>
      </c>
      <c r="O4131" s="2">
        <f>IF(OR(F4131="",G4131=""),"",IF(G4131&lt;='RETRATO 2027'!$K$5,"CONCLUÍDA",IF(F4131&lt;='RETRATO 2027'!$K$5,"EM ANDAMENTO","A INICIAR")))</f>
        <v/>
      </c>
    </row>
    <row r="4132">
      <c r="M4132" s="2">
        <f>IF(C4132="","",IFERROR(INDEX($S$5:$S$304,MATCH(C4132,$R$5:$R$304,0))&amp;"","?"))</f>
        <v/>
      </c>
      <c r="N4132" s="2">
        <f>IF(E4132="","",IF(ISNUMBER(SEARCH("SUBSOLO",E4132)),IFERROR(-VALUE(LEFT(E4132,FIND("º",SUBSTITUTE(E4132,"°","º"))-1)),-1),IF(LEFT(E4132,6)="TÉRREO",0,IFERROR(VALUE(LEFT(E4132,FIND("º",SUBSTITUTE(E4132,"°","º"))-1)),""))))</f>
        <v/>
      </c>
      <c r="O4132" s="2">
        <f>IF(OR(F4132="",G4132=""),"",IF(G4132&lt;='RETRATO 2027'!$K$5,"CONCLUÍDA",IF(F4132&lt;='RETRATO 2027'!$K$5,"EM ANDAMENTO","A INICIAR")))</f>
        <v/>
      </c>
    </row>
    <row r="4133">
      <c r="M4133" s="2">
        <f>IF(C4133="","",IFERROR(INDEX($S$5:$S$304,MATCH(C4133,$R$5:$R$304,0))&amp;"","?"))</f>
        <v/>
      </c>
      <c r="N4133" s="2">
        <f>IF(E4133="","",IF(ISNUMBER(SEARCH("SUBSOLO",E4133)),IFERROR(-VALUE(LEFT(E4133,FIND("º",SUBSTITUTE(E4133,"°","º"))-1)),-1),IF(LEFT(E4133,6)="TÉRREO",0,IFERROR(VALUE(LEFT(E4133,FIND("º",SUBSTITUTE(E4133,"°","º"))-1)),""))))</f>
        <v/>
      </c>
      <c r="O4133" s="2">
        <f>IF(OR(F4133="",G4133=""),"",IF(G4133&lt;='RETRATO 2027'!$K$5,"CONCLUÍDA",IF(F4133&lt;='RETRATO 2027'!$K$5,"EM ANDAMENTO","A INICIAR")))</f>
        <v/>
      </c>
    </row>
    <row r="4134">
      <c r="M4134" s="2">
        <f>IF(C4134="","",IFERROR(INDEX($S$5:$S$304,MATCH(C4134,$R$5:$R$304,0))&amp;"","?"))</f>
        <v/>
      </c>
      <c r="N4134" s="2">
        <f>IF(E4134="","",IF(ISNUMBER(SEARCH("SUBSOLO",E4134)),IFERROR(-VALUE(LEFT(E4134,FIND("º",SUBSTITUTE(E4134,"°","º"))-1)),-1),IF(LEFT(E4134,6)="TÉRREO",0,IFERROR(VALUE(LEFT(E4134,FIND("º",SUBSTITUTE(E4134,"°","º"))-1)),""))))</f>
        <v/>
      </c>
      <c r="O4134" s="2">
        <f>IF(OR(F4134="",G4134=""),"",IF(G4134&lt;='RETRATO 2027'!$K$5,"CONCLUÍDA",IF(F4134&lt;='RETRATO 2027'!$K$5,"EM ANDAMENTO","A INICIAR")))</f>
        <v/>
      </c>
    </row>
    <row r="4135">
      <c r="M4135" s="2">
        <f>IF(C4135="","",IFERROR(INDEX($S$5:$S$304,MATCH(C4135,$R$5:$R$304,0))&amp;"","?"))</f>
        <v/>
      </c>
      <c r="N4135" s="2">
        <f>IF(E4135="","",IF(ISNUMBER(SEARCH("SUBSOLO",E4135)),IFERROR(-VALUE(LEFT(E4135,FIND("º",SUBSTITUTE(E4135,"°","º"))-1)),-1),IF(LEFT(E4135,6)="TÉRREO",0,IFERROR(VALUE(LEFT(E4135,FIND("º",SUBSTITUTE(E4135,"°","º"))-1)),""))))</f>
        <v/>
      </c>
      <c r="O4135" s="2">
        <f>IF(OR(F4135="",G4135=""),"",IF(G4135&lt;='RETRATO 2027'!$K$5,"CONCLUÍDA",IF(F4135&lt;='RETRATO 2027'!$K$5,"EM ANDAMENTO","A INICIAR")))</f>
        <v/>
      </c>
    </row>
    <row r="4136">
      <c r="M4136" s="2">
        <f>IF(C4136="","",IFERROR(INDEX($S$5:$S$304,MATCH(C4136,$R$5:$R$304,0))&amp;"","?"))</f>
        <v/>
      </c>
      <c r="N4136" s="2">
        <f>IF(E4136="","",IF(ISNUMBER(SEARCH("SUBSOLO",E4136)),IFERROR(-VALUE(LEFT(E4136,FIND("º",SUBSTITUTE(E4136,"°","º"))-1)),-1),IF(LEFT(E4136,6)="TÉRREO",0,IFERROR(VALUE(LEFT(E4136,FIND("º",SUBSTITUTE(E4136,"°","º"))-1)),""))))</f>
        <v/>
      </c>
      <c r="O4136" s="2">
        <f>IF(OR(F4136="",G4136=""),"",IF(G4136&lt;='RETRATO 2027'!$K$5,"CONCLUÍDA",IF(F4136&lt;='RETRATO 2027'!$K$5,"EM ANDAMENTO","A INICIAR")))</f>
        <v/>
      </c>
    </row>
    <row r="4137">
      <c r="M4137" s="2">
        <f>IF(C4137="","",IFERROR(INDEX($S$5:$S$304,MATCH(C4137,$R$5:$R$304,0))&amp;"","?"))</f>
        <v/>
      </c>
      <c r="N4137" s="2">
        <f>IF(E4137="","",IF(ISNUMBER(SEARCH("SUBSOLO",E4137)),IFERROR(-VALUE(LEFT(E4137,FIND("º",SUBSTITUTE(E4137,"°","º"))-1)),-1),IF(LEFT(E4137,6)="TÉRREO",0,IFERROR(VALUE(LEFT(E4137,FIND("º",SUBSTITUTE(E4137,"°","º"))-1)),""))))</f>
        <v/>
      </c>
      <c r="O4137" s="2">
        <f>IF(OR(F4137="",G4137=""),"",IF(G4137&lt;='RETRATO 2027'!$K$5,"CONCLUÍDA",IF(F4137&lt;='RETRATO 2027'!$K$5,"EM ANDAMENTO","A INICIAR")))</f>
        <v/>
      </c>
    </row>
    <row r="4138">
      <c r="M4138" s="2">
        <f>IF(C4138="","",IFERROR(INDEX($S$5:$S$304,MATCH(C4138,$R$5:$R$304,0))&amp;"","?"))</f>
        <v/>
      </c>
      <c r="N4138" s="2">
        <f>IF(E4138="","",IF(ISNUMBER(SEARCH("SUBSOLO",E4138)),IFERROR(-VALUE(LEFT(E4138,FIND("º",SUBSTITUTE(E4138,"°","º"))-1)),-1),IF(LEFT(E4138,6)="TÉRREO",0,IFERROR(VALUE(LEFT(E4138,FIND("º",SUBSTITUTE(E4138,"°","º"))-1)),""))))</f>
        <v/>
      </c>
      <c r="O4138" s="2">
        <f>IF(OR(F4138="",G4138=""),"",IF(G4138&lt;='RETRATO 2027'!$K$5,"CONCLUÍDA",IF(F4138&lt;='RETRATO 2027'!$K$5,"EM ANDAMENTO","A INICIAR")))</f>
        <v/>
      </c>
    </row>
    <row r="4139">
      <c r="M4139" s="2">
        <f>IF(C4139="","",IFERROR(INDEX($S$5:$S$304,MATCH(C4139,$R$5:$R$304,0))&amp;"","?"))</f>
        <v/>
      </c>
      <c r="N4139" s="2">
        <f>IF(E4139="","",IF(ISNUMBER(SEARCH("SUBSOLO",E4139)),IFERROR(-VALUE(LEFT(E4139,FIND("º",SUBSTITUTE(E4139,"°","º"))-1)),-1),IF(LEFT(E4139,6)="TÉRREO",0,IFERROR(VALUE(LEFT(E4139,FIND("º",SUBSTITUTE(E4139,"°","º"))-1)),""))))</f>
        <v/>
      </c>
      <c r="O4139" s="2">
        <f>IF(OR(F4139="",G4139=""),"",IF(G4139&lt;='RETRATO 2027'!$K$5,"CONCLUÍDA",IF(F4139&lt;='RETRATO 2027'!$K$5,"EM ANDAMENTO","A INICIAR")))</f>
        <v/>
      </c>
    </row>
    <row r="4140">
      <c r="M4140" s="2">
        <f>IF(C4140="","",IFERROR(INDEX($S$5:$S$304,MATCH(C4140,$R$5:$R$304,0))&amp;"","?"))</f>
        <v/>
      </c>
      <c r="N4140" s="2">
        <f>IF(E4140="","",IF(ISNUMBER(SEARCH("SUBSOLO",E4140)),IFERROR(-VALUE(LEFT(E4140,FIND("º",SUBSTITUTE(E4140,"°","º"))-1)),-1),IF(LEFT(E4140,6)="TÉRREO",0,IFERROR(VALUE(LEFT(E4140,FIND("º",SUBSTITUTE(E4140,"°","º"))-1)),""))))</f>
        <v/>
      </c>
      <c r="O4140" s="2">
        <f>IF(OR(F4140="",G4140=""),"",IF(G4140&lt;='RETRATO 2027'!$K$5,"CONCLUÍDA",IF(F4140&lt;='RETRATO 2027'!$K$5,"EM ANDAMENTO","A INICIAR")))</f>
        <v/>
      </c>
    </row>
    <row r="4141">
      <c r="M4141" s="2">
        <f>IF(C4141="","",IFERROR(INDEX($S$5:$S$304,MATCH(C4141,$R$5:$R$304,0))&amp;"","?"))</f>
        <v/>
      </c>
      <c r="N4141" s="2">
        <f>IF(E4141="","",IF(ISNUMBER(SEARCH("SUBSOLO",E4141)),IFERROR(-VALUE(LEFT(E4141,FIND("º",SUBSTITUTE(E4141,"°","º"))-1)),-1),IF(LEFT(E4141,6)="TÉRREO",0,IFERROR(VALUE(LEFT(E4141,FIND("º",SUBSTITUTE(E4141,"°","º"))-1)),""))))</f>
        <v/>
      </c>
      <c r="O4141" s="2">
        <f>IF(OR(F4141="",G4141=""),"",IF(G4141&lt;='RETRATO 2027'!$K$5,"CONCLUÍDA",IF(F4141&lt;='RETRATO 2027'!$K$5,"EM ANDAMENTO","A INICIAR")))</f>
        <v/>
      </c>
    </row>
    <row r="4142">
      <c r="M4142" s="2">
        <f>IF(C4142="","",IFERROR(INDEX($S$5:$S$304,MATCH(C4142,$R$5:$R$304,0))&amp;"","?"))</f>
        <v/>
      </c>
      <c r="N4142" s="2">
        <f>IF(E4142="","",IF(ISNUMBER(SEARCH("SUBSOLO",E4142)),IFERROR(-VALUE(LEFT(E4142,FIND("º",SUBSTITUTE(E4142,"°","º"))-1)),-1),IF(LEFT(E4142,6)="TÉRREO",0,IFERROR(VALUE(LEFT(E4142,FIND("º",SUBSTITUTE(E4142,"°","º"))-1)),""))))</f>
        <v/>
      </c>
      <c r="O4142" s="2">
        <f>IF(OR(F4142="",G4142=""),"",IF(G4142&lt;='RETRATO 2027'!$K$5,"CONCLUÍDA",IF(F4142&lt;='RETRATO 2027'!$K$5,"EM ANDAMENTO","A INICIAR")))</f>
        <v/>
      </c>
    </row>
    <row r="4143">
      <c r="M4143" s="2">
        <f>IF(C4143="","",IFERROR(INDEX($S$5:$S$304,MATCH(C4143,$R$5:$R$304,0))&amp;"","?"))</f>
        <v/>
      </c>
      <c r="N4143" s="2">
        <f>IF(E4143="","",IF(ISNUMBER(SEARCH("SUBSOLO",E4143)),IFERROR(-VALUE(LEFT(E4143,FIND("º",SUBSTITUTE(E4143,"°","º"))-1)),-1),IF(LEFT(E4143,6)="TÉRREO",0,IFERROR(VALUE(LEFT(E4143,FIND("º",SUBSTITUTE(E4143,"°","º"))-1)),""))))</f>
        <v/>
      </c>
      <c r="O4143" s="2">
        <f>IF(OR(F4143="",G4143=""),"",IF(G4143&lt;='RETRATO 2027'!$K$5,"CONCLUÍDA",IF(F4143&lt;='RETRATO 2027'!$K$5,"EM ANDAMENTO","A INICIAR")))</f>
        <v/>
      </c>
    </row>
    <row r="4144">
      <c r="M4144" s="2">
        <f>IF(C4144="","",IFERROR(INDEX($S$5:$S$304,MATCH(C4144,$R$5:$R$304,0))&amp;"","?"))</f>
        <v/>
      </c>
      <c r="N4144" s="2">
        <f>IF(E4144="","",IF(ISNUMBER(SEARCH("SUBSOLO",E4144)),IFERROR(-VALUE(LEFT(E4144,FIND("º",SUBSTITUTE(E4144,"°","º"))-1)),-1),IF(LEFT(E4144,6)="TÉRREO",0,IFERROR(VALUE(LEFT(E4144,FIND("º",SUBSTITUTE(E4144,"°","º"))-1)),""))))</f>
        <v/>
      </c>
      <c r="O4144" s="2">
        <f>IF(OR(F4144="",G4144=""),"",IF(G4144&lt;='RETRATO 2027'!$K$5,"CONCLUÍDA",IF(F4144&lt;='RETRATO 2027'!$K$5,"EM ANDAMENTO","A INICIAR")))</f>
        <v/>
      </c>
    </row>
    <row r="4145">
      <c r="M4145" s="2">
        <f>IF(C4145="","",IFERROR(INDEX($S$5:$S$304,MATCH(C4145,$R$5:$R$304,0))&amp;"","?"))</f>
        <v/>
      </c>
      <c r="N4145" s="2">
        <f>IF(E4145="","",IF(ISNUMBER(SEARCH("SUBSOLO",E4145)),IFERROR(-VALUE(LEFT(E4145,FIND("º",SUBSTITUTE(E4145,"°","º"))-1)),-1),IF(LEFT(E4145,6)="TÉRREO",0,IFERROR(VALUE(LEFT(E4145,FIND("º",SUBSTITUTE(E4145,"°","º"))-1)),""))))</f>
        <v/>
      </c>
      <c r="O4145" s="2">
        <f>IF(OR(F4145="",G4145=""),"",IF(G4145&lt;='RETRATO 2027'!$K$5,"CONCLUÍDA",IF(F4145&lt;='RETRATO 2027'!$K$5,"EM ANDAMENTO","A INICIAR")))</f>
        <v/>
      </c>
    </row>
    <row r="4146">
      <c r="M4146" s="2">
        <f>IF(C4146="","",IFERROR(INDEX($S$5:$S$304,MATCH(C4146,$R$5:$R$304,0))&amp;"","?"))</f>
        <v/>
      </c>
      <c r="N4146" s="2">
        <f>IF(E4146="","",IF(ISNUMBER(SEARCH("SUBSOLO",E4146)),IFERROR(-VALUE(LEFT(E4146,FIND("º",SUBSTITUTE(E4146,"°","º"))-1)),-1),IF(LEFT(E4146,6)="TÉRREO",0,IFERROR(VALUE(LEFT(E4146,FIND("º",SUBSTITUTE(E4146,"°","º"))-1)),""))))</f>
        <v/>
      </c>
      <c r="O4146" s="2">
        <f>IF(OR(F4146="",G4146=""),"",IF(G4146&lt;='RETRATO 2027'!$K$5,"CONCLUÍDA",IF(F4146&lt;='RETRATO 2027'!$K$5,"EM ANDAMENTO","A INICIAR")))</f>
        <v/>
      </c>
    </row>
    <row r="4147">
      <c r="M4147" s="2">
        <f>IF(C4147="","",IFERROR(INDEX($S$5:$S$304,MATCH(C4147,$R$5:$R$304,0))&amp;"","?"))</f>
        <v/>
      </c>
      <c r="N4147" s="2">
        <f>IF(E4147="","",IF(ISNUMBER(SEARCH("SUBSOLO",E4147)),IFERROR(-VALUE(LEFT(E4147,FIND("º",SUBSTITUTE(E4147,"°","º"))-1)),-1),IF(LEFT(E4147,6)="TÉRREO",0,IFERROR(VALUE(LEFT(E4147,FIND("º",SUBSTITUTE(E4147,"°","º"))-1)),""))))</f>
        <v/>
      </c>
      <c r="O4147" s="2">
        <f>IF(OR(F4147="",G4147=""),"",IF(G4147&lt;='RETRATO 2027'!$K$5,"CONCLUÍDA",IF(F4147&lt;='RETRATO 2027'!$K$5,"EM ANDAMENTO","A INICIAR")))</f>
        <v/>
      </c>
    </row>
    <row r="4148">
      <c r="M4148" s="2">
        <f>IF(C4148="","",IFERROR(INDEX($S$5:$S$304,MATCH(C4148,$R$5:$R$304,0))&amp;"","?"))</f>
        <v/>
      </c>
      <c r="N4148" s="2">
        <f>IF(E4148="","",IF(ISNUMBER(SEARCH("SUBSOLO",E4148)),IFERROR(-VALUE(LEFT(E4148,FIND("º",SUBSTITUTE(E4148,"°","º"))-1)),-1),IF(LEFT(E4148,6)="TÉRREO",0,IFERROR(VALUE(LEFT(E4148,FIND("º",SUBSTITUTE(E4148,"°","º"))-1)),""))))</f>
        <v/>
      </c>
      <c r="O4148" s="2">
        <f>IF(OR(F4148="",G4148=""),"",IF(G4148&lt;='RETRATO 2027'!$K$5,"CONCLUÍDA",IF(F4148&lt;='RETRATO 2027'!$K$5,"EM ANDAMENTO","A INICIAR")))</f>
        <v/>
      </c>
    </row>
    <row r="4149">
      <c r="M4149" s="2">
        <f>IF(C4149="","",IFERROR(INDEX($S$5:$S$304,MATCH(C4149,$R$5:$R$304,0))&amp;"","?"))</f>
        <v/>
      </c>
      <c r="N4149" s="2">
        <f>IF(E4149="","",IF(ISNUMBER(SEARCH("SUBSOLO",E4149)),IFERROR(-VALUE(LEFT(E4149,FIND("º",SUBSTITUTE(E4149,"°","º"))-1)),-1),IF(LEFT(E4149,6)="TÉRREO",0,IFERROR(VALUE(LEFT(E4149,FIND("º",SUBSTITUTE(E4149,"°","º"))-1)),""))))</f>
        <v/>
      </c>
      <c r="O4149" s="2">
        <f>IF(OR(F4149="",G4149=""),"",IF(G4149&lt;='RETRATO 2027'!$K$5,"CONCLUÍDA",IF(F4149&lt;='RETRATO 2027'!$K$5,"EM ANDAMENTO","A INICIAR")))</f>
        <v/>
      </c>
    </row>
    <row r="4150">
      <c r="M4150" s="2">
        <f>IF(C4150="","",IFERROR(INDEX($S$5:$S$304,MATCH(C4150,$R$5:$R$304,0))&amp;"","?"))</f>
        <v/>
      </c>
      <c r="N4150" s="2">
        <f>IF(E4150="","",IF(ISNUMBER(SEARCH("SUBSOLO",E4150)),IFERROR(-VALUE(LEFT(E4150,FIND("º",SUBSTITUTE(E4150,"°","º"))-1)),-1),IF(LEFT(E4150,6)="TÉRREO",0,IFERROR(VALUE(LEFT(E4150,FIND("º",SUBSTITUTE(E4150,"°","º"))-1)),""))))</f>
        <v/>
      </c>
      <c r="O4150" s="2">
        <f>IF(OR(F4150="",G4150=""),"",IF(G4150&lt;='RETRATO 2027'!$K$5,"CONCLUÍDA",IF(F4150&lt;='RETRATO 2027'!$K$5,"EM ANDAMENTO","A INICIAR")))</f>
        <v/>
      </c>
    </row>
    <row r="4151">
      <c r="M4151" s="2">
        <f>IF(C4151="","",IFERROR(INDEX($S$5:$S$304,MATCH(C4151,$R$5:$R$304,0))&amp;"","?"))</f>
        <v/>
      </c>
      <c r="N4151" s="2">
        <f>IF(E4151="","",IF(ISNUMBER(SEARCH("SUBSOLO",E4151)),IFERROR(-VALUE(LEFT(E4151,FIND("º",SUBSTITUTE(E4151,"°","º"))-1)),-1),IF(LEFT(E4151,6)="TÉRREO",0,IFERROR(VALUE(LEFT(E4151,FIND("º",SUBSTITUTE(E4151,"°","º"))-1)),""))))</f>
        <v/>
      </c>
      <c r="O4151" s="2">
        <f>IF(OR(F4151="",G4151=""),"",IF(G4151&lt;='RETRATO 2027'!$K$5,"CONCLUÍDA",IF(F4151&lt;='RETRATO 2027'!$K$5,"EM ANDAMENTO","A INICIAR")))</f>
        <v/>
      </c>
    </row>
    <row r="4152">
      <c r="M4152" s="2">
        <f>IF(C4152="","",IFERROR(INDEX($S$5:$S$304,MATCH(C4152,$R$5:$R$304,0))&amp;"","?"))</f>
        <v/>
      </c>
      <c r="N4152" s="2">
        <f>IF(E4152="","",IF(ISNUMBER(SEARCH("SUBSOLO",E4152)),IFERROR(-VALUE(LEFT(E4152,FIND("º",SUBSTITUTE(E4152,"°","º"))-1)),-1),IF(LEFT(E4152,6)="TÉRREO",0,IFERROR(VALUE(LEFT(E4152,FIND("º",SUBSTITUTE(E4152,"°","º"))-1)),""))))</f>
        <v/>
      </c>
      <c r="O4152" s="2">
        <f>IF(OR(F4152="",G4152=""),"",IF(G4152&lt;='RETRATO 2027'!$K$5,"CONCLUÍDA",IF(F4152&lt;='RETRATO 2027'!$K$5,"EM ANDAMENTO","A INICIAR")))</f>
        <v/>
      </c>
    </row>
    <row r="4153">
      <c r="M4153" s="2">
        <f>IF(C4153="","",IFERROR(INDEX($S$5:$S$304,MATCH(C4153,$R$5:$R$304,0))&amp;"","?"))</f>
        <v/>
      </c>
      <c r="N4153" s="2">
        <f>IF(E4153="","",IF(ISNUMBER(SEARCH("SUBSOLO",E4153)),IFERROR(-VALUE(LEFT(E4153,FIND("º",SUBSTITUTE(E4153,"°","º"))-1)),-1),IF(LEFT(E4153,6)="TÉRREO",0,IFERROR(VALUE(LEFT(E4153,FIND("º",SUBSTITUTE(E4153,"°","º"))-1)),""))))</f>
        <v/>
      </c>
      <c r="O4153" s="2">
        <f>IF(OR(F4153="",G4153=""),"",IF(G4153&lt;='RETRATO 2027'!$K$5,"CONCLUÍDA",IF(F4153&lt;='RETRATO 2027'!$K$5,"EM ANDAMENTO","A INICIAR")))</f>
        <v/>
      </c>
    </row>
    <row r="4154">
      <c r="M4154" s="2">
        <f>IF(C4154="","",IFERROR(INDEX($S$5:$S$304,MATCH(C4154,$R$5:$R$304,0))&amp;"","?"))</f>
        <v/>
      </c>
      <c r="N4154" s="2">
        <f>IF(E4154="","",IF(ISNUMBER(SEARCH("SUBSOLO",E4154)),IFERROR(-VALUE(LEFT(E4154,FIND("º",SUBSTITUTE(E4154,"°","º"))-1)),-1),IF(LEFT(E4154,6)="TÉRREO",0,IFERROR(VALUE(LEFT(E4154,FIND("º",SUBSTITUTE(E4154,"°","º"))-1)),""))))</f>
        <v/>
      </c>
      <c r="O4154" s="2">
        <f>IF(OR(F4154="",G4154=""),"",IF(G4154&lt;='RETRATO 2027'!$K$5,"CONCLUÍDA",IF(F4154&lt;='RETRATO 2027'!$K$5,"EM ANDAMENTO","A INICIAR")))</f>
        <v/>
      </c>
    </row>
    <row r="4155">
      <c r="M4155" s="2">
        <f>IF(C4155="","",IFERROR(INDEX($S$5:$S$304,MATCH(C4155,$R$5:$R$304,0))&amp;"","?"))</f>
        <v/>
      </c>
      <c r="N4155" s="2">
        <f>IF(E4155="","",IF(ISNUMBER(SEARCH("SUBSOLO",E4155)),IFERROR(-VALUE(LEFT(E4155,FIND("º",SUBSTITUTE(E4155,"°","º"))-1)),-1),IF(LEFT(E4155,6)="TÉRREO",0,IFERROR(VALUE(LEFT(E4155,FIND("º",SUBSTITUTE(E4155,"°","º"))-1)),""))))</f>
        <v/>
      </c>
      <c r="O4155" s="2">
        <f>IF(OR(F4155="",G4155=""),"",IF(G4155&lt;='RETRATO 2027'!$K$5,"CONCLUÍDA",IF(F4155&lt;='RETRATO 2027'!$K$5,"EM ANDAMENTO","A INICIAR")))</f>
        <v/>
      </c>
    </row>
    <row r="4156">
      <c r="M4156" s="2">
        <f>IF(C4156="","",IFERROR(INDEX($S$5:$S$304,MATCH(C4156,$R$5:$R$304,0))&amp;"","?"))</f>
        <v/>
      </c>
      <c r="N4156" s="2">
        <f>IF(E4156="","",IF(ISNUMBER(SEARCH("SUBSOLO",E4156)),IFERROR(-VALUE(LEFT(E4156,FIND("º",SUBSTITUTE(E4156,"°","º"))-1)),-1),IF(LEFT(E4156,6)="TÉRREO",0,IFERROR(VALUE(LEFT(E4156,FIND("º",SUBSTITUTE(E4156,"°","º"))-1)),""))))</f>
        <v/>
      </c>
      <c r="O4156" s="2">
        <f>IF(OR(F4156="",G4156=""),"",IF(G4156&lt;='RETRATO 2027'!$K$5,"CONCLUÍDA",IF(F4156&lt;='RETRATO 2027'!$K$5,"EM ANDAMENTO","A INICIAR")))</f>
        <v/>
      </c>
    </row>
    <row r="4157">
      <c r="M4157" s="2">
        <f>IF(C4157="","",IFERROR(INDEX($S$5:$S$304,MATCH(C4157,$R$5:$R$304,0))&amp;"","?"))</f>
        <v/>
      </c>
      <c r="N4157" s="2">
        <f>IF(E4157="","",IF(ISNUMBER(SEARCH("SUBSOLO",E4157)),IFERROR(-VALUE(LEFT(E4157,FIND("º",SUBSTITUTE(E4157,"°","º"))-1)),-1),IF(LEFT(E4157,6)="TÉRREO",0,IFERROR(VALUE(LEFT(E4157,FIND("º",SUBSTITUTE(E4157,"°","º"))-1)),""))))</f>
        <v/>
      </c>
      <c r="O4157" s="2">
        <f>IF(OR(F4157="",G4157=""),"",IF(G4157&lt;='RETRATO 2027'!$K$5,"CONCLUÍDA",IF(F4157&lt;='RETRATO 2027'!$K$5,"EM ANDAMENTO","A INICIAR")))</f>
        <v/>
      </c>
    </row>
    <row r="4158">
      <c r="M4158" s="2">
        <f>IF(C4158="","",IFERROR(INDEX($S$5:$S$304,MATCH(C4158,$R$5:$R$304,0))&amp;"","?"))</f>
        <v/>
      </c>
      <c r="N4158" s="2">
        <f>IF(E4158="","",IF(ISNUMBER(SEARCH("SUBSOLO",E4158)),IFERROR(-VALUE(LEFT(E4158,FIND("º",SUBSTITUTE(E4158,"°","º"))-1)),-1),IF(LEFT(E4158,6)="TÉRREO",0,IFERROR(VALUE(LEFT(E4158,FIND("º",SUBSTITUTE(E4158,"°","º"))-1)),""))))</f>
        <v/>
      </c>
      <c r="O4158" s="2">
        <f>IF(OR(F4158="",G4158=""),"",IF(G4158&lt;='RETRATO 2027'!$K$5,"CONCLUÍDA",IF(F4158&lt;='RETRATO 2027'!$K$5,"EM ANDAMENTO","A INICIAR")))</f>
        <v/>
      </c>
    </row>
    <row r="4159">
      <c r="M4159" s="2">
        <f>IF(C4159="","",IFERROR(INDEX($S$5:$S$304,MATCH(C4159,$R$5:$R$304,0))&amp;"","?"))</f>
        <v/>
      </c>
      <c r="N4159" s="2">
        <f>IF(E4159="","",IF(ISNUMBER(SEARCH("SUBSOLO",E4159)),IFERROR(-VALUE(LEFT(E4159,FIND("º",SUBSTITUTE(E4159,"°","º"))-1)),-1),IF(LEFT(E4159,6)="TÉRREO",0,IFERROR(VALUE(LEFT(E4159,FIND("º",SUBSTITUTE(E4159,"°","º"))-1)),""))))</f>
        <v/>
      </c>
      <c r="O4159" s="2">
        <f>IF(OR(F4159="",G4159=""),"",IF(G4159&lt;='RETRATO 2027'!$K$5,"CONCLUÍDA",IF(F4159&lt;='RETRATO 2027'!$K$5,"EM ANDAMENTO","A INICIAR")))</f>
        <v/>
      </c>
    </row>
    <row r="4160">
      <c r="M4160" s="2">
        <f>IF(C4160="","",IFERROR(INDEX($S$5:$S$304,MATCH(C4160,$R$5:$R$304,0))&amp;"","?"))</f>
        <v/>
      </c>
      <c r="N4160" s="2">
        <f>IF(E4160="","",IF(ISNUMBER(SEARCH("SUBSOLO",E4160)),IFERROR(-VALUE(LEFT(E4160,FIND("º",SUBSTITUTE(E4160,"°","º"))-1)),-1),IF(LEFT(E4160,6)="TÉRREO",0,IFERROR(VALUE(LEFT(E4160,FIND("º",SUBSTITUTE(E4160,"°","º"))-1)),""))))</f>
        <v/>
      </c>
      <c r="O4160" s="2">
        <f>IF(OR(F4160="",G4160=""),"",IF(G4160&lt;='RETRATO 2027'!$K$5,"CONCLUÍDA",IF(F4160&lt;='RETRATO 2027'!$K$5,"EM ANDAMENTO","A INICIAR")))</f>
        <v/>
      </c>
    </row>
    <row r="4161">
      <c r="M4161" s="2">
        <f>IF(C4161="","",IFERROR(INDEX($S$5:$S$304,MATCH(C4161,$R$5:$R$304,0))&amp;"","?"))</f>
        <v/>
      </c>
      <c r="N4161" s="2">
        <f>IF(E4161="","",IF(ISNUMBER(SEARCH("SUBSOLO",E4161)),IFERROR(-VALUE(LEFT(E4161,FIND("º",SUBSTITUTE(E4161,"°","º"))-1)),-1),IF(LEFT(E4161,6)="TÉRREO",0,IFERROR(VALUE(LEFT(E4161,FIND("º",SUBSTITUTE(E4161,"°","º"))-1)),""))))</f>
        <v/>
      </c>
      <c r="O4161" s="2">
        <f>IF(OR(F4161="",G4161=""),"",IF(G4161&lt;='RETRATO 2027'!$K$5,"CONCLUÍDA",IF(F4161&lt;='RETRATO 2027'!$K$5,"EM ANDAMENTO","A INICIAR")))</f>
        <v/>
      </c>
    </row>
    <row r="4162">
      <c r="M4162" s="2">
        <f>IF(C4162="","",IFERROR(INDEX($S$5:$S$304,MATCH(C4162,$R$5:$R$304,0))&amp;"","?"))</f>
        <v/>
      </c>
      <c r="N4162" s="2">
        <f>IF(E4162="","",IF(ISNUMBER(SEARCH("SUBSOLO",E4162)),IFERROR(-VALUE(LEFT(E4162,FIND("º",SUBSTITUTE(E4162,"°","º"))-1)),-1),IF(LEFT(E4162,6)="TÉRREO",0,IFERROR(VALUE(LEFT(E4162,FIND("º",SUBSTITUTE(E4162,"°","º"))-1)),""))))</f>
        <v/>
      </c>
      <c r="O4162" s="2">
        <f>IF(OR(F4162="",G4162=""),"",IF(G4162&lt;='RETRATO 2027'!$K$5,"CONCLUÍDA",IF(F4162&lt;='RETRATO 2027'!$K$5,"EM ANDAMENTO","A INICIAR")))</f>
        <v/>
      </c>
    </row>
    <row r="4163">
      <c r="M4163" s="2">
        <f>IF(C4163="","",IFERROR(INDEX($S$5:$S$304,MATCH(C4163,$R$5:$R$304,0))&amp;"","?"))</f>
        <v/>
      </c>
      <c r="N4163" s="2">
        <f>IF(E4163="","",IF(ISNUMBER(SEARCH("SUBSOLO",E4163)),IFERROR(-VALUE(LEFT(E4163,FIND("º",SUBSTITUTE(E4163,"°","º"))-1)),-1),IF(LEFT(E4163,6)="TÉRREO",0,IFERROR(VALUE(LEFT(E4163,FIND("º",SUBSTITUTE(E4163,"°","º"))-1)),""))))</f>
        <v/>
      </c>
      <c r="O4163" s="2">
        <f>IF(OR(F4163="",G4163=""),"",IF(G4163&lt;='RETRATO 2027'!$K$5,"CONCLUÍDA",IF(F4163&lt;='RETRATO 2027'!$K$5,"EM ANDAMENTO","A INICIAR")))</f>
        <v/>
      </c>
    </row>
    <row r="4164">
      <c r="M4164" s="2">
        <f>IF(C4164="","",IFERROR(INDEX($S$5:$S$304,MATCH(C4164,$R$5:$R$304,0))&amp;"","?"))</f>
        <v/>
      </c>
      <c r="N4164" s="2">
        <f>IF(E4164="","",IF(ISNUMBER(SEARCH("SUBSOLO",E4164)),IFERROR(-VALUE(LEFT(E4164,FIND("º",SUBSTITUTE(E4164,"°","º"))-1)),-1),IF(LEFT(E4164,6)="TÉRREO",0,IFERROR(VALUE(LEFT(E4164,FIND("º",SUBSTITUTE(E4164,"°","º"))-1)),""))))</f>
        <v/>
      </c>
      <c r="O4164" s="2">
        <f>IF(OR(F4164="",G4164=""),"",IF(G4164&lt;='RETRATO 2027'!$K$5,"CONCLUÍDA",IF(F4164&lt;='RETRATO 2027'!$K$5,"EM ANDAMENTO","A INICIAR")))</f>
        <v/>
      </c>
    </row>
    <row r="4165">
      <c r="M4165" s="2">
        <f>IF(C4165="","",IFERROR(INDEX($S$5:$S$304,MATCH(C4165,$R$5:$R$304,0))&amp;"","?"))</f>
        <v/>
      </c>
      <c r="N4165" s="2">
        <f>IF(E4165="","",IF(ISNUMBER(SEARCH("SUBSOLO",E4165)),IFERROR(-VALUE(LEFT(E4165,FIND("º",SUBSTITUTE(E4165,"°","º"))-1)),-1),IF(LEFT(E4165,6)="TÉRREO",0,IFERROR(VALUE(LEFT(E4165,FIND("º",SUBSTITUTE(E4165,"°","º"))-1)),""))))</f>
        <v/>
      </c>
      <c r="O4165" s="2">
        <f>IF(OR(F4165="",G4165=""),"",IF(G4165&lt;='RETRATO 2027'!$K$5,"CONCLUÍDA",IF(F4165&lt;='RETRATO 2027'!$K$5,"EM ANDAMENTO","A INICIAR")))</f>
        <v/>
      </c>
    </row>
    <row r="4166">
      <c r="M4166" s="2">
        <f>IF(C4166="","",IFERROR(INDEX($S$5:$S$304,MATCH(C4166,$R$5:$R$304,0))&amp;"","?"))</f>
        <v/>
      </c>
      <c r="N4166" s="2">
        <f>IF(E4166="","",IF(ISNUMBER(SEARCH("SUBSOLO",E4166)),IFERROR(-VALUE(LEFT(E4166,FIND("º",SUBSTITUTE(E4166,"°","º"))-1)),-1),IF(LEFT(E4166,6)="TÉRREO",0,IFERROR(VALUE(LEFT(E4166,FIND("º",SUBSTITUTE(E4166,"°","º"))-1)),""))))</f>
        <v/>
      </c>
      <c r="O4166" s="2">
        <f>IF(OR(F4166="",G4166=""),"",IF(G4166&lt;='RETRATO 2027'!$K$5,"CONCLUÍDA",IF(F4166&lt;='RETRATO 2027'!$K$5,"EM ANDAMENTO","A INICIAR")))</f>
        <v/>
      </c>
    </row>
    <row r="4167">
      <c r="M4167" s="2">
        <f>IF(C4167="","",IFERROR(INDEX($S$5:$S$304,MATCH(C4167,$R$5:$R$304,0))&amp;"","?"))</f>
        <v/>
      </c>
      <c r="N4167" s="2">
        <f>IF(E4167="","",IF(ISNUMBER(SEARCH("SUBSOLO",E4167)),IFERROR(-VALUE(LEFT(E4167,FIND("º",SUBSTITUTE(E4167,"°","º"))-1)),-1),IF(LEFT(E4167,6)="TÉRREO",0,IFERROR(VALUE(LEFT(E4167,FIND("º",SUBSTITUTE(E4167,"°","º"))-1)),""))))</f>
        <v/>
      </c>
      <c r="O4167" s="2">
        <f>IF(OR(F4167="",G4167=""),"",IF(G4167&lt;='RETRATO 2027'!$K$5,"CONCLUÍDA",IF(F4167&lt;='RETRATO 2027'!$K$5,"EM ANDAMENTO","A INICIAR")))</f>
        <v/>
      </c>
    </row>
    <row r="4168">
      <c r="M4168" s="2">
        <f>IF(C4168="","",IFERROR(INDEX($S$5:$S$304,MATCH(C4168,$R$5:$R$304,0))&amp;"","?"))</f>
        <v/>
      </c>
      <c r="N4168" s="2">
        <f>IF(E4168="","",IF(ISNUMBER(SEARCH("SUBSOLO",E4168)),IFERROR(-VALUE(LEFT(E4168,FIND("º",SUBSTITUTE(E4168,"°","º"))-1)),-1),IF(LEFT(E4168,6)="TÉRREO",0,IFERROR(VALUE(LEFT(E4168,FIND("º",SUBSTITUTE(E4168,"°","º"))-1)),""))))</f>
        <v/>
      </c>
      <c r="O4168" s="2">
        <f>IF(OR(F4168="",G4168=""),"",IF(G4168&lt;='RETRATO 2027'!$K$5,"CONCLUÍDA",IF(F4168&lt;='RETRATO 2027'!$K$5,"EM ANDAMENTO","A INICIAR")))</f>
        <v/>
      </c>
    </row>
    <row r="4169">
      <c r="M4169" s="2">
        <f>IF(C4169="","",IFERROR(INDEX($S$5:$S$304,MATCH(C4169,$R$5:$R$304,0))&amp;"","?"))</f>
        <v/>
      </c>
      <c r="N4169" s="2">
        <f>IF(E4169="","",IF(ISNUMBER(SEARCH("SUBSOLO",E4169)),IFERROR(-VALUE(LEFT(E4169,FIND("º",SUBSTITUTE(E4169,"°","º"))-1)),-1),IF(LEFT(E4169,6)="TÉRREO",0,IFERROR(VALUE(LEFT(E4169,FIND("º",SUBSTITUTE(E4169,"°","º"))-1)),""))))</f>
        <v/>
      </c>
      <c r="O4169" s="2">
        <f>IF(OR(F4169="",G4169=""),"",IF(G4169&lt;='RETRATO 2027'!$K$5,"CONCLUÍDA",IF(F4169&lt;='RETRATO 2027'!$K$5,"EM ANDAMENTO","A INICIAR")))</f>
        <v/>
      </c>
    </row>
    <row r="4170">
      <c r="M4170" s="2">
        <f>IF(C4170="","",IFERROR(INDEX($S$5:$S$304,MATCH(C4170,$R$5:$R$304,0))&amp;"","?"))</f>
        <v/>
      </c>
      <c r="N4170" s="2">
        <f>IF(E4170="","",IF(ISNUMBER(SEARCH("SUBSOLO",E4170)),IFERROR(-VALUE(LEFT(E4170,FIND("º",SUBSTITUTE(E4170,"°","º"))-1)),-1),IF(LEFT(E4170,6)="TÉRREO",0,IFERROR(VALUE(LEFT(E4170,FIND("º",SUBSTITUTE(E4170,"°","º"))-1)),""))))</f>
        <v/>
      </c>
      <c r="O4170" s="2">
        <f>IF(OR(F4170="",G4170=""),"",IF(G4170&lt;='RETRATO 2027'!$K$5,"CONCLUÍDA",IF(F4170&lt;='RETRATO 2027'!$K$5,"EM ANDAMENTO","A INICIAR")))</f>
        <v/>
      </c>
    </row>
    <row r="4171">
      <c r="M4171" s="2">
        <f>IF(C4171="","",IFERROR(INDEX($S$5:$S$304,MATCH(C4171,$R$5:$R$304,0))&amp;"","?"))</f>
        <v/>
      </c>
      <c r="N4171" s="2">
        <f>IF(E4171="","",IF(ISNUMBER(SEARCH("SUBSOLO",E4171)),IFERROR(-VALUE(LEFT(E4171,FIND("º",SUBSTITUTE(E4171,"°","º"))-1)),-1),IF(LEFT(E4171,6)="TÉRREO",0,IFERROR(VALUE(LEFT(E4171,FIND("º",SUBSTITUTE(E4171,"°","º"))-1)),""))))</f>
        <v/>
      </c>
      <c r="O4171" s="2">
        <f>IF(OR(F4171="",G4171=""),"",IF(G4171&lt;='RETRATO 2027'!$K$5,"CONCLUÍDA",IF(F4171&lt;='RETRATO 2027'!$K$5,"EM ANDAMENTO","A INICIAR")))</f>
        <v/>
      </c>
    </row>
    <row r="4172">
      <c r="M4172" s="2">
        <f>IF(C4172="","",IFERROR(INDEX($S$5:$S$304,MATCH(C4172,$R$5:$R$304,0))&amp;"","?"))</f>
        <v/>
      </c>
      <c r="N4172" s="2">
        <f>IF(E4172="","",IF(ISNUMBER(SEARCH("SUBSOLO",E4172)),IFERROR(-VALUE(LEFT(E4172,FIND("º",SUBSTITUTE(E4172,"°","º"))-1)),-1),IF(LEFT(E4172,6)="TÉRREO",0,IFERROR(VALUE(LEFT(E4172,FIND("º",SUBSTITUTE(E4172,"°","º"))-1)),""))))</f>
        <v/>
      </c>
      <c r="O4172" s="2">
        <f>IF(OR(F4172="",G4172=""),"",IF(G4172&lt;='RETRATO 2027'!$K$5,"CONCLUÍDA",IF(F4172&lt;='RETRATO 2027'!$K$5,"EM ANDAMENTO","A INICIAR")))</f>
        <v/>
      </c>
    </row>
    <row r="4173">
      <c r="M4173" s="2">
        <f>IF(C4173="","",IFERROR(INDEX($S$5:$S$304,MATCH(C4173,$R$5:$R$304,0))&amp;"","?"))</f>
        <v/>
      </c>
      <c r="N4173" s="2">
        <f>IF(E4173="","",IF(ISNUMBER(SEARCH("SUBSOLO",E4173)),IFERROR(-VALUE(LEFT(E4173,FIND("º",SUBSTITUTE(E4173,"°","º"))-1)),-1),IF(LEFT(E4173,6)="TÉRREO",0,IFERROR(VALUE(LEFT(E4173,FIND("º",SUBSTITUTE(E4173,"°","º"))-1)),""))))</f>
        <v/>
      </c>
      <c r="O4173" s="2">
        <f>IF(OR(F4173="",G4173=""),"",IF(G4173&lt;='RETRATO 2027'!$K$5,"CONCLUÍDA",IF(F4173&lt;='RETRATO 2027'!$K$5,"EM ANDAMENTO","A INICIAR")))</f>
        <v/>
      </c>
    </row>
    <row r="4174">
      <c r="M4174" s="2">
        <f>IF(C4174="","",IFERROR(INDEX($S$5:$S$304,MATCH(C4174,$R$5:$R$304,0))&amp;"","?"))</f>
        <v/>
      </c>
      <c r="N4174" s="2">
        <f>IF(E4174="","",IF(ISNUMBER(SEARCH("SUBSOLO",E4174)),IFERROR(-VALUE(LEFT(E4174,FIND("º",SUBSTITUTE(E4174,"°","º"))-1)),-1),IF(LEFT(E4174,6)="TÉRREO",0,IFERROR(VALUE(LEFT(E4174,FIND("º",SUBSTITUTE(E4174,"°","º"))-1)),""))))</f>
        <v/>
      </c>
      <c r="O4174" s="2">
        <f>IF(OR(F4174="",G4174=""),"",IF(G4174&lt;='RETRATO 2027'!$K$5,"CONCLUÍDA",IF(F4174&lt;='RETRATO 2027'!$K$5,"EM ANDAMENTO","A INICIAR")))</f>
        <v/>
      </c>
    </row>
    <row r="4175">
      <c r="M4175" s="2">
        <f>IF(C4175="","",IFERROR(INDEX($S$5:$S$304,MATCH(C4175,$R$5:$R$304,0))&amp;"","?"))</f>
        <v/>
      </c>
      <c r="N4175" s="2">
        <f>IF(E4175="","",IF(ISNUMBER(SEARCH("SUBSOLO",E4175)),IFERROR(-VALUE(LEFT(E4175,FIND("º",SUBSTITUTE(E4175,"°","º"))-1)),-1),IF(LEFT(E4175,6)="TÉRREO",0,IFERROR(VALUE(LEFT(E4175,FIND("º",SUBSTITUTE(E4175,"°","º"))-1)),""))))</f>
        <v/>
      </c>
      <c r="O4175" s="2">
        <f>IF(OR(F4175="",G4175=""),"",IF(G4175&lt;='RETRATO 2027'!$K$5,"CONCLUÍDA",IF(F4175&lt;='RETRATO 2027'!$K$5,"EM ANDAMENTO","A INICIAR")))</f>
        <v/>
      </c>
    </row>
    <row r="4176">
      <c r="M4176" s="2">
        <f>IF(C4176="","",IFERROR(INDEX($S$5:$S$304,MATCH(C4176,$R$5:$R$304,0))&amp;"","?"))</f>
        <v/>
      </c>
      <c r="N4176" s="2">
        <f>IF(E4176="","",IF(ISNUMBER(SEARCH("SUBSOLO",E4176)),IFERROR(-VALUE(LEFT(E4176,FIND("º",SUBSTITUTE(E4176,"°","º"))-1)),-1),IF(LEFT(E4176,6)="TÉRREO",0,IFERROR(VALUE(LEFT(E4176,FIND("º",SUBSTITUTE(E4176,"°","º"))-1)),""))))</f>
        <v/>
      </c>
      <c r="O4176" s="2">
        <f>IF(OR(F4176="",G4176=""),"",IF(G4176&lt;='RETRATO 2027'!$K$5,"CONCLUÍDA",IF(F4176&lt;='RETRATO 2027'!$K$5,"EM ANDAMENTO","A INICIAR")))</f>
        <v/>
      </c>
    </row>
    <row r="4177">
      <c r="M4177" s="2">
        <f>IF(C4177="","",IFERROR(INDEX($S$5:$S$304,MATCH(C4177,$R$5:$R$304,0))&amp;"","?"))</f>
        <v/>
      </c>
      <c r="N4177" s="2">
        <f>IF(E4177="","",IF(ISNUMBER(SEARCH("SUBSOLO",E4177)),IFERROR(-VALUE(LEFT(E4177,FIND("º",SUBSTITUTE(E4177,"°","º"))-1)),-1),IF(LEFT(E4177,6)="TÉRREO",0,IFERROR(VALUE(LEFT(E4177,FIND("º",SUBSTITUTE(E4177,"°","º"))-1)),""))))</f>
        <v/>
      </c>
      <c r="O4177" s="2">
        <f>IF(OR(F4177="",G4177=""),"",IF(G4177&lt;='RETRATO 2027'!$K$5,"CONCLUÍDA",IF(F4177&lt;='RETRATO 2027'!$K$5,"EM ANDAMENTO","A INICIAR")))</f>
        <v/>
      </c>
    </row>
    <row r="4178">
      <c r="M4178" s="2">
        <f>IF(C4178="","",IFERROR(INDEX($S$5:$S$304,MATCH(C4178,$R$5:$R$304,0))&amp;"","?"))</f>
        <v/>
      </c>
      <c r="N4178" s="2">
        <f>IF(E4178="","",IF(ISNUMBER(SEARCH("SUBSOLO",E4178)),IFERROR(-VALUE(LEFT(E4178,FIND("º",SUBSTITUTE(E4178,"°","º"))-1)),-1),IF(LEFT(E4178,6)="TÉRREO",0,IFERROR(VALUE(LEFT(E4178,FIND("º",SUBSTITUTE(E4178,"°","º"))-1)),""))))</f>
        <v/>
      </c>
      <c r="O4178" s="2">
        <f>IF(OR(F4178="",G4178=""),"",IF(G4178&lt;='RETRATO 2027'!$K$5,"CONCLUÍDA",IF(F4178&lt;='RETRATO 2027'!$K$5,"EM ANDAMENTO","A INICIAR")))</f>
        <v/>
      </c>
    </row>
    <row r="4179">
      <c r="M4179" s="2">
        <f>IF(C4179="","",IFERROR(INDEX($S$5:$S$304,MATCH(C4179,$R$5:$R$304,0))&amp;"","?"))</f>
        <v/>
      </c>
      <c r="N4179" s="2">
        <f>IF(E4179="","",IF(ISNUMBER(SEARCH("SUBSOLO",E4179)),IFERROR(-VALUE(LEFT(E4179,FIND("º",SUBSTITUTE(E4179,"°","º"))-1)),-1),IF(LEFT(E4179,6)="TÉRREO",0,IFERROR(VALUE(LEFT(E4179,FIND("º",SUBSTITUTE(E4179,"°","º"))-1)),""))))</f>
        <v/>
      </c>
      <c r="O4179" s="2">
        <f>IF(OR(F4179="",G4179=""),"",IF(G4179&lt;='RETRATO 2027'!$K$5,"CONCLUÍDA",IF(F4179&lt;='RETRATO 2027'!$K$5,"EM ANDAMENTO","A INICIAR")))</f>
        <v/>
      </c>
    </row>
    <row r="4180">
      <c r="M4180" s="2">
        <f>IF(C4180="","",IFERROR(INDEX($S$5:$S$304,MATCH(C4180,$R$5:$R$304,0))&amp;"","?"))</f>
        <v/>
      </c>
      <c r="N4180" s="2">
        <f>IF(E4180="","",IF(ISNUMBER(SEARCH("SUBSOLO",E4180)),IFERROR(-VALUE(LEFT(E4180,FIND("º",SUBSTITUTE(E4180,"°","º"))-1)),-1),IF(LEFT(E4180,6)="TÉRREO",0,IFERROR(VALUE(LEFT(E4180,FIND("º",SUBSTITUTE(E4180,"°","º"))-1)),""))))</f>
        <v/>
      </c>
      <c r="O4180" s="2">
        <f>IF(OR(F4180="",G4180=""),"",IF(G4180&lt;='RETRATO 2027'!$K$5,"CONCLUÍDA",IF(F4180&lt;='RETRATO 2027'!$K$5,"EM ANDAMENTO","A INICIAR")))</f>
        <v/>
      </c>
    </row>
    <row r="4181">
      <c r="M4181" s="2">
        <f>IF(C4181="","",IFERROR(INDEX($S$5:$S$304,MATCH(C4181,$R$5:$R$304,0))&amp;"","?"))</f>
        <v/>
      </c>
      <c r="N4181" s="2">
        <f>IF(E4181="","",IF(ISNUMBER(SEARCH("SUBSOLO",E4181)),IFERROR(-VALUE(LEFT(E4181,FIND("º",SUBSTITUTE(E4181,"°","º"))-1)),-1),IF(LEFT(E4181,6)="TÉRREO",0,IFERROR(VALUE(LEFT(E4181,FIND("º",SUBSTITUTE(E4181,"°","º"))-1)),""))))</f>
        <v/>
      </c>
      <c r="O4181" s="2">
        <f>IF(OR(F4181="",G4181=""),"",IF(G4181&lt;='RETRATO 2027'!$K$5,"CONCLUÍDA",IF(F4181&lt;='RETRATO 2027'!$K$5,"EM ANDAMENTO","A INICIAR")))</f>
        <v/>
      </c>
    </row>
    <row r="4182">
      <c r="M4182" s="2">
        <f>IF(C4182="","",IFERROR(INDEX($S$5:$S$304,MATCH(C4182,$R$5:$R$304,0))&amp;"","?"))</f>
        <v/>
      </c>
      <c r="N4182" s="2">
        <f>IF(E4182="","",IF(ISNUMBER(SEARCH("SUBSOLO",E4182)),IFERROR(-VALUE(LEFT(E4182,FIND("º",SUBSTITUTE(E4182,"°","º"))-1)),-1),IF(LEFT(E4182,6)="TÉRREO",0,IFERROR(VALUE(LEFT(E4182,FIND("º",SUBSTITUTE(E4182,"°","º"))-1)),""))))</f>
        <v/>
      </c>
      <c r="O4182" s="2">
        <f>IF(OR(F4182="",G4182=""),"",IF(G4182&lt;='RETRATO 2027'!$K$5,"CONCLUÍDA",IF(F4182&lt;='RETRATO 2027'!$K$5,"EM ANDAMENTO","A INICIAR")))</f>
        <v/>
      </c>
    </row>
    <row r="4183">
      <c r="M4183" s="2">
        <f>IF(C4183="","",IFERROR(INDEX($S$5:$S$304,MATCH(C4183,$R$5:$R$304,0))&amp;"","?"))</f>
        <v/>
      </c>
      <c r="N4183" s="2">
        <f>IF(E4183="","",IF(ISNUMBER(SEARCH("SUBSOLO",E4183)),IFERROR(-VALUE(LEFT(E4183,FIND("º",SUBSTITUTE(E4183,"°","º"))-1)),-1),IF(LEFT(E4183,6)="TÉRREO",0,IFERROR(VALUE(LEFT(E4183,FIND("º",SUBSTITUTE(E4183,"°","º"))-1)),""))))</f>
        <v/>
      </c>
      <c r="O4183" s="2">
        <f>IF(OR(F4183="",G4183=""),"",IF(G4183&lt;='RETRATO 2027'!$K$5,"CONCLUÍDA",IF(F4183&lt;='RETRATO 2027'!$K$5,"EM ANDAMENTO","A INICIAR")))</f>
        <v/>
      </c>
    </row>
    <row r="4184">
      <c r="M4184" s="2">
        <f>IF(C4184="","",IFERROR(INDEX($S$5:$S$304,MATCH(C4184,$R$5:$R$304,0))&amp;"","?"))</f>
        <v/>
      </c>
      <c r="N4184" s="2">
        <f>IF(E4184="","",IF(ISNUMBER(SEARCH("SUBSOLO",E4184)),IFERROR(-VALUE(LEFT(E4184,FIND("º",SUBSTITUTE(E4184,"°","º"))-1)),-1),IF(LEFT(E4184,6)="TÉRREO",0,IFERROR(VALUE(LEFT(E4184,FIND("º",SUBSTITUTE(E4184,"°","º"))-1)),""))))</f>
        <v/>
      </c>
      <c r="O4184" s="2">
        <f>IF(OR(F4184="",G4184=""),"",IF(G4184&lt;='RETRATO 2027'!$K$5,"CONCLUÍDA",IF(F4184&lt;='RETRATO 2027'!$K$5,"EM ANDAMENTO","A INICIAR")))</f>
        <v/>
      </c>
    </row>
    <row r="4185">
      <c r="M4185" s="2">
        <f>IF(C4185="","",IFERROR(INDEX($S$5:$S$304,MATCH(C4185,$R$5:$R$304,0))&amp;"","?"))</f>
        <v/>
      </c>
      <c r="N4185" s="2">
        <f>IF(E4185="","",IF(ISNUMBER(SEARCH("SUBSOLO",E4185)),IFERROR(-VALUE(LEFT(E4185,FIND("º",SUBSTITUTE(E4185,"°","º"))-1)),-1),IF(LEFT(E4185,6)="TÉRREO",0,IFERROR(VALUE(LEFT(E4185,FIND("º",SUBSTITUTE(E4185,"°","º"))-1)),""))))</f>
        <v/>
      </c>
      <c r="O4185" s="2">
        <f>IF(OR(F4185="",G4185=""),"",IF(G4185&lt;='RETRATO 2027'!$K$5,"CONCLUÍDA",IF(F4185&lt;='RETRATO 2027'!$K$5,"EM ANDAMENTO","A INICIAR")))</f>
        <v/>
      </c>
    </row>
    <row r="4186">
      <c r="M4186" s="2">
        <f>IF(C4186="","",IFERROR(INDEX($S$5:$S$304,MATCH(C4186,$R$5:$R$304,0))&amp;"","?"))</f>
        <v/>
      </c>
      <c r="N4186" s="2">
        <f>IF(E4186="","",IF(ISNUMBER(SEARCH("SUBSOLO",E4186)),IFERROR(-VALUE(LEFT(E4186,FIND("º",SUBSTITUTE(E4186,"°","º"))-1)),-1),IF(LEFT(E4186,6)="TÉRREO",0,IFERROR(VALUE(LEFT(E4186,FIND("º",SUBSTITUTE(E4186,"°","º"))-1)),""))))</f>
        <v/>
      </c>
      <c r="O4186" s="2">
        <f>IF(OR(F4186="",G4186=""),"",IF(G4186&lt;='RETRATO 2027'!$K$5,"CONCLUÍDA",IF(F4186&lt;='RETRATO 2027'!$K$5,"EM ANDAMENTO","A INICIAR")))</f>
        <v/>
      </c>
    </row>
    <row r="4187">
      <c r="M4187" s="2">
        <f>IF(C4187="","",IFERROR(INDEX($S$5:$S$304,MATCH(C4187,$R$5:$R$304,0))&amp;"","?"))</f>
        <v/>
      </c>
      <c r="N4187" s="2">
        <f>IF(E4187="","",IF(ISNUMBER(SEARCH("SUBSOLO",E4187)),IFERROR(-VALUE(LEFT(E4187,FIND("º",SUBSTITUTE(E4187,"°","º"))-1)),-1),IF(LEFT(E4187,6)="TÉRREO",0,IFERROR(VALUE(LEFT(E4187,FIND("º",SUBSTITUTE(E4187,"°","º"))-1)),""))))</f>
        <v/>
      </c>
      <c r="O4187" s="2">
        <f>IF(OR(F4187="",G4187=""),"",IF(G4187&lt;='RETRATO 2027'!$K$5,"CONCLUÍDA",IF(F4187&lt;='RETRATO 2027'!$K$5,"EM ANDAMENTO","A INICIAR")))</f>
        <v/>
      </c>
    </row>
    <row r="4188">
      <c r="M4188" s="2">
        <f>IF(C4188="","",IFERROR(INDEX($S$5:$S$304,MATCH(C4188,$R$5:$R$304,0))&amp;"","?"))</f>
        <v/>
      </c>
      <c r="N4188" s="2">
        <f>IF(E4188="","",IF(ISNUMBER(SEARCH("SUBSOLO",E4188)),IFERROR(-VALUE(LEFT(E4188,FIND("º",SUBSTITUTE(E4188,"°","º"))-1)),-1),IF(LEFT(E4188,6)="TÉRREO",0,IFERROR(VALUE(LEFT(E4188,FIND("º",SUBSTITUTE(E4188,"°","º"))-1)),""))))</f>
        <v/>
      </c>
      <c r="O4188" s="2">
        <f>IF(OR(F4188="",G4188=""),"",IF(G4188&lt;='RETRATO 2027'!$K$5,"CONCLUÍDA",IF(F4188&lt;='RETRATO 2027'!$K$5,"EM ANDAMENTO","A INICIAR")))</f>
        <v/>
      </c>
    </row>
    <row r="4189">
      <c r="M4189" s="2">
        <f>IF(C4189="","",IFERROR(INDEX($S$5:$S$304,MATCH(C4189,$R$5:$R$304,0))&amp;"","?"))</f>
        <v/>
      </c>
      <c r="N4189" s="2">
        <f>IF(E4189="","",IF(ISNUMBER(SEARCH("SUBSOLO",E4189)),IFERROR(-VALUE(LEFT(E4189,FIND("º",SUBSTITUTE(E4189,"°","º"))-1)),-1),IF(LEFT(E4189,6)="TÉRREO",0,IFERROR(VALUE(LEFT(E4189,FIND("º",SUBSTITUTE(E4189,"°","º"))-1)),""))))</f>
        <v/>
      </c>
      <c r="O4189" s="2">
        <f>IF(OR(F4189="",G4189=""),"",IF(G4189&lt;='RETRATO 2027'!$K$5,"CONCLUÍDA",IF(F4189&lt;='RETRATO 2027'!$K$5,"EM ANDAMENTO","A INICIAR")))</f>
        <v/>
      </c>
    </row>
    <row r="4190">
      <c r="M4190" s="2">
        <f>IF(C4190="","",IFERROR(INDEX($S$5:$S$304,MATCH(C4190,$R$5:$R$304,0))&amp;"","?"))</f>
        <v/>
      </c>
      <c r="N4190" s="2">
        <f>IF(E4190="","",IF(ISNUMBER(SEARCH("SUBSOLO",E4190)),IFERROR(-VALUE(LEFT(E4190,FIND("º",SUBSTITUTE(E4190,"°","º"))-1)),-1),IF(LEFT(E4190,6)="TÉRREO",0,IFERROR(VALUE(LEFT(E4190,FIND("º",SUBSTITUTE(E4190,"°","º"))-1)),""))))</f>
        <v/>
      </c>
      <c r="O4190" s="2">
        <f>IF(OR(F4190="",G4190=""),"",IF(G4190&lt;='RETRATO 2027'!$K$5,"CONCLUÍDA",IF(F4190&lt;='RETRATO 2027'!$K$5,"EM ANDAMENTO","A INICIAR")))</f>
        <v/>
      </c>
    </row>
    <row r="4191">
      <c r="M4191" s="2">
        <f>IF(C4191="","",IFERROR(INDEX($S$5:$S$304,MATCH(C4191,$R$5:$R$304,0))&amp;"","?"))</f>
        <v/>
      </c>
      <c r="N4191" s="2">
        <f>IF(E4191="","",IF(ISNUMBER(SEARCH("SUBSOLO",E4191)),IFERROR(-VALUE(LEFT(E4191,FIND("º",SUBSTITUTE(E4191,"°","º"))-1)),-1),IF(LEFT(E4191,6)="TÉRREO",0,IFERROR(VALUE(LEFT(E4191,FIND("º",SUBSTITUTE(E4191,"°","º"))-1)),""))))</f>
        <v/>
      </c>
      <c r="O4191" s="2">
        <f>IF(OR(F4191="",G4191=""),"",IF(G4191&lt;='RETRATO 2027'!$K$5,"CONCLUÍDA",IF(F4191&lt;='RETRATO 2027'!$K$5,"EM ANDAMENTO","A INICIAR")))</f>
        <v/>
      </c>
    </row>
    <row r="4192">
      <c r="M4192" s="2">
        <f>IF(C4192="","",IFERROR(INDEX($S$5:$S$304,MATCH(C4192,$R$5:$R$304,0))&amp;"","?"))</f>
        <v/>
      </c>
      <c r="N4192" s="2">
        <f>IF(E4192="","",IF(ISNUMBER(SEARCH("SUBSOLO",E4192)),IFERROR(-VALUE(LEFT(E4192,FIND("º",SUBSTITUTE(E4192,"°","º"))-1)),-1),IF(LEFT(E4192,6)="TÉRREO",0,IFERROR(VALUE(LEFT(E4192,FIND("º",SUBSTITUTE(E4192,"°","º"))-1)),""))))</f>
        <v/>
      </c>
      <c r="O4192" s="2">
        <f>IF(OR(F4192="",G4192=""),"",IF(G4192&lt;='RETRATO 2027'!$K$5,"CONCLUÍDA",IF(F4192&lt;='RETRATO 2027'!$K$5,"EM ANDAMENTO","A INICIAR")))</f>
        <v/>
      </c>
    </row>
    <row r="4193">
      <c r="M4193" s="2">
        <f>IF(C4193="","",IFERROR(INDEX($S$5:$S$304,MATCH(C4193,$R$5:$R$304,0))&amp;"","?"))</f>
        <v/>
      </c>
      <c r="N4193" s="2">
        <f>IF(E4193="","",IF(ISNUMBER(SEARCH("SUBSOLO",E4193)),IFERROR(-VALUE(LEFT(E4193,FIND("º",SUBSTITUTE(E4193,"°","º"))-1)),-1),IF(LEFT(E4193,6)="TÉRREO",0,IFERROR(VALUE(LEFT(E4193,FIND("º",SUBSTITUTE(E4193,"°","º"))-1)),""))))</f>
        <v/>
      </c>
      <c r="O4193" s="2">
        <f>IF(OR(F4193="",G4193=""),"",IF(G4193&lt;='RETRATO 2027'!$K$5,"CONCLUÍDA",IF(F4193&lt;='RETRATO 2027'!$K$5,"EM ANDAMENTO","A INICIAR")))</f>
        <v/>
      </c>
    </row>
    <row r="4194">
      <c r="M4194" s="2">
        <f>IF(C4194="","",IFERROR(INDEX($S$5:$S$304,MATCH(C4194,$R$5:$R$304,0))&amp;"","?"))</f>
        <v/>
      </c>
      <c r="N4194" s="2">
        <f>IF(E4194="","",IF(ISNUMBER(SEARCH("SUBSOLO",E4194)),IFERROR(-VALUE(LEFT(E4194,FIND("º",SUBSTITUTE(E4194,"°","º"))-1)),-1),IF(LEFT(E4194,6)="TÉRREO",0,IFERROR(VALUE(LEFT(E4194,FIND("º",SUBSTITUTE(E4194,"°","º"))-1)),""))))</f>
        <v/>
      </c>
      <c r="O4194" s="2">
        <f>IF(OR(F4194="",G4194=""),"",IF(G4194&lt;='RETRATO 2027'!$K$5,"CONCLUÍDA",IF(F4194&lt;='RETRATO 2027'!$K$5,"EM ANDAMENTO","A INICIAR")))</f>
        <v/>
      </c>
    </row>
    <row r="4195">
      <c r="M4195" s="2">
        <f>IF(C4195="","",IFERROR(INDEX($S$5:$S$304,MATCH(C4195,$R$5:$R$304,0))&amp;"","?"))</f>
        <v/>
      </c>
      <c r="N4195" s="2">
        <f>IF(E4195="","",IF(ISNUMBER(SEARCH("SUBSOLO",E4195)),IFERROR(-VALUE(LEFT(E4195,FIND("º",SUBSTITUTE(E4195,"°","º"))-1)),-1),IF(LEFT(E4195,6)="TÉRREO",0,IFERROR(VALUE(LEFT(E4195,FIND("º",SUBSTITUTE(E4195,"°","º"))-1)),""))))</f>
        <v/>
      </c>
      <c r="O4195" s="2">
        <f>IF(OR(F4195="",G4195=""),"",IF(G4195&lt;='RETRATO 2027'!$K$5,"CONCLUÍDA",IF(F4195&lt;='RETRATO 2027'!$K$5,"EM ANDAMENTO","A INICIAR")))</f>
        <v/>
      </c>
    </row>
    <row r="4196">
      <c r="M4196" s="2">
        <f>IF(C4196="","",IFERROR(INDEX($S$5:$S$304,MATCH(C4196,$R$5:$R$304,0))&amp;"","?"))</f>
        <v/>
      </c>
      <c r="N4196" s="2">
        <f>IF(E4196="","",IF(ISNUMBER(SEARCH("SUBSOLO",E4196)),IFERROR(-VALUE(LEFT(E4196,FIND("º",SUBSTITUTE(E4196,"°","º"))-1)),-1),IF(LEFT(E4196,6)="TÉRREO",0,IFERROR(VALUE(LEFT(E4196,FIND("º",SUBSTITUTE(E4196,"°","º"))-1)),""))))</f>
        <v/>
      </c>
      <c r="O4196" s="2">
        <f>IF(OR(F4196="",G4196=""),"",IF(G4196&lt;='RETRATO 2027'!$K$5,"CONCLUÍDA",IF(F4196&lt;='RETRATO 2027'!$K$5,"EM ANDAMENTO","A INICIAR")))</f>
        <v/>
      </c>
    </row>
    <row r="4197">
      <c r="M4197" s="2">
        <f>IF(C4197="","",IFERROR(INDEX($S$5:$S$304,MATCH(C4197,$R$5:$R$304,0))&amp;"","?"))</f>
        <v/>
      </c>
      <c r="N4197" s="2">
        <f>IF(E4197="","",IF(ISNUMBER(SEARCH("SUBSOLO",E4197)),IFERROR(-VALUE(LEFT(E4197,FIND("º",SUBSTITUTE(E4197,"°","º"))-1)),-1),IF(LEFT(E4197,6)="TÉRREO",0,IFERROR(VALUE(LEFT(E4197,FIND("º",SUBSTITUTE(E4197,"°","º"))-1)),""))))</f>
        <v/>
      </c>
      <c r="O4197" s="2">
        <f>IF(OR(F4197="",G4197=""),"",IF(G4197&lt;='RETRATO 2027'!$K$5,"CONCLUÍDA",IF(F4197&lt;='RETRATO 2027'!$K$5,"EM ANDAMENTO","A INICIAR")))</f>
        <v/>
      </c>
    </row>
    <row r="4198">
      <c r="M4198" s="2">
        <f>IF(C4198="","",IFERROR(INDEX($S$5:$S$304,MATCH(C4198,$R$5:$R$304,0))&amp;"","?"))</f>
        <v/>
      </c>
      <c r="N4198" s="2">
        <f>IF(E4198="","",IF(ISNUMBER(SEARCH("SUBSOLO",E4198)),IFERROR(-VALUE(LEFT(E4198,FIND("º",SUBSTITUTE(E4198,"°","º"))-1)),-1),IF(LEFT(E4198,6)="TÉRREO",0,IFERROR(VALUE(LEFT(E4198,FIND("º",SUBSTITUTE(E4198,"°","º"))-1)),""))))</f>
        <v/>
      </c>
      <c r="O4198" s="2">
        <f>IF(OR(F4198="",G4198=""),"",IF(G4198&lt;='RETRATO 2027'!$K$5,"CONCLUÍDA",IF(F4198&lt;='RETRATO 2027'!$K$5,"EM ANDAMENTO","A INICIAR")))</f>
        <v/>
      </c>
    </row>
    <row r="4199">
      <c r="M4199" s="2">
        <f>IF(C4199="","",IFERROR(INDEX($S$5:$S$304,MATCH(C4199,$R$5:$R$304,0))&amp;"","?"))</f>
        <v/>
      </c>
      <c r="N4199" s="2">
        <f>IF(E4199="","",IF(ISNUMBER(SEARCH("SUBSOLO",E4199)),IFERROR(-VALUE(LEFT(E4199,FIND("º",SUBSTITUTE(E4199,"°","º"))-1)),-1),IF(LEFT(E4199,6)="TÉRREO",0,IFERROR(VALUE(LEFT(E4199,FIND("º",SUBSTITUTE(E4199,"°","º"))-1)),""))))</f>
        <v/>
      </c>
      <c r="O4199" s="2">
        <f>IF(OR(F4199="",G4199=""),"",IF(G4199&lt;='RETRATO 2027'!$K$5,"CONCLUÍDA",IF(F4199&lt;='RETRATO 2027'!$K$5,"EM ANDAMENTO","A INICIAR")))</f>
        <v/>
      </c>
    </row>
    <row r="4200">
      <c r="M4200" s="2">
        <f>IF(C4200="","",IFERROR(INDEX($S$5:$S$304,MATCH(C4200,$R$5:$R$304,0))&amp;"","?"))</f>
        <v/>
      </c>
      <c r="N4200" s="2">
        <f>IF(E4200="","",IF(ISNUMBER(SEARCH("SUBSOLO",E4200)),IFERROR(-VALUE(LEFT(E4200,FIND("º",SUBSTITUTE(E4200,"°","º"))-1)),-1),IF(LEFT(E4200,6)="TÉRREO",0,IFERROR(VALUE(LEFT(E4200,FIND("º",SUBSTITUTE(E4200,"°","º"))-1)),""))))</f>
        <v/>
      </c>
      <c r="O4200" s="2">
        <f>IF(OR(F4200="",G4200=""),"",IF(G4200&lt;='RETRATO 2027'!$K$5,"CONCLUÍDA",IF(F4200&lt;='RETRATO 2027'!$K$5,"EM ANDAMENTO","A INICIAR")))</f>
        <v/>
      </c>
    </row>
    <row r="4201">
      <c r="M4201" s="2">
        <f>IF(C4201="","",IFERROR(INDEX($S$5:$S$304,MATCH(C4201,$R$5:$R$304,0))&amp;"","?"))</f>
        <v/>
      </c>
      <c r="N4201" s="2">
        <f>IF(E4201="","",IF(ISNUMBER(SEARCH("SUBSOLO",E4201)),IFERROR(-VALUE(LEFT(E4201,FIND("º",SUBSTITUTE(E4201,"°","º"))-1)),-1),IF(LEFT(E4201,6)="TÉRREO",0,IFERROR(VALUE(LEFT(E4201,FIND("º",SUBSTITUTE(E4201,"°","º"))-1)),""))))</f>
        <v/>
      </c>
      <c r="O4201" s="2">
        <f>IF(OR(F4201="",G4201=""),"",IF(G4201&lt;='RETRATO 2027'!$K$5,"CONCLUÍDA",IF(F4201&lt;='RETRATO 2027'!$K$5,"EM ANDAMENTO","A INICIAR")))</f>
        <v/>
      </c>
    </row>
    <row r="4202">
      <c r="M4202" s="2">
        <f>IF(C4202="","",IFERROR(INDEX($S$5:$S$304,MATCH(C4202,$R$5:$R$304,0))&amp;"","?"))</f>
        <v/>
      </c>
      <c r="N4202" s="2">
        <f>IF(E4202="","",IF(ISNUMBER(SEARCH("SUBSOLO",E4202)),IFERROR(-VALUE(LEFT(E4202,FIND("º",SUBSTITUTE(E4202,"°","º"))-1)),-1),IF(LEFT(E4202,6)="TÉRREO",0,IFERROR(VALUE(LEFT(E4202,FIND("º",SUBSTITUTE(E4202,"°","º"))-1)),""))))</f>
        <v/>
      </c>
      <c r="O4202" s="2">
        <f>IF(OR(F4202="",G4202=""),"",IF(G4202&lt;='RETRATO 2027'!$K$5,"CONCLUÍDA",IF(F4202&lt;='RETRATO 2027'!$K$5,"EM ANDAMENTO","A INICIAR")))</f>
        <v/>
      </c>
    </row>
    <row r="4203">
      <c r="M4203" s="2">
        <f>IF(C4203="","",IFERROR(INDEX($S$5:$S$304,MATCH(C4203,$R$5:$R$304,0))&amp;"","?"))</f>
        <v/>
      </c>
      <c r="N4203" s="2">
        <f>IF(E4203="","",IF(ISNUMBER(SEARCH("SUBSOLO",E4203)),IFERROR(-VALUE(LEFT(E4203,FIND("º",SUBSTITUTE(E4203,"°","º"))-1)),-1),IF(LEFT(E4203,6)="TÉRREO",0,IFERROR(VALUE(LEFT(E4203,FIND("º",SUBSTITUTE(E4203,"°","º"))-1)),""))))</f>
        <v/>
      </c>
      <c r="O4203" s="2">
        <f>IF(OR(F4203="",G4203=""),"",IF(G4203&lt;='RETRATO 2027'!$K$5,"CONCLUÍDA",IF(F4203&lt;='RETRATO 2027'!$K$5,"EM ANDAMENTO","A INICIAR")))</f>
        <v/>
      </c>
    </row>
    <row r="4204">
      <c r="M4204" s="2">
        <f>IF(C4204="","",IFERROR(INDEX($S$5:$S$304,MATCH(C4204,$R$5:$R$304,0))&amp;"","?"))</f>
        <v/>
      </c>
      <c r="N4204" s="2">
        <f>IF(E4204="","",IF(ISNUMBER(SEARCH("SUBSOLO",E4204)),IFERROR(-VALUE(LEFT(E4204,FIND("º",SUBSTITUTE(E4204,"°","º"))-1)),-1),IF(LEFT(E4204,6)="TÉRREO",0,IFERROR(VALUE(LEFT(E4204,FIND("º",SUBSTITUTE(E4204,"°","º"))-1)),""))))</f>
        <v/>
      </c>
      <c r="O4204" s="2">
        <f>IF(OR(F4204="",G4204=""),"",IF(G4204&lt;='RETRATO 2027'!$K$5,"CONCLUÍDA",IF(F4204&lt;='RETRATO 2027'!$K$5,"EM ANDAMENTO","A INICIAR")))</f>
        <v/>
      </c>
    </row>
    <row r="4205">
      <c r="M4205" s="2">
        <f>IF(C4205="","",IFERROR(INDEX($S$5:$S$304,MATCH(C4205,$R$5:$R$304,0))&amp;"","?"))</f>
        <v/>
      </c>
      <c r="N4205" s="2">
        <f>IF(E4205="","",IF(ISNUMBER(SEARCH("SUBSOLO",E4205)),IFERROR(-VALUE(LEFT(E4205,FIND("º",SUBSTITUTE(E4205,"°","º"))-1)),-1),IF(LEFT(E4205,6)="TÉRREO",0,IFERROR(VALUE(LEFT(E4205,FIND("º",SUBSTITUTE(E4205,"°","º"))-1)),""))))</f>
        <v/>
      </c>
      <c r="O4205" s="2">
        <f>IF(OR(F4205="",G4205=""),"",IF(G4205&lt;='RETRATO 2027'!$K$5,"CONCLUÍDA",IF(F4205&lt;='RETRATO 2027'!$K$5,"EM ANDAMENTO","A INICIAR")))</f>
        <v/>
      </c>
    </row>
    <row r="4206">
      <c r="M4206" s="2">
        <f>IF(C4206="","",IFERROR(INDEX($S$5:$S$304,MATCH(C4206,$R$5:$R$304,0))&amp;"","?"))</f>
        <v/>
      </c>
      <c r="N4206" s="2">
        <f>IF(E4206="","",IF(ISNUMBER(SEARCH("SUBSOLO",E4206)),IFERROR(-VALUE(LEFT(E4206,FIND("º",SUBSTITUTE(E4206,"°","º"))-1)),-1),IF(LEFT(E4206,6)="TÉRREO",0,IFERROR(VALUE(LEFT(E4206,FIND("º",SUBSTITUTE(E4206,"°","º"))-1)),""))))</f>
        <v/>
      </c>
      <c r="O4206" s="2">
        <f>IF(OR(F4206="",G4206=""),"",IF(G4206&lt;='RETRATO 2027'!$K$5,"CONCLUÍDA",IF(F4206&lt;='RETRATO 2027'!$K$5,"EM ANDAMENTO","A INICIAR")))</f>
        <v/>
      </c>
    </row>
    <row r="4207">
      <c r="M4207" s="2">
        <f>IF(C4207="","",IFERROR(INDEX($S$5:$S$304,MATCH(C4207,$R$5:$R$304,0))&amp;"","?"))</f>
        <v/>
      </c>
      <c r="N4207" s="2">
        <f>IF(E4207="","",IF(ISNUMBER(SEARCH("SUBSOLO",E4207)),IFERROR(-VALUE(LEFT(E4207,FIND("º",SUBSTITUTE(E4207,"°","º"))-1)),-1),IF(LEFT(E4207,6)="TÉRREO",0,IFERROR(VALUE(LEFT(E4207,FIND("º",SUBSTITUTE(E4207,"°","º"))-1)),""))))</f>
        <v/>
      </c>
      <c r="O4207" s="2">
        <f>IF(OR(F4207="",G4207=""),"",IF(G4207&lt;='RETRATO 2027'!$K$5,"CONCLUÍDA",IF(F4207&lt;='RETRATO 2027'!$K$5,"EM ANDAMENTO","A INICIAR")))</f>
        <v/>
      </c>
    </row>
    <row r="4208">
      <c r="M4208" s="2">
        <f>IF(C4208="","",IFERROR(INDEX($S$5:$S$304,MATCH(C4208,$R$5:$R$304,0))&amp;"","?"))</f>
        <v/>
      </c>
      <c r="N4208" s="2">
        <f>IF(E4208="","",IF(ISNUMBER(SEARCH("SUBSOLO",E4208)),IFERROR(-VALUE(LEFT(E4208,FIND("º",SUBSTITUTE(E4208,"°","º"))-1)),-1),IF(LEFT(E4208,6)="TÉRREO",0,IFERROR(VALUE(LEFT(E4208,FIND("º",SUBSTITUTE(E4208,"°","º"))-1)),""))))</f>
        <v/>
      </c>
      <c r="O4208" s="2">
        <f>IF(OR(F4208="",G4208=""),"",IF(G4208&lt;='RETRATO 2027'!$K$5,"CONCLUÍDA",IF(F4208&lt;='RETRATO 2027'!$K$5,"EM ANDAMENTO","A INICIAR")))</f>
        <v/>
      </c>
    </row>
    <row r="4209">
      <c r="M4209" s="2">
        <f>IF(C4209="","",IFERROR(INDEX($S$5:$S$304,MATCH(C4209,$R$5:$R$304,0))&amp;"","?"))</f>
        <v/>
      </c>
      <c r="N4209" s="2">
        <f>IF(E4209="","",IF(ISNUMBER(SEARCH("SUBSOLO",E4209)),IFERROR(-VALUE(LEFT(E4209,FIND("º",SUBSTITUTE(E4209,"°","º"))-1)),-1),IF(LEFT(E4209,6)="TÉRREO",0,IFERROR(VALUE(LEFT(E4209,FIND("º",SUBSTITUTE(E4209,"°","º"))-1)),""))))</f>
        <v/>
      </c>
      <c r="O4209" s="2">
        <f>IF(OR(F4209="",G4209=""),"",IF(G4209&lt;='RETRATO 2027'!$K$5,"CONCLUÍDA",IF(F4209&lt;='RETRATO 2027'!$K$5,"EM ANDAMENTO","A INICIAR")))</f>
        <v/>
      </c>
    </row>
    <row r="4210">
      <c r="M4210" s="2">
        <f>IF(C4210="","",IFERROR(INDEX($S$5:$S$304,MATCH(C4210,$R$5:$R$304,0))&amp;"","?"))</f>
        <v/>
      </c>
      <c r="N4210" s="2">
        <f>IF(E4210="","",IF(ISNUMBER(SEARCH("SUBSOLO",E4210)),IFERROR(-VALUE(LEFT(E4210,FIND("º",SUBSTITUTE(E4210,"°","º"))-1)),-1),IF(LEFT(E4210,6)="TÉRREO",0,IFERROR(VALUE(LEFT(E4210,FIND("º",SUBSTITUTE(E4210,"°","º"))-1)),""))))</f>
        <v/>
      </c>
      <c r="O4210" s="2">
        <f>IF(OR(F4210="",G4210=""),"",IF(G4210&lt;='RETRATO 2027'!$K$5,"CONCLUÍDA",IF(F4210&lt;='RETRATO 2027'!$K$5,"EM ANDAMENTO","A INICIAR")))</f>
        <v/>
      </c>
    </row>
    <row r="4211">
      <c r="M4211" s="2">
        <f>IF(C4211="","",IFERROR(INDEX($S$5:$S$304,MATCH(C4211,$R$5:$R$304,0))&amp;"","?"))</f>
        <v/>
      </c>
      <c r="N4211" s="2">
        <f>IF(E4211="","",IF(ISNUMBER(SEARCH("SUBSOLO",E4211)),IFERROR(-VALUE(LEFT(E4211,FIND("º",SUBSTITUTE(E4211,"°","º"))-1)),-1),IF(LEFT(E4211,6)="TÉRREO",0,IFERROR(VALUE(LEFT(E4211,FIND("º",SUBSTITUTE(E4211,"°","º"))-1)),""))))</f>
        <v/>
      </c>
      <c r="O4211" s="2">
        <f>IF(OR(F4211="",G4211=""),"",IF(G4211&lt;='RETRATO 2027'!$K$5,"CONCLUÍDA",IF(F4211&lt;='RETRATO 2027'!$K$5,"EM ANDAMENTO","A INICIAR")))</f>
        <v/>
      </c>
    </row>
    <row r="4212">
      <c r="M4212" s="2">
        <f>IF(C4212="","",IFERROR(INDEX($S$5:$S$304,MATCH(C4212,$R$5:$R$304,0))&amp;"","?"))</f>
        <v/>
      </c>
      <c r="N4212" s="2">
        <f>IF(E4212="","",IF(ISNUMBER(SEARCH("SUBSOLO",E4212)),IFERROR(-VALUE(LEFT(E4212,FIND("º",SUBSTITUTE(E4212,"°","º"))-1)),-1),IF(LEFT(E4212,6)="TÉRREO",0,IFERROR(VALUE(LEFT(E4212,FIND("º",SUBSTITUTE(E4212,"°","º"))-1)),""))))</f>
        <v/>
      </c>
      <c r="O4212" s="2">
        <f>IF(OR(F4212="",G4212=""),"",IF(G4212&lt;='RETRATO 2027'!$K$5,"CONCLUÍDA",IF(F4212&lt;='RETRATO 2027'!$K$5,"EM ANDAMENTO","A INICIAR")))</f>
        <v/>
      </c>
    </row>
    <row r="4213">
      <c r="M4213" s="2">
        <f>IF(C4213="","",IFERROR(INDEX($S$5:$S$304,MATCH(C4213,$R$5:$R$304,0))&amp;"","?"))</f>
        <v/>
      </c>
      <c r="N4213" s="2">
        <f>IF(E4213="","",IF(ISNUMBER(SEARCH("SUBSOLO",E4213)),IFERROR(-VALUE(LEFT(E4213,FIND("º",SUBSTITUTE(E4213,"°","º"))-1)),-1),IF(LEFT(E4213,6)="TÉRREO",0,IFERROR(VALUE(LEFT(E4213,FIND("º",SUBSTITUTE(E4213,"°","º"))-1)),""))))</f>
        <v/>
      </c>
      <c r="O4213" s="2">
        <f>IF(OR(F4213="",G4213=""),"",IF(G4213&lt;='RETRATO 2027'!$K$5,"CONCLUÍDA",IF(F4213&lt;='RETRATO 2027'!$K$5,"EM ANDAMENTO","A INICIAR")))</f>
        <v/>
      </c>
    </row>
    <row r="4214">
      <c r="M4214" s="2">
        <f>IF(C4214="","",IFERROR(INDEX($S$5:$S$304,MATCH(C4214,$R$5:$R$304,0))&amp;"","?"))</f>
        <v/>
      </c>
      <c r="N4214" s="2">
        <f>IF(E4214="","",IF(ISNUMBER(SEARCH("SUBSOLO",E4214)),IFERROR(-VALUE(LEFT(E4214,FIND("º",SUBSTITUTE(E4214,"°","º"))-1)),-1),IF(LEFT(E4214,6)="TÉRREO",0,IFERROR(VALUE(LEFT(E4214,FIND("º",SUBSTITUTE(E4214,"°","º"))-1)),""))))</f>
        <v/>
      </c>
      <c r="O4214" s="2">
        <f>IF(OR(F4214="",G4214=""),"",IF(G4214&lt;='RETRATO 2027'!$K$5,"CONCLUÍDA",IF(F4214&lt;='RETRATO 2027'!$K$5,"EM ANDAMENTO","A INICIAR")))</f>
        <v/>
      </c>
    </row>
    <row r="4215">
      <c r="M4215" s="2">
        <f>IF(C4215="","",IFERROR(INDEX($S$5:$S$304,MATCH(C4215,$R$5:$R$304,0))&amp;"","?"))</f>
        <v/>
      </c>
      <c r="N4215" s="2">
        <f>IF(E4215="","",IF(ISNUMBER(SEARCH("SUBSOLO",E4215)),IFERROR(-VALUE(LEFT(E4215,FIND("º",SUBSTITUTE(E4215,"°","º"))-1)),-1),IF(LEFT(E4215,6)="TÉRREO",0,IFERROR(VALUE(LEFT(E4215,FIND("º",SUBSTITUTE(E4215,"°","º"))-1)),""))))</f>
        <v/>
      </c>
      <c r="O4215" s="2">
        <f>IF(OR(F4215="",G4215=""),"",IF(G4215&lt;='RETRATO 2027'!$K$5,"CONCLUÍDA",IF(F4215&lt;='RETRATO 2027'!$K$5,"EM ANDAMENTO","A INICIAR")))</f>
        <v/>
      </c>
    </row>
    <row r="4216">
      <c r="M4216" s="2">
        <f>IF(C4216="","",IFERROR(INDEX($S$5:$S$304,MATCH(C4216,$R$5:$R$304,0))&amp;"","?"))</f>
        <v/>
      </c>
      <c r="N4216" s="2">
        <f>IF(E4216="","",IF(ISNUMBER(SEARCH("SUBSOLO",E4216)),IFERROR(-VALUE(LEFT(E4216,FIND("º",SUBSTITUTE(E4216,"°","º"))-1)),-1),IF(LEFT(E4216,6)="TÉRREO",0,IFERROR(VALUE(LEFT(E4216,FIND("º",SUBSTITUTE(E4216,"°","º"))-1)),""))))</f>
        <v/>
      </c>
      <c r="O4216" s="2">
        <f>IF(OR(F4216="",G4216=""),"",IF(G4216&lt;='RETRATO 2027'!$K$5,"CONCLUÍDA",IF(F4216&lt;='RETRATO 2027'!$K$5,"EM ANDAMENTO","A INICIAR")))</f>
        <v/>
      </c>
    </row>
    <row r="4217">
      <c r="M4217" s="2">
        <f>IF(C4217="","",IFERROR(INDEX($S$5:$S$304,MATCH(C4217,$R$5:$R$304,0))&amp;"","?"))</f>
        <v/>
      </c>
      <c r="N4217" s="2">
        <f>IF(E4217="","",IF(ISNUMBER(SEARCH("SUBSOLO",E4217)),IFERROR(-VALUE(LEFT(E4217,FIND("º",SUBSTITUTE(E4217,"°","º"))-1)),-1),IF(LEFT(E4217,6)="TÉRREO",0,IFERROR(VALUE(LEFT(E4217,FIND("º",SUBSTITUTE(E4217,"°","º"))-1)),""))))</f>
        <v/>
      </c>
      <c r="O4217" s="2">
        <f>IF(OR(F4217="",G4217=""),"",IF(G4217&lt;='RETRATO 2027'!$K$5,"CONCLUÍDA",IF(F4217&lt;='RETRATO 2027'!$K$5,"EM ANDAMENTO","A INICIAR")))</f>
        <v/>
      </c>
    </row>
    <row r="4218">
      <c r="M4218" s="2">
        <f>IF(C4218="","",IFERROR(INDEX($S$5:$S$304,MATCH(C4218,$R$5:$R$304,0))&amp;"","?"))</f>
        <v/>
      </c>
      <c r="N4218" s="2">
        <f>IF(E4218="","",IF(ISNUMBER(SEARCH("SUBSOLO",E4218)),IFERROR(-VALUE(LEFT(E4218,FIND("º",SUBSTITUTE(E4218,"°","º"))-1)),-1),IF(LEFT(E4218,6)="TÉRREO",0,IFERROR(VALUE(LEFT(E4218,FIND("º",SUBSTITUTE(E4218,"°","º"))-1)),""))))</f>
        <v/>
      </c>
      <c r="O4218" s="2">
        <f>IF(OR(F4218="",G4218=""),"",IF(G4218&lt;='RETRATO 2027'!$K$5,"CONCLUÍDA",IF(F4218&lt;='RETRATO 2027'!$K$5,"EM ANDAMENTO","A INICIAR")))</f>
        <v/>
      </c>
    </row>
    <row r="4219">
      <c r="M4219" s="2">
        <f>IF(C4219="","",IFERROR(INDEX($S$5:$S$304,MATCH(C4219,$R$5:$R$304,0))&amp;"","?"))</f>
        <v/>
      </c>
      <c r="N4219" s="2">
        <f>IF(E4219="","",IF(ISNUMBER(SEARCH("SUBSOLO",E4219)),IFERROR(-VALUE(LEFT(E4219,FIND("º",SUBSTITUTE(E4219,"°","º"))-1)),-1),IF(LEFT(E4219,6)="TÉRREO",0,IFERROR(VALUE(LEFT(E4219,FIND("º",SUBSTITUTE(E4219,"°","º"))-1)),""))))</f>
        <v/>
      </c>
      <c r="O4219" s="2">
        <f>IF(OR(F4219="",G4219=""),"",IF(G4219&lt;='RETRATO 2027'!$K$5,"CONCLUÍDA",IF(F4219&lt;='RETRATO 2027'!$K$5,"EM ANDAMENTO","A INICIAR")))</f>
        <v/>
      </c>
    </row>
    <row r="4220">
      <c r="M4220" s="2">
        <f>IF(C4220="","",IFERROR(INDEX($S$5:$S$304,MATCH(C4220,$R$5:$R$304,0))&amp;"","?"))</f>
        <v/>
      </c>
      <c r="N4220" s="2">
        <f>IF(E4220="","",IF(ISNUMBER(SEARCH("SUBSOLO",E4220)),IFERROR(-VALUE(LEFT(E4220,FIND("º",SUBSTITUTE(E4220,"°","º"))-1)),-1),IF(LEFT(E4220,6)="TÉRREO",0,IFERROR(VALUE(LEFT(E4220,FIND("º",SUBSTITUTE(E4220,"°","º"))-1)),""))))</f>
        <v/>
      </c>
      <c r="O4220" s="2">
        <f>IF(OR(F4220="",G4220=""),"",IF(G4220&lt;='RETRATO 2027'!$K$5,"CONCLUÍDA",IF(F4220&lt;='RETRATO 2027'!$K$5,"EM ANDAMENTO","A INICIAR")))</f>
        <v/>
      </c>
    </row>
    <row r="4221">
      <c r="M4221" s="2">
        <f>IF(C4221="","",IFERROR(INDEX($S$5:$S$304,MATCH(C4221,$R$5:$R$304,0))&amp;"","?"))</f>
        <v/>
      </c>
      <c r="N4221" s="2">
        <f>IF(E4221="","",IF(ISNUMBER(SEARCH("SUBSOLO",E4221)),IFERROR(-VALUE(LEFT(E4221,FIND("º",SUBSTITUTE(E4221,"°","º"))-1)),-1),IF(LEFT(E4221,6)="TÉRREO",0,IFERROR(VALUE(LEFT(E4221,FIND("º",SUBSTITUTE(E4221,"°","º"))-1)),""))))</f>
        <v/>
      </c>
      <c r="O4221" s="2">
        <f>IF(OR(F4221="",G4221=""),"",IF(G4221&lt;='RETRATO 2027'!$K$5,"CONCLUÍDA",IF(F4221&lt;='RETRATO 2027'!$K$5,"EM ANDAMENTO","A INICIAR")))</f>
        <v/>
      </c>
    </row>
    <row r="4222">
      <c r="M4222" s="2">
        <f>IF(C4222="","",IFERROR(INDEX($S$5:$S$304,MATCH(C4222,$R$5:$R$304,0))&amp;"","?"))</f>
        <v/>
      </c>
      <c r="N4222" s="2">
        <f>IF(E4222="","",IF(ISNUMBER(SEARCH("SUBSOLO",E4222)),IFERROR(-VALUE(LEFT(E4222,FIND("º",SUBSTITUTE(E4222,"°","º"))-1)),-1),IF(LEFT(E4222,6)="TÉRREO",0,IFERROR(VALUE(LEFT(E4222,FIND("º",SUBSTITUTE(E4222,"°","º"))-1)),""))))</f>
        <v/>
      </c>
      <c r="O4222" s="2">
        <f>IF(OR(F4222="",G4222=""),"",IF(G4222&lt;='RETRATO 2027'!$K$5,"CONCLUÍDA",IF(F4222&lt;='RETRATO 2027'!$K$5,"EM ANDAMENTO","A INICIAR")))</f>
        <v/>
      </c>
    </row>
    <row r="4223">
      <c r="M4223" s="2">
        <f>IF(C4223="","",IFERROR(INDEX($S$5:$S$304,MATCH(C4223,$R$5:$R$304,0))&amp;"","?"))</f>
        <v/>
      </c>
      <c r="N4223" s="2">
        <f>IF(E4223="","",IF(ISNUMBER(SEARCH("SUBSOLO",E4223)),IFERROR(-VALUE(LEFT(E4223,FIND("º",SUBSTITUTE(E4223,"°","º"))-1)),-1),IF(LEFT(E4223,6)="TÉRREO",0,IFERROR(VALUE(LEFT(E4223,FIND("º",SUBSTITUTE(E4223,"°","º"))-1)),""))))</f>
        <v/>
      </c>
      <c r="O4223" s="2">
        <f>IF(OR(F4223="",G4223=""),"",IF(G4223&lt;='RETRATO 2027'!$K$5,"CONCLUÍDA",IF(F4223&lt;='RETRATO 2027'!$K$5,"EM ANDAMENTO","A INICIAR")))</f>
        <v/>
      </c>
    </row>
    <row r="4224">
      <c r="M4224" s="2">
        <f>IF(C4224="","",IFERROR(INDEX($S$5:$S$304,MATCH(C4224,$R$5:$R$304,0))&amp;"","?"))</f>
        <v/>
      </c>
      <c r="N4224" s="2">
        <f>IF(E4224="","",IF(ISNUMBER(SEARCH("SUBSOLO",E4224)),IFERROR(-VALUE(LEFT(E4224,FIND("º",SUBSTITUTE(E4224,"°","º"))-1)),-1),IF(LEFT(E4224,6)="TÉRREO",0,IFERROR(VALUE(LEFT(E4224,FIND("º",SUBSTITUTE(E4224,"°","º"))-1)),""))))</f>
        <v/>
      </c>
      <c r="O4224" s="2">
        <f>IF(OR(F4224="",G4224=""),"",IF(G4224&lt;='RETRATO 2027'!$K$5,"CONCLUÍDA",IF(F4224&lt;='RETRATO 2027'!$K$5,"EM ANDAMENTO","A INICIAR")))</f>
        <v/>
      </c>
    </row>
    <row r="4225">
      <c r="M4225" s="2">
        <f>IF(C4225="","",IFERROR(INDEX($S$5:$S$304,MATCH(C4225,$R$5:$R$304,0))&amp;"","?"))</f>
        <v/>
      </c>
      <c r="N4225" s="2">
        <f>IF(E4225="","",IF(ISNUMBER(SEARCH("SUBSOLO",E4225)),IFERROR(-VALUE(LEFT(E4225,FIND("º",SUBSTITUTE(E4225,"°","º"))-1)),-1),IF(LEFT(E4225,6)="TÉRREO",0,IFERROR(VALUE(LEFT(E4225,FIND("º",SUBSTITUTE(E4225,"°","º"))-1)),""))))</f>
        <v/>
      </c>
      <c r="O4225" s="2">
        <f>IF(OR(F4225="",G4225=""),"",IF(G4225&lt;='RETRATO 2027'!$K$5,"CONCLUÍDA",IF(F4225&lt;='RETRATO 2027'!$K$5,"EM ANDAMENTO","A INICIAR")))</f>
        <v/>
      </c>
    </row>
    <row r="4226">
      <c r="M4226" s="2">
        <f>IF(C4226="","",IFERROR(INDEX($S$5:$S$304,MATCH(C4226,$R$5:$R$304,0))&amp;"","?"))</f>
        <v/>
      </c>
      <c r="N4226" s="2">
        <f>IF(E4226="","",IF(ISNUMBER(SEARCH("SUBSOLO",E4226)),IFERROR(-VALUE(LEFT(E4226,FIND("º",SUBSTITUTE(E4226,"°","º"))-1)),-1),IF(LEFT(E4226,6)="TÉRREO",0,IFERROR(VALUE(LEFT(E4226,FIND("º",SUBSTITUTE(E4226,"°","º"))-1)),""))))</f>
        <v/>
      </c>
      <c r="O4226" s="2">
        <f>IF(OR(F4226="",G4226=""),"",IF(G4226&lt;='RETRATO 2027'!$K$5,"CONCLUÍDA",IF(F4226&lt;='RETRATO 2027'!$K$5,"EM ANDAMENTO","A INICIAR")))</f>
        <v/>
      </c>
    </row>
    <row r="4227">
      <c r="M4227" s="2">
        <f>IF(C4227="","",IFERROR(INDEX($S$5:$S$304,MATCH(C4227,$R$5:$R$304,0))&amp;"","?"))</f>
        <v/>
      </c>
      <c r="N4227" s="2">
        <f>IF(E4227="","",IF(ISNUMBER(SEARCH("SUBSOLO",E4227)),IFERROR(-VALUE(LEFT(E4227,FIND("º",SUBSTITUTE(E4227,"°","º"))-1)),-1),IF(LEFT(E4227,6)="TÉRREO",0,IFERROR(VALUE(LEFT(E4227,FIND("º",SUBSTITUTE(E4227,"°","º"))-1)),""))))</f>
        <v/>
      </c>
      <c r="O4227" s="2">
        <f>IF(OR(F4227="",G4227=""),"",IF(G4227&lt;='RETRATO 2027'!$K$5,"CONCLUÍDA",IF(F4227&lt;='RETRATO 2027'!$K$5,"EM ANDAMENTO","A INICIAR")))</f>
        <v/>
      </c>
    </row>
    <row r="4228">
      <c r="M4228" s="2">
        <f>IF(C4228="","",IFERROR(INDEX($S$5:$S$304,MATCH(C4228,$R$5:$R$304,0))&amp;"","?"))</f>
        <v/>
      </c>
      <c r="N4228" s="2">
        <f>IF(E4228="","",IF(ISNUMBER(SEARCH("SUBSOLO",E4228)),IFERROR(-VALUE(LEFT(E4228,FIND("º",SUBSTITUTE(E4228,"°","º"))-1)),-1),IF(LEFT(E4228,6)="TÉRREO",0,IFERROR(VALUE(LEFT(E4228,FIND("º",SUBSTITUTE(E4228,"°","º"))-1)),""))))</f>
        <v/>
      </c>
      <c r="O4228" s="2">
        <f>IF(OR(F4228="",G4228=""),"",IF(G4228&lt;='RETRATO 2027'!$K$5,"CONCLUÍDA",IF(F4228&lt;='RETRATO 2027'!$K$5,"EM ANDAMENTO","A INICIAR")))</f>
        <v/>
      </c>
    </row>
    <row r="4229">
      <c r="M4229" s="2">
        <f>IF(C4229="","",IFERROR(INDEX($S$5:$S$304,MATCH(C4229,$R$5:$R$304,0))&amp;"","?"))</f>
        <v/>
      </c>
      <c r="N4229" s="2">
        <f>IF(E4229="","",IF(ISNUMBER(SEARCH("SUBSOLO",E4229)),IFERROR(-VALUE(LEFT(E4229,FIND("º",SUBSTITUTE(E4229,"°","º"))-1)),-1),IF(LEFT(E4229,6)="TÉRREO",0,IFERROR(VALUE(LEFT(E4229,FIND("º",SUBSTITUTE(E4229,"°","º"))-1)),""))))</f>
        <v/>
      </c>
      <c r="O4229" s="2">
        <f>IF(OR(F4229="",G4229=""),"",IF(G4229&lt;='RETRATO 2027'!$K$5,"CONCLUÍDA",IF(F4229&lt;='RETRATO 2027'!$K$5,"EM ANDAMENTO","A INICIAR")))</f>
        <v/>
      </c>
    </row>
    <row r="4230">
      <c r="M4230" s="2">
        <f>IF(C4230="","",IFERROR(INDEX($S$5:$S$304,MATCH(C4230,$R$5:$R$304,0))&amp;"","?"))</f>
        <v/>
      </c>
      <c r="N4230" s="2">
        <f>IF(E4230="","",IF(ISNUMBER(SEARCH("SUBSOLO",E4230)),IFERROR(-VALUE(LEFT(E4230,FIND("º",SUBSTITUTE(E4230,"°","º"))-1)),-1),IF(LEFT(E4230,6)="TÉRREO",0,IFERROR(VALUE(LEFT(E4230,FIND("º",SUBSTITUTE(E4230,"°","º"))-1)),""))))</f>
        <v/>
      </c>
      <c r="O4230" s="2">
        <f>IF(OR(F4230="",G4230=""),"",IF(G4230&lt;='RETRATO 2027'!$K$5,"CONCLUÍDA",IF(F4230&lt;='RETRATO 2027'!$K$5,"EM ANDAMENTO","A INICIAR")))</f>
        <v/>
      </c>
    </row>
    <row r="4231">
      <c r="M4231" s="2">
        <f>IF(C4231="","",IFERROR(INDEX($S$5:$S$304,MATCH(C4231,$R$5:$R$304,0))&amp;"","?"))</f>
        <v/>
      </c>
      <c r="N4231" s="2">
        <f>IF(E4231="","",IF(ISNUMBER(SEARCH("SUBSOLO",E4231)),IFERROR(-VALUE(LEFT(E4231,FIND("º",SUBSTITUTE(E4231,"°","º"))-1)),-1),IF(LEFT(E4231,6)="TÉRREO",0,IFERROR(VALUE(LEFT(E4231,FIND("º",SUBSTITUTE(E4231,"°","º"))-1)),""))))</f>
        <v/>
      </c>
      <c r="O4231" s="2">
        <f>IF(OR(F4231="",G4231=""),"",IF(G4231&lt;='RETRATO 2027'!$K$5,"CONCLUÍDA",IF(F4231&lt;='RETRATO 2027'!$K$5,"EM ANDAMENTO","A INICIAR")))</f>
        <v/>
      </c>
    </row>
    <row r="4232">
      <c r="M4232" s="2">
        <f>IF(C4232="","",IFERROR(INDEX($S$5:$S$304,MATCH(C4232,$R$5:$R$304,0))&amp;"","?"))</f>
        <v/>
      </c>
      <c r="N4232" s="2">
        <f>IF(E4232="","",IF(ISNUMBER(SEARCH("SUBSOLO",E4232)),IFERROR(-VALUE(LEFT(E4232,FIND("º",SUBSTITUTE(E4232,"°","º"))-1)),-1),IF(LEFT(E4232,6)="TÉRREO",0,IFERROR(VALUE(LEFT(E4232,FIND("º",SUBSTITUTE(E4232,"°","º"))-1)),""))))</f>
        <v/>
      </c>
      <c r="O4232" s="2">
        <f>IF(OR(F4232="",G4232=""),"",IF(G4232&lt;='RETRATO 2027'!$K$5,"CONCLUÍDA",IF(F4232&lt;='RETRATO 2027'!$K$5,"EM ANDAMENTO","A INICIAR")))</f>
        <v/>
      </c>
    </row>
    <row r="4233">
      <c r="M4233" s="2">
        <f>IF(C4233="","",IFERROR(INDEX($S$5:$S$304,MATCH(C4233,$R$5:$R$304,0))&amp;"","?"))</f>
        <v/>
      </c>
      <c r="N4233" s="2">
        <f>IF(E4233="","",IF(ISNUMBER(SEARCH("SUBSOLO",E4233)),IFERROR(-VALUE(LEFT(E4233,FIND("º",SUBSTITUTE(E4233,"°","º"))-1)),-1),IF(LEFT(E4233,6)="TÉRREO",0,IFERROR(VALUE(LEFT(E4233,FIND("º",SUBSTITUTE(E4233,"°","º"))-1)),""))))</f>
        <v/>
      </c>
      <c r="O4233" s="2">
        <f>IF(OR(F4233="",G4233=""),"",IF(G4233&lt;='RETRATO 2027'!$K$5,"CONCLUÍDA",IF(F4233&lt;='RETRATO 2027'!$K$5,"EM ANDAMENTO","A INICIAR")))</f>
        <v/>
      </c>
    </row>
    <row r="4234">
      <c r="M4234" s="2">
        <f>IF(C4234="","",IFERROR(INDEX($S$5:$S$304,MATCH(C4234,$R$5:$R$304,0))&amp;"","?"))</f>
        <v/>
      </c>
      <c r="N4234" s="2">
        <f>IF(E4234="","",IF(ISNUMBER(SEARCH("SUBSOLO",E4234)),IFERROR(-VALUE(LEFT(E4234,FIND("º",SUBSTITUTE(E4234,"°","º"))-1)),-1),IF(LEFT(E4234,6)="TÉRREO",0,IFERROR(VALUE(LEFT(E4234,FIND("º",SUBSTITUTE(E4234,"°","º"))-1)),""))))</f>
        <v/>
      </c>
      <c r="O4234" s="2">
        <f>IF(OR(F4234="",G4234=""),"",IF(G4234&lt;='RETRATO 2027'!$K$5,"CONCLUÍDA",IF(F4234&lt;='RETRATO 2027'!$K$5,"EM ANDAMENTO","A INICIAR")))</f>
        <v/>
      </c>
    </row>
    <row r="4235">
      <c r="M4235" s="2">
        <f>IF(C4235="","",IFERROR(INDEX($S$5:$S$304,MATCH(C4235,$R$5:$R$304,0))&amp;"","?"))</f>
        <v/>
      </c>
      <c r="N4235" s="2">
        <f>IF(E4235="","",IF(ISNUMBER(SEARCH("SUBSOLO",E4235)),IFERROR(-VALUE(LEFT(E4235,FIND("º",SUBSTITUTE(E4235,"°","º"))-1)),-1),IF(LEFT(E4235,6)="TÉRREO",0,IFERROR(VALUE(LEFT(E4235,FIND("º",SUBSTITUTE(E4235,"°","º"))-1)),""))))</f>
        <v/>
      </c>
      <c r="O4235" s="2">
        <f>IF(OR(F4235="",G4235=""),"",IF(G4235&lt;='RETRATO 2027'!$K$5,"CONCLUÍDA",IF(F4235&lt;='RETRATO 2027'!$K$5,"EM ANDAMENTO","A INICIAR")))</f>
        <v/>
      </c>
    </row>
    <row r="4236">
      <c r="M4236" s="2">
        <f>IF(C4236="","",IFERROR(INDEX($S$5:$S$304,MATCH(C4236,$R$5:$R$304,0))&amp;"","?"))</f>
        <v/>
      </c>
      <c r="N4236" s="2">
        <f>IF(E4236="","",IF(ISNUMBER(SEARCH("SUBSOLO",E4236)),IFERROR(-VALUE(LEFT(E4236,FIND("º",SUBSTITUTE(E4236,"°","º"))-1)),-1),IF(LEFT(E4236,6)="TÉRREO",0,IFERROR(VALUE(LEFT(E4236,FIND("º",SUBSTITUTE(E4236,"°","º"))-1)),""))))</f>
        <v/>
      </c>
      <c r="O4236" s="2">
        <f>IF(OR(F4236="",G4236=""),"",IF(G4236&lt;='RETRATO 2027'!$K$5,"CONCLUÍDA",IF(F4236&lt;='RETRATO 2027'!$K$5,"EM ANDAMENTO","A INICIAR")))</f>
        <v/>
      </c>
    </row>
    <row r="4237">
      <c r="M4237" s="2">
        <f>IF(C4237="","",IFERROR(INDEX($S$5:$S$304,MATCH(C4237,$R$5:$R$304,0))&amp;"","?"))</f>
        <v/>
      </c>
      <c r="N4237" s="2">
        <f>IF(E4237="","",IF(ISNUMBER(SEARCH("SUBSOLO",E4237)),IFERROR(-VALUE(LEFT(E4237,FIND("º",SUBSTITUTE(E4237,"°","º"))-1)),-1),IF(LEFT(E4237,6)="TÉRREO",0,IFERROR(VALUE(LEFT(E4237,FIND("º",SUBSTITUTE(E4237,"°","º"))-1)),""))))</f>
        <v/>
      </c>
      <c r="O4237" s="2">
        <f>IF(OR(F4237="",G4237=""),"",IF(G4237&lt;='RETRATO 2027'!$K$5,"CONCLUÍDA",IF(F4237&lt;='RETRATO 2027'!$K$5,"EM ANDAMENTO","A INICIAR")))</f>
        <v/>
      </c>
    </row>
    <row r="4238">
      <c r="M4238" s="2">
        <f>IF(C4238="","",IFERROR(INDEX($S$5:$S$304,MATCH(C4238,$R$5:$R$304,0))&amp;"","?"))</f>
        <v/>
      </c>
      <c r="N4238" s="2">
        <f>IF(E4238="","",IF(ISNUMBER(SEARCH("SUBSOLO",E4238)),IFERROR(-VALUE(LEFT(E4238,FIND("º",SUBSTITUTE(E4238,"°","º"))-1)),-1),IF(LEFT(E4238,6)="TÉRREO",0,IFERROR(VALUE(LEFT(E4238,FIND("º",SUBSTITUTE(E4238,"°","º"))-1)),""))))</f>
        <v/>
      </c>
      <c r="O4238" s="2">
        <f>IF(OR(F4238="",G4238=""),"",IF(G4238&lt;='RETRATO 2027'!$K$5,"CONCLUÍDA",IF(F4238&lt;='RETRATO 2027'!$K$5,"EM ANDAMENTO","A INICIAR")))</f>
        <v/>
      </c>
    </row>
    <row r="4239">
      <c r="M4239" s="2">
        <f>IF(C4239="","",IFERROR(INDEX($S$5:$S$304,MATCH(C4239,$R$5:$R$304,0))&amp;"","?"))</f>
        <v/>
      </c>
      <c r="N4239" s="2">
        <f>IF(E4239="","",IF(ISNUMBER(SEARCH("SUBSOLO",E4239)),IFERROR(-VALUE(LEFT(E4239,FIND("º",SUBSTITUTE(E4239,"°","º"))-1)),-1),IF(LEFT(E4239,6)="TÉRREO",0,IFERROR(VALUE(LEFT(E4239,FIND("º",SUBSTITUTE(E4239,"°","º"))-1)),""))))</f>
        <v/>
      </c>
      <c r="O4239" s="2">
        <f>IF(OR(F4239="",G4239=""),"",IF(G4239&lt;='RETRATO 2027'!$K$5,"CONCLUÍDA",IF(F4239&lt;='RETRATO 2027'!$K$5,"EM ANDAMENTO","A INICIAR")))</f>
        <v/>
      </c>
    </row>
    <row r="4240">
      <c r="M4240" s="2">
        <f>IF(C4240="","",IFERROR(INDEX($S$5:$S$304,MATCH(C4240,$R$5:$R$304,0))&amp;"","?"))</f>
        <v/>
      </c>
      <c r="N4240" s="2">
        <f>IF(E4240="","",IF(ISNUMBER(SEARCH("SUBSOLO",E4240)),IFERROR(-VALUE(LEFT(E4240,FIND("º",SUBSTITUTE(E4240,"°","º"))-1)),-1),IF(LEFT(E4240,6)="TÉRREO",0,IFERROR(VALUE(LEFT(E4240,FIND("º",SUBSTITUTE(E4240,"°","º"))-1)),""))))</f>
        <v/>
      </c>
      <c r="O4240" s="2">
        <f>IF(OR(F4240="",G4240=""),"",IF(G4240&lt;='RETRATO 2027'!$K$5,"CONCLUÍDA",IF(F4240&lt;='RETRATO 2027'!$K$5,"EM ANDAMENTO","A INICIAR")))</f>
        <v/>
      </c>
    </row>
    <row r="4241">
      <c r="M4241" s="2">
        <f>IF(C4241="","",IFERROR(INDEX($S$5:$S$304,MATCH(C4241,$R$5:$R$304,0))&amp;"","?"))</f>
        <v/>
      </c>
      <c r="N4241" s="2">
        <f>IF(E4241="","",IF(ISNUMBER(SEARCH("SUBSOLO",E4241)),IFERROR(-VALUE(LEFT(E4241,FIND("º",SUBSTITUTE(E4241,"°","º"))-1)),-1),IF(LEFT(E4241,6)="TÉRREO",0,IFERROR(VALUE(LEFT(E4241,FIND("º",SUBSTITUTE(E4241,"°","º"))-1)),""))))</f>
        <v/>
      </c>
      <c r="O4241" s="2">
        <f>IF(OR(F4241="",G4241=""),"",IF(G4241&lt;='RETRATO 2027'!$K$5,"CONCLUÍDA",IF(F4241&lt;='RETRATO 2027'!$K$5,"EM ANDAMENTO","A INICIAR")))</f>
        <v/>
      </c>
    </row>
    <row r="4242">
      <c r="M4242" s="2">
        <f>IF(C4242="","",IFERROR(INDEX($S$5:$S$304,MATCH(C4242,$R$5:$R$304,0))&amp;"","?"))</f>
        <v/>
      </c>
      <c r="N4242" s="2">
        <f>IF(E4242="","",IF(ISNUMBER(SEARCH("SUBSOLO",E4242)),IFERROR(-VALUE(LEFT(E4242,FIND("º",SUBSTITUTE(E4242,"°","º"))-1)),-1),IF(LEFT(E4242,6)="TÉRREO",0,IFERROR(VALUE(LEFT(E4242,FIND("º",SUBSTITUTE(E4242,"°","º"))-1)),""))))</f>
        <v/>
      </c>
      <c r="O4242" s="2">
        <f>IF(OR(F4242="",G4242=""),"",IF(G4242&lt;='RETRATO 2027'!$K$5,"CONCLUÍDA",IF(F4242&lt;='RETRATO 2027'!$K$5,"EM ANDAMENTO","A INICIAR")))</f>
        <v/>
      </c>
    </row>
    <row r="4243">
      <c r="M4243" s="2">
        <f>IF(C4243="","",IFERROR(INDEX($S$5:$S$304,MATCH(C4243,$R$5:$R$304,0))&amp;"","?"))</f>
        <v/>
      </c>
      <c r="N4243" s="2">
        <f>IF(E4243="","",IF(ISNUMBER(SEARCH("SUBSOLO",E4243)),IFERROR(-VALUE(LEFT(E4243,FIND("º",SUBSTITUTE(E4243,"°","º"))-1)),-1),IF(LEFT(E4243,6)="TÉRREO",0,IFERROR(VALUE(LEFT(E4243,FIND("º",SUBSTITUTE(E4243,"°","º"))-1)),""))))</f>
        <v/>
      </c>
      <c r="O4243" s="2">
        <f>IF(OR(F4243="",G4243=""),"",IF(G4243&lt;='RETRATO 2027'!$K$5,"CONCLUÍDA",IF(F4243&lt;='RETRATO 2027'!$K$5,"EM ANDAMENTO","A INICIAR")))</f>
        <v/>
      </c>
    </row>
    <row r="4244">
      <c r="M4244" s="2">
        <f>IF(C4244="","",IFERROR(INDEX($S$5:$S$304,MATCH(C4244,$R$5:$R$304,0))&amp;"","?"))</f>
        <v/>
      </c>
      <c r="N4244" s="2">
        <f>IF(E4244="","",IF(ISNUMBER(SEARCH("SUBSOLO",E4244)),IFERROR(-VALUE(LEFT(E4244,FIND("º",SUBSTITUTE(E4244,"°","º"))-1)),-1),IF(LEFT(E4244,6)="TÉRREO",0,IFERROR(VALUE(LEFT(E4244,FIND("º",SUBSTITUTE(E4244,"°","º"))-1)),""))))</f>
        <v/>
      </c>
      <c r="O4244" s="2">
        <f>IF(OR(F4244="",G4244=""),"",IF(G4244&lt;='RETRATO 2027'!$K$5,"CONCLUÍDA",IF(F4244&lt;='RETRATO 2027'!$K$5,"EM ANDAMENTO","A INICIAR")))</f>
        <v/>
      </c>
    </row>
    <row r="4245">
      <c r="M4245" s="2">
        <f>IF(C4245="","",IFERROR(INDEX($S$5:$S$304,MATCH(C4245,$R$5:$R$304,0))&amp;"","?"))</f>
        <v/>
      </c>
      <c r="N4245" s="2">
        <f>IF(E4245="","",IF(ISNUMBER(SEARCH("SUBSOLO",E4245)),IFERROR(-VALUE(LEFT(E4245,FIND("º",SUBSTITUTE(E4245,"°","º"))-1)),-1),IF(LEFT(E4245,6)="TÉRREO",0,IFERROR(VALUE(LEFT(E4245,FIND("º",SUBSTITUTE(E4245,"°","º"))-1)),""))))</f>
        <v/>
      </c>
      <c r="O4245" s="2">
        <f>IF(OR(F4245="",G4245=""),"",IF(G4245&lt;='RETRATO 2027'!$K$5,"CONCLUÍDA",IF(F4245&lt;='RETRATO 2027'!$K$5,"EM ANDAMENTO","A INICIAR")))</f>
        <v/>
      </c>
    </row>
    <row r="4246">
      <c r="M4246" s="2">
        <f>IF(C4246="","",IFERROR(INDEX($S$5:$S$304,MATCH(C4246,$R$5:$R$304,0))&amp;"","?"))</f>
        <v/>
      </c>
      <c r="N4246" s="2">
        <f>IF(E4246="","",IF(ISNUMBER(SEARCH("SUBSOLO",E4246)),IFERROR(-VALUE(LEFT(E4246,FIND("º",SUBSTITUTE(E4246,"°","º"))-1)),-1),IF(LEFT(E4246,6)="TÉRREO",0,IFERROR(VALUE(LEFT(E4246,FIND("º",SUBSTITUTE(E4246,"°","º"))-1)),""))))</f>
        <v/>
      </c>
      <c r="O4246" s="2">
        <f>IF(OR(F4246="",G4246=""),"",IF(G4246&lt;='RETRATO 2027'!$K$5,"CONCLUÍDA",IF(F4246&lt;='RETRATO 2027'!$K$5,"EM ANDAMENTO","A INICIAR")))</f>
        <v/>
      </c>
    </row>
    <row r="4247">
      <c r="M4247" s="2">
        <f>IF(C4247="","",IFERROR(INDEX($S$5:$S$304,MATCH(C4247,$R$5:$R$304,0))&amp;"","?"))</f>
        <v/>
      </c>
      <c r="N4247" s="2">
        <f>IF(E4247="","",IF(ISNUMBER(SEARCH("SUBSOLO",E4247)),IFERROR(-VALUE(LEFT(E4247,FIND("º",SUBSTITUTE(E4247,"°","º"))-1)),-1),IF(LEFT(E4247,6)="TÉRREO",0,IFERROR(VALUE(LEFT(E4247,FIND("º",SUBSTITUTE(E4247,"°","º"))-1)),""))))</f>
        <v/>
      </c>
      <c r="O4247" s="2">
        <f>IF(OR(F4247="",G4247=""),"",IF(G4247&lt;='RETRATO 2027'!$K$5,"CONCLUÍDA",IF(F4247&lt;='RETRATO 2027'!$K$5,"EM ANDAMENTO","A INICIAR")))</f>
        <v/>
      </c>
    </row>
    <row r="4248">
      <c r="M4248" s="2">
        <f>IF(C4248="","",IFERROR(INDEX($S$5:$S$304,MATCH(C4248,$R$5:$R$304,0))&amp;"","?"))</f>
        <v/>
      </c>
      <c r="N4248" s="2">
        <f>IF(E4248="","",IF(ISNUMBER(SEARCH("SUBSOLO",E4248)),IFERROR(-VALUE(LEFT(E4248,FIND("º",SUBSTITUTE(E4248,"°","º"))-1)),-1),IF(LEFT(E4248,6)="TÉRREO",0,IFERROR(VALUE(LEFT(E4248,FIND("º",SUBSTITUTE(E4248,"°","º"))-1)),""))))</f>
        <v/>
      </c>
      <c r="O4248" s="2">
        <f>IF(OR(F4248="",G4248=""),"",IF(G4248&lt;='RETRATO 2027'!$K$5,"CONCLUÍDA",IF(F4248&lt;='RETRATO 2027'!$K$5,"EM ANDAMENTO","A INICIAR")))</f>
        <v/>
      </c>
    </row>
    <row r="4249">
      <c r="M4249" s="2">
        <f>IF(C4249="","",IFERROR(INDEX($S$5:$S$304,MATCH(C4249,$R$5:$R$304,0))&amp;"","?"))</f>
        <v/>
      </c>
      <c r="N4249" s="2">
        <f>IF(E4249="","",IF(ISNUMBER(SEARCH("SUBSOLO",E4249)),IFERROR(-VALUE(LEFT(E4249,FIND("º",SUBSTITUTE(E4249,"°","º"))-1)),-1),IF(LEFT(E4249,6)="TÉRREO",0,IFERROR(VALUE(LEFT(E4249,FIND("º",SUBSTITUTE(E4249,"°","º"))-1)),""))))</f>
        <v/>
      </c>
      <c r="O4249" s="2">
        <f>IF(OR(F4249="",G4249=""),"",IF(G4249&lt;='RETRATO 2027'!$K$5,"CONCLUÍDA",IF(F4249&lt;='RETRATO 2027'!$K$5,"EM ANDAMENTO","A INICIAR")))</f>
        <v/>
      </c>
    </row>
    <row r="4250">
      <c r="M4250" s="2">
        <f>IF(C4250="","",IFERROR(INDEX($S$5:$S$304,MATCH(C4250,$R$5:$R$304,0))&amp;"","?"))</f>
        <v/>
      </c>
      <c r="N4250" s="2">
        <f>IF(E4250="","",IF(ISNUMBER(SEARCH("SUBSOLO",E4250)),IFERROR(-VALUE(LEFT(E4250,FIND("º",SUBSTITUTE(E4250,"°","º"))-1)),-1),IF(LEFT(E4250,6)="TÉRREO",0,IFERROR(VALUE(LEFT(E4250,FIND("º",SUBSTITUTE(E4250,"°","º"))-1)),""))))</f>
        <v/>
      </c>
      <c r="O4250" s="2">
        <f>IF(OR(F4250="",G4250=""),"",IF(G4250&lt;='RETRATO 2027'!$K$5,"CONCLUÍDA",IF(F4250&lt;='RETRATO 2027'!$K$5,"EM ANDAMENTO","A INICIAR")))</f>
        <v/>
      </c>
    </row>
    <row r="4251">
      <c r="M4251" s="2">
        <f>IF(C4251="","",IFERROR(INDEX($S$5:$S$304,MATCH(C4251,$R$5:$R$304,0))&amp;"","?"))</f>
        <v/>
      </c>
      <c r="N4251" s="2">
        <f>IF(E4251="","",IF(ISNUMBER(SEARCH("SUBSOLO",E4251)),IFERROR(-VALUE(LEFT(E4251,FIND("º",SUBSTITUTE(E4251,"°","º"))-1)),-1),IF(LEFT(E4251,6)="TÉRREO",0,IFERROR(VALUE(LEFT(E4251,FIND("º",SUBSTITUTE(E4251,"°","º"))-1)),""))))</f>
        <v/>
      </c>
      <c r="O4251" s="2">
        <f>IF(OR(F4251="",G4251=""),"",IF(G4251&lt;='RETRATO 2027'!$K$5,"CONCLUÍDA",IF(F4251&lt;='RETRATO 2027'!$K$5,"EM ANDAMENTO","A INICIAR")))</f>
        <v/>
      </c>
    </row>
    <row r="4252">
      <c r="M4252" s="2">
        <f>IF(C4252="","",IFERROR(INDEX($S$5:$S$304,MATCH(C4252,$R$5:$R$304,0))&amp;"","?"))</f>
        <v/>
      </c>
      <c r="N4252" s="2">
        <f>IF(E4252="","",IF(ISNUMBER(SEARCH("SUBSOLO",E4252)),IFERROR(-VALUE(LEFT(E4252,FIND("º",SUBSTITUTE(E4252,"°","º"))-1)),-1),IF(LEFT(E4252,6)="TÉRREO",0,IFERROR(VALUE(LEFT(E4252,FIND("º",SUBSTITUTE(E4252,"°","º"))-1)),""))))</f>
        <v/>
      </c>
      <c r="O4252" s="2">
        <f>IF(OR(F4252="",G4252=""),"",IF(G4252&lt;='RETRATO 2027'!$K$5,"CONCLUÍDA",IF(F4252&lt;='RETRATO 2027'!$K$5,"EM ANDAMENTO","A INICIAR")))</f>
        <v/>
      </c>
    </row>
    <row r="4253">
      <c r="M4253" s="2">
        <f>IF(C4253="","",IFERROR(INDEX($S$5:$S$304,MATCH(C4253,$R$5:$R$304,0))&amp;"","?"))</f>
        <v/>
      </c>
      <c r="N4253" s="2">
        <f>IF(E4253="","",IF(ISNUMBER(SEARCH("SUBSOLO",E4253)),IFERROR(-VALUE(LEFT(E4253,FIND("º",SUBSTITUTE(E4253,"°","º"))-1)),-1),IF(LEFT(E4253,6)="TÉRREO",0,IFERROR(VALUE(LEFT(E4253,FIND("º",SUBSTITUTE(E4253,"°","º"))-1)),""))))</f>
        <v/>
      </c>
      <c r="O4253" s="2">
        <f>IF(OR(F4253="",G4253=""),"",IF(G4253&lt;='RETRATO 2027'!$K$5,"CONCLUÍDA",IF(F4253&lt;='RETRATO 2027'!$K$5,"EM ANDAMENTO","A INICIAR")))</f>
        <v/>
      </c>
    </row>
    <row r="4254">
      <c r="M4254" s="2">
        <f>IF(C4254="","",IFERROR(INDEX($S$5:$S$304,MATCH(C4254,$R$5:$R$304,0))&amp;"","?"))</f>
        <v/>
      </c>
      <c r="N4254" s="2">
        <f>IF(E4254="","",IF(ISNUMBER(SEARCH("SUBSOLO",E4254)),IFERROR(-VALUE(LEFT(E4254,FIND("º",SUBSTITUTE(E4254,"°","º"))-1)),-1),IF(LEFT(E4254,6)="TÉRREO",0,IFERROR(VALUE(LEFT(E4254,FIND("º",SUBSTITUTE(E4254,"°","º"))-1)),""))))</f>
        <v/>
      </c>
      <c r="O4254" s="2">
        <f>IF(OR(F4254="",G4254=""),"",IF(G4254&lt;='RETRATO 2027'!$K$5,"CONCLUÍDA",IF(F4254&lt;='RETRATO 2027'!$K$5,"EM ANDAMENTO","A INICIAR")))</f>
        <v/>
      </c>
    </row>
    <row r="4255">
      <c r="M4255" s="2">
        <f>IF(C4255="","",IFERROR(INDEX($S$5:$S$304,MATCH(C4255,$R$5:$R$304,0))&amp;"","?"))</f>
        <v/>
      </c>
      <c r="N4255" s="2">
        <f>IF(E4255="","",IF(ISNUMBER(SEARCH("SUBSOLO",E4255)),IFERROR(-VALUE(LEFT(E4255,FIND("º",SUBSTITUTE(E4255,"°","º"))-1)),-1),IF(LEFT(E4255,6)="TÉRREO",0,IFERROR(VALUE(LEFT(E4255,FIND("º",SUBSTITUTE(E4255,"°","º"))-1)),""))))</f>
        <v/>
      </c>
      <c r="O4255" s="2">
        <f>IF(OR(F4255="",G4255=""),"",IF(G4255&lt;='RETRATO 2027'!$K$5,"CONCLUÍDA",IF(F4255&lt;='RETRATO 2027'!$K$5,"EM ANDAMENTO","A INICIAR")))</f>
        <v/>
      </c>
    </row>
    <row r="4256">
      <c r="M4256" s="2">
        <f>IF(C4256="","",IFERROR(INDEX($S$5:$S$304,MATCH(C4256,$R$5:$R$304,0))&amp;"","?"))</f>
        <v/>
      </c>
      <c r="N4256" s="2">
        <f>IF(E4256="","",IF(ISNUMBER(SEARCH("SUBSOLO",E4256)),IFERROR(-VALUE(LEFT(E4256,FIND("º",SUBSTITUTE(E4256,"°","º"))-1)),-1),IF(LEFT(E4256,6)="TÉRREO",0,IFERROR(VALUE(LEFT(E4256,FIND("º",SUBSTITUTE(E4256,"°","º"))-1)),""))))</f>
        <v/>
      </c>
      <c r="O4256" s="2">
        <f>IF(OR(F4256="",G4256=""),"",IF(G4256&lt;='RETRATO 2027'!$K$5,"CONCLUÍDA",IF(F4256&lt;='RETRATO 2027'!$K$5,"EM ANDAMENTO","A INICIAR")))</f>
        <v/>
      </c>
    </row>
    <row r="4257">
      <c r="M4257" s="2">
        <f>IF(C4257="","",IFERROR(INDEX($S$5:$S$304,MATCH(C4257,$R$5:$R$304,0))&amp;"","?"))</f>
        <v/>
      </c>
      <c r="N4257" s="2">
        <f>IF(E4257="","",IF(ISNUMBER(SEARCH("SUBSOLO",E4257)),IFERROR(-VALUE(LEFT(E4257,FIND("º",SUBSTITUTE(E4257,"°","º"))-1)),-1),IF(LEFT(E4257,6)="TÉRREO",0,IFERROR(VALUE(LEFT(E4257,FIND("º",SUBSTITUTE(E4257,"°","º"))-1)),""))))</f>
        <v/>
      </c>
      <c r="O4257" s="2">
        <f>IF(OR(F4257="",G4257=""),"",IF(G4257&lt;='RETRATO 2027'!$K$5,"CONCLUÍDA",IF(F4257&lt;='RETRATO 2027'!$K$5,"EM ANDAMENTO","A INICIAR")))</f>
        <v/>
      </c>
    </row>
    <row r="4258">
      <c r="M4258" s="2">
        <f>IF(C4258="","",IFERROR(INDEX($S$5:$S$304,MATCH(C4258,$R$5:$R$304,0))&amp;"","?"))</f>
        <v/>
      </c>
      <c r="N4258" s="2">
        <f>IF(E4258="","",IF(ISNUMBER(SEARCH("SUBSOLO",E4258)),IFERROR(-VALUE(LEFT(E4258,FIND("º",SUBSTITUTE(E4258,"°","º"))-1)),-1),IF(LEFT(E4258,6)="TÉRREO",0,IFERROR(VALUE(LEFT(E4258,FIND("º",SUBSTITUTE(E4258,"°","º"))-1)),""))))</f>
        <v/>
      </c>
      <c r="O4258" s="2">
        <f>IF(OR(F4258="",G4258=""),"",IF(G4258&lt;='RETRATO 2027'!$K$5,"CONCLUÍDA",IF(F4258&lt;='RETRATO 2027'!$K$5,"EM ANDAMENTO","A INICIAR")))</f>
        <v/>
      </c>
    </row>
    <row r="4259">
      <c r="M4259" s="2">
        <f>IF(C4259="","",IFERROR(INDEX($S$5:$S$304,MATCH(C4259,$R$5:$R$304,0))&amp;"","?"))</f>
        <v/>
      </c>
      <c r="N4259" s="2">
        <f>IF(E4259="","",IF(ISNUMBER(SEARCH("SUBSOLO",E4259)),IFERROR(-VALUE(LEFT(E4259,FIND("º",SUBSTITUTE(E4259,"°","º"))-1)),-1),IF(LEFT(E4259,6)="TÉRREO",0,IFERROR(VALUE(LEFT(E4259,FIND("º",SUBSTITUTE(E4259,"°","º"))-1)),""))))</f>
        <v/>
      </c>
      <c r="O4259" s="2">
        <f>IF(OR(F4259="",G4259=""),"",IF(G4259&lt;='RETRATO 2027'!$K$5,"CONCLUÍDA",IF(F4259&lt;='RETRATO 2027'!$K$5,"EM ANDAMENTO","A INICIAR")))</f>
        <v/>
      </c>
    </row>
    <row r="4260">
      <c r="M4260" s="2">
        <f>IF(C4260="","",IFERROR(INDEX($S$5:$S$304,MATCH(C4260,$R$5:$R$304,0))&amp;"","?"))</f>
        <v/>
      </c>
      <c r="N4260" s="2">
        <f>IF(E4260="","",IF(ISNUMBER(SEARCH("SUBSOLO",E4260)),IFERROR(-VALUE(LEFT(E4260,FIND("º",SUBSTITUTE(E4260,"°","º"))-1)),-1),IF(LEFT(E4260,6)="TÉRREO",0,IFERROR(VALUE(LEFT(E4260,FIND("º",SUBSTITUTE(E4260,"°","º"))-1)),""))))</f>
        <v/>
      </c>
      <c r="O4260" s="2">
        <f>IF(OR(F4260="",G4260=""),"",IF(G4260&lt;='RETRATO 2027'!$K$5,"CONCLUÍDA",IF(F4260&lt;='RETRATO 2027'!$K$5,"EM ANDAMENTO","A INICIAR")))</f>
        <v/>
      </c>
    </row>
    <row r="4261">
      <c r="M4261" s="2">
        <f>IF(C4261="","",IFERROR(INDEX($S$5:$S$304,MATCH(C4261,$R$5:$R$304,0))&amp;"","?"))</f>
        <v/>
      </c>
      <c r="N4261" s="2">
        <f>IF(E4261="","",IF(ISNUMBER(SEARCH("SUBSOLO",E4261)),IFERROR(-VALUE(LEFT(E4261,FIND("º",SUBSTITUTE(E4261,"°","º"))-1)),-1),IF(LEFT(E4261,6)="TÉRREO",0,IFERROR(VALUE(LEFT(E4261,FIND("º",SUBSTITUTE(E4261,"°","º"))-1)),""))))</f>
        <v/>
      </c>
      <c r="O4261" s="2">
        <f>IF(OR(F4261="",G4261=""),"",IF(G4261&lt;='RETRATO 2027'!$K$5,"CONCLUÍDA",IF(F4261&lt;='RETRATO 2027'!$K$5,"EM ANDAMENTO","A INICIAR")))</f>
        <v/>
      </c>
    </row>
    <row r="4262">
      <c r="M4262" s="2">
        <f>IF(C4262="","",IFERROR(INDEX($S$5:$S$304,MATCH(C4262,$R$5:$R$304,0))&amp;"","?"))</f>
        <v/>
      </c>
      <c r="N4262" s="2">
        <f>IF(E4262="","",IF(ISNUMBER(SEARCH("SUBSOLO",E4262)),IFERROR(-VALUE(LEFT(E4262,FIND("º",SUBSTITUTE(E4262,"°","º"))-1)),-1),IF(LEFT(E4262,6)="TÉRREO",0,IFERROR(VALUE(LEFT(E4262,FIND("º",SUBSTITUTE(E4262,"°","º"))-1)),""))))</f>
        <v/>
      </c>
      <c r="O4262" s="2">
        <f>IF(OR(F4262="",G4262=""),"",IF(G4262&lt;='RETRATO 2027'!$K$5,"CONCLUÍDA",IF(F4262&lt;='RETRATO 2027'!$K$5,"EM ANDAMENTO","A INICIAR")))</f>
        <v/>
      </c>
    </row>
    <row r="4263">
      <c r="M4263" s="2">
        <f>IF(C4263="","",IFERROR(INDEX($S$5:$S$304,MATCH(C4263,$R$5:$R$304,0))&amp;"","?"))</f>
        <v/>
      </c>
      <c r="N4263" s="2">
        <f>IF(E4263="","",IF(ISNUMBER(SEARCH("SUBSOLO",E4263)),IFERROR(-VALUE(LEFT(E4263,FIND("º",SUBSTITUTE(E4263,"°","º"))-1)),-1),IF(LEFT(E4263,6)="TÉRREO",0,IFERROR(VALUE(LEFT(E4263,FIND("º",SUBSTITUTE(E4263,"°","º"))-1)),""))))</f>
        <v/>
      </c>
      <c r="O4263" s="2">
        <f>IF(OR(F4263="",G4263=""),"",IF(G4263&lt;='RETRATO 2027'!$K$5,"CONCLUÍDA",IF(F4263&lt;='RETRATO 2027'!$K$5,"EM ANDAMENTO","A INICIAR")))</f>
        <v/>
      </c>
    </row>
    <row r="4264">
      <c r="M4264" s="2">
        <f>IF(C4264="","",IFERROR(INDEX($S$5:$S$304,MATCH(C4264,$R$5:$R$304,0))&amp;"","?"))</f>
        <v/>
      </c>
      <c r="N4264" s="2">
        <f>IF(E4264="","",IF(ISNUMBER(SEARCH("SUBSOLO",E4264)),IFERROR(-VALUE(LEFT(E4264,FIND("º",SUBSTITUTE(E4264,"°","º"))-1)),-1),IF(LEFT(E4264,6)="TÉRREO",0,IFERROR(VALUE(LEFT(E4264,FIND("º",SUBSTITUTE(E4264,"°","º"))-1)),""))))</f>
        <v/>
      </c>
      <c r="O4264" s="2">
        <f>IF(OR(F4264="",G4264=""),"",IF(G4264&lt;='RETRATO 2027'!$K$5,"CONCLUÍDA",IF(F4264&lt;='RETRATO 2027'!$K$5,"EM ANDAMENTO","A INICIAR")))</f>
        <v/>
      </c>
    </row>
    <row r="4265">
      <c r="M4265" s="2">
        <f>IF(C4265="","",IFERROR(INDEX($S$5:$S$304,MATCH(C4265,$R$5:$R$304,0))&amp;"","?"))</f>
        <v/>
      </c>
      <c r="N4265" s="2">
        <f>IF(E4265="","",IF(ISNUMBER(SEARCH("SUBSOLO",E4265)),IFERROR(-VALUE(LEFT(E4265,FIND("º",SUBSTITUTE(E4265,"°","º"))-1)),-1),IF(LEFT(E4265,6)="TÉRREO",0,IFERROR(VALUE(LEFT(E4265,FIND("º",SUBSTITUTE(E4265,"°","º"))-1)),""))))</f>
        <v/>
      </c>
      <c r="O4265" s="2">
        <f>IF(OR(F4265="",G4265=""),"",IF(G4265&lt;='RETRATO 2027'!$K$5,"CONCLUÍDA",IF(F4265&lt;='RETRATO 2027'!$K$5,"EM ANDAMENTO","A INICIAR")))</f>
        <v/>
      </c>
    </row>
    <row r="4266">
      <c r="M4266" s="2">
        <f>IF(C4266="","",IFERROR(INDEX($S$5:$S$304,MATCH(C4266,$R$5:$R$304,0))&amp;"","?"))</f>
        <v/>
      </c>
      <c r="N4266" s="2">
        <f>IF(E4266="","",IF(ISNUMBER(SEARCH("SUBSOLO",E4266)),IFERROR(-VALUE(LEFT(E4266,FIND("º",SUBSTITUTE(E4266,"°","º"))-1)),-1),IF(LEFT(E4266,6)="TÉRREO",0,IFERROR(VALUE(LEFT(E4266,FIND("º",SUBSTITUTE(E4266,"°","º"))-1)),""))))</f>
        <v/>
      </c>
      <c r="O4266" s="2">
        <f>IF(OR(F4266="",G4266=""),"",IF(G4266&lt;='RETRATO 2027'!$K$5,"CONCLUÍDA",IF(F4266&lt;='RETRATO 2027'!$K$5,"EM ANDAMENTO","A INICIAR")))</f>
        <v/>
      </c>
    </row>
    <row r="4267">
      <c r="M4267" s="2">
        <f>IF(C4267="","",IFERROR(INDEX($S$5:$S$304,MATCH(C4267,$R$5:$R$304,0))&amp;"","?"))</f>
        <v/>
      </c>
      <c r="N4267" s="2">
        <f>IF(E4267="","",IF(ISNUMBER(SEARCH("SUBSOLO",E4267)),IFERROR(-VALUE(LEFT(E4267,FIND("º",SUBSTITUTE(E4267,"°","º"))-1)),-1),IF(LEFT(E4267,6)="TÉRREO",0,IFERROR(VALUE(LEFT(E4267,FIND("º",SUBSTITUTE(E4267,"°","º"))-1)),""))))</f>
        <v/>
      </c>
      <c r="O4267" s="2">
        <f>IF(OR(F4267="",G4267=""),"",IF(G4267&lt;='RETRATO 2027'!$K$5,"CONCLUÍDA",IF(F4267&lt;='RETRATO 2027'!$K$5,"EM ANDAMENTO","A INICIAR")))</f>
        <v/>
      </c>
    </row>
    <row r="4268">
      <c r="M4268" s="2">
        <f>IF(C4268="","",IFERROR(INDEX($S$5:$S$304,MATCH(C4268,$R$5:$R$304,0))&amp;"","?"))</f>
        <v/>
      </c>
      <c r="N4268" s="2">
        <f>IF(E4268="","",IF(ISNUMBER(SEARCH("SUBSOLO",E4268)),IFERROR(-VALUE(LEFT(E4268,FIND("º",SUBSTITUTE(E4268,"°","º"))-1)),-1),IF(LEFT(E4268,6)="TÉRREO",0,IFERROR(VALUE(LEFT(E4268,FIND("º",SUBSTITUTE(E4268,"°","º"))-1)),""))))</f>
        <v/>
      </c>
      <c r="O4268" s="2">
        <f>IF(OR(F4268="",G4268=""),"",IF(G4268&lt;='RETRATO 2027'!$K$5,"CONCLUÍDA",IF(F4268&lt;='RETRATO 2027'!$K$5,"EM ANDAMENTO","A INICIAR")))</f>
        <v/>
      </c>
    </row>
    <row r="4269">
      <c r="M4269" s="2">
        <f>IF(C4269="","",IFERROR(INDEX($S$5:$S$304,MATCH(C4269,$R$5:$R$304,0))&amp;"","?"))</f>
        <v/>
      </c>
      <c r="N4269" s="2">
        <f>IF(E4269="","",IF(ISNUMBER(SEARCH("SUBSOLO",E4269)),IFERROR(-VALUE(LEFT(E4269,FIND("º",SUBSTITUTE(E4269,"°","º"))-1)),-1),IF(LEFT(E4269,6)="TÉRREO",0,IFERROR(VALUE(LEFT(E4269,FIND("º",SUBSTITUTE(E4269,"°","º"))-1)),""))))</f>
        <v/>
      </c>
      <c r="O4269" s="2">
        <f>IF(OR(F4269="",G4269=""),"",IF(G4269&lt;='RETRATO 2027'!$K$5,"CONCLUÍDA",IF(F4269&lt;='RETRATO 2027'!$K$5,"EM ANDAMENTO","A INICIAR")))</f>
        <v/>
      </c>
    </row>
    <row r="4270">
      <c r="M4270" s="2">
        <f>IF(C4270="","",IFERROR(INDEX($S$5:$S$304,MATCH(C4270,$R$5:$R$304,0))&amp;"","?"))</f>
        <v/>
      </c>
      <c r="N4270" s="2">
        <f>IF(E4270="","",IF(ISNUMBER(SEARCH("SUBSOLO",E4270)),IFERROR(-VALUE(LEFT(E4270,FIND("º",SUBSTITUTE(E4270,"°","º"))-1)),-1),IF(LEFT(E4270,6)="TÉRREO",0,IFERROR(VALUE(LEFT(E4270,FIND("º",SUBSTITUTE(E4270,"°","º"))-1)),""))))</f>
        <v/>
      </c>
      <c r="O4270" s="2">
        <f>IF(OR(F4270="",G4270=""),"",IF(G4270&lt;='RETRATO 2027'!$K$5,"CONCLUÍDA",IF(F4270&lt;='RETRATO 2027'!$K$5,"EM ANDAMENTO","A INICIAR")))</f>
        <v/>
      </c>
    </row>
    <row r="4271">
      <c r="M4271" s="2">
        <f>IF(C4271="","",IFERROR(INDEX($S$5:$S$304,MATCH(C4271,$R$5:$R$304,0))&amp;"","?"))</f>
        <v/>
      </c>
      <c r="N4271" s="2">
        <f>IF(E4271="","",IF(ISNUMBER(SEARCH("SUBSOLO",E4271)),IFERROR(-VALUE(LEFT(E4271,FIND("º",SUBSTITUTE(E4271,"°","º"))-1)),-1),IF(LEFT(E4271,6)="TÉRREO",0,IFERROR(VALUE(LEFT(E4271,FIND("º",SUBSTITUTE(E4271,"°","º"))-1)),""))))</f>
        <v/>
      </c>
      <c r="O4271" s="2">
        <f>IF(OR(F4271="",G4271=""),"",IF(G4271&lt;='RETRATO 2027'!$K$5,"CONCLUÍDA",IF(F4271&lt;='RETRATO 2027'!$K$5,"EM ANDAMENTO","A INICIAR")))</f>
        <v/>
      </c>
    </row>
    <row r="4272">
      <c r="M4272" s="2">
        <f>IF(C4272="","",IFERROR(INDEX($S$5:$S$304,MATCH(C4272,$R$5:$R$304,0))&amp;"","?"))</f>
        <v/>
      </c>
      <c r="N4272" s="2">
        <f>IF(E4272="","",IF(ISNUMBER(SEARCH("SUBSOLO",E4272)),IFERROR(-VALUE(LEFT(E4272,FIND("º",SUBSTITUTE(E4272,"°","º"))-1)),-1),IF(LEFT(E4272,6)="TÉRREO",0,IFERROR(VALUE(LEFT(E4272,FIND("º",SUBSTITUTE(E4272,"°","º"))-1)),""))))</f>
        <v/>
      </c>
      <c r="O4272" s="2">
        <f>IF(OR(F4272="",G4272=""),"",IF(G4272&lt;='RETRATO 2027'!$K$5,"CONCLUÍDA",IF(F4272&lt;='RETRATO 2027'!$K$5,"EM ANDAMENTO","A INICIAR")))</f>
        <v/>
      </c>
    </row>
    <row r="4273">
      <c r="M4273" s="2">
        <f>IF(C4273="","",IFERROR(INDEX($S$5:$S$304,MATCH(C4273,$R$5:$R$304,0))&amp;"","?"))</f>
        <v/>
      </c>
      <c r="N4273" s="2">
        <f>IF(E4273="","",IF(ISNUMBER(SEARCH("SUBSOLO",E4273)),IFERROR(-VALUE(LEFT(E4273,FIND("º",SUBSTITUTE(E4273,"°","º"))-1)),-1),IF(LEFT(E4273,6)="TÉRREO",0,IFERROR(VALUE(LEFT(E4273,FIND("º",SUBSTITUTE(E4273,"°","º"))-1)),""))))</f>
        <v/>
      </c>
      <c r="O4273" s="2">
        <f>IF(OR(F4273="",G4273=""),"",IF(G4273&lt;='RETRATO 2027'!$K$5,"CONCLUÍDA",IF(F4273&lt;='RETRATO 2027'!$K$5,"EM ANDAMENTO","A INICIAR")))</f>
        <v/>
      </c>
    </row>
    <row r="4274">
      <c r="M4274" s="2">
        <f>IF(C4274="","",IFERROR(INDEX($S$5:$S$304,MATCH(C4274,$R$5:$R$304,0))&amp;"","?"))</f>
        <v/>
      </c>
      <c r="N4274" s="2">
        <f>IF(E4274="","",IF(ISNUMBER(SEARCH("SUBSOLO",E4274)),IFERROR(-VALUE(LEFT(E4274,FIND("º",SUBSTITUTE(E4274,"°","º"))-1)),-1),IF(LEFT(E4274,6)="TÉRREO",0,IFERROR(VALUE(LEFT(E4274,FIND("º",SUBSTITUTE(E4274,"°","º"))-1)),""))))</f>
        <v/>
      </c>
      <c r="O4274" s="2">
        <f>IF(OR(F4274="",G4274=""),"",IF(G4274&lt;='RETRATO 2027'!$K$5,"CONCLUÍDA",IF(F4274&lt;='RETRATO 2027'!$K$5,"EM ANDAMENTO","A INICIAR")))</f>
        <v/>
      </c>
    </row>
    <row r="4275">
      <c r="M4275" s="2">
        <f>IF(C4275="","",IFERROR(INDEX($S$5:$S$304,MATCH(C4275,$R$5:$R$304,0))&amp;"","?"))</f>
        <v/>
      </c>
      <c r="N4275" s="2">
        <f>IF(E4275="","",IF(ISNUMBER(SEARCH("SUBSOLO",E4275)),IFERROR(-VALUE(LEFT(E4275,FIND("º",SUBSTITUTE(E4275,"°","º"))-1)),-1),IF(LEFT(E4275,6)="TÉRREO",0,IFERROR(VALUE(LEFT(E4275,FIND("º",SUBSTITUTE(E4275,"°","º"))-1)),""))))</f>
        <v/>
      </c>
      <c r="O4275" s="2">
        <f>IF(OR(F4275="",G4275=""),"",IF(G4275&lt;='RETRATO 2027'!$K$5,"CONCLUÍDA",IF(F4275&lt;='RETRATO 2027'!$K$5,"EM ANDAMENTO","A INICIAR")))</f>
        <v/>
      </c>
    </row>
    <row r="4276">
      <c r="M4276" s="2">
        <f>IF(C4276="","",IFERROR(INDEX($S$5:$S$304,MATCH(C4276,$R$5:$R$304,0))&amp;"","?"))</f>
        <v/>
      </c>
      <c r="N4276" s="2">
        <f>IF(E4276="","",IF(ISNUMBER(SEARCH("SUBSOLO",E4276)),IFERROR(-VALUE(LEFT(E4276,FIND("º",SUBSTITUTE(E4276,"°","º"))-1)),-1),IF(LEFT(E4276,6)="TÉRREO",0,IFERROR(VALUE(LEFT(E4276,FIND("º",SUBSTITUTE(E4276,"°","º"))-1)),""))))</f>
        <v/>
      </c>
      <c r="O4276" s="2">
        <f>IF(OR(F4276="",G4276=""),"",IF(G4276&lt;='RETRATO 2027'!$K$5,"CONCLUÍDA",IF(F4276&lt;='RETRATO 2027'!$K$5,"EM ANDAMENTO","A INICIAR")))</f>
        <v/>
      </c>
    </row>
    <row r="4277">
      <c r="M4277" s="2">
        <f>IF(C4277="","",IFERROR(INDEX($S$5:$S$304,MATCH(C4277,$R$5:$R$304,0))&amp;"","?"))</f>
        <v/>
      </c>
      <c r="N4277" s="2">
        <f>IF(E4277="","",IF(ISNUMBER(SEARCH("SUBSOLO",E4277)),IFERROR(-VALUE(LEFT(E4277,FIND("º",SUBSTITUTE(E4277,"°","º"))-1)),-1),IF(LEFT(E4277,6)="TÉRREO",0,IFERROR(VALUE(LEFT(E4277,FIND("º",SUBSTITUTE(E4277,"°","º"))-1)),""))))</f>
        <v/>
      </c>
      <c r="O4277" s="2">
        <f>IF(OR(F4277="",G4277=""),"",IF(G4277&lt;='RETRATO 2027'!$K$5,"CONCLUÍDA",IF(F4277&lt;='RETRATO 2027'!$K$5,"EM ANDAMENTO","A INICIAR")))</f>
        <v/>
      </c>
    </row>
    <row r="4278">
      <c r="M4278" s="2">
        <f>IF(C4278="","",IFERROR(INDEX($S$5:$S$304,MATCH(C4278,$R$5:$R$304,0))&amp;"","?"))</f>
        <v/>
      </c>
      <c r="N4278" s="2">
        <f>IF(E4278="","",IF(ISNUMBER(SEARCH("SUBSOLO",E4278)),IFERROR(-VALUE(LEFT(E4278,FIND("º",SUBSTITUTE(E4278,"°","º"))-1)),-1),IF(LEFT(E4278,6)="TÉRREO",0,IFERROR(VALUE(LEFT(E4278,FIND("º",SUBSTITUTE(E4278,"°","º"))-1)),""))))</f>
        <v/>
      </c>
      <c r="O4278" s="2">
        <f>IF(OR(F4278="",G4278=""),"",IF(G4278&lt;='RETRATO 2027'!$K$5,"CONCLUÍDA",IF(F4278&lt;='RETRATO 2027'!$K$5,"EM ANDAMENTO","A INICIAR")))</f>
        <v/>
      </c>
    </row>
    <row r="4279">
      <c r="M4279" s="2">
        <f>IF(C4279="","",IFERROR(INDEX($S$5:$S$304,MATCH(C4279,$R$5:$R$304,0))&amp;"","?"))</f>
        <v/>
      </c>
      <c r="N4279" s="2">
        <f>IF(E4279="","",IF(ISNUMBER(SEARCH("SUBSOLO",E4279)),IFERROR(-VALUE(LEFT(E4279,FIND("º",SUBSTITUTE(E4279,"°","º"))-1)),-1),IF(LEFT(E4279,6)="TÉRREO",0,IFERROR(VALUE(LEFT(E4279,FIND("º",SUBSTITUTE(E4279,"°","º"))-1)),""))))</f>
        <v/>
      </c>
      <c r="O4279" s="2">
        <f>IF(OR(F4279="",G4279=""),"",IF(G4279&lt;='RETRATO 2027'!$K$5,"CONCLUÍDA",IF(F4279&lt;='RETRATO 2027'!$K$5,"EM ANDAMENTO","A INICIAR")))</f>
        <v/>
      </c>
    </row>
    <row r="4280">
      <c r="M4280" s="2">
        <f>IF(C4280="","",IFERROR(INDEX($S$5:$S$304,MATCH(C4280,$R$5:$R$304,0))&amp;"","?"))</f>
        <v/>
      </c>
      <c r="N4280" s="2">
        <f>IF(E4280="","",IF(ISNUMBER(SEARCH("SUBSOLO",E4280)),IFERROR(-VALUE(LEFT(E4280,FIND("º",SUBSTITUTE(E4280,"°","º"))-1)),-1),IF(LEFT(E4280,6)="TÉRREO",0,IFERROR(VALUE(LEFT(E4280,FIND("º",SUBSTITUTE(E4280,"°","º"))-1)),""))))</f>
        <v/>
      </c>
      <c r="O4280" s="2">
        <f>IF(OR(F4280="",G4280=""),"",IF(G4280&lt;='RETRATO 2027'!$K$5,"CONCLUÍDA",IF(F4280&lt;='RETRATO 2027'!$K$5,"EM ANDAMENTO","A INICIAR")))</f>
        <v/>
      </c>
    </row>
    <row r="4281">
      <c r="M4281" s="2">
        <f>IF(C4281="","",IFERROR(INDEX($S$5:$S$304,MATCH(C4281,$R$5:$R$304,0))&amp;"","?"))</f>
        <v/>
      </c>
      <c r="N4281" s="2">
        <f>IF(E4281="","",IF(ISNUMBER(SEARCH("SUBSOLO",E4281)),IFERROR(-VALUE(LEFT(E4281,FIND("º",SUBSTITUTE(E4281,"°","º"))-1)),-1),IF(LEFT(E4281,6)="TÉRREO",0,IFERROR(VALUE(LEFT(E4281,FIND("º",SUBSTITUTE(E4281,"°","º"))-1)),""))))</f>
        <v/>
      </c>
      <c r="O4281" s="2">
        <f>IF(OR(F4281="",G4281=""),"",IF(G4281&lt;='RETRATO 2027'!$K$5,"CONCLUÍDA",IF(F4281&lt;='RETRATO 2027'!$K$5,"EM ANDAMENTO","A INICIAR")))</f>
        <v/>
      </c>
    </row>
    <row r="4282">
      <c r="M4282" s="2">
        <f>IF(C4282="","",IFERROR(INDEX($S$5:$S$304,MATCH(C4282,$R$5:$R$304,0))&amp;"","?"))</f>
        <v/>
      </c>
      <c r="N4282" s="2">
        <f>IF(E4282="","",IF(ISNUMBER(SEARCH("SUBSOLO",E4282)),IFERROR(-VALUE(LEFT(E4282,FIND("º",SUBSTITUTE(E4282,"°","º"))-1)),-1),IF(LEFT(E4282,6)="TÉRREO",0,IFERROR(VALUE(LEFT(E4282,FIND("º",SUBSTITUTE(E4282,"°","º"))-1)),""))))</f>
        <v/>
      </c>
      <c r="O4282" s="2">
        <f>IF(OR(F4282="",G4282=""),"",IF(G4282&lt;='RETRATO 2027'!$K$5,"CONCLUÍDA",IF(F4282&lt;='RETRATO 2027'!$K$5,"EM ANDAMENTO","A INICIAR")))</f>
        <v/>
      </c>
    </row>
    <row r="4283">
      <c r="M4283" s="2">
        <f>IF(C4283="","",IFERROR(INDEX($S$5:$S$304,MATCH(C4283,$R$5:$R$304,0))&amp;"","?"))</f>
        <v/>
      </c>
      <c r="N4283" s="2">
        <f>IF(E4283="","",IF(ISNUMBER(SEARCH("SUBSOLO",E4283)),IFERROR(-VALUE(LEFT(E4283,FIND("º",SUBSTITUTE(E4283,"°","º"))-1)),-1),IF(LEFT(E4283,6)="TÉRREO",0,IFERROR(VALUE(LEFT(E4283,FIND("º",SUBSTITUTE(E4283,"°","º"))-1)),""))))</f>
        <v/>
      </c>
      <c r="O4283" s="2">
        <f>IF(OR(F4283="",G4283=""),"",IF(G4283&lt;='RETRATO 2027'!$K$5,"CONCLUÍDA",IF(F4283&lt;='RETRATO 2027'!$K$5,"EM ANDAMENTO","A INICIAR")))</f>
        <v/>
      </c>
    </row>
    <row r="4284">
      <c r="M4284" s="2">
        <f>IF(C4284="","",IFERROR(INDEX($S$5:$S$304,MATCH(C4284,$R$5:$R$304,0))&amp;"","?"))</f>
        <v/>
      </c>
      <c r="N4284" s="2">
        <f>IF(E4284="","",IF(ISNUMBER(SEARCH("SUBSOLO",E4284)),IFERROR(-VALUE(LEFT(E4284,FIND("º",SUBSTITUTE(E4284,"°","º"))-1)),-1),IF(LEFT(E4284,6)="TÉRREO",0,IFERROR(VALUE(LEFT(E4284,FIND("º",SUBSTITUTE(E4284,"°","º"))-1)),""))))</f>
        <v/>
      </c>
      <c r="O4284" s="2">
        <f>IF(OR(F4284="",G4284=""),"",IF(G4284&lt;='RETRATO 2027'!$K$5,"CONCLUÍDA",IF(F4284&lt;='RETRATO 2027'!$K$5,"EM ANDAMENTO","A INICIAR")))</f>
        <v/>
      </c>
    </row>
    <row r="4285">
      <c r="M4285" s="2">
        <f>IF(C4285="","",IFERROR(INDEX($S$5:$S$304,MATCH(C4285,$R$5:$R$304,0))&amp;"","?"))</f>
        <v/>
      </c>
      <c r="N4285" s="2">
        <f>IF(E4285="","",IF(ISNUMBER(SEARCH("SUBSOLO",E4285)),IFERROR(-VALUE(LEFT(E4285,FIND("º",SUBSTITUTE(E4285,"°","º"))-1)),-1),IF(LEFT(E4285,6)="TÉRREO",0,IFERROR(VALUE(LEFT(E4285,FIND("º",SUBSTITUTE(E4285,"°","º"))-1)),""))))</f>
        <v/>
      </c>
      <c r="O4285" s="2">
        <f>IF(OR(F4285="",G4285=""),"",IF(G4285&lt;='RETRATO 2027'!$K$5,"CONCLUÍDA",IF(F4285&lt;='RETRATO 2027'!$K$5,"EM ANDAMENTO","A INICIAR")))</f>
        <v/>
      </c>
    </row>
    <row r="4286">
      <c r="M4286" s="2">
        <f>IF(C4286="","",IFERROR(INDEX($S$5:$S$304,MATCH(C4286,$R$5:$R$304,0))&amp;"","?"))</f>
        <v/>
      </c>
      <c r="N4286" s="2">
        <f>IF(E4286="","",IF(ISNUMBER(SEARCH("SUBSOLO",E4286)),IFERROR(-VALUE(LEFT(E4286,FIND("º",SUBSTITUTE(E4286,"°","º"))-1)),-1),IF(LEFT(E4286,6)="TÉRREO",0,IFERROR(VALUE(LEFT(E4286,FIND("º",SUBSTITUTE(E4286,"°","º"))-1)),""))))</f>
        <v/>
      </c>
      <c r="O4286" s="2">
        <f>IF(OR(F4286="",G4286=""),"",IF(G4286&lt;='RETRATO 2027'!$K$5,"CONCLUÍDA",IF(F4286&lt;='RETRATO 2027'!$K$5,"EM ANDAMENTO","A INICIAR")))</f>
        <v/>
      </c>
    </row>
    <row r="4287">
      <c r="M4287" s="2">
        <f>IF(C4287="","",IFERROR(INDEX($S$5:$S$304,MATCH(C4287,$R$5:$R$304,0))&amp;"","?"))</f>
        <v/>
      </c>
      <c r="N4287" s="2">
        <f>IF(E4287="","",IF(ISNUMBER(SEARCH("SUBSOLO",E4287)),IFERROR(-VALUE(LEFT(E4287,FIND("º",SUBSTITUTE(E4287,"°","º"))-1)),-1),IF(LEFT(E4287,6)="TÉRREO",0,IFERROR(VALUE(LEFT(E4287,FIND("º",SUBSTITUTE(E4287,"°","º"))-1)),""))))</f>
        <v/>
      </c>
      <c r="O4287" s="2">
        <f>IF(OR(F4287="",G4287=""),"",IF(G4287&lt;='RETRATO 2027'!$K$5,"CONCLUÍDA",IF(F4287&lt;='RETRATO 2027'!$K$5,"EM ANDAMENTO","A INICIAR")))</f>
        <v/>
      </c>
    </row>
    <row r="4288">
      <c r="M4288" s="2">
        <f>IF(C4288="","",IFERROR(INDEX($S$5:$S$304,MATCH(C4288,$R$5:$R$304,0))&amp;"","?"))</f>
        <v/>
      </c>
      <c r="N4288" s="2">
        <f>IF(E4288="","",IF(ISNUMBER(SEARCH("SUBSOLO",E4288)),IFERROR(-VALUE(LEFT(E4288,FIND("º",SUBSTITUTE(E4288,"°","º"))-1)),-1),IF(LEFT(E4288,6)="TÉRREO",0,IFERROR(VALUE(LEFT(E4288,FIND("º",SUBSTITUTE(E4288,"°","º"))-1)),""))))</f>
        <v/>
      </c>
      <c r="O4288" s="2">
        <f>IF(OR(F4288="",G4288=""),"",IF(G4288&lt;='RETRATO 2027'!$K$5,"CONCLUÍDA",IF(F4288&lt;='RETRATO 2027'!$K$5,"EM ANDAMENTO","A INICIAR")))</f>
        <v/>
      </c>
    </row>
    <row r="4289">
      <c r="M4289" s="2">
        <f>IF(C4289="","",IFERROR(INDEX($S$5:$S$304,MATCH(C4289,$R$5:$R$304,0))&amp;"","?"))</f>
        <v/>
      </c>
      <c r="N4289" s="2">
        <f>IF(E4289="","",IF(ISNUMBER(SEARCH("SUBSOLO",E4289)),IFERROR(-VALUE(LEFT(E4289,FIND("º",SUBSTITUTE(E4289,"°","º"))-1)),-1),IF(LEFT(E4289,6)="TÉRREO",0,IFERROR(VALUE(LEFT(E4289,FIND("º",SUBSTITUTE(E4289,"°","º"))-1)),""))))</f>
        <v/>
      </c>
      <c r="O4289" s="2">
        <f>IF(OR(F4289="",G4289=""),"",IF(G4289&lt;='RETRATO 2027'!$K$5,"CONCLUÍDA",IF(F4289&lt;='RETRATO 2027'!$K$5,"EM ANDAMENTO","A INICIAR")))</f>
        <v/>
      </c>
    </row>
    <row r="4290">
      <c r="M4290" s="2">
        <f>IF(C4290="","",IFERROR(INDEX($S$5:$S$304,MATCH(C4290,$R$5:$R$304,0))&amp;"","?"))</f>
        <v/>
      </c>
      <c r="N4290" s="2">
        <f>IF(E4290="","",IF(ISNUMBER(SEARCH("SUBSOLO",E4290)),IFERROR(-VALUE(LEFT(E4290,FIND("º",SUBSTITUTE(E4290,"°","º"))-1)),-1),IF(LEFT(E4290,6)="TÉRREO",0,IFERROR(VALUE(LEFT(E4290,FIND("º",SUBSTITUTE(E4290,"°","º"))-1)),""))))</f>
        <v/>
      </c>
      <c r="O4290" s="2">
        <f>IF(OR(F4290="",G4290=""),"",IF(G4290&lt;='RETRATO 2027'!$K$5,"CONCLUÍDA",IF(F4290&lt;='RETRATO 2027'!$K$5,"EM ANDAMENTO","A INICIAR")))</f>
        <v/>
      </c>
    </row>
    <row r="4291">
      <c r="M4291" s="2">
        <f>IF(C4291="","",IFERROR(INDEX($S$5:$S$304,MATCH(C4291,$R$5:$R$304,0))&amp;"","?"))</f>
        <v/>
      </c>
      <c r="N4291" s="2">
        <f>IF(E4291="","",IF(ISNUMBER(SEARCH("SUBSOLO",E4291)),IFERROR(-VALUE(LEFT(E4291,FIND("º",SUBSTITUTE(E4291,"°","º"))-1)),-1),IF(LEFT(E4291,6)="TÉRREO",0,IFERROR(VALUE(LEFT(E4291,FIND("º",SUBSTITUTE(E4291,"°","º"))-1)),""))))</f>
        <v/>
      </c>
      <c r="O4291" s="2">
        <f>IF(OR(F4291="",G4291=""),"",IF(G4291&lt;='RETRATO 2027'!$K$5,"CONCLUÍDA",IF(F4291&lt;='RETRATO 2027'!$K$5,"EM ANDAMENTO","A INICIAR")))</f>
        <v/>
      </c>
    </row>
    <row r="4292">
      <c r="M4292" s="2">
        <f>IF(C4292="","",IFERROR(INDEX($S$5:$S$304,MATCH(C4292,$R$5:$R$304,0))&amp;"","?"))</f>
        <v/>
      </c>
      <c r="N4292" s="2">
        <f>IF(E4292="","",IF(ISNUMBER(SEARCH("SUBSOLO",E4292)),IFERROR(-VALUE(LEFT(E4292,FIND("º",SUBSTITUTE(E4292,"°","º"))-1)),-1),IF(LEFT(E4292,6)="TÉRREO",0,IFERROR(VALUE(LEFT(E4292,FIND("º",SUBSTITUTE(E4292,"°","º"))-1)),""))))</f>
        <v/>
      </c>
      <c r="O4292" s="2">
        <f>IF(OR(F4292="",G4292=""),"",IF(G4292&lt;='RETRATO 2027'!$K$5,"CONCLUÍDA",IF(F4292&lt;='RETRATO 2027'!$K$5,"EM ANDAMENTO","A INICIAR")))</f>
        <v/>
      </c>
    </row>
    <row r="4293">
      <c r="M4293" s="2">
        <f>IF(C4293="","",IFERROR(INDEX($S$5:$S$304,MATCH(C4293,$R$5:$R$304,0))&amp;"","?"))</f>
        <v/>
      </c>
      <c r="N4293" s="2">
        <f>IF(E4293="","",IF(ISNUMBER(SEARCH("SUBSOLO",E4293)),IFERROR(-VALUE(LEFT(E4293,FIND("º",SUBSTITUTE(E4293,"°","º"))-1)),-1),IF(LEFT(E4293,6)="TÉRREO",0,IFERROR(VALUE(LEFT(E4293,FIND("º",SUBSTITUTE(E4293,"°","º"))-1)),""))))</f>
        <v/>
      </c>
      <c r="O4293" s="2">
        <f>IF(OR(F4293="",G4293=""),"",IF(G4293&lt;='RETRATO 2027'!$K$5,"CONCLUÍDA",IF(F4293&lt;='RETRATO 2027'!$K$5,"EM ANDAMENTO","A INICIAR")))</f>
        <v/>
      </c>
    </row>
    <row r="4294">
      <c r="M4294" s="2">
        <f>IF(C4294="","",IFERROR(INDEX($S$5:$S$304,MATCH(C4294,$R$5:$R$304,0))&amp;"","?"))</f>
        <v/>
      </c>
      <c r="N4294" s="2">
        <f>IF(E4294="","",IF(ISNUMBER(SEARCH("SUBSOLO",E4294)),IFERROR(-VALUE(LEFT(E4294,FIND("º",SUBSTITUTE(E4294,"°","º"))-1)),-1),IF(LEFT(E4294,6)="TÉRREO",0,IFERROR(VALUE(LEFT(E4294,FIND("º",SUBSTITUTE(E4294,"°","º"))-1)),""))))</f>
        <v/>
      </c>
      <c r="O4294" s="2">
        <f>IF(OR(F4294="",G4294=""),"",IF(G4294&lt;='RETRATO 2027'!$K$5,"CONCLUÍDA",IF(F4294&lt;='RETRATO 2027'!$K$5,"EM ANDAMENTO","A INICIAR")))</f>
        <v/>
      </c>
    </row>
    <row r="4295">
      <c r="M4295" s="2">
        <f>IF(C4295="","",IFERROR(INDEX($S$5:$S$304,MATCH(C4295,$R$5:$R$304,0))&amp;"","?"))</f>
        <v/>
      </c>
      <c r="N4295" s="2">
        <f>IF(E4295="","",IF(ISNUMBER(SEARCH("SUBSOLO",E4295)),IFERROR(-VALUE(LEFT(E4295,FIND("º",SUBSTITUTE(E4295,"°","º"))-1)),-1),IF(LEFT(E4295,6)="TÉRREO",0,IFERROR(VALUE(LEFT(E4295,FIND("º",SUBSTITUTE(E4295,"°","º"))-1)),""))))</f>
        <v/>
      </c>
      <c r="O4295" s="2">
        <f>IF(OR(F4295="",G4295=""),"",IF(G4295&lt;='RETRATO 2027'!$K$5,"CONCLUÍDA",IF(F4295&lt;='RETRATO 2027'!$K$5,"EM ANDAMENTO","A INICIAR")))</f>
        <v/>
      </c>
    </row>
    <row r="4296">
      <c r="M4296" s="2">
        <f>IF(C4296="","",IFERROR(INDEX($S$5:$S$304,MATCH(C4296,$R$5:$R$304,0))&amp;"","?"))</f>
        <v/>
      </c>
      <c r="N4296" s="2">
        <f>IF(E4296="","",IF(ISNUMBER(SEARCH("SUBSOLO",E4296)),IFERROR(-VALUE(LEFT(E4296,FIND("º",SUBSTITUTE(E4296,"°","º"))-1)),-1),IF(LEFT(E4296,6)="TÉRREO",0,IFERROR(VALUE(LEFT(E4296,FIND("º",SUBSTITUTE(E4296,"°","º"))-1)),""))))</f>
        <v/>
      </c>
      <c r="O4296" s="2">
        <f>IF(OR(F4296="",G4296=""),"",IF(G4296&lt;='RETRATO 2027'!$K$5,"CONCLUÍDA",IF(F4296&lt;='RETRATO 2027'!$K$5,"EM ANDAMENTO","A INICIAR")))</f>
        <v/>
      </c>
    </row>
    <row r="4297">
      <c r="M4297" s="2">
        <f>IF(C4297="","",IFERROR(INDEX($S$5:$S$304,MATCH(C4297,$R$5:$R$304,0))&amp;"","?"))</f>
        <v/>
      </c>
      <c r="N4297" s="2">
        <f>IF(E4297="","",IF(ISNUMBER(SEARCH("SUBSOLO",E4297)),IFERROR(-VALUE(LEFT(E4297,FIND("º",SUBSTITUTE(E4297,"°","º"))-1)),-1),IF(LEFT(E4297,6)="TÉRREO",0,IFERROR(VALUE(LEFT(E4297,FIND("º",SUBSTITUTE(E4297,"°","º"))-1)),""))))</f>
        <v/>
      </c>
      <c r="O4297" s="2">
        <f>IF(OR(F4297="",G4297=""),"",IF(G4297&lt;='RETRATO 2027'!$K$5,"CONCLUÍDA",IF(F4297&lt;='RETRATO 2027'!$K$5,"EM ANDAMENTO","A INICIAR")))</f>
        <v/>
      </c>
    </row>
    <row r="4298">
      <c r="M4298" s="2">
        <f>IF(C4298="","",IFERROR(INDEX($S$5:$S$304,MATCH(C4298,$R$5:$R$304,0))&amp;"","?"))</f>
        <v/>
      </c>
      <c r="N4298" s="2">
        <f>IF(E4298="","",IF(ISNUMBER(SEARCH("SUBSOLO",E4298)),IFERROR(-VALUE(LEFT(E4298,FIND("º",SUBSTITUTE(E4298,"°","º"))-1)),-1),IF(LEFT(E4298,6)="TÉRREO",0,IFERROR(VALUE(LEFT(E4298,FIND("º",SUBSTITUTE(E4298,"°","º"))-1)),""))))</f>
        <v/>
      </c>
      <c r="O4298" s="2">
        <f>IF(OR(F4298="",G4298=""),"",IF(G4298&lt;='RETRATO 2027'!$K$5,"CONCLUÍDA",IF(F4298&lt;='RETRATO 2027'!$K$5,"EM ANDAMENTO","A INICIAR")))</f>
        <v/>
      </c>
    </row>
    <row r="4299">
      <c r="M4299" s="2">
        <f>IF(C4299="","",IFERROR(INDEX($S$5:$S$304,MATCH(C4299,$R$5:$R$304,0))&amp;"","?"))</f>
        <v/>
      </c>
      <c r="N4299" s="2">
        <f>IF(E4299="","",IF(ISNUMBER(SEARCH("SUBSOLO",E4299)),IFERROR(-VALUE(LEFT(E4299,FIND("º",SUBSTITUTE(E4299,"°","º"))-1)),-1),IF(LEFT(E4299,6)="TÉRREO",0,IFERROR(VALUE(LEFT(E4299,FIND("º",SUBSTITUTE(E4299,"°","º"))-1)),""))))</f>
        <v/>
      </c>
      <c r="O4299" s="2">
        <f>IF(OR(F4299="",G4299=""),"",IF(G4299&lt;='RETRATO 2027'!$K$5,"CONCLUÍDA",IF(F4299&lt;='RETRATO 2027'!$K$5,"EM ANDAMENTO","A INICIAR")))</f>
        <v/>
      </c>
    </row>
    <row r="4300">
      <c r="M4300" s="2">
        <f>IF(C4300="","",IFERROR(INDEX($S$5:$S$304,MATCH(C4300,$R$5:$R$304,0))&amp;"","?"))</f>
        <v/>
      </c>
      <c r="N4300" s="2">
        <f>IF(E4300="","",IF(ISNUMBER(SEARCH("SUBSOLO",E4300)),IFERROR(-VALUE(LEFT(E4300,FIND("º",SUBSTITUTE(E4300,"°","º"))-1)),-1),IF(LEFT(E4300,6)="TÉRREO",0,IFERROR(VALUE(LEFT(E4300,FIND("º",SUBSTITUTE(E4300,"°","º"))-1)),""))))</f>
        <v/>
      </c>
      <c r="O4300" s="2">
        <f>IF(OR(F4300="",G4300=""),"",IF(G4300&lt;='RETRATO 2027'!$K$5,"CONCLUÍDA",IF(F4300&lt;='RETRATO 2027'!$K$5,"EM ANDAMENTO","A INICIAR")))</f>
        <v/>
      </c>
    </row>
    <row r="4301">
      <c r="M4301" s="2">
        <f>IF(C4301="","",IFERROR(INDEX($S$5:$S$304,MATCH(C4301,$R$5:$R$304,0))&amp;"","?"))</f>
        <v/>
      </c>
      <c r="N4301" s="2">
        <f>IF(E4301="","",IF(ISNUMBER(SEARCH("SUBSOLO",E4301)),IFERROR(-VALUE(LEFT(E4301,FIND("º",SUBSTITUTE(E4301,"°","º"))-1)),-1),IF(LEFT(E4301,6)="TÉRREO",0,IFERROR(VALUE(LEFT(E4301,FIND("º",SUBSTITUTE(E4301,"°","º"))-1)),""))))</f>
        <v/>
      </c>
      <c r="O4301" s="2">
        <f>IF(OR(F4301="",G4301=""),"",IF(G4301&lt;='RETRATO 2027'!$K$5,"CONCLUÍDA",IF(F4301&lt;='RETRATO 2027'!$K$5,"EM ANDAMENTO","A INICIAR")))</f>
        <v/>
      </c>
    </row>
    <row r="4302">
      <c r="M4302" s="2">
        <f>IF(C4302="","",IFERROR(INDEX($S$5:$S$304,MATCH(C4302,$R$5:$R$304,0))&amp;"","?"))</f>
        <v/>
      </c>
      <c r="N4302" s="2">
        <f>IF(E4302="","",IF(ISNUMBER(SEARCH("SUBSOLO",E4302)),IFERROR(-VALUE(LEFT(E4302,FIND("º",SUBSTITUTE(E4302,"°","º"))-1)),-1),IF(LEFT(E4302,6)="TÉRREO",0,IFERROR(VALUE(LEFT(E4302,FIND("º",SUBSTITUTE(E4302,"°","º"))-1)),""))))</f>
        <v/>
      </c>
      <c r="O4302" s="2">
        <f>IF(OR(F4302="",G4302=""),"",IF(G4302&lt;='RETRATO 2027'!$K$5,"CONCLUÍDA",IF(F4302&lt;='RETRATO 2027'!$K$5,"EM ANDAMENTO","A INICIAR")))</f>
        <v/>
      </c>
    </row>
    <row r="4303">
      <c r="M4303" s="2">
        <f>IF(C4303="","",IFERROR(INDEX($S$5:$S$304,MATCH(C4303,$R$5:$R$304,0))&amp;"","?"))</f>
        <v/>
      </c>
      <c r="N4303" s="2">
        <f>IF(E4303="","",IF(ISNUMBER(SEARCH("SUBSOLO",E4303)),IFERROR(-VALUE(LEFT(E4303,FIND("º",SUBSTITUTE(E4303,"°","º"))-1)),-1),IF(LEFT(E4303,6)="TÉRREO",0,IFERROR(VALUE(LEFT(E4303,FIND("º",SUBSTITUTE(E4303,"°","º"))-1)),""))))</f>
        <v/>
      </c>
      <c r="O4303" s="2">
        <f>IF(OR(F4303="",G4303=""),"",IF(G4303&lt;='RETRATO 2027'!$K$5,"CONCLUÍDA",IF(F4303&lt;='RETRATO 2027'!$K$5,"EM ANDAMENTO","A INICIAR")))</f>
        <v/>
      </c>
    </row>
    <row r="4304">
      <c r="M4304" s="2">
        <f>IF(C4304="","",IFERROR(INDEX($S$5:$S$304,MATCH(C4304,$R$5:$R$304,0))&amp;"","?"))</f>
        <v/>
      </c>
      <c r="N4304" s="2">
        <f>IF(E4304="","",IF(ISNUMBER(SEARCH("SUBSOLO",E4304)),IFERROR(-VALUE(LEFT(E4304,FIND("º",SUBSTITUTE(E4304,"°","º"))-1)),-1),IF(LEFT(E4304,6)="TÉRREO",0,IFERROR(VALUE(LEFT(E4304,FIND("º",SUBSTITUTE(E4304,"°","º"))-1)),""))))</f>
        <v/>
      </c>
      <c r="O4304" s="2">
        <f>IF(OR(F4304="",G4304=""),"",IF(G4304&lt;='RETRATO 2027'!$K$5,"CONCLUÍDA",IF(F4304&lt;='RETRATO 2027'!$K$5,"EM ANDAMENTO","A INICIAR")))</f>
        <v/>
      </c>
    </row>
    <row r="4305">
      <c r="M4305" s="2">
        <f>IF(C4305="","",IFERROR(INDEX($S$5:$S$304,MATCH(C4305,$R$5:$R$304,0))&amp;"","?"))</f>
        <v/>
      </c>
      <c r="N4305" s="2">
        <f>IF(E4305="","",IF(ISNUMBER(SEARCH("SUBSOLO",E4305)),IFERROR(-VALUE(LEFT(E4305,FIND("º",SUBSTITUTE(E4305,"°","º"))-1)),-1),IF(LEFT(E4305,6)="TÉRREO",0,IFERROR(VALUE(LEFT(E4305,FIND("º",SUBSTITUTE(E4305,"°","º"))-1)),""))))</f>
        <v/>
      </c>
      <c r="O4305" s="2">
        <f>IF(OR(F4305="",G4305=""),"",IF(G4305&lt;='RETRATO 2027'!$K$5,"CONCLUÍDA",IF(F4305&lt;='RETRATO 2027'!$K$5,"EM ANDAMENTO","A INICIAR")))</f>
        <v/>
      </c>
    </row>
    <row r="4306">
      <c r="M4306" s="2">
        <f>IF(C4306="","",IFERROR(INDEX($S$5:$S$304,MATCH(C4306,$R$5:$R$304,0))&amp;"","?"))</f>
        <v/>
      </c>
      <c r="N4306" s="2">
        <f>IF(E4306="","",IF(ISNUMBER(SEARCH("SUBSOLO",E4306)),IFERROR(-VALUE(LEFT(E4306,FIND("º",SUBSTITUTE(E4306,"°","º"))-1)),-1),IF(LEFT(E4306,6)="TÉRREO",0,IFERROR(VALUE(LEFT(E4306,FIND("º",SUBSTITUTE(E4306,"°","º"))-1)),""))))</f>
        <v/>
      </c>
      <c r="O4306" s="2">
        <f>IF(OR(F4306="",G4306=""),"",IF(G4306&lt;='RETRATO 2027'!$K$5,"CONCLUÍDA",IF(F4306&lt;='RETRATO 2027'!$K$5,"EM ANDAMENTO","A INICIAR")))</f>
        <v/>
      </c>
    </row>
    <row r="4307">
      <c r="M4307" s="2">
        <f>IF(C4307="","",IFERROR(INDEX($S$5:$S$304,MATCH(C4307,$R$5:$R$304,0))&amp;"","?"))</f>
        <v/>
      </c>
      <c r="N4307" s="2">
        <f>IF(E4307="","",IF(ISNUMBER(SEARCH("SUBSOLO",E4307)),IFERROR(-VALUE(LEFT(E4307,FIND("º",SUBSTITUTE(E4307,"°","º"))-1)),-1),IF(LEFT(E4307,6)="TÉRREO",0,IFERROR(VALUE(LEFT(E4307,FIND("º",SUBSTITUTE(E4307,"°","º"))-1)),""))))</f>
        <v/>
      </c>
      <c r="O4307" s="2">
        <f>IF(OR(F4307="",G4307=""),"",IF(G4307&lt;='RETRATO 2027'!$K$5,"CONCLUÍDA",IF(F4307&lt;='RETRATO 2027'!$K$5,"EM ANDAMENTO","A INICIAR")))</f>
        <v/>
      </c>
    </row>
    <row r="4308">
      <c r="M4308" s="2">
        <f>IF(C4308="","",IFERROR(INDEX($S$5:$S$304,MATCH(C4308,$R$5:$R$304,0))&amp;"","?"))</f>
        <v/>
      </c>
      <c r="N4308" s="2">
        <f>IF(E4308="","",IF(ISNUMBER(SEARCH("SUBSOLO",E4308)),IFERROR(-VALUE(LEFT(E4308,FIND("º",SUBSTITUTE(E4308,"°","º"))-1)),-1),IF(LEFT(E4308,6)="TÉRREO",0,IFERROR(VALUE(LEFT(E4308,FIND("º",SUBSTITUTE(E4308,"°","º"))-1)),""))))</f>
        <v/>
      </c>
      <c r="O4308" s="2">
        <f>IF(OR(F4308="",G4308=""),"",IF(G4308&lt;='RETRATO 2027'!$K$5,"CONCLUÍDA",IF(F4308&lt;='RETRATO 2027'!$K$5,"EM ANDAMENTO","A INICIAR")))</f>
        <v/>
      </c>
    </row>
    <row r="4309">
      <c r="M4309" s="2">
        <f>IF(C4309="","",IFERROR(INDEX($S$5:$S$304,MATCH(C4309,$R$5:$R$304,0))&amp;"","?"))</f>
        <v/>
      </c>
      <c r="N4309" s="2">
        <f>IF(E4309="","",IF(ISNUMBER(SEARCH("SUBSOLO",E4309)),IFERROR(-VALUE(LEFT(E4309,FIND("º",SUBSTITUTE(E4309,"°","º"))-1)),-1),IF(LEFT(E4309,6)="TÉRREO",0,IFERROR(VALUE(LEFT(E4309,FIND("º",SUBSTITUTE(E4309,"°","º"))-1)),""))))</f>
        <v/>
      </c>
      <c r="O4309" s="2">
        <f>IF(OR(F4309="",G4309=""),"",IF(G4309&lt;='RETRATO 2027'!$K$5,"CONCLUÍDA",IF(F4309&lt;='RETRATO 2027'!$K$5,"EM ANDAMENTO","A INICIAR")))</f>
        <v/>
      </c>
    </row>
    <row r="4310">
      <c r="M4310" s="2">
        <f>IF(C4310="","",IFERROR(INDEX($S$5:$S$304,MATCH(C4310,$R$5:$R$304,0))&amp;"","?"))</f>
        <v/>
      </c>
      <c r="N4310" s="2">
        <f>IF(E4310="","",IF(ISNUMBER(SEARCH("SUBSOLO",E4310)),IFERROR(-VALUE(LEFT(E4310,FIND("º",SUBSTITUTE(E4310,"°","º"))-1)),-1),IF(LEFT(E4310,6)="TÉRREO",0,IFERROR(VALUE(LEFT(E4310,FIND("º",SUBSTITUTE(E4310,"°","º"))-1)),""))))</f>
        <v/>
      </c>
      <c r="O4310" s="2">
        <f>IF(OR(F4310="",G4310=""),"",IF(G4310&lt;='RETRATO 2027'!$K$5,"CONCLUÍDA",IF(F4310&lt;='RETRATO 2027'!$K$5,"EM ANDAMENTO","A INICIAR")))</f>
        <v/>
      </c>
    </row>
    <row r="4311">
      <c r="M4311" s="2">
        <f>IF(C4311="","",IFERROR(INDEX($S$5:$S$304,MATCH(C4311,$R$5:$R$304,0))&amp;"","?"))</f>
        <v/>
      </c>
      <c r="N4311" s="2">
        <f>IF(E4311="","",IF(ISNUMBER(SEARCH("SUBSOLO",E4311)),IFERROR(-VALUE(LEFT(E4311,FIND("º",SUBSTITUTE(E4311,"°","º"))-1)),-1),IF(LEFT(E4311,6)="TÉRREO",0,IFERROR(VALUE(LEFT(E4311,FIND("º",SUBSTITUTE(E4311,"°","º"))-1)),""))))</f>
        <v/>
      </c>
      <c r="O4311" s="2">
        <f>IF(OR(F4311="",G4311=""),"",IF(G4311&lt;='RETRATO 2027'!$K$5,"CONCLUÍDA",IF(F4311&lt;='RETRATO 2027'!$K$5,"EM ANDAMENTO","A INICIAR")))</f>
        <v/>
      </c>
    </row>
    <row r="4312">
      <c r="M4312" s="2">
        <f>IF(C4312="","",IFERROR(INDEX($S$5:$S$304,MATCH(C4312,$R$5:$R$304,0))&amp;"","?"))</f>
        <v/>
      </c>
      <c r="N4312" s="2">
        <f>IF(E4312="","",IF(ISNUMBER(SEARCH("SUBSOLO",E4312)),IFERROR(-VALUE(LEFT(E4312,FIND("º",SUBSTITUTE(E4312,"°","º"))-1)),-1),IF(LEFT(E4312,6)="TÉRREO",0,IFERROR(VALUE(LEFT(E4312,FIND("º",SUBSTITUTE(E4312,"°","º"))-1)),""))))</f>
        <v/>
      </c>
      <c r="O4312" s="2">
        <f>IF(OR(F4312="",G4312=""),"",IF(G4312&lt;='RETRATO 2027'!$K$5,"CONCLUÍDA",IF(F4312&lt;='RETRATO 2027'!$K$5,"EM ANDAMENTO","A INICIAR")))</f>
        <v/>
      </c>
    </row>
    <row r="4313">
      <c r="M4313" s="2">
        <f>IF(C4313="","",IFERROR(INDEX($S$5:$S$304,MATCH(C4313,$R$5:$R$304,0))&amp;"","?"))</f>
        <v/>
      </c>
      <c r="N4313" s="2">
        <f>IF(E4313="","",IF(ISNUMBER(SEARCH("SUBSOLO",E4313)),IFERROR(-VALUE(LEFT(E4313,FIND("º",SUBSTITUTE(E4313,"°","º"))-1)),-1),IF(LEFT(E4313,6)="TÉRREO",0,IFERROR(VALUE(LEFT(E4313,FIND("º",SUBSTITUTE(E4313,"°","º"))-1)),""))))</f>
        <v/>
      </c>
      <c r="O4313" s="2">
        <f>IF(OR(F4313="",G4313=""),"",IF(G4313&lt;='RETRATO 2027'!$K$5,"CONCLUÍDA",IF(F4313&lt;='RETRATO 2027'!$K$5,"EM ANDAMENTO","A INICIAR")))</f>
        <v/>
      </c>
    </row>
    <row r="4314">
      <c r="M4314" s="2">
        <f>IF(C4314="","",IFERROR(INDEX($S$5:$S$304,MATCH(C4314,$R$5:$R$304,0))&amp;"","?"))</f>
        <v/>
      </c>
      <c r="N4314" s="2">
        <f>IF(E4314="","",IF(ISNUMBER(SEARCH("SUBSOLO",E4314)),IFERROR(-VALUE(LEFT(E4314,FIND("º",SUBSTITUTE(E4314,"°","º"))-1)),-1),IF(LEFT(E4314,6)="TÉRREO",0,IFERROR(VALUE(LEFT(E4314,FIND("º",SUBSTITUTE(E4314,"°","º"))-1)),""))))</f>
        <v/>
      </c>
      <c r="O4314" s="2">
        <f>IF(OR(F4314="",G4314=""),"",IF(G4314&lt;='RETRATO 2027'!$K$5,"CONCLUÍDA",IF(F4314&lt;='RETRATO 2027'!$K$5,"EM ANDAMENTO","A INICIAR")))</f>
        <v/>
      </c>
    </row>
    <row r="4315">
      <c r="M4315" s="2">
        <f>IF(C4315="","",IFERROR(INDEX($S$5:$S$304,MATCH(C4315,$R$5:$R$304,0))&amp;"","?"))</f>
        <v/>
      </c>
      <c r="N4315" s="2">
        <f>IF(E4315="","",IF(ISNUMBER(SEARCH("SUBSOLO",E4315)),IFERROR(-VALUE(LEFT(E4315,FIND("º",SUBSTITUTE(E4315,"°","º"))-1)),-1),IF(LEFT(E4315,6)="TÉRREO",0,IFERROR(VALUE(LEFT(E4315,FIND("º",SUBSTITUTE(E4315,"°","º"))-1)),""))))</f>
        <v/>
      </c>
      <c r="O4315" s="2">
        <f>IF(OR(F4315="",G4315=""),"",IF(G4315&lt;='RETRATO 2027'!$K$5,"CONCLUÍDA",IF(F4315&lt;='RETRATO 2027'!$K$5,"EM ANDAMENTO","A INICIAR")))</f>
        <v/>
      </c>
    </row>
    <row r="4316">
      <c r="M4316" s="2">
        <f>IF(C4316="","",IFERROR(INDEX($S$5:$S$304,MATCH(C4316,$R$5:$R$304,0))&amp;"","?"))</f>
        <v/>
      </c>
      <c r="N4316" s="2">
        <f>IF(E4316="","",IF(ISNUMBER(SEARCH("SUBSOLO",E4316)),IFERROR(-VALUE(LEFT(E4316,FIND("º",SUBSTITUTE(E4316,"°","º"))-1)),-1),IF(LEFT(E4316,6)="TÉRREO",0,IFERROR(VALUE(LEFT(E4316,FIND("º",SUBSTITUTE(E4316,"°","º"))-1)),""))))</f>
        <v/>
      </c>
      <c r="O4316" s="2">
        <f>IF(OR(F4316="",G4316=""),"",IF(G4316&lt;='RETRATO 2027'!$K$5,"CONCLUÍDA",IF(F4316&lt;='RETRATO 2027'!$K$5,"EM ANDAMENTO","A INICIAR")))</f>
        <v/>
      </c>
    </row>
    <row r="4317">
      <c r="M4317" s="2">
        <f>IF(C4317="","",IFERROR(INDEX($S$5:$S$304,MATCH(C4317,$R$5:$R$304,0))&amp;"","?"))</f>
        <v/>
      </c>
      <c r="N4317" s="2">
        <f>IF(E4317="","",IF(ISNUMBER(SEARCH("SUBSOLO",E4317)),IFERROR(-VALUE(LEFT(E4317,FIND("º",SUBSTITUTE(E4317,"°","º"))-1)),-1),IF(LEFT(E4317,6)="TÉRREO",0,IFERROR(VALUE(LEFT(E4317,FIND("º",SUBSTITUTE(E4317,"°","º"))-1)),""))))</f>
        <v/>
      </c>
      <c r="O4317" s="2">
        <f>IF(OR(F4317="",G4317=""),"",IF(G4317&lt;='RETRATO 2027'!$K$5,"CONCLUÍDA",IF(F4317&lt;='RETRATO 2027'!$K$5,"EM ANDAMENTO","A INICIAR")))</f>
        <v/>
      </c>
    </row>
    <row r="4318">
      <c r="M4318" s="2">
        <f>IF(C4318="","",IFERROR(INDEX($S$5:$S$304,MATCH(C4318,$R$5:$R$304,0))&amp;"","?"))</f>
        <v/>
      </c>
      <c r="N4318" s="2">
        <f>IF(E4318="","",IF(ISNUMBER(SEARCH("SUBSOLO",E4318)),IFERROR(-VALUE(LEFT(E4318,FIND("º",SUBSTITUTE(E4318,"°","º"))-1)),-1),IF(LEFT(E4318,6)="TÉRREO",0,IFERROR(VALUE(LEFT(E4318,FIND("º",SUBSTITUTE(E4318,"°","º"))-1)),""))))</f>
        <v/>
      </c>
      <c r="O4318" s="2">
        <f>IF(OR(F4318="",G4318=""),"",IF(G4318&lt;='RETRATO 2027'!$K$5,"CONCLUÍDA",IF(F4318&lt;='RETRATO 2027'!$K$5,"EM ANDAMENTO","A INICIAR")))</f>
        <v/>
      </c>
    </row>
    <row r="4319">
      <c r="M4319" s="2">
        <f>IF(C4319="","",IFERROR(INDEX($S$5:$S$304,MATCH(C4319,$R$5:$R$304,0))&amp;"","?"))</f>
        <v/>
      </c>
      <c r="N4319" s="2">
        <f>IF(E4319="","",IF(ISNUMBER(SEARCH("SUBSOLO",E4319)),IFERROR(-VALUE(LEFT(E4319,FIND("º",SUBSTITUTE(E4319,"°","º"))-1)),-1),IF(LEFT(E4319,6)="TÉRREO",0,IFERROR(VALUE(LEFT(E4319,FIND("º",SUBSTITUTE(E4319,"°","º"))-1)),""))))</f>
        <v/>
      </c>
      <c r="O4319" s="2">
        <f>IF(OR(F4319="",G4319=""),"",IF(G4319&lt;='RETRATO 2027'!$K$5,"CONCLUÍDA",IF(F4319&lt;='RETRATO 2027'!$K$5,"EM ANDAMENTO","A INICIAR")))</f>
        <v/>
      </c>
    </row>
    <row r="4320">
      <c r="M4320" s="2">
        <f>IF(C4320="","",IFERROR(INDEX($S$5:$S$304,MATCH(C4320,$R$5:$R$304,0))&amp;"","?"))</f>
        <v/>
      </c>
      <c r="N4320" s="2">
        <f>IF(E4320="","",IF(ISNUMBER(SEARCH("SUBSOLO",E4320)),IFERROR(-VALUE(LEFT(E4320,FIND("º",SUBSTITUTE(E4320,"°","º"))-1)),-1),IF(LEFT(E4320,6)="TÉRREO",0,IFERROR(VALUE(LEFT(E4320,FIND("º",SUBSTITUTE(E4320,"°","º"))-1)),""))))</f>
        <v/>
      </c>
      <c r="O4320" s="2">
        <f>IF(OR(F4320="",G4320=""),"",IF(G4320&lt;='RETRATO 2027'!$K$5,"CONCLUÍDA",IF(F4320&lt;='RETRATO 2027'!$K$5,"EM ANDAMENTO","A INICIAR")))</f>
        <v/>
      </c>
    </row>
    <row r="4321">
      <c r="M4321" s="2">
        <f>IF(C4321="","",IFERROR(INDEX($S$5:$S$304,MATCH(C4321,$R$5:$R$304,0))&amp;"","?"))</f>
        <v/>
      </c>
      <c r="N4321" s="2">
        <f>IF(E4321="","",IF(ISNUMBER(SEARCH("SUBSOLO",E4321)),IFERROR(-VALUE(LEFT(E4321,FIND("º",SUBSTITUTE(E4321,"°","º"))-1)),-1),IF(LEFT(E4321,6)="TÉRREO",0,IFERROR(VALUE(LEFT(E4321,FIND("º",SUBSTITUTE(E4321,"°","º"))-1)),""))))</f>
        <v/>
      </c>
      <c r="O4321" s="2">
        <f>IF(OR(F4321="",G4321=""),"",IF(G4321&lt;='RETRATO 2027'!$K$5,"CONCLUÍDA",IF(F4321&lt;='RETRATO 2027'!$K$5,"EM ANDAMENTO","A INICIAR")))</f>
        <v/>
      </c>
    </row>
    <row r="4322">
      <c r="M4322" s="2">
        <f>IF(C4322="","",IFERROR(INDEX($S$5:$S$304,MATCH(C4322,$R$5:$R$304,0))&amp;"","?"))</f>
        <v/>
      </c>
      <c r="N4322" s="2">
        <f>IF(E4322="","",IF(ISNUMBER(SEARCH("SUBSOLO",E4322)),IFERROR(-VALUE(LEFT(E4322,FIND("º",SUBSTITUTE(E4322,"°","º"))-1)),-1),IF(LEFT(E4322,6)="TÉRREO",0,IFERROR(VALUE(LEFT(E4322,FIND("º",SUBSTITUTE(E4322,"°","º"))-1)),""))))</f>
        <v/>
      </c>
      <c r="O4322" s="2">
        <f>IF(OR(F4322="",G4322=""),"",IF(G4322&lt;='RETRATO 2027'!$K$5,"CONCLUÍDA",IF(F4322&lt;='RETRATO 2027'!$K$5,"EM ANDAMENTO","A INICIAR")))</f>
        <v/>
      </c>
    </row>
    <row r="4323">
      <c r="M4323" s="2">
        <f>IF(C4323="","",IFERROR(INDEX($S$5:$S$304,MATCH(C4323,$R$5:$R$304,0))&amp;"","?"))</f>
        <v/>
      </c>
      <c r="N4323" s="2">
        <f>IF(E4323="","",IF(ISNUMBER(SEARCH("SUBSOLO",E4323)),IFERROR(-VALUE(LEFT(E4323,FIND("º",SUBSTITUTE(E4323,"°","º"))-1)),-1),IF(LEFT(E4323,6)="TÉRREO",0,IFERROR(VALUE(LEFT(E4323,FIND("º",SUBSTITUTE(E4323,"°","º"))-1)),""))))</f>
        <v/>
      </c>
      <c r="O4323" s="2">
        <f>IF(OR(F4323="",G4323=""),"",IF(G4323&lt;='RETRATO 2027'!$K$5,"CONCLUÍDA",IF(F4323&lt;='RETRATO 2027'!$K$5,"EM ANDAMENTO","A INICIAR")))</f>
        <v/>
      </c>
    </row>
    <row r="4324">
      <c r="M4324" s="2">
        <f>IF(C4324="","",IFERROR(INDEX($S$5:$S$304,MATCH(C4324,$R$5:$R$304,0))&amp;"","?"))</f>
        <v/>
      </c>
      <c r="N4324" s="2">
        <f>IF(E4324="","",IF(ISNUMBER(SEARCH("SUBSOLO",E4324)),IFERROR(-VALUE(LEFT(E4324,FIND("º",SUBSTITUTE(E4324,"°","º"))-1)),-1),IF(LEFT(E4324,6)="TÉRREO",0,IFERROR(VALUE(LEFT(E4324,FIND("º",SUBSTITUTE(E4324,"°","º"))-1)),""))))</f>
        <v/>
      </c>
      <c r="O4324" s="2">
        <f>IF(OR(F4324="",G4324=""),"",IF(G4324&lt;='RETRATO 2027'!$K$5,"CONCLUÍDA",IF(F4324&lt;='RETRATO 2027'!$K$5,"EM ANDAMENTO","A INICIAR")))</f>
        <v/>
      </c>
    </row>
    <row r="4325">
      <c r="M4325" s="2">
        <f>IF(C4325="","",IFERROR(INDEX($S$5:$S$304,MATCH(C4325,$R$5:$R$304,0))&amp;"","?"))</f>
        <v/>
      </c>
      <c r="N4325" s="2">
        <f>IF(E4325="","",IF(ISNUMBER(SEARCH("SUBSOLO",E4325)),IFERROR(-VALUE(LEFT(E4325,FIND("º",SUBSTITUTE(E4325,"°","º"))-1)),-1),IF(LEFT(E4325,6)="TÉRREO",0,IFERROR(VALUE(LEFT(E4325,FIND("º",SUBSTITUTE(E4325,"°","º"))-1)),""))))</f>
        <v/>
      </c>
      <c r="O4325" s="2">
        <f>IF(OR(F4325="",G4325=""),"",IF(G4325&lt;='RETRATO 2027'!$K$5,"CONCLUÍDA",IF(F4325&lt;='RETRATO 2027'!$K$5,"EM ANDAMENTO","A INICIAR")))</f>
        <v/>
      </c>
    </row>
    <row r="4326">
      <c r="M4326" s="2">
        <f>IF(C4326="","",IFERROR(INDEX($S$5:$S$304,MATCH(C4326,$R$5:$R$304,0))&amp;"","?"))</f>
        <v/>
      </c>
      <c r="N4326" s="2">
        <f>IF(E4326="","",IF(ISNUMBER(SEARCH("SUBSOLO",E4326)),IFERROR(-VALUE(LEFT(E4326,FIND("º",SUBSTITUTE(E4326,"°","º"))-1)),-1),IF(LEFT(E4326,6)="TÉRREO",0,IFERROR(VALUE(LEFT(E4326,FIND("º",SUBSTITUTE(E4326,"°","º"))-1)),""))))</f>
        <v/>
      </c>
      <c r="O4326" s="2">
        <f>IF(OR(F4326="",G4326=""),"",IF(G4326&lt;='RETRATO 2027'!$K$5,"CONCLUÍDA",IF(F4326&lt;='RETRATO 2027'!$K$5,"EM ANDAMENTO","A INICIAR")))</f>
        <v/>
      </c>
    </row>
    <row r="4327">
      <c r="M4327" s="2">
        <f>IF(C4327="","",IFERROR(INDEX($S$5:$S$304,MATCH(C4327,$R$5:$R$304,0))&amp;"","?"))</f>
        <v/>
      </c>
      <c r="N4327" s="2">
        <f>IF(E4327="","",IF(ISNUMBER(SEARCH("SUBSOLO",E4327)),IFERROR(-VALUE(LEFT(E4327,FIND("º",SUBSTITUTE(E4327,"°","º"))-1)),-1),IF(LEFT(E4327,6)="TÉRREO",0,IFERROR(VALUE(LEFT(E4327,FIND("º",SUBSTITUTE(E4327,"°","º"))-1)),""))))</f>
        <v/>
      </c>
      <c r="O4327" s="2">
        <f>IF(OR(F4327="",G4327=""),"",IF(G4327&lt;='RETRATO 2027'!$K$5,"CONCLUÍDA",IF(F4327&lt;='RETRATO 2027'!$K$5,"EM ANDAMENTO","A INICIAR")))</f>
        <v/>
      </c>
    </row>
    <row r="4328">
      <c r="M4328" s="2">
        <f>IF(C4328="","",IFERROR(INDEX($S$5:$S$304,MATCH(C4328,$R$5:$R$304,0))&amp;"","?"))</f>
        <v/>
      </c>
      <c r="N4328" s="2">
        <f>IF(E4328="","",IF(ISNUMBER(SEARCH("SUBSOLO",E4328)),IFERROR(-VALUE(LEFT(E4328,FIND("º",SUBSTITUTE(E4328,"°","º"))-1)),-1),IF(LEFT(E4328,6)="TÉRREO",0,IFERROR(VALUE(LEFT(E4328,FIND("º",SUBSTITUTE(E4328,"°","º"))-1)),""))))</f>
        <v/>
      </c>
      <c r="O4328" s="2">
        <f>IF(OR(F4328="",G4328=""),"",IF(G4328&lt;='RETRATO 2027'!$K$5,"CONCLUÍDA",IF(F4328&lt;='RETRATO 2027'!$K$5,"EM ANDAMENTO","A INICIAR")))</f>
        <v/>
      </c>
    </row>
    <row r="4329">
      <c r="M4329" s="2">
        <f>IF(C4329="","",IFERROR(INDEX($S$5:$S$304,MATCH(C4329,$R$5:$R$304,0))&amp;"","?"))</f>
        <v/>
      </c>
      <c r="N4329" s="2">
        <f>IF(E4329="","",IF(ISNUMBER(SEARCH("SUBSOLO",E4329)),IFERROR(-VALUE(LEFT(E4329,FIND("º",SUBSTITUTE(E4329,"°","º"))-1)),-1),IF(LEFT(E4329,6)="TÉRREO",0,IFERROR(VALUE(LEFT(E4329,FIND("º",SUBSTITUTE(E4329,"°","º"))-1)),""))))</f>
        <v/>
      </c>
      <c r="O4329" s="2">
        <f>IF(OR(F4329="",G4329=""),"",IF(G4329&lt;='RETRATO 2027'!$K$5,"CONCLUÍDA",IF(F4329&lt;='RETRATO 2027'!$K$5,"EM ANDAMENTO","A INICIAR")))</f>
        <v/>
      </c>
    </row>
    <row r="4330">
      <c r="M4330" s="2">
        <f>IF(C4330="","",IFERROR(INDEX($S$5:$S$304,MATCH(C4330,$R$5:$R$304,0))&amp;"","?"))</f>
        <v/>
      </c>
      <c r="N4330" s="2">
        <f>IF(E4330="","",IF(ISNUMBER(SEARCH("SUBSOLO",E4330)),IFERROR(-VALUE(LEFT(E4330,FIND("º",SUBSTITUTE(E4330,"°","º"))-1)),-1),IF(LEFT(E4330,6)="TÉRREO",0,IFERROR(VALUE(LEFT(E4330,FIND("º",SUBSTITUTE(E4330,"°","º"))-1)),""))))</f>
        <v/>
      </c>
      <c r="O4330" s="2">
        <f>IF(OR(F4330="",G4330=""),"",IF(G4330&lt;='RETRATO 2027'!$K$5,"CONCLUÍDA",IF(F4330&lt;='RETRATO 2027'!$K$5,"EM ANDAMENTO","A INICIAR")))</f>
        <v/>
      </c>
    </row>
    <row r="4331">
      <c r="M4331" s="2">
        <f>IF(C4331="","",IFERROR(INDEX($S$5:$S$304,MATCH(C4331,$R$5:$R$304,0))&amp;"","?"))</f>
        <v/>
      </c>
      <c r="N4331" s="2">
        <f>IF(E4331="","",IF(ISNUMBER(SEARCH("SUBSOLO",E4331)),IFERROR(-VALUE(LEFT(E4331,FIND("º",SUBSTITUTE(E4331,"°","º"))-1)),-1),IF(LEFT(E4331,6)="TÉRREO",0,IFERROR(VALUE(LEFT(E4331,FIND("º",SUBSTITUTE(E4331,"°","º"))-1)),""))))</f>
        <v/>
      </c>
      <c r="O4331" s="2">
        <f>IF(OR(F4331="",G4331=""),"",IF(G4331&lt;='RETRATO 2027'!$K$5,"CONCLUÍDA",IF(F4331&lt;='RETRATO 2027'!$K$5,"EM ANDAMENTO","A INICIAR")))</f>
        <v/>
      </c>
    </row>
    <row r="4332">
      <c r="M4332" s="2">
        <f>IF(C4332="","",IFERROR(INDEX($S$5:$S$304,MATCH(C4332,$R$5:$R$304,0))&amp;"","?"))</f>
        <v/>
      </c>
      <c r="N4332" s="2">
        <f>IF(E4332="","",IF(ISNUMBER(SEARCH("SUBSOLO",E4332)),IFERROR(-VALUE(LEFT(E4332,FIND("º",SUBSTITUTE(E4332,"°","º"))-1)),-1),IF(LEFT(E4332,6)="TÉRREO",0,IFERROR(VALUE(LEFT(E4332,FIND("º",SUBSTITUTE(E4332,"°","º"))-1)),""))))</f>
        <v/>
      </c>
      <c r="O4332" s="2">
        <f>IF(OR(F4332="",G4332=""),"",IF(G4332&lt;='RETRATO 2027'!$K$5,"CONCLUÍDA",IF(F4332&lt;='RETRATO 2027'!$K$5,"EM ANDAMENTO","A INICIAR")))</f>
        <v/>
      </c>
    </row>
    <row r="4333">
      <c r="M4333" s="2">
        <f>IF(C4333="","",IFERROR(INDEX($S$5:$S$304,MATCH(C4333,$R$5:$R$304,0))&amp;"","?"))</f>
        <v/>
      </c>
      <c r="N4333" s="2">
        <f>IF(E4333="","",IF(ISNUMBER(SEARCH("SUBSOLO",E4333)),IFERROR(-VALUE(LEFT(E4333,FIND("º",SUBSTITUTE(E4333,"°","º"))-1)),-1),IF(LEFT(E4333,6)="TÉRREO",0,IFERROR(VALUE(LEFT(E4333,FIND("º",SUBSTITUTE(E4333,"°","º"))-1)),""))))</f>
        <v/>
      </c>
      <c r="O4333" s="2">
        <f>IF(OR(F4333="",G4333=""),"",IF(G4333&lt;='RETRATO 2027'!$K$5,"CONCLUÍDA",IF(F4333&lt;='RETRATO 2027'!$K$5,"EM ANDAMENTO","A INICIAR")))</f>
        <v/>
      </c>
    </row>
    <row r="4334">
      <c r="M4334" s="2">
        <f>IF(C4334="","",IFERROR(INDEX($S$5:$S$304,MATCH(C4334,$R$5:$R$304,0))&amp;"","?"))</f>
        <v/>
      </c>
      <c r="N4334" s="2">
        <f>IF(E4334="","",IF(ISNUMBER(SEARCH("SUBSOLO",E4334)),IFERROR(-VALUE(LEFT(E4334,FIND("º",SUBSTITUTE(E4334,"°","º"))-1)),-1),IF(LEFT(E4334,6)="TÉRREO",0,IFERROR(VALUE(LEFT(E4334,FIND("º",SUBSTITUTE(E4334,"°","º"))-1)),""))))</f>
        <v/>
      </c>
      <c r="O4334" s="2">
        <f>IF(OR(F4334="",G4334=""),"",IF(G4334&lt;='RETRATO 2027'!$K$5,"CONCLUÍDA",IF(F4334&lt;='RETRATO 2027'!$K$5,"EM ANDAMENTO","A INICIAR")))</f>
        <v/>
      </c>
    </row>
    <row r="4335">
      <c r="M4335" s="2">
        <f>IF(C4335="","",IFERROR(INDEX($S$5:$S$304,MATCH(C4335,$R$5:$R$304,0))&amp;"","?"))</f>
        <v/>
      </c>
      <c r="N4335" s="2">
        <f>IF(E4335="","",IF(ISNUMBER(SEARCH("SUBSOLO",E4335)),IFERROR(-VALUE(LEFT(E4335,FIND("º",SUBSTITUTE(E4335,"°","º"))-1)),-1),IF(LEFT(E4335,6)="TÉRREO",0,IFERROR(VALUE(LEFT(E4335,FIND("º",SUBSTITUTE(E4335,"°","º"))-1)),""))))</f>
        <v/>
      </c>
      <c r="O4335" s="2">
        <f>IF(OR(F4335="",G4335=""),"",IF(G4335&lt;='RETRATO 2027'!$K$5,"CONCLUÍDA",IF(F4335&lt;='RETRATO 2027'!$K$5,"EM ANDAMENTO","A INICIAR")))</f>
        <v/>
      </c>
    </row>
    <row r="4336">
      <c r="M4336" s="2">
        <f>IF(C4336="","",IFERROR(INDEX($S$5:$S$304,MATCH(C4336,$R$5:$R$304,0))&amp;"","?"))</f>
        <v/>
      </c>
      <c r="N4336" s="2">
        <f>IF(E4336="","",IF(ISNUMBER(SEARCH("SUBSOLO",E4336)),IFERROR(-VALUE(LEFT(E4336,FIND("º",SUBSTITUTE(E4336,"°","º"))-1)),-1),IF(LEFT(E4336,6)="TÉRREO",0,IFERROR(VALUE(LEFT(E4336,FIND("º",SUBSTITUTE(E4336,"°","º"))-1)),""))))</f>
        <v/>
      </c>
      <c r="O4336" s="2">
        <f>IF(OR(F4336="",G4336=""),"",IF(G4336&lt;='RETRATO 2027'!$K$5,"CONCLUÍDA",IF(F4336&lt;='RETRATO 2027'!$K$5,"EM ANDAMENTO","A INICIAR")))</f>
        <v/>
      </c>
    </row>
    <row r="4337">
      <c r="M4337" s="2">
        <f>IF(C4337="","",IFERROR(INDEX($S$5:$S$304,MATCH(C4337,$R$5:$R$304,0))&amp;"","?"))</f>
        <v/>
      </c>
      <c r="N4337" s="2">
        <f>IF(E4337="","",IF(ISNUMBER(SEARCH("SUBSOLO",E4337)),IFERROR(-VALUE(LEFT(E4337,FIND("º",SUBSTITUTE(E4337,"°","º"))-1)),-1),IF(LEFT(E4337,6)="TÉRREO",0,IFERROR(VALUE(LEFT(E4337,FIND("º",SUBSTITUTE(E4337,"°","º"))-1)),""))))</f>
        <v/>
      </c>
      <c r="O4337" s="2">
        <f>IF(OR(F4337="",G4337=""),"",IF(G4337&lt;='RETRATO 2027'!$K$5,"CONCLUÍDA",IF(F4337&lt;='RETRATO 2027'!$K$5,"EM ANDAMENTO","A INICIAR")))</f>
        <v/>
      </c>
    </row>
    <row r="4338">
      <c r="M4338" s="2">
        <f>IF(C4338="","",IFERROR(INDEX($S$5:$S$304,MATCH(C4338,$R$5:$R$304,0))&amp;"","?"))</f>
        <v/>
      </c>
      <c r="N4338" s="2">
        <f>IF(E4338="","",IF(ISNUMBER(SEARCH("SUBSOLO",E4338)),IFERROR(-VALUE(LEFT(E4338,FIND("º",SUBSTITUTE(E4338,"°","º"))-1)),-1),IF(LEFT(E4338,6)="TÉRREO",0,IFERROR(VALUE(LEFT(E4338,FIND("º",SUBSTITUTE(E4338,"°","º"))-1)),""))))</f>
        <v/>
      </c>
      <c r="O4338" s="2">
        <f>IF(OR(F4338="",G4338=""),"",IF(G4338&lt;='RETRATO 2027'!$K$5,"CONCLUÍDA",IF(F4338&lt;='RETRATO 2027'!$K$5,"EM ANDAMENTO","A INICIAR")))</f>
        <v/>
      </c>
    </row>
    <row r="4339">
      <c r="M4339" s="2">
        <f>IF(C4339="","",IFERROR(INDEX($S$5:$S$304,MATCH(C4339,$R$5:$R$304,0))&amp;"","?"))</f>
        <v/>
      </c>
      <c r="N4339" s="2">
        <f>IF(E4339="","",IF(ISNUMBER(SEARCH("SUBSOLO",E4339)),IFERROR(-VALUE(LEFT(E4339,FIND("º",SUBSTITUTE(E4339,"°","º"))-1)),-1),IF(LEFT(E4339,6)="TÉRREO",0,IFERROR(VALUE(LEFT(E4339,FIND("º",SUBSTITUTE(E4339,"°","º"))-1)),""))))</f>
        <v/>
      </c>
      <c r="O4339" s="2">
        <f>IF(OR(F4339="",G4339=""),"",IF(G4339&lt;='RETRATO 2027'!$K$5,"CONCLUÍDA",IF(F4339&lt;='RETRATO 2027'!$K$5,"EM ANDAMENTO","A INICIAR")))</f>
        <v/>
      </c>
    </row>
    <row r="4340">
      <c r="M4340" s="2">
        <f>IF(C4340="","",IFERROR(INDEX($S$5:$S$304,MATCH(C4340,$R$5:$R$304,0))&amp;"","?"))</f>
        <v/>
      </c>
      <c r="N4340" s="2">
        <f>IF(E4340="","",IF(ISNUMBER(SEARCH("SUBSOLO",E4340)),IFERROR(-VALUE(LEFT(E4340,FIND("º",SUBSTITUTE(E4340,"°","º"))-1)),-1),IF(LEFT(E4340,6)="TÉRREO",0,IFERROR(VALUE(LEFT(E4340,FIND("º",SUBSTITUTE(E4340,"°","º"))-1)),""))))</f>
        <v/>
      </c>
      <c r="O4340" s="2">
        <f>IF(OR(F4340="",G4340=""),"",IF(G4340&lt;='RETRATO 2027'!$K$5,"CONCLUÍDA",IF(F4340&lt;='RETRATO 2027'!$K$5,"EM ANDAMENTO","A INICIAR")))</f>
        <v/>
      </c>
    </row>
    <row r="4341">
      <c r="M4341" s="2">
        <f>IF(C4341="","",IFERROR(INDEX($S$5:$S$304,MATCH(C4341,$R$5:$R$304,0))&amp;"","?"))</f>
        <v/>
      </c>
      <c r="N4341" s="2">
        <f>IF(E4341="","",IF(ISNUMBER(SEARCH("SUBSOLO",E4341)),IFERROR(-VALUE(LEFT(E4341,FIND("º",SUBSTITUTE(E4341,"°","º"))-1)),-1),IF(LEFT(E4341,6)="TÉRREO",0,IFERROR(VALUE(LEFT(E4341,FIND("º",SUBSTITUTE(E4341,"°","º"))-1)),""))))</f>
        <v/>
      </c>
      <c r="O4341" s="2">
        <f>IF(OR(F4341="",G4341=""),"",IF(G4341&lt;='RETRATO 2027'!$K$5,"CONCLUÍDA",IF(F4341&lt;='RETRATO 2027'!$K$5,"EM ANDAMENTO","A INICIAR")))</f>
        <v/>
      </c>
    </row>
    <row r="4342">
      <c r="M4342" s="2">
        <f>IF(C4342="","",IFERROR(INDEX($S$5:$S$304,MATCH(C4342,$R$5:$R$304,0))&amp;"","?"))</f>
        <v/>
      </c>
      <c r="N4342" s="2">
        <f>IF(E4342="","",IF(ISNUMBER(SEARCH("SUBSOLO",E4342)),IFERROR(-VALUE(LEFT(E4342,FIND("º",SUBSTITUTE(E4342,"°","º"))-1)),-1),IF(LEFT(E4342,6)="TÉRREO",0,IFERROR(VALUE(LEFT(E4342,FIND("º",SUBSTITUTE(E4342,"°","º"))-1)),""))))</f>
        <v/>
      </c>
      <c r="O4342" s="2">
        <f>IF(OR(F4342="",G4342=""),"",IF(G4342&lt;='RETRATO 2027'!$K$5,"CONCLUÍDA",IF(F4342&lt;='RETRATO 2027'!$K$5,"EM ANDAMENTO","A INICIAR")))</f>
        <v/>
      </c>
    </row>
    <row r="4343">
      <c r="M4343" s="2">
        <f>IF(C4343="","",IFERROR(INDEX($S$5:$S$304,MATCH(C4343,$R$5:$R$304,0))&amp;"","?"))</f>
        <v/>
      </c>
      <c r="N4343" s="2">
        <f>IF(E4343="","",IF(ISNUMBER(SEARCH("SUBSOLO",E4343)),IFERROR(-VALUE(LEFT(E4343,FIND("º",SUBSTITUTE(E4343,"°","º"))-1)),-1),IF(LEFT(E4343,6)="TÉRREO",0,IFERROR(VALUE(LEFT(E4343,FIND("º",SUBSTITUTE(E4343,"°","º"))-1)),""))))</f>
        <v/>
      </c>
      <c r="O4343" s="2">
        <f>IF(OR(F4343="",G4343=""),"",IF(G4343&lt;='RETRATO 2027'!$K$5,"CONCLUÍDA",IF(F4343&lt;='RETRATO 2027'!$K$5,"EM ANDAMENTO","A INICIAR")))</f>
        <v/>
      </c>
    </row>
    <row r="4344">
      <c r="M4344" s="2">
        <f>IF(C4344="","",IFERROR(INDEX($S$5:$S$304,MATCH(C4344,$R$5:$R$304,0))&amp;"","?"))</f>
        <v/>
      </c>
      <c r="N4344" s="2">
        <f>IF(E4344="","",IF(ISNUMBER(SEARCH("SUBSOLO",E4344)),IFERROR(-VALUE(LEFT(E4344,FIND("º",SUBSTITUTE(E4344,"°","º"))-1)),-1),IF(LEFT(E4344,6)="TÉRREO",0,IFERROR(VALUE(LEFT(E4344,FIND("º",SUBSTITUTE(E4344,"°","º"))-1)),""))))</f>
        <v/>
      </c>
      <c r="O4344" s="2">
        <f>IF(OR(F4344="",G4344=""),"",IF(G4344&lt;='RETRATO 2027'!$K$5,"CONCLUÍDA",IF(F4344&lt;='RETRATO 2027'!$K$5,"EM ANDAMENTO","A INICIAR")))</f>
        <v/>
      </c>
    </row>
    <row r="4345">
      <c r="M4345" s="2">
        <f>IF(C4345="","",IFERROR(INDEX($S$5:$S$304,MATCH(C4345,$R$5:$R$304,0))&amp;"","?"))</f>
        <v/>
      </c>
      <c r="N4345" s="2">
        <f>IF(E4345="","",IF(ISNUMBER(SEARCH("SUBSOLO",E4345)),IFERROR(-VALUE(LEFT(E4345,FIND("º",SUBSTITUTE(E4345,"°","º"))-1)),-1),IF(LEFT(E4345,6)="TÉRREO",0,IFERROR(VALUE(LEFT(E4345,FIND("º",SUBSTITUTE(E4345,"°","º"))-1)),""))))</f>
        <v/>
      </c>
      <c r="O4345" s="2">
        <f>IF(OR(F4345="",G4345=""),"",IF(G4345&lt;='RETRATO 2027'!$K$5,"CONCLUÍDA",IF(F4345&lt;='RETRATO 2027'!$K$5,"EM ANDAMENTO","A INICIAR")))</f>
        <v/>
      </c>
    </row>
    <row r="4346">
      <c r="M4346" s="2">
        <f>IF(C4346="","",IFERROR(INDEX($S$5:$S$304,MATCH(C4346,$R$5:$R$304,0))&amp;"","?"))</f>
        <v/>
      </c>
      <c r="N4346" s="2">
        <f>IF(E4346="","",IF(ISNUMBER(SEARCH("SUBSOLO",E4346)),IFERROR(-VALUE(LEFT(E4346,FIND("º",SUBSTITUTE(E4346,"°","º"))-1)),-1),IF(LEFT(E4346,6)="TÉRREO",0,IFERROR(VALUE(LEFT(E4346,FIND("º",SUBSTITUTE(E4346,"°","º"))-1)),""))))</f>
        <v/>
      </c>
      <c r="O4346" s="2">
        <f>IF(OR(F4346="",G4346=""),"",IF(G4346&lt;='RETRATO 2027'!$K$5,"CONCLUÍDA",IF(F4346&lt;='RETRATO 2027'!$K$5,"EM ANDAMENTO","A INICIAR")))</f>
        <v/>
      </c>
    </row>
    <row r="4347">
      <c r="M4347" s="2">
        <f>IF(C4347="","",IFERROR(INDEX($S$5:$S$304,MATCH(C4347,$R$5:$R$304,0))&amp;"","?"))</f>
        <v/>
      </c>
      <c r="N4347" s="2">
        <f>IF(E4347="","",IF(ISNUMBER(SEARCH("SUBSOLO",E4347)),IFERROR(-VALUE(LEFT(E4347,FIND("º",SUBSTITUTE(E4347,"°","º"))-1)),-1),IF(LEFT(E4347,6)="TÉRREO",0,IFERROR(VALUE(LEFT(E4347,FIND("º",SUBSTITUTE(E4347,"°","º"))-1)),""))))</f>
        <v/>
      </c>
      <c r="O4347" s="2">
        <f>IF(OR(F4347="",G4347=""),"",IF(G4347&lt;='RETRATO 2027'!$K$5,"CONCLUÍDA",IF(F4347&lt;='RETRATO 2027'!$K$5,"EM ANDAMENTO","A INICIAR")))</f>
        <v/>
      </c>
    </row>
    <row r="4348">
      <c r="M4348" s="2">
        <f>IF(C4348="","",IFERROR(INDEX($S$5:$S$304,MATCH(C4348,$R$5:$R$304,0))&amp;"","?"))</f>
        <v/>
      </c>
      <c r="N4348" s="2">
        <f>IF(E4348="","",IF(ISNUMBER(SEARCH("SUBSOLO",E4348)),IFERROR(-VALUE(LEFT(E4348,FIND("º",SUBSTITUTE(E4348,"°","º"))-1)),-1),IF(LEFT(E4348,6)="TÉRREO",0,IFERROR(VALUE(LEFT(E4348,FIND("º",SUBSTITUTE(E4348,"°","º"))-1)),""))))</f>
        <v/>
      </c>
      <c r="O4348" s="2">
        <f>IF(OR(F4348="",G4348=""),"",IF(G4348&lt;='RETRATO 2027'!$K$5,"CONCLUÍDA",IF(F4348&lt;='RETRATO 2027'!$K$5,"EM ANDAMENTO","A INICIAR")))</f>
        <v/>
      </c>
    </row>
    <row r="4349">
      <c r="M4349" s="2">
        <f>IF(C4349="","",IFERROR(INDEX($S$5:$S$304,MATCH(C4349,$R$5:$R$304,0))&amp;"","?"))</f>
        <v/>
      </c>
      <c r="N4349" s="2">
        <f>IF(E4349="","",IF(ISNUMBER(SEARCH("SUBSOLO",E4349)),IFERROR(-VALUE(LEFT(E4349,FIND("º",SUBSTITUTE(E4349,"°","º"))-1)),-1),IF(LEFT(E4349,6)="TÉRREO",0,IFERROR(VALUE(LEFT(E4349,FIND("º",SUBSTITUTE(E4349,"°","º"))-1)),""))))</f>
        <v/>
      </c>
      <c r="O4349" s="2">
        <f>IF(OR(F4349="",G4349=""),"",IF(G4349&lt;='RETRATO 2027'!$K$5,"CONCLUÍDA",IF(F4349&lt;='RETRATO 2027'!$K$5,"EM ANDAMENTO","A INICIAR")))</f>
        <v/>
      </c>
    </row>
    <row r="4350">
      <c r="M4350" s="2">
        <f>IF(C4350="","",IFERROR(INDEX($S$5:$S$304,MATCH(C4350,$R$5:$R$304,0))&amp;"","?"))</f>
        <v/>
      </c>
      <c r="N4350" s="2">
        <f>IF(E4350="","",IF(ISNUMBER(SEARCH("SUBSOLO",E4350)),IFERROR(-VALUE(LEFT(E4350,FIND("º",SUBSTITUTE(E4350,"°","º"))-1)),-1),IF(LEFT(E4350,6)="TÉRREO",0,IFERROR(VALUE(LEFT(E4350,FIND("º",SUBSTITUTE(E4350,"°","º"))-1)),""))))</f>
        <v/>
      </c>
      <c r="O4350" s="2">
        <f>IF(OR(F4350="",G4350=""),"",IF(G4350&lt;='RETRATO 2027'!$K$5,"CONCLUÍDA",IF(F4350&lt;='RETRATO 2027'!$K$5,"EM ANDAMENTO","A INICIAR")))</f>
        <v/>
      </c>
    </row>
    <row r="4351">
      <c r="M4351" s="2">
        <f>IF(C4351="","",IFERROR(INDEX($S$5:$S$304,MATCH(C4351,$R$5:$R$304,0))&amp;"","?"))</f>
        <v/>
      </c>
      <c r="N4351" s="2">
        <f>IF(E4351="","",IF(ISNUMBER(SEARCH("SUBSOLO",E4351)),IFERROR(-VALUE(LEFT(E4351,FIND("º",SUBSTITUTE(E4351,"°","º"))-1)),-1),IF(LEFT(E4351,6)="TÉRREO",0,IFERROR(VALUE(LEFT(E4351,FIND("º",SUBSTITUTE(E4351,"°","º"))-1)),""))))</f>
        <v/>
      </c>
      <c r="O4351" s="2">
        <f>IF(OR(F4351="",G4351=""),"",IF(G4351&lt;='RETRATO 2027'!$K$5,"CONCLUÍDA",IF(F4351&lt;='RETRATO 2027'!$K$5,"EM ANDAMENTO","A INICIAR")))</f>
        <v/>
      </c>
    </row>
    <row r="4352">
      <c r="M4352" s="2">
        <f>IF(C4352="","",IFERROR(INDEX($S$5:$S$304,MATCH(C4352,$R$5:$R$304,0))&amp;"","?"))</f>
        <v/>
      </c>
      <c r="N4352" s="2">
        <f>IF(E4352="","",IF(ISNUMBER(SEARCH("SUBSOLO",E4352)),IFERROR(-VALUE(LEFT(E4352,FIND("º",SUBSTITUTE(E4352,"°","º"))-1)),-1),IF(LEFT(E4352,6)="TÉRREO",0,IFERROR(VALUE(LEFT(E4352,FIND("º",SUBSTITUTE(E4352,"°","º"))-1)),""))))</f>
        <v/>
      </c>
      <c r="O4352" s="2">
        <f>IF(OR(F4352="",G4352=""),"",IF(G4352&lt;='RETRATO 2027'!$K$5,"CONCLUÍDA",IF(F4352&lt;='RETRATO 2027'!$K$5,"EM ANDAMENTO","A INICIAR")))</f>
        <v/>
      </c>
    </row>
    <row r="4353">
      <c r="M4353" s="2">
        <f>IF(C4353="","",IFERROR(INDEX($S$5:$S$304,MATCH(C4353,$R$5:$R$304,0))&amp;"","?"))</f>
        <v/>
      </c>
      <c r="N4353" s="2">
        <f>IF(E4353="","",IF(ISNUMBER(SEARCH("SUBSOLO",E4353)),IFERROR(-VALUE(LEFT(E4353,FIND("º",SUBSTITUTE(E4353,"°","º"))-1)),-1),IF(LEFT(E4353,6)="TÉRREO",0,IFERROR(VALUE(LEFT(E4353,FIND("º",SUBSTITUTE(E4353,"°","º"))-1)),""))))</f>
        <v/>
      </c>
      <c r="O4353" s="2">
        <f>IF(OR(F4353="",G4353=""),"",IF(G4353&lt;='RETRATO 2027'!$K$5,"CONCLUÍDA",IF(F4353&lt;='RETRATO 2027'!$K$5,"EM ANDAMENTO","A INICIAR")))</f>
        <v/>
      </c>
    </row>
    <row r="4354">
      <c r="M4354" s="2">
        <f>IF(C4354="","",IFERROR(INDEX($S$5:$S$304,MATCH(C4354,$R$5:$R$304,0))&amp;"","?"))</f>
        <v/>
      </c>
      <c r="N4354" s="2">
        <f>IF(E4354="","",IF(ISNUMBER(SEARCH("SUBSOLO",E4354)),IFERROR(-VALUE(LEFT(E4354,FIND("º",SUBSTITUTE(E4354,"°","º"))-1)),-1),IF(LEFT(E4354,6)="TÉRREO",0,IFERROR(VALUE(LEFT(E4354,FIND("º",SUBSTITUTE(E4354,"°","º"))-1)),""))))</f>
        <v/>
      </c>
      <c r="O4354" s="2">
        <f>IF(OR(F4354="",G4354=""),"",IF(G4354&lt;='RETRATO 2027'!$K$5,"CONCLUÍDA",IF(F4354&lt;='RETRATO 2027'!$K$5,"EM ANDAMENTO","A INICIAR")))</f>
        <v/>
      </c>
    </row>
    <row r="4355">
      <c r="M4355" s="2">
        <f>IF(C4355="","",IFERROR(INDEX($S$5:$S$304,MATCH(C4355,$R$5:$R$304,0))&amp;"","?"))</f>
        <v/>
      </c>
      <c r="N4355" s="2">
        <f>IF(E4355="","",IF(ISNUMBER(SEARCH("SUBSOLO",E4355)),IFERROR(-VALUE(LEFT(E4355,FIND("º",SUBSTITUTE(E4355,"°","º"))-1)),-1),IF(LEFT(E4355,6)="TÉRREO",0,IFERROR(VALUE(LEFT(E4355,FIND("º",SUBSTITUTE(E4355,"°","º"))-1)),""))))</f>
        <v/>
      </c>
      <c r="O4355" s="2">
        <f>IF(OR(F4355="",G4355=""),"",IF(G4355&lt;='RETRATO 2027'!$K$5,"CONCLUÍDA",IF(F4355&lt;='RETRATO 2027'!$K$5,"EM ANDAMENTO","A INICIAR")))</f>
        <v/>
      </c>
    </row>
    <row r="4356">
      <c r="M4356" s="2">
        <f>IF(C4356="","",IFERROR(INDEX($S$5:$S$304,MATCH(C4356,$R$5:$R$304,0))&amp;"","?"))</f>
        <v/>
      </c>
      <c r="N4356" s="2">
        <f>IF(E4356="","",IF(ISNUMBER(SEARCH("SUBSOLO",E4356)),IFERROR(-VALUE(LEFT(E4356,FIND("º",SUBSTITUTE(E4356,"°","º"))-1)),-1),IF(LEFT(E4356,6)="TÉRREO",0,IFERROR(VALUE(LEFT(E4356,FIND("º",SUBSTITUTE(E4356,"°","º"))-1)),""))))</f>
        <v/>
      </c>
      <c r="O4356" s="2">
        <f>IF(OR(F4356="",G4356=""),"",IF(G4356&lt;='RETRATO 2027'!$K$5,"CONCLUÍDA",IF(F4356&lt;='RETRATO 2027'!$K$5,"EM ANDAMENTO","A INICIAR")))</f>
        <v/>
      </c>
    </row>
    <row r="4357">
      <c r="M4357" s="2">
        <f>IF(C4357="","",IFERROR(INDEX($S$5:$S$304,MATCH(C4357,$R$5:$R$304,0))&amp;"","?"))</f>
        <v/>
      </c>
      <c r="N4357" s="2">
        <f>IF(E4357="","",IF(ISNUMBER(SEARCH("SUBSOLO",E4357)),IFERROR(-VALUE(LEFT(E4357,FIND("º",SUBSTITUTE(E4357,"°","º"))-1)),-1),IF(LEFT(E4357,6)="TÉRREO",0,IFERROR(VALUE(LEFT(E4357,FIND("º",SUBSTITUTE(E4357,"°","º"))-1)),""))))</f>
        <v/>
      </c>
      <c r="O4357" s="2">
        <f>IF(OR(F4357="",G4357=""),"",IF(G4357&lt;='RETRATO 2027'!$K$5,"CONCLUÍDA",IF(F4357&lt;='RETRATO 2027'!$K$5,"EM ANDAMENTO","A INICIAR")))</f>
        <v/>
      </c>
    </row>
    <row r="4358">
      <c r="M4358" s="2">
        <f>IF(C4358="","",IFERROR(INDEX($S$5:$S$304,MATCH(C4358,$R$5:$R$304,0))&amp;"","?"))</f>
        <v/>
      </c>
      <c r="N4358" s="2">
        <f>IF(E4358="","",IF(ISNUMBER(SEARCH("SUBSOLO",E4358)),IFERROR(-VALUE(LEFT(E4358,FIND("º",SUBSTITUTE(E4358,"°","º"))-1)),-1),IF(LEFT(E4358,6)="TÉRREO",0,IFERROR(VALUE(LEFT(E4358,FIND("º",SUBSTITUTE(E4358,"°","º"))-1)),""))))</f>
        <v/>
      </c>
      <c r="O4358" s="2">
        <f>IF(OR(F4358="",G4358=""),"",IF(G4358&lt;='RETRATO 2027'!$K$5,"CONCLUÍDA",IF(F4358&lt;='RETRATO 2027'!$K$5,"EM ANDAMENTO","A INICIAR")))</f>
        <v/>
      </c>
    </row>
    <row r="4359">
      <c r="M4359" s="2">
        <f>IF(C4359="","",IFERROR(INDEX($S$5:$S$304,MATCH(C4359,$R$5:$R$304,0))&amp;"","?"))</f>
        <v/>
      </c>
      <c r="N4359" s="2">
        <f>IF(E4359="","",IF(ISNUMBER(SEARCH("SUBSOLO",E4359)),IFERROR(-VALUE(LEFT(E4359,FIND("º",SUBSTITUTE(E4359,"°","º"))-1)),-1),IF(LEFT(E4359,6)="TÉRREO",0,IFERROR(VALUE(LEFT(E4359,FIND("º",SUBSTITUTE(E4359,"°","º"))-1)),""))))</f>
        <v/>
      </c>
      <c r="O4359" s="2">
        <f>IF(OR(F4359="",G4359=""),"",IF(G4359&lt;='RETRATO 2027'!$K$5,"CONCLUÍDA",IF(F4359&lt;='RETRATO 2027'!$K$5,"EM ANDAMENTO","A INICIAR")))</f>
        <v/>
      </c>
    </row>
    <row r="4360">
      <c r="M4360" s="2">
        <f>IF(C4360="","",IFERROR(INDEX($S$5:$S$304,MATCH(C4360,$R$5:$R$304,0))&amp;"","?"))</f>
        <v/>
      </c>
      <c r="N4360" s="2">
        <f>IF(E4360="","",IF(ISNUMBER(SEARCH("SUBSOLO",E4360)),IFERROR(-VALUE(LEFT(E4360,FIND("º",SUBSTITUTE(E4360,"°","º"))-1)),-1),IF(LEFT(E4360,6)="TÉRREO",0,IFERROR(VALUE(LEFT(E4360,FIND("º",SUBSTITUTE(E4360,"°","º"))-1)),""))))</f>
        <v/>
      </c>
      <c r="O4360" s="2">
        <f>IF(OR(F4360="",G4360=""),"",IF(G4360&lt;='RETRATO 2027'!$K$5,"CONCLUÍDA",IF(F4360&lt;='RETRATO 2027'!$K$5,"EM ANDAMENTO","A INICIAR")))</f>
        <v/>
      </c>
    </row>
    <row r="4361">
      <c r="M4361" s="2">
        <f>IF(C4361="","",IFERROR(INDEX($S$5:$S$304,MATCH(C4361,$R$5:$R$304,0))&amp;"","?"))</f>
        <v/>
      </c>
      <c r="N4361" s="2">
        <f>IF(E4361="","",IF(ISNUMBER(SEARCH("SUBSOLO",E4361)),IFERROR(-VALUE(LEFT(E4361,FIND("º",SUBSTITUTE(E4361,"°","º"))-1)),-1),IF(LEFT(E4361,6)="TÉRREO",0,IFERROR(VALUE(LEFT(E4361,FIND("º",SUBSTITUTE(E4361,"°","º"))-1)),""))))</f>
        <v/>
      </c>
      <c r="O4361" s="2">
        <f>IF(OR(F4361="",G4361=""),"",IF(G4361&lt;='RETRATO 2027'!$K$5,"CONCLUÍDA",IF(F4361&lt;='RETRATO 2027'!$K$5,"EM ANDAMENTO","A INICIAR")))</f>
        <v/>
      </c>
    </row>
    <row r="4362">
      <c r="M4362" s="2">
        <f>IF(C4362="","",IFERROR(INDEX($S$5:$S$304,MATCH(C4362,$R$5:$R$304,0))&amp;"","?"))</f>
        <v/>
      </c>
      <c r="N4362" s="2">
        <f>IF(E4362="","",IF(ISNUMBER(SEARCH("SUBSOLO",E4362)),IFERROR(-VALUE(LEFT(E4362,FIND("º",SUBSTITUTE(E4362,"°","º"))-1)),-1),IF(LEFT(E4362,6)="TÉRREO",0,IFERROR(VALUE(LEFT(E4362,FIND("º",SUBSTITUTE(E4362,"°","º"))-1)),""))))</f>
        <v/>
      </c>
      <c r="O4362" s="2">
        <f>IF(OR(F4362="",G4362=""),"",IF(G4362&lt;='RETRATO 2027'!$K$5,"CONCLUÍDA",IF(F4362&lt;='RETRATO 2027'!$K$5,"EM ANDAMENTO","A INICIAR")))</f>
        <v/>
      </c>
    </row>
    <row r="4363">
      <c r="M4363" s="2">
        <f>IF(C4363="","",IFERROR(INDEX($S$5:$S$304,MATCH(C4363,$R$5:$R$304,0))&amp;"","?"))</f>
        <v/>
      </c>
      <c r="N4363" s="2">
        <f>IF(E4363="","",IF(ISNUMBER(SEARCH("SUBSOLO",E4363)),IFERROR(-VALUE(LEFT(E4363,FIND("º",SUBSTITUTE(E4363,"°","º"))-1)),-1),IF(LEFT(E4363,6)="TÉRREO",0,IFERROR(VALUE(LEFT(E4363,FIND("º",SUBSTITUTE(E4363,"°","º"))-1)),""))))</f>
        <v/>
      </c>
      <c r="O4363" s="2">
        <f>IF(OR(F4363="",G4363=""),"",IF(G4363&lt;='RETRATO 2027'!$K$5,"CONCLUÍDA",IF(F4363&lt;='RETRATO 2027'!$K$5,"EM ANDAMENTO","A INICIAR")))</f>
        <v/>
      </c>
    </row>
    <row r="4364">
      <c r="M4364" s="2">
        <f>IF(C4364="","",IFERROR(INDEX($S$5:$S$304,MATCH(C4364,$R$5:$R$304,0))&amp;"","?"))</f>
        <v/>
      </c>
      <c r="N4364" s="2">
        <f>IF(E4364="","",IF(ISNUMBER(SEARCH("SUBSOLO",E4364)),IFERROR(-VALUE(LEFT(E4364,FIND("º",SUBSTITUTE(E4364,"°","º"))-1)),-1),IF(LEFT(E4364,6)="TÉRREO",0,IFERROR(VALUE(LEFT(E4364,FIND("º",SUBSTITUTE(E4364,"°","º"))-1)),""))))</f>
        <v/>
      </c>
      <c r="O4364" s="2">
        <f>IF(OR(F4364="",G4364=""),"",IF(G4364&lt;='RETRATO 2027'!$K$5,"CONCLUÍDA",IF(F4364&lt;='RETRATO 2027'!$K$5,"EM ANDAMENTO","A INICIAR")))</f>
        <v/>
      </c>
    </row>
    <row r="4365">
      <c r="M4365" s="2">
        <f>IF(C4365="","",IFERROR(INDEX($S$5:$S$304,MATCH(C4365,$R$5:$R$304,0))&amp;"","?"))</f>
        <v/>
      </c>
      <c r="N4365" s="2">
        <f>IF(E4365="","",IF(ISNUMBER(SEARCH("SUBSOLO",E4365)),IFERROR(-VALUE(LEFT(E4365,FIND("º",SUBSTITUTE(E4365,"°","º"))-1)),-1),IF(LEFT(E4365,6)="TÉRREO",0,IFERROR(VALUE(LEFT(E4365,FIND("º",SUBSTITUTE(E4365,"°","º"))-1)),""))))</f>
        <v/>
      </c>
      <c r="O4365" s="2">
        <f>IF(OR(F4365="",G4365=""),"",IF(G4365&lt;='RETRATO 2027'!$K$5,"CONCLUÍDA",IF(F4365&lt;='RETRATO 2027'!$K$5,"EM ANDAMENTO","A INICIAR")))</f>
        <v/>
      </c>
    </row>
    <row r="4366">
      <c r="M4366" s="2">
        <f>IF(C4366="","",IFERROR(INDEX($S$5:$S$304,MATCH(C4366,$R$5:$R$304,0))&amp;"","?"))</f>
        <v/>
      </c>
      <c r="N4366" s="2">
        <f>IF(E4366="","",IF(ISNUMBER(SEARCH("SUBSOLO",E4366)),IFERROR(-VALUE(LEFT(E4366,FIND("º",SUBSTITUTE(E4366,"°","º"))-1)),-1),IF(LEFT(E4366,6)="TÉRREO",0,IFERROR(VALUE(LEFT(E4366,FIND("º",SUBSTITUTE(E4366,"°","º"))-1)),""))))</f>
        <v/>
      </c>
      <c r="O4366" s="2">
        <f>IF(OR(F4366="",G4366=""),"",IF(G4366&lt;='RETRATO 2027'!$K$5,"CONCLUÍDA",IF(F4366&lt;='RETRATO 2027'!$K$5,"EM ANDAMENTO","A INICIAR")))</f>
        <v/>
      </c>
    </row>
    <row r="4367">
      <c r="M4367" s="2">
        <f>IF(C4367="","",IFERROR(INDEX($S$5:$S$304,MATCH(C4367,$R$5:$R$304,0))&amp;"","?"))</f>
        <v/>
      </c>
      <c r="N4367" s="2">
        <f>IF(E4367="","",IF(ISNUMBER(SEARCH("SUBSOLO",E4367)),IFERROR(-VALUE(LEFT(E4367,FIND("º",SUBSTITUTE(E4367,"°","º"))-1)),-1),IF(LEFT(E4367,6)="TÉRREO",0,IFERROR(VALUE(LEFT(E4367,FIND("º",SUBSTITUTE(E4367,"°","º"))-1)),""))))</f>
        <v/>
      </c>
      <c r="O4367" s="2">
        <f>IF(OR(F4367="",G4367=""),"",IF(G4367&lt;='RETRATO 2027'!$K$5,"CONCLUÍDA",IF(F4367&lt;='RETRATO 2027'!$K$5,"EM ANDAMENTO","A INICIAR")))</f>
        <v/>
      </c>
    </row>
    <row r="4368">
      <c r="M4368" s="2">
        <f>IF(C4368="","",IFERROR(INDEX($S$5:$S$304,MATCH(C4368,$R$5:$R$304,0))&amp;"","?"))</f>
        <v/>
      </c>
      <c r="N4368" s="2">
        <f>IF(E4368="","",IF(ISNUMBER(SEARCH("SUBSOLO",E4368)),IFERROR(-VALUE(LEFT(E4368,FIND("º",SUBSTITUTE(E4368,"°","º"))-1)),-1),IF(LEFT(E4368,6)="TÉRREO",0,IFERROR(VALUE(LEFT(E4368,FIND("º",SUBSTITUTE(E4368,"°","º"))-1)),""))))</f>
        <v/>
      </c>
      <c r="O4368" s="2">
        <f>IF(OR(F4368="",G4368=""),"",IF(G4368&lt;='RETRATO 2027'!$K$5,"CONCLUÍDA",IF(F4368&lt;='RETRATO 2027'!$K$5,"EM ANDAMENTO","A INICIAR")))</f>
        <v/>
      </c>
    </row>
    <row r="4369">
      <c r="M4369" s="2">
        <f>IF(C4369="","",IFERROR(INDEX($S$5:$S$304,MATCH(C4369,$R$5:$R$304,0))&amp;"","?"))</f>
        <v/>
      </c>
      <c r="N4369" s="2">
        <f>IF(E4369="","",IF(ISNUMBER(SEARCH("SUBSOLO",E4369)),IFERROR(-VALUE(LEFT(E4369,FIND("º",SUBSTITUTE(E4369,"°","º"))-1)),-1),IF(LEFT(E4369,6)="TÉRREO",0,IFERROR(VALUE(LEFT(E4369,FIND("º",SUBSTITUTE(E4369,"°","º"))-1)),""))))</f>
        <v/>
      </c>
      <c r="O4369" s="2">
        <f>IF(OR(F4369="",G4369=""),"",IF(G4369&lt;='RETRATO 2027'!$K$5,"CONCLUÍDA",IF(F4369&lt;='RETRATO 2027'!$K$5,"EM ANDAMENTO","A INICIAR")))</f>
        <v/>
      </c>
    </row>
    <row r="4370">
      <c r="M4370" s="2">
        <f>IF(C4370="","",IFERROR(INDEX($S$5:$S$304,MATCH(C4370,$R$5:$R$304,0))&amp;"","?"))</f>
        <v/>
      </c>
      <c r="N4370" s="2">
        <f>IF(E4370="","",IF(ISNUMBER(SEARCH("SUBSOLO",E4370)),IFERROR(-VALUE(LEFT(E4370,FIND("º",SUBSTITUTE(E4370,"°","º"))-1)),-1),IF(LEFT(E4370,6)="TÉRREO",0,IFERROR(VALUE(LEFT(E4370,FIND("º",SUBSTITUTE(E4370,"°","º"))-1)),""))))</f>
        <v/>
      </c>
      <c r="O4370" s="2">
        <f>IF(OR(F4370="",G4370=""),"",IF(G4370&lt;='RETRATO 2027'!$K$5,"CONCLUÍDA",IF(F4370&lt;='RETRATO 2027'!$K$5,"EM ANDAMENTO","A INICIAR")))</f>
        <v/>
      </c>
    </row>
    <row r="4371">
      <c r="M4371" s="2">
        <f>IF(C4371="","",IFERROR(INDEX($S$5:$S$304,MATCH(C4371,$R$5:$R$304,0))&amp;"","?"))</f>
        <v/>
      </c>
      <c r="N4371" s="2">
        <f>IF(E4371="","",IF(ISNUMBER(SEARCH("SUBSOLO",E4371)),IFERROR(-VALUE(LEFT(E4371,FIND("º",SUBSTITUTE(E4371,"°","º"))-1)),-1),IF(LEFT(E4371,6)="TÉRREO",0,IFERROR(VALUE(LEFT(E4371,FIND("º",SUBSTITUTE(E4371,"°","º"))-1)),""))))</f>
        <v/>
      </c>
      <c r="O4371" s="2">
        <f>IF(OR(F4371="",G4371=""),"",IF(G4371&lt;='RETRATO 2027'!$K$5,"CONCLUÍDA",IF(F4371&lt;='RETRATO 2027'!$K$5,"EM ANDAMENTO","A INICIAR")))</f>
        <v/>
      </c>
    </row>
    <row r="4372">
      <c r="M4372" s="2">
        <f>IF(C4372="","",IFERROR(INDEX($S$5:$S$304,MATCH(C4372,$R$5:$R$304,0))&amp;"","?"))</f>
        <v/>
      </c>
      <c r="N4372" s="2">
        <f>IF(E4372="","",IF(ISNUMBER(SEARCH("SUBSOLO",E4372)),IFERROR(-VALUE(LEFT(E4372,FIND("º",SUBSTITUTE(E4372,"°","º"))-1)),-1),IF(LEFT(E4372,6)="TÉRREO",0,IFERROR(VALUE(LEFT(E4372,FIND("º",SUBSTITUTE(E4372,"°","º"))-1)),""))))</f>
        <v/>
      </c>
      <c r="O4372" s="2">
        <f>IF(OR(F4372="",G4372=""),"",IF(G4372&lt;='RETRATO 2027'!$K$5,"CONCLUÍDA",IF(F4372&lt;='RETRATO 2027'!$K$5,"EM ANDAMENTO","A INICIAR")))</f>
        <v/>
      </c>
    </row>
    <row r="4373">
      <c r="M4373" s="2">
        <f>IF(C4373="","",IFERROR(INDEX($S$5:$S$304,MATCH(C4373,$R$5:$R$304,0))&amp;"","?"))</f>
        <v/>
      </c>
      <c r="N4373" s="2">
        <f>IF(E4373="","",IF(ISNUMBER(SEARCH("SUBSOLO",E4373)),IFERROR(-VALUE(LEFT(E4373,FIND("º",SUBSTITUTE(E4373,"°","º"))-1)),-1),IF(LEFT(E4373,6)="TÉRREO",0,IFERROR(VALUE(LEFT(E4373,FIND("º",SUBSTITUTE(E4373,"°","º"))-1)),""))))</f>
        <v/>
      </c>
      <c r="O4373" s="2">
        <f>IF(OR(F4373="",G4373=""),"",IF(G4373&lt;='RETRATO 2027'!$K$5,"CONCLUÍDA",IF(F4373&lt;='RETRATO 2027'!$K$5,"EM ANDAMENTO","A INICIAR")))</f>
        <v/>
      </c>
    </row>
    <row r="4374">
      <c r="M4374" s="2">
        <f>IF(C4374="","",IFERROR(INDEX($S$5:$S$304,MATCH(C4374,$R$5:$R$304,0))&amp;"","?"))</f>
        <v/>
      </c>
      <c r="N4374" s="2">
        <f>IF(E4374="","",IF(ISNUMBER(SEARCH("SUBSOLO",E4374)),IFERROR(-VALUE(LEFT(E4374,FIND("º",SUBSTITUTE(E4374,"°","º"))-1)),-1),IF(LEFT(E4374,6)="TÉRREO",0,IFERROR(VALUE(LEFT(E4374,FIND("º",SUBSTITUTE(E4374,"°","º"))-1)),""))))</f>
        <v/>
      </c>
      <c r="O4374" s="2">
        <f>IF(OR(F4374="",G4374=""),"",IF(G4374&lt;='RETRATO 2027'!$K$5,"CONCLUÍDA",IF(F4374&lt;='RETRATO 2027'!$K$5,"EM ANDAMENTO","A INICIAR")))</f>
        <v/>
      </c>
    </row>
    <row r="4375">
      <c r="M4375" s="2">
        <f>IF(C4375="","",IFERROR(INDEX($S$5:$S$304,MATCH(C4375,$R$5:$R$304,0))&amp;"","?"))</f>
        <v/>
      </c>
      <c r="N4375" s="2">
        <f>IF(E4375="","",IF(ISNUMBER(SEARCH("SUBSOLO",E4375)),IFERROR(-VALUE(LEFT(E4375,FIND("º",SUBSTITUTE(E4375,"°","º"))-1)),-1),IF(LEFT(E4375,6)="TÉRREO",0,IFERROR(VALUE(LEFT(E4375,FIND("º",SUBSTITUTE(E4375,"°","º"))-1)),""))))</f>
        <v/>
      </c>
      <c r="O4375" s="2">
        <f>IF(OR(F4375="",G4375=""),"",IF(G4375&lt;='RETRATO 2027'!$K$5,"CONCLUÍDA",IF(F4375&lt;='RETRATO 2027'!$K$5,"EM ANDAMENTO","A INICIAR")))</f>
        <v/>
      </c>
    </row>
    <row r="4376">
      <c r="M4376" s="2">
        <f>IF(C4376="","",IFERROR(INDEX($S$5:$S$304,MATCH(C4376,$R$5:$R$304,0))&amp;"","?"))</f>
        <v/>
      </c>
      <c r="N4376" s="2">
        <f>IF(E4376="","",IF(ISNUMBER(SEARCH("SUBSOLO",E4376)),IFERROR(-VALUE(LEFT(E4376,FIND("º",SUBSTITUTE(E4376,"°","º"))-1)),-1),IF(LEFT(E4376,6)="TÉRREO",0,IFERROR(VALUE(LEFT(E4376,FIND("º",SUBSTITUTE(E4376,"°","º"))-1)),""))))</f>
        <v/>
      </c>
      <c r="O4376" s="2">
        <f>IF(OR(F4376="",G4376=""),"",IF(G4376&lt;='RETRATO 2027'!$K$5,"CONCLUÍDA",IF(F4376&lt;='RETRATO 2027'!$K$5,"EM ANDAMENTO","A INICIAR")))</f>
        <v/>
      </c>
    </row>
    <row r="4377">
      <c r="M4377" s="2">
        <f>IF(C4377="","",IFERROR(INDEX($S$5:$S$304,MATCH(C4377,$R$5:$R$304,0))&amp;"","?"))</f>
        <v/>
      </c>
      <c r="N4377" s="2">
        <f>IF(E4377="","",IF(ISNUMBER(SEARCH("SUBSOLO",E4377)),IFERROR(-VALUE(LEFT(E4377,FIND("º",SUBSTITUTE(E4377,"°","º"))-1)),-1),IF(LEFT(E4377,6)="TÉRREO",0,IFERROR(VALUE(LEFT(E4377,FIND("º",SUBSTITUTE(E4377,"°","º"))-1)),""))))</f>
        <v/>
      </c>
      <c r="O4377" s="2">
        <f>IF(OR(F4377="",G4377=""),"",IF(G4377&lt;='RETRATO 2027'!$K$5,"CONCLUÍDA",IF(F4377&lt;='RETRATO 2027'!$K$5,"EM ANDAMENTO","A INICIAR")))</f>
        <v/>
      </c>
    </row>
    <row r="4378">
      <c r="M4378" s="2">
        <f>IF(C4378="","",IFERROR(INDEX($S$5:$S$304,MATCH(C4378,$R$5:$R$304,0))&amp;"","?"))</f>
        <v/>
      </c>
      <c r="N4378" s="2">
        <f>IF(E4378="","",IF(ISNUMBER(SEARCH("SUBSOLO",E4378)),IFERROR(-VALUE(LEFT(E4378,FIND("º",SUBSTITUTE(E4378,"°","º"))-1)),-1),IF(LEFT(E4378,6)="TÉRREO",0,IFERROR(VALUE(LEFT(E4378,FIND("º",SUBSTITUTE(E4378,"°","º"))-1)),""))))</f>
        <v/>
      </c>
      <c r="O4378" s="2">
        <f>IF(OR(F4378="",G4378=""),"",IF(G4378&lt;='RETRATO 2027'!$K$5,"CONCLUÍDA",IF(F4378&lt;='RETRATO 2027'!$K$5,"EM ANDAMENTO","A INICIAR")))</f>
        <v/>
      </c>
    </row>
    <row r="4379">
      <c r="M4379" s="2">
        <f>IF(C4379="","",IFERROR(INDEX($S$5:$S$304,MATCH(C4379,$R$5:$R$304,0))&amp;"","?"))</f>
        <v/>
      </c>
      <c r="N4379" s="2">
        <f>IF(E4379="","",IF(ISNUMBER(SEARCH("SUBSOLO",E4379)),IFERROR(-VALUE(LEFT(E4379,FIND("º",SUBSTITUTE(E4379,"°","º"))-1)),-1),IF(LEFT(E4379,6)="TÉRREO",0,IFERROR(VALUE(LEFT(E4379,FIND("º",SUBSTITUTE(E4379,"°","º"))-1)),""))))</f>
        <v/>
      </c>
      <c r="O4379" s="2">
        <f>IF(OR(F4379="",G4379=""),"",IF(G4379&lt;='RETRATO 2027'!$K$5,"CONCLUÍDA",IF(F4379&lt;='RETRATO 2027'!$K$5,"EM ANDAMENTO","A INICIAR")))</f>
        <v/>
      </c>
    </row>
    <row r="4380">
      <c r="M4380" s="2">
        <f>IF(C4380="","",IFERROR(INDEX($S$5:$S$304,MATCH(C4380,$R$5:$R$304,0))&amp;"","?"))</f>
        <v/>
      </c>
      <c r="N4380" s="2">
        <f>IF(E4380="","",IF(ISNUMBER(SEARCH("SUBSOLO",E4380)),IFERROR(-VALUE(LEFT(E4380,FIND("º",SUBSTITUTE(E4380,"°","º"))-1)),-1),IF(LEFT(E4380,6)="TÉRREO",0,IFERROR(VALUE(LEFT(E4380,FIND("º",SUBSTITUTE(E4380,"°","º"))-1)),""))))</f>
        <v/>
      </c>
      <c r="O4380" s="2">
        <f>IF(OR(F4380="",G4380=""),"",IF(G4380&lt;='RETRATO 2027'!$K$5,"CONCLUÍDA",IF(F4380&lt;='RETRATO 2027'!$K$5,"EM ANDAMENTO","A INICIAR")))</f>
        <v/>
      </c>
    </row>
    <row r="4381">
      <c r="M4381" s="2">
        <f>IF(C4381="","",IFERROR(INDEX($S$5:$S$304,MATCH(C4381,$R$5:$R$304,0))&amp;"","?"))</f>
        <v/>
      </c>
      <c r="N4381" s="2">
        <f>IF(E4381="","",IF(ISNUMBER(SEARCH("SUBSOLO",E4381)),IFERROR(-VALUE(LEFT(E4381,FIND("º",SUBSTITUTE(E4381,"°","º"))-1)),-1),IF(LEFT(E4381,6)="TÉRREO",0,IFERROR(VALUE(LEFT(E4381,FIND("º",SUBSTITUTE(E4381,"°","º"))-1)),""))))</f>
        <v/>
      </c>
      <c r="O4381" s="2">
        <f>IF(OR(F4381="",G4381=""),"",IF(G4381&lt;='RETRATO 2027'!$K$5,"CONCLUÍDA",IF(F4381&lt;='RETRATO 2027'!$K$5,"EM ANDAMENTO","A INICIAR")))</f>
        <v/>
      </c>
    </row>
    <row r="4382">
      <c r="M4382" s="2">
        <f>IF(C4382="","",IFERROR(INDEX($S$5:$S$304,MATCH(C4382,$R$5:$R$304,0))&amp;"","?"))</f>
        <v/>
      </c>
      <c r="N4382" s="2">
        <f>IF(E4382="","",IF(ISNUMBER(SEARCH("SUBSOLO",E4382)),IFERROR(-VALUE(LEFT(E4382,FIND("º",SUBSTITUTE(E4382,"°","º"))-1)),-1),IF(LEFT(E4382,6)="TÉRREO",0,IFERROR(VALUE(LEFT(E4382,FIND("º",SUBSTITUTE(E4382,"°","º"))-1)),""))))</f>
        <v/>
      </c>
      <c r="O4382" s="2">
        <f>IF(OR(F4382="",G4382=""),"",IF(G4382&lt;='RETRATO 2027'!$K$5,"CONCLUÍDA",IF(F4382&lt;='RETRATO 2027'!$K$5,"EM ANDAMENTO","A INICIAR")))</f>
        <v/>
      </c>
    </row>
    <row r="4383">
      <c r="M4383" s="2">
        <f>IF(C4383="","",IFERROR(INDEX($S$5:$S$304,MATCH(C4383,$R$5:$R$304,0))&amp;"","?"))</f>
        <v/>
      </c>
      <c r="N4383" s="2">
        <f>IF(E4383="","",IF(ISNUMBER(SEARCH("SUBSOLO",E4383)),IFERROR(-VALUE(LEFT(E4383,FIND("º",SUBSTITUTE(E4383,"°","º"))-1)),-1),IF(LEFT(E4383,6)="TÉRREO",0,IFERROR(VALUE(LEFT(E4383,FIND("º",SUBSTITUTE(E4383,"°","º"))-1)),""))))</f>
        <v/>
      </c>
      <c r="O4383" s="2">
        <f>IF(OR(F4383="",G4383=""),"",IF(G4383&lt;='RETRATO 2027'!$K$5,"CONCLUÍDA",IF(F4383&lt;='RETRATO 2027'!$K$5,"EM ANDAMENTO","A INICIAR")))</f>
        <v/>
      </c>
    </row>
    <row r="4384">
      <c r="M4384" s="2">
        <f>IF(C4384="","",IFERROR(INDEX($S$5:$S$304,MATCH(C4384,$R$5:$R$304,0))&amp;"","?"))</f>
        <v/>
      </c>
      <c r="N4384" s="2">
        <f>IF(E4384="","",IF(ISNUMBER(SEARCH("SUBSOLO",E4384)),IFERROR(-VALUE(LEFT(E4384,FIND("º",SUBSTITUTE(E4384,"°","º"))-1)),-1),IF(LEFT(E4384,6)="TÉRREO",0,IFERROR(VALUE(LEFT(E4384,FIND("º",SUBSTITUTE(E4384,"°","º"))-1)),""))))</f>
        <v/>
      </c>
      <c r="O4384" s="2">
        <f>IF(OR(F4384="",G4384=""),"",IF(G4384&lt;='RETRATO 2027'!$K$5,"CONCLUÍDA",IF(F4384&lt;='RETRATO 2027'!$K$5,"EM ANDAMENTO","A INICIAR")))</f>
        <v/>
      </c>
    </row>
    <row r="4385">
      <c r="M4385" s="2">
        <f>IF(C4385="","",IFERROR(INDEX($S$5:$S$304,MATCH(C4385,$R$5:$R$304,0))&amp;"","?"))</f>
        <v/>
      </c>
      <c r="N4385" s="2">
        <f>IF(E4385="","",IF(ISNUMBER(SEARCH("SUBSOLO",E4385)),IFERROR(-VALUE(LEFT(E4385,FIND("º",SUBSTITUTE(E4385,"°","º"))-1)),-1),IF(LEFT(E4385,6)="TÉRREO",0,IFERROR(VALUE(LEFT(E4385,FIND("º",SUBSTITUTE(E4385,"°","º"))-1)),""))))</f>
        <v/>
      </c>
      <c r="O4385" s="2">
        <f>IF(OR(F4385="",G4385=""),"",IF(G4385&lt;='RETRATO 2027'!$K$5,"CONCLUÍDA",IF(F4385&lt;='RETRATO 2027'!$K$5,"EM ANDAMENTO","A INICIAR")))</f>
        <v/>
      </c>
    </row>
    <row r="4386">
      <c r="M4386" s="2">
        <f>IF(C4386="","",IFERROR(INDEX($S$5:$S$304,MATCH(C4386,$R$5:$R$304,0))&amp;"","?"))</f>
        <v/>
      </c>
      <c r="N4386" s="2">
        <f>IF(E4386="","",IF(ISNUMBER(SEARCH("SUBSOLO",E4386)),IFERROR(-VALUE(LEFT(E4386,FIND("º",SUBSTITUTE(E4386,"°","º"))-1)),-1),IF(LEFT(E4386,6)="TÉRREO",0,IFERROR(VALUE(LEFT(E4386,FIND("º",SUBSTITUTE(E4386,"°","º"))-1)),""))))</f>
        <v/>
      </c>
      <c r="O4386" s="2">
        <f>IF(OR(F4386="",G4386=""),"",IF(G4386&lt;='RETRATO 2027'!$K$5,"CONCLUÍDA",IF(F4386&lt;='RETRATO 2027'!$K$5,"EM ANDAMENTO","A INICIAR")))</f>
        <v/>
      </c>
    </row>
    <row r="4387">
      <c r="M4387" s="2">
        <f>IF(C4387="","",IFERROR(INDEX($S$5:$S$304,MATCH(C4387,$R$5:$R$304,0))&amp;"","?"))</f>
        <v/>
      </c>
      <c r="N4387" s="2">
        <f>IF(E4387="","",IF(ISNUMBER(SEARCH("SUBSOLO",E4387)),IFERROR(-VALUE(LEFT(E4387,FIND("º",SUBSTITUTE(E4387,"°","º"))-1)),-1),IF(LEFT(E4387,6)="TÉRREO",0,IFERROR(VALUE(LEFT(E4387,FIND("º",SUBSTITUTE(E4387,"°","º"))-1)),""))))</f>
        <v/>
      </c>
      <c r="O4387" s="2">
        <f>IF(OR(F4387="",G4387=""),"",IF(G4387&lt;='RETRATO 2027'!$K$5,"CONCLUÍDA",IF(F4387&lt;='RETRATO 2027'!$K$5,"EM ANDAMENTO","A INICIAR")))</f>
        <v/>
      </c>
    </row>
    <row r="4388">
      <c r="M4388" s="2">
        <f>IF(C4388="","",IFERROR(INDEX($S$5:$S$304,MATCH(C4388,$R$5:$R$304,0))&amp;"","?"))</f>
        <v/>
      </c>
      <c r="N4388" s="2">
        <f>IF(E4388="","",IF(ISNUMBER(SEARCH("SUBSOLO",E4388)),IFERROR(-VALUE(LEFT(E4388,FIND("º",SUBSTITUTE(E4388,"°","º"))-1)),-1),IF(LEFT(E4388,6)="TÉRREO",0,IFERROR(VALUE(LEFT(E4388,FIND("º",SUBSTITUTE(E4388,"°","º"))-1)),""))))</f>
        <v/>
      </c>
      <c r="O4388" s="2">
        <f>IF(OR(F4388="",G4388=""),"",IF(G4388&lt;='RETRATO 2027'!$K$5,"CONCLUÍDA",IF(F4388&lt;='RETRATO 2027'!$K$5,"EM ANDAMENTO","A INICIAR")))</f>
        <v/>
      </c>
    </row>
    <row r="4389">
      <c r="M4389" s="2">
        <f>IF(C4389="","",IFERROR(INDEX($S$5:$S$304,MATCH(C4389,$R$5:$R$304,0))&amp;"","?"))</f>
        <v/>
      </c>
      <c r="N4389" s="2">
        <f>IF(E4389="","",IF(ISNUMBER(SEARCH("SUBSOLO",E4389)),IFERROR(-VALUE(LEFT(E4389,FIND("º",SUBSTITUTE(E4389,"°","º"))-1)),-1),IF(LEFT(E4389,6)="TÉRREO",0,IFERROR(VALUE(LEFT(E4389,FIND("º",SUBSTITUTE(E4389,"°","º"))-1)),""))))</f>
        <v/>
      </c>
      <c r="O4389" s="2">
        <f>IF(OR(F4389="",G4389=""),"",IF(G4389&lt;='RETRATO 2027'!$K$5,"CONCLUÍDA",IF(F4389&lt;='RETRATO 2027'!$K$5,"EM ANDAMENTO","A INICIAR")))</f>
        <v/>
      </c>
    </row>
    <row r="4390">
      <c r="M4390" s="2">
        <f>IF(C4390="","",IFERROR(INDEX($S$5:$S$304,MATCH(C4390,$R$5:$R$304,0))&amp;"","?"))</f>
        <v/>
      </c>
      <c r="N4390" s="2">
        <f>IF(E4390="","",IF(ISNUMBER(SEARCH("SUBSOLO",E4390)),IFERROR(-VALUE(LEFT(E4390,FIND("º",SUBSTITUTE(E4390,"°","º"))-1)),-1),IF(LEFT(E4390,6)="TÉRREO",0,IFERROR(VALUE(LEFT(E4390,FIND("º",SUBSTITUTE(E4390,"°","º"))-1)),""))))</f>
        <v/>
      </c>
      <c r="O4390" s="2">
        <f>IF(OR(F4390="",G4390=""),"",IF(G4390&lt;='RETRATO 2027'!$K$5,"CONCLUÍDA",IF(F4390&lt;='RETRATO 2027'!$K$5,"EM ANDAMENTO","A INICIAR")))</f>
        <v/>
      </c>
    </row>
    <row r="4391">
      <c r="M4391" s="2">
        <f>IF(C4391="","",IFERROR(INDEX($S$5:$S$304,MATCH(C4391,$R$5:$R$304,0))&amp;"","?"))</f>
        <v/>
      </c>
      <c r="N4391" s="2">
        <f>IF(E4391="","",IF(ISNUMBER(SEARCH("SUBSOLO",E4391)),IFERROR(-VALUE(LEFT(E4391,FIND("º",SUBSTITUTE(E4391,"°","º"))-1)),-1),IF(LEFT(E4391,6)="TÉRREO",0,IFERROR(VALUE(LEFT(E4391,FIND("º",SUBSTITUTE(E4391,"°","º"))-1)),""))))</f>
        <v/>
      </c>
      <c r="O4391" s="2">
        <f>IF(OR(F4391="",G4391=""),"",IF(G4391&lt;='RETRATO 2027'!$K$5,"CONCLUÍDA",IF(F4391&lt;='RETRATO 2027'!$K$5,"EM ANDAMENTO","A INICIAR")))</f>
        <v/>
      </c>
    </row>
    <row r="4392">
      <c r="M4392" s="2">
        <f>IF(C4392="","",IFERROR(INDEX($S$5:$S$304,MATCH(C4392,$R$5:$R$304,0))&amp;"","?"))</f>
        <v/>
      </c>
      <c r="N4392" s="2">
        <f>IF(E4392="","",IF(ISNUMBER(SEARCH("SUBSOLO",E4392)),IFERROR(-VALUE(LEFT(E4392,FIND("º",SUBSTITUTE(E4392,"°","º"))-1)),-1),IF(LEFT(E4392,6)="TÉRREO",0,IFERROR(VALUE(LEFT(E4392,FIND("º",SUBSTITUTE(E4392,"°","º"))-1)),""))))</f>
        <v/>
      </c>
      <c r="O4392" s="2">
        <f>IF(OR(F4392="",G4392=""),"",IF(G4392&lt;='RETRATO 2027'!$K$5,"CONCLUÍDA",IF(F4392&lt;='RETRATO 2027'!$K$5,"EM ANDAMENTO","A INICIAR")))</f>
        <v/>
      </c>
    </row>
    <row r="4393">
      <c r="M4393" s="2">
        <f>IF(C4393="","",IFERROR(INDEX($S$5:$S$304,MATCH(C4393,$R$5:$R$304,0))&amp;"","?"))</f>
        <v/>
      </c>
      <c r="N4393" s="2">
        <f>IF(E4393="","",IF(ISNUMBER(SEARCH("SUBSOLO",E4393)),IFERROR(-VALUE(LEFT(E4393,FIND("º",SUBSTITUTE(E4393,"°","º"))-1)),-1),IF(LEFT(E4393,6)="TÉRREO",0,IFERROR(VALUE(LEFT(E4393,FIND("º",SUBSTITUTE(E4393,"°","º"))-1)),""))))</f>
        <v/>
      </c>
      <c r="O4393" s="2">
        <f>IF(OR(F4393="",G4393=""),"",IF(G4393&lt;='RETRATO 2027'!$K$5,"CONCLUÍDA",IF(F4393&lt;='RETRATO 2027'!$K$5,"EM ANDAMENTO","A INICIAR")))</f>
        <v/>
      </c>
    </row>
    <row r="4394">
      <c r="M4394" s="2">
        <f>IF(C4394="","",IFERROR(INDEX($S$5:$S$304,MATCH(C4394,$R$5:$R$304,0))&amp;"","?"))</f>
        <v/>
      </c>
      <c r="N4394" s="2">
        <f>IF(E4394="","",IF(ISNUMBER(SEARCH("SUBSOLO",E4394)),IFERROR(-VALUE(LEFT(E4394,FIND("º",SUBSTITUTE(E4394,"°","º"))-1)),-1),IF(LEFT(E4394,6)="TÉRREO",0,IFERROR(VALUE(LEFT(E4394,FIND("º",SUBSTITUTE(E4394,"°","º"))-1)),""))))</f>
        <v/>
      </c>
      <c r="O4394" s="2">
        <f>IF(OR(F4394="",G4394=""),"",IF(G4394&lt;='RETRATO 2027'!$K$5,"CONCLUÍDA",IF(F4394&lt;='RETRATO 2027'!$K$5,"EM ANDAMENTO","A INICIAR")))</f>
        <v/>
      </c>
    </row>
    <row r="4395">
      <c r="M4395" s="2">
        <f>IF(C4395="","",IFERROR(INDEX($S$5:$S$304,MATCH(C4395,$R$5:$R$304,0))&amp;"","?"))</f>
        <v/>
      </c>
      <c r="N4395" s="2">
        <f>IF(E4395="","",IF(ISNUMBER(SEARCH("SUBSOLO",E4395)),IFERROR(-VALUE(LEFT(E4395,FIND("º",SUBSTITUTE(E4395,"°","º"))-1)),-1),IF(LEFT(E4395,6)="TÉRREO",0,IFERROR(VALUE(LEFT(E4395,FIND("º",SUBSTITUTE(E4395,"°","º"))-1)),""))))</f>
        <v/>
      </c>
      <c r="O4395" s="2">
        <f>IF(OR(F4395="",G4395=""),"",IF(G4395&lt;='RETRATO 2027'!$K$5,"CONCLUÍDA",IF(F4395&lt;='RETRATO 2027'!$K$5,"EM ANDAMENTO","A INICIAR")))</f>
        <v/>
      </c>
    </row>
    <row r="4396">
      <c r="M4396" s="2">
        <f>IF(C4396="","",IFERROR(INDEX($S$5:$S$304,MATCH(C4396,$R$5:$R$304,0))&amp;"","?"))</f>
        <v/>
      </c>
      <c r="N4396" s="2">
        <f>IF(E4396="","",IF(ISNUMBER(SEARCH("SUBSOLO",E4396)),IFERROR(-VALUE(LEFT(E4396,FIND("º",SUBSTITUTE(E4396,"°","º"))-1)),-1),IF(LEFT(E4396,6)="TÉRREO",0,IFERROR(VALUE(LEFT(E4396,FIND("º",SUBSTITUTE(E4396,"°","º"))-1)),""))))</f>
        <v/>
      </c>
      <c r="O4396" s="2">
        <f>IF(OR(F4396="",G4396=""),"",IF(G4396&lt;='RETRATO 2027'!$K$5,"CONCLUÍDA",IF(F4396&lt;='RETRATO 2027'!$K$5,"EM ANDAMENTO","A INICIAR")))</f>
        <v/>
      </c>
    </row>
    <row r="4397">
      <c r="M4397" s="2">
        <f>IF(C4397="","",IFERROR(INDEX($S$5:$S$304,MATCH(C4397,$R$5:$R$304,0))&amp;"","?"))</f>
        <v/>
      </c>
      <c r="N4397" s="2">
        <f>IF(E4397="","",IF(ISNUMBER(SEARCH("SUBSOLO",E4397)),IFERROR(-VALUE(LEFT(E4397,FIND("º",SUBSTITUTE(E4397,"°","º"))-1)),-1),IF(LEFT(E4397,6)="TÉRREO",0,IFERROR(VALUE(LEFT(E4397,FIND("º",SUBSTITUTE(E4397,"°","º"))-1)),""))))</f>
        <v/>
      </c>
      <c r="O4397" s="2">
        <f>IF(OR(F4397="",G4397=""),"",IF(G4397&lt;='RETRATO 2027'!$K$5,"CONCLUÍDA",IF(F4397&lt;='RETRATO 2027'!$K$5,"EM ANDAMENTO","A INICIAR")))</f>
        <v/>
      </c>
    </row>
    <row r="4398">
      <c r="M4398" s="2">
        <f>IF(C4398="","",IFERROR(INDEX($S$5:$S$304,MATCH(C4398,$R$5:$R$304,0))&amp;"","?"))</f>
        <v/>
      </c>
      <c r="N4398" s="2">
        <f>IF(E4398="","",IF(ISNUMBER(SEARCH("SUBSOLO",E4398)),IFERROR(-VALUE(LEFT(E4398,FIND("º",SUBSTITUTE(E4398,"°","º"))-1)),-1),IF(LEFT(E4398,6)="TÉRREO",0,IFERROR(VALUE(LEFT(E4398,FIND("º",SUBSTITUTE(E4398,"°","º"))-1)),""))))</f>
        <v/>
      </c>
      <c r="O4398" s="2">
        <f>IF(OR(F4398="",G4398=""),"",IF(G4398&lt;='RETRATO 2027'!$K$5,"CONCLUÍDA",IF(F4398&lt;='RETRATO 2027'!$K$5,"EM ANDAMENTO","A INICIAR")))</f>
        <v/>
      </c>
    </row>
    <row r="4399">
      <c r="M4399" s="2">
        <f>IF(C4399="","",IFERROR(INDEX($S$5:$S$304,MATCH(C4399,$R$5:$R$304,0))&amp;"","?"))</f>
        <v/>
      </c>
      <c r="N4399" s="2">
        <f>IF(E4399="","",IF(ISNUMBER(SEARCH("SUBSOLO",E4399)),IFERROR(-VALUE(LEFT(E4399,FIND("º",SUBSTITUTE(E4399,"°","º"))-1)),-1),IF(LEFT(E4399,6)="TÉRREO",0,IFERROR(VALUE(LEFT(E4399,FIND("º",SUBSTITUTE(E4399,"°","º"))-1)),""))))</f>
        <v/>
      </c>
      <c r="O4399" s="2">
        <f>IF(OR(F4399="",G4399=""),"",IF(G4399&lt;='RETRATO 2027'!$K$5,"CONCLUÍDA",IF(F4399&lt;='RETRATO 2027'!$K$5,"EM ANDAMENTO","A INICIAR")))</f>
        <v/>
      </c>
    </row>
    <row r="4400">
      <c r="M4400" s="2">
        <f>IF(C4400="","",IFERROR(INDEX($S$5:$S$304,MATCH(C4400,$R$5:$R$304,0))&amp;"","?"))</f>
        <v/>
      </c>
      <c r="N4400" s="2">
        <f>IF(E4400="","",IF(ISNUMBER(SEARCH("SUBSOLO",E4400)),IFERROR(-VALUE(LEFT(E4400,FIND("º",SUBSTITUTE(E4400,"°","º"))-1)),-1),IF(LEFT(E4400,6)="TÉRREO",0,IFERROR(VALUE(LEFT(E4400,FIND("º",SUBSTITUTE(E4400,"°","º"))-1)),""))))</f>
        <v/>
      </c>
      <c r="O4400" s="2">
        <f>IF(OR(F4400="",G4400=""),"",IF(G4400&lt;='RETRATO 2027'!$K$5,"CONCLUÍDA",IF(F4400&lt;='RETRATO 2027'!$K$5,"EM ANDAMENTO","A INICIAR")))</f>
        <v/>
      </c>
    </row>
    <row r="4401">
      <c r="M4401" s="2">
        <f>IF(C4401="","",IFERROR(INDEX($S$5:$S$304,MATCH(C4401,$R$5:$R$304,0))&amp;"","?"))</f>
        <v/>
      </c>
      <c r="N4401" s="2">
        <f>IF(E4401="","",IF(ISNUMBER(SEARCH("SUBSOLO",E4401)),IFERROR(-VALUE(LEFT(E4401,FIND("º",SUBSTITUTE(E4401,"°","º"))-1)),-1),IF(LEFT(E4401,6)="TÉRREO",0,IFERROR(VALUE(LEFT(E4401,FIND("º",SUBSTITUTE(E4401,"°","º"))-1)),""))))</f>
        <v/>
      </c>
      <c r="O4401" s="2">
        <f>IF(OR(F4401="",G4401=""),"",IF(G4401&lt;='RETRATO 2027'!$K$5,"CONCLUÍDA",IF(F4401&lt;='RETRATO 2027'!$K$5,"EM ANDAMENTO","A INICIAR")))</f>
        <v/>
      </c>
    </row>
    <row r="4402">
      <c r="M4402" s="2">
        <f>IF(C4402="","",IFERROR(INDEX($S$5:$S$304,MATCH(C4402,$R$5:$R$304,0))&amp;"","?"))</f>
        <v/>
      </c>
      <c r="N4402" s="2">
        <f>IF(E4402="","",IF(ISNUMBER(SEARCH("SUBSOLO",E4402)),IFERROR(-VALUE(LEFT(E4402,FIND("º",SUBSTITUTE(E4402,"°","º"))-1)),-1),IF(LEFT(E4402,6)="TÉRREO",0,IFERROR(VALUE(LEFT(E4402,FIND("º",SUBSTITUTE(E4402,"°","º"))-1)),""))))</f>
        <v/>
      </c>
      <c r="O4402" s="2">
        <f>IF(OR(F4402="",G4402=""),"",IF(G4402&lt;='RETRATO 2027'!$K$5,"CONCLUÍDA",IF(F4402&lt;='RETRATO 2027'!$K$5,"EM ANDAMENTO","A INICIAR")))</f>
        <v/>
      </c>
    </row>
    <row r="4403">
      <c r="M4403" s="2">
        <f>IF(C4403="","",IFERROR(INDEX($S$5:$S$304,MATCH(C4403,$R$5:$R$304,0))&amp;"","?"))</f>
        <v/>
      </c>
      <c r="N4403" s="2">
        <f>IF(E4403="","",IF(ISNUMBER(SEARCH("SUBSOLO",E4403)),IFERROR(-VALUE(LEFT(E4403,FIND("º",SUBSTITUTE(E4403,"°","º"))-1)),-1),IF(LEFT(E4403,6)="TÉRREO",0,IFERROR(VALUE(LEFT(E4403,FIND("º",SUBSTITUTE(E4403,"°","º"))-1)),""))))</f>
        <v/>
      </c>
      <c r="O4403" s="2">
        <f>IF(OR(F4403="",G4403=""),"",IF(G4403&lt;='RETRATO 2027'!$K$5,"CONCLUÍDA",IF(F4403&lt;='RETRATO 2027'!$K$5,"EM ANDAMENTO","A INICIAR")))</f>
        <v/>
      </c>
    </row>
    <row r="4404">
      <c r="M4404" s="2">
        <f>IF(C4404="","",IFERROR(INDEX($S$5:$S$304,MATCH(C4404,$R$5:$R$304,0))&amp;"","?"))</f>
        <v/>
      </c>
      <c r="N4404" s="2">
        <f>IF(E4404="","",IF(ISNUMBER(SEARCH("SUBSOLO",E4404)),IFERROR(-VALUE(LEFT(E4404,FIND("º",SUBSTITUTE(E4404,"°","º"))-1)),-1),IF(LEFT(E4404,6)="TÉRREO",0,IFERROR(VALUE(LEFT(E4404,FIND("º",SUBSTITUTE(E4404,"°","º"))-1)),""))))</f>
        <v/>
      </c>
      <c r="O4404" s="2">
        <f>IF(OR(F4404="",G4404=""),"",IF(G4404&lt;='RETRATO 2027'!$K$5,"CONCLUÍDA",IF(F4404&lt;='RETRATO 2027'!$K$5,"EM ANDAMENTO","A INICIAR")))</f>
        <v/>
      </c>
    </row>
    <row r="4405">
      <c r="M4405" s="2">
        <f>IF(C4405="","",IFERROR(INDEX($S$5:$S$304,MATCH(C4405,$R$5:$R$304,0))&amp;"","?"))</f>
        <v/>
      </c>
      <c r="N4405" s="2">
        <f>IF(E4405="","",IF(ISNUMBER(SEARCH("SUBSOLO",E4405)),IFERROR(-VALUE(LEFT(E4405,FIND("º",SUBSTITUTE(E4405,"°","º"))-1)),-1),IF(LEFT(E4405,6)="TÉRREO",0,IFERROR(VALUE(LEFT(E4405,FIND("º",SUBSTITUTE(E4405,"°","º"))-1)),""))))</f>
        <v/>
      </c>
      <c r="O4405" s="2">
        <f>IF(OR(F4405="",G4405=""),"",IF(G4405&lt;='RETRATO 2027'!$K$5,"CONCLUÍDA",IF(F4405&lt;='RETRATO 2027'!$K$5,"EM ANDAMENTO","A INICIAR")))</f>
        <v/>
      </c>
    </row>
    <row r="4406">
      <c r="M4406" s="2">
        <f>IF(C4406="","",IFERROR(INDEX($S$5:$S$304,MATCH(C4406,$R$5:$R$304,0))&amp;"","?"))</f>
        <v/>
      </c>
      <c r="N4406" s="2">
        <f>IF(E4406="","",IF(ISNUMBER(SEARCH("SUBSOLO",E4406)),IFERROR(-VALUE(LEFT(E4406,FIND("º",SUBSTITUTE(E4406,"°","º"))-1)),-1),IF(LEFT(E4406,6)="TÉRREO",0,IFERROR(VALUE(LEFT(E4406,FIND("º",SUBSTITUTE(E4406,"°","º"))-1)),""))))</f>
        <v/>
      </c>
      <c r="O4406" s="2">
        <f>IF(OR(F4406="",G4406=""),"",IF(G4406&lt;='RETRATO 2027'!$K$5,"CONCLUÍDA",IF(F4406&lt;='RETRATO 2027'!$K$5,"EM ANDAMENTO","A INICIAR")))</f>
        <v/>
      </c>
    </row>
    <row r="4407">
      <c r="M4407" s="2">
        <f>IF(C4407="","",IFERROR(INDEX($S$5:$S$304,MATCH(C4407,$R$5:$R$304,0))&amp;"","?"))</f>
        <v/>
      </c>
      <c r="N4407" s="2">
        <f>IF(E4407="","",IF(ISNUMBER(SEARCH("SUBSOLO",E4407)),IFERROR(-VALUE(LEFT(E4407,FIND("º",SUBSTITUTE(E4407,"°","º"))-1)),-1),IF(LEFT(E4407,6)="TÉRREO",0,IFERROR(VALUE(LEFT(E4407,FIND("º",SUBSTITUTE(E4407,"°","º"))-1)),""))))</f>
        <v/>
      </c>
      <c r="O4407" s="2">
        <f>IF(OR(F4407="",G4407=""),"",IF(G4407&lt;='RETRATO 2027'!$K$5,"CONCLUÍDA",IF(F4407&lt;='RETRATO 2027'!$K$5,"EM ANDAMENTO","A INICIAR")))</f>
        <v/>
      </c>
    </row>
    <row r="4408">
      <c r="M4408" s="2">
        <f>IF(C4408="","",IFERROR(INDEX($S$5:$S$304,MATCH(C4408,$R$5:$R$304,0))&amp;"","?"))</f>
        <v/>
      </c>
      <c r="N4408" s="2">
        <f>IF(E4408="","",IF(ISNUMBER(SEARCH("SUBSOLO",E4408)),IFERROR(-VALUE(LEFT(E4408,FIND("º",SUBSTITUTE(E4408,"°","º"))-1)),-1),IF(LEFT(E4408,6)="TÉRREO",0,IFERROR(VALUE(LEFT(E4408,FIND("º",SUBSTITUTE(E4408,"°","º"))-1)),""))))</f>
        <v/>
      </c>
      <c r="O4408" s="2">
        <f>IF(OR(F4408="",G4408=""),"",IF(G4408&lt;='RETRATO 2027'!$K$5,"CONCLUÍDA",IF(F4408&lt;='RETRATO 2027'!$K$5,"EM ANDAMENTO","A INICIAR")))</f>
        <v/>
      </c>
    </row>
    <row r="4409">
      <c r="M4409" s="2">
        <f>IF(C4409="","",IFERROR(INDEX($S$5:$S$304,MATCH(C4409,$R$5:$R$304,0))&amp;"","?"))</f>
        <v/>
      </c>
      <c r="N4409" s="2">
        <f>IF(E4409="","",IF(ISNUMBER(SEARCH("SUBSOLO",E4409)),IFERROR(-VALUE(LEFT(E4409,FIND("º",SUBSTITUTE(E4409,"°","º"))-1)),-1),IF(LEFT(E4409,6)="TÉRREO",0,IFERROR(VALUE(LEFT(E4409,FIND("º",SUBSTITUTE(E4409,"°","º"))-1)),""))))</f>
        <v/>
      </c>
      <c r="O4409" s="2">
        <f>IF(OR(F4409="",G4409=""),"",IF(G4409&lt;='RETRATO 2027'!$K$5,"CONCLUÍDA",IF(F4409&lt;='RETRATO 2027'!$K$5,"EM ANDAMENTO","A INICIAR")))</f>
        <v/>
      </c>
    </row>
    <row r="4410">
      <c r="M4410" s="2">
        <f>IF(C4410="","",IFERROR(INDEX($S$5:$S$304,MATCH(C4410,$R$5:$R$304,0))&amp;"","?"))</f>
        <v/>
      </c>
      <c r="N4410" s="2">
        <f>IF(E4410="","",IF(ISNUMBER(SEARCH("SUBSOLO",E4410)),IFERROR(-VALUE(LEFT(E4410,FIND("º",SUBSTITUTE(E4410,"°","º"))-1)),-1),IF(LEFT(E4410,6)="TÉRREO",0,IFERROR(VALUE(LEFT(E4410,FIND("º",SUBSTITUTE(E4410,"°","º"))-1)),""))))</f>
        <v/>
      </c>
      <c r="O4410" s="2">
        <f>IF(OR(F4410="",G4410=""),"",IF(G4410&lt;='RETRATO 2027'!$K$5,"CONCLUÍDA",IF(F4410&lt;='RETRATO 2027'!$K$5,"EM ANDAMENTO","A INICIAR")))</f>
        <v/>
      </c>
    </row>
    <row r="4411">
      <c r="M4411" s="2">
        <f>IF(C4411="","",IFERROR(INDEX($S$5:$S$304,MATCH(C4411,$R$5:$R$304,0))&amp;"","?"))</f>
        <v/>
      </c>
      <c r="N4411" s="2">
        <f>IF(E4411="","",IF(ISNUMBER(SEARCH("SUBSOLO",E4411)),IFERROR(-VALUE(LEFT(E4411,FIND("º",SUBSTITUTE(E4411,"°","º"))-1)),-1),IF(LEFT(E4411,6)="TÉRREO",0,IFERROR(VALUE(LEFT(E4411,FIND("º",SUBSTITUTE(E4411,"°","º"))-1)),""))))</f>
        <v/>
      </c>
      <c r="O4411" s="2">
        <f>IF(OR(F4411="",G4411=""),"",IF(G4411&lt;='RETRATO 2027'!$K$5,"CONCLUÍDA",IF(F4411&lt;='RETRATO 2027'!$K$5,"EM ANDAMENTO","A INICIAR")))</f>
        <v/>
      </c>
    </row>
    <row r="4412">
      <c r="M4412" s="2">
        <f>IF(C4412="","",IFERROR(INDEX($S$5:$S$304,MATCH(C4412,$R$5:$R$304,0))&amp;"","?"))</f>
        <v/>
      </c>
      <c r="N4412" s="2">
        <f>IF(E4412="","",IF(ISNUMBER(SEARCH("SUBSOLO",E4412)),IFERROR(-VALUE(LEFT(E4412,FIND("º",SUBSTITUTE(E4412,"°","º"))-1)),-1),IF(LEFT(E4412,6)="TÉRREO",0,IFERROR(VALUE(LEFT(E4412,FIND("º",SUBSTITUTE(E4412,"°","º"))-1)),""))))</f>
        <v/>
      </c>
      <c r="O4412" s="2">
        <f>IF(OR(F4412="",G4412=""),"",IF(G4412&lt;='RETRATO 2027'!$K$5,"CONCLUÍDA",IF(F4412&lt;='RETRATO 2027'!$K$5,"EM ANDAMENTO","A INICIAR")))</f>
        <v/>
      </c>
    </row>
    <row r="4413">
      <c r="M4413" s="2">
        <f>IF(C4413="","",IFERROR(INDEX($S$5:$S$304,MATCH(C4413,$R$5:$R$304,0))&amp;"","?"))</f>
        <v/>
      </c>
      <c r="N4413" s="2">
        <f>IF(E4413="","",IF(ISNUMBER(SEARCH("SUBSOLO",E4413)),IFERROR(-VALUE(LEFT(E4413,FIND("º",SUBSTITUTE(E4413,"°","º"))-1)),-1),IF(LEFT(E4413,6)="TÉRREO",0,IFERROR(VALUE(LEFT(E4413,FIND("º",SUBSTITUTE(E4413,"°","º"))-1)),""))))</f>
        <v/>
      </c>
      <c r="O4413" s="2">
        <f>IF(OR(F4413="",G4413=""),"",IF(G4413&lt;='RETRATO 2027'!$K$5,"CONCLUÍDA",IF(F4413&lt;='RETRATO 2027'!$K$5,"EM ANDAMENTO","A INICIAR")))</f>
        <v/>
      </c>
    </row>
    <row r="4414">
      <c r="M4414" s="2">
        <f>IF(C4414="","",IFERROR(INDEX($S$5:$S$304,MATCH(C4414,$R$5:$R$304,0))&amp;"","?"))</f>
        <v/>
      </c>
      <c r="N4414" s="2">
        <f>IF(E4414="","",IF(ISNUMBER(SEARCH("SUBSOLO",E4414)),IFERROR(-VALUE(LEFT(E4414,FIND("º",SUBSTITUTE(E4414,"°","º"))-1)),-1),IF(LEFT(E4414,6)="TÉRREO",0,IFERROR(VALUE(LEFT(E4414,FIND("º",SUBSTITUTE(E4414,"°","º"))-1)),""))))</f>
        <v/>
      </c>
      <c r="O4414" s="2">
        <f>IF(OR(F4414="",G4414=""),"",IF(G4414&lt;='RETRATO 2027'!$K$5,"CONCLUÍDA",IF(F4414&lt;='RETRATO 2027'!$K$5,"EM ANDAMENTO","A INICIAR")))</f>
        <v/>
      </c>
    </row>
    <row r="4415">
      <c r="M4415" s="2">
        <f>IF(C4415="","",IFERROR(INDEX($S$5:$S$304,MATCH(C4415,$R$5:$R$304,0))&amp;"","?"))</f>
        <v/>
      </c>
      <c r="N4415" s="2">
        <f>IF(E4415="","",IF(ISNUMBER(SEARCH("SUBSOLO",E4415)),IFERROR(-VALUE(LEFT(E4415,FIND("º",SUBSTITUTE(E4415,"°","º"))-1)),-1),IF(LEFT(E4415,6)="TÉRREO",0,IFERROR(VALUE(LEFT(E4415,FIND("º",SUBSTITUTE(E4415,"°","º"))-1)),""))))</f>
        <v/>
      </c>
      <c r="O4415" s="2">
        <f>IF(OR(F4415="",G4415=""),"",IF(G4415&lt;='RETRATO 2027'!$K$5,"CONCLUÍDA",IF(F4415&lt;='RETRATO 2027'!$K$5,"EM ANDAMENTO","A INICIAR")))</f>
        <v/>
      </c>
    </row>
    <row r="4416">
      <c r="M4416" s="2">
        <f>IF(C4416="","",IFERROR(INDEX($S$5:$S$304,MATCH(C4416,$R$5:$R$304,0))&amp;"","?"))</f>
        <v/>
      </c>
      <c r="N4416" s="2">
        <f>IF(E4416="","",IF(ISNUMBER(SEARCH("SUBSOLO",E4416)),IFERROR(-VALUE(LEFT(E4416,FIND("º",SUBSTITUTE(E4416,"°","º"))-1)),-1),IF(LEFT(E4416,6)="TÉRREO",0,IFERROR(VALUE(LEFT(E4416,FIND("º",SUBSTITUTE(E4416,"°","º"))-1)),""))))</f>
        <v/>
      </c>
      <c r="O4416" s="2">
        <f>IF(OR(F4416="",G4416=""),"",IF(G4416&lt;='RETRATO 2027'!$K$5,"CONCLUÍDA",IF(F4416&lt;='RETRATO 2027'!$K$5,"EM ANDAMENTO","A INICIAR")))</f>
        <v/>
      </c>
    </row>
    <row r="4417">
      <c r="M4417" s="2">
        <f>IF(C4417="","",IFERROR(INDEX($S$5:$S$304,MATCH(C4417,$R$5:$R$304,0))&amp;"","?"))</f>
        <v/>
      </c>
      <c r="N4417" s="2">
        <f>IF(E4417="","",IF(ISNUMBER(SEARCH("SUBSOLO",E4417)),IFERROR(-VALUE(LEFT(E4417,FIND("º",SUBSTITUTE(E4417,"°","º"))-1)),-1),IF(LEFT(E4417,6)="TÉRREO",0,IFERROR(VALUE(LEFT(E4417,FIND("º",SUBSTITUTE(E4417,"°","º"))-1)),""))))</f>
        <v/>
      </c>
      <c r="O4417" s="2">
        <f>IF(OR(F4417="",G4417=""),"",IF(G4417&lt;='RETRATO 2027'!$K$5,"CONCLUÍDA",IF(F4417&lt;='RETRATO 2027'!$K$5,"EM ANDAMENTO","A INICIAR")))</f>
        <v/>
      </c>
    </row>
    <row r="4418">
      <c r="M4418" s="2">
        <f>IF(C4418="","",IFERROR(INDEX($S$5:$S$304,MATCH(C4418,$R$5:$R$304,0))&amp;"","?"))</f>
        <v/>
      </c>
      <c r="N4418" s="2">
        <f>IF(E4418="","",IF(ISNUMBER(SEARCH("SUBSOLO",E4418)),IFERROR(-VALUE(LEFT(E4418,FIND("º",SUBSTITUTE(E4418,"°","º"))-1)),-1),IF(LEFT(E4418,6)="TÉRREO",0,IFERROR(VALUE(LEFT(E4418,FIND("º",SUBSTITUTE(E4418,"°","º"))-1)),""))))</f>
        <v/>
      </c>
      <c r="O4418" s="2">
        <f>IF(OR(F4418="",G4418=""),"",IF(G4418&lt;='RETRATO 2027'!$K$5,"CONCLUÍDA",IF(F4418&lt;='RETRATO 2027'!$K$5,"EM ANDAMENTO","A INICIAR")))</f>
        <v/>
      </c>
    </row>
    <row r="4419">
      <c r="M4419" s="2">
        <f>IF(C4419="","",IFERROR(INDEX($S$5:$S$304,MATCH(C4419,$R$5:$R$304,0))&amp;"","?"))</f>
        <v/>
      </c>
      <c r="N4419" s="2">
        <f>IF(E4419="","",IF(ISNUMBER(SEARCH("SUBSOLO",E4419)),IFERROR(-VALUE(LEFT(E4419,FIND("º",SUBSTITUTE(E4419,"°","º"))-1)),-1),IF(LEFT(E4419,6)="TÉRREO",0,IFERROR(VALUE(LEFT(E4419,FIND("º",SUBSTITUTE(E4419,"°","º"))-1)),""))))</f>
        <v/>
      </c>
      <c r="O4419" s="2">
        <f>IF(OR(F4419="",G4419=""),"",IF(G4419&lt;='RETRATO 2027'!$K$5,"CONCLUÍDA",IF(F4419&lt;='RETRATO 2027'!$K$5,"EM ANDAMENTO","A INICIAR")))</f>
        <v/>
      </c>
    </row>
    <row r="4420">
      <c r="M4420" s="2">
        <f>IF(C4420="","",IFERROR(INDEX($S$5:$S$304,MATCH(C4420,$R$5:$R$304,0))&amp;"","?"))</f>
        <v/>
      </c>
      <c r="N4420" s="2">
        <f>IF(E4420="","",IF(ISNUMBER(SEARCH("SUBSOLO",E4420)),IFERROR(-VALUE(LEFT(E4420,FIND("º",SUBSTITUTE(E4420,"°","º"))-1)),-1),IF(LEFT(E4420,6)="TÉRREO",0,IFERROR(VALUE(LEFT(E4420,FIND("º",SUBSTITUTE(E4420,"°","º"))-1)),""))))</f>
        <v/>
      </c>
      <c r="O4420" s="2">
        <f>IF(OR(F4420="",G4420=""),"",IF(G4420&lt;='RETRATO 2027'!$K$5,"CONCLUÍDA",IF(F4420&lt;='RETRATO 2027'!$K$5,"EM ANDAMENTO","A INICIAR")))</f>
        <v/>
      </c>
    </row>
    <row r="4421">
      <c r="M4421" s="2">
        <f>IF(C4421="","",IFERROR(INDEX($S$5:$S$304,MATCH(C4421,$R$5:$R$304,0))&amp;"","?"))</f>
        <v/>
      </c>
      <c r="N4421" s="2">
        <f>IF(E4421="","",IF(ISNUMBER(SEARCH("SUBSOLO",E4421)),IFERROR(-VALUE(LEFT(E4421,FIND("º",SUBSTITUTE(E4421,"°","º"))-1)),-1),IF(LEFT(E4421,6)="TÉRREO",0,IFERROR(VALUE(LEFT(E4421,FIND("º",SUBSTITUTE(E4421,"°","º"))-1)),""))))</f>
        <v/>
      </c>
      <c r="O4421" s="2">
        <f>IF(OR(F4421="",G4421=""),"",IF(G4421&lt;='RETRATO 2027'!$K$5,"CONCLUÍDA",IF(F4421&lt;='RETRATO 2027'!$K$5,"EM ANDAMENTO","A INICIAR")))</f>
        <v/>
      </c>
    </row>
    <row r="4422">
      <c r="M4422" s="2">
        <f>IF(C4422="","",IFERROR(INDEX($S$5:$S$304,MATCH(C4422,$R$5:$R$304,0))&amp;"","?"))</f>
        <v/>
      </c>
      <c r="N4422" s="2">
        <f>IF(E4422="","",IF(ISNUMBER(SEARCH("SUBSOLO",E4422)),IFERROR(-VALUE(LEFT(E4422,FIND("º",SUBSTITUTE(E4422,"°","º"))-1)),-1),IF(LEFT(E4422,6)="TÉRREO",0,IFERROR(VALUE(LEFT(E4422,FIND("º",SUBSTITUTE(E4422,"°","º"))-1)),""))))</f>
        <v/>
      </c>
      <c r="O4422" s="2">
        <f>IF(OR(F4422="",G4422=""),"",IF(G4422&lt;='RETRATO 2027'!$K$5,"CONCLUÍDA",IF(F4422&lt;='RETRATO 2027'!$K$5,"EM ANDAMENTO","A INICIAR")))</f>
        <v/>
      </c>
    </row>
    <row r="4423">
      <c r="M4423" s="2">
        <f>IF(C4423="","",IFERROR(INDEX($S$5:$S$304,MATCH(C4423,$R$5:$R$304,0))&amp;"","?"))</f>
        <v/>
      </c>
      <c r="N4423" s="2">
        <f>IF(E4423="","",IF(ISNUMBER(SEARCH("SUBSOLO",E4423)),IFERROR(-VALUE(LEFT(E4423,FIND("º",SUBSTITUTE(E4423,"°","º"))-1)),-1),IF(LEFT(E4423,6)="TÉRREO",0,IFERROR(VALUE(LEFT(E4423,FIND("º",SUBSTITUTE(E4423,"°","º"))-1)),""))))</f>
        <v/>
      </c>
      <c r="O4423" s="2">
        <f>IF(OR(F4423="",G4423=""),"",IF(G4423&lt;='RETRATO 2027'!$K$5,"CONCLUÍDA",IF(F4423&lt;='RETRATO 2027'!$K$5,"EM ANDAMENTO","A INICIAR")))</f>
        <v/>
      </c>
    </row>
    <row r="4424">
      <c r="M4424" s="2">
        <f>IF(C4424="","",IFERROR(INDEX($S$5:$S$304,MATCH(C4424,$R$5:$R$304,0))&amp;"","?"))</f>
        <v/>
      </c>
      <c r="N4424" s="2">
        <f>IF(E4424="","",IF(ISNUMBER(SEARCH("SUBSOLO",E4424)),IFERROR(-VALUE(LEFT(E4424,FIND("º",SUBSTITUTE(E4424,"°","º"))-1)),-1),IF(LEFT(E4424,6)="TÉRREO",0,IFERROR(VALUE(LEFT(E4424,FIND("º",SUBSTITUTE(E4424,"°","º"))-1)),""))))</f>
        <v/>
      </c>
      <c r="O4424" s="2">
        <f>IF(OR(F4424="",G4424=""),"",IF(G4424&lt;='RETRATO 2027'!$K$5,"CONCLUÍDA",IF(F4424&lt;='RETRATO 2027'!$K$5,"EM ANDAMENTO","A INICIAR")))</f>
        <v/>
      </c>
    </row>
    <row r="4425">
      <c r="M4425" s="2">
        <f>IF(C4425="","",IFERROR(INDEX($S$5:$S$304,MATCH(C4425,$R$5:$R$304,0))&amp;"","?"))</f>
        <v/>
      </c>
      <c r="N4425" s="2">
        <f>IF(E4425="","",IF(ISNUMBER(SEARCH("SUBSOLO",E4425)),IFERROR(-VALUE(LEFT(E4425,FIND("º",SUBSTITUTE(E4425,"°","º"))-1)),-1),IF(LEFT(E4425,6)="TÉRREO",0,IFERROR(VALUE(LEFT(E4425,FIND("º",SUBSTITUTE(E4425,"°","º"))-1)),""))))</f>
        <v/>
      </c>
      <c r="O4425" s="2">
        <f>IF(OR(F4425="",G4425=""),"",IF(G4425&lt;='RETRATO 2027'!$K$5,"CONCLUÍDA",IF(F4425&lt;='RETRATO 2027'!$K$5,"EM ANDAMENTO","A INICIAR")))</f>
        <v/>
      </c>
    </row>
    <row r="4426">
      <c r="M4426" s="2">
        <f>IF(C4426="","",IFERROR(INDEX($S$5:$S$304,MATCH(C4426,$R$5:$R$304,0))&amp;"","?"))</f>
        <v/>
      </c>
      <c r="N4426" s="2">
        <f>IF(E4426="","",IF(ISNUMBER(SEARCH("SUBSOLO",E4426)),IFERROR(-VALUE(LEFT(E4426,FIND("º",SUBSTITUTE(E4426,"°","º"))-1)),-1),IF(LEFT(E4426,6)="TÉRREO",0,IFERROR(VALUE(LEFT(E4426,FIND("º",SUBSTITUTE(E4426,"°","º"))-1)),""))))</f>
        <v/>
      </c>
      <c r="O4426" s="2">
        <f>IF(OR(F4426="",G4426=""),"",IF(G4426&lt;='RETRATO 2027'!$K$5,"CONCLUÍDA",IF(F4426&lt;='RETRATO 2027'!$K$5,"EM ANDAMENTO","A INICIAR")))</f>
        <v/>
      </c>
    </row>
    <row r="4427">
      <c r="M4427" s="2">
        <f>IF(C4427="","",IFERROR(INDEX($S$5:$S$304,MATCH(C4427,$R$5:$R$304,0))&amp;"","?"))</f>
        <v/>
      </c>
      <c r="N4427" s="2">
        <f>IF(E4427="","",IF(ISNUMBER(SEARCH("SUBSOLO",E4427)),IFERROR(-VALUE(LEFT(E4427,FIND("º",SUBSTITUTE(E4427,"°","º"))-1)),-1),IF(LEFT(E4427,6)="TÉRREO",0,IFERROR(VALUE(LEFT(E4427,FIND("º",SUBSTITUTE(E4427,"°","º"))-1)),""))))</f>
        <v/>
      </c>
      <c r="O4427" s="2">
        <f>IF(OR(F4427="",G4427=""),"",IF(G4427&lt;='RETRATO 2027'!$K$5,"CONCLUÍDA",IF(F4427&lt;='RETRATO 2027'!$K$5,"EM ANDAMENTO","A INICIAR")))</f>
        <v/>
      </c>
    </row>
    <row r="4428">
      <c r="M4428" s="2">
        <f>IF(C4428="","",IFERROR(INDEX($S$5:$S$304,MATCH(C4428,$R$5:$R$304,0))&amp;"","?"))</f>
        <v/>
      </c>
      <c r="N4428" s="2">
        <f>IF(E4428="","",IF(ISNUMBER(SEARCH("SUBSOLO",E4428)),IFERROR(-VALUE(LEFT(E4428,FIND("º",SUBSTITUTE(E4428,"°","º"))-1)),-1),IF(LEFT(E4428,6)="TÉRREO",0,IFERROR(VALUE(LEFT(E4428,FIND("º",SUBSTITUTE(E4428,"°","º"))-1)),""))))</f>
        <v/>
      </c>
      <c r="O4428" s="2">
        <f>IF(OR(F4428="",G4428=""),"",IF(G4428&lt;='RETRATO 2027'!$K$5,"CONCLUÍDA",IF(F4428&lt;='RETRATO 2027'!$K$5,"EM ANDAMENTO","A INICIAR")))</f>
        <v/>
      </c>
    </row>
    <row r="4429">
      <c r="M4429" s="2">
        <f>IF(C4429="","",IFERROR(INDEX($S$5:$S$304,MATCH(C4429,$R$5:$R$304,0))&amp;"","?"))</f>
        <v/>
      </c>
      <c r="N4429" s="2">
        <f>IF(E4429="","",IF(ISNUMBER(SEARCH("SUBSOLO",E4429)),IFERROR(-VALUE(LEFT(E4429,FIND("º",SUBSTITUTE(E4429,"°","º"))-1)),-1),IF(LEFT(E4429,6)="TÉRREO",0,IFERROR(VALUE(LEFT(E4429,FIND("º",SUBSTITUTE(E4429,"°","º"))-1)),""))))</f>
        <v/>
      </c>
      <c r="O4429" s="2">
        <f>IF(OR(F4429="",G4429=""),"",IF(G4429&lt;='RETRATO 2027'!$K$5,"CONCLUÍDA",IF(F4429&lt;='RETRATO 2027'!$K$5,"EM ANDAMENTO","A INICIAR")))</f>
        <v/>
      </c>
    </row>
    <row r="4430">
      <c r="M4430" s="2">
        <f>IF(C4430="","",IFERROR(INDEX($S$5:$S$304,MATCH(C4430,$R$5:$R$304,0))&amp;"","?"))</f>
        <v/>
      </c>
      <c r="N4430" s="2">
        <f>IF(E4430="","",IF(ISNUMBER(SEARCH("SUBSOLO",E4430)),IFERROR(-VALUE(LEFT(E4430,FIND("º",SUBSTITUTE(E4430,"°","º"))-1)),-1),IF(LEFT(E4430,6)="TÉRREO",0,IFERROR(VALUE(LEFT(E4430,FIND("º",SUBSTITUTE(E4430,"°","º"))-1)),""))))</f>
        <v/>
      </c>
      <c r="O4430" s="2">
        <f>IF(OR(F4430="",G4430=""),"",IF(G4430&lt;='RETRATO 2027'!$K$5,"CONCLUÍDA",IF(F4430&lt;='RETRATO 2027'!$K$5,"EM ANDAMENTO","A INICIAR")))</f>
        <v/>
      </c>
    </row>
    <row r="4431">
      <c r="M4431" s="2">
        <f>IF(C4431="","",IFERROR(INDEX($S$5:$S$304,MATCH(C4431,$R$5:$R$304,0))&amp;"","?"))</f>
        <v/>
      </c>
      <c r="N4431" s="2">
        <f>IF(E4431="","",IF(ISNUMBER(SEARCH("SUBSOLO",E4431)),IFERROR(-VALUE(LEFT(E4431,FIND("º",SUBSTITUTE(E4431,"°","º"))-1)),-1),IF(LEFT(E4431,6)="TÉRREO",0,IFERROR(VALUE(LEFT(E4431,FIND("º",SUBSTITUTE(E4431,"°","º"))-1)),""))))</f>
        <v/>
      </c>
      <c r="O4431" s="2">
        <f>IF(OR(F4431="",G4431=""),"",IF(G4431&lt;='RETRATO 2027'!$K$5,"CONCLUÍDA",IF(F4431&lt;='RETRATO 2027'!$K$5,"EM ANDAMENTO","A INICIAR")))</f>
        <v/>
      </c>
    </row>
    <row r="4432">
      <c r="M4432" s="2">
        <f>IF(C4432="","",IFERROR(INDEX($S$5:$S$304,MATCH(C4432,$R$5:$R$304,0))&amp;"","?"))</f>
        <v/>
      </c>
      <c r="N4432" s="2">
        <f>IF(E4432="","",IF(ISNUMBER(SEARCH("SUBSOLO",E4432)),IFERROR(-VALUE(LEFT(E4432,FIND("º",SUBSTITUTE(E4432,"°","º"))-1)),-1),IF(LEFT(E4432,6)="TÉRREO",0,IFERROR(VALUE(LEFT(E4432,FIND("º",SUBSTITUTE(E4432,"°","º"))-1)),""))))</f>
        <v/>
      </c>
      <c r="O4432" s="2">
        <f>IF(OR(F4432="",G4432=""),"",IF(G4432&lt;='RETRATO 2027'!$K$5,"CONCLUÍDA",IF(F4432&lt;='RETRATO 2027'!$K$5,"EM ANDAMENTO","A INICIAR")))</f>
        <v/>
      </c>
    </row>
    <row r="4433">
      <c r="M4433" s="2">
        <f>IF(C4433="","",IFERROR(INDEX($S$5:$S$304,MATCH(C4433,$R$5:$R$304,0))&amp;"","?"))</f>
        <v/>
      </c>
      <c r="N4433" s="2">
        <f>IF(E4433="","",IF(ISNUMBER(SEARCH("SUBSOLO",E4433)),IFERROR(-VALUE(LEFT(E4433,FIND("º",SUBSTITUTE(E4433,"°","º"))-1)),-1),IF(LEFT(E4433,6)="TÉRREO",0,IFERROR(VALUE(LEFT(E4433,FIND("º",SUBSTITUTE(E4433,"°","º"))-1)),""))))</f>
        <v/>
      </c>
      <c r="O4433" s="2">
        <f>IF(OR(F4433="",G4433=""),"",IF(G4433&lt;='RETRATO 2027'!$K$5,"CONCLUÍDA",IF(F4433&lt;='RETRATO 2027'!$K$5,"EM ANDAMENTO","A INICIAR")))</f>
        <v/>
      </c>
    </row>
    <row r="4434">
      <c r="M4434" s="2">
        <f>IF(C4434="","",IFERROR(INDEX($S$5:$S$304,MATCH(C4434,$R$5:$R$304,0))&amp;"","?"))</f>
        <v/>
      </c>
      <c r="N4434" s="2">
        <f>IF(E4434="","",IF(ISNUMBER(SEARCH("SUBSOLO",E4434)),IFERROR(-VALUE(LEFT(E4434,FIND("º",SUBSTITUTE(E4434,"°","º"))-1)),-1),IF(LEFT(E4434,6)="TÉRREO",0,IFERROR(VALUE(LEFT(E4434,FIND("º",SUBSTITUTE(E4434,"°","º"))-1)),""))))</f>
        <v/>
      </c>
      <c r="O4434" s="2">
        <f>IF(OR(F4434="",G4434=""),"",IF(G4434&lt;='RETRATO 2027'!$K$5,"CONCLUÍDA",IF(F4434&lt;='RETRATO 2027'!$K$5,"EM ANDAMENTO","A INICIAR")))</f>
        <v/>
      </c>
    </row>
    <row r="4435">
      <c r="M4435" s="2">
        <f>IF(C4435="","",IFERROR(INDEX($S$5:$S$304,MATCH(C4435,$R$5:$R$304,0))&amp;"","?"))</f>
        <v/>
      </c>
      <c r="N4435" s="2">
        <f>IF(E4435="","",IF(ISNUMBER(SEARCH("SUBSOLO",E4435)),IFERROR(-VALUE(LEFT(E4435,FIND("º",SUBSTITUTE(E4435,"°","º"))-1)),-1),IF(LEFT(E4435,6)="TÉRREO",0,IFERROR(VALUE(LEFT(E4435,FIND("º",SUBSTITUTE(E4435,"°","º"))-1)),""))))</f>
        <v/>
      </c>
      <c r="O4435" s="2">
        <f>IF(OR(F4435="",G4435=""),"",IF(G4435&lt;='RETRATO 2027'!$K$5,"CONCLUÍDA",IF(F4435&lt;='RETRATO 2027'!$K$5,"EM ANDAMENTO","A INICIAR")))</f>
        <v/>
      </c>
    </row>
    <row r="4436">
      <c r="M4436" s="2">
        <f>IF(C4436="","",IFERROR(INDEX($S$5:$S$304,MATCH(C4436,$R$5:$R$304,0))&amp;"","?"))</f>
        <v/>
      </c>
      <c r="N4436" s="2">
        <f>IF(E4436="","",IF(ISNUMBER(SEARCH("SUBSOLO",E4436)),IFERROR(-VALUE(LEFT(E4436,FIND("º",SUBSTITUTE(E4436,"°","º"))-1)),-1),IF(LEFT(E4436,6)="TÉRREO",0,IFERROR(VALUE(LEFT(E4436,FIND("º",SUBSTITUTE(E4436,"°","º"))-1)),""))))</f>
        <v/>
      </c>
      <c r="O4436" s="2">
        <f>IF(OR(F4436="",G4436=""),"",IF(G4436&lt;='RETRATO 2027'!$K$5,"CONCLUÍDA",IF(F4436&lt;='RETRATO 2027'!$K$5,"EM ANDAMENTO","A INICIAR")))</f>
        <v/>
      </c>
    </row>
    <row r="4437">
      <c r="M4437" s="2">
        <f>IF(C4437="","",IFERROR(INDEX($S$5:$S$304,MATCH(C4437,$R$5:$R$304,0))&amp;"","?"))</f>
        <v/>
      </c>
      <c r="N4437" s="2">
        <f>IF(E4437="","",IF(ISNUMBER(SEARCH("SUBSOLO",E4437)),IFERROR(-VALUE(LEFT(E4437,FIND("º",SUBSTITUTE(E4437,"°","º"))-1)),-1),IF(LEFT(E4437,6)="TÉRREO",0,IFERROR(VALUE(LEFT(E4437,FIND("º",SUBSTITUTE(E4437,"°","º"))-1)),""))))</f>
        <v/>
      </c>
      <c r="O4437" s="2">
        <f>IF(OR(F4437="",G4437=""),"",IF(G4437&lt;='RETRATO 2027'!$K$5,"CONCLUÍDA",IF(F4437&lt;='RETRATO 2027'!$K$5,"EM ANDAMENTO","A INICIAR")))</f>
        <v/>
      </c>
    </row>
    <row r="4438">
      <c r="M4438" s="2">
        <f>IF(C4438="","",IFERROR(INDEX($S$5:$S$304,MATCH(C4438,$R$5:$R$304,0))&amp;"","?"))</f>
        <v/>
      </c>
      <c r="N4438" s="2">
        <f>IF(E4438="","",IF(ISNUMBER(SEARCH("SUBSOLO",E4438)),IFERROR(-VALUE(LEFT(E4438,FIND("º",SUBSTITUTE(E4438,"°","º"))-1)),-1),IF(LEFT(E4438,6)="TÉRREO",0,IFERROR(VALUE(LEFT(E4438,FIND("º",SUBSTITUTE(E4438,"°","º"))-1)),""))))</f>
        <v/>
      </c>
      <c r="O4438" s="2">
        <f>IF(OR(F4438="",G4438=""),"",IF(G4438&lt;='RETRATO 2027'!$K$5,"CONCLUÍDA",IF(F4438&lt;='RETRATO 2027'!$K$5,"EM ANDAMENTO","A INICIAR")))</f>
        <v/>
      </c>
    </row>
    <row r="4439">
      <c r="M4439" s="2">
        <f>IF(C4439="","",IFERROR(INDEX($S$5:$S$304,MATCH(C4439,$R$5:$R$304,0))&amp;"","?"))</f>
        <v/>
      </c>
      <c r="N4439" s="2">
        <f>IF(E4439="","",IF(ISNUMBER(SEARCH("SUBSOLO",E4439)),IFERROR(-VALUE(LEFT(E4439,FIND("º",SUBSTITUTE(E4439,"°","º"))-1)),-1),IF(LEFT(E4439,6)="TÉRREO",0,IFERROR(VALUE(LEFT(E4439,FIND("º",SUBSTITUTE(E4439,"°","º"))-1)),""))))</f>
        <v/>
      </c>
      <c r="O4439" s="2">
        <f>IF(OR(F4439="",G4439=""),"",IF(G4439&lt;='RETRATO 2027'!$K$5,"CONCLUÍDA",IF(F4439&lt;='RETRATO 2027'!$K$5,"EM ANDAMENTO","A INICIAR")))</f>
        <v/>
      </c>
    </row>
    <row r="4440">
      <c r="M4440" s="2">
        <f>IF(C4440="","",IFERROR(INDEX($S$5:$S$304,MATCH(C4440,$R$5:$R$304,0))&amp;"","?"))</f>
        <v/>
      </c>
      <c r="N4440" s="2">
        <f>IF(E4440="","",IF(ISNUMBER(SEARCH("SUBSOLO",E4440)),IFERROR(-VALUE(LEFT(E4440,FIND("º",SUBSTITUTE(E4440,"°","º"))-1)),-1),IF(LEFT(E4440,6)="TÉRREO",0,IFERROR(VALUE(LEFT(E4440,FIND("º",SUBSTITUTE(E4440,"°","º"))-1)),""))))</f>
        <v/>
      </c>
      <c r="O4440" s="2">
        <f>IF(OR(F4440="",G4440=""),"",IF(G4440&lt;='RETRATO 2027'!$K$5,"CONCLUÍDA",IF(F4440&lt;='RETRATO 2027'!$K$5,"EM ANDAMENTO","A INICIAR")))</f>
        <v/>
      </c>
    </row>
    <row r="4441">
      <c r="M4441" s="2">
        <f>IF(C4441="","",IFERROR(INDEX($S$5:$S$304,MATCH(C4441,$R$5:$R$304,0))&amp;"","?"))</f>
        <v/>
      </c>
      <c r="N4441" s="2">
        <f>IF(E4441="","",IF(ISNUMBER(SEARCH("SUBSOLO",E4441)),IFERROR(-VALUE(LEFT(E4441,FIND("º",SUBSTITUTE(E4441,"°","º"))-1)),-1),IF(LEFT(E4441,6)="TÉRREO",0,IFERROR(VALUE(LEFT(E4441,FIND("º",SUBSTITUTE(E4441,"°","º"))-1)),""))))</f>
        <v/>
      </c>
      <c r="O4441" s="2">
        <f>IF(OR(F4441="",G4441=""),"",IF(G4441&lt;='RETRATO 2027'!$K$5,"CONCLUÍDA",IF(F4441&lt;='RETRATO 2027'!$K$5,"EM ANDAMENTO","A INICIAR")))</f>
        <v/>
      </c>
    </row>
    <row r="4442">
      <c r="M4442" s="2">
        <f>IF(C4442="","",IFERROR(INDEX($S$5:$S$304,MATCH(C4442,$R$5:$R$304,0))&amp;"","?"))</f>
        <v/>
      </c>
      <c r="N4442" s="2">
        <f>IF(E4442="","",IF(ISNUMBER(SEARCH("SUBSOLO",E4442)),IFERROR(-VALUE(LEFT(E4442,FIND("º",SUBSTITUTE(E4442,"°","º"))-1)),-1),IF(LEFT(E4442,6)="TÉRREO",0,IFERROR(VALUE(LEFT(E4442,FIND("º",SUBSTITUTE(E4442,"°","º"))-1)),""))))</f>
        <v/>
      </c>
      <c r="O4442" s="2">
        <f>IF(OR(F4442="",G4442=""),"",IF(G4442&lt;='RETRATO 2027'!$K$5,"CONCLUÍDA",IF(F4442&lt;='RETRATO 2027'!$K$5,"EM ANDAMENTO","A INICIAR")))</f>
        <v/>
      </c>
    </row>
    <row r="4443">
      <c r="M4443" s="2">
        <f>IF(C4443="","",IFERROR(INDEX($S$5:$S$304,MATCH(C4443,$R$5:$R$304,0))&amp;"","?"))</f>
        <v/>
      </c>
      <c r="N4443" s="2">
        <f>IF(E4443="","",IF(ISNUMBER(SEARCH("SUBSOLO",E4443)),IFERROR(-VALUE(LEFT(E4443,FIND("º",SUBSTITUTE(E4443,"°","º"))-1)),-1),IF(LEFT(E4443,6)="TÉRREO",0,IFERROR(VALUE(LEFT(E4443,FIND("º",SUBSTITUTE(E4443,"°","º"))-1)),""))))</f>
        <v/>
      </c>
      <c r="O4443" s="2">
        <f>IF(OR(F4443="",G4443=""),"",IF(G4443&lt;='RETRATO 2027'!$K$5,"CONCLUÍDA",IF(F4443&lt;='RETRATO 2027'!$K$5,"EM ANDAMENTO","A INICIAR")))</f>
        <v/>
      </c>
    </row>
    <row r="4444">
      <c r="M4444" s="2">
        <f>IF(C4444="","",IFERROR(INDEX($S$5:$S$304,MATCH(C4444,$R$5:$R$304,0))&amp;"","?"))</f>
        <v/>
      </c>
      <c r="N4444" s="2">
        <f>IF(E4444="","",IF(ISNUMBER(SEARCH("SUBSOLO",E4444)),IFERROR(-VALUE(LEFT(E4444,FIND("º",SUBSTITUTE(E4444,"°","º"))-1)),-1),IF(LEFT(E4444,6)="TÉRREO",0,IFERROR(VALUE(LEFT(E4444,FIND("º",SUBSTITUTE(E4444,"°","º"))-1)),""))))</f>
        <v/>
      </c>
      <c r="O4444" s="2">
        <f>IF(OR(F4444="",G4444=""),"",IF(G4444&lt;='RETRATO 2027'!$K$5,"CONCLUÍDA",IF(F4444&lt;='RETRATO 2027'!$K$5,"EM ANDAMENTO","A INICIAR")))</f>
        <v/>
      </c>
    </row>
    <row r="4445">
      <c r="M4445" s="2">
        <f>IF(C4445="","",IFERROR(INDEX($S$5:$S$304,MATCH(C4445,$R$5:$R$304,0))&amp;"","?"))</f>
        <v/>
      </c>
      <c r="N4445" s="2">
        <f>IF(E4445="","",IF(ISNUMBER(SEARCH("SUBSOLO",E4445)),IFERROR(-VALUE(LEFT(E4445,FIND("º",SUBSTITUTE(E4445,"°","º"))-1)),-1),IF(LEFT(E4445,6)="TÉRREO",0,IFERROR(VALUE(LEFT(E4445,FIND("º",SUBSTITUTE(E4445,"°","º"))-1)),""))))</f>
        <v/>
      </c>
      <c r="O4445" s="2">
        <f>IF(OR(F4445="",G4445=""),"",IF(G4445&lt;='RETRATO 2027'!$K$5,"CONCLUÍDA",IF(F4445&lt;='RETRATO 2027'!$K$5,"EM ANDAMENTO","A INICIAR")))</f>
        <v/>
      </c>
    </row>
    <row r="4446">
      <c r="M4446" s="2">
        <f>IF(C4446="","",IFERROR(INDEX($S$5:$S$304,MATCH(C4446,$R$5:$R$304,0))&amp;"","?"))</f>
        <v/>
      </c>
      <c r="N4446" s="2">
        <f>IF(E4446="","",IF(ISNUMBER(SEARCH("SUBSOLO",E4446)),IFERROR(-VALUE(LEFT(E4446,FIND("º",SUBSTITUTE(E4446,"°","º"))-1)),-1),IF(LEFT(E4446,6)="TÉRREO",0,IFERROR(VALUE(LEFT(E4446,FIND("º",SUBSTITUTE(E4446,"°","º"))-1)),""))))</f>
        <v/>
      </c>
      <c r="O4446" s="2">
        <f>IF(OR(F4446="",G4446=""),"",IF(G4446&lt;='RETRATO 2027'!$K$5,"CONCLUÍDA",IF(F4446&lt;='RETRATO 2027'!$K$5,"EM ANDAMENTO","A INICIAR")))</f>
        <v/>
      </c>
    </row>
    <row r="4447">
      <c r="M4447" s="2">
        <f>IF(C4447="","",IFERROR(INDEX($S$5:$S$304,MATCH(C4447,$R$5:$R$304,0))&amp;"","?"))</f>
        <v/>
      </c>
      <c r="N4447" s="2">
        <f>IF(E4447="","",IF(ISNUMBER(SEARCH("SUBSOLO",E4447)),IFERROR(-VALUE(LEFT(E4447,FIND("º",SUBSTITUTE(E4447,"°","º"))-1)),-1),IF(LEFT(E4447,6)="TÉRREO",0,IFERROR(VALUE(LEFT(E4447,FIND("º",SUBSTITUTE(E4447,"°","º"))-1)),""))))</f>
        <v/>
      </c>
      <c r="O4447" s="2">
        <f>IF(OR(F4447="",G4447=""),"",IF(G4447&lt;='RETRATO 2027'!$K$5,"CONCLUÍDA",IF(F4447&lt;='RETRATO 2027'!$K$5,"EM ANDAMENTO","A INICIAR")))</f>
        <v/>
      </c>
    </row>
    <row r="4448">
      <c r="M4448" s="2">
        <f>IF(C4448="","",IFERROR(INDEX($S$5:$S$304,MATCH(C4448,$R$5:$R$304,0))&amp;"","?"))</f>
        <v/>
      </c>
      <c r="N4448" s="2">
        <f>IF(E4448="","",IF(ISNUMBER(SEARCH("SUBSOLO",E4448)),IFERROR(-VALUE(LEFT(E4448,FIND("º",SUBSTITUTE(E4448,"°","º"))-1)),-1),IF(LEFT(E4448,6)="TÉRREO",0,IFERROR(VALUE(LEFT(E4448,FIND("º",SUBSTITUTE(E4448,"°","º"))-1)),""))))</f>
        <v/>
      </c>
      <c r="O4448" s="2">
        <f>IF(OR(F4448="",G4448=""),"",IF(G4448&lt;='RETRATO 2027'!$K$5,"CONCLUÍDA",IF(F4448&lt;='RETRATO 2027'!$K$5,"EM ANDAMENTO","A INICIAR")))</f>
        <v/>
      </c>
    </row>
    <row r="4449">
      <c r="M4449" s="2">
        <f>IF(C4449="","",IFERROR(INDEX($S$5:$S$304,MATCH(C4449,$R$5:$R$304,0))&amp;"","?"))</f>
        <v/>
      </c>
      <c r="N4449" s="2">
        <f>IF(E4449="","",IF(ISNUMBER(SEARCH("SUBSOLO",E4449)),IFERROR(-VALUE(LEFT(E4449,FIND("º",SUBSTITUTE(E4449,"°","º"))-1)),-1),IF(LEFT(E4449,6)="TÉRREO",0,IFERROR(VALUE(LEFT(E4449,FIND("º",SUBSTITUTE(E4449,"°","º"))-1)),""))))</f>
        <v/>
      </c>
      <c r="O4449" s="2">
        <f>IF(OR(F4449="",G4449=""),"",IF(G4449&lt;='RETRATO 2027'!$K$5,"CONCLUÍDA",IF(F4449&lt;='RETRATO 2027'!$K$5,"EM ANDAMENTO","A INICIAR")))</f>
        <v/>
      </c>
    </row>
    <row r="4450">
      <c r="M4450" s="2">
        <f>IF(C4450="","",IFERROR(INDEX($S$5:$S$304,MATCH(C4450,$R$5:$R$304,0))&amp;"","?"))</f>
        <v/>
      </c>
      <c r="N4450" s="2">
        <f>IF(E4450="","",IF(ISNUMBER(SEARCH("SUBSOLO",E4450)),IFERROR(-VALUE(LEFT(E4450,FIND("º",SUBSTITUTE(E4450,"°","º"))-1)),-1),IF(LEFT(E4450,6)="TÉRREO",0,IFERROR(VALUE(LEFT(E4450,FIND("º",SUBSTITUTE(E4450,"°","º"))-1)),""))))</f>
        <v/>
      </c>
      <c r="O4450" s="2">
        <f>IF(OR(F4450="",G4450=""),"",IF(G4450&lt;='RETRATO 2027'!$K$5,"CONCLUÍDA",IF(F4450&lt;='RETRATO 2027'!$K$5,"EM ANDAMENTO","A INICIAR")))</f>
        <v/>
      </c>
    </row>
    <row r="4451">
      <c r="M4451" s="2">
        <f>IF(C4451="","",IFERROR(INDEX($S$5:$S$304,MATCH(C4451,$R$5:$R$304,0))&amp;"","?"))</f>
        <v/>
      </c>
      <c r="N4451" s="2">
        <f>IF(E4451="","",IF(ISNUMBER(SEARCH("SUBSOLO",E4451)),IFERROR(-VALUE(LEFT(E4451,FIND("º",SUBSTITUTE(E4451,"°","º"))-1)),-1),IF(LEFT(E4451,6)="TÉRREO",0,IFERROR(VALUE(LEFT(E4451,FIND("º",SUBSTITUTE(E4451,"°","º"))-1)),""))))</f>
        <v/>
      </c>
      <c r="O4451" s="2">
        <f>IF(OR(F4451="",G4451=""),"",IF(G4451&lt;='RETRATO 2027'!$K$5,"CONCLUÍDA",IF(F4451&lt;='RETRATO 2027'!$K$5,"EM ANDAMENTO","A INICIAR")))</f>
        <v/>
      </c>
    </row>
    <row r="4452">
      <c r="M4452" s="2">
        <f>IF(C4452="","",IFERROR(INDEX($S$5:$S$304,MATCH(C4452,$R$5:$R$304,0))&amp;"","?"))</f>
        <v/>
      </c>
      <c r="N4452" s="2">
        <f>IF(E4452="","",IF(ISNUMBER(SEARCH("SUBSOLO",E4452)),IFERROR(-VALUE(LEFT(E4452,FIND("º",SUBSTITUTE(E4452,"°","º"))-1)),-1),IF(LEFT(E4452,6)="TÉRREO",0,IFERROR(VALUE(LEFT(E4452,FIND("º",SUBSTITUTE(E4452,"°","º"))-1)),""))))</f>
        <v/>
      </c>
      <c r="O4452" s="2">
        <f>IF(OR(F4452="",G4452=""),"",IF(G4452&lt;='RETRATO 2027'!$K$5,"CONCLUÍDA",IF(F4452&lt;='RETRATO 2027'!$K$5,"EM ANDAMENTO","A INICIAR")))</f>
        <v/>
      </c>
    </row>
    <row r="4453">
      <c r="M4453" s="2">
        <f>IF(C4453="","",IFERROR(INDEX($S$5:$S$304,MATCH(C4453,$R$5:$R$304,0))&amp;"","?"))</f>
        <v/>
      </c>
      <c r="N4453" s="2">
        <f>IF(E4453="","",IF(ISNUMBER(SEARCH("SUBSOLO",E4453)),IFERROR(-VALUE(LEFT(E4453,FIND("º",SUBSTITUTE(E4453,"°","º"))-1)),-1),IF(LEFT(E4453,6)="TÉRREO",0,IFERROR(VALUE(LEFT(E4453,FIND("º",SUBSTITUTE(E4453,"°","º"))-1)),""))))</f>
        <v/>
      </c>
      <c r="O4453" s="2">
        <f>IF(OR(F4453="",G4453=""),"",IF(G4453&lt;='RETRATO 2027'!$K$5,"CONCLUÍDA",IF(F4453&lt;='RETRATO 2027'!$K$5,"EM ANDAMENTO","A INICIAR")))</f>
        <v/>
      </c>
    </row>
    <row r="4454">
      <c r="M4454" s="2">
        <f>IF(C4454="","",IFERROR(INDEX($S$5:$S$304,MATCH(C4454,$R$5:$R$304,0))&amp;"","?"))</f>
        <v/>
      </c>
      <c r="N4454" s="2">
        <f>IF(E4454="","",IF(ISNUMBER(SEARCH("SUBSOLO",E4454)),IFERROR(-VALUE(LEFT(E4454,FIND("º",SUBSTITUTE(E4454,"°","º"))-1)),-1),IF(LEFT(E4454,6)="TÉRREO",0,IFERROR(VALUE(LEFT(E4454,FIND("º",SUBSTITUTE(E4454,"°","º"))-1)),""))))</f>
        <v/>
      </c>
      <c r="O4454" s="2">
        <f>IF(OR(F4454="",G4454=""),"",IF(G4454&lt;='RETRATO 2027'!$K$5,"CONCLUÍDA",IF(F4454&lt;='RETRATO 2027'!$K$5,"EM ANDAMENTO","A INICIAR")))</f>
        <v/>
      </c>
    </row>
    <row r="4455">
      <c r="M4455" s="2">
        <f>IF(C4455="","",IFERROR(INDEX($S$5:$S$304,MATCH(C4455,$R$5:$R$304,0))&amp;"","?"))</f>
        <v/>
      </c>
      <c r="N4455" s="2">
        <f>IF(E4455="","",IF(ISNUMBER(SEARCH("SUBSOLO",E4455)),IFERROR(-VALUE(LEFT(E4455,FIND("º",SUBSTITUTE(E4455,"°","º"))-1)),-1),IF(LEFT(E4455,6)="TÉRREO",0,IFERROR(VALUE(LEFT(E4455,FIND("º",SUBSTITUTE(E4455,"°","º"))-1)),""))))</f>
        <v/>
      </c>
      <c r="O4455" s="2">
        <f>IF(OR(F4455="",G4455=""),"",IF(G4455&lt;='RETRATO 2027'!$K$5,"CONCLUÍDA",IF(F4455&lt;='RETRATO 2027'!$K$5,"EM ANDAMENTO","A INICIAR")))</f>
        <v/>
      </c>
    </row>
    <row r="4456">
      <c r="M4456" s="2">
        <f>IF(C4456="","",IFERROR(INDEX($S$5:$S$304,MATCH(C4456,$R$5:$R$304,0))&amp;"","?"))</f>
        <v/>
      </c>
      <c r="N4456" s="2">
        <f>IF(E4456="","",IF(ISNUMBER(SEARCH("SUBSOLO",E4456)),IFERROR(-VALUE(LEFT(E4456,FIND("º",SUBSTITUTE(E4456,"°","º"))-1)),-1),IF(LEFT(E4456,6)="TÉRREO",0,IFERROR(VALUE(LEFT(E4456,FIND("º",SUBSTITUTE(E4456,"°","º"))-1)),""))))</f>
        <v/>
      </c>
      <c r="O4456" s="2">
        <f>IF(OR(F4456="",G4456=""),"",IF(G4456&lt;='RETRATO 2027'!$K$5,"CONCLUÍDA",IF(F4456&lt;='RETRATO 2027'!$K$5,"EM ANDAMENTO","A INICIAR")))</f>
        <v/>
      </c>
    </row>
    <row r="4457">
      <c r="M4457" s="2">
        <f>IF(C4457="","",IFERROR(INDEX($S$5:$S$304,MATCH(C4457,$R$5:$R$304,0))&amp;"","?"))</f>
        <v/>
      </c>
      <c r="N4457" s="2">
        <f>IF(E4457="","",IF(ISNUMBER(SEARCH("SUBSOLO",E4457)),IFERROR(-VALUE(LEFT(E4457,FIND("º",SUBSTITUTE(E4457,"°","º"))-1)),-1),IF(LEFT(E4457,6)="TÉRREO",0,IFERROR(VALUE(LEFT(E4457,FIND("º",SUBSTITUTE(E4457,"°","º"))-1)),""))))</f>
        <v/>
      </c>
      <c r="O4457" s="2">
        <f>IF(OR(F4457="",G4457=""),"",IF(G4457&lt;='RETRATO 2027'!$K$5,"CONCLUÍDA",IF(F4457&lt;='RETRATO 2027'!$K$5,"EM ANDAMENTO","A INICIAR")))</f>
        <v/>
      </c>
    </row>
    <row r="4458">
      <c r="M4458" s="2">
        <f>IF(C4458="","",IFERROR(INDEX($S$5:$S$304,MATCH(C4458,$R$5:$R$304,0))&amp;"","?"))</f>
        <v/>
      </c>
      <c r="N4458" s="2">
        <f>IF(E4458="","",IF(ISNUMBER(SEARCH("SUBSOLO",E4458)),IFERROR(-VALUE(LEFT(E4458,FIND("º",SUBSTITUTE(E4458,"°","º"))-1)),-1),IF(LEFT(E4458,6)="TÉRREO",0,IFERROR(VALUE(LEFT(E4458,FIND("º",SUBSTITUTE(E4458,"°","º"))-1)),""))))</f>
        <v/>
      </c>
      <c r="O4458" s="2">
        <f>IF(OR(F4458="",G4458=""),"",IF(G4458&lt;='RETRATO 2027'!$K$5,"CONCLUÍDA",IF(F4458&lt;='RETRATO 2027'!$K$5,"EM ANDAMENTO","A INICIAR")))</f>
        <v/>
      </c>
    </row>
    <row r="4459">
      <c r="M4459" s="2">
        <f>IF(C4459="","",IFERROR(INDEX($S$5:$S$304,MATCH(C4459,$R$5:$R$304,0))&amp;"","?"))</f>
        <v/>
      </c>
      <c r="N4459" s="2">
        <f>IF(E4459="","",IF(ISNUMBER(SEARCH("SUBSOLO",E4459)),IFERROR(-VALUE(LEFT(E4459,FIND("º",SUBSTITUTE(E4459,"°","º"))-1)),-1),IF(LEFT(E4459,6)="TÉRREO",0,IFERROR(VALUE(LEFT(E4459,FIND("º",SUBSTITUTE(E4459,"°","º"))-1)),""))))</f>
        <v/>
      </c>
      <c r="O4459" s="2">
        <f>IF(OR(F4459="",G4459=""),"",IF(G4459&lt;='RETRATO 2027'!$K$5,"CONCLUÍDA",IF(F4459&lt;='RETRATO 2027'!$K$5,"EM ANDAMENTO","A INICIAR")))</f>
        <v/>
      </c>
    </row>
    <row r="4460">
      <c r="M4460" s="2">
        <f>IF(C4460="","",IFERROR(INDEX($S$5:$S$304,MATCH(C4460,$R$5:$R$304,0))&amp;"","?"))</f>
        <v/>
      </c>
      <c r="N4460" s="2">
        <f>IF(E4460="","",IF(ISNUMBER(SEARCH("SUBSOLO",E4460)),IFERROR(-VALUE(LEFT(E4460,FIND("º",SUBSTITUTE(E4460,"°","º"))-1)),-1),IF(LEFT(E4460,6)="TÉRREO",0,IFERROR(VALUE(LEFT(E4460,FIND("º",SUBSTITUTE(E4460,"°","º"))-1)),""))))</f>
        <v/>
      </c>
      <c r="O4460" s="2">
        <f>IF(OR(F4460="",G4460=""),"",IF(G4460&lt;='RETRATO 2027'!$K$5,"CONCLUÍDA",IF(F4460&lt;='RETRATO 2027'!$K$5,"EM ANDAMENTO","A INICIAR")))</f>
        <v/>
      </c>
    </row>
    <row r="4461">
      <c r="M4461" s="2">
        <f>IF(C4461="","",IFERROR(INDEX($S$5:$S$304,MATCH(C4461,$R$5:$R$304,0))&amp;"","?"))</f>
        <v/>
      </c>
      <c r="N4461" s="2">
        <f>IF(E4461="","",IF(ISNUMBER(SEARCH("SUBSOLO",E4461)),IFERROR(-VALUE(LEFT(E4461,FIND("º",SUBSTITUTE(E4461,"°","º"))-1)),-1),IF(LEFT(E4461,6)="TÉRREO",0,IFERROR(VALUE(LEFT(E4461,FIND("º",SUBSTITUTE(E4461,"°","º"))-1)),""))))</f>
        <v/>
      </c>
      <c r="O4461" s="2">
        <f>IF(OR(F4461="",G4461=""),"",IF(G4461&lt;='RETRATO 2027'!$K$5,"CONCLUÍDA",IF(F4461&lt;='RETRATO 2027'!$K$5,"EM ANDAMENTO","A INICIAR")))</f>
        <v/>
      </c>
    </row>
    <row r="4462">
      <c r="M4462" s="2">
        <f>IF(C4462="","",IFERROR(INDEX($S$5:$S$304,MATCH(C4462,$R$5:$R$304,0))&amp;"","?"))</f>
        <v/>
      </c>
      <c r="N4462" s="2">
        <f>IF(E4462="","",IF(ISNUMBER(SEARCH("SUBSOLO",E4462)),IFERROR(-VALUE(LEFT(E4462,FIND("º",SUBSTITUTE(E4462,"°","º"))-1)),-1),IF(LEFT(E4462,6)="TÉRREO",0,IFERROR(VALUE(LEFT(E4462,FIND("º",SUBSTITUTE(E4462,"°","º"))-1)),""))))</f>
        <v/>
      </c>
      <c r="O4462" s="2">
        <f>IF(OR(F4462="",G4462=""),"",IF(G4462&lt;='RETRATO 2027'!$K$5,"CONCLUÍDA",IF(F4462&lt;='RETRATO 2027'!$K$5,"EM ANDAMENTO","A INICIAR")))</f>
        <v/>
      </c>
    </row>
    <row r="4463">
      <c r="M4463" s="2">
        <f>IF(C4463="","",IFERROR(INDEX($S$5:$S$304,MATCH(C4463,$R$5:$R$304,0))&amp;"","?"))</f>
        <v/>
      </c>
      <c r="N4463" s="2">
        <f>IF(E4463="","",IF(ISNUMBER(SEARCH("SUBSOLO",E4463)),IFERROR(-VALUE(LEFT(E4463,FIND("º",SUBSTITUTE(E4463,"°","º"))-1)),-1),IF(LEFT(E4463,6)="TÉRREO",0,IFERROR(VALUE(LEFT(E4463,FIND("º",SUBSTITUTE(E4463,"°","º"))-1)),""))))</f>
        <v/>
      </c>
      <c r="O4463" s="2">
        <f>IF(OR(F4463="",G4463=""),"",IF(G4463&lt;='RETRATO 2027'!$K$5,"CONCLUÍDA",IF(F4463&lt;='RETRATO 2027'!$K$5,"EM ANDAMENTO","A INICIAR")))</f>
        <v/>
      </c>
    </row>
    <row r="4464">
      <c r="M4464" s="2">
        <f>IF(C4464="","",IFERROR(INDEX($S$5:$S$304,MATCH(C4464,$R$5:$R$304,0))&amp;"","?"))</f>
        <v/>
      </c>
      <c r="N4464" s="2">
        <f>IF(E4464="","",IF(ISNUMBER(SEARCH("SUBSOLO",E4464)),IFERROR(-VALUE(LEFT(E4464,FIND("º",SUBSTITUTE(E4464,"°","º"))-1)),-1),IF(LEFT(E4464,6)="TÉRREO",0,IFERROR(VALUE(LEFT(E4464,FIND("º",SUBSTITUTE(E4464,"°","º"))-1)),""))))</f>
        <v/>
      </c>
      <c r="O4464" s="2">
        <f>IF(OR(F4464="",G4464=""),"",IF(G4464&lt;='RETRATO 2027'!$K$5,"CONCLUÍDA",IF(F4464&lt;='RETRATO 2027'!$K$5,"EM ANDAMENTO","A INICIAR")))</f>
        <v/>
      </c>
    </row>
    <row r="4465">
      <c r="M4465" s="2">
        <f>IF(C4465="","",IFERROR(INDEX($S$5:$S$304,MATCH(C4465,$R$5:$R$304,0))&amp;"","?"))</f>
        <v/>
      </c>
      <c r="N4465" s="2">
        <f>IF(E4465="","",IF(ISNUMBER(SEARCH("SUBSOLO",E4465)),IFERROR(-VALUE(LEFT(E4465,FIND("º",SUBSTITUTE(E4465,"°","º"))-1)),-1),IF(LEFT(E4465,6)="TÉRREO",0,IFERROR(VALUE(LEFT(E4465,FIND("º",SUBSTITUTE(E4465,"°","º"))-1)),""))))</f>
        <v/>
      </c>
      <c r="O4465" s="2">
        <f>IF(OR(F4465="",G4465=""),"",IF(G4465&lt;='RETRATO 2027'!$K$5,"CONCLUÍDA",IF(F4465&lt;='RETRATO 2027'!$K$5,"EM ANDAMENTO","A INICIAR")))</f>
        <v/>
      </c>
    </row>
    <row r="4466">
      <c r="M4466" s="2">
        <f>IF(C4466="","",IFERROR(INDEX($S$5:$S$304,MATCH(C4466,$R$5:$R$304,0))&amp;"","?"))</f>
        <v/>
      </c>
      <c r="N4466" s="2">
        <f>IF(E4466="","",IF(ISNUMBER(SEARCH("SUBSOLO",E4466)),IFERROR(-VALUE(LEFT(E4466,FIND("º",SUBSTITUTE(E4466,"°","º"))-1)),-1),IF(LEFT(E4466,6)="TÉRREO",0,IFERROR(VALUE(LEFT(E4466,FIND("º",SUBSTITUTE(E4466,"°","º"))-1)),""))))</f>
        <v/>
      </c>
      <c r="O4466" s="2">
        <f>IF(OR(F4466="",G4466=""),"",IF(G4466&lt;='RETRATO 2027'!$K$5,"CONCLUÍDA",IF(F4466&lt;='RETRATO 2027'!$K$5,"EM ANDAMENTO","A INICIAR")))</f>
        <v/>
      </c>
    </row>
    <row r="4467">
      <c r="M4467" s="2">
        <f>IF(C4467="","",IFERROR(INDEX($S$5:$S$304,MATCH(C4467,$R$5:$R$304,0))&amp;"","?"))</f>
        <v/>
      </c>
      <c r="N4467" s="2">
        <f>IF(E4467="","",IF(ISNUMBER(SEARCH("SUBSOLO",E4467)),IFERROR(-VALUE(LEFT(E4467,FIND("º",SUBSTITUTE(E4467,"°","º"))-1)),-1),IF(LEFT(E4467,6)="TÉRREO",0,IFERROR(VALUE(LEFT(E4467,FIND("º",SUBSTITUTE(E4467,"°","º"))-1)),""))))</f>
        <v/>
      </c>
      <c r="O4467" s="2">
        <f>IF(OR(F4467="",G4467=""),"",IF(G4467&lt;='RETRATO 2027'!$K$5,"CONCLUÍDA",IF(F4467&lt;='RETRATO 2027'!$K$5,"EM ANDAMENTO","A INICIAR")))</f>
        <v/>
      </c>
    </row>
    <row r="4468">
      <c r="M4468" s="2">
        <f>IF(C4468="","",IFERROR(INDEX($S$5:$S$304,MATCH(C4468,$R$5:$R$304,0))&amp;"","?"))</f>
        <v/>
      </c>
      <c r="N4468" s="2">
        <f>IF(E4468="","",IF(ISNUMBER(SEARCH("SUBSOLO",E4468)),IFERROR(-VALUE(LEFT(E4468,FIND("º",SUBSTITUTE(E4468,"°","º"))-1)),-1),IF(LEFT(E4468,6)="TÉRREO",0,IFERROR(VALUE(LEFT(E4468,FIND("º",SUBSTITUTE(E4468,"°","º"))-1)),""))))</f>
        <v/>
      </c>
      <c r="O4468" s="2">
        <f>IF(OR(F4468="",G4468=""),"",IF(G4468&lt;='RETRATO 2027'!$K$5,"CONCLUÍDA",IF(F4468&lt;='RETRATO 2027'!$K$5,"EM ANDAMENTO","A INICIAR")))</f>
        <v/>
      </c>
    </row>
    <row r="4469">
      <c r="M4469" s="2">
        <f>IF(C4469="","",IFERROR(INDEX($S$5:$S$304,MATCH(C4469,$R$5:$R$304,0))&amp;"","?"))</f>
        <v/>
      </c>
      <c r="N4469" s="2">
        <f>IF(E4469="","",IF(ISNUMBER(SEARCH("SUBSOLO",E4469)),IFERROR(-VALUE(LEFT(E4469,FIND("º",SUBSTITUTE(E4469,"°","º"))-1)),-1),IF(LEFT(E4469,6)="TÉRREO",0,IFERROR(VALUE(LEFT(E4469,FIND("º",SUBSTITUTE(E4469,"°","º"))-1)),""))))</f>
        <v/>
      </c>
      <c r="O4469" s="2">
        <f>IF(OR(F4469="",G4469=""),"",IF(G4469&lt;='RETRATO 2027'!$K$5,"CONCLUÍDA",IF(F4469&lt;='RETRATO 2027'!$K$5,"EM ANDAMENTO","A INICIAR")))</f>
        <v/>
      </c>
    </row>
    <row r="4470">
      <c r="M4470" s="2">
        <f>IF(C4470="","",IFERROR(INDEX($S$5:$S$304,MATCH(C4470,$R$5:$R$304,0))&amp;"","?"))</f>
        <v/>
      </c>
      <c r="N4470" s="2">
        <f>IF(E4470="","",IF(ISNUMBER(SEARCH("SUBSOLO",E4470)),IFERROR(-VALUE(LEFT(E4470,FIND("º",SUBSTITUTE(E4470,"°","º"))-1)),-1),IF(LEFT(E4470,6)="TÉRREO",0,IFERROR(VALUE(LEFT(E4470,FIND("º",SUBSTITUTE(E4470,"°","º"))-1)),""))))</f>
        <v/>
      </c>
      <c r="O4470" s="2">
        <f>IF(OR(F4470="",G4470=""),"",IF(G4470&lt;='RETRATO 2027'!$K$5,"CONCLUÍDA",IF(F4470&lt;='RETRATO 2027'!$K$5,"EM ANDAMENTO","A INICIAR")))</f>
        <v/>
      </c>
    </row>
    <row r="4471">
      <c r="M4471" s="2">
        <f>IF(C4471="","",IFERROR(INDEX($S$5:$S$304,MATCH(C4471,$R$5:$R$304,0))&amp;"","?"))</f>
        <v/>
      </c>
      <c r="N4471" s="2">
        <f>IF(E4471="","",IF(ISNUMBER(SEARCH("SUBSOLO",E4471)),IFERROR(-VALUE(LEFT(E4471,FIND("º",SUBSTITUTE(E4471,"°","º"))-1)),-1),IF(LEFT(E4471,6)="TÉRREO",0,IFERROR(VALUE(LEFT(E4471,FIND("º",SUBSTITUTE(E4471,"°","º"))-1)),""))))</f>
        <v/>
      </c>
      <c r="O4471" s="2">
        <f>IF(OR(F4471="",G4471=""),"",IF(G4471&lt;='RETRATO 2027'!$K$5,"CONCLUÍDA",IF(F4471&lt;='RETRATO 2027'!$K$5,"EM ANDAMENTO","A INICIAR")))</f>
        <v/>
      </c>
    </row>
    <row r="4472">
      <c r="M4472" s="2">
        <f>IF(C4472="","",IFERROR(INDEX($S$5:$S$304,MATCH(C4472,$R$5:$R$304,0))&amp;"","?"))</f>
        <v/>
      </c>
      <c r="N4472" s="2">
        <f>IF(E4472="","",IF(ISNUMBER(SEARCH("SUBSOLO",E4472)),IFERROR(-VALUE(LEFT(E4472,FIND("º",SUBSTITUTE(E4472,"°","º"))-1)),-1),IF(LEFT(E4472,6)="TÉRREO",0,IFERROR(VALUE(LEFT(E4472,FIND("º",SUBSTITUTE(E4472,"°","º"))-1)),""))))</f>
        <v/>
      </c>
      <c r="O4472" s="2">
        <f>IF(OR(F4472="",G4472=""),"",IF(G4472&lt;='RETRATO 2027'!$K$5,"CONCLUÍDA",IF(F4472&lt;='RETRATO 2027'!$K$5,"EM ANDAMENTO","A INICIAR")))</f>
        <v/>
      </c>
    </row>
    <row r="4473">
      <c r="M4473" s="2">
        <f>IF(C4473="","",IFERROR(INDEX($S$5:$S$304,MATCH(C4473,$R$5:$R$304,0))&amp;"","?"))</f>
        <v/>
      </c>
      <c r="N4473" s="2">
        <f>IF(E4473="","",IF(ISNUMBER(SEARCH("SUBSOLO",E4473)),IFERROR(-VALUE(LEFT(E4473,FIND("º",SUBSTITUTE(E4473,"°","º"))-1)),-1),IF(LEFT(E4473,6)="TÉRREO",0,IFERROR(VALUE(LEFT(E4473,FIND("º",SUBSTITUTE(E4473,"°","º"))-1)),""))))</f>
        <v/>
      </c>
      <c r="O4473" s="2">
        <f>IF(OR(F4473="",G4473=""),"",IF(G4473&lt;='RETRATO 2027'!$K$5,"CONCLUÍDA",IF(F4473&lt;='RETRATO 2027'!$K$5,"EM ANDAMENTO","A INICIAR")))</f>
        <v/>
      </c>
    </row>
    <row r="4474">
      <c r="M4474" s="2">
        <f>IF(C4474="","",IFERROR(INDEX($S$5:$S$304,MATCH(C4474,$R$5:$R$304,0))&amp;"","?"))</f>
        <v/>
      </c>
      <c r="N4474" s="2">
        <f>IF(E4474="","",IF(ISNUMBER(SEARCH("SUBSOLO",E4474)),IFERROR(-VALUE(LEFT(E4474,FIND("º",SUBSTITUTE(E4474,"°","º"))-1)),-1),IF(LEFT(E4474,6)="TÉRREO",0,IFERROR(VALUE(LEFT(E4474,FIND("º",SUBSTITUTE(E4474,"°","º"))-1)),""))))</f>
        <v/>
      </c>
      <c r="O4474" s="2">
        <f>IF(OR(F4474="",G4474=""),"",IF(G4474&lt;='RETRATO 2027'!$K$5,"CONCLUÍDA",IF(F4474&lt;='RETRATO 2027'!$K$5,"EM ANDAMENTO","A INICIAR")))</f>
        <v/>
      </c>
    </row>
    <row r="4475">
      <c r="M4475" s="2">
        <f>IF(C4475="","",IFERROR(INDEX($S$5:$S$304,MATCH(C4475,$R$5:$R$304,0))&amp;"","?"))</f>
        <v/>
      </c>
      <c r="N4475" s="2">
        <f>IF(E4475="","",IF(ISNUMBER(SEARCH("SUBSOLO",E4475)),IFERROR(-VALUE(LEFT(E4475,FIND("º",SUBSTITUTE(E4475,"°","º"))-1)),-1),IF(LEFT(E4475,6)="TÉRREO",0,IFERROR(VALUE(LEFT(E4475,FIND("º",SUBSTITUTE(E4475,"°","º"))-1)),""))))</f>
        <v/>
      </c>
      <c r="O4475" s="2">
        <f>IF(OR(F4475="",G4475=""),"",IF(G4475&lt;='RETRATO 2027'!$K$5,"CONCLUÍDA",IF(F4475&lt;='RETRATO 2027'!$K$5,"EM ANDAMENTO","A INICIAR")))</f>
        <v/>
      </c>
    </row>
    <row r="4476">
      <c r="M4476" s="2">
        <f>IF(C4476="","",IFERROR(INDEX($S$5:$S$304,MATCH(C4476,$R$5:$R$304,0))&amp;"","?"))</f>
        <v/>
      </c>
      <c r="N4476" s="2">
        <f>IF(E4476="","",IF(ISNUMBER(SEARCH("SUBSOLO",E4476)),IFERROR(-VALUE(LEFT(E4476,FIND("º",SUBSTITUTE(E4476,"°","º"))-1)),-1),IF(LEFT(E4476,6)="TÉRREO",0,IFERROR(VALUE(LEFT(E4476,FIND("º",SUBSTITUTE(E4476,"°","º"))-1)),""))))</f>
        <v/>
      </c>
      <c r="O4476" s="2">
        <f>IF(OR(F4476="",G4476=""),"",IF(G4476&lt;='RETRATO 2027'!$K$5,"CONCLUÍDA",IF(F4476&lt;='RETRATO 2027'!$K$5,"EM ANDAMENTO","A INICIAR")))</f>
        <v/>
      </c>
    </row>
    <row r="4477">
      <c r="M4477" s="2">
        <f>IF(C4477="","",IFERROR(INDEX($S$5:$S$304,MATCH(C4477,$R$5:$R$304,0))&amp;"","?"))</f>
        <v/>
      </c>
      <c r="N4477" s="2">
        <f>IF(E4477="","",IF(ISNUMBER(SEARCH("SUBSOLO",E4477)),IFERROR(-VALUE(LEFT(E4477,FIND("º",SUBSTITUTE(E4477,"°","º"))-1)),-1),IF(LEFT(E4477,6)="TÉRREO",0,IFERROR(VALUE(LEFT(E4477,FIND("º",SUBSTITUTE(E4477,"°","º"))-1)),""))))</f>
        <v/>
      </c>
      <c r="O4477" s="2">
        <f>IF(OR(F4477="",G4477=""),"",IF(G4477&lt;='RETRATO 2027'!$K$5,"CONCLUÍDA",IF(F4477&lt;='RETRATO 2027'!$K$5,"EM ANDAMENTO","A INICIAR")))</f>
        <v/>
      </c>
    </row>
    <row r="4478">
      <c r="M4478" s="2">
        <f>IF(C4478="","",IFERROR(INDEX($S$5:$S$304,MATCH(C4478,$R$5:$R$304,0))&amp;"","?"))</f>
        <v/>
      </c>
      <c r="N4478" s="2">
        <f>IF(E4478="","",IF(ISNUMBER(SEARCH("SUBSOLO",E4478)),IFERROR(-VALUE(LEFT(E4478,FIND("º",SUBSTITUTE(E4478,"°","º"))-1)),-1),IF(LEFT(E4478,6)="TÉRREO",0,IFERROR(VALUE(LEFT(E4478,FIND("º",SUBSTITUTE(E4478,"°","º"))-1)),""))))</f>
        <v/>
      </c>
      <c r="O4478" s="2">
        <f>IF(OR(F4478="",G4478=""),"",IF(G4478&lt;='RETRATO 2027'!$K$5,"CONCLUÍDA",IF(F4478&lt;='RETRATO 2027'!$K$5,"EM ANDAMENTO","A INICIAR")))</f>
        <v/>
      </c>
    </row>
    <row r="4479">
      <c r="M4479" s="2">
        <f>IF(C4479="","",IFERROR(INDEX($S$5:$S$304,MATCH(C4479,$R$5:$R$304,0))&amp;"","?"))</f>
        <v/>
      </c>
      <c r="N4479" s="2">
        <f>IF(E4479="","",IF(ISNUMBER(SEARCH("SUBSOLO",E4479)),IFERROR(-VALUE(LEFT(E4479,FIND("º",SUBSTITUTE(E4479,"°","º"))-1)),-1),IF(LEFT(E4479,6)="TÉRREO",0,IFERROR(VALUE(LEFT(E4479,FIND("º",SUBSTITUTE(E4479,"°","º"))-1)),""))))</f>
        <v/>
      </c>
      <c r="O4479" s="2">
        <f>IF(OR(F4479="",G4479=""),"",IF(G4479&lt;='RETRATO 2027'!$K$5,"CONCLUÍDA",IF(F4479&lt;='RETRATO 2027'!$K$5,"EM ANDAMENTO","A INICIAR")))</f>
        <v/>
      </c>
    </row>
    <row r="4480">
      <c r="M4480" s="2">
        <f>IF(C4480="","",IFERROR(INDEX($S$5:$S$304,MATCH(C4480,$R$5:$R$304,0))&amp;"","?"))</f>
        <v/>
      </c>
      <c r="N4480" s="2">
        <f>IF(E4480="","",IF(ISNUMBER(SEARCH("SUBSOLO",E4480)),IFERROR(-VALUE(LEFT(E4480,FIND("º",SUBSTITUTE(E4480,"°","º"))-1)),-1),IF(LEFT(E4480,6)="TÉRREO",0,IFERROR(VALUE(LEFT(E4480,FIND("º",SUBSTITUTE(E4480,"°","º"))-1)),""))))</f>
        <v/>
      </c>
      <c r="O4480" s="2">
        <f>IF(OR(F4480="",G4480=""),"",IF(G4480&lt;='RETRATO 2027'!$K$5,"CONCLUÍDA",IF(F4480&lt;='RETRATO 2027'!$K$5,"EM ANDAMENTO","A INICIAR")))</f>
        <v/>
      </c>
    </row>
    <row r="4481">
      <c r="M4481" s="2">
        <f>IF(C4481="","",IFERROR(INDEX($S$5:$S$304,MATCH(C4481,$R$5:$R$304,0))&amp;"","?"))</f>
        <v/>
      </c>
      <c r="N4481" s="2">
        <f>IF(E4481="","",IF(ISNUMBER(SEARCH("SUBSOLO",E4481)),IFERROR(-VALUE(LEFT(E4481,FIND("º",SUBSTITUTE(E4481,"°","º"))-1)),-1),IF(LEFT(E4481,6)="TÉRREO",0,IFERROR(VALUE(LEFT(E4481,FIND("º",SUBSTITUTE(E4481,"°","º"))-1)),""))))</f>
        <v/>
      </c>
      <c r="O4481" s="2">
        <f>IF(OR(F4481="",G4481=""),"",IF(G4481&lt;='RETRATO 2027'!$K$5,"CONCLUÍDA",IF(F4481&lt;='RETRATO 2027'!$K$5,"EM ANDAMENTO","A INICIAR")))</f>
        <v/>
      </c>
    </row>
    <row r="4482">
      <c r="M4482" s="2">
        <f>IF(C4482="","",IFERROR(INDEX($S$5:$S$304,MATCH(C4482,$R$5:$R$304,0))&amp;"","?"))</f>
        <v/>
      </c>
      <c r="N4482" s="2">
        <f>IF(E4482="","",IF(ISNUMBER(SEARCH("SUBSOLO",E4482)),IFERROR(-VALUE(LEFT(E4482,FIND("º",SUBSTITUTE(E4482,"°","º"))-1)),-1),IF(LEFT(E4482,6)="TÉRREO",0,IFERROR(VALUE(LEFT(E4482,FIND("º",SUBSTITUTE(E4482,"°","º"))-1)),""))))</f>
        <v/>
      </c>
      <c r="O4482" s="2">
        <f>IF(OR(F4482="",G4482=""),"",IF(G4482&lt;='RETRATO 2027'!$K$5,"CONCLUÍDA",IF(F4482&lt;='RETRATO 2027'!$K$5,"EM ANDAMENTO","A INICIAR")))</f>
        <v/>
      </c>
    </row>
    <row r="4483">
      <c r="M4483" s="2">
        <f>IF(C4483="","",IFERROR(INDEX($S$5:$S$304,MATCH(C4483,$R$5:$R$304,0))&amp;"","?"))</f>
        <v/>
      </c>
      <c r="N4483" s="2">
        <f>IF(E4483="","",IF(ISNUMBER(SEARCH("SUBSOLO",E4483)),IFERROR(-VALUE(LEFT(E4483,FIND("º",SUBSTITUTE(E4483,"°","º"))-1)),-1),IF(LEFT(E4483,6)="TÉRREO",0,IFERROR(VALUE(LEFT(E4483,FIND("º",SUBSTITUTE(E4483,"°","º"))-1)),""))))</f>
        <v/>
      </c>
      <c r="O4483" s="2">
        <f>IF(OR(F4483="",G4483=""),"",IF(G4483&lt;='RETRATO 2027'!$K$5,"CONCLUÍDA",IF(F4483&lt;='RETRATO 2027'!$K$5,"EM ANDAMENTO","A INICIAR")))</f>
        <v/>
      </c>
    </row>
    <row r="4484">
      <c r="M4484" s="2">
        <f>IF(C4484="","",IFERROR(INDEX($S$5:$S$304,MATCH(C4484,$R$5:$R$304,0))&amp;"","?"))</f>
        <v/>
      </c>
      <c r="N4484" s="2">
        <f>IF(E4484="","",IF(ISNUMBER(SEARCH("SUBSOLO",E4484)),IFERROR(-VALUE(LEFT(E4484,FIND("º",SUBSTITUTE(E4484,"°","º"))-1)),-1),IF(LEFT(E4484,6)="TÉRREO",0,IFERROR(VALUE(LEFT(E4484,FIND("º",SUBSTITUTE(E4484,"°","º"))-1)),""))))</f>
        <v/>
      </c>
      <c r="O4484" s="2">
        <f>IF(OR(F4484="",G4484=""),"",IF(G4484&lt;='RETRATO 2027'!$K$5,"CONCLUÍDA",IF(F4484&lt;='RETRATO 2027'!$K$5,"EM ANDAMENTO","A INICIAR")))</f>
        <v/>
      </c>
    </row>
    <row r="4485">
      <c r="M4485" s="2">
        <f>IF(C4485="","",IFERROR(INDEX($S$5:$S$304,MATCH(C4485,$R$5:$R$304,0))&amp;"","?"))</f>
        <v/>
      </c>
      <c r="N4485" s="2">
        <f>IF(E4485="","",IF(ISNUMBER(SEARCH("SUBSOLO",E4485)),IFERROR(-VALUE(LEFT(E4485,FIND("º",SUBSTITUTE(E4485,"°","º"))-1)),-1),IF(LEFT(E4485,6)="TÉRREO",0,IFERROR(VALUE(LEFT(E4485,FIND("º",SUBSTITUTE(E4485,"°","º"))-1)),""))))</f>
        <v/>
      </c>
      <c r="O4485" s="2">
        <f>IF(OR(F4485="",G4485=""),"",IF(G4485&lt;='RETRATO 2027'!$K$5,"CONCLUÍDA",IF(F4485&lt;='RETRATO 2027'!$K$5,"EM ANDAMENTO","A INICIAR")))</f>
        <v/>
      </c>
    </row>
    <row r="4486">
      <c r="M4486" s="2">
        <f>IF(C4486="","",IFERROR(INDEX($S$5:$S$304,MATCH(C4486,$R$5:$R$304,0))&amp;"","?"))</f>
        <v/>
      </c>
      <c r="N4486" s="2">
        <f>IF(E4486="","",IF(ISNUMBER(SEARCH("SUBSOLO",E4486)),IFERROR(-VALUE(LEFT(E4486,FIND("º",SUBSTITUTE(E4486,"°","º"))-1)),-1),IF(LEFT(E4486,6)="TÉRREO",0,IFERROR(VALUE(LEFT(E4486,FIND("º",SUBSTITUTE(E4486,"°","º"))-1)),""))))</f>
        <v/>
      </c>
      <c r="O4486" s="2">
        <f>IF(OR(F4486="",G4486=""),"",IF(G4486&lt;='RETRATO 2027'!$K$5,"CONCLUÍDA",IF(F4486&lt;='RETRATO 2027'!$K$5,"EM ANDAMENTO","A INICIAR")))</f>
        <v/>
      </c>
    </row>
    <row r="4487">
      <c r="M4487" s="2">
        <f>IF(C4487="","",IFERROR(INDEX($S$5:$S$304,MATCH(C4487,$R$5:$R$304,0))&amp;"","?"))</f>
        <v/>
      </c>
      <c r="N4487" s="2">
        <f>IF(E4487="","",IF(ISNUMBER(SEARCH("SUBSOLO",E4487)),IFERROR(-VALUE(LEFT(E4487,FIND("º",SUBSTITUTE(E4487,"°","º"))-1)),-1),IF(LEFT(E4487,6)="TÉRREO",0,IFERROR(VALUE(LEFT(E4487,FIND("º",SUBSTITUTE(E4487,"°","º"))-1)),""))))</f>
        <v/>
      </c>
      <c r="O4487" s="2">
        <f>IF(OR(F4487="",G4487=""),"",IF(G4487&lt;='RETRATO 2027'!$K$5,"CONCLUÍDA",IF(F4487&lt;='RETRATO 2027'!$K$5,"EM ANDAMENTO","A INICIAR")))</f>
        <v/>
      </c>
    </row>
    <row r="4488">
      <c r="M4488" s="2">
        <f>IF(C4488="","",IFERROR(INDEX($S$5:$S$304,MATCH(C4488,$R$5:$R$304,0))&amp;"","?"))</f>
        <v/>
      </c>
      <c r="N4488" s="2">
        <f>IF(E4488="","",IF(ISNUMBER(SEARCH("SUBSOLO",E4488)),IFERROR(-VALUE(LEFT(E4488,FIND("º",SUBSTITUTE(E4488,"°","º"))-1)),-1),IF(LEFT(E4488,6)="TÉRREO",0,IFERROR(VALUE(LEFT(E4488,FIND("º",SUBSTITUTE(E4488,"°","º"))-1)),""))))</f>
        <v/>
      </c>
      <c r="O4488" s="2">
        <f>IF(OR(F4488="",G4488=""),"",IF(G4488&lt;='RETRATO 2027'!$K$5,"CONCLUÍDA",IF(F4488&lt;='RETRATO 2027'!$K$5,"EM ANDAMENTO","A INICIAR")))</f>
        <v/>
      </c>
    </row>
    <row r="4489">
      <c r="M4489" s="2">
        <f>IF(C4489="","",IFERROR(INDEX($S$5:$S$304,MATCH(C4489,$R$5:$R$304,0))&amp;"","?"))</f>
        <v/>
      </c>
      <c r="N4489" s="2">
        <f>IF(E4489="","",IF(ISNUMBER(SEARCH("SUBSOLO",E4489)),IFERROR(-VALUE(LEFT(E4489,FIND("º",SUBSTITUTE(E4489,"°","º"))-1)),-1),IF(LEFT(E4489,6)="TÉRREO",0,IFERROR(VALUE(LEFT(E4489,FIND("º",SUBSTITUTE(E4489,"°","º"))-1)),""))))</f>
        <v/>
      </c>
      <c r="O4489" s="2">
        <f>IF(OR(F4489="",G4489=""),"",IF(G4489&lt;='RETRATO 2027'!$K$5,"CONCLUÍDA",IF(F4489&lt;='RETRATO 2027'!$K$5,"EM ANDAMENTO","A INICIAR")))</f>
        <v/>
      </c>
    </row>
    <row r="4490">
      <c r="M4490" s="2">
        <f>IF(C4490="","",IFERROR(INDEX($S$5:$S$304,MATCH(C4490,$R$5:$R$304,0))&amp;"","?"))</f>
        <v/>
      </c>
      <c r="N4490" s="2">
        <f>IF(E4490="","",IF(ISNUMBER(SEARCH("SUBSOLO",E4490)),IFERROR(-VALUE(LEFT(E4490,FIND("º",SUBSTITUTE(E4490,"°","º"))-1)),-1),IF(LEFT(E4490,6)="TÉRREO",0,IFERROR(VALUE(LEFT(E4490,FIND("º",SUBSTITUTE(E4490,"°","º"))-1)),""))))</f>
        <v/>
      </c>
      <c r="O4490" s="2">
        <f>IF(OR(F4490="",G4490=""),"",IF(G4490&lt;='RETRATO 2027'!$K$5,"CONCLUÍDA",IF(F4490&lt;='RETRATO 2027'!$K$5,"EM ANDAMENTO","A INICIAR")))</f>
        <v/>
      </c>
    </row>
    <row r="4491">
      <c r="M4491" s="2">
        <f>IF(C4491="","",IFERROR(INDEX($S$5:$S$304,MATCH(C4491,$R$5:$R$304,0))&amp;"","?"))</f>
        <v/>
      </c>
      <c r="N4491" s="2">
        <f>IF(E4491="","",IF(ISNUMBER(SEARCH("SUBSOLO",E4491)),IFERROR(-VALUE(LEFT(E4491,FIND("º",SUBSTITUTE(E4491,"°","º"))-1)),-1),IF(LEFT(E4491,6)="TÉRREO",0,IFERROR(VALUE(LEFT(E4491,FIND("º",SUBSTITUTE(E4491,"°","º"))-1)),""))))</f>
        <v/>
      </c>
      <c r="O4491" s="2">
        <f>IF(OR(F4491="",G4491=""),"",IF(G4491&lt;='RETRATO 2027'!$K$5,"CONCLUÍDA",IF(F4491&lt;='RETRATO 2027'!$K$5,"EM ANDAMENTO","A INICIAR")))</f>
        <v/>
      </c>
    </row>
    <row r="4492">
      <c r="M4492" s="2">
        <f>IF(C4492="","",IFERROR(INDEX($S$5:$S$304,MATCH(C4492,$R$5:$R$304,0))&amp;"","?"))</f>
        <v/>
      </c>
      <c r="N4492" s="2">
        <f>IF(E4492="","",IF(ISNUMBER(SEARCH("SUBSOLO",E4492)),IFERROR(-VALUE(LEFT(E4492,FIND("º",SUBSTITUTE(E4492,"°","º"))-1)),-1),IF(LEFT(E4492,6)="TÉRREO",0,IFERROR(VALUE(LEFT(E4492,FIND("º",SUBSTITUTE(E4492,"°","º"))-1)),""))))</f>
        <v/>
      </c>
      <c r="O4492" s="2">
        <f>IF(OR(F4492="",G4492=""),"",IF(G4492&lt;='RETRATO 2027'!$K$5,"CONCLUÍDA",IF(F4492&lt;='RETRATO 2027'!$K$5,"EM ANDAMENTO","A INICIAR")))</f>
        <v/>
      </c>
    </row>
    <row r="4493">
      <c r="M4493" s="2">
        <f>IF(C4493="","",IFERROR(INDEX($S$5:$S$304,MATCH(C4493,$R$5:$R$304,0))&amp;"","?"))</f>
        <v/>
      </c>
      <c r="N4493" s="2">
        <f>IF(E4493="","",IF(ISNUMBER(SEARCH("SUBSOLO",E4493)),IFERROR(-VALUE(LEFT(E4493,FIND("º",SUBSTITUTE(E4493,"°","º"))-1)),-1),IF(LEFT(E4493,6)="TÉRREO",0,IFERROR(VALUE(LEFT(E4493,FIND("º",SUBSTITUTE(E4493,"°","º"))-1)),""))))</f>
        <v/>
      </c>
      <c r="O4493" s="2">
        <f>IF(OR(F4493="",G4493=""),"",IF(G4493&lt;='RETRATO 2027'!$K$5,"CONCLUÍDA",IF(F4493&lt;='RETRATO 2027'!$K$5,"EM ANDAMENTO","A INICIAR")))</f>
        <v/>
      </c>
    </row>
    <row r="4494">
      <c r="M4494" s="2">
        <f>IF(C4494="","",IFERROR(INDEX($S$5:$S$304,MATCH(C4494,$R$5:$R$304,0))&amp;"","?"))</f>
        <v/>
      </c>
      <c r="N4494" s="2">
        <f>IF(E4494="","",IF(ISNUMBER(SEARCH("SUBSOLO",E4494)),IFERROR(-VALUE(LEFT(E4494,FIND("º",SUBSTITUTE(E4494,"°","º"))-1)),-1),IF(LEFT(E4494,6)="TÉRREO",0,IFERROR(VALUE(LEFT(E4494,FIND("º",SUBSTITUTE(E4494,"°","º"))-1)),""))))</f>
        <v/>
      </c>
      <c r="O4494" s="2">
        <f>IF(OR(F4494="",G4494=""),"",IF(G4494&lt;='RETRATO 2027'!$K$5,"CONCLUÍDA",IF(F4494&lt;='RETRATO 2027'!$K$5,"EM ANDAMENTO","A INICIAR")))</f>
        <v/>
      </c>
    </row>
    <row r="4495">
      <c r="M4495" s="2">
        <f>IF(C4495="","",IFERROR(INDEX($S$5:$S$304,MATCH(C4495,$R$5:$R$304,0))&amp;"","?"))</f>
        <v/>
      </c>
      <c r="N4495" s="2">
        <f>IF(E4495="","",IF(ISNUMBER(SEARCH("SUBSOLO",E4495)),IFERROR(-VALUE(LEFT(E4495,FIND("º",SUBSTITUTE(E4495,"°","º"))-1)),-1),IF(LEFT(E4495,6)="TÉRREO",0,IFERROR(VALUE(LEFT(E4495,FIND("º",SUBSTITUTE(E4495,"°","º"))-1)),""))))</f>
        <v/>
      </c>
      <c r="O4495" s="2">
        <f>IF(OR(F4495="",G4495=""),"",IF(G4495&lt;='RETRATO 2027'!$K$5,"CONCLUÍDA",IF(F4495&lt;='RETRATO 2027'!$K$5,"EM ANDAMENTO","A INICIAR")))</f>
        <v/>
      </c>
    </row>
    <row r="4496">
      <c r="M4496" s="2">
        <f>IF(C4496="","",IFERROR(INDEX($S$5:$S$304,MATCH(C4496,$R$5:$R$304,0))&amp;"","?"))</f>
        <v/>
      </c>
      <c r="N4496" s="2">
        <f>IF(E4496="","",IF(ISNUMBER(SEARCH("SUBSOLO",E4496)),IFERROR(-VALUE(LEFT(E4496,FIND("º",SUBSTITUTE(E4496,"°","º"))-1)),-1),IF(LEFT(E4496,6)="TÉRREO",0,IFERROR(VALUE(LEFT(E4496,FIND("º",SUBSTITUTE(E4496,"°","º"))-1)),""))))</f>
        <v/>
      </c>
      <c r="O4496" s="2">
        <f>IF(OR(F4496="",G4496=""),"",IF(G4496&lt;='RETRATO 2027'!$K$5,"CONCLUÍDA",IF(F4496&lt;='RETRATO 2027'!$K$5,"EM ANDAMENTO","A INICIAR")))</f>
        <v/>
      </c>
    </row>
    <row r="4497">
      <c r="M4497" s="2">
        <f>IF(C4497="","",IFERROR(INDEX($S$5:$S$304,MATCH(C4497,$R$5:$R$304,0))&amp;"","?"))</f>
        <v/>
      </c>
      <c r="N4497" s="2">
        <f>IF(E4497="","",IF(ISNUMBER(SEARCH("SUBSOLO",E4497)),IFERROR(-VALUE(LEFT(E4497,FIND("º",SUBSTITUTE(E4497,"°","º"))-1)),-1),IF(LEFT(E4497,6)="TÉRREO",0,IFERROR(VALUE(LEFT(E4497,FIND("º",SUBSTITUTE(E4497,"°","º"))-1)),""))))</f>
        <v/>
      </c>
      <c r="O4497" s="2">
        <f>IF(OR(F4497="",G4497=""),"",IF(G4497&lt;='RETRATO 2027'!$K$5,"CONCLUÍDA",IF(F4497&lt;='RETRATO 2027'!$K$5,"EM ANDAMENTO","A INICIAR")))</f>
        <v/>
      </c>
    </row>
    <row r="4498">
      <c r="M4498" s="2">
        <f>IF(C4498="","",IFERROR(INDEX($S$5:$S$304,MATCH(C4498,$R$5:$R$304,0))&amp;"","?"))</f>
        <v/>
      </c>
      <c r="N4498" s="2">
        <f>IF(E4498="","",IF(ISNUMBER(SEARCH("SUBSOLO",E4498)),IFERROR(-VALUE(LEFT(E4498,FIND("º",SUBSTITUTE(E4498,"°","º"))-1)),-1),IF(LEFT(E4498,6)="TÉRREO",0,IFERROR(VALUE(LEFT(E4498,FIND("º",SUBSTITUTE(E4498,"°","º"))-1)),""))))</f>
        <v/>
      </c>
      <c r="O4498" s="2">
        <f>IF(OR(F4498="",G4498=""),"",IF(G4498&lt;='RETRATO 2027'!$K$5,"CONCLUÍDA",IF(F4498&lt;='RETRATO 2027'!$K$5,"EM ANDAMENTO","A INICIAR")))</f>
        <v/>
      </c>
    </row>
    <row r="4499">
      <c r="M4499" s="2">
        <f>IF(C4499="","",IFERROR(INDEX($S$5:$S$304,MATCH(C4499,$R$5:$R$304,0))&amp;"","?"))</f>
        <v/>
      </c>
      <c r="N4499" s="2">
        <f>IF(E4499="","",IF(ISNUMBER(SEARCH("SUBSOLO",E4499)),IFERROR(-VALUE(LEFT(E4499,FIND("º",SUBSTITUTE(E4499,"°","º"))-1)),-1),IF(LEFT(E4499,6)="TÉRREO",0,IFERROR(VALUE(LEFT(E4499,FIND("º",SUBSTITUTE(E4499,"°","º"))-1)),""))))</f>
        <v/>
      </c>
      <c r="O4499" s="2">
        <f>IF(OR(F4499="",G4499=""),"",IF(G4499&lt;='RETRATO 2027'!$K$5,"CONCLUÍDA",IF(F4499&lt;='RETRATO 2027'!$K$5,"EM ANDAMENTO","A INICIAR")))</f>
        <v/>
      </c>
    </row>
    <row r="4500">
      <c r="M4500" s="2">
        <f>IF(C4500="","",IFERROR(INDEX($S$5:$S$304,MATCH(C4500,$R$5:$R$304,0))&amp;"","?"))</f>
        <v/>
      </c>
      <c r="N4500" s="2">
        <f>IF(E4500="","",IF(ISNUMBER(SEARCH("SUBSOLO",E4500)),IFERROR(-VALUE(LEFT(E4500,FIND("º",SUBSTITUTE(E4500,"°","º"))-1)),-1),IF(LEFT(E4500,6)="TÉRREO",0,IFERROR(VALUE(LEFT(E4500,FIND("º",SUBSTITUTE(E4500,"°","º"))-1)),""))))</f>
        <v/>
      </c>
      <c r="O4500" s="2">
        <f>IF(OR(F4500="",G4500=""),"",IF(G4500&lt;='RETRATO 2027'!$K$5,"CONCLUÍDA",IF(F4500&lt;='RETRATO 2027'!$K$5,"EM ANDAMENTO","A INICIAR")))</f>
        <v/>
      </c>
    </row>
    <row r="4501">
      <c r="M4501" s="2">
        <f>IF(C4501="","",IFERROR(INDEX($S$5:$S$304,MATCH(C4501,$R$5:$R$304,0))&amp;"","?"))</f>
        <v/>
      </c>
      <c r="N4501" s="2">
        <f>IF(E4501="","",IF(ISNUMBER(SEARCH("SUBSOLO",E4501)),IFERROR(-VALUE(LEFT(E4501,FIND("º",SUBSTITUTE(E4501,"°","º"))-1)),-1),IF(LEFT(E4501,6)="TÉRREO",0,IFERROR(VALUE(LEFT(E4501,FIND("º",SUBSTITUTE(E4501,"°","º"))-1)),""))))</f>
        <v/>
      </c>
      <c r="O4501" s="2">
        <f>IF(OR(F4501="",G4501=""),"",IF(G4501&lt;='RETRATO 2027'!$K$5,"CONCLUÍDA",IF(F4501&lt;='RETRATO 2027'!$K$5,"EM ANDAMENTO","A INICIAR")))</f>
        <v/>
      </c>
    </row>
    <row r="4502">
      <c r="M4502" s="2">
        <f>IF(C4502="","",IFERROR(INDEX($S$5:$S$304,MATCH(C4502,$R$5:$R$304,0))&amp;"","?"))</f>
        <v/>
      </c>
      <c r="N4502" s="2">
        <f>IF(E4502="","",IF(ISNUMBER(SEARCH("SUBSOLO",E4502)),IFERROR(-VALUE(LEFT(E4502,FIND("º",SUBSTITUTE(E4502,"°","º"))-1)),-1),IF(LEFT(E4502,6)="TÉRREO",0,IFERROR(VALUE(LEFT(E4502,FIND("º",SUBSTITUTE(E4502,"°","º"))-1)),""))))</f>
        <v/>
      </c>
      <c r="O4502" s="2">
        <f>IF(OR(F4502="",G4502=""),"",IF(G4502&lt;='RETRATO 2027'!$K$5,"CONCLUÍDA",IF(F4502&lt;='RETRATO 2027'!$K$5,"EM ANDAMENTO","A INICIAR")))</f>
        <v/>
      </c>
    </row>
    <row r="4503">
      <c r="M4503" s="2">
        <f>IF(C4503="","",IFERROR(INDEX($S$5:$S$304,MATCH(C4503,$R$5:$R$304,0))&amp;"","?"))</f>
        <v/>
      </c>
      <c r="N4503" s="2">
        <f>IF(E4503="","",IF(ISNUMBER(SEARCH("SUBSOLO",E4503)),IFERROR(-VALUE(LEFT(E4503,FIND("º",SUBSTITUTE(E4503,"°","º"))-1)),-1),IF(LEFT(E4503,6)="TÉRREO",0,IFERROR(VALUE(LEFT(E4503,FIND("º",SUBSTITUTE(E4503,"°","º"))-1)),""))))</f>
        <v/>
      </c>
      <c r="O4503" s="2">
        <f>IF(OR(F4503="",G4503=""),"",IF(G4503&lt;='RETRATO 2027'!$K$5,"CONCLUÍDA",IF(F4503&lt;='RETRATO 2027'!$K$5,"EM ANDAMENTO","A INICIAR")))</f>
        <v/>
      </c>
    </row>
    <row r="4504">
      <c r="M4504" s="2">
        <f>IF(C4504="","",IFERROR(INDEX($S$5:$S$304,MATCH(C4504,$R$5:$R$304,0))&amp;"","?"))</f>
        <v/>
      </c>
      <c r="N4504" s="2">
        <f>IF(E4504="","",IF(ISNUMBER(SEARCH("SUBSOLO",E4504)),IFERROR(-VALUE(LEFT(E4504,FIND("º",SUBSTITUTE(E4504,"°","º"))-1)),-1),IF(LEFT(E4504,6)="TÉRREO",0,IFERROR(VALUE(LEFT(E4504,FIND("º",SUBSTITUTE(E4504,"°","º"))-1)),""))))</f>
        <v/>
      </c>
      <c r="O4504" s="2">
        <f>IF(OR(F4504="",G4504=""),"",IF(G4504&lt;='RETRATO 2027'!$K$5,"CONCLUÍDA",IF(F4504&lt;='RETRATO 2027'!$K$5,"EM ANDAMENTO","A INICIAR")))</f>
        <v/>
      </c>
    </row>
    <row r="4505">
      <c r="M4505" s="2">
        <f>IF(C4505="","",IFERROR(INDEX($S$5:$S$304,MATCH(C4505,$R$5:$R$304,0))&amp;"","?"))</f>
        <v/>
      </c>
      <c r="N4505" s="2">
        <f>IF(E4505="","",IF(ISNUMBER(SEARCH("SUBSOLO",E4505)),IFERROR(-VALUE(LEFT(E4505,FIND("º",SUBSTITUTE(E4505,"°","º"))-1)),-1),IF(LEFT(E4505,6)="TÉRREO",0,IFERROR(VALUE(LEFT(E4505,FIND("º",SUBSTITUTE(E4505,"°","º"))-1)),""))))</f>
        <v/>
      </c>
      <c r="O4505" s="2">
        <f>IF(OR(F4505="",G4505=""),"",IF(G4505&lt;='RETRATO 2027'!$K$5,"CONCLUÍDA",IF(F4505&lt;='RETRATO 2027'!$K$5,"EM ANDAMENTO","A INICIAR")))</f>
        <v/>
      </c>
    </row>
    <row r="4506">
      <c r="M4506" s="2">
        <f>IF(C4506="","",IFERROR(INDEX($S$5:$S$304,MATCH(C4506,$R$5:$R$304,0))&amp;"","?"))</f>
        <v/>
      </c>
      <c r="N4506" s="2">
        <f>IF(E4506="","",IF(ISNUMBER(SEARCH("SUBSOLO",E4506)),IFERROR(-VALUE(LEFT(E4506,FIND("º",SUBSTITUTE(E4506,"°","º"))-1)),-1),IF(LEFT(E4506,6)="TÉRREO",0,IFERROR(VALUE(LEFT(E4506,FIND("º",SUBSTITUTE(E4506,"°","º"))-1)),""))))</f>
        <v/>
      </c>
      <c r="O4506" s="2">
        <f>IF(OR(F4506="",G4506=""),"",IF(G4506&lt;='RETRATO 2027'!$K$5,"CONCLUÍDA",IF(F4506&lt;='RETRATO 2027'!$K$5,"EM ANDAMENTO","A INICIAR")))</f>
        <v/>
      </c>
    </row>
    <row r="4507">
      <c r="M4507" s="2">
        <f>IF(C4507="","",IFERROR(INDEX($S$5:$S$304,MATCH(C4507,$R$5:$R$304,0))&amp;"","?"))</f>
        <v/>
      </c>
      <c r="N4507" s="2">
        <f>IF(E4507="","",IF(ISNUMBER(SEARCH("SUBSOLO",E4507)),IFERROR(-VALUE(LEFT(E4507,FIND("º",SUBSTITUTE(E4507,"°","º"))-1)),-1),IF(LEFT(E4507,6)="TÉRREO",0,IFERROR(VALUE(LEFT(E4507,FIND("º",SUBSTITUTE(E4507,"°","º"))-1)),""))))</f>
        <v/>
      </c>
      <c r="O4507" s="2">
        <f>IF(OR(F4507="",G4507=""),"",IF(G4507&lt;='RETRATO 2027'!$K$5,"CONCLUÍDA",IF(F4507&lt;='RETRATO 2027'!$K$5,"EM ANDAMENTO","A INICIAR")))</f>
        <v/>
      </c>
    </row>
    <row r="4508">
      <c r="M4508" s="2">
        <f>IF(C4508="","",IFERROR(INDEX($S$5:$S$304,MATCH(C4508,$R$5:$R$304,0))&amp;"","?"))</f>
        <v/>
      </c>
      <c r="N4508" s="2">
        <f>IF(E4508="","",IF(ISNUMBER(SEARCH("SUBSOLO",E4508)),IFERROR(-VALUE(LEFT(E4508,FIND("º",SUBSTITUTE(E4508,"°","º"))-1)),-1),IF(LEFT(E4508,6)="TÉRREO",0,IFERROR(VALUE(LEFT(E4508,FIND("º",SUBSTITUTE(E4508,"°","º"))-1)),""))))</f>
        <v/>
      </c>
      <c r="O4508" s="2">
        <f>IF(OR(F4508="",G4508=""),"",IF(G4508&lt;='RETRATO 2027'!$K$5,"CONCLUÍDA",IF(F4508&lt;='RETRATO 2027'!$K$5,"EM ANDAMENTO","A INICIAR")))</f>
        <v/>
      </c>
    </row>
    <row r="4509">
      <c r="M4509" s="2">
        <f>IF(C4509="","",IFERROR(INDEX($S$5:$S$304,MATCH(C4509,$R$5:$R$304,0))&amp;"","?"))</f>
        <v/>
      </c>
      <c r="N4509" s="2">
        <f>IF(E4509="","",IF(ISNUMBER(SEARCH("SUBSOLO",E4509)),IFERROR(-VALUE(LEFT(E4509,FIND("º",SUBSTITUTE(E4509,"°","º"))-1)),-1),IF(LEFT(E4509,6)="TÉRREO",0,IFERROR(VALUE(LEFT(E4509,FIND("º",SUBSTITUTE(E4509,"°","º"))-1)),""))))</f>
        <v/>
      </c>
      <c r="O4509" s="2">
        <f>IF(OR(F4509="",G4509=""),"",IF(G4509&lt;='RETRATO 2027'!$K$5,"CONCLUÍDA",IF(F4509&lt;='RETRATO 2027'!$K$5,"EM ANDAMENTO","A INICIAR")))</f>
        <v/>
      </c>
    </row>
    <row r="4510">
      <c r="M4510" s="2">
        <f>IF(C4510="","",IFERROR(INDEX($S$5:$S$304,MATCH(C4510,$R$5:$R$304,0))&amp;"","?"))</f>
        <v/>
      </c>
      <c r="N4510" s="2">
        <f>IF(E4510="","",IF(ISNUMBER(SEARCH("SUBSOLO",E4510)),IFERROR(-VALUE(LEFT(E4510,FIND("º",SUBSTITUTE(E4510,"°","º"))-1)),-1),IF(LEFT(E4510,6)="TÉRREO",0,IFERROR(VALUE(LEFT(E4510,FIND("º",SUBSTITUTE(E4510,"°","º"))-1)),""))))</f>
        <v/>
      </c>
      <c r="O4510" s="2">
        <f>IF(OR(F4510="",G4510=""),"",IF(G4510&lt;='RETRATO 2027'!$K$5,"CONCLUÍDA",IF(F4510&lt;='RETRATO 2027'!$K$5,"EM ANDAMENTO","A INICIAR")))</f>
        <v/>
      </c>
    </row>
    <row r="4511">
      <c r="M4511" s="2">
        <f>IF(C4511="","",IFERROR(INDEX($S$5:$S$304,MATCH(C4511,$R$5:$R$304,0))&amp;"","?"))</f>
        <v/>
      </c>
      <c r="N4511" s="2">
        <f>IF(E4511="","",IF(ISNUMBER(SEARCH("SUBSOLO",E4511)),IFERROR(-VALUE(LEFT(E4511,FIND("º",SUBSTITUTE(E4511,"°","º"))-1)),-1),IF(LEFT(E4511,6)="TÉRREO",0,IFERROR(VALUE(LEFT(E4511,FIND("º",SUBSTITUTE(E4511,"°","º"))-1)),""))))</f>
        <v/>
      </c>
      <c r="O4511" s="2">
        <f>IF(OR(F4511="",G4511=""),"",IF(G4511&lt;='RETRATO 2027'!$K$5,"CONCLUÍDA",IF(F4511&lt;='RETRATO 2027'!$K$5,"EM ANDAMENTO","A INICIAR")))</f>
        <v/>
      </c>
    </row>
    <row r="4512">
      <c r="M4512" s="2">
        <f>IF(C4512="","",IFERROR(INDEX($S$5:$S$304,MATCH(C4512,$R$5:$R$304,0))&amp;"","?"))</f>
        <v/>
      </c>
      <c r="N4512" s="2">
        <f>IF(E4512="","",IF(ISNUMBER(SEARCH("SUBSOLO",E4512)),IFERROR(-VALUE(LEFT(E4512,FIND("º",SUBSTITUTE(E4512,"°","º"))-1)),-1),IF(LEFT(E4512,6)="TÉRREO",0,IFERROR(VALUE(LEFT(E4512,FIND("º",SUBSTITUTE(E4512,"°","º"))-1)),""))))</f>
        <v/>
      </c>
      <c r="O4512" s="2">
        <f>IF(OR(F4512="",G4512=""),"",IF(G4512&lt;='RETRATO 2027'!$K$5,"CONCLUÍDA",IF(F4512&lt;='RETRATO 2027'!$K$5,"EM ANDAMENTO","A INICIAR")))</f>
        <v/>
      </c>
    </row>
    <row r="4513">
      <c r="M4513" s="2">
        <f>IF(C4513="","",IFERROR(INDEX($S$5:$S$304,MATCH(C4513,$R$5:$R$304,0))&amp;"","?"))</f>
        <v/>
      </c>
      <c r="N4513" s="2">
        <f>IF(E4513="","",IF(ISNUMBER(SEARCH("SUBSOLO",E4513)),IFERROR(-VALUE(LEFT(E4513,FIND("º",SUBSTITUTE(E4513,"°","º"))-1)),-1),IF(LEFT(E4513,6)="TÉRREO",0,IFERROR(VALUE(LEFT(E4513,FIND("º",SUBSTITUTE(E4513,"°","º"))-1)),""))))</f>
        <v/>
      </c>
      <c r="O4513" s="2">
        <f>IF(OR(F4513="",G4513=""),"",IF(G4513&lt;='RETRATO 2027'!$K$5,"CONCLUÍDA",IF(F4513&lt;='RETRATO 2027'!$K$5,"EM ANDAMENTO","A INICIAR")))</f>
        <v/>
      </c>
    </row>
    <row r="4514">
      <c r="M4514" s="2">
        <f>IF(C4514="","",IFERROR(INDEX($S$5:$S$304,MATCH(C4514,$R$5:$R$304,0))&amp;"","?"))</f>
        <v/>
      </c>
      <c r="N4514" s="2">
        <f>IF(E4514="","",IF(ISNUMBER(SEARCH("SUBSOLO",E4514)),IFERROR(-VALUE(LEFT(E4514,FIND("º",SUBSTITUTE(E4514,"°","º"))-1)),-1),IF(LEFT(E4514,6)="TÉRREO",0,IFERROR(VALUE(LEFT(E4514,FIND("º",SUBSTITUTE(E4514,"°","º"))-1)),""))))</f>
        <v/>
      </c>
      <c r="O4514" s="2">
        <f>IF(OR(F4514="",G4514=""),"",IF(G4514&lt;='RETRATO 2027'!$K$5,"CONCLUÍDA",IF(F4514&lt;='RETRATO 2027'!$K$5,"EM ANDAMENTO","A INICIAR")))</f>
        <v/>
      </c>
    </row>
    <row r="4515">
      <c r="M4515" s="2">
        <f>IF(C4515="","",IFERROR(INDEX($S$5:$S$304,MATCH(C4515,$R$5:$R$304,0))&amp;"","?"))</f>
        <v/>
      </c>
      <c r="N4515" s="2">
        <f>IF(E4515="","",IF(ISNUMBER(SEARCH("SUBSOLO",E4515)),IFERROR(-VALUE(LEFT(E4515,FIND("º",SUBSTITUTE(E4515,"°","º"))-1)),-1),IF(LEFT(E4515,6)="TÉRREO",0,IFERROR(VALUE(LEFT(E4515,FIND("º",SUBSTITUTE(E4515,"°","º"))-1)),""))))</f>
        <v/>
      </c>
      <c r="O4515" s="2">
        <f>IF(OR(F4515="",G4515=""),"",IF(G4515&lt;='RETRATO 2027'!$K$5,"CONCLUÍDA",IF(F4515&lt;='RETRATO 2027'!$K$5,"EM ANDAMENTO","A INICIAR")))</f>
        <v/>
      </c>
    </row>
    <row r="4516">
      <c r="M4516" s="2">
        <f>IF(C4516="","",IFERROR(INDEX($S$5:$S$304,MATCH(C4516,$R$5:$R$304,0))&amp;"","?"))</f>
        <v/>
      </c>
      <c r="N4516" s="2">
        <f>IF(E4516="","",IF(ISNUMBER(SEARCH("SUBSOLO",E4516)),IFERROR(-VALUE(LEFT(E4516,FIND("º",SUBSTITUTE(E4516,"°","º"))-1)),-1),IF(LEFT(E4516,6)="TÉRREO",0,IFERROR(VALUE(LEFT(E4516,FIND("º",SUBSTITUTE(E4516,"°","º"))-1)),""))))</f>
        <v/>
      </c>
      <c r="O4516" s="2">
        <f>IF(OR(F4516="",G4516=""),"",IF(G4516&lt;='RETRATO 2027'!$K$5,"CONCLUÍDA",IF(F4516&lt;='RETRATO 2027'!$K$5,"EM ANDAMENTO","A INICIAR")))</f>
        <v/>
      </c>
    </row>
    <row r="4517">
      <c r="M4517" s="2">
        <f>IF(C4517="","",IFERROR(INDEX($S$5:$S$304,MATCH(C4517,$R$5:$R$304,0))&amp;"","?"))</f>
        <v/>
      </c>
      <c r="N4517" s="2">
        <f>IF(E4517="","",IF(ISNUMBER(SEARCH("SUBSOLO",E4517)),IFERROR(-VALUE(LEFT(E4517,FIND("º",SUBSTITUTE(E4517,"°","º"))-1)),-1),IF(LEFT(E4517,6)="TÉRREO",0,IFERROR(VALUE(LEFT(E4517,FIND("º",SUBSTITUTE(E4517,"°","º"))-1)),""))))</f>
        <v/>
      </c>
      <c r="O4517" s="2">
        <f>IF(OR(F4517="",G4517=""),"",IF(G4517&lt;='RETRATO 2027'!$K$5,"CONCLUÍDA",IF(F4517&lt;='RETRATO 2027'!$K$5,"EM ANDAMENTO","A INICIAR")))</f>
        <v/>
      </c>
    </row>
    <row r="4518">
      <c r="M4518" s="2">
        <f>IF(C4518="","",IFERROR(INDEX($S$5:$S$304,MATCH(C4518,$R$5:$R$304,0))&amp;"","?"))</f>
        <v/>
      </c>
      <c r="N4518" s="2">
        <f>IF(E4518="","",IF(ISNUMBER(SEARCH("SUBSOLO",E4518)),IFERROR(-VALUE(LEFT(E4518,FIND("º",SUBSTITUTE(E4518,"°","º"))-1)),-1),IF(LEFT(E4518,6)="TÉRREO",0,IFERROR(VALUE(LEFT(E4518,FIND("º",SUBSTITUTE(E4518,"°","º"))-1)),""))))</f>
        <v/>
      </c>
      <c r="O4518" s="2">
        <f>IF(OR(F4518="",G4518=""),"",IF(G4518&lt;='RETRATO 2027'!$K$5,"CONCLUÍDA",IF(F4518&lt;='RETRATO 2027'!$K$5,"EM ANDAMENTO","A INICIAR")))</f>
        <v/>
      </c>
    </row>
    <row r="4519">
      <c r="M4519" s="2">
        <f>IF(C4519="","",IFERROR(INDEX($S$5:$S$304,MATCH(C4519,$R$5:$R$304,0))&amp;"","?"))</f>
        <v/>
      </c>
      <c r="N4519" s="2">
        <f>IF(E4519="","",IF(ISNUMBER(SEARCH("SUBSOLO",E4519)),IFERROR(-VALUE(LEFT(E4519,FIND("º",SUBSTITUTE(E4519,"°","º"))-1)),-1),IF(LEFT(E4519,6)="TÉRREO",0,IFERROR(VALUE(LEFT(E4519,FIND("º",SUBSTITUTE(E4519,"°","º"))-1)),""))))</f>
        <v/>
      </c>
      <c r="O4519" s="2">
        <f>IF(OR(F4519="",G4519=""),"",IF(G4519&lt;='RETRATO 2027'!$K$5,"CONCLUÍDA",IF(F4519&lt;='RETRATO 2027'!$K$5,"EM ANDAMENTO","A INICIAR")))</f>
        <v/>
      </c>
    </row>
    <row r="4520">
      <c r="M4520" s="2">
        <f>IF(C4520="","",IFERROR(INDEX($S$5:$S$304,MATCH(C4520,$R$5:$R$304,0))&amp;"","?"))</f>
        <v/>
      </c>
      <c r="N4520" s="2">
        <f>IF(E4520="","",IF(ISNUMBER(SEARCH("SUBSOLO",E4520)),IFERROR(-VALUE(LEFT(E4520,FIND("º",SUBSTITUTE(E4520,"°","º"))-1)),-1),IF(LEFT(E4520,6)="TÉRREO",0,IFERROR(VALUE(LEFT(E4520,FIND("º",SUBSTITUTE(E4520,"°","º"))-1)),""))))</f>
        <v/>
      </c>
      <c r="O4520" s="2">
        <f>IF(OR(F4520="",G4520=""),"",IF(G4520&lt;='RETRATO 2027'!$K$5,"CONCLUÍDA",IF(F4520&lt;='RETRATO 2027'!$K$5,"EM ANDAMENTO","A INICIAR")))</f>
        <v/>
      </c>
    </row>
    <row r="4521">
      <c r="M4521" s="2">
        <f>IF(C4521="","",IFERROR(INDEX($S$5:$S$304,MATCH(C4521,$R$5:$R$304,0))&amp;"","?"))</f>
        <v/>
      </c>
      <c r="N4521" s="2">
        <f>IF(E4521="","",IF(ISNUMBER(SEARCH("SUBSOLO",E4521)),IFERROR(-VALUE(LEFT(E4521,FIND("º",SUBSTITUTE(E4521,"°","º"))-1)),-1),IF(LEFT(E4521,6)="TÉRREO",0,IFERROR(VALUE(LEFT(E4521,FIND("º",SUBSTITUTE(E4521,"°","º"))-1)),""))))</f>
        <v/>
      </c>
      <c r="O4521" s="2">
        <f>IF(OR(F4521="",G4521=""),"",IF(G4521&lt;='RETRATO 2027'!$K$5,"CONCLUÍDA",IF(F4521&lt;='RETRATO 2027'!$K$5,"EM ANDAMENTO","A INICIAR")))</f>
        <v/>
      </c>
    </row>
    <row r="4522">
      <c r="M4522" s="2">
        <f>IF(C4522="","",IFERROR(INDEX($S$5:$S$304,MATCH(C4522,$R$5:$R$304,0))&amp;"","?"))</f>
        <v/>
      </c>
      <c r="N4522" s="2">
        <f>IF(E4522="","",IF(ISNUMBER(SEARCH("SUBSOLO",E4522)),IFERROR(-VALUE(LEFT(E4522,FIND("º",SUBSTITUTE(E4522,"°","º"))-1)),-1),IF(LEFT(E4522,6)="TÉRREO",0,IFERROR(VALUE(LEFT(E4522,FIND("º",SUBSTITUTE(E4522,"°","º"))-1)),""))))</f>
        <v/>
      </c>
      <c r="O4522" s="2">
        <f>IF(OR(F4522="",G4522=""),"",IF(G4522&lt;='RETRATO 2027'!$K$5,"CONCLUÍDA",IF(F4522&lt;='RETRATO 2027'!$K$5,"EM ANDAMENTO","A INICIAR")))</f>
        <v/>
      </c>
    </row>
    <row r="4523">
      <c r="M4523" s="2">
        <f>IF(C4523="","",IFERROR(INDEX($S$5:$S$304,MATCH(C4523,$R$5:$R$304,0))&amp;"","?"))</f>
        <v/>
      </c>
      <c r="N4523" s="2">
        <f>IF(E4523="","",IF(ISNUMBER(SEARCH("SUBSOLO",E4523)),IFERROR(-VALUE(LEFT(E4523,FIND("º",SUBSTITUTE(E4523,"°","º"))-1)),-1),IF(LEFT(E4523,6)="TÉRREO",0,IFERROR(VALUE(LEFT(E4523,FIND("º",SUBSTITUTE(E4523,"°","º"))-1)),""))))</f>
        <v/>
      </c>
      <c r="O4523" s="2">
        <f>IF(OR(F4523="",G4523=""),"",IF(G4523&lt;='RETRATO 2027'!$K$5,"CONCLUÍDA",IF(F4523&lt;='RETRATO 2027'!$K$5,"EM ANDAMENTO","A INICIAR")))</f>
        <v/>
      </c>
    </row>
    <row r="4524">
      <c r="M4524" s="2">
        <f>IF(C4524="","",IFERROR(INDEX($S$5:$S$304,MATCH(C4524,$R$5:$R$304,0))&amp;"","?"))</f>
        <v/>
      </c>
      <c r="N4524" s="2">
        <f>IF(E4524="","",IF(ISNUMBER(SEARCH("SUBSOLO",E4524)),IFERROR(-VALUE(LEFT(E4524,FIND("º",SUBSTITUTE(E4524,"°","º"))-1)),-1),IF(LEFT(E4524,6)="TÉRREO",0,IFERROR(VALUE(LEFT(E4524,FIND("º",SUBSTITUTE(E4524,"°","º"))-1)),""))))</f>
        <v/>
      </c>
      <c r="O4524" s="2">
        <f>IF(OR(F4524="",G4524=""),"",IF(G4524&lt;='RETRATO 2027'!$K$5,"CONCLUÍDA",IF(F4524&lt;='RETRATO 2027'!$K$5,"EM ANDAMENTO","A INICIAR")))</f>
        <v/>
      </c>
    </row>
    <row r="4525">
      <c r="M4525" s="2">
        <f>IF(C4525="","",IFERROR(INDEX($S$5:$S$304,MATCH(C4525,$R$5:$R$304,0))&amp;"","?"))</f>
        <v/>
      </c>
      <c r="N4525" s="2">
        <f>IF(E4525="","",IF(ISNUMBER(SEARCH("SUBSOLO",E4525)),IFERROR(-VALUE(LEFT(E4525,FIND("º",SUBSTITUTE(E4525,"°","º"))-1)),-1),IF(LEFT(E4525,6)="TÉRREO",0,IFERROR(VALUE(LEFT(E4525,FIND("º",SUBSTITUTE(E4525,"°","º"))-1)),""))))</f>
        <v/>
      </c>
      <c r="O4525" s="2">
        <f>IF(OR(F4525="",G4525=""),"",IF(G4525&lt;='RETRATO 2027'!$K$5,"CONCLUÍDA",IF(F4525&lt;='RETRATO 2027'!$K$5,"EM ANDAMENTO","A INICIAR")))</f>
        <v/>
      </c>
    </row>
    <row r="4526">
      <c r="M4526" s="2">
        <f>IF(C4526="","",IFERROR(INDEX($S$5:$S$304,MATCH(C4526,$R$5:$R$304,0))&amp;"","?"))</f>
        <v/>
      </c>
      <c r="N4526" s="2">
        <f>IF(E4526="","",IF(ISNUMBER(SEARCH("SUBSOLO",E4526)),IFERROR(-VALUE(LEFT(E4526,FIND("º",SUBSTITUTE(E4526,"°","º"))-1)),-1),IF(LEFT(E4526,6)="TÉRREO",0,IFERROR(VALUE(LEFT(E4526,FIND("º",SUBSTITUTE(E4526,"°","º"))-1)),""))))</f>
        <v/>
      </c>
      <c r="O4526" s="2">
        <f>IF(OR(F4526="",G4526=""),"",IF(G4526&lt;='RETRATO 2027'!$K$5,"CONCLUÍDA",IF(F4526&lt;='RETRATO 2027'!$K$5,"EM ANDAMENTO","A INICIAR")))</f>
        <v/>
      </c>
    </row>
    <row r="4527">
      <c r="M4527" s="2">
        <f>IF(C4527="","",IFERROR(INDEX($S$5:$S$304,MATCH(C4527,$R$5:$R$304,0))&amp;"","?"))</f>
        <v/>
      </c>
      <c r="N4527" s="2">
        <f>IF(E4527="","",IF(ISNUMBER(SEARCH("SUBSOLO",E4527)),IFERROR(-VALUE(LEFT(E4527,FIND("º",SUBSTITUTE(E4527,"°","º"))-1)),-1),IF(LEFT(E4527,6)="TÉRREO",0,IFERROR(VALUE(LEFT(E4527,FIND("º",SUBSTITUTE(E4527,"°","º"))-1)),""))))</f>
        <v/>
      </c>
      <c r="O4527" s="2">
        <f>IF(OR(F4527="",G4527=""),"",IF(G4527&lt;='RETRATO 2027'!$K$5,"CONCLUÍDA",IF(F4527&lt;='RETRATO 2027'!$K$5,"EM ANDAMENTO","A INICIAR")))</f>
        <v/>
      </c>
    </row>
    <row r="4528">
      <c r="M4528" s="2">
        <f>IF(C4528="","",IFERROR(INDEX($S$5:$S$304,MATCH(C4528,$R$5:$R$304,0))&amp;"","?"))</f>
        <v/>
      </c>
      <c r="N4528" s="2">
        <f>IF(E4528="","",IF(ISNUMBER(SEARCH("SUBSOLO",E4528)),IFERROR(-VALUE(LEFT(E4528,FIND("º",SUBSTITUTE(E4528,"°","º"))-1)),-1),IF(LEFT(E4528,6)="TÉRREO",0,IFERROR(VALUE(LEFT(E4528,FIND("º",SUBSTITUTE(E4528,"°","º"))-1)),""))))</f>
        <v/>
      </c>
      <c r="O4528" s="2">
        <f>IF(OR(F4528="",G4528=""),"",IF(G4528&lt;='RETRATO 2027'!$K$5,"CONCLUÍDA",IF(F4528&lt;='RETRATO 2027'!$K$5,"EM ANDAMENTO","A INICIAR")))</f>
        <v/>
      </c>
    </row>
    <row r="4529">
      <c r="M4529" s="2">
        <f>IF(C4529="","",IFERROR(INDEX($S$5:$S$304,MATCH(C4529,$R$5:$R$304,0))&amp;"","?"))</f>
        <v/>
      </c>
      <c r="N4529" s="2">
        <f>IF(E4529="","",IF(ISNUMBER(SEARCH("SUBSOLO",E4529)),IFERROR(-VALUE(LEFT(E4529,FIND("º",SUBSTITUTE(E4529,"°","º"))-1)),-1),IF(LEFT(E4529,6)="TÉRREO",0,IFERROR(VALUE(LEFT(E4529,FIND("º",SUBSTITUTE(E4529,"°","º"))-1)),""))))</f>
        <v/>
      </c>
      <c r="O4529" s="2">
        <f>IF(OR(F4529="",G4529=""),"",IF(G4529&lt;='RETRATO 2027'!$K$5,"CONCLUÍDA",IF(F4529&lt;='RETRATO 2027'!$K$5,"EM ANDAMENTO","A INICIAR")))</f>
        <v/>
      </c>
    </row>
    <row r="4530">
      <c r="M4530" s="2">
        <f>IF(C4530="","",IFERROR(INDEX($S$5:$S$304,MATCH(C4530,$R$5:$R$304,0))&amp;"","?"))</f>
        <v/>
      </c>
      <c r="N4530" s="2">
        <f>IF(E4530="","",IF(ISNUMBER(SEARCH("SUBSOLO",E4530)),IFERROR(-VALUE(LEFT(E4530,FIND("º",SUBSTITUTE(E4530,"°","º"))-1)),-1),IF(LEFT(E4530,6)="TÉRREO",0,IFERROR(VALUE(LEFT(E4530,FIND("º",SUBSTITUTE(E4530,"°","º"))-1)),""))))</f>
        <v/>
      </c>
      <c r="O4530" s="2">
        <f>IF(OR(F4530="",G4530=""),"",IF(G4530&lt;='RETRATO 2027'!$K$5,"CONCLUÍDA",IF(F4530&lt;='RETRATO 2027'!$K$5,"EM ANDAMENTO","A INICIAR")))</f>
        <v/>
      </c>
    </row>
    <row r="4531">
      <c r="M4531" s="2">
        <f>IF(C4531="","",IFERROR(INDEX($S$5:$S$304,MATCH(C4531,$R$5:$R$304,0))&amp;"","?"))</f>
        <v/>
      </c>
      <c r="N4531" s="2">
        <f>IF(E4531="","",IF(ISNUMBER(SEARCH("SUBSOLO",E4531)),IFERROR(-VALUE(LEFT(E4531,FIND("º",SUBSTITUTE(E4531,"°","º"))-1)),-1),IF(LEFT(E4531,6)="TÉRREO",0,IFERROR(VALUE(LEFT(E4531,FIND("º",SUBSTITUTE(E4531,"°","º"))-1)),""))))</f>
        <v/>
      </c>
      <c r="O4531" s="2">
        <f>IF(OR(F4531="",G4531=""),"",IF(G4531&lt;='RETRATO 2027'!$K$5,"CONCLUÍDA",IF(F4531&lt;='RETRATO 2027'!$K$5,"EM ANDAMENTO","A INICIAR")))</f>
        <v/>
      </c>
    </row>
    <row r="4532">
      <c r="M4532" s="2">
        <f>IF(C4532="","",IFERROR(INDEX($S$5:$S$304,MATCH(C4532,$R$5:$R$304,0))&amp;"","?"))</f>
        <v/>
      </c>
      <c r="N4532" s="2">
        <f>IF(E4532="","",IF(ISNUMBER(SEARCH("SUBSOLO",E4532)),IFERROR(-VALUE(LEFT(E4532,FIND("º",SUBSTITUTE(E4532,"°","º"))-1)),-1),IF(LEFT(E4532,6)="TÉRREO",0,IFERROR(VALUE(LEFT(E4532,FIND("º",SUBSTITUTE(E4532,"°","º"))-1)),""))))</f>
        <v/>
      </c>
      <c r="O4532" s="2">
        <f>IF(OR(F4532="",G4532=""),"",IF(G4532&lt;='RETRATO 2027'!$K$5,"CONCLUÍDA",IF(F4532&lt;='RETRATO 2027'!$K$5,"EM ANDAMENTO","A INICIAR")))</f>
        <v/>
      </c>
    </row>
    <row r="4533">
      <c r="M4533" s="2">
        <f>IF(C4533="","",IFERROR(INDEX($S$5:$S$304,MATCH(C4533,$R$5:$R$304,0))&amp;"","?"))</f>
        <v/>
      </c>
      <c r="N4533" s="2">
        <f>IF(E4533="","",IF(ISNUMBER(SEARCH("SUBSOLO",E4533)),IFERROR(-VALUE(LEFT(E4533,FIND("º",SUBSTITUTE(E4533,"°","º"))-1)),-1),IF(LEFT(E4533,6)="TÉRREO",0,IFERROR(VALUE(LEFT(E4533,FIND("º",SUBSTITUTE(E4533,"°","º"))-1)),""))))</f>
        <v/>
      </c>
      <c r="O4533" s="2">
        <f>IF(OR(F4533="",G4533=""),"",IF(G4533&lt;='RETRATO 2027'!$K$5,"CONCLUÍDA",IF(F4533&lt;='RETRATO 2027'!$K$5,"EM ANDAMENTO","A INICIAR")))</f>
        <v/>
      </c>
    </row>
    <row r="4534">
      <c r="M4534" s="2">
        <f>IF(C4534="","",IFERROR(INDEX($S$5:$S$304,MATCH(C4534,$R$5:$R$304,0))&amp;"","?"))</f>
        <v/>
      </c>
      <c r="N4534" s="2">
        <f>IF(E4534="","",IF(ISNUMBER(SEARCH("SUBSOLO",E4534)),IFERROR(-VALUE(LEFT(E4534,FIND("º",SUBSTITUTE(E4534,"°","º"))-1)),-1),IF(LEFT(E4534,6)="TÉRREO",0,IFERROR(VALUE(LEFT(E4534,FIND("º",SUBSTITUTE(E4534,"°","º"))-1)),""))))</f>
        <v/>
      </c>
      <c r="O4534" s="2">
        <f>IF(OR(F4534="",G4534=""),"",IF(G4534&lt;='RETRATO 2027'!$K$5,"CONCLUÍDA",IF(F4534&lt;='RETRATO 2027'!$K$5,"EM ANDAMENTO","A INICIAR")))</f>
        <v/>
      </c>
    </row>
    <row r="4535">
      <c r="M4535" s="2">
        <f>IF(C4535="","",IFERROR(INDEX($S$5:$S$304,MATCH(C4535,$R$5:$R$304,0))&amp;"","?"))</f>
        <v/>
      </c>
      <c r="N4535" s="2">
        <f>IF(E4535="","",IF(ISNUMBER(SEARCH("SUBSOLO",E4535)),IFERROR(-VALUE(LEFT(E4535,FIND("º",SUBSTITUTE(E4535,"°","º"))-1)),-1),IF(LEFT(E4535,6)="TÉRREO",0,IFERROR(VALUE(LEFT(E4535,FIND("º",SUBSTITUTE(E4535,"°","º"))-1)),""))))</f>
        <v/>
      </c>
      <c r="O4535" s="2">
        <f>IF(OR(F4535="",G4535=""),"",IF(G4535&lt;='RETRATO 2027'!$K$5,"CONCLUÍDA",IF(F4535&lt;='RETRATO 2027'!$K$5,"EM ANDAMENTO","A INICIAR")))</f>
        <v/>
      </c>
    </row>
    <row r="4536">
      <c r="M4536" s="2">
        <f>IF(C4536="","",IFERROR(INDEX($S$5:$S$304,MATCH(C4536,$R$5:$R$304,0))&amp;"","?"))</f>
        <v/>
      </c>
      <c r="N4536" s="2">
        <f>IF(E4536="","",IF(ISNUMBER(SEARCH("SUBSOLO",E4536)),IFERROR(-VALUE(LEFT(E4536,FIND("º",SUBSTITUTE(E4536,"°","º"))-1)),-1),IF(LEFT(E4536,6)="TÉRREO",0,IFERROR(VALUE(LEFT(E4536,FIND("º",SUBSTITUTE(E4536,"°","º"))-1)),""))))</f>
        <v/>
      </c>
      <c r="O4536" s="2">
        <f>IF(OR(F4536="",G4536=""),"",IF(G4536&lt;='RETRATO 2027'!$K$5,"CONCLUÍDA",IF(F4536&lt;='RETRATO 2027'!$K$5,"EM ANDAMENTO","A INICIAR")))</f>
        <v/>
      </c>
    </row>
    <row r="4537">
      <c r="M4537" s="2">
        <f>IF(C4537="","",IFERROR(INDEX($S$5:$S$304,MATCH(C4537,$R$5:$R$304,0))&amp;"","?"))</f>
        <v/>
      </c>
      <c r="N4537" s="2">
        <f>IF(E4537="","",IF(ISNUMBER(SEARCH("SUBSOLO",E4537)),IFERROR(-VALUE(LEFT(E4537,FIND("º",SUBSTITUTE(E4537,"°","º"))-1)),-1),IF(LEFT(E4537,6)="TÉRREO",0,IFERROR(VALUE(LEFT(E4537,FIND("º",SUBSTITUTE(E4537,"°","º"))-1)),""))))</f>
        <v/>
      </c>
      <c r="O4537" s="2">
        <f>IF(OR(F4537="",G4537=""),"",IF(G4537&lt;='RETRATO 2027'!$K$5,"CONCLUÍDA",IF(F4537&lt;='RETRATO 2027'!$K$5,"EM ANDAMENTO","A INICIAR")))</f>
        <v/>
      </c>
    </row>
    <row r="4538">
      <c r="M4538" s="2">
        <f>IF(C4538="","",IFERROR(INDEX($S$5:$S$304,MATCH(C4538,$R$5:$R$304,0))&amp;"","?"))</f>
        <v/>
      </c>
      <c r="N4538" s="2">
        <f>IF(E4538="","",IF(ISNUMBER(SEARCH("SUBSOLO",E4538)),IFERROR(-VALUE(LEFT(E4538,FIND("º",SUBSTITUTE(E4538,"°","º"))-1)),-1),IF(LEFT(E4538,6)="TÉRREO",0,IFERROR(VALUE(LEFT(E4538,FIND("º",SUBSTITUTE(E4538,"°","º"))-1)),""))))</f>
        <v/>
      </c>
      <c r="O4538" s="2">
        <f>IF(OR(F4538="",G4538=""),"",IF(G4538&lt;='RETRATO 2027'!$K$5,"CONCLUÍDA",IF(F4538&lt;='RETRATO 2027'!$K$5,"EM ANDAMENTO","A INICIAR")))</f>
        <v/>
      </c>
    </row>
    <row r="4539">
      <c r="M4539" s="2">
        <f>IF(C4539="","",IFERROR(INDEX($S$5:$S$304,MATCH(C4539,$R$5:$R$304,0))&amp;"","?"))</f>
        <v/>
      </c>
      <c r="N4539" s="2">
        <f>IF(E4539="","",IF(ISNUMBER(SEARCH("SUBSOLO",E4539)),IFERROR(-VALUE(LEFT(E4539,FIND("º",SUBSTITUTE(E4539,"°","º"))-1)),-1),IF(LEFT(E4539,6)="TÉRREO",0,IFERROR(VALUE(LEFT(E4539,FIND("º",SUBSTITUTE(E4539,"°","º"))-1)),""))))</f>
        <v/>
      </c>
      <c r="O4539" s="2">
        <f>IF(OR(F4539="",G4539=""),"",IF(G4539&lt;='RETRATO 2027'!$K$5,"CONCLUÍDA",IF(F4539&lt;='RETRATO 2027'!$K$5,"EM ANDAMENTO","A INICIAR")))</f>
        <v/>
      </c>
    </row>
    <row r="4540">
      <c r="M4540" s="2">
        <f>IF(C4540="","",IFERROR(INDEX($S$5:$S$304,MATCH(C4540,$R$5:$R$304,0))&amp;"","?"))</f>
        <v/>
      </c>
      <c r="N4540" s="2">
        <f>IF(E4540="","",IF(ISNUMBER(SEARCH("SUBSOLO",E4540)),IFERROR(-VALUE(LEFT(E4540,FIND("º",SUBSTITUTE(E4540,"°","º"))-1)),-1),IF(LEFT(E4540,6)="TÉRREO",0,IFERROR(VALUE(LEFT(E4540,FIND("º",SUBSTITUTE(E4540,"°","º"))-1)),""))))</f>
        <v/>
      </c>
      <c r="O4540" s="2">
        <f>IF(OR(F4540="",G4540=""),"",IF(G4540&lt;='RETRATO 2027'!$K$5,"CONCLUÍDA",IF(F4540&lt;='RETRATO 2027'!$K$5,"EM ANDAMENTO","A INICIAR")))</f>
        <v/>
      </c>
    </row>
    <row r="4541">
      <c r="M4541" s="2">
        <f>IF(C4541="","",IFERROR(INDEX($S$5:$S$304,MATCH(C4541,$R$5:$R$304,0))&amp;"","?"))</f>
        <v/>
      </c>
      <c r="N4541" s="2">
        <f>IF(E4541="","",IF(ISNUMBER(SEARCH("SUBSOLO",E4541)),IFERROR(-VALUE(LEFT(E4541,FIND("º",SUBSTITUTE(E4541,"°","º"))-1)),-1),IF(LEFT(E4541,6)="TÉRREO",0,IFERROR(VALUE(LEFT(E4541,FIND("º",SUBSTITUTE(E4541,"°","º"))-1)),""))))</f>
        <v/>
      </c>
      <c r="O4541" s="2">
        <f>IF(OR(F4541="",G4541=""),"",IF(G4541&lt;='RETRATO 2027'!$K$5,"CONCLUÍDA",IF(F4541&lt;='RETRATO 2027'!$K$5,"EM ANDAMENTO","A INICIAR")))</f>
        <v/>
      </c>
    </row>
    <row r="4542">
      <c r="M4542" s="2">
        <f>IF(C4542="","",IFERROR(INDEX($S$5:$S$304,MATCH(C4542,$R$5:$R$304,0))&amp;"","?"))</f>
        <v/>
      </c>
      <c r="N4542" s="2">
        <f>IF(E4542="","",IF(ISNUMBER(SEARCH("SUBSOLO",E4542)),IFERROR(-VALUE(LEFT(E4542,FIND("º",SUBSTITUTE(E4542,"°","º"))-1)),-1),IF(LEFT(E4542,6)="TÉRREO",0,IFERROR(VALUE(LEFT(E4542,FIND("º",SUBSTITUTE(E4542,"°","º"))-1)),""))))</f>
        <v/>
      </c>
      <c r="O4542" s="2">
        <f>IF(OR(F4542="",G4542=""),"",IF(G4542&lt;='RETRATO 2027'!$K$5,"CONCLUÍDA",IF(F4542&lt;='RETRATO 2027'!$K$5,"EM ANDAMENTO","A INICIAR")))</f>
        <v/>
      </c>
    </row>
    <row r="4543">
      <c r="M4543" s="2">
        <f>IF(C4543="","",IFERROR(INDEX($S$5:$S$304,MATCH(C4543,$R$5:$R$304,0))&amp;"","?"))</f>
        <v/>
      </c>
      <c r="N4543" s="2">
        <f>IF(E4543="","",IF(ISNUMBER(SEARCH("SUBSOLO",E4543)),IFERROR(-VALUE(LEFT(E4543,FIND("º",SUBSTITUTE(E4543,"°","º"))-1)),-1),IF(LEFT(E4543,6)="TÉRREO",0,IFERROR(VALUE(LEFT(E4543,FIND("º",SUBSTITUTE(E4543,"°","º"))-1)),""))))</f>
        <v/>
      </c>
      <c r="O4543" s="2">
        <f>IF(OR(F4543="",G4543=""),"",IF(G4543&lt;='RETRATO 2027'!$K$5,"CONCLUÍDA",IF(F4543&lt;='RETRATO 2027'!$K$5,"EM ANDAMENTO","A INICIAR")))</f>
        <v/>
      </c>
    </row>
    <row r="4544">
      <c r="M4544" s="2">
        <f>IF(C4544="","",IFERROR(INDEX($S$5:$S$304,MATCH(C4544,$R$5:$R$304,0))&amp;"","?"))</f>
        <v/>
      </c>
      <c r="N4544" s="2">
        <f>IF(E4544="","",IF(ISNUMBER(SEARCH("SUBSOLO",E4544)),IFERROR(-VALUE(LEFT(E4544,FIND("º",SUBSTITUTE(E4544,"°","º"))-1)),-1),IF(LEFT(E4544,6)="TÉRREO",0,IFERROR(VALUE(LEFT(E4544,FIND("º",SUBSTITUTE(E4544,"°","º"))-1)),""))))</f>
        <v/>
      </c>
      <c r="O4544" s="2">
        <f>IF(OR(F4544="",G4544=""),"",IF(G4544&lt;='RETRATO 2027'!$K$5,"CONCLUÍDA",IF(F4544&lt;='RETRATO 2027'!$K$5,"EM ANDAMENTO","A INICIAR")))</f>
        <v/>
      </c>
    </row>
    <row r="4545">
      <c r="M4545" s="2">
        <f>IF(C4545="","",IFERROR(INDEX($S$5:$S$304,MATCH(C4545,$R$5:$R$304,0))&amp;"","?"))</f>
        <v/>
      </c>
      <c r="N4545" s="2">
        <f>IF(E4545="","",IF(ISNUMBER(SEARCH("SUBSOLO",E4545)),IFERROR(-VALUE(LEFT(E4545,FIND("º",SUBSTITUTE(E4545,"°","º"))-1)),-1),IF(LEFT(E4545,6)="TÉRREO",0,IFERROR(VALUE(LEFT(E4545,FIND("º",SUBSTITUTE(E4545,"°","º"))-1)),""))))</f>
        <v/>
      </c>
      <c r="O4545" s="2">
        <f>IF(OR(F4545="",G4545=""),"",IF(G4545&lt;='RETRATO 2027'!$K$5,"CONCLUÍDA",IF(F4545&lt;='RETRATO 2027'!$K$5,"EM ANDAMENTO","A INICIAR")))</f>
        <v/>
      </c>
    </row>
    <row r="4546">
      <c r="M4546" s="2">
        <f>IF(C4546="","",IFERROR(INDEX($S$5:$S$304,MATCH(C4546,$R$5:$R$304,0))&amp;"","?"))</f>
        <v/>
      </c>
      <c r="N4546" s="2">
        <f>IF(E4546="","",IF(ISNUMBER(SEARCH("SUBSOLO",E4546)),IFERROR(-VALUE(LEFT(E4546,FIND("º",SUBSTITUTE(E4546,"°","º"))-1)),-1),IF(LEFT(E4546,6)="TÉRREO",0,IFERROR(VALUE(LEFT(E4546,FIND("º",SUBSTITUTE(E4546,"°","º"))-1)),""))))</f>
        <v/>
      </c>
      <c r="O4546" s="2">
        <f>IF(OR(F4546="",G4546=""),"",IF(G4546&lt;='RETRATO 2027'!$K$5,"CONCLUÍDA",IF(F4546&lt;='RETRATO 2027'!$K$5,"EM ANDAMENTO","A INICIAR")))</f>
        <v/>
      </c>
    </row>
    <row r="4547">
      <c r="M4547" s="2">
        <f>IF(C4547="","",IFERROR(INDEX($S$5:$S$304,MATCH(C4547,$R$5:$R$304,0))&amp;"","?"))</f>
        <v/>
      </c>
      <c r="N4547" s="2">
        <f>IF(E4547="","",IF(ISNUMBER(SEARCH("SUBSOLO",E4547)),IFERROR(-VALUE(LEFT(E4547,FIND("º",SUBSTITUTE(E4547,"°","º"))-1)),-1),IF(LEFT(E4547,6)="TÉRREO",0,IFERROR(VALUE(LEFT(E4547,FIND("º",SUBSTITUTE(E4547,"°","º"))-1)),""))))</f>
        <v/>
      </c>
      <c r="O4547" s="2">
        <f>IF(OR(F4547="",G4547=""),"",IF(G4547&lt;='RETRATO 2027'!$K$5,"CONCLUÍDA",IF(F4547&lt;='RETRATO 2027'!$K$5,"EM ANDAMENTO","A INICIAR")))</f>
        <v/>
      </c>
    </row>
    <row r="4548">
      <c r="M4548" s="2">
        <f>IF(C4548="","",IFERROR(INDEX($S$5:$S$304,MATCH(C4548,$R$5:$R$304,0))&amp;"","?"))</f>
        <v/>
      </c>
      <c r="N4548" s="2">
        <f>IF(E4548="","",IF(ISNUMBER(SEARCH("SUBSOLO",E4548)),IFERROR(-VALUE(LEFT(E4548,FIND("º",SUBSTITUTE(E4548,"°","º"))-1)),-1),IF(LEFT(E4548,6)="TÉRREO",0,IFERROR(VALUE(LEFT(E4548,FIND("º",SUBSTITUTE(E4548,"°","º"))-1)),""))))</f>
        <v/>
      </c>
      <c r="O4548" s="2">
        <f>IF(OR(F4548="",G4548=""),"",IF(G4548&lt;='RETRATO 2027'!$K$5,"CONCLUÍDA",IF(F4548&lt;='RETRATO 2027'!$K$5,"EM ANDAMENTO","A INICIAR")))</f>
        <v/>
      </c>
    </row>
    <row r="4549">
      <c r="M4549" s="2">
        <f>IF(C4549="","",IFERROR(INDEX($S$5:$S$304,MATCH(C4549,$R$5:$R$304,0))&amp;"","?"))</f>
        <v/>
      </c>
      <c r="N4549" s="2">
        <f>IF(E4549="","",IF(ISNUMBER(SEARCH("SUBSOLO",E4549)),IFERROR(-VALUE(LEFT(E4549,FIND("º",SUBSTITUTE(E4549,"°","º"))-1)),-1),IF(LEFT(E4549,6)="TÉRREO",0,IFERROR(VALUE(LEFT(E4549,FIND("º",SUBSTITUTE(E4549,"°","º"))-1)),""))))</f>
        <v/>
      </c>
      <c r="O4549" s="2">
        <f>IF(OR(F4549="",G4549=""),"",IF(G4549&lt;='RETRATO 2027'!$K$5,"CONCLUÍDA",IF(F4549&lt;='RETRATO 2027'!$K$5,"EM ANDAMENTO","A INICIAR")))</f>
        <v/>
      </c>
    </row>
    <row r="4550">
      <c r="M4550" s="2">
        <f>IF(C4550="","",IFERROR(INDEX($S$5:$S$304,MATCH(C4550,$R$5:$R$304,0))&amp;"","?"))</f>
        <v/>
      </c>
      <c r="N4550" s="2">
        <f>IF(E4550="","",IF(ISNUMBER(SEARCH("SUBSOLO",E4550)),IFERROR(-VALUE(LEFT(E4550,FIND("º",SUBSTITUTE(E4550,"°","º"))-1)),-1),IF(LEFT(E4550,6)="TÉRREO",0,IFERROR(VALUE(LEFT(E4550,FIND("º",SUBSTITUTE(E4550,"°","º"))-1)),""))))</f>
        <v/>
      </c>
      <c r="O4550" s="2">
        <f>IF(OR(F4550="",G4550=""),"",IF(G4550&lt;='RETRATO 2027'!$K$5,"CONCLUÍDA",IF(F4550&lt;='RETRATO 2027'!$K$5,"EM ANDAMENTO","A INICIAR")))</f>
        <v/>
      </c>
    </row>
    <row r="4551">
      <c r="M4551" s="2">
        <f>IF(C4551="","",IFERROR(INDEX($S$5:$S$304,MATCH(C4551,$R$5:$R$304,0))&amp;"","?"))</f>
        <v/>
      </c>
      <c r="N4551" s="2">
        <f>IF(E4551="","",IF(ISNUMBER(SEARCH("SUBSOLO",E4551)),IFERROR(-VALUE(LEFT(E4551,FIND("º",SUBSTITUTE(E4551,"°","º"))-1)),-1),IF(LEFT(E4551,6)="TÉRREO",0,IFERROR(VALUE(LEFT(E4551,FIND("º",SUBSTITUTE(E4551,"°","º"))-1)),""))))</f>
        <v/>
      </c>
      <c r="O4551" s="2">
        <f>IF(OR(F4551="",G4551=""),"",IF(G4551&lt;='RETRATO 2027'!$K$5,"CONCLUÍDA",IF(F4551&lt;='RETRATO 2027'!$K$5,"EM ANDAMENTO","A INICIAR")))</f>
        <v/>
      </c>
    </row>
    <row r="4552">
      <c r="M4552" s="2">
        <f>IF(C4552="","",IFERROR(INDEX($S$5:$S$304,MATCH(C4552,$R$5:$R$304,0))&amp;"","?"))</f>
        <v/>
      </c>
      <c r="N4552" s="2">
        <f>IF(E4552="","",IF(ISNUMBER(SEARCH("SUBSOLO",E4552)),IFERROR(-VALUE(LEFT(E4552,FIND("º",SUBSTITUTE(E4552,"°","º"))-1)),-1),IF(LEFT(E4552,6)="TÉRREO",0,IFERROR(VALUE(LEFT(E4552,FIND("º",SUBSTITUTE(E4552,"°","º"))-1)),""))))</f>
        <v/>
      </c>
      <c r="O4552" s="2">
        <f>IF(OR(F4552="",G4552=""),"",IF(G4552&lt;='RETRATO 2027'!$K$5,"CONCLUÍDA",IF(F4552&lt;='RETRATO 2027'!$K$5,"EM ANDAMENTO","A INICIAR")))</f>
        <v/>
      </c>
    </row>
    <row r="4553">
      <c r="M4553" s="2">
        <f>IF(C4553="","",IFERROR(INDEX($S$5:$S$304,MATCH(C4553,$R$5:$R$304,0))&amp;"","?"))</f>
        <v/>
      </c>
      <c r="N4553" s="2">
        <f>IF(E4553="","",IF(ISNUMBER(SEARCH("SUBSOLO",E4553)),IFERROR(-VALUE(LEFT(E4553,FIND("º",SUBSTITUTE(E4553,"°","º"))-1)),-1),IF(LEFT(E4553,6)="TÉRREO",0,IFERROR(VALUE(LEFT(E4553,FIND("º",SUBSTITUTE(E4553,"°","º"))-1)),""))))</f>
        <v/>
      </c>
      <c r="O4553" s="2">
        <f>IF(OR(F4553="",G4553=""),"",IF(G4553&lt;='RETRATO 2027'!$K$5,"CONCLUÍDA",IF(F4553&lt;='RETRATO 2027'!$K$5,"EM ANDAMENTO","A INICIAR")))</f>
        <v/>
      </c>
    </row>
    <row r="4554">
      <c r="M4554" s="2">
        <f>IF(C4554="","",IFERROR(INDEX($S$5:$S$304,MATCH(C4554,$R$5:$R$304,0))&amp;"","?"))</f>
        <v/>
      </c>
      <c r="N4554" s="2">
        <f>IF(E4554="","",IF(ISNUMBER(SEARCH("SUBSOLO",E4554)),IFERROR(-VALUE(LEFT(E4554,FIND("º",SUBSTITUTE(E4554,"°","º"))-1)),-1),IF(LEFT(E4554,6)="TÉRREO",0,IFERROR(VALUE(LEFT(E4554,FIND("º",SUBSTITUTE(E4554,"°","º"))-1)),""))))</f>
        <v/>
      </c>
      <c r="O4554" s="2">
        <f>IF(OR(F4554="",G4554=""),"",IF(G4554&lt;='RETRATO 2027'!$K$5,"CONCLUÍDA",IF(F4554&lt;='RETRATO 2027'!$K$5,"EM ANDAMENTO","A INICIAR")))</f>
        <v/>
      </c>
    </row>
    <row r="4555">
      <c r="M4555" s="2">
        <f>IF(C4555="","",IFERROR(INDEX($S$5:$S$304,MATCH(C4555,$R$5:$R$304,0))&amp;"","?"))</f>
        <v/>
      </c>
      <c r="N4555" s="2">
        <f>IF(E4555="","",IF(ISNUMBER(SEARCH("SUBSOLO",E4555)),IFERROR(-VALUE(LEFT(E4555,FIND("º",SUBSTITUTE(E4555,"°","º"))-1)),-1),IF(LEFT(E4555,6)="TÉRREO",0,IFERROR(VALUE(LEFT(E4555,FIND("º",SUBSTITUTE(E4555,"°","º"))-1)),""))))</f>
        <v/>
      </c>
      <c r="O4555" s="2">
        <f>IF(OR(F4555="",G4555=""),"",IF(G4555&lt;='RETRATO 2027'!$K$5,"CONCLUÍDA",IF(F4555&lt;='RETRATO 2027'!$K$5,"EM ANDAMENTO","A INICIAR")))</f>
        <v/>
      </c>
    </row>
    <row r="4556">
      <c r="M4556" s="2">
        <f>IF(C4556="","",IFERROR(INDEX($S$5:$S$304,MATCH(C4556,$R$5:$R$304,0))&amp;"","?"))</f>
        <v/>
      </c>
      <c r="N4556" s="2">
        <f>IF(E4556="","",IF(ISNUMBER(SEARCH("SUBSOLO",E4556)),IFERROR(-VALUE(LEFT(E4556,FIND("º",SUBSTITUTE(E4556,"°","º"))-1)),-1),IF(LEFT(E4556,6)="TÉRREO",0,IFERROR(VALUE(LEFT(E4556,FIND("º",SUBSTITUTE(E4556,"°","º"))-1)),""))))</f>
        <v/>
      </c>
      <c r="O4556" s="2">
        <f>IF(OR(F4556="",G4556=""),"",IF(G4556&lt;='RETRATO 2027'!$K$5,"CONCLUÍDA",IF(F4556&lt;='RETRATO 2027'!$K$5,"EM ANDAMENTO","A INICIAR")))</f>
        <v/>
      </c>
    </row>
    <row r="4557">
      <c r="M4557" s="2">
        <f>IF(C4557="","",IFERROR(INDEX($S$5:$S$304,MATCH(C4557,$R$5:$R$304,0))&amp;"","?"))</f>
        <v/>
      </c>
      <c r="N4557" s="2">
        <f>IF(E4557="","",IF(ISNUMBER(SEARCH("SUBSOLO",E4557)),IFERROR(-VALUE(LEFT(E4557,FIND("º",SUBSTITUTE(E4557,"°","º"))-1)),-1),IF(LEFT(E4557,6)="TÉRREO",0,IFERROR(VALUE(LEFT(E4557,FIND("º",SUBSTITUTE(E4557,"°","º"))-1)),""))))</f>
        <v/>
      </c>
      <c r="O4557" s="2">
        <f>IF(OR(F4557="",G4557=""),"",IF(G4557&lt;='RETRATO 2027'!$K$5,"CONCLUÍDA",IF(F4557&lt;='RETRATO 2027'!$K$5,"EM ANDAMENTO","A INICIAR")))</f>
        <v/>
      </c>
    </row>
    <row r="4558">
      <c r="M4558" s="2">
        <f>IF(C4558="","",IFERROR(INDEX($S$5:$S$304,MATCH(C4558,$R$5:$R$304,0))&amp;"","?"))</f>
        <v/>
      </c>
      <c r="N4558" s="2">
        <f>IF(E4558="","",IF(ISNUMBER(SEARCH("SUBSOLO",E4558)),IFERROR(-VALUE(LEFT(E4558,FIND("º",SUBSTITUTE(E4558,"°","º"))-1)),-1),IF(LEFT(E4558,6)="TÉRREO",0,IFERROR(VALUE(LEFT(E4558,FIND("º",SUBSTITUTE(E4558,"°","º"))-1)),""))))</f>
        <v/>
      </c>
      <c r="O4558" s="2">
        <f>IF(OR(F4558="",G4558=""),"",IF(G4558&lt;='RETRATO 2027'!$K$5,"CONCLUÍDA",IF(F4558&lt;='RETRATO 2027'!$K$5,"EM ANDAMENTO","A INICIAR")))</f>
        <v/>
      </c>
    </row>
    <row r="4559">
      <c r="M4559" s="2">
        <f>IF(C4559="","",IFERROR(INDEX($S$5:$S$304,MATCH(C4559,$R$5:$R$304,0))&amp;"","?"))</f>
        <v/>
      </c>
      <c r="N4559" s="2">
        <f>IF(E4559="","",IF(ISNUMBER(SEARCH("SUBSOLO",E4559)),IFERROR(-VALUE(LEFT(E4559,FIND("º",SUBSTITUTE(E4559,"°","º"))-1)),-1),IF(LEFT(E4559,6)="TÉRREO",0,IFERROR(VALUE(LEFT(E4559,FIND("º",SUBSTITUTE(E4559,"°","º"))-1)),""))))</f>
        <v/>
      </c>
      <c r="O4559" s="2">
        <f>IF(OR(F4559="",G4559=""),"",IF(G4559&lt;='RETRATO 2027'!$K$5,"CONCLUÍDA",IF(F4559&lt;='RETRATO 2027'!$K$5,"EM ANDAMENTO","A INICIAR")))</f>
        <v/>
      </c>
    </row>
    <row r="4560">
      <c r="M4560" s="2">
        <f>IF(C4560="","",IFERROR(INDEX($S$5:$S$304,MATCH(C4560,$R$5:$R$304,0))&amp;"","?"))</f>
        <v/>
      </c>
      <c r="N4560" s="2">
        <f>IF(E4560="","",IF(ISNUMBER(SEARCH("SUBSOLO",E4560)),IFERROR(-VALUE(LEFT(E4560,FIND("º",SUBSTITUTE(E4560,"°","º"))-1)),-1),IF(LEFT(E4560,6)="TÉRREO",0,IFERROR(VALUE(LEFT(E4560,FIND("º",SUBSTITUTE(E4560,"°","º"))-1)),""))))</f>
        <v/>
      </c>
      <c r="O4560" s="2">
        <f>IF(OR(F4560="",G4560=""),"",IF(G4560&lt;='RETRATO 2027'!$K$5,"CONCLUÍDA",IF(F4560&lt;='RETRATO 2027'!$K$5,"EM ANDAMENTO","A INICIAR")))</f>
        <v/>
      </c>
    </row>
    <row r="4561">
      <c r="M4561" s="2">
        <f>IF(C4561="","",IFERROR(INDEX($S$5:$S$304,MATCH(C4561,$R$5:$R$304,0))&amp;"","?"))</f>
        <v/>
      </c>
      <c r="N4561" s="2">
        <f>IF(E4561="","",IF(ISNUMBER(SEARCH("SUBSOLO",E4561)),IFERROR(-VALUE(LEFT(E4561,FIND("º",SUBSTITUTE(E4561,"°","º"))-1)),-1),IF(LEFT(E4561,6)="TÉRREO",0,IFERROR(VALUE(LEFT(E4561,FIND("º",SUBSTITUTE(E4561,"°","º"))-1)),""))))</f>
        <v/>
      </c>
      <c r="O4561" s="2">
        <f>IF(OR(F4561="",G4561=""),"",IF(G4561&lt;='RETRATO 2027'!$K$5,"CONCLUÍDA",IF(F4561&lt;='RETRATO 2027'!$K$5,"EM ANDAMENTO","A INICIAR")))</f>
        <v/>
      </c>
    </row>
    <row r="4562">
      <c r="M4562" s="2">
        <f>IF(C4562="","",IFERROR(INDEX($S$5:$S$304,MATCH(C4562,$R$5:$R$304,0))&amp;"","?"))</f>
        <v/>
      </c>
      <c r="N4562" s="2">
        <f>IF(E4562="","",IF(ISNUMBER(SEARCH("SUBSOLO",E4562)),IFERROR(-VALUE(LEFT(E4562,FIND("º",SUBSTITUTE(E4562,"°","º"))-1)),-1),IF(LEFT(E4562,6)="TÉRREO",0,IFERROR(VALUE(LEFT(E4562,FIND("º",SUBSTITUTE(E4562,"°","º"))-1)),""))))</f>
        <v/>
      </c>
      <c r="O4562" s="2">
        <f>IF(OR(F4562="",G4562=""),"",IF(G4562&lt;='RETRATO 2027'!$K$5,"CONCLUÍDA",IF(F4562&lt;='RETRATO 2027'!$K$5,"EM ANDAMENTO","A INICIAR")))</f>
        <v/>
      </c>
    </row>
    <row r="4563">
      <c r="M4563" s="2">
        <f>IF(C4563="","",IFERROR(INDEX($S$5:$S$304,MATCH(C4563,$R$5:$R$304,0))&amp;"","?"))</f>
        <v/>
      </c>
      <c r="N4563" s="2">
        <f>IF(E4563="","",IF(ISNUMBER(SEARCH("SUBSOLO",E4563)),IFERROR(-VALUE(LEFT(E4563,FIND("º",SUBSTITUTE(E4563,"°","º"))-1)),-1),IF(LEFT(E4563,6)="TÉRREO",0,IFERROR(VALUE(LEFT(E4563,FIND("º",SUBSTITUTE(E4563,"°","º"))-1)),""))))</f>
        <v/>
      </c>
      <c r="O4563" s="2">
        <f>IF(OR(F4563="",G4563=""),"",IF(G4563&lt;='RETRATO 2027'!$K$5,"CONCLUÍDA",IF(F4563&lt;='RETRATO 2027'!$K$5,"EM ANDAMENTO","A INICIAR")))</f>
        <v/>
      </c>
    </row>
    <row r="4564">
      <c r="M4564" s="2">
        <f>IF(C4564="","",IFERROR(INDEX($S$5:$S$304,MATCH(C4564,$R$5:$R$304,0))&amp;"","?"))</f>
        <v/>
      </c>
      <c r="N4564" s="2">
        <f>IF(E4564="","",IF(ISNUMBER(SEARCH("SUBSOLO",E4564)),IFERROR(-VALUE(LEFT(E4564,FIND("º",SUBSTITUTE(E4564,"°","º"))-1)),-1),IF(LEFT(E4564,6)="TÉRREO",0,IFERROR(VALUE(LEFT(E4564,FIND("º",SUBSTITUTE(E4564,"°","º"))-1)),""))))</f>
        <v/>
      </c>
      <c r="O4564" s="2">
        <f>IF(OR(F4564="",G4564=""),"",IF(G4564&lt;='RETRATO 2027'!$K$5,"CONCLUÍDA",IF(F4564&lt;='RETRATO 2027'!$K$5,"EM ANDAMENTO","A INICIAR")))</f>
        <v/>
      </c>
    </row>
    <row r="4565">
      <c r="M4565" s="2">
        <f>IF(C4565="","",IFERROR(INDEX($S$5:$S$304,MATCH(C4565,$R$5:$R$304,0))&amp;"","?"))</f>
        <v/>
      </c>
      <c r="N4565" s="2">
        <f>IF(E4565="","",IF(ISNUMBER(SEARCH("SUBSOLO",E4565)),IFERROR(-VALUE(LEFT(E4565,FIND("º",SUBSTITUTE(E4565,"°","º"))-1)),-1),IF(LEFT(E4565,6)="TÉRREO",0,IFERROR(VALUE(LEFT(E4565,FIND("º",SUBSTITUTE(E4565,"°","º"))-1)),""))))</f>
        <v/>
      </c>
      <c r="O4565" s="2">
        <f>IF(OR(F4565="",G4565=""),"",IF(G4565&lt;='RETRATO 2027'!$K$5,"CONCLUÍDA",IF(F4565&lt;='RETRATO 2027'!$K$5,"EM ANDAMENTO","A INICIAR")))</f>
        <v/>
      </c>
    </row>
    <row r="4566">
      <c r="M4566" s="2">
        <f>IF(C4566="","",IFERROR(INDEX($S$5:$S$304,MATCH(C4566,$R$5:$R$304,0))&amp;"","?"))</f>
        <v/>
      </c>
      <c r="N4566" s="2">
        <f>IF(E4566="","",IF(ISNUMBER(SEARCH("SUBSOLO",E4566)),IFERROR(-VALUE(LEFT(E4566,FIND("º",SUBSTITUTE(E4566,"°","º"))-1)),-1),IF(LEFT(E4566,6)="TÉRREO",0,IFERROR(VALUE(LEFT(E4566,FIND("º",SUBSTITUTE(E4566,"°","º"))-1)),""))))</f>
        <v/>
      </c>
      <c r="O4566" s="2">
        <f>IF(OR(F4566="",G4566=""),"",IF(G4566&lt;='RETRATO 2027'!$K$5,"CONCLUÍDA",IF(F4566&lt;='RETRATO 2027'!$K$5,"EM ANDAMENTO","A INICIAR")))</f>
        <v/>
      </c>
    </row>
    <row r="4567">
      <c r="M4567" s="2">
        <f>IF(C4567="","",IFERROR(INDEX($S$5:$S$304,MATCH(C4567,$R$5:$R$304,0))&amp;"","?"))</f>
        <v/>
      </c>
      <c r="N4567" s="2">
        <f>IF(E4567="","",IF(ISNUMBER(SEARCH("SUBSOLO",E4567)),IFERROR(-VALUE(LEFT(E4567,FIND("º",SUBSTITUTE(E4567,"°","º"))-1)),-1),IF(LEFT(E4567,6)="TÉRREO",0,IFERROR(VALUE(LEFT(E4567,FIND("º",SUBSTITUTE(E4567,"°","º"))-1)),""))))</f>
        <v/>
      </c>
      <c r="O4567" s="2">
        <f>IF(OR(F4567="",G4567=""),"",IF(G4567&lt;='RETRATO 2027'!$K$5,"CONCLUÍDA",IF(F4567&lt;='RETRATO 2027'!$K$5,"EM ANDAMENTO","A INICIAR")))</f>
        <v/>
      </c>
    </row>
    <row r="4568">
      <c r="M4568" s="2">
        <f>IF(C4568="","",IFERROR(INDEX($S$5:$S$304,MATCH(C4568,$R$5:$R$304,0))&amp;"","?"))</f>
        <v/>
      </c>
      <c r="N4568" s="2">
        <f>IF(E4568="","",IF(ISNUMBER(SEARCH("SUBSOLO",E4568)),IFERROR(-VALUE(LEFT(E4568,FIND("º",SUBSTITUTE(E4568,"°","º"))-1)),-1),IF(LEFT(E4568,6)="TÉRREO",0,IFERROR(VALUE(LEFT(E4568,FIND("º",SUBSTITUTE(E4568,"°","º"))-1)),""))))</f>
        <v/>
      </c>
      <c r="O4568" s="2">
        <f>IF(OR(F4568="",G4568=""),"",IF(G4568&lt;='RETRATO 2027'!$K$5,"CONCLUÍDA",IF(F4568&lt;='RETRATO 2027'!$K$5,"EM ANDAMENTO","A INICIAR")))</f>
        <v/>
      </c>
    </row>
    <row r="4569">
      <c r="M4569" s="2">
        <f>IF(C4569="","",IFERROR(INDEX($S$5:$S$304,MATCH(C4569,$R$5:$R$304,0))&amp;"","?"))</f>
        <v/>
      </c>
      <c r="N4569" s="2">
        <f>IF(E4569="","",IF(ISNUMBER(SEARCH("SUBSOLO",E4569)),IFERROR(-VALUE(LEFT(E4569,FIND("º",SUBSTITUTE(E4569,"°","º"))-1)),-1),IF(LEFT(E4569,6)="TÉRREO",0,IFERROR(VALUE(LEFT(E4569,FIND("º",SUBSTITUTE(E4569,"°","º"))-1)),""))))</f>
        <v/>
      </c>
      <c r="O4569" s="2">
        <f>IF(OR(F4569="",G4569=""),"",IF(G4569&lt;='RETRATO 2027'!$K$5,"CONCLUÍDA",IF(F4569&lt;='RETRATO 2027'!$K$5,"EM ANDAMENTO","A INICIAR")))</f>
        <v/>
      </c>
    </row>
    <row r="4570">
      <c r="M4570" s="2">
        <f>IF(C4570="","",IFERROR(INDEX($S$5:$S$304,MATCH(C4570,$R$5:$R$304,0))&amp;"","?"))</f>
        <v/>
      </c>
      <c r="N4570" s="2">
        <f>IF(E4570="","",IF(ISNUMBER(SEARCH("SUBSOLO",E4570)),IFERROR(-VALUE(LEFT(E4570,FIND("º",SUBSTITUTE(E4570,"°","º"))-1)),-1),IF(LEFT(E4570,6)="TÉRREO",0,IFERROR(VALUE(LEFT(E4570,FIND("º",SUBSTITUTE(E4570,"°","º"))-1)),""))))</f>
        <v/>
      </c>
      <c r="O4570" s="2">
        <f>IF(OR(F4570="",G4570=""),"",IF(G4570&lt;='RETRATO 2027'!$K$5,"CONCLUÍDA",IF(F4570&lt;='RETRATO 2027'!$K$5,"EM ANDAMENTO","A INICIAR")))</f>
        <v/>
      </c>
    </row>
    <row r="4571">
      <c r="M4571" s="2">
        <f>IF(C4571="","",IFERROR(INDEX($S$5:$S$304,MATCH(C4571,$R$5:$R$304,0))&amp;"","?"))</f>
        <v/>
      </c>
      <c r="N4571" s="2">
        <f>IF(E4571="","",IF(ISNUMBER(SEARCH("SUBSOLO",E4571)),IFERROR(-VALUE(LEFT(E4571,FIND("º",SUBSTITUTE(E4571,"°","º"))-1)),-1),IF(LEFT(E4571,6)="TÉRREO",0,IFERROR(VALUE(LEFT(E4571,FIND("º",SUBSTITUTE(E4571,"°","º"))-1)),""))))</f>
        <v/>
      </c>
      <c r="O4571" s="2">
        <f>IF(OR(F4571="",G4571=""),"",IF(G4571&lt;='RETRATO 2027'!$K$5,"CONCLUÍDA",IF(F4571&lt;='RETRATO 2027'!$K$5,"EM ANDAMENTO","A INICIAR")))</f>
        <v/>
      </c>
    </row>
    <row r="4572">
      <c r="M4572" s="2">
        <f>IF(C4572="","",IFERROR(INDEX($S$5:$S$304,MATCH(C4572,$R$5:$R$304,0))&amp;"","?"))</f>
        <v/>
      </c>
      <c r="N4572" s="2">
        <f>IF(E4572="","",IF(ISNUMBER(SEARCH("SUBSOLO",E4572)),IFERROR(-VALUE(LEFT(E4572,FIND("º",SUBSTITUTE(E4572,"°","º"))-1)),-1),IF(LEFT(E4572,6)="TÉRREO",0,IFERROR(VALUE(LEFT(E4572,FIND("º",SUBSTITUTE(E4572,"°","º"))-1)),""))))</f>
        <v/>
      </c>
      <c r="O4572" s="2">
        <f>IF(OR(F4572="",G4572=""),"",IF(G4572&lt;='RETRATO 2027'!$K$5,"CONCLUÍDA",IF(F4572&lt;='RETRATO 2027'!$K$5,"EM ANDAMENTO","A INICIAR")))</f>
        <v/>
      </c>
    </row>
    <row r="4573">
      <c r="M4573" s="2">
        <f>IF(C4573="","",IFERROR(INDEX($S$5:$S$304,MATCH(C4573,$R$5:$R$304,0))&amp;"","?"))</f>
        <v/>
      </c>
      <c r="N4573" s="2">
        <f>IF(E4573="","",IF(ISNUMBER(SEARCH("SUBSOLO",E4573)),IFERROR(-VALUE(LEFT(E4573,FIND("º",SUBSTITUTE(E4573,"°","º"))-1)),-1),IF(LEFT(E4573,6)="TÉRREO",0,IFERROR(VALUE(LEFT(E4573,FIND("º",SUBSTITUTE(E4573,"°","º"))-1)),""))))</f>
        <v/>
      </c>
      <c r="O4573" s="2">
        <f>IF(OR(F4573="",G4573=""),"",IF(G4573&lt;='RETRATO 2027'!$K$5,"CONCLUÍDA",IF(F4573&lt;='RETRATO 2027'!$K$5,"EM ANDAMENTO","A INICIAR")))</f>
        <v/>
      </c>
    </row>
    <row r="4574">
      <c r="M4574" s="2">
        <f>IF(C4574="","",IFERROR(INDEX($S$5:$S$304,MATCH(C4574,$R$5:$R$304,0))&amp;"","?"))</f>
        <v/>
      </c>
      <c r="N4574" s="2">
        <f>IF(E4574="","",IF(ISNUMBER(SEARCH("SUBSOLO",E4574)),IFERROR(-VALUE(LEFT(E4574,FIND("º",SUBSTITUTE(E4574,"°","º"))-1)),-1),IF(LEFT(E4574,6)="TÉRREO",0,IFERROR(VALUE(LEFT(E4574,FIND("º",SUBSTITUTE(E4574,"°","º"))-1)),""))))</f>
        <v/>
      </c>
      <c r="O4574" s="2">
        <f>IF(OR(F4574="",G4574=""),"",IF(G4574&lt;='RETRATO 2027'!$K$5,"CONCLUÍDA",IF(F4574&lt;='RETRATO 2027'!$K$5,"EM ANDAMENTO","A INICIAR")))</f>
        <v/>
      </c>
    </row>
    <row r="4575">
      <c r="M4575" s="2">
        <f>IF(C4575="","",IFERROR(INDEX($S$5:$S$304,MATCH(C4575,$R$5:$R$304,0))&amp;"","?"))</f>
        <v/>
      </c>
      <c r="N4575" s="2">
        <f>IF(E4575="","",IF(ISNUMBER(SEARCH("SUBSOLO",E4575)),IFERROR(-VALUE(LEFT(E4575,FIND("º",SUBSTITUTE(E4575,"°","º"))-1)),-1),IF(LEFT(E4575,6)="TÉRREO",0,IFERROR(VALUE(LEFT(E4575,FIND("º",SUBSTITUTE(E4575,"°","º"))-1)),""))))</f>
        <v/>
      </c>
      <c r="O4575" s="2">
        <f>IF(OR(F4575="",G4575=""),"",IF(G4575&lt;='RETRATO 2027'!$K$5,"CONCLUÍDA",IF(F4575&lt;='RETRATO 2027'!$K$5,"EM ANDAMENTO","A INICIAR")))</f>
        <v/>
      </c>
    </row>
    <row r="4576">
      <c r="M4576" s="2">
        <f>IF(C4576="","",IFERROR(INDEX($S$5:$S$304,MATCH(C4576,$R$5:$R$304,0))&amp;"","?"))</f>
        <v/>
      </c>
      <c r="N4576" s="2">
        <f>IF(E4576="","",IF(ISNUMBER(SEARCH("SUBSOLO",E4576)),IFERROR(-VALUE(LEFT(E4576,FIND("º",SUBSTITUTE(E4576,"°","º"))-1)),-1),IF(LEFT(E4576,6)="TÉRREO",0,IFERROR(VALUE(LEFT(E4576,FIND("º",SUBSTITUTE(E4576,"°","º"))-1)),""))))</f>
        <v/>
      </c>
      <c r="O4576" s="2">
        <f>IF(OR(F4576="",G4576=""),"",IF(G4576&lt;='RETRATO 2027'!$K$5,"CONCLUÍDA",IF(F4576&lt;='RETRATO 2027'!$K$5,"EM ANDAMENTO","A INICIAR")))</f>
        <v/>
      </c>
    </row>
    <row r="4577">
      <c r="M4577" s="2">
        <f>IF(C4577="","",IFERROR(INDEX($S$5:$S$304,MATCH(C4577,$R$5:$R$304,0))&amp;"","?"))</f>
        <v/>
      </c>
      <c r="N4577" s="2">
        <f>IF(E4577="","",IF(ISNUMBER(SEARCH("SUBSOLO",E4577)),IFERROR(-VALUE(LEFT(E4577,FIND("º",SUBSTITUTE(E4577,"°","º"))-1)),-1),IF(LEFT(E4577,6)="TÉRREO",0,IFERROR(VALUE(LEFT(E4577,FIND("º",SUBSTITUTE(E4577,"°","º"))-1)),""))))</f>
        <v/>
      </c>
      <c r="O4577" s="2">
        <f>IF(OR(F4577="",G4577=""),"",IF(G4577&lt;='RETRATO 2027'!$K$5,"CONCLUÍDA",IF(F4577&lt;='RETRATO 2027'!$K$5,"EM ANDAMENTO","A INICIAR")))</f>
        <v/>
      </c>
    </row>
    <row r="4578">
      <c r="M4578" s="2">
        <f>IF(C4578="","",IFERROR(INDEX($S$5:$S$304,MATCH(C4578,$R$5:$R$304,0))&amp;"","?"))</f>
        <v/>
      </c>
      <c r="N4578" s="2">
        <f>IF(E4578="","",IF(ISNUMBER(SEARCH("SUBSOLO",E4578)),IFERROR(-VALUE(LEFT(E4578,FIND("º",SUBSTITUTE(E4578,"°","º"))-1)),-1),IF(LEFT(E4578,6)="TÉRREO",0,IFERROR(VALUE(LEFT(E4578,FIND("º",SUBSTITUTE(E4578,"°","º"))-1)),""))))</f>
        <v/>
      </c>
      <c r="O4578" s="2">
        <f>IF(OR(F4578="",G4578=""),"",IF(G4578&lt;='RETRATO 2027'!$K$5,"CONCLUÍDA",IF(F4578&lt;='RETRATO 2027'!$K$5,"EM ANDAMENTO","A INICIAR")))</f>
        <v/>
      </c>
    </row>
    <row r="4579">
      <c r="M4579" s="2">
        <f>IF(C4579="","",IFERROR(INDEX($S$5:$S$304,MATCH(C4579,$R$5:$R$304,0))&amp;"","?"))</f>
        <v/>
      </c>
      <c r="N4579" s="2">
        <f>IF(E4579="","",IF(ISNUMBER(SEARCH("SUBSOLO",E4579)),IFERROR(-VALUE(LEFT(E4579,FIND("º",SUBSTITUTE(E4579,"°","º"))-1)),-1),IF(LEFT(E4579,6)="TÉRREO",0,IFERROR(VALUE(LEFT(E4579,FIND("º",SUBSTITUTE(E4579,"°","º"))-1)),""))))</f>
        <v/>
      </c>
      <c r="O4579" s="2">
        <f>IF(OR(F4579="",G4579=""),"",IF(G4579&lt;='RETRATO 2027'!$K$5,"CONCLUÍDA",IF(F4579&lt;='RETRATO 2027'!$K$5,"EM ANDAMENTO","A INICIAR")))</f>
        <v/>
      </c>
    </row>
    <row r="4580">
      <c r="M4580" s="2">
        <f>IF(C4580="","",IFERROR(INDEX($S$5:$S$304,MATCH(C4580,$R$5:$R$304,0))&amp;"","?"))</f>
        <v/>
      </c>
      <c r="N4580" s="2">
        <f>IF(E4580="","",IF(ISNUMBER(SEARCH("SUBSOLO",E4580)),IFERROR(-VALUE(LEFT(E4580,FIND("º",SUBSTITUTE(E4580,"°","º"))-1)),-1),IF(LEFT(E4580,6)="TÉRREO",0,IFERROR(VALUE(LEFT(E4580,FIND("º",SUBSTITUTE(E4580,"°","º"))-1)),""))))</f>
        <v/>
      </c>
      <c r="O4580" s="2">
        <f>IF(OR(F4580="",G4580=""),"",IF(G4580&lt;='RETRATO 2027'!$K$5,"CONCLUÍDA",IF(F4580&lt;='RETRATO 2027'!$K$5,"EM ANDAMENTO","A INICIAR")))</f>
        <v/>
      </c>
    </row>
    <row r="4581">
      <c r="M4581" s="2">
        <f>IF(C4581="","",IFERROR(INDEX($S$5:$S$304,MATCH(C4581,$R$5:$R$304,0))&amp;"","?"))</f>
        <v/>
      </c>
      <c r="N4581" s="2">
        <f>IF(E4581="","",IF(ISNUMBER(SEARCH("SUBSOLO",E4581)),IFERROR(-VALUE(LEFT(E4581,FIND("º",SUBSTITUTE(E4581,"°","º"))-1)),-1),IF(LEFT(E4581,6)="TÉRREO",0,IFERROR(VALUE(LEFT(E4581,FIND("º",SUBSTITUTE(E4581,"°","º"))-1)),""))))</f>
        <v/>
      </c>
      <c r="O4581" s="2">
        <f>IF(OR(F4581="",G4581=""),"",IF(G4581&lt;='RETRATO 2027'!$K$5,"CONCLUÍDA",IF(F4581&lt;='RETRATO 2027'!$K$5,"EM ANDAMENTO","A INICIAR")))</f>
        <v/>
      </c>
    </row>
    <row r="4582">
      <c r="M4582" s="2">
        <f>IF(C4582="","",IFERROR(INDEX($S$5:$S$304,MATCH(C4582,$R$5:$R$304,0))&amp;"","?"))</f>
        <v/>
      </c>
      <c r="N4582" s="2">
        <f>IF(E4582="","",IF(ISNUMBER(SEARCH("SUBSOLO",E4582)),IFERROR(-VALUE(LEFT(E4582,FIND("º",SUBSTITUTE(E4582,"°","º"))-1)),-1),IF(LEFT(E4582,6)="TÉRREO",0,IFERROR(VALUE(LEFT(E4582,FIND("º",SUBSTITUTE(E4582,"°","º"))-1)),""))))</f>
        <v/>
      </c>
      <c r="O4582" s="2">
        <f>IF(OR(F4582="",G4582=""),"",IF(G4582&lt;='RETRATO 2027'!$K$5,"CONCLUÍDA",IF(F4582&lt;='RETRATO 2027'!$K$5,"EM ANDAMENTO","A INICIAR")))</f>
        <v/>
      </c>
    </row>
    <row r="4583">
      <c r="M4583" s="2">
        <f>IF(C4583="","",IFERROR(INDEX($S$5:$S$304,MATCH(C4583,$R$5:$R$304,0))&amp;"","?"))</f>
        <v/>
      </c>
      <c r="N4583" s="2">
        <f>IF(E4583="","",IF(ISNUMBER(SEARCH("SUBSOLO",E4583)),IFERROR(-VALUE(LEFT(E4583,FIND("º",SUBSTITUTE(E4583,"°","º"))-1)),-1),IF(LEFT(E4583,6)="TÉRREO",0,IFERROR(VALUE(LEFT(E4583,FIND("º",SUBSTITUTE(E4583,"°","º"))-1)),""))))</f>
        <v/>
      </c>
      <c r="O4583" s="2">
        <f>IF(OR(F4583="",G4583=""),"",IF(G4583&lt;='RETRATO 2027'!$K$5,"CONCLUÍDA",IF(F4583&lt;='RETRATO 2027'!$K$5,"EM ANDAMENTO","A INICIAR")))</f>
        <v/>
      </c>
    </row>
    <row r="4584">
      <c r="M4584" s="2">
        <f>IF(C4584="","",IFERROR(INDEX($S$5:$S$304,MATCH(C4584,$R$5:$R$304,0))&amp;"","?"))</f>
        <v/>
      </c>
      <c r="N4584" s="2">
        <f>IF(E4584="","",IF(ISNUMBER(SEARCH("SUBSOLO",E4584)),IFERROR(-VALUE(LEFT(E4584,FIND("º",SUBSTITUTE(E4584,"°","º"))-1)),-1),IF(LEFT(E4584,6)="TÉRREO",0,IFERROR(VALUE(LEFT(E4584,FIND("º",SUBSTITUTE(E4584,"°","º"))-1)),""))))</f>
        <v/>
      </c>
      <c r="O4584" s="2">
        <f>IF(OR(F4584="",G4584=""),"",IF(G4584&lt;='RETRATO 2027'!$K$5,"CONCLUÍDA",IF(F4584&lt;='RETRATO 2027'!$K$5,"EM ANDAMENTO","A INICIAR")))</f>
        <v/>
      </c>
    </row>
    <row r="4585">
      <c r="M4585" s="2">
        <f>IF(C4585="","",IFERROR(INDEX($S$5:$S$304,MATCH(C4585,$R$5:$R$304,0))&amp;"","?"))</f>
        <v/>
      </c>
      <c r="N4585" s="2">
        <f>IF(E4585="","",IF(ISNUMBER(SEARCH("SUBSOLO",E4585)),IFERROR(-VALUE(LEFT(E4585,FIND("º",SUBSTITUTE(E4585,"°","º"))-1)),-1),IF(LEFT(E4585,6)="TÉRREO",0,IFERROR(VALUE(LEFT(E4585,FIND("º",SUBSTITUTE(E4585,"°","º"))-1)),""))))</f>
        <v/>
      </c>
      <c r="O4585" s="2">
        <f>IF(OR(F4585="",G4585=""),"",IF(G4585&lt;='RETRATO 2027'!$K$5,"CONCLUÍDA",IF(F4585&lt;='RETRATO 2027'!$K$5,"EM ANDAMENTO","A INICIAR")))</f>
        <v/>
      </c>
    </row>
    <row r="4586">
      <c r="M4586" s="2">
        <f>IF(C4586="","",IFERROR(INDEX($S$5:$S$304,MATCH(C4586,$R$5:$R$304,0))&amp;"","?"))</f>
        <v/>
      </c>
      <c r="N4586" s="2">
        <f>IF(E4586="","",IF(ISNUMBER(SEARCH("SUBSOLO",E4586)),IFERROR(-VALUE(LEFT(E4586,FIND("º",SUBSTITUTE(E4586,"°","º"))-1)),-1),IF(LEFT(E4586,6)="TÉRREO",0,IFERROR(VALUE(LEFT(E4586,FIND("º",SUBSTITUTE(E4586,"°","º"))-1)),""))))</f>
        <v/>
      </c>
      <c r="O4586" s="2">
        <f>IF(OR(F4586="",G4586=""),"",IF(G4586&lt;='RETRATO 2027'!$K$5,"CONCLUÍDA",IF(F4586&lt;='RETRATO 2027'!$K$5,"EM ANDAMENTO","A INICIAR")))</f>
        <v/>
      </c>
    </row>
    <row r="4587">
      <c r="M4587" s="2">
        <f>IF(C4587="","",IFERROR(INDEX($S$5:$S$304,MATCH(C4587,$R$5:$R$304,0))&amp;"","?"))</f>
        <v/>
      </c>
      <c r="N4587" s="2">
        <f>IF(E4587="","",IF(ISNUMBER(SEARCH("SUBSOLO",E4587)),IFERROR(-VALUE(LEFT(E4587,FIND("º",SUBSTITUTE(E4587,"°","º"))-1)),-1),IF(LEFT(E4587,6)="TÉRREO",0,IFERROR(VALUE(LEFT(E4587,FIND("º",SUBSTITUTE(E4587,"°","º"))-1)),""))))</f>
        <v/>
      </c>
      <c r="O4587" s="2">
        <f>IF(OR(F4587="",G4587=""),"",IF(G4587&lt;='RETRATO 2027'!$K$5,"CONCLUÍDA",IF(F4587&lt;='RETRATO 2027'!$K$5,"EM ANDAMENTO","A INICIAR")))</f>
        <v/>
      </c>
    </row>
    <row r="4588">
      <c r="M4588" s="2">
        <f>IF(C4588="","",IFERROR(INDEX($S$5:$S$304,MATCH(C4588,$R$5:$R$304,0))&amp;"","?"))</f>
        <v/>
      </c>
      <c r="N4588" s="2">
        <f>IF(E4588="","",IF(ISNUMBER(SEARCH("SUBSOLO",E4588)),IFERROR(-VALUE(LEFT(E4588,FIND("º",SUBSTITUTE(E4588,"°","º"))-1)),-1),IF(LEFT(E4588,6)="TÉRREO",0,IFERROR(VALUE(LEFT(E4588,FIND("º",SUBSTITUTE(E4588,"°","º"))-1)),""))))</f>
        <v/>
      </c>
      <c r="O4588" s="2">
        <f>IF(OR(F4588="",G4588=""),"",IF(G4588&lt;='RETRATO 2027'!$K$5,"CONCLUÍDA",IF(F4588&lt;='RETRATO 2027'!$K$5,"EM ANDAMENTO","A INICIAR")))</f>
        <v/>
      </c>
    </row>
    <row r="4589">
      <c r="M4589" s="2">
        <f>IF(C4589="","",IFERROR(INDEX($S$5:$S$304,MATCH(C4589,$R$5:$R$304,0))&amp;"","?"))</f>
        <v/>
      </c>
      <c r="N4589" s="2">
        <f>IF(E4589="","",IF(ISNUMBER(SEARCH("SUBSOLO",E4589)),IFERROR(-VALUE(LEFT(E4589,FIND("º",SUBSTITUTE(E4589,"°","º"))-1)),-1),IF(LEFT(E4589,6)="TÉRREO",0,IFERROR(VALUE(LEFT(E4589,FIND("º",SUBSTITUTE(E4589,"°","º"))-1)),""))))</f>
        <v/>
      </c>
      <c r="O4589" s="2">
        <f>IF(OR(F4589="",G4589=""),"",IF(G4589&lt;='RETRATO 2027'!$K$5,"CONCLUÍDA",IF(F4589&lt;='RETRATO 2027'!$K$5,"EM ANDAMENTO","A INICIAR")))</f>
        <v/>
      </c>
    </row>
    <row r="4590">
      <c r="M4590" s="2">
        <f>IF(C4590="","",IFERROR(INDEX($S$5:$S$304,MATCH(C4590,$R$5:$R$304,0))&amp;"","?"))</f>
        <v/>
      </c>
      <c r="N4590" s="2">
        <f>IF(E4590="","",IF(ISNUMBER(SEARCH("SUBSOLO",E4590)),IFERROR(-VALUE(LEFT(E4590,FIND("º",SUBSTITUTE(E4590,"°","º"))-1)),-1),IF(LEFT(E4590,6)="TÉRREO",0,IFERROR(VALUE(LEFT(E4590,FIND("º",SUBSTITUTE(E4590,"°","º"))-1)),""))))</f>
        <v/>
      </c>
      <c r="O4590" s="2">
        <f>IF(OR(F4590="",G4590=""),"",IF(G4590&lt;='RETRATO 2027'!$K$5,"CONCLUÍDA",IF(F4590&lt;='RETRATO 2027'!$K$5,"EM ANDAMENTO","A INICIAR")))</f>
        <v/>
      </c>
    </row>
    <row r="4591">
      <c r="M4591" s="2">
        <f>IF(C4591="","",IFERROR(INDEX($S$5:$S$304,MATCH(C4591,$R$5:$R$304,0))&amp;"","?"))</f>
        <v/>
      </c>
      <c r="N4591" s="2">
        <f>IF(E4591="","",IF(ISNUMBER(SEARCH("SUBSOLO",E4591)),IFERROR(-VALUE(LEFT(E4591,FIND("º",SUBSTITUTE(E4591,"°","º"))-1)),-1),IF(LEFT(E4591,6)="TÉRREO",0,IFERROR(VALUE(LEFT(E4591,FIND("º",SUBSTITUTE(E4591,"°","º"))-1)),""))))</f>
        <v/>
      </c>
      <c r="O4591" s="2">
        <f>IF(OR(F4591="",G4591=""),"",IF(G4591&lt;='RETRATO 2027'!$K$5,"CONCLUÍDA",IF(F4591&lt;='RETRATO 2027'!$K$5,"EM ANDAMENTO","A INICIAR")))</f>
        <v/>
      </c>
    </row>
    <row r="4592">
      <c r="M4592" s="2">
        <f>IF(C4592="","",IFERROR(INDEX($S$5:$S$304,MATCH(C4592,$R$5:$R$304,0))&amp;"","?"))</f>
        <v/>
      </c>
      <c r="N4592" s="2">
        <f>IF(E4592="","",IF(ISNUMBER(SEARCH("SUBSOLO",E4592)),IFERROR(-VALUE(LEFT(E4592,FIND("º",SUBSTITUTE(E4592,"°","º"))-1)),-1),IF(LEFT(E4592,6)="TÉRREO",0,IFERROR(VALUE(LEFT(E4592,FIND("º",SUBSTITUTE(E4592,"°","º"))-1)),""))))</f>
        <v/>
      </c>
      <c r="O4592" s="2">
        <f>IF(OR(F4592="",G4592=""),"",IF(G4592&lt;='RETRATO 2027'!$K$5,"CONCLUÍDA",IF(F4592&lt;='RETRATO 2027'!$K$5,"EM ANDAMENTO","A INICIAR")))</f>
        <v/>
      </c>
    </row>
    <row r="4593">
      <c r="M4593" s="2">
        <f>IF(C4593="","",IFERROR(INDEX($S$5:$S$304,MATCH(C4593,$R$5:$R$304,0))&amp;"","?"))</f>
        <v/>
      </c>
      <c r="N4593" s="2">
        <f>IF(E4593="","",IF(ISNUMBER(SEARCH("SUBSOLO",E4593)),IFERROR(-VALUE(LEFT(E4593,FIND("º",SUBSTITUTE(E4593,"°","º"))-1)),-1),IF(LEFT(E4593,6)="TÉRREO",0,IFERROR(VALUE(LEFT(E4593,FIND("º",SUBSTITUTE(E4593,"°","º"))-1)),""))))</f>
        <v/>
      </c>
      <c r="O4593" s="2">
        <f>IF(OR(F4593="",G4593=""),"",IF(G4593&lt;='RETRATO 2027'!$K$5,"CONCLUÍDA",IF(F4593&lt;='RETRATO 2027'!$K$5,"EM ANDAMENTO","A INICIAR")))</f>
        <v/>
      </c>
    </row>
    <row r="4594">
      <c r="M4594" s="2">
        <f>IF(C4594="","",IFERROR(INDEX($S$5:$S$304,MATCH(C4594,$R$5:$R$304,0))&amp;"","?"))</f>
        <v/>
      </c>
      <c r="N4594" s="2">
        <f>IF(E4594="","",IF(ISNUMBER(SEARCH("SUBSOLO",E4594)),IFERROR(-VALUE(LEFT(E4594,FIND("º",SUBSTITUTE(E4594,"°","º"))-1)),-1),IF(LEFT(E4594,6)="TÉRREO",0,IFERROR(VALUE(LEFT(E4594,FIND("º",SUBSTITUTE(E4594,"°","º"))-1)),""))))</f>
        <v/>
      </c>
      <c r="O4594" s="2">
        <f>IF(OR(F4594="",G4594=""),"",IF(G4594&lt;='RETRATO 2027'!$K$5,"CONCLUÍDA",IF(F4594&lt;='RETRATO 2027'!$K$5,"EM ANDAMENTO","A INICIAR")))</f>
        <v/>
      </c>
    </row>
    <row r="4595">
      <c r="M4595" s="2">
        <f>IF(C4595="","",IFERROR(INDEX($S$5:$S$304,MATCH(C4595,$R$5:$R$304,0))&amp;"","?"))</f>
        <v/>
      </c>
      <c r="N4595" s="2">
        <f>IF(E4595="","",IF(ISNUMBER(SEARCH("SUBSOLO",E4595)),IFERROR(-VALUE(LEFT(E4595,FIND("º",SUBSTITUTE(E4595,"°","º"))-1)),-1),IF(LEFT(E4595,6)="TÉRREO",0,IFERROR(VALUE(LEFT(E4595,FIND("º",SUBSTITUTE(E4595,"°","º"))-1)),""))))</f>
        <v/>
      </c>
      <c r="O4595" s="2">
        <f>IF(OR(F4595="",G4595=""),"",IF(G4595&lt;='RETRATO 2027'!$K$5,"CONCLUÍDA",IF(F4595&lt;='RETRATO 2027'!$K$5,"EM ANDAMENTO","A INICIAR")))</f>
        <v/>
      </c>
    </row>
    <row r="4596">
      <c r="M4596" s="2">
        <f>IF(C4596="","",IFERROR(INDEX($S$5:$S$304,MATCH(C4596,$R$5:$R$304,0))&amp;"","?"))</f>
        <v/>
      </c>
      <c r="N4596" s="2">
        <f>IF(E4596="","",IF(ISNUMBER(SEARCH("SUBSOLO",E4596)),IFERROR(-VALUE(LEFT(E4596,FIND("º",SUBSTITUTE(E4596,"°","º"))-1)),-1),IF(LEFT(E4596,6)="TÉRREO",0,IFERROR(VALUE(LEFT(E4596,FIND("º",SUBSTITUTE(E4596,"°","º"))-1)),""))))</f>
        <v/>
      </c>
      <c r="O4596" s="2">
        <f>IF(OR(F4596="",G4596=""),"",IF(G4596&lt;='RETRATO 2027'!$K$5,"CONCLUÍDA",IF(F4596&lt;='RETRATO 2027'!$K$5,"EM ANDAMENTO","A INICIAR")))</f>
        <v/>
      </c>
    </row>
    <row r="4597">
      <c r="M4597" s="2">
        <f>IF(C4597="","",IFERROR(INDEX($S$5:$S$304,MATCH(C4597,$R$5:$R$304,0))&amp;"","?"))</f>
        <v/>
      </c>
      <c r="N4597" s="2">
        <f>IF(E4597="","",IF(ISNUMBER(SEARCH("SUBSOLO",E4597)),IFERROR(-VALUE(LEFT(E4597,FIND("º",SUBSTITUTE(E4597,"°","º"))-1)),-1),IF(LEFT(E4597,6)="TÉRREO",0,IFERROR(VALUE(LEFT(E4597,FIND("º",SUBSTITUTE(E4597,"°","º"))-1)),""))))</f>
        <v/>
      </c>
      <c r="O4597" s="2">
        <f>IF(OR(F4597="",G4597=""),"",IF(G4597&lt;='RETRATO 2027'!$K$5,"CONCLUÍDA",IF(F4597&lt;='RETRATO 2027'!$K$5,"EM ANDAMENTO","A INICIAR")))</f>
        <v/>
      </c>
    </row>
    <row r="4598">
      <c r="M4598" s="2">
        <f>IF(C4598="","",IFERROR(INDEX($S$5:$S$304,MATCH(C4598,$R$5:$R$304,0))&amp;"","?"))</f>
        <v/>
      </c>
      <c r="N4598" s="2">
        <f>IF(E4598="","",IF(ISNUMBER(SEARCH("SUBSOLO",E4598)),IFERROR(-VALUE(LEFT(E4598,FIND("º",SUBSTITUTE(E4598,"°","º"))-1)),-1),IF(LEFT(E4598,6)="TÉRREO",0,IFERROR(VALUE(LEFT(E4598,FIND("º",SUBSTITUTE(E4598,"°","º"))-1)),""))))</f>
        <v/>
      </c>
      <c r="O4598" s="2">
        <f>IF(OR(F4598="",G4598=""),"",IF(G4598&lt;='RETRATO 2027'!$K$5,"CONCLUÍDA",IF(F4598&lt;='RETRATO 2027'!$K$5,"EM ANDAMENTO","A INICIAR")))</f>
        <v/>
      </c>
    </row>
    <row r="4599">
      <c r="M4599" s="2">
        <f>IF(C4599="","",IFERROR(INDEX($S$5:$S$304,MATCH(C4599,$R$5:$R$304,0))&amp;"","?"))</f>
        <v/>
      </c>
      <c r="N4599" s="2">
        <f>IF(E4599="","",IF(ISNUMBER(SEARCH("SUBSOLO",E4599)),IFERROR(-VALUE(LEFT(E4599,FIND("º",SUBSTITUTE(E4599,"°","º"))-1)),-1),IF(LEFT(E4599,6)="TÉRREO",0,IFERROR(VALUE(LEFT(E4599,FIND("º",SUBSTITUTE(E4599,"°","º"))-1)),""))))</f>
        <v/>
      </c>
      <c r="O4599" s="2">
        <f>IF(OR(F4599="",G4599=""),"",IF(G4599&lt;='RETRATO 2027'!$K$5,"CONCLUÍDA",IF(F4599&lt;='RETRATO 2027'!$K$5,"EM ANDAMENTO","A INICIAR")))</f>
        <v/>
      </c>
    </row>
    <row r="4600">
      <c r="M4600" s="2">
        <f>IF(C4600="","",IFERROR(INDEX($S$5:$S$304,MATCH(C4600,$R$5:$R$304,0))&amp;"","?"))</f>
        <v/>
      </c>
      <c r="N4600" s="2">
        <f>IF(E4600="","",IF(ISNUMBER(SEARCH("SUBSOLO",E4600)),IFERROR(-VALUE(LEFT(E4600,FIND("º",SUBSTITUTE(E4600,"°","º"))-1)),-1),IF(LEFT(E4600,6)="TÉRREO",0,IFERROR(VALUE(LEFT(E4600,FIND("º",SUBSTITUTE(E4600,"°","º"))-1)),""))))</f>
        <v/>
      </c>
      <c r="O4600" s="2">
        <f>IF(OR(F4600="",G4600=""),"",IF(G4600&lt;='RETRATO 2027'!$K$5,"CONCLUÍDA",IF(F4600&lt;='RETRATO 2027'!$K$5,"EM ANDAMENTO","A INICIAR")))</f>
        <v/>
      </c>
    </row>
    <row r="4601">
      <c r="M4601" s="2">
        <f>IF(C4601="","",IFERROR(INDEX($S$5:$S$304,MATCH(C4601,$R$5:$R$304,0))&amp;"","?"))</f>
        <v/>
      </c>
      <c r="N4601" s="2">
        <f>IF(E4601="","",IF(ISNUMBER(SEARCH("SUBSOLO",E4601)),IFERROR(-VALUE(LEFT(E4601,FIND("º",SUBSTITUTE(E4601,"°","º"))-1)),-1),IF(LEFT(E4601,6)="TÉRREO",0,IFERROR(VALUE(LEFT(E4601,FIND("º",SUBSTITUTE(E4601,"°","º"))-1)),""))))</f>
        <v/>
      </c>
      <c r="O4601" s="2">
        <f>IF(OR(F4601="",G4601=""),"",IF(G4601&lt;='RETRATO 2027'!$K$5,"CONCLUÍDA",IF(F4601&lt;='RETRATO 2027'!$K$5,"EM ANDAMENTO","A INICIAR")))</f>
        <v/>
      </c>
    </row>
    <row r="4602">
      <c r="M4602" s="2">
        <f>IF(C4602="","",IFERROR(INDEX($S$5:$S$304,MATCH(C4602,$R$5:$R$304,0))&amp;"","?"))</f>
        <v/>
      </c>
      <c r="N4602" s="2">
        <f>IF(E4602="","",IF(ISNUMBER(SEARCH("SUBSOLO",E4602)),IFERROR(-VALUE(LEFT(E4602,FIND("º",SUBSTITUTE(E4602,"°","º"))-1)),-1),IF(LEFT(E4602,6)="TÉRREO",0,IFERROR(VALUE(LEFT(E4602,FIND("º",SUBSTITUTE(E4602,"°","º"))-1)),""))))</f>
        <v/>
      </c>
      <c r="O4602" s="2">
        <f>IF(OR(F4602="",G4602=""),"",IF(G4602&lt;='RETRATO 2027'!$K$5,"CONCLUÍDA",IF(F4602&lt;='RETRATO 2027'!$K$5,"EM ANDAMENTO","A INICIAR")))</f>
        <v/>
      </c>
    </row>
    <row r="4603">
      <c r="M4603" s="2">
        <f>IF(C4603="","",IFERROR(INDEX($S$5:$S$304,MATCH(C4603,$R$5:$R$304,0))&amp;"","?"))</f>
        <v/>
      </c>
      <c r="N4603" s="2">
        <f>IF(E4603="","",IF(ISNUMBER(SEARCH("SUBSOLO",E4603)),IFERROR(-VALUE(LEFT(E4603,FIND("º",SUBSTITUTE(E4603,"°","º"))-1)),-1),IF(LEFT(E4603,6)="TÉRREO",0,IFERROR(VALUE(LEFT(E4603,FIND("º",SUBSTITUTE(E4603,"°","º"))-1)),""))))</f>
        <v/>
      </c>
      <c r="O4603" s="2">
        <f>IF(OR(F4603="",G4603=""),"",IF(G4603&lt;='RETRATO 2027'!$K$5,"CONCLUÍDA",IF(F4603&lt;='RETRATO 2027'!$K$5,"EM ANDAMENTO","A INICIAR")))</f>
        <v/>
      </c>
    </row>
    <row r="4604">
      <c r="M4604" s="2">
        <f>IF(C4604="","",IFERROR(INDEX($S$5:$S$304,MATCH(C4604,$R$5:$R$304,0))&amp;"","?"))</f>
        <v/>
      </c>
      <c r="N4604" s="2">
        <f>IF(E4604="","",IF(ISNUMBER(SEARCH("SUBSOLO",E4604)),IFERROR(-VALUE(LEFT(E4604,FIND("º",SUBSTITUTE(E4604,"°","º"))-1)),-1),IF(LEFT(E4604,6)="TÉRREO",0,IFERROR(VALUE(LEFT(E4604,FIND("º",SUBSTITUTE(E4604,"°","º"))-1)),""))))</f>
        <v/>
      </c>
      <c r="O4604" s="2">
        <f>IF(OR(F4604="",G4604=""),"",IF(G4604&lt;='RETRATO 2027'!$K$5,"CONCLUÍDA",IF(F4604&lt;='RETRATO 2027'!$K$5,"EM ANDAMENTO","A INICIAR")))</f>
        <v/>
      </c>
    </row>
    <row r="4605">
      <c r="M4605" s="2">
        <f>IF(C4605="","",IFERROR(INDEX($S$5:$S$304,MATCH(C4605,$R$5:$R$304,0))&amp;"","?"))</f>
        <v/>
      </c>
      <c r="N4605" s="2">
        <f>IF(E4605="","",IF(ISNUMBER(SEARCH("SUBSOLO",E4605)),IFERROR(-VALUE(LEFT(E4605,FIND("º",SUBSTITUTE(E4605,"°","º"))-1)),-1),IF(LEFT(E4605,6)="TÉRREO",0,IFERROR(VALUE(LEFT(E4605,FIND("º",SUBSTITUTE(E4605,"°","º"))-1)),""))))</f>
        <v/>
      </c>
      <c r="O4605" s="2">
        <f>IF(OR(F4605="",G4605=""),"",IF(G4605&lt;='RETRATO 2027'!$K$5,"CONCLUÍDA",IF(F4605&lt;='RETRATO 2027'!$K$5,"EM ANDAMENTO","A INICIAR")))</f>
        <v/>
      </c>
    </row>
    <row r="4606">
      <c r="M4606" s="2">
        <f>IF(C4606="","",IFERROR(INDEX($S$5:$S$304,MATCH(C4606,$R$5:$R$304,0))&amp;"","?"))</f>
        <v/>
      </c>
      <c r="N4606" s="2">
        <f>IF(E4606="","",IF(ISNUMBER(SEARCH("SUBSOLO",E4606)),IFERROR(-VALUE(LEFT(E4606,FIND("º",SUBSTITUTE(E4606,"°","º"))-1)),-1),IF(LEFT(E4606,6)="TÉRREO",0,IFERROR(VALUE(LEFT(E4606,FIND("º",SUBSTITUTE(E4606,"°","º"))-1)),""))))</f>
        <v/>
      </c>
      <c r="O4606" s="2">
        <f>IF(OR(F4606="",G4606=""),"",IF(G4606&lt;='RETRATO 2027'!$K$5,"CONCLUÍDA",IF(F4606&lt;='RETRATO 2027'!$K$5,"EM ANDAMENTO","A INICIAR")))</f>
        <v/>
      </c>
    </row>
    <row r="4607">
      <c r="M4607" s="2">
        <f>IF(C4607="","",IFERROR(INDEX($S$5:$S$304,MATCH(C4607,$R$5:$R$304,0))&amp;"","?"))</f>
        <v/>
      </c>
      <c r="N4607" s="2">
        <f>IF(E4607="","",IF(ISNUMBER(SEARCH("SUBSOLO",E4607)),IFERROR(-VALUE(LEFT(E4607,FIND("º",SUBSTITUTE(E4607,"°","º"))-1)),-1),IF(LEFT(E4607,6)="TÉRREO",0,IFERROR(VALUE(LEFT(E4607,FIND("º",SUBSTITUTE(E4607,"°","º"))-1)),""))))</f>
        <v/>
      </c>
      <c r="O4607" s="2">
        <f>IF(OR(F4607="",G4607=""),"",IF(G4607&lt;='RETRATO 2027'!$K$5,"CONCLUÍDA",IF(F4607&lt;='RETRATO 2027'!$K$5,"EM ANDAMENTO","A INICIAR")))</f>
        <v/>
      </c>
    </row>
    <row r="4608">
      <c r="M4608" s="2">
        <f>IF(C4608="","",IFERROR(INDEX($S$5:$S$304,MATCH(C4608,$R$5:$R$304,0))&amp;"","?"))</f>
        <v/>
      </c>
      <c r="N4608" s="2">
        <f>IF(E4608="","",IF(ISNUMBER(SEARCH("SUBSOLO",E4608)),IFERROR(-VALUE(LEFT(E4608,FIND("º",SUBSTITUTE(E4608,"°","º"))-1)),-1),IF(LEFT(E4608,6)="TÉRREO",0,IFERROR(VALUE(LEFT(E4608,FIND("º",SUBSTITUTE(E4608,"°","º"))-1)),""))))</f>
        <v/>
      </c>
      <c r="O4608" s="2">
        <f>IF(OR(F4608="",G4608=""),"",IF(G4608&lt;='RETRATO 2027'!$K$5,"CONCLUÍDA",IF(F4608&lt;='RETRATO 2027'!$K$5,"EM ANDAMENTO","A INICIAR")))</f>
        <v/>
      </c>
    </row>
    <row r="4609">
      <c r="M4609" s="2">
        <f>IF(C4609="","",IFERROR(INDEX($S$5:$S$304,MATCH(C4609,$R$5:$R$304,0))&amp;"","?"))</f>
        <v/>
      </c>
      <c r="N4609" s="2">
        <f>IF(E4609="","",IF(ISNUMBER(SEARCH("SUBSOLO",E4609)),IFERROR(-VALUE(LEFT(E4609,FIND("º",SUBSTITUTE(E4609,"°","º"))-1)),-1),IF(LEFT(E4609,6)="TÉRREO",0,IFERROR(VALUE(LEFT(E4609,FIND("º",SUBSTITUTE(E4609,"°","º"))-1)),""))))</f>
        <v/>
      </c>
      <c r="O4609" s="2">
        <f>IF(OR(F4609="",G4609=""),"",IF(G4609&lt;='RETRATO 2027'!$K$5,"CONCLUÍDA",IF(F4609&lt;='RETRATO 2027'!$K$5,"EM ANDAMENTO","A INICIAR")))</f>
        <v/>
      </c>
    </row>
    <row r="4610">
      <c r="M4610" s="2">
        <f>IF(C4610="","",IFERROR(INDEX($S$5:$S$304,MATCH(C4610,$R$5:$R$304,0))&amp;"","?"))</f>
        <v/>
      </c>
      <c r="N4610" s="2">
        <f>IF(E4610="","",IF(ISNUMBER(SEARCH("SUBSOLO",E4610)),IFERROR(-VALUE(LEFT(E4610,FIND("º",SUBSTITUTE(E4610,"°","º"))-1)),-1),IF(LEFT(E4610,6)="TÉRREO",0,IFERROR(VALUE(LEFT(E4610,FIND("º",SUBSTITUTE(E4610,"°","º"))-1)),""))))</f>
        <v/>
      </c>
      <c r="O4610" s="2">
        <f>IF(OR(F4610="",G4610=""),"",IF(G4610&lt;='RETRATO 2027'!$K$5,"CONCLUÍDA",IF(F4610&lt;='RETRATO 2027'!$K$5,"EM ANDAMENTO","A INICIAR")))</f>
        <v/>
      </c>
    </row>
    <row r="4611">
      <c r="M4611" s="2">
        <f>IF(C4611="","",IFERROR(INDEX($S$5:$S$304,MATCH(C4611,$R$5:$R$304,0))&amp;"","?"))</f>
        <v/>
      </c>
      <c r="N4611" s="2">
        <f>IF(E4611="","",IF(ISNUMBER(SEARCH("SUBSOLO",E4611)),IFERROR(-VALUE(LEFT(E4611,FIND("º",SUBSTITUTE(E4611,"°","º"))-1)),-1),IF(LEFT(E4611,6)="TÉRREO",0,IFERROR(VALUE(LEFT(E4611,FIND("º",SUBSTITUTE(E4611,"°","º"))-1)),""))))</f>
        <v/>
      </c>
      <c r="O4611" s="2">
        <f>IF(OR(F4611="",G4611=""),"",IF(G4611&lt;='RETRATO 2027'!$K$5,"CONCLUÍDA",IF(F4611&lt;='RETRATO 2027'!$K$5,"EM ANDAMENTO","A INICIAR")))</f>
        <v/>
      </c>
    </row>
    <row r="4612">
      <c r="M4612" s="2">
        <f>IF(C4612="","",IFERROR(INDEX($S$5:$S$304,MATCH(C4612,$R$5:$R$304,0))&amp;"","?"))</f>
        <v/>
      </c>
      <c r="N4612" s="2">
        <f>IF(E4612="","",IF(ISNUMBER(SEARCH("SUBSOLO",E4612)),IFERROR(-VALUE(LEFT(E4612,FIND("º",SUBSTITUTE(E4612,"°","º"))-1)),-1),IF(LEFT(E4612,6)="TÉRREO",0,IFERROR(VALUE(LEFT(E4612,FIND("º",SUBSTITUTE(E4612,"°","º"))-1)),""))))</f>
        <v/>
      </c>
      <c r="O4612" s="2">
        <f>IF(OR(F4612="",G4612=""),"",IF(G4612&lt;='RETRATO 2027'!$K$5,"CONCLUÍDA",IF(F4612&lt;='RETRATO 2027'!$K$5,"EM ANDAMENTO","A INICIAR")))</f>
        <v/>
      </c>
    </row>
    <row r="4613">
      <c r="M4613" s="2">
        <f>IF(C4613="","",IFERROR(INDEX($S$5:$S$304,MATCH(C4613,$R$5:$R$304,0))&amp;"","?"))</f>
        <v/>
      </c>
      <c r="N4613" s="2">
        <f>IF(E4613="","",IF(ISNUMBER(SEARCH("SUBSOLO",E4613)),IFERROR(-VALUE(LEFT(E4613,FIND("º",SUBSTITUTE(E4613,"°","º"))-1)),-1),IF(LEFT(E4613,6)="TÉRREO",0,IFERROR(VALUE(LEFT(E4613,FIND("º",SUBSTITUTE(E4613,"°","º"))-1)),""))))</f>
        <v/>
      </c>
      <c r="O4613" s="2">
        <f>IF(OR(F4613="",G4613=""),"",IF(G4613&lt;='RETRATO 2027'!$K$5,"CONCLUÍDA",IF(F4613&lt;='RETRATO 2027'!$K$5,"EM ANDAMENTO","A INICIAR")))</f>
        <v/>
      </c>
    </row>
    <row r="4614">
      <c r="M4614" s="2">
        <f>IF(C4614="","",IFERROR(INDEX($S$5:$S$304,MATCH(C4614,$R$5:$R$304,0))&amp;"","?"))</f>
        <v/>
      </c>
      <c r="N4614" s="2">
        <f>IF(E4614="","",IF(ISNUMBER(SEARCH("SUBSOLO",E4614)),IFERROR(-VALUE(LEFT(E4614,FIND("º",SUBSTITUTE(E4614,"°","º"))-1)),-1),IF(LEFT(E4614,6)="TÉRREO",0,IFERROR(VALUE(LEFT(E4614,FIND("º",SUBSTITUTE(E4614,"°","º"))-1)),""))))</f>
        <v/>
      </c>
      <c r="O4614" s="2">
        <f>IF(OR(F4614="",G4614=""),"",IF(G4614&lt;='RETRATO 2027'!$K$5,"CONCLUÍDA",IF(F4614&lt;='RETRATO 2027'!$K$5,"EM ANDAMENTO","A INICIAR")))</f>
        <v/>
      </c>
    </row>
    <row r="4615">
      <c r="M4615" s="2">
        <f>IF(C4615="","",IFERROR(INDEX($S$5:$S$304,MATCH(C4615,$R$5:$R$304,0))&amp;"","?"))</f>
        <v/>
      </c>
      <c r="N4615" s="2">
        <f>IF(E4615="","",IF(ISNUMBER(SEARCH("SUBSOLO",E4615)),IFERROR(-VALUE(LEFT(E4615,FIND("º",SUBSTITUTE(E4615,"°","º"))-1)),-1),IF(LEFT(E4615,6)="TÉRREO",0,IFERROR(VALUE(LEFT(E4615,FIND("º",SUBSTITUTE(E4615,"°","º"))-1)),""))))</f>
        <v/>
      </c>
      <c r="O4615" s="2">
        <f>IF(OR(F4615="",G4615=""),"",IF(G4615&lt;='RETRATO 2027'!$K$5,"CONCLUÍDA",IF(F4615&lt;='RETRATO 2027'!$K$5,"EM ANDAMENTO","A INICIAR")))</f>
        <v/>
      </c>
    </row>
    <row r="4616">
      <c r="M4616" s="2">
        <f>IF(C4616="","",IFERROR(INDEX($S$5:$S$304,MATCH(C4616,$R$5:$R$304,0))&amp;"","?"))</f>
        <v/>
      </c>
      <c r="N4616" s="2">
        <f>IF(E4616="","",IF(ISNUMBER(SEARCH("SUBSOLO",E4616)),IFERROR(-VALUE(LEFT(E4616,FIND("º",SUBSTITUTE(E4616,"°","º"))-1)),-1),IF(LEFT(E4616,6)="TÉRREO",0,IFERROR(VALUE(LEFT(E4616,FIND("º",SUBSTITUTE(E4616,"°","º"))-1)),""))))</f>
        <v/>
      </c>
      <c r="O4616" s="2">
        <f>IF(OR(F4616="",G4616=""),"",IF(G4616&lt;='RETRATO 2027'!$K$5,"CONCLUÍDA",IF(F4616&lt;='RETRATO 2027'!$K$5,"EM ANDAMENTO","A INICIAR")))</f>
        <v/>
      </c>
    </row>
    <row r="4617">
      <c r="M4617" s="2">
        <f>IF(C4617="","",IFERROR(INDEX($S$5:$S$304,MATCH(C4617,$R$5:$R$304,0))&amp;"","?"))</f>
        <v/>
      </c>
      <c r="N4617" s="2">
        <f>IF(E4617="","",IF(ISNUMBER(SEARCH("SUBSOLO",E4617)),IFERROR(-VALUE(LEFT(E4617,FIND("º",SUBSTITUTE(E4617,"°","º"))-1)),-1),IF(LEFT(E4617,6)="TÉRREO",0,IFERROR(VALUE(LEFT(E4617,FIND("º",SUBSTITUTE(E4617,"°","º"))-1)),""))))</f>
        <v/>
      </c>
      <c r="O4617" s="2">
        <f>IF(OR(F4617="",G4617=""),"",IF(G4617&lt;='RETRATO 2027'!$K$5,"CONCLUÍDA",IF(F4617&lt;='RETRATO 2027'!$K$5,"EM ANDAMENTO","A INICIAR")))</f>
        <v/>
      </c>
    </row>
    <row r="4618">
      <c r="M4618" s="2">
        <f>IF(C4618="","",IFERROR(INDEX($S$5:$S$304,MATCH(C4618,$R$5:$R$304,0))&amp;"","?"))</f>
        <v/>
      </c>
      <c r="N4618" s="2">
        <f>IF(E4618="","",IF(ISNUMBER(SEARCH("SUBSOLO",E4618)),IFERROR(-VALUE(LEFT(E4618,FIND("º",SUBSTITUTE(E4618,"°","º"))-1)),-1),IF(LEFT(E4618,6)="TÉRREO",0,IFERROR(VALUE(LEFT(E4618,FIND("º",SUBSTITUTE(E4618,"°","º"))-1)),""))))</f>
        <v/>
      </c>
      <c r="O4618" s="2">
        <f>IF(OR(F4618="",G4618=""),"",IF(G4618&lt;='RETRATO 2027'!$K$5,"CONCLUÍDA",IF(F4618&lt;='RETRATO 2027'!$K$5,"EM ANDAMENTO","A INICIAR")))</f>
        <v/>
      </c>
    </row>
    <row r="4619">
      <c r="M4619" s="2">
        <f>IF(C4619="","",IFERROR(INDEX($S$5:$S$304,MATCH(C4619,$R$5:$R$304,0))&amp;"","?"))</f>
        <v/>
      </c>
      <c r="N4619" s="2">
        <f>IF(E4619="","",IF(ISNUMBER(SEARCH("SUBSOLO",E4619)),IFERROR(-VALUE(LEFT(E4619,FIND("º",SUBSTITUTE(E4619,"°","º"))-1)),-1),IF(LEFT(E4619,6)="TÉRREO",0,IFERROR(VALUE(LEFT(E4619,FIND("º",SUBSTITUTE(E4619,"°","º"))-1)),""))))</f>
        <v/>
      </c>
      <c r="O4619" s="2">
        <f>IF(OR(F4619="",G4619=""),"",IF(G4619&lt;='RETRATO 2027'!$K$5,"CONCLUÍDA",IF(F4619&lt;='RETRATO 2027'!$K$5,"EM ANDAMENTO","A INICIAR")))</f>
        <v/>
      </c>
    </row>
    <row r="4620">
      <c r="M4620" s="2">
        <f>IF(C4620="","",IFERROR(INDEX($S$5:$S$304,MATCH(C4620,$R$5:$R$304,0))&amp;"","?"))</f>
        <v/>
      </c>
      <c r="N4620" s="2">
        <f>IF(E4620="","",IF(ISNUMBER(SEARCH("SUBSOLO",E4620)),IFERROR(-VALUE(LEFT(E4620,FIND("º",SUBSTITUTE(E4620,"°","º"))-1)),-1),IF(LEFT(E4620,6)="TÉRREO",0,IFERROR(VALUE(LEFT(E4620,FIND("º",SUBSTITUTE(E4620,"°","º"))-1)),""))))</f>
        <v/>
      </c>
      <c r="O4620" s="2">
        <f>IF(OR(F4620="",G4620=""),"",IF(G4620&lt;='RETRATO 2027'!$K$5,"CONCLUÍDA",IF(F4620&lt;='RETRATO 2027'!$K$5,"EM ANDAMENTO","A INICIAR")))</f>
        <v/>
      </c>
    </row>
    <row r="4621">
      <c r="M4621" s="2">
        <f>IF(C4621="","",IFERROR(INDEX($S$5:$S$304,MATCH(C4621,$R$5:$R$304,0))&amp;"","?"))</f>
        <v/>
      </c>
      <c r="N4621" s="2">
        <f>IF(E4621="","",IF(ISNUMBER(SEARCH("SUBSOLO",E4621)),IFERROR(-VALUE(LEFT(E4621,FIND("º",SUBSTITUTE(E4621,"°","º"))-1)),-1),IF(LEFT(E4621,6)="TÉRREO",0,IFERROR(VALUE(LEFT(E4621,FIND("º",SUBSTITUTE(E4621,"°","º"))-1)),""))))</f>
        <v/>
      </c>
      <c r="O4621" s="2">
        <f>IF(OR(F4621="",G4621=""),"",IF(G4621&lt;='RETRATO 2027'!$K$5,"CONCLUÍDA",IF(F4621&lt;='RETRATO 2027'!$K$5,"EM ANDAMENTO","A INICIAR")))</f>
        <v/>
      </c>
    </row>
    <row r="4622">
      <c r="M4622" s="2">
        <f>IF(C4622="","",IFERROR(INDEX($S$5:$S$304,MATCH(C4622,$R$5:$R$304,0))&amp;"","?"))</f>
        <v/>
      </c>
      <c r="N4622" s="2">
        <f>IF(E4622="","",IF(ISNUMBER(SEARCH("SUBSOLO",E4622)),IFERROR(-VALUE(LEFT(E4622,FIND("º",SUBSTITUTE(E4622,"°","º"))-1)),-1),IF(LEFT(E4622,6)="TÉRREO",0,IFERROR(VALUE(LEFT(E4622,FIND("º",SUBSTITUTE(E4622,"°","º"))-1)),""))))</f>
        <v/>
      </c>
      <c r="O4622" s="2">
        <f>IF(OR(F4622="",G4622=""),"",IF(G4622&lt;='RETRATO 2027'!$K$5,"CONCLUÍDA",IF(F4622&lt;='RETRATO 2027'!$K$5,"EM ANDAMENTO","A INICIAR")))</f>
        <v/>
      </c>
    </row>
    <row r="4623">
      <c r="M4623" s="2">
        <f>IF(C4623="","",IFERROR(INDEX($S$5:$S$304,MATCH(C4623,$R$5:$R$304,0))&amp;"","?"))</f>
        <v/>
      </c>
      <c r="N4623" s="2">
        <f>IF(E4623="","",IF(ISNUMBER(SEARCH("SUBSOLO",E4623)),IFERROR(-VALUE(LEFT(E4623,FIND("º",SUBSTITUTE(E4623,"°","º"))-1)),-1),IF(LEFT(E4623,6)="TÉRREO",0,IFERROR(VALUE(LEFT(E4623,FIND("º",SUBSTITUTE(E4623,"°","º"))-1)),""))))</f>
        <v/>
      </c>
      <c r="O4623" s="2">
        <f>IF(OR(F4623="",G4623=""),"",IF(G4623&lt;='RETRATO 2027'!$K$5,"CONCLUÍDA",IF(F4623&lt;='RETRATO 2027'!$K$5,"EM ANDAMENTO","A INICIAR")))</f>
        <v/>
      </c>
    </row>
    <row r="4624">
      <c r="M4624" s="2">
        <f>IF(C4624="","",IFERROR(INDEX($S$5:$S$304,MATCH(C4624,$R$5:$R$304,0))&amp;"","?"))</f>
        <v/>
      </c>
      <c r="N4624" s="2">
        <f>IF(E4624="","",IF(ISNUMBER(SEARCH("SUBSOLO",E4624)),IFERROR(-VALUE(LEFT(E4624,FIND("º",SUBSTITUTE(E4624,"°","º"))-1)),-1),IF(LEFT(E4624,6)="TÉRREO",0,IFERROR(VALUE(LEFT(E4624,FIND("º",SUBSTITUTE(E4624,"°","º"))-1)),""))))</f>
        <v/>
      </c>
      <c r="O4624" s="2">
        <f>IF(OR(F4624="",G4624=""),"",IF(G4624&lt;='RETRATO 2027'!$K$5,"CONCLUÍDA",IF(F4624&lt;='RETRATO 2027'!$K$5,"EM ANDAMENTO","A INICIAR")))</f>
        <v/>
      </c>
    </row>
    <row r="4625">
      <c r="M4625" s="2">
        <f>IF(C4625="","",IFERROR(INDEX($S$5:$S$304,MATCH(C4625,$R$5:$R$304,0))&amp;"","?"))</f>
        <v/>
      </c>
      <c r="N4625" s="2">
        <f>IF(E4625="","",IF(ISNUMBER(SEARCH("SUBSOLO",E4625)),IFERROR(-VALUE(LEFT(E4625,FIND("º",SUBSTITUTE(E4625,"°","º"))-1)),-1),IF(LEFT(E4625,6)="TÉRREO",0,IFERROR(VALUE(LEFT(E4625,FIND("º",SUBSTITUTE(E4625,"°","º"))-1)),""))))</f>
        <v/>
      </c>
      <c r="O4625" s="2">
        <f>IF(OR(F4625="",G4625=""),"",IF(G4625&lt;='RETRATO 2027'!$K$5,"CONCLUÍDA",IF(F4625&lt;='RETRATO 2027'!$K$5,"EM ANDAMENTO","A INICIAR")))</f>
        <v/>
      </c>
    </row>
    <row r="4626">
      <c r="M4626" s="2">
        <f>IF(C4626="","",IFERROR(INDEX($S$5:$S$304,MATCH(C4626,$R$5:$R$304,0))&amp;"","?"))</f>
        <v/>
      </c>
      <c r="N4626" s="2">
        <f>IF(E4626="","",IF(ISNUMBER(SEARCH("SUBSOLO",E4626)),IFERROR(-VALUE(LEFT(E4626,FIND("º",SUBSTITUTE(E4626,"°","º"))-1)),-1),IF(LEFT(E4626,6)="TÉRREO",0,IFERROR(VALUE(LEFT(E4626,FIND("º",SUBSTITUTE(E4626,"°","º"))-1)),""))))</f>
        <v/>
      </c>
      <c r="O4626" s="2">
        <f>IF(OR(F4626="",G4626=""),"",IF(G4626&lt;='RETRATO 2027'!$K$5,"CONCLUÍDA",IF(F4626&lt;='RETRATO 2027'!$K$5,"EM ANDAMENTO","A INICIAR")))</f>
        <v/>
      </c>
    </row>
    <row r="4627">
      <c r="M4627" s="2">
        <f>IF(C4627="","",IFERROR(INDEX($S$5:$S$304,MATCH(C4627,$R$5:$R$304,0))&amp;"","?"))</f>
        <v/>
      </c>
      <c r="N4627" s="2">
        <f>IF(E4627="","",IF(ISNUMBER(SEARCH("SUBSOLO",E4627)),IFERROR(-VALUE(LEFT(E4627,FIND("º",SUBSTITUTE(E4627,"°","º"))-1)),-1),IF(LEFT(E4627,6)="TÉRREO",0,IFERROR(VALUE(LEFT(E4627,FIND("º",SUBSTITUTE(E4627,"°","º"))-1)),""))))</f>
        <v/>
      </c>
      <c r="O4627" s="2">
        <f>IF(OR(F4627="",G4627=""),"",IF(G4627&lt;='RETRATO 2027'!$K$5,"CONCLUÍDA",IF(F4627&lt;='RETRATO 2027'!$K$5,"EM ANDAMENTO","A INICIAR")))</f>
        <v/>
      </c>
    </row>
    <row r="4628">
      <c r="M4628" s="2">
        <f>IF(C4628="","",IFERROR(INDEX($S$5:$S$304,MATCH(C4628,$R$5:$R$304,0))&amp;"","?"))</f>
        <v/>
      </c>
      <c r="N4628" s="2">
        <f>IF(E4628="","",IF(ISNUMBER(SEARCH("SUBSOLO",E4628)),IFERROR(-VALUE(LEFT(E4628,FIND("º",SUBSTITUTE(E4628,"°","º"))-1)),-1),IF(LEFT(E4628,6)="TÉRREO",0,IFERROR(VALUE(LEFT(E4628,FIND("º",SUBSTITUTE(E4628,"°","º"))-1)),""))))</f>
        <v/>
      </c>
      <c r="O4628" s="2">
        <f>IF(OR(F4628="",G4628=""),"",IF(G4628&lt;='RETRATO 2027'!$K$5,"CONCLUÍDA",IF(F4628&lt;='RETRATO 2027'!$K$5,"EM ANDAMENTO","A INICIAR")))</f>
        <v/>
      </c>
    </row>
    <row r="4629">
      <c r="M4629" s="2">
        <f>IF(C4629="","",IFERROR(INDEX($S$5:$S$304,MATCH(C4629,$R$5:$R$304,0))&amp;"","?"))</f>
        <v/>
      </c>
      <c r="N4629" s="2">
        <f>IF(E4629="","",IF(ISNUMBER(SEARCH("SUBSOLO",E4629)),IFERROR(-VALUE(LEFT(E4629,FIND("º",SUBSTITUTE(E4629,"°","º"))-1)),-1),IF(LEFT(E4629,6)="TÉRREO",0,IFERROR(VALUE(LEFT(E4629,FIND("º",SUBSTITUTE(E4629,"°","º"))-1)),""))))</f>
        <v/>
      </c>
      <c r="O4629" s="2">
        <f>IF(OR(F4629="",G4629=""),"",IF(G4629&lt;='RETRATO 2027'!$K$5,"CONCLUÍDA",IF(F4629&lt;='RETRATO 2027'!$K$5,"EM ANDAMENTO","A INICIAR")))</f>
        <v/>
      </c>
    </row>
    <row r="4630">
      <c r="M4630" s="2">
        <f>IF(C4630="","",IFERROR(INDEX($S$5:$S$304,MATCH(C4630,$R$5:$R$304,0))&amp;"","?"))</f>
        <v/>
      </c>
      <c r="N4630" s="2">
        <f>IF(E4630="","",IF(ISNUMBER(SEARCH("SUBSOLO",E4630)),IFERROR(-VALUE(LEFT(E4630,FIND("º",SUBSTITUTE(E4630,"°","º"))-1)),-1),IF(LEFT(E4630,6)="TÉRREO",0,IFERROR(VALUE(LEFT(E4630,FIND("º",SUBSTITUTE(E4630,"°","º"))-1)),""))))</f>
        <v/>
      </c>
      <c r="O4630" s="2">
        <f>IF(OR(F4630="",G4630=""),"",IF(G4630&lt;='RETRATO 2027'!$K$5,"CONCLUÍDA",IF(F4630&lt;='RETRATO 2027'!$K$5,"EM ANDAMENTO","A INICIAR")))</f>
        <v/>
      </c>
    </row>
    <row r="4631">
      <c r="M4631" s="2">
        <f>IF(C4631="","",IFERROR(INDEX($S$5:$S$304,MATCH(C4631,$R$5:$R$304,0))&amp;"","?"))</f>
        <v/>
      </c>
      <c r="N4631" s="2">
        <f>IF(E4631="","",IF(ISNUMBER(SEARCH("SUBSOLO",E4631)),IFERROR(-VALUE(LEFT(E4631,FIND("º",SUBSTITUTE(E4631,"°","º"))-1)),-1),IF(LEFT(E4631,6)="TÉRREO",0,IFERROR(VALUE(LEFT(E4631,FIND("º",SUBSTITUTE(E4631,"°","º"))-1)),""))))</f>
        <v/>
      </c>
      <c r="O4631" s="2">
        <f>IF(OR(F4631="",G4631=""),"",IF(G4631&lt;='RETRATO 2027'!$K$5,"CONCLUÍDA",IF(F4631&lt;='RETRATO 2027'!$K$5,"EM ANDAMENTO","A INICIAR")))</f>
        <v/>
      </c>
    </row>
    <row r="4632">
      <c r="M4632" s="2">
        <f>IF(C4632="","",IFERROR(INDEX($S$5:$S$304,MATCH(C4632,$R$5:$R$304,0))&amp;"","?"))</f>
        <v/>
      </c>
      <c r="N4632" s="2">
        <f>IF(E4632="","",IF(ISNUMBER(SEARCH("SUBSOLO",E4632)),IFERROR(-VALUE(LEFT(E4632,FIND("º",SUBSTITUTE(E4632,"°","º"))-1)),-1),IF(LEFT(E4632,6)="TÉRREO",0,IFERROR(VALUE(LEFT(E4632,FIND("º",SUBSTITUTE(E4632,"°","º"))-1)),""))))</f>
        <v/>
      </c>
      <c r="O4632" s="2">
        <f>IF(OR(F4632="",G4632=""),"",IF(G4632&lt;='RETRATO 2027'!$K$5,"CONCLUÍDA",IF(F4632&lt;='RETRATO 2027'!$K$5,"EM ANDAMENTO","A INICIAR")))</f>
        <v/>
      </c>
    </row>
    <row r="4633">
      <c r="M4633" s="2">
        <f>IF(C4633="","",IFERROR(INDEX($S$5:$S$304,MATCH(C4633,$R$5:$R$304,0))&amp;"","?"))</f>
        <v/>
      </c>
      <c r="N4633" s="2">
        <f>IF(E4633="","",IF(ISNUMBER(SEARCH("SUBSOLO",E4633)),IFERROR(-VALUE(LEFT(E4633,FIND("º",SUBSTITUTE(E4633,"°","º"))-1)),-1),IF(LEFT(E4633,6)="TÉRREO",0,IFERROR(VALUE(LEFT(E4633,FIND("º",SUBSTITUTE(E4633,"°","º"))-1)),""))))</f>
        <v/>
      </c>
      <c r="O4633" s="2">
        <f>IF(OR(F4633="",G4633=""),"",IF(G4633&lt;='RETRATO 2027'!$K$5,"CONCLUÍDA",IF(F4633&lt;='RETRATO 2027'!$K$5,"EM ANDAMENTO","A INICIAR")))</f>
        <v/>
      </c>
    </row>
    <row r="4634">
      <c r="M4634" s="2">
        <f>IF(C4634="","",IFERROR(INDEX($S$5:$S$304,MATCH(C4634,$R$5:$R$304,0))&amp;"","?"))</f>
        <v/>
      </c>
      <c r="N4634" s="2">
        <f>IF(E4634="","",IF(ISNUMBER(SEARCH("SUBSOLO",E4634)),IFERROR(-VALUE(LEFT(E4634,FIND("º",SUBSTITUTE(E4634,"°","º"))-1)),-1),IF(LEFT(E4634,6)="TÉRREO",0,IFERROR(VALUE(LEFT(E4634,FIND("º",SUBSTITUTE(E4634,"°","º"))-1)),""))))</f>
        <v/>
      </c>
      <c r="O4634" s="2">
        <f>IF(OR(F4634="",G4634=""),"",IF(G4634&lt;='RETRATO 2027'!$K$5,"CONCLUÍDA",IF(F4634&lt;='RETRATO 2027'!$K$5,"EM ANDAMENTO","A INICIAR")))</f>
        <v/>
      </c>
    </row>
    <row r="4635">
      <c r="M4635" s="2">
        <f>IF(C4635="","",IFERROR(INDEX($S$5:$S$304,MATCH(C4635,$R$5:$R$304,0))&amp;"","?"))</f>
        <v/>
      </c>
      <c r="N4635" s="2">
        <f>IF(E4635="","",IF(ISNUMBER(SEARCH("SUBSOLO",E4635)),IFERROR(-VALUE(LEFT(E4635,FIND("º",SUBSTITUTE(E4635,"°","º"))-1)),-1),IF(LEFT(E4635,6)="TÉRREO",0,IFERROR(VALUE(LEFT(E4635,FIND("º",SUBSTITUTE(E4635,"°","º"))-1)),""))))</f>
        <v/>
      </c>
      <c r="O4635" s="2">
        <f>IF(OR(F4635="",G4635=""),"",IF(G4635&lt;='RETRATO 2027'!$K$5,"CONCLUÍDA",IF(F4635&lt;='RETRATO 2027'!$K$5,"EM ANDAMENTO","A INICIAR")))</f>
        <v/>
      </c>
    </row>
    <row r="4636">
      <c r="M4636" s="2">
        <f>IF(C4636="","",IFERROR(INDEX($S$5:$S$304,MATCH(C4636,$R$5:$R$304,0))&amp;"","?"))</f>
        <v/>
      </c>
      <c r="N4636" s="2">
        <f>IF(E4636="","",IF(ISNUMBER(SEARCH("SUBSOLO",E4636)),IFERROR(-VALUE(LEFT(E4636,FIND("º",SUBSTITUTE(E4636,"°","º"))-1)),-1),IF(LEFT(E4636,6)="TÉRREO",0,IFERROR(VALUE(LEFT(E4636,FIND("º",SUBSTITUTE(E4636,"°","º"))-1)),""))))</f>
        <v/>
      </c>
      <c r="O4636" s="2">
        <f>IF(OR(F4636="",G4636=""),"",IF(G4636&lt;='RETRATO 2027'!$K$5,"CONCLUÍDA",IF(F4636&lt;='RETRATO 2027'!$K$5,"EM ANDAMENTO","A INICIAR")))</f>
        <v/>
      </c>
    </row>
    <row r="4637">
      <c r="M4637" s="2">
        <f>IF(C4637="","",IFERROR(INDEX($S$5:$S$304,MATCH(C4637,$R$5:$R$304,0))&amp;"","?"))</f>
        <v/>
      </c>
      <c r="N4637" s="2">
        <f>IF(E4637="","",IF(ISNUMBER(SEARCH("SUBSOLO",E4637)),IFERROR(-VALUE(LEFT(E4637,FIND("º",SUBSTITUTE(E4637,"°","º"))-1)),-1),IF(LEFT(E4637,6)="TÉRREO",0,IFERROR(VALUE(LEFT(E4637,FIND("º",SUBSTITUTE(E4637,"°","º"))-1)),""))))</f>
        <v/>
      </c>
      <c r="O4637" s="2">
        <f>IF(OR(F4637="",G4637=""),"",IF(G4637&lt;='RETRATO 2027'!$K$5,"CONCLUÍDA",IF(F4637&lt;='RETRATO 2027'!$K$5,"EM ANDAMENTO","A INICIAR")))</f>
        <v/>
      </c>
    </row>
    <row r="4638">
      <c r="M4638" s="2">
        <f>IF(C4638="","",IFERROR(INDEX($S$5:$S$304,MATCH(C4638,$R$5:$R$304,0))&amp;"","?"))</f>
        <v/>
      </c>
      <c r="N4638" s="2">
        <f>IF(E4638="","",IF(ISNUMBER(SEARCH("SUBSOLO",E4638)),IFERROR(-VALUE(LEFT(E4638,FIND("º",SUBSTITUTE(E4638,"°","º"))-1)),-1),IF(LEFT(E4638,6)="TÉRREO",0,IFERROR(VALUE(LEFT(E4638,FIND("º",SUBSTITUTE(E4638,"°","º"))-1)),""))))</f>
        <v/>
      </c>
      <c r="O4638" s="2">
        <f>IF(OR(F4638="",G4638=""),"",IF(G4638&lt;='RETRATO 2027'!$K$5,"CONCLUÍDA",IF(F4638&lt;='RETRATO 2027'!$K$5,"EM ANDAMENTO","A INICIAR")))</f>
        <v/>
      </c>
    </row>
    <row r="4639">
      <c r="M4639" s="2">
        <f>IF(C4639="","",IFERROR(INDEX($S$5:$S$304,MATCH(C4639,$R$5:$R$304,0))&amp;"","?"))</f>
        <v/>
      </c>
      <c r="N4639" s="2">
        <f>IF(E4639="","",IF(ISNUMBER(SEARCH("SUBSOLO",E4639)),IFERROR(-VALUE(LEFT(E4639,FIND("º",SUBSTITUTE(E4639,"°","º"))-1)),-1),IF(LEFT(E4639,6)="TÉRREO",0,IFERROR(VALUE(LEFT(E4639,FIND("º",SUBSTITUTE(E4639,"°","º"))-1)),""))))</f>
        <v/>
      </c>
      <c r="O4639" s="2">
        <f>IF(OR(F4639="",G4639=""),"",IF(G4639&lt;='RETRATO 2027'!$K$5,"CONCLUÍDA",IF(F4639&lt;='RETRATO 2027'!$K$5,"EM ANDAMENTO","A INICIAR")))</f>
        <v/>
      </c>
    </row>
    <row r="4640">
      <c r="M4640" s="2">
        <f>IF(C4640="","",IFERROR(INDEX($S$5:$S$304,MATCH(C4640,$R$5:$R$304,0))&amp;"","?"))</f>
        <v/>
      </c>
      <c r="N4640" s="2">
        <f>IF(E4640="","",IF(ISNUMBER(SEARCH("SUBSOLO",E4640)),IFERROR(-VALUE(LEFT(E4640,FIND("º",SUBSTITUTE(E4640,"°","º"))-1)),-1),IF(LEFT(E4640,6)="TÉRREO",0,IFERROR(VALUE(LEFT(E4640,FIND("º",SUBSTITUTE(E4640,"°","º"))-1)),""))))</f>
        <v/>
      </c>
      <c r="O4640" s="2">
        <f>IF(OR(F4640="",G4640=""),"",IF(G4640&lt;='RETRATO 2027'!$K$5,"CONCLUÍDA",IF(F4640&lt;='RETRATO 2027'!$K$5,"EM ANDAMENTO","A INICIAR")))</f>
        <v/>
      </c>
    </row>
    <row r="4641">
      <c r="M4641" s="2">
        <f>IF(C4641="","",IFERROR(INDEX($S$5:$S$304,MATCH(C4641,$R$5:$R$304,0))&amp;"","?"))</f>
        <v/>
      </c>
      <c r="N4641" s="2">
        <f>IF(E4641="","",IF(ISNUMBER(SEARCH("SUBSOLO",E4641)),IFERROR(-VALUE(LEFT(E4641,FIND("º",SUBSTITUTE(E4641,"°","º"))-1)),-1),IF(LEFT(E4641,6)="TÉRREO",0,IFERROR(VALUE(LEFT(E4641,FIND("º",SUBSTITUTE(E4641,"°","º"))-1)),""))))</f>
        <v/>
      </c>
      <c r="O4641" s="2">
        <f>IF(OR(F4641="",G4641=""),"",IF(G4641&lt;='RETRATO 2027'!$K$5,"CONCLUÍDA",IF(F4641&lt;='RETRATO 2027'!$K$5,"EM ANDAMENTO","A INICIAR")))</f>
        <v/>
      </c>
    </row>
    <row r="4642">
      <c r="M4642" s="2">
        <f>IF(C4642="","",IFERROR(INDEX($S$5:$S$304,MATCH(C4642,$R$5:$R$304,0))&amp;"","?"))</f>
        <v/>
      </c>
      <c r="N4642" s="2">
        <f>IF(E4642="","",IF(ISNUMBER(SEARCH("SUBSOLO",E4642)),IFERROR(-VALUE(LEFT(E4642,FIND("º",SUBSTITUTE(E4642,"°","º"))-1)),-1),IF(LEFT(E4642,6)="TÉRREO",0,IFERROR(VALUE(LEFT(E4642,FIND("º",SUBSTITUTE(E4642,"°","º"))-1)),""))))</f>
        <v/>
      </c>
      <c r="O4642" s="2">
        <f>IF(OR(F4642="",G4642=""),"",IF(G4642&lt;='RETRATO 2027'!$K$5,"CONCLUÍDA",IF(F4642&lt;='RETRATO 2027'!$K$5,"EM ANDAMENTO","A INICIAR")))</f>
        <v/>
      </c>
    </row>
    <row r="4643">
      <c r="M4643" s="2">
        <f>IF(C4643="","",IFERROR(INDEX($S$5:$S$304,MATCH(C4643,$R$5:$R$304,0))&amp;"","?"))</f>
        <v/>
      </c>
      <c r="N4643" s="2">
        <f>IF(E4643="","",IF(ISNUMBER(SEARCH("SUBSOLO",E4643)),IFERROR(-VALUE(LEFT(E4643,FIND("º",SUBSTITUTE(E4643,"°","º"))-1)),-1),IF(LEFT(E4643,6)="TÉRREO",0,IFERROR(VALUE(LEFT(E4643,FIND("º",SUBSTITUTE(E4643,"°","º"))-1)),""))))</f>
        <v/>
      </c>
      <c r="O4643" s="2">
        <f>IF(OR(F4643="",G4643=""),"",IF(G4643&lt;='RETRATO 2027'!$K$5,"CONCLUÍDA",IF(F4643&lt;='RETRATO 2027'!$K$5,"EM ANDAMENTO","A INICIAR")))</f>
        <v/>
      </c>
    </row>
    <row r="4644">
      <c r="M4644" s="2">
        <f>IF(C4644="","",IFERROR(INDEX($S$5:$S$304,MATCH(C4644,$R$5:$R$304,0))&amp;"","?"))</f>
        <v/>
      </c>
      <c r="N4644" s="2">
        <f>IF(E4644="","",IF(ISNUMBER(SEARCH("SUBSOLO",E4644)),IFERROR(-VALUE(LEFT(E4644,FIND("º",SUBSTITUTE(E4644,"°","º"))-1)),-1),IF(LEFT(E4644,6)="TÉRREO",0,IFERROR(VALUE(LEFT(E4644,FIND("º",SUBSTITUTE(E4644,"°","º"))-1)),""))))</f>
        <v/>
      </c>
      <c r="O4644" s="2">
        <f>IF(OR(F4644="",G4644=""),"",IF(G4644&lt;='RETRATO 2027'!$K$5,"CONCLUÍDA",IF(F4644&lt;='RETRATO 2027'!$K$5,"EM ANDAMENTO","A INICIAR")))</f>
        <v/>
      </c>
    </row>
    <row r="4645">
      <c r="M4645" s="2">
        <f>IF(C4645="","",IFERROR(INDEX($S$5:$S$304,MATCH(C4645,$R$5:$R$304,0))&amp;"","?"))</f>
        <v/>
      </c>
      <c r="N4645" s="2">
        <f>IF(E4645="","",IF(ISNUMBER(SEARCH("SUBSOLO",E4645)),IFERROR(-VALUE(LEFT(E4645,FIND("º",SUBSTITUTE(E4645,"°","º"))-1)),-1),IF(LEFT(E4645,6)="TÉRREO",0,IFERROR(VALUE(LEFT(E4645,FIND("º",SUBSTITUTE(E4645,"°","º"))-1)),""))))</f>
        <v/>
      </c>
      <c r="O4645" s="2">
        <f>IF(OR(F4645="",G4645=""),"",IF(G4645&lt;='RETRATO 2027'!$K$5,"CONCLUÍDA",IF(F4645&lt;='RETRATO 2027'!$K$5,"EM ANDAMENTO","A INICIAR")))</f>
        <v/>
      </c>
    </row>
    <row r="4646">
      <c r="M4646" s="2">
        <f>IF(C4646="","",IFERROR(INDEX($S$5:$S$304,MATCH(C4646,$R$5:$R$304,0))&amp;"","?"))</f>
        <v/>
      </c>
      <c r="N4646" s="2">
        <f>IF(E4646="","",IF(ISNUMBER(SEARCH("SUBSOLO",E4646)),IFERROR(-VALUE(LEFT(E4646,FIND("º",SUBSTITUTE(E4646,"°","º"))-1)),-1),IF(LEFT(E4646,6)="TÉRREO",0,IFERROR(VALUE(LEFT(E4646,FIND("º",SUBSTITUTE(E4646,"°","º"))-1)),""))))</f>
        <v/>
      </c>
      <c r="O4646" s="2">
        <f>IF(OR(F4646="",G4646=""),"",IF(G4646&lt;='RETRATO 2027'!$K$5,"CONCLUÍDA",IF(F4646&lt;='RETRATO 2027'!$K$5,"EM ANDAMENTO","A INICIAR")))</f>
        <v/>
      </c>
    </row>
    <row r="4647">
      <c r="M4647" s="2">
        <f>IF(C4647="","",IFERROR(INDEX($S$5:$S$304,MATCH(C4647,$R$5:$R$304,0))&amp;"","?"))</f>
        <v/>
      </c>
      <c r="N4647" s="2">
        <f>IF(E4647="","",IF(ISNUMBER(SEARCH("SUBSOLO",E4647)),IFERROR(-VALUE(LEFT(E4647,FIND("º",SUBSTITUTE(E4647,"°","º"))-1)),-1),IF(LEFT(E4647,6)="TÉRREO",0,IFERROR(VALUE(LEFT(E4647,FIND("º",SUBSTITUTE(E4647,"°","º"))-1)),""))))</f>
        <v/>
      </c>
      <c r="O4647" s="2">
        <f>IF(OR(F4647="",G4647=""),"",IF(G4647&lt;='RETRATO 2027'!$K$5,"CONCLUÍDA",IF(F4647&lt;='RETRATO 2027'!$K$5,"EM ANDAMENTO","A INICIAR")))</f>
        <v/>
      </c>
    </row>
    <row r="4648">
      <c r="M4648" s="2">
        <f>IF(C4648="","",IFERROR(INDEX($S$5:$S$304,MATCH(C4648,$R$5:$R$304,0))&amp;"","?"))</f>
        <v/>
      </c>
      <c r="N4648" s="2">
        <f>IF(E4648="","",IF(ISNUMBER(SEARCH("SUBSOLO",E4648)),IFERROR(-VALUE(LEFT(E4648,FIND("º",SUBSTITUTE(E4648,"°","º"))-1)),-1),IF(LEFT(E4648,6)="TÉRREO",0,IFERROR(VALUE(LEFT(E4648,FIND("º",SUBSTITUTE(E4648,"°","º"))-1)),""))))</f>
        <v/>
      </c>
      <c r="O4648" s="2">
        <f>IF(OR(F4648="",G4648=""),"",IF(G4648&lt;='RETRATO 2027'!$K$5,"CONCLUÍDA",IF(F4648&lt;='RETRATO 2027'!$K$5,"EM ANDAMENTO","A INICIAR")))</f>
        <v/>
      </c>
    </row>
    <row r="4649">
      <c r="M4649" s="2">
        <f>IF(C4649="","",IFERROR(INDEX($S$5:$S$304,MATCH(C4649,$R$5:$R$304,0))&amp;"","?"))</f>
        <v/>
      </c>
      <c r="N4649" s="2">
        <f>IF(E4649="","",IF(ISNUMBER(SEARCH("SUBSOLO",E4649)),IFERROR(-VALUE(LEFT(E4649,FIND("º",SUBSTITUTE(E4649,"°","º"))-1)),-1),IF(LEFT(E4649,6)="TÉRREO",0,IFERROR(VALUE(LEFT(E4649,FIND("º",SUBSTITUTE(E4649,"°","º"))-1)),""))))</f>
        <v/>
      </c>
      <c r="O4649" s="2">
        <f>IF(OR(F4649="",G4649=""),"",IF(G4649&lt;='RETRATO 2027'!$K$5,"CONCLUÍDA",IF(F4649&lt;='RETRATO 2027'!$K$5,"EM ANDAMENTO","A INICIAR")))</f>
        <v/>
      </c>
    </row>
    <row r="4650">
      <c r="M4650" s="2">
        <f>IF(C4650="","",IFERROR(INDEX($S$5:$S$304,MATCH(C4650,$R$5:$R$304,0))&amp;"","?"))</f>
        <v/>
      </c>
      <c r="N4650" s="2">
        <f>IF(E4650="","",IF(ISNUMBER(SEARCH("SUBSOLO",E4650)),IFERROR(-VALUE(LEFT(E4650,FIND("º",SUBSTITUTE(E4650,"°","º"))-1)),-1),IF(LEFT(E4650,6)="TÉRREO",0,IFERROR(VALUE(LEFT(E4650,FIND("º",SUBSTITUTE(E4650,"°","º"))-1)),""))))</f>
        <v/>
      </c>
      <c r="O4650" s="2">
        <f>IF(OR(F4650="",G4650=""),"",IF(G4650&lt;='RETRATO 2027'!$K$5,"CONCLUÍDA",IF(F4650&lt;='RETRATO 2027'!$K$5,"EM ANDAMENTO","A INICIAR")))</f>
        <v/>
      </c>
    </row>
    <row r="4651">
      <c r="M4651" s="2">
        <f>IF(C4651="","",IFERROR(INDEX($S$5:$S$304,MATCH(C4651,$R$5:$R$304,0))&amp;"","?"))</f>
        <v/>
      </c>
      <c r="N4651" s="2">
        <f>IF(E4651="","",IF(ISNUMBER(SEARCH("SUBSOLO",E4651)),IFERROR(-VALUE(LEFT(E4651,FIND("º",SUBSTITUTE(E4651,"°","º"))-1)),-1),IF(LEFT(E4651,6)="TÉRREO",0,IFERROR(VALUE(LEFT(E4651,FIND("º",SUBSTITUTE(E4651,"°","º"))-1)),""))))</f>
        <v/>
      </c>
      <c r="O4651" s="2">
        <f>IF(OR(F4651="",G4651=""),"",IF(G4651&lt;='RETRATO 2027'!$K$5,"CONCLUÍDA",IF(F4651&lt;='RETRATO 2027'!$K$5,"EM ANDAMENTO","A INICIAR")))</f>
        <v/>
      </c>
    </row>
    <row r="4652">
      <c r="M4652" s="2">
        <f>IF(C4652="","",IFERROR(INDEX($S$5:$S$304,MATCH(C4652,$R$5:$R$304,0))&amp;"","?"))</f>
        <v/>
      </c>
      <c r="N4652" s="2">
        <f>IF(E4652="","",IF(ISNUMBER(SEARCH("SUBSOLO",E4652)),IFERROR(-VALUE(LEFT(E4652,FIND("º",SUBSTITUTE(E4652,"°","º"))-1)),-1),IF(LEFT(E4652,6)="TÉRREO",0,IFERROR(VALUE(LEFT(E4652,FIND("º",SUBSTITUTE(E4652,"°","º"))-1)),""))))</f>
        <v/>
      </c>
      <c r="O4652" s="2">
        <f>IF(OR(F4652="",G4652=""),"",IF(G4652&lt;='RETRATO 2027'!$K$5,"CONCLUÍDA",IF(F4652&lt;='RETRATO 2027'!$K$5,"EM ANDAMENTO","A INICIAR")))</f>
        <v/>
      </c>
    </row>
    <row r="4653">
      <c r="M4653" s="2">
        <f>IF(C4653="","",IFERROR(INDEX($S$5:$S$304,MATCH(C4653,$R$5:$R$304,0))&amp;"","?"))</f>
        <v/>
      </c>
      <c r="N4653" s="2">
        <f>IF(E4653="","",IF(ISNUMBER(SEARCH("SUBSOLO",E4653)),IFERROR(-VALUE(LEFT(E4653,FIND("º",SUBSTITUTE(E4653,"°","º"))-1)),-1),IF(LEFT(E4653,6)="TÉRREO",0,IFERROR(VALUE(LEFT(E4653,FIND("º",SUBSTITUTE(E4653,"°","º"))-1)),""))))</f>
        <v/>
      </c>
      <c r="O4653" s="2">
        <f>IF(OR(F4653="",G4653=""),"",IF(G4653&lt;='RETRATO 2027'!$K$5,"CONCLUÍDA",IF(F4653&lt;='RETRATO 2027'!$K$5,"EM ANDAMENTO","A INICIAR")))</f>
        <v/>
      </c>
    </row>
    <row r="4654">
      <c r="M4654" s="2">
        <f>IF(C4654="","",IFERROR(INDEX($S$5:$S$304,MATCH(C4654,$R$5:$R$304,0))&amp;"","?"))</f>
        <v/>
      </c>
      <c r="N4654" s="2">
        <f>IF(E4654="","",IF(ISNUMBER(SEARCH("SUBSOLO",E4654)),IFERROR(-VALUE(LEFT(E4654,FIND("º",SUBSTITUTE(E4654,"°","º"))-1)),-1),IF(LEFT(E4654,6)="TÉRREO",0,IFERROR(VALUE(LEFT(E4654,FIND("º",SUBSTITUTE(E4654,"°","º"))-1)),""))))</f>
        <v/>
      </c>
      <c r="O4654" s="2">
        <f>IF(OR(F4654="",G4654=""),"",IF(G4654&lt;='RETRATO 2027'!$K$5,"CONCLUÍDA",IF(F4654&lt;='RETRATO 2027'!$K$5,"EM ANDAMENTO","A INICIAR")))</f>
        <v/>
      </c>
    </row>
    <row r="4655">
      <c r="M4655" s="2">
        <f>IF(C4655="","",IFERROR(INDEX($S$5:$S$304,MATCH(C4655,$R$5:$R$304,0))&amp;"","?"))</f>
        <v/>
      </c>
      <c r="N4655" s="2">
        <f>IF(E4655="","",IF(ISNUMBER(SEARCH("SUBSOLO",E4655)),IFERROR(-VALUE(LEFT(E4655,FIND("º",SUBSTITUTE(E4655,"°","º"))-1)),-1),IF(LEFT(E4655,6)="TÉRREO",0,IFERROR(VALUE(LEFT(E4655,FIND("º",SUBSTITUTE(E4655,"°","º"))-1)),""))))</f>
        <v/>
      </c>
      <c r="O4655" s="2">
        <f>IF(OR(F4655="",G4655=""),"",IF(G4655&lt;='RETRATO 2027'!$K$5,"CONCLUÍDA",IF(F4655&lt;='RETRATO 2027'!$K$5,"EM ANDAMENTO","A INICIAR")))</f>
        <v/>
      </c>
    </row>
    <row r="4656">
      <c r="M4656" s="2">
        <f>IF(C4656="","",IFERROR(INDEX($S$5:$S$304,MATCH(C4656,$R$5:$R$304,0))&amp;"","?"))</f>
        <v/>
      </c>
      <c r="N4656" s="2">
        <f>IF(E4656="","",IF(ISNUMBER(SEARCH("SUBSOLO",E4656)),IFERROR(-VALUE(LEFT(E4656,FIND("º",SUBSTITUTE(E4656,"°","º"))-1)),-1),IF(LEFT(E4656,6)="TÉRREO",0,IFERROR(VALUE(LEFT(E4656,FIND("º",SUBSTITUTE(E4656,"°","º"))-1)),""))))</f>
        <v/>
      </c>
      <c r="O4656" s="2">
        <f>IF(OR(F4656="",G4656=""),"",IF(G4656&lt;='RETRATO 2027'!$K$5,"CONCLUÍDA",IF(F4656&lt;='RETRATO 2027'!$K$5,"EM ANDAMENTO","A INICIAR")))</f>
        <v/>
      </c>
    </row>
    <row r="4657">
      <c r="M4657" s="2">
        <f>IF(C4657="","",IFERROR(INDEX($S$5:$S$304,MATCH(C4657,$R$5:$R$304,0))&amp;"","?"))</f>
        <v/>
      </c>
      <c r="N4657" s="2">
        <f>IF(E4657="","",IF(ISNUMBER(SEARCH("SUBSOLO",E4657)),IFERROR(-VALUE(LEFT(E4657,FIND("º",SUBSTITUTE(E4657,"°","º"))-1)),-1),IF(LEFT(E4657,6)="TÉRREO",0,IFERROR(VALUE(LEFT(E4657,FIND("º",SUBSTITUTE(E4657,"°","º"))-1)),""))))</f>
        <v/>
      </c>
      <c r="O4657" s="2">
        <f>IF(OR(F4657="",G4657=""),"",IF(G4657&lt;='RETRATO 2027'!$K$5,"CONCLUÍDA",IF(F4657&lt;='RETRATO 2027'!$K$5,"EM ANDAMENTO","A INICIAR")))</f>
        <v/>
      </c>
    </row>
    <row r="4658">
      <c r="M4658" s="2">
        <f>IF(C4658="","",IFERROR(INDEX($S$5:$S$304,MATCH(C4658,$R$5:$R$304,0))&amp;"","?"))</f>
        <v/>
      </c>
      <c r="N4658" s="2">
        <f>IF(E4658="","",IF(ISNUMBER(SEARCH("SUBSOLO",E4658)),IFERROR(-VALUE(LEFT(E4658,FIND("º",SUBSTITUTE(E4658,"°","º"))-1)),-1),IF(LEFT(E4658,6)="TÉRREO",0,IFERROR(VALUE(LEFT(E4658,FIND("º",SUBSTITUTE(E4658,"°","º"))-1)),""))))</f>
        <v/>
      </c>
      <c r="O4658" s="2">
        <f>IF(OR(F4658="",G4658=""),"",IF(G4658&lt;='RETRATO 2027'!$K$5,"CONCLUÍDA",IF(F4658&lt;='RETRATO 2027'!$K$5,"EM ANDAMENTO","A INICIAR")))</f>
        <v/>
      </c>
    </row>
    <row r="4659">
      <c r="M4659" s="2">
        <f>IF(C4659="","",IFERROR(INDEX($S$5:$S$304,MATCH(C4659,$R$5:$R$304,0))&amp;"","?"))</f>
        <v/>
      </c>
      <c r="N4659" s="2">
        <f>IF(E4659="","",IF(ISNUMBER(SEARCH("SUBSOLO",E4659)),IFERROR(-VALUE(LEFT(E4659,FIND("º",SUBSTITUTE(E4659,"°","º"))-1)),-1),IF(LEFT(E4659,6)="TÉRREO",0,IFERROR(VALUE(LEFT(E4659,FIND("º",SUBSTITUTE(E4659,"°","º"))-1)),""))))</f>
        <v/>
      </c>
      <c r="O4659" s="2">
        <f>IF(OR(F4659="",G4659=""),"",IF(G4659&lt;='RETRATO 2027'!$K$5,"CONCLUÍDA",IF(F4659&lt;='RETRATO 2027'!$K$5,"EM ANDAMENTO","A INICIAR")))</f>
        <v/>
      </c>
    </row>
    <row r="4660">
      <c r="M4660" s="2">
        <f>IF(C4660="","",IFERROR(INDEX($S$5:$S$304,MATCH(C4660,$R$5:$R$304,0))&amp;"","?"))</f>
        <v/>
      </c>
      <c r="N4660" s="2">
        <f>IF(E4660="","",IF(ISNUMBER(SEARCH("SUBSOLO",E4660)),IFERROR(-VALUE(LEFT(E4660,FIND("º",SUBSTITUTE(E4660,"°","º"))-1)),-1),IF(LEFT(E4660,6)="TÉRREO",0,IFERROR(VALUE(LEFT(E4660,FIND("º",SUBSTITUTE(E4660,"°","º"))-1)),""))))</f>
        <v/>
      </c>
      <c r="O4660" s="2">
        <f>IF(OR(F4660="",G4660=""),"",IF(G4660&lt;='RETRATO 2027'!$K$5,"CONCLUÍDA",IF(F4660&lt;='RETRATO 2027'!$K$5,"EM ANDAMENTO","A INICIAR")))</f>
        <v/>
      </c>
    </row>
    <row r="4661">
      <c r="M4661" s="2">
        <f>IF(C4661="","",IFERROR(INDEX($S$5:$S$304,MATCH(C4661,$R$5:$R$304,0))&amp;"","?"))</f>
        <v/>
      </c>
      <c r="N4661" s="2">
        <f>IF(E4661="","",IF(ISNUMBER(SEARCH("SUBSOLO",E4661)),IFERROR(-VALUE(LEFT(E4661,FIND("º",SUBSTITUTE(E4661,"°","º"))-1)),-1),IF(LEFT(E4661,6)="TÉRREO",0,IFERROR(VALUE(LEFT(E4661,FIND("º",SUBSTITUTE(E4661,"°","º"))-1)),""))))</f>
        <v/>
      </c>
      <c r="O4661" s="2">
        <f>IF(OR(F4661="",G4661=""),"",IF(G4661&lt;='RETRATO 2027'!$K$5,"CONCLUÍDA",IF(F4661&lt;='RETRATO 2027'!$K$5,"EM ANDAMENTO","A INICIAR")))</f>
        <v/>
      </c>
    </row>
    <row r="4662">
      <c r="M4662" s="2">
        <f>IF(C4662="","",IFERROR(INDEX($S$5:$S$304,MATCH(C4662,$R$5:$R$304,0))&amp;"","?"))</f>
        <v/>
      </c>
      <c r="N4662" s="2">
        <f>IF(E4662="","",IF(ISNUMBER(SEARCH("SUBSOLO",E4662)),IFERROR(-VALUE(LEFT(E4662,FIND("º",SUBSTITUTE(E4662,"°","º"))-1)),-1),IF(LEFT(E4662,6)="TÉRREO",0,IFERROR(VALUE(LEFT(E4662,FIND("º",SUBSTITUTE(E4662,"°","º"))-1)),""))))</f>
        <v/>
      </c>
      <c r="O4662" s="2">
        <f>IF(OR(F4662="",G4662=""),"",IF(G4662&lt;='RETRATO 2027'!$K$5,"CONCLUÍDA",IF(F4662&lt;='RETRATO 2027'!$K$5,"EM ANDAMENTO","A INICIAR")))</f>
        <v/>
      </c>
    </row>
    <row r="4663">
      <c r="M4663" s="2">
        <f>IF(C4663="","",IFERROR(INDEX($S$5:$S$304,MATCH(C4663,$R$5:$R$304,0))&amp;"","?"))</f>
        <v/>
      </c>
      <c r="N4663" s="2">
        <f>IF(E4663="","",IF(ISNUMBER(SEARCH("SUBSOLO",E4663)),IFERROR(-VALUE(LEFT(E4663,FIND("º",SUBSTITUTE(E4663,"°","º"))-1)),-1),IF(LEFT(E4663,6)="TÉRREO",0,IFERROR(VALUE(LEFT(E4663,FIND("º",SUBSTITUTE(E4663,"°","º"))-1)),""))))</f>
        <v/>
      </c>
      <c r="O4663" s="2">
        <f>IF(OR(F4663="",G4663=""),"",IF(G4663&lt;='RETRATO 2027'!$K$5,"CONCLUÍDA",IF(F4663&lt;='RETRATO 2027'!$K$5,"EM ANDAMENTO","A INICIAR")))</f>
        <v/>
      </c>
    </row>
    <row r="4664">
      <c r="M4664" s="2">
        <f>IF(C4664="","",IFERROR(INDEX($S$5:$S$304,MATCH(C4664,$R$5:$R$304,0))&amp;"","?"))</f>
        <v/>
      </c>
      <c r="N4664" s="2">
        <f>IF(E4664="","",IF(ISNUMBER(SEARCH("SUBSOLO",E4664)),IFERROR(-VALUE(LEFT(E4664,FIND("º",SUBSTITUTE(E4664,"°","º"))-1)),-1),IF(LEFT(E4664,6)="TÉRREO",0,IFERROR(VALUE(LEFT(E4664,FIND("º",SUBSTITUTE(E4664,"°","º"))-1)),""))))</f>
        <v/>
      </c>
      <c r="O4664" s="2">
        <f>IF(OR(F4664="",G4664=""),"",IF(G4664&lt;='RETRATO 2027'!$K$5,"CONCLUÍDA",IF(F4664&lt;='RETRATO 2027'!$K$5,"EM ANDAMENTO","A INICIAR")))</f>
        <v/>
      </c>
    </row>
    <row r="4665">
      <c r="M4665" s="2">
        <f>IF(C4665="","",IFERROR(INDEX($S$5:$S$304,MATCH(C4665,$R$5:$R$304,0))&amp;"","?"))</f>
        <v/>
      </c>
      <c r="N4665" s="2">
        <f>IF(E4665="","",IF(ISNUMBER(SEARCH("SUBSOLO",E4665)),IFERROR(-VALUE(LEFT(E4665,FIND("º",SUBSTITUTE(E4665,"°","º"))-1)),-1),IF(LEFT(E4665,6)="TÉRREO",0,IFERROR(VALUE(LEFT(E4665,FIND("º",SUBSTITUTE(E4665,"°","º"))-1)),""))))</f>
        <v/>
      </c>
      <c r="O4665" s="2">
        <f>IF(OR(F4665="",G4665=""),"",IF(G4665&lt;='RETRATO 2027'!$K$5,"CONCLUÍDA",IF(F4665&lt;='RETRATO 2027'!$K$5,"EM ANDAMENTO","A INICIAR")))</f>
        <v/>
      </c>
    </row>
    <row r="4666">
      <c r="M4666" s="2">
        <f>IF(C4666="","",IFERROR(INDEX($S$5:$S$304,MATCH(C4666,$R$5:$R$304,0))&amp;"","?"))</f>
        <v/>
      </c>
      <c r="N4666" s="2">
        <f>IF(E4666="","",IF(ISNUMBER(SEARCH("SUBSOLO",E4666)),IFERROR(-VALUE(LEFT(E4666,FIND("º",SUBSTITUTE(E4666,"°","º"))-1)),-1),IF(LEFT(E4666,6)="TÉRREO",0,IFERROR(VALUE(LEFT(E4666,FIND("º",SUBSTITUTE(E4666,"°","º"))-1)),""))))</f>
        <v/>
      </c>
      <c r="O4666" s="2">
        <f>IF(OR(F4666="",G4666=""),"",IF(G4666&lt;='RETRATO 2027'!$K$5,"CONCLUÍDA",IF(F4666&lt;='RETRATO 2027'!$K$5,"EM ANDAMENTO","A INICIAR")))</f>
        <v/>
      </c>
    </row>
    <row r="4667">
      <c r="M4667" s="2">
        <f>IF(C4667="","",IFERROR(INDEX($S$5:$S$304,MATCH(C4667,$R$5:$R$304,0))&amp;"","?"))</f>
        <v/>
      </c>
      <c r="N4667" s="2">
        <f>IF(E4667="","",IF(ISNUMBER(SEARCH("SUBSOLO",E4667)),IFERROR(-VALUE(LEFT(E4667,FIND("º",SUBSTITUTE(E4667,"°","º"))-1)),-1),IF(LEFT(E4667,6)="TÉRREO",0,IFERROR(VALUE(LEFT(E4667,FIND("º",SUBSTITUTE(E4667,"°","º"))-1)),""))))</f>
        <v/>
      </c>
      <c r="O4667" s="2">
        <f>IF(OR(F4667="",G4667=""),"",IF(G4667&lt;='RETRATO 2027'!$K$5,"CONCLUÍDA",IF(F4667&lt;='RETRATO 2027'!$K$5,"EM ANDAMENTO","A INICIAR")))</f>
        <v/>
      </c>
    </row>
    <row r="4668">
      <c r="M4668" s="2">
        <f>IF(C4668="","",IFERROR(INDEX($S$5:$S$304,MATCH(C4668,$R$5:$R$304,0))&amp;"","?"))</f>
        <v/>
      </c>
      <c r="N4668" s="2">
        <f>IF(E4668="","",IF(ISNUMBER(SEARCH("SUBSOLO",E4668)),IFERROR(-VALUE(LEFT(E4668,FIND("º",SUBSTITUTE(E4668,"°","º"))-1)),-1),IF(LEFT(E4668,6)="TÉRREO",0,IFERROR(VALUE(LEFT(E4668,FIND("º",SUBSTITUTE(E4668,"°","º"))-1)),""))))</f>
        <v/>
      </c>
      <c r="O4668" s="2">
        <f>IF(OR(F4668="",G4668=""),"",IF(G4668&lt;='RETRATO 2027'!$K$5,"CONCLUÍDA",IF(F4668&lt;='RETRATO 2027'!$K$5,"EM ANDAMENTO","A INICIAR")))</f>
        <v/>
      </c>
    </row>
    <row r="4669">
      <c r="M4669" s="2">
        <f>IF(C4669="","",IFERROR(INDEX($S$5:$S$304,MATCH(C4669,$R$5:$R$304,0))&amp;"","?"))</f>
        <v/>
      </c>
      <c r="N4669" s="2">
        <f>IF(E4669="","",IF(ISNUMBER(SEARCH("SUBSOLO",E4669)),IFERROR(-VALUE(LEFT(E4669,FIND("º",SUBSTITUTE(E4669,"°","º"))-1)),-1),IF(LEFT(E4669,6)="TÉRREO",0,IFERROR(VALUE(LEFT(E4669,FIND("º",SUBSTITUTE(E4669,"°","º"))-1)),""))))</f>
        <v/>
      </c>
      <c r="O4669" s="2">
        <f>IF(OR(F4669="",G4669=""),"",IF(G4669&lt;='RETRATO 2027'!$K$5,"CONCLUÍDA",IF(F4669&lt;='RETRATO 2027'!$K$5,"EM ANDAMENTO","A INICIAR")))</f>
        <v/>
      </c>
    </row>
    <row r="4670">
      <c r="M4670" s="2">
        <f>IF(C4670="","",IFERROR(INDEX($S$5:$S$304,MATCH(C4670,$R$5:$R$304,0))&amp;"","?"))</f>
        <v/>
      </c>
      <c r="N4670" s="2">
        <f>IF(E4670="","",IF(ISNUMBER(SEARCH("SUBSOLO",E4670)),IFERROR(-VALUE(LEFT(E4670,FIND("º",SUBSTITUTE(E4670,"°","º"))-1)),-1),IF(LEFT(E4670,6)="TÉRREO",0,IFERROR(VALUE(LEFT(E4670,FIND("º",SUBSTITUTE(E4670,"°","º"))-1)),""))))</f>
        <v/>
      </c>
      <c r="O4670" s="2">
        <f>IF(OR(F4670="",G4670=""),"",IF(G4670&lt;='RETRATO 2027'!$K$5,"CONCLUÍDA",IF(F4670&lt;='RETRATO 2027'!$K$5,"EM ANDAMENTO","A INICIAR")))</f>
        <v/>
      </c>
    </row>
    <row r="4671">
      <c r="M4671" s="2">
        <f>IF(C4671="","",IFERROR(INDEX($S$5:$S$304,MATCH(C4671,$R$5:$R$304,0))&amp;"","?"))</f>
        <v/>
      </c>
      <c r="N4671" s="2">
        <f>IF(E4671="","",IF(ISNUMBER(SEARCH("SUBSOLO",E4671)),IFERROR(-VALUE(LEFT(E4671,FIND("º",SUBSTITUTE(E4671,"°","º"))-1)),-1),IF(LEFT(E4671,6)="TÉRREO",0,IFERROR(VALUE(LEFT(E4671,FIND("º",SUBSTITUTE(E4671,"°","º"))-1)),""))))</f>
        <v/>
      </c>
      <c r="O4671" s="2">
        <f>IF(OR(F4671="",G4671=""),"",IF(G4671&lt;='RETRATO 2027'!$K$5,"CONCLUÍDA",IF(F4671&lt;='RETRATO 2027'!$K$5,"EM ANDAMENTO","A INICIAR")))</f>
        <v/>
      </c>
    </row>
    <row r="4672">
      <c r="M4672" s="2">
        <f>IF(C4672="","",IFERROR(INDEX($S$5:$S$304,MATCH(C4672,$R$5:$R$304,0))&amp;"","?"))</f>
        <v/>
      </c>
      <c r="N4672" s="2">
        <f>IF(E4672="","",IF(ISNUMBER(SEARCH("SUBSOLO",E4672)),IFERROR(-VALUE(LEFT(E4672,FIND("º",SUBSTITUTE(E4672,"°","º"))-1)),-1),IF(LEFT(E4672,6)="TÉRREO",0,IFERROR(VALUE(LEFT(E4672,FIND("º",SUBSTITUTE(E4672,"°","º"))-1)),""))))</f>
        <v/>
      </c>
      <c r="O4672" s="2">
        <f>IF(OR(F4672="",G4672=""),"",IF(G4672&lt;='RETRATO 2027'!$K$5,"CONCLUÍDA",IF(F4672&lt;='RETRATO 2027'!$K$5,"EM ANDAMENTO","A INICIAR")))</f>
        <v/>
      </c>
    </row>
    <row r="4673">
      <c r="M4673" s="2">
        <f>IF(C4673="","",IFERROR(INDEX($S$5:$S$304,MATCH(C4673,$R$5:$R$304,0))&amp;"","?"))</f>
        <v/>
      </c>
      <c r="N4673" s="2">
        <f>IF(E4673="","",IF(ISNUMBER(SEARCH("SUBSOLO",E4673)),IFERROR(-VALUE(LEFT(E4673,FIND("º",SUBSTITUTE(E4673,"°","º"))-1)),-1),IF(LEFT(E4673,6)="TÉRREO",0,IFERROR(VALUE(LEFT(E4673,FIND("º",SUBSTITUTE(E4673,"°","º"))-1)),""))))</f>
        <v/>
      </c>
      <c r="O4673" s="2">
        <f>IF(OR(F4673="",G4673=""),"",IF(G4673&lt;='RETRATO 2027'!$K$5,"CONCLUÍDA",IF(F4673&lt;='RETRATO 2027'!$K$5,"EM ANDAMENTO","A INICIAR")))</f>
        <v/>
      </c>
    </row>
    <row r="4674">
      <c r="M4674" s="2">
        <f>IF(C4674="","",IFERROR(INDEX($S$5:$S$304,MATCH(C4674,$R$5:$R$304,0))&amp;"","?"))</f>
        <v/>
      </c>
      <c r="N4674" s="2">
        <f>IF(E4674="","",IF(ISNUMBER(SEARCH("SUBSOLO",E4674)),IFERROR(-VALUE(LEFT(E4674,FIND("º",SUBSTITUTE(E4674,"°","º"))-1)),-1),IF(LEFT(E4674,6)="TÉRREO",0,IFERROR(VALUE(LEFT(E4674,FIND("º",SUBSTITUTE(E4674,"°","º"))-1)),""))))</f>
        <v/>
      </c>
      <c r="O4674" s="2">
        <f>IF(OR(F4674="",G4674=""),"",IF(G4674&lt;='RETRATO 2027'!$K$5,"CONCLUÍDA",IF(F4674&lt;='RETRATO 2027'!$K$5,"EM ANDAMENTO","A INICIAR")))</f>
        <v/>
      </c>
    </row>
    <row r="4675">
      <c r="M4675" s="2">
        <f>IF(C4675="","",IFERROR(INDEX($S$5:$S$304,MATCH(C4675,$R$5:$R$304,0))&amp;"","?"))</f>
        <v/>
      </c>
      <c r="N4675" s="2">
        <f>IF(E4675="","",IF(ISNUMBER(SEARCH("SUBSOLO",E4675)),IFERROR(-VALUE(LEFT(E4675,FIND("º",SUBSTITUTE(E4675,"°","º"))-1)),-1),IF(LEFT(E4675,6)="TÉRREO",0,IFERROR(VALUE(LEFT(E4675,FIND("º",SUBSTITUTE(E4675,"°","º"))-1)),""))))</f>
        <v/>
      </c>
      <c r="O4675" s="2">
        <f>IF(OR(F4675="",G4675=""),"",IF(G4675&lt;='RETRATO 2027'!$K$5,"CONCLUÍDA",IF(F4675&lt;='RETRATO 2027'!$K$5,"EM ANDAMENTO","A INICIAR")))</f>
        <v/>
      </c>
    </row>
    <row r="4676">
      <c r="M4676" s="2">
        <f>IF(C4676="","",IFERROR(INDEX($S$5:$S$304,MATCH(C4676,$R$5:$R$304,0))&amp;"","?"))</f>
        <v/>
      </c>
      <c r="N4676" s="2">
        <f>IF(E4676="","",IF(ISNUMBER(SEARCH("SUBSOLO",E4676)),IFERROR(-VALUE(LEFT(E4676,FIND("º",SUBSTITUTE(E4676,"°","º"))-1)),-1),IF(LEFT(E4676,6)="TÉRREO",0,IFERROR(VALUE(LEFT(E4676,FIND("º",SUBSTITUTE(E4676,"°","º"))-1)),""))))</f>
        <v/>
      </c>
      <c r="O4676" s="2">
        <f>IF(OR(F4676="",G4676=""),"",IF(G4676&lt;='RETRATO 2027'!$K$5,"CONCLUÍDA",IF(F4676&lt;='RETRATO 2027'!$K$5,"EM ANDAMENTO","A INICIAR")))</f>
        <v/>
      </c>
    </row>
    <row r="4677">
      <c r="M4677" s="2">
        <f>IF(C4677="","",IFERROR(INDEX($S$5:$S$304,MATCH(C4677,$R$5:$R$304,0))&amp;"","?"))</f>
        <v/>
      </c>
      <c r="N4677" s="2">
        <f>IF(E4677="","",IF(ISNUMBER(SEARCH("SUBSOLO",E4677)),IFERROR(-VALUE(LEFT(E4677,FIND("º",SUBSTITUTE(E4677,"°","º"))-1)),-1),IF(LEFT(E4677,6)="TÉRREO",0,IFERROR(VALUE(LEFT(E4677,FIND("º",SUBSTITUTE(E4677,"°","º"))-1)),""))))</f>
        <v/>
      </c>
      <c r="O4677" s="2">
        <f>IF(OR(F4677="",G4677=""),"",IF(G4677&lt;='RETRATO 2027'!$K$5,"CONCLUÍDA",IF(F4677&lt;='RETRATO 2027'!$K$5,"EM ANDAMENTO","A INICIAR")))</f>
        <v/>
      </c>
    </row>
    <row r="4678">
      <c r="M4678" s="2">
        <f>IF(C4678="","",IFERROR(INDEX($S$5:$S$304,MATCH(C4678,$R$5:$R$304,0))&amp;"","?"))</f>
        <v/>
      </c>
      <c r="N4678" s="2">
        <f>IF(E4678="","",IF(ISNUMBER(SEARCH("SUBSOLO",E4678)),IFERROR(-VALUE(LEFT(E4678,FIND("º",SUBSTITUTE(E4678,"°","º"))-1)),-1),IF(LEFT(E4678,6)="TÉRREO",0,IFERROR(VALUE(LEFT(E4678,FIND("º",SUBSTITUTE(E4678,"°","º"))-1)),""))))</f>
        <v/>
      </c>
      <c r="O4678" s="2">
        <f>IF(OR(F4678="",G4678=""),"",IF(G4678&lt;='RETRATO 2027'!$K$5,"CONCLUÍDA",IF(F4678&lt;='RETRATO 2027'!$K$5,"EM ANDAMENTO","A INICIAR")))</f>
        <v/>
      </c>
    </row>
    <row r="4679">
      <c r="M4679" s="2">
        <f>IF(C4679="","",IFERROR(INDEX($S$5:$S$304,MATCH(C4679,$R$5:$R$304,0))&amp;"","?"))</f>
        <v/>
      </c>
      <c r="N4679" s="2">
        <f>IF(E4679="","",IF(ISNUMBER(SEARCH("SUBSOLO",E4679)),IFERROR(-VALUE(LEFT(E4679,FIND("º",SUBSTITUTE(E4679,"°","º"))-1)),-1),IF(LEFT(E4679,6)="TÉRREO",0,IFERROR(VALUE(LEFT(E4679,FIND("º",SUBSTITUTE(E4679,"°","º"))-1)),""))))</f>
        <v/>
      </c>
      <c r="O4679" s="2">
        <f>IF(OR(F4679="",G4679=""),"",IF(G4679&lt;='RETRATO 2027'!$K$5,"CONCLUÍDA",IF(F4679&lt;='RETRATO 2027'!$K$5,"EM ANDAMENTO","A INICIAR")))</f>
        <v/>
      </c>
    </row>
    <row r="4680">
      <c r="M4680" s="2">
        <f>IF(C4680="","",IFERROR(INDEX($S$5:$S$304,MATCH(C4680,$R$5:$R$304,0))&amp;"","?"))</f>
        <v/>
      </c>
      <c r="N4680" s="2">
        <f>IF(E4680="","",IF(ISNUMBER(SEARCH("SUBSOLO",E4680)),IFERROR(-VALUE(LEFT(E4680,FIND("º",SUBSTITUTE(E4680,"°","º"))-1)),-1),IF(LEFT(E4680,6)="TÉRREO",0,IFERROR(VALUE(LEFT(E4680,FIND("º",SUBSTITUTE(E4680,"°","º"))-1)),""))))</f>
        <v/>
      </c>
      <c r="O4680" s="2">
        <f>IF(OR(F4680="",G4680=""),"",IF(G4680&lt;='RETRATO 2027'!$K$5,"CONCLUÍDA",IF(F4680&lt;='RETRATO 2027'!$K$5,"EM ANDAMENTO","A INICIAR")))</f>
        <v/>
      </c>
    </row>
    <row r="4681">
      <c r="M4681" s="2">
        <f>IF(C4681="","",IFERROR(INDEX($S$5:$S$304,MATCH(C4681,$R$5:$R$304,0))&amp;"","?"))</f>
        <v/>
      </c>
      <c r="N4681" s="2">
        <f>IF(E4681="","",IF(ISNUMBER(SEARCH("SUBSOLO",E4681)),IFERROR(-VALUE(LEFT(E4681,FIND("º",SUBSTITUTE(E4681,"°","º"))-1)),-1),IF(LEFT(E4681,6)="TÉRREO",0,IFERROR(VALUE(LEFT(E4681,FIND("º",SUBSTITUTE(E4681,"°","º"))-1)),""))))</f>
        <v/>
      </c>
      <c r="O4681" s="2">
        <f>IF(OR(F4681="",G4681=""),"",IF(G4681&lt;='RETRATO 2027'!$K$5,"CONCLUÍDA",IF(F4681&lt;='RETRATO 2027'!$K$5,"EM ANDAMENTO","A INICIAR")))</f>
        <v/>
      </c>
    </row>
    <row r="4682">
      <c r="M4682" s="2">
        <f>IF(C4682="","",IFERROR(INDEX($S$5:$S$304,MATCH(C4682,$R$5:$R$304,0))&amp;"","?"))</f>
        <v/>
      </c>
      <c r="N4682" s="2">
        <f>IF(E4682="","",IF(ISNUMBER(SEARCH("SUBSOLO",E4682)),IFERROR(-VALUE(LEFT(E4682,FIND("º",SUBSTITUTE(E4682,"°","º"))-1)),-1),IF(LEFT(E4682,6)="TÉRREO",0,IFERROR(VALUE(LEFT(E4682,FIND("º",SUBSTITUTE(E4682,"°","º"))-1)),""))))</f>
        <v/>
      </c>
      <c r="O4682" s="2">
        <f>IF(OR(F4682="",G4682=""),"",IF(G4682&lt;='RETRATO 2027'!$K$5,"CONCLUÍDA",IF(F4682&lt;='RETRATO 2027'!$K$5,"EM ANDAMENTO","A INICIAR")))</f>
        <v/>
      </c>
    </row>
    <row r="4683">
      <c r="M4683" s="2">
        <f>IF(C4683="","",IFERROR(INDEX($S$5:$S$304,MATCH(C4683,$R$5:$R$304,0))&amp;"","?"))</f>
        <v/>
      </c>
      <c r="N4683" s="2">
        <f>IF(E4683="","",IF(ISNUMBER(SEARCH("SUBSOLO",E4683)),IFERROR(-VALUE(LEFT(E4683,FIND("º",SUBSTITUTE(E4683,"°","º"))-1)),-1),IF(LEFT(E4683,6)="TÉRREO",0,IFERROR(VALUE(LEFT(E4683,FIND("º",SUBSTITUTE(E4683,"°","º"))-1)),""))))</f>
        <v/>
      </c>
      <c r="O4683" s="2">
        <f>IF(OR(F4683="",G4683=""),"",IF(G4683&lt;='RETRATO 2027'!$K$5,"CONCLUÍDA",IF(F4683&lt;='RETRATO 2027'!$K$5,"EM ANDAMENTO","A INICIAR")))</f>
        <v/>
      </c>
    </row>
    <row r="4684">
      <c r="M4684" s="2">
        <f>IF(C4684="","",IFERROR(INDEX($S$5:$S$304,MATCH(C4684,$R$5:$R$304,0))&amp;"","?"))</f>
        <v/>
      </c>
      <c r="N4684" s="2">
        <f>IF(E4684="","",IF(ISNUMBER(SEARCH("SUBSOLO",E4684)),IFERROR(-VALUE(LEFT(E4684,FIND("º",SUBSTITUTE(E4684,"°","º"))-1)),-1),IF(LEFT(E4684,6)="TÉRREO",0,IFERROR(VALUE(LEFT(E4684,FIND("º",SUBSTITUTE(E4684,"°","º"))-1)),""))))</f>
        <v/>
      </c>
      <c r="O4684" s="2">
        <f>IF(OR(F4684="",G4684=""),"",IF(G4684&lt;='RETRATO 2027'!$K$5,"CONCLUÍDA",IF(F4684&lt;='RETRATO 2027'!$K$5,"EM ANDAMENTO","A INICIAR")))</f>
        <v/>
      </c>
    </row>
    <row r="4685">
      <c r="M4685" s="2">
        <f>IF(C4685="","",IFERROR(INDEX($S$5:$S$304,MATCH(C4685,$R$5:$R$304,0))&amp;"","?"))</f>
        <v/>
      </c>
      <c r="N4685" s="2">
        <f>IF(E4685="","",IF(ISNUMBER(SEARCH("SUBSOLO",E4685)),IFERROR(-VALUE(LEFT(E4685,FIND("º",SUBSTITUTE(E4685,"°","º"))-1)),-1),IF(LEFT(E4685,6)="TÉRREO",0,IFERROR(VALUE(LEFT(E4685,FIND("º",SUBSTITUTE(E4685,"°","º"))-1)),""))))</f>
        <v/>
      </c>
      <c r="O4685" s="2">
        <f>IF(OR(F4685="",G4685=""),"",IF(G4685&lt;='RETRATO 2027'!$K$5,"CONCLUÍDA",IF(F4685&lt;='RETRATO 2027'!$K$5,"EM ANDAMENTO","A INICIAR")))</f>
        <v/>
      </c>
    </row>
    <row r="4686">
      <c r="M4686" s="2">
        <f>IF(C4686="","",IFERROR(INDEX($S$5:$S$304,MATCH(C4686,$R$5:$R$304,0))&amp;"","?"))</f>
        <v/>
      </c>
      <c r="N4686" s="2">
        <f>IF(E4686="","",IF(ISNUMBER(SEARCH("SUBSOLO",E4686)),IFERROR(-VALUE(LEFT(E4686,FIND("º",SUBSTITUTE(E4686,"°","º"))-1)),-1),IF(LEFT(E4686,6)="TÉRREO",0,IFERROR(VALUE(LEFT(E4686,FIND("º",SUBSTITUTE(E4686,"°","º"))-1)),""))))</f>
        <v/>
      </c>
      <c r="O4686" s="2">
        <f>IF(OR(F4686="",G4686=""),"",IF(G4686&lt;='RETRATO 2027'!$K$5,"CONCLUÍDA",IF(F4686&lt;='RETRATO 2027'!$K$5,"EM ANDAMENTO","A INICIAR")))</f>
        <v/>
      </c>
    </row>
    <row r="4687">
      <c r="M4687" s="2">
        <f>IF(C4687="","",IFERROR(INDEX($S$5:$S$304,MATCH(C4687,$R$5:$R$304,0))&amp;"","?"))</f>
        <v/>
      </c>
      <c r="N4687" s="2">
        <f>IF(E4687="","",IF(ISNUMBER(SEARCH("SUBSOLO",E4687)),IFERROR(-VALUE(LEFT(E4687,FIND("º",SUBSTITUTE(E4687,"°","º"))-1)),-1),IF(LEFT(E4687,6)="TÉRREO",0,IFERROR(VALUE(LEFT(E4687,FIND("º",SUBSTITUTE(E4687,"°","º"))-1)),""))))</f>
        <v/>
      </c>
      <c r="O4687" s="2">
        <f>IF(OR(F4687="",G4687=""),"",IF(G4687&lt;='RETRATO 2027'!$K$5,"CONCLUÍDA",IF(F4687&lt;='RETRATO 2027'!$K$5,"EM ANDAMENTO","A INICIAR")))</f>
        <v/>
      </c>
    </row>
    <row r="4688">
      <c r="M4688" s="2">
        <f>IF(C4688="","",IFERROR(INDEX($S$5:$S$304,MATCH(C4688,$R$5:$R$304,0))&amp;"","?"))</f>
        <v/>
      </c>
      <c r="N4688" s="2">
        <f>IF(E4688="","",IF(ISNUMBER(SEARCH("SUBSOLO",E4688)),IFERROR(-VALUE(LEFT(E4688,FIND("º",SUBSTITUTE(E4688,"°","º"))-1)),-1),IF(LEFT(E4688,6)="TÉRREO",0,IFERROR(VALUE(LEFT(E4688,FIND("º",SUBSTITUTE(E4688,"°","º"))-1)),""))))</f>
        <v/>
      </c>
      <c r="O4688" s="2">
        <f>IF(OR(F4688="",G4688=""),"",IF(G4688&lt;='RETRATO 2027'!$K$5,"CONCLUÍDA",IF(F4688&lt;='RETRATO 2027'!$K$5,"EM ANDAMENTO","A INICIAR")))</f>
        <v/>
      </c>
    </row>
    <row r="4689">
      <c r="M4689" s="2">
        <f>IF(C4689="","",IFERROR(INDEX($S$5:$S$304,MATCH(C4689,$R$5:$R$304,0))&amp;"","?"))</f>
        <v/>
      </c>
      <c r="N4689" s="2">
        <f>IF(E4689="","",IF(ISNUMBER(SEARCH("SUBSOLO",E4689)),IFERROR(-VALUE(LEFT(E4689,FIND("º",SUBSTITUTE(E4689,"°","º"))-1)),-1),IF(LEFT(E4689,6)="TÉRREO",0,IFERROR(VALUE(LEFT(E4689,FIND("º",SUBSTITUTE(E4689,"°","º"))-1)),""))))</f>
        <v/>
      </c>
      <c r="O4689" s="2">
        <f>IF(OR(F4689="",G4689=""),"",IF(G4689&lt;='RETRATO 2027'!$K$5,"CONCLUÍDA",IF(F4689&lt;='RETRATO 2027'!$K$5,"EM ANDAMENTO","A INICIAR")))</f>
        <v/>
      </c>
    </row>
    <row r="4690">
      <c r="M4690" s="2">
        <f>IF(C4690="","",IFERROR(INDEX($S$5:$S$304,MATCH(C4690,$R$5:$R$304,0))&amp;"","?"))</f>
        <v/>
      </c>
      <c r="N4690" s="2">
        <f>IF(E4690="","",IF(ISNUMBER(SEARCH("SUBSOLO",E4690)),IFERROR(-VALUE(LEFT(E4690,FIND("º",SUBSTITUTE(E4690,"°","º"))-1)),-1),IF(LEFT(E4690,6)="TÉRREO",0,IFERROR(VALUE(LEFT(E4690,FIND("º",SUBSTITUTE(E4690,"°","º"))-1)),""))))</f>
        <v/>
      </c>
      <c r="O4690" s="2">
        <f>IF(OR(F4690="",G4690=""),"",IF(G4690&lt;='RETRATO 2027'!$K$5,"CONCLUÍDA",IF(F4690&lt;='RETRATO 2027'!$K$5,"EM ANDAMENTO","A INICIAR")))</f>
        <v/>
      </c>
    </row>
    <row r="4691">
      <c r="M4691" s="2">
        <f>IF(C4691="","",IFERROR(INDEX($S$5:$S$304,MATCH(C4691,$R$5:$R$304,0))&amp;"","?"))</f>
        <v/>
      </c>
      <c r="N4691" s="2">
        <f>IF(E4691="","",IF(ISNUMBER(SEARCH("SUBSOLO",E4691)),IFERROR(-VALUE(LEFT(E4691,FIND("º",SUBSTITUTE(E4691,"°","º"))-1)),-1),IF(LEFT(E4691,6)="TÉRREO",0,IFERROR(VALUE(LEFT(E4691,FIND("º",SUBSTITUTE(E4691,"°","º"))-1)),""))))</f>
        <v/>
      </c>
      <c r="O4691" s="2">
        <f>IF(OR(F4691="",G4691=""),"",IF(G4691&lt;='RETRATO 2027'!$K$5,"CONCLUÍDA",IF(F4691&lt;='RETRATO 2027'!$K$5,"EM ANDAMENTO","A INICIAR")))</f>
        <v/>
      </c>
    </row>
    <row r="4692">
      <c r="M4692" s="2">
        <f>IF(C4692="","",IFERROR(INDEX($S$5:$S$304,MATCH(C4692,$R$5:$R$304,0))&amp;"","?"))</f>
        <v/>
      </c>
      <c r="N4692" s="2">
        <f>IF(E4692="","",IF(ISNUMBER(SEARCH("SUBSOLO",E4692)),IFERROR(-VALUE(LEFT(E4692,FIND("º",SUBSTITUTE(E4692,"°","º"))-1)),-1),IF(LEFT(E4692,6)="TÉRREO",0,IFERROR(VALUE(LEFT(E4692,FIND("º",SUBSTITUTE(E4692,"°","º"))-1)),""))))</f>
        <v/>
      </c>
      <c r="O4692" s="2">
        <f>IF(OR(F4692="",G4692=""),"",IF(G4692&lt;='RETRATO 2027'!$K$5,"CONCLUÍDA",IF(F4692&lt;='RETRATO 2027'!$K$5,"EM ANDAMENTO","A INICIAR")))</f>
        <v/>
      </c>
    </row>
    <row r="4693">
      <c r="M4693" s="2">
        <f>IF(C4693="","",IFERROR(INDEX($S$5:$S$304,MATCH(C4693,$R$5:$R$304,0))&amp;"","?"))</f>
        <v/>
      </c>
      <c r="N4693" s="2">
        <f>IF(E4693="","",IF(ISNUMBER(SEARCH("SUBSOLO",E4693)),IFERROR(-VALUE(LEFT(E4693,FIND("º",SUBSTITUTE(E4693,"°","º"))-1)),-1),IF(LEFT(E4693,6)="TÉRREO",0,IFERROR(VALUE(LEFT(E4693,FIND("º",SUBSTITUTE(E4693,"°","º"))-1)),""))))</f>
        <v/>
      </c>
      <c r="O4693" s="2">
        <f>IF(OR(F4693="",G4693=""),"",IF(G4693&lt;='RETRATO 2027'!$K$5,"CONCLUÍDA",IF(F4693&lt;='RETRATO 2027'!$K$5,"EM ANDAMENTO","A INICIAR")))</f>
        <v/>
      </c>
    </row>
    <row r="4694">
      <c r="M4694" s="2">
        <f>IF(C4694="","",IFERROR(INDEX($S$5:$S$304,MATCH(C4694,$R$5:$R$304,0))&amp;"","?"))</f>
        <v/>
      </c>
      <c r="N4694" s="2">
        <f>IF(E4694="","",IF(ISNUMBER(SEARCH("SUBSOLO",E4694)),IFERROR(-VALUE(LEFT(E4694,FIND("º",SUBSTITUTE(E4694,"°","º"))-1)),-1),IF(LEFT(E4694,6)="TÉRREO",0,IFERROR(VALUE(LEFT(E4694,FIND("º",SUBSTITUTE(E4694,"°","º"))-1)),""))))</f>
        <v/>
      </c>
      <c r="O4694" s="2">
        <f>IF(OR(F4694="",G4694=""),"",IF(G4694&lt;='RETRATO 2027'!$K$5,"CONCLUÍDA",IF(F4694&lt;='RETRATO 2027'!$K$5,"EM ANDAMENTO","A INICIAR")))</f>
        <v/>
      </c>
    </row>
    <row r="4695">
      <c r="M4695" s="2">
        <f>IF(C4695="","",IFERROR(INDEX($S$5:$S$304,MATCH(C4695,$R$5:$R$304,0))&amp;"","?"))</f>
        <v/>
      </c>
      <c r="N4695" s="2">
        <f>IF(E4695="","",IF(ISNUMBER(SEARCH("SUBSOLO",E4695)),IFERROR(-VALUE(LEFT(E4695,FIND("º",SUBSTITUTE(E4695,"°","º"))-1)),-1),IF(LEFT(E4695,6)="TÉRREO",0,IFERROR(VALUE(LEFT(E4695,FIND("º",SUBSTITUTE(E4695,"°","º"))-1)),""))))</f>
        <v/>
      </c>
      <c r="O4695" s="2">
        <f>IF(OR(F4695="",G4695=""),"",IF(G4695&lt;='RETRATO 2027'!$K$5,"CONCLUÍDA",IF(F4695&lt;='RETRATO 2027'!$K$5,"EM ANDAMENTO","A INICIAR")))</f>
        <v/>
      </c>
    </row>
    <row r="4696">
      <c r="M4696" s="2">
        <f>IF(C4696="","",IFERROR(INDEX($S$5:$S$304,MATCH(C4696,$R$5:$R$304,0))&amp;"","?"))</f>
        <v/>
      </c>
      <c r="N4696" s="2">
        <f>IF(E4696="","",IF(ISNUMBER(SEARCH("SUBSOLO",E4696)),IFERROR(-VALUE(LEFT(E4696,FIND("º",SUBSTITUTE(E4696,"°","º"))-1)),-1),IF(LEFT(E4696,6)="TÉRREO",0,IFERROR(VALUE(LEFT(E4696,FIND("º",SUBSTITUTE(E4696,"°","º"))-1)),""))))</f>
        <v/>
      </c>
      <c r="O4696" s="2">
        <f>IF(OR(F4696="",G4696=""),"",IF(G4696&lt;='RETRATO 2027'!$K$5,"CONCLUÍDA",IF(F4696&lt;='RETRATO 2027'!$K$5,"EM ANDAMENTO","A INICIAR")))</f>
        <v/>
      </c>
    </row>
    <row r="4697">
      <c r="M4697" s="2">
        <f>IF(C4697="","",IFERROR(INDEX($S$5:$S$304,MATCH(C4697,$R$5:$R$304,0))&amp;"","?"))</f>
        <v/>
      </c>
      <c r="N4697" s="2">
        <f>IF(E4697="","",IF(ISNUMBER(SEARCH("SUBSOLO",E4697)),IFERROR(-VALUE(LEFT(E4697,FIND("º",SUBSTITUTE(E4697,"°","º"))-1)),-1),IF(LEFT(E4697,6)="TÉRREO",0,IFERROR(VALUE(LEFT(E4697,FIND("º",SUBSTITUTE(E4697,"°","º"))-1)),""))))</f>
        <v/>
      </c>
      <c r="O4697" s="2">
        <f>IF(OR(F4697="",G4697=""),"",IF(G4697&lt;='RETRATO 2027'!$K$5,"CONCLUÍDA",IF(F4697&lt;='RETRATO 2027'!$K$5,"EM ANDAMENTO","A INICIAR")))</f>
        <v/>
      </c>
    </row>
    <row r="4698">
      <c r="M4698" s="2">
        <f>IF(C4698="","",IFERROR(INDEX($S$5:$S$304,MATCH(C4698,$R$5:$R$304,0))&amp;"","?"))</f>
        <v/>
      </c>
      <c r="N4698" s="2">
        <f>IF(E4698="","",IF(ISNUMBER(SEARCH("SUBSOLO",E4698)),IFERROR(-VALUE(LEFT(E4698,FIND("º",SUBSTITUTE(E4698,"°","º"))-1)),-1),IF(LEFT(E4698,6)="TÉRREO",0,IFERROR(VALUE(LEFT(E4698,FIND("º",SUBSTITUTE(E4698,"°","º"))-1)),""))))</f>
        <v/>
      </c>
      <c r="O4698" s="2">
        <f>IF(OR(F4698="",G4698=""),"",IF(G4698&lt;='RETRATO 2027'!$K$5,"CONCLUÍDA",IF(F4698&lt;='RETRATO 2027'!$K$5,"EM ANDAMENTO","A INICIAR")))</f>
        <v/>
      </c>
    </row>
    <row r="4699">
      <c r="M4699" s="2">
        <f>IF(C4699="","",IFERROR(INDEX($S$5:$S$304,MATCH(C4699,$R$5:$R$304,0))&amp;"","?"))</f>
        <v/>
      </c>
      <c r="N4699" s="2">
        <f>IF(E4699="","",IF(ISNUMBER(SEARCH("SUBSOLO",E4699)),IFERROR(-VALUE(LEFT(E4699,FIND("º",SUBSTITUTE(E4699,"°","º"))-1)),-1),IF(LEFT(E4699,6)="TÉRREO",0,IFERROR(VALUE(LEFT(E4699,FIND("º",SUBSTITUTE(E4699,"°","º"))-1)),""))))</f>
        <v/>
      </c>
      <c r="O4699" s="2">
        <f>IF(OR(F4699="",G4699=""),"",IF(G4699&lt;='RETRATO 2027'!$K$5,"CONCLUÍDA",IF(F4699&lt;='RETRATO 2027'!$K$5,"EM ANDAMENTO","A INICIAR")))</f>
        <v/>
      </c>
    </row>
    <row r="4700">
      <c r="M4700" s="2">
        <f>IF(C4700="","",IFERROR(INDEX($S$5:$S$304,MATCH(C4700,$R$5:$R$304,0))&amp;"","?"))</f>
        <v/>
      </c>
      <c r="N4700" s="2">
        <f>IF(E4700="","",IF(ISNUMBER(SEARCH("SUBSOLO",E4700)),IFERROR(-VALUE(LEFT(E4700,FIND("º",SUBSTITUTE(E4700,"°","º"))-1)),-1),IF(LEFT(E4700,6)="TÉRREO",0,IFERROR(VALUE(LEFT(E4700,FIND("º",SUBSTITUTE(E4700,"°","º"))-1)),""))))</f>
        <v/>
      </c>
      <c r="O4700" s="2">
        <f>IF(OR(F4700="",G4700=""),"",IF(G4700&lt;='RETRATO 2027'!$K$5,"CONCLUÍDA",IF(F4700&lt;='RETRATO 2027'!$K$5,"EM ANDAMENTO","A INICIAR")))</f>
        <v/>
      </c>
    </row>
    <row r="4701">
      <c r="M4701" s="2">
        <f>IF(C4701="","",IFERROR(INDEX($S$5:$S$304,MATCH(C4701,$R$5:$R$304,0))&amp;"","?"))</f>
        <v/>
      </c>
      <c r="N4701" s="2">
        <f>IF(E4701="","",IF(ISNUMBER(SEARCH("SUBSOLO",E4701)),IFERROR(-VALUE(LEFT(E4701,FIND("º",SUBSTITUTE(E4701,"°","º"))-1)),-1),IF(LEFT(E4701,6)="TÉRREO",0,IFERROR(VALUE(LEFT(E4701,FIND("º",SUBSTITUTE(E4701,"°","º"))-1)),""))))</f>
        <v/>
      </c>
      <c r="O4701" s="2">
        <f>IF(OR(F4701="",G4701=""),"",IF(G4701&lt;='RETRATO 2027'!$K$5,"CONCLUÍDA",IF(F4701&lt;='RETRATO 2027'!$K$5,"EM ANDAMENTO","A INICIAR")))</f>
        <v/>
      </c>
    </row>
    <row r="4702">
      <c r="M4702" s="2">
        <f>IF(C4702="","",IFERROR(INDEX($S$5:$S$304,MATCH(C4702,$R$5:$R$304,0))&amp;"","?"))</f>
        <v/>
      </c>
      <c r="N4702" s="2">
        <f>IF(E4702="","",IF(ISNUMBER(SEARCH("SUBSOLO",E4702)),IFERROR(-VALUE(LEFT(E4702,FIND("º",SUBSTITUTE(E4702,"°","º"))-1)),-1),IF(LEFT(E4702,6)="TÉRREO",0,IFERROR(VALUE(LEFT(E4702,FIND("º",SUBSTITUTE(E4702,"°","º"))-1)),""))))</f>
        <v/>
      </c>
      <c r="O4702" s="2">
        <f>IF(OR(F4702="",G4702=""),"",IF(G4702&lt;='RETRATO 2027'!$K$5,"CONCLUÍDA",IF(F4702&lt;='RETRATO 2027'!$K$5,"EM ANDAMENTO","A INICIAR")))</f>
        <v/>
      </c>
    </row>
    <row r="4703">
      <c r="M4703" s="2">
        <f>IF(C4703="","",IFERROR(INDEX($S$5:$S$304,MATCH(C4703,$R$5:$R$304,0))&amp;"","?"))</f>
        <v/>
      </c>
      <c r="N4703" s="2">
        <f>IF(E4703="","",IF(ISNUMBER(SEARCH("SUBSOLO",E4703)),IFERROR(-VALUE(LEFT(E4703,FIND("º",SUBSTITUTE(E4703,"°","º"))-1)),-1),IF(LEFT(E4703,6)="TÉRREO",0,IFERROR(VALUE(LEFT(E4703,FIND("º",SUBSTITUTE(E4703,"°","º"))-1)),""))))</f>
        <v/>
      </c>
      <c r="O4703" s="2">
        <f>IF(OR(F4703="",G4703=""),"",IF(G4703&lt;='RETRATO 2027'!$K$5,"CONCLUÍDA",IF(F4703&lt;='RETRATO 2027'!$K$5,"EM ANDAMENTO","A INICIAR")))</f>
        <v/>
      </c>
    </row>
    <row r="4704">
      <c r="M4704" s="2">
        <f>IF(C4704="","",IFERROR(INDEX($S$5:$S$304,MATCH(C4704,$R$5:$R$304,0))&amp;"","?"))</f>
        <v/>
      </c>
      <c r="N4704" s="2">
        <f>IF(E4704="","",IF(ISNUMBER(SEARCH("SUBSOLO",E4704)),IFERROR(-VALUE(LEFT(E4704,FIND("º",SUBSTITUTE(E4704,"°","º"))-1)),-1),IF(LEFT(E4704,6)="TÉRREO",0,IFERROR(VALUE(LEFT(E4704,FIND("º",SUBSTITUTE(E4704,"°","º"))-1)),""))))</f>
        <v/>
      </c>
      <c r="O4704" s="2">
        <f>IF(OR(F4704="",G4704=""),"",IF(G4704&lt;='RETRATO 2027'!$K$5,"CONCLUÍDA",IF(F4704&lt;='RETRATO 2027'!$K$5,"EM ANDAMENTO","A INICIAR")))</f>
        <v/>
      </c>
    </row>
    <row r="4705">
      <c r="M4705" s="2">
        <f>IF(C4705="","",IFERROR(INDEX($S$5:$S$304,MATCH(C4705,$R$5:$R$304,0))&amp;"","?"))</f>
        <v/>
      </c>
      <c r="N4705" s="2">
        <f>IF(E4705="","",IF(ISNUMBER(SEARCH("SUBSOLO",E4705)),IFERROR(-VALUE(LEFT(E4705,FIND("º",SUBSTITUTE(E4705,"°","º"))-1)),-1),IF(LEFT(E4705,6)="TÉRREO",0,IFERROR(VALUE(LEFT(E4705,FIND("º",SUBSTITUTE(E4705,"°","º"))-1)),""))))</f>
        <v/>
      </c>
      <c r="O4705" s="2">
        <f>IF(OR(F4705="",G4705=""),"",IF(G4705&lt;='RETRATO 2027'!$K$5,"CONCLUÍDA",IF(F4705&lt;='RETRATO 2027'!$K$5,"EM ANDAMENTO","A INICIAR")))</f>
        <v/>
      </c>
    </row>
    <row r="4706">
      <c r="M4706" s="2">
        <f>IF(C4706="","",IFERROR(INDEX($S$5:$S$304,MATCH(C4706,$R$5:$R$304,0))&amp;"","?"))</f>
        <v/>
      </c>
      <c r="N4706" s="2">
        <f>IF(E4706="","",IF(ISNUMBER(SEARCH("SUBSOLO",E4706)),IFERROR(-VALUE(LEFT(E4706,FIND("º",SUBSTITUTE(E4706,"°","º"))-1)),-1),IF(LEFT(E4706,6)="TÉRREO",0,IFERROR(VALUE(LEFT(E4706,FIND("º",SUBSTITUTE(E4706,"°","º"))-1)),""))))</f>
        <v/>
      </c>
      <c r="O4706" s="2">
        <f>IF(OR(F4706="",G4706=""),"",IF(G4706&lt;='RETRATO 2027'!$K$5,"CONCLUÍDA",IF(F4706&lt;='RETRATO 2027'!$K$5,"EM ANDAMENTO","A INICIAR")))</f>
        <v/>
      </c>
    </row>
    <row r="4707">
      <c r="M4707" s="2">
        <f>IF(C4707="","",IFERROR(INDEX($S$5:$S$304,MATCH(C4707,$R$5:$R$304,0))&amp;"","?"))</f>
        <v/>
      </c>
      <c r="N4707" s="2">
        <f>IF(E4707="","",IF(ISNUMBER(SEARCH("SUBSOLO",E4707)),IFERROR(-VALUE(LEFT(E4707,FIND("º",SUBSTITUTE(E4707,"°","º"))-1)),-1),IF(LEFT(E4707,6)="TÉRREO",0,IFERROR(VALUE(LEFT(E4707,FIND("º",SUBSTITUTE(E4707,"°","º"))-1)),""))))</f>
        <v/>
      </c>
      <c r="O4707" s="2">
        <f>IF(OR(F4707="",G4707=""),"",IF(G4707&lt;='RETRATO 2027'!$K$5,"CONCLUÍDA",IF(F4707&lt;='RETRATO 2027'!$K$5,"EM ANDAMENTO","A INICIAR")))</f>
        <v/>
      </c>
    </row>
    <row r="4708">
      <c r="M4708" s="2">
        <f>IF(C4708="","",IFERROR(INDEX($S$5:$S$304,MATCH(C4708,$R$5:$R$304,0))&amp;"","?"))</f>
        <v/>
      </c>
      <c r="N4708" s="2">
        <f>IF(E4708="","",IF(ISNUMBER(SEARCH("SUBSOLO",E4708)),IFERROR(-VALUE(LEFT(E4708,FIND("º",SUBSTITUTE(E4708,"°","º"))-1)),-1),IF(LEFT(E4708,6)="TÉRREO",0,IFERROR(VALUE(LEFT(E4708,FIND("º",SUBSTITUTE(E4708,"°","º"))-1)),""))))</f>
        <v/>
      </c>
      <c r="O4708" s="2">
        <f>IF(OR(F4708="",G4708=""),"",IF(G4708&lt;='RETRATO 2027'!$K$5,"CONCLUÍDA",IF(F4708&lt;='RETRATO 2027'!$K$5,"EM ANDAMENTO","A INICIAR")))</f>
        <v/>
      </c>
    </row>
    <row r="4709">
      <c r="M4709" s="2">
        <f>IF(C4709="","",IFERROR(INDEX($S$5:$S$304,MATCH(C4709,$R$5:$R$304,0))&amp;"","?"))</f>
        <v/>
      </c>
      <c r="N4709" s="2">
        <f>IF(E4709="","",IF(ISNUMBER(SEARCH("SUBSOLO",E4709)),IFERROR(-VALUE(LEFT(E4709,FIND("º",SUBSTITUTE(E4709,"°","º"))-1)),-1),IF(LEFT(E4709,6)="TÉRREO",0,IFERROR(VALUE(LEFT(E4709,FIND("º",SUBSTITUTE(E4709,"°","º"))-1)),""))))</f>
        <v/>
      </c>
      <c r="O4709" s="2">
        <f>IF(OR(F4709="",G4709=""),"",IF(G4709&lt;='RETRATO 2027'!$K$5,"CONCLUÍDA",IF(F4709&lt;='RETRATO 2027'!$K$5,"EM ANDAMENTO","A INICIAR")))</f>
        <v/>
      </c>
    </row>
    <row r="4710">
      <c r="M4710" s="2">
        <f>IF(C4710="","",IFERROR(INDEX($S$5:$S$304,MATCH(C4710,$R$5:$R$304,0))&amp;"","?"))</f>
        <v/>
      </c>
      <c r="N4710" s="2">
        <f>IF(E4710="","",IF(ISNUMBER(SEARCH("SUBSOLO",E4710)),IFERROR(-VALUE(LEFT(E4710,FIND("º",SUBSTITUTE(E4710,"°","º"))-1)),-1),IF(LEFT(E4710,6)="TÉRREO",0,IFERROR(VALUE(LEFT(E4710,FIND("º",SUBSTITUTE(E4710,"°","º"))-1)),""))))</f>
        <v/>
      </c>
      <c r="O4710" s="2">
        <f>IF(OR(F4710="",G4710=""),"",IF(G4710&lt;='RETRATO 2027'!$K$5,"CONCLUÍDA",IF(F4710&lt;='RETRATO 2027'!$K$5,"EM ANDAMENTO","A INICIAR")))</f>
        <v/>
      </c>
    </row>
    <row r="4711">
      <c r="M4711" s="2">
        <f>IF(C4711="","",IFERROR(INDEX($S$5:$S$304,MATCH(C4711,$R$5:$R$304,0))&amp;"","?"))</f>
        <v/>
      </c>
      <c r="N4711" s="2">
        <f>IF(E4711="","",IF(ISNUMBER(SEARCH("SUBSOLO",E4711)),IFERROR(-VALUE(LEFT(E4711,FIND("º",SUBSTITUTE(E4711,"°","º"))-1)),-1),IF(LEFT(E4711,6)="TÉRREO",0,IFERROR(VALUE(LEFT(E4711,FIND("º",SUBSTITUTE(E4711,"°","º"))-1)),""))))</f>
        <v/>
      </c>
      <c r="O4711" s="2">
        <f>IF(OR(F4711="",G4711=""),"",IF(G4711&lt;='RETRATO 2027'!$K$5,"CONCLUÍDA",IF(F4711&lt;='RETRATO 2027'!$K$5,"EM ANDAMENTO","A INICIAR")))</f>
        <v/>
      </c>
    </row>
    <row r="4712">
      <c r="M4712" s="2">
        <f>IF(C4712="","",IFERROR(INDEX($S$5:$S$304,MATCH(C4712,$R$5:$R$304,0))&amp;"","?"))</f>
        <v/>
      </c>
      <c r="N4712" s="2">
        <f>IF(E4712="","",IF(ISNUMBER(SEARCH("SUBSOLO",E4712)),IFERROR(-VALUE(LEFT(E4712,FIND("º",SUBSTITUTE(E4712,"°","º"))-1)),-1),IF(LEFT(E4712,6)="TÉRREO",0,IFERROR(VALUE(LEFT(E4712,FIND("º",SUBSTITUTE(E4712,"°","º"))-1)),""))))</f>
        <v/>
      </c>
      <c r="O4712" s="2">
        <f>IF(OR(F4712="",G4712=""),"",IF(G4712&lt;='RETRATO 2027'!$K$5,"CONCLUÍDA",IF(F4712&lt;='RETRATO 2027'!$K$5,"EM ANDAMENTO","A INICIAR")))</f>
        <v/>
      </c>
    </row>
    <row r="4713">
      <c r="M4713" s="2">
        <f>IF(C4713="","",IFERROR(INDEX($S$5:$S$304,MATCH(C4713,$R$5:$R$304,0))&amp;"","?"))</f>
        <v/>
      </c>
      <c r="N4713" s="2">
        <f>IF(E4713="","",IF(ISNUMBER(SEARCH("SUBSOLO",E4713)),IFERROR(-VALUE(LEFT(E4713,FIND("º",SUBSTITUTE(E4713,"°","º"))-1)),-1),IF(LEFT(E4713,6)="TÉRREO",0,IFERROR(VALUE(LEFT(E4713,FIND("º",SUBSTITUTE(E4713,"°","º"))-1)),""))))</f>
        <v/>
      </c>
      <c r="O4713" s="2">
        <f>IF(OR(F4713="",G4713=""),"",IF(G4713&lt;='RETRATO 2027'!$K$5,"CONCLUÍDA",IF(F4713&lt;='RETRATO 2027'!$K$5,"EM ANDAMENTO","A INICIAR")))</f>
        <v/>
      </c>
    </row>
    <row r="4714">
      <c r="M4714" s="2">
        <f>IF(C4714="","",IFERROR(INDEX($S$5:$S$304,MATCH(C4714,$R$5:$R$304,0))&amp;"","?"))</f>
        <v/>
      </c>
      <c r="N4714" s="2">
        <f>IF(E4714="","",IF(ISNUMBER(SEARCH("SUBSOLO",E4714)),IFERROR(-VALUE(LEFT(E4714,FIND("º",SUBSTITUTE(E4714,"°","º"))-1)),-1),IF(LEFT(E4714,6)="TÉRREO",0,IFERROR(VALUE(LEFT(E4714,FIND("º",SUBSTITUTE(E4714,"°","º"))-1)),""))))</f>
        <v/>
      </c>
      <c r="O4714" s="2">
        <f>IF(OR(F4714="",G4714=""),"",IF(G4714&lt;='RETRATO 2027'!$K$5,"CONCLUÍDA",IF(F4714&lt;='RETRATO 2027'!$K$5,"EM ANDAMENTO","A INICIAR")))</f>
        <v/>
      </c>
    </row>
    <row r="4715">
      <c r="M4715" s="2">
        <f>IF(C4715="","",IFERROR(INDEX($S$5:$S$304,MATCH(C4715,$R$5:$R$304,0))&amp;"","?"))</f>
        <v/>
      </c>
      <c r="N4715" s="2">
        <f>IF(E4715="","",IF(ISNUMBER(SEARCH("SUBSOLO",E4715)),IFERROR(-VALUE(LEFT(E4715,FIND("º",SUBSTITUTE(E4715,"°","º"))-1)),-1),IF(LEFT(E4715,6)="TÉRREO",0,IFERROR(VALUE(LEFT(E4715,FIND("º",SUBSTITUTE(E4715,"°","º"))-1)),""))))</f>
        <v/>
      </c>
      <c r="O4715" s="2">
        <f>IF(OR(F4715="",G4715=""),"",IF(G4715&lt;='RETRATO 2027'!$K$5,"CONCLUÍDA",IF(F4715&lt;='RETRATO 2027'!$K$5,"EM ANDAMENTO","A INICIAR")))</f>
        <v/>
      </c>
    </row>
    <row r="4716">
      <c r="M4716" s="2">
        <f>IF(C4716="","",IFERROR(INDEX($S$5:$S$304,MATCH(C4716,$R$5:$R$304,0))&amp;"","?"))</f>
        <v/>
      </c>
      <c r="N4716" s="2">
        <f>IF(E4716="","",IF(ISNUMBER(SEARCH("SUBSOLO",E4716)),IFERROR(-VALUE(LEFT(E4716,FIND("º",SUBSTITUTE(E4716,"°","º"))-1)),-1),IF(LEFT(E4716,6)="TÉRREO",0,IFERROR(VALUE(LEFT(E4716,FIND("º",SUBSTITUTE(E4716,"°","º"))-1)),""))))</f>
        <v/>
      </c>
      <c r="O4716" s="2">
        <f>IF(OR(F4716="",G4716=""),"",IF(G4716&lt;='RETRATO 2027'!$K$5,"CONCLUÍDA",IF(F4716&lt;='RETRATO 2027'!$K$5,"EM ANDAMENTO","A INICIAR")))</f>
        <v/>
      </c>
    </row>
    <row r="4717">
      <c r="M4717" s="2">
        <f>IF(C4717="","",IFERROR(INDEX($S$5:$S$304,MATCH(C4717,$R$5:$R$304,0))&amp;"","?"))</f>
        <v/>
      </c>
      <c r="N4717" s="2">
        <f>IF(E4717="","",IF(ISNUMBER(SEARCH("SUBSOLO",E4717)),IFERROR(-VALUE(LEFT(E4717,FIND("º",SUBSTITUTE(E4717,"°","º"))-1)),-1),IF(LEFT(E4717,6)="TÉRREO",0,IFERROR(VALUE(LEFT(E4717,FIND("º",SUBSTITUTE(E4717,"°","º"))-1)),""))))</f>
        <v/>
      </c>
      <c r="O4717" s="2">
        <f>IF(OR(F4717="",G4717=""),"",IF(G4717&lt;='RETRATO 2027'!$K$5,"CONCLUÍDA",IF(F4717&lt;='RETRATO 2027'!$K$5,"EM ANDAMENTO","A INICIAR")))</f>
        <v/>
      </c>
    </row>
    <row r="4718">
      <c r="M4718" s="2">
        <f>IF(C4718="","",IFERROR(INDEX($S$5:$S$304,MATCH(C4718,$R$5:$R$304,0))&amp;"","?"))</f>
        <v/>
      </c>
      <c r="N4718" s="2">
        <f>IF(E4718="","",IF(ISNUMBER(SEARCH("SUBSOLO",E4718)),IFERROR(-VALUE(LEFT(E4718,FIND("º",SUBSTITUTE(E4718,"°","º"))-1)),-1),IF(LEFT(E4718,6)="TÉRREO",0,IFERROR(VALUE(LEFT(E4718,FIND("º",SUBSTITUTE(E4718,"°","º"))-1)),""))))</f>
        <v/>
      </c>
      <c r="O4718" s="2">
        <f>IF(OR(F4718="",G4718=""),"",IF(G4718&lt;='RETRATO 2027'!$K$5,"CONCLUÍDA",IF(F4718&lt;='RETRATO 2027'!$K$5,"EM ANDAMENTO","A INICIAR")))</f>
        <v/>
      </c>
    </row>
    <row r="4719">
      <c r="M4719" s="2">
        <f>IF(C4719="","",IFERROR(INDEX($S$5:$S$304,MATCH(C4719,$R$5:$R$304,0))&amp;"","?"))</f>
        <v/>
      </c>
      <c r="N4719" s="2">
        <f>IF(E4719="","",IF(ISNUMBER(SEARCH("SUBSOLO",E4719)),IFERROR(-VALUE(LEFT(E4719,FIND("º",SUBSTITUTE(E4719,"°","º"))-1)),-1),IF(LEFT(E4719,6)="TÉRREO",0,IFERROR(VALUE(LEFT(E4719,FIND("º",SUBSTITUTE(E4719,"°","º"))-1)),""))))</f>
        <v/>
      </c>
      <c r="O4719" s="2">
        <f>IF(OR(F4719="",G4719=""),"",IF(G4719&lt;='RETRATO 2027'!$K$5,"CONCLUÍDA",IF(F4719&lt;='RETRATO 2027'!$K$5,"EM ANDAMENTO","A INICIAR")))</f>
        <v/>
      </c>
    </row>
    <row r="4720">
      <c r="M4720" s="2">
        <f>IF(C4720="","",IFERROR(INDEX($S$5:$S$304,MATCH(C4720,$R$5:$R$304,0))&amp;"","?"))</f>
        <v/>
      </c>
      <c r="N4720" s="2">
        <f>IF(E4720="","",IF(ISNUMBER(SEARCH("SUBSOLO",E4720)),IFERROR(-VALUE(LEFT(E4720,FIND("º",SUBSTITUTE(E4720,"°","º"))-1)),-1),IF(LEFT(E4720,6)="TÉRREO",0,IFERROR(VALUE(LEFT(E4720,FIND("º",SUBSTITUTE(E4720,"°","º"))-1)),""))))</f>
        <v/>
      </c>
      <c r="O4720" s="2">
        <f>IF(OR(F4720="",G4720=""),"",IF(G4720&lt;='RETRATO 2027'!$K$5,"CONCLUÍDA",IF(F4720&lt;='RETRATO 2027'!$K$5,"EM ANDAMENTO","A INICIAR")))</f>
        <v/>
      </c>
    </row>
    <row r="4721">
      <c r="M4721" s="2">
        <f>IF(C4721="","",IFERROR(INDEX($S$5:$S$304,MATCH(C4721,$R$5:$R$304,0))&amp;"","?"))</f>
        <v/>
      </c>
      <c r="N4721" s="2">
        <f>IF(E4721="","",IF(ISNUMBER(SEARCH("SUBSOLO",E4721)),IFERROR(-VALUE(LEFT(E4721,FIND("º",SUBSTITUTE(E4721,"°","º"))-1)),-1),IF(LEFT(E4721,6)="TÉRREO",0,IFERROR(VALUE(LEFT(E4721,FIND("º",SUBSTITUTE(E4721,"°","º"))-1)),""))))</f>
        <v/>
      </c>
      <c r="O4721" s="2">
        <f>IF(OR(F4721="",G4721=""),"",IF(G4721&lt;='RETRATO 2027'!$K$5,"CONCLUÍDA",IF(F4721&lt;='RETRATO 2027'!$K$5,"EM ANDAMENTO","A INICIAR")))</f>
        <v/>
      </c>
    </row>
    <row r="4722">
      <c r="M4722" s="2">
        <f>IF(C4722="","",IFERROR(INDEX($S$5:$S$304,MATCH(C4722,$R$5:$R$304,0))&amp;"","?"))</f>
        <v/>
      </c>
      <c r="N4722" s="2">
        <f>IF(E4722="","",IF(ISNUMBER(SEARCH("SUBSOLO",E4722)),IFERROR(-VALUE(LEFT(E4722,FIND("º",SUBSTITUTE(E4722,"°","º"))-1)),-1),IF(LEFT(E4722,6)="TÉRREO",0,IFERROR(VALUE(LEFT(E4722,FIND("º",SUBSTITUTE(E4722,"°","º"))-1)),""))))</f>
        <v/>
      </c>
      <c r="O4722" s="2">
        <f>IF(OR(F4722="",G4722=""),"",IF(G4722&lt;='RETRATO 2027'!$K$5,"CONCLUÍDA",IF(F4722&lt;='RETRATO 2027'!$K$5,"EM ANDAMENTO","A INICIAR")))</f>
        <v/>
      </c>
    </row>
    <row r="4723">
      <c r="M4723" s="2">
        <f>IF(C4723="","",IFERROR(INDEX($S$5:$S$304,MATCH(C4723,$R$5:$R$304,0))&amp;"","?"))</f>
        <v/>
      </c>
      <c r="N4723" s="2">
        <f>IF(E4723="","",IF(ISNUMBER(SEARCH("SUBSOLO",E4723)),IFERROR(-VALUE(LEFT(E4723,FIND("º",SUBSTITUTE(E4723,"°","º"))-1)),-1),IF(LEFT(E4723,6)="TÉRREO",0,IFERROR(VALUE(LEFT(E4723,FIND("º",SUBSTITUTE(E4723,"°","º"))-1)),""))))</f>
        <v/>
      </c>
      <c r="O4723" s="2">
        <f>IF(OR(F4723="",G4723=""),"",IF(G4723&lt;='RETRATO 2027'!$K$5,"CONCLUÍDA",IF(F4723&lt;='RETRATO 2027'!$K$5,"EM ANDAMENTO","A INICIAR")))</f>
        <v/>
      </c>
    </row>
    <row r="4724">
      <c r="M4724" s="2">
        <f>IF(C4724="","",IFERROR(INDEX($S$5:$S$304,MATCH(C4724,$R$5:$R$304,0))&amp;"","?"))</f>
        <v/>
      </c>
      <c r="N4724" s="2">
        <f>IF(E4724="","",IF(ISNUMBER(SEARCH("SUBSOLO",E4724)),IFERROR(-VALUE(LEFT(E4724,FIND("º",SUBSTITUTE(E4724,"°","º"))-1)),-1),IF(LEFT(E4724,6)="TÉRREO",0,IFERROR(VALUE(LEFT(E4724,FIND("º",SUBSTITUTE(E4724,"°","º"))-1)),""))))</f>
        <v/>
      </c>
      <c r="O4724" s="2">
        <f>IF(OR(F4724="",G4724=""),"",IF(G4724&lt;='RETRATO 2027'!$K$5,"CONCLUÍDA",IF(F4724&lt;='RETRATO 2027'!$K$5,"EM ANDAMENTO","A INICIAR")))</f>
        <v/>
      </c>
    </row>
    <row r="4725">
      <c r="M4725" s="2">
        <f>IF(C4725="","",IFERROR(INDEX($S$5:$S$304,MATCH(C4725,$R$5:$R$304,0))&amp;"","?"))</f>
        <v/>
      </c>
      <c r="N4725" s="2">
        <f>IF(E4725="","",IF(ISNUMBER(SEARCH("SUBSOLO",E4725)),IFERROR(-VALUE(LEFT(E4725,FIND("º",SUBSTITUTE(E4725,"°","º"))-1)),-1),IF(LEFT(E4725,6)="TÉRREO",0,IFERROR(VALUE(LEFT(E4725,FIND("º",SUBSTITUTE(E4725,"°","º"))-1)),""))))</f>
        <v/>
      </c>
      <c r="O4725" s="2">
        <f>IF(OR(F4725="",G4725=""),"",IF(G4725&lt;='RETRATO 2027'!$K$5,"CONCLUÍDA",IF(F4725&lt;='RETRATO 2027'!$K$5,"EM ANDAMENTO","A INICIAR")))</f>
        <v/>
      </c>
    </row>
    <row r="4726">
      <c r="M4726" s="2">
        <f>IF(C4726="","",IFERROR(INDEX($S$5:$S$304,MATCH(C4726,$R$5:$R$304,0))&amp;"","?"))</f>
        <v/>
      </c>
      <c r="N4726" s="2">
        <f>IF(E4726="","",IF(ISNUMBER(SEARCH("SUBSOLO",E4726)),IFERROR(-VALUE(LEFT(E4726,FIND("º",SUBSTITUTE(E4726,"°","º"))-1)),-1),IF(LEFT(E4726,6)="TÉRREO",0,IFERROR(VALUE(LEFT(E4726,FIND("º",SUBSTITUTE(E4726,"°","º"))-1)),""))))</f>
        <v/>
      </c>
      <c r="O4726" s="2">
        <f>IF(OR(F4726="",G4726=""),"",IF(G4726&lt;='RETRATO 2027'!$K$5,"CONCLUÍDA",IF(F4726&lt;='RETRATO 2027'!$K$5,"EM ANDAMENTO","A INICIAR")))</f>
        <v/>
      </c>
    </row>
    <row r="4727">
      <c r="M4727" s="2">
        <f>IF(C4727="","",IFERROR(INDEX($S$5:$S$304,MATCH(C4727,$R$5:$R$304,0))&amp;"","?"))</f>
        <v/>
      </c>
      <c r="N4727" s="2">
        <f>IF(E4727="","",IF(ISNUMBER(SEARCH("SUBSOLO",E4727)),IFERROR(-VALUE(LEFT(E4727,FIND("º",SUBSTITUTE(E4727,"°","º"))-1)),-1),IF(LEFT(E4727,6)="TÉRREO",0,IFERROR(VALUE(LEFT(E4727,FIND("º",SUBSTITUTE(E4727,"°","º"))-1)),""))))</f>
        <v/>
      </c>
      <c r="O4727" s="2">
        <f>IF(OR(F4727="",G4727=""),"",IF(G4727&lt;='RETRATO 2027'!$K$5,"CONCLUÍDA",IF(F4727&lt;='RETRATO 2027'!$K$5,"EM ANDAMENTO","A INICIAR")))</f>
        <v/>
      </c>
    </row>
    <row r="4728">
      <c r="M4728" s="2">
        <f>IF(C4728="","",IFERROR(INDEX($S$5:$S$304,MATCH(C4728,$R$5:$R$304,0))&amp;"","?"))</f>
        <v/>
      </c>
      <c r="N4728" s="2">
        <f>IF(E4728="","",IF(ISNUMBER(SEARCH("SUBSOLO",E4728)),IFERROR(-VALUE(LEFT(E4728,FIND("º",SUBSTITUTE(E4728,"°","º"))-1)),-1),IF(LEFT(E4728,6)="TÉRREO",0,IFERROR(VALUE(LEFT(E4728,FIND("º",SUBSTITUTE(E4728,"°","º"))-1)),""))))</f>
        <v/>
      </c>
      <c r="O4728" s="2">
        <f>IF(OR(F4728="",G4728=""),"",IF(G4728&lt;='RETRATO 2027'!$K$5,"CONCLUÍDA",IF(F4728&lt;='RETRATO 2027'!$K$5,"EM ANDAMENTO","A INICIAR")))</f>
        <v/>
      </c>
    </row>
    <row r="4729">
      <c r="M4729" s="2">
        <f>IF(C4729="","",IFERROR(INDEX($S$5:$S$304,MATCH(C4729,$R$5:$R$304,0))&amp;"","?"))</f>
        <v/>
      </c>
      <c r="N4729" s="2">
        <f>IF(E4729="","",IF(ISNUMBER(SEARCH("SUBSOLO",E4729)),IFERROR(-VALUE(LEFT(E4729,FIND("º",SUBSTITUTE(E4729,"°","º"))-1)),-1),IF(LEFT(E4729,6)="TÉRREO",0,IFERROR(VALUE(LEFT(E4729,FIND("º",SUBSTITUTE(E4729,"°","º"))-1)),""))))</f>
        <v/>
      </c>
      <c r="O4729" s="2">
        <f>IF(OR(F4729="",G4729=""),"",IF(G4729&lt;='RETRATO 2027'!$K$5,"CONCLUÍDA",IF(F4729&lt;='RETRATO 2027'!$K$5,"EM ANDAMENTO","A INICIAR")))</f>
        <v/>
      </c>
    </row>
    <row r="4730">
      <c r="M4730" s="2">
        <f>IF(C4730="","",IFERROR(INDEX($S$5:$S$304,MATCH(C4730,$R$5:$R$304,0))&amp;"","?"))</f>
        <v/>
      </c>
      <c r="N4730" s="2">
        <f>IF(E4730="","",IF(ISNUMBER(SEARCH("SUBSOLO",E4730)),IFERROR(-VALUE(LEFT(E4730,FIND("º",SUBSTITUTE(E4730,"°","º"))-1)),-1),IF(LEFT(E4730,6)="TÉRREO",0,IFERROR(VALUE(LEFT(E4730,FIND("º",SUBSTITUTE(E4730,"°","º"))-1)),""))))</f>
        <v/>
      </c>
      <c r="O4730" s="2">
        <f>IF(OR(F4730="",G4730=""),"",IF(G4730&lt;='RETRATO 2027'!$K$5,"CONCLUÍDA",IF(F4730&lt;='RETRATO 2027'!$K$5,"EM ANDAMENTO","A INICIAR")))</f>
        <v/>
      </c>
    </row>
    <row r="4731">
      <c r="M4731" s="2">
        <f>IF(C4731="","",IFERROR(INDEX($S$5:$S$304,MATCH(C4731,$R$5:$R$304,0))&amp;"","?"))</f>
        <v/>
      </c>
      <c r="N4731" s="2">
        <f>IF(E4731="","",IF(ISNUMBER(SEARCH("SUBSOLO",E4731)),IFERROR(-VALUE(LEFT(E4731,FIND("º",SUBSTITUTE(E4731,"°","º"))-1)),-1),IF(LEFT(E4731,6)="TÉRREO",0,IFERROR(VALUE(LEFT(E4731,FIND("º",SUBSTITUTE(E4731,"°","º"))-1)),""))))</f>
        <v/>
      </c>
      <c r="O4731" s="2">
        <f>IF(OR(F4731="",G4731=""),"",IF(G4731&lt;='RETRATO 2027'!$K$5,"CONCLUÍDA",IF(F4731&lt;='RETRATO 2027'!$K$5,"EM ANDAMENTO","A INICIAR")))</f>
        <v/>
      </c>
    </row>
    <row r="4732">
      <c r="M4732" s="2">
        <f>IF(C4732="","",IFERROR(INDEX($S$5:$S$304,MATCH(C4732,$R$5:$R$304,0))&amp;"","?"))</f>
        <v/>
      </c>
      <c r="N4732" s="2">
        <f>IF(E4732="","",IF(ISNUMBER(SEARCH("SUBSOLO",E4732)),IFERROR(-VALUE(LEFT(E4732,FIND("º",SUBSTITUTE(E4732,"°","º"))-1)),-1),IF(LEFT(E4732,6)="TÉRREO",0,IFERROR(VALUE(LEFT(E4732,FIND("º",SUBSTITUTE(E4732,"°","º"))-1)),""))))</f>
        <v/>
      </c>
      <c r="O4732" s="2">
        <f>IF(OR(F4732="",G4732=""),"",IF(G4732&lt;='RETRATO 2027'!$K$5,"CONCLUÍDA",IF(F4732&lt;='RETRATO 2027'!$K$5,"EM ANDAMENTO","A INICIAR")))</f>
        <v/>
      </c>
    </row>
    <row r="4733">
      <c r="M4733" s="2">
        <f>IF(C4733="","",IFERROR(INDEX($S$5:$S$304,MATCH(C4733,$R$5:$R$304,0))&amp;"","?"))</f>
        <v/>
      </c>
      <c r="N4733" s="2">
        <f>IF(E4733="","",IF(ISNUMBER(SEARCH("SUBSOLO",E4733)),IFERROR(-VALUE(LEFT(E4733,FIND("º",SUBSTITUTE(E4733,"°","º"))-1)),-1),IF(LEFT(E4733,6)="TÉRREO",0,IFERROR(VALUE(LEFT(E4733,FIND("º",SUBSTITUTE(E4733,"°","º"))-1)),""))))</f>
        <v/>
      </c>
      <c r="O4733" s="2">
        <f>IF(OR(F4733="",G4733=""),"",IF(G4733&lt;='RETRATO 2027'!$K$5,"CONCLUÍDA",IF(F4733&lt;='RETRATO 2027'!$K$5,"EM ANDAMENTO","A INICIAR")))</f>
        <v/>
      </c>
    </row>
    <row r="4734">
      <c r="M4734" s="2">
        <f>IF(C4734="","",IFERROR(INDEX($S$5:$S$304,MATCH(C4734,$R$5:$R$304,0))&amp;"","?"))</f>
        <v/>
      </c>
      <c r="N4734" s="2">
        <f>IF(E4734="","",IF(ISNUMBER(SEARCH("SUBSOLO",E4734)),IFERROR(-VALUE(LEFT(E4734,FIND("º",SUBSTITUTE(E4734,"°","º"))-1)),-1),IF(LEFT(E4734,6)="TÉRREO",0,IFERROR(VALUE(LEFT(E4734,FIND("º",SUBSTITUTE(E4734,"°","º"))-1)),""))))</f>
        <v/>
      </c>
      <c r="O4734" s="2">
        <f>IF(OR(F4734="",G4734=""),"",IF(G4734&lt;='RETRATO 2027'!$K$5,"CONCLUÍDA",IF(F4734&lt;='RETRATO 2027'!$K$5,"EM ANDAMENTO","A INICIAR")))</f>
        <v/>
      </c>
    </row>
    <row r="4735">
      <c r="M4735" s="2">
        <f>IF(C4735="","",IFERROR(INDEX($S$5:$S$304,MATCH(C4735,$R$5:$R$304,0))&amp;"","?"))</f>
        <v/>
      </c>
      <c r="N4735" s="2">
        <f>IF(E4735="","",IF(ISNUMBER(SEARCH("SUBSOLO",E4735)),IFERROR(-VALUE(LEFT(E4735,FIND("º",SUBSTITUTE(E4735,"°","º"))-1)),-1),IF(LEFT(E4735,6)="TÉRREO",0,IFERROR(VALUE(LEFT(E4735,FIND("º",SUBSTITUTE(E4735,"°","º"))-1)),""))))</f>
        <v/>
      </c>
      <c r="O4735" s="2">
        <f>IF(OR(F4735="",G4735=""),"",IF(G4735&lt;='RETRATO 2027'!$K$5,"CONCLUÍDA",IF(F4735&lt;='RETRATO 2027'!$K$5,"EM ANDAMENTO","A INICIAR")))</f>
        <v/>
      </c>
    </row>
    <row r="4736">
      <c r="M4736" s="2">
        <f>IF(C4736="","",IFERROR(INDEX($S$5:$S$304,MATCH(C4736,$R$5:$R$304,0))&amp;"","?"))</f>
        <v/>
      </c>
      <c r="N4736" s="2">
        <f>IF(E4736="","",IF(ISNUMBER(SEARCH("SUBSOLO",E4736)),IFERROR(-VALUE(LEFT(E4736,FIND("º",SUBSTITUTE(E4736,"°","º"))-1)),-1),IF(LEFT(E4736,6)="TÉRREO",0,IFERROR(VALUE(LEFT(E4736,FIND("º",SUBSTITUTE(E4736,"°","º"))-1)),""))))</f>
        <v/>
      </c>
      <c r="O4736" s="2">
        <f>IF(OR(F4736="",G4736=""),"",IF(G4736&lt;='RETRATO 2027'!$K$5,"CONCLUÍDA",IF(F4736&lt;='RETRATO 2027'!$K$5,"EM ANDAMENTO","A INICIAR")))</f>
        <v/>
      </c>
    </row>
    <row r="4737">
      <c r="M4737" s="2">
        <f>IF(C4737="","",IFERROR(INDEX($S$5:$S$304,MATCH(C4737,$R$5:$R$304,0))&amp;"","?"))</f>
        <v/>
      </c>
      <c r="N4737" s="2">
        <f>IF(E4737="","",IF(ISNUMBER(SEARCH("SUBSOLO",E4737)),IFERROR(-VALUE(LEFT(E4737,FIND("º",SUBSTITUTE(E4737,"°","º"))-1)),-1),IF(LEFT(E4737,6)="TÉRREO",0,IFERROR(VALUE(LEFT(E4737,FIND("º",SUBSTITUTE(E4737,"°","º"))-1)),""))))</f>
        <v/>
      </c>
      <c r="O4737" s="2">
        <f>IF(OR(F4737="",G4737=""),"",IF(G4737&lt;='RETRATO 2027'!$K$5,"CONCLUÍDA",IF(F4737&lt;='RETRATO 2027'!$K$5,"EM ANDAMENTO","A INICIAR")))</f>
        <v/>
      </c>
    </row>
    <row r="4738">
      <c r="M4738" s="2">
        <f>IF(C4738="","",IFERROR(INDEX($S$5:$S$304,MATCH(C4738,$R$5:$R$304,0))&amp;"","?"))</f>
        <v/>
      </c>
      <c r="N4738" s="2">
        <f>IF(E4738="","",IF(ISNUMBER(SEARCH("SUBSOLO",E4738)),IFERROR(-VALUE(LEFT(E4738,FIND("º",SUBSTITUTE(E4738,"°","º"))-1)),-1),IF(LEFT(E4738,6)="TÉRREO",0,IFERROR(VALUE(LEFT(E4738,FIND("º",SUBSTITUTE(E4738,"°","º"))-1)),""))))</f>
        <v/>
      </c>
      <c r="O4738" s="2">
        <f>IF(OR(F4738="",G4738=""),"",IF(G4738&lt;='RETRATO 2027'!$K$5,"CONCLUÍDA",IF(F4738&lt;='RETRATO 2027'!$K$5,"EM ANDAMENTO","A INICIAR")))</f>
        <v/>
      </c>
    </row>
    <row r="4739">
      <c r="M4739" s="2">
        <f>IF(C4739="","",IFERROR(INDEX($S$5:$S$304,MATCH(C4739,$R$5:$R$304,0))&amp;"","?"))</f>
        <v/>
      </c>
      <c r="N4739" s="2">
        <f>IF(E4739="","",IF(ISNUMBER(SEARCH("SUBSOLO",E4739)),IFERROR(-VALUE(LEFT(E4739,FIND("º",SUBSTITUTE(E4739,"°","º"))-1)),-1),IF(LEFT(E4739,6)="TÉRREO",0,IFERROR(VALUE(LEFT(E4739,FIND("º",SUBSTITUTE(E4739,"°","º"))-1)),""))))</f>
        <v/>
      </c>
      <c r="O4739" s="2">
        <f>IF(OR(F4739="",G4739=""),"",IF(G4739&lt;='RETRATO 2027'!$K$5,"CONCLUÍDA",IF(F4739&lt;='RETRATO 2027'!$K$5,"EM ANDAMENTO","A INICIAR")))</f>
        <v/>
      </c>
    </row>
    <row r="4740">
      <c r="M4740" s="2">
        <f>IF(C4740="","",IFERROR(INDEX($S$5:$S$304,MATCH(C4740,$R$5:$R$304,0))&amp;"","?"))</f>
        <v/>
      </c>
      <c r="N4740" s="2">
        <f>IF(E4740="","",IF(ISNUMBER(SEARCH("SUBSOLO",E4740)),IFERROR(-VALUE(LEFT(E4740,FIND("º",SUBSTITUTE(E4740,"°","º"))-1)),-1),IF(LEFT(E4740,6)="TÉRREO",0,IFERROR(VALUE(LEFT(E4740,FIND("º",SUBSTITUTE(E4740,"°","º"))-1)),""))))</f>
        <v/>
      </c>
      <c r="O4740" s="2">
        <f>IF(OR(F4740="",G4740=""),"",IF(G4740&lt;='RETRATO 2027'!$K$5,"CONCLUÍDA",IF(F4740&lt;='RETRATO 2027'!$K$5,"EM ANDAMENTO","A INICIAR")))</f>
        <v/>
      </c>
    </row>
    <row r="4741">
      <c r="M4741" s="2">
        <f>IF(C4741="","",IFERROR(INDEX($S$5:$S$304,MATCH(C4741,$R$5:$R$304,0))&amp;"","?"))</f>
        <v/>
      </c>
      <c r="N4741" s="2">
        <f>IF(E4741="","",IF(ISNUMBER(SEARCH("SUBSOLO",E4741)),IFERROR(-VALUE(LEFT(E4741,FIND("º",SUBSTITUTE(E4741,"°","º"))-1)),-1),IF(LEFT(E4741,6)="TÉRREO",0,IFERROR(VALUE(LEFT(E4741,FIND("º",SUBSTITUTE(E4741,"°","º"))-1)),""))))</f>
        <v/>
      </c>
      <c r="O4741" s="2">
        <f>IF(OR(F4741="",G4741=""),"",IF(G4741&lt;='RETRATO 2027'!$K$5,"CONCLUÍDA",IF(F4741&lt;='RETRATO 2027'!$K$5,"EM ANDAMENTO","A INICIAR")))</f>
        <v/>
      </c>
    </row>
    <row r="4742">
      <c r="M4742" s="2">
        <f>IF(C4742="","",IFERROR(INDEX($S$5:$S$304,MATCH(C4742,$R$5:$R$304,0))&amp;"","?"))</f>
        <v/>
      </c>
      <c r="N4742" s="2">
        <f>IF(E4742="","",IF(ISNUMBER(SEARCH("SUBSOLO",E4742)),IFERROR(-VALUE(LEFT(E4742,FIND("º",SUBSTITUTE(E4742,"°","º"))-1)),-1),IF(LEFT(E4742,6)="TÉRREO",0,IFERROR(VALUE(LEFT(E4742,FIND("º",SUBSTITUTE(E4742,"°","º"))-1)),""))))</f>
        <v/>
      </c>
      <c r="O4742" s="2">
        <f>IF(OR(F4742="",G4742=""),"",IF(G4742&lt;='RETRATO 2027'!$K$5,"CONCLUÍDA",IF(F4742&lt;='RETRATO 2027'!$K$5,"EM ANDAMENTO","A INICIAR")))</f>
        <v/>
      </c>
    </row>
    <row r="4743">
      <c r="M4743" s="2">
        <f>IF(C4743="","",IFERROR(INDEX($S$5:$S$304,MATCH(C4743,$R$5:$R$304,0))&amp;"","?"))</f>
        <v/>
      </c>
      <c r="N4743" s="2">
        <f>IF(E4743="","",IF(ISNUMBER(SEARCH("SUBSOLO",E4743)),IFERROR(-VALUE(LEFT(E4743,FIND("º",SUBSTITUTE(E4743,"°","º"))-1)),-1),IF(LEFT(E4743,6)="TÉRREO",0,IFERROR(VALUE(LEFT(E4743,FIND("º",SUBSTITUTE(E4743,"°","º"))-1)),""))))</f>
        <v/>
      </c>
      <c r="O4743" s="2">
        <f>IF(OR(F4743="",G4743=""),"",IF(G4743&lt;='RETRATO 2027'!$K$5,"CONCLUÍDA",IF(F4743&lt;='RETRATO 2027'!$K$5,"EM ANDAMENTO","A INICIAR")))</f>
        <v/>
      </c>
    </row>
    <row r="4744">
      <c r="M4744" s="2">
        <f>IF(C4744="","",IFERROR(INDEX($S$5:$S$304,MATCH(C4744,$R$5:$R$304,0))&amp;"","?"))</f>
        <v/>
      </c>
      <c r="N4744" s="2">
        <f>IF(E4744="","",IF(ISNUMBER(SEARCH("SUBSOLO",E4744)),IFERROR(-VALUE(LEFT(E4744,FIND("º",SUBSTITUTE(E4744,"°","º"))-1)),-1),IF(LEFT(E4744,6)="TÉRREO",0,IFERROR(VALUE(LEFT(E4744,FIND("º",SUBSTITUTE(E4744,"°","º"))-1)),""))))</f>
        <v/>
      </c>
      <c r="O4744" s="2">
        <f>IF(OR(F4744="",G4744=""),"",IF(G4744&lt;='RETRATO 2027'!$K$5,"CONCLUÍDA",IF(F4744&lt;='RETRATO 2027'!$K$5,"EM ANDAMENTO","A INICIAR")))</f>
        <v/>
      </c>
    </row>
    <row r="4745">
      <c r="M4745" s="2">
        <f>IF(C4745="","",IFERROR(INDEX($S$5:$S$304,MATCH(C4745,$R$5:$R$304,0))&amp;"","?"))</f>
        <v/>
      </c>
      <c r="N4745" s="2">
        <f>IF(E4745="","",IF(ISNUMBER(SEARCH("SUBSOLO",E4745)),IFERROR(-VALUE(LEFT(E4745,FIND("º",SUBSTITUTE(E4745,"°","º"))-1)),-1),IF(LEFT(E4745,6)="TÉRREO",0,IFERROR(VALUE(LEFT(E4745,FIND("º",SUBSTITUTE(E4745,"°","º"))-1)),""))))</f>
        <v/>
      </c>
      <c r="O4745" s="2">
        <f>IF(OR(F4745="",G4745=""),"",IF(G4745&lt;='RETRATO 2027'!$K$5,"CONCLUÍDA",IF(F4745&lt;='RETRATO 2027'!$K$5,"EM ANDAMENTO","A INICIAR")))</f>
        <v/>
      </c>
    </row>
    <row r="4746">
      <c r="M4746" s="2">
        <f>IF(C4746="","",IFERROR(INDEX($S$5:$S$304,MATCH(C4746,$R$5:$R$304,0))&amp;"","?"))</f>
        <v/>
      </c>
      <c r="N4746" s="2">
        <f>IF(E4746="","",IF(ISNUMBER(SEARCH("SUBSOLO",E4746)),IFERROR(-VALUE(LEFT(E4746,FIND("º",SUBSTITUTE(E4746,"°","º"))-1)),-1),IF(LEFT(E4746,6)="TÉRREO",0,IFERROR(VALUE(LEFT(E4746,FIND("º",SUBSTITUTE(E4746,"°","º"))-1)),""))))</f>
        <v/>
      </c>
      <c r="O4746" s="2">
        <f>IF(OR(F4746="",G4746=""),"",IF(G4746&lt;='RETRATO 2027'!$K$5,"CONCLUÍDA",IF(F4746&lt;='RETRATO 2027'!$K$5,"EM ANDAMENTO","A INICIAR")))</f>
        <v/>
      </c>
    </row>
    <row r="4747">
      <c r="M4747" s="2">
        <f>IF(C4747="","",IFERROR(INDEX($S$5:$S$304,MATCH(C4747,$R$5:$R$304,0))&amp;"","?"))</f>
        <v/>
      </c>
      <c r="N4747" s="2">
        <f>IF(E4747="","",IF(ISNUMBER(SEARCH("SUBSOLO",E4747)),IFERROR(-VALUE(LEFT(E4747,FIND("º",SUBSTITUTE(E4747,"°","º"))-1)),-1),IF(LEFT(E4747,6)="TÉRREO",0,IFERROR(VALUE(LEFT(E4747,FIND("º",SUBSTITUTE(E4747,"°","º"))-1)),""))))</f>
        <v/>
      </c>
      <c r="O4747" s="2">
        <f>IF(OR(F4747="",G4747=""),"",IF(G4747&lt;='RETRATO 2027'!$K$5,"CONCLUÍDA",IF(F4747&lt;='RETRATO 2027'!$K$5,"EM ANDAMENTO","A INICIAR")))</f>
        <v/>
      </c>
    </row>
    <row r="4748">
      <c r="M4748" s="2">
        <f>IF(C4748="","",IFERROR(INDEX($S$5:$S$304,MATCH(C4748,$R$5:$R$304,0))&amp;"","?"))</f>
        <v/>
      </c>
      <c r="N4748" s="2">
        <f>IF(E4748="","",IF(ISNUMBER(SEARCH("SUBSOLO",E4748)),IFERROR(-VALUE(LEFT(E4748,FIND("º",SUBSTITUTE(E4748,"°","º"))-1)),-1),IF(LEFT(E4748,6)="TÉRREO",0,IFERROR(VALUE(LEFT(E4748,FIND("º",SUBSTITUTE(E4748,"°","º"))-1)),""))))</f>
        <v/>
      </c>
      <c r="O4748" s="2">
        <f>IF(OR(F4748="",G4748=""),"",IF(G4748&lt;='RETRATO 2027'!$K$5,"CONCLUÍDA",IF(F4748&lt;='RETRATO 2027'!$K$5,"EM ANDAMENTO","A INICIAR")))</f>
        <v/>
      </c>
    </row>
    <row r="4749">
      <c r="M4749" s="2">
        <f>IF(C4749="","",IFERROR(INDEX($S$5:$S$304,MATCH(C4749,$R$5:$R$304,0))&amp;"","?"))</f>
        <v/>
      </c>
      <c r="N4749" s="2">
        <f>IF(E4749="","",IF(ISNUMBER(SEARCH("SUBSOLO",E4749)),IFERROR(-VALUE(LEFT(E4749,FIND("º",SUBSTITUTE(E4749,"°","º"))-1)),-1),IF(LEFT(E4749,6)="TÉRREO",0,IFERROR(VALUE(LEFT(E4749,FIND("º",SUBSTITUTE(E4749,"°","º"))-1)),""))))</f>
        <v/>
      </c>
      <c r="O4749" s="2">
        <f>IF(OR(F4749="",G4749=""),"",IF(G4749&lt;='RETRATO 2027'!$K$5,"CONCLUÍDA",IF(F4749&lt;='RETRATO 2027'!$K$5,"EM ANDAMENTO","A INICIAR")))</f>
        <v/>
      </c>
    </row>
    <row r="4750">
      <c r="M4750" s="2">
        <f>IF(C4750="","",IFERROR(INDEX($S$5:$S$304,MATCH(C4750,$R$5:$R$304,0))&amp;"","?"))</f>
        <v/>
      </c>
      <c r="N4750" s="2">
        <f>IF(E4750="","",IF(ISNUMBER(SEARCH("SUBSOLO",E4750)),IFERROR(-VALUE(LEFT(E4750,FIND("º",SUBSTITUTE(E4750,"°","º"))-1)),-1),IF(LEFT(E4750,6)="TÉRREO",0,IFERROR(VALUE(LEFT(E4750,FIND("º",SUBSTITUTE(E4750,"°","º"))-1)),""))))</f>
        <v/>
      </c>
      <c r="O4750" s="2">
        <f>IF(OR(F4750="",G4750=""),"",IF(G4750&lt;='RETRATO 2027'!$K$5,"CONCLUÍDA",IF(F4750&lt;='RETRATO 2027'!$K$5,"EM ANDAMENTO","A INICIAR")))</f>
        <v/>
      </c>
    </row>
    <row r="4751">
      <c r="M4751" s="2">
        <f>IF(C4751="","",IFERROR(INDEX($S$5:$S$304,MATCH(C4751,$R$5:$R$304,0))&amp;"","?"))</f>
        <v/>
      </c>
      <c r="N4751" s="2">
        <f>IF(E4751="","",IF(ISNUMBER(SEARCH("SUBSOLO",E4751)),IFERROR(-VALUE(LEFT(E4751,FIND("º",SUBSTITUTE(E4751,"°","º"))-1)),-1),IF(LEFT(E4751,6)="TÉRREO",0,IFERROR(VALUE(LEFT(E4751,FIND("º",SUBSTITUTE(E4751,"°","º"))-1)),""))))</f>
        <v/>
      </c>
      <c r="O4751" s="2">
        <f>IF(OR(F4751="",G4751=""),"",IF(G4751&lt;='RETRATO 2027'!$K$5,"CONCLUÍDA",IF(F4751&lt;='RETRATO 2027'!$K$5,"EM ANDAMENTO","A INICIAR")))</f>
        <v/>
      </c>
    </row>
    <row r="4752">
      <c r="M4752" s="2">
        <f>IF(C4752="","",IFERROR(INDEX($S$5:$S$304,MATCH(C4752,$R$5:$R$304,0))&amp;"","?"))</f>
        <v/>
      </c>
      <c r="N4752" s="2">
        <f>IF(E4752="","",IF(ISNUMBER(SEARCH("SUBSOLO",E4752)),IFERROR(-VALUE(LEFT(E4752,FIND("º",SUBSTITUTE(E4752,"°","º"))-1)),-1),IF(LEFT(E4752,6)="TÉRREO",0,IFERROR(VALUE(LEFT(E4752,FIND("º",SUBSTITUTE(E4752,"°","º"))-1)),""))))</f>
        <v/>
      </c>
      <c r="O4752" s="2">
        <f>IF(OR(F4752="",G4752=""),"",IF(G4752&lt;='RETRATO 2027'!$K$5,"CONCLUÍDA",IF(F4752&lt;='RETRATO 2027'!$K$5,"EM ANDAMENTO","A INICIAR")))</f>
        <v/>
      </c>
    </row>
    <row r="4753">
      <c r="M4753" s="2">
        <f>IF(C4753="","",IFERROR(INDEX($S$5:$S$304,MATCH(C4753,$R$5:$R$304,0))&amp;"","?"))</f>
        <v/>
      </c>
      <c r="N4753" s="2">
        <f>IF(E4753="","",IF(ISNUMBER(SEARCH("SUBSOLO",E4753)),IFERROR(-VALUE(LEFT(E4753,FIND("º",SUBSTITUTE(E4753,"°","º"))-1)),-1),IF(LEFT(E4753,6)="TÉRREO",0,IFERROR(VALUE(LEFT(E4753,FIND("º",SUBSTITUTE(E4753,"°","º"))-1)),""))))</f>
        <v/>
      </c>
      <c r="O4753" s="2">
        <f>IF(OR(F4753="",G4753=""),"",IF(G4753&lt;='RETRATO 2027'!$K$5,"CONCLUÍDA",IF(F4753&lt;='RETRATO 2027'!$K$5,"EM ANDAMENTO","A INICIAR")))</f>
        <v/>
      </c>
    </row>
    <row r="4754">
      <c r="M4754" s="2">
        <f>IF(C4754="","",IFERROR(INDEX($S$5:$S$304,MATCH(C4754,$R$5:$R$304,0))&amp;"","?"))</f>
        <v/>
      </c>
      <c r="N4754" s="2">
        <f>IF(E4754="","",IF(ISNUMBER(SEARCH("SUBSOLO",E4754)),IFERROR(-VALUE(LEFT(E4754,FIND("º",SUBSTITUTE(E4754,"°","º"))-1)),-1),IF(LEFT(E4754,6)="TÉRREO",0,IFERROR(VALUE(LEFT(E4754,FIND("º",SUBSTITUTE(E4754,"°","º"))-1)),""))))</f>
        <v/>
      </c>
      <c r="O4754" s="2">
        <f>IF(OR(F4754="",G4754=""),"",IF(G4754&lt;='RETRATO 2027'!$K$5,"CONCLUÍDA",IF(F4754&lt;='RETRATO 2027'!$K$5,"EM ANDAMENTO","A INICIAR")))</f>
        <v/>
      </c>
    </row>
    <row r="4755">
      <c r="M4755" s="2">
        <f>IF(C4755="","",IFERROR(INDEX($S$5:$S$304,MATCH(C4755,$R$5:$R$304,0))&amp;"","?"))</f>
        <v/>
      </c>
      <c r="N4755" s="2">
        <f>IF(E4755="","",IF(ISNUMBER(SEARCH("SUBSOLO",E4755)),IFERROR(-VALUE(LEFT(E4755,FIND("º",SUBSTITUTE(E4755,"°","º"))-1)),-1),IF(LEFT(E4755,6)="TÉRREO",0,IFERROR(VALUE(LEFT(E4755,FIND("º",SUBSTITUTE(E4755,"°","º"))-1)),""))))</f>
        <v/>
      </c>
      <c r="O4755" s="2">
        <f>IF(OR(F4755="",G4755=""),"",IF(G4755&lt;='RETRATO 2027'!$K$5,"CONCLUÍDA",IF(F4755&lt;='RETRATO 2027'!$K$5,"EM ANDAMENTO","A INICIAR")))</f>
        <v/>
      </c>
    </row>
    <row r="4756">
      <c r="M4756" s="2">
        <f>IF(C4756="","",IFERROR(INDEX($S$5:$S$304,MATCH(C4756,$R$5:$R$304,0))&amp;"","?"))</f>
        <v/>
      </c>
      <c r="N4756" s="2">
        <f>IF(E4756="","",IF(ISNUMBER(SEARCH("SUBSOLO",E4756)),IFERROR(-VALUE(LEFT(E4756,FIND("º",SUBSTITUTE(E4756,"°","º"))-1)),-1),IF(LEFT(E4756,6)="TÉRREO",0,IFERROR(VALUE(LEFT(E4756,FIND("º",SUBSTITUTE(E4756,"°","º"))-1)),""))))</f>
        <v/>
      </c>
      <c r="O4756" s="2">
        <f>IF(OR(F4756="",G4756=""),"",IF(G4756&lt;='RETRATO 2027'!$K$5,"CONCLUÍDA",IF(F4756&lt;='RETRATO 2027'!$K$5,"EM ANDAMENTO","A INICIAR")))</f>
        <v/>
      </c>
    </row>
    <row r="4757">
      <c r="M4757" s="2">
        <f>IF(C4757="","",IFERROR(INDEX($S$5:$S$304,MATCH(C4757,$R$5:$R$304,0))&amp;"","?"))</f>
        <v/>
      </c>
      <c r="N4757" s="2">
        <f>IF(E4757="","",IF(ISNUMBER(SEARCH("SUBSOLO",E4757)),IFERROR(-VALUE(LEFT(E4757,FIND("º",SUBSTITUTE(E4757,"°","º"))-1)),-1),IF(LEFT(E4757,6)="TÉRREO",0,IFERROR(VALUE(LEFT(E4757,FIND("º",SUBSTITUTE(E4757,"°","º"))-1)),""))))</f>
        <v/>
      </c>
      <c r="O4757" s="2">
        <f>IF(OR(F4757="",G4757=""),"",IF(G4757&lt;='RETRATO 2027'!$K$5,"CONCLUÍDA",IF(F4757&lt;='RETRATO 2027'!$K$5,"EM ANDAMENTO","A INICIAR")))</f>
        <v/>
      </c>
    </row>
    <row r="4758">
      <c r="M4758" s="2">
        <f>IF(C4758="","",IFERROR(INDEX($S$5:$S$304,MATCH(C4758,$R$5:$R$304,0))&amp;"","?"))</f>
        <v/>
      </c>
      <c r="N4758" s="2">
        <f>IF(E4758="","",IF(ISNUMBER(SEARCH("SUBSOLO",E4758)),IFERROR(-VALUE(LEFT(E4758,FIND("º",SUBSTITUTE(E4758,"°","º"))-1)),-1),IF(LEFT(E4758,6)="TÉRREO",0,IFERROR(VALUE(LEFT(E4758,FIND("º",SUBSTITUTE(E4758,"°","º"))-1)),""))))</f>
        <v/>
      </c>
      <c r="O4758" s="2">
        <f>IF(OR(F4758="",G4758=""),"",IF(G4758&lt;='RETRATO 2027'!$K$5,"CONCLUÍDA",IF(F4758&lt;='RETRATO 2027'!$K$5,"EM ANDAMENTO","A INICIAR")))</f>
        <v/>
      </c>
    </row>
    <row r="4759">
      <c r="M4759" s="2">
        <f>IF(C4759="","",IFERROR(INDEX($S$5:$S$304,MATCH(C4759,$R$5:$R$304,0))&amp;"","?"))</f>
        <v/>
      </c>
      <c r="N4759" s="2">
        <f>IF(E4759="","",IF(ISNUMBER(SEARCH("SUBSOLO",E4759)),IFERROR(-VALUE(LEFT(E4759,FIND("º",SUBSTITUTE(E4759,"°","º"))-1)),-1),IF(LEFT(E4759,6)="TÉRREO",0,IFERROR(VALUE(LEFT(E4759,FIND("º",SUBSTITUTE(E4759,"°","º"))-1)),""))))</f>
        <v/>
      </c>
      <c r="O4759" s="2">
        <f>IF(OR(F4759="",G4759=""),"",IF(G4759&lt;='RETRATO 2027'!$K$5,"CONCLUÍDA",IF(F4759&lt;='RETRATO 2027'!$K$5,"EM ANDAMENTO","A INICIAR")))</f>
        <v/>
      </c>
    </row>
    <row r="4760">
      <c r="M4760" s="2">
        <f>IF(C4760="","",IFERROR(INDEX($S$5:$S$304,MATCH(C4760,$R$5:$R$304,0))&amp;"","?"))</f>
        <v/>
      </c>
      <c r="N4760" s="2">
        <f>IF(E4760="","",IF(ISNUMBER(SEARCH("SUBSOLO",E4760)),IFERROR(-VALUE(LEFT(E4760,FIND("º",SUBSTITUTE(E4760,"°","º"))-1)),-1),IF(LEFT(E4760,6)="TÉRREO",0,IFERROR(VALUE(LEFT(E4760,FIND("º",SUBSTITUTE(E4760,"°","º"))-1)),""))))</f>
        <v/>
      </c>
      <c r="O4760" s="2">
        <f>IF(OR(F4760="",G4760=""),"",IF(G4760&lt;='RETRATO 2027'!$K$5,"CONCLUÍDA",IF(F4760&lt;='RETRATO 2027'!$K$5,"EM ANDAMENTO","A INICIAR")))</f>
        <v/>
      </c>
    </row>
    <row r="4761">
      <c r="M4761" s="2">
        <f>IF(C4761="","",IFERROR(INDEX($S$5:$S$304,MATCH(C4761,$R$5:$R$304,0))&amp;"","?"))</f>
        <v/>
      </c>
      <c r="N4761" s="2">
        <f>IF(E4761="","",IF(ISNUMBER(SEARCH("SUBSOLO",E4761)),IFERROR(-VALUE(LEFT(E4761,FIND("º",SUBSTITUTE(E4761,"°","º"))-1)),-1),IF(LEFT(E4761,6)="TÉRREO",0,IFERROR(VALUE(LEFT(E4761,FIND("º",SUBSTITUTE(E4761,"°","º"))-1)),""))))</f>
        <v/>
      </c>
      <c r="O4761" s="2">
        <f>IF(OR(F4761="",G4761=""),"",IF(G4761&lt;='RETRATO 2027'!$K$5,"CONCLUÍDA",IF(F4761&lt;='RETRATO 2027'!$K$5,"EM ANDAMENTO","A INICIAR")))</f>
        <v/>
      </c>
    </row>
    <row r="4762">
      <c r="M4762" s="2">
        <f>IF(C4762="","",IFERROR(INDEX($S$5:$S$304,MATCH(C4762,$R$5:$R$304,0))&amp;"","?"))</f>
        <v/>
      </c>
      <c r="N4762" s="2">
        <f>IF(E4762="","",IF(ISNUMBER(SEARCH("SUBSOLO",E4762)),IFERROR(-VALUE(LEFT(E4762,FIND("º",SUBSTITUTE(E4762,"°","º"))-1)),-1),IF(LEFT(E4762,6)="TÉRREO",0,IFERROR(VALUE(LEFT(E4762,FIND("º",SUBSTITUTE(E4762,"°","º"))-1)),""))))</f>
        <v/>
      </c>
      <c r="O4762" s="2">
        <f>IF(OR(F4762="",G4762=""),"",IF(G4762&lt;='RETRATO 2027'!$K$5,"CONCLUÍDA",IF(F4762&lt;='RETRATO 2027'!$K$5,"EM ANDAMENTO","A INICIAR")))</f>
        <v/>
      </c>
    </row>
    <row r="4763">
      <c r="M4763" s="2">
        <f>IF(C4763="","",IFERROR(INDEX($S$5:$S$304,MATCH(C4763,$R$5:$R$304,0))&amp;"","?"))</f>
        <v/>
      </c>
      <c r="N4763" s="2">
        <f>IF(E4763="","",IF(ISNUMBER(SEARCH("SUBSOLO",E4763)),IFERROR(-VALUE(LEFT(E4763,FIND("º",SUBSTITUTE(E4763,"°","º"))-1)),-1),IF(LEFT(E4763,6)="TÉRREO",0,IFERROR(VALUE(LEFT(E4763,FIND("º",SUBSTITUTE(E4763,"°","º"))-1)),""))))</f>
        <v/>
      </c>
      <c r="O4763" s="2">
        <f>IF(OR(F4763="",G4763=""),"",IF(G4763&lt;='RETRATO 2027'!$K$5,"CONCLUÍDA",IF(F4763&lt;='RETRATO 2027'!$K$5,"EM ANDAMENTO","A INICIAR")))</f>
        <v/>
      </c>
    </row>
    <row r="4764">
      <c r="M4764" s="2">
        <f>IF(C4764="","",IFERROR(INDEX($S$5:$S$304,MATCH(C4764,$R$5:$R$304,0))&amp;"","?"))</f>
        <v/>
      </c>
      <c r="N4764" s="2">
        <f>IF(E4764="","",IF(ISNUMBER(SEARCH("SUBSOLO",E4764)),IFERROR(-VALUE(LEFT(E4764,FIND("º",SUBSTITUTE(E4764,"°","º"))-1)),-1),IF(LEFT(E4764,6)="TÉRREO",0,IFERROR(VALUE(LEFT(E4764,FIND("º",SUBSTITUTE(E4764,"°","º"))-1)),""))))</f>
        <v/>
      </c>
      <c r="O4764" s="2">
        <f>IF(OR(F4764="",G4764=""),"",IF(G4764&lt;='RETRATO 2027'!$K$5,"CONCLUÍDA",IF(F4764&lt;='RETRATO 2027'!$K$5,"EM ANDAMENTO","A INICIAR")))</f>
        <v/>
      </c>
    </row>
    <row r="4765">
      <c r="M4765" s="2">
        <f>IF(C4765="","",IFERROR(INDEX($S$5:$S$304,MATCH(C4765,$R$5:$R$304,0))&amp;"","?"))</f>
        <v/>
      </c>
      <c r="N4765" s="2">
        <f>IF(E4765="","",IF(ISNUMBER(SEARCH("SUBSOLO",E4765)),IFERROR(-VALUE(LEFT(E4765,FIND("º",SUBSTITUTE(E4765,"°","º"))-1)),-1),IF(LEFT(E4765,6)="TÉRREO",0,IFERROR(VALUE(LEFT(E4765,FIND("º",SUBSTITUTE(E4765,"°","º"))-1)),""))))</f>
        <v/>
      </c>
      <c r="O4765" s="2">
        <f>IF(OR(F4765="",G4765=""),"",IF(G4765&lt;='RETRATO 2027'!$K$5,"CONCLUÍDA",IF(F4765&lt;='RETRATO 2027'!$K$5,"EM ANDAMENTO","A INICIAR")))</f>
        <v/>
      </c>
    </row>
    <row r="4766">
      <c r="M4766" s="2">
        <f>IF(C4766="","",IFERROR(INDEX($S$5:$S$304,MATCH(C4766,$R$5:$R$304,0))&amp;"","?"))</f>
        <v/>
      </c>
      <c r="N4766" s="2">
        <f>IF(E4766="","",IF(ISNUMBER(SEARCH("SUBSOLO",E4766)),IFERROR(-VALUE(LEFT(E4766,FIND("º",SUBSTITUTE(E4766,"°","º"))-1)),-1),IF(LEFT(E4766,6)="TÉRREO",0,IFERROR(VALUE(LEFT(E4766,FIND("º",SUBSTITUTE(E4766,"°","º"))-1)),""))))</f>
        <v/>
      </c>
      <c r="O4766" s="2">
        <f>IF(OR(F4766="",G4766=""),"",IF(G4766&lt;='RETRATO 2027'!$K$5,"CONCLUÍDA",IF(F4766&lt;='RETRATO 2027'!$K$5,"EM ANDAMENTO","A INICIAR")))</f>
        <v/>
      </c>
    </row>
    <row r="4767">
      <c r="M4767" s="2">
        <f>IF(C4767="","",IFERROR(INDEX($S$5:$S$304,MATCH(C4767,$R$5:$R$304,0))&amp;"","?"))</f>
        <v/>
      </c>
      <c r="N4767" s="2">
        <f>IF(E4767="","",IF(ISNUMBER(SEARCH("SUBSOLO",E4767)),IFERROR(-VALUE(LEFT(E4767,FIND("º",SUBSTITUTE(E4767,"°","º"))-1)),-1),IF(LEFT(E4767,6)="TÉRREO",0,IFERROR(VALUE(LEFT(E4767,FIND("º",SUBSTITUTE(E4767,"°","º"))-1)),""))))</f>
        <v/>
      </c>
      <c r="O4767" s="2">
        <f>IF(OR(F4767="",G4767=""),"",IF(G4767&lt;='RETRATO 2027'!$K$5,"CONCLUÍDA",IF(F4767&lt;='RETRATO 2027'!$K$5,"EM ANDAMENTO","A INICIAR")))</f>
        <v/>
      </c>
    </row>
    <row r="4768">
      <c r="M4768" s="2">
        <f>IF(C4768="","",IFERROR(INDEX($S$5:$S$304,MATCH(C4768,$R$5:$R$304,0))&amp;"","?"))</f>
        <v/>
      </c>
      <c r="N4768" s="2">
        <f>IF(E4768="","",IF(ISNUMBER(SEARCH("SUBSOLO",E4768)),IFERROR(-VALUE(LEFT(E4768,FIND("º",SUBSTITUTE(E4768,"°","º"))-1)),-1),IF(LEFT(E4768,6)="TÉRREO",0,IFERROR(VALUE(LEFT(E4768,FIND("º",SUBSTITUTE(E4768,"°","º"))-1)),""))))</f>
        <v/>
      </c>
      <c r="O4768" s="2">
        <f>IF(OR(F4768="",G4768=""),"",IF(G4768&lt;='RETRATO 2027'!$K$5,"CONCLUÍDA",IF(F4768&lt;='RETRATO 2027'!$K$5,"EM ANDAMENTO","A INICIAR")))</f>
        <v/>
      </c>
    </row>
    <row r="4769">
      <c r="M4769" s="2">
        <f>IF(C4769="","",IFERROR(INDEX($S$5:$S$304,MATCH(C4769,$R$5:$R$304,0))&amp;"","?"))</f>
        <v/>
      </c>
      <c r="N4769" s="2">
        <f>IF(E4769="","",IF(ISNUMBER(SEARCH("SUBSOLO",E4769)),IFERROR(-VALUE(LEFT(E4769,FIND("º",SUBSTITUTE(E4769,"°","º"))-1)),-1),IF(LEFT(E4769,6)="TÉRREO",0,IFERROR(VALUE(LEFT(E4769,FIND("º",SUBSTITUTE(E4769,"°","º"))-1)),""))))</f>
        <v/>
      </c>
      <c r="O4769" s="2">
        <f>IF(OR(F4769="",G4769=""),"",IF(G4769&lt;='RETRATO 2027'!$K$5,"CONCLUÍDA",IF(F4769&lt;='RETRATO 2027'!$K$5,"EM ANDAMENTO","A INICIAR")))</f>
        <v/>
      </c>
    </row>
    <row r="4770">
      <c r="M4770" s="2">
        <f>IF(C4770="","",IFERROR(INDEX($S$5:$S$304,MATCH(C4770,$R$5:$R$304,0))&amp;"","?"))</f>
        <v/>
      </c>
      <c r="N4770" s="2">
        <f>IF(E4770="","",IF(ISNUMBER(SEARCH("SUBSOLO",E4770)),IFERROR(-VALUE(LEFT(E4770,FIND("º",SUBSTITUTE(E4770,"°","º"))-1)),-1),IF(LEFT(E4770,6)="TÉRREO",0,IFERROR(VALUE(LEFT(E4770,FIND("º",SUBSTITUTE(E4770,"°","º"))-1)),""))))</f>
        <v/>
      </c>
      <c r="O4770" s="2">
        <f>IF(OR(F4770="",G4770=""),"",IF(G4770&lt;='RETRATO 2027'!$K$5,"CONCLUÍDA",IF(F4770&lt;='RETRATO 2027'!$K$5,"EM ANDAMENTO","A INICIAR")))</f>
        <v/>
      </c>
    </row>
    <row r="4771">
      <c r="M4771" s="2">
        <f>IF(C4771="","",IFERROR(INDEX($S$5:$S$304,MATCH(C4771,$R$5:$R$304,0))&amp;"","?"))</f>
        <v/>
      </c>
      <c r="N4771" s="2">
        <f>IF(E4771="","",IF(ISNUMBER(SEARCH("SUBSOLO",E4771)),IFERROR(-VALUE(LEFT(E4771,FIND("º",SUBSTITUTE(E4771,"°","º"))-1)),-1),IF(LEFT(E4771,6)="TÉRREO",0,IFERROR(VALUE(LEFT(E4771,FIND("º",SUBSTITUTE(E4771,"°","º"))-1)),""))))</f>
        <v/>
      </c>
      <c r="O4771" s="2">
        <f>IF(OR(F4771="",G4771=""),"",IF(G4771&lt;='RETRATO 2027'!$K$5,"CONCLUÍDA",IF(F4771&lt;='RETRATO 2027'!$K$5,"EM ANDAMENTO","A INICIAR")))</f>
        <v/>
      </c>
    </row>
    <row r="4772">
      <c r="M4772" s="2">
        <f>IF(C4772="","",IFERROR(INDEX($S$5:$S$304,MATCH(C4772,$R$5:$R$304,0))&amp;"","?"))</f>
        <v/>
      </c>
      <c r="N4772" s="2">
        <f>IF(E4772="","",IF(ISNUMBER(SEARCH("SUBSOLO",E4772)),IFERROR(-VALUE(LEFT(E4772,FIND("º",SUBSTITUTE(E4772,"°","º"))-1)),-1),IF(LEFT(E4772,6)="TÉRREO",0,IFERROR(VALUE(LEFT(E4772,FIND("º",SUBSTITUTE(E4772,"°","º"))-1)),""))))</f>
        <v/>
      </c>
      <c r="O4772" s="2">
        <f>IF(OR(F4772="",G4772=""),"",IF(G4772&lt;='RETRATO 2027'!$K$5,"CONCLUÍDA",IF(F4772&lt;='RETRATO 2027'!$K$5,"EM ANDAMENTO","A INICIAR")))</f>
        <v/>
      </c>
    </row>
    <row r="4773">
      <c r="M4773" s="2">
        <f>IF(C4773="","",IFERROR(INDEX($S$5:$S$304,MATCH(C4773,$R$5:$R$304,0))&amp;"","?"))</f>
        <v/>
      </c>
      <c r="N4773" s="2">
        <f>IF(E4773="","",IF(ISNUMBER(SEARCH("SUBSOLO",E4773)),IFERROR(-VALUE(LEFT(E4773,FIND("º",SUBSTITUTE(E4773,"°","º"))-1)),-1),IF(LEFT(E4773,6)="TÉRREO",0,IFERROR(VALUE(LEFT(E4773,FIND("º",SUBSTITUTE(E4773,"°","º"))-1)),""))))</f>
        <v/>
      </c>
      <c r="O4773" s="2">
        <f>IF(OR(F4773="",G4773=""),"",IF(G4773&lt;='RETRATO 2027'!$K$5,"CONCLUÍDA",IF(F4773&lt;='RETRATO 2027'!$K$5,"EM ANDAMENTO","A INICIAR")))</f>
        <v/>
      </c>
    </row>
    <row r="4774">
      <c r="M4774" s="2">
        <f>IF(C4774="","",IFERROR(INDEX($S$5:$S$304,MATCH(C4774,$R$5:$R$304,0))&amp;"","?"))</f>
        <v/>
      </c>
      <c r="N4774" s="2">
        <f>IF(E4774="","",IF(ISNUMBER(SEARCH("SUBSOLO",E4774)),IFERROR(-VALUE(LEFT(E4774,FIND("º",SUBSTITUTE(E4774,"°","º"))-1)),-1),IF(LEFT(E4774,6)="TÉRREO",0,IFERROR(VALUE(LEFT(E4774,FIND("º",SUBSTITUTE(E4774,"°","º"))-1)),""))))</f>
        <v/>
      </c>
      <c r="O4774" s="2">
        <f>IF(OR(F4774="",G4774=""),"",IF(G4774&lt;='RETRATO 2027'!$K$5,"CONCLUÍDA",IF(F4774&lt;='RETRATO 2027'!$K$5,"EM ANDAMENTO","A INICIAR")))</f>
        <v/>
      </c>
    </row>
    <row r="4775">
      <c r="M4775" s="2">
        <f>IF(C4775="","",IFERROR(INDEX($S$5:$S$304,MATCH(C4775,$R$5:$R$304,0))&amp;"","?"))</f>
        <v/>
      </c>
      <c r="N4775" s="2">
        <f>IF(E4775="","",IF(ISNUMBER(SEARCH("SUBSOLO",E4775)),IFERROR(-VALUE(LEFT(E4775,FIND("º",SUBSTITUTE(E4775,"°","º"))-1)),-1),IF(LEFT(E4775,6)="TÉRREO",0,IFERROR(VALUE(LEFT(E4775,FIND("º",SUBSTITUTE(E4775,"°","º"))-1)),""))))</f>
        <v/>
      </c>
      <c r="O4775" s="2">
        <f>IF(OR(F4775="",G4775=""),"",IF(G4775&lt;='RETRATO 2027'!$K$5,"CONCLUÍDA",IF(F4775&lt;='RETRATO 2027'!$K$5,"EM ANDAMENTO","A INICIAR")))</f>
        <v/>
      </c>
    </row>
    <row r="4776">
      <c r="M4776" s="2">
        <f>IF(C4776="","",IFERROR(INDEX($S$5:$S$304,MATCH(C4776,$R$5:$R$304,0))&amp;"","?"))</f>
        <v/>
      </c>
      <c r="N4776" s="2">
        <f>IF(E4776="","",IF(ISNUMBER(SEARCH("SUBSOLO",E4776)),IFERROR(-VALUE(LEFT(E4776,FIND("º",SUBSTITUTE(E4776,"°","º"))-1)),-1),IF(LEFT(E4776,6)="TÉRREO",0,IFERROR(VALUE(LEFT(E4776,FIND("º",SUBSTITUTE(E4776,"°","º"))-1)),""))))</f>
        <v/>
      </c>
      <c r="O4776" s="2">
        <f>IF(OR(F4776="",G4776=""),"",IF(G4776&lt;='RETRATO 2027'!$K$5,"CONCLUÍDA",IF(F4776&lt;='RETRATO 2027'!$K$5,"EM ANDAMENTO","A INICIAR")))</f>
        <v/>
      </c>
    </row>
    <row r="4777">
      <c r="M4777" s="2">
        <f>IF(C4777="","",IFERROR(INDEX($S$5:$S$304,MATCH(C4777,$R$5:$R$304,0))&amp;"","?"))</f>
        <v/>
      </c>
      <c r="N4777" s="2">
        <f>IF(E4777="","",IF(ISNUMBER(SEARCH("SUBSOLO",E4777)),IFERROR(-VALUE(LEFT(E4777,FIND("º",SUBSTITUTE(E4777,"°","º"))-1)),-1),IF(LEFT(E4777,6)="TÉRREO",0,IFERROR(VALUE(LEFT(E4777,FIND("º",SUBSTITUTE(E4777,"°","º"))-1)),""))))</f>
        <v/>
      </c>
      <c r="O4777" s="2">
        <f>IF(OR(F4777="",G4777=""),"",IF(G4777&lt;='RETRATO 2027'!$K$5,"CONCLUÍDA",IF(F4777&lt;='RETRATO 2027'!$K$5,"EM ANDAMENTO","A INICIAR")))</f>
        <v/>
      </c>
    </row>
    <row r="4778">
      <c r="M4778" s="2">
        <f>IF(C4778="","",IFERROR(INDEX($S$5:$S$304,MATCH(C4778,$R$5:$R$304,0))&amp;"","?"))</f>
        <v/>
      </c>
      <c r="N4778" s="2">
        <f>IF(E4778="","",IF(ISNUMBER(SEARCH("SUBSOLO",E4778)),IFERROR(-VALUE(LEFT(E4778,FIND("º",SUBSTITUTE(E4778,"°","º"))-1)),-1),IF(LEFT(E4778,6)="TÉRREO",0,IFERROR(VALUE(LEFT(E4778,FIND("º",SUBSTITUTE(E4778,"°","º"))-1)),""))))</f>
        <v/>
      </c>
      <c r="O4778" s="2">
        <f>IF(OR(F4778="",G4778=""),"",IF(G4778&lt;='RETRATO 2027'!$K$5,"CONCLUÍDA",IF(F4778&lt;='RETRATO 2027'!$K$5,"EM ANDAMENTO","A INICIAR")))</f>
        <v/>
      </c>
    </row>
    <row r="4779">
      <c r="M4779" s="2">
        <f>IF(C4779="","",IFERROR(INDEX($S$5:$S$304,MATCH(C4779,$R$5:$R$304,0))&amp;"","?"))</f>
        <v/>
      </c>
      <c r="N4779" s="2">
        <f>IF(E4779="","",IF(ISNUMBER(SEARCH("SUBSOLO",E4779)),IFERROR(-VALUE(LEFT(E4779,FIND("º",SUBSTITUTE(E4779,"°","º"))-1)),-1),IF(LEFT(E4779,6)="TÉRREO",0,IFERROR(VALUE(LEFT(E4779,FIND("º",SUBSTITUTE(E4779,"°","º"))-1)),""))))</f>
        <v/>
      </c>
      <c r="O4779" s="2">
        <f>IF(OR(F4779="",G4779=""),"",IF(G4779&lt;='RETRATO 2027'!$K$5,"CONCLUÍDA",IF(F4779&lt;='RETRATO 2027'!$K$5,"EM ANDAMENTO","A INICIAR")))</f>
        <v/>
      </c>
    </row>
    <row r="4780">
      <c r="M4780" s="2">
        <f>IF(C4780="","",IFERROR(INDEX($S$5:$S$304,MATCH(C4780,$R$5:$R$304,0))&amp;"","?"))</f>
        <v/>
      </c>
      <c r="N4780" s="2">
        <f>IF(E4780="","",IF(ISNUMBER(SEARCH("SUBSOLO",E4780)),IFERROR(-VALUE(LEFT(E4780,FIND("º",SUBSTITUTE(E4780,"°","º"))-1)),-1),IF(LEFT(E4780,6)="TÉRREO",0,IFERROR(VALUE(LEFT(E4780,FIND("º",SUBSTITUTE(E4780,"°","º"))-1)),""))))</f>
        <v/>
      </c>
      <c r="O4780" s="2">
        <f>IF(OR(F4780="",G4780=""),"",IF(G4780&lt;='RETRATO 2027'!$K$5,"CONCLUÍDA",IF(F4780&lt;='RETRATO 2027'!$K$5,"EM ANDAMENTO","A INICIAR")))</f>
        <v/>
      </c>
    </row>
    <row r="4781">
      <c r="M4781" s="2">
        <f>IF(C4781="","",IFERROR(INDEX($S$5:$S$304,MATCH(C4781,$R$5:$R$304,0))&amp;"","?"))</f>
        <v/>
      </c>
      <c r="N4781" s="2">
        <f>IF(E4781="","",IF(ISNUMBER(SEARCH("SUBSOLO",E4781)),IFERROR(-VALUE(LEFT(E4781,FIND("º",SUBSTITUTE(E4781,"°","º"))-1)),-1),IF(LEFT(E4781,6)="TÉRREO",0,IFERROR(VALUE(LEFT(E4781,FIND("º",SUBSTITUTE(E4781,"°","º"))-1)),""))))</f>
        <v/>
      </c>
      <c r="O4781" s="2">
        <f>IF(OR(F4781="",G4781=""),"",IF(G4781&lt;='RETRATO 2027'!$K$5,"CONCLUÍDA",IF(F4781&lt;='RETRATO 2027'!$K$5,"EM ANDAMENTO","A INICIAR")))</f>
        <v/>
      </c>
    </row>
    <row r="4782">
      <c r="M4782" s="2">
        <f>IF(C4782="","",IFERROR(INDEX($S$5:$S$304,MATCH(C4782,$R$5:$R$304,0))&amp;"","?"))</f>
        <v/>
      </c>
      <c r="N4782" s="2">
        <f>IF(E4782="","",IF(ISNUMBER(SEARCH("SUBSOLO",E4782)),IFERROR(-VALUE(LEFT(E4782,FIND("º",SUBSTITUTE(E4782,"°","º"))-1)),-1),IF(LEFT(E4782,6)="TÉRREO",0,IFERROR(VALUE(LEFT(E4782,FIND("º",SUBSTITUTE(E4782,"°","º"))-1)),""))))</f>
        <v/>
      </c>
      <c r="O4782" s="2">
        <f>IF(OR(F4782="",G4782=""),"",IF(G4782&lt;='RETRATO 2027'!$K$5,"CONCLUÍDA",IF(F4782&lt;='RETRATO 2027'!$K$5,"EM ANDAMENTO","A INICIAR")))</f>
        <v/>
      </c>
    </row>
    <row r="4783">
      <c r="M4783" s="2">
        <f>IF(C4783="","",IFERROR(INDEX($S$5:$S$304,MATCH(C4783,$R$5:$R$304,0))&amp;"","?"))</f>
        <v/>
      </c>
      <c r="N4783" s="2">
        <f>IF(E4783="","",IF(ISNUMBER(SEARCH("SUBSOLO",E4783)),IFERROR(-VALUE(LEFT(E4783,FIND("º",SUBSTITUTE(E4783,"°","º"))-1)),-1),IF(LEFT(E4783,6)="TÉRREO",0,IFERROR(VALUE(LEFT(E4783,FIND("º",SUBSTITUTE(E4783,"°","º"))-1)),""))))</f>
        <v/>
      </c>
      <c r="O4783" s="2">
        <f>IF(OR(F4783="",G4783=""),"",IF(G4783&lt;='RETRATO 2027'!$K$5,"CONCLUÍDA",IF(F4783&lt;='RETRATO 2027'!$K$5,"EM ANDAMENTO","A INICIAR")))</f>
        <v/>
      </c>
    </row>
    <row r="4784">
      <c r="M4784" s="2">
        <f>IF(C4784="","",IFERROR(INDEX($S$5:$S$304,MATCH(C4784,$R$5:$R$304,0))&amp;"","?"))</f>
        <v/>
      </c>
      <c r="N4784" s="2">
        <f>IF(E4784="","",IF(ISNUMBER(SEARCH("SUBSOLO",E4784)),IFERROR(-VALUE(LEFT(E4784,FIND("º",SUBSTITUTE(E4784,"°","º"))-1)),-1),IF(LEFT(E4784,6)="TÉRREO",0,IFERROR(VALUE(LEFT(E4784,FIND("º",SUBSTITUTE(E4784,"°","º"))-1)),""))))</f>
        <v/>
      </c>
      <c r="O4784" s="2">
        <f>IF(OR(F4784="",G4784=""),"",IF(G4784&lt;='RETRATO 2027'!$K$5,"CONCLUÍDA",IF(F4784&lt;='RETRATO 2027'!$K$5,"EM ANDAMENTO","A INICIAR")))</f>
        <v/>
      </c>
    </row>
    <row r="4785">
      <c r="M4785" s="2">
        <f>IF(C4785="","",IFERROR(INDEX($S$5:$S$304,MATCH(C4785,$R$5:$R$304,0))&amp;"","?"))</f>
        <v/>
      </c>
      <c r="N4785" s="2">
        <f>IF(E4785="","",IF(ISNUMBER(SEARCH("SUBSOLO",E4785)),IFERROR(-VALUE(LEFT(E4785,FIND("º",SUBSTITUTE(E4785,"°","º"))-1)),-1),IF(LEFT(E4785,6)="TÉRREO",0,IFERROR(VALUE(LEFT(E4785,FIND("º",SUBSTITUTE(E4785,"°","º"))-1)),""))))</f>
        <v/>
      </c>
      <c r="O4785" s="2">
        <f>IF(OR(F4785="",G4785=""),"",IF(G4785&lt;='RETRATO 2027'!$K$5,"CONCLUÍDA",IF(F4785&lt;='RETRATO 2027'!$K$5,"EM ANDAMENTO","A INICIAR")))</f>
        <v/>
      </c>
    </row>
    <row r="4786">
      <c r="M4786" s="2">
        <f>IF(C4786="","",IFERROR(INDEX($S$5:$S$304,MATCH(C4786,$R$5:$R$304,0))&amp;"","?"))</f>
        <v/>
      </c>
      <c r="N4786" s="2">
        <f>IF(E4786="","",IF(ISNUMBER(SEARCH("SUBSOLO",E4786)),IFERROR(-VALUE(LEFT(E4786,FIND("º",SUBSTITUTE(E4786,"°","º"))-1)),-1),IF(LEFT(E4786,6)="TÉRREO",0,IFERROR(VALUE(LEFT(E4786,FIND("º",SUBSTITUTE(E4786,"°","º"))-1)),""))))</f>
        <v/>
      </c>
      <c r="O4786" s="2">
        <f>IF(OR(F4786="",G4786=""),"",IF(G4786&lt;='RETRATO 2027'!$K$5,"CONCLUÍDA",IF(F4786&lt;='RETRATO 2027'!$K$5,"EM ANDAMENTO","A INICIAR")))</f>
        <v/>
      </c>
    </row>
    <row r="4787">
      <c r="M4787" s="2">
        <f>IF(C4787="","",IFERROR(INDEX($S$5:$S$304,MATCH(C4787,$R$5:$R$304,0))&amp;"","?"))</f>
        <v/>
      </c>
      <c r="N4787" s="2">
        <f>IF(E4787="","",IF(ISNUMBER(SEARCH("SUBSOLO",E4787)),IFERROR(-VALUE(LEFT(E4787,FIND("º",SUBSTITUTE(E4787,"°","º"))-1)),-1),IF(LEFT(E4787,6)="TÉRREO",0,IFERROR(VALUE(LEFT(E4787,FIND("º",SUBSTITUTE(E4787,"°","º"))-1)),""))))</f>
        <v/>
      </c>
      <c r="O4787" s="2">
        <f>IF(OR(F4787="",G4787=""),"",IF(G4787&lt;='RETRATO 2027'!$K$5,"CONCLUÍDA",IF(F4787&lt;='RETRATO 2027'!$K$5,"EM ANDAMENTO","A INICIAR")))</f>
        <v/>
      </c>
    </row>
    <row r="4788">
      <c r="M4788" s="2">
        <f>IF(C4788="","",IFERROR(INDEX($S$5:$S$304,MATCH(C4788,$R$5:$R$304,0))&amp;"","?"))</f>
        <v/>
      </c>
      <c r="N4788" s="2">
        <f>IF(E4788="","",IF(ISNUMBER(SEARCH("SUBSOLO",E4788)),IFERROR(-VALUE(LEFT(E4788,FIND("º",SUBSTITUTE(E4788,"°","º"))-1)),-1),IF(LEFT(E4788,6)="TÉRREO",0,IFERROR(VALUE(LEFT(E4788,FIND("º",SUBSTITUTE(E4788,"°","º"))-1)),""))))</f>
        <v/>
      </c>
      <c r="O4788" s="2">
        <f>IF(OR(F4788="",G4788=""),"",IF(G4788&lt;='RETRATO 2027'!$K$5,"CONCLUÍDA",IF(F4788&lt;='RETRATO 2027'!$K$5,"EM ANDAMENTO","A INICIAR")))</f>
        <v/>
      </c>
    </row>
    <row r="4789">
      <c r="M4789" s="2">
        <f>IF(C4789="","",IFERROR(INDEX($S$5:$S$304,MATCH(C4789,$R$5:$R$304,0))&amp;"","?"))</f>
        <v/>
      </c>
      <c r="N4789" s="2">
        <f>IF(E4789="","",IF(ISNUMBER(SEARCH("SUBSOLO",E4789)),IFERROR(-VALUE(LEFT(E4789,FIND("º",SUBSTITUTE(E4789,"°","º"))-1)),-1),IF(LEFT(E4789,6)="TÉRREO",0,IFERROR(VALUE(LEFT(E4789,FIND("º",SUBSTITUTE(E4789,"°","º"))-1)),""))))</f>
        <v/>
      </c>
      <c r="O4789" s="2">
        <f>IF(OR(F4789="",G4789=""),"",IF(G4789&lt;='RETRATO 2027'!$K$5,"CONCLUÍDA",IF(F4789&lt;='RETRATO 2027'!$K$5,"EM ANDAMENTO","A INICIAR")))</f>
        <v/>
      </c>
    </row>
    <row r="4790">
      <c r="M4790" s="2">
        <f>IF(C4790="","",IFERROR(INDEX($S$5:$S$304,MATCH(C4790,$R$5:$R$304,0))&amp;"","?"))</f>
        <v/>
      </c>
      <c r="N4790" s="2">
        <f>IF(E4790="","",IF(ISNUMBER(SEARCH("SUBSOLO",E4790)),IFERROR(-VALUE(LEFT(E4790,FIND("º",SUBSTITUTE(E4790,"°","º"))-1)),-1),IF(LEFT(E4790,6)="TÉRREO",0,IFERROR(VALUE(LEFT(E4790,FIND("º",SUBSTITUTE(E4790,"°","º"))-1)),""))))</f>
        <v/>
      </c>
      <c r="O4790" s="2">
        <f>IF(OR(F4790="",G4790=""),"",IF(G4790&lt;='RETRATO 2027'!$K$5,"CONCLUÍDA",IF(F4790&lt;='RETRATO 2027'!$K$5,"EM ANDAMENTO","A INICIAR")))</f>
        <v/>
      </c>
    </row>
    <row r="4791">
      <c r="M4791" s="2">
        <f>IF(C4791="","",IFERROR(INDEX($S$5:$S$304,MATCH(C4791,$R$5:$R$304,0))&amp;"","?"))</f>
        <v/>
      </c>
      <c r="N4791" s="2">
        <f>IF(E4791="","",IF(ISNUMBER(SEARCH("SUBSOLO",E4791)),IFERROR(-VALUE(LEFT(E4791,FIND("º",SUBSTITUTE(E4791,"°","º"))-1)),-1),IF(LEFT(E4791,6)="TÉRREO",0,IFERROR(VALUE(LEFT(E4791,FIND("º",SUBSTITUTE(E4791,"°","º"))-1)),""))))</f>
        <v/>
      </c>
      <c r="O4791" s="2">
        <f>IF(OR(F4791="",G4791=""),"",IF(G4791&lt;='RETRATO 2027'!$K$5,"CONCLUÍDA",IF(F4791&lt;='RETRATO 2027'!$K$5,"EM ANDAMENTO","A INICIAR")))</f>
        <v/>
      </c>
    </row>
    <row r="4792">
      <c r="M4792" s="2">
        <f>IF(C4792="","",IFERROR(INDEX($S$5:$S$304,MATCH(C4792,$R$5:$R$304,0))&amp;"","?"))</f>
        <v/>
      </c>
      <c r="N4792" s="2">
        <f>IF(E4792="","",IF(ISNUMBER(SEARCH("SUBSOLO",E4792)),IFERROR(-VALUE(LEFT(E4792,FIND("º",SUBSTITUTE(E4792,"°","º"))-1)),-1),IF(LEFT(E4792,6)="TÉRREO",0,IFERROR(VALUE(LEFT(E4792,FIND("º",SUBSTITUTE(E4792,"°","º"))-1)),""))))</f>
        <v/>
      </c>
      <c r="O4792" s="2">
        <f>IF(OR(F4792="",G4792=""),"",IF(G4792&lt;='RETRATO 2027'!$K$5,"CONCLUÍDA",IF(F4792&lt;='RETRATO 2027'!$K$5,"EM ANDAMENTO","A INICIAR")))</f>
        <v/>
      </c>
    </row>
    <row r="4793">
      <c r="M4793" s="2">
        <f>IF(C4793="","",IFERROR(INDEX($S$5:$S$304,MATCH(C4793,$R$5:$R$304,0))&amp;"","?"))</f>
        <v/>
      </c>
      <c r="N4793" s="2">
        <f>IF(E4793="","",IF(ISNUMBER(SEARCH("SUBSOLO",E4793)),IFERROR(-VALUE(LEFT(E4793,FIND("º",SUBSTITUTE(E4793,"°","º"))-1)),-1),IF(LEFT(E4793,6)="TÉRREO",0,IFERROR(VALUE(LEFT(E4793,FIND("º",SUBSTITUTE(E4793,"°","º"))-1)),""))))</f>
        <v/>
      </c>
      <c r="O4793" s="2">
        <f>IF(OR(F4793="",G4793=""),"",IF(G4793&lt;='RETRATO 2027'!$K$5,"CONCLUÍDA",IF(F4793&lt;='RETRATO 2027'!$K$5,"EM ANDAMENTO","A INICIAR")))</f>
        <v/>
      </c>
    </row>
    <row r="4794">
      <c r="M4794" s="2">
        <f>IF(C4794="","",IFERROR(INDEX($S$5:$S$304,MATCH(C4794,$R$5:$R$304,0))&amp;"","?"))</f>
        <v/>
      </c>
      <c r="N4794" s="2">
        <f>IF(E4794="","",IF(ISNUMBER(SEARCH("SUBSOLO",E4794)),IFERROR(-VALUE(LEFT(E4794,FIND("º",SUBSTITUTE(E4794,"°","º"))-1)),-1),IF(LEFT(E4794,6)="TÉRREO",0,IFERROR(VALUE(LEFT(E4794,FIND("º",SUBSTITUTE(E4794,"°","º"))-1)),""))))</f>
        <v/>
      </c>
      <c r="O4794" s="2">
        <f>IF(OR(F4794="",G4794=""),"",IF(G4794&lt;='RETRATO 2027'!$K$5,"CONCLUÍDA",IF(F4794&lt;='RETRATO 2027'!$K$5,"EM ANDAMENTO","A INICIAR")))</f>
        <v/>
      </c>
    </row>
    <row r="4795">
      <c r="M4795" s="2">
        <f>IF(C4795="","",IFERROR(INDEX($S$5:$S$304,MATCH(C4795,$R$5:$R$304,0))&amp;"","?"))</f>
        <v/>
      </c>
      <c r="N4795" s="2">
        <f>IF(E4795="","",IF(ISNUMBER(SEARCH("SUBSOLO",E4795)),IFERROR(-VALUE(LEFT(E4795,FIND("º",SUBSTITUTE(E4795,"°","º"))-1)),-1),IF(LEFT(E4795,6)="TÉRREO",0,IFERROR(VALUE(LEFT(E4795,FIND("º",SUBSTITUTE(E4795,"°","º"))-1)),""))))</f>
        <v/>
      </c>
      <c r="O4795" s="2">
        <f>IF(OR(F4795="",G4795=""),"",IF(G4795&lt;='RETRATO 2027'!$K$5,"CONCLUÍDA",IF(F4795&lt;='RETRATO 2027'!$K$5,"EM ANDAMENTO","A INICIAR")))</f>
        <v/>
      </c>
    </row>
    <row r="4796">
      <c r="M4796" s="2">
        <f>IF(C4796="","",IFERROR(INDEX($S$5:$S$304,MATCH(C4796,$R$5:$R$304,0))&amp;"","?"))</f>
        <v/>
      </c>
      <c r="N4796" s="2">
        <f>IF(E4796="","",IF(ISNUMBER(SEARCH("SUBSOLO",E4796)),IFERROR(-VALUE(LEFT(E4796,FIND("º",SUBSTITUTE(E4796,"°","º"))-1)),-1),IF(LEFT(E4796,6)="TÉRREO",0,IFERROR(VALUE(LEFT(E4796,FIND("º",SUBSTITUTE(E4796,"°","º"))-1)),""))))</f>
        <v/>
      </c>
      <c r="O4796" s="2">
        <f>IF(OR(F4796="",G4796=""),"",IF(G4796&lt;='RETRATO 2027'!$K$5,"CONCLUÍDA",IF(F4796&lt;='RETRATO 2027'!$K$5,"EM ANDAMENTO","A INICIAR")))</f>
        <v/>
      </c>
    </row>
    <row r="4797">
      <c r="M4797" s="2">
        <f>IF(C4797="","",IFERROR(INDEX($S$5:$S$304,MATCH(C4797,$R$5:$R$304,0))&amp;"","?"))</f>
        <v/>
      </c>
      <c r="N4797" s="2">
        <f>IF(E4797="","",IF(ISNUMBER(SEARCH("SUBSOLO",E4797)),IFERROR(-VALUE(LEFT(E4797,FIND("º",SUBSTITUTE(E4797,"°","º"))-1)),-1),IF(LEFT(E4797,6)="TÉRREO",0,IFERROR(VALUE(LEFT(E4797,FIND("º",SUBSTITUTE(E4797,"°","º"))-1)),""))))</f>
        <v/>
      </c>
      <c r="O4797" s="2">
        <f>IF(OR(F4797="",G4797=""),"",IF(G4797&lt;='RETRATO 2027'!$K$5,"CONCLUÍDA",IF(F4797&lt;='RETRATO 2027'!$K$5,"EM ANDAMENTO","A INICIAR")))</f>
        <v/>
      </c>
    </row>
    <row r="4798">
      <c r="M4798" s="2">
        <f>IF(C4798="","",IFERROR(INDEX($S$5:$S$304,MATCH(C4798,$R$5:$R$304,0))&amp;"","?"))</f>
        <v/>
      </c>
      <c r="N4798" s="2">
        <f>IF(E4798="","",IF(ISNUMBER(SEARCH("SUBSOLO",E4798)),IFERROR(-VALUE(LEFT(E4798,FIND("º",SUBSTITUTE(E4798,"°","º"))-1)),-1),IF(LEFT(E4798,6)="TÉRREO",0,IFERROR(VALUE(LEFT(E4798,FIND("º",SUBSTITUTE(E4798,"°","º"))-1)),""))))</f>
        <v/>
      </c>
      <c r="O4798" s="2">
        <f>IF(OR(F4798="",G4798=""),"",IF(G4798&lt;='RETRATO 2027'!$K$5,"CONCLUÍDA",IF(F4798&lt;='RETRATO 2027'!$K$5,"EM ANDAMENTO","A INICIAR")))</f>
        <v/>
      </c>
    </row>
    <row r="4799">
      <c r="M4799" s="2">
        <f>IF(C4799="","",IFERROR(INDEX($S$5:$S$304,MATCH(C4799,$R$5:$R$304,0))&amp;"","?"))</f>
        <v/>
      </c>
      <c r="N4799" s="2">
        <f>IF(E4799="","",IF(ISNUMBER(SEARCH("SUBSOLO",E4799)),IFERROR(-VALUE(LEFT(E4799,FIND("º",SUBSTITUTE(E4799,"°","º"))-1)),-1),IF(LEFT(E4799,6)="TÉRREO",0,IFERROR(VALUE(LEFT(E4799,FIND("º",SUBSTITUTE(E4799,"°","º"))-1)),""))))</f>
        <v/>
      </c>
      <c r="O4799" s="2">
        <f>IF(OR(F4799="",G4799=""),"",IF(G4799&lt;='RETRATO 2027'!$K$5,"CONCLUÍDA",IF(F4799&lt;='RETRATO 2027'!$K$5,"EM ANDAMENTO","A INICIAR")))</f>
        <v/>
      </c>
    </row>
    <row r="4800">
      <c r="M4800" s="2">
        <f>IF(C4800="","",IFERROR(INDEX($S$5:$S$304,MATCH(C4800,$R$5:$R$304,0))&amp;"","?"))</f>
        <v/>
      </c>
      <c r="N4800" s="2">
        <f>IF(E4800="","",IF(ISNUMBER(SEARCH("SUBSOLO",E4800)),IFERROR(-VALUE(LEFT(E4800,FIND("º",SUBSTITUTE(E4800,"°","º"))-1)),-1),IF(LEFT(E4800,6)="TÉRREO",0,IFERROR(VALUE(LEFT(E4800,FIND("º",SUBSTITUTE(E4800,"°","º"))-1)),""))))</f>
        <v/>
      </c>
      <c r="O4800" s="2">
        <f>IF(OR(F4800="",G4800=""),"",IF(G4800&lt;='RETRATO 2027'!$K$5,"CONCLUÍDA",IF(F4800&lt;='RETRATO 2027'!$K$5,"EM ANDAMENTO","A INICIAR")))</f>
        <v/>
      </c>
    </row>
    <row r="4801">
      <c r="M4801" s="2">
        <f>IF(C4801="","",IFERROR(INDEX($S$5:$S$304,MATCH(C4801,$R$5:$R$304,0))&amp;"","?"))</f>
        <v/>
      </c>
      <c r="N4801" s="2">
        <f>IF(E4801="","",IF(ISNUMBER(SEARCH("SUBSOLO",E4801)),IFERROR(-VALUE(LEFT(E4801,FIND("º",SUBSTITUTE(E4801,"°","º"))-1)),-1),IF(LEFT(E4801,6)="TÉRREO",0,IFERROR(VALUE(LEFT(E4801,FIND("º",SUBSTITUTE(E4801,"°","º"))-1)),""))))</f>
        <v/>
      </c>
      <c r="O4801" s="2">
        <f>IF(OR(F4801="",G4801=""),"",IF(G4801&lt;='RETRATO 2027'!$K$5,"CONCLUÍDA",IF(F4801&lt;='RETRATO 2027'!$K$5,"EM ANDAMENTO","A INICIAR")))</f>
        <v/>
      </c>
    </row>
    <row r="4802">
      <c r="M4802" s="2">
        <f>IF(C4802="","",IFERROR(INDEX($S$5:$S$304,MATCH(C4802,$R$5:$R$304,0))&amp;"","?"))</f>
        <v/>
      </c>
      <c r="N4802" s="2">
        <f>IF(E4802="","",IF(ISNUMBER(SEARCH("SUBSOLO",E4802)),IFERROR(-VALUE(LEFT(E4802,FIND("º",SUBSTITUTE(E4802,"°","º"))-1)),-1),IF(LEFT(E4802,6)="TÉRREO",0,IFERROR(VALUE(LEFT(E4802,FIND("º",SUBSTITUTE(E4802,"°","º"))-1)),""))))</f>
        <v/>
      </c>
      <c r="O4802" s="2">
        <f>IF(OR(F4802="",G4802=""),"",IF(G4802&lt;='RETRATO 2027'!$K$5,"CONCLUÍDA",IF(F4802&lt;='RETRATO 2027'!$K$5,"EM ANDAMENTO","A INICIAR")))</f>
        <v/>
      </c>
    </row>
    <row r="4803">
      <c r="M4803" s="2">
        <f>IF(C4803="","",IFERROR(INDEX($S$5:$S$304,MATCH(C4803,$R$5:$R$304,0))&amp;"","?"))</f>
        <v/>
      </c>
      <c r="N4803" s="2">
        <f>IF(E4803="","",IF(ISNUMBER(SEARCH("SUBSOLO",E4803)),IFERROR(-VALUE(LEFT(E4803,FIND("º",SUBSTITUTE(E4803,"°","º"))-1)),-1),IF(LEFT(E4803,6)="TÉRREO",0,IFERROR(VALUE(LEFT(E4803,FIND("º",SUBSTITUTE(E4803,"°","º"))-1)),""))))</f>
        <v/>
      </c>
      <c r="O4803" s="2">
        <f>IF(OR(F4803="",G4803=""),"",IF(G4803&lt;='RETRATO 2027'!$K$5,"CONCLUÍDA",IF(F4803&lt;='RETRATO 2027'!$K$5,"EM ANDAMENTO","A INICIAR")))</f>
        <v/>
      </c>
    </row>
    <row r="4804">
      <c r="M4804" s="2">
        <f>IF(C4804="","",IFERROR(INDEX($S$5:$S$304,MATCH(C4804,$R$5:$R$304,0))&amp;"","?"))</f>
        <v/>
      </c>
      <c r="N4804" s="2">
        <f>IF(E4804="","",IF(ISNUMBER(SEARCH("SUBSOLO",E4804)),IFERROR(-VALUE(LEFT(E4804,FIND("º",SUBSTITUTE(E4804,"°","º"))-1)),-1),IF(LEFT(E4804,6)="TÉRREO",0,IFERROR(VALUE(LEFT(E4804,FIND("º",SUBSTITUTE(E4804,"°","º"))-1)),""))))</f>
        <v/>
      </c>
      <c r="O4804" s="2">
        <f>IF(OR(F4804="",G4804=""),"",IF(G4804&lt;='RETRATO 2027'!$K$5,"CONCLUÍDA",IF(F4804&lt;='RETRATO 2027'!$K$5,"EM ANDAMENTO","A INICIAR")))</f>
        <v/>
      </c>
    </row>
    <row r="4805">
      <c r="M4805" s="2">
        <f>IF(C4805="","",IFERROR(INDEX($S$5:$S$304,MATCH(C4805,$R$5:$R$304,0))&amp;"","?"))</f>
        <v/>
      </c>
      <c r="N4805" s="2">
        <f>IF(E4805="","",IF(ISNUMBER(SEARCH("SUBSOLO",E4805)),IFERROR(-VALUE(LEFT(E4805,FIND("º",SUBSTITUTE(E4805,"°","º"))-1)),-1),IF(LEFT(E4805,6)="TÉRREO",0,IFERROR(VALUE(LEFT(E4805,FIND("º",SUBSTITUTE(E4805,"°","º"))-1)),""))))</f>
        <v/>
      </c>
      <c r="O4805" s="2">
        <f>IF(OR(F4805="",G4805=""),"",IF(G4805&lt;='RETRATO 2027'!$K$5,"CONCLUÍDA",IF(F4805&lt;='RETRATO 2027'!$K$5,"EM ANDAMENTO","A INICIAR")))</f>
        <v/>
      </c>
    </row>
    <row r="4806">
      <c r="M4806" s="2">
        <f>IF(C4806="","",IFERROR(INDEX($S$5:$S$304,MATCH(C4806,$R$5:$R$304,0))&amp;"","?"))</f>
        <v/>
      </c>
      <c r="N4806" s="2">
        <f>IF(E4806="","",IF(ISNUMBER(SEARCH("SUBSOLO",E4806)),IFERROR(-VALUE(LEFT(E4806,FIND("º",SUBSTITUTE(E4806,"°","º"))-1)),-1),IF(LEFT(E4806,6)="TÉRREO",0,IFERROR(VALUE(LEFT(E4806,FIND("º",SUBSTITUTE(E4806,"°","º"))-1)),""))))</f>
        <v/>
      </c>
      <c r="O4806" s="2">
        <f>IF(OR(F4806="",G4806=""),"",IF(G4806&lt;='RETRATO 2027'!$K$5,"CONCLUÍDA",IF(F4806&lt;='RETRATO 2027'!$K$5,"EM ANDAMENTO","A INICIAR")))</f>
        <v/>
      </c>
    </row>
    <row r="4807">
      <c r="M4807" s="2">
        <f>IF(C4807="","",IFERROR(INDEX($S$5:$S$304,MATCH(C4807,$R$5:$R$304,0))&amp;"","?"))</f>
        <v/>
      </c>
      <c r="N4807" s="2">
        <f>IF(E4807="","",IF(ISNUMBER(SEARCH("SUBSOLO",E4807)),IFERROR(-VALUE(LEFT(E4807,FIND("º",SUBSTITUTE(E4807,"°","º"))-1)),-1),IF(LEFT(E4807,6)="TÉRREO",0,IFERROR(VALUE(LEFT(E4807,FIND("º",SUBSTITUTE(E4807,"°","º"))-1)),""))))</f>
        <v/>
      </c>
      <c r="O4807" s="2">
        <f>IF(OR(F4807="",G4807=""),"",IF(G4807&lt;='RETRATO 2027'!$K$5,"CONCLUÍDA",IF(F4807&lt;='RETRATO 2027'!$K$5,"EM ANDAMENTO","A INICIAR")))</f>
        <v/>
      </c>
    </row>
    <row r="4808">
      <c r="M4808" s="2">
        <f>IF(C4808="","",IFERROR(INDEX($S$5:$S$304,MATCH(C4808,$R$5:$R$304,0))&amp;"","?"))</f>
        <v/>
      </c>
      <c r="N4808" s="2">
        <f>IF(E4808="","",IF(ISNUMBER(SEARCH("SUBSOLO",E4808)),IFERROR(-VALUE(LEFT(E4808,FIND("º",SUBSTITUTE(E4808,"°","º"))-1)),-1),IF(LEFT(E4808,6)="TÉRREO",0,IFERROR(VALUE(LEFT(E4808,FIND("º",SUBSTITUTE(E4808,"°","º"))-1)),""))))</f>
        <v/>
      </c>
      <c r="O4808" s="2">
        <f>IF(OR(F4808="",G4808=""),"",IF(G4808&lt;='RETRATO 2027'!$K$5,"CONCLUÍDA",IF(F4808&lt;='RETRATO 2027'!$K$5,"EM ANDAMENTO","A INICIAR")))</f>
        <v/>
      </c>
    </row>
    <row r="4809">
      <c r="M4809" s="2">
        <f>IF(C4809="","",IFERROR(INDEX($S$5:$S$304,MATCH(C4809,$R$5:$R$304,0))&amp;"","?"))</f>
        <v/>
      </c>
      <c r="N4809" s="2">
        <f>IF(E4809="","",IF(ISNUMBER(SEARCH("SUBSOLO",E4809)),IFERROR(-VALUE(LEFT(E4809,FIND("º",SUBSTITUTE(E4809,"°","º"))-1)),-1),IF(LEFT(E4809,6)="TÉRREO",0,IFERROR(VALUE(LEFT(E4809,FIND("º",SUBSTITUTE(E4809,"°","º"))-1)),""))))</f>
        <v/>
      </c>
      <c r="O4809" s="2">
        <f>IF(OR(F4809="",G4809=""),"",IF(G4809&lt;='RETRATO 2027'!$K$5,"CONCLUÍDA",IF(F4809&lt;='RETRATO 2027'!$K$5,"EM ANDAMENTO","A INICIAR")))</f>
        <v/>
      </c>
    </row>
    <row r="4810">
      <c r="M4810" s="2">
        <f>IF(C4810="","",IFERROR(INDEX($S$5:$S$304,MATCH(C4810,$R$5:$R$304,0))&amp;"","?"))</f>
        <v/>
      </c>
      <c r="N4810" s="2">
        <f>IF(E4810="","",IF(ISNUMBER(SEARCH("SUBSOLO",E4810)),IFERROR(-VALUE(LEFT(E4810,FIND("º",SUBSTITUTE(E4810,"°","º"))-1)),-1),IF(LEFT(E4810,6)="TÉRREO",0,IFERROR(VALUE(LEFT(E4810,FIND("º",SUBSTITUTE(E4810,"°","º"))-1)),""))))</f>
        <v/>
      </c>
      <c r="O4810" s="2">
        <f>IF(OR(F4810="",G4810=""),"",IF(G4810&lt;='RETRATO 2027'!$K$5,"CONCLUÍDA",IF(F4810&lt;='RETRATO 2027'!$K$5,"EM ANDAMENTO","A INICIAR")))</f>
        <v/>
      </c>
    </row>
    <row r="4811">
      <c r="M4811" s="2">
        <f>IF(C4811="","",IFERROR(INDEX($S$5:$S$304,MATCH(C4811,$R$5:$R$304,0))&amp;"","?"))</f>
        <v/>
      </c>
      <c r="N4811" s="2">
        <f>IF(E4811="","",IF(ISNUMBER(SEARCH("SUBSOLO",E4811)),IFERROR(-VALUE(LEFT(E4811,FIND("º",SUBSTITUTE(E4811,"°","º"))-1)),-1),IF(LEFT(E4811,6)="TÉRREO",0,IFERROR(VALUE(LEFT(E4811,FIND("º",SUBSTITUTE(E4811,"°","º"))-1)),""))))</f>
        <v/>
      </c>
      <c r="O4811" s="2">
        <f>IF(OR(F4811="",G4811=""),"",IF(G4811&lt;='RETRATO 2027'!$K$5,"CONCLUÍDA",IF(F4811&lt;='RETRATO 2027'!$K$5,"EM ANDAMENTO","A INICIAR")))</f>
        <v/>
      </c>
    </row>
    <row r="4812">
      <c r="M4812" s="2">
        <f>IF(C4812="","",IFERROR(INDEX($S$5:$S$304,MATCH(C4812,$R$5:$R$304,0))&amp;"","?"))</f>
        <v/>
      </c>
      <c r="N4812" s="2">
        <f>IF(E4812="","",IF(ISNUMBER(SEARCH("SUBSOLO",E4812)),IFERROR(-VALUE(LEFT(E4812,FIND("º",SUBSTITUTE(E4812,"°","º"))-1)),-1),IF(LEFT(E4812,6)="TÉRREO",0,IFERROR(VALUE(LEFT(E4812,FIND("º",SUBSTITUTE(E4812,"°","º"))-1)),""))))</f>
        <v/>
      </c>
      <c r="O4812" s="2">
        <f>IF(OR(F4812="",G4812=""),"",IF(G4812&lt;='RETRATO 2027'!$K$5,"CONCLUÍDA",IF(F4812&lt;='RETRATO 2027'!$K$5,"EM ANDAMENTO","A INICIAR")))</f>
        <v/>
      </c>
    </row>
    <row r="4813">
      <c r="M4813" s="2">
        <f>IF(C4813="","",IFERROR(INDEX($S$5:$S$304,MATCH(C4813,$R$5:$R$304,0))&amp;"","?"))</f>
        <v/>
      </c>
      <c r="N4813" s="2">
        <f>IF(E4813="","",IF(ISNUMBER(SEARCH("SUBSOLO",E4813)),IFERROR(-VALUE(LEFT(E4813,FIND("º",SUBSTITUTE(E4813,"°","º"))-1)),-1),IF(LEFT(E4813,6)="TÉRREO",0,IFERROR(VALUE(LEFT(E4813,FIND("º",SUBSTITUTE(E4813,"°","º"))-1)),""))))</f>
        <v/>
      </c>
      <c r="O4813" s="2">
        <f>IF(OR(F4813="",G4813=""),"",IF(G4813&lt;='RETRATO 2027'!$K$5,"CONCLUÍDA",IF(F4813&lt;='RETRATO 2027'!$K$5,"EM ANDAMENTO","A INICIAR")))</f>
        <v/>
      </c>
    </row>
    <row r="4814">
      <c r="M4814" s="2">
        <f>IF(C4814="","",IFERROR(INDEX($S$5:$S$304,MATCH(C4814,$R$5:$R$304,0))&amp;"","?"))</f>
        <v/>
      </c>
      <c r="N4814" s="2">
        <f>IF(E4814="","",IF(ISNUMBER(SEARCH("SUBSOLO",E4814)),IFERROR(-VALUE(LEFT(E4814,FIND("º",SUBSTITUTE(E4814,"°","º"))-1)),-1),IF(LEFT(E4814,6)="TÉRREO",0,IFERROR(VALUE(LEFT(E4814,FIND("º",SUBSTITUTE(E4814,"°","º"))-1)),""))))</f>
        <v/>
      </c>
      <c r="O4814" s="2">
        <f>IF(OR(F4814="",G4814=""),"",IF(G4814&lt;='RETRATO 2027'!$K$5,"CONCLUÍDA",IF(F4814&lt;='RETRATO 2027'!$K$5,"EM ANDAMENTO","A INICIAR")))</f>
        <v/>
      </c>
    </row>
    <row r="4815">
      <c r="M4815" s="2">
        <f>IF(C4815="","",IFERROR(INDEX($S$5:$S$304,MATCH(C4815,$R$5:$R$304,0))&amp;"","?"))</f>
        <v/>
      </c>
      <c r="N4815" s="2">
        <f>IF(E4815="","",IF(ISNUMBER(SEARCH("SUBSOLO",E4815)),IFERROR(-VALUE(LEFT(E4815,FIND("º",SUBSTITUTE(E4815,"°","º"))-1)),-1),IF(LEFT(E4815,6)="TÉRREO",0,IFERROR(VALUE(LEFT(E4815,FIND("º",SUBSTITUTE(E4815,"°","º"))-1)),""))))</f>
        <v/>
      </c>
      <c r="O4815" s="2">
        <f>IF(OR(F4815="",G4815=""),"",IF(G4815&lt;='RETRATO 2027'!$K$5,"CONCLUÍDA",IF(F4815&lt;='RETRATO 2027'!$K$5,"EM ANDAMENTO","A INICIAR")))</f>
        <v/>
      </c>
    </row>
    <row r="4816">
      <c r="M4816" s="2">
        <f>IF(C4816="","",IFERROR(INDEX($S$5:$S$304,MATCH(C4816,$R$5:$R$304,0))&amp;"","?"))</f>
        <v/>
      </c>
      <c r="N4816" s="2">
        <f>IF(E4816="","",IF(ISNUMBER(SEARCH("SUBSOLO",E4816)),IFERROR(-VALUE(LEFT(E4816,FIND("º",SUBSTITUTE(E4816,"°","º"))-1)),-1),IF(LEFT(E4816,6)="TÉRREO",0,IFERROR(VALUE(LEFT(E4816,FIND("º",SUBSTITUTE(E4816,"°","º"))-1)),""))))</f>
        <v/>
      </c>
      <c r="O4816" s="2">
        <f>IF(OR(F4816="",G4816=""),"",IF(G4816&lt;='RETRATO 2027'!$K$5,"CONCLUÍDA",IF(F4816&lt;='RETRATO 2027'!$K$5,"EM ANDAMENTO","A INICIAR")))</f>
        <v/>
      </c>
    </row>
    <row r="4817">
      <c r="M4817" s="2">
        <f>IF(C4817="","",IFERROR(INDEX($S$5:$S$304,MATCH(C4817,$R$5:$R$304,0))&amp;"","?"))</f>
        <v/>
      </c>
      <c r="N4817" s="2">
        <f>IF(E4817="","",IF(ISNUMBER(SEARCH("SUBSOLO",E4817)),IFERROR(-VALUE(LEFT(E4817,FIND("º",SUBSTITUTE(E4817,"°","º"))-1)),-1),IF(LEFT(E4817,6)="TÉRREO",0,IFERROR(VALUE(LEFT(E4817,FIND("º",SUBSTITUTE(E4817,"°","º"))-1)),""))))</f>
        <v/>
      </c>
      <c r="O4817" s="2">
        <f>IF(OR(F4817="",G4817=""),"",IF(G4817&lt;='RETRATO 2027'!$K$5,"CONCLUÍDA",IF(F4817&lt;='RETRATO 2027'!$K$5,"EM ANDAMENTO","A INICIAR")))</f>
        <v/>
      </c>
    </row>
    <row r="4818">
      <c r="M4818" s="2">
        <f>IF(C4818="","",IFERROR(INDEX($S$5:$S$304,MATCH(C4818,$R$5:$R$304,0))&amp;"","?"))</f>
        <v/>
      </c>
      <c r="N4818" s="2">
        <f>IF(E4818="","",IF(ISNUMBER(SEARCH("SUBSOLO",E4818)),IFERROR(-VALUE(LEFT(E4818,FIND("º",SUBSTITUTE(E4818,"°","º"))-1)),-1),IF(LEFT(E4818,6)="TÉRREO",0,IFERROR(VALUE(LEFT(E4818,FIND("º",SUBSTITUTE(E4818,"°","º"))-1)),""))))</f>
        <v/>
      </c>
      <c r="O4818" s="2">
        <f>IF(OR(F4818="",G4818=""),"",IF(G4818&lt;='RETRATO 2027'!$K$5,"CONCLUÍDA",IF(F4818&lt;='RETRATO 2027'!$K$5,"EM ANDAMENTO","A INICIAR")))</f>
        <v/>
      </c>
    </row>
    <row r="4819">
      <c r="M4819" s="2">
        <f>IF(C4819="","",IFERROR(INDEX($S$5:$S$304,MATCH(C4819,$R$5:$R$304,0))&amp;"","?"))</f>
        <v/>
      </c>
      <c r="N4819" s="2">
        <f>IF(E4819="","",IF(ISNUMBER(SEARCH("SUBSOLO",E4819)),IFERROR(-VALUE(LEFT(E4819,FIND("º",SUBSTITUTE(E4819,"°","º"))-1)),-1),IF(LEFT(E4819,6)="TÉRREO",0,IFERROR(VALUE(LEFT(E4819,FIND("º",SUBSTITUTE(E4819,"°","º"))-1)),""))))</f>
        <v/>
      </c>
      <c r="O4819" s="2">
        <f>IF(OR(F4819="",G4819=""),"",IF(G4819&lt;='RETRATO 2027'!$K$5,"CONCLUÍDA",IF(F4819&lt;='RETRATO 2027'!$K$5,"EM ANDAMENTO","A INICIAR")))</f>
        <v/>
      </c>
    </row>
    <row r="4820">
      <c r="M4820" s="2">
        <f>IF(C4820="","",IFERROR(INDEX($S$5:$S$304,MATCH(C4820,$R$5:$R$304,0))&amp;"","?"))</f>
        <v/>
      </c>
      <c r="N4820" s="2">
        <f>IF(E4820="","",IF(ISNUMBER(SEARCH("SUBSOLO",E4820)),IFERROR(-VALUE(LEFT(E4820,FIND("º",SUBSTITUTE(E4820,"°","º"))-1)),-1),IF(LEFT(E4820,6)="TÉRREO",0,IFERROR(VALUE(LEFT(E4820,FIND("º",SUBSTITUTE(E4820,"°","º"))-1)),""))))</f>
        <v/>
      </c>
      <c r="O4820" s="2">
        <f>IF(OR(F4820="",G4820=""),"",IF(G4820&lt;='RETRATO 2027'!$K$5,"CONCLUÍDA",IF(F4820&lt;='RETRATO 2027'!$K$5,"EM ANDAMENTO","A INICIAR")))</f>
        <v/>
      </c>
    </row>
    <row r="4821">
      <c r="M4821" s="2">
        <f>IF(C4821="","",IFERROR(INDEX($S$5:$S$304,MATCH(C4821,$R$5:$R$304,0))&amp;"","?"))</f>
        <v/>
      </c>
      <c r="N4821" s="2">
        <f>IF(E4821="","",IF(ISNUMBER(SEARCH("SUBSOLO",E4821)),IFERROR(-VALUE(LEFT(E4821,FIND("º",SUBSTITUTE(E4821,"°","º"))-1)),-1),IF(LEFT(E4821,6)="TÉRREO",0,IFERROR(VALUE(LEFT(E4821,FIND("º",SUBSTITUTE(E4821,"°","º"))-1)),""))))</f>
        <v/>
      </c>
      <c r="O4821" s="2">
        <f>IF(OR(F4821="",G4821=""),"",IF(G4821&lt;='RETRATO 2027'!$K$5,"CONCLUÍDA",IF(F4821&lt;='RETRATO 2027'!$K$5,"EM ANDAMENTO","A INICIAR")))</f>
        <v/>
      </c>
    </row>
    <row r="4822">
      <c r="M4822" s="2">
        <f>IF(C4822="","",IFERROR(INDEX($S$5:$S$304,MATCH(C4822,$R$5:$R$304,0))&amp;"","?"))</f>
        <v/>
      </c>
      <c r="N4822" s="2">
        <f>IF(E4822="","",IF(ISNUMBER(SEARCH("SUBSOLO",E4822)),IFERROR(-VALUE(LEFT(E4822,FIND("º",SUBSTITUTE(E4822,"°","º"))-1)),-1),IF(LEFT(E4822,6)="TÉRREO",0,IFERROR(VALUE(LEFT(E4822,FIND("º",SUBSTITUTE(E4822,"°","º"))-1)),""))))</f>
        <v/>
      </c>
      <c r="O4822" s="2">
        <f>IF(OR(F4822="",G4822=""),"",IF(G4822&lt;='RETRATO 2027'!$K$5,"CONCLUÍDA",IF(F4822&lt;='RETRATO 2027'!$K$5,"EM ANDAMENTO","A INICIAR")))</f>
        <v/>
      </c>
    </row>
    <row r="4823">
      <c r="M4823" s="2">
        <f>IF(C4823="","",IFERROR(INDEX($S$5:$S$304,MATCH(C4823,$R$5:$R$304,0))&amp;"","?"))</f>
        <v/>
      </c>
      <c r="N4823" s="2">
        <f>IF(E4823="","",IF(ISNUMBER(SEARCH("SUBSOLO",E4823)),IFERROR(-VALUE(LEFT(E4823,FIND("º",SUBSTITUTE(E4823,"°","º"))-1)),-1),IF(LEFT(E4823,6)="TÉRREO",0,IFERROR(VALUE(LEFT(E4823,FIND("º",SUBSTITUTE(E4823,"°","º"))-1)),""))))</f>
        <v/>
      </c>
      <c r="O4823" s="2">
        <f>IF(OR(F4823="",G4823=""),"",IF(G4823&lt;='RETRATO 2027'!$K$5,"CONCLUÍDA",IF(F4823&lt;='RETRATO 2027'!$K$5,"EM ANDAMENTO","A INICIAR")))</f>
        <v/>
      </c>
    </row>
    <row r="4824">
      <c r="M4824" s="2">
        <f>IF(C4824="","",IFERROR(INDEX($S$5:$S$304,MATCH(C4824,$R$5:$R$304,0))&amp;"","?"))</f>
        <v/>
      </c>
      <c r="N4824" s="2">
        <f>IF(E4824="","",IF(ISNUMBER(SEARCH("SUBSOLO",E4824)),IFERROR(-VALUE(LEFT(E4824,FIND("º",SUBSTITUTE(E4824,"°","º"))-1)),-1),IF(LEFT(E4824,6)="TÉRREO",0,IFERROR(VALUE(LEFT(E4824,FIND("º",SUBSTITUTE(E4824,"°","º"))-1)),""))))</f>
        <v/>
      </c>
      <c r="O4824" s="2">
        <f>IF(OR(F4824="",G4824=""),"",IF(G4824&lt;='RETRATO 2027'!$K$5,"CONCLUÍDA",IF(F4824&lt;='RETRATO 2027'!$K$5,"EM ANDAMENTO","A INICIAR")))</f>
        <v/>
      </c>
    </row>
    <row r="4825">
      <c r="M4825" s="2">
        <f>IF(C4825="","",IFERROR(INDEX($S$5:$S$304,MATCH(C4825,$R$5:$R$304,0))&amp;"","?"))</f>
        <v/>
      </c>
      <c r="N4825" s="2">
        <f>IF(E4825="","",IF(ISNUMBER(SEARCH("SUBSOLO",E4825)),IFERROR(-VALUE(LEFT(E4825,FIND("º",SUBSTITUTE(E4825,"°","º"))-1)),-1),IF(LEFT(E4825,6)="TÉRREO",0,IFERROR(VALUE(LEFT(E4825,FIND("º",SUBSTITUTE(E4825,"°","º"))-1)),""))))</f>
        <v/>
      </c>
      <c r="O4825" s="2">
        <f>IF(OR(F4825="",G4825=""),"",IF(G4825&lt;='RETRATO 2027'!$K$5,"CONCLUÍDA",IF(F4825&lt;='RETRATO 2027'!$K$5,"EM ANDAMENTO","A INICIAR")))</f>
        <v/>
      </c>
    </row>
    <row r="4826">
      <c r="M4826" s="2">
        <f>IF(C4826="","",IFERROR(INDEX($S$5:$S$304,MATCH(C4826,$R$5:$R$304,0))&amp;"","?"))</f>
        <v/>
      </c>
      <c r="N4826" s="2">
        <f>IF(E4826="","",IF(ISNUMBER(SEARCH("SUBSOLO",E4826)),IFERROR(-VALUE(LEFT(E4826,FIND("º",SUBSTITUTE(E4826,"°","º"))-1)),-1),IF(LEFT(E4826,6)="TÉRREO",0,IFERROR(VALUE(LEFT(E4826,FIND("º",SUBSTITUTE(E4826,"°","º"))-1)),""))))</f>
        <v/>
      </c>
      <c r="O4826" s="2">
        <f>IF(OR(F4826="",G4826=""),"",IF(G4826&lt;='RETRATO 2027'!$K$5,"CONCLUÍDA",IF(F4826&lt;='RETRATO 2027'!$K$5,"EM ANDAMENTO","A INICIAR")))</f>
        <v/>
      </c>
    </row>
    <row r="4827">
      <c r="M4827" s="2">
        <f>IF(C4827="","",IFERROR(INDEX($S$5:$S$304,MATCH(C4827,$R$5:$R$304,0))&amp;"","?"))</f>
        <v/>
      </c>
      <c r="N4827" s="2">
        <f>IF(E4827="","",IF(ISNUMBER(SEARCH("SUBSOLO",E4827)),IFERROR(-VALUE(LEFT(E4827,FIND("º",SUBSTITUTE(E4827,"°","º"))-1)),-1),IF(LEFT(E4827,6)="TÉRREO",0,IFERROR(VALUE(LEFT(E4827,FIND("º",SUBSTITUTE(E4827,"°","º"))-1)),""))))</f>
        <v/>
      </c>
      <c r="O4827" s="2">
        <f>IF(OR(F4827="",G4827=""),"",IF(G4827&lt;='RETRATO 2027'!$K$5,"CONCLUÍDA",IF(F4827&lt;='RETRATO 2027'!$K$5,"EM ANDAMENTO","A INICIAR")))</f>
        <v/>
      </c>
    </row>
    <row r="4828">
      <c r="M4828" s="2">
        <f>IF(C4828="","",IFERROR(INDEX($S$5:$S$304,MATCH(C4828,$R$5:$R$304,0))&amp;"","?"))</f>
        <v/>
      </c>
      <c r="N4828" s="2">
        <f>IF(E4828="","",IF(ISNUMBER(SEARCH("SUBSOLO",E4828)),IFERROR(-VALUE(LEFT(E4828,FIND("º",SUBSTITUTE(E4828,"°","º"))-1)),-1),IF(LEFT(E4828,6)="TÉRREO",0,IFERROR(VALUE(LEFT(E4828,FIND("º",SUBSTITUTE(E4828,"°","º"))-1)),""))))</f>
        <v/>
      </c>
      <c r="O4828" s="2">
        <f>IF(OR(F4828="",G4828=""),"",IF(G4828&lt;='RETRATO 2027'!$K$5,"CONCLUÍDA",IF(F4828&lt;='RETRATO 2027'!$K$5,"EM ANDAMENTO","A INICIAR")))</f>
        <v/>
      </c>
    </row>
    <row r="4829">
      <c r="M4829" s="2">
        <f>IF(C4829="","",IFERROR(INDEX($S$5:$S$304,MATCH(C4829,$R$5:$R$304,0))&amp;"","?"))</f>
        <v/>
      </c>
      <c r="N4829" s="2">
        <f>IF(E4829="","",IF(ISNUMBER(SEARCH("SUBSOLO",E4829)),IFERROR(-VALUE(LEFT(E4829,FIND("º",SUBSTITUTE(E4829,"°","º"))-1)),-1),IF(LEFT(E4829,6)="TÉRREO",0,IFERROR(VALUE(LEFT(E4829,FIND("º",SUBSTITUTE(E4829,"°","º"))-1)),""))))</f>
        <v/>
      </c>
      <c r="O4829" s="2">
        <f>IF(OR(F4829="",G4829=""),"",IF(G4829&lt;='RETRATO 2027'!$K$5,"CONCLUÍDA",IF(F4829&lt;='RETRATO 2027'!$K$5,"EM ANDAMENTO","A INICIAR")))</f>
        <v/>
      </c>
    </row>
    <row r="4830">
      <c r="M4830" s="2">
        <f>IF(C4830="","",IFERROR(INDEX($S$5:$S$304,MATCH(C4830,$R$5:$R$304,0))&amp;"","?"))</f>
        <v/>
      </c>
      <c r="N4830" s="2">
        <f>IF(E4830="","",IF(ISNUMBER(SEARCH("SUBSOLO",E4830)),IFERROR(-VALUE(LEFT(E4830,FIND("º",SUBSTITUTE(E4830,"°","º"))-1)),-1),IF(LEFT(E4830,6)="TÉRREO",0,IFERROR(VALUE(LEFT(E4830,FIND("º",SUBSTITUTE(E4830,"°","º"))-1)),""))))</f>
        <v/>
      </c>
      <c r="O4830" s="2">
        <f>IF(OR(F4830="",G4830=""),"",IF(G4830&lt;='RETRATO 2027'!$K$5,"CONCLUÍDA",IF(F4830&lt;='RETRATO 2027'!$K$5,"EM ANDAMENTO","A INICIAR")))</f>
        <v/>
      </c>
    </row>
    <row r="4831">
      <c r="M4831" s="2">
        <f>IF(C4831="","",IFERROR(INDEX($S$5:$S$304,MATCH(C4831,$R$5:$R$304,0))&amp;"","?"))</f>
        <v/>
      </c>
      <c r="N4831" s="2">
        <f>IF(E4831="","",IF(ISNUMBER(SEARCH("SUBSOLO",E4831)),IFERROR(-VALUE(LEFT(E4831,FIND("º",SUBSTITUTE(E4831,"°","º"))-1)),-1),IF(LEFT(E4831,6)="TÉRREO",0,IFERROR(VALUE(LEFT(E4831,FIND("º",SUBSTITUTE(E4831,"°","º"))-1)),""))))</f>
        <v/>
      </c>
      <c r="O4831" s="2">
        <f>IF(OR(F4831="",G4831=""),"",IF(G4831&lt;='RETRATO 2027'!$K$5,"CONCLUÍDA",IF(F4831&lt;='RETRATO 2027'!$K$5,"EM ANDAMENTO","A INICIAR")))</f>
        <v/>
      </c>
    </row>
    <row r="4832">
      <c r="M4832" s="2">
        <f>IF(C4832="","",IFERROR(INDEX($S$5:$S$304,MATCH(C4832,$R$5:$R$304,0))&amp;"","?"))</f>
        <v/>
      </c>
      <c r="N4832" s="2">
        <f>IF(E4832="","",IF(ISNUMBER(SEARCH("SUBSOLO",E4832)),IFERROR(-VALUE(LEFT(E4832,FIND("º",SUBSTITUTE(E4832,"°","º"))-1)),-1),IF(LEFT(E4832,6)="TÉRREO",0,IFERROR(VALUE(LEFT(E4832,FIND("º",SUBSTITUTE(E4832,"°","º"))-1)),""))))</f>
        <v/>
      </c>
      <c r="O4832" s="2">
        <f>IF(OR(F4832="",G4832=""),"",IF(G4832&lt;='RETRATO 2027'!$K$5,"CONCLUÍDA",IF(F4832&lt;='RETRATO 2027'!$K$5,"EM ANDAMENTO","A INICIAR")))</f>
        <v/>
      </c>
    </row>
    <row r="4833">
      <c r="M4833" s="2">
        <f>IF(C4833="","",IFERROR(INDEX($S$5:$S$304,MATCH(C4833,$R$5:$R$304,0))&amp;"","?"))</f>
        <v/>
      </c>
      <c r="N4833" s="2">
        <f>IF(E4833="","",IF(ISNUMBER(SEARCH("SUBSOLO",E4833)),IFERROR(-VALUE(LEFT(E4833,FIND("º",SUBSTITUTE(E4833,"°","º"))-1)),-1),IF(LEFT(E4833,6)="TÉRREO",0,IFERROR(VALUE(LEFT(E4833,FIND("º",SUBSTITUTE(E4833,"°","º"))-1)),""))))</f>
        <v/>
      </c>
      <c r="O4833" s="2">
        <f>IF(OR(F4833="",G4833=""),"",IF(G4833&lt;='RETRATO 2027'!$K$5,"CONCLUÍDA",IF(F4833&lt;='RETRATO 2027'!$K$5,"EM ANDAMENTO","A INICIAR")))</f>
        <v/>
      </c>
    </row>
    <row r="4834">
      <c r="M4834" s="2">
        <f>IF(C4834="","",IFERROR(INDEX($S$5:$S$304,MATCH(C4834,$R$5:$R$304,0))&amp;"","?"))</f>
        <v/>
      </c>
      <c r="N4834" s="2">
        <f>IF(E4834="","",IF(ISNUMBER(SEARCH("SUBSOLO",E4834)),IFERROR(-VALUE(LEFT(E4834,FIND("º",SUBSTITUTE(E4834,"°","º"))-1)),-1),IF(LEFT(E4834,6)="TÉRREO",0,IFERROR(VALUE(LEFT(E4834,FIND("º",SUBSTITUTE(E4834,"°","º"))-1)),""))))</f>
        <v/>
      </c>
      <c r="O4834" s="2">
        <f>IF(OR(F4834="",G4834=""),"",IF(G4834&lt;='RETRATO 2027'!$K$5,"CONCLUÍDA",IF(F4834&lt;='RETRATO 2027'!$K$5,"EM ANDAMENTO","A INICIAR")))</f>
        <v/>
      </c>
    </row>
    <row r="4835">
      <c r="M4835" s="2">
        <f>IF(C4835="","",IFERROR(INDEX($S$5:$S$304,MATCH(C4835,$R$5:$R$304,0))&amp;"","?"))</f>
        <v/>
      </c>
      <c r="N4835" s="2">
        <f>IF(E4835="","",IF(ISNUMBER(SEARCH("SUBSOLO",E4835)),IFERROR(-VALUE(LEFT(E4835,FIND("º",SUBSTITUTE(E4835,"°","º"))-1)),-1),IF(LEFT(E4835,6)="TÉRREO",0,IFERROR(VALUE(LEFT(E4835,FIND("º",SUBSTITUTE(E4835,"°","º"))-1)),""))))</f>
        <v/>
      </c>
      <c r="O4835" s="2">
        <f>IF(OR(F4835="",G4835=""),"",IF(G4835&lt;='RETRATO 2027'!$K$5,"CONCLUÍDA",IF(F4835&lt;='RETRATO 2027'!$K$5,"EM ANDAMENTO","A INICIAR")))</f>
        <v/>
      </c>
    </row>
    <row r="4836">
      <c r="M4836" s="2">
        <f>IF(C4836="","",IFERROR(INDEX($S$5:$S$304,MATCH(C4836,$R$5:$R$304,0))&amp;"","?"))</f>
        <v/>
      </c>
      <c r="N4836" s="2">
        <f>IF(E4836="","",IF(ISNUMBER(SEARCH("SUBSOLO",E4836)),IFERROR(-VALUE(LEFT(E4836,FIND("º",SUBSTITUTE(E4836,"°","º"))-1)),-1),IF(LEFT(E4836,6)="TÉRREO",0,IFERROR(VALUE(LEFT(E4836,FIND("º",SUBSTITUTE(E4836,"°","º"))-1)),""))))</f>
        <v/>
      </c>
      <c r="O4836" s="2">
        <f>IF(OR(F4836="",G4836=""),"",IF(G4836&lt;='RETRATO 2027'!$K$5,"CONCLUÍDA",IF(F4836&lt;='RETRATO 2027'!$K$5,"EM ANDAMENTO","A INICIAR")))</f>
        <v/>
      </c>
    </row>
    <row r="4837">
      <c r="M4837" s="2">
        <f>IF(C4837="","",IFERROR(INDEX($S$5:$S$304,MATCH(C4837,$R$5:$R$304,0))&amp;"","?"))</f>
        <v/>
      </c>
      <c r="N4837" s="2">
        <f>IF(E4837="","",IF(ISNUMBER(SEARCH("SUBSOLO",E4837)),IFERROR(-VALUE(LEFT(E4837,FIND("º",SUBSTITUTE(E4837,"°","º"))-1)),-1),IF(LEFT(E4837,6)="TÉRREO",0,IFERROR(VALUE(LEFT(E4837,FIND("º",SUBSTITUTE(E4837,"°","º"))-1)),""))))</f>
        <v/>
      </c>
      <c r="O4837" s="2">
        <f>IF(OR(F4837="",G4837=""),"",IF(G4837&lt;='RETRATO 2027'!$K$5,"CONCLUÍDA",IF(F4837&lt;='RETRATO 2027'!$K$5,"EM ANDAMENTO","A INICIAR")))</f>
        <v/>
      </c>
    </row>
    <row r="4838">
      <c r="M4838" s="2">
        <f>IF(C4838="","",IFERROR(INDEX($S$5:$S$304,MATCH(C4838,$R$5:$R$304,0))&amp;"","?"))</f>
        <v/>
      </c>
      <c r="N4838" s="2">
        <f>IF(E4838="","",IF(ISNUMBER(SEARCH("SUBSOLO",E4838)),IFERROR(-VALUE(LEFT(E4838,FIND("º",SUBSTITUTE(E4838,"°","º"))-1)),-1),IF(LEFT(E4838,6)="TÉRREO",0,IFERROR(VALUE(LEFT(E4838,FIND("º",SUBSTITUTE(E4838,"°","º"))-1)),""))))</f>
        <v/>
      </c>
      <c r="O4838" s="2">
        <f>IF(OR(F4838="",G4838=""),"",IF(G4838&lt;='RETRATO 2027'!$K$5,"CONCLUÍDA",IF(F4838&lt;='RETRATO 2027'!$K$5,"EM ANDAMENTO","A INICIAR")))</f>
        <v/>
      </c>
    </row>
    <row r="4839">
      <c r="M4839" s="2">
        <f>IF(C4839="","",IFERROR(INDEX($S$5:$S$304,MATCH(C4839,$R$5:$R$304,0))&amp;"","?"))</f>
        <v/>
      </c>
      <c r="N4839" s="2">
        <f>IF(E4839="","",IF(ISNUMBER(SEARCH("SUBSOLO",E4839)),IFERROR(-VALUE(LEFT(E4839,FIND("º",SUBSTITUTE(E4839,"°","º"))-1)),-1),IF(LEFT(E4839,6)="TÉRREO",0,IFERROR(VALUE(LEFT(E4839,FIND("º",SUBSTITUTE(E4839,"°","º"))-1)),""))))</f>
        <v/>
      </c>
      <c r="O4839" s="2">
        <f>IF(OR(F4839="",G4839=""),"",IF(G4839&lt;='RETRATO 2027'!$K$5,"CONCLUÍDA",IF(F4839&lt;='RETRATO 2027'!$K$5,"EM ANDAMENTO","A INICIAR")))</f>
        <v/>
      </c>
    </row>
    <row r="4840">
      <c r="M4840" s="2">
        <f>IF(C4840="","",IFERROR(INDEX($S$5:$S$304,MATCH(C4840,$R$5:$R$304,0))&amp;"","?"))</f>
        <v/>
      </c>
      <c r="N4840" s="2">
        <f>IF(E4840="","",IF(ISNUMBER(SEARCH("SUBSOLO",E4840)),IFERROR(-VALUE(LEFT(E4840,FIND("º",SUBSTITUTE(E4840,"°","º"))-1)),-1),IF(LEFT(E4840,6)="TÉRREO",0,IFERROR(VALUE(LEFT(E4840,FIND("º",SUBSTITUTE(E4840,"°","º"))-1)),""))))</f>
        <v/>
      </c>
      <c r="O4840" s="2">
        <f>IF(OR(F4840="",G4840=""),"",IF(G4840&lt;='RETRATO 2027'!$K$5,"CONCLUÍDA",IF(F4840&lt;='RETRATO 2027'!$K$5,"EM ANDAMENTO","A INICIAR")))</f>
        <v/>
      </c>
    </row>
    <row r="4841">
      <c r="M4841" s="2">
        <f>IF(C4841="","",IFERROR(INDEX($S$5:$S$304,MATCH(C4841,$R$5:$R$304,0))&amp;"","?"))</f>
        <v/>
      </c>
      <c r="N4841" s="2">
        <f>IF(E4841="","",IF(ISNUMBER(SEARCH("SUBSOLO",E4841)),IFERROR(-VALUE(LEFT(E4841,FIND("º",SUBSTITUTE(E4841,"°","º"))-1)),-1),IF(LEFT(E4841,6)="TÉRREO",0,IFERROR(VALUE(LEFT(E4841,FIND("º",SUBSTITUTE(E4841,"°","º"))-1)),""))))</f>
        <v/>
      </c>
      <c r="O4841" s="2">
        <f>IF(OR(F4841="",G4841=""),"",IF(G4841&lt;='RETRATO 2027'!$K$5,"CONCLUÍDA",IF(F4841&lt;='RETRATO 2027'!$K$5,"EM ANDAMENTO","A INICIAR")))</f>
        <v/>
      </c>
    </row>
    <row r="4842">
      <c r="M4842" s="2">
        <f>IF(C4842="","",IFERROR(INDEX($S$5:$S$304,MATCH(C4842,$R$5:$R$304,0))&amp;"","?"))</f>
        <v/>
      </c>
      <c r="N4842" s="2">
        <f>IF(E4842="","",IF(ISNUMBER(SEARCH("SUBSOLO",E4842)),IFERROR(-VALUE(LEFT(E4842,FIND("º",SUBSTITUTE(E4842,"°","º"))-1)),-1),IF(LEFT(E4842,6)="TÉRREO",0,IFERROR(VALUE(LEFT(E4842,FIND("º",SUBSTITUTE(E4842,"°","º"))-1)),""))))</f>
        <v/>
      </c>
      <c r="O4842" s="2">
        <f>IF(OR(F4842="",G4842=""),"",IF(G4842&lt;='RETRATO 2027'!$K$5,"CONCLUÍDA",IF(F4842&lt;='RETRATO 2027'!$K$5,"EM ANDAMENTO","A INICIAR")))</f>
        <v/>
      </c>
    </row>
    <row r="4843">
      <c r="M4843" s="2">
        <f>IF(C4843="","",IFERROR(INDEX($S$5:$S$304,MATCH(C4843,$R$5:$R$304,0))&amp;"","?"))</f>
        <v/>
      </c>
      <c r="N4843" s="2">
        <f>IF(E4843="","",IF(ISNUMBER(SEARCH("SUBSOLO",E4843)),IFERROR(-VALUE(LEFT(E4843,FIND("º",SUBSTITUTE(E4843,"°","º"))-1)),-1),IF(LEFT(E4843,6)="TÉRREO",0,IFERROR(VALUE(LEFT(E4843,FIND("º",SUBSTITUTE(E4843,"°","º"))-1)),""))))</f>
        <v/>
      </c>
      <c r="O4843" s="2">
        <f>IF(OR(F4843="",G4843=""),"",IF(G4843&lt;='RETRATO 2027'!$K$5,"CONCLUÍDA",IF(F4843&lt;='RETRATO 2027'!$K$5,"EM ANDAMENTO","A INICIAR")))</f>
        <v/>
      </c>
    </row>
    <row r="4844">
      <c r="M4844" s="2">
        <f>IF(C4844="","",IFERROR(INDEX($S$5:$S$304,MATCH(C4844,$R$5:$R$304,0))&amp;"","?"))</f>
        <v/>
      </c>
      <c r="N4844" s="2">
        <f>IF(E4844="","",IF(ISNUMBER(SEARCH("SUBSOLO",E4844)),IFERROR(-VALUE(LEFT(E4844,FIND("º",SUBSTITUTE(E4844,"°","º"))-1)),-1),IF(LEFT(E4844,6)="TÉRREO",0,IFERROR(VALUE(LEFT(E4844,FIND("º",SUBSTITUTE(E4844,"°","º"))-1)),""))))</f>
        <v/>
      </c>
      <c r="O4844" s="2">
        <f>IF(OR(F4844="",G4844=""),"",IF(G4844&lt;='RETRATO 2027'!$K$5,"CONCLUÍDA",IF(F4844&lt;='RETRATO 2027'!$K$5,"EM ANDAMENTO","A INICIAR")))</f>
        <v/>
      </c>
    </row>
    <row r="4845">
      <c r="M4845" s="2">
        <f>IF(C4845="","",IFERROR(INDEX($S$5:$S$304,MATCH(C4845,$R$5:$R$304,0))&amp;"","?"))</f>
        <v/>
      </c>
      <c r="N4845" s="2">
        <f>IF(E4845="","",IF(ISNUMBER(SEARCH("SUBSOLO",E4845)),IFERROR(-VALUE(LEFT(E4845,FIND("º",SUBSTITUTE(E4845,"°","º"))-1)),-1),IF(LEFT(E4845,6)="TÉRREO",0,IFERROR(VALUE(LEFT(E4845,FIND("º",SUBSTITUTE(E4845,"°","º"))-1)),""))))</f>
        <v/>
      </c>
      <c r="O4845" s="2">
        <f>IF(OR(F4845="",G4845=""),"",IF(G4845&lt;='RETRATO 2027'!$K$5,"CONCLUÍDA",IF(F4845&lt;='RETRATO 2027'!$K$5,"EM ANDAMENTO","A INICIAR")))</f>
        <v/>
      </c>
    </row>
    <row r="4846">
      <c r="M4846" s="2">
        <f>IF(C4846="","",IFERROR(INDEX($S$5:$S$304,MATCH(C4846,$R$5:$R$304,0))&amp;"","?"))</f>
        <v/>
      </c>
      <c r="N4846" s="2">
        <f>IF(E4846="","",IF(ISNUMBER(SEARCH("SUBSOLO",E4846)),IFERROR(-VALUE(LEFT(E4846,FIND("º",SUBSTITUTE(E4846,"°","º"))-1)),-1),IF(LEFT(E4846,6)="TÉRREO",0,IFERROR(VALUE(LEFT(E4846,FIND("º",SUBSTITUTE(E4846,"°","º"))-1)),""))))</f>
        <v/>
      </c>
      <c r="O4846" s="2">
        <f>IF(OR(F4846="",G4846=""),"",IF(G4846&lt;='RETRATO 2027'!$K$5,"CONCLUÍDA",IF(F4846&lt;='RETRATO 2027'!$K$5,"EM ANDAMENTO","A INICIAR")))</f>
        <v/>
      </c>
    </row>
    <row r="4847">
      <c r="M4847" s="2">
        <f>IF(C4847="","",IFERROR(INDEX($S$5:$S$304,MATCH(C4847,$R$5:$R$304,0))&amp;"","?"))</f>
        <v/>
      </c>
      <c r="N4847" s="2">
        <f>IF(E4847="","",IF(ISNUMBER(SEARCH("SUBSOLO",E4847)),IFERROR(-VALUE(LEFT(E4847,FIND("º",SUBSTITUTE(E4847,"°","º"))-1)),-1),IF(LEFT(E4847,6)="TÉRREO",0,IFERROR(VALUE(LEFT(E4847,FIND("º",SUBSTITUTE(E4847,"°","º"))-1)),""))))</f>
        <v/>
      </c>
      <c r="O4847" s="2">
        <f>IF(OR(F4847="",G4847=""),"",IF(G4847&lt;='RETRATO 2027'!$K$5,"CONCLUÍDA",IF(F4847&lt;='RETRATO 2027'!$K$5,"EM ANDAMENTO","A INICIAR")))</f>
        <v/>
      </c>
    </row>
    <row r="4848">
      <c r="M4848" s="2">
        <f>IF(C4848="","",IFERROR(INDEX($S$5:$S$304,MATCH(C4848,$R$5:$R$304,0))&amp;"","?"))</f>
        <v/>
      </c>
      <c r="N4848" s="2">
        <f>IF(E4848="","",IF(ISNUMBER(SEARCH("SUBSOLO",E4848)),IFERROR(-VALUE(LEFT(E4848,FIND("º",SUBSTITUTE(E4848,"°","º"))-1)),-1),IF(LEFT(E4848,6)="TÉRREO",0,IFERROR(VALUE(LEFT(E4848,FIND("º",SUBSTITUTE(E4848,"°","º"))-1)),""))))</f>
        <v/>
      </c>
      <c r="O4848" s="2">
        <f>IF(OR(F4848="",G4848=""),"",IF(G4848&lt;='RETRATO 2027'!$K$5,"CONCLUÍDA",IF(F4848&lt;='RETRATO 2027'!$K$5,"EM ANDAMENTO","A INICIAR")))</f>
        <v/>
      </c>
    </row>
    <row r="4849">
      <c r="M4849" s="2">
        <f>IF(C4849="","",IFERROR(INDEX($S$5:$S$304,MATCH(C4849,$R$5:$R$304,0))&amp;"","?"))</f>
        <v/>
      </c>
      <c r="N4849" s="2">
        <f>IF(E4849="","",IF(ISNUMBER(SEARCH("SUBSOLO",E4849)),IFERROR(-VALUE(LEFT(E4849,FIND("º",SUBSTITUTE(E4849,"°","º"))-1)),-1),IF(LEFT(E4849,6)="TÉRREO",0,IFERROR(VALUE(LEFT(E4849,FIND("º",SUBSTITUTE(E4849,"°","º"))-1)),""))))</f>
        <v/>
      </c>
      <c r="O4849" s="2">
        <f>IF(OR(F4849="",G4849=""),"",IF(G4849&lt;='RETRATO 2027'!$K$5,"CONCLUÍDA",IF(F4849&lt;='RETRATO 2027'!$K$5,"EM ANDAMENTO","A INICIAR")))</f>
        <v/>
      </c>
    </row>
    <row r="4850">
      <c r="M4850" s="2">
        <f>IF(C4850="","",IFERROR(INDEX($S$5:$S$304,MATCH(C4850,$R$5:$R$304,0))&amp;"","?"))</f>
        <v/>
      </c>
      <c r="N4850" s="2">
        <f>IF(E4850="","",IF(ISNUMBER(SEARCH("SUBSOLO",E4850)),IFERROR(-VALUE(LEFT(E4850,FIND("º",SUBSTITUTE(E4850,"°","º"))-1)),-1),IF(LEFT(E4850,6)="TÉRREO",0,IFERROR(VALUE(LEFT(E4850,FIND("º",SUBSTITUTE(E4850,"°","º"))-1)),""))))</f>
        <v/>
      </c>
      <c r="O4850" s="2">
        <f>IF(OR(F4850="",G4850=""),"",IF(G4850&lt;='RETRATO 2027'!$K$5,"CONCLUÍDA",IF(F4850&lt;='RETRATO 2027'!$K$5,"EM ANDAMENTO","A INICIAR")))</f>
        <v/>
      </c>
    </row>
    <row r="4851">
      <c r="M4851" s="2">
        <f>IF(C4851="","",IFERROR(INDEX($S$5:$S$304,MATCH(C4851,$R$5:$R$304,0))&amp;"","?"))</f>
        <v/>
      </c>
      <c r="N4851" s="2">
        <f>IF(E4851="","",IF(ISNUMBER(SEARCH("SUBSOLO",E4851)),IFERROR(-VALUE(LEFT(E4851,FIND("º",SUBSTITUTE(E4851,"°","º"))-1)),-1),IF(LEFT(E4851,6)="TÉRREO",0,IFERROR(VALUE(LEFT(E4851,FIND("º",SUBSTITUTE(E4851,"°","º"))-1)),""))))</f>
        <v/>
      </c>
      <c r="O4851" s="2">
        <f>IF(OR(F4851="",G4851=""),"",IF(G4851&lt;='RETRATO 2027'!$K$5,"CONCLUÍDA",IF(F4851&lt;='RETRATO 2027'!$K$5,"EM ANDAMENTO","A INICIAR")))</f>
        <v/>
      </c>
    </row>
    <row r="4852">
      <c r="M4852" s="2">
        <f>IF(C4852="","",IFERROR(INDEX($S$5:$S$304,MATCH(C4852,$R$5:$R$304,0))&amp;"","?"))</f>
        <v/>
      </c>
      <c r="N4852" s="2">
        <f>IF(E4852="","",IF(ISNUMBER(SEARCH("SUBSOLO",E4852)),IFERROR(-VALUE(LEFT(E4852,FIND("º",SUBSTITUTE(E4852,"°","º"))-1)),-1),IF(LEFT(E4852,6)="TÉRREO",0,IFERROR(VALUE(LEFT(E4852,FIND("º",SUBSTITUTE(E4852,"°","º"))-1)),""))))</f>
        <v/>
      </c>
      <c r="O4852" s="2">
        <f>IF(OR(F4852="",G4852=""),"",IF(G4852&lt;='RETRATO 2027'!$K$5,"CONCLUÍDA",IF(F4852&lt;='RETRATO 2027'!$K$5,"EM ANDAMENTO","A INICIAR")))</f>
        <v/>
      </c>
    </row>
    <row r="4853">
      <c r="M4853" s="2">
        <f>IF(C4853="","",IFERROR(INDEX($S$5:$S$304,MATCH(C4853,$R$5:$R$304,0))&amp;"","?"))</f>
        <v/>
      </c>
      <c r="N4853" s="2">
        <f>IF(E4853="","",IF(ISNUMBER(SEARCH("SUBSOLO",E4853)),IFERROR(-VALUE(LEFT(E4853,FIND("º",SUBSTITUTE(E4853,"°","º"))-1)),-1),IF(LEFT(E4853,6)="TÉRREO",0,IFERROR(VALUE(LEFT(E4853,FIND("º",SUBSTITUTE(E4853,"°","º"))-1)),""))))</f>
        <v/>
      </c>
      <c r="O4853" s="2">
        <f>IF(OR(F4853="",G4853=""),"",IF(G4853&lt;='RETRATO 2027'!$K$5,"CONCLUÍDA",IF(F4853&lt;='RETRATO 2027'!$K$5,"EM ANDAMENTO","A INICIAR")))</f>
        <v/>
      </c>
    </row>
    <row r="4854">
      <c r="M4854" s="2">
        <f>IF(C4854="","",IFERROR(INDEX($S$5:$S$304,MATCH(C4854,$R$5:$R$304,0))&amp;"","?"))</f>
        <v/>
      </c>
      <c r="N4854" s="2">
        <f>IF(E4854="","",IF(ISNUMBER(SEARCH("SUBSOLO",E4854)),IFERROR(-VALUE(LEFT(E4854,FIND("º",SUBSTITUTE(E4854,"°","º"))-1)),-1),IF(LEFT(E4854,6)="TÉRREO",0,IFERROR(VALUE(LEFT(E4854,FIND("º",SUBSTITUTE(E4854,"°","º"))-1)),""))))</f>
        <v/>
      </c>
      <c r="O4854" s="2">
        <f>IF(OR(F4854="",G4854=""),"",IF(G4854&lt;='RETRATO 2027'!$K$5,"CONCLUÍDA",IF(F4854&lt;='RETRATO 2027'!$K$5,"EM ANDAMENTO","A INICIAR")))</f>
        <v/>
      </c>
    </row>
    <row r="4855">
      <c r="M4855" s="2">
        <f>IF(C4855="","",IFERROR(INDEX($S$5:$S$304,MATCH(C4855,$R$5:$R$304,0))&amp;"","?"))</f>
        <v/>
      </c>
      <c r="N4855" s="2">
        <f>IF(E4855="","",IF(ISNUMBER(SEARCH("SUBSOLO",E4855)),IFERROR(-VALUE(LEFT(E4855,FIND("º",SUBSTITUTE(E4855,"°","º"))-1)),-1),IF(LEFT(E4855,6)="TÉRREO",0,IFERROR(VALUE(LEFT(E4855,FIND("º",SUBSTITUTE(E4855,"°","º"))-1)),""))))</f>
        <v/>
      </c>
      <c r="O4855" s="2">
        <f>IF(OR(F4855="",G4855=""),"",IF(G4855&lt;='RETRATO 2027'!$K$5,"CONCLUÍDA",IF(F4855&lt;='RETRATO 2027'!$K$5,"EM ANDAMENTO","A INICIAR")))</f>
        <v/>
      </c>
    </row>
    <row r="4856">
      <c r="M4856" s="2">
        <f>IF(C4856="","",IFERROR(INDEX($S$5:$S$304,MATCH(C4856,$R$5:$R$304,0))&amp;"","?"))</f>
        <v/>
      </c>
      <c r="N4856" s="2">
        <f>IF(E4856="","",IF(ISNUMBER(SEARCH("SUBSOLO",E4856)),IFERROR(-VALUE(LEFT(E4856,FIND("º",SUBSTITUTE(E4856,"°","º"))-1)),-1),IF(LEFT(E4856,6)="TÉRREO",0,IFERROR(VALUE(LEFT(E4856,FIND("º",SUBSTITUTE(E4856,"°","º"))-1)),""))))</f>
        <v/>
      </c>
      <c r="O4856" s="2">
        <f>IF(OR(F4856="",G4856=""),"",IF(G4856&lt;='RETRATO 2027'!$K$5,"CONCLUÍDA",IF(F4856&lt;='RETRATO 2027'!$K$5,"EM ANDAMENTO","A INICIAR")))</f>
        <v/>
      </c>
    </row>
    <row r="4857">
      <c r="M4857" s="2">
        <f>IF(C4857="","",IFERROR(INDEX($S$5:$S$304,MATCH(C4857,$R$5:$R$304,0))&amp;"","?"))</f>
        <v/>
      </c>
      <c r="N4857" s="2">
        <f>IF(E4857="","",IF(ISNUMBER(SEARCH("SUBSOLO",E4857)),IFERROR(-VALUE(LEFT(E4857,FIND("º",SUBSTITUTE(E4857,"°","º"))-1)),-1),IF(LEFT(E4857,6)="TÉRREO",0,IFERROR(VALUE(LEFT(E4857,FIND("º",SUBSTITUTE(E4857,"°","º"))-1)),""))))</f>
        <v/>
      </c>
      <c r="O4857" s="2">
        <f>IF(OR(F4857="",G4857=""),"",IF(G4857&lt;='RETRATO 2027'!$K$5,"CONCLUÍDA",IF(F4857&lt;='RETRATO 2027'!$K$5,"EM ANDAMENTO","A INICIAR")))</f>
        <v/>
      </c>
    </row>
    <row r="4858">
      <c r="M4858" s="2">
        <f>IF(C4858="","",IFERROR(INDEX($S$5:$S$304,MATCH(C4858,$R$5:$R$304,0))&amp;"","?"))</f>
        <v/>
      </c>
      <c r="N4858" s="2">
        <f>IF(E4858="","",IF(ISNUMBER(SEARCH("SUBSOLO",E4858)),IFERROR(-VALUE(LEFT(E4858,FIND("º",SUBSTITUTE(E4858,"°","º"))-1)),-1),IF(LEFT(E4858,6)="TÉRREO",0,IFERROR(VALUE(LEFT(E4858,FIND("º",SUBSTITUTE(E4858,"°","º"))-1)),""))))</f>
        <v/>
      </c>
      <c r="O4858" s="2">
        <f>IF(OR(F4858="",G4858=""),"",IF(G4858&lt;='RETRATO 2027'!$K$5,"CONCLUÍDA",IF(F4858&lt;='RETRATO 2027'!$K$5,"EM ANDAMENTO","A INICIAR")))</f>
        <v/>
      </c>
    </row>
    <row r="4859">
      <c r="M4859" s="2">
        <f>IF(C4859="","",IFERROR(INDEX($S$5:$S$304,MATCH(C4859,$R$5:$R$304,0))&amp;"","?"))</f>
        <v/>
      </c>
      <c r="N4859" s="2">
        <f>IF(E4859="","",IF(ISNUMBER(SEARCH("SUBSOLO",E4859)),IFERROR(-VALUE(LEFT(E4859,FIND("º",SUBSTITUTE(E4859,"°","º"))-1)),-1),IF(LEFT(E4859,6)="TÉRREO",0,IFERROR(VALUE(LEFT(E4859,FIND("º",SUBSTITUTE(E4859,"°","º"))-1)),""))))</f>
        <v/>
      </c>
      <c r="O4859" s="2">
        <f>IF(OR(F4859="",G4859=""),"",IF(G4859&lt;='RETRATO 2027'!$K$5,"CONCLUÍDA",IF(F4859&lt;='RETRATO 2027'!$K$5,"EM ANDAMENTO","A INICIAR")))</f>
        <v/>
      </c>
    </row>
    <row r="4860">
      <c r="M4860" s="2">
        <f>IF(C4860="","",IFERROR(INDEX($S$5:$S$304,MATCH(C4860,$R$5:$R$304,0))&amp;"","?"))</f>
        <v/>
      </c>
      <c r="N4860" s="2">
        <f>IF(E4860="","",IF(ISNUMBER(SEARCH("SUBSOLO",E4860)),IFERROR(-VALUE(LEFT(E4860,FIND("º",SUBSTITUTE(E4860,"°","º"))-1)),-1),IF(LEFT(E4860,6)="TÉRREO",0,IFERROR(VALUE(LEFT(E4860,FIND("º",SUBSTITUTE(E4860,"°","º"))-1)),""))))</f>
        <v/>
      </c>
      <c r="O4860" s="2">
        <f>IF(OR(F4860="",G4860=""),"",IF(G4860&lt;='RETRATO 2027'!$K$5,"CONCLUÍDA",IF(F4860&lt;='RETRATO 2027'!$K$5,"EM ANDAMENTO","A INICIAR")))</f>
        <v/>
      </c>
    </row>
    <row r="4861">
      <c r="M4861" s="2">
        <f>IF(C4861="","",IFERROR(INDEX($S$5:$S$304,MATCH(C4861,$R$5:$R$304,0))&amp;"","?"))</f>
        <v/>
      </c>
      <c r="N4861" s="2">
        <f>IF(E4861="","",IF(ISNUMBER(SEARCH("SUBSOLO",E4861)),IFERROR(-VALUE(LEFT(E4861,FIND("º",SUBSTITUTE(E4861,"°","º"))-1)),-1),IF(LEFT(E4861,6)="TÉRREO",0,IFERROR(VALUE(LEFT(E4861,FIND("º",SUBSTITUTE(E4861,"°","º"))-1)),""))))</f>
        <v/>
      </c>
      <c r="O4861" s="2">
        <f>IF(OR(F4861="",G4861=""),"",IF(G4861&lt;='RETRATO 2027'!$K$5,"CONCLUÍDA",IF(F4861&lt;='RETRATO 2027'!$K$5,"EM ANDAMENTO","A INICIAR")))</f>
        <v/>
      </c>
    </row>
    <row r="4862">
      <c r="M4862" s="2">
        <f>IF(C4862="","",IFERROR(INDEX($S$5:$S$304,MATCH(C4862,$R$5:$R$304,0))&amp;"","?"))</f>
        <v/>
      </c>
      <c r="N4862" s="2">
        <f>IF(E4862="","",IF(ISNUMBER(SEARCH("SUBSOLO",E4862)),IFERROR(-VALUE(LEFT(E4862,FIND("º",SUBSTITUTE(E4862,"°","º"))-1)),-1),IF(LEFT(E4862,6)="TÉRREO",0,IFERROR(VALUE(LEFT(E4862,FIND("º",SUBSTITUTE(E4862,"°","º"))-1)),""))))</f>
        <v/>
      </c>
      <c r="O4862" s="2">
        <f>IF(OR(F4862="",G4862=""),"",IF(G4862&lt;='RETRATO 2027'!$K$5,"CONCLUÍDA",IF(F4862&lt;='RETRATO 2027'!$K$5,"EM ANDAMENTO","A INICIAR")))</f>
        <v/>
      </c>
    </row>
    <row r="4863">
      <c r="M4863" s="2">
        <f>IF(C4863="","",IFERROR(INDEX($S$5:$S$304,MATCH(C4863,$R$5:$R$304,0))&amp;"","?"))</f>
        <v/>
      </c>
      <c r="N4863" s="2">
        <f>IF(E4863="","",IF(ISNUMBER(SEARCH("SUBSOLO",E4863)),IFERROR(-VALUE(LEFT(E4863,FIND("º",SUBSTITUTE(E4863,"°","º"))-1)),-1),IF(LEFT(E4863,6)="TÉRREO",0,IFERROR(VALUE(LEFT(E4863,FIND("º",SUBSTITUTE(E4863,"°","º"))-1)),""))))</f>
        <v/>
      </c>
      <c r="O4863" s="2">
        <f>IF(OR(F4863="",G4863=""),"",IF(G4863&lt;='RETRATO 2027'!$K$5,"CONCLUÍDA",IF(F4863&lt;='RETRATO 2027'!$K$5,"EM ANDAMENTO","A INICIAR")))</f>
        <v/>
      </c>
    </row>
    <row r="4864">
      <c r="M4864" s="2">
        <f>IF(C4864="","",IFERROR(INDEX($S$5:$S$304,MATCH(C4864,$R$5:$R$304,0))&amp;"","?"))</f>
        <v/>
      </c>
      <c r="N4864" s="2">
        <f>IF(E4864="","",IF(ISNUMBER(SEARCH("SUBSOLO",E4864)),IFERROR(-VALUE(LEFT(E4864,FIND("º",SUBSTITUTE(E4864,"°","º"))-1)),-1),IF(LEFT(E4864,6)="TÉRREO",0,IFERROR(VALUE(LEFT(E4864,FIND("º",SUBSTITUTE(E4864,"°","º"))-1)),""))))</f>
        <v/>
      </c>
      <c r="O4864" s="2">
        <f>IF(OR(F4864="",G4864=""),"",IF(G4864&lt;='RETRATO 2027'!$K$5,"CONCLUÍDA",IF(F4864&lt;='RETRATO 2027'!$K$5,"EM ANDAMENTO","A INICIAR")))</f>
        <v/>
      </c>
    </row>
    <row r="4865">
      <c r="M4865" s="2">
        <f>IF(C4865="","",IFERROR(INDEX($S$5:$S$304,MATCH(C4865,$R$5:$R$304,0))&amp;"","?"))</f>
        <v/>
      </c>
      <c r="N4865" s="2">
        <f>IF(E4865="","",IF(ISNUMBER(SEARCH("SUBSOLO",E4865)),IFERROR(-VALUE(LEFT(E4865,FIND("º",SUBSTITUTE(E4865,"°","º"))-1)),-1),IF(LEFT(E4865,6)="TÉRREO",0,IFERROR(VALUE(LEFT(E4865,FIND("º",SUBSTITUTE(E4865,"°","º"))-1)),""))))</f>
        <v/>
      </c>
      <c r="O4865" s="2">
        <f>IF(OR(F4865="",G4865=""),"",IF(G4865&lt;='RETRATO 2027'!$K$5,"CONCLUÍDA",IF(F4865&lt;='RETRATO 2027'!$K$5,"EM ANDAMENTO","A INICIAR")))</f>
        <v/>
      </c>
    </row>
    <row r="4866">
      <c r="M4866" s="2">
        <f>IF(C4866="","",IFERROR(INDEX($S$5:$S$304,MATCH(C4866,$R$5:$R$304,0))&amp;"","?"))</f>
        <v/>
      </c>
      <c r="N4866" s="2">
        <f>IF(E4866="","",IF(ISNUMBER(SEARCH("SUBSOLO",E4866)),IFERROR(-VALUE(LEFT(E4866,FIND("º",SUBSTITUTE(E4866,"°","º"))-1)),-1),IF(LEFT(E4866,6)="TÉRREO",0,IFERROR(VALUE(LEFT(E4866,FIND("º",SUBSTITUTE(E4866,"°","º"))-1)),""))))</f>
        <v/>
      </c>
      <c r="O4866" s="2">
        <f>IF(OR(F4866="",G4866=""),"",IF(G4866&lt;='RETRATO 2027'!$K$5,"CONCLUÍDA",IF(F4866&lt;='RETRATO 2027'!$K$5,"EM ANDAMENTO","A INICIAR")))</f>
        <v/>
      </c>
    </row>
    <row r="4867">
      <c r="M4867" s="2">
        <f>IF(C4867="","",IFERROR(INDEX($S$5:$S$304,MATCH(C4867,$R$5:$R$304,0))&amp;"","?"))</f>
        <v/>
      </c>
      <c r="N4867" s="2">
        <f>IF(E4867="","",IF(ISNUMBER(SEARCH("SUBSOLO",E4867)),IFERROR(-VALUE(LEFT(E4867,FIND("º",SUBSTITUTE(E4867,"°","º"))-1)),-1),IF(LEFT(E4867,6)="TÉRREO",0,IFERROR(VALUE(LEFT(E4867,FIND("º",SUBSTITUTE(E4867,"°","º"))-1)),""))))</f>
        <v/>
      </c>
      <c r="O4867" s="2">
        <f>IF(OR(F4867="",G4867=""),"",IF(G4867&lt;='RETRATO 2027'!$K$5,"CONCLUÍDA",IF(F4867&lt;='RETRATO 2027'!$K$5,"EM ANDAMENTO","A INICIAR")))</f>
        <v/>
      </c>
    </row>
    <row r="4868">
      <c r="M4868" s="2">
        <f>IF(C4868="","",IFERROR(INDEX($S$5:$S$304,MATCH(C4868,$R$5:$R$304,0))&amp;"","?"))</f>
        <v/>
      </c>
      <c r="N4868" s="2">
        <f>IF(E4868="","",IF(ISNUMBER(SEARCH("SUBSOLO",E4868)),IFERROR(-VALUE(LEFT(E4868,FIND("º",SUBSTITUTE(E4868,"°","º"))-1)),-1),IF(LEFT(E4868,6)="TÉRREO",0,IFERROR(VALUE(LEFT(E4868,FIND("º",SUBSTITUTE(E4868,"°","º"))-1)),""))))</f>
        <v/>
      </c>
      <c r="O4868" s="2">
        <f>IF(OR(F4868="",G4868=""),"",IF(G4868&lt;='RETRATO 2027'!$K$5,"CONCLUÍDA",IF(F4868&lt;='RETRATO 2027'!$K$5,"EM ANDAMENTO","A INICIAR")))</f>
        <v/>
      </c>
    </row>
    <row r="4869">
      <c r="M4869" s="2">
        <f>IF(C4869="","",IFERROR(INDEX($S$5:$S$304,MATCH(C4869,$R$5:$R$304,0))&amp;"","?"))</f>
        <v/>
      </c>
      <c r="N4869" s="2">
        <f>IF(E4869="","",IF(ISNUMBER(SEARCH("SUBSOLO",E4869)),IFERROR(-VALUE(LEFT(E4869,FIND("º",SUBSTITUTE(E4869,"°","º"))-1)),-1),IF(LEFT(E4869,6)="TÉRREO",0,IFERROR(VALUE(LEFT(E4869,FIND("º",SUBSTITUTE(E4869,"°","º"))-1)),""))))</f>
        <v/>
      </c>
      <c r="O4869" s="2">
        <f>IF(OR(F4869="",G4869=""),"",IF(G4869&lt;='RETRATO 2027'!$K$5,"CONCLUÍDA",IF(F4869&lt;='RETRATO 2027'!$K$5,"EM ANDAMENTO","A INICIAR")))</f>
        <v/>
      </c>
    </row>
    <row r="4870">
      <c r="M4870" s="2">
        <f>IF(C4870="","",IFERROR(INDEX($S$5:$S$304,MATCH(C4870,$R$5:$R$304,0))&amp;"","?"))</f>
        <v/>
      </c>
      <c r="N4870" s="2">
        <f>IF(E4870="","",IF(ISNUMBER(SEARCH("SUBSOLO",E4870)),IFERROR(-VALUE(LEFT(E4870,FIND("º",SUBSTITUTE(E4870,"°","º"))-1)),-1),IF(LEFT(E4870,6)="TÉRREO",0,IFERROR(VALUE(LEFT(E4870,FIND("º",SUBSTITUTE(E4870,"°","º"))-1)),""))))</f>
        <v/>
      </c>
      <c r="O4870" s="2">
        <f>IF(OR(F4870="",G4870=""),"",IF(G4870&lt;='RETRATO 2027'!$K$5,"CONCLUÍDA",IF(F4870&lt;='RETRATO 2027'!$K$5,"EM ANDAMENTO","A INICIAR")))</f>
        <v/>
      </c>
    </row>
    <row r="4871">
      <c r="M4871" s="2">
        <f>IF(C4871="","",IFERROR(INDEX($S$5:$S$304,MATCH(C4871,$R$5:$R$304,0))&amp;"","?"))</f>
        <v/>
      </c>
      <c r="N4871" s="2">
        <f>IF(E4871="","",IF(ISNUMBER(SEARCH("SUBSOLO",E4871)),IFERROR(-VALUE(LEFT(E4871,FIND("º",SUBSTITUTE(E4871,"°","º"))-1)),-1),IF(LEFT(E4871,6)="TÉRREO",0,IFERROR(VALUE(LEFT(E4871,FIND("º",SUBSTITUTE(E4871,"°","º"))-1)),""))))</f>
        <v/>
      </c>
      <c r="O4871" s="2">
        <f>IF(OR(F4871="",G4871=""),"",IF(G4871&lt;='RETRATO 2027'!$K$5,"CONCLUÍDA",IF(F4871&lt;='RETRATO 2027'!$K$5,"EM ANDAMENTO","A INICIAR")))</f>
        <v/>
      </c>
    </row>
    <row r="4872">
      <c r="M4872" s="2">
        <f>IF(C4872="","",IFERROR(INDEX($S$5:$S$304,MATCH(C4872,$R$5:$R$304,0))&amp;"","?"))</f>
        <v/>
      </c>
      <c r="N4872" s="2">
        <f>IF(E4872="","",IF(ISNUMBER(SEARCH("SUBSOLO",E4872)),IFERROR(-VALUE(LEFT(E4872,FIND("º",SUBSTITUTE(E4872,"°","º"))-1)),-1),IF(LEFT(E4872,6)="TÉRREO",0,IFERROR(VALUE(LEFT(E4872,FIND("º",SUBSTITUTE(E4872,"°","º"))-1)),""))))</f>
        <v/>
      </c>
      <c r="O4872" s="2">
        <f>IF(OR(F4872="",G4872=""),"",IF(G4872&lt;='RETRATO 2027'!$K$5,"CONCLUÍDA",IF(F4872&lt;='RETRATO 2027'!$K$5,"EM ANDAMENTO","A INICIAR")))</f>
        <v/>
      </c>
    </row>
    <row r="4873">
      <c r="M4873" s="2">
        <f>IF(C4873="","",IFERROR(INDEX($S$5:$S$304,MATCH(C4873,$R$5:$R$304,0))&amp;"","?"))</f>
        <v/>
      </c>
      <c r="N4873" s="2">
        <f>IF(E4873="","",IF(ISNUMBER(SEARCH("SUBSOLO",E4873)),IFERROR(-VALUE(LEFT(E4873,FIND("º",SUBSTITUTE(E4873,"°","º"))-1)),-1),IF(LEFT(E4873,6)="TÉRREO",0,IFERROR(VALUE(LEFT(E4873,FIND("º",SUBSTITUTE(E4873,"°","º"))-1)),""))))</f>
        <v/>
      </c>
      <c r="O4873" s="2">
        <f>IF(OR(F4873="",G4873=""),"",IF(G4873&lt;='RETRATO 2027'!$K$5,"CONCLUÍDA",IF(F4873&lt;='RETRATO 2027'!$K$5,"EM ANDAMENTO","A INICIAR")))</f>
        <v/>
      </c>
    </row>
    <row r="4874">
      <c r="M4874" s="2">
        <f>IF(C4874="","",IFERROR(INDEX($S$5:$S$304,MATCH(C4874,$R$5:$R$304,0))&amp;"","?"))</f>
        <v/>
      </c>
      <c r="N4874" s="2">
        <f>IF(E4874="","",IF(ISNUMBER(SEARCH("SUBSOLO",E4874)),IFERROR(-VALUE(LEFT(E4874,FIND("º",SUBSTITUTE(E4874,"°","º"))-1)),-1),IF(LEFT(E4874,6)="TÉRREO",0,IFERROR(VALUE(LEFT(E4874,FIND("º",SUBSTITUTE(E4874,"°","º"))-1)),""))))</f>
        <v/>
      </c>
      <c r="O4874" s="2">
        <f>IF(OR(F4874="",G4874=""),"",IF(G4874&lt;='RETRATO 2027'!$K$5,"CONCLUÍDA",IF(F4874&lt;='RETRATO 2027'!$K$5,"EM ANDAMENTO","A INICIAR")))</f>
        <v/>
      </c>
    </row>
    <row r="4875">
      <c r="M4875" s="2">
        <f>IF(C4875="","",IFERROR(INDEX($S$5:$S$304,MATCH(C4875,$R$5:$R$304,0))&amp;"","?"))</f>
        <v/>
      </c>
      <c r="N4875" s="2">
        <f>IF(E4875="","",IF(ISNUMBER(SEARCH("SUBSOLO",E4875)),IFERROR(-VALUE(LEFT(E4875,FIND("º",SUBSTITUTE(E4875,"°","º"))-1)),-1),IF(LEFT(E4875,6)="TÉRREO",0,IFERROR(VALUE(LEFT(E4875,FIND("º",SUBSTITUTE(E4875,"°","º"))-1)),""))))</f>
        <v/>
      </c>
      <c r="O4875" s="2">
        <f>IF(OR(F4875="",G4875=""),"",IF(G4875&lt;='RETRATO 2027'!$K$5,"CONCLUÍDA",IF(F4875&lt;='RETRATO 2027'!$K$5,"EM ANDAMENTO","A INICIAR")))</f>
        <v/>
      </c>
    </row>
    <row r="4876">
      <c r="M4876" s="2">
        <f>IF(C4876="","",IFERROR(INDEX($S$5:$S$304,MATCH(C4876,$R$5:$R$304,0))&amp;"","?"))</f>
        <v/>
      </c>
      <c r="N4876" s="2">
        <f>IF(E4876="","",IF(ISNUMBER(SEARCH("SUBSOLO",E4876)),IFERROR(-VALUE(LEFT(E4876,FIND("º",SUBSTITUTE(E4876,"°","º"))-1)),-1),IF(LEFT(E4876,6)="TÉRREO",0,IFERROR(VALUE(LEFT(E4876,FIND("º",SUBSTITUTE(E4876,"°","º"))-1)),""))))</f>
        <v/>
      </c>
      <c r="O4876" s="2">
        <f>IF(OR(F4876="",G4876=""),"",IF(G4876&lt;='RETRATO 2027'!$K$5,"CONCLUÍDA",IF(F4876&lt;='RETRATO 2027'!$K$5,"EM ANDAMENTO","A INICIAR")))</f>
        <v/>
      </c>
    </row>
    <row r="4877">
      <c r="M4877" s="2">
        <f>IF(C4877="","",IFERROR(INDEX($S$5:$S$304,MATCH(C4877,$R$5:$R$304,0))&amp;"","?"))</f>
        <v/>
      </c>
      <c r="N4877" s="2">
        <f>IF(E4877="","",IF(ISNUMBER(SEARCH("SUBSOLO",E4877)),IFERROR(-VALUE(LEFT(E4877,FIND("º",SUBSTITUTE(E4877,"°","º"))-1)),-1),IF(LEFT(E4877,6)="TÉRREO",0,IFERROR(VALUE(LEFT(E4877,FIND("º",SUBSTITUTE(E4877,"°","º"))-1)),""))))</f>
        <v/>
      </c>
      <c r="O4877" s="2">
        <f>IF(OR(F4877="",G4877=""),"",IF(G4877&lt;='RETRATO 2027'!$K$5,"CONCLUÍDA",IF(F4877&lt;='RETRATO 2027'!$K$5,"EM ANDAMENTO","A INICIAR")))</f>
        <v/>
      </c>
    </row>
    <row r="4878">
      <c r="M4878" s="2">
        <f>IF(C4878="","",IFERROR(INDEX($S$5:$S$304,MATCH(C4878,$R$5:$R$304,0))&amp;"","?"))</f>
        <v/>
      </c>
      <c r="N4878" s="2">
        <f>IF(E4878="","",IF(ISNUMBER(SEARCH("SUBSOLO",E4878)),IFERROR(-VALUE(LEFT(E4878,FIND("º",SUBSTITUTE(E4878,"°","º"))-1)),-1),IF(LEFT(E4878,6)="TÉRREO",0,IFERROR(VALUE(LEFT(E4878,FIND("º",SUBSTITUTE(E4878,"°","º"))-1)),""))))</f>
        <v/>
      </c>
      <c r="O4878" s="2">
        <f>IF(OR(F4878="",G4878=""),"",IF(G4878&lt;='RETRATO 2027'!$K$5,"CONCLUÍDA",IF(F4878&lt;='RETRATO 2027'!$K$5,"EM ANDAMENTO","A INICIAR")))</f>
        <v/>
      </c>
    </row>
    <row r="4879">
      <c r="M4879" s="2">
        <f>IF(C4879="","",IFERROR(INDEX($S$5:$S$304,MATCH(C4879,$R$5:$R$304,0))&amp;"","?"))</f>
        <v/>
      </c>
      <c r="N4879" s="2">
        <f>IF(E4879="","",IF(ISNUMBER(SEARCH("SUBSOLO",E4879)),IFERROR(-VALUE(LEFT(E4879,FIND("º",SUBSTITUTE(E4879,"°","º"))-1)),-1),IF(LEFT(E4879,6)="TÉRREO",0,IFERROR(VALUE(LEFT(E4879,FIND("º",SUBSTITUTE(E4879,"°","º"))-1)),""))))</f>
        <v/>
      </c>
      <c r="O4879" s="2">
        <f>IF(OR(F4879="",G4879=""),"",IF(G4879&lt;='RETRATO 2027'!$K$5,"CONCLUÍDA",IF(F4879&lt;='RETRATO 2027'!$K$5,"EM ANDAMENTO","A INICIAR")))</f>
        <v/>
      </c>
    </row>
    <row r="4880">
      <c r="M4880" s="2">
        <f>IF(C4880="","",IFERROR(INDEX($S$5:$S$304,MATCH(C4880,$R$5:$R$304,0))&amp;"","?"))</f>
        <v/>
      </c>
      <c r="N4880" s="2">
        <f>IF(E4880="","",IF(ISNUMBER(SEARCH("SUBSOLO",E4880)),IFERROR(-VALUE(LEFT(E4880,FIND("º",SUBSTITUTE(E4880,"°","º"))-1)),-1),IF(LEFT(E4880,6)="TÉRREO",0,IFERROR(VALUE(LEFT(E4880,FIND("º",SUBSTITUTE(E4880,"°","º"))-1)),""))))</f>
        <v/>
      </c>
      <c r="O4880" s="2">
        <f>IF(OR(F4880="",G4880=""),"",IF(G4880&lt;='RETRATO 2027'!$K$5,"CONCLUÍDA",IF(F4880&lt;='RETRATO 2027'!$K$5,"EM ANDAMENTO","A INICIAR")))</f>
        <v/>
      </c>
    </row>
    <row r="4881">
      <c r="M4881" s="2">
        <f>IF(C4881="","",IFERROR(INDEX($S$5:$S$304,MATCH(C4881,$R$5:$R$304,0))&amp;"","?"))</f>
        <v/>
      </c>
      <c r="N4881" s="2">
        <f>IF(E4881="","",IF(ISNUMBER(SEARCH("SUBSOLO",E4881)),IFERROR(-VALUE(LEFT(E4881,FIND("º",SUBSTITUTE(E4881,"°","º"))-1)),-1),IF(LEFT(E4881,6)="TÉRREO",0,IFERROR(VALUE(LEFT(E4881,FIND("º",SUBSTITUTE(E4881,"°","º"))-1)),""))))</f>
        <v/>
      </c>
      <c r="O4881" s="2">
        <f>IF(OR(F4881="",G4881=""),"",IF(G4881&lt;='RETRATO 2027'!$K$5,"CONCLUÍDA",IF(F4881&lt;='RETRATO 2027'!$K$5,"EM ANDAMENTO","A INICIAR")))</f>
        <v/>
      </c>
    </row>
    <row r="4882">
      <c r="M4882" s="2">
        <f>IF(C4882="","",IFERROR(INDEX($S$5:$S$304,MATCH(C4882,$R$5:$R$304,0))&amp;"","?"))</f>
        <v/>
      </c>
      <c r="N4882" s="2">
        <f>IF(E4882="","",IF(ISNUMBER(SEARCH("SUBSOLO",E4882)),IFERROR(-VALUE(LEFT(E4882,FIND("º",SUBSTITUTE(E4882,"°","º"))-1)),-1),IF(LEFT(E4882,6)="TÉRREO",0,IFERROR(VALUE(LEFT(E4882,FIND("º",SUBSTITUTE(E4882,"°","º"))-1)),""))))</f>
        <v/>
      </c>
      <c r="O4882" s="2">
        <f>IF(OR(F4882="",G4882=""),"",IF(G4882&lt;='RETRATO 2027'!$K$5,"CONCLUÍDA",IF(F4882&lt;='RETRATO 2027'!$K$5,"EM ANDAMENTO","A INICIAR")))</f>
        <v/>
      </c>
    </row>
    <row r="4883">
      <c r="M4883" s="2">
        <f>IF(C4883="","",IFERROR(INDEX($S$5:$S$304,MATCH(C4883,$R$5:$R$304,0))&amp;"","?"))</f>
        <v/>
      </c>
      <c r="N4883" s="2">
        <f>IF(E4883="","",IF(ISNUMBER(SEARCH("SUBSOLO",E4883)),IFERROR(-VALUE(LEFT(E4883,FIND("º",SUBSTITUTE(E4883,"°","º"))-1)),-1),IF(LEFT(E4883,6)="TÉRREO",0,IFERROR(VALUE(LEFT(E4883,FIND("º",SUBSTITUTE(E4883,"°","º"))-1)),""))))</f>
        <v/>
      </c>
      <c r="O4883" s="2">
        <f>IF(OR(F4883="",G4883=""),"",IF(G4883&lt;='RETRATO 2027'!$K$5,"CONCLUÍDA",IF(F4883&lt;='RETRATO 2027'!$K$5,"EM ANDAMENTO","A INICIAR")))</f>
        <v/>
      </c>
    </row>
    <row r="4884">
      <c r="M4884" s="2">
        <f>IF(C4884="","",IFERROR(INDEX($S$5:$S$304,MATCH(C4884,$R$5:$R$304,0))&amp;"","?"))</f>
        <v/>
      </c>
      <c r="N4884" s="2">
        <f>IF(E4884="","",IF(ISNUMBER(SEARCH("SUBSOLO",E4884)),IFERROR(-VALUE(LEFT(E4884,FIND("º",SUBSTITUTE(E4884,"°","º"))-1)),-1),IF(LEFT(E4884,6)="TÉRREO",0,IFERROR(VALUE(LEFT(E4884,FIND("º",SUBSTITUTE(E4884,"°","º"))-1)),""))))</f>
        <v/>
      </c>
      <c r="O4884" s="2">
        <f>IF(OR(F4884="",G4884=""),"",IF(G4884&lt;='RETRATO 2027'!$K$5,"CONCLUÍDA",IF(F4884&lt;='RETRATO 2027'!$K$5,"EM ANDAMENTO","A INICIAR")))</f>
        <v/>
      </c>
    </row>
    <row r="4885">
      <c r="M4885" s="2">
        <f>IF(C4885="","",IFERROR(INDEX($S$5:$S$304,MATCH(C4885,$R$5:$R$304,0))&amp;"","?"))</f>
        <v/>
      </c>
      <c r="N4885" s="2">
        <f>IF(E4885="","",IF(ISNUMBER(SEARCH("SUBSOLO",E4885)),IFERROR(-VALUE(LEFT(E4885,FIND("º",SUBSTITUTE(E4885,"°","º"))-1)),-1),IF(LEFT(E4885,6)="TÉRREO",0,IFERROR(VALUE(LEFT(E4885,FIND("º",SUBSTITUTE(E4885,"°","º"))-1)),""))))</f>
        <v/>
      </c>
      <c r="O4885" s="2">
        <f>IF(OR(F4885="",G4885=""),"",IF(G4885&lt;='RETRATO 2027'!$K$5,"CONCLUÍDA",IF(F4885&lt;='RETRATO 2027'!$K$5,"EM ANDAMENTO","A INICIAR")))</f>
        <v/>
      </c>
    </row>
    <row r="4886">
      <c r="M4886" s="2">
        <f>IF(C4886="","",IFERROR(INDEX($S$5:$S$304,MATCH(C4886,$R$5:$R$304,0))&amp;"","?"))</f>
        <v/>
      </c>
      <c r="N4886" s="2">
        <f>IF(E4886="","",IF(ISNUMBER(SEARCH("SUBSOLO",E4886)),IFERROR(-VALUE(LEFT(E4886,FIND("º",SUBSTITUTE(E4886,"°","º"))-1)),-1),IF(LEFT(E4886,6)="TÉRREO",0,IFERROR(VALUE(LEFT(E4886,FIND("º",SUBSTITUTE(E4886,"°","º"))-1)),""))))</f>
        <v/>
      </c>
      <c r="O4886" s="2">
        <f>IF(OR(F4886="",G4886=""),"",IF(G4886&lt;='RETRATO 2027'!$K$5,"CONCLUÍDA",IF(F4886&lt;='RETRATO 2027'!$K$5,"EM ANDAMENTO","A INICIAR")))</f>
        <v/>
      </c>
    </row>
    <row r="4887">
      <c r="M4887" s="2">
        <f>IF(C4887="","",IFERROR(INDEX($S$5:$S$304,MATCH(C4887,$R$5:$R$304,0))&amp;"","?"))</f>
        <v/>
      </c>
      <c r="N4887" s="2">
        <f>IF(E4887="","",IF(ISNUMBER(SEARCH("SUBSOLO",E4887)),IFERROR(-VALUE(LEFT(E4887,FIND("º",SUBSTITUTE(E4887,"°","º"))-1)),-1),IF(LEFT(E4887,6)="TÉRREO",0,IFERROR(VALUE(LEFT(E4887,FIND("º",SUBSTITUTE(E4887,"°","º"))-1)),""))))</f>
        <v/>
      </c>
      <c r="O4887" s="2">
        <f>IF(OR(F4887="",G4887=""),"",IF(G4887&lt;='RETRATO 2027'!$K$5,"CONCLUÍDA",IF(F4887&lt;='RETRATO 2027'!$K$5,"EM ANDAMENTO","A INICIAR")))</f>
        <v/>
      </c>
    </row>
    <row r="4888">
      <c r="M4888" s="2">
        <f>IF(C4888="","",IFERROR(INDEX($S$5:$S$304,MATCH(C4888,$R$5:$R$304,0))&amp;"","?"))</f>
        <v/>
      </c>
      <c r="N4888" s="2">
        <f>IF(E4888="","",IF(ISNUMBER(SEARCH("SUBSOLO",E4888)),IFERROR(-VALUE(LEFT(E4888,FIND("º",SUBSTITUTE(E4888,"°","º"))-1)),-1),IF(LEFT(E4888,6)="TÉRREO",0,IFERROR(VALUE(LEFT(E4888,FIND("º",SUBSTITUTE(E4888,"°","º"))-1)),""))))</f>
        <v/>
      </c>
      <c r="O4888" s="2">
        <f>IF(OR(F4888="",G4888=""),"",IF(G4888&lt;='RETRATO 2027'!$K$5,"CONCLUÍDA",IF(F4888&lt;='RETRATO 2027'!$K$5,"EM ANDAMENTO","A INICIAR")))</f>
        <v/>
      </c>
    </row>
    <row r="4889">
      <c r="M4889" s="2">
        <f>IF(C4889="","",IFERROR(INDEX($S$5:$S$304,MATCH(C4889,$R$5:$R$304,0))&amp;"","?"))</f>
        <v/>
      </c>
      <c r="N4889" s="2">
        <f>IF(E4889="","",IF(ISNUMBER(SEARCH("SUBSOLO",E4889)),IFERROR(-VALUE(LEFT(E4889,FIND("º",SUBSTITUTE(E4889,"°","º"))-1)),-1),IF(LEFT(E4889,6)="TÉRREO",0,IFERROR(VALUE(LEFT(E4889,FIND("º",SUBSTITUTE(E4889,"°","º"))-1)),""))))</f>
        <v/>
      </c>
      <c r="O4889" s="2">
        <f>IF(OR(F4889="",G4889=""),"",IF(G4889&lt;='RETRATO 2027'!$K$5,"CONCLUÍDA",IF(F4889&lt;='RETRATO 2027'!$K$5,"EM ANDAMENTO","A INICIAR")))</f>
        <v/>
      </c>
    </row>
    <row r="4890">
      <c r="M4890" s="2">
        <f>IF(C4890="","",IFERROR(INDEX($S$5:$S$304,MATCH(C4890,$R$5:$R$304,0))&amp;"","?"))</f>
        <v/>
      </c>
      <c r="N4890" s="2">
        <f>IF(E4890="","",IF(ISNUMBER(SEARCH("SUBSOLO",E4890)),IFERROR(-VALUE(LEFT(E4890,FIND("º",SUBSTITUTE(E4890,"°","º"))-1)),-1),IF(LEFT(E4890,6)="TÉRREO",0,IFERROR(VALUE(LEFT(E4890,FIND("º",SUBSTITUTE(E4890,"°","º"))-1)),""))))</f>
        <v/>
      </c>
      <c r="O4890" s="2">
        <f>IF(OR(F4890="",G4890=""),"",IF(G4890&lt;='RETRATO 2027'!$K$5,"CONCLUÍDA",IF(F4890&lt;='RETRATO 2027'!$K$5,"EM ANDAMENTO","A INICIAR")))</f>
        <v/>
      </c>
    </row>
    <row r="4891">
      <c r="M4891" s="2">
        <f>IF(C4891="","",IFERROR(INDEX($S$5:$S$304,MATCH(C4891,$R$5:$R$304,0))&amp;"","?"))</f>
        <v/>
      </c>
      <c r="N4891" s="2">
        <f>IF(E4891="","",IF(ISNUMBER(SEARCH("SUBSOLO",E4891)),IFERROR(-VALUE(LEFT(E4891,FIND("º",SUBSTITUTE(E4891,"°","º"))-1)),-1),IF(LEFT(E4891,6)="TÉRREO",0,IFERROR(VALUE(LEFT(E4891,FIND("º",SUBSTITUTE(E4891,"°","º"))-1)),""))))</f>
        <v/>
      </c>
      <c r="O4891" s="2">
        <f>IF(OR(F4891="",G4891=""),"",IF(G4891&lt;='RETRATO 2027'!$K$5,"CONCLUÍDA",IF(F4891&lt;='RETRATO 2027'!$K$5,"EM ANDAMENTO","A INICIAR")))</f>
        <v/>
      </c>
    </row>
    <row r="4892">
      <c r="M4892" s="2">
        <f>IF(C4892="","",IFERROR(INDEX($S$5:$S$304,MATCH(C4892,$R$5:$R$304,0))&amp;"","?"))</f>
        <v/>
      </c>
      <c r="N4892" s="2">
        <f>IF(E4892="","",IF(ISNUMBER(SEARCH("SUBSOLO",E4892)),IFERROR(-VALUE(LEFT(E4892,FIND("º",SUBSTITUTE(E4892,"°","º"))-1)),-1),IF(LEFT(E4892,6)="TÉRREO",0,IFERROR(VALUE(LEFT(E4892,FIND("º",SUBSTITUTE(E4892,"°","º"))-1)),""))))</f>
        <v/>
      </c>
      <c r="O4892" s="2">
        <f>IF(OR(F4892="",G4892=""),"",IF(G4892&lt;='RETRATO 2027'!$K$5,"CONCLUÍDA",IF(F4892&lt;='RETRATO 2027'!$K$5,"EM ANDAMENTO","A INICIAR")))</f>
        <v/>
      </c>
    </row>
    <row r="4893">
      <c r="M4893" s="2">
        <f>IF(C4893="","",IFERROR(INDEX($S$5:$S$304,MATCH(C4893,$R$5:$R$304,0))&amp;"","?"))</f>
        <v/>
      </c>
      <c r="N4893" s="2">
        <f>IF(E4893="","",IF(ISNUMBER(SEARCH("SUBSOLO",E4893)),IFERROR(-VALUE(LEFT(E4893,FIND("º",SUBSTITUTE(E4893,"°","º"))-1)),-1),IF(LEFT(E4893,6)="TÉRREO",0,IFERROR(VALUE(LEFT(E4893,FIND("º",SUBSTITUTE(E4893,"°","º"))-1)),""))))</f>
        <v/>
      </c>
      <c r="O4893" s="2">
        <f>IF(OR(F4893="",G4893=""),"",IF(G4893&lt;='RETRATO 2027'!$K$5,"CONCLUÍDA",IF(F4893&lt;='RETRATO 2027'!$K$5,"EM ANDAMENTO","A INICIAR")))</f>
        <v/>
      </c>
    </row>
    <row r="4894">
      <c r="M4894" s="2">
        <f>IF(C4894="","",IFERROR(INDEX($S$5:$S$304,MATCH(C4894,$R$5:$R$304,0))&amp;"","?"))</f>
        <v/>
      </c>
      <c r="N4894" s="2">
        <f>IF(E4894="","",IF(ISNUMBER(SEARCH("SUBSOLO",E4894)),IFERROR(-VALUE(LEFT(E4894,FIND("º",SUBSTITUTE(E4894,"°","º"))-1)),-1),IF(LEFT(E4894,6)="TÉRREO",0,IFERROR(VALUE(LEFT(E4894,FIND("º",SUBSTITUTE(E4894,"°","º"))-1)),""))))</f>
        <v/>
      </c>
      <c r="O4894" s="2">
        <f>IF(OR(F4894="",G4894=""),"",IF(G4894&lt;='RETRATO 2027'!$K$5,"CONCLUÍDA",IF(F4894&lt;='RETRATO 2027'!$K$5,"EM ANDAMENTO","A INICIAR")))</f>
        <v/>
      </c>
    </row>
    <row r="4895">
      <c r="M4895" s="2">
        <f>IF(C4895="","",IFERROR(INDEX($S$5:$S$304,MATCH(C4895,$R$5:$R$304,0))&amp;"","?"))</f>
        <v/>
      </c>
      <c r="N4895" s="2">
        <f>IF(E4895="","",IF(ISNUMBER(SEARCH("SUBSOLO",E4895)),IFERROR(-VALUE(LEFT(E4895,FIND("º",SUBSTITUTE(E4895,"°","º"))-1)),-1),IF(LEFT(E4895,6)="TÉRREO",0,IFERROR(VALUE(LEFT(E4895,FIND("º",SUBSTITUTE(E4895,"°","º"))-1)),""))))</f>
        <v/>
      </c>
      <c r="O4895" s="2">
        <f>IF(OR(F4895="",G4895=""),"",IF(G4895&lt;='RETRATO 2027'!$K$5,"CONCLUÍDA",IF(F4895&lt;='RETRATO 2027'!$K$5,"EM ANDAMENTO","A INICIAR")))</f>
        <v/>
      </c>
    </row>
    <row r="4896">
      <c r="M4896" s="2">
        <f>IF(C4896="","",IFERROR(INDEX($S$5:$S$304,MATCH(C4896,$R$5:$R$304,0))&amp;"","?"))</f>
        <v/>
      </c>
      <c r="N4896" s="2">
        <f>IF(E4896="","",IF(ISNUMBER(SEARCH("SUBSOLO",E4896)),IFERROR(-VALUE(LEFT(E4896,FIND("º",SUBSTITUTE(E4896,"°","º"))-1)),-1),IF(LEFT(E4896,6)="TÉRREO",0,IFERROR(VALUE(LEFT(E4896,FIND("º",SUBSTITUTE(E4896,"°","º"))-1)),""))))</f>
        <v/>
      </c>
      <c r="O4896" s="2">
        <f>IF(OR(F4896="",G4896=""),"",IF(G4896&lt;='RETRATO 2027'!$K$5,"CONCLUÍDA",IF(F4896&lt;='RETRATO 2027'!$K$5,"EM ANDAMENTO","A INICIAR")))</f>
        <v/>
      </c>
    </row>
    <row r="4897">
      <c r="M4897" s="2">
        <f>IF(C4897="","",IFERROR(INDEX($S$5:$S$304,MATCH(C4897,$R$5:$R$304,0))&amp;"","?"))</f>
        <v/>
      </c>
      <c r="N4897" s="2">
        <f>IF(E4897="","",IF(ISNUMBER(SEARCH("SUBSOLO",E4897)),IFERROR(-VALUE(LEFT(E4897,FIND("º",SUBSTITUTE(E4897,"°","º"))-1)),-1),IF(LEFT(E4897,6)="TÉRREO",0,IFERROR(VALUE(LEFT(E4897,FIND("º",SUBSTITUTE(E4897,"°","º"))-1)),""))))</f>
        <v/>
      </c>
      <c r="O4897" s="2">
        <f>IF(OR(F4897="",G4897=""),"",IF(G4897&lt;='RETRATO 2027'!$K$5,"CONCLUÍDA",IF(F4897&lt;='RETRATO 2027'!$K$5,"EM ANDAMENTO","A INICIAR")))</f>
        <v/>
      </c>
    </row>
    <row r="4898">
      <c r="M4898" s="2">
        <f>IF(C4898="","",IFERROR(INDEX($S$5:$S$304,MATCH(C4898,$R$5:$R$304,0))&amp;"","?"))</f>
        <v/>
      </c>
      <c r="N4898" s="2">
        <f>IF(E4898="","",IF(ISNUMBER(SEARCH("SUBSOLO",E4898)),IFERROR(-VALUE(LEFT(E4898,FIND("º",SUBSTITUTE(E4898,"°","º"))-1)),-1),IF(LEFT(E4898,6)="TÉRREO",0,IFERROR(VALUE(LEFT(E4898,FIND("º",SUBSTITUTE(E4898,"°","º"))-1)),""))))</f>
        <v/>
      </c>
      <c r="O4898" s="2">
        <f>IF(OR(F4898="",G4898=""),"",IF(G4898&lt;='RETRATO 2027'!$K$5,"CONCLUÍDA",IF(F4898&lt;='RETRATO 2027'!$K$5,"EM ANDAMENTO","A INICIAR")))</f>
        <v/>
      </c>
    </row>
    <row r="4899">
      <c r="M4899" s="2">
        <f>IF(C4899="","",IFERROR(INDEX($S$5:$S$304,MATCH(C4899,$R$5:$R$304,0))&amp;"","?"))</f>
        <v/>
      </c>
      <c r="N4899" s="2">
        <f>IF(E4899="","",IF(ISNUMBER(SEARCH("SUBSOLO",E4899)),IFERROR(-VALUE(LEFT(E4899,FIND("º",SUBSTITUTE(E4899,"°","º"))-1)),-1),IF(LEFT(E4899,6)="TÉRREO",0,IFERROR(VALUE(LEFT(E4899,FIND("º",SUBSTITUTE(E4899,"°","º"))-1)),""))))</f>
        <v/>
      </c>
      <c r="O4899" s="2">
        <f>IF(OR(F4899="",G4899=""),"",IF(G4899&lt;='RETRATO 2027'!$K$5,"CONCLUÍDA",IF(F4899&lt;='RETRATO 2027'!$K$5,"EM ANDAMENTO","A INICIAR")))</f>
        <v/>
      </c>
    </row>
    <row r="4900">
      <c r="M4900" s="2">
        <f>IF(C4900="","",IFERROR(INDEX($S$5:$S$304,MATCH(C4900,$R$5:$R$304,0))&amp;"","?"))</f>
        <v/>
      </c>
      <c r="N4900" s="2">
        <f>IF(E4900="","",IF(ISNUMBER(SEARCH("SUBSOLO",E4900)),IFERROR(-VALUE(LEFT(E4900,FIND("º",SUBSTITUTE(E4900,"°","º"))-1)),-1),IF(LEFT(E4900,6)="TÉRREO",0,IFERROR(VALUE(LEFT(E4900,FIND("º",SUBSTITUTE(E4900,"°","º"))-1)),""))))</f>
        <v/>
      </c>
      <c r="O4900" s="2">
        <f>IF(OR(F4900="",G4900=""),"",IF(G4900&lt;='RETRATO 2027'!$K$5,"CONCLUÍDA",IF(F4900&lt;='RETRATO 2027'!$K$5,"EM ANDAMENTO","A INICIAR")))</f>
        <v/>
      </c>
    </row>
    <row r="4901">
      <c r="M4901" s="2">
        <f>IF(C4901="","",IFERROR(INDEX($S$5:$S$304,MATCH(C4901,$R$5:$R$304,0))&amp;"","?"))</f>
        <v/>
      </c>
      <c r="N4901" s="2">
        <f>IF(E4901="","",IF(ISNUMBER(SEARCH("SUBSOLO",E4901)),IFERROR(-VALUE(LEFT(E4901,FIND("º",SUBSTITUTE(E4901,"°","º"))-1)),-1),IF(LEFT(E4901,6)="TÉRREO",0,IFERROR(VALUE(LEFT(E4901,FIND("º",SUBSTITUTE(E4901,"°","º"))-1)),""))))</f>
        <v/>
      </c>
      <c r="O4901" s="2">
        <f>IF(OR(F4901="",G4901=""),"",IF(G4901&lt;='RETRATO 2027'!$K$5,"CONCLUÍDA",IF(F4901&lt;='RETRATO 2027'!$K$5,"EM ANDAMENTO","A INICIAR")))</f>
        <v/>
      </c>
    </row>
    <row r="4902">
      <c r="M4902" s="2">
        <f>IF(C4902="","",IFERROR(INDEX($S$5:$S$304,MATCH(C4902,$R$5:$R$304,0))&amp;"","?"))</f>
        <v/>
      </c>
      <c r="N4902" s="2">
        <f>IF(E4902="","",IF(ISNUMBER(SEARCH("SUBSOLO",E4902)),IFERROR(-VALUE(LEFT(E4902,FIND("º",SUBSTITUTE(E4902,"°","º"))-1)),-1),IF(LEFT(E4902,6)="TÉRREO",0,IFERROR(VALUE(LEFT(E4902,FIND("º",SUBSTITUTE(E4902,"°","º"))-1)),""))))</f>
        <v/>
      </c>
      <c r="O4902" s="2">
        <f>IF(OR(F4902="",G4902=""),"",IF(G4902&lt;='RETRATO 2027'!$K$5,"CONCLUÍDA",IF(F4902&lt;='RETRATO 2027'!$K$5,"EM ANDAMENTO","A INICIAR")))</f>
        <v/>
      </c>
    </row>
    <row r="4903">
      <c r="M4903" s="2">
        <f>IF(C4903="","",IFERROR(INDEX($S$5:$S$304,MATCH(C4903,$R$5:$R$304,0))&amp;"","?"))</f>
        <v/>
      </c>
      <c r="N4903" s="2">
        <f>IF(E4903="","",IF(ISNUMBER(SEARCH("SUBSOLO",E4903)),IFERROR(-VALUE(LEFT(E4903,FIND("º",SUBSTITUTE(E4903,"°","º"))-1)),-1),IF(LEFT(E4903,6)="TÉRREO",0,IFERROR(VALUE(LEFT(E4903,FIND("º",SUBSTITUTE(E4903,"°","º"))-1)),""))))</f>
        <v/>
      </c>
      <c r="O4903" s="2">
        <f>IF(OR(F4903="",G4903=""),"",IF(G4903&lt;='RETRATO 2027'!$K$5,"CONCLUÍDA",IF(F4903&lt;='RETRATO 2027'!$K$5,"EM ANDAMENTO","A INICIAR")))</f>
        <v/>
      </c>
    </row>
    <row r="4904">
      <c r="M4904" s="2">
        <f>IF(C4904="","",IFERROR(INDEX($S$5:$S$304,MATCH(C4904,$R$5:$R$304,0))&amp;"","?"))</f>
        <v/>
      </c>
      <c r="N4904" s="2">
        <f>IF(E4904="","",IF(ISNUMBER(SEARCH("SUBSOLO",E4904)),IFERROR(-VALUE(LEFT(E4904,FIND("º",SUBSTITUTE(E4904,"°","º"))-1)),-1),IF(LEFT(E4904,6)="TÉRREO",0,IFERROR(VALUE(LEFT(E4904,FIND("º",SUBSTITUTE(E4904,"°","º"))-1)),""))))</f>
        <v/>
      </c>
      <c r="O4904" s="2">
        <f>IF(OR(F4904="",G4904=""),"",IF(G4904&lt;='RETRATO 2027'!$K$5,"CONCLUÍDA",IF(F4904&lt;='RETRATO 2027'!$K$5,"EM ANDAMENTO","A INICIAR")))</f>
        <v/>
      </c>
    </row>
    <row r="4905">
      <c r="M4905" s="2">
        <f>IF(C4905="","",IFERROR(INDEX($S$5:$S$304,MATCH(C4905,$R$5:$R$304,0))&amp;"","?"))</f>
        <v/>
      </c>
      <c r="N4905" s="2">
        <f>IF(E4905="","",IF(ISNUMBER(SEARCH("SUBSOLO",E4905)),IFERROR(-VALUE(LEFT(E4905,FIND("º",SUBSTITUTE(E4905,"°","º"))-1)),-1),IF(LEFT(E4905,6)="TÉRREO",0,IFERROR(VALUE(LEFT(E4905,FIND("º",SUBSTITUTE(E4905,"°","º"))-1)),""))))</f>
        <v/>
      </c>
      <c r="O4905" s="2">
        <f>IF(OR(F4905="",G4905=""),"",IF(G4905&lt;='RETRATO 2027'!$K$5,"CONCLUÍDA",IF(F4905&lt;='RETRATO 2027'!$K$5,"EM ANDAMENTO","A INICIAR")))</f>
        <v/>
      </c>
    </row>
    <row r="4906">
      <c r="M4906" s="2">
        <f>IF(C4906="","",IFERROR(INDEX($S$5:$S$304,MATCH(C4906,$R$5:$R$304,0))&amp;"","?"))</f>
        <v/>
      </c>
      <c r="N4906" s="2">
        <f>IF(E4906="","",IF(ISNUMBER(SEARCH("SUBSOLO",E4906)),IFERROR(-VALUE(LEFT(E4906,FIND("º",SUBSTITUTE(E4906,"°","º"))-1)),-1),IF(LEFT(E4906,6)="TÉRREO",0,IFERROR(VALUE(LEFT(E4906,FIND("º",SUBSTITUTE(E4906,"°","º"))-1)),""))))</f>
        <v/>
      </c>
      <c r="O4906" s="2">
        <f>IF(OR(F4906="",G4906=""),"",IF(G4906&lt;='RETRATO 2027'!$K$5,"CONCLUÍDA",IF(F4906&lt;='RETRATO 2027'!$K$5,"EM ANDAMENTO","A INICIAR")))</f>
        <v/>
      </c>
    </row>
    <row r="4907">
      <c r="M4907" s="2">
        <f>IF(C4907="","",IFERROR(INDEX($S$5:$S$304,MATCH(C4907,$R$5:$R$304,0))&amp;"","?"))</f>
        <v/>
      </c>
      <c r="N4907" s="2">
        <f>IF(E4907="","",IF(ISNUMBER(SEARCH("SUBSOLO",E4907)),IFERROR(-VALUE(LEFT(E4907,FIND("º",SUBSTITUTE(E4907,"°","º"))-1)),-1),IF(LEFT(E4907,6)="TÉRREO",0,IFERROR(VALUE(LEFT(E4907,FIND("º",SUBSTITUTE(E4907,"°","º"))-1)),""))))</f>
        <v/>
      </c>
      <c r="O4907" s="2">
        <f>IF(OR(F4907="",G4907=""),"",IF(G4907&lt;='RETRATO 2027'!$K$5,"CONCLUÍDA",IF(F4907&lt;='RETRATO 2027'!$K$5,"EM ANDAMENTO","A INICIAR")))</f>
        <v/>
      </c>
    </row>
    <row r="4908">
      <c r="M4908" s="2">
        <f>IF(C4908="","",IFERROR(INDEX($S$5:$S$304,MATCH(C4908,$R$5:$R$304,0))&amp;"","?"))</f>
        <v/>
      </c>
      <c r="N4908" s="2">
        <f>IF(E4908="","",IF(ISNUMBER(SEARCH("SUBSOLO",E4908)),IFERROR(-VALUE(LEFT(E4908,FIND("º",SUBSTITUTE(E4908,"°","º"))-1)),-1),IF(LEFT(E4908,6)="TÉRREO",0,IFERROR(VALUE(LEFT(E4908,FIND("º",SUBSTITUTE(E4908,"°","º"))-1)),""))))</f>
        <v/>
      </c>
      <c r="O4908" s="2">
        <f>IF(OR(F4908="",G4908=""),"",IF(G4908&lt;='RETRATO 2027'!$K$5,"CONCLUÍDA",IF(F4908&lt;='RETRATO 2027'!$K$5,"EM ANDAMENTO","A INICIAR")))</f>
        <v/>
      </c>
    </row>
    <row r="4909">
      <c r="M4909" s="2">
        <f>IF(C4909="","",IFERROR(INDEX($S$5:$S$304,MATCH(C4909,$R$5:$R$304,0))&amp;"","?"))</f>
        <v/>
      </c>
      <c r="N4909" s="2">
        <f>IF(E4909="","",IF(ISNUMBER(SEARCH("SUBSOLO",E4909)),IFERROR(-VALUE(LEFT(E4909,FIND("º",SUBSTITUTE(E4909,"°","º"))-1)),-1),IF(LEFT(E4909,6)="TÉRREO",0,IFERROR(VALUE(LEFT(E4909,FIND("º",SUBSTITUTE(E4909,"°","º"))-1)),""))))</f>
        <v/>
      </c>
      <c r="O4909" s="2">
        <f>IF(OR(F4909="",G4909=""),"",IF(G4909&lt;='RETRATO 2027'!$K$5,"CONCLUÍDA",IF(F4909&lt;='RETRATO 2027'!$K$5,"EM ANDAMENTO","A INICIAR")))</f>
        <v/>
      </c>
    </row>
    <row r="4910">
      <c r="M4910" s="2">
        <f>IF(C4910="","",IFERROR(INDEX($S$5:$S$304,MATCH(C4910,$R$5:$R$304,0))&amp;"","?"))</f>
        <v/>
      </c>
      <c r="N4910" s="2">
        <f>IF(E4910="","",IF(ISNUMBER(SEARCH("SUBSOLO",E4910)),IFERROR(-VALUE(LEFT(E4910,FIND("º",SUBSTITUTE(E4910,"°","º"))-1)),-1),IF(LEFT(E4910,6)="TÉRREO",0,IFERROR(VALUE(LEFT(E4910,FIND("º",SUBSTITUTE(E4910,"°","º"))-1)),""))))</f>
        <v/>
      </c>
      <c r="O4910" s="2">
        <f>IF(OR(F4910="",G4910=""),"",IF(G4910&lt;='RETRATO 2027'!$K$5,"CONCLUÍDA",IF(F4910&lt;='RETRATO 2027'!$K$5,"EM ANDAMENTO","A INICIAR")))</f>
        <v/>
      </c>
    </row>
    <row r="4911">
      <c r="M4911" s="2">
        <f>IF(C4911="","",IFERROR(INDEX($S$5:$S$304,MATCH(C4911,$R$5:$R$304,0))&amp;"","?"))</f>
        <v/>
      </c>
      <c r="N4911" s="2">
        <f>IF(E4911="","",IF(ISNUMBER(SEARCH("SUBSOLO",E4911)),IFERROR(-VALUE(LEFT(E4911,FIND("º",SUBSTITUTE(E4911,"°","º"))-1)),-1),IF(LEFT(E4911,6)="TÉRREO",0,IFERROR(VALUE(LEFT(E4911,FIND("º",SUBSTITUTE(E4911,"°","º"))-1)),""))))</f>
        <v/>
      </c>
      <c r="O4911" s="2">
        <f>IF(OR(F4911="",G4911=""),"",IF(G4911&lt;='RETRATO 2027'!$K$5,"CONCLUÍDA",IF(F4911&lt;='RETRATO 2027'!$K$5,"EM ANDAMENTO","A INICIAR")))</f>
        <v/>
      </c>
    </row>
    <row r="4912">
      <c r="M4912" s="2">
        <f>IF(C4912="","",IFERROR(INDEX($S$5:$S$304,MATCH(C4912,$R$5:$R$304,0))&amp;"","?"))</f>
        <v/>
      </c>
      <c r="N4912" s="2">
        <f>IF(E4912="","",IF(ISNUMBER(SEARCH("SUBSOLO",E4912)),IFERROR(-VALUE(LEFT(E4912,FIND("º",SUBSTITUTE(E4912,"°","º"))-1)),-1),IF(LEFT(E4912,6)="TÉRREO",0,IFERROR(VALUE(LEFT(E4912,FIND("º",SUBSTITUTE(E4912,"°","º"))-1)),""))))</f>
        <v/>
      </c>
      <c r="O4912" s="2">
        <f>IF(OR(F4912="",G4912=""),"",IF(G4912&lt;='RETRATO 2027'!$K$5,"CONCLUÍDA",IF(F4912&lt;='RETRATO 2027'!$K$5,"EM ANDAMENTO","A INICIAR")))</f>
        <v/>
      </c>
    </row>
    <row r="4913">
      <c r="M4913" s="2">
        <f>IF(C4913="","",IFERROR(INDEX($S$5:$S$304,MATCH(C4913,$R$5:$R$304,0))&amp;"","?"))</f>
        <v/>
      </c>
      <c r="N4913" s="2">
        <f>IF(E4913="","",IF(ISNUMBER(SEARCH("SUBSOLO",E4913)),IFERROR(-VALUE(LEFT(E4913,FIND("º",SUBSTITUTE(E4913,"°","º"))-1)),-1),IF(LEFT(E4913,6)="TÉRREO",0,IFERROR(VALUE(LEFT(E4913,FIND("º",SUBSTITUTE(E4913,"°","º"))-1)),""))))</f>
        <v/>
      </c>
      <c r="O4913" s="2">
        <f>IF(OR(F4913="",G4913=""),"",IF(G4913&lt;='RETRATO 2027'!$K$5,"CONCLUÍDA",IF(F4913&lt;='RETRATO 2027'!$K$5,"EM ANDAMENTO","A INICIAR")))</f>
        <v/>
      </c>
    </row>
    <row r="4914">
      <c r="M4914" s="2">
        <f>IF(C4914="","",IFERROR(INDEX($S$5:$S$304,MATCH(C4914,$R$5:$R$304,0))&amp;"","?"))</f>
        <v/>
      </c>
      <c r="N4914" s="2">
        <f>IF(E4914="","",IF(ISNUMBER(SEARCH("SUBSOLO",E4914)),IFERROR(-VALUE(LEFT(E4914,FIND("º",SUBSTITUTE(E4914,"°","º"))-1)),-1),IF(LEFT(E4914,6)="TÉRREO",0,IFERROR(VALUE(LEFT(E4914,FIND("º",SUBSTITUTE(E4914,"°","º"))-1)),""))))</f>
        <v/>
      </c>
      <c r="O4914" s="2">
        <f>IF(OR(F4914="",G4914=""),"",IF(G4914&lt;='RETRATO 2027'!$K$5,"CONCLUÍDA",IF(F4914&lt;='RETRATO 2027'!$K$5,"EM ANDAMENTO","A INICIAR")))</f>
        <v/>
      </c>
    </row>
    <row r="4915">
      <c r="M4915" s="2">
        <f>IF(C4915="","",IFERROR(INDEX($S$5:$S$304,MATCH(C4915,$R$5:$R$304,0))&amp;"","?"))</f>
        <v/>
      </c>
      <c r="N4915" s="2">
        <f>IF(E4915="","",IF(ISNUMBER(SEARCH("SUBSOLO",E4915)),IFERROR(-VALUE(LEFT(E4915,FIND("º",SUBSTITUTE(E4915,"°","º"))-1)),-1),IF(LEFT(E4915,6)="TÉRREO",0,IFERROR(VALUE(LEFT(E4915,FIND("º",SUBSTITUTE(E4915,"°","º"))-1)),""))))</f>
        <v/>
      </c>
      <c r="O4915" s="2">
        <f>IF(OR(F4915="",G4915=""),"",IF(G4915&lt;='RETRATO 2027'!$K$5,"CONCLUÍDA",IF(F4915&lt;='RETRATO 2027'!$K$5,"EM ANDAMENTO","A INICIAR")))</f>
        <v/>
      </c>
    </row>
    <row r="4916">
      <c r="M4916" s="2">
        <f>IF(C4916="","",IFERROR(INDEX($S$5:$S$304,MATCH(C4916,$R$5:$R$304,0))&amp;"","?"))</f>
        <v/>
      </c>
      <c r="N4916" s="2">
        <f>IF(E4916="","",IF(ISNUMBER(SEARCH("SUBSOLO",E4916)),IFERROR(-VALUE(LEFT(E4916,FIND("º",SUBSTITUTE(E4916,"°","º"))-1)),-1),IF(LEFT(E4916,6)="TÉRREO",0,IFERROR(VALUE(LEFT(E4916,FIND("º",SUBSTITUTE(E4916,"°","º"))-1)),""))))</f>
        <v/>
      </c>
      <c r="O4916" s="2">
        <f>IF(OR(F4916="",G4916=""),"",IF(G4916&lt;='RETRATO 2027'!$K$5,"CONCLUÍDA",IF(F4916&lt;='RETRATO 2027'!$K$5,"EM ANDAMENTO","A INICIAR")))</f>
        <v/>
      </c>
    </row>
    <row r="4917">
      <c r="M4917" s="2">
        <f>IF(C4917="","",IFERROR(INDEX($S$5:$S$304,MATCH(C4917,$R$5:$R$304,0))&amp;"","?"))</f>
        <v/>
      </c>
      <c r="N4917" s="2">
        <f>IF(E4917="","",IF(ISNUMBER(SEARCH("SUBSOLO",E4917)),IFERROR(-VALUE(LEFT(E4917,FIND("º",SUBSTITUTE(E4917,"°","º"))-1)),-1),IF(LEFT(E4917,6)="TÉRREO",0,IFERROR(VALUE(LEFT(E4917,FIND("º",SUBSTITUTE(E4917,"°","º"))-1)),""))))</f>
        <v/>
      </c>
      <c r="O4917" s="2">
        <f>IF(OR(F4917="",G4917=""),"",IF(G4917&lt;='RETRATO 2027'!$K$5,"CONCLUÍDA",IF(F4917&lt;='RETRATO 2027'!$K$5,"EM ANDAMENTO","A INICIAR")))</f>
        <v/>
      </c>
    </row>
    <row r="4918">
      <c r="M4918" s="2">
        <f>IF(C4918="","",IFERROR(INDEX($S$5:$S$304,MATCH(C4918,$R$5:$R$304,0))&amp;"","?"))</f>
        <v/>
      </c>
      <c r="N4918" s="2">
        <f>IF(E4918="","",IF(ISNUMBER(SEARCH("SUBSOLO",E4918)),IFERROR(-VALUE(LEFT(E4918,FIND("º",SUBSTITUTE(E4918,"°","º"))-1)),-1),IF(LEFT(E4918,6)="TÉRREO",0,IFERROR(VALUE(LEFT(E4918,FIND("º",SUBSTITUTE(E4918,"°","º"))-1)),""))))</f>
        <v/>
      </c>
      <c r="O4918" s="2">
        <f>IF(OR(F4918="",G4918=""),"",IF(G4918&lt;='RETRATO 2027'!$K$5,"CONCLUÍDA",IF(F4918&lt;='RETRATO 2027'!$K$5,"EM ANDAMENTO","A INICIAR")))</f>
        <v/>
      </c>
    </row>
    <row r="4919">
      <c r="M4919" s="2">
        <f>IF(C4919="","",IFERROR(INDEX($S$5:$S$304,MATCH(C4919,$R$5:$R$304,0))&amp;"","?"))</f>
        <v/>
      </c>
      <c r="N4919" s="2">
        <f>IF(E4919="","",IF(ISNUMBER(SEARCH("SUBSOLO",E4919)),IFERROR(-VALUE(LEFT(E4919,FIND("º",SUBSTITUTE(E4919,"°","º"))-1)),-1),IF(LEFT(E4919,6)="TÉRREO",0,IFERROR(VALUE(LEFT(E4919,FIND("º",SUBSTITUTE(E4919,"°","º"))-1)),""))))</f>
        <v/>
      </c>
      <c r="O4919" s="2">
        <f>IF(OR(F4919="",G4919=""),"",IF(G4919&lt;='RETRATO 2027'!$K$5,"CONCLUÍDA",IF(F4919&lt;='RETRATO 2027'!$K$5,"EM ANDAMENTO","A INICIAR")))</f>
        <v/>
      </c>
    </row>
    <row r="4920">
      <c r="M4920" s="2">
        <f>IF(C4920="","",IFERROR(INDEX($S$5:$S$304,MATCH(C4920,$R$5:$R$304,0))&amp;"","?"))</f>
        <v/>
      </c>
      <c r="N4920" s="2">
        <f>IF(E4920="","",IF(ISNUMBER(SEARCH("SUBSOLO",E4920)),IFERROR(-VALUE(LEFT(E4920,FIND("º",SUBSTITUTE(E4920,"°","º"))-1)),-1),IF(LEFT(E4920,6)="TÉRREO",0,IFERROR(VALUE(LEFT(E4920,FIND("º",SUBSTITUTE(E4920,"°","º"))-1)),""))))</f>
        <v/>
      </c>
      <c r="O4920" s="2">
        <f>IF(OR(F4920="",G4920=""),"",IF(G4920&lt;='RETRATO 2027'!$K$5,"CONCLUÍDA",IF(F4920&lt;='RETRATO 2027'!$K$5,"EM ANDAMENTO","A INICIAR")))</f>
        <v/>
      </c>
    </row>
    <row r="4921">
      <c r="M4921" s="2">
        <f>IF(C4921="","",IFERROR(INDEX($S$5:$S$304,MATCH(C4921,$R$5:$R$304,0))&amp;"","?"))</f>
        <v/>
      </c>
      <c r="N4921" s="2">
        <f>IF(E4921="","",IF(ISNUMBER(SEARCH("SUBSOLO",E4921)),IFERROR(-VALUE(LEFT(E4921,FIND("º",SUBSTITUTE(E4921,"°","º"))-1)),-1),IF(LEFT(E4921,6)="TÉRREO",0,IFERROR(VALUE(LEFT(E4921,FIND("º",SUBSTITUTE(E4921,"°","º"))-1)),""))))</f>
        <v/>
      </c>
      <c r="O4921" s="2">
        <f>IF(OR(F4921="",G4921=""),"",IF(G4921&lt;='RETRATO 2027'!$K$5,"CONCLUÍDA",IF(F4921&lt;='RETRATO 2027'!$K$5,"EM ANDAMENTO","A INICIAR")))</f>
        <v/>
      </c>
    </row>
    <row r="4922">
      <c r="M4922" s="2">
        <f>IF(C4922="","",IFERROR(INDEX($S$5:$S$304,MATCH(C4922,$R$5:$R$304,0))&amp;"","?"))</f>
        <v/>
      </c>
      <c r="N4922" s="2">
        <f>IF(E4922="","",IF(ISNUMBER(SEARCH("SUBSOLO",E4922)),IFERROR(-VALUE(LEFT(E4922,FIND("º",SUBSTITUTE(E4922,"°","º"))-1)),-1),IF(LEFT(E4922,6)="TÉRREO",0,IFERROR(VALUE(LEFT(E4922,FIND("º",SUBSTITUTE(E4922,"°","º"))-1)),""))))</f>
        <v/>
      </c>
      <c r="O4922" s="2">
        <f>IF(OR(F4922="",G4922=""),"",IF(G4922&lt;='RETRATO 2027'!$K$5,"CONCLUÍDA",IF(F4922&lt;='RETRATO 2027'!$K$5,"EM ANDAMENTO","A INICIAR")))</f>
        <v/>
      </c>
    </row>
    <row r="4923">
      <c r="M4923" s="2">
        <f>IF(C4923="","",IFERROR(INDEX($S$5:$S$304,MATCH(C4923,$R$5:$R$304,0))&amp;"","?"))</f>
        <v/>
      </c>
      <c r="N4923" s="2">
        <f>IF(E4923="","",IF(ISNUMBER(SEARCH("SUBSOLO",E4923)),IFERROR(-VALUE(LEFT(E4923,FIND("º",SUBSTITUTE(E4923,"°","º"))-1)),-1),IF(LEFT(E4923,6)="TÉRREO",0,IFERROR(VALUE(LEFT(E4923,FIND("º",SUBSTITUTE(E4923,"°","º"))-1)),""))))</f>
        <v/>
      </c>
      <c r="O4923" s="2">
        <f>IF(OR(F4923="",G4923=""),"",IF(G4923&lt;='RETRATO 2027'!$K$5,"CONCLUÍDA",IF(F4923&lt;='RETRATO 2027'!$K$5,"EM ANDAMENTO","A INICIAR")))</f>
        <v/>
      </c>
    </row>
    <row r="4924">
      <c r="M4924" s="2">
        <f>IF(C4924="","",IFERROR(INDEX($S$5:$S$304,MATCH(C4924,$R$5:$R$304,0))&amp;"","?"))</f>
        <v/>
      </c>
      <c r="N4924" s="2">
        <f>IF(E4924="","",IF(ISNUMBER(SEARCH("SUBSOLO",E4924)),IFERROR(-VALUE(LEFT(E4924,FIND("º",SUBSTITUTE(E4924,"°","º"))-1)),-1),IF(LEFT(E4924,6)="TÉRREO",0,IFERROR(VALUE(LEFT(E4924,FIND("º",SUBSTITUTE(E4924,"°","º"))-1)),""))))</f>
        <v/>
      </c>
      <c r="O4924" s="2">
        <f>IF(OR(F4924="",G4924=""),"",IF(G4924&lt;='RETRATO 2027'!$K$5,"CONCLUÍDA",IF(F4924&lt;='RETRATO 2027'!$K$5,"EM ANDAMENTO","A INICIAR")))</f>
        <v/>
      </c>
    </row>
    <row r="4925">
      <c r="M4925" s="2">
        <f>IF(C4925="","",IFERROR(INDEX($S$5:$S$304,MATCH(C4925,$R$5:$R$304,0))&amp;"","?"))</f>
        <v/>
      </c>
      <c r="N4925" s="2">
        <f>IF(E4925="","",IF(ISNUMBER(SEARCH("SUBSOLO",E4925)),IFERROR(-VALUE(LEFT(E4925,FIND("º",SUBSTITUTE(E4925,"°","º"))-1)),-1),IF(LEFT(E4925,6)="TÉRREO",0,IFERROR(VALUE(LEFT(E4925,FIND("º",SUBSTITUTE(E4925,"°","º"))-1)),""))))</f>
        <v/>
      </c>
      <c r="O4925" s="2">
        <f>IF(OR(F4925="",G4925=""),"",IF(G4925&lt;='RETRATO 2027'!$K$5,"CONCLUÍDA",IF(F4925&lt;='RETRATO 2027'!$K$5,"EM ANDAMENTO","A INICIAR")))</f>
        <v/>
      </c>
    </row>
    <row r="4926">
      <c r="M4926" s="2">
        <f>IF(C4926="","",IFERROR(INDEX($S$5:$S$304,MATCH(C4926,$R$5:$R$304,0))&amp;"","?"))</f>
        <v/>
      </c>
      <c r="N4926" s="2">
        <f>IF(E4926="","",IF(ISNUMBER(SEARCH("SUBSOLO",E4926)),IFERROR(-VALUE(LEFT(E4926,FIND("º",SUBSTITUTE(E4926,"°","º"))-1)),-1),IF(LEFT(E4926,6)="TÉRREO",0,IFERROR(VALUE(LEFT(E4926,FIND("º",SUBSTITUTE(E4926,"°","º"))-1)),""))))</f>
        <v/>
      </c>
      <c r="O4926" s="2">
        <f>IF(OR(F4926="",G4926=""),"",IF(G4926&lt;='RETRATO 2027'!$K$5,"CONCLUÍDA",IF(F4926&lt;='RETRATO 2027'!$K$5,"EM ANDAMENTO","A INICIAR")))</f>
        <v/>
      </c>
    </row>
    <row r="4927">
      <c r="M4927" s="2">
        <f>IF(C4927="","",IFERROR(INDEX($S$5:$S$304,MATCH(C4927,$R$5:$R$304,0))&amp;"","?"))</f>
        <v/>
      </c>
      <c r="N4927" s="2">
        <f>IF(E4927="","",IF(ISNUMBER(SEARCH("SUBSOLO",E4927)),IFERROR(-VALUE(LEFT(E4927,FIND("º",SUBSTITUTE(E4927,"°","º"))-1)),-1),IF(LEFT(E4927,6)="TÉRREO",0,IFERROR(VALUE(LEFT(E4927,FIND("º",SUBSTITUTE(E4927,"°","º"))-1)),""))))</f>
        <v/>
      </c>
      <c r="O4927" s="2">
        <f>IF(OR(F4927="",G4927=""),"",IF(G4927&lt;='RETRATO 2027'!$K$5,"CONCLUÍDA",IF(F4927&lt;='RETRATO 2027'!$K$5,"EM ANDAMENTO","A INICIAR")))</f>
        <v/>
      </c>
    </row>
    <row r="4928">
      <c r="M4928" s="2">
        <f>IF(C4928="","",IFERROR(INDEX($S$5:$S$304,MATCH(C4928,$R$5:$R$304,0))&amp;"","?"))</f>
        <v/>
      </c>
      <c r="N4928" s="2">
        <f>IF(E4928="","",IF(ISNUMBER(SEARCH("SUBSOLO",E4928)),IFERROR(-VALUE(LEFT(E4928,FIND("º",SUBSTITUTE(E4928,"°","º"))-1)),-1),IF(LEFT(E4928,6)="TÉRREO",0,IFERROR(VALUE(LEFT(E4928,FIND("º",SUBSTITUTE(E4928,"°","º"))-1)),""))))</f>
        <v/>
      </c>
      <c r="O4928" s="2">
        <f>IF(OR(F4928="",G4928=""),"",IF(G4928&lt;='RETRATO 2027'!$K$5,"CONCLUÍDA",IF(F4928&lt;='RETRATO 2027'!$K$5,"EM ANDAMENTO","A INICIAR")))</f>
        <v/>
      </c>
    </row>
    <row r="4929">
      <c r="M4929" s="2">
        <f>IF(C4929="","",IFERROR(INDEX($S$5:$S$304,MATCH(C4929,$R$5:$R$304,0))&amp;"","?"))</f>
        <v/>
      </c>
      <c r="N4929" s="2">
        <f>IF(E4929="","",IF(ISNUMBER(SEARCH("SUBSOLO",E4929)),IFERROR(-VALUE(LEFT(E4929,FIND("º",SUBSTITUTE(E4929,"°","º"))-1)),-1),IF(LEFT(E4929,6)="TÉRREO",0,IFERROR(VALUE(LEFT(E4929,FIND("º",SUBSTITUTE(E4929,"°","º"))-1)),""))))</f>
        <v/>
      </c>
      <c r="O4929" s="2">
        <f>IF(OR(F4929="",G4929=""),"",IF(G4929&lt;='RETRATO 2027'!$K$5,"CONCLUÍDA",IF(F4929&lt;='RETRATO 2027'!$K$5,"EM ANDAMENTO","A INICIAR")))</f>
        <v/>
      </c>
    </row>
    <row r="4930">
      <c r="M4930" s="2">
        <f>IF(C4930="","",IFERROR(INDEX($S$5:$S$304,MATCH(C4930,$R$5:$R$304,0))&amp;"","?"))</f>
        <v/>
      </c>
      <c r="N4930" s="2">
        <f>IF(E4930="","",IF(ISNUMBER(SEARCH("SUBSOLO",E4930)),IFERROR(-VALUE(LEFT(E4930,FIND("º",SUBSTITUTE(E4930,"°","º"))-1)),-1),IF(LEFT(E4930,6)="TÉRREO",0,IFERROR(VALUE(LEFT(E4930,FIND("º",SUBSTITUTE(E4930,"°","º"))-1)),""))))</f>
        <v/>
      </c>
      <c r="O4930" s="2">
        <f>IF(OR(F4930="",G4930=""),"",IF(G4930&lt;='RETRATO 2027'!$K$5,"CONCLUÍDA",IF(F4930&lt;='RETRATO 2027'!$K$5,"EM ANDAMENTO","A INICIAR")))</f>
        <v/>
      </c>
    </row>
    <row r="4931">
      <c r="M4931" s="2">
        <f>IF(C4931="","",IFERROR(INDEX($S$5:$S$304,MATCH(C4931,$R$5:$R$304,0))&amp;"","?"))</f>
        <v/>
      </c>
      <c r="N4931" s="2">
        <f>IF(E4931="","",IF(ISNUMBER(SEARCH("SUBSOLO",E4931)),IFERROR(-VALUE(LEFT(E4931,FIND("º",SUBSTITUTE(E4931,"°","º"))-1)),-1),IF(LEFT(E4931,6)="TÉRREO",0,IFERROR(VALUE(LEFT(E4931,FIND("º",SUBSTITUTE(E4931,"°","º"))-1)),""))))</f>
        <v/>
      </c>
      <c r="O4931" s="2">
        <f>IF(OR(F4931="",G4931=""),"",IF(G4931&lt;='RETRATO 2027'!$K$5,"CONCLUÍDA",IF(F4931&lt;='RETRATO 2027'!$K$5,"EM ANDAMENTO","A INICIAR")))</f>
        <v/>
      </c>
    </row>
    <row r="4932">
      <c r="M4932" s="2">
        <f>IF(C4932="","",IFERROR(INDEX($S$5:$S$304,MATCH(C4932,$R$5:$R$304,0))&amp;"","?"))</f>
        <v/>
      </c>
      <c r="N4932" s="2">
        <f>IF(E4932="","",IF(ISNUMBER(SEARCH("SUBSOLO",E4932)),IFERROR(-VALUE(LEFT(E4932,FIND("º",SUBSTITUTE(E4932,"°","º"))-1)),-1),IF(LEFT(E4932,6)="TÉRREO",0,IFERROR(VALUE(LEFT(E4932,FIND("º",SUBSTITUTE(E4932,"°","º"))-1)),""))))</f>
        <v/>
      </c>
      <c r="O4932" s="2">
        <f>IF(OR(F4932="",G4932=""),"",IF(G4932&lt;='RETRATO 2027'!$K$5,"CONCLUÍDA",IF(F4932&lt;='RETRATO 2027'!$K$5,"EM ANDAMENTO","A INICIAR")))</f>
        <v/>
      </c>
    </row>
    <row r="4933">
      <c r="M4933" s="2">
        <f>IF(C4933="","",IFERROR(INDEX($S$5:$S$304,MATCH(C4933,$R$5:$R$304,0))&amp;"","?"))</f>
        <v/>
      </c>
      <c r="N4933" s="2">
        <f>IF(E4933="","",IF(ISNUMBER(SEARCH("SUBSOLO",E4933)),IFERROR(-VALUE(LEFT(E4933,FIND("º",SUBSTITUTE(E4933,"°","º"))-1)),-1),IF(LEFT(E4933,6)="TÉRREO",0,IFERROR(VALUE(LEFT(E4933,FIND("º",SUBSTITUTE(E4933,"°","º"))-1)),""))))</f>
        <v/>
      </c>
      <c r="O4933" s="2">
        <f>IF(OR(F4933="",G4933=""),"",IF(G4933&lt;='RETRATO 2027'!$K$5,"CONCLUÍDA",IF(F4933&lt;='RETRATO 2027'!$K$5,"EM ANDAMENTO","A INICIAR")))</f>
        <v/>
      </c>
    </row>
    <row r="4934">
      <c r="M4934" s="2">
        <f>IF(C4934="","",IFERROR(INDEX($S$5:$S$304,MATCH(C4934,$R$5:$R$304,0))&amp;"","?"))</f>
        <v/>
      </c>
      <c r="N4934" s="2">
        <f>IF(E4934="","",IF(ISNUMBER(SEARCH("SUBSOLO",E4934)),IFERROR(-VALUE(LEFT(E4934,FIND("º",SUBSTITUTE(E4934,"°","º"))-1)),-1),IF(LEFT(E4934,6)="TÉRREO",0,IFERROR(VALUE(LEFT(E4934,FIND("º",SUBSTITUTE(E4934,"°","º"))-1)),""))))</f>
        <v/>
      </c>
      <c r="O4934" s="2">
        <f>IF(OR(F4934="",G4934=""),"",IF(G4934&lt;='RETRATO 2027'!$K$5,"CONCLUÍDA",IF(F4934&lt;='RETRATO 2027'!$K$5,"EM ANDAMENTO","A INICIAR")))</f>
        <v/>
      </c>
    </row>
    <row r="4935">
      <c r="M4935" s="2">
        <f>IF(C4935="","",IFERROR(INDEX($S$5:$S$304,MATCH(C4935,$R$5:$R$304,0))&amp;"","?"))</f>
        <v/>
      </c>
      <c r="N4935" s="2">
        <f>IF(E4935="","",IF(ISNUMBER(SEARCH("SUBSOLO",E4935)),IFERROR(-VALUE(LEFT(E4935,FIND("º",SUBSTITUTE(E4935,"°","º"))-1)),-1),IF(LEFT(E4935,6)="TÉRREO",0,IFERROR(VALUE(LEFT(E4935,FIND("º",SUBSTITUTE(E4935,"°","º"))-1)),""))))</f>
        <v/>
      </c>
      <c r="O4935" s="2">
        <f>IF(OR(F4935="",G4935=""),"",IF(G4935&lt;='RETRATO 2027'!$K$5,"CONCLUÍDA",IF(F4935&lt;='RETRATO 2027'!$K$5,"EM ANDAMENTO","A INICIAR")))</f>
        <v/>
      </c>
    </row>
    <row r="4936">
      <c r="M4936" s="2">
        <f>IF(C4936="","",IFERROR(INDEX($S$5:$S$304,MATCH(C4936,$R$5:$R$304,0))&amp;"","?"))</f>
        <v/>
      </c>
      <c r="N4936" s="2">
        <f>IF(E4936="","",IF(ISNUMBER(SEARCH("SUBSOLO",E4936)),IFERROR(-VALUE(LEFT(E4936,FIND("º",SUBSTITUTE(E4936,"°","º"))-1)),-1),IF(LEFT(E4936,6)="TÉRREO",0,IFERROR(VALUE(LEFT(E4936,FIND("º",SUBSTITUTE(E4936,"°","º"))-1)),""))))</f>
        <v/>
      </c>
      <c r="O4936" s="2">
        <f>IF(OR(F4936="",G4936=""),"",IF(G4936&lt;='RETRATO 2027'!$K$5,"CONCLUÍDA",IF(F4936&lt;='RETRATO 2027'!$K$5,"EM ANDAMENTO","A INICIAR")))</f>
        <v/>
      </c>
    </row>
    <row r="4937">
      <c r="M4937" s="2">
        <f>IF(C4937="","",IFERROR(INDEX($S$5:$S$304,MATCH(C4937,$R$5:$R$304,0))&amp;"","?"))</f>
        <v/>
      </c>
      <c r="N4937" s="2">
        <f>IF(E4937="","",IF(ISNUMBER(SEARCH("SUBSOLO",E4937)),IFERROR(-VALUE(LEFT(E4937,FIND("º",SUBSTITUTE(E4937,"°","º"))-1)),-1),IF(LEFT(E4937,6)="TÉRREO",0,IFERROR(VALUE(LEFT(E4937,FIND("º",SUBSTITUTE(E4937,"°","º"))-1)),""))))</f>
        <v/>
      </c>
      <c r="O4937" s="2">
        <f>IF(OR(F4937="",G4937=""),"",IF(G4937&lt;='RETRATO 2027'!$K$5,"CONCLUÍDA",IF(F4937&lt;='RETRATO 2027'!$K$5,"EM ANDAMENTO","A INICIAR")))</f>
        <v/>
      </c>
    </row>
    <row r="4938">
      <c r="M4938" s="2">
        <f>IF(C4938="","",IFERROR(INDEX($S$5:$S$304,MATCH(C4938,$R$5:$R$304,0))&amp;"","?"))</f>
        <v/>
      </c>
      <c r="N4938" s="2">
        <f>IF(E4938="","",IF(ISNUMBER(SEARCH("SUBSOLO",E4938)),IFERROR(-VALUE(LEFT(E4938,FIND("º",SUBSTITUTE(E4938,"°","º"))-1)),-1),IF(LEFT(E4938,6)="TÉRREO",0,IFERROR(VALUE(LEFT(E4938,FIND("º",SUBSTITUTE(E4938,"°","º"))-1)),""))))</f>
        <v/>
      </c>
      <c r="O4938" s="2">
        <f>IF(OR(F4938="",G4938=""),"",IF(G4938&lt;='RETRATO 2027'!$K$5,"CONCLUÍDA",IF(F4938&lt;='RETRATO 2027'!$K$5,"EM ANDAMENTO","A INICIAR")))</f>
        <v/>
      </c>
    </row>
    <row r="4939">
      <c r="M4939" s="2">
        <f>IF(C4939="","",IFERROR(INDEX($S$5:$S$304,MATCH(C4939,$R$5:$R$304,0))&amp;"","?"))</f>
        <v/>
      </c>
      <c r="N4939" s="2">
        <f>IF(E4939="","",IF(ISNUMBER(SEARCH("SUBSOLO",E4939)),IFERROR(-VALUE(LEFT(E4939,FIND("º",SUBSTITUTE(E4939,"°","º"))-1)),-1),IF(LEFT(E4939,6)="TÉRREO",0,IFERROR(VALUE(LEFT(E4939,FIND("º",SUBSTITUTE(E4939,"°","º"))-1)),""))))</f>
        <v/>
      </c>
      <c r="O4939" s="2">
        <f>IF(OR(F4939="",G4939=""),"",IF(G4939&lt;='RETRATO 2027'!$K$5,"CONCLUÍDA",IF(F4939&lt;='RETRATO 2027'!$K$5,"EM ANDAMENTO","A INICIAR")))</f>
        <v/>
      </c>
    </row>
    <row r="4940">
      <c r="M4940" s="2">
        <f>IF(C4940="","",IFERROR(INDEX($S$5:$S$304,MATCH(C4940,$R$5:$R$304,0))&amp;"","?"))</f>
        <v/>
      </c>
      <c r="N4940" s="2">
        <f>IF(E4940="","",IF(ISNUMBER(SEARCH("SUBSOLO",E4940)),IFERROR(-VALUE(LEFT(E4940,FIND("º",SUBSTITUTE(E4940,"°","º"))-1)),-1),IF(LEFT(E4940,6)="TÉRREO",0,IFERROR(VALUE(LEFT(E4940,FIND("º",SUBSTITUTE(E4940,"°","º"))-1)),""))))</f>
        <v/>
      </c>
      <c r="O4940" s="2">
        <f>IF(OR(F4940="",G4940=""),"",IF(G4940&lt;='RETRATO 2027'!$K$5,"CONCLUÍDA",IF(F4940&lt;='RETRATO 2027'!$K$5,"EM ANDAMENTO","A INICIAR")))</f>
        <v/>
      </c>
    </row>
    <row r="4941">
      <c r="M4941" s="2">
        <f>IF(C4941="","",IFERROR(INDEX($S$5:$S$304,MATCH(C4941,$R$5:$R$304,0))&amp;"","?"))</f>
        <v/>
      </c>
      <c r="N4941" s="2">
        <f>IF(E4941="","",IF(ISNUMBER(SEARCH("SUBSOLO",E4941)),IFERROR(-VALUE(LEFT(E4941,FIND("º",SUBSTITUTE(E4941,"°","º"))-1)),-1),IF(LEFT(E4941,6)="TÉRREO",0,IFERROR(VALUE(LEFT(E4941,FIND("º",SUBSTITUTE(E4941,"°","º"))-1)),""))))</f>
        <v/>
      </c>
      <c r="O4941" s="2">
        <f>IF(OR(F4941="",G4941=""),"",IF(G4941&lt;='RETRATO 2027'!$K$5,"CONCLUÍDA",IF(F4941&lt;='RETRATO 2027'!$K$5,"EM ANDAMENTO","A INICIAR")))</f>
        <v/>
      </c>
    </row>
    <row r="4942">
      <c r="M4942" s="2">
        <f>IF(C4942="","",IFERROR(INDEX($S$5:$S$304,MATCH(C4942,$R$5:$R$304,0))&amp;"","?"))</f>
        <v/>
      </c>
      <c r="N4942" s="2">
        <f>IF(E4942="","",IF(ISNUMBER(SEARCH("SUBSOLO",E4942)),IFERROR(-VALUE(LEFT(E4942,FIND("º",SUBSTITUTE(E4942,"°","º"))-1)),-1),IF(LEFT(E4942,6)="TÉRREO",0,IFERROR(VALUE(LEFT(E4942,FIND("º",SUBSTITUTE(E4942,"°","º"))-1)),""))))</f>
        <v/>
      </c>
      <c r="O4942" s="2">
        <f>IF(OR(F4942="",G4942=""),"",IF(G4942&lt;='RETRATO 2027'!$K$5,"CONCLUÍDA",IF(F4942&lt;='RETRATO 2027'!$K$5,"EM ANDAMENTO","A INICIAR")))</f>
        <v/>
      </c>
    </row>
    <row r="4943">
      <c r="M4943" s="2">
        <f>IF(C4943="","",IFERROR(INDEX($S$5:$S$304,MATCH(C4943,$R$5:$R$304,0))&amp;"","?"))</f>
        <v/>
      </c>
      <c r="N4943" s="2">
        <f>IF(E4943="","",IF(ISNUMBER(SEARCH("SUBSOLO",E4943)),IFERROR(-VALUE(LEFT(E4943,FIND("º",SUBSTITUTE(E4943,"°","º"))-1)),-1),IF(LEFT(E4943,6)="TÉRREO",0,IFERROR(VALUE(LEFT(E4943,FIND("º",SUBSTITUTE(E4943,"°","º"))-1)),""))))</f>
        <v/>
      </c>
      <c r="O4943" s="2">
        <f>IF(OR(F4943="",G4943=""),"",IF(G4943&lt;='RETRATO 2027'!$K$5,"CONCLUÍDA",IF(F4943&lt;='RETRATO 2027'!$K$5,"EM ANDAMENTO","A INICIAR")))</f>
        <v/>
      </c>
    </row>
    <row r="4944">
      <c r="M4944" s="2">
        <f>IF(C4944="","",IFERROR(INDEX($S$5:$S$304,MATCH(C4944,$R$5:$R$304,0))&amp;"","?"))</f>
        <v/>
      </c>
      <c r="N4944" s="2">
        <f>IF(E4944="","",IF(ISNUMBER(SEARCH("SUBSOLO",E4944)),IFERROR(-VALUE(LEFT(E4944,FIND("º",SUBSTITUTE(E4944,"°","º"))-1)),-1),IF(LEFT(E4944,6)="TÉRREO",0,IFERROR(VALUE(LEFT(E4944,FIND("º",SUBSTITUTE(E4944,"°","º"))-1)),""))))</f>
        <v/>
      </c>
      <c r="O4944" s="2">
        <f>IF(OR(F4944="",G4944=""),"",IF(G4944&lt;='RETRATO 2027'!$K$5,"CONCLUÍDA",IF(F4944&lt;='RETRATO 2027'!$K$5,"EM ANDAMENTO","A INICIAR")))</f>
        <v/>
      </c>
    </row>
    <row r="4945">
      <c r="M4945" s="2">
        <f>IF(C4945="","",IFERROR(INDEX($S$5:$S$304,MATCH(C4945,$R$5:$R$304,0))&amp;"","?"))</f>
        <v/>
      </c>
      <c r="N4945" s="2">
        <f>IF(E4945="","",IF(ISNUMBER(SEARCH("SUBSOLO",E4945)),IFERROR(-VALUE(LEFT(E4945,FIND("º",SUBSTITUTE(E4945,"°","º"))-1)),-1),IF(LEFT(E4945,6)="TÉRREO",0,IFERROR(VALUE(LEFT(E4945,FIND("º",SUBSTITUTE(E4945,"°","º"))-1)),""))))</f>
        <v/>
      </c>
      <c r="O4945" s="2">
        <f>IF(OR(F4945="",G4945=""),"",IF(G4945&lt;='RETRATO 2027'!$K$5,"CONCLUÍDA",IF(F4945&lt;='RETRATO 2027'!$K$5,"EM ANDAMENTO","A INICIAR")))</f>
        <v/>
      </c>
    </row>
    <row r="4946">
      <c r="M4946" s="2">
        <f>IF(C4946="","",IFERROR(INDEX($S$5:$S$304,MATCH(C4946,$R$5:$R$304,0))&amp;"","?"))</f>
        <v/>
      </c>
      <c r="N4946" s="2">
        <f>IF(E4946="","",IF(ISNUMBER(SEARCH("SUBSOLO",E4946)),IFERROR(-VALUE(LEFT(E4946,FIND("º",SUBSTITUTE(E4946,"°","º"))-1)),-1),IF(LEFT(E4946,6)="TÉRREO",0,IFERROR(VALUE(LEFT(E4946,FIND("º",SUBSTITUTE(E4946,"°","º"))-1)),""))))</f>
        <v/>
      </c>
      <c r="O4946" s="2">
        <f>IF(OR(F4946="",G4946=""),"",IF(G4946&lt;='RETRATO 2027'!$K$5,"CONCLUÍDA",IF(F4946&lt;='RETRATO 2027'!$K$5,"EM ANDAMENTO","A INICIAR")))</f>
        <v/>
      </c>
    </row>
    <row r="4947">
      <c r="M4947" s="2">
        <f>IF(C4947="","",IFERROR(INDEX($S$5:$S$304,MATCH(C4947,$R$5:$R$304,0))&amp;"","?"))</f>
        <v/>
      </c>
      <c r="N4947" s="2">
        <f>IF(E4947="","",IF(ISNUMBER(SEARCH("SUBSOLO",E4947)),IFERROR(-VALUE(LEFT(E4947,FIND("º",SUBSTITUTE(E4947,"°","º"))-1)),-1),IF(LEFT(E4947,6)="TÉRREO",0,IFERROR(VALUE(LEFT(E4947,FIND("º",SUBSTITUTE(E4947,"°","º"))-1)),""))))</f>
        <v/>
      </c>
      <c r="O4947" s="2">
        <f>IF(OR(F4947="",G4947=""),"",IF(G4947&lt;='RETRATO 2027'!$K$5,"CONCLUÍDA",IF(F4947&lt;='RETRATO 2027'!$K$5,"EM ANDAMENTO","A INICIAR")))</f>
        <v/>
      </c>
    </row>
    <row r="4948">
      <c r="M4948" s="2">
        <f>IF(C4948="","",IFERROR(INDEX($S$5:$S$304,MATCH(C4948,$R$5:$R$304,0))&amp;"","?"))</f>
        <v/>
      </c>
      <c r="N4948" s="2">
        <f>IF(E4948="","",IF(ISNUMBER(SEARCH("SUBSOLO",E4948)),IFERROR(-VALUE(LEFT(E4948,FIND("º",SUBSTITUTE(E4948,"°","º"))-1)),-1),IF(LEFT(E4948,6)="TÉRREO",0,IFERROR(VALUE(LEFT(E4948,FIND("º",SUBSTITUTE(E4948,"°","º"))-1)),""))))</f>
        <v/>
      </c>
      <c r="O4948" s="2">
        <f>IF(OR(F4948="",G4948=""),"",IF(G4948&lt;='RETRATO 2027'!$K$5,"CONCLUÍDA",IF(F4948&lt;='RETRATO 2027'!$K$5,"EM ANDAMENTO","A INICIAR")))</f>
        <v/>
      </c>
    </row>
    <row r="4949">
      <c r="M4949" s="2">
        <f>IF(C4949="","",IFERROR(INDEX($S$5:$S$304,MATCH(C4949,$R$5:$R$304,0))&amp;"","?"))</f>
        <v/>
      </c>
      <c r="N4949" s="2">
        <f>IF(E4949="","",IF(ISNUMBER(SEARCH("SUBSOLO",E4949)),IFERROR(-VALUE(LEFT(E4949,FIND("º",SUBSTITUTE(E4949,"°","º"))-1)),-1),IF(LEFT(E4949,6)="TÉRREO",0,IFERROR(VALUE(LEFT(E4949,FIND("º",SUBSTITUTE(E4949,"°","º"))-1)),""))))</f>
        <v/>
      </c>
      <c r="O4949" s="2">
        <f>IF(OR(F4949="",G4949=""),"",IF(G4949&lt;='RETRATO 2027'!$K$5,"CONCLUÍDA",IF(F4949&lt;='RETRATO 2027'!$K$5,"EM ANDAMENTO","A INICIAR")))</f>
        <v/>
      </c>
    </row>
    <row r="4950">
      <c r="M4950" s="2">
        <f>IF(C4950="","",IFERROR(INDEX($S$5:$S$304,MATCH(C4950,$R$5:$R$304,0))&amp;"","?"))</f>
        <v/>
      </c>
      <c r="N4950" s="2">
        <f>IF(E4950="","",IF(ISNUMBER(SEARCH("SUBSOLO",E4950)),IFERROR(-VALUE(LEFT(E4950,FIND("º",SUBSTITUTE(E4950,"°","º"))-1)),-1),IF(LEFT(E4950,6)="TÉRREO",0,IFERROR(VALUE(LEFT(E4950,FIND("º",SUBSTITUTE(E4950,"°","º"))-1)),""))))</f>
        <v/>
      </c>
      <c r="O4950" s="2">
        <f>IF(OR(F4950="",G4950=""),"",IF(G4950&lt;='RETRATO 2027'!$K$5,"CONCLUÍDA",IF(F4950&lt;='RETRATO 2027'!$K$5,"EM ANDAMENTO","A INICIAR")))</f>
        <v/>
      </c>
    </row>
    <row r="4951">
      <c r="M4951" s="2">
        <f>IF(C4951="","",IFERROR(INDEX($S$5:$S$304,MATCH(C4951,$R$5:$R$304,0))&amp;"","?"))</f>
        <v/>
      </c>
      <c r="N4951" s="2">
        <f>IF(E4951="","",IF(ISNUMBER(SEARCH("SUBSOLO",E4951)),IFERROR(-VALUE(LEFT(E4951,FIND("º",SUBSTITUTE(E4951,"°","º"))-1)),-1),IF(LEFT(E4951,6)="TÉRREO",0,IFERROR(VALUE(LEFT(E4951,FIND("º",SUBSTITUTE(E4951,"°","º"))-1)),""))))</f>
        <v/>
      </c>
      <c r="O4951" s="2">
        <f>IF(OR(F4951="",G4951=""),"",IF(G4951&lt;='RETRATO 2027'!$K$5,"CONCLUÍDA",IF(F4951&lt;='RETRATO 2027'!$K$5,"EM ANDAMENTO","A INICIAR")))</f>
        <v/>
      </c>
    </row>
    <row r="4952">
      <c r="M4952" s="2">
        <f>IF(C4952="","",IFERROR(INDEX($S$5:$S$304,MATCH(C4952,$R$5:$R$304,0))&amp;"","?"))</f>
        <v/>
      </c>
      <c r="N4952" s="2">
        <f>IF(E4952="","",IF(ISNUMBER(SEARCH("SUBSOLO",E4952)),IFERROR(-VALUE(LEFT(E4952,FIND("º",SUBSTITUTE(E4952,"°","º"))-1)),-1),IF(LEFT(E4952,6)="TÉRREO",0,IFERROR(VALUE(LEFT(E4952,FIND("º",SUBSTITUTE(E4952,"°","º"))-1)),""))))</f>
        <v/>
      </c>
      <c r="O4952" s="2">
        <f>IF(OR(F4952="",G4952=""),"",IF(G4952&lt;='RETRATO 2027'!$K$5,"CONCLUÍDA",IF(F4952&lt;='RETRATO 2027'!$K$5,"EM ANDAMENTO","A INICIAR")))</f>
        <v/>
      </c>
    </row>
    <row r="4953">
      <c r="M4953" s="2">
        <f>IF(C4953="","",IFERROR(INDEX($S$5:$S$304,MATCH(C4953,$R$5:$R$304,0))&amp;"","?"))</f>
        <v/>
      </c>
      <c r="N4953" s="2">
        <f>IF(E4953="","",IF(ISNUMBER(SEARCH("SUBSOLO",E4953)),IFERROR(-VALUE(LEFT(E4953,FIND("º",SUBSTITUTE(E4953,"°","º"))-1)),-1),IF(LEFT(E4953,6)="TÉRREO",0,IFERROR(VALUE(LEFT(E4953,FIND("º",SUBSTITUTE(E4953,"°","º"))-1)),""))))</f>
        <v/>
      </c>
      <c r="O4953" s="2">
        <f>IF(OR(F4953="",G4953=""),"",IF(G4953&lt;='RETRATO 2027'!$K$5,"CONCLUÍDA",IF(F4953&lt;='RETRATO 2027'!$K$5,"EM ANDAMENTO","A INICIAR")))</f>
        <v/>
      </c>
    </row>
    <row r="4954">
      <c r="M4954" s="2">
        <f>IF(C4954="","",IFERROR(INDEX($S$5:$S$304,MATCH(C4954,$R$5:$R$304,0))&amp;"","?"))</f>
        <v/>
      </c>
      <c r="N4954" s="2">
        <f>IF(E4954="","",IF(ISNUMBER(SEARCH("SUBSOLO",E4954)),IFERROR(-VALUE(LEFT(E4954,FIND("º",SUBSTITUTE(E4954,"°","º"))-1)),-1),IF(LEFT(E4954,6)="TÉRREO",0,IFERROR(VALUE(LEFT(E4954,FIND("º",SUBSTITUTE(E4954,"°","º"))-1)),""))))</f>
        <v/>
      </c>
      <c r="O4954" s="2">
        <f>IF(OR(F4954="",G4954=""),"",IF(G4954&lt;='RETRATO 2027'!$K$5,"CONCLUÍDA",IF(F4954&lt;='RETRATO 2027'!$K$5,"EM ANDAMENTO","A INICIAR")))</f>
        <v/>
      </c>
    </row>
    <row r="4955">
      <c r="M4955" s="2">
        <f>IF(C4955="","",IFERROR(INDEX($S$5:$S$304,MATCH(C4955,$R$5:$R$304,0))&amp;"","?"))</f>
        <v/>
      </c>
      <c r="N4955" s="2">
        <f>IF(E4955="","",IF(ISNUMBER(SEARCH("SUBSOLO",E4955)),IFERROR(-VALUE(LEFT(E4955,FIND("º",SUBSTITUTE(E4955,"°","º"))-1)),-1),IF(LEFT(E4955,6)="TÉRREO",0,IFERROR(VALUE(LEFT(E4955,FIND("º",SUBSTITUTE(E4955,"°","º"))-1)),""))))</f>
        <v/>
      </c>
      <c r="O4955" s="2">
        <f>IF(OR(F4955="",G4955=""),"",IF(G4955&lt;='RETRATO 2027'!$K$5,"CONCLUÍDA",IF(F4955&lt;='RETRATO 2027'!$K$5,"EM ANDAMENTO","A INICIAR")))</f>
        <v/>
      </c>
    </row>
    <row r="4956">
      <c r="M4956" s="2">
        <f>IF(C4956="","",IFERROR(INDEX($S$5:$S$304,MATCH(C4956,$R$5:$R$304,0))&amp;"","?"))</f>
        <v/>
      </c>
      <c r="N4956" s="2">
        <f>IF(E4956="","",IF(ISNUMBER(SEARCH("SUBSOLO",E4956)),IFERROR(-VALUE(LEFT(E4956,FIND("º",SUBSTITUTE(E4956,"°","º"))-1)),-1),IF(LEFT(E4956,6)="TÉRREO",0,IFERROR(VALUE(LEFT(E4956,FIND("º",SUBSTITUTE(E4956,"°","º"))-1)),""))))</f>
        <v/>
      </c>
      <c r="O4956" s="2">
        <f>IF(OR(F4956="",G4956=""),"",IF(G4956&lt;='RETRATO 2027'!$K$5,"CONCLUÍDA",IF(F4956&lt;='RETRATO 2027'!$K$5,"EM ANDAMENTO","A INICIAR")))</f>
        <v/>
      </c>
    </row>
    <row r="4957">
      <c r="M4957" s="2">
        <f>IF(C4957="","",IFERROR(INDEX($S$5:$S$304,MATCH(C4957,$R$5:$R$304,0))&amp;"","?"))</f>
        <v/>
      </c>
      <c r="N4957" s="2">
        <f>IF(E4957="","",IF(ISNUMBER(SEARCH("SUBSOLO",E4957)),IFERROR(-VALUE(LEFT(E4957,FIND("º",SUBSTITUTE(E4957,"°","º"))-1)),-1),IF(LEFT(E4957,6)="TÉRREO",0,IFERROR(VALUE(LEFT(E4957,FIND("º",SUBSTITUTE(E4957,"°","º"))-1)),""))))</f>
        <v/>
      </c>
      <c r="O4957" s="2">
        <f>IF(OR(F4957="",G4957=""),"",IF(G4957&lt;='RETRATO 2027'!$K$5,"CONCLUÍDA",IF(F4957&lt;='RETRATO 2027'!$K$5,"EM ANDAMENTO","A INICIAR")))</f>
        <v/>
      </c>
    </row>
    <row r="4958">
      <c r="M4958" s="2">
        <f>IF(C4958="","",IFERROR(INDEX($S$5:$S$304,MATCH(C4958,$R$5:$R$304,0))&amp;"","?"))</f>
        <v/>
      </c>
      <c r="N4958" s="2">
        <f>IF(E4958="","",IF(ISNUMBER(SEARCH("SUBSOLO",E4958)),IFERROR(-VALUE(LEFT(E4958,FIND("º",SUBSTITUTE(E4958,"°","º"))-1)),-1),IF(LEFT(E4958,6)="TÉRREO",0,IFERROR(VALUE(LEFT(E4958,FIND("º",SUBSTITUTE(E4958,"°","º"))-1)),""))))</f>
        <v/>
      </c>
      <c r="O4958" s="2">
        <f>IF(OR(F4958="",G4958=""),"",IF(G4958&lt;='RETRATO 2027'!$K$5,"CONCLUÍDA",IF(F4958&lt;='RETRATO 2027'!$K$5,"EM ANDAMENTO","A INICIAR")))</f>
        <v/>
      </c>
    </row>
    <row r="4959">
      <c r="M4959" s="2">
        <f>IF(C4959="","",IFERROR(INDEX($S$5:$S$304,MATCH(C4959,$R$5:$R$304,0))&amp;"","?"))</f>
        <v/>
      </c>
      <c r="N4959" s="2">
        <f>IF(E4959="","",IF(ISNUMBER(SEARCH("SUBSOLO",E4959)),IFERROR(-VALUE(LEFT(E4959,FIND("º",SUBSTITUTE(E4959,"°","º"))-1)),-1),IF(LEFT(E4959,6)="TÉRREO",0,IFERROR(VALUE(LEFT(E4959,FIND("º",SUBSTITUTE(E4959,"°","º"))-1)),""))))</f>
        <v/>
      </c>
      <c r="O4959" s="2">
        <f>IF(OR(F4959="",G4959=""),"",IF(G4959&lt;='RETRATO 2027'!$K$5,"CONCLUÍDA",IF(F4959&lt;='RETRATO 2027'!$K$5,"EM ANDAMENTO","A INICIAR")))</f>
        <v/>
      </c>
    </row>
    <row r="4960">
      <c r="M4960" s="2">
        <f>IF(C4960="","",IFERROR(INDEX($S$5:$S$304,MATCH(C4960,$R$5:$R$304,0))&amp;"","?"))</f>
        <v/>
      </c>
      <c r="N4960" s="2">
        <f>IF(E4960="","",IF(ISNUMBER(SEARCH("SUBSOLO",E4960)),IFERROR(-VALUE(LEFT(E4960,FIND("º",SUBSTITUTE(E4960,"°","º"))-1)),-1),IF(LEFT(E4960,6)="TÉRREO",0,IFERROR(VALUE(LEFT(E4960,FIND("º",SUBSTITUTE(E4960,"°","º"))-1)),""))))</f>
        <v/>
      </c>
      <c r="O4960" s="2">
        <f>IF(OR(F4960="",G4960=""),"",IF(G4960&lt;='RETRATO 2027'!$K$5,"CONCLUÍDA",IF(F4960&lt;='RETRATO 2027'!$K$5,"EM ANDAMENTO","A INICIAR")))</f>
        <v/>
      </c>
    </row>
    <row r="4961">
      <c r="M4961" s="2">
        <f>IF(C4961="","",IFERROR(INDEX($S$5:$S$304,MATCH(C4961,$R$5:$R$304,0))&amp;"","?"))</f>
        <v/>
      </c>
      <c r="N4961" s="2">
        <f>IF(E4961="","",IF(ISNUMBER(SEARCH("SUBSOLO",E4961)),IFERROR(-VALUE(LEFT(E4961,FIND("º",SUBSTITUTE(E4961,"°","º"))-1)),-1),IF(LEFT(E4961,6)="TÉRREO",0,IFERROR(VALUE(LEFT(E4961,FIND("º",SUBSTITUTE(E4961,"°","º"))-1)),""))))</f>
        <v/>
      </c>
      <c r="O4961" s="2">
        <f>IF(OR(F4961="",G4961=""),"",IF(G4961&lt;='RETRATO 2027'!$K$5,"CONCLUÍDA",IF(F4961&lt;='RETRATO 2027'!$K$5,"EM ANDAMENTO","A INICIAR")))</f>
        <v/>
      </c>
    </row>
    <row r="4962">
      <c r="M4962" s="2">
        <f>IF(C4962="","",IFERROR(INDEX($S$5:$S$304,MATCH(C4962,$R$5:$R$304,0))&amp;"","?"))</f>
        <v/>
      </c>
      <c r="N4962" s="2">
        <f>IF(E4962="","",IF(ISNUMBER(SEARCH("SUBSOLO",E4962)),IFERROR(-VALUE(LEFT(E4962,FIND("º",SUBSTITUTE(E4962,"°","º"))-1)),-1),IF(LEFT(E4962,6)="TÉRREO",0,IFERROR(VALUE(LEFT(E4962,FIND("º",SUBSTITUTE(E4962,"°","º"))-1)),""))))</f>
        <v/>
      </c>
      <c r="O4962" s="2">
        <f>IF(OR(F4962="",G4962=""),"",IF(G4962&lt;='RETRATO 2027'!$K$5,"CONCLUÍDA",IF(F4962&lt;='RETRATO 2027'!$K$5,"EM ANDAMENTO","A INICIAR")))</f>
        <v/>
      </c>
    </row>
    <row r="4963">
      <c r="M4963" s="2">
        <f>IF(C4963="","",IFERROR(INDEX($S$5:$S$304,MATCH(C4963,$R$5:$R$304,0))&amp;"","?"))</f>
        <v/>
      </c>
      <c r="N4963" s="2">
        <f>IF(E4963="","",IF(ISNUMBER(SEARCH("SUBSOLO",E4963)),IFERROR(-VALUE(LEFT(E4963,FIND("º",SUBSTITUTE(E4963,"°","º"))-1)),-1),IF(LEFT(E4963,6)="TÉRREO",0,IFERROR(VALUE(LEFT(E4963,FIND("º",SUBSTITUTE(E4963,"°","º"))-1)),""))))</f>
        <v/>
      </c>
      <c r="O4963" s="2">
        <f>IF(OR(F4963="",G4963=""),"",IF(G4963&lt;='RETRATO 2027'!$K$5,"CONCLUÍDA",IF(F4963&lt;='RETRATO 2027'!$K$5,"EM ANDAMENTO","A INICIAR")))</f>
        <v/>
      </c>
    </row>
    <row r="4964">
      <c r="M4964" s="2">
        <f>IF(C4964="","",IFERROR(INDEX($S$5:$S$304,MATCH(C4964,$R$5:$R$304,0))&amp;"","?"))</f>
        <v/>
      </c>
      <c r="N4964" s="2">
        <f>IF(E4964="","",IF(ISNUMBER(SEARCH("SUBSOLO",E4964)),IFERROR(-VALUE(LEFT(E4964,FIND("º",SUBSTITUTE(E4964,"°","º"))-1)),-1),IF(LEFT(E4964,6)="TÉRREO",0,IFERROR(VALUE(LEFT(E4964,FIND("º",SUBSTITUTE(E4964,"°","º"))-1)),""))))</f>
        <v/>
      </c>
      <c r="O4964" s="2">
        <f>IF(OR(F4964="",G4964=""),"",IF(G4964&lt;='RETRATO 2027'!$K$5,"CONCLUÍDA",IF(F4964&lt;='RETRATO 2027'!$K$5,"EM ANDAMENTO","A INICIAR")))</f>
        <v/>
      </c>
    </row>
    <row r="4965">
      <c r="M4965" s="2">
        <f>IF(C4965="","",IFERROR(INDEX($S$5:$S$304,MATCH(C4965,$R$5:$R$304,0))&amp;"","?"))</f>
        <v/>
      </c>
      <c r="N4965" s="2">
        <f>IF(E4965="","",IF(ISNUMBER(SEARCH("SUBSOLO",E4965)),IFERROR(-VALUE(LEFT(E4965,FIND("º",SUBSTITUTE(E4965,"°","º"))-1)),-1),IF(LEFT(E4965,6)="TÉRREO",0,IFERROR(VALUE(LEFT(E4965,FIND("º",SUBSTITUTE(E4965,"°","º"))-1)),""))))</f>
        <v/>
      </c>
      <c r="O4965" s="2">
        <f>IF(OR(F4965="",G4965=""),"",IF(G4965&lt;='RETRATO 2027'!$K$5,"CONCLUÍDA",IF(F4965&lt;='RETRATO 2027'!$K$5,"EM ANDAMENTO","A INICIAR")))</f>
        <v/>
      </c>
    </row>
    <row r="4966">
      <c r="M4966" s="2">
        <f>IF(C4966="","",IFERROR(INDEX($S$5:$S$304,MATCH(C4966,$R$5:$R$304,0))&amp;"","?"))</f>
        <v/>
      </c>
      <c r="N4966" s="2">
        <f>IF(E4966="","",IF(ISNUMBER(SEARCH("SUBSOLO",E4966)),IFERROR(-VALUE(LEFT(E4966,FIND("º",SUBSTITUTE(E4966,"°","º"))-1)),-1),IF(LEFT(E4966,6)="TÉRREO",0,IFERROR(VALUE(LEFT(E4966,FIND("º",SUBSTITUTE(E4966,"°","º"))-1)),""))))</f>
        <v/>
      </c>
      <c r="O4966" s="2">
        <f>IF(OR(F4966="",G4966=""),"",IF(G4966&lt;='RETRATO 2027'!$K$5,"CONCLUÍDA",IF(F4966&lt;='RETRATO 2027'!$K$5,"EM ANDAMENTO","A INICIAR")))</f>
        <v/>
      </c>
    </row>
    <row r="4967">
      <c r="M4967" s="2">
        <f>IF(C4967="","",IFERROR(INDEX($S$5:$S$304,MATCH(C4967,$R$5:$R$304,0))&amp;"","?"))</f>
        <v/>
      </c>
      <c r="N4967" s="2">
        <f>IF(E4967="","",IF(ISNUMBER(SEARCH("SUBSOLO",E4967)),IFERROR(-VALUE(LEFT(E4967,FIND("º",SUBSTITUTE(E4967,"°","º"))-1)),-1),IF(LEFT(E4967,6)="TÉRREO",0,IFERROR(VALUE(LEFT(E4967,FIND("º",SUBSTITUTE(E4967,"°","º"))-1)),""))))</f>
        <v/>
      </c>
      <c r="O4967" s="2">
        <f>IF(OR(F4967="",G4967=""),"",IF(G4967&lt;='RETRATO 2027'!$K$5,"CONCLUÍDA",IF(F4967&lt;='RETRATO 2027'!$K$5,"EM ANDAMENTO","A INICIAR")))</f>
        <v/>
      </c>
    </row>
    <row r="4968">
      <c r="M4968" s="2">
        <f>IF(C4968="","",IFERROR(INDEX($S$5:$S$304,MATCH(C4968,$R$5:$R$304,0))&amp;"","?"))</f>
        <v/>
      </c>
      <c r="N4968" s="2">
        <f>IF(E4968="","",IF(ISNUMBER(SEARCH("SUBSOLO",E4968)),IFERROR(-VALUE(LEFT(E4968,FIND("º",SUBSTITUTE(E4968,"°","º"))-1)),-1),IF(LEFT(E4968,6)="TÉRREO",0,IFERROR(VALUE(LEFT(E4968,FIND("º",SUBSTITUTE(E4968,"°","º"))-1)),""))))</f>
        <v/>
      </c>
      <c r="O4968" s="2">
        <f>IF(OR(F4968="",G4968=""),"",IF(G4968&lt;='RETRATO 2027'!$K$5,"CONCLUÍDA",IF(F4968&lt;='RETRATO 2027'!$K$5,"EM ANDAMENTO","A INICIAR")))</f>
        <v/>
      </c>
    </row>
    <row r="4969">
      <c r="M4969" s="2">
        <f>IF(C4969="","",IFERROR(INDEX($S$5:$S$304,MATCH(C4969,$R$5:$R$304,0))&amp;"","?"))</f>
        <v/>
      </c>
      <c r="N4969" s="2">
        <f>IF(E4969="","",IF(ISNUMBER(SEARCH("SUBSOLO",E4969)),IFERROR(-VALUE(LEFT(E4969,FIND("º",SUBSTITUTE(E4969,"°","º"))-1)),-1),IF(LEFT(E4969,6)="TÉRREO",0,IFERROR(VALUE(LEFT(E4969,FIND("º",SUBSTITUTE(E4969,"°","º"))-1)),""))))</f>
        <v/>
      </c>
      <c r="O4969" s="2">
        <f>IF(OR(F4969="",G4969=""),"",IF(G4969&lt;='RETRATO 2027'!$K$5,"CONCLUÍDA",IF(F4969&lt;='RETRATO 2027'!$K$5,"EM ANDAMENTO","A INICIAR")))</f>
        <v/>
      </c>
    </row>
    <row r="4970">
      <c r="M4970" s="2">
        <f>IF(C4970="","",IFERROR(INDEX($S$5:$S$304,MATCH(C4970,$R$5:$R$304,0))&amp;"","?"))</f>
        <v/>
      </c>
      <c r="N4970" s="2">
        <f>IF(E4970="","",IF(ISNUMBER(SEARCH("SUBSOLO",E4970)),IFERROR(-VALUE(LEFT(E4970,FIND("º",SUBSTITUTE(E4970,"°","º"))-1)),-1),IF(LEFT(E4970,6)="TÉRREO",0,IFERROR(VALUE(LEFT(E4970,FIND("º",SUBSTITUTE(E4970,"°","º"))-1)),""))))</f>
        <v/>
      </c>
      <c r="O4970" s="2">
        <f>IF(OR(F4970="",G4970=""),"",IF(G4970&lt;='RETRATO 2027'!$K$5,"CONCLUÍDA",IF(F4970&lt;='RETRATO 2027'!$K$5,"EM ANDAMENTO","A INICIAR")))</f>
        <v/>
      </c>
    </row>
    <row r="4971">
      <c r="M4971" s="2">
        <f>IF(C4971="","",IFERROR(INDEX($S$5:$S$304,MATCH(C4971,$R$5:$R$304,0))&amp;"","?"))</f>
        <v/>
      </c>
      <c r="N4971" s="2">
        <f>IF(E4971="","",IF(ISNUMBER(SEARCH("SUBSOLO",E4971)),IFERROR(-VALUE(LEFT(E4971,FIND("º",SUBSTITUTE(E4971,"°","º"))-1)),-1),IF(LEFT(E4971,6)="TÉRREO",0,IFERROR(VALUE(LEFT(E4971,FIND("º",SUBSTITUTE(E4971,"°","º"))-1)),""))))</f>
        <v/>
      </c>
      <c r="O4971" s="2">
        <f>IF(OR(F4971="",G4971=""),"",IF(G4971&lt;='RETRATO 2027'!$K$5,"CONCLUÍDA",IF(F4971&lt;='RETRATO 2027'!$K$5,"EM ANDAMENTO","A INICIAR")))</f>
        <v/>
      </c>
    </row>
    <row r="4972">
      <c r="M4972" s="2">
        <f>IF(C4972="","",IFERROR(INDEX($S$5:$S$304,MATCH(C4972,$R$5:$R$304,0))&amp;"","?"))</f>
        <v/>
      </c>
      <c r="N4972" s="2">
        <f>IF(E4972="","",IF(ISNUMBER(SEARCH("SUBSOLO",E4972)),IFERROR(-VALUE(LEFT(E4972,FIND("º",SUBSTITUTE(E4972,"°","º"))-1)),-1),IF(LEFT(E4972,6)="TÉRREO",0,IFERROR(VALUE(LEFT(E4972,FIND("º",SUBSTITUTE(E4972,"°","º"))-1)),""))))</f>
        <v/>
      </c>
      <c r="O4972" s="2">
        <f>IF(OR(F4972="",G4972=""),"",IF(G4972&lt;='RETRATO 2027'!$K$5,"CONCLUÍDA",IF(F4972&lt;='RETRATO 2027'!$K$5,"EM ANDAMENTO","A INICIAR")))</f>
        <v/>
      </c>
    </row>
    <row r="4973">
      <c r="M4973" s="2">
        <f>IF(C4973="","",IFERROR(INDEX($S$5:$S$304,MATCH(C4973,$R$5:$R$304,0))&amp;"","?"))</f>
        <v/>
      </c>
      <c r="N4973" s="2">
        <f>IF(E4973="","",IF(ISNUMBER(SEARCH("SUBSOLO",E4973)),IFERROR(-VALUE(LEFT(E4973,FIND("º",SUBSTITUTE(E4973,"°","º"))-1)),-1),IF(LEFT(E4973,6)="TÉRREO",0,IFERROR(VALUE(LEFT(E4973,FIND("º",SUBSTITUTE(E4973,"°","º"))-1)),""))))</f>
        <v/>
      </c>
      <c r="O4973" s="2">
        <f>IF(OR(F4973="",G4973=""),"",IF(G4973&lt;='RETRATO 2027'!$K$5,"CONCLUÍDA",IF(F4973&lt;='RETRATO 2027'!$K$5,"EM ANDAMENTO","A INICIAR")))</f>
        <v/>
      </c>
    </row>
    <row r="4974">
      <c r="M4974" s="2">
        <f>IF(C4974="","",IFERROR(INDEX($S$5:$S$304,MATCH(C4974,$R$5:$R$304,0))&amp;"","?"))</f>
        <v/>
      </c>
      <c r="N4974" s="2">
        <f>IF(E4974="","",IF(ISNUMBER(SEARCH("SUBSOLO",E4974)),IFERROR(-VALUE(LEFT(E4974,FIND("º",SUBSTITUTE(E4974,"°","º"))-1)),-1),IF(LEFT(E4974,6)="TÉRREO",0,IFERROR(VALUE(LEFT(E4974,FIND("º",SUBSTITUTE(E4974,"°","º"))-1)),""))))</f>
        <v/>
      </c>
      <c r="O4974" s="2">
        <f>IF(OR(F4974="",G4974=""),"",IF(G4974&lt;='RETRATO 2027'!$K$5,"CONCLUÍDA",IF(F4974&lt;='RETRATO 2027'!$K$5,"EM ANDAMENTO","A INICIAR")))</f>
        <v/>
      </c>
    </row>
    <row r="4975">
      <c r="M4975" s="2">
        <f>IF(C4975="","",IFERROR(INDEX($S$5:$S$304,MATCH(C4975,$R$5:$R$304,0))&amp;"","?"))</f>
        <v/>
      </c>
      <c r="N4975" s="2">
        <f>IF(E4975="","",IF(ISNUMBER(SEARCH("SUBSOLO",E4975)),IFERROR(-VALUE(LEFT(E4975,FIND("º",SUBSTITUTE(E4975,"°","º"))-1)),-1),IF(LEFT(E4975,6)="TÉRREO",0,IFERROR(VALUE(LEFT(E4975,FIND("º",SUBSTITUTE(E4975,"°","º"))-1)),""))))</f>
        <v/>
      </c>
      <c r="O4975" s="2">
        <f>IF(OR(F4975="",G4975=""),"",IF(G4975&lt;='RETRATO 2027'!$K$5,"CONCLUÍDA",IF(F4975&lt;='RETRATO 2027'!$K$5,"EM ANDAMENTO","A INICIAR")))</f>
        <v/>
      </c>
    </row>
    <row r="4976">
      <c r="M4976" s="2">
        <f>IF(C4976="","",IFERROR(INDEX($S$5:$S$304,MATCH(C4976,$R$5:$R$304,0))&amp;"","?"))</f>
        <v/>
      </c>
      <c r="N4976" s="2">
        <f>IF(E4976="","",IF(ISNUMBER(SEARCH("SUBSOLO",E4976)),IFERROR(-VALUE(LEFT(E4976,FIND("º",SUBSTITUTE(E4976,"°","º"))-1)),-1),IF(LEFT(E4976,6)="TÉRREO",0,IFERROR(VALUE(LEFT(E4976,FIND("º",SUBSTITUTE(E4976,"°","º"))-1)),""))))</f>
        <v/>
      </c>
      <c r="O4976" s="2">
        <f>IF(OR(F4976="",G4976=""),"",IF(G4976&lt;='RETRATO 2027'!$K$5,"CONCLUÍDA",IF(F4976&lt;='RETRATO 2027'!$K$5,"EM ANDAMENTO","A INICIAR")))</f>
        <v/>
      </c>
    </row>
    <row r="4977">
      <c r="M4977" s="2">
        <f>IF(C4977="","",IFERROR(INDEX($S$5:$S$304,MATCH(C4977,$R$5:$R$304,0))&amp;"","?"))</f>
        <v/>
      </c>
      <c r="N4977" s="2">
        <f>IF(E4977="","",IF(ISNUMBER(SEARCH("SUBSOLO",E4977)),IFERROR(-VALUE(LEFT(E4977,FIND("º",SUBSTITUTE(E4977,"°","º"))-1)),-1),IF(LEFT(E4977,6)="TÉRREO",0,IFERROR(VALUE(LEFT(E4977,FIND("º",SUBSTITUTE(E4977,"°","º"))-1)),""))))</f>
        <v/>
      </c>
      <c r="O4977" s="2">
        <f>IF(OR(F4977="",G4977=""),"",IF(G4977&lt;='RETRATO 2027'!$K$5,"CONCLUÍDA",IF(F4977&lt;='RETRATO 2027'!$K$5,"EM ANDAMENTO","A INICIAR")))</f>
        <v/>
      </c>
    </row>
    <row r="4978">
      <c r="M4978" s="2">
        <f>IF(C4978="","",IFERROR(INDEX($S$5:$S$304,MATCH(C4978,$R$5:$R$304,0))&amp;"","?"))</f>
        <v/>
      </c>
      <c r="N4978" s="2">
        <f>IF(E4978="","",IF(ISNUMBER(SEARCH("SUBSOLO",E4978)),IFERROR(-VALUE(LEFT(E4978,FIND("º",SUBSTITUTE(E4978,"°","º"))-1)),-1),IF(LEFT(E4978,6)="TÉRREO",0,IFERROR(VALUE(LEFT(E4978,FIND("º",SUBSTITUTE(E4978,"°","º"))-1)),""))))</f>
        <v/>
      </c>
      <c r="O4978" s="2">
        <f>IF(OR(F4978="",G4978=""),"",IF(G4978&lt;='RETRATO 2027'!$K$5,"CONCLUÍDA",IF(F4978&lt;='RETRATO 2027'!$K$5,"EM ANDAMENTO","A INICIAR")))</f>
        <v/>
      </c>
    </row>
    <row r="4979">
      <c r="M4979" s="2">
        <f>IF(C4979="","",IFERROR(INDEX($S$5:$S$304,MATCH(C4979,$R$5:$R$304,0))&amp;"","?"))</f>
        <v/>
      </c>
      <c r="N4979" s="2">
        <f>IF(E4979="","",IF(ISNUMBER(SEARCH("SUBSOLO",E4979)),IFERROR(-VALUE(LEFT(E4979,FIND("º",SUBSTITUTE(E4979,"°","º"))-1)),-1),IF(LEFT(E4979,6)="TÉRREO",0,IFERROR(VALUE(LEFT(E4979,FIND("º",SUBSTITUTE(E4979,"°","º"))-1)),""))))</f>
        <v/>
      </c>
      <c r="O4979" s="2">
        <f>IF(OR(F4979="",G4979=""),"",IF(G4979&lt;='RETRATO 2027'!$K$5,"CONCLUÍDA",IF(F4979&lt;='RETRATO 2027'!$K$5,"EM ANDAMENTO","A INICIAR")))</f>
        <v/>
      </c>
    </row>
    <row r="4980">
      <c r="M4980" s="2">
        <f>IF(C4980="","",IFERROR(INDEX($S$5:$S$304,MATCH(C4980,$R$5:$R$304,0))&amp;"","?"))</f>
        <v/>
      </c>
      <c r="N4980" s="2">
        <f>IF(E4980="","",IF(ISNUMBER(SEARCH("SUBSOLO",E4980)),IFERROR(-VALUE(LEFT(E4980,FIND("º",SUBSTITUTE(E4980,"°","º"))-1)),-1),IF(LEFT(E4980,6)="TÉRREO",0,IFERROR(VALUE(LEFT(E4980,FIND("º",SUBSTITUTE(E4980,"°","º"))-1)),""))))</f>
        <v/>
      </c>
      <c r="O4980" s="2">
        <f>IF(OR(F4980="",G4980=""),"",IF(G4980&lt;='RETRATO 2027'!$K$5,"CONCLUÍDA",IF(F4980&lt;='RETRATO 2027'!$K$5,"EM ANDAMENTO","A INICIAR")))</f>
        <v/>
      </c>
    </row>
    <row r="4981">
      <c r="M4981" s="2">
        <f>IF(C4981="","",IFERROR(INDEX($S$5:$S$304,MATCH(C4981,$R$5:$R$304,0))&amp;"","?"))</f>
        <v/>
      </c>
      <c r="N4981" s="2">
        <f>IF(E4981="","",IF(ISNUMBER(SEARCH("SUBSOLO",E4981)),IFERROR(-VALUE(LEFT(E4981,FIND("º",SUBSTITUTE(E4981,"°","º"))-1)),-1),IF(LEFT(E4981,6)="TÉRREO",0,IFERROR(VALUE(LEFT(E4981,FIND("º",SUBSTITUTE(E4981,"°","º"))-1)),""))))</f>
        <v/>
      </c>
      <c r="O4981" s="2">
        <f>IF(OR(F4981="",G4981=""),"",IF(G4981&lt;='RETRATO 2027'!$K$5,"CONCLUÍDA",IF(F4981&lt;='RETRATO 2027'!$K$5,"EM ANDAMENTO","A INICIAR")))</f>
        <v/>
      </c>
    </row>
    <row r="4982">
      <c r="M4982" s="2">
        <f>IF(C4982="","",IFERROR(INDEX($S$5:$S$304,MATCH(C4982,$R$5:$R$304,0))&amp;"","?"))</f>
        <v/>
      </c>
      <c r="N4982" s="2">
        <f>IF(E4982="","",IF(ISNUMBER(SEARCH("SUBSOLO",E4982)),IFERROR(-VALUE(LEFT(E4982,FIND("º",SUBSTITUTE(E4982,"°","º"))-1)),-1),IF(LEFT(E4982,6)="TÉRREO",0,IFERROR(VALUE(LEFT(E4982,FIND("º",SUBSTITUTE(E4982,"°","º"))-1)),""))))</f>
        <v/>
      </c>
      <c r="O4982" s="2">
        <f>IF(OR(F4982="",G4982=""),"",IF(G4982&lt;='RETRATO 2027'!$K$5,"CONCLUÍDA",IF(F4982&lt;='RETRATO 2027'!$K$5,"EM ANDAMENTO","A INICIAR")))</f>
        <v/>
      </c>
    </row>
    <row r="4983">
      <c r="M4983" s="2">
        <f>IF(C4983="","",IFERROR(INDEX($S$5:$S$304,MATCH(C4983,$R$5:$R$304,0))&amp;"","?"))</f>
        <v/>
      </c>
      <c r="N4983" s="2">
        <f>IF(E4983="","",IF(ISNUMBER(SEARCH("SUBSOLO",E4983)),IFERROR(-VALUE(LEFT(E4983,FIND("º",SUBSTITUTE(E4983,"°","º"))-1)),-1),IF(LEFT(E4983,6)="TÉRREO",0,IFERROR(VALUE(LEFT(E4983,FIND("º",SUBSTITUTE(E4983,"°","º"))-1)),""))))</f>
        <v/>
      </c>
      <c r="O4983" s="2">
        <f>IF(OR(F4983="",G4983=""),"",IF(G4983&lt;='RETRATO 2027'!$K$5,"CONCLUÍDA",IF(F4983&lt;='RETRATO 2027'!$K$5,"EM ANDAMENTO","A INICIAR")))</f>
        <v/>
      </c>
    </row>
    <row r="4984">
      <c r="M4984" s="2">
        <f>IF(C4984="","",IFERROR(INDEX($S$5:$S$304,MATCH(C4984,$R$5:$R$304,0))&amp;"","?"))</f>
        <v/>
      </c>
      <c r="N4984" s="2">
        <f>IF(E4984="","",IF(ISNUMBER(SEARCH("SUBSOLO",E4984)),IFERROR(-VALUE(LEFT(E4984,FIND("º",SUBSTITUTE(E4984,"°","º"))-1)),-1),IF(LEFT(E4984,6)="TÉRREO",0,IFERROR(VALUE(LEFT(E4984,FIND("º",SUBSTITUTE(E4984,"°","º"))-1)),""))))</f>
        <v/>
      </c>
      <c r="O4984" s="2">
        <f>IF(OR(F4984="",G4984=""),"",IF(G4984&lt;='RETRATO 2027'!$K$5,"CONCLUÍDA",IF(F4984&lt;='RETRATO 2027'!$K$5,"EM ANDAMENTO","A INICIAR")))</f>
        <v/>
      </c>
    </row>
    <row r="4985">
      <c r="M4985" s="2">
        <f>IF(C4985="","",IFERROR(INDEX($S$5:$S$304,MATCH(C4985,$R$5:$R$304,0))&amp;"","?"))</f>
        <v/>
      </c>
      <c r="N4985" s="2">
        <f>IF(E4985="","",IF(ISNUMBER(SEARCH("SUBSOLO",E4985)),IFERROR(-VALUE(LEFT(E4985,FIND("º",SUBSTITUTE(E4985,"°","º"))-1)),-1),IF(LEFT(E4985,6)="TÉRREO",0,IFERROR(VALUE(LEFT(E4985,FIND("º",SUBSTITUTE(E4985,"°","º"))-1)),""))))</f>
        <v/>
      </c>
      <c r="O4985" s="2">
        <f>IF(OR(F4985="",G4985=""),"",IF(G4985&lt;='RETRATO 2027'!$K$5,"CONCLUÍDA",IF(F4985&lt;='RETRATO 2027'!$K$5,"EM ANDAMENTO","A INICIAR")))</f>
        <v/>
      </c>
    </row>
    <row r="4986">
      <c r="M4986" s="2">
        <f>IF(C4986="","",IFERROR(INDEX($S$5:$S$304,MATCH(C4986,$R$5:$R$304,0))&amp;"","?"))</f>
        <v/>
      </c>
      <c r="N4986" s="2">
        <f>IF(E4986="","",IF(ISNUMBER(SEARCH("SUBSOLO",E4986)),IFERROR(-VALUE(LEFT(E4986,FIND("º",SUBSTITUTE(E4986,"°","º"))-1)),-1),IF(LEFT(E4986,6)="TÉRREO",0,IFERROR(VALUE(LEFT(E4986,FIND("º",SUBSTITUTE(E4986,"°","º"))-1)),""))))</f>
        <v/>
      </c>
      <c r="O4986" s="2">
        <f>IF(OR(F4986="",G4986=""),"",IF(G4986&lt;='RETRATO 2027'!$K$5,"CONCLUÍDA",IF(F4986&lt;='RETRATO 2027'!$K$5,"EM ANDAMENTO","A INICIAR")))</f>
        <v/>
      </c>
    </row>
    <row r="4987">
      <c r="M4987" s="2">
        <f>IF(C4987="","",IFERROR(INDEX($S$5:$S$304,MATCH(C4987,$R$5:$R$304,0))&amp;"","?"))</f>
        <v/>
      </c>
      <c r="N4987" s="2">
        <f>IF(E4987="","",IF(ISNUMBER(SEARCH("SUBSOLO",E4987)),IFERROR(-VALUE(LEFT(E4987,FIND("º",SUBSTITUTE(E4987,"°","º"))-1)),-1),IF(LEFT(E4987,6)="TÉRREO",0,IFERROR(VALUE(LEFT(E4987,FIND("º",SUBSTITUTE(E4987,"°","º"))-1)),""))))</f>
        <v/>
      </c>
      <c r="O4987" s="2">
        <f>IF(OR(F4987="",G4987=""),"",IF(G4987&lt;='RETRATO 2027'!$K$5,"CONCLUÍDA",IF(F4987&lt;='RETRATO 2027'!$K$5,"EM ANDAMENTO","A INICIAR")))</f>
        <v/>
      </c>
    </row>
    <row r="4988">
      <c r="M4988" s="2">
        <f>IF(C4988="","",IFERROR(INDEX($S$5:$S$304,MATCH(C4988,$R$5:$R$304,0))&amp;"","?"))</f>
        <v/>
      </c>
      <c r="N4988" s="2">
        <f>IF(E4988="","",IF(ISNUMBER(SEARCH("SUBSOLO",E4988)),IFERROR(-VALUE(LEFT(E4988,FIND("º",SUBSTITUTE(E4988,"°","º"))-1)),-1),IF(LEFT(E4988,6)="TÉRREO",0,IFERROR(VALUE(LEFT(E4988,FIND("º",SUBSTITUTE(E4988,"°","º"))-1)),""))))</f>
        <v/>
      </c>
      <c r="O4988" s="2">
        <f>IF(OR(F4988="",G4988=""),"",IF(G4988&lt;='RETRATO 2027'!$K$5,"CONCLUÍDA",IF(F4988&lt;='RETRATO 2027'!$K$5,"EM ANDAMENTO","A INICIAR")))</f>
        <v/>
      </c>
    </row>
    <row r="4989">
      <c r="M4989" s="2">
        <f>IF(C4989="","",IFERROR(INDEX($S$5:$S$304,MATCH(C4989,$R$5:$R$304,0))&amp;"","?"))</f>
        <v/>
      </c>
      <c r="N4989" s="2">
        <f>IF(E4989="","",IF(ISNUMBER(SEARCH("SUBSOLO",E4989)),IFERROR(-VALUE(LEFT(E4989,FIND("º",SUBSTITUTE(E4989,"°","º"))-1)),-1),IF(LEFT(E4989,6)="TÉRREO",0,IFERROR(VALUE(LEFT(E4989,FIND("º",SUBSTITUTE(E4989,"°","º"))-1)),""))))</f>
        <v/>
      </c>
      <c r="O4989" s="2">
        <f>IF(OR(F4989="",G4989=""),"",IF(G4989&lt;='RETRATO 2027'!$K$5,"CONCLUÍDA",IF(F4989&lt;='RETRATO 2027'!$K$5,"EM ANDAMENTO","A INICIAR")))</f>
        <v/>
      </c>
    </row>
    <row r="4990">
      <c r="M4990" s="2">
        <f>IF(C4990="","",IFERROR(INDEX($S$5:$S$304,MATCH(C4990,$R$5:$R$304,0))&amp;"","?"))</f>
        <v/>
      </c>
      <c r="N4990" s="2">
        <f>IF(E4990="","",IF(ISNUMBER(SEARCH("SUBSOLO",E4990)),IFERROR(-VALUE(LEFT(E4990,FIND("º",SUBSTITUTE(E4990,"°","º"))-1)),-1),IF(LEFT(E4990,6)="TÉRREO",0,IFERROR(VALUE(LEFT(E4990,FIND("º",SUBSTITUTE(E4990,"°","º"))-1)),""))))</f>
        <v/>
      </c>
      <c r="O4990" s="2">
        <f>IF(OR(F4990="",G4990=""),"",IF(G4990&lt;='RETRATO 2027'!$K$5,"CONCLUÍDA",IF(F4990&lt;='RETRATO 2027'!$K$5,"EM ANDAMENTO","A INICIAR")))</f>
        <v/>
      </c>
    </row>
    <row r="4991">
      <c r="M4991" s="2">
        <f>IF(C4991="","",IFERROR(INDEX($S$5:$S$304,MATCH(C4991,$R$5:$R$304,0))&amp;"","?"))</f>
        <v/>
      </c>
      <c r="N4991" s="2">
        <f>IF(E4991="","",IF(ISNUMBER(SEARCH("SUBSOLO",E4991)),IFERROR(-VALUE(LEFT(E4991,FIND("º",SUBSTITUTE(E4991,"°","º"))-1)),-1),IF(LEFT(E4991,6)="TÉRREO",0,IFERROR(VALUE(LEFT(E4991,FIND("º",SUBSTITUTE(E4991,"°","º"))-1)),""))))</f>
        <v/>
      </c>
      <c r="O4991" s="2">
        <f>IF(OR(F4991="",G4991=""),"",IF(G4991&lt;='RETRATO 2027'!$K$5,"CONCLUÍDA",IF(F4991&lt;='RETRATO 2027'!$K$5,"EM ANDAMENTO","A INICIAR")))</f>
        <v/>
      </c>
    </row>
    <row r="4992">
      <c r="M4992" s="2">
        <f>IF(C4992="","",IFERROR(INDEX($S$5:$S$304,MATCH(C4992,$R$5:$R$304,0))&amp;"","?"))</f>
        <v/>
      </c>
      <c r="N4992" s="2">
        <f>IF(E4992="","",IF(ISNUMBER(SEARCH("SUBSOLO",E4992)),IFERROR(-VALUE(LEFT(E4992,FIND("º",SUBSTITUTE(E4992,"°","º"))-1)),-1),IF(LEFT(E4992,6)="TÉRREO",0,IFERROR(VALUE(LEFT(E4992,FIND("º",SUBSTITUTE(E4992,"°","º"))-1)),""))))</f>
        <v/>
      </c>
      <c r="O4992" s="2">
        <f>IF(OR(F4992="",G4992=""),"",IF(G4992&lt;='RETRATO 2027'!$K$5,"CONCLUÍDA",IF(F4992&lt;='RETRATO 2027'!$K$5,"EM ANDAMENTO","A INICIAR")))</f>
        <v/>
      </c>
    </row>
    <row r="4993">
      <c r="M4993" s="2">
        <f>IF(C4993="","",IFERROR(INDEX($S$5:$S$304,MATCH(C4993,$R$5:$R$304,0))&amp;"","?"))</f>
        <v/>
      </c>
      <c r="N4993" s="2">
        <f>IF(E4993="","",IF(ISNUMBER(SEARCH("SUBSOLO",E4993)),IFERROR(-VALUE(LEFT(E4993,FIND("º",SUBSTITUTE(E4993,"°","º"))-1)),-1),IF(LEFT(E4993,6)="TÉRREO",0,IFERROR(VALUE(LEFT(E4993,FIND("º",SUBSTITUTE(E4993,"°","º"))-1)),""))))</f>
        <v/>
      </c>
      <c r="O4993" s="2">
        <f>IF(OR(F4993="",G4993=""),"",IF(G4993&lt;='RETRATO 2027'!$K$5,"CONCLUÍDA",IF(F4993&lt;='RETRATO 2027'!$K$5,"EM ANDAMENTO","A INICIAR")))</f>
        <v/>
      </c>
    </row>
    <row r="4994">
      <c r="M4994" s="2">
        <f>IF(C4994="","",IFERROR(INDEX($S$5:$S$304,MATCH(C4994,$R$5:$R$304,0))&amp;"","?"))</f>
        <v/>
      </c>
      <c r="N4994" s="2">
        <f>IF(E4994="","",IF(ISNUMBER(SEARCH("SUBSOLO",E4994)),IFERROR(-VALUE(LEFT(E4994,FIND("º",SUBSTITUTE(E4994,"°","º"))-1)),-1),IF(LEFT(E4994,6)="TÉRREO",0,IFERROR(VALUE(LEFT(E4994,FIND("º",SUBSTITUTE(E4994,"°","º"))-1)),""))))</f>
        <v/>
      </c>
      <c r="O4994" s="2">
        <f>IF(OR(F4994="",G4994=""),"",IF(G4994&lt;='RETRATO 2027'!$K$5,"CONCLUÍDA",IF(F4994&lt;='RETRATO 2027'!$K$5,"EM ANDAMENTO","A INICIAR")))</f>
        <v/>
      </c>
    </row>
    <row r="4995">
      <c r="M4995" s="2">
        <f>IF(C4995="","",IFERROR(INDEX($S$5:$S$304,MATCH(C4995,$R$5:$R$304,0))&amp;"","?"))</f>
        <v/>
      </c>
      <c r="N4995" s="2">
        <f>IF(E4995="","",IF(ISNUMBER(SEARCH("SUBSOLO",E4995)),IFERROR(-VALUE(LEFT(E4995,FIND("º",SUBSTITUTE(E4995,"°","º"))-1)),-1),IF(LEFT(E4995,6)="TÉRREO",0,IFERROR(VALUE(LEFT(E4995,FIND("º",SUBSTITUTE(E4995,"°","º"))-1)),""))))</f>
        <v/>
      </c>
      <c r="O4995" s="2">
        <f>IF(OR(F4995="",G4995=""),"",IF(G4995&lt;='RETRATO 2027'!$K$5,"CONCLUÍDA",IF(F4995&lt;='RETRATO 2027'!$K$5,"EM ANDAMENTO","A INICIAR")))</f>
        <v/>
      </c>
    </row>
    <row r="4996">
      <c r="M4996" s="2">
        <f>IF(C4996="","",IFERROR(INDEX($S$5:$S$304,MATCH(C4996,$R$5:$R$304,0))&amp;"","?"))</f>
        <v/>
      </c>
      <c r="N4996" s="2">
        <f>IF(E4996="","",IF(ISNUMBER(SEARCH("SUBSOLO",E4996)),IFERROR(-VALUE(LEFT(E4996,FIND("º",SUBSTITUTE(E4996,"°","º"))-1)),-1),IF(LEFT(E4996,6)="TÉRREO",0,IFERROR(VALUE(LEFT(E4996,FIND("º",SUBSTITUTE(E4996,"°","º"))-1)),""))))</f>
        <v/>
      </c>
      <c r="O4996" s="2">
        <f>IF(OR(F4996="",G4996=""),"",IF(G4996&lt;='RETRATO 2027'!$K$5,"CONCLUÍDA",IF(F4996&lt;='RETRATO 2027'!$K$5,"EM ANDAMENTO","A INICIAR")))</f>
        <v/>
      </c>
    </row>
    <row r="4997">
      <c r="M4997" s="2">
        <f>IF(C4997="","",IFERROR(INDEX($S$5:$S$304,MATCH(C4997,$R$5:$R$304,0))&amp;"","?"))</f>
        <v/>
      </c>
      <c r="N4997" s="2">
        <f>IF(E4997="","",IF(ISNUMBER(SEARCH("SUBSOLO",E4997)),IFERROR(-VALUE(LEFT(E4997,FIND("º",SUBSTITUTE(E4997,"°","º"))-1)),-1),IF(LEFT(E4997,6)="TÉRREO",0,IFERROR(VALUE(LEFT(E4997,FIND("º",SUBSTITUTE(E4997,"°","º"))-1)),""))))</f>
        <v/>
      </c>
      <c r="O4997" s="2">
        <f>IF(OR(F4997="",G4997=""),"",IF(G4997&lt;='RETRATO 2027'!$K$5,"CONCLUÍDA",IF(F4997&lt;='RETRATO 2027'!$K$5,"EM ANDAMENTO","A INICIAR")))</f>
        <v/>
      </c>
    </row>
    <row r="4998">
      <c r="M4998" s="2">
        <f>IF(C4998="","",IFERROR(INDEX($S$5:$S$304,MATCH(C4998,$R$5:$R$304,0))&amp;"","?"))</f>
        <v/>
      </c>
      <c r="N4998" s="2">
        <f>IF(E4998="","",IF(ISNUMBER(SEARCH("SUBSOLO",E4998)),IFERROR(-VALUE(LEFT(E4998,FIND("º",SUBSTITUTE(E4998,"°","º"))-1)),-1),IF(LEFT(E4998,6)="TÉRREO",0,IFERROR(VALUE(LEFT(E4998,FIND("º",SUBSTITUTE(E4998,"°","º"))-1)),""))))</f>
        <v/>
      </c>
      <c r="O4998" s="2">
        <f>IF(OR(F4998="",G4998=""),"",IF(G4998&lt;='RETRATO 2027'!$K$5,"CONCLUÍDA",IF(F4998&lt;='RETRATO 2027'!$K$5,"EM ANDAMENTO","A INICIAR")))</f>
        <v/>
      </c>
    </row>
    <row r="4999">
      <c r="M4999" s="2">
        <f>IF(C4999="","",IFERROR(INDEX($S$5:$S$304,MATCH(C4999,$R$5:$R$304,0))&amp;"","?"))</f>
        <v/>
      </c>
      <c r="N4999" s="2">
        <f>IF(E4999="","",IF(ISNUMBER(SEARCH("SUBSOLO",E4999)),IFERROR(-VALUE(LEFT(E4999,FIND("º",SUBSTITUTE(E4999,"°","º"))-1)),-1),IF(LEFT(E4999,6)="TÉRREO",0,IFERROR(VALUE(LEFT(E4999,FIND("º",SUBSTITUTE(E4999,"°","º"))-1)),""))))</f>
        <v/>
      </c>
      <c r="O4999" s="2">
        <f>IF(OR(F4999="",G4999=""),"",IF(G4999&lt;='RETRATO 2027'!$K$5,"CONCLUÍDA",IF(F4999&lt;='RETRATO 2027'!$K$5,"EM ANDAMENTO","A INICIAR")))</f>
        <v/>
      </c>
    </row>
    <row r="5000">
      <c r="M5000" s="2">
        <f>IF(C5000="","",IFERROR(INDEX($S$5:$S$304,MATCH(C5000,$R$5:$R$304,0))&amp;"","?"))</f>
        <v/>
      </c>
      <c r="N5000" s="2">
        <f>IF(E5000="","",IF(ISNUMBER(SEARCH("SUBSOLO",E5000)),IFERROR(-VALUE(LEFT(E5000,FIND("º",SUBSTITUTE(E5000,"°","º"))-1)),-1),IF(LEFT(E5000,6)="TÉRREO",0,IFERROR(VALUE(LEFT(E5000,FIND("º",SUBSTITUTE(E5000,"°","º"))-1)),""))))</f>
        <v/>
      </c>
      <c r="O5000" s="2">
        <f>IF(OR(F5000="",G5000=""),"",IF(G5000&lt;='RETRATO 2027'!$K$5,"CONCLUÍDA",IF(F5000&lt;='RETRATO 2027'!$K$5,"EM ANDAMENTO","A INICIAR")))</f>
        <v/>
      </c>
    </row>
    <row r="5001">
      <c r="M5001" s="2">
        <f>IF(C5001="","",IFERROR(INDEX($S$5:$S$304,MATCH(C5001,$R$5:$R$304,0))&amp;"","?"))</f>
        <v/>
      </c>
      <c r="N5001" s="2">
        <f>IF(E5001="","",IF(ISNUMBER(SEARCH("SUBSOLO",E5001)),IFERROR(-VALUE(LEFT(E5001,FIND("º",SUBSTITUTE(E5001,"°","º"))-1)),-1),IF(LEFT(E5001,6)="TÉRREO",0,IFERROR(VALUE(LEFT(E5001,FIND("º",SUBSTITUTE(E5001,"°","º"))-1)),""))))</f>
        <v/>
      </c>
      <c r="O5001" s="2">
        <f>IF(OR(F5001="",G5001=""),"",IF(G5001&lt;='RETRATO 2027'!$K$5,"CONCLUÍDA",IF(F5001&lt;='RETRATO 2027'!$K$5,"EM ANDAMENTO","A INICIAR")))</f>
        <v/>
      </c>
    </row>
    <row r="5002">
      <c r="M5002" s="2">
        <f>IF(C5002="","",IFERROR(INDEX($S$5:$S$304,MATCH(C5002,$R$5:$R$304,0))&amp;"","?"))</f>
        <v/>
      </c>
      <c r="N5002" s="2">
        <f>IF(E5002="","",IF(ISNUMBER(SEARCH("SUBSOLO",E5002)),IFERROR(-VALUE(LEFT(E5002,FIND("º",SUBSTITUTE(E5002,"°","º"))-1)),-1),IF(LEFT(E5002,6)="TÉRREO",0,IFERROR(VALUE(LEFT(E5002,FIND("º",SUBSTITUTE(E5002,"°","º"))-1)),""))))</f>
        <v/>
      </c>
      <c r="O5002" s="2">
        <f>IF(OR(F5002="",G5002=""),"",IF(G5002&lt;='RETRATO 2027'!$K$5,"CONCLUÍDA",IF(F5002&lt;='RETRATO 2027'!$K$5,"EM ANDAMENTO","A INICIAR")))</f>
        <v/>
      </c>
    </row>
    <row r="5003">
      <c r="M5003" s="2">
        <f>IF(C5003="","",IFERROR(INDEX($S$5:$S$304,MATCH(C5003,$R$5:$R$304,0))&amp;"","?"))</f>
        <v/>
      </c>
      <c r="N5003" s="2">
        <f>IF(E5003="","",IF(ISNUMBER(SEARCH("SUBSOLO",E5003)),IFERROR(-VALUE(LEFT(E5003,FIND("º",SUBSTITUTE(E5003,"°","º"))-1)),-1),IF(LEFT(E5003,6)="TÉRREO",0,IFERROR(VALUE(LEFT(E5003,FIND("º",SUBSTITUTE(E5003,"°","º"))-1)),""))))</f>
        <v/>
      </c>
      <c r="O5003" s="2">
        <f>IF(OR(F5003="",G5003=""),"",IF(G5003&lt;='RETRATO 2027'!$K$5,"CONCLUÍDA",IF(F5003&lt;='RETRATO 2027'!$K$5,"EM ANDAMENTO","A INICIAR")))</f>
        <v/>
      </c>
    </row>
    <row r="5004">
      <c r="M5004" s="2">
        <f>IF(C5004="","",IFERROR(INDEX($S$5:$S$304,MATCH(C5004,$R$5:$R$304,0))&amp;"","?"))</f>
        <v/>
      </c>
      <c r="N5004" s="2">
        <f>IF(E5004="","",IF(ISNUMBER(SEARCH("SUBSOLO",E5004)),IFERROR(-VALUE(LEFT(E5004,FIND("º",SUBSTITUTE(E5004,"°","º"))-1)),-1),IF(LEFT(E5004,6)="TÉRREO",0,IFERROR(VALUE(LEFT(E5004,FIND("º",SUBSTITUTE(E5004,"°","º"))-1)),""))))</f>
        <v/>
      </c>
      <c r="O5004" s="2">
        <f>IF(OR(F5004="",G5004=""),"",IF(G5004&lt;='RETRATO 2027'!$K$5,"CONCLUÍDA",IF(F5004&lt;='RETRATO 2027'!$K$5,"EM ANDAMENTO","A INICIAR")))</f>
        <v/>
      </c>
    </row>
    <row r="5005">
      <c r="M5005" s="2">
        <f>IF(C5005="","",IFERROR(INDEX($S$5:$S$304,MATCH(C5005,$R$5:$R$304,0))&amp;"","?"))</f>
        <v/>
      </c>
      <c r="N5005" s="2">
        <f>IF(E5005="","",IF(ISNUMBER(SEARCH("SUBSOLO",E5005)),IFERROR(-VALUE(LEFT(E5005,FIND("º",SUBSTITUTE(E5005,"°","º"))-1)),-1),IF(LEFT(E5005,6)="TÉRREO",0,IFERROR(VALUE(LEFT(E5005,FIND("º",SUBSTITUTE(E5005,"°","º"))-1)),""))))</f>
        <v/>
      </c>
      <c r="O5005" s="2">
        <f>IF(OR(F5005="",G5005=""),"",IF(G5005&lt;='RETRATO 2027'!$K$5,"CONCLUÍDA",IF(F5005&lt;='RETRATO 2027'!$K$5,"EM ANDAMENTO","A INICIAR")))</f>
        <v/>
      </c>
    </row>
    <row r="5006">
      <c r="M5006" s="2">
        <f>IF(C5006="","",IFERROR(INDEX($S$5:$S$304,MATCH(C5006,$R$5:$R$304,0))&amp;"","?"))</f>
        <v/>
      </c>
      <c r="N5006" s="2">
        <f>IF(E5006="","",IF(ISNUMBER(SEARCH("SUBSOLO",E5006)),IFERROR(-VALUE(LEFT(E5006,FIND("º",SUBSTITUTE(E5006,"°","º"))-1)),-1),IF(LEFT(E5006,6)="TÉRREO",0,IFERROR(VALUE(LEFT(E5006,FIND("º",SUBSTITUTE(E5006,"°","º"))-1)),""))))</f>
        <v/>
      </c>
      <c r="O5006" s="2">
        <f>IF(OR(F5006="",G5006=""),"",IF(G5006&lt;='RETRATO 2027'!$K$5,"CONCLUÍDA",IF(F5006&lt;='RETRATO 2027'!$K$5,"EM ANDAMENTO","A INICIAR")))</f>
        <v/>
      </c>
    </row>
    <row r="5007">
      <c r="M5007" s="2">
        <f>IF(C5007="","",IFERROR(INDEX($S$5:$S$304,MATCH(C5007,$R$5:$R$304,0))&amp;"","?"))</f>
        <v/>
      </c>
      <c r="N5007" s="2">
        <f>IF(E5007="","",IF(ISNUMBER(SEARCH("SUBSOLO",E5007)),IFERROR(-VALUE(LEFT(E5007,FIND("º",SUBSTITUTE(E5007,"°","º"))-1)),-1),IF(LEFT(E5007,6)="TÉRREO",0,IFERROR(VALUE(LEFT(E5007,FIND("º",SUBSTITUTE(E5007,"°","º"))-1)),""))))</f>
        <v/>
      </c>
      <c r="O5007" s="2">
        <f>IF(OR(F5007="",G5007=""),"",IF(G5007&lt;='RETRATO 2027'!$K$5,"CONCLUÍDA",IF(F5007&lt;='RETRATO 2027'!$K$5,"EM ANDAMENTO","A INICIAR")))</f>
        <v/>
      </c>
    </row>
    <row r="5008">
      <c r="M5008" s="2">
        <f>IF(C5008="","",IFERROR(INDEX($S$5:$S$304,MATCH(C5008,$R$5:$R$304,0))&amp;"","?"))</f>
        <v/>
      </c>
      <c r="N5008" s="2">
        <f>IF(E5008="","",IF(ISNUMBER(SEARCH("SUBSOLO",E5008)),IFERROR(-VALUE(LEFT(E5008,FIND("º",SUBSTITUTE(E5008,"°","º"))-1)),-1),IF(LEFT(E5008,6)="TÉRREO",0,IFERROR(VALUE(LEFT(E5008,FIND("º",SUBSTITUTE(E5008,"°","º"))-1)),""))))</f>
        <v/>
      </c>
      <c r="O5008" s="2">
        <f>IF(OR(F5008="",G5008=""),"",IF(G5008&lt;='RETRATO 2027'!$K$5,"CONCLUÍDA",IF(F5008&lt;='RETRATO 2027'!$K$5,"EM ANDAMENTO","A INICIAR")))</f>
        <v/>
      </c>
    </row>
    <row r="5009">
      <c r="M5009" s="2">
        <f>IF(C5009="","",IFERROR(INDEX($S$5:$S$304,MATCH(C5009,$R$5:$R$304,0))&amp;"","?"))</f>
        <v/>
      </c>
      <c r="N5009" s="2">
        <f>IF(E5009="","",IF(ISNUMBER(SEARCH("SUBSOLO",E5009)),IFERROR(-VALUE(LEFT(E5009,FIND("º",SUBSTITUTE(E5009,"°","º"))-1)),-1),IF(LEFT(E5009,6)="TÉRREO",0,IFERROR(VALUE(LEFT(E5009,FIND("º",SUBSTITUTE(E5009,"°","º"))-1)),""))))</f>
        <v/>
      </c>
      <c r="O5009" s="2">
        <f>IF(OR(F5009="",G5009=""),"",IF(G5009&lt;='RETRATO 2027'!$K$5,"CONCLUÍDA",IF(F5009&lt;='RETRATO 2027'!$K$5,"EM ANDAMENTO","A INICIAR")))</f>
        <v/>
      </c>
    </row>
    <row r="5010">
      <c r="M5010" s="2">
        <f>IF(C5010="","",IFERROR(INDEX($S$5:$S$304,MATCH(C5010,$R$5:$R$304,0))&amp;"","?"))</f>
        <v/>
      </c>
      <c r="N5010" s="2">
        <f>IF(E5010="","",IF(ISNUMBER(SEARCH("SUBSOLO",E5010)),IFERROR(-VALUE(LEFT(E5010,FIND("º",SUBSTITUTE(E5010,"°","º"))-1)),-1),IF(LEFT(E5010,6)="TÉRREO",0,IFERROR(VALUE(LEFT(E5010,FIND("º",SUBSTITUTE(E5010,"°","º"))-1)),""))))</f>
        <v/>
      </c>
      <c r="O5010" s="2">
        <f>IF(OR(F5010="",G5010=""),"",IF(G5010&lt;='RETRATO 2027'!$K$5,"CONCLUÍDA",IF(F5010&lt;='RETRATO 2027'!$K$5,"EM ANDAMENTO","A INICIAR")))</f>
        <v/>
      </c>
    </row>
    <row r="5011">
      <c r="M5011" s="2">
        <f>IF(C5011="","",IFERROR(INDEX($S$5:$S$304,MATCH(C5011,$R$5:$R$304,0))&amp;"","?"))</f>
        <v/>
      </c>
      <c r="N5011" s="2">
        <f>IF(E5011="","",IF(ISNUMBER(SEARCH("SUBSOLO",E5011)),IFERROR(-VALUE(LEFT(E5011,FIND("º",SUBSTITUTE(E5011,"°","º"))-1)),-1),IF(LEFT(E5011,6)="TÉRREO",0,IFERROR(VALUE(LEFT(E5011,FIND("º",SUBSTITUTE(E5011,"°","º"))-1)),""))))</f>
        <v/>
      </c>
      <c r="O5011" s="2">
        <f>IF(OR(F5011="",G5011=""),"",IF(G5011&lt;='RETRATO 2027'!$K$5,"CONCLUÍDA",IF(F5011&lt;='RETRATO 2027'!$K$5,"EM ANDAMENTO","A INICIAR")))</f>
        <v/>
      </c>
    </row>
    <row r="5012">
      <c r="M5012" s="2">
        <f>IF(C5012="","",IFERROR(INDEX($S$5:$S$304,MATCH(C5012,$R$5:$R$304,0))&amp;"","?"))</f>
        <v/>
      </c>
      <c r="N5012" s="2">
        <f>IF(E5012="","",IF(ISNUMBER(SEARCH("SUBSOLO",E5012)),IFERROR(-VALUE(LEFT(E5012,FIND("º",SUBSTITUTE(E5012,"°","º"))-1)),-1),IF(LEFT(E5012,6)="TÉRREO",0,IFERROR(VALUE(LEFT(E5012,FIND("º",SUBSTITUTE(E5012,"°","º"))-1)),""))))</f>
        <v/>
      </c>
      <c r="O5012" s="2">
        <f>IF(OR(F5012="",G5012=""),"",IF(G5012&lt;='RETRATO 2027'!$K$5,"CONCLUÍDA",IF(F5012&lt;='RETRATO 2027'!$K$5,"EM ANDAMENTO","A INICIAR")))</f>
        <v/>
      </c>
    </row>
    <row r="5013">
      <c r="M5013" s="2">
        <f>IF(C5013="","",IFERROR(INDEX($S$5:$S$304,MATCH(C5013,$R$5:$R$304,0))&amp;"","?"))</f>
        <v/>
      </c>
      <c r="N5013" s="2">
        <f>IF(E5013="","",IF(ISNUMBER(SEARCH("SUBSOLO",E5013)),IFERROR(-VALUE(LEFT(E5013,FIND("º",SUBSTITUTE(E5013,"°","º"))-1)),-1),IF(LEFT(E5013,6)="TÉRREO",0,IFERROR(VALUE(LEFT(E5013,FIND("º",SUBSTITUTE(E5013,"°","º"))-1)),""))))</f>
        <v/>
      </c>
      <c r="O5013" s="2">
        <f>IF(OR(F5013="",G5013=""),"",IF(G5013&lt;='RETRATO 2027'!$K$5,"CONCLUÍDA",IF(F5013&lt;='RETRATO 2027'!$K$5,"EM ANDAMENTO","A INICIAR")))</f>
        <v/>
      </c>
    </row>
    <row r="5014">
      <c r="M5014" s="2">
        <f>IF(C5014="","",IFERROR(INDEX($S$5:$S$304,MATCH(C5014,$R$5:$R$304,0))&amp;"","?"))</f>
        <v/>
      </c>
      <c r="N5014" s="2">
        <f>IF(E5014="","",IF(ISNUMBER(SEARCH("SUBSOLO",E5014)),IFERROR(-VALUE(LEFT(E5014,FIND("º",SUBSTITUTE(E5014,"°","º"))-1)),-1),IF(LEFT(E5014,6)="TÉRREO",0,IFERROR(VALUE(LEFT(E5014,FIND("º",SUBSTITUTE(E5014,"°","º"))-1)),""))))</f>
        <v/>
      </c>
      <c r="O5014" s="2">
        <f>IF(OR(F5014="",G5014=""),"",IF(G5014&lt;='RETRATO 2027'!$K$5,"CONCLUÍDA",IF(F5014&lt;='RETRATO 2027'!$K$5,"EM ANDAMENTO","A INICIAR")))</f>
        <v/>
      </c>
    </row>
    <row r="5015">
      <c r="M5015" s="2">
        <f>IF(C5015="","",IFERROR(INDEX($S$5:$S$304,MATCH(C5015,$R$5:$R$304,0))&amp;"","?"))</f>
        <v/>
      </c>
      <c r="N5015" s="2">
        <f>IF(E5015="","",IF(ISNUMBER(SEARCH("SUBSOLO",E5015)),IFERROR(-VALUE(LEFT(E5015,FIND("º",SUBSTITUTE(E5015,"°","º"))-1)),-1),IF(LEFT(E5015,6)="TÉRREO",0,IFERROR(VALUE(LEFT(E5015,FIND("º",SUBSTITUTE(E5015,"°","º"))-1)),""))))</f>
        <v/>
      </c>
      <c r="O5015" s="2">
        <f>IF(OR(F5015="",G5015=""),"",IF(G5015&lt;='RETRATO 2027'!$K$5,"CONCLUÍDA",IF(F5015&lt;='RETRATO 2027'!$K$5,"EM ANDAMENTO","A INICIAR")))</f>
        <v/>
      </c>
    </row>
    <row r="5016">
      <c r="M5016" s="2">
        <f>IF(C5016="","",IFERROR(INDEX($S$5:$S$304,MATCH(C5016,$R$5:$R$304,0))&amp;"","?"))</f>
        <v/>
      </c>
      <c r="N5016" s="2">
        <f>IF(E5016="","",IF(ISNUMBER(SEARCH("SUBSOLO",E5016)),IFERROR(-VALUE(LEFT(E5016,FIND("º",SUBSTITUTE(E5016,"°","º"))-1)),-1),IF(LEFT(E5016,6)="TÉRREO",0,IFERROR(VALUE(LEFT(E5016,FIND("º",SUBSTITUTE(E5016,"°","º"))-1)),""))))</f>
        <v/>
      </c>
      <c r="O5016" s="2">
        <f>IF(OR(F5016="",G5016=""),"",IF(G5016&lt;='RETRATO 2027'!$K$5,"CONCLUÍDA",IF(F5016&lt;='RETRATO 2027'!$K$5,"EM ANDAMENTO","A INICIAR")))</f>
        <v/>
      </c>
    </row>
    <row r="5017">
      <c r="M5017" s="2">
        <f>IF(C5017="","",IFERROR(INDEX($S$5:$S$304,MATCH(C5017,$R$5:$R$304,0))&amp;"","?"))</f>
        <v/>
      </c>
      <c r="N5017" s="2">
        <f>IF(E5017="","",IF(ISNUMBER(SEARCH("SUBSOLO",E5017)),IFERROR(-VALUE(LEFT(E5017,FIND("º",SUBSTITUTE(E5017,"°","º"))-1)),-1),IF(LEFT(E5017,6)="TÉRREO",0,IFERROR(VALUE(LEFT(E5017,FIND("º",SUBSTITUTE(E5017,"°","º"))-1)),""))))</f>
        <v/>
      </c>
      <c r="O5017" s="2">
        <f>IF(OR(F5017="",G5017=""),"",IF(G5017&lt;='RETRATO 2027'!$K$5,"CONCLUÍDA",IF(F5017&lt;='RETRATO 2027'!$K$5,"EM ANDAMENTO","A INICIAR")))</f>
        <v/>
      </c>
    </row>
    <row r="5018">
      <c r="M5018" s="2">
        <f>IF(C5018="","",IFERROR(INDEX($S$5:$S$304,MATCH(C5018,$R$5:$R$304,0))&amp;"","?"))</f>
        <v/>
      </c>
      <c r="N5018" s="2">
        <f>IF(E5018="","",IF(ISNUMBER(SEARCH("SUBSOLO",E5018)),IFERROR(-VALUE(LEFT(E5018,FIND("º",SUBSTITUTE(E5018,"°","º"))-1)),-1),IF(LEFT(E5018,6)="TÉRREO",0,IFERROR(VALUE(LEFT(E5018,FIND("º",SUBSTITUTE(E5018,"°","º"))-1)),""))))</f>
        <v/>
      </c>
      <c r="O5018" s="2">
        <f>IF(OR(F5018="",G5018=""),"",IF(G5018&lt;='RETRATO 2027'!$K$5,"CONCLUÍDA",IF(F5018&lt;='RETRATO 2027'!$K$5,"EM ANDAMENTO","A INICIAR")))</f>
        <v/>
      </c>
    </row>
    <row r="5019">
      <c r="M5019" s="2">
        <f>IF(C5019="","",IFERROR(INDEX($S$5:$S$304,MATCH(C5019,$R$5:$R$304,0))&amp;"","?"))</f>
        <v/>
      </c>
      <c r="N5019" s="2">
        <f>IF(E5019="","",IF(ISNUMBER(SEARCH("SUBSOLO",E5019)),IFERROR(-VALUE(LEFT(E5019,FIND("º",SUBSTITUTE(E5019,"°","º"))-1)),-1),IF(LEFT(E5019,6)="TÉRREO",0,IFERROR(VALUE(LEFT(E5019,FIND("º",SUBSTITUTE(E5019,"°","º"))-1)),""))))</f>
        <v/>
      </c>
      <c r="O5019" s="2">
        <f>IF(OR(F5019="",G5019=""),"",IF(G5019&lt;='RETRATO 2027'!$K$5,"CONCLUÍDA",IF(F5019&lt;='RETRATO 2027'!$K$5,"EM ANDAMENTO","A INICIAR")))</f>
        <v/>
      </c>
    </row>
    <row r="5020">
      <c r="M5020" s="2">
        <f>IF(C5020="","",IFERROR(INDEX($S$5:$S$304,MATCH(C5020,$R$5:$R$304,0))&amp;"","?"))</f>
        <v/>
      </c>
      <c r="N5020" s="2">
        <f>IF(E5020="","",IF(ISNUMBER(SEARCH("SUBSOLO",E5020)),IFERROR(-VALUE(LEFT(E5020,FIND("º",SUBSTITUTE(E5020,"°","º"))-1)),-1),IF(LEFT(E5020,6)="TÉRREO",0,IFERROR(VALUE(LEFT(E5020,FIND("º",SUBSTITUTE(E5020,"°","º"))-1)),""))))</f>
        <v/>
      </c>
      <c r="O5020" s="2">
        <f>IF(OR(F5020="",G5020=""),"",IF(G5020&lt;='RETRATO 2027'!$K$5,"CONCLUÍDA",IF(F5020&lt;='RETRATO 2027'!$K$5,"EM ANDAMENTO","A INICIAR")))</f>
        <v/>
      </c>
    </row>
    <row r="5021">
      <c r="M5021" s="2">
        <f>IF(C5021="","",IFERROR(INDEX($S$5:$S$304,MATCH(C5021,$R$5:$R$304,0))&amp;"","?"))</f>
        <v/>
      </c>
      <c r="N5021" s="2">
        <f>IF(E5021="","",IF(ISNUMBER(SEARCH("SUBSOLO",E5021)),IFERROR(-VALUE(LEFT(E5021,FIND("º",SUBSTITUTE(E5021,"°","º"))-1)),-1),IF(LEFT(E5021,6)="TÉRREO",0,IFERROR(VALUE(LEFT(E5021,FIND("º",SUBSTITUTE(E5021,"°","º"))-1)),""))))</f>
        <v/>
      </c>
      <c r="O5021" s="2">
        <f>IF(OR(F5021="",G5021=""),"",IF(G5021&lt;='RETRATO 2027'!$K$5,"CONCLUÍDA",IF(F5021&lt;='RETRATO 2027'!$K$5,"EM ANDAMENTO","A INICIAR")))</f>
        <v/>
      </c>
    </row>
    <row r="5022">
      <c r="M5022" s="2">
        <f>IF(C5022="","",IFERROR(INDEX($S$5:$S$304,MATCH(C5022,$R$5:$R$304,0))&amp;"","?"))</f>
        <v/>
      </c>
      <c r="N5022" s="2">
        <f>IF(E5022="","",IF(ISNUMBER(SEARCH("SUBSOLO",E5022)),IFERROR(-VALUE(LEFT(E5022,FIND("º",SUBSTITUTE(E5022,"°","º"))-1)),-1),IF(LEFT(E5022,6)="TÉRREO",0,IFERROR(VALUE(LEFT(E5022,FIND("º",SUBSTITUTE(E5022,"°","º"))-1)),""))))</f>
        <v/>
      </c>
      <c r="O5022" s="2">
        <f>IF(OR(F5022="",G5022=""),"",IF(G5022&lt;='RETRATO 2027'!$K$5,"CONCLUÍDA",IF(F5022&lt;='RETRATO 2027'!$K$5,"EM ANDAMENTO","A INICIAR")))</f>
        <v/>
      </c>
    </row>
    <row r="5023">
      <c r="M5023" s="2">
        <f>IF(C5023="","",IFERROR(INDEX($S$5:$S$304,MATCH(C5023,$R$5:$R$304,0))&amp;"","?"))</f>
        <v/>
      </c>
      <c r="N5023" s="2">
        <f>IF(E5023="","",IF(ISNUMBER(SEARCH("SUBSOLO",E5023)),IFERROR(-VALUE(LEFT(E5023,FIND("º",SUBSTITUTE(E5023,"°","º"))-1)),-1),IF(LEFT(E5023,6)="TÉRREO",0,IFERROR(VALUE(LEFT(E5023,FIND("º",SUBSTITUTE(E5023,"°","º"))-1)),""))))</f>
        <v/>
      </c>
      <c r="O5023" s="2">
        <f>IF(OR(F5023="",G5023=""),"",IF(G5023&lt;='RETRATO 2027'!$K$5,"CONCLUÍDA",IF(F5023&lt;='RETRATO 2027'!$K$5,"EM ANDAMENTO","A INICIAR")))</f>
        <v/>
      </c>
    </row>
    <row r="5024">
      <c r="M5024" s="2">
        <f>IF(C5024="","",IFERROR(INDEX($S$5:$S$304,MATCH(C5024,$R$5:$R$304,0))&amp;"","?"))</f>
        <v/>
      </c>
      <c r="N5024" s="2">
        <f>IF(E5024="","",IF(ISNUMBER(SEARCH("SUBSOLO",E5024)),IFERROR(-VALUE(LEFT(E5024,FIND("º",SUBSTITUTE(E5024,"°","º"))-1)),-1),IF(LEFT(E5024,6)="TÉRREO",0,IFERROR(VALUE(LEFT(E5024,FIND("º",SUBSTITUTE(E5024,"°","º"))-1)),""))))</f>
        <v/>
      </c>
      <c r="O5024" s="2">
        <f>IF(OR(F5024="",G5024=""),"",IF(G5024&lt;='RETRATO 2027'!$K$5,"CONCLUÍDA",IF(F5024&lt;='RETRATO 2027'!$K$5,"EM ANDAMENTO","A INICIAR")))</f>
        <v/>
      </c>
    </row>
    <row r="5025">
      <c r="M5025" s="2">
        <f>IF(C5025="","",IFERROR(INDEX($S$5:$S$304,MATCH(C5025,$R$5:$R$304,0))&amp;"","?"))</f>
        <v/>
      </c>
      <c r="N5025" s="2">
        <f>IF(E5025="","",IF(ISNUMBER(SEARCH("SUBSOLO",E5025)),IFERROR(-VALUE(LEFT(E5025,FIND("º",SUBSTITUTE(E5025,"°","º"))-1)),-1),IF(LEFT(E5025,6)="TÉRREO",0,IFERROR(VALUE(LEFT(E5025,FIND("º",SUBSTITUTE(E5025,"°","º"))-1)),""))))</f>
        <v/>
      </c>
      <c r="O5025" s="2">
        <f>IF(OR(F5025="",G5025=""),"",IF(G5025&lt;='RETRATO 2027'!$K$5,"CONCLUÍDA",IF(F5025&lt;='RETRATO 2027'!$K$5,"EM ANDAMENTO","A INICIAR")))</f>
        <v/>
      </c>
    </row>
    <row r="5026">
      <c r="M5026" s="2">
        <f>IF(C5026="","",IFERROR(INDEX($S$5:$S$304,MATCH(C5026,$R$5:$R$304,0))&amp;"","?"))</f>
        <v/>
      </c>
      <c r="N5026" s="2">
        <f>IF(E5026="","",IF(ISNUMBER(SEARCH("SUBSOLO",E5026)),IFERROR(-VALUE(LEFT(E5026,FIND("º",SUBSTITUTE(E5026,"°","º"))-1)),-1),IF(LEFT(E5026,6)="TÉRREO",0,IFERROR(VALUE(LEFT(E5026,FIND("º",SUBSTITUTE(E5026,"°","º"))-1)),""))))</f>
        <v/>
      </c>
      <c r="O5026" s="2">
        <f>IF(OR(F5026="",G5026=""),"",IF(G5026&lt;='RETRATO 2027'!$K$5,"CONCLUÍDA",IF(F5026&lt;='RETRATO 2027'!$K$5,"EM ANDAMENTO","A INICIAR")))</f>
        <v/>
      </c>
    </row>
    <row r="5027">
      <c r="M5027" s="2">
        <f>IF(C5027="","",IFERROR(INDEX($S$5:$S$304,MATCH(C5027,$R$5:$R$304,0))&amp;"","?"))</f>
        <v/>
      </c>
      <c r="N5027" s="2">
        <f>IF(E5027="","",IF(ISNUMBER(SEARCH("SUBSOLO",E5027)),IFERROR(-VALUE(LEFT(E5027,FIND("º",SUBSTITUTE(E5027,"°","º"))-1)),-1),IF(LEFT(E5027,6)="TÉRREO",0,IFERROR(VALUE(LEFT(E5027,FIND("º",SUBSTITUTE(E5027,"°","º"))-1)),""))))</f>
        <v/>
      </c>
      <c r="O5027" s="2">
        <f>IF(OR(F5027="",G5027=""),"",IF(G5027&lt;='RETRATO 2027'!$K$5,"CONCLUÍDA",IF(F5027&lt;='RETRATO 2027'!$K$5,"EM ANDAMENTO","A INICIAR")))</f>
        <v/>
      </c>
    </row>
    <row r="5028">
      <c r="M5028" s="2">
        <f>IF(C5028="","",IFERROR(INDEX($S$5:$S$304,MATCH(C5028,$R$5:$R$304,0))&amp;"","?"))</f>
        <v/>
      </c>
      <c r="N5028" s="2">
        <f>IF(E5028="","",IF(ISNUMBER(SEARCH("SUBSOLO",E5028)),IFERROR(-VALUE(LEFT(E5028,FIND("º",SUBSTITUTE(E5028,"°","º"))-1)),-1),IF(LEFT(E5028,6)="TÉRREO",0,IFERROR(VALUE(LEFT(E5028,FIND("º",SUBSTITUTE(E5028,"°","º"))-1)),""))))</f>
        <v/>
      </c>
      <c r="O5028" s="2">
        <f>IF(OR(F5028="",G5028=""),"",IF(G5028&lt;='RETRATO 2027'!$K$5,"CONCLUÍDA",IF(F5028&lt;='RETRATO 2027'!$K$5,"EM ANDAMENTO","A INICIAR")))</f>
        <v/>
      </c>
    </row>
    <row r="5029">
      <c r="M5029" s="2">
        <f>IF(C5029="","",IFERROR(INDEX($S$5:$S$304,MATCH(C5029,$R$5:$R$304,0))&amp;"","?"))</f>
        <v/>
      </c>
      <c r="N5029" s="2">
        <f>IF(E5029="","",IF(ISNUMBER(SEARCH("SUBSOLO",E5029)),IFERROR(-VALUE(LEFT(E5029,FIND("º",SUBSTITUTE(E5029,"°","º"))-1)),-1),IF(LEFT(E5029,6)="TÉRREO",0,IFERROR(VALUE(LEFT(E5029,FIND("º",SUBSTITUTE(E5029,"°","º"))-1)),""))))</f>
        <v/>
      </c>
      <c r="O5029" s="2">
        <f>IF(OR(F5029="",G5029=""),"",IF(G5029&lt;='RETRATO 2027'!$K$5,"CONCLUÍDA",IF(F5029&lt;='RETRATO 2027'!$K$5,"EM ANDAMENTO","A INICIAR")))</f>
        <v/>
      </c>
    </row>
    <row r="5030">
      <c r="M5030" s="2">
        <f>IF(C5030="","",IFERROR(INDEX($S$5:$S$304,MATCH(C5030,$R$5:$R$304,0))&amp;"","?"))</f>
        <v/>
      </c>
      <c r="N5030" s="2">
        <f>IF(E5030="","",IF(ISNUMBER(SEARCH("SUBSOLO",E5030)),IFERROR(-VALUE(LEFT(E5030,FIND("º",SUBSTITUTE(E5030,"°","º"))-1)),-1),IF(LEFT(E5030,6)="TÉRREO",0,IFERROR(VALUE(LEFT(E5030,FIND("º",SUBSTITUTE(E5030,"°","º"))-1)),""))))</f>
        <v/>
      </c>
      <c r="O5030" s="2">
        <f>IF(OR(F5030="",G5030=""),"",IF(G5030&lt;='RETRATO 2027'!$K$5,"CONCLUÍDA",IF(F5030&lt;='RETRATO 2027'!$K$5,"EM ANDAMENTO","A INICIAR")))</f>
        <v/>
      </c>
    </row>
    <row r="5031">
      <c r="M5031" s="2">
        <f>IF(C5031="","",IFERROR(INDEX($S$5:$S$304,MATCH(C5031,$R$5:$R$304,0))&amp;"","?"))</f>
        <v/>
      </c>
      <c r="N5031" s="2">
        <f>IF(E5031="","",IF(ISNUMBER(SEARCH("SUBSOLO",E5031)),IFERROR(-VALUE(LEFT(E5031,FIND("º",SUBSTITUTE(E5031,"°","º"))-1)),-1),IF(LEFT(E5031,6)="TÉRREO",0,IFERROR(VALUE(LEFT(E5031,FIND("º",SUBSTITUTE(E5031,"°","º"))-1)),""))))</f>
        <v/>
      </c>
      <c r="O5031" s="2">
        <f>IF(OR(F5031="",G5031=""),"",IF(G5031&lt;='RETRATO 2027'!$K$5,"CONCLUÍDA",IF(F5031&lt;='RETRATO 2027'!$K$5,"EM ANDAMENTO","A INICIAR")))</f>
        <v/>
      </c>
    </row>
    <row r="5032">
      <c r="M5032" s="2">
        <f>IF(C5032="","",IFERROR(INDEX($S$5:$S$304,MATCH(C5032,$R$5:$R$304,0))&amp;"","?"))</f>
        <v/>
      </c>
      <c r="N5032" s="2">
        <f>IF(E5032="","",IF(ISNUMBER(SEARCH("SUBSOLO",E5032)),IFERROR(-VALUE(LEFT(E5032,FIND("º",SUBSTITUTE(E5032,"°","º"))-1)),-1),IF(LEFT(E5032,6)="TÉRREO",0,IFERROR(VALUE(LEFT(E5032,FIND("º",SUBSTITUTE(E5032,"°","º"))-1)),""))))</f>
        <v/>
      </c>
      <c r="O5032" s="2">
        <f>IF(OR(F5032="",G5032=""),"",IF(G5032&lt;='RETRATO 2027'!$K$5,"CONCLUÍDA",IF(F5032&lt;='RETRATO 2027'!$K$5,"EM ANDAMENTO","A INICIAR")))</f>
        <v/>
      </c>
    </row>
    <row r="5033">
      <c r="M5033" s="2">
        <f>IF(C5033="","",IFERROR(INDEX($S$5:$S$304,MATCH(C5033,$R$5:$R$304,0))&amp;"","?"))</f>
        <v/>
      </c>
      <c r="N5033" s="2">
        <f>IF(E5033="","",IF(ISNUMBER(SEARCH("SUBSOLO",E5033)),IFERROR(-VALUE(LEFT(E5033,FIND("º",SUBSTITUTE(E5033,"°","º"))-1)),-1),IF(LEFT(E5033,6)="TÉRREO",0,IFERROR(VALUE(LEFT(E5033,FIND("º",SUBSTITUTE(E5033,"°","º"))-1)),""))))</f>
        <v/>
      </c>
      <c r="O5033" s="2">
        <f>IF(OR(F5033="",G5033=""),"",IF(G5033&lt;='RETRATO 2027'!$K$5,"CONCLUÍDA",IF(F5033&lt;='RETRATO 2027'!$K$5,"EM ANDAMENTO","A INICIAR")))</f>
        <v/>
      </c>
    </row>
    <row r="5034">
      <c r="M5034" s="2">
        <f>IF(C5034="","",IFERROR(INDEX($S$5:$S$304,MATCH(C5034,$R$5:$R$304,0))&amp;"","?"))</f>
        <v/>
      </c>
      <c r="N5034" s="2">
        <f>IF(E5034="","",IF(ISNUMBER(SEARCH("SUBSOLO",E5034)),IFERROR(-VALUE(LEFT(E5034,FIND("º",SUBSTITUTE(E5034,"°","º"))-1)),-1),IF(LEFT(E5034,6)="TÉRREO",0,IFERROR(VALUE(LEFT(E5034,FIND("º",SUBSTITUTE(E5034,"°","º"))-1)),""))))</f>
        <v/>
      </c>
      <c r="O5034" s="2">
        <f>IF(OR(F5034="",G5034=""),"",IF(G5034&lt;='RETRATO 2027'!$K$5,"CONCLUÍDA",IF(F5034&lt;='RETRATO 2027'!$K$5,"EM ANDAMENTO","A INICIAR")))</f>
        <v/>
      </c>
    </row>
    <row r="5035">
      <c r="M5035" s="2">
        <f>IF(C5035="","",IFERROR(INDEX($S$5:$S$304,MATCH(C5035,$R$5:$R$304,0))&amp;"","?"))</f>
        <v/>
      </c>
      <c r="N5035" s="2">
        <f>IF(E5035="","",IF(ISNUMBER(SEARCH("SUBSOLO",E5035)),IFERROR(-VALUE(LEFT(E5035,FIND("º",SUBSTITUTE(E5035,"°","º"))-1)),-1),IF(LEFT(E5035,6)="TÉRREO",0,IFERROR(VALUE(LEFT(E5035,FIND("º",SUBSTITUTE(E5035,"°","º"))-1)),""))))</f>
        <v/>
      </c>
      <c r="O5035" s="2">
        <f>IF(OR(F5035="",G5035=""),"",IF(G5035&lt;='RETRATO 2027'!$K$5,"CONCLUÍDA",IF(F5035&lt;='RETRATO 2027'!$K$5,"EM ANDAMENTO","A INICIAR")))</f>
        <v/>
      </c>
    </row>
    <row r="5036">
      <c r="M5036" s="2">
        <f>IF(C5036="","",IFERROR(INDEX($S$5:$S$304,MATCH(C5036,$R$5:$R$304,0))&amp;"","?"))</f>
        <v/>
      </c>
      <c r="N5036" s="2">
        <f>IF(E5036="","",IF(ISNUMBER(SEARCH("SUBSOLO",E5036)),IFERROR(-VALUE(LEFT(E5036,FIND("º",SUBSTITUTE(E5036,"°","º"))-1)),-1),IF(LEFT(E5036,6)="TÉRREO",0,IFERROR(VALUE(LEFT(E5036,FIND("º",SUBSTITUTE(E5036,"°","º"))-1)),""))))</f>
        <v/>
      </c>
      <c r="O5036" s="2">
        <f>IF(OR(F5036="",G5036=""),"",IF(G5036&lt;='RETRATO 2027'!$K$5,"CONCLUÍDA",IF(F5036&lt;='RETRATO 2027'!$K$5,"EM ANDAMENTO","A INICIAR")))</f>
        <v/>
      </c>
    </row>
    <row r="5037">
      <c r="M5037" s="2">
        <f>IF(C5037="","",IFERROR(INDEX($S$5:$S$304,MATCH(C5037,$R$5:$R$304,0))&amp;"","?"))</f>
        <v/>
      </c>
      <c r="N5037" s="2">
        <f>IF(E5037="","",IF(ISNUMBER(SEARCH("SUBSOLO",E5037)),IFERROR(-VALUE(LEFT(E5037,FIND("º",SUBSTITUTE(E5037,"°","º"))-1)),-1),IF(LEFT(E5037,6)="TÉRREO",0,IFERROR(VALUE(LEFT(E5037,FIND("º",SUBSTITUTE(E5037,"°","º"))-1)),""))))</f>
        <v/>
      </c>
      <c r="O5037" s="2">
        <f>IF(OR(F5037="",G5037=""),"",IF(G5037&lt;='RETRATO 2027'!$K$5,"CONCLUÍDA",IF(F5037&lt;='RETRATO 2027'!$K$5,"EM ANDAMENTO","A INICIAR")))</f>
        <v/>
      </c>
    </row>
    <row r="5038">
      <c r="M5038" s="2">
        <f>IF(C5038="","",IFERROR(INDEX($S$5:$S$304,MATCH(C5038,$R$5:$R$304,0))&amp;"","?"))</f>
        <v/>
      </c>
      <c r="N5038" s="2">
        <f>IF(E5038="","",IF(ISNUMBER(SEARCH("SUBSOLO",E5038)),IFERROR(-VALUE(LEFT(E5038,FIND("º",SUBSTITUTE(E5038,"°","º"))-1)),-1),IF(LEFT(E5038,6)="TÉRREO",0,IFERROR(VALUE(LEFT(E5038,FIND("º",SUBSTITUTE(E5038,"°","º"))-1)),""))))</f>
        <v/>
      </c>
      <c r="O5038" s="2">
        <f>IF(OR(F5038="",G5038=""),"",IF(G5038&lt;='RETRATO 2027'!$K$5,"CONCLUÍDA",IF(F5038&lt;='RETRATO 2027'!$K$5,"EM ANDAMENTO","A INICIAR")))</f>
        <v/>
      </c>
    </row>
    <row r="5039">
      <c r="M5039" s="2">
        <f>IF(C5039="","",IFERROR(INDEX($S$5:$S$304,MATCH(C5039,$R$5:$R$304,0))&amp;"","?"))</f>
        <v/>
      </c>
      <c r="N5039" s="2">
        <f>IF(E5039="","",IF(ISNUMBER(SEARCH("SUBSOLO",E5039)),IFERROR(-VALUE(LEFT(E5039,FIND("º",SUBSTITUTE(E5039,"°","º"))-1)),-1),IF(LEFT(E5039,6)="TÉRREO",0,IFERROR(VALUE(LEFT(E5039,FIND("º",SUBSTITUTE(E5039,"°","º"))-1)),""))))</f>
        <v/>
      </c>
      <c r="O5039" s="2">
        <f>IF(OR(F5039="",G5039=""),"",IF(G5039&lt;='RETRATO 2027'!$K$5,"CONCLUÍDA",IF(F5039&lt;='RETRATO 2027'!$K$5,"EM ANDAMENTO","A INICIAR")))</f>
        <v/>
      </c>
    </row>
    <row r="5040">
      <c r="M5040" s="2">
        <f>IF(C5040="","",IFERROR(INDEX($S$5:$S$304,MATCH(C5040,$R$5:$R$304,0))&amp;"","?"))</f>
        <v/>
      </c>
      <c r="N5040" s="2">
        <f>IF(E5040="","",IF(ISNUMBER(SEARCH("SUBSOLO",E5040)),IFERROR(-VALUE(LEFT(E5040,FIND("º",SUBSTITUTE(E5040,"°","º"))-1)),-1),IF(LEFT(E5040,6)="TÉRREO",0,IFERROR(VALUE(LEFT(E5040,FIND("º",SUBSTITUTE(E5040,"°","º"))-1)),""))))</f>
        <v/>
      </c>
      <c r="O5040" s="2">
        <f>IF(OR(F5040="",G5040=""),"",IF(G5040&lt;='RETRATO 2027'!$K$5,"CONCLUÍDA",IF(F5040&lt;='RETRATO 2027'!$K$5,"EM ANDAMENTO","A INICIAR")))</f>
        <v/>
      </c>
    </row>
    <row r="5041">
      <c r="M5041" s="2">
        <f>IF(C5041="","",IFERROR(INDEX($S$5:$S$304,MATCH(C5041,$R$5:$R$304,0))&amp;"","?"))</f>
        <v/>
      </c>
      <c r="N5041" s="2">
        <f>IF(E5041="","",IF(ISNUMBER(SEARCH("SUBSOLO",E5041)),IFERROR(-VALUE(LEFT(E5041,FIND("º",SUBSTITUTE(E5041,"°","º"))-1)),-1),IF(LEFT(E5041,6)="TÉRREO",0,IFERROR(VALUE(LEFT(E5041,FIND("º",SUBSTITUTE(E5041,"°","º"))-1)),""))))</f>
        <v/>
      </c>
      <c r="O5041" s="2">
        <f>IF(OR(F5041="",G5041=""),"",IF(G5041&lt;='RETRATO 2027'!$K$5,"CONCLUÍDA",IF(F5041&lt;='RETRATO 2027'!$K$5,"EM ANDAMENTO","A INICIAR")))</f>
        <v/>
      </c>
    </row>
    <row r="5042">
      <c r="M5042" s="2">
        <f>IF(C5042="","",IFERROR(INDEX($S$5:$S$304,MATCH(C5042,$R$5:$R$304,0))&amp;"","?"))</f>
        <v/>
      </c>
      <c r="N5042" s="2">
        <f>IF(E5042="","",IF(ISNUMBER(SEARCH("SUBSOLO",E5042)),IFERROR(-VALUE(LEFT(E5042,FIND("º",SUBSTITUTE(E5042,"°","º"))-1)),-1),IF(LEFT(E5042,6)="TÉRREO",0,IFERROR(VALUE(LEFT(E5042,FIND("º",SUBSTITUTE(E5042,"°","º"))-1)),""))))</f>
        <v/>
      </c>
      <c r="O5042" s="2">
        <f>IF(OR(F5042="",G5042=""),"",IF(G5042&lt;='RETRATO 2027'!$K$5,"CONCLUÍDA",IF(F5042&lt;='RETRATO 2027'!$K$5,"EM ANDAMENTO","A INICIAR")))</f>
        <v/>
      </c>
    </row>
    <row r="5043">
      <c r="M5043" s="2">
        <f>IF(C5043="","",IFERROR(INDEX($S$5:$S$304,MATCH(C5043,$R$5:$R$304,0))&amp;"","?"))</f>
        <v/>
      </c>
      <c r="N5043" s="2">
        <f>IF(E5043="","",IF(ISNUMBER(SEARCH("SUBSOLO",E5043)),IFERROR(-VALUE(LEFT(E5043,FIND("º",SUBSTITUTE(E5043,"°","º"))-1)),-1),IF(LEFT(E5043,6)="TÉRREO",0,IFERROR(VALUE(LEFT(E5043,FIND("º",SUBSTITUTE(E5043,"°","º"))-1)),""))))</f>
        <v/>
      </c>
      <c r="O5043" s="2">
        <f>IF(OR(F5043="",G5043=""),"",IF(G5043&lt;='RETRATO 2027'!$K$5,"CONCLUÍDA",IF(F5043&lt;='RETRATO 2027'!$K$5,"EM ANDAMENTO","A INICIAR")))</f>
        <v/>
      </c>
    </row>
    <row r="5044">
      <c r="M5044" s="2">
        <f>IF(C5044="","",IFERROR(INDEX($S$5:$S$304,MATCH(C5044,$R$5:$R$304,0))&amp;"","?"))</f>
        <v/>
      </c>
      <c r="N5044" s="2">
        <f>IF(E5044="","",IF(ISNUMBER(SEARCH("SUBSOLO",E5044)),IFERROR(-VALUE(LEFT(E5044,FIND("º",SUBSTITUTE(E5044,"°","º"))-1)),-1),IF(LEFT(E5044,6)="TÉRREO",0,IFERROR(VALUE(LEFT(E5044,FIND("º",SUBSTITUTE(E5044,"°","º"))-1)),""))))</f>
        <v/>
      </c>
      <c r="O5044" s="2">
        <f>IF(OR(F5044="",G5044=""),"",IF(G5044&lt;='RETRATO 2027'!$K$5,"CONCLUÍDA",IF(F5044&lt;='RETRATO 2027'!$K$5,"EM ANDAMENTO","A INICIAR")))</f>
        <v/>
      </c>
    </row>
    <row r="5045">
      <c r="M5045" s="2">
        <f>IF(C5045="","",IFERROR(INDEX($S$5:$S$304,MATCH(C5045,$R$5:$R$304,0))&amp;"","?"))</f>
        <v/>
      </c>
      <c r="N5045" s="2">
        <f>IF(E5045="","",IF(ISNUMBER(SEARCH("SUBSOLO",E5045)),IFERROR(-VALUE(LEFT(E5045,FIND("º",SUBSTITUTE(E5045,"°","º"))-1)),-1),IF(LEFT(E5045,6)="TÉRREO",0,IFERROR(VALUE(LEFT(E5045,FIND("º",SUBSTITUTE(E5045,"°","º"))-1)),""))))</f>
        <v/>
      </c>
      <c r="O5045" s="2">
        <f>IF(OR(F5045="",G5045=""),"",IF(G5045&lt;='RETRATO 2027'!$K$5,"CONCLUÍDA",IF(F5045&lt;='RETRATO 2027'!$K$5,"EM ANDAMENTO","A INICIAR")))</f>
        <v/>
      </c>
    </row>
    <row r="5046">
      <c r="M5046" s="2">
        <f>IF(C5046="","",IFERROR(INDEX($S$5:$S$304,MATCH(C5046,$R$5:$R$304,0))&amp;"","?"))</f>
        <v/>
      </c>
      <c r="N5046" s="2">
        <f>IF(E5046="","",IF(ISNUMBER(SEARCH("SUBSOLO",E5046)),IFERROR(-VALUE(LEFT(E5046,FIND("º",SUBSTITUTE(E5046,"°","º"))-1)),-1),IF(LEFT(E5046,6)="TÉRREO",0,IFERROR(VALUE(LEFT(E5046,FIND("º",SUBSTITUTE(E5046,"°","º"))-1)),""))))</f>
        <v/>
      </c>
      <c r="O5046" s="2">
        <f>IF(OR(F5046="",G5046=""),"",IF(G5046&lt;='RETRATO 2027'!$K$5,"CONCLUÍDA",IF(F5046&lt;='RETRATO 2027'!$K$5,"EM ANDAMENTO","A INICIAR")))</f>
        <v/>
      </c>
    </row>
    <row r="5047">
      <c r="M5047" s="2">
        <f>IF(C5047="","",IFERROR(INDEX($S$5:$S$304,MATCH(C5047,$R$5:$R$304,0))&amp;"","?"))</f>
        <v/>
      </c>
      <c r="N5047" s="2">
        <f>IF(E5047="","",IF(ISNUMBER(SEARCH("SUBSOLO",E5047)),IFERROR(-VALUE(LEFT(E5047,FIND("º",SUBSTITUTE(E5047,"°","º"))-1)),-1),IF(LEFT(E5047,6)="TÉRREO",0,IFERROR(VALUE(LEFT(E5047,FIND("º",SUBSTITUTE(E5047,"°","º"))-1)),""))))</f>
        <v/>
      </c>
      <c r="O5047" s="2">
        <f>IF(OR(F5047="",G5047=""),"",IF(G5047&lt;='RETRATO 2027'!$K$5,"CONCLUÍDA",IF(F5047&lt;='RETRATO 2027'!$K$5,"EM ANDAMENTO","A INICIAR")))</f>
        <v/>
      </c>
    </row>
    <row r="5048">
      <c r="M5048" s="2">
        <f>IF(C5048="","",IFERROR(INDEX($S$5:$S$304,MATCH(C5048,$R$5:$R$304,0))&amp;"","?"))</f>
        <v/>
      </c>
      <c r="N5048" s="2">
        <f>IF(E5048="","",IF(ISNUMBER(SEARCH("SUBSOLO",E5048)),IFERROR(-VALUE(LEFT(E5048,FIND("º",SUBSTITUTE(E5048,"°","º"))-1)),-1),IF(LEFT(E5048,6)="TÉRREO",0,IFERROR(VALUE(LEFT(E5048,FIND("º",SUBSTITUTE(E5048,"°","º"))-1)),""))))</f>
        <v/>
      </c>
      <c r="O5048" s="2">
        <f>IF(OR(F5048="",G5048=""),"",IF(G5048&lt;='RETRATO 2027'!$K$5,"CONCLUÍDA",IF(F5048&lt;='RETRATO 2027'!$K$5,"EM ANDAMENTO","A INICIAR")))</f>
        <v/>
      </c>
    </row>
    <row r="5049">
      <c r="M5049" s="2">
        <f>IF(C5049="","",IFERROR(INDEX($S$5:$S$304,MATCH(C5049,$R$5:$R$304,0))&amp;"","?"))</f>
        <v/>
      </c>
      <c r="N5049" s="2">
        <f>IF(E5049="","",IF(ISNUMBER(SEARCH("SUBSOLO",E5049)),IFERROR(-VALUE(LEFT(E5049,FIND("º",SUBSTITUTE(E5049,"°","º"))-1)),-1),IF(LEFT(E5049,6)="TÉRREO",0,IFERROR(VALUE(LEFT(E5049,FIND("º",SUBSTITUTE(E5049,"°","º"))-1)),""))))</f>
        <v/>
      </c>
      <c r="O5049" s="2">
        <f>IF(OR(F5049="",G5049=""),"",IF(G5049&lt;='RETRATO 2027'!$K$5,"CONCLUÍDA",IF(F5049&lt;='RETRATO 2027'!$K$5,"EM ANDAMENTO","A INICIAR")))</f>
        <v/>
      </c>
    </row>
    <row r="5050">
      <c r="M5050" s="2">
        <f>IF(C5050="","",IFERROR(INDEX($S$5:$S$304,MATCH(C5050,$R$5:$R$304,0))&amp;"","?"))</f>
        <v/>
      </c>
      <c r="N5050" s="2">
        <f>IF(E5050="","",IF(ISNUMBER(SEARCH("SUBSOLO",E5050)),IFERROR(-VALUE(LEFT(E5050,FIND("º",SUBSTITUTE(E5050,"°","º"))-1)),-1),IF(LEFT(E5050,6)="TÉRREO",0,IFERROR(VALUE(LEFT(E5050,FIND("º",SUBSTITUTE(E5050,"°","º"))-1)),""))))</f>
        <v/>
      </c>
      <c r="O5050" s="2">
        <f>IF(OR(F5050="",G5050=""),"",IF(G5050&lt;='RETRATO 2027'!$K$5,"CONCLUÍDA",IF(F5050&lt;='RETRATO 2027'!$K$5,"EM ANDAMENTO","A INICIAR")))</f>
        <v/>
      </c>
    </row>
    <row r="5051">
      <c r="M5051" s="2">
        <f>IF(C5051="","",IFERROR(INDEX($S$5:$S$304,MATCH(C5051,$R$5:$R$304,0))&amp;"","?"))</f>
        <v/>
      </c>
      <c r="N5051" s="2">
        <f>IF(E5051="","",IF(ISNUMBER(SEARCH("SUBSOLO",E5051)),IFERROR(-VALUE(LEFT(E5051,FIND("º",SUBSTITUTE(E5051,"°","º"))-1)),-1),IF(LEFT(E5051,6)="TÉRREO",0,IFERROR(VALUE(LEFT(E5051,FIND("º",SUBSTITUTE(E5051,"°","º"))-1)),""))))</f>
        <v/>
      </c>
      <c r="O5051" s="2">
        <f>IF(OR(F5051="",G5051=""),"",IF(G5051&lt;='RETRATO 2027'!$K$5,"CONCLUÍDA",IF(F5051&lt;='RETRATO 2027'!$K$5,"EM ANDAMENTO","A INICIAR")))</f>
        <v/>
      </c>
    </row>
    <row r="5052">
      <c r="M5052" s="2">
        <f>IF(C5052="","",IFERROR(INDEX($S$5:$S$304,MATCH(C5052,$R$5:$R$304,0))&amp;"","?"))</f>
        <v/>
      </c>
      <c r="N5052" s="2">
        <f>IF(E5052="","",IF(ISNUMBER(SEARCH("SUBSOLO",E5052)),IFERROR(-VALUE(LEFT(E5052,FIND("º",SUBSTITUTE(E5052,"°","º"))-1)),-1),IF(LEFT(E5052,6)="TÉRREO",0,IFERROR(VALUE(LEFT(E5052,FIND("º",SUBSTITUTE(E5052,"°","º"))-1)),""))))</f>
        <v/>
      </c>
      <c r="O5052" s="2">
        <f>IF(OR(F5052="",G5052=""),"",IF(G5052&lt;='RETRATO 2027'!$K$5,"CONCLUÍDA",IF(F5052&lt;='RETRATO 2027'!$K$5,"EM ANDAMENTO","A INICIAR")))</f>
        <v/>
      </c>
    </row>
    <row r="5053">
      <c r="M5053" s="2">
        <f>IF(C5053="","",IFERROR(INDEX($S$5:$S$304,MATCH(C5053,$R$5:$R$304,0))&amp;"","?"))</f>
        <v/>
      </c>
      <c r="N5053" s="2">
        <f>IF(E5053="","",IF(ISNUMBER(SEARCH("SUBSOLO",E5053)),IFERROR(-VALUE(LEFT(E5053,FIND("º",SUBSTITUTE(E5053,"°","º"))-1)),-1),IF(LEFT(E5053,6)="TÉRREO",0,IFERROR(VALUE(LEFT(E5053,FIND("º",SUBSTITUTE(E5053,"°","º"))-1)),""))))</f>
        <v/>
      </c>
      <c r="O5053" s="2">
        <f>IF(OR(F5053="",G5053=""),"",IF(G5053&lt;='RETRATO 2027'!$K$5,"CONCLUÍDA",IF(F5053&lt;='RETRATO 2027'!$K$5,"EM ANDAMENTO","A INICIAR")))</f>
        <v/>
      </c>
    </row>
    <row r="5054">
      <c r="M5054" s="2">
        <f>IF(C5054="","",IFERROR(INDEX($S$5:$S$304,MATCH(C5054,$R$5:$R$304,0))&amp;"","?"))</f>
        <v/>
      </c>
      <c r="N5054" s="2">
        <f>IF(E5054="","",IF(ISNUMBER(SEARCH("SUBSOLO",E5054)),IFERROR(-VALUE(LEFT(E5054,FIND("º",SUBSTITUTE(E5054,"°","º"))-1)),-1),IF(LEFT(E5054,6)="TÉRREO",0,IFERROR(VALUE(LEFT(E5054,FIND("º",SUBSTITUTE(E5054,"°","º"))-1)),""))))</f>
        <v/>
      </c>
      <c r="O5054" s="2">
        <f>IF(OR(F5054="",G5054=""),"",IF(G5054&lt;='RETRATO 2027'!$K$5,"CONCLUÍDA",IF(F5054&lt;='RETRATO 2027'!$K$5,"EM ANDAMENTO","A INICIAR")))</f>
        <v/>
      </c>
    </row>
    <row r="5055">
      <c r="M5055" s="2">
        <f>IF(C5055="","",IFERROR(INDEX($S$5:$S$304,MATCH(C5055,$R$5:$R$304,0))&amp;"","?"))</f>
        <v/>
      </c>
      <c r="N5055" s="2">
        <f>IF(E5055="","",IF(ISNUMBER(SEARCH("SUBSOLO",E5055)),IFERROR(-VALUE(LEFT(E5055,FIND("º",SUBSTITUTE(E5055,"°","º"))-1)),-1),IF(LEFT(E5055,6)="TÉRREO",0,IFERROR(VALUE(LEFT(E5055,FIND("º",SUBSTITUTE(E5055,"°","º"))-1)),""))))</f>
        <v/>
      </c>
      <c r="O5055" s="2">
        <f>IF(OR(F5055="",G5055=""),"",IF(G5055&lt;='RETRATO 2027'!$K$5,"CONCLUÍDA",IF(F5055&lt;='RETRATO 2027'!$K$5,"EM ANDAMENTO","A INICIAR")))</f>
        <v/>
      </c>
    </row>
    <row r="5056">
      <c r="M5056" s="2">
        <f>IF(C5056="","",IFERROR(INDEX($S$5:$S$304,MATCH(C5056,$R$5:$R$304,0))&amp;"","?"))</f>
        <v/>
      </c>
      <c r="N5056" s="2">
        <f>IF(E5056="","",IF(ISNUMBER(SEARCH("SUBSOLO",E5056)),IFERROR(-VALUE(LEFT(E5056,FIND("º",SUBSTITUTE(E5056,"°","º"))-1)),-1),IF(LEFT(E5056,6)="TÉRREO",0,IFERROR(VALUE(LEFT(E5056,FIND("º",SUBSTITUTE(E5056,"°","º"))-1)),""))))</f>
        <v/>
      </c>
      <c r="O5056" s="2">
        <f>IF(OR(F5056="",G5056=""),"",IF(G5056&lt;='RETRATO 2027'!$K$5,"CONCLUÍDA",IF(F5056&lt;='RETRATO 2027'!$K$5,"EM ANDAMENTO","A INICIAR")))</f>
        <v/>
      </c>
    </row>
    <row r="5057">
      <c r="M5057" s="2">
        <f>IF(C5057="","",IFERROR(INDEX($S$5:$S$304,MATCH(C5057,$R$5:$R$304,0))&amp;"","?"))</f>
        <v/>
      </c>
      <c r="N5057" s="2">
        <f>IF(E5057="","",IF(ISNUMBER(SEARCH("SUBSOLO",E5057)),IFERROR(-VALUE(LEFT(E5057,FIND("º",SUBSTITUTE(E5057,"°","º"))-1)),-1),IF(LEFT(E5057,6)="TÉRREO",0,IFERROR(VALUE(LEFT(E5057,FIND("º",SUBSTITUTE(E5057,"°","º"))-1)),""))))</f>
        <v/>
      </c>
      <c r="O5057" s="2">
        <f>IF(OR(F5057="",G5057=""),"",IF(G5057&lt;='RETRATO 2027'!$K$5,"CONCLUÍDA",IF(F5057&lt;='RETRATO 2027'!$K$5,"EM ANDAMENTO","A INICIAR")))</f>
        <v/>
      </c>
    </row>
    <row r="5058">
      <c r="M5058" s="2">
        <f>IF(C5058="","",IFERROR(INDEX($S$5:$S$304,MATCH(C5058,$R$5:$R$304,0))&amp;"","?"))</f>
        <v/>
      </c>
      <c r="N5058" s="2">
        <f>IF(E5058="","",IF(ISNUMBER(SEARCH("SUBSOLO",E5058)),IFERROR(-VALUE(LEFT(E5058,FIND("º",SUBSTITUTE(E5058,"°","º"))-1)),-1),IF(LEFT(E5058,6)="TÉRREO",0,IFERROR(VALUE(LEFT(E5058,FIND("º",SUBSTITUTE(E5058,"°","º"))-1)),""))))</f>
        <v/>
      </c>
      <c r="O5058" s="2">
        <f>IF(OR(F5058="",G5058=""),"",IF(G5058&lt;='RETRATO 2027'!$K$5,"CONCLUÍDA",IF(F5058&lt;='RETRATO 2027'!$K$5,"EM ANDAMENTO","A INICIAR")))</f>
        <v/>
      </c>
    </row>
    <row r="5059">
      <c r="M5059" s="2">
        <f>IF(C5059="","",IFERROR(INDEX($S$5:$S$304,MATCH(C5059,$R$5:$R$304,0))&amp;"","?"))</f>
        <v/>
      </c>
      <c r="N5059" s="2">
        <f>IF(E5059="","",IF(ISNUMBER(SEARCH("SUBSOLO",E5059)),IFERROR(-VALUE(LEFT(E5059,FIND("º",SUBSTITUTE(E5059,"°","º"))-1)),-1),IF(LEFT(E5059,6)="TÉRREO",0,IFERROR(VALUE(LEFT(E5059,FIND("º",SUBSTITUTE(E5059,"°","º"))-1)),""))))</f>
        <v/>
      </c>
      <c r="O5059" s="2">
        <f>IF(OR(F5059="",G5059=""),"",IF(G5059&lt;='RETRATO 2027'!$K$5,"CONCLUÍDA",IF(F5059&lt;='RETRATO 2027'!$K$5,"EM ANDAMENTO","A INICIAR")))</f>
        <v/>
      </c>
    </row>
    <row r="5060">
      <c r="M5060" s="2">
        <f>IF(C5060="","",IFERROR(INDEX($S$5:$S$304,MATCH(C5060,$R$5:$R$304,0))&amp;"","?"))</f>
        <v/>
      </c>
      <c r="N5060" s="2">
        <f>IF(E5060="","",IF(ISNUMBER(SEARCH("SUBSOLO",E5060)),IFERROR(-VALUE(LEFT(E5060,FIND("º",SUBSTITUTE(E5060,"°","º"))-1)),-1),IF(LEFT(E5060,6)="TÉRREO",0,IFERROR(VALUE(LEFT(E5060,FIND("º",SUBSTITUTE(E5060,"°","º"))-1)),""))))</f>
        <v/>
      </c>
      <c r="O5060" s="2">
        <f>IF(OR(F5060="",G5060=""),"",IF(G5060&lt;='RETRATO 2027'!$K$5,"CONCLUÍDA",IF(F5060&lt;='RETRATO 2027'!$K$5,"EM ANDAMENTO","A INICIAR")))</f>
        <v/>
      </c>
    </row>
    <row r="5061">
      <c r="M5061" s="2">
        <f>IF(C5061="","",IFERROR(INDEX($S$5:$S$304,MATCH(C5061,$R$5:$R$304,0))&amp;"","?"))</f>
        <v/>
      </c>
      <c r="N5061" s="2">
        <f>IF(E5061="","",IF(ISNUMBER(SEARCH("SUBSOLO",E5061)),IFERROR(-VALUE(LEFT(E5061,FIND("º",SUBSTITUTE(E5061,"°","º"))-1)),-1),IF(LEFT(E5061,6)="TÉRREO",0,IFERROR(VALUE(LEFT(E5061,FIND("º",SUBSTITUTE(E5061,"°","º"))-1)),""))))</f>
        <v/>
      </c>
      <c r="O5061" s="2">
        <f>IF(OR(F5061="",G5061=""),"",IF(G5061&lt;='RETRATO 2027'!$K$5,"CONCLUÍDA",IF(F5061&lt;='RETRATO 2027'!$K$5,"EM ANDAMENTO","A INICIAR")))</f>
        <v/>
      </c>
    </row>
    <row r="5062">
      <c r="M5062" s="2">
        <f>IF(C5062="","",IFERROR(INDEX($S$5:$S$304,MATCH(C5062,$R$5:$R$304,0))&amp;"","?"))</f>
        <v/>
      </c>
      <c r="N5062" s="2">
        <f>IF(E5062="","",IF(ISNUMBER(SEARCH("SUBSOLO",E5062)),IFERROR(-VALUE(LEFT(E5062,FIND("º",SUBSTITUTE(E5062,"°","º"))-1)),-1),IF(LEFT(E5062,6)="TÉRREO",0,IFERROR(VALUE(LEFT(E5062,FIND("º",SUBSTITUTE(E5062,"°","º"))-1)),""))))</f>
        <v/>
      </c>
      <c r="O5062" s="2">
        <f>IF(OR(F5062="",G5062=""),"",IF(G5062&lt;='RETRATO 2027'!$K$5,"CONCLUÍDA",IF(F5062&lt;='RETRATO 2027'!$K$5,"EM ANDAMENTO","A INICIAR")))</f>
        <v/>
      </c>
    </row>
    <row r="5063">
      <c r="M5063" s="2">
        <f>IF(C5063="","",IFERROR(INDEX($S$5:$S$304,MATCH(C5063,$R$5:$R$304,0))&amp;"","?"))</f>
        <v/>
      </c>
      <c r="N5063" s="2">
        <f>IF(E5063="","",IF(ISNUMBER(SEARCH("SUBSOLO",E5063)),IFERROR(-VALUE(LEFT(E5063,FIND("º",SUBSTITUTE(E5063,"°","º"))-1)),-1),IF(LEFT(E5063,6)="TÉRREO",0,IFERROR(VALUE(LEFT(E5063,FIND("º",SUBSTITUTE(E5063,"°","º"))-1)),""))))</f>
        <v/>
      </c>
      <c r="O5063" s="2">
        <f>IF(OR(F5063="",G5063=""),"",IF(G5063&lt;='RETRATO 2027'!$K$5,"CONCLUÍDA",IF(F5063&lt;='RETRATO 2027'!$K$5,"EM ANDAMENTO","A INICIAR")))</f>
        <v/>
      </c>
    </row>
    <row r="5064">
      <c r="M5064" s="2">
        <f>IF(C5064="","",IFERROR(INDEX($S$5:$S$304,MATCH(C5064,$R$5:$R$304,0))&amp;"","?"))</f>
        <v/>
      </c>
      <c r="N5064" s="2">
        <f>IF(E5064="","",IF(ISNUMBER(SEARCH("SUBSOLO",E5064)),IFERROR(-VALUE(LEFT(E5064,FIND("º",SUBSTITUTE(E5064,"°","º"))-1)),-1),IF(LEFT(E5064,6)="TÉRREO",0,IFERROR(VALUE(LEFT(E5064,FIND("º",SUBSTITUTE(E5064,"°","º"))-1)),""))))</f>
        <v/>
      </c>
      <c r="O5064" s="2">
        <f>IF(OR(F5064="",G5064=""),"",IF(G5064&lt;='RETRATO 2027'!$K$5,"CONCLUÍDA",IF(F5064&lt;='RETRATO 2027'!$K$5,"EM ANDAMENTO","A INICIAR")))</f>
        <v/>
      </c>
    </row>
    <row r="5065">
      <c r="M5065" s="2">
        <f>IF(C5065="","",IFERROR(INDEX($S$5:$S$304,MATCH(C5065,$R$5:$R$304,0))&amp;"","?"))</f>
        <v/>
      </c>
      <c r="N5065" s="2">
        <f>IF(E5065="","",IF(ISNUMBER(SEARCH("SUBSOLO",E5065)),IFERROR(-VALUE(LEFT(E5065,FIND("º",SUBSTITUTE(E5065,"°","º"))-1)),-1),IF(LEFT(E5065,6)="TÉRREO",0,IFERROR(VALUE(LEFT(E5065,FIND("º",SUBSTITUTE(E5065,"°","º"))-1)),""))))</f>
        <v/>
      </c>
      <c r="O5065" s="2">
        <f>IF(OR(F5065="",G5065=""),"",IF(G5065&lt;='RETRATO 2027'!$K$5,"CONCLUÍDA",IF(F5065&lt;='RETRATO 2027'!$K$5,"EM ANDAMENTO","A INICIAR")))</f>
        <v/>
      </c>
    </row>
    <row r="5066">
      <c r="M5066" s="2">
        <f>IF(C5066="","",IFERROR(INDEX($S$5:$S$304,MATCH(C5066,$R$5:$R$304,0))&amp;"","?"))</f>
        <v/>
      </c>
      <c r="N5066" s="2">
        <f>IF(E5066="","",IF(ISNUMBER(SEARCH("SUBSOLO",E5066)),IFERROR(-VALUE(LEFT(E5066,FIND("º",SUBSTITUTE(E5066,"°","º"))-1)),-1),IF(LEFT(E5066,6)="TÉRREO",0,IFERROR(VALUE(LEFT(E5066,FIND("º",SUBSTITUTE(E5066,"°","º"))-1)),""))))</f>
        <v/>
      </c>
      <c r="O5066" s="2">
        <f>IF(OR(F5066="",G5066=""),"",IF(G5066&lt;='RETRATO 2027'!$K$5,"CONCLUÍDA",IF(F5066&lt;='RETRATO 2027'!$K$5,"EM ANDAMENTO","A INICIAR")))</f>
        <v/>
      </c>
    </row>
    <row r="5067">
      <c r="M5067" s="2">
        <f>IF(C5067="","",IFERROR(INDEX($S$5:$S$304,MATCH(C5067,$R$5:$R$304,0))&amp;"","?"))</f>
        <v/>
      </c>
      <c r="N5067" s="2">
        <f>IF(E5067="","",IF(ISNUMBER(SEARCH("SUBSOLO",E5067)),IFERROR(-VALUE(LEFT(E5067,FIND("º",SUBSTITUTE(E5067,"°","º"))-1)),-1),IF(LEFT(E5067,6)="TÉRREO",0,IFERROR(VALUE(LEFT(E5067,FIND("º",SUBSTITUTE(E5067,"°","º"))-1)),""))))</f>
        <v/>
      </c>
      <c r="O5067" s="2">
        <f>IF(OR(F5067="",G5067=""),"",IF(G5067&lt;='RETRATO 2027'!$K$5,"CONCLUÍDA",IF(F5067&lt;='RETRATO 2027'!$K$5,"EM ANDAMENTO","A INICIAR")))</f>
        <v/>
      </c>
    </row>
    <row r="5068">
      <c r="M5068" s="2">
        <f>IF(C5068="","",IFERROR(INDEX($S$5:$S$304,MATCH(C5068,$R$5:$R$304,0))&amp;"","?"))</f>
        <v/>
      </c>
      <c r="N5068" s="2">
        <f>IF(E5068="","",IF(ISNUMBER(SEARCH("SUBSOLO",E5068)),IFERROR(-VALUE(LEFT(E5068,FIND("º",SUBSTITUTE(E5068,"°","º"))-1)),-1),IF(LEFT(E5068,6)="TÉRREO",0,IFERROR(VALUE(LEFT(E5068,FIND("º",SUBSTITUTE(E5068,"°","º"))-1)),""))))</f>
        <v/>
      </c>
      <c r="O5068" s="2">
        <f>IF(OR(F5068="",G5068=""),"",IF(G5068&lt;='RETRATO 2027'!$K$5,"CONCLUÍDA",IF(F5068&lt;='RETRATO 2027'!$K$5,"EM ANDAMENTO","A INICIAR")))</f>
        <v/>
      </c>
    </row>
    <row r="5069">
      <c r="M5069" s="2">
        <f>IF(C5069="","",IFERROR(INDEX($S$5:$S$304,MATCH(C5069,$R$5:$R$304,0))&amp;"","?"))</f>
        <v/>
      </c>
      <c r="N5069" s="2">
        <f>IF(E5069="","",IF(ISNUMBER(SEARCH("SUBSOLO",E5069)),IFERROR(-VALUE(LEFT(E5069,FIND("º",SUBSTITUTE(E5069,"°","º"))-1)),-1),IF(LEFT(E5069,6)="TÉRREO",0,IFERROR(VALUE(LEFT(E5069,FIND("º",SUBSTITUTE(E5069,"°","º"))-1)),""))))</f>
        <v/>
      </c>
      <c r="O5069" s="2">
        <f>IF(OR(F5069="",G5069=""),"",IF(G5069&lt;='RETRATO 2027'!$K$5,"CONCLUÍDA",IF(F5069&lt;='RETRATO 2027'!$K$5,"EM ANDAMENTO","A INICIAR")))</f>
        <v/>
      </c>
    </row>
    <row r="5070">
      <c r="M5070" s="2">
        <f>IF(C5070="","",IFERROR(INDEX($S$5:$S$304,MATCH(C5070,$R$5:$R$304,0))&amp;"","?"))</f>
        <v/>
      </c>
      <c r="N5070" s="2">
        <f>IF(E5070="","",IF(ISNUMBER(SEARCH("SUBSOLO",E5070)),IFERROR(-VALUE(LEFT(E5070,FIND("º",SUBSTITUTE(E5070,"°","º"))-1)),-1),IF(LEFT(E5070,6)="TÉRREO",0,IFERROR(VALUE(LEFT(E5070,FIND("º",SUBSTITUTE(E5070,"°","º"))-1)),""))))</f>
        <v/>
      </c>
      <c r="O5070" s="2">
        <f>IF(OR(F5070="",G5070=""),"",IF(G5070&lt;='RETRATO 2027'!$K$5,"CONCLUÍDA",IF(F5070&lt;='RETRATO 2027'!$K$5,"EM ANDAMENTO","A INICIAR")))</f>
        <v/>
      </c>
    </row>
    <row r="5071">
      <c r="M5071" s="2">
        <f>IF(C5071="","",IFERROR(INDEX($S$5:$S$304,MATCH(C5071,$R$5:$R$304,0))&amp;"","?"))</f>
        <v/>
      </c>
      <c r="N5071" s="2">
        <f>IF(E5071="","",IF(ISNUMBER(SEARCH("SUBSOLO",E5071)),IFERROR(-VALUE(LEFT(E5071,FIND("º",SUBSTITUTE(E5071,"°","º"))-1)),-1),IF(LEFT(E5071,6)="TÉRREO",0,IFERROR(VALUE(LEFT(E5071,FIND("º",SUBSTITUTE(E5071,"°","º"))-1)),""))))</f>
        <v/>
      </c>
      <c r="O5071" s="2">
        <f>IF(OR(F5071="",G5071=""),"",IF(G5071&lt;='RETRATO 2027'!$K$5,"CONCLUÍDA",IF(F5071&lt;='RETRATO 2027'!$K$5,"EM ANDAMENTO","A INICIAR")))</f>
        <v/>
      </c>
    </row>
    <row r="5072">
      <c r="M5072" s="2">
        <f>IF(C5072="","",IFERROR(INDEX($S$5:$S$304,MATCH(C5072,$R$5:$R$304,0))&amp;"","?"))</f>
        <v/>
      </c>
      <c r="N5072" s="2">
        <f>IF(E5072="","",IF(ISNUMBER(SEARCH("SUBSOLO",E5072)),IFERROR(-VALUE(LEFT(E5072,FIND("º",SUBSTITUTE(E5072,"°","º"))-1)),-1),IF(LEFT(E5072,6)="TÉRREO",0,IFERROR(VALUE(LEFT(E5072,FIND("º",SUBSTITUTE(E5072,"°","º"))-1)),""))))</f>
        <v/>
      </c>
      <c r="O5072" s="2">
        <f>IF(OR(F5072="",G5072=""),"",IF(G5072&lt;='RETRATO 2027'!$K$5,"CONCLUÍDA",IF(F5072&lt;='RETRATO 2027'!$K$5,"EM ANDAMENTO","A INICIAR")))</f>
        <v/>
      </c>
    </row>
    <row r="5073">
      <c r="M5073" s="2">
        <f>IF(C5073="","",IFERROR(INDEX($S$5:$S$304,MATCH(C5073,$R$5:$R$304,0))&amp;"","?"))</f>
        <v/>
      </c>
      <c r="N5073" s="2">
        <f>IF(E5073="","",IF(ISNUMBER(SEARCH("SUBSOLO",E5073)),IFERROR(-VALUE(LEFT(E5073,FIND("º",SUBSTITUTE(E5073,"°","º"))-1)),-1),IF(LEFT(E5073,6)="TÉRREO",0,IFERROR(VALUE(LEFT(E5073,FIND("º",SUBSTITUTE(E5073,"°","º"))-1)),""))))</f>
        <v/>
      </c>
      <c r="O5073" s="2">
        <f>IF(OR(F5073="",G5073=""),"",IF(G5073&lt;='RETRATO 2027'!$K$5,"CONCLUÍDA",IF(F5073&lt;='RETRATO 2027'!$K$5,"EM ANDAMENTO","A INICIAR")))</f>
        <v/>
      </c>
    </row>
    <row r="5074">
      <c r="M5074" s="2">
        <f>IF(C5074="","",IFERROR(INDEX($S$5:$S$304,MATCH(C5074,$R$5:$R$304,0))&amp;"","?"))</f>
        <v/>
      </c>
      <c r="N5074" s="2">
        <f>IF(E5074="","",IF(ISNUMBER(SEARCH("SUBSOLO",E5074)),IFERROR(-VALUE(LEFT(E5074,FIND("º",SUBSTITUTE(E5074,"°","º"))-1)),-1),IF(LEFT(E5074,6)="TÉRREO",0,IFERROR(VALUE(LEFT(E5074,FIND("º",SUBSTITUTE(E5074,"°","º"))-1)),""))))</f>
        <v/>
      </c>
      <c r="O5074" s="2">
        <f>IF(OR(F5074="",G5074=""),"",IF(G5074&lt;='RETRATO 2027'!$K$5,"CONCLUÍDA",IF(F5074&lt;='RETRATO 2027'!$K$5,"EM ANDAMENTO","A INICIAR")))</f>
        <v/>
      </c>
    </row>
    <row r="5075">
      <c r="M5075" s="2">
        <f>IF(C5075="","",IFERROR(INDEX($S$5:$S$304,MATCH(C5075,$R$5:$R$304,0))&amp;"","?"))</f>
        <v/>
      </c>
      <c r="N5075" s="2">
        <f>IF(E5075="","",IF(ISNUMBER(SEARCH("SUBSOLO",E5075)),IFERROR(-VALUE(LEFT(E5075,FIND("º",SUBSTITUTE(E5075,"°","º"))-1)),-1),IF(LEFT(E5075,6)="TÉRREO",0,IFERROR(VALUE(LEFT(E5075,FIND("º",SUBSTITUTE(E5075,"°","º"))-1)),""))))</f>
        <v/>
      </c>
      <c r="O5075" s="2">
        <f>IF(OR(F5075="",G5075=""),"",IF(G5075&lt;='RETRATO 2027'!$K$5,"CONCLUÍDA",IF(F5075&lt;='RETRATO 2027'!$K$5,"EM ANDAMENTO","A INICIAR")))</f>
        <v/>
      </c>
    </row>
    <row r="5076">
      <c r="M5076" s="2">
        <f>IF(C5076="","",IFERROR(INDEX($S$5:$S$304,MATCH(C5076,$R$5:$R$304,0))&amp;"","?"))</f>
        <v/>
      </c>
      <c r="N5076" s="2">
        <f>IF(E5076="","",IF(ISNUMBER(SEARCH("SUBSOLO",E5076)),IFERROR(-VALUE(LEFT(E5076,FIND("º",SUBSTITUTE(E5076,"°","º"))-1)),-1),IF(LEFT(E5076,6)="TÉRREO",0,IFERROR(VALUE(LEFT(E5076,FIND("º",SUBSTITUTE(E5076,"°","º"))-1)),""))))</f>
        <v/>
      </c>
      <c r="O5076" s="2">
        <f>IF(OR(F5076="",G5076=""),"",IF(G5076&lt;='RETRATO 2027'!$K$5,"CONCLUÍDA",IF(F5076&lt;='RETRATO 2027'!$K$5,"EM ANDAMENTO","A INICIAR")))</f>
        <v/>
      </c>
    </row>
    <row r="5077">
      <c r="M5077" s="2">
        <f>IF(C5077="","",IFERROR(INDEX($S$5:$S$304,MATCH(C5077,$R$5:$R$304,0))&amp;"","?"))</f>
        <v/>
      </c>
      <c r="N5077" s="2">
        <f>IF(E5077="","",IF(ISNUMBER(SEARCH("SUBSOLO",E5077)),IFERROR(-VALUE(LEFT(E5077,FIND("º",SUBSTITUTE(E5077,"°","º"))-1)),-1),IF(LEFT(E5077,6)="TÉRREO",0,IFERROR(VALUE(LEFT(E5077,FIND("º",SUBSTITUTE(E5077,"°","º"))-1)),""))))</f>
        <v/>
      </c>
      <c r="O5077" s="2">
        <f>IF(OR(F5077="",G5077=""),"",IF(G5077&lt;='RETRATO 2027'!$K$5,"CONCLUÍDA",IF(F5077&lt;='RETRATO 2027'!$K$5,"EM ANDAMENTO","A INICIAR")))</f>
        <v/>
      </c>
    </row>
    <row r="5078">
      <c r="M5078" s="2">
        <f>IF(C5078="","",IFERROR(INDEX($S$5:$S$304,MATCH(C5078,$R$5:$R$304,0))&amp;"","?"))</f>
        <v/>
      </c>
      <c r="N5078" s="2">
        <f>IF(E5078="","",IF(ISNUMBER(SEARCH("SUBSOLO",E5078)),IFERROR(-VALUE(LEFT(E5078,FIND("º",SUBSTITUTE(E5078,"°","º"))-1)),-1),IF(LEFT(E5078,6)="TÉRREO",0,IFERROR(VALUE(LEFT(E5078,FIND("º",SUBSTITUTE(E5078,"°","º"))-1)),""))))</f>
        <v/>
      </c>
      <c r="O5078" s="2">
        <f>IF(OR(F5078="",G5078=""),"",IF(G5078&lt;='RETRATO 2027'!$K$5,"CONCLUÍDA",IF(F5078&lt;='RETRATO 2027'!$K$5,"EM ANDAMENTO","A INICIAR")))</f>
        <v/>
      </c>
    </row>
    <row r="5079">
      <c r="M5079" s="2">
        <f>IF(C5079="","",IFERROR(INDEX($S$5:$S$304,MATCH(C5079,$R$5:$R$304,0))&amp;"","?"))</f>
        <v/>
      </c>
      <c r="N5079" s="2">
        <f>IF(E5079="","",IF(ISNUMBER(SEARCH("SUBSOLO",E5079)),IFERROR(-VALUE(LEFT(E5079,FIND("º",SUBSTITUTE(E5079,"°","º"))-1)),-1),IF(LEFT(E5079,6)="TÉRREO",0,IFERROR(VALUE(LEFT(E5079,FIND("º",SUBSTITUTE(E5079,"°","º"))-1)),""))))</f>
        <v/>
      </c>
      <c r="O5079" s="2">
        <f>IF(OR(F5079="",G5079=""),"",IF(G5079&lt;='RETRATO 2027'!$K$5,"CONCLUÍDA",IF(F5079&lt;='RETRATO 2027'!$K$5,"EM ANDAMENTO","A INICIAR")))</f>
        <v/>
      </c>
    </row>
    <row r="5080">
      <c r="M5080" s="2">
        <f>IF(C5080="","",IFERROR(INDEX($S$5:$S$304,MATCH(C5080,$R$5:$R$304,0))&amp;"","?"))</f>
        <v/>
      </c>
      <c r="N5080" s="2">
        <f>IF(E5080="","",IF(ISNUMBER(SEARCH("SUBSOLO",E5080)),IFERROR(-VALUE(LEFT(E5080,FIND("º",SUBSTITUTE(E5080,"°","º"))-1)),-1),IF(LEFT(E5080,6)="TÉRREO",0,IFERROR(VALUE(LEFT(E5080,FIND("º",SUBSTITUTE(E5080,"°","º"))-1)),""))))</f>
        <v/>
      </c>
      <c r="O5080" s="2">
        <f>IF(OR(F5080="",G5080=""),"",IF(G5080&lt;='RETRATO 2027'!$K$5,"CONCLUÍDA",IF(F5080&lt;='RETRATO 2027'!$K$5,"EM ANDAMENTO","A INICIAR")))</f>
        <v/>
      </c>
    </row>
    <row r="5081">
      <c r="M5081" s="2">
        <f>IF(C5081="","",IFERROR(INDEX($S$5:$S$304,MATCH(C5081,$R$5:$R$304,0))&amp;"","?"))</f>
        <v/>
      </c>
      <c r="N5081" s="2">
        <f>IF(E5081="","",IF(ISNUMBER(SEARCH("SUBSOLO",E5081)),IFERROR(-VALUE(LEFT(E5081,FIND("º",SUBSTITUTE(E5081,"°","º"))-1)),-1),IF(LEFT(E5081,6)="TÉRREO",0,IFERROR(VALUE(LEFT(E5081,FIND("º",SUBSTITUTE(E5081,"°","º"))-1)),""))))</f>
        <v/>
      </c>
      <c r="O5081" s="2">
        <f>IF(OR(F5081="",G5081=""),"",IF(G5081&lt;='RETRATO 2027'!$K$5,"CONCLUÍDA",IF(F5081&lt;='RETRATO 2027'!$K$5,"EM ANDAMENTO","A INICIAR")))</f>
        <v/>
      </c>
    </row>
    <row r="5082">
      <c r="M5082" s="2">
        <f>IF(C5082="","",IFERROR(INDEX($S$5:$S$304,MATCH(C5082,$R$5:$R$304,0))&amp;"","?"))</f>
        <v/>
      </c>
      <c r="N5082" s="2">
        <f>IF(E5082="","",IF(ISNUMBER(SEARCH("SUBSOLO",E5082)),IFERROR(-VALUE(LEFT(E5082,FIND("º",SUBSTITUTE(E5082,"°","º"))-1)),-1),IF(LEFT(E5082,6)="TÉRREO",0,IFERROR(VALUE(LEFT(E5082,FIND("º",SUBSTITUTE(E5082,"°","º"))-1)),""))))</f>
        <v/>
      </c>
      <c r="O5082" s="2">
        <f>IF(OR(F5082="",G5082=""),"",IF(G5082&lt;='RETRATO 2027'!$K$5,"CONCLUÍDA",IF(F5082&lt;='RETRATO 2027'!$K$5,"EM ANDAMENTO","A INICIAR")))</f>
        <v/>
      </c>
    </row>
    <row r="5083">
      <c r="M5083" s="2">
        <f>IF(C5083="","",IFERROR(INDEX($S$5:$S$304,MATCH(C5083,$R$5:$R$304,0))&amp;"","?"))</f>
        <v/>
      </c>
      <c r="N5083" s="2">
        <f>IF(E5083="","",IF(ISNUMBER(SEARCH("SUBSOLO",E5083)),IFERROR(-VALUE(LEFT(E5083,FIND("º",SUBSTITUTE(E5083,"°","º"))-1)),-1),IF(LEFT(E5083,6)="TÉRREO",0,IFERROR(VALUE(LEFT(E5083,FIND("º",SUBSTITUTE(E5083,"°","º"))-1)),""))))</f>
        <v/>
      </c>
      <c r="O5083" s="2">
        <f>IF(OR(F5083="",G5083=""),"",IF(G5083&lt;='RETRATO 2027'!$K$5,"CONCLUÍDA",IF(F5083&lt;='RETRATO 2027'!$K$5,"EM ANDAMENTO","A INICIAR")))</f>
        <v/>
      </c>
    </row>
    <row r="5084">
      <c r="M5084" s="2">
        <f>IF(C5084="","",IFERROR(INDEX($S$5:$S$304,MATCH(C5084,$R$5:$R$304,0))&amp;"","?"))</f>
        <v/>
      </c>
      <c r="N5084" s="2">
        <f>IF(E5084="","",IF(ISNUMBER(SEARCH("SUBSOLO",E5084)),IFERROR(-VALUE(LEFT(E5084,FIND("º",SUBSTITUTE(E5084,"°","º"))-1)),-1),IF(LEFT(E5084,6)="TÉRREO",0,IFERROR(VALUE(LEFT(E5084,FIND("º",SUBSTITUTE(E5084,"°","º"))-1)),""))))</f>
        <v/>
      </c>
      <c r="O5084" s="2">
        <f>IF(OR(F5084="",G5084=""),"",IF(G5084&lt;='RETRATO 2027'!$K$5,"CONCLUÍDA",IF(F5084&lt;='RETRATO 2027'!$K$5,"EM ANDAMENTO","A INICIAR")))</f>
        <v/>
      </c>
    </row>
    <row r="5085">
      <c r="M5085" s="2">
        <f>IF(C5085="","",IFERROR(INDEX($S$5:$S$304,MATCH(C5085,$R$5:$R$304,0))&amp;"","?"))</f>
        <v/>
      </c>
      <c r="N5085" s="2">
        <f>IF(E5085="","",IF(ISNUMBER(SEARCH("SUBSOLO",E5085)),IFERROR(-VALUE(LEFT(E5085,FIND("º",SUBSTITUTE(E5085,"°","º"))-1)),-1),IF(LEFT(E5085,6)="TÉRREO",0,IFERROR(VALUE(LEFT(E5085,FIND("º",SUBSTITUTE(E5085,"°","º"))-1)),""))))</f>
        <v/>
      </c>
      <c r="O5085" s="2">
        <f>IF(OR(F5085="",G5085=""),"",IF(G5085&lt;='RETRATO 2027'!$K$5,"CONCLUÍDA",IF(F5085&lt;='RETRATO 2027'!$K$5,"EM ANDAMENTO","A INICIAR")))</f>
        <v/>
      </c>
    </row>
    <row r="5086">
      <c r="M5086" s="2">
        <f>IF(C5086="","",IFERROR(INDEX($S$5:$S$304,MATCH(C5086,$R$5:$R$304,0))&amp;"","?"))</f>
        <v/>
      </c>
      <c r="N5086" s="2">
        <f>IF(E5086="","",IF(ISNUMBER(SEARCH("SUBSOLO",E5086)),IFERROR(-VALUE(LEFT(E5086,FIND("º",SUBSTITUTE(E5086,"°","º"))-1)),-1),IF(LEFT(E5086,6)="TÉRREO",0,IFERROR(VALUE(LEFT(E5086,FIND("º",SUBSTITUTE(E5086,"°","º"))-1)),""))))</f>
        <v/>
      </c>
      <c r="O5086" s="2">
        <f>IF(OR(F5086="",G5086=""),"",IF(G5086&lt;='RETRATO 2027'!$K$5,"CONCLUÍDA",IF(F5086&lt;='RETRATO 2027'!$K$5,"EM ANDAMENTO","A INICIAR")))</f>
        <v/>
      </c>
    </row>
    <row r="5087">
      <c r="M5087" s="2">
        <f>IF(C5087="","",IFERROR(INDEX($S$5:$S$304,MATCH(C5087,$R$5:$R$304,0))&amp;"","?"))</f>
        <v/>
      </c>
      <c r="N5087" s="2">
        <f>IF(E5087="","",IF(ISNUMBER(SEARCH("SUBSOLO",E5087)),IFERROR(-VALUE(LEFT(E5087,FIND("º",SUBSTITUTE(E5087,"°","º"))-1)),-1),IF(LEFT(E5087,6)="TÉRREO",0,IFERROR(VALUE(LEFT(E5087,FIND("º",SUBSTITUTE(E5087,"°","º"))-1)),""))))</f>
        <v/>
      </c>
      <c r="O5087" s="2">
        <f>IF(OR(F5087="",G5087=""),"",IF(G5087&lt;='RETRATO 2027'!$K$5,"CONCLUÍDA",IF(F5087&lt;='RETRATO 2027'!$K$5,"EM ANDAMENTO","A INICIAR")))</f>
        <v/>
      </c>
    </row>
    <row r="5088">
      <c r="M5088" s="2">
        <f>IF(C5088="","",IFERROR(INDEX($S$5:$S$304,MATCH(C5088,$R$5:$R$304,0))&amp;"","?"))</f>
        <v/>
      </c>
      <c r="N5088" s="2">
        <f>IF(E5088="","",IF(ISNUMBER(SEARCH("SUBSOLO",E5088)),IFERROR(-VALUE(LEFT(E5088,FIND("º",SUBSTITUTE(E5088,"°","º"))-1)),-1),IF(LEFT(E5088,6)="TÉRREO",0,IFERROR(VALUE(LEFT(E5088,FIND("º",SUBSTITUTE(E5088,"°","º"))-1)),""))))</f>
        <v/>
      </c>
      <c r="O5088" s="2">
        <f>IF(OR(F5088="",G5088=""),"",IF(G5088&lt;='RETRATO 2027'!$K$5,"CONCLUÍDA",IF(F5088&lt;='RETRATO 2027'!$K$5,"EM ANDAMENTO","A INICIAR")))</f>
        <v/>
      </c>
    </row>
    <row r="5089">
      <c r="M5089" s="2">
        <f>IF(C5089="","",IFERROR(INDEX($S$5:$S$304,MATCH(C5089,$R$5:$R$304,0))&amp;"","?"))</f>
        <v/>
      </c>
      <c r="N5089" s="2">
        <f>IF(E5089="","",IF(ISNUMBER(SEARCH("SUBSOLO",E5089)),IFERROR(-VALUE(LEFT(E5089,FIND("º",SUBSTITUTE(E5089,"°","º"))-1)),-1),IF(LEFT(E5089,6)="TÉRREO",0,IFERROR(VALUE(LEFT(E5089,FIND("º",SUBSTITUTE(E5089,"°","º"))-1)),""))))</f>
        <v/>
      </c>
      <c r="O5089" s="2">
        <f>IF(OR(F5089="",G5089=""),"",IF(G5089&lt;='RETRATO 2027'!$K$5,"CONCLUÍDA",IF(F5089&lt;='RETRATO 2027'!$K$5,"EM ANDAMENTO","A INICIAR")))</f>
        <v/>
      </c>
    </row>
    <row r="5090">
      <c r="M5090" s="2">
        <f>IF(C5090="","",IFERROR(INDEX($S$5:$S$304,MATCH(C5090,$R$5:$R$304,0))&amp;"","?"))</f>
        <v/>
      </c>
      <c r="N5090" s="2">
        <f>IF(E5090="","",IF(ISNUMBER(SEARCH("SUBSOLO",E5090)),IFERROR(-VALUE(LEFT(E5090,FIND("º",SUBSTITUTE(E5090,"°","º"))-1)),-1),IF(LEFT(E5090,6)="TÉRREO",0,IFERROR(VALUE(LEFT(E5090,FIND("º",SUBSTITUTE(E5090,"°","º"))-1)),""))))</f>
        <v/>
      </c>
      <c r="O5090" s="2">
        <f>IF(OR(F5090="",G5090=""),"",IF(G5090&lt;='RETRATO 2027'!$K$5,"CONCLUÍDA",IF(F5090&lt;='RETRATO 2027'!$K$5,"EM ANDAMENTO","A INICIAR")))</f>
        <v/>
      </c>
    </row>
    <row r="5091">
      <c r="M5091" s="2">
        <f>IF(C5091="","",IFERROR(INDEX($S$5:$S$304,MATCH(C5091,$R$5:$R$304,0))&amp;"","?"))</f>
        <v/>
      </c>
      <c r="N5091" s="2">
        <f>IF(E5091="","",IF(ISNUMBER(SEARCH("SUBSOLO",E5091)),IFERROR(-VALUE(LEFT(E5091,FIND("º",SUBSTITUTE(E5091,"°","º"))-1)),-1),IF(LEFT(E5091,6)="TÉRREO",0,IFERROR(VALUE(LEFT(E5091,FIND("º",SUBSTITUTE(E5091,"°","º"))-1)),""))))</f>
        <v/>
      </c>
      <c r="O5091" s="2">
        <f>IF(OR(F5091="",G5091=""),"",IF(G5091&lt;='RETRATO 2027'!$K$5,"CONCLUÍDA",IF(F5091&lt;='RETRATO 2027'!$K$5,"EM ANDAMENTO","A INICIAR")))</f>
        <v/>
      </c>
    </row>
    <row r="5092">
      <c r="M5092" s="2">
        <f>IF(C5092="","",IFERROR(INDEX($S$5:$S$304,MATCH(C5092,$R$5:$R$304,0))&amp;"","?"))</f>
        <v/>
      </c>
      <c r="N5092" s="2">
        <f>IF(E5092="","",IF(ISNUMBER(SEARCH("SUBSOLO",E5092)),IFERROR(-VALUE(LEFT(E5092,FIND("º",SUBSTITUTE(E5092,"°","º"))-1)),-1),IF(LEFT(E5092,6)="TÉRREO",0,IFERROR(VALUE(LEFT(E5092,FIND("º",SUBSTITUTE(E5092,"°","º"))-1)),""))))</f>
        <v/>
      </c>
      <c r="O5092" s="2">
        <f>IF(OR(F5092="",G5092=""),"",IF(G5092&lt;='RETRATO 2027'!$K$5,"CONCLUÍDA",IF(F5092&lt;='RETRATO 2027'!$K$5,"EM ANDAMENTO","A INICIAR")))</f>
        <v/>
      </c>
    </row>
    <row r="5093">
      <c r="M5093" s="2">
        <f>IF(C5093="","",IFERROR(INDEX($S$5:$S$304,MATCH(C5093,$R$5:$R$304,0))&amp;"","?"))</f>
        <v/>
      </c>
      <c r="N5093" s="2">
        <f>IF(E5093="","",IF(ISNUMBER(SEARCH("SUBSOLO",E5093)),IFERROR(-VALUE(LEFT(E5093,FIND("º",SUBSTITUTE(E5093,"°","º"))-1)),-1),IF(LEFT(E5093,6)="TÉRREO",0,IFERROR(VALUE(LEFT(E5093,FIND("º",SUBSTITUTE(E5093,"°","º"))-1)),""))))</f>
        <v/>
      </c>
      <c r="O5093" s="2">
        <f>IF(OR(F5093="",G5093=""),"",IF(G5093&lt;='RETRATO 2027'!$K$5,"CONCLUÍDA",IF(F5093&lt;='RETRATO 2027'!$K$5,"EM ANDAMENTO","A INICIAR")))</f>
        <v/>
      </c>
    </row>
    <row r="5094">
      <c r="M5094" s="2">
        <f>IF(C5094="","",IFERROR(INDEX($S$5:$S$304,MATCH(C5094,$R$5:$R$304,0))&amp;"","?"))</f>
        <v/>
      </c>
      <c r="N5094" s="2">
        <f>IF(E5094="","",IF(ISNUMBER(SEARCH("SUBSOLO",E5094)),IFERROR(-VALUE(LEFT(E5094,FIND("º",SUBSTITUTE(E5094,"°","º"))-1)),-1),IF(LEFT(E5094,6)="TÉRREO",0,IFERROR(VALUE(LEFT(E5094,FIND("º",SUBSTITUTE(E5094,"°","º"))-1)),""))))</f>
        <v/>
      </c>
      <c r="O5094" s="2">
        <f>IF(OR(F5094="",G5094=""),"",IF(G5094&lt;='RETRATO 2027'!$K$5,"CONCLUÍDA",IF(F5094&lt;='RETRATO 2027'!$K$5,"EM ANDAMENTO","A INICIAR")))</f>
        <v/>
      </c>
    </row>
    <row r="5095">
      <c r="M5095" s="2">
        <f>IF(C5095="","",IFERROR(INDEX($S$5:$S$304,MATCH(C5095,$R$5:$R$304,0))&amp;"","?"))</f>
        <v/>
      </c>
      <c r="N5095" s="2">
        <f>IF(E5095="","",IF(ISNUMBER(SEARCH("SUBSOLO",E5095)),IFERROR(-VALUE(LEFT(E5095,FIND("º",SUBSTITUTE(E5095,"°","º"))-1)),-1),IF(LEFT(E5095,6)="TÉRREO",0,IFERROR(VALUE(LEFT(E5095,FIND("º",SUBSTITUTE(E5095,"°","º"))-1)),""))))</f>
        <v/>
      </c>
      <c r="O5095" s="2">
        <f>IF(OR(F5095="",G5095=""),"",IF(G5095&lt;='RETRATO 2027'!$K$5,"CONCLUÍDA",IF(F5095&lt;='RETRATO 2027'!$K$5,"EM ANDAMENTO","A INICIAR")))</f>
        <v/>
      </c>
    </row>
    <row r="5096">
      <c r="M5096" s="2">
        <f>IF(C5096="","",IFERROR(INDEX($S$5:$S$304,MATCH(C5096,$R$5:$R$304,0))&amp;"","?"))</f>
        <v/>
      </c>
      <c r="N5096" s="2">
        <f>IF(E5096="","",IF(ISNUMBER(SEARCH("SUBSOLO",E5096)),IFERROR(-VALUE(LEFT(E5096,FIND("º",SUBSTITUTE(E5096,"°","º"))-1)),-1),IF(LEFT(E5096,6)="TÉRREO",0,IFERROR(VALUE(LEFT(E5096,FIND("º",SUBSTITUTE(E5096,"°","º"))-1)),""))))</f>
        <v/>
      </c>
      <c r="O5096" s="2">
        <f>IF(OR(F5096="",G5096=""),"",IF(G5096&lt;='RETRATO 2027'!$K$5,"CONCLUÍDA",IF(F5096&lt;='RETRATO 2027'!$K$5,"EM ANDAMENTO","A INICIAR")))</f>
        <v/>
      </c>
    </row>
    <row r="5097">
      <c r="M5097" s="2">
        <f>IF(C5097="","",IFERROR(INDEX($S$5:$S$304,MATCH(C5097,$R$5:$R$304,0))&amp;"","?"))</f>
        <v/>
      </c>
      <c r="N5097" s="2">
        <f>IF(E5097="","",IF(ISNUMBER(SEARCH("SUBSOLO",E5097)),IFERROR(-VALUE(LEFT(E5097,FIND("º",SUBSTITUTE(E5097,"°","º"))-1)),-1),IF(LEFT(E5097,6)="TÉRREO",0,IFERROR(VALUE(LEFT(E5097,FIND("º",SUBSTITUTE(E5097,"°","º"))-1)),""))))</f>
        <v/>
      </c>
      <c r="O5097" s="2">
        <f>IF(OR(F5097="",G5097=""),"",IF(G5097&lt;='RETRATO 2027'!$K$5,"CONCLUÍDA",IF(F5097&lt;='RETRATO 2027'!$K$5,"EM ANDAMENTO","A INICIAR")))</f>
        <v/>
      </c>
    </row>
    <row r="5098">
      <c r="M5098" s="2">
        <f>IF(C5098="","",IFERROR(INDEX($S$5:$S$304,MATCH(C5098,$R$5:$R$304,0))&amp;"","?"))</f>
        <v/>
      </c>
      <c r="N5098" s="2">
        <f>IF(E5098="","",IF(ISNUMBER(SEARCH("SUBSOLO",E5098)),IFERROR(-VALUE(LEFT(E5098,FIND("º",SUBSTITUTE(E5098,"°","º"))-1)),-1),IF(LEFT(E5098,6)="TÉRREO",0,IFERROR(VALUE(LEFT(E5098,FIND("º",SUBSTITUTE(E5098,"°","º"))-1)),""))))</f>
        <v/>
      </c>
      <c r="O5098" s="2">
        <f>IF(OR(F5098="",G5098=""),"",IF(G5098&lt;='RETRATO 2027'!$K$5,"CONCLUÍDA",IF(F5098&lt;='RETRATO 2027'!$K$5,"EM ANDAMENTO","A INICIAR")))</f>
        <v/>
      </c>
    </row>
    <row r="5099">
      <c r="M5099" s="2">
        <f>IF(C5099="","",IFERROR(INDEX($S$5:$S$304,MATCH(C5099,$R$5:$R$304,0))&amp;"","?"))</f>
        <v/>
      </c>
      <c r="N5099" s="2">
        <f>IF(E5099="","",IF(ISNUMBER(SEARCH("SUBSOLO",E5099)),IFERROR(-VALUE(LEFT(E5099,FIND("º",SUBSTITUTE(E5099,"°","º"))-1)),-1),IF(LEFT(E5099,6)="TÉRREO",0,IFERROR(VALUE(LEFT(E5099,FIND("º",SUBSTITUTE(E5099,"°","º"))-1)),""))))</f>
        <v/>
      </c>
      <c r="O5099" s="2">
        <f>IF(OR(F5099="",G5099=""),"",IF(G5099&lt;='RETRATO 2027'!$K$5,"CONCLUÍDA",IF(F5099&lt;='RETRATO 2027'!$K$5,"EM ANDAMENTO","A INICIAR")))</f>
        <v/>
      </c>
    </row>
    <row r="5100">
      <c r="M5100" s="2">
        <f>IF(C5100="","",IFERROR(INDEX($S$5:$S$304,MATCH(C5100,$R$5:$R$304,0))&amp;"","?"))</f>
        <v/>
      </c>
      <c r="N5100" s="2">
        <f>IF(E5100="","",IF(ISNUMBER(SEARCH("SUBSOLO",E5100)),IFERROR(-VALUE(LEFT(E5100,FIND("º",SUBSTITUTE(E5100,"°","º"))-1)),-1),IF(LEFT(E5100,6)="TÉRREO",0,IFERROR(VALUE(LEFT(E5100,FIND("º",SUBSTITUTE(E5100,"°","º"))-1)),""))))</f>
        <v/>
      </c>
      <c r="O5100" s="2">
        <f>IF(OR(F5100="",G5100=""),"",IF(G5100&lt;='RETRATO 2027'!$K$5,"CONCLUÍDA",IF(F5100&lt;='RETRATO 2027'!$K$5,"EM ANDAMENTO","A INICIAR")))</f>
        <v/>
      </c>
    </row>
    <row r="5101">
      <c r="M5101" s="2">
        <f>IF(C5101="","",IFERROR(INDEX($S$5:$S$304,MATCH(C5101,$R$5:$R$304,0))&amp;"","?"))</f>
        <v/>
      </c>
      <c r="N5101" s="2">
        <f>IF(E5101="","",IF(ISNUMBER(SEARCH("SUBSOLO",E5101)),IFERROR(-VALUE(LEFT(E5101,FIND("º",SUBSTITUTE(E5101,"°","º"))-1)),-1),IF(LEFT(E5101,6)="TÉRREO",0,IFERROR(VALUE(LEFT(E5101,FIND("º",SUBSTITUTE(E5101,"°","º"))-1)),""))))</f>
        <v/>
      </c>
      <c r="O5101" s="2">
        <f>IF(OR(F5101="",G5101=""),"",IF(G5101&lt;='RETRATO 2027'!$K$5,"CONCLUÍDA",IF(F5101&lt;='RETRATO 2027'!$K$5,"EM ANDAMENTO","A INICIAR")))</f>
        <v/>
      </c>
    </row>
    <row r="5102">
      <c r="M5102" s="2">
        <f>IF(C5102="","",IFERROR(INDEX($S$5:$S$304,MATCH(C5102,$R$5:$R$304,0))&amp;"","?"))</f>
        <v/>
      </c>
      <c r="N5102" s="2">
        <f>IF(E5102="","",IF(ISNUMBER(SEARCH("SUBSOLO",E5102)),IFERROR(-VALUE(LEFT(E5102,FIND("º",SUBSTITUTE(E5102,"°","º"))-1)),-1),IF(LEFT(E5102,6)="TÉRREO",0,IFERROR(VALUE(LEFT(E5102,FIND("º",SUBSTITUTE(E5102,"°","º"))-1)),""))))</f>
        <v/>
      </c>
      <c r="O5102" s="2">
        <f>IF(OR(F5102="",G5102=""),"",IF(G5102&lt;='RETRATO 2027'!$K$5,"CONCLUÍDA",IF(F5102&lt;='RETRATO 2027'!$K$5,"EM ANDAMENTO","A INICIAR")))</f>
        <v/>
      </c>
    </row>
    <row r="5103">
      <c r="M5103" s="2">
        <f>IF(C5103="","",IFERROR(INDEX($S$5:$S$304,MATCH(C5103,$R$5:$R$304,0))&amp;"","?"))</f>
        <v/>
      </c>
      <c r="N5103" s="2">
        <f>IF(E5103="","",IF(ISNUMBER(SEARCH("SUBSOLO",E5103)),IFERROR(-VALUE(LEFT(E5103,FIND("º",SUBSTITUTE(E5103,"°","º"))-1)),-1),IF(LEFT(E5103,6)="TÉRREO",0,IFERROR(VALUE(LEFT(E5103,FIND("º",SUBSTITUTE(E5103,"°","º"))-1)),""))))</f>
        <v/>
      </c>
      <c r="O5103" s="2">
        <f>IF(OR(F5103="",G5103=""),"",IF(G5103&lt;='RETRATO 2027'!$K$5,"CONCLUÍDA",IF(F5103&lt;='RETRATO 2027'!$K$5,"EM ANDAMENTO","A INICIAR")))</f>
        <v/>
      </c>
    </row>
    <row r="5104">
      <c r="M5104" s="2">
        <f>IF(C5104="","",IFERROR(INDEX($S$5:$S$304,MATCH(C5104,$R$5:$R$304,0))&amp;"","?"))</f>
        <v/>
      </c>
      <c r="N5104" s="2">
        <f>IF(E5104="","",IF(ISNUMBER(SEARCH("SUBSOLO",E5104)),IFERROR(-VALUE(LEFT(E5104,FIND("º",SUBSTITUTE(E5104,"°","º"))-1)),-1),IF(LEFT(E5104,6)="TÉRREO",0,IFERROR(VALUE(LEFT(E5104,FIND("º",SUBSTITUTE(E5104,"°","º"))-1)),""))))</f>
        <v/>
      </c>
      <c r="O5104" s="2">
        <f>IF(OR(F5104="",G5104=""),"",IF(G5104&lt;='RETRATO 2027'!$K$5,"CONCLUÍDA",IF(F5104&lt;='RETRATO 2027'!$K$5,"EM ANDAMENTO","A INICIAR")))</f>
        <v/>
      </c>
    </row>
    <row r="5105">
      <c r="M5105" s="2">
        <f>IF(C5105="","",IFERROR(INDEX($S$5:$S$304,MATCH(C5105,$R$5:$R$304,0))&amp;"","?"))</f>
        <v/>
      </c>
      <c r="N5105" s="2">
        <f>IF(E5105="","",IF(ISNUMBER(SEARCH("SUBSOLO",E5105)),IFERROR(-VALUE(LEFT(E5105,FIND("º",SUBSTITUTE(E5105,"°","º"))-1)),-1),IF(LEFT(E5105,6)="TÉRREO",0,IFERROR(VALUE(LEFT(E5105,FIND("º",SUBSTITUTE(E5105,"°","º"))-1)),""))))</f>
        <v/>
      </c>
      <c r="O5105" s="2">
        <f>IF(OR(F5105="",G5105=""),"",IF(G5105&lt;='RETRATO 2027'!$K$5,"CONCLUÍDA",IF(F5105&lt;='RETRATO 2027'!$K$5,"EM ANDAMENTO","A INICIAR")))</f>
        <v/>
      </c>
    </row>
    <row r="5106">
      <c r="M5106" s="2">
        <f>IF(C5106="","",IFERROR(INDEX($S$5:$S$304,MATCH(C5106,$R$5:$R$304,0))&amp;"","?"))</f>
        <v/>
      </c>
      <c r="N5106" s="2">
        <f>IF(E5106="","",IF(ISNUMBER(SEARCH("SUBSOLO",E5106)),IFERROR(-VALUE(LEFT(E5106,FIND("º",SUBSTITUTE(E5106,"°","º"))-1)),-1),IF(LEFT(E5106,6)="TÉRREO",0,IFERROR(VALUE(LEFT(E5106,FIND("º",SUBSTITUTE(E5106,"°","º"))-1)),""))))</f>
        <v/>
      </c>
      <c r="O5106" s="2">
        <f>IF(OR(F5106="",G5106=""),"",IF(G5106&lt;='RETRATO 2027'!$K$5,"CONCLUÍDA",IF(F5106&lt;='RETRATO 2027'!$K$5,"EM ANDAMENTO","A INICIAR")))</f>
        <v/>
      </c>
    </row>
    <row r="5107">
      <c r="M5107" s="2">
        <f>IF(C5107="","",IFERROR(INDEX($S$5:$S$304,MATCH(C5107,$R$5:$R$304,0))&amp;"","?"))</f>
        <v/>
      </c>
      <c r="N5107" s="2">
        <f>IF(E5107="","",IF(ISNUMBER(SEARCH("SUBSOLO",E5107)),IFERROR(-VALUE(LEFT(E5107,FIND("º",SUBSTITUTE(E5107,"°","º"))-1)),-1),IF(LEFT(E5107,6)="TÉRREO",0,IFERROR(VALUE(LEFT(E5107,FIND("º",SUBSTITUTE(E5107,"°","º"))-1)),""))))</f>
        <v/>
      </c>
      <c r="O5107" s="2">
        <f>IF(OR(F5107="",G5107=""),"",IF(G5107&lt;='RETRATO 2027'!$K$5,"CONCLUÍDA",IF(F5107&lt;='RETRATO 2027'!$K$5,"EM ANDAMENTO","A INICIAR")))</f>
        <v/>
      </c>
    </row>
    <row r="5108">
      <c r="M5108" s="2">
        <f>IF(C5108="","",IFERROR(INDEX($S$5:$S$304,MATCH(C5108,$R$5:$R$304,0))&amp;"","?"))</f>
        <v/>
      </c>
      <c r="N5108" s="2">
        <f>IF(E5108="","",IF(ISNUMBER(SEARCH("SUBSOLO",E5108)),IFERROR(-VALUE(LEFT(E5108,FIND("º",SUBSTITUTE(E5108,"°","º"))-1)),-1),IF(LEFT(E5108,6)="TÉRREO",0,IFERROR(VALUE(LEFT(E5108,FIND("º",SUBSTITUTE(E5108,"°","º"))-1)),""))))</f>
        <v/>
      </c>
      <c r="O5108" s="2">
        <f>IF(OR(F5108="",G5108=""),"",IF(G5108&lt;='RETRATO 2027'!$K$5,"CONCLUÍDA",IF(F5108&lt;='RETRATO 2027'!$K$5,"EM ANDAMENTO","A INICIAR")))</f>
        <v/>
      </c>
    </row>
    <row r="5109">
      <c r="M5109" s="2">
        <f>IF(C5109="","",IFERROR(INDEX($S$5:$S$304,MATCH(C5109,$R$5:$R$304,0))&amp;"","?"))</f>
        <v/>
      </c>
      <c r="N5109" s="2">
        <f>IF(E5109="","",IF(ISNUMBER(SEARCH("SUBSOLO",E5109)),IFERROR(-VALUE(LEFT(E5109,FIND("º",SUBSTITUTE(E5109,"°","º"))-1)),-1),IF(LEFT(E5109,6)="TÉRREO",0,IFERROR(VALUE(LEFT(E5109,FIND("º",SUBSTITUTE(E5109,"°","º"))-1)),""))))</f>
        <v/>
      </c>
      <c r="O5109" s="2">
        <f>IF(OR(F5109="",G5109=""),"",IF(G5109&lt;='RETRATO 2027'!$K$5,"CONCLUÍDA",IF(F5109&lt;='RETRATO 2027'!$K$5,"EM ANDAMENTO","A INICIAR")))</f>
        <v/>
      </c>
    </row>
    <row r="5110">
      <c r="M5110" s="2">
        <f>IF(C5110="","",IFERROR(INDEX($S$5:$S$304,MATCH(C5110,$R$5:$R$304,0))&amp;"","?"))</f>
        <v/>
      </c>
      <c r="N5110" s="2">
        <f>IF(E5110="","",IF(ISNUMBER(SEARCH("SUBSOLO",E5110)),IFERROR(-VALUE(LEFT(E5110,FIND("º",SUBSTITUTE(E5110,"°","º"))-1)),-1),IF(LEFT(E5110,6)="TÉRREO",0,IFERROR(VALUE(LEFT(E5110,FIND("º",SUBSTITUTE(E5110,"°","º"))-1)),""))))</f>
        <v/>
      </c>
      <c r="O5110" s="2">
        <f>IF(OR(F5110="",G5110=""),"",IF(G5110&lt;='RETRATO 2027'!$K$5,"CONCLUÍDA",IF(F5110&lt;='RETRATO 2027'!$K$5,"EM ANDAMENTO","A INICIAR")))</f>
        <v/>
      </c>
    </row>
    <row r="5111">
      <c r="M5111" s="2">
        <f>IF(C5111="","",IFERROR(INDEX($S$5:$S$304,MATCH(C5111,$R$5:$R$304,0))&amp;"","?"))</f>
        <v/>
      </c>
      <c r="N5111" s="2">
        <f>IF(E5111="","",IF(ISNUMBER(SEARCH("SUBSOLO",E5111)),IFERROR(-VALUE(LEFT(E5111,FIND("º",SUBSTITUTE(E5111,"°","º"))-1)),-1),IF(LEFT(E5111,6)="TÉRREO",0,IFERROR(VALUE(LEFT(E5111,FIND("º",SUBSTITUTE(E5111,"°","º"))-1)),""))))</f>
        <v/>
      </c>
      <c r="O5111" s="2">
        <f>IF(OR(F5111="",G5111=""),"",IF(G5111&lt;='RETRATO 2027'!$K$5,"CONCLUÍDA",IF(F5111&lt;='RETRATO 2027'!$K$5,"EM ANDAMENTO","A INICIAR")))</f>
        <v/>
      </c>
    </row>
    <row r="5112">
      <c r="M5112" s="2">
        <f>IF(C5112="","",IFERROR(INDEX($S$5:$S$304,MATCH(C5112,$R$5:$R$304,0))&amp;"","?"))</f>
        <v/>
      </c>
      <c r="N5112" s="2">
        <f>IF(E5112="","",IF(ISNUMBER(SEARCH("SUBSOLO",E5112)),IFERROR(-VALUE(LEFT(E5112,FIND("º",SUBSTITUTE(E5112,"°","º"))-1)),-1),IF(LEFT(E5112,6)="TÉRREO",0,IFERROR(VALUE(LEFT(E5112,FIND("º",SUBSTITUTE(E5112,"°","º"))-1)),""))))</f>
        <v/>
      </c>
      <c r="O5112" s="2">
        <f>IF(OR(F5112="",G5112=""),"",IF(G5112&lt;='RETRATO 2027'!$K$5,"CONCLUÍDA",IF(F5112&lt;='RETRATO 2027'!$K$5,"EM ANDAMENTO","A INICIAR")))</f>
        <v/>
      </c>
    </row>
    <row r="5113">
      <c r="M5113" s="2">
        <f>IF(C5113="","",IFERROR(INDEX($S$5:$S$304,MATCH(C5113,$R$5:$R$304,0))&amp;"","?"))</f>
        <v/>
      </c>
      <c r="N5113" s="2">
        <f>IF(E5113="","",IF(ISNUMBER(SEARCH("SUBSOLO",E5113)),IFERROR(-VALUE(LEFT(E5113,FIND("º",SUBSTITUTE(E5113,"°","º"))-1)),-1),IF(LEFT(E5113,6)="TÉRREO",0,IFERROR(VALUE(LEFT(E5113,FIND("º",SUBSTITUTE(E5113,"°","º"))-1)),""))))</f>
        <v/>
      </c>
      <c r="O5113" s="2">
        <f>IF(OR(F5113="",G5113=""),"",IF(G5113&lt;='RETRATO 2027'!$K$5,"CONCLUÍDA",IF(F5113&lt;='RETRATO 2027'!$K$5,"EM ANDAMENTO","A INICIAR")))</f>
        <v/>
      </c>
    </row>
    <row r="5114">
      <c r="M5114" s="2">
        <f>IF(C5114="","",IFERROR(INDEX($S$5:$S$304,MATCH(C5114,$R$5:$R$304,0))&amp;"","?"))</f>
        <v/>
      </c>
      <c r="N5114" s="2">
        <f>IF(E5114="","",IF(ISNUMBER(SEARCH("SUBSOLO",E5114)),IFERROR(-VALUE(LEFT(E5114,FIND("º",SUBSTITUTE(E5114,"°","º"))-1)),-1),IF(LEFT(E5114,6)="TÉRREO",0,IFERROR(VALUE(LEFT(E5114,FIND("º",SUBSTITUTE(E5114,"°","º"))-1)),""))))</f>
        <v/>
      </c>
      <c r="O5114" s="2">
        <f>IF(OR(F5114="",G5114=""),"",IF(G5114&lt;='RETRATO 2027'!$K$5,"CONCLUÍDA",IF(F5114&lt;='RETRATO 2027'!$K$5,"EM ANDAMENTO","A INICIAR")))</f>
        <v/>
      </c>
    </row>
    <row r="5115">
      <c r="M5115" s="2">
        <f>IF(C5115="","",IFERROR(INDEX($S$5:$S$304,MATCH(C5115,$R$5:$R$304,0))&amp;"","?"))</f>
        <v/>
      </c>
      <c r="N5115" s="2">
        <f>IF(E5115="","",IF(ISNUMBER(SEARCH("SUBSOLO",E5115)),IFERROR(-VALUE(LEFT(E5115,FIND("º",SUBSTITUTE(E5115,"°","º"))-1)),-1),IF(LEFT(E5115,6)="TÉRREO",0,IFERROR(VALUE(LEFT(E5115,FIND("º",SUBSTITUTE(E5115,"°","º"))-1)),""))))</f>
        <v/>
      </c>
      <c r="O5115" s="2">
        <f>IF(OR(F5115="",G5115=""),"",IF(G5115&lt;='RETRATO 2027'!$K$5,"CONCLUÍDA",IF(F5115&lt;='RETRATO 2027'!$K$5,"EM ANDAMENTO","A INICIAR")))</f>
        <v/>
      </c>
    </row>
    <row r="5116">
      <c r="M5116" s="2">
        <f>IF(C5116="","",IFERROR(INDEX($S$5:$S$304,MATCH(C5116,$R$5:$R$304,0))&amp;"","?"))</f>
        <v/>
      </c>
      <c r="N5116" s="2">
        <f>IF(E5116="","",IF(ISNUMBER(SEARCH("SUBSOLO",E5116)),IFERROR(-VALUE(LEFT(E5116,FIND("º",SUBSTITUTE(E5116,"°","º"))-1)),-1),IF(LEFT(E5116,6)="TÉRREO",0,IFERROR(VALUE(LEFT(E5116,FIND("º",SUBSTITUTE(E5116,"°","º"))-1)),""))))</f>
        <v/>
      </c>
      <c r="O5116" s="2">
        <f>IF(OR(F5116="",G5116=""),"",IF(G5116&lt;='RETRATO 2027'!$K$5,"CONCLUÍDA",IF(F5116&lt;='RETRATO 2027'!$K$5,"EM ANDAMENTO","A INICIAR")))</f>
        <v/>
      </c>
    </row>
    <row r="5117">
      <c r="M5117" s="2">
        <f>IF(C5117="","",IFERROR(INDEX($S$5:$S$304,MATCH(C5117,$R$5:$R$304,0))&amp;"","?"))</f>
        <v/>
      </c>
      <c r="N5117" s="2">
        <f>IF(E5117="","",IF(ISNUMBER(SEARCH("SUBSOLO",E5117)),IFERROR(-VALUE(LEFT(E5117,FIND("º",SUBSTITUTE(E5117,"°","º"))-1)),-1),IF(LEFT(E5117,6)="TÉRREO",0,IFERROR(VALUE(LEFT(E5117,FIND("º",SUBSTITUTE(E5117,"°","º"))-1)),""))))</f>
        <v/>
      </c>
      <c r="O5117" s="2">
        <f>IF(OR(F5117="",G5117=""),"",IF(G5117&lt;='RETRATO 2027'!$K$5,"CONCLUÍDA",IF(F5117&lt;='RETRATO 2027'!$K$5,"EM ANDAMENTO","A INICIAR")))</f>
        <v/>
      </c>
    </row>
    <row r="5118">
      <c r="M5118" s="2">
        <f>IF(C5118="","",IFERROR(INDEX($S$5:$S$304,MATCH(C5118,$R$5:$R$304,0))&amp;"","?"))</f>
        <v/>
      </c>
      <c r="N5118" s="2">
        <f>IF(E5118="","",IF(ISNUMBER(SEARCH("SUBSOLO",E5118)),IFERROR(-VALUE(LEFT(E5118,FIND("º",SUBSTITUTE(E5118,"°","º"))-1)),-1),IF(LEFT(E5118,6)="TÉRREO",0,IFERROR(VALUE(LEFT(E5118,FIND("º",SUBSTITUTE(E5118,"°","º"))-1)),""))))</f>
        <v/>
      </c>
      <c r="O5118" s="2">
        <f>IF(OR(F5118="",G5118=""),"",IF(G5118&lt;='RETRATO 2027'!$K$5,"CONCLUÍDA",IF(F5118&lt;='RETRATO 2027'!$K$5,"EM ANDAMENTO","A INICIAR")))</f>
        <v/>
      </c>
    </row>
    <row r="5119">
      <c r="M5119" s="2">
        <f>IF(C5119="","",IFERROR(INDEX($S$5:$S$304,MATCH(C5119,$R$5:$R$304,0))&amp;"","?"))</f>
        <v/>
      </c>
      <c r="N5119" s="2">
        <f>IF(E5119="","",IF(ISNUMBER(SEARCH("SUBSOLO",E5119)),IFERROR(-VALUE(LEFT(E5119,FIND("º",SUBSTITUTE(E5119,"°","º"))-1)),-1),IF(LEFT(E5119,6)="TÉRREO",0,IFERROR(VALUE(LEFT(E5119,FIND("º",SUBSTITUTE(E5119,"°","º"))-1)),""))))</f>
        <v/>
      </c>
      <c r="O5119" s="2">
        <f>IF(OR(F5119="",G5119=""),"",IF(G5119&lt;='RETRATO 2027'!$K$5,"CONCLUÍDA",IF(F5119&lt;='RETRATO 2027'!$K$5,"EM ANDAMENTO","A INICIAR")))</f>
        <v/>
      </c>
    </row>
    <row r="5120">
      <c r="M5120" s="2">
        <f>IF(C5120="","",IFERROR(INDEX($S$5:$S$304,MATCH(C5120,$R$5:$R$304,0))&amp;"","?"))</f>
        <v/>
      </c>
      <c r="N5120" s="2">
        <f>IF(E5120="","",IF(ISNUMBER(SEARCH("SUBSOLO",E5120)),IFERROR(-VALUE(LEFT(E5120,FIND("º",SUBSTITUTE(E5120,"°","º"))-1)),-1),IF(LEFT(E5120,6)="TÉRREO",0,IFERROR(VALUE(LEFT(E5120,FIND("º",SUBSTITUTE(E5120,"°","º"))-1)),""))))</f>
        <v/>
      </c>
      <c r="O5120" s="2">
        <f>IF(OR(F5120="",G5120=""),"",IF(G5120&lt;='RETRATO 2027'!$K$5,"CONCLUÍDA",IF(F5120&lt;='RETRATO 2027'!$K$5,"EM ANDAMENTO","A INICIAR")))</f>
        <v/>
      </c>
    </row>
    <row r="5121">
      <c r="M5121" s="2">
        <f>IF(C5121="","",IFERROR(INDEX($S$5:$S$304,MATCH(C5121,$R$5:$R$304,0))&amp;"","?"))</f>
        <v/>
      </c>
      <c r="N5121" s="2">
        <f>IF(E5121="","",IF(ISNUMBER(SEARCH("SUBSOLO",E5121)),IFERROR(-VALUE(LEFT(E5121,FIND("º",SUBSTITUTE(E5121,"°","º"))-1)),-1),IF(LEFT(E5121,6)="TÉRREO",0,IFERROR(VALUE(LEFT(E5121,FIND("º",SUBSTITUTE(E5121,"°","º"))-1)),""))))</f>
        <v/>
      </c>
      <c r="O5121" s="2">
        <f>IF(OR(F5121="",G5121=""),"",IF(G5121&lt;='RETRATO 2027'!$K$5,"CONCLUÍDA",IF(F5121&lt;='RETRATO 2027'!$K$5,"EM ANDAMENTO","A INICIAR")))</f>
        <v/>
      </c>
    </row>
    <row r="5122">
      <c r="M5122" s="2">
        <f>IF(C5122="","",IFERROR(INDEX($S$5:$S$304,MATCH(C5122,$R$5:$R$304,0))&amp;"","?"))</f>
        <v/>
      </c>
      <c r="N5122" s="2">
        <f>IF(E5122="","",IF(ISNUMBER(SEARCH("SUBSOLO",E5122)),IFERROR(-VALUE(LEFT(E5122,FIND("º",SUBSTITUTE(E5122,"°","º"))-1)),-1),IF(LEFT(E5122,6)="TÉRREO",0,IFERROR(VALUE(LEFT(E5122,FIND("º",SUBSTITUTE(E5122,"°","º"))-1)),""))))</f>
        <v/>
      </c>
      <c r="O5122" s="2">
        <f>IF(OR(F5122="",G5122=""),"",IF(G5122&lt;='RETRATO 2027'!$K$5,"CONCLUÍDA",IF(F5122&lt;='RETRATO 2027'!$K$5,"EM ANDAMENTO","A INICIAR")))</f>
        <v/>
      </c>
    </row>
    <row r="5123">
      <c r="M5123" s="2">
        <f>IF(C5123="","",IFERROR(INDEX($S$5:$S$304,MATCH(C5123,$R$5:$R$304,0))&amp;"","?"))</f>
        <v/>
      </c>
      <c r="N5123" s="2">
        <f>IF(E5123="","",IF(ISNUMBER(SEARCH("SUBSOLO",E5123)),IFERROR(-VALUE(LEFT(E5123,FIND("º",SUBSTITUTE(E5123,"°","º"))-1)),-1),IF(LEFT(E5123,6)="TÉRREO",0,IFERROR(VALUE(LEFT(E5123,FIND("º",SUBSTITUTE(E5123,"°","º"))-1)),""))))</f>
        <v/>
      </c>
      <c r="O5123" s="2">
        <f>IF(OR(F5123="",G5123=""),"",IF(G5123&lt;='RETRATO 2027'!$K$5,"CONCLUÍDA",IF(F5123&lt;='RETRATO 2027'!$K$5,"EM ANDAMENTO","A INICIAR")))</f>
        <v/>
      </c>
    </row>
    <row r="5124">
      <c r="M5124" s="2">
        <f>IF(C5124="","",IFERROR(INDEX($S$5:$S$304,MATCH(C5124,$R$5:$R$304,0))&amp;"","?"))</f>
        <v/>
      </c>
      <c r="N5124" s="2">
        <f>IF(E5124="","",IF(ISNUMBER(SEARCH("SUBSOLO",E5124)),IFERROR(-VALUE(LEFT(E5124,FIND("º",SUBSTITUTE(E5124,"°","º"))-1)),-1),IF(LEFT(E5124,6)="TÉRREO",0,IFERROR(VALUE(LEFT(E5124,FIND("º",SUBSTITUTE(E5124,"°","º"))-1)),""))))</f>
        <v/>
      </c>
      <c r="O5124" s="2">
        <f>IF(OR(F5124="",G5124=""),"",IF(G5124&lt;='RETRATO 2027'!$K$5,"CONCLUÍDA",IF(F5124&lt;='RETRATO 2027'!$K$5,"EM ANDAMENTO","A INICIAR")))</f>
        <v/>
      </c>
    </row>
    <row r="5125">
      <c r="M5125" s="2">
        <f>IF(C5125="","",IFERROR(INDEX($S$5:$S$304,MATCH(C5125,$R$5:$R$304,0))&amp;"","?"))</f>
        <v/>
      </c>
      <c r="N5125" s="2">
        <f>IF(E5125="","",IF(ISNUMBER(SEARCH("SUBSOLO",E5125)),IFERROR(-VALUE(LEFT(E5125,FIND("º",SUBSTITUTE(E5125,"°","º"))-1)),-1),IF(LEFT(E5125,6)="TÉRREO",0,IFERROR(VALUE(LEFT(E5125,FIND("º",SUBSTITUTE(E5125,"°","º"))-1)),""))))</f>
        <v/>
      </c>
      <c r="O5125" s="2">
        <f>IF(OR(F5125="",G5125=""),"",IF(G5125&lt;='RETRATO 2027'!$K$5,"CONCLUÍDA",IF(F5125&lt;='RETRATO 2027'!$K$5,"EM ANDAMENTO","A INICIAR")))</f>
        <v/>
      </c>
    </row>
    <row r="5126">
      <c r="M5126" s="2">
        <f>IF(C5126="","",IFERROR(INDEX($S$5:$S$304,MATCH(C5126,$R$5:$R$304,0))&amp;"","?"))</f>
        <v/>
      </c>
      <c r="N5126" s="2">
        <f>IF(E5126="","",IF(ISNUMBER(SEARCH("SUBSOLO",E5126)),IFERROR(-VALUE(LEFT(E5126,FIND("º",SUBSTITUTE(E5126,"°","º"))-1)),-1),IF(LEFT(E5126,6)="TÉRREO",0,IFERROR(VALUE(LEFT(E5126,FIND("º",SUBSTITUTE(E5126,"°","º"))-1)),""))))</f>
        <v/>
      </c>
      <c r="O5126" s="2">
        <f>IF(OR(F5126="",G5126=""),"",IF(G5126&lt;='RETRATO 2027'!$K$5,"CONCLUÍDA",IF(F5126&lt;='RETRATO 2027'!$K$5,"EM ANDAMENTO","A INICIAR")))</f>
        <v/>
      </c>
    </row>
    <row r="5127">
      <c r="M5127" s="2">
        <f>IF(C5127="","",IFERROR(INDEX($S$5:$S$304,MATCH(C5127,$R$5:$R$304,0))&amp;"","?"))</f>
        <v/>
      </c>
      <c r="N5127" s="2">
        <f>IF(E5127="","",IF(ISNUMBER(SEARCH("SUBSOLO",E5127)),IFERROR(-VALUE(LEFT(E5127,FIND("º",SUBSTITUTE(E5127,"°","º"))-1)),-1),IF(LEFT(E5127,6)="TÉRREO",0,IFERROR(VALUE(LEFT(E5127,FIND("º",SUBSTITUTE(E5127,"°","º"))-1)),""))))</f>
        <v/>
      </c>
      <c r="O5127" s="2">
        <f>IF(OR(F5127="",G5127=""),"",IF(G5127&lt;='RETRATO 2027'!$K$5,"CONCLUÍDA",IF(F5127&lt;='RETRATO 2027'!$K$5,"EM ANDAMENTO","A INICIAR")))</f>
        <v/>
      </c>
    </row>
    <row r="5128">
      <c r="M5128" s="2">
        <f>IF(C5128="","",IFERROR(INDEX($S$5:$S$304,MATCH(C5128,$R$5:$R$304,0))&amp;"","?"))</f>
        <v/>
      </c>
      <c r="N5128" s="2">
        <f>IF(E5128="","",IF(ISNUMBER(SEARCH("SUBSOLO",E5128)),IFERROR(-VALUE(LEFT(E5128,FIND("º",SUBSTITUTE(E5128,"°","º"))-1)),-1),IF(LEFT(E5128,6)="TÉRREO",0,IFERROR(VALUE(LEFT(E5128,FIND("º",SUBSTITUTE(E5128,"°","º"))-1)),""))))</f>
        <v/>
      </c>
      <c r="O5128" s="2">
        <f>IF(OR(F5128="",G5128=""),"",IF(G5128&lt;='RETRATO 2027'!$K$5,"CONCLUÍDA",IF(F5128&lt;='RETRATO 2027'!$K$5,"EM ANDAMENTO","A INICIAR")))</f>
        <v/>
      </c>
    </row>
    <row r="5129">
      <c r="M5129" s="2">
        <f>IF(C5129="","",IFERROR(INDEX($S$5:$S$304,MATCH(C5129,$R$5:$R$304,0))&amp;"","?"))</f>
        <v/>
      </c>
      <c r="N5129" s="2">
        <f>IF(E5129="","",IF(ISNUMBER(SEARCH("SUBSOLO",E5129)),IFERROR(-VALUE(LEFT(E5129,FIND("º",SUBSTITUTE(E5129,"°","º"))-1)),-1),IF(LEFT(E5129,6)="TÉRREO",0,IFERROR(VALUE(LEFT(E5129,FIND("º",SUBSTITUTE(E5129,"°","º"))-1)),""))))</f>
        <v/>
      </c>
      <c r="O5129" s="2">
        <f>IF(OR(F5129="",G5129=""),"",IF(G5129&lt;='RETRATO 2027'!$K$5,"CONCLUÍDA",IF(F5129&lt;='RETRATO 2027'!$K$5,"EM ANDAMENTO","A INICIAR")))</f>
        <v/>
      </c>
    </row>
    <row r="5130">
      <c r="M5130" s="2">
        <f>IF(C5130="","",IFERROR(INDEX($S$5:$S$304,MATCH(C5130,$R$5:$R$304,0))&amp;"","?"))</f>
        <v/>
      </c>
      <c r="N5130" s="2">
        <f>IF(E5130="","",IF(ISNUMBER(SEARCH("SUBSOLO",E5130)),IFERROR(-VALUE(LEFT(E5130,FIND("º",SUBSTITUTE(E5130,"°","º"))-1)),-1),IF(LEFT(E5130,6)="TÉRREO",0,IFERROR(VALUE(LEFT(E5130,FIND("º",SUBSTITUTE(E5130,"°","º"))-1)),""))))</f>
        <v/>
      </c>
      <c r="O5130" s="2">
        <f>IF(OR(F5130="",G5130=""),"",IF(G5130&lt;='RETRATO 2027'!$K$5,"CONCLUÍDA",IF(F5130&lt;='RETRATO 2027'!$K$5,"EM ANDAMENTO","A INICIAR")))</f>
        <v/>
      </c>
    </row>
    <row r="5131">
      <c r="M5131" s="2">
        <f>IF(C5131="","",IFERROR(INDEX($S$5:$S$304,MATCH(C5131,$R$5:$R$304,0))&amp;"","?"))</f>
        <v/>
      </c>
      <c r="N5131" s="2">
        <f>IF(E5131="","",IF(ISNUMBER(SEARCH("SUBSOLO",E5131)),IFERROR(-VALUE(LEFT(E5131,FIND("º",SUBSTITUTE(E5131,"°","º"))-1)),-1),IF(LEFT(E5131,6)="TÉRREO",0,IFERROR(VALUE(LEFT(E5131,FIND("º",SUBSTITUTE(E5131,"°","º"))-1)),""))))</f>
        <v/>
      </c>
      <c r="O5131" s="2">
        <f>IF(OR(F5131="",G5131=""),"",IF(G5131&lt;='RETRATO 2027'!$K$5,"CONCLUÍDA",IF(F5131&lt;='RETRATO 2027'!$K$5,"EM ANDAMENTO","A INICIAR")))</f>
        <v/>
      </c>
    </row>
    <row r="5132">
      <c r="M5132" s="2">
        <f>IF(C5132="","",IFERROR(INDEX($S$5:$S$304,MATCH(C5132,$R$5:$R$304,0))&amp;"","?"))</f>
        <v/>
      </c>
      <c r="N5132" s="2">
        <f>IF(E5132="","",IF(ISNUMBER(SEARCH("SUBSOLO",E5132)),IFERROR(-VALUE(LEFT(E5132,FIND("º",SUBSTITUTE(E5132,"°","º"))-1)),-1),IF(LEFT(E5132,6)="TÉRREO",0,IFERROR(VALUE(LEFT(E5132,FIND("º",SUBSTITUTE(E5132,"°","º"))-1)),""))))</f>
        <v/>
      </c>
      <c r="O5132" s="2">
        <f>IF(OR(F5132="",G5132=""),"",IF(G5132&lt;='RETRATO 2027'!$K$5,"CONCLUÍDA",IF(F5132&lt;='RETRATO 2027'!$K$5,"EM ANDAMENTO","A INICIAR")))</f>
        <v/>
      </c>
    </row>
    <row r="5133">
      <c r="M5133" s="2">
        <f>IF(C5133="","",IFERROR(INDEX($S$5:$S$304,MATCH(C5133,$R$5:$R$304,0))&amp;"","?"))</f>
        <v/>
      </c>
      <c r="N5133" s="2">
        <f>IF(E5133="","",IF(ISNUMBER(SEARCH("SUBSOLO",E5133)),IFERROR(-VALUE(LEFT(E5133,FIND("º",SUBSTITUTE(E5133,"°","º"))-1)),-1),IF(LEFT(E5133,6)="TÉRREO",0,IFERROR(VALUE(LEFT(E5133,FIND("º",SUBSTITUTE(E5133,"°","º"))-1)),""))))</f>
        <v/>
      </c>
      <c r="O5133" s="2">
        <f>IF(OR(F5133="",G5133=""),"",IF(G5133&lt;='RETRATO 2027'!$K$5,"CONCLUÍDA",IF(F5133&lt;='RETRATO 2027'!$K$5,"EM ANDAMENTO","A INICIAR")))</f>
        <v/>
      </c>
    </row>
    <row r="5134">
      <c r="M5134" s="2">
        <f>IF(C5134="","",IFERROR(INDEX($S$5:$S$304,MATCH(C5134,$R$5:$R$304,0))&amp;"","?"))</f>
        <v/>
      </c>
      <c r="N5134" s="2">
        <f>IF(E5134="","",IF(ISNUMBER(SEARCH("SUBSOLO",E5134)),IFERROR(-VALUE(LEFT(E5134,FIND("º",SUBSTITUTE(E5134,"°","º"))-1)),-1),IF(LEFT(E5134,6)="TÉRREO",0,IFERROR(VALUE(LEFT(E5134,FIND("º",SUBSTITUTE(E5134,"°","º"))-1)),""))))</f>
        <v/>
      </c>
      <c r="O5134" s="2">
        <f>IF(OR(F5134="",G5134=""),"",IF(G5134&lt;='RETRATO 2027'!$K$5,"CONCLUÍDA",IF(F5134&lt;='RETRATO 2027'!$K$5,"EM ANDAMENTO","A INICIAR")))</f>
        <v/>
      </c>
    </row>
    <row r="5135">
      <c r="M5135" s="2">
        <f>IF(C5135="","",IFERROR(INDEX($S$5:$S$304,MATCH(C5135,$R$5:$R$304,0))&amp;"","?"))</f>
        <v/>
      </c>
      <c r="N5135" s="2">
        <f>IF(E5135="","",IF(ISNUMBER(SEARCH("SUBSOLO",E5135)),IFERROR(-VALUE(LEFT(E5135,FIND("º",SUBSTITUTE(E5135,"°","º"))-1)),-1),IF(LEFT(E5135,6)="TÉRREO",0,IFERROR(VALUE(LEFT(E5135,FIND("º",SUBSTITUTE(E5135,"°","º"))-1)),""))))</f>
        <v/>
      </c>
      <c r="O5135" s="2">
        <f>IF(OR(F5135="",G5135=""),"",IF(G5135&lt;='RETRATO 2027'!$K$5,"CONCLUÍDA",IF(F5135&lt;='RETRATO 2027'!$K$5,"EM ANDAMENTO","A INICIAR")))</f>
        <v/>
      </c>
    </row>
    <row r="5136">
      <c r="M5136" s="2">
        <f>IF(C5136="","",IFERROR(INDEX($S$5:$S$304,MATCH(C5136,$R$5:$R$304,0))&amp;"","?"))</f>
        <v/>
      </c>
      <c r="N5136" s="2">
        <f>IF(E5136="","",IF(ISNUMBER(SEARCH("SUBSOLO",E5136)),IFERROR(-VALUE(LEFT(E5136,FIND("º",SUBSTITUTE(E5136,"°","º"))-1)),-1),IF(LEFT(E5136,6)="TÉRREO",0,IFERROR(VALUE(LEFT(E5136,FIND("º",SUBSTITUTE(E5136,"°","º"))-1)),""))))</f>
        <v/>
      </c>
      <c r="O5136" s="2">
        <f>IF(OR(F5136="",G5136=""),"",IF(G5136&lt;='RETRATO 2027'!$K$5,"CONCLUÍDA",IF(F5136&lt;='RETRATO 2027'!$K$5,"EM ANDAMENTO","A INICIAR")))</f>
        <v/>
      </c>
    </row>
    <row r="5137">
      <c r="M5137" s="2">
        <f>IF(C5137="","",IFERROR(INDEX($S$5:$S$304,MATCH(C5137,$R$5:$R$304,0))&amp;"","?"))</f>
        <v/>
      </c>
      <c r="N5137" s="2">
        <f>IF(E5137="","",IF(ISNUMBER(SEARCH("SUBSOLO",E5137)),IFERROR(-VALUE(LEFT(E5137,FIND("º",SUBSTITUTE(E5137,"°","º"))-1)),-1),IF(LEFT(E5137,6)="TÉRREO",0,IFERROR(VALUE(LEFT(E5137,FIND("º",SUBSTITUTE(E5137,"°","º"))-1)),""))))</f>
        <v/>
      </c>
      <c r="O5137" s="2">
        <f>IF(OR(F5137="",G5137=""),"",IF(G5137&lt;='RETRATO 2027'!$K$5,"CONCLUÍDA",IF(F5137&lt;='RETRATO 2027'!$K$5,"EM ANDAMENTO","A INICIAR")))</f>
        <v/>
      </c>
    </row>
    <row r="5138">
      <c r="M5138" s="2">
        <f>IF(C5138="","",IFERROR(INDEX($S$5:$S$304,MATCH(C5138,$R$5:$R$304,0))&amp;"","?"))</f>
        <v/>
      </c>
      <c r="N5138" s="2">
        <f>IF(E5138="","",IF(ISNUMBER(SEARCH("SUBSOLO",E5138)),IFERROR(-VALUE(LEFT(E5138,FIND("º",SUBSTITUTE(E5138,"°","º"))-1)),-1),IF(LEFT(E5138,6)="TÉRREO",0,IFERROR(VALUE(LEFT(E5138,FIND("º",SUBSTITUTE(E5138,"°","º"))-1)),""))))</f>
        <v/>
      </c>
      <c r="O5138" s="2">
        <f>IF(OR(F5138="",G5138=""),"",IF(G5138&lt;='RETRATO 2027'!$K$5,"CONCLUÍDA",IF(F5138&lt;='RETRATO 2027'!$K$5,"EM ANDAMENTO","A INICIAR")))</f>
        <v/>
      </c>
    </row>
    <row r="5139">
      <c r="M5139" s="2">
        <f>IF(C5139="","",IFERROR(INDEX($S$5:$S$304,MATCH(C5139,$R$5:$R$304,0))&amp;"","?"))</f>
        <v/>
      </c>
      <c r="N5139" s="2">
        <f>IF(E5139="","",IF(ISNUMBER(SEARCH("SUBSOLO",E5139)),IFERROR(-VALUE(LEFT(E5139,FIND("º",SUBSTITUTE(E5139,"°","º"))-1)),-1),IF(LEFT(E5139,6)="TÉRREO",0,IFERROR(VALUE(LEFT(E5139,FIND("º",SUBSTITUTE(E5139,"°","º"))-1)),""))))</f>
        <v/>
      </c>
      <c r="O5139" s="2">
        <f>IF(OR(F5139="",G5139=""),"",IF(G5139&lt;='RETRATO 2027'!$K$5,"CONCLUÍDA",IF(F5139&lt;='RETRATO 2027'!$K$5,"EM ANDAMENTO","A INICIAR")))</f>
        <v/>
      </c>
    </row>
    <row r="5140">
      <c r="M5140" s="2">
        <f>IF(C5140="","",IFERROR(INDEX($S$5:$S$304,MATCH(C5140,$R$5:$R$304,0))&amp;"","?"))</f>
        <v/>
      </c>
      <c r="N5140" s="2">
        <f>IF(E5140="","",IF(ISNUMBER(SEARCH("SUBSOLO",E5140)),IFERROR(-VALUE(LEFT(E5140,FIND("º",SUBSTITUTE(E5140,"°","º"))-1)),-1),IF(LEFT(E5140,6)="TÉRREO",0,IFERROR(VALUE(LEFT(E5140,FIND("º",SUBSTITUTE(E5140,"°","º"))-1)),""))))</f>
        <v/>
      </c>
      <c r="O5140" s="2">
        <f>IF(OR(F5140="",G5140=""),"",IF(G5140&lt;='RETRATO 2027'!$K$5,"CONCLUÍDA",IF(F5140&lt;='RETRATO 2027'!$K$5,"EM ANDAMENTO","A INICIAR")))</f>
        <v/>
      </c>
    </row>
    <row r="5141">
      <c r="M5141" s="2">
        <f>IF(C5141="","",IFERROR(INDEX($S$5:$S$304,MATCH(C5141,$R$5:$R$304,0))&amp;"","?"))</f>
        <v/>
      </c>
      <c r="N5141" s="2">
        <f>IF(E5141="","",IF(ISNUMBER(SEARCH("SUBSOLO",E5141)),IFERROR(-VALUE(LEFT(E5141,FIND("º",SUBSTITUTE(E5141,"°","º"))-1)),-1),IF(LEFT(E5141,6)="TÉRREO",0,IFERROR(VALUE(LEFT(E5141,FIND("º",SUBSTITUTE(E5141,"°","º"))-1)),""))))</f>
        <v/>
      </c>
      <c r="O5141" s="2">
        <f>IF(OR(F5141="",G5141=""),"",IF(G5141&lt;='RETRATO 2027'!$K$5,"CONCLUÍDA",IF(F5141&lt;='RETRATO 2027'!$K$5,"EM ANDAMENTO","A INICIAR")))</f>
        <v/>
      </c>
    </row>
    <row r="5142">
      <c r="M5142" s="2">
        <f>IF(C5142="","",IFERROR(INDEX($S$5:$S$304,MATCH(C5142,$R$5:$R$304,0))&amp;"","?"))</f>
        <v/>
      </c>
      <c r="N5142" s="2">
        <f>IF(E5142="","",IF(ISNUMBER(SEARCH("SUBSOLO",E5142)),IFERROR(-VALUE(LEFT(E5142,FIND("º",SUBSTITUTE(E5142,"°","º"))-1)),-1),IF(LEFT(E5142,6)="TÉRREO",0,IFERROR(VALUE(LEFT(E5142,FIND("º",SUBSTITUTE(E5142,"°","º"))-1)),""))))</f>
        <v/>
      </c>
      <c r="O5142" s="2">
        <f>IF(OR(F5142="",G5142=""),"",IF(G5142&lt;='RETRATO 2027'!$K$5,"CONCLUÍDA",IF(F5142&lt;='RETRATO 2027'!$K$5,"EM ANDAMENTO","A INICIAR")))</f>
        <v/>
      </c>
    </row>
    <row r="5143">
      <c r="M5143" s="2">
        <f>IF(C5143="","",IFERROR(INDEX($S$5:$S$304,MATCH(C5143,$R$5:$R$304,0))&amp;"","?"))</f>
        <v/>
      </c>
      <c r="N5143" s="2">
        <f>IF(E5143="","",IF(ISNUMBER(SEARCH("SUBSOLO",E5143)),IFERROR(-VALUE(LEFT(E5143,FIND("º",SUBSTITUTE(E5143,"°","º"))-1)),-1),IF(LEFT(E5143,6)="TÉRREO",0,IFERROR(VALUE(LEFT(E5143,FIND("º",SUBSTITUTE(E5143,"°","º"))-1)),""))))</f>
        <v/>
      </c>
      <c r="O5143" s="2">
        <f>IF(OR(F5143="",G5143=""),"",IF(G5143&lt;='RETRATO 2027'!$K$5,"CONCLUÍDA",IF(F5143&lt;='RETRATO 2027'!$K$5,"EM ANDAMENTO","A INICIAR")))</f>
        <v/>
      </c>
    </row>
    <row r="5144">
      <c r="M5144" s="2">
        <f>IF(C5144="","",IFERROR(INDEX($S$5:$S$304,MATCH(C5144,$R$5:$R$304,0))&amp;"","?"))</f>
        <v/>
      </c>
      <c r="N5144" s="2">
        <f>IF(E5144="","",IF(ISNUMBER(SEARCH("SUBSOLO",E5144)),IFERROR(-VALUE(LEFT(E5144,FIND("º",SUBSTITUTE(E5144,"°","º"))-1)),-1),IF(LEFT(E5144,6)="TÉRREO",0,IFERROR(VALUE(LEFT(E5144,FIND("º",SUBSTITUTE(E5144,"°","º"))-1)),""))))</f>
        <v/>
      </c>
      <c r="O5144" s="2">
        <f>IF(OR(F5144="",G5144=""),"",IF(G5144&lt;='RETRATO 2027'!$K$5,"CONCLUÍDA",IF(F5144&lt;='RETRATO 2027'!$K$5,"EM ANDAMENTO","A INICIAR")))</f>
        <v/>
      </c>
    </row>
    <row r="5145">
      <c r="M5145" s="2">
        <f>IF(C5145="","",IFERROR(INDEX($S$5:$S$304,MATCH(C5145,$R$5:$R$304,0))&amp;"","?"))</f>
        <v/>
      </c>
      <c r="N5145" s="2">
        <f>IF(E5145="","",IF(ISNUMBER(SEARCH("SUBSOLO",E5145)),IFERROR(-VALUE(LEFT(E5145,FIND("º",SUBSTITUTE(E5145,"°","º"))-1)),-1),IF(LEFT(E5145,6)="TÉRREO",0,IFERROR(VALUE(LEFT(E5145,FIND("º",SUBSTITUTE(E5145,"°","º"))-1)),""))))</f>
        <v/>
      </c>
      <c r="O5145" s="2">
        <f>IF(OR(F5145="",G5145=""),"",IF(G5145&lt;='RETRATO 2027'!$K$5,"CONCLUÍDA",IF(F5145&lt;='RETRATO 2027'!$K$5,"EM ANDAMENTO","A INICIAR")))</f>
        <v/>
      </c>
    </row>
    <row r="5146">
      <c r="M5146" s="2">
        <f>IF(C5146="","",IFERROR(INDEX($S$5:$S$304,MATCH(C5146,$R$5:$R$304,0))&amp;"","?"))</f>
        <v/>
      </c>
      <c r="N5146" s="2">
        <f>IF(E5146="","",IF(ISNUMBER(SEARCH("SUBSOLO",E5146)),IFERROR(-VALUE(LEFT(E5146,FIND("º",SUBSTITUTE(E5146,"°","º"))-1)),-1),IF(LEFT(E5146,6)="TÉRREO",0,IFERROR(VALUE(LEFT(E5146,FIND("º",SUBSTITUTE(E5146,"°","º"))-1)),""))))</f>
        <v/>
      </c>
      <c r="O5146" s="2">
        <f>IF(OR(F5146="",G5146=""),"",IF(G5146&lt;='RETRATO 2027'!$K$5,"CONCLUÍDA",IF(F5146&lt;='RETRATO 2027'!$K$5,"EM ANDAMENTO","A INICIAR")))</f>
        <v/>
      </c>
    </row>
    <row r="5147">
      <c r="M5147" s="2">
        <f>IF(C5147="","",IFERROR(INDEX($S$5:$S$304,MATCH(C5147,$R$5:$R$304,0))&amp;"","?"))</f>
        <v/>
      </c>
      <c r="N5147" s="2">
        <f>IF(E5147="","",IF(ISNUMBER(SEARCH("SUBSOLO",E5147)),IFERROR(-VALUE(LEFT(E5147,FIND("º",SUBSTITUTE(E5147,"°","º"))-1)),-1),IF(LEFT(E5147,6)="TÉRREO",0,IFERROR(VALUE(LEFT(E5147,FIND("º",SUBSTITUTE(E5147,"°","º"))-1)),""))))</f>
        <v/>
      </c>
      <c r="O5147" s="2">
        <f>IF(OR(F5147="",G5147=""),"",IF(G5147&lt;='RETRATO 2027'!$K$5,"CONCLUÍDA",IF(F5147&lt;='RETRATO 2027'!$K$5,"EM ANDAMENTO","A INICIAR")))</f>
        <v/>
      </c>
    </row>
    <row r="5148">
      <c r="M5148" s="2">
        <f>IF(C5148="","",IFERROR(INDEX($S$5:$S$304,MATCH(C5148,$R$5:$R$304,0))&amp;"","?"))</f>
        <v/>
      </c>
      <c r="N5148" s="2">
        <f>IF(E5148="","",IF(ISNUMBER(SEARCH("SUBSOLO",E5148)),IFERROR(-VALUE(LEFT(E5148,FIND("º",SUBSTITUTE(E5148,"°","º"))-1)),-1),IF(LEFT(E5148,6)="TÉRREO",0,IFERROR(VALUE(LEFT(E5148,FIND("º",SUBSTITUTE(E5148,"°","º"))-1)),""))))</f>
        <v/>
      </c>
      <c r="O5148" s="2">
        <f>IF(OR(F5148="",G5148=""),"",IF(G5148&lt;='RETRATO 2027'!$K$5,"CONCLUÍDA",IF(F5148&lt;='RETRATO 2027'!$K$5,"EM ANDAMENTO","A INICIAR")))</f>
        <v/>
      </c>
    </row>
    <row r="5149">
      <c r="M5149" s="2">
        <f>IF(C5149="","",IFERROR(INDEX($S$5:$S$304,MATCH(C5149,$R$5:$R$304,0))&amp;"","?"))</f>
        <v/>
      </c>
      <c r="N5149" s="2">
        <f>IF(E5149="","",IF(ISNUMBER(SEARCH("SUBSOLO",E5149)),IFERROR(-VALUE(LEFT(E5149,FIND("º",SUBSTITUTE(E5149,"°","º"))-1)),-1),IF(LEFT(E5149,6)="TÉRREO",0,IFERROR(VALUE(LEFT(E5149,FIND("º",SUBSTITUTE(E5149,"°","º"))-1)),""))))</f>
        <v/>
      </c>
      <c r="O5149" s="2">
        <f>IF(OR(F5149="",G5149=""),"",IF(G5149&lt;='RETRATO 2027'!$K$5,"CONCLUÍDA",IF(F5149&lt;='RETRATO 2027'!$K$5,"EM ANDAMENTO","A INICIAR")))</f>
        <v/>
      </c>
    </row>
    <row r="5150">
      <c r="M5150" s="2">
        <f>IF(C5150="","",IFERROR(INDEX($S$5:$S$304,MATCH(C5150,$R$5:$R$304,0))&amp;"","?"))</f>
        <v/>
      </c>
      <c r="N5150" s="2">
        <f>IF(E5150="","",IF(ISNUMBER(SEARCH("SUBSOLO",E5150)),IFERROR(-VALUE(LEFT(E5150,FIND("º",SUBSTITUTE(E5150,"°","º"))-1)),-1),IF(LEFT(E5150,6)="TÉRREO",0,IFERROR(VALUE(LEFT(E5150,FIND("º",SUBSTITUTE(E5150,"°","º"))-1)),""))))</f>
        <v/>
      </c>
      <c r="O5150" s="2">
        <f>IF(OR(F5150="",G5150=""),"",IF(G5150&lt;='RETRATO 2027'!$K$5,"CONCLUÍDA",IF(F5150&lt;='RETRATO 2027'!$K$5,"EM ANDAMENTO","A INICIAR")))</f>
        <v/>
      </c>
    </row>
    <row r="5151">
      <c r="M5151" s="2">
        <f>IF(C5151="","",IFERROR(INDEX($S$5:$S$304,MATCH(C5151,$R$5:$R$304,0))&amp;"","?"))</f>
        <v/>
      </c>
      <c r="N5151" s="2">
        <f>IF(E5151="","",IF(ISNUMBER(SEARCH("SUBSOLO",E5151)),IFERROR(-VALUE(LEFT(E5151,FIND("º",SUBSTITUTE(E5151,"°","º"))-1)),-1),IF(LEFT(E5151,6)="TÉRREO",0,IFERROR(VALUE(LEFT(E5151,FIND("º",SUBSTITUTE(E5151,"°","º"))-1)),""))))</f>
        <v/>
      </c>
      <c r="O5151" s="2">
        <f>IF(OR(F5151="",G5151=""),"",IF(G5151&lt;='RETRATO 2027'!$K$5,"CONCLUÍDA",IF(F5151&lt;='RETRATO 2027'!$K$5,"EM ANDAMENTO","A INICIAR")))</f>
        <v/>
      </c>
    </row>
    <row r="5152">
      <c r="M5152" s="2">
        <f>IF(C5152="","",IFERROR(INDEX($S$5:$S$304,MATCH(C5152,$R$5:$R$304,0))&amp;"","?"))</f>
        <v/>
      </c>
      <c r="N5152" s="2">
        <f>IF(E5152="","",IF(ISNUMBER(SEARCH("SUBSOLO",E5152)),IFERROR(-VALUE(LEFT(E5152,FIND("º",SUBSTITUTE(E5152,"°","º"))-1)),-1),IF(LEFT(E5152,6)="TÉRREO",0,IFERROR(VALUE(LEFT(E5152,FIND("º",SUBSTITUTE(E5152,"°","º"))-1)),""))))</f>
        <v/>
      </c>
      <c r="O5152" s="2">
        <f>IF(OR(F5152="",G5152=""),"",IF(G5152&lt;='RETRATO 2027'!$K$5,"CONCLUÍDA",IF(F5152&lt;='RETRATO 2027'!$K$5,"EM ANDAMENTO","A INICIAR")))</f>
        <v/>
      </c>
    </row>
    <row r="5153">
      <c r="M5153" s="2">
        <f>IF(C5153="","",IFERROR(INDEX($S$5:$S$304,MATCH(C5153,$R$5:$R$304,0))&amp;"","?"))</f>
        <v/>
      </c>
      <c r="N5153" s="2">
        <f>IF(E5153="","",IF(ISNUMBER(SEARCH("SUBSOLO",E5153)),IFERROR(-VALUE(LEFT(E5153,FIND("º",SUBSTITUTE(E5153,"°","º"))-1)),-1),IF(LEFT(E5153,6)="TÉRREO",0,IFERROR(VALUE(LEFT(E5153,FIND("º",SUBSTITUTE(E5153,"°","º"))-1)),""))))</f>
        <v/>
      </c>
      <c r="O5153" s="2">
        <f>IF(OR(F5153="",G5153=""),"",IF(G5153&lt;='RETRATO 2027'!$K$5,"CONCLUÍDA",IF(F5153&lt;='RETRATO 2027'!$K$5,"EM ANDAMENTO","A INICIAR")))</f>
        <v/>
      </c>
    </row>
    <row r="5154">
      <c r="M5154" s="2">
        <f>IF(C5154="","",IFERROR(INDEX($S$5:$S$304,MATCH(C5154,$R$5:$R$304,0))&amp;"","?"))</f>
        <v/>
      </c>
      <c r="N5154" s="2">
        <f>IF(E5154="","",IF(ISNUMBER(SEARCH("SUBSOLO",E5154)),IFERROR(-VALUE(LEFT(E5154,FIND("º",SUBSTITUTE(E5154,"°","º"))-1)),-1),IF(LEFT(E5154,6)="TÉRREO",0,IFERROR(VALUE(LEFT(E5154,FIND("º",SUBSTITUTE(E5154,"°","º"))-1)),""))))</f>
        <v/>
      </c>
      <c r="O5154" s="2">
        <f>IF(OR(F5154="",G5154=""),"",IF(G5154&lt;='RETRATO 2027'!$K$5,"CONCLUÍDA",IF(F5154&lt;='RETRATO 2027'!$K$5,"EM ANDAMENTO","A INICIAR")))</f>
        <v/>
      </c>
    </row>
    <row r="5155">
      <c r="M5155" s="2">
        <f>IF(C5155="","",IFERROR(INDEX($S$5:$S$304,MATCH(C5155,$R$5:$R$304,0))&amp;"","?"))</f>
        <v/>
      </c>
      <c r="N5155" s="2">
        <f>IF(E5155="","",IF(ISNUMBER(SEARCH("SUBSOLO",E5155)),IFERROR(-VALUE(LEFT(E5155,FIND("º",SUBSTITUTE(E5155,"°","º"))-1)),-1),IF(LEFT(E5155,6)="TÉRREO",0,IFERROR(VALUE(LEFT(E5155,FIND("º",SUBSTITUTE(E5155,"°","º"))-1)),""))))</f>
        <v/>
      </c>
      <c r="O5155" s="2">
        <f>IF(OR(F5155="",G5155=""),"",IF(G5155&lt;='RETRATO 2027'!$K$5,"CONCLUÍDA",IF(F5155&lt;='RETRATO 2027'!$K$5,"EM ANDAMENTO","A INICIAR")))</f>
        <v/>
      </c>
    </row>
    <row r="5156">
      <c r="M5156" s="2">
        <f>IF(C5156="","",IFERROR(INDEX($S$5:$S$304,MATCH(C5156,$R$5:$R$304,0))&amp;"","?"))</f>
        <v/>
      </c>
      <c r="N5156" s="2">
        <f>IF(E5156="","",IF(ISNUMBER(SEARCH("SUBSOLO",E5156)),IFERROR(-VALUE(LEFT(E5156,FIND("º",SUBSTITUTE(E5156,"°","º"))-1)),-1),IF(LEFT(E5156,6)="TÉRREO",0,IFERROR(VALUE(LEFT(E5156,FIND("º",SUBSTITUTE(E5156,"°","º"))-1)),""))))</f>
        <v/>
      </c>
      <c r="O5156" s="2">
        <f>IF(OR(F5156="",G5156=""),"",IF(G5156&lt;='RETRATO 2027'!$K$5,"CONCLUÍDA",IF(F5156&lt;='RETRATO 2027'!$K$5,"EM ANDAMENTO","A INICIAR")))</f>
        <v/>
      </c>
    </row>
    <row r="5157">
      <c r="M5157" s="2">
        <f>IF(C5157="","",IFERROR(INDEX($S$5:$S$304,MATCH(C5157,$R$5:$R$304,0))&amp;"","?"))</f>
        <v/>
      </c>
      <c r="N5157" s="2">
        <f>IF(E5157="","",IF(ISNUMBER(SEARCH("SUBSOLO",E5157)),IFERROR(-VALUE(LEFT(E5157,FIND("º",SUBSTITUTE(E5157,"°","º"))-1)),-1),IF(LEFT(E5157,6)="TÉRREO",0,IFERROR(VALUE(LEFT(E5157,FIND("º",SUBSTITUTE(E5157,"°","º"))-1)),""))))</f>
        <v/>
      </c>
      <c r="O5157" s="2">
        <f>IF(OR(F5157="",G5157=""),"",IF(G5157&lt;='RETRATO 2027'!$K$5,"CONCLUÍDA",IF(F5157&lt;='RETRATO 2027'!$K$5,"EM ANDAMENTO","A INICIAR")))</f>
        <v/>
      </c>
    </row>
    <row r="5158">
      <c r="M5158" s="2">
        <f>IF(C5158="","",IFERROR(INDEX($S$5:$S$304,MATCH(C5158,$R$5:$R$304,0))&amp;"","?"))</f>
        <v/>
      </c>
      <c r="N5158" s="2">
        <f>IF(E5158="","",IF(ISNUMBER(SEARCH("SUBSOLO",E5158)),IFERROR(-VALUE(LEFT(E5158,FIND("º",SUBSTITUTE(E5158,"°","º"))-1)),-1),IF(LEFT(E5158,6)="TÉRREO",0,IFERROR(VALUE(LEFT(E5158,FIND("º",SUBSTITUTE(E5158,"°","º"))-1)),""))))</f>
        <v/>
      </c>
      <c r="O5158" s="2">
        <f>IF(OR(F5158="",G5158=""),"",IF(G5158&lt;='RETRATO 2027'!$K$5,"CONCLUÍDA",IF(F5158&lt;='RETRATO 2027'!$K$5,"EM ANDAMENTO","A INICIAR")))</f>
        <v/>
      </c>
    </row>
    <row r="5159">
      <c r="M5159" s="2">
        <f>IF(C5159="","",IFERROR(INDEX($S$5:$S$304,MATCH(C5159,$R$5:$R$304,0))&amp;"","?"))</f>
        <v/>
      </c>
      <c r="N5159" s="2">
        <f>IF(E5159="","",IF(ISNUMBER(SEARCH("SUBSOLO",E5159)),IFERROR(-VALUE(LEFT(E5159,FIND("º",SUBSTITUTE(E5159,"°","º"))-1)),-1),IF(LEFT(E5159,6)="TÉRREO",0,IFERROR(VALUE(LEFT(E5159,FIND("º",SUBSTITUTE(E5159,"°","º"))-1)),""))))</f>
        <v/>
      </c>
      <c r="O5159" s="2">
        <f>IF(OR(F5159="",G5159=""),"",IF(G5159&lt;='RETRATO 2027'!$K$5,"CONCLUÍDA",IF(F5159&lt;='RETRATO 2027'!$K$5,"EM ANDAMENTO","A INICIAR")))</f>
        <v/>
      </c>
    </row>
    <row r="5160">
      <c r="M5160" s="2">
        <f>IF(C5160="","",IFERROR(INDEX($S$5:$S$304,MATCH(C5160,$R$5:$R$304,0))&amp;"","?"))</f>
        <v/>
      </c>
      <c r="N5160" s="2">
        <f>IF(E5160="","",IF(ISNUMBER(SEARCH("SUBSOLO",E5160)),IFERROR(-VALUE(LEFT(E5160,FIND("º",SUBSTITUTE(E5160,"°","º"))-1)),-1),IF(LEFT(E5160,6)="TÉRREO",0,IFERROR(VALUE(LEFT(E5160,FIND("º",SUBSTITUTE(E5160,"°","º"))-1)),""))))</f>
        <v/>
      </c>
      <c r="O5160" s="2">
        <f>IF(OR(F5160="",G5160=""),"",IF(G5160&lt;='RETRATO 2027'!$K$5,"CONCLUÍDA",IF(F5160&lt;='RETRATO 2027'!$K$5,"EM ANDAMENTO","A INICIAR")))</f>
        <v/>
      </c>
    </row>
    <row r="5161">
      <c r="M5161" s="2">
        <f>IF(C5161="","",IFERROR(INDEX($S$5:$S$304,MATCH(C5161,$R$5:$R$304,0))&amp;"","?"))</f>
        <v/>
      </c>
      <c r="N5161" s="2">
        <f>IF(E5161="","",IF(ISNUMBER(SEARCH("SUBSOLO",E5161)),IFERROR(-VALUE(LEFT(E5161,FIND("º",SUBSTITUTE(E5161,"°","º"))-1)),-1),IF(LEFT(E5161,6)="TÉRREO",0,IFERROR(VALUE(LEFT(E5161,FIND("º",SUBSTITUTE(E5161,"°","º"))-1)),""))))</f>
        <v/>
      </c>
      <c r="O5161" s="2">
        <f>IF(OR(F5161="",G5161=""),"",IF(G5161&lt;='RETRATO 2027'!$K$5,"CONCLUÍDA",IF(F5161&lt;='RETRATO 2027'!$K$5,"EM ANDAMENTO","A INICIAR")))</f>
        <v/>
      </c>
    </row>
    <row r="5162">
      <c r="M5162" s="2">
        <f>IF(C5162="","",IFERROR(INDEX($S$5:$S$304,MATCH(C5162,$R$5:$R$304,0))&amp;"","?"))</f>
        <v/>
      </c>
      <c r="N5162" s="2">
        <f>IF(E5162="","",IF(ISNUMBER(SEARCH("SUBSOLO",E5162)),IFERROR(-VALUE(LEFT(E5162,FIND("º",SUBSTITUTE(E5162,"°","º"))-1)),-1),IF(LEFT(E5162,6)="TÉRREO",0,IFERROR(VALUE(LEFT(E5162,FIND("º",SUBSTITUTE(E5162,"°","º"))-1)),""))))</f>
        <v/>
      </c>
      <c r="O5162" s="2">
        <f>IF(OR(F5162="",G5162=""),"",IF(G5162&lt;='RETRATO 2027'!$K$5,"CONCLUÍDA",IF(F5162&lt;='RETRATO 2027'!$K$5,"EM ANDAMENTO","A INICIAR")))</f>
        <v/>
      </c>
    </row>
    <row r="5163">
      <c r="M5163" s="2">
        <f>IF(C5163="","",IFERROR(INDEX($S$5:$S$304,MATCH(C5163,$R$5:$R$304,0))&amp;"","?"))</f>
        <v/>
      </c>
      <c r="N5163" s="2">
        <f>IF(E5163="","",IF(ISNUMBER(SEARCH("SUBSOLO",E5163)),IFERROR(-VALUE(LEFT(E5163,FIND("º",SUBSTITUTE(E5163,"°","º"))-1)),-1),IF(LEFT(E5163,6)="TÉRREO",0,IFERROR(VALUE(LEFT(E5163,FIND("º",SUBSTITUTE(E5163,"°","º"))-1)),""))))</f>
        <v/>
      </c>
      <c r="O5163" s="2">
        <f>IF(OR(F5163="",G5163=""),"",IF(G5163&lt;='RETRATO 2027'!$K$5,"CONCLUÍDA",IF(F5163&lt;='RETRATO 2027'!$K$5,"EM ANDAMENTO","A INICIAR")))</f>
        <v/>
      </c>
    </row>
    <row r="5164">
      <c r="M5164" s="2">
        <f>IF(C5164="","",IFERROR(INDEX($S$5:$S$304,MATCH(C5164,$R$5:$R$304,0))&amp;"","?"))</f>
        <v/>
      </c>
      <c r="N5164" s="2">
        <f>IF(E5164="","",IF(ISNUMBER(SEARCH("SUBSOLO",E5164)),IFERROR(-VALUE(LEFT(E5164,FIND("º",SUBSTITUTE(E5164,"°","º"))-1)),-1),IF(LEFT(E5164,6)="TÉRREO",0,IFERROR(VALUE(LEFT(E5164,FIND("º",SUBSTITUTE(E5164,"°","º"))-1)),""))))</f>
        <v/>
      </c>
      <c r="O5164" s="2">
        <f>IF(OR(F5164="",G5164=""),"",IF(G5164&lt;='RETRATO 2027'!$K$5,"CONCLUÍDA",IF(F5164&lt;='RETRATO 2027'!$K$5,"EM ANDAMENTO","A INICIAR")))</f>
        <v/>
      </c>
    </row>
    <row r="5165">
      <c r="M5165" s="2">
        <f>IF(C5165="","",IFERROR(INDEX($S$5:$S$304,MATCH(C5165,$R$5:$R$304,0))&amp;"","?"))</f>
        <v/>
      </c>
      <c r="N5165" s="2">
        <f>IF(E5165="","",IF(ISNUMBER(SEARCH("SUBSOLO",E5165)),IFERROR(-VALUE(LEFT(E5165,FIND("º",SUBSTITUTE(E5165,"°","º"))-1)),-1),IF(LEFT(E5165,6)="TÉRREO",0,IFERROR(VALUE(LEFT(E5165,FIND("º",SUBSTITUTE(E5165,"°","º"))-1)),""))))</f>
        <v/>
      </c>
      <c r="O5165" s="2">
        <f>IF(OR(F5165="",G5165=""),"",IF(G5165&lt;='RETRATO 2027'!$K$5,"CONCLUÍDA",IF(F5165&lt;='RETRATO 2027'!$K$5,"EM ANDAMENTO","A INICIAR")))</f>
        <v/>
      </c>
    </row>
    <row r="5166">
      <c r="M5166" s="2">
        <f>IF(C5166="","",IFERROR(INDEX($S$5:$S$304,MATCH(C5166,$R$5:$R$304,0))&amp;"","?"))</f>
        <v/>
      </c>
      <c r="N5166" s="2">
        <f>IF(E5166="","",IF(ISNUMBER(SEARCH("SUBSOLO",E5166)),IFERROR(-VALUE(LEFT(E5166,FIND("º",SUBSTITUTE(E5166,"°","º"))-1)),-1),IF(LEFT(E5166,6)="TÉRREO",0,IFERROR(VALUE(LEFT(E5166,FIND("º",SUBSTITUTE(E5166,"°","º"))-1)),""))))</f>
        <v/>
      </c>
      <c r="O5166" s="2">
        <f>IF(OR(F5166="",G5166=""),"",IF(G5166&lt;='RETRATO 2027'!$K$5,"CONCLUÍDA",IF(F5166&lt;='RETRATO 2027'!$K$5,"EM ANDAMENTO","A INICIAR")))</f>
        <v/>
      </c>
    </row>
    <row r="5167">
      <c r="M5167" s="2">
        <f>IF(C5167="","",IFERROR(INDEX($S$5:$S$304,MATCH(C5167,$R$5:$R$304,0))&amp;"","?"))</f>
        <v/>
      </c>
      <c r="N5167" s="2">
        <f>IF(E5167="","",IF(ISNUMBER(SEARCH("SUBSOLO",E5167)),IFERROR(-VALUE(LEFT(E5167,FIND("º",SUBSTITUTE(E5167,"°","º"))-1)),-1),IF(LEFT(E5167,6)="TÉRREO",0,IFERROR(VALUE(LEFT(E5167,FIND("º",SUBSTITUTE(E5167,"°","º"))-1)),""))))</f>
        <v/>
      </c>
      <c r="O5167" s="2">
        <f>IF(OR(F5167="",G5167=""),"",IF(G5167&lt;='RETRATO 2027'!$K$5,"CONCLUÍDA",IF(F5167&lt;='RETRATO 2027'!$K$5,"EM ANDAMENTO","A INICIAR")))</f>
        <v/>
      </c>
    </row>
    <row r="5168">
      <c r="M5168" s="2">
        <f>IF(C5168="","",IFERROR(INDEX($S$5:$S$304,MATCH(C5168,$R$5:$R$304,0))&amp;"","?"))</f>
        <v/>
      </c>
      <c r="N5168" s="2">
        <f>IF(E5168="","",IF(ISNUMBER(SEARCH("SUBSOLO",E5168)),IFERROR(-VALUE(LEFT(E5168,FIND("º",SUBSTITUTE(E5168,"°","º"))-1)),-1),IF(LEFT(E5168,6)="TÉRREO",0,IFERROR(VALUE(LEFT(E5168,FIND("º",SUBSTITUTE(E5168,"°","º"))-1)),""))))</f>
        <v/>
      </c>
      <c r="O5168" s="2">
        <f>IF(OR(F5168="",G5168=""),"",IF(G5168&lt;='RETRATO 2027'!$K$5,"CONCLUÍDA",IF(F5168&lt;='RETRATO 2027'!$K$5,"EM ANDAMENTO","A INICIAR")))</f>
        <v/>
      </c>
    </row>
    <row r="5169">
      <c r="M5169" s="2">
        <f>IF(C5169="","",IFERROR(INDEX($S$5:$S$304,MATCH(C5169,$R$5:$R$304,0))&amp;"","?"))</f>
        <v/>
      </c>
      <c r="N5169" s="2">
        <f>IF(E5169="","",IF(ISNUMBER(SEARCH("SUBSOLO",E5169)),IFERROR(-VALUE(LEFT(E5169,FIND("º",SUBSTITUTE(E5169,"°","º"))-1)),-1),IF(LEFT(E5169,6)="TÉRREO",0,IFERROR(VALUE(LEFT(E5169,FIND("º",SUBSTITUTE(E5169,"°","º"))-1)),""))))</f>
        <v/>
      </c>
      <c r="O5169" s="2">
        <f>IF(OR(F5169="",G5169=""),"",IF(G5169&lt;='RETRATO 2027'!$K$5,"CONCLUÍDA",IF(F5169&lt;='RETRATO 2027'!$K$5,"EM ANDAMENTO","A INICIAR")))</f>
        <v/>
      </c>
    </row>
    <row r="5170">
      <c r="M5170" s="2">
        <f>IF(C5170="","",IFERROR(INDEX($S$5:$S$304,MATCH(C5170,$R$5:$R$304,0))&amp;"","?"))</f>
        <v/>
      </c>
      <c r="N5170" s="2">
        <f>IF(E5170="","",IF(ISNUMBER(SEARCH("SUBSOLO",E5170)),IFERROR(-VALUE(LEFT(E5170,FIND("º",SUBSTITUTE(E5170,"°","º"))-1)),-1),IF(LEFT(E5170,6)="TÉRREO",0,IFERROR(VALUE(LEFT(E5170,FIND("º",SUBSTITUTE(E5170,"°","º"))-1)),""))))</f>
        <v/>
      </c>
      <c r="O5170" s="2">
        <f>IF(OR(F5170="",G5170=""),"",IF(G5170&lt;='RETRATO 2027'!$K$5,"CONCLUÍDA",IF(F5170&lt;='RETRATO 2027'!$K$5,"EM ANDAMENTO","A INICIAR")))</f>
        <v/>
      </c>
    </row>
    <row r="5171">
      <c r="M5171" s="2">
        <f>IF(C5171="","",IFERROR(INDEX($S$5:$S$304,MATCH(C5171,$R$5:$R$304,0))&amp;"","?"))</f>
        <v/>
      </c>
      <c r="N5171" s="2">
        <f>IF(E5171="","",IF(ISNUMBER(SEARCH("SUBSOLO",E5171)),IFERROR(-VALUE(LEFT(E5171,FIND("º",SUBSTITUTE(E5171,"°","º"))-1)),-1),IF(LEFT(E5171,6)="TÉRREO",0,IFERROR(VALUE(LEFT(E5171,FIND("º",SUBSTITUTE(E5171,"°","º"))-1)),""))))</f>
        <v/>
      </c>
      <c r="O5171" s="2">
        <f>IF(OR(F5171="",G5171=""),"",IF(G5171&lt;='RETRATO 2027'!$K$5,"CONCLUÍDA",IF(F5171&lt;='RETRATO 2027'!$K$5,"EM ANDAMENTO","A INICIAR")))</f>
        <v/>
      </c>
    </row>
    <row r="5172">
      <c r="M5172" s="2">
        <f>IF(C5172="","",IFERROR(INDEX($S$5:$S$304,MATCH(C5172,$R$5:$R$304,0))&amp;"","?"))</f>
        <v/>
      </c>
      <c r="N5172" s="2">
        <f>IF(E5172="","",IF(ISNUMBER(SEARCH("SUBSOLO",E5172)),IFERROR(-VALUE(LEFT(E5172,FIND("º",SUBSTITUTE(E5172,"°","º"))-1)),-1),IF(LEFT(E5172,6)="TÉRREO",0,IFERROR(VALUE(LEFT(E5172,FIND("º",SUBSTITUTE(E5172,"°","º"))-1)),""))))</f>
        <v/>
      </c>
      <c r="O5172" s="2">
        <f>IF(OR(F5172="",G5172=""),"",IF(G5172&lt;='RETRATO 2027'!$K$5,"CONCLUÍDA",IF(F5172&lt;='RETRATO 2027'!$K$5,"EM ANDAMENTO","A INICIAR")))</f>
        <v/>
      </c>
    </row>
    <row r="5173">
      <c r="M5173" s="2">
        <f>IF(C5173="","",IFERROR(INDEX($S$5:$S$304,MATCH(C5173,$R$5:$R$304,0))&amp;"","?"))</f>
        <v/>
      </c>
      <c r="N5173" s="2">
        <f>IF(E5173="","",IF(ISNUMBER(SEARCH("SUBSOLO",E5173)),IFERROR(-VALUE(LEFT(E5173,FIND("º",SUBSTITUTE(E5173,"°","º"))-1)),-1),IF(LEFT(E5173,6)="TÉRREO",0,IFERROR(VALUE(LEFT(E5173,FIND("º",SUBSTITUTE(E5173,"°","º"))-1)),""))))</f>
        <v/>
      </c>
      <c r="O5173" s="2">
        <f>IF(OR(F5173="",G5173=""),"",IF(G5173&lt;='RETRATO 2027'!$K$5,"CONCLUÍDA",IF(F5173&lt;='RETRATO 2027'!$K$5,"EM ANDAMENTO","A INICIAR")))</f>
        <v/>
      </c>
    </row>
    <row r="5174">
      <c r="M5174" s="2">
        <f>IF(C5174="","",IFERROR(INDEX($S$5:$S$304,MATCH(C5174,$R$5:$R$304,0))&amp;"","?"))</f>
        <v/>
      </c>
      <c r="N5174" s="2">
        <f>IF(E5174="","",IF(ISNUMBER(SEARCH("SUBSOLO",E5174)),IFERROR(-VALUE(LEFT(E5174,FIND("º",SUBSTITUTE(E5174,"°","º"))-1)),-1),IF(LEFT(E5174,6)="TÉRREO",0,IFERROR(VALUE(LEFT(E5174,FIND("º",SUBSTITUTE(E5174,"°","º"))-1)),""))))</f>
        <v/>
      </c>
      <c r="O5174" s="2">
        <f>IF(OR(F5174="",G5174=""),"",IF(G5174&lt;='RETRATO 2027'!$K$5,"CONCLUÍDA",IF(F5174&lt;='RETRATO 2027'!$K$5,"EM ANDAMENTO","A INICIAR")))</f>
        <v/>
      </c>
    </row>
    <row r="5175">
      <c r="M5175" s="2">
        <f>IF(C5175="","",IFERROR(INDEX($S$5:$S$304,MATCH(C5175,$R$5:$R$304,0))&amp;"","?"))</f>
        <v/>
      </c>
      <c r="N5175" s="2">
        <f>IF(E5175="","",IF(ISNUMBER(SEARCH("SUBSOLO",E5175)),IFERROR(-VALUE(LEFT(E5175,FIND("º",SUBSTITUTE(E5175,"°","º"))-1)),-1),IF(LEFT(E5175,6)="TÉRREO",0,IFERROR(VALUE(LEFT(E5175,FIND("º",SUBSTITUTE(E5175,"°","º"))-1)),""))))</f>
        <v/>
      </c>
      <c r="O5175" s="2">
        <f>IF(OR(F5175="",G5175=""),"",IF(G5175&lt;='RETRATO 2027'!$K$5,"CONCLUÍDA",IF(F5175&lt;='RETRATO 2027'!$K$5,"EM ANDAMENTO","A INICIAR")))</f>
        <v/>
      </c>
    </row>
    <row r="5176">
      <c r="M5176" s="2">
        <f>IF(C5176="","",IFERROR(INDEX($S$5:$S$304,MATCH(C5176,$R$5:$R$304,0))&amp;"","?"))</f>
        <v/>
      </c>
      <c r="N5176" s="2">
        <f>IF(E5176="","",IF(ISNUMBER(SEARCH("SUBSOLO",E5176)),IFERROR(-VALUE(LEFT(E5176,FIND("º",SUBSTITUTE(E5176,"°","º"))-1)),-1),IF(LEFT(E5176,6)="TÉRREO",0,IFERROR(VALUE(LEFT(E5176,FIND("º",SUBSTITUTE(E5176,"°","º"))-1)),""))))</f>
        <v/>
      </c>
      <c r="O5176" s="2">
        <f>IF(OR(F5176="",G5176=""),"",IF(G5176&lt;='RETRATO 2027'!$K$5,"CONCLUÍDA",IF(F5176&lt;='RETRATO 2027'!$K$5,"EM ANDAMENTO","A INICIAR")))</f>
        <v/>
      </c>
    </row>
    <row r="5177">
      <c r="M5177" s="2">
        <f>IF(C5177="","",IFERROR(INDEX($S$5:$S$304,MATCH(C5177,$R$5:$R$304,0))&amp;"","?"))</f>
        <v/>
      </c>
      <c r="N5177" s="2">
        <f>IF(E5177="","",IF(ISNUMBER(SEARCH("SUBSOLO",E5177)),IFERROR(-VALUE(LEFT(E5177,FIND("º",SUBSTITUTE(E5177,"°","º"))-1)),-1),IF(LEFT(E5177,6)="TÉRREO",0,IFERROR(VALUE(LEFT(E5177,FIND("º",SUBSTITUTE(E5177,"°","º"))-1)),""))))</f>
        <v/>
      </c>
      <c r="O5177" s="2">
        <f>IF(OR(F5177="",G5177=""),"",IF(G5177&lt;='RETRATO 2027'!$K$5,"CONCLUÍDA",IF(F5177&lt;='RETRATO 2027'!$K$5,"EM ANDAMENTO","A INICIAR")))</f>
        <v/>
      </c>
    </row>
    <row r="5178">
      <c r="M5178" s="2">
        <f>IF(C5178="","",IFERROR(INDEX($S$5:$S$304,MATCH(C5178,$R$5:$R$304,0))&amp;"","?"))</f>
        <v/>
      </c>
      <c r="N5178" s="2">
        <f>IF(E5178="","",IF(ISNUMBER(SEARCH("SUBSOLO",E5178)),IFERROR(-VALUE(LEFT(E5178,FIND("º",SUBSTITUTE(E5178,"°","º"))-1)),-1),IF(LEFT(E5178,6)="TÉRREO",0,IFERROR(VALUE(LEFT(E5178,FIND("º",SUBSTITUTE(E5178,"°","º"))-1)),""))))</f>
        <v/>
      </c>
      <c r="O5178" s="2">
        <f>IF(OR(F5178="",G5178=""),"",IF(G5178&lt;='RETRATO 2027'!$K$5,"CONCLUÍDA",IF(F5178&lt;='RETRATO 2027'!$K$5,"EM ANDAMENTO","A INICIAR")))</f>
        <v/>
      </c>
    </row>
    <row r="5179">
      <c r="M5179" s="2">
        <f>IF(C5179="","",IFERROR(INDEX($S$5:$S$304,MATCH(C5179,$R$5:$R$304,0))&amp;"","?"))</f>
        <v/>
      </c>
      <c r="N5179" s="2">
        <f>IF(E5179="","",IF(ISNUMBER(SEARCH("SUBSOLO",E5179)),IFERROR(-VALUE(LEFT(E5179,FIND("º",SUBSTITUTE(E5179,"°","º"))-1)),-1),IF(LEFT(E5179,6)="TÉRREO",0,IFERROR(VALUE(LEFT(E5179,FIND("º",SUBSTITUTE(E5179,"°","º"))-1)),""))))</f>
        <v/>
      </c>
      <c r="O5179" s="2">
        <f>IF(OR(F5179="",G5179=""),"",IF(G5179&lt;='RETRATO 2027'!$K$5,"CONCLUÍDA",IF(F5179&lt;='RETRATO 2027'!$K$5,"EM ANDAMENTO","A INICIAR")))</f>
        <v/>
      </c>
    </row>
    <row r="5180">
      <c r="M5180" s="2">
        <f>IF(C5180="","",IFERROR(INDEX($S$5:$S$304,MATCH(C5180,$R$5:$R$304,0))&amp;"","?"))</f>
        <v/>
      </c>
      <c r="N5180" s="2">
        <f>IF(E5180="","",IF(ISNUMBER(SEARCH("SUBSOLO",E5180)),IFERROR(-VALUE(LEFT(E5180,FIND("º",SUBSTITUTE(E5180,"°","º"))-1)),-1),IF(LEFT(E5180,6)="TÉRREO",0,IFERROR(VALUE(LEFT(E5180,FIND("º",SUBSTITUTE(E5180,"°","º"))-1)),""))))</f>
        <v/>
      </c>
      <c r="O5180" s="2">
        <f>IF(OR(F5180="",G5180=""),"",IF(G5180&lt;='RETRATO 2027'!$K$5,"CONCLUÍDA",IF(F5180&lt;='RETRATO 2027'!$K$5,"EM ANDAMENTO","A INICIAR")))</f>
        <v/>
      </c>
    </row>
    <row r="5181">
      <c r="M5181" s="2">
        <f>IF(C5181="","",IFERROR(INDEX($S$5:$S$304,MATCH(C5181,$R$5:$R$304,0))&amp;"","?"))</f>
        <v/>
      </c>
      <c r="N5181" s="2">
        <f>IF(E5181="","",IF(ISNUMBER(SEARCH("SUBSOLO",E5181)),IFERROR(-VALUE(LEFT(E5181,FIND("º",SUBSTITUTE(E5181,"°","º"))-1)),-1),IF(LEFT(E5181,6)="TÉRREO",0,IFERROR(VALUE(LEFT(E5181,FIND("º",SUBSTITUTE(E5181,"°","º"))-1)),""))))</f>
        <v/>
      </c>
      <c r="O5181" s="2">
        <f>IF(OR(F5181="",G5181=""),"",IF(G5181&lt;='RETRATO 2027'!$K$5,"CONCLUÍDA",IF(F5181&lt;='RETRATO 2027'!$K$5,"EM ANDAMENTO","A INICIAR")))</f>
        <v/>
      </c>
    </row>
    <row r="5182">
      <c r="M5182" s="2">
        <f>IF(C5182="","",IFERROR(INDEX($S$5:$S$304,MATCH(C5182,$R$5:$R$304,0))&amp;"","?"))</f>
        <v/>
      </c>
      <c r="N5182" s="2">
        <f>IF(E5182="","",IF(ISNUMBER(SEARCH("SUBSOLO",E5182)),IFERROR(-VALUE(LEFT(E5182,FIND("º",SUBSTITUTE(E5182,"°","º"))-1)),-1),IF(LEFT(E5182,6)="TÉRREO",0,IFERROR(VALUE(LEFT(E5182,FIND("º",SUBSTITUTE(E5182,"°","º"))-1)),""))))</f>
        <v/>
      </c>
      <c r="O5182" s="2">
        <f>IF(OR(F5182="",G5182=""),"",IF(G5182&lt;='RETRATO 2027'!$K$5,"CONCLUÍDA",IF(F5182&lt;='RETRATO 2027'!$K$5,"EM ANDAMENTO","A INICIAR")))</f>
        <v/>
      </c>
    </row>
    <row r="5183">
      <c r="M5183" s="2">
        <f>IF(C5183="","",IFERROR(INDEX($S$5:$S$304,MATCH(C5183,$R$5:$R$304,0))&amp;"","?"))</f>
        <v/>
      </c>
      <c r="N5183" s="2">
        <f>IF(E5183="","",IF(ISNUMBER(SEARCH("SUBSOLO",E5183)),IFERROR(-VALUE(LEFT(E5183,FIND("º",SUBSTITUTE(E5183,"°","º"))-1)),-1),IF(LEFT(E5183,6)="TÉRREO",0,IFERROR(VALUE(LEFT(E5183,FIND("º",SUBSTITUTE(E5183,"°","º"))-1)),""))))</f>
        <v/>
      </c>
      <c r="O5183" s="2">
        <f>IF(OR(F5183="",G5183=""),"",IF(G5183&lt;='RETRATO 2027'!$K$5,"CONCLUÍDA",IF(F5183&lt;='RETRATO 2027'!$K$5,"EM ANDAMENTO","A INICIAR")))</f>
        <v/>
      </c>
    </row>
    <row r="5184">
      <c r="M5184" s="2">
        <f>IF(C5184="","",IFERROR(INDEX($S$5:$S$304,MATCH(C5184,$R$5:$R$304,0))&amp;"","?"))</f>
        <v/>
      </c>
      <c r="N5184" s="2">
        <f>IF(E5184="","",IF(ISNUMBER(SEARCH("SUBSOLO",E5184)),IFERROR(-VALUE(LEFT(E5184,FIND("º",SUBSTITUTE(E5184,"°","º"))-1)),-1),IF(LEFT(E5184,6)="TÉRREO",0,IFERROR(VALUE(LEFT(E5184,FIND("º",SUBSTITUTE(E5184,"°","º"))-1)),""))))</f>
        <v/>
      </c>
      <c r="O5184" s="2">
        <f>IF(OR(F5184="",G5184=""),"",IF(G5184&lt;='RETRATO 2027'!$K$5,"CONCLUÍDA",IF(F5184&lt;='RETRATO 2027'!$K$5,"EM ANDAMENTO","A INICIAR")))</f>
        <v/>
      </c>
    </row>
    <row r="5185">
      <c r="M5185" s="2">
        <f>IF(C5185="","",IFERROR(INDEX($S$5:$S$304,MATCH(C5185,$R$5:$R$304,0))&amp;"","?"))</f>
        <v/>
      </c>
      <c r="N5185" s="2">
        <f>IF(E5185="","",IF(ISNUMBER(SEARCH("SUBSOLO",E5185)),IFERROR(-VALUE(LEFT(E5185,FIND("º",SUBSTITUTE(E5185,"°","º"))-1)),-1),IF(LEFT(E5185,6)="TÉRREO",0,IFERROR(VALUE(LEFT(E5185,FIND("º",SUBSTITUTE(E5185,"°","º"))-1)),""))))</f>
        <v/>
      </c>
      <c r="O5185" s="2">
        <f>IF(OR(F5185="",G5185=""),"",IF(G5185&lt;='RETRATO 2027'!$K$5,"CONCLUÍDA",IF(F5185&lt;='RETRATO 2027'!$K$5,"EM ANDAMENTO","A INICIAR")))</f>
        <v/>
      </c>
    </row>
    <row r="5186">
      <c r="M5186" s="2">
        <f>IF(C5186="","",IFERROR(INDEX($S$5:$S$304,MATCH(C5186,$R$5:$R$304,0))&amp;"","?"))</f>
        <v/>
      </c>
      <c r="N5186" s="2">
        <f>IF(E5186="","",IF(ISNUMBER(SEARCH("SUBSOLO",E5186)),IFERROR(-VALUE(LEFT(E5186,FIND("º",SUBSTITUTE(E5186,"°","º"))-1)),-1),IF(LEFT(E5186,6)="TÉRREO",0,IFERROR(VALUE(LEFT(E5186,FIND("º",SUBSTITUTE(E5186,"°","º"))-1)),""))))</f>
        <v/>
      </c>
      <c r="O5186" s="2">
        <f>IF(OR(F5186="",G5186=""),"",IF(G5186&lt;='RETRATO 2027'!$K$5,"CONCLUÍDA",IF(F5186&lt;='RETRATO 2027'!$K$5,"EM ANDAMENTO","A INICIAR")))</f>
        <v/>
      </c>
    </row>
    <row r="5187">
      <c r="M5187" s="2">
        <f>IF(C5187="","",IFERROR(INDEX($S$5:$S$304,MATCH(C5187,$R$5:$R$304,0))&amp;"","?"))</f>
        <v/>
      </c>
      <c r="N5187" s="2">
        <f>IF(E5187="","",IF(ISNUMBER(SEARCH("SUBSOLO",E5187)),IFERROR(-VALUE(LEFT(E5187,FIND("º",SUBSTITUTE(E5187,"°","º"))-1)),-1),IF(LEFT(E5187,6)="TÉRREO",0,IFERROR(VALUE(LEFT(E5187,FIND("º",SUBSTITUTE(E5187,"°","º"))-1)),""))))</f>
        <v/>
      </c>
      <c r="O5187" s="2">
        <f>IF(OR(F5187="",G5187=""),"",IF(G5187&lt;='RETRATO 2027'!$K$5,"CONCLUÍDA",IF(F5187&lt;='RETRATO 2027'!$K$5,"EM ANDAMENTO","A INICIAR")))</f>
        <v/>
      </c>
    </row>
    <row r="5188">
      <c r="M5188" s="2">
        <f>IF(C5188="","",IFERROR(INDEX($S$5:$S$304,MATCH(C5188,$R$5:$R$304,0))&amp;"","?"))</f>
        <v/>
      </c>
      <c r="N5188" s="2">
        <f>IF(E5188="","",IF(ISNUMBER(SEARCH("SUBSOLO",E5188)),IFERROR(-VALUE(LEFT(E5188,FIND("º",SUBSTITUTE(E5188,"°","º"))-1)),-1),IF(LEFT(E5188,6)="TÉRREO",0,IFERROR(VALUE(LEFT(E5188,FIND("º",SUBSTITUTE(E5188,"°","º"))-1)),""))))</f>
        <v/>
      </c>
      <c r="O5188" s="2">
        <f>IF(OR(F5188="",G5188=""),"",IF(G5188&lt;='RETRATO 2027'!$K$5,"CONCLUÍDA",IF(F5188&lt;='RETRATO 2027'!$K$5,"EM ANDAMENTO","A INICIAR")))</f>
        <v/>
      </c>
    </row>
    <row r="5189">
      <c r="M5189" s="2">
        <f>IF(C5189="","",IFERROR(INDEX($S$5:$S$304,MATCH(C5189,$R$5:$R$304,0))&amp;"","?"))</f>
        <v/>
      </c>
      <c r="N5189" s="2">
        <f>IF(E5189="","",IF(ISNUMBER(SEARCH("SUBSOLO",E5189)),IFERROR(-VALUE(LEFT(E5189,FIND("º",SUBSTITUTE(E5189,"°","º"))-1)),-1),IF(LEFT(E5189,6)="TÉRREO",0,IFERROR(VALUE(LEFT(E5189,FIND("º",SUBSTITUTE(E5189,"°","º"))-1)),""))))</f>
        <v/>
      </c>
      <c r="O5189" s="2">
        <f>IF(OR(F5189="",G5189=""),"",IF(G5189&lt;='RETRATO 2027'!$K$5,"CONCLUÍDA",IF(F5189&lt;='RETRATO 2027'!$K$5,"EM ANDAMENTO","A INICIAR")))</f>
        <v/>
      </c>
    </row>
    <row r="5190">
      <c r="M5190" s="2">
        <f>IF(C5190="","",IFERROR(INDEX($S$5:$S$304,MATCH(C5190,$R$5:$R$304,0))&amp;"","?"))</f>
        <v/>
      </c>
      <c r="N5190" s="2">
        <f>IF(E5190="","",IF(ISNUMBER(SEARCH("SUBSOLO",E5190)),IFERROR(-VALUE(LEFT(E5190,FIND("º",SUBSTITUTE(E5190,"°","º"))-1)),-1),IF(LEFT(E5190,6)="TÉRREO",0,IFERROR(VALUE(LEFT(E5190,FIND("º",SUBSTITUTE(E5190,"°","º"))-1)),""))))</f>
        <v/>
      </c>
      <c r="O5190" s="2">
        <f>IF(OR(F5190="",G5190=""),"",IF(G5190&lt;='RETRATO 2027'!$K$5,"CONCLUÍDA",IF(F5190&lt;='RETRATO 2027'!$K$5,"EM ANDAMENTO","A INICIAR")))</f>
        <v/>
      </c>
    </row>
    <row r="5191">
      <c r="M5191" s="2">
        <f>IF(C5191="","",IFERROR(INDEX($S$5:$S$304,MATCH(C5191,$R$5:$R$304,0))&amp;"","?"))</f>
        <v/>
      </c>
      <c r="N5191" s="2">
        <f>IF(E5191="","",IF(ISNUMBER(SEARCH("SUBSOLO",E5191)),IFERROR(-VALUE(LEFT(E5191,FIND("º",SUBSTITUTE(E5191,"°","º"))-1)),-1),IF(LEFT(E5191,6)="TÉRREO",0,IFERROR(VALUE(LEFT(E5191,FIND("º",SUBSTITUTE(E5191,"°","º"))-1)),""))))</f>
        <v/>
      </c>
      <c r="O5191" s="2">
        <f>IF(OR(F5191="",G5191=""),"",IF(G5191&lt;='RETRATO 2027'!$K$5,"CONCLUÍDA",IF(F5191&lt;='RETRATO 2027'!$K$5,"EM ANDAMENTO","A INICIAR")))</f>
        <v/>
      </c>
    </row>
    <row r="5192">
      <c r="M5192" s="2">
        <f>IF(C5192="","",IFERROR(INDEX($S$5:$S$304,MATCH(C5192,$R$5:$R$304,0))&amp;"","?"))</f>
        <v/>
      </c>
      <c r="N5192" s="2">
        <f>IF(E5192="","",IF(ISNUMBER(SEARCH("SUBSOLO",E5192)),IFERROR(-VALUE(LEFT(E5192,FIND("º",SUBSTITUTE(E5192,"°","º"))-1)),-1),IF(LEFT(E5192,6)="TÉRREO",0,IFERROR(VALUE(LEFT(E5192,FIND("º",SUBSTITUTE(E5192,"°","º"))-1)),""))))</f>
        <v/>
      </c>
      <c r="O5192" s="2">
        <f>IF(OR(F5192="",G5192=""),"",IF(G5192&lt;='RETRATO 2027'!$K$5,"CONCLUÍDA",IF(F5192&lt;='RETRATO 2027'!$K$5,"EM ANDAMENTO","A INICIAR")))</f>
        <v/>
      </c>
    </row>
    <row r="5193">
      <c r="M5193" s="2">
        <f>IF(C5193="","",IFERROR(INDEX($S$5:$S$304,MATCH(C5193,$R$5:$R$304,0))&amp;"","?"))</f>
        <v/>
      </c>
      <c r="N5193" s="2">
        <f>IF(E5193="","",IF(ISNUMBER(SEARCH("SUBSOLO",E5193)),IFERROR(-VALUE(LEFT(E5193,FIND("º",SUBSTITUTE(E5193,"°","º"))-1)),-1),IF(LEFT(E5193,6)="TÉRREO",0,IFERROR(VALUE(LEFT(E5193,FIND("º",SUBSTITUTE(E5193,"°","º"))-1)),""))))</f>
        <v/>
      </c>
      <c r="O5193" s="2">
        <f>IF(OR(F5193="",G5193=""),"",IF(G5193&lt;='RETRATO 2027'!$K$5,"CONCLUÍDA",IF(F5193&lt;='RETRATO 2027'!$K$5,"EM ANDAMENTO","A INICIAR")))</f>
        <v/>
      </c>
    </row>
    <row r="5194">
      <c r="M5194" s="2">
        <f>IF(C5194="","",IFERROR(INDEX($S$5:$S$304,MATCH(C5194,$R$5:$R$304,0))&amp;"","?"))</f>
        <v/>
      </c>
      <c r="N5194" s="2">
        <f>IF(E5194="","",IF(ISNUMBER(SEARCH("SUBSOLO",E5194)),IFERROR(-VALUE(LEFT(E5194,FIND("º",SUBSTITUTE(E5194,"°","º"))-1)),-1),IF(LEFT(E5194,6)="TÉRREO",0,IFERROR(VALUE(LEFT(E5194,FIND("º",SUBSTITUTE(E5194,"°","º"))-1)),""))))</f>
        <v/>
      </c>
      <c r="O5194" s="2">
        <f>IF(OR(F5194="",G5194=""),"",IF(G5194&lt;='RETRATO 2027'!$K$5,"CONCLUÍDA",IF(F5194&lt;='RETRATO 2027'!$K$5,"EM ANDAMENTO","A INICIAR")))</f>
        <v/>
      </c>
    </row>
    <row r="5195">
      <c r="M5195" s="2">
        <f>IF(C5195="","",IFERROR(INDEX($S$5:$S$304,MATCH(C5195,$R$5:$R$304,0))&amp;"","?"))</f>
        <v/>
      </c>
      <c r="N5195" s="2">
        <f>IF(E5195="","",IF(ISNUMBER(SEARCH("SUBSOLO",E5195)),IFERROR(-VALUE(LEFT(E5195,FIND("º",SUBSTITUTE(E5195,"°","º"))-1)),-1),IF(LEFT(E5195,6)="TÉRREO",0,IFERROR(VALUE(LEFT(E5195,FIND("º",SUBSTITUTE(E5195,"°","º"))-1)),""))))</f>
        <v/>
      </c>
      <c r="O5195" s="2">
        <f>IF(OR(F5195="",G5195=""),"",IF(G5195&lt;='RETRATO 2027'!$K$5,"CONCLUÍDA",IF(F5195&lt;='RETRATO 2027'!$K$5,"EM ANDAMENTO","A INICIAR")))</f>
        <v/>
      </c>
    </row>
    <row r="5196">
      <c r="M5196" s="2">
        <f>IF(C5196="","",IFERROR(INDEX($S$5:$S$304,MATCH(C5196,$R$5:$R$304,0))&amp;"","?"))</f>
        <v/>
      </c>
      <c r="N5196" s="2">
        <f>IF(E5196="","",IF(ISNUMBER(SEARCH("SUBSOLO",E5196)),IFERROR(-VALUE(LEFT(E5196,FIND("º",SUBSTITUTE(E5196,"°","º"))-1)),-1),IF(LEFT(E5196,6)="TÉRREO",0,IFERROR(VALUE(LEFT(E5196,FIND("º",SUBSTITUTE(E5196,"°","º"))-1)),""))))</f>
        <v/>
      </c>
      <c r="O5196" s="2">
        <f>IF(OR(F5196="",G5196=""),"",IF(G5196&lt;='RETRATO 2027'!$K$5,"CONCLUÍDA",IF(F5196&lt;='RETRATO 2027'!$K$5,"EM ANDAMENTO","A INICIAR")))</f>
        <v/>
      </c>
    </row>
    <row r="5197">
      <c r="M5197" s="2">
        <f>IF(C5197="","",IFERROR(INDEX($S$5:$S$304,MATCH(C5197,$R$5:$R$304,0))&amp;"","?"))</f>
        <v/>
      </c>
      <c r="N5197" s="2">
        <f>IF(E5197="","",IF(ISNUMBER(SEARCH("SUBSOLO",E5197)),IFERROR(-VALUE(LEFT(E5197,FIND("º",SUBSTITUTE(E5197,"°","º"))-1)),-1),IF(LEFT(E5197,6)="TÉRREO",0,IFERROR(VALUE(LEFT(E5197,FIND("º",SUBSTITUTE(E5197,"°","º"))-1)),""))))</f>
        <v/>
      </c>
      <c r="O5197" s="2">
        <f>IF(OR(F5197="",G5197=""),"",IF(G5197&lt;='RETRATO 2027'!$K$5,"CONCLUÍDA",IF(F5197&lt;='RETRATO 2027'!$K$5,"EM ANDAMENTO","A INICIAR")))</f>
        <v/>
      </c>
    </row>
    <row r="5198">
      <c r="M5198" s="2">
        <f>IF(C5198="","",IFERROR(INDEX($S$5:$S$304,MATCH(C5198,$R$5:$R$304,0))&amp;"","?"))</f>
        <v/>
      </c>
      <c r="N5198" s="2">
        <f>IF(E5198="","",IF(ISNUMBER(SEARCH("SUBSOLO",E5198)),IFERROR(-VALUE(LEFT(E5198,FIND("º",SUBSTITUTE(E5198,"°","º"))-1)),-1),IF(LEFT(E5198,6)="TÉRREO",0,IFERROR(VALUE(LEFT(E5198,FIND("º",SUBSTITUTE(E5198,"°","º"))-1)),""))))</f>
        <v/>
      </c>
      <c r="O5198" s="2">
        <f>IF(OR(F5198="",G5198=""),"",IF(G5198&lt;='RETRATO 2027'!$K$5,"CONCLUÍDA",IF(F5198&lt;='RETRATO 2027'!$K$5,"EM ANDAMENTO","A INICIAR")))</f>
        <v/>
      </c>
    </row>
    <row r="5199">
      <c r="M5199" s="2">
        <f>IF(C5199="","",IFERROR(INDEX($S$5:$S$304,MATCH(C5199,$R$5:$R$304,0))&amp;"","?"))</f>
        <v/>
      </c>
      <c r="N5199" s="2">
        <f>IF(E5199="","",IF(ISNUMBER(SEARCH("SUBSOLO",E5199)),IFERROR(-VALUE(LEFT(E5199,FIND("º",SUBSTITUTE(E5199,"°","º"))-1)),-1),IF(LEFT(E5199,6)="TÉRREO",0,IFERROR(VALUE(LEFT(E5199,FIND("º",SUBSTITUTE(E5199,"°","º"))-1)),""))))</f>
        <v/>
      </c>
      <c r="O5199" s="2">
        <f>IF(OR(F5199="",G5199=""),"",IF(G5199&lt;='RETRATO 2027'!$K$5,"CONCLUÍDA",IF(F5199&lt;='RETRATO 2027'!$K$5,"EM ANDAMENTO","A INICIAR")))</f>
        <v/>
      </c>
    </row>
    <row r="5200">
      <c r="M5200" s="2">
        <f>IF(C5200="","",IFERROR(INDEX($S$5:$S$304,MATCH(C5200,$R$5:$R$304,0))&amp;"","?"))</f>
        <v/>
      </c>
      <c r="N5200" s="2">
        <f>IF(E5200="","",IF(ISNUMBER(SEARCH("SUBSOLO",E5200)),IFERROR(-VALUE(LEFT(E5200,FIND("º",SUBSTITUTE(E5200,"°","º"))-1)),-1),IF(LEFT(E5200,6)="TÉRREO",0,IFERROR(VALUE(LEFT(E5200,FIND("º",SUBSTITUTE(E5200,"°","º"))-1)),""))))</f>
        <v/>
      </c>
      <c r="O5200" s="2">
        <f>IF(OR(F5200="",G5200=""),"",IF(G5200&lt;='RETRATO 2027'!$K$5,"CONCLUÍDA",IF(F5200&lt;='RETRATO 2027'!$K$5,"EM ANDAMENTO","A INICIAR")))</f>
        <v/>
      </c>
    </row>
    <row r="5201">
      <c r="M5201" s="2">
        <f>IF(C5201="","",IFERROR(INDEX($S$5:$S$304,MATCH(C5201,$R$5:$R$304,0))&amp;"","?"))</f>
        <v/>
      </c>
      <c r="N5201" s="2">
        <f>IF(E5201="","",IF(ISNUMBER(SEARCH("SUBSOLO",E5201)),IFERROR(-VALUE(LEFT(E5201,FIND("º",SUBSTITUTE(E5201,"°","º"))-1)),-1),IF(LEFT(E5201,6)="TÉRREO",0,IFERROR(VALUE(LEFT(E5201,FIND("º",SUBSTITUTE(E5201,"°","º"))-1)),""))))</f>
        <v/>
      </c>
      <c r="O5201" s="2">
        <f>IF(OR(F5201="",G5201=""),"",IF(G5201&lt;='RETRATO 2027'!$K$5,"CONCLUÍDA",IF(F5201&lt;='RETRATO 2027'!$K$5,"EM ANDAMENTO","A INICIAR")))</f>
        <v/>
      </c>
    </row>
    <row r="5202">
      <c r="M5202" s="2">
        <f>IF(C5202="","",IFERROR(INDEX($S$5:$S$304,MATCH(C5202,$R$5:$R$304,0))&amp;"","?"))</f>
        <v/>
      </c>
      <c r="N5202" s="2">
        <f>IF(E5202="","",IF(ISNUMBER(SEARCH("SUBSOLO",E5202)),IFERROR(-VALUE(LEFT(E5202,FIND("º",SUBSTITUTE(E5202,"°","º"))-1)),-1),IF(LEFT(E5202,6)="TÉRREO",0,IFERROR(VALUE(LEFT(E5202,FIND("º",SUBSTITUTE(E5202,"°","º"))-1)),""))))</f>
        <v/>
      </c>
      <c r="O5202" s="2">
        <f>IF(OR(F5202="",G5202=""),"",IF(G5202&lt;='RETRATO 2027'!$K$5,"CONCLUÍDA",IF(F5202&lt;='RETRATO 2027'!$K$5,"EM ANDAMENTO","A INICIAR")))</f>
        <v/>
      </c>
    </row>
    <row r="5203">
      <c r="M5203" s="2">
        <f>IF(C5203="","",IFERROR(INDEX($S$5:$S$304,MATCH(C5203,$R$5:$R$304,0))&amp;"","?"))</f>
        <v/>
      </c>
      <c r="N5203" s="2">
        <f>IF(E5203="","",IF(ISNUMBER(SEARCH("SUBSOLO",E5203)),IFERROR(-VALUE(LEFT(E5203,FIND("º",SUBSTITUTE(E5203,"°","º"))-1)),-1),IF(LEFT(E5203,6)="TÉRREO",0,IFERROR(VALUE(LEFT(E5203,FIND("º",SUBSTITUTE(E5203,"°","º"))-1)),""))))</f>
        <v/>
      </c>
      <c r="O5203" s="2">
        <f>IF(OR(F5203="",G5203=""),"",IF(G5203&lt;='RETRATO 2027'!$K$5,"CONCLUÍDA",IF(F5203&lt;='RETRATO 2027'!$K$5,"EM ANDAMENTO","A INICIAR")))</f>
        <v/>
      </c>
    </row>
    <row r="5204">
      <c r="M5204" s="2">
        <f>IF(C5204="","",IFERROR(INDEX($S$5:$S$304,MATCH(C5204,$R$5:$R$304,0))&amp;"","?"))</f>
        <v/>
      </c>
      <c r="N5204" s="2">
        <f>IF(E5204="","",IF(ISNUMBER(SEARCH("SUBSOLO",E5204)),IFERROR(-VALUE(LEFT(E5204,FIND("º",SUBSTITUTE(E5204,"°","º"))-1)),-1),IF(LEFT(E5204,6)="TÉRREO",0,IFERROR(VALUE(LEFT(E5204,FIND("º",SUBSTITUTE(E5204,"°","º"))-1)),""))))</f>
        <v/>
      </c>
      <c r="O5204" s="2">
        <f>IF(OR(F5204="",G5204=""),"",IF(G5204&lt;='RETRATO 2027'!$K$5,"CONCLUÍDA",IF(F5204&lt;='RETRATO 2027'!$K$5,"EM ANDAMENTO","A INICIAR")))</f>
        <v/>
      </c>
    </row>
    <row r="5205">
      <c r="M5205" s="2">
        <f>IF(C5205="","",IFERROR(INDEX($S$5:$S$304,MATCH(C5205,$R$5:$R$304,0))&amp;"","?"))</f>
        <v/>
      </c>
      <c r="N5205" s="2">
        <f>IF(E5205="","",IF(ISNUMBER(SEARCH("SUBSOLO",E5205)),IFERROR(-VALUE(LEFT(E5205,FIND("º",SUBSTITUTE(E5205,"°","º"))-1)),-1),IF(LEFT(E5205,6)="TÉRREO",0,IFERROR(VALUE(LEFT(E5205,FIND("º",SUBSTITUTE(E5205,"°","º"))-1)),""))))</f>
        <v/>
      </c>
      <c r="O5205" s="2">
        <f>IF(OR(F5205="",G5205=""),"",IF(G5205&lt;='RETRATO 2027'!$K$5,"CONCLUÍDA",IF(F5205&lt;='RETRATO 2027'!$K$5,"EM ANDAMENTO","A INICIAR")))</f>
        <v/>
      </c>
    </row>
    <row r="5206">
      <c r="M5206" s="2">
        <f>IF(C5206="","",IFERROR(INDEX($S$5:$S$304,MATCH(C5206,$R$5:$R$304,0))&amp;"","?"))</f>
        <v/>
      </c>
      <c r="N5206" s="2">
        <f>IF(E5206="","",IF(ISNUMBER(SEARCH("SUBSOLO",E5206)),IFERROR(-VALUE(LEFT(E5206,FIND("º",SUBSTITUTE(E5206,"°","º"))-1)),-1),IF(LEFT(E5206,6)="TÉRREO",0,IFERROR(VALUE(LEFT(E5206,FIND("º",SUBSTITUTE(E5206,"°","º"))-1)),""))))</f>
        <v/>
      </c>
      <c r="O5206" s="2">
        <f>IF(OR(F5206="",G5206=""),"",IF(G5206&lt;='RETRATO 2027'!$K$5,"CONCLUÍDA",IF(F5206&lt;='RETRATO 2027'!$K$5,"EM ANDAMENTO","A INICIAR")))</f>
        <v/>
      </c>
    </row>
    <row r="5207">
      <c r="M5207" s="2">
        <f>IF(C5207="","",IFERROR(INDEX($S$5:$S$304,MATCH(C5207,$R$5:$R$304,0))&amp;"","?"))</f>
        <v/>
      </c>
      <c r="N5207" s="2">
        <f>IF(E5207="","",IF(ISNUMBER(SEARCH("SUBSOLO",E5207)),IFERROR(-VALUE(LEFT(E5207,FIND("º",SUBSTITUTE(E5207,"°","º"))-1)),-1),IF(LEFT(E5207,6)="TÉRREO",0,IFERROR(VALUE(LEFT(E5207,FIND("º",SUBSTITUTE(E5207,"°","º"))-1)),""))))</f>
        <v/>
      </c>
      <c r="O5207" s="2">
        <f>IF(OR(F5207="",G5207=""),"",IF(G5207&lt;='RETRATO 2027'!$K$5,"CONCLUÍDA",IF(F5207&lt;='RETRATO 2027'!$K$5,"EM ANDAMENTO","A INICIAR")))</f>
        <v/>
      </c>
    </row>
    <row r="5208">
      <c r="M5208" s="2">
        <f>IF(C5208="","",IFERROR(INDEX($S$5:$S$304,MATCH(C5208,$R$5:$R$304,0))&amp;"","?"))</f>
        <v/>
      </c>
      <c r="N5208" s="2">
        <f>IF(E5208="","",IF(ISNUMBER(SEARCH("SUBSOLO",E5208)),IFERROR(-VALUE(LEFT(E5208,FIND("º",SUBSTITUTE(E5208,"°","º"))-1)),-1),IF(LEFT(E5208,6)="TÉRREO",0,IFERROR(VALUE(LEFT(E5208,FIND("º",SUBSTITUTE(E5208,"°","º"))-1)),""))))</f>
        <v/>
      </c>
      <c r="O5208" s="2">
        <f>IF(OR(F5208="",G5208=""),"",IF(G5208&lt;='RETRATO 2027'!$K$5,"CONCLUÍDA",IF(F5208&lt;='RETRATO 2027'!$K$5,"EM ANDAMENTO","A INICIAR")))</f>
        <v/>
      </c>
    </row>
    <row r="5209">
      <c r="M5209" s="2">
        <f>IF(C5209="","",IFERROR(INDEX($S$5:$S$304,MATCH(C5209,$R$5:$R$304,0))&amp;"","?"))</f>
        <v/>
      </c>
      <c r="N5209" s="2">
        <f>IF(E5209="","",IF(ISNUMBER(SEARCH("SUBSOLO",E5209)),IFERROR(-VALUE(LEFT(E5209,FIND("º",SUBSTITUTE(E5209,"°","º"))-1)),-1),IF(LEFT(E5209,6)="TÉRREO",0,IFERROR(VALUE(LEFT(E5209,FIND("º",SUBSTITUTE(E5209,"°","º"))-1)),""))))</f>
        <v/>
      </c>
      <c r="O5209" s="2">
        <f>IF(OR(F5209="",G5209=""),"",IF(G5209&lt;='RETRATO 2027'!$K$5,"CONCLUÍDA",IF(F5209&lt;='RETRATO 2027'!$K$5,"EM ANDAMENTO","A INICIAR")))</f>
        <v/>
      </c>
    </row>
    <row r="5210">
      <c r="M5210" s="2">
        <f>IF(C5210="","",IFERROR(INDEX($S$5:$S$304,MATCH(C5210,$R$5:$R$304,0))&amp;"","?"))</f>
        <v/>
      </c>
      <c r="N5210" s="2">
        <f>IF(E5210="","",IF(ISNUMBER(SEARCH("SUBSOLO",E5210)),IFERROR(-VALUE(LEFT(E5210,FIND("º",SUBSTITUTE(E5210,"°","º"))-1)),-1),IF(LEFT(E5210,6)="TÉRREO",0,IFERROR(VALUE(LEFT(E5210,FIND("º",SUBSTITUTE(E5210,"°","º"))-1)),""))))</f>
        <v/>
      </c>
      <c r="O5210" s="2">
        <f>IF(OR(F5210="",G5210=""),"",IF(G5210&lt;='RETRATO 2027'!$K$5,"CONCLUÍDA",IF(F5210&lt;='RETRATO 2027'!$K$5,"EM ANDAMENTO","A INICIAR")))</f>
        <v/>
      </c>
    </row>
    <row r="5211">
      <c r="M5211" s="2">
        <f>IF(C5211="","",IFERROR(INDEX($S$5:$S$304,MATCH(C5211,$R$5:$R$304,0))&amp;"","?"))</f>
        <v/>
      </c>
      <c r="N5211" s="2">
        <f>IF(E5211="","",IF(ISNUMBER(SEARCH("SUBSOLO",E5211)),IFERROR(-VALUE(LEFT(E5211,FIND("º",SUBSTITUTE(E5211,"°","º"))-1)),-1),IF(LEFT(E5211,6)="TÉRREO",0,IFERROR(VALUE(LEFT(E5211,FIND("º",SUBSTITUTE(E5211,"°","º"))-1)),""))))</f>
        <v/>
      </c>
      <c r="O5211" s="2">
        <f>IF(OR(F5211="",G5211=""),"",IF(G5211&lt;='RETRATO 2027'!$K$5,"CONCLUÍDA",IF(F5211&lt;='RETRATO 2027'!$K$5,"EM ANDAMENTO","A INICIAR")))</f>
        <v/>
      </c>
    </row>
    <row r="5212">
      <c r="M5212" s="2">
        <f>IF(C5212="","",IFERROR(INDEX($S$5:$S$304,MATCH(C5212,$R$5:$R$304,0))&amp;"","?"))</f>
        <v/>
      </c>
      <c r="N5212" s="2">
        <f>IF(E5212="","",IF(ISNUMBER(SEARCH("SUBSOLO",E5212)),IFERROR(-VALUE(LEFT(E5212,FIND("º",SUBSTITUTE(E5212,"°","º"))-1)),-1),IF(LEFT(E5212,6)="TÉRREO",0,IFERROR(VALUE(LEFT(E5212,FIND("º",SUBSTITUTE(E5212,"°","º"))-1)),""))))</f>
        <v/>
      </c>
      <c r="O5212" s="2">
        <f>IF(OR(F5212="",G5212=""),"",IF(G5212&lt;='RETRATO 2027'!$K$5,"CONCLUÍDA",IF(F5212&lt;='RETRATO 2027'!$K$5,"EM ANDAMENTO","A INICIAR")))</f>
        <v/>
      </c>
    </row>
    <row r="5213">
      <c r="M5213" s="2">
        <f>IF(C5213="","",IFERROR(INDEX($S$5:$S$304,MATCH(C5213,$R$5:$R$304,0))&amp;"","?"))</f>
        <v/>
      </c>
      <c r="N5213" s="2">
        <f>IF(E5213="","",IF(ISNUMBER(SEARCH("SUBSOLO",E5213)),IFERROR(-VALUE(LEFT(E5213,FIND("º",SUBSTITUTE(E5213,"°","º"))-1)),-1),IF(LEFT(E5213,6)="TÉRREO",0,IFERROR(VALUE(LEFT(E5213,FIND("º",SUBSTITUTE(E5213,"°","º"))-1)),""))))</f>
        <v/>
      </c>
      <c r="O5213" s="2">
        <f>IF(OR(F5213="",G5213=""),"",IF(G5213&lt;='RETRATO 2027'!$K$5,"CONCLUÍDA",IF(F5213&lt;='RETRATO 2027'!$K$5,"EM ANDAMENTO","A INICIAR")))</f>
        <v/>
      </c>
    </row>
    <row r="5214">
      <c r="M5214" s="2">
        <f>IF(C5214="","",IFERROR(INDEX($S$5:$S$304,MATCH(C5214,$R$5:$R$304,0))&amp;"","?"))</f>
        <v/>
      </c>
      <c r="N5214" s="2">
        <f>IF(E5214="","",IF(ISNUMBER(SEARCH("SUBSOLO",E5214)),IFERROR(-VALUE(LEFT(E5214,FIND("º",SUBSTITUTE(E5214,"°","º"))-1)),-1),IF(LEFT(E5214,6)="TÉRREO",0,IFERROR(VALUE(LEFT(E5214,FIND("º",SUBSTITUTE(E5214,"°","º"))-1)),""))))</f>
        <v/>
      </c>
      <c r="O5214" s="2">
        <f>IF(OR(F5214="",G5214=""),"",IF(G5214&lt;='RETRATO 2027'!$K$5,"CONCLUÍDA",IF(F5214&lt;='RETRATO 2027'!$K$5,"EM ANDAMENTO","A INICIAR")))</f>
        <v/>
      </c>
    </row>
    <row r="5215">
      <c r="M5215" s="2">
        <f>IF(C5215="","",IFERROR(INDEX($S$5:$S$304,MATCH(C5215,$R$5:$R$304,0))&amp;"","?"))</f>
        <v/>
      </c>
      <c r="N5215" s="2">
        <f>IF(E5215="","",IF(ISNUMBER(SEARCH("SUBSOLO",E5215)),IFERROR(-VALUE(LEFT(E5215,FIND("º",SUBSTITUTE(E5215,"°","º"))-1)),-1),IF(LEFT(E5215,6)="TÉRREO",0,IFERROR(VALUE(LEFT(E5215,FIND("º",SUBSTITUTE(E5215,"°","º"))-1)),""))))</f>
        <v/>
      </c>
      <c r="O5215" s="2">
        <f>IF(OR(F5215="",G5215=""),"",IF(G5215&lt;='RETRATO 2027'!$K$5,"CONCLUÍDA",IF(F5215&lt;='RETRATO 2027'!$K$5,"EM ANDAMENTO","A INICIAR")))</f>
        <v/>
      </c>
    </row>
    <row r="5216">
      <c r="M5216" s="2">
        <f>IF(C5216="","",IFERROR(INDEX($S$5:$S$304,MATCH(C5216,$R$5:$R$304,0))&amp;"","?"))</f>
        <v/>
      </c>
      <c r="N5216" s="2">
        <f>IF(E5216="","",IF(ISNUMBER(SEARCH("SUBSOLO",E5216)),IFERROR(-VALUE(LEFT(E5216,FIND("º",SUBSTITUTE(E5216,"°","º"))-1)),-1),IF(LEFT(E5216,6)="TÉRREO",0,IFERROR(VALUE(LEFT(E5216,FIND("º",SUBSTITUTE(E5216,"°","º"))-1)),""))))</f>
        <v/>
      </c>
      <c r="O5216" s="2">
        <f>IF(OR(F5216="",G5216=""),"",IF(G5216&lt;='RETRATO 2027'!$K$5,"CONCLUÍDA",IF(F5216&lt;='RETRATO 2027'!$K$5,"EM ANDAMENTO","A INICIAR")))</f>
        <v/>
      </c>
    </row>
    <row r="5217">
      <c r="M5217" s="2">
        <f>IF(C5217="","",IFERROR(INDEX($S$5:$S$304,MATCH(C5217,$R$5:$R$304,0))&amp;"","?"))</f>
        <v/>
      </c>
      <c r="N5217" s="2">
        <f>IF(E5217="","",IF(ISNUMBER(SEARCH("SUBSOLO",E5217)),IFERROR(-VALUE(LEFT(E5217,FIND("º",SUBSTITUTE(E5217,"°","º"))-1)),-1),IF(LEFT(E5217,6)="TÉRREO",0,IFERROR(VALUE(LEFT(E5217,FIND("º",SUBSTITUTE(E5217,"°","º"))-1)),""))))</f>
        <v/>
      </c>
      <c r="O5217" s="2">
        <f>IF(OR(F5217="",G5217=""),"",IF(G5217&lt;='RETRATO 2027'!$K$5,"CONCLUÍDA",IF(F5217&lt;='RETRATO 2027'!$K$5,"EM ANDAMENTO","A INICIAR")))</f>
        <v/>
      </c>
    </row>
    <row r="5218">
      <c r="M5218" s="2">
        <f>IF(C5218="","",IFERROR(INDEX($S$5:$S$304,MATCH(C5218,$R$5:$R$304,0))&amp;"","?"))</f>
        <v/>
      </c>
      <c r="N5218" s="2">
        <f>IF(E5218="","",IF(ISNUMBER(SEARCH("SUBSOLO",E5218)),IFERROR(-VALUE(LEFT(E5218,FIND("º",SUBSTITUTE(E5218,"°","º"))-1)),-1),IF(LEFT(E5218,6)="TÉRREO",0,IFERROR(VALUE(LEFT(E5218,FIND("º",SUBSTITUTE(E5218,"°","º"))-1)),""))))</f>
        <v/>
      </c>
      <c r="O5218" s="2">
        <f>IF(OR(F5218="",G5218=""),"",IF(G5218&lt;='RETRATO 2027'!$K$5,"CONCLUÍDA",IF(F5218&lt;='RETRATO 2027'!$K$5,"EM ANDAMENTO","A INICIAR")))</f>
        <v/>
      </c>
    </row>
    <row r="5219">
      <c r="M5219" s="2">
        <f>IF(C5219="","",IFERROR(INDEX($S$5:$S$304,MATCH(C5219,$R$5:$R$304,0))&amp;"","?"))</f>
        <v/>
      </c>
      <c r="N5219" s="2">
        <f>IF(E5219="","",IF(ISNUMBER(SEARCH("SUBSOLO",E5219)),IFERROR(-VALUE(LEFT(E5219,FIND("º",SUBSTITUTE(E5219,"°","º"))-1)),-1),IF(LEFT(E5219,6)="TÉRREO",0,IFERROR(VALUE(LEFT(E5219,FIND("º",SUBSTITUTE(E5219,"°","º"))-1)),""))))</f>
        <v/>
      </c>
      <c r="O5219" s="2">
        <f>IF(OR(F5219="",G5219=""),"",IF(G5219&lt;='RETRATO 2027'!$K$5,"CONCLUÍDA",IF(F5219&lt;='RETRATO 2027'!$K$5,"EM ANDAMENTO","A INICIAR")))</f>
        <v/>
      </c>
    </row>
    <row r="5220">
      <c r="M5220" s="2">
        <f>IF(C5220="","",IFERROR(INDEX($S$5:$S$304,MATCH(C5220,$R$5:$R$304,0))&amp;"","?"))</f>
        <v/>
      </c>
      <c r="N5220" s="2">
        <f>IF(E5220="","",IF(ISNUMBER(SEARCH("SUBSOLO",E5220)),IFERROR(-VALUE(LEFT(E5220,FIND("º",SUBSTITUTE(E5220,"°","º"))-1)),-1),IF(LEFT(E5220,6)="TÉRREO",0,IFERROR(VALUE(LEFT(E5220,FIND("º",SUBSTITUTE(E5220,"°","º"))-1)),""))))</f>
        <v/>
      </c>
      <c r="O5220" s="2">
        <f>IF(OR(F5220="",G5220=""),"",IF(G5220&lt;='RETRATO 2027'!$K$5,"CONCLUÍDA",IF(F5220&lt;='RETRATO 2027'!$K$5,"EM ANDAMENTO","A INICIAR")))</f>
        <v/>
      </c>
    </row>
    <row r="5221">
      <c r="M5221" s="2">
        <f>IF(C5221="","",IFERROR(INDEX($S$5:$S$304,MATCH(C5221,$R$5:$R$304,0))&amp;"","?"))</f>
        <v/>
      </c>
      <c r="N5221" s="2">
        <f>IF(E5221="","",IF(ISNUMBER(SEARCH("SUBSOLO",E5221)),IFERROR(-VALUE(LEFT(E5221,FIND("º",SUBSTITUTE(E5221,"°","º"))-1)),-1),IF(LEFT(E5221,6)="TÉRREO",0,IFERROR(VALUE(LEFT(E5221,FIND("º",SUBSTITUTE(E5221,"°","º"))-1)),""))))</f>
        <v/>
      </c>
      <c r="O5221" s="2">
        <f>IF(OR(F5221="",G5221=""),"",IF(G5221&lt;='RETRATO 2027'!$K$5,"CONCLUÍDA",IF(F5221&lt;='RETRATO 2027'!$K$5,"EM ANDAMENTO","A INICIAR")))</f>
        <v/>
      </c>
    </row>
    <row r="5222">
      <c r="M5222" s="2">
        <f>IF(C5222="","",IFERROR(INDEX($S$5:$S$304,MATCH(C5222,$R$5:$R$304,0))&amp;"","?"))</f>
        <v/>
      </c>
      <c r="N5222" s="2">
        <f>IF(E5222="","",IF(ISNUMBER(SEARCH("SUBSOLO",E5222)),IFERROR(-VALUE(LEFT(E5222,FIND("º",SUBSTITUTE(E5222,"°","º"))-1)),-1),IF(LEFT(E5222,6)="TÉRREO",0,IFERROR(VALUE(LEFT(E5222,FIND("º",SUBSTITUTE(E5222,"°","º"))-1)),""))))</f>
        <v/>
      </c>
      <c r="O5222" s="2">
        <f>IF(OR(F5222="",G5222=""),"",IF(G5222&lt;='RETRATO 2027'!$K$5,"CONCLUÍDA",IF(F5222&lt;='RETRATO 2027'!$K$5,"EM ANDAMENTO","A INICIAR")))</f>
        <v/>
      </c>
    </row>
    <row r="5223">
      <c r="M5223" s="2">
        <f>IF(C5223="","",IFERROR(INDEX($S$5:$S$304,MATCH(C5223,$R$5:$R$304,0))&amp;"","?"))</f>
        <v/>
      </c>
      <c r="N5223" s="2">
        <f>IF(E5223="","",IF(ISNUMBER(SEARCH("SUBSOLO",E5223)),IFERROR(-VALUE(LEFT(E5223,FIND("º",SUBSTITUTE(E5223,"°","º"))-1)),-1),IF(LEFT(E5223,6)="TÉRREO",0,IFERROR(VALUE(LEFT(E5223,FIND("º",SUBSTITUTE(E5223,"°","º"))-1)),""))))</f>
        <v/>
      </c>
      <c r="O5223" s="2">
        <f>IF(OR(F5223="",G5223=""),"",IF(G5223&lt;='RETRATO 2027'!$K$5,"CONCLUÍDA",IF(F5223&lt;='RETRATO 2027'!$K$5,"EM ANDAMENTO","A INICIAR")))</f>
        <v/>
      </c>
    </row>
    <row r="5224">
      <c r="M5224" s="2">
        <f>IF(C5224="","",IFERROR(INDEX($S$5:$S$304,MATCH(C5224,$R$5:$R$304,0))&amp;"","?"))</f>
        <v/>
      </c>
      <c r="N5224" s="2">
        <f>IF(E5224="","",IF(ISNUMBER(SEARCH("SUBSOLO",E5224)),IFERROR(-VALUE(LEFT(E5224,FIND("º",SUBSTITUTE(E5224,"°","º"))-1)),-1),IF(LEFT(E5224,6)="TÉRREO",0,IFERROR(VALUE(LEFT(E5224,FIND("º",SUBSTITUTE(E5224,"°","º"))-1)),""))))</f>
        <v/>
      </c>
      <c r="O5224" s="2">
        <f>IF(OR(F5224="",G5224=""),"",IF(G5224&lt;='RETRATO 2027'!$K$5,"CONCLUÍDA",IF(F5224&lt;='RETRATO 2027'!$K$5,"EM ANDAMENTO","A INICIAR")))</f>
        <v/>
      </c>
    </row>
    <row r="5225">
      <c r="M5225" s="2">
        <f>IF(C5225="","",IFERROR(INDEX($S$5:$S$304,MATCH(C5225,$R$5:$R$304,0))&amp;"","?"))</f>
        <v/>
      </c>
      <c r="N5225" s="2">
        <f>IF(E5225="","",IF(ISNUMBER(SEARCH("SUBSOLO",E5225)),IFERROR(-VALUE(LEFT(E5225,FIND("º",SUBSTITUTE(E5225,"°","º"))-1)),-1),IF(LEFT(E5225,6)="TÉRREO",0,IFERROR(VALUE(LEFT(E5225,FIND("º",SUBSTITUTE(E5225,"°","º"))-1)),""))))</f>
        <v/>
      </c>
      <c r="O5225" s="2">
        <f>IF(OR(F5225="",G5225=""),"",IF(G5225&lt;='RETRATO 2027'!$K$5,"CONCLUÍDA",IF(F5225&lt;='RETRATO 2027'!$K$5,"EM ANDAMENTO","A INICIAR")))</f>
        <v/>
      </c>
    </row>
    <row r="5226">
      <c r="M5226" s="2">
        <f>IF(C5226="","",IFERROR(INDEX($S$5:$S$304,MATCH(C5226,$R$5:$R$304,0))&amp;"","?"))</f>
        <v/>
      </c>
      <c r="N5226" s="2">
        <f>IF(E5226="","",IF(ISNUMBER(SEARCH("SUBSOLO",E5226)),IFERROR(-VALUE(LEFT(E5226,FIND("º",SUBSTITUTE(E5226,"°","º"))-1)),-1),IF(LEFT(E5226,6)="TÉRREO",0,IFERROR(VALUE(LEFT(E5226,FIND("º",SUBSTITUTE(E5226,"°","º"))-1)),""))))</f>
        <v/>
      </c>
      <c r="O5226" s="2">
        <f>IF(OR(F5226="",G5226=""),"",IF(G5226&lt;='RETRATO 2027'!$K$5,"CONCLUÍDA",IF(F5226&lt;='RETRATO 2027'!$K$5,"EM ANDAMENTO","A INICIAR")))</f>
        <v/>
      </c>
    </row>
    <row r="5227">
      <c r="M5227" s="2">
        <f>IF(C5227="","",IFERROR(INDEX($S$5:$S$304,MATCH(C5227,$R$5:$R$304,0))&amp;"","?"))</f>
        <v/>
      </c>
      <c r="N5227" s="2">
        <f>IF(E5227="","",IF(ISNUMBER(SEARCH("SUBSOLO",E5227)),IFERROR(-VALUE(LEFT(E5227,FIND("º",SUBSTITUTE(E5227,"°","º"))-1)),-1),IF(LEFT(E5227,6)="TÉRREO",0,IFERROR(VALUE(LEFT(E5227,FIND("º",SUBSTITUTE(E5227,"°","º"))-1)),""))))</f>
        <v/>
      </c>
      <c r="O5227" s="2">
        <f>IF(OR(F5227="",G5227=""),"",IF(G5227&lt;='RETRATO 2027'!$K$5,"CONCLUÍDA",IF(F5227&lt;='RETRATO 2027'!$K$5,"EM ANDAMENTO","A INICIAR")))</f>
        <v/>
      </c>
    </row>
    <row r="5228">
      <c r="M5228" s="2">
        <f>IF(C5228="","",IFERROR(INDEX($S$5:$S$304,MATCH(C5228,$R$5:$R$304,0))&amp;"","?"))</f>
        <v/>
      </c>
      <c r="N5228" s="2">
        <f>IF(E5228="","",IF(ISNUMBER(SEARCH("SUBSOLO",E5228)),IFERROR(-VALUE(LEFT(E5228,FIND("º",SUBSTITUTE(E5228,"°","º"))-1)),-1),IF(LEFT(E5228,6)="TÉRREO",0,IFERROR(VALUE(LEFT(E5228,FIND("º",SUBSTITUTE(E5228,"°","º"))-1)),""))))</f>
        <v/>
      </c>
      <c r="O5228" s="2">
        <f>IF(OR(F5228="",G5228=""),"",IF(G5228&lt;='RETRATO 2027'!$K$5,"CONCLUÍDA",IF(F5228&lt;='RETRATO 2027'!$K$5,"EM ANDAMENTO","A INICIAR")))</f>
        <v/>
      </c>
    </row>
    <row r="5229">
      <c r="M5229" s="2">
        <f>IF(C5229="","",IFERROR(INDEX($S$5:$S$304,MATCH(C5229,$R$5:$R$304,0))&amp;"","?"))</f>
        <v/>
      </c>
      <c r="N5229" s="2">
        <f>IF(E5229="","",IF(ISNUMBER(SEARCH("SUBSOLO",E5229)),IFERROR(-VALUE(LEFT(E5229,FIND("º",SUBSTITUTE(E5229,"°","º"))-1)),-1),IF(LEFT(E5229,6)="TÉRREO",0,IFERROR(VALUE(LEFT(E5229,FIND("º",SUBSTITUTE(E5229,"°","º"))-1)),""))))</f>
        <v/>
      </c>
      <c r="O5229" s="2">
        <f>IF(OR(F5229="",G5229=""),"",IF(G5229&lt;='RETRATO 2027'!$K$5,"CONCLUÍDA",IF(F5229&lt;='RETRATO 2027'!$K$5,"EM ANDAMENTO","A INICIAR")))</f>
        <v/>
      </c>
    </row>
    <row r="5230">
      <c r="M5230" s="2">
        <f>IF(C5230="","",IFERROR(INDEX($S$5:$S$304,MATCH(C5230,$R$5:$R$304,0))&amp;"","?"))</f>
        <v/>
      </c>
      <c r="N5230" s="2">
        <f>IF(E5230="","",IF(ISNUMBER(SEARCH("SUBSOLO",E5230)),IFERROR(-VALUE(LEFT(E5230,FIND("º",SUBSTITUTE(E5230,"°","º"))-1)),-1),IF(LEFT(E5230,6)="TÉRREO",0,IFERROR(VALUE(LEFT(E5230,FIND("º",SUBSTITUTE(E5230,"°","º"))-1)),""))))</f>
        <v/>
      </c>
      <c r="O5230" s="2">
        <f>IF(OR(F5230="",G5230=""),"",IF(G5230&lt;='RETRATO 2027'!$K$5,"CONCLUÍDA",IF(F5230&lt;='RETRATO 2027'!$K$5,"EM ANDAMENTO","A INICIAR")))</f>
        <v/>
      </c>
    </row>
    <row r="5231">
      <c r="M5231" s="2">
        <f>IF(C5231="","",IFERROR(INDEX($S$5:$S$304,MATCH(C5231,$R$5:$R$304,0))&amp;"","?"))</f>
        <v/>
      </c>
      <c r="N5231" s="2">
        <f>IF(E5231="","",IF(ISNUMBER(SEARCH("SUBSOLO",E5231)),IFERROR(-VALUE(LEFT(E5231,FIND("º",SUBSTITUTE(E5231,"°","º"))-1)),-1),IF(LEFT(E5231,6)="TÉRREO",0,IFERROR(VALUE(LEFT(E5231,FIND("º",SUBSTITUTE(E5231,"°","º"))-1)),""))))</f>
        <v/>
      </c>
      <c r="O5231" s="2">
        <f>IF(OR(F5231="",G5231=""),"",IF(G5231&lt;='RETRATO 2027'!$K$5,"CONCLUÍDA",IF(F5231&lt;='RETRATO 2027'!$K$5,"EM ANDAMENTO","A INICIAR")))</f>
        <v/>
      </c>
    </row>
    <row r="5232">
      <c r="M5232" s="2">
        <f>IF(C5232="","",IFERROR(INDEX($S$5:$S$304,MATCH(C5232,$R$5:$R$304,0))&amp;"","?"))</f>
        <v/>
      </c>
      <c r="N5232" s="2">
        <f>IF(E5232="","",IF(ISNUMBER(SEARCH("SUBSOLO",E5232)),IFERROR(-VALUE(LEFT(E5232,FIND("º",SUBSTITUTE(E5232,"°","º"))-1)),-1),IF(LEFT(E5232,6)="TÉRREO",0,IFERROR(VALUE(LEFT(E5232,FIND("º",SUBSTITUTE(E5232,"°","º"))-1)),""))))</f>
        <v/>
      </c>
      <c r="O5232" s="2">
        <f>IF(OR(F5232="",G5232=""),"",IF(G5232&lt;='RETRATO 2027'!$K$5,"CONCLUÍDA",IF(F5232&lt;='RETRATO 2027'!$K$5,"EM ANDAMENTO","A INICIAR")))</f>
        <v/>
      </c>
    </row>
    <row r="5233">
      <c r="M5233" s="2">
        <f>IF(C5233="","",IFERROR(INDEX($S$5:$S$304,MATCH(C5233,$R$5:$R$304,0))&amp;"","?"))</f>
        <v/>
      </c>
      <c r="N5233" s="2">
        <f>IF(E5233="","",IF(ISNUMBER(SEARCH("SUBSOLO",E5233)),IFERROR(-VALUE(LEFT(E5233,FIND("º",SUBSTITUTE(E5233,"°","º"))-1)),-1),IF(LEFT(E5233,6)="TÉRREO",0,IFERROR(VALUE(LEFT(E5233,FIND("º",SUBSTITUTE(E5233,"°","º"))-1)),""))))</f>
        <v/>
      </c>
      <c r="O5233" s="2">
        <f>IF(OR(F5233="",G5233=""),"",IF(G5233&lt;='RETRATO 2027'!$K$5,"CONCLUÍDA",IF(F5233&lt;='RETRATO 2027'!$K$5,"EM ANDAMENTO","A INICIAR")))</f>
        <v/>
      </c>
    </row>
    <row r="5234">
      <c r="M5234" s="2">
        <f>IF(C5234="","",IFERROR(INDEX($S$5:$S$304,MATCH(C5234,$R$5:$R$304,0))&amp;"","?"))</f>
        <v/>
      </c>
      <c r="N5234" s="2">
        <f>IF(E5234="","",IF(ISNUMBER(SEARCH("SUBSOLO",E5234)),IFERROR(-VALUE(LEFT(E5234,FIND("º",SUBSTITUTE(E5234,"°","º"))-1)),-1),IF(LEFT(E5234,6)="TÉRREO",0,IFERROR(VALUE(LEFT(E5234,FIND("º",SUBSTITUTE(E5234,"°","º"))-1)),""))))</f>
        <v/>
      </c>
      <c r="O5234" s="2">
        <f>IF(OR(F5234="",G5234=""),"",IF(G5234&lt;='RETRATO 2027'!$K$5,"CONCLUÍDA",IF(F5234&lt;='RETRATO 2027'!$K$5,"EM ANDAMENTO","A INICIAR")))</f>
        <v/>
      </c>
    </row>
    <row r="5235">
      <c r="M5235" s="2">
        <f>IF(C5235="","",IFERROR(INDEX($S$5:$S$304,MATCH(C5235,$R$5:$R$304,0))&amp;"","?"))</f>
        <v/>
      </c>
      <c r="N5235" s="2">
        <f>IF(E5235="","",IF(ISNUMBER(SEARCH("SUBSOLO",E5235)),IFERROR(-VALUE(LEFT(E5235,FIND("º",SUBSTITUTE(E5235,"°","º"))-1)),-1),IF(LEFT(E5235,6)="TÉRREO",0,IFERROR(VALUE(LEFT(E5235,FIND("º",SUBSTITUTE(E5235,"°","º"))-1)),""))))</f>
        <v/>
      </c>
      <c r="O5235" s="2">
        <f>IF(OR(F5235="",G5235=""),"",IF(G5235&lt;='RETRATO 2027'!$K$5,"CONCLUÍDA",IF(F5235&lt;='RETRATO 2027'!$K$5,"EM ANDAMENTO","A INICIAR")))</f>
        <v/>
      </c>
    </row>
    <row r="5236">
      <c r="M5236" s="2">
        <f>IF(C5236="","",IFERROR(INDEX($S$5:$S$304,MATCH(C5236,$R$5:$R$304,0))&amp;"","?"))</f>
        <v/>
      </c>
      <c r="N5236" s="2">
        <f>IF(E5236="","",IF(ISNUMBER(SEARCH("SUBSOLO",E5236)),IFERROR(-VALUE(LEFT(E5236,FIND("º",SUBSTITUTE(E5236,"°","º"))-1)),-1),IF(LEFT(E5236,6)="TÉRREO",0,IFERROR(VALUE(LEFT(E5236,FIND("º",SUBSTITUTE(E5236,"°","º"))-1)),""))))</f>
        <v/>
      </c>
      <c r="O5236" s="2">
        <f>IF(OR(F5236="",G5236=""),"",IF(G5236&lt;='RETRATO 2027'!$K$5,"CONCLUÍDA",IF(F5236&lt;='RETRATO 2027'!$K$5,"EM ANDAMENTO","A INICIAR")))</f>
        <v/>
      </c>
    </row>
    <row r="5237">
      <c r="M5237" s="2">
        <f>IF(C5237="","",IFERROR(INDEX($S$5:$S$304,MATCH(C5237,$R$5:$R$304,0))&amp;"","?"))</f>
        <v/>
      </c>
      <c r="N5237" s="2">
        <f>IF(E5237="","",IF(ISNUMBER(SEARCH("SUBSOLO",E5237)),IFERROR(-VALUE(LEFT(E5237,FIND("º",SUBSTITUTE(E5237,"°","º"))-1)),-1),IF(LEFT(E5237,6)="TÉRREO",0,IFERROR(VALUE(LEFT(E5237,FIND("º",SUBSTITUTE(E5237,"°","º"))-1)),""))))</f>
        <v/>
      </c>
      <c r="O5237" s="2">
        <f>IF(OR(F5237="",G5237=""),"",IF(G5237&lt;='RETRATO 2027'!$K$5,"CONCLUÍDA",IF(F5237&lt;='RETRATO 2027'!$K$5,"EM ANDAMENTO","A INICIAR")))</f>
        <v/>
      </c>
    </row>
    <row r="5238">
      <c r="M5238" s="2">
        <f>IF(C5238="","",IFERROR(INDEX($S$5:$S$304,MATCH(C5238,$R$5:$R$304,0))&amp;"","?"))</f>
        <v/>
      </c>
      <c r="N5238" s="2">
        <f>IF(E5238="","",IF(ISNUMBER(SEARCH("SUBSOLO",E5238)),IFERROR(-VALUE(LEFT(E5238,FIND("º",SUBSTITUTE(E5238,"°","º"))-1)),-1),IF(LEFT(E5238,6)="TÉRREO",0,IFERROR(VALUE(LEFT(E5238,FIND("º",SUBSTITUTE(E5238,"°","º"))-1)),""))))</f>
        <v/>
      </c>
      <c r="O5238" s="2">
        <f>IF(OR(F5238="",G5238=""),"",IF(G5238&lt;='RETRATO 2027'!$K$5,"CONCLUÍDA",IF(F5238&lt;='RETRATO 2027'!$K$5,"EM ANDAMENTO","A INICIAR")))</f>
        <v/>
      </c>
    </row>
    <row r="5239">
      <c r="M5239" s="2">
        <f>IF(C5239="","",IFERROR(INDEX($S$5:$S$304,MATCH(C5239,$R$5:$R$304,0))&amp;"","?"))</f>
        <v/>
      </c>
      <c r="N5239" s="2">
        <f>IF(E5239="","",IF(ISNUMBER(SEARCH("SUBSOLO",E5239)),IFERROR(-VALUE(LEFT(E5239,FIND("º",SUBSTITUTE(E5239,"°","º"))-1)),-1),IF(LEFT(E5239,6)="TÉRREO",0,IFERROR(VALUE(LEFT(E5239,FIND("º",SUBSTITUTE(E5239,"°","º"))-1)),""))))</f>
        <v/>
      </c>
      <c r="O5239" s="2">
        <f>IF(OR(F5239="",G5239=""),"",IF(G5239&lt;='RETRATO 2027'!$K$5,"CONCLUÍDA",IF(F5239&lt;='RETRATO 2027'!$K$5,"EM ANDAMENTO","A INICIAR")))</f>
        <v/>
      </c>
    </row>
    <row r="5240">
      <c r="M5240" s="2">
        <f>IF(C5240="","",IFERROR(INDEX($S$5:$S$304,MATCH(C5240,$R$5:$R$304,0))&amp;"","?"))</f>
        <v/>
      </c>
      <c r="N5240" s="2">
        <f>IF(E5240="","",IF(ISNUMBER(SEARCH("SUBSOLO",E5240)),IFERROR(-VALUE(LEFT(E5240,FIND("º",SUBSTITUTE(E5240,"°","º"))-1)),-1),IF(LEFT(E5240,6)="TÉRREO",0,IFERROR(VALUE(LEFT(E5240,FIND("º",SUBSTITUTE(E5240,"°","º"))-1)),""))))</f>
        <v/>
      </c>
      <c r="O5240" s="2">
        <f>IF(OR(F5240="",G5240=""),"",IF(G5240&lt;='RETRATO 2027'!$K$5,"CONCLUÍDA",IF(F5240&lt;='RETRATO 2027'!$K$5,"EM ANDAMENTO","A INICIAR")))</f>
        <v/>
      </c>
    </row>
    <row r="5241">
      <c r="M5241" s="2">
        <f>IF(C5241="","",IFERROR(INDEX($S$5:$S$304,MATCH(C5241,$R$5:$R$304,0))&amp;"","?"))</f>
        <v/>
      </c>
      <c r="N5241" s="2">
        <f>IF(E5241="","",IF(ISNUMBER(SEARCH("SUBSOLO",E5241)),IFERROR(-VALUE(LEFT(E5241,FIND("º",SUBSTITUTE(E5241,"°","º"))-1)),-1),IF(LEFT(E5241,6)="TÉRREO",0,IFERROR(VALUE(LEFT(E5241,FIND("º",SUBSTITUTE(E5241,"°","º"))-1)),""))))</f>
        <v/>
      </c>
      <c r="O5241" s="2">
        <f>IF(OR(F5241="",G5241=""),"",IF(G5241&lt;='RETRATO 2027'!$K$5,"CONCLUÍDA",IF(F5241&lt;='RETRATO 2027'!$K$5,"EM ANDAMENTO","A INICIAR")))</f>
        <v/>
      </c>
    </row>
    <row r="5242">
      <c r="M5242" s="2">
        <f>IF(C5242="","",IFERROR(INDEX($S$5:$S$304,MATCH(C5242,$R$5:$R$304,0))&amp;"","?"))</f>
        <v/>
      </c>
      <c r="N5242" s="2">
        <f>IF(E5242="","",IF(ISNUMBER(SEARCH("SUBSOLO",E5242)),IFERROR(-VALUE(LEFT(E5242,FIND("º",SUBSTITUTE(E5242,"°","º"))-1)),-1),IF(LEFT(E5242,6)="TÉRREO",0,IFERROR(VALUE(LEFT(E5242,FIND("º",SUBSTITUTE(E5242,"°","º"))-1)),""))))</f>
        <v/>
      </c>
      <c r="O5242" s="2">
        <f>IF(OR(F5242="",G5242=""),"",IF(G5242&lt;='RETRATO 2027'!$K$5,"CONCLUÍDA",IF(F5242&lt;='RETRATO 2027'!$K$5,"EM ANDAMENTO","A INICIAR")))</f>
        <v/>
      </c>
    </row>
    <row r="5243">
      <c r="M5243" s="2">
        <f>IF(C5243="","",IFERROR(INDEX($S$5:$S$304,MATCH(C5243,$R$5:$R$304,0))&amp;"","?"))</f>
        <v/>
      </c>
      <c r="N5243" s="2">
        <f>IF(E5243="","",IF(ISNUMBER(SEARCH("SUBSOLO",E5243)),IFERROR(-VALUE(LEFT(E5243,FIND("º",SUBSTITUTE(E5243,"°","º"))-1)),-1),IF(LEFT(E5243,6)="TÉRREO",0,IFERROR(VALUE(LEFT(E5243,FIND("º",SUBSTITUTE(E5243,"°","º"))-1)),""))))</f>
        <v/>
      </c>
      <c r="O5243" s="2">
        <f>IF(OR(F5243="",G5243=""),"",IF(G5243&lt;='RETRATO 2027'!$K$5,"CONCLUÍDA",IF(F5243&lt;='RETRATO 2027'!$K$5,"EM ANDAMENTO","A INICIAR")))</f>
        <v/>
      </c>
    </row>
    <row r="5244">
      <c r="M5244" s="2">
        <f>IF(C5244="","",IFERROR(INDEX($S$5:$S$304,MATCH(C5244,$R$5:$R$304,0))&amp;"","?"))</f>
        <v/>
      </c>
      <c r="N5244" s="2">
        <f>IF(E5244="","",IF(ISNUMBER(SEARCH("SUBSOLO",E5244)),IFERROR(-VALUE(LEFT(E5244,FIND("º",SUBSTITUTE(E5244,"°","º"))-1)),-1),IF(LEFT(E5244,6)="TÉRREO",0,IFERROR(VALUE(LEFT(E5244,FIND("º",SUBSTITUTE(E5244,"°","º"))-1)),""))))</f>
        <v/>
      </c>
      <c r="O5244" s="2">
        <f>IF(OR(F5244="",G5244=""),"",IF(G5244&lt;='RETRATO 2027'!$K$5,"CONCLUÍDA",IF(F5244&lt;='RETRATO 2027'!$K$5,"EM ANDAMENTO","A INICIAR")))</f>
        <v/>
      </c>
    </row>
    <row r="5245">
      <c r="M5245" s="2">
        <f>IF(C5245="","",IFERROR(INDEX($S$5:$S$304,MATCH(C5245,$R$5:$R$304,0))&amp;"","?"))</f>
        <v/>
      </c>
      <c r="N5245" s="2">
        <f>IF(E5245="","",IF(ISNUMBER(SEARCH("SUBSOLO",E5245)),IFERROR(-VALUE(LEFT(E5245,FIND("º",SUBSTITUTE(E5245,"°","º"))-1)),-1),IF(LEFT(E5245,6)="TÉRREO",0,IFERROR(VALUE(LEFT(E5245,FIND("º",SUBSTITUTE(E5245,"°","º"))-1)),""))))</f>
        <v/>
      </c>
      <c r="O5245" s="2">
        <f>IF(OR(F5245="",G5245=""),"",IF(G5245&lt;='RETRATO 2027'!$K$5,"CONCLUÍDA",IF(F5245&lt;='RETRATO 2027'!$K$5,"EM ANDAMENTO","A INICIAR")))</f>
        <v/>
      </c>
    </row>
    <row r="5246">
      <c r="M5246" s="2">
        <f>IF(C5246="","",IFERROR(INDEX($S$5:$S$304,MATCH(C5246,$R$5:$R$304,0))&amp;"","?"))</f>
        <v/>
      </c>
      <c r="N5246" s="2">
        <f>IF(E5246="","",IF(ISNUMBER(SEARCH("SUBSOLO",E5246)),IFERROR(-VALUE(LEFT(E5246,FIND("º",SUBSTITUTE(E5246,"°","º"))-1)),-1),IF(LEFT(E5246,6)="TÉRREO",0,IFERROR(VALUE(LEFT(E5246,FIND("º",SUBSTITUTE(E5246,"°","º"))-1)),""))))</f>
        <v/>
      </c>
      <c r="O5246" s="2">
        <f>IF(OR(F5246="",G5246=""),"",IF(G5246&lt;='RETRATO 2027'!$K$5,"CONCLUÍDA",IF(F5246&lt;='RETRATO 2027'!$K$5,"EM ANDAMENTO","A INICIAR")))</f>
        <v/>
      </c>
    </row>
    <row r="5247">
      <c r="M5247" s="2">
        <f>IF(C5247="","",IFERROR(INDEX($S$5:$S$304,MATCH(C5247,$R$5:$R$304,0))&amp;"","?"))</f>
        <v/>
      </c>
      <c r="N5247" s="2">
        <f>IF(E5247="","",IF(ISNUMBER(SEARCH("SUBSOLO",E5247)),IFERROR(-VALUE(LEFT(E5247,FIND("º",SUBSTITUTE(E5247,"°","º"))-1)),-1),IF(LEFT(E5247,6)="TÉRREO",0,IFERROR(VALUE(LEFT(E5247,FIND("º",SUBSTITUTE(E5247,"°","º"))-1)),""))))</f>
        <v/>
      </c>
      <c r="O5247" s="2">
        <f>IF(OR(F5247="",G5247=""),"",IF(G5247&lt;='RETRATO 2027'!$K$5,"CONCLUÍDA",IF(F5247&lt;='RETRATO 2027'!$K$5,"EM ANDAMENTO","A INICIAR")))</f>
        <v/>
      </c>
    </row>
    <row r="5248">
      <c r="M5248" s="2">
        <f>IF(C5248="","",IFERROR(INDEX($S$5:$S$304,MATCH(C5248,$R$5:$R$304,0))&amp;"","?"))</f>
        <v/>
      </c>
      <c r="N5248" s="2">
        <f>IF(E5248="","",IF(ISNUMBER(SEARCH("SUBSOLO",E5248)),IFERROR(-VALUE(LEFT(E5248,FIND("º",SUBSTITUTE(E5248,"°","º"))-1)),-1),IF(LEFT(E5248,6)="TÉRREO",0,IFERROR(VALUE(LEFT(E5248,FIND("º",SUBSTITUTE(E5248,"°","º"))-1)),""))))</f>
        <v/>
      </c>
      <c r="O5248" s="2">
        <f>IF(OR(F5248="",G5248=""),"",IF(G5248&lt;='RETRATO 2027'!$K$5,"CONCLUÍDA",IF(F5248&lt;='RETRATO 2027'!$K$5,"EM ANDAMENTO","A INICIAR")))</f>
        <v/>
      </c>
    </row>
    <row r="5249">
      <c r="M5249" s="2">
        <f>IF(C5249="","",IFERROR(INDEX($S$5:$S$304,MATCH(C5249,$R$5:$R$304,0))&amp;"","?"))</f>
        <v/>
      </c>
      <c r="N5249" s="2">
        <f>IF(E5249="","",IF(ISNUMBER(SEARCH("SUBSOLO",E5249)),IFERROR(-VALUE(LEFT(E5249,FIND("º",SUBSTITUTE(E5249,"°","º"))-1)),-1),IF(LEFT(E5249,6)="TÉRREO",0,IFERROR(VALUE(LEFT(E5249,FIND("º",SUBSTITUTE(E5249,"°","º"))-1)),""))))</f>
        <v/>
      </c>
      <c r="O5249" s="2">
        <f>IF(OR(F5249="",G5249=""),"",IF(G5249&lt;='RETRATO 2027'!$K$5,"CONCLUÍDA",IF(F5249&lt;='RETRATO 2027'!$K$5,"EM ANDAMENTO","A INICIAR")))</f>
        <v/>
      </c>
    </row>
    <row r="5250">
      <c r="M5250" s="2">
        <f>IF(C5250="","",IFERROR(INDEX($S$5:$S$304,MATCH(C5250,$R$5:$R$304,0))&amp;"","?"))</f>
        <v/>
      </c>
      <c r="N5250" s="2">
        <f>IF(E5250="","",IF(ISNUMBER(SEARCH("SUBSOLO",E5250)),IFERROR(-VALUE(LEFT(E5250,FIND("º",SUBSTITUTE(E5250,"°","º"))-1)),-1),IF(LEFT(E5250,6)="TÉRREO",0,IFERROR(VALUE(LEFT(E5250,FIND("º",SUBSTITUTE(E5250,"°","º"))-1)),""))))</f>
        <v/>
      </c>
      <c r="O5250" s="2">
        <f>IF(OR(F5250="",G5250=""),"",IF(G5250&lt;='RETRATO 2027'!$K$5,"CONCLUÍDA",IF(F5250&lt;='RETRATO 2027'!$K$5,"EM ANDAMENTO","A INICIAR")))</f>
        <v/>
      </c>
    </row>
    <row r="5251">
      <c r="M5251" s="2">
        <f>IF(C5251="","",IFERROR(INDEX($S$5:$S$304,MATCH(C5251,$R$5:$R$304,0))&amp;"","?"))</f>
        <v/>
      </c>
      <c r="N5251" s="2">
        <f>IF(E5251="","",IF(ISNUMBER(SEARCH("SUBSOLO",E5251)),IFERROR(-VALUE(LEFT(E5251,FIND("º",SUBSTITUTE(E5251,"°","º"))-1)),-1),IF(LEFT(E5251,6)="TÉRREO",0,IFERROR(VALUE(LEFT(E5251,FIND("º",SUBSTITUTE(E5251,"°","º"))-1)),""))))</f>
        <v/>
      </c>
      <c r="O5251" s="2">
        <f>IF(OR(F5251="",G5251=""),"",IF(G5251&lt;='RETRATO 2027'!$K$5,"CONCLUÍDA",IF(F5251&lt;='RETRATO 2027'!$K$5,"EM ANDAMENTO","A INICIAR")))</f>
        <v/>
      </c>
    </row>
    <row r="5252">
      <c r="M5252" s="2">
        <f>IF(C5252="","",IFERROR(INDEX($S$5:$S$304,MATCH(C5252,$R$5:$R$304,0))&amp;"","?"))</f>
        <v/>
      </c>
      <c r="N5252" s="2">
        <f>IF(E5252="","",IF(ISNUMBER(SEARCH("SUBSOLO",E5252)),IFERROR(-VALUE(LEFT(E5252,FIND("º",SUBSTITUTE(E5252,"°","º"))-1)),-1),IF(LEFT(E5252,6)="TÉRREO",0,IFERROR(VALUE(LEFT(E5252,FIND("º",SUBSTITUTE(E5252,"°","º"))-1)),""))))</f>
        <v/>
      </c>
      <c r="O5252" s="2">
        <f>IF(OR(F5252="",G5252=""),"",IF(G5252&lt;='RETRATO 2027'!$K$5,"CONCLUÍDA",IF(F5252&lt;='RETRATO 2027'!$K$5,"EM ANDAMENTO","A INICIAR")))</f>
        <v/>
      </c>
    </row>
    <row r="5253">
      <c r="M5253" s="2">
        <f>IF(C5253="","",IFERROR(INDEX($S$5:$S$304,MATCH(C5253,$R$5:$R$304,0))&amp;"","?"))</f>
        <v/>
      </c>
      <c r="N5253" s="2">
        <f>IF(E5253="","",IF(ISNUMBER(SEARCH("SUBSOLO",E5253)),IFERROR(-VALUE(LEFT(E5253,FIND("º",SUBSTITUTE(E5253,"°","º"))-1)),-1),IF(LEFT(E5253,6)="TÉRREO",0,IFERROR(VALUE(LEFT(E5253,FIND("º",SUBSTITUTE(E5253,"°","º"))-1)),""))))</f>
        <v/>
      </c>
      <c r="O5253" s="2">
        <f>IF(OR(F5253="",G5253=""),"",IF(G5253&lt;='RETRATO 2027'!$K$5,"CONCLUÍDA",IF(F5253&lt;='RETRATO 2027'!$K$5,"EM ANDAMENTO","A INICIAR")))</f>
        <v/>
      </c>
    </row>
    <row r="5254">
      <c r="M5254" s="2">
        <f>IF(C5254="","",IFERROR(INDEX($S$5:$S$304,MATCH(C5254,$R$5:$R$304,0))&amp;"","?"))</f>
        <v/>
      </c>
      <c r="N5254" s="2">
        <f>IF(E5254="","",IF(ISNUMBER(SEARCH("SUBSOLO",E5254)),IFERROR(-VALUE(LEFT(E5254,FIND("º",SUBSTITUTE(E5254,"°","º"))-1)),-1),IF(LEFT(E5254,6)="TÉRREO",0,IFERROR(VALUE(LEFT(E5254,FIND("º",SUBSTITUTE(E5254,"°","º"))-1)),""))))</f>
        <v/>
      </c>
      <c r="O5254" s="2">
        <f>IF(OR(F5254="",G5254=""),"",IF(G5254&lt;='RETRATO 2027'!$K$5,"CONCLUÍDA",IF(F5254&lt;='RETRATO 2027'!$K$5,"EM ANDAMENTO","A INICIAR")))</f>
        <v/>
      </c>
    </row>
    <row r="5255">
      <c r="M5255" s="2">
        <f>IF(C5255="","",IFERROR(INDEX($S$5:$S$304,MATCH(C5255,$R$5:$R$304,0))&amp;"","?"))</f>
        <v/>
      </c>
      <c r="N5255" s="2">
        <f>IF(E5255="","",IF(ISNUMBER(SEARCH("SUBSOLO",E5255)),IFERROR(-VALUE(LEFT(E5255,FIND("º",SUBSTITUTE(E5255,"°","º"))-1)),-1),IF(LEFT(E5255,6)="TÉRREO",0,IFERROR(VALUE(LEFT(E5255,FIND("º",SUBSTITUTE(E5255,"°","º"))-1)),""))))</f>
        <v/>
      </c>
      <c r="O5255" s="2">
        <f>IF(OR(F5255="",G5255=""),"",IF(G5255&lt;='RETRATO 2027'!$K$5,"CONCLUÍDA",IF(F5255&lt;='RETRATO 2027'!$K$5,"EM ANDAMENTO","A INICIAR")))</f>
        <v/>
      </c>
    </row>
    <row r="5256">
      <c r="M5256" s="2">
        <f>IF(C5256="","",IFERROR(INDEX($S$5:$S$304,MATCH(C5256,$R$5:$R$304,0))&amp;"","?"))</f>
        <v/>
      </c>
      <c r="N5256" s="2">
        <f>IF(E5256="","",IF(ISNUMBER(SEARCH("SUBSOLO",E5256)),IFERROR(-VALUE(LEFT(E5256,FIND("º",SUBSTITUTE(E5256,"°","º"))-1)),-1),IF(LEFT(E5256,6)="TÉRREO",0,IFERROR(VALUE(LEFT(E5256,FIND("º",SUBSTITUTE(E5256,"°","º"))-1)),""))))</f>
        <v/>
      </c>
      <c r="O5256" s="2">
        <f>IF(OR(F5256="",G5256=""),"",IF(G5256&lt;='RETRATO 2027'!$K$5,"CONCLUÍDA",IF(F5256&lt;='RETRATO 2027'!$K$5,"EM ANDAMENTO","A INICIAR")))</f>
        <v/>
      </c>
    </row>
    <row r="5257">
      <c r="M5257" s="2">
        <f>IF(C5257="","",IFERROR(INDEX($S$5:$S$304,MATCH(C5257,$R$5:$R$304,0))&amp;"","?"))</f>
        <v/>
      </c>
      <c r="N5257" s="2">
        <f>IF(E5257="","",IF(ISNUMBER(SEARCH("SUBSOLO",E5257)),IFERROR(-VALUE(LEFT(E5257,FIND("º",SUBSTITUTE(E5257,"°","º"))-1)),-1),IF(LEFT(E5257,6)="TÉRREO",0,IFERROR(VALUE(LEFT(E5257,FIND("º",SUBSTITUTE(E5257,"°","º"))-1)),""))))</f>
        <v/>
      </c>
      <c r="O5257" s="2">
        <f>IF(OR(F5257="",G5257=""),"",IF(G5257&lt;='RETRATO 2027'!$K$5,"CONCLUÍDA",IF(F5257&lt;='RETRATO 2027'!$K$5,"EM ANDAMENTO","A INICIAR")))</f>
        <v/>
      </c>
    </row>
    <row r="5258">
      <c r="M5258" s="2">
        <f>IF(C5258="","",IFERROR(INDEX($S$5:$S$304,MATCH(C5258,$R$5:$R$304,0))&amp;"","?"))</f>
        <v/>
      </c>
      <c r="N5258" s="2">
        <f>IF(E5258="","",IF(ISNUMBER(SEARCH("SUBSOLO",E5258)),IFERROR(-VALUE(LEFT(E5258,FIND("º",SUBSTITUTE(E5258,"°","º"))-1)),-1),IF(LEFT(E5258,6)="TÉRREO",0,IFERROR(VALUE(LEFT(E5258,FIND("º",SUBSTITUTE(E5258,"°","º"))-1)),""))))</f>
        <v/>
      </c>
      <c r="O5258" s="2">
        <f>IF(OR(F5258="",G5258=""),"",IF(G5258&lt;='RETRATO 2027'!$K$5,"CONCLUÍDA",IF(F5258&lt;='RETRATO 2027'!$K$5,"EM ANDAMENTO","A INICIAR")))</f>
        <v/>
      </c>
    </row>
    <row r="5259">
      <c r="M5259" s="2">
        <f>IF(C5259="","",IFERROR(INDEX($S$5:$S$304,MATCH(C5259,$R$5:$R$304,0))&amp;"","?"))</f>
        <v/>
      </c>
      <c r="N5259" s="2">
        <f>IF(E5259="","",IF(ISNUMBER(SEARCH("SUBSOLO",E5259)),IFERROR(-VALUE(LEFT(E5259,FIND("º",SUBSTITUTE(E5259,"°","º"))-1)),-1),IF(LEFT(E5259,6)="TÉRREO",0,IFERROR(VALUE(LEFT(E5259,FIND("º",SUBSTITUTE(E5259,"°","º"))-1)),""))))</f>
        <v/>
      </c>
      <c r="O5259" s="2">
        <f>IF(OR(F5259="",G5259=""),"",IF(G5259&lt;='RETRATO 2027'!$K$5,"CONCLUÍDA",IF(F5259&lt;='RETRATO 2027'!$K$5,"EM ANDAMENTO","A INICIAR")))</f>
        <v/>
      </c>
    </row>
    <row r="5260">
      <c r="M5260" s="2">
        <f>IF(C5260="","",IFERROR(INDEX($S$5:$S$304,MATCH(C5260,$R$5:$R$304,0))&amp;"","?"))</f>
        <v/>
      </c>
      <c r="N5260" s="2">
        <f>IF(E5260="","",IF(ISNUMBER(SEARCH("SUBSOLO",E5260)),IFERROR(-VALUE(LEFT(E5260,FIND("º",SUBSTITUTE(E5260,"°","º"))-1)),-1),IF(LEFT(E5260,6)="TÉRREO",0,IFERROR(VALUE(LEFT(E5260,FIND("º",SUBSTITUTE(E5260,"°","º"))-1)),""))))</f>
        <v/>
      </c>
      <c r="O5260" s="2">
        <f>IF(OR(F5260="",G5260=""),"",IF(G5260&lt;='RETRATO 2027'!$K$5,"CONCLUÍDA",IF(F5260&lt;='RETRATO 2027'!$K$5,"EM ANDAMENTO","A INICIAR")))</f>
        <v/>
      </c>
    </row>
    <row r="5261">
      <c r="M5261" s="2">
        <f>IF(C5261="","",IFERROR(INDEX($S$5:$S$304,MATCH(C5261,$R$5:$R$304,0))&amp;"","?"))</f>
        <v/>
      </c>
      <c r="N5261" s="2">
        <f>IF(E5261="","",IF(ISNUMBER(SEARCH("SUBSOLO",E5261)),IFERROR(-VALUE(LEFT(E5261,FIND("º",SUBSTITUTE(E5261,"°","º"))-1)),-1),IF(LEFT(E5261,6)="TÉRREO",0,IFERROR(VALUE(LEFT(E5261,FIND("º",SUBSTITUTE(E5261,"°","º"))-1)),""))))</f>
        <v/>
      </c>
      <c r="O5261" s="2">
        <f>IF(OR(F5261="",G5261=""),"",IF(G5261&lt;='RETRATO 2027'!$K$5,"CONCLUÍDA",IF(F5261&lt;='RETRATO 2027'!$K$5,"EM ANDAMENTO","A INICIAR")))</f>
        <v/>
      </c>
    </row>
    <row r="5262">
      <c r="M5262" s="2">
        <f>IF(C5262="","",IFERROR(INDEX($S$5:$S$304,MATCH(C5262,$R$5:$R$304,0))&amp;"","?"))</f>
        <v/>
      </c>
      <c r="N5262" s="2">
        <f>IF(E5262="","",IF(ISNUMBER(SEARCH("SUBSOLO",E5262)),IFERROR(-VALUE(LEFT(E5262,FIND("º",SUBSTITUTE(E5262,"°","º"))-1)),-1),IF(LEFT(E5262,6)="TÉRREO",0,IFERROR(VALUE(LEFT(E5262,FIND("º",SUBSTITUTE(E5262,"°","º"))-1)),""))))</f>
        <v/>
      </c>
      <c r="O5262" s="2">
        <f>IF(OR(F5262="",G5262=""),"",IF(G5262&lt;='RETRATO 2027'!$K$5,"CONCLUÍDA",IF(F5262&lt;='RETRATO 2027'!$K$5,"EM ANDAMENTO","A INICIAR")))</f>
        <v/>
      </c>
    </row>
    <row r="5263">
      <c r="M5263" s="2">
        <f>IF(C5263="","",IFERROR(INDEX($S$5:$S$304,MATCH(C5263,$R$5:$R$304,0))&amp;"","?"))</f>
        <v/>
      </c>
      <c r="N5263" s="2">
        <f>IF(E5263="","",IF(ISNUMBER(SEARCH("SUBSOLO",E5263)),IFERROR(-VALUE(LEFT(E5263,FIND("º",SUBSTITUTE(E5263,"°","º"))-1)),-1),IF(LEFT(E5263,6)="TÉRREO",0,IFERROR(VALUE(LEFT(E5263,FIND("º",SUBSTITUTE(E5263,"°","º"))-1)),""))))</f>
        <v/>
      </c>
      <c r="O5263" s="2">
        <f>IF(OR(F5263="",G5263=""),"",IF(G5263&lt;='RETRATO 2027'!$K$5,"CONCLUÍDA",IF(F5263&lt;='RETRATO 2027'!$K$5,"EM ANDAMENTO","A INICIAR")))</f>
        <v/>
      </c>
    </row>
    <row r="5264">
      <c r="M5264" s="2">
        <f>IF(C5264="","",IFERROR(INDEX($S$5:$S$304,MATCH(C5264,$R$5:$R$304,0))&amp;"","?"))</f>
        <v/>
      </c>
      <c r="N5264" s="2">
        <f>IF(E5264="","",IF(ISNUMBER(SEARCH("SUBSOLO",E5264)),IFERROR(-VALUE(LEFT(E5264,FIND("º",SUBSTITUTE(E5264,"°","º"))-1)),-1),IF(LEFT(E5264,6)="TÉRREO",0,IFERROR(VALUE(LEFT(E5264,FIND("º",SUBSTITUTE(E5264,"°","º"))-1)),""))))</f>
        <v/>
      </c>
      <c r="O5264" s="2">
        <f>IF(OR(F5264="",G5264=""),"",IF(G5264&lt;='RETRATO 2027'!$K$5,"CONCLUÍDA",IF(F5264&lt;='RETRATO 2027'!$K$5,"EM ANDAMENTO","A INICIAR")))</f>
        <v/>
      </c>
    </row>
    <row r="5265">
      <c r="M5265" s="2">
        <f>IF(C5265="","",IFERROR(INDEX($S$5:$S$304,MATCH(C5265,$R$5:$R$304,0))&amp;"","?"))</f>
        <v/>
      </c>
      <c r="N5265" s="2">
        <f>IF(E5265="","",IF(ISNUMBER(SEARCH("SUBSOLO",E5265)),IFERROR(-VALUE(LEFT(E5265,FIND("º",SUBSTITUTE(E5265,"°","º"))-1)),-1),IF(LEFT(E5265,6)="TÉRREO",0,IFERROR(VALUE(LEFT(E5265,FIND("º",SUBSTITUTE(E5265,"°","º"))-1)),""))))</f>
        <v/>
      </c>
      <c r="O5265" s="2">
        <f>IF(OR(F5265="",G5265=""),"",IF(G5265&lt;='RETRATO 2027'!$K$5,"CONCLUÍDA",IF(F5265&lt;='RETRATO 2027'!$K$5,"EM ANDAMENTO","A INICIAR")))</f>
        <v/>
      </c>
    </row>
    <row r="5266">
      <c r="M5266" s="2">
        <f>IF(C5266="","",IFERROR(INDEX($S$5:$S$304,MATCH(C5266,$R$5:$R$304,0))&amp;"","?"))</f>
        <v/>
      </c>
      <c r="N5266" s="2">
        <f>IF(E5266="","",IF(ISNUMBER(SEARCH("SUBSOLO",E5266)),IFERROR(-VALUE(LEFT(E5266,FIND("º",SUBSTITUTE(E5266,"°","º"))-1)),-1),IF(LEFT(E5266,6)="TÉRREO",0,IFERROR(VALUE(LEFT(E5266,FIND("º",SUBSTITUTE(E5266,"°","º"))-1)),""))))</f>
        <v/>
      </c>
      <c r="O5266" s="2">
        <f>IF(OR(F5266="",G5266=""),"",IF(G5266&lt;='RETRATO 2027'!$K$5,"CONCLUÍDA",IF(F5266&lt;='RETRATO 2027'!$K$5,"EM ANDAMENTO","A INICIAR")))</f>
        <v/>
      </c>
    </row>
    <row r="5267">
      <c r="M5267" s="2">
        <f>IF(C5267="","",IFERROR(INDEX($S$5:$S$304,MATCH(C5267,$R$5:$R$304,0))&amp;"","?"))</f>
        <v/>
      </c>
      <c r="N5267" s="2">
        <f>IF(E5267="","",IF(ISNUMBER(SEARCH("SUBSOLO",E5267)),IFERROR(-VALUE(LEFT(E5267,FIND("º",SUBSTITUTE(E5267,"°","º"))-1)),-1),IF(LEFT(E5267,6)="TÉRREO",0,IFERROR(VALUE(LEFT(E5267,FIND("º",SUBSTITUTE(E5267,"°","º"))-1)),""))))</f>
        <v/>
      </c>
      <c r="O5267" s="2">
        <f>IF(OR(F5267="",G5267=""),"",IF(G5267&lt;='RETRATO 2027'!$K$5,"CONCLUÍDA",IF(F5267&lt;='RETRATO 2027'!$K$5,"EM ANDAMENTO","A INICIAR")))</f>
        <v/>
      </c>
    </row>
    <row r="5268">
      <c r="M5268" s="2">
        <f>IF(C5268="","",IFERROR(INDEX($S$5:$S$304,MATCH(C5268,$R$5:$R$304,0))&amp;"","?"))</f>
        <v/>
      </c>
      <c r="N5268" s="2">
        <f>IF(E5268="","",IF(ISNUMBER(SEARCH("SUBSOLO",E5268)),IFERROR(-VALUE(LEFT(E5268,FIND("º",SUBSTITUTE(E5268,"°","º"))-1)),-1),IF(LEFT(E5268,6)="TÉRREO",0,IFERROR(VALUE(LEFT(E5268,FIND("º",SUBSTITUTE(E5268,"°","º"))-1)),""))))</f>
        <v/>
      </c>
      <c r="O5268" s="2">
        <f>IF(OR(F5268="",G5268=""),"",IF(G5268&lt;='RETRATO 2027'!$K$5,"CONCLUÍDA",IF(F5268&lt;='RETRATO 2027'!$K$5,"EM ANDAMENTO","A INICIAR")))</f>
        <v/>
      </c>
    </row>
    <row r="5269">
      <c r="M5269" s="2">
        <f>IF(C5269="","",IFERROR(INDEX($S$5:$S$304,MATCH(C5269,$R$5:$R$304,0))&amp;"","?"))</f>
        <v/>
      </c>
      <c r="N5269" s="2">
        <f>IF(E5269="","",IF(ISNUMBER(SEARCH("SUBSOLO",E5269)),IFERROR(-VALUE(LEFT(E5269,FIND("º",SUBSTITUTE(E5269,"°","º"))-1)),-1),IF(LEFT(E5269,6)="TÉRREO",0,IFERROR(VALUE(LEFT(E5269,FIND("º",SUBSTITUTE(E5269,"°","º"))-1)),""))))</f>
        <v/>
      </c>
      <c r="O5269" s="2">
        <f>IF(OR(F5269="",G5269=""),"",IF(G5269&lt;='RETRATO 2027'!$K$5,"CONCLUÍDA",IF(F5269&lt;='RETRATO 2027'!$K$5,"EM ANDAMENTO","A INICIAR")))</f>
        <v/>
      </c>
    </row>
    <row r="5270">
      <c r="M5270" s="2">
        <f>IF(C5270="","",IFERROR(INDEX($S$5:$S$304,MATCH(C5270,$R$5:$R$304,0))&amp;"","?"))</f>
        <v/>
      </c>
      <c r="N5270" s="2">
        <f>IF(E5270="","",IF(ISNUMBER(SEARCH("SUBSOLO",E5270)),IFERROR(-VALUE(LEFT(E5270,FIND("º",SUBSTITUTE(E5270,"°","º"))-1)),-1),IF(LEFT(E5270,6)="TÉRREO",0,IFERROR(VALUE(LEFT(E5270,FIND("º",SUBSTITUTE(E5270,"°","º"))-1)),""))))</f>
        <v/>
      </c>
      <c r="O5270" s="2">
        <f>IF(OR(F5270="",G5270=""),"",IF(G5270&lt;='RETRATO 2027'!$K$5,"CONCLUÍDA",IF(F5270&lt;='RETRATO 2027'!$K$5,"EM ANDAMENTO","A INICIAR")))</f>
        <v/>
      </c>
    </row>
    <row r="5271">
      <c r="M5271" s="2">
        <f>IF(C5271="","",IFERROR(INDEX($S$5:$S$304,MATCH(C5271,$R$5:$R$304,0))&amp;"","?"))</f>
        <v/>
      </c>
      <c r="N5271" s="2">
        <f>IF(E5271="","",IF(ISNUMBER(SEARCH("SUBSOLO",E5271)),IFERROR(-VALUE(LEFT(E5271,FIND("º",SUBSTITUTE(E5271,"°","º"))-1)),-1),IF(LEFT(E5271,6)="TÉRREO",0,IFERROR(VALUE(LEFT(E5271,FIND("º",SUBSTITUTE(E5271,"°","º"))-1)),""))))</f>
        <v/>
      </c>
      <c r="O5271" s="2">
        <f>IF(OR(F5271="",G5271=""),"",IF(G5271&lt;='RETRATO 2027'!$K$5,"CONCLUÍDA",IF(F5271&lt;='RETRATO 2027'!$K$5,"EM ANDAMENTO","A INICIAR")))</f>
        <v/>
      </c>
    </row>
    <row r="5272">
      <c r="M5272" s="2">
        <f>IF(C5272="","",IFERROR(INDEX($S$5:$S$304,MATCH(C5272,$R$5:$R$304,0))&amp;"","?"))</f>
        <v/>
      </c>
      <c r="N5272" s="2">
        <f>IF(E5272="","",IF(ISNUMBER(SEARCH("SUBSOLO",E5272)),IFERROR(-VALUE(LEFT(E5272,FIND("º",SUBSTITUTE(E5272,"°","º"))-1)),-1),IF(LEFT(E5272,6)="TÉRREO",0,IFERROR(VALUE(LEFT(E5272,FIND("º",SUBSTITUTE(E5272,"°","º"))-1)),""))))</f>
        <v/>
      </c>
      <c r="O5272" s="2">
        <f>IF(OR(F5272="",G5272=""),"",IF(G5272&lt;='RETRATO 2027'!$K$5,"CONCLUÍDA",IF(F5272&lt;='RETRATO 2027'!$K$5,"EM ANDAMENTO","A INICIAR")))</f>
        <v/>
      </c>
    </row>
    <row r="5273">
      <c r="M5273" s="2">
        <f>IF(C5273="","",IFERROR(INDEX($S$5:$S$304,MATCH(C5273,$R$5:$R$304,0))&amp;"","?"))</f>
        <v/>
      </c>
      <c r="N5273" s="2">
        <f>IF(E5273="","",IF(ISNUMBER(SEARCH("SUBSOLO",E5273)),IFERROR(-VALUE(LEFT(E5273,FIND("º",SUBSTITUTE(E5273,"°","º"))-1)),-1),IF(LEFT(E5273,6)="TÉRREO",0,IFERROR(VALUE(LEFT(E5273,FIND("º",SUBSTITUTE(E5273,"°","º"))-1)),""))))</f>
        <v/>
      </c>
      <c r="O5273" s="2">
        <f>IF(OR(F5273="",G5273=""),"",IF(G5273&lt;='RETRATO 2027'!$K$5,"CONCLUÍDA",IF(F5273&lt;='RETRATO 2027'!$K$5,"EM ANDAMENTO","A INICIAR")))</f>
        <v/>
      </c>
    </row>
    <row r="5274">
      <c r="M5274" s="2">
        <f>IF(C5274="","",IFERROR(INDEX($S$5:$S$304,MATCH(C5274,$R$5:$R$304,0))&amp;"","?"))</f>
        <v/>
      </c>
      <c r="N5274" s="2">
        <f>IF(E5274="","",IF(ISNUMBER(SEARCH("SUBSOLO",E5274)),IFERROR(-VALUE(LEFT(E5274,FIND("º",SUBSTITUTE(E5274,"°","º"))-1)),-1),IF(LEFT(E5274,6)="TÉRREO",0,IFERROR(VALUE(LEFT(E5274,FIND("º",SUBSTITUTE(E5274,"°","º"))-1)),""))))</f>
        <v/>
      </c>
      <c r="O5274" s="2">
        <f>IF(OR(F5274="",G5274=""),"",IF(G5274&lt;='RETRATO 2027'!$K$5,"CONCLUÍDA",IF(F5274&lt;='RETRATO 2027'!$K$5,"EM ANDAMENTO","A INICIAR")))</f>
        <v/>
      </c>
    </row>
    <row r="5275">
      <c r="M5275" s="2">
        <f>IF(C5275="","",IFERROR(INDEX($S$5:$S$304,MATCH(C5275,$R$5:$R$304,0))&amp;"","?"))</f>
        <v/>
      </c>
      <c r="N5275" s="2">
        <f>IF(E5275="","",IF(ISNUMBER(SEARCH("SUBSOLO",E5275)),IFERROR(-VALUE(LEFT(E5275,FIND("º",SUBSTITUTE(E5275,"°","º"))-1)),-1),IF(LEFT(E5275,6)="TÉRREO",0,IFERROR(VALUE(LEFT(E5275,FIND("º",SUBSTITUTE(E5275,"°","º"))-1)),""))))</f>
        <v/>
      </c>
      <c r="O5275" s="2">
        <f>IF(OR(F5275="",G5275=""),"",IF(G5275&lt;='RETRATO 2027'!$K$5,"CONCLUÍDA",IF(F5275&lt;='RETRATO 2027'!$K$5,"EM ANDAMENTO","A INICIAR")))</f>
        <v/>
      </c>
    </row>
    <row r="5276">
      <c r="M5276" s="2">
        <f>IF(C5276="","",IFERROR(INDEX($S$5:$S$304,MATCH(C5276,$R$5:$R$304,0))&amp;"","?"))</f>
        <v/>
      </c>
      <c r="N5276" s="2">
        <f>IF(E5276="","",IF(ISNUMBER(SEARCH("SUBSOLO",E5276)),IFERROR(-VALUE(LEFT(E5276,FIND("º",SUBSTITUTE(E5276,"°","º"))-1)),-1),IF(LEFT(E5276,6)="TÉRREO",0,IFERROR(VALUE(LEFT(E5276,FIND("º",SUBSTITUTE(E5276,"°","º"))-1)),""))))</f>
        <v/>
      </c>
      <c r="O5276" s="2">
        <f>IF(OR(F5276="",G5276=""),"",IF(G5276&lt;='RETRATO 2027'!$K$5,"CONCLUÍDA",IF(F5276&lt;='RETRATO 2027'!$K$5,"EM ANDAMENTO","A INICIAR")))</f>
        <v/>
      </c>
    </row>
    <row r="5277">
      <c r="M5277" s="2">
        <f>IF(C5277="","",IFERROR(INDEX($S$5:$S$304,MATCH(C5277,$R$5:$R$304,0))&amp;"","?"))</f>
        <v/>
      </c>
      <c r="N5277" s="2">
        <f>IF(E5277="","",IF(ISNUMBER(SEARCH("SUBSOLO",E5277)),IFERROR(-VALUE(LEFT(E5277,FIND("º",SUBSTITUTE(E5277,"°","º"))-1)),-1),IF(LEFT(E5277,6)="TÉRREO",0,IFERROR(VALUE(LEFT(E5277,FIND("º",SUBSTITUTE(E5277,"°","º"))-1)),""))))</f>
        <v/>
      </c>
      <c r="O5277" s="2">
        <f>IF(OR(F5277="",G5277=""),"",IF(G5277&lt;='RETRATO 2027'!$K$5,"CONCLUÍDA",IF(F5277&lt;='RETRATO 2027'!$K$5,"EM ANDAMENTO","A INICIAR")))</f>
        <v/>
      </c>
    </row>
    <row r="5278">
      <c r="M5278" s="2">
        <f>IF(C5278="","",IFERROR(INDEX($S$5:$S$304,MATCH(C5278,$R$5:$R$304,0))&amp;"","?"))</f>
        <v/>
      </c>
      <c r="N5278" s="2">
        <f>IF(E5278="","",IF(ISNUMBER(SEARCH("SUBSOLO",E5278)),IFERROR(-VALUE(LEFT(E5278,FIND("º",SUBSTITUTE(E5278,"°","º"))-1)),-1),IF(LEFT(E5278,6)="TÉRREO",0,IFERROR(VALUE(LEFT(E5278,FIND("º",SUBSTITUTE(E5278,"°","º"))-1)),""))))</f>
        <v/>
      </c>
      <c r="O5278" s="2">
        <f>IF(OR(F5278="",G5278=""),"",IF(G5278&lt;='RETRATO 2027'!$K$5,"CONCLUÍDA",IF(F5278&lt;='RETRATO 2027'!$K$5,"EM ANDAMENTO","A INICIAR")))</f>
        <v/>
      </c>
    </row>
    <row r="5279">
      <c r="M5279" s="2">
        <f>IF(C5279="","",IFERROR(INDEX($S$5:$S$304,MATCH(C5279,$R$5:$R$304,0))&amp;"","?"))</f>
        <v/>
      </c>
      <c r="N5279" s="2">
        <f>IF(E5279="","",IF(ISNUMBER(SEARCH("SUBSOLO",E5279)),IFERROR(-VALUE(LEFT(E5279,FIND("º",SUBSTITUTE(E5279,"°","º"))-1)),-1),IF(LEFT(E5279,6)="TÉRREO",0,IFERROR(VALUE(LEFT(E5279,FIND("º",SUBSTITUTE(E5279,"°","º"))-1)),""))))</f>
        <v/>
      </c>
      <c r="O5279" s="2">
        <f>IF(OR(F5279="",G5279=""),"",IF(G5279&lt;='RETRATO 2027'!$K$5,"CONCLUÍDA",IF(F5279&lt;='RETRATO 2027'!$K$5,"EM ANDAMENTO","A INICIAR")))</f>
        <v/>
      </c>
    </row>
    <row r="5280">
      <c r="M5280" s="2">
        <f>IF(C5280="","",IFERROR(INDEX($S$5:$S$304,MATCH(C5280,$R$5:$R$304,0))&amp;"","?"))</f>
        <v/>
      </c>
      <c r="N5280" s="2">
        <f>IF(E5280="","",IF(ISNUMBER(SEARCH("SUBSOLO",E5280)),IFERROR(-VALUE(LEFT(E5280,FIND("º",SUBSTITUTE(E5280,"°","º"))-1)),-1),IF(LEFT(E5280,6)="TÉRREO",0,IFERROR(VALUE(LEFT(E5280,FIND("º",SUBSTITUTE(E5280,"°","º"))-1)),""))))</f>
        <v/>
      </c>
      <c r="O5280" s="2">
        <f>IF(OR(F5280="",G5280=""),"",IF(G5280&lt;='RETRATO 2027'!$K$5,"CONCLUÍDA",IF(F5280&lt;='RETRATO 2027'!$K$5,"EM ANDAMENTO","A INICIAR")))</f>
        <v/>
      </c>
    </row>
    <row r="5281">
      <c r="M5281" s="2">
        <f>IF(C5281="","",IFERROR(INDEX($S$5:$S$304,MATCH(C5281,$R$5:$R$304,0))&amp;"","?"))</f>
        <v/>
      </c>
      <c r="N5281" s="2">
        <f>IF(E5281="","",IF(ISNUMBER(SEARCH("SUBSOLO",E5281)),IFERROR(-VALUE(LEFT(E5281,FIND("º",SUBSTITUTE(E5281,"°","º"))-1)),-1),IF(LEFT(E5281,6)="TÉRREO",0,IFERROR(VALUE(LEFT(E5281,FIND("º",SUBSTITUTE(E5281,"°","º"))-1)),""))))</f>
        <v/>
      </c>
      <c r="O5281" s="2">
        <f>IF(OR(F5281="",G5281=""),"",IF(G5281&lt;='RETRATO 2027'!$K$5,"CONCLUÍDA",IF(F5281&lt;='RETRATO 2027'!$K$5,"EM ANDAMENTO","A INICIAR")))</f>
        <v/>
      </c>
    </row>
    <row r="5282">
      <c r="M5282" s="2">
        <f>IF(C5282="","",IFERROR(INDEX($S$5:$S$304,MATCH(C5282,$R$5:$R$304,0))&amp;"","?"))</f>
        <v/>
      </c>
      <c r="N5282" s="2">
        <f>IF(E5282="","",IF(ISNUMBER(SEARCH("SUBSOLO",E5282)),IFERROR(-VALUE(LEFT(E5282,FIND("º",SUBSTITUTE(E5282,"°","º"))-1)),-1),IF(LEFT(E5282,6)="TÉRREO",0,IFERROR(VALUE(LEFT(E5282,FIND("º",SUBSTITUTE(E5282,"°","º"))-1)),""))))</f>
        <v/>
      </c>
      <c r="O5282" s="2">
        <f>IF(OR(F5282="",G5282=""),"",IF(G5282&lt;='RETRATO 2027'!$K$5,"CONCLUÍDA",IF(F5282&lt;='RETRATO 2027'!$K$5,"EM ANDAMENTO","A INICIAR")))</f>
        <v/>
      </c>
    </row>
    <row r="5283">
      <c r="M5283" s="2">
        <f>IF(C5283="","",IFERROR(INDEX($S$5:$S$304,MATCH(C5283,$R$5:$R$304,0))&amp;"","?"))</f>
        <v/>
      </c>
      <c r="N5283" s="2">
        <f>IF(E5283="","",IF(ISNUMBER(SEARCH("SUBSOLO",E5283)),IFERROR(-VALUE(LEFT(E5283,FIND("º",SUBSTITUTE(E5283,"°","º"))-1)),-1),IF(LEFT(E5283,6)="TÉRREO",0,IFERROR(VALUE(LEFT(E5283,FIND("º",SUBSTITUTE(E5283,"°","º"))-1)),""))))</f>
        <v/>
      </c>
      <c r="O5283" s="2">
        <f>IF(OR(F5283="",G5283=""),"",IF(G5283&lt;='RETRATO 2027'!$K$5,"CONCLUÍDA",IF(F5283&lt;='RETRATO 2027'!$K$5,"EM ANDAMENTO","A INICIAR")))</f>
        <v/>
      </c>
    </row>
    <row r="5284">
      <c r="M5284" s="2">
        <f>IF(C5284="","",IFERROR(INDEX($S$5:$S$304,MATCH(C5284,$R$5:$R$304,0))&amp;"","?"))</f>
        <v/>
      </c>
      <c r="N5284" s="2">
        <f>IF(E5284="","",IF(ISNUMBER(SEARCH("SUBSOLO",E5284)),IFERROR(-VALUE(LEFT(E5284,FIND("º",SUBSTITUTE(E5284,"°","º"))-1)),-1),IF(LEFT(E5284,6)="TÉRREO",0,IFERROR(VALUE(LEFT(E5284,FIND("º",SUBSTITUTE(E5284,"°","º"))-1)),""))))</f>
        <v/>
      </c>
      <c r="O5284" s="2">
        <f>IF(OR(F5284="",G5284=""),"",IF(G5284&lt;='RETRATO 2027'!$K$5,"CONCLUÍDA",IF(F5284&lt;='RETRATO 2027'!$K$5,"EM ANDAMENTO","A INICIAR")))</f>
        <v/>
      </c>
    </row>
    <row r="5285">
      <c r="M5285" s="2">
        <f>IF(C5285="","",IFERROR(INDEX($S$5:$S$304,MATCH(C5285,$R$5:$R$304,0))&amp;"","?"))</f>
        <v/>
      </c>
      <c r="N5285" s="2">
        <f>IF(E5285="","",IF(ISNUMBER(SEARCH("SUBSOLO",E5285)),IFERROR(-VALUE(LEFT(E5285,FIND("º",SUBSTITUTE(E5285,"°","º"))-1)),-1),IF(LEFT(E5285,6)="TÉRREO",0,IFERROR(VALUE(LEFT(E5285,FIND("º",SUBSTITUTE(E5285,"°","º"))-1)),""))))</f>
        <v/>
      </c>
      <c r="O5285" s="2">
        <f>IF(OR(F5285="",G5285=""),"",IF(G5285&lt;='RETRATO 2027'!$K$5,"CONCLUÍDA",IF(F5285&lt;='RETRATO 2027'!$K$5,"EM ANDAMENTO","A INICIAR")))</f>
        <v/>
      </c>
    </row>
    <row r="5286">
      <c r="M5286" s="2">
        <f>IF(C5286="","",IFERROR(INDEX($S$5:$S$304,MATCH(C5286,$R$5:$R$304,0))&amp;"","?"))</f>
        <v/>
      </c>
      <c r="N5286" s="2">
        <f>IF(E5286="","",IF(ISNUMBER(SEARCH("SUBSOLO",E5286)),IFERROR(-VALUE(LEFT(E5286,FIND("º",SUBSTITUTE(E5286,"°","º"))-1)),-1),IF(LEFT(E5286,6)="TÉRREO",0,IFERROR(VALUE(LEFT(E5286,FIND("º",SUBSTITUTE(E5286,"°","º"))-1)),""))))</f>
        <v/>
      </c>
      <c r="O5286" s="2">
        <f>IF(OR(F5286="",G5286=""),"",IF(G5286&lt;='RETRATO 2027'!$K$5,"CONCLUÍDA",IF(F5286&lt;='RETRATO 2027'!$K$5,"EM ANDAMENTO","A INICIAR")))</f>
        <v/>
      </c>
    </row>
    <row r="5287">
      <c r="M5287" s="2">
        <f>IF(C5287="","",IFERROR(INDEX($S$5:$S$304,MATCH(C5287,$R$5:$R$304,0))&amp;"","?"))</f>
        <v/>
      </c>
      <c r="N5287" s="2">
        <f>IF(E5287="","",IF(ISNUMBER(SEARCH("SUBSOLO",E5287)),IFERROR(-VALUE(LEFT(E5287,FIND("º",SUBSTITUTE(E5287,"°","º"))-1)),-1),IF(LEFT(E5287,6)="TÉRREO",0,IFERROR(VALUE(LEFT(E5287,FIND("º",SUBSTITUTE(E5287,"°","º"))-1)),""))))</f>
        <v/>
      </c>
      <c r="O5287" s="2">
        <f>IF(OR(F5287="",G5287=""),"",IF(G5287&lt;='RETRATO 2027'!$K$5,"CONCLUÍDA",IF(F5287&lt;='RETRATO 2027'!$K$5,"EM ANDAMENTO","A INICIAR")))</f>
        <v/>
      </c>
    </row>
    <row r="5288">
      <c r="M5288" s="2">
        <f>IF(C5288="","",IFERROR(INDEX($S$5:$S$304,MATCH(C5288,$R$5:$R$304,0))&amp;"","?"))</f>
        <v/>
      </c>
      <c r="N5288" s="2">
        <f>IF(E5288="","",IF(ISNUMBER(SEARCH("SUBSOLO",E5288)),IFERROR(-VALUE(LEFT(E5288,FIND("º",SUBSTITUTE(E5288,"°","º"))-1)),-1),IF(LEFT(E5288,6)="TÉRREO",0,IFERROR(VALUE(LEFT(E5288,FIND("º",SUBSTITUTE(E5288,"°","º"))-1)),""))))</f>
        <v/>
      </c>
      <c r="O5288" s="2">
        <f>IF(OR(F5288="",G5288=""),"",IF(G5288&lt;='RETRATO 2027'!$K$5,"CONCLUÍDA",IF(F5288&lt;='RETRATO 2027'!$K$5,"EM ANDAMENTO","A INICIAR")))</f>
        <v/>
      </c>
    </row>
    <row r="5289">
      <c r="M5289" s="2">
        <f>IF(C5289="","",IFERROR(INDEX($S$5:$S$304,MATCH(C5289,$R$5:$R$304,0))&amp;"","?"))</f>
        <v/>
      </c>
      <c r="N5289" s="2">
        <f>IF(E5289="","",IF(ISNUMBER(SEARCH("SUBSOLO",E5289)),IFERROR(-VALUE(LEFT(E5289,FIND("º",SUBSTITUTE(E5289,"°","º"))-1)),-1),IF(LEFT(E5289,6)="TÉRREO",0,IFERROR(VALUE(LEFT(E5289,FIND("º",SUBSTITUTE(E5289,"°","º"))-1)),""))))</f>
        <v/>
      </c>
      <c r="O5289" s="2">
        <f>IF(OR(F5289="",G5289=""),"",IF(G5289&lt;='RETRATO 2027'!$K$5,"CONCLUÍDA",IF(F5289&lt;='RETRATO 2027'!$K$5,"EM ANDAMENTO","A INICIAR")))</f>
        <v/>
      </c>
    </row>
    <row r="5290">
      <c r="M5290" s="2">
        <f>IF(C5290="","",IFERROR(INDEX($S$5:$S$304,MATCH(C5290,$R$5:$R$304,0))&amp;"","?"))</f>
        <v/>
      </c>
      <c r="N5290" s="2">
        <f>IF(E5290="","",IF(ISNUMBER(SEARCH("SUBSOLO",E5290)),IFERROR(-VALUE(LEFT(E5290,FIND("º",SUBSTITUTE(E5290,"°","º"))-1)),-1),IF(LEFT(E5290,6)="TÉRREO",0,IFERROR(VALUE(LEFT(E5290,FIND("º",SUBSTITUTE(E5290,"°","º"))-1)),""))))</f>
        <v/>
      </c>
      <c r="O5290" s="2">
        <f>IF(OR(F5290="",G5290=""),"",IF(G5290&lt;='RETRATO 2027'!$K$5,"CONCLUÍDA",IF(F5290&lt;='RETRATO 2027'!$K$5,"EM ANDAMENTO","A INICIAR")))</f>
        <v/>
      </c>
    </row>
    <row r="5291">
      <c r="M5291" s="2">
        <f>IF(C5291="","",IFERROR(INDEX($S$5:$S$304,MATCH(C5291,$R$5:$R$304,0))&amp;"","?"))</f>
        <v/>
      </c>
      <c r="N5291" s="2">
        <f>IF(E5291="","",IF(ISNUMBER(SEARCH("SUBSOLO",E5291)),IFERROR(-VALUE(LEFT(E5291,FIND("º",SUBSTITUTE(E5291,"°","º"))-1)),-1),IF(LEFT(E5291,6)="TÉRREO",0,IFERROR(VALUE(LEFT(E5291,FIND("º",SUBSTITUTE(E5291,"°","º"))-1)),""))))</f>
        <v/>
      </c>
      <c r="O5291" s="2">
        <f>IF(OR(F5291="",G5291=""),"",IF(G5291&lt;='RETRATO 2027'!$K$5,"CONCLUÍDA",IF(F5291&lt;='RETRATO 2027'!$K$5,"EM ANDAMENTO","A INICIAR")))</f>
        <v/>
      </c>
    </row>
    <row r="5292">
      <c r="M5292" s="2">
        <f>IF(C5292="","",IFERROR(INDEX($S$5:$S$304,MATCH(C5292,$R$5:$R$304,0))&amp;"","?"))</f>
        <v/>
      </c>
      <c r="N5292" s="2">
        <f>IF(E5292="","",IF(ISNUMBER(SEARCH("SUBSOLO",E5292)),IFERROR(-VALUE(LEFT(E5292,FIND("º",SUBSTITUTE(E5292,"°","º"))-1)),-1),IF(LEFT(E5292,6)="TÉRREO",0,IFERROR(VALUE(LEFT(E5292,FIND("º",SUBSTITUTE(E5292,"°","º"))-1)),""))))</f>
        <v/>
      </c>
      <c r="O5292" s="2">
        <f>IF(OR(F5292="",G5292=""),"",IF(G5292&lt;='RETRATO 2027'!$K$5,"CONCLUÍDA",IF(F5292&lt;='RETRATO 2027'!$K$5,"EM ANDAMENTO","A INICIAR")))</f>
        <v/>
      </c>
    </row>
    <row r="5293">
      <c r="M5293" s="2">
        <f>IF(C5293="","",IFERROR(INDEX($S$5:$S$304,MATCH(C5293,$R$5:$R$304,0))&amp;"","?"))</f>
        <v/>
      </c>
      <c r="N5293" s="2">
        <f>IF(E5293="","",IF(ISNUMBER(SEARCH("SUBSOLO",E5293)),IFERROR(-VALUE(LEFT(E5293,FIND("º",SUBSTITUTE(E5293,"°","º"))-1)),-1),IF(LEFT(E5293,6)="TÉRREO",0,IFERROR(VALUE(LEFT(E5293,FIND("º",SUBSTITUTE(E5293,"°","º"))-1)),""))))</f>
        <v/>
      </c>
      <c r="O5293" s="2">
        <f>IF(OR(F5293="",G5293=""),"",IF(G5293&lt;='RETRATO 2027'!$K$5,"CONCLUÍDA",IF(F5293&lt;='RETRATO 2027'!$K$5,"EM ANDAMENTO","A INICIAR")))</f>
        <v/>
      </c>
    </row>
    <row r="5294">
      <c r="M5294" s="2">
        <f>IF(C5294="","",IFERROR(INDEX($S$5:$S$304,MATCH(C5294,$R$5:$R$304,0))&amp;"","?"))</f>
        <v/>
      </c>
      <c r="N5294" s="2">
        <f>IF(E5294="","",IF(ISNUMBER(SEARCH("SUBSOLO",E5294)),IFERROR(-VALUE(LEFT(E5294,FIND("º",SUBSTITUTE(E5294,"°","º"))-1)),-1),IF(LEFT(E5294,6)="TÉRREO",0,IFERROR(VALUE(LEFT(E5294,FIND("º",SUBSTITUTE(E5294,"°","º"))-1)),""))))</f>
        <v/>
      </c>
      <c r="O5294" s="2">
        <f>IF(OR(F5294="",G5294=""),"",IF(G5294&lt;='RETRATO 2027'!$K$5,"CONCLUÍDA",IF(F5294&lt;='RETRATO 2027'!$K$5,"EM ANDAMENTO","A INICIAR")))</f>
        <v/>
      </c>
    </row>
    <row r="5295">
      <c r="M5295" s="2">
        <f>IF(C5295="","",IFERROR(INDEX($S$5:$S$304,MATCH(C5295,$R$5:$R$304,0))&amp;"","?"))</f>
        <v/>
      </c>
      <c r="N5295" s="2">
        <f>IF(E5295="","",IF(ISNUMBER(SEARCH("SUBSOLO",E5295)),IFERROR(-VALUE(LEFT(E5295,FIND("º",SUBSTITUTE(E5295,"°","º"))-1)),-1),IF(LEFT(E5295,6)="TÉRREO",0,IFERROR(VALUE(LEFT(E5295,FIND("º",SUBSTITUTE(E5295,"°","º"))-1)),""))))</f>
        <v/>
      </c>
      <c r="O5295" s="2">
        <f>IF(OR(F5295="",G5295=""),"",IF(G5295&lt;='RETRATO 2027'!$K$5,"CONCLUÍDA",IF(F5295&lt;='RETRATO 2027'!$K$5,"EM ANDAMENTO","A INICIAR")))</f>
        <v/>
      </c>
    </row>
    <row r="5296">
      <c r="M5296" s="2">
        <f>IF(C5296="","",IFERROR(INDEX($S$5:$S$304,MATCH(C5296,$R$5:$R$304,0))&amp;"","?"))</f>
        <v/>
      </c>
      <c r="N5296" s="2">
        <f>IF(E5296="","",IF(ISNUMBER(SEARCH("SUBSOLO",E5296)),IFERROR(-VALUE(LEFT(E5296,FIND("º",SUBSTITUTE(E5296,"°","º"))-1)),-1),IF(LEFT(E5296,6)="TÉRREO",0,IFERROR(VALUE(LEFT(E5296,FIND("º",SUBSTITUTE(E5296,"°","º"))-1)),""))))</f>
        <v/>
      </c>
      <c r="O5296" s="2">
        <f>IF(OR(F5296="",G5296=""),"",IF(G5296&lt;='RETRATO 2027'!$K$5,"CONCLUÍDA",IF(F5296&lt;='RETRATO 2027'!$K$5,"EM ANDAMENTO","A INICIAR")))</f>
        <v/>
      </c>
    </row>
    <row r="5297">
      <c r="M5297" s="2">
        <f>IF(C5297="","",IFERROR(INDEX($S$5:$S$304,MATCH(C5297,$R$5:$R$304,0))&amp;"","?"))</f>
        <v/>
      </c>
      <c r="N5297" s="2">
        <f>IF(E5297="","",IF(ISNUMBER(SEARCH("SUBSOLO",E5297)),IFERROR(-VALUE(LEFT(E5297,FIND("º",SUBSTITUTE(E5297,"°","º"))-1)),-1),IF(LEFT(E5297,6)="TÉRREO",0,IFERROR(VALUE(LEFT(E5297,FIND("º",SUBSTITUTE(E5297,"°","º"))-1)),""))))</f>
        <v/>
      </c>
      <c r="O5297" s="2">
        <f>IF(OR(F5297="",G5297=""),"",IF(G5297&lt;='RETRATO 2027'!$K$5,"CONCLUÍDA",IF(F5297&lt;='RETRATO 2027'!$K$5,"EM ANDAMENTO","A INICIAR")))</f>
        <v/>
      </c>
    </row>
    <row r="5298">
      <c r="M5298" s="2">
        <f>IF(C5298="","",IFERROR(INDEX($S$5:$S$304,MATCH(C5298,$R$5:$R$304,0))&amp;"","?"))</f>
        <v/>
      </c>
      <c r="N5298" s="2">
        <f>IF(E5298="","",IF(ISNUMBER(SEARCH("SUBSOLO",E5298)),IFERROR(-VALUE(LEFT(E5298,FIND("º",SUBSTITUTE(E5298,"°","º"))-1)),-1),IF(LEFT(E5298,6)="TÉRREO",0,IFERROR(VALUE(LEFT(E5298,FIND("º",SUBSTITUTE(E5298,"°","º"))-1)),""))))</f>
        <v/>
      </c>
      <c r="O5298" s="2">
        <f>IF(OR(F5298="",G5298=""),"",IF(G5298&lt;='RETRATO 2027'!$K$5,"CONCLUÍDA",IF(F5298&lt;='RETRATO 2027'!$K$5,"EM ANDAMENTO","A INICIAR")))</f>
        <v/>
      </c>
    </row>
    <row r="5299">
      <c r="M5299" s="2">
        <f>IF(C5299="","",IFERROR(INDEX($S$5:$S$304,MATCH(C5299,$R$5:$R$304,0))&amp;"","?"))</f>
        <v/>
      </c>
      <c r="N5299" s="2">
        <f>IF(E5299="","",IF(ISNUMBER(SEARCH("SUBSOLO",E5299)),IFERROR(-VALUE(LEFT(E5299,FIND("º",SUBSTITUTE(E5299,"°","º"))-1)),-1),IF(LEFT(E5299,6)="TÉRREO",0,IFERROR(VALUE(LEFT(E5299,FIND("º",SUBSTITUTE(E5299,"°","º"))-1)),""))))</f>
        <v/>
      </c>
      <c r="O5299" s="2">
        <f>IF(OR(F5299="",G5299=""),"",IF(G5299&lt;='RETRATO 2027'!$K$5,"CONCLUÍDA",IF(F5299&lt;='RETRATO 2027'!$K$5,"EM ANDAMENTO","A INICIAR")))</f>
        <v/>
      </c>
    </row>
    <row r="5300">
      <c r="M5300" s="2">
        <f>IF(C5300="","",IFERROR(INDEX($S$5:$S$304,MATCH(C5300,$R$5:$R$304,0))&amp;"","?"))</f>
        <v/>
      </c>
      <c r="N5300" s="2">
        <f>IF(E5300="","",IF(ISNUMBER(SEARCH("SUBSOLO",E5300)),IFERROR(-VALUE(LEFT(E5300,FIND("º",SUBSTITUTE(E5300,"°","º"))-1)),-1),IF(LEFT(E5300,6)="TÉRREO",0,IFERROR(VALUE(LEFT(E5300,FIND("º",SUBSTITUTE(E5300,"°","º"))-1)),""))))</f>
        <v/>
      </c>
      <c r="O5300" s="2">
        <f>IF(OR(F5300="",G5300=""),"",IF(G5300&lt;='RETRATO 2027'!$K$5,"CONCLUÍDA",IF(F5300&lt;='RETRATO 2027'!$K$5,"EM ANDAMENTO","A INICIAR")))</f>
        <v/>
      </c>
    </row>
    <row r="5301">
      <c r="M5301" s="2">
        <f>IF(C5301="","",IFERROR(INDEX($S$5:$S$304,MATCH(C5301,$R$5:$R$304,0))&amp;"","?"))</f>
        <v/>
      </c>
      <c r="N5301" s="2">
        <f>IF(E5301="","",IF(ISNUMBER(SEARCH("SUBSOLO",E5301)),IFERROR(-VALUE(LEFT(E5301,FIND("º",SUBSTITUTE(E5301,"°","º"))-1)),-1),IF(LEFT(E5301,6)="TÉRREO",0,IFERROR(VALUE(LEFT(E5301,FIND("º",SUBSTITUTE(E5301,"°","º"))-1)),""))))</f>
        <v/>
      </c>
      <c r="O5301" s="2">
        <f>IF(OR(F5301="",G5301=""),"",IF(G5301&lt;='RETRATO 2027'!$K$5,"CONCLUÍDA",IF(F5301&lt;='RETRATO 2027'!$K$5,"EM ANDAMENTO","A INICIAR")))</f>
        <v/>
      </c>
    </row>
    <row r="5302">
      <c r="M5302" s="2">
        <f>IF(C5302="","",IFERROR(INDEX($S$5:$S$304,MATCH(C5302,$R$5:$R$304,0))&amp;"","?"))</f>
        <v/>
      </c>
      <c r="N5302" s="2">
        <f>IF(E5302="","",IF(ISNUMBER(SEARCH("SUBSOLO",E5302)),IFERROR(-VALUE(LEFT(E5302,FIND("º",SUBSTITUTE(E5302,"°","º"))-1)),-1),IF(LEFT(E5302,6)="TÉRREO",0,IFERROR(VALUE(LEFT(E5302,FIND("º",SUBSTITUTE(E5302,"°","º"))-1)),""))))</f>
        <v/>
      </c>
      <c r="O5302" s="2">
        <f>IF(OR(F5302="",G5302=""),"",IF(G5302&lt;='RETRATO 2027'!$K$5,"CONCLUÍDA",IF(F5302&lt;='RETRATO 2027'!$K$5,"EM ANDAMENTO","A INICIAR")))</f>
        <v/>
      </c>
    </row>
    <row r="5303">
      <c r="M5303" s="2">
        <f>IF(C5303="","",IFERROR(INDEX($S$5:$S$304,MATCH(C5303,$R$5:$R$304,0))&amp;"","?"))</f>
        <v/>
      </c>
      <c r="N5303" s="2">
        <f>IF(E5303="","",IF(ISNUMBER(SEARCH("SUBSOLO",E5303)),IFERROR(-VALUE(LEFT(E5303,FIND("º",SUBSTITUTE(E5303,"°","º"))-1)),-1),IF(LEFT(E5303,6)="TÉRREO",0,IFERROR(VALUE(LEFT(E5303,FIND("º",SUBSTITUTE(E5303,"°","º"))-1)),""))))</f>
        <v/>
      </c>
      <c r="O5303" s="2">
        <f>IF(OR(F5303="",G5303=""),"",IF(G5303&lt;='RETRATO 2027'!$K$5,"CONCLUÍDA",IF(F5303&lt;='RETRATO 2027'!$K$5,"EM ANDAMENTO","A INICIAR")))</f>
        <v/>
      </c>
    </row>
    <row r="5304">
      <c r="M5304" s="2">
        <f>IF(C5304="","",IFERROR(INDEX($S$5:$S$304,MATCH(C5304,$R$5:$R$304,0))&amp;"","?"))</f>
        <v/>
      </c>
      <c r="N5304" s="2">
        <f>IF(E5304="","",IF(ISNUMBER(SEARCH("SUBSOLO",E5304)),IFERROR(-VALUE(LEFT(E5304,FIND("º",SUBSTITUTE(E5304,"°","º"))-1)),-1),IF(LEFT(E5304,6)="TÉRREO",0,IFERROR(VALUE(LEFT(E5304,FIND("º",SUBSTITUTE(E5304,"°","º"))-1)),""))))</f>
        <v/>
      </c>
      <c r="O5304" s="2">
        <f>IF(OR(F5304="",G5304=""),"",IF(G5304&lt;='RETRATO 2027'!$K$5,"CONCLUÍDA",IF(F5304&lt;='RETRATO 2027'!$K$5,"EM ANDAMENTO","A INICIAR")))</f>
        <v/>
      </c>
    </row>
    <row r="5305">
      <c r="M5305" s="2">
        <f>IF(C5305="","",IFERROR(INDEX($S$5:$S$304,MATCH(C5305,$R$5:$R$304,0))&amp;"","?"))</f>
        <v/>
      </c>
      <c r="N5305" s="2">
        <f>IF(E5305="","",IF(ISNUMBER(SEARCH("SUBSOLO",E5305)),IFERROR(-VALUE(LEFT(E5305,FIND("º",SUBSTITUTE(E5305,"°","º"))-1)),-1),IF(LEFT(E5305,6)="TÉRREO",0,IFERROR(VALUE(LEFT(E5305,FIND("º",SUBSTITUTE(E5305,"°","º"))-1)),""))))</f>
        <v/>
      </c>
      <c r="O5305" s="2">
        <f>IF(OR(F5305="",G5305=""),"",IF(G5305&lt;='RETRATO 2027'!$K$5,"CONCLUÍDA",IF(F5305&lt;='RETRATO 2027'!$K$5,"EM ANDAMENTO","A INICIAR")))</f>
        <v/>
      </c>
    </row>
    <row r="5306">
      <c r="M5306" s="2">
        <f>IF(C5306="","",IFERROR(INDEX($S$5:$S$304,MATCH(C5306,$R$5:$R$304,0))&amp;"","?"))</f>
        <v/>
      </c>
      <c r="N5306" s="2">
        <f>IF(E5306="","",IF(ISNUMBER(SEARCH("SUBSOLO",E5306)),IFERROR(-VALUE(LEFT(E5306,FIND("º",SUBSTITUTE(E5306,"°","º"))-1)),-1),IF(LEFT(E5306,6)="TÉRREO",0,IFERROR(VALUE(LEFT(E5306,FIND("º",SUBSTITUTE(E5306,"°","º"))-1)),""))))</f>
        <v/>
      </c>
      <c r="O5306" s="2">
        <f>IF(OR(F5306="",G5306=""),"",IF(G5306&lt;='RETRATO 2027'!$K$5,"CONCLUÍDA",IF(F5306&lt;='RETRATO 2027'!$K$5,"EM ANDAMENTO","A INICIAR")))</f>
        <v/>
      </c>
    </row>
    <row r="5307">
      <c r="M5307" s="2">
        <f>IF(C5307="","",IFERROR(INDEX($S$5:$S$304,MATCH(C5307,$R$5:$R$304,0))&amp;"","?"))</f>
        <v/>
      </c>
      <c r="N5307" s="2">
        <f>IF(E5307="","",IF(ISNUMBER(SEARCH("SUBSOLO",E5307)),IFERROR(-VALUE(LEFT(E5307,FIND("º",SUBSTITUTE(E5307,"°","º"))-1)),-1),IF(LEFT(E5307,6)="TÉRREO",0,IFERROR(VALUE(LEFT(E5307,FIND("º",SUBSTITUTE(E5307,"°","º"))-1)),""))))</f>
        <v/>
      </c>
      <c r="O5307" s="2">
        <f>IF(OR(F5307="",G5307=""),"",IF(G5307&lt;='RETRATO 2027'!$K$5,"CONCLUÍDA",IF(F5307&lt;='RETRATO 2027'!$K$5,"EM ANDAMENTO","A INICIAR")))</f>
        <v/>
      </c>
    </row>
    <row r="5308">
      <c r="M5308" s="2">
        <f>IF(C5308="","",IFERROR(INDEX($S$5:$S$304,MATCH(C5308,$R$5:$R$304,0))&amp;"","?"))</f>
        <v/>
      </c>
      <c r="N5308" s="2">
        <f>IF(E5308="","",IF(ISNUMBER(SEARCH("SUBSOLO",E5308)),IFERROR(-VALUE(LEFT(E5308,FIND("º",SUBSTITUTE(E5308,"°","º"))-1)),-1),IF(LEFT(E5308,6)="TÉRREO",0,IFERROR(VALUE(LEFT(E5308,FIND("º",SUBSTITUTE(E5308,"°","º"))-1)),""))))</f>
        <v/>
      </c>
      <c r="O5308" s="2">
        <f>IF(OR(F5308="",G5308=""),"",IF(G5308&lt;='RETRATO 2027'!$K$5,"CONCLUÍDA",IF(F5308&lt;='RETRATO 2027'!$K$5,"EM ANDAMENTO","A INICIAR")))</f>
        <v/>
      </c>
    </row>
    <row r="5309">
      <c r="M5309" s="2">
        <f>IF(C5309="","",IFERROR(INDEX($S$5:$S$304,MATCH(C5309,$R$5:$R$304,0))&amp;"","?"))</f>
        <v/>
      </c>
      <c r="N5309" s="2">
        <f>IF(E5309="","",IF(ISNUMBER(SEARCH("SUBSOLO",E5309)),IFERROR(-VALUE(LEFT(E5309,FIND("º",SUBSTITUTE(E5309,"°","º"))-1)),-1),IF(LEFT(E5309,6)="TÉRREO",0,IFERROR(VALUE(LEFT(E5309,FIND("º",SUBSTITUTE(E5309,"°","º"))-1)),""))))</f>
        <v/>
      </c>
      <c r="O5309" s="2">
        <f>IF(OR(F5309="",G5309=""),"",IF(G5309&lt;='RETRATO 2027'!$K$5,"CONCLUÍDA",IF(F5309&lt;='RETRATO 2027'!$K$5,"EM ANDAMENTO","A INICIAR")))</f>
        <v/>
      </c>
    </row>
    <row r="5310">
      <c r="M5310" s="2">
        <f>IF(C5310="","",IFERROR(INDEX($S$5:$S$304,MATCH(C5310,$R$5:$R$304,0))&amp;"","?"))</f>
        <v/>
      </c>
      <c r="N5310" s="2">
        <f>IF(E5310="","",IF(ISNUMBER(SEARCH("SUBSOLO",E5310)),IFERROR(-VALUE(LEFT(E5310,FIND("º",SUBSTITUTE(E5310,"°","º"))-1)),-1),IF(LEFT(E5310,6)="TÉRREO",0,IFERROR(VALUE(LEFT(E5310,FIND("º",SUBSTITUTE(E5310,"°","º"))-1)),""))))</f>
        <v/>
      </c>
      <c r="O5310" s="2">
        <f>IF(OR(F5310="",G5310=""),"",IF(G5310&lt;='RETRATO 2027'!$K$5,"CONCLUÍDA",IF(F5310&lt;='RETRATO 2027'!$K$5,"EM ANDAMENTO","A INICIAR")))</f>
        <v/>
      </c>
    </row>
    <row r="5311">
      <c r="M5311" s="2">
        <f>IF(C5311="","",IFERROR(INDEX($S$5:$S$304,MATCH(C5311,$R$5:$R$304,0))&amp;"","?"))</f>
        <v/>
      </c>
      <c r="N5311" s="2">
        <f>IF(E5311="","",IF(ISNUMBER(SEARCH("SUBSOLO",E5311)),IFERROR(-VALUE(LEFT(E5311,FIND("º",SUBSTITUTE(E5311,"°","º"))-1)),-1),IF(LEFT(E5311,6)="TÉRREO",0,IFERROR(VALUE(LEFT(E5311,FIND("º",SUBSTITUTE(E5311,"°","º"))-1)),""))))</f>
        <v/>
      </c>
      <c r="O5311" s="2">
        <f>IF(OR(F5311="",G5311=""),"",IF(G5311&lt;='RETRATO 2027'!$K$5,"CONCLUÍDA",IF(F5311&lt;='RETRATO 2027'!$K$5,"EM ANDAMENTO","A INICIAR")))</f>
        <v/>
      </c>
    </row>
    <row r="5312">
      <c r="M5312" s="2">
        <f>IF(C5312="","",IFERROR(INDEX($S$5:$S$304,MATCH(C5312,$R$5:$R$304,0))&amp;"","?"))</f>
        <v/>
      </c>
      <c r="N5312" s="2">
        <f>IF(E5312="","",IF(ISNUMBER(SEARCH("SUBSOLO",E5312)),IFERROR(-VALUE(LEFT(E5312,FIND("º",SUBSTITUTE(E5312,"°","º"))-1)),-1),IF(LEFT(E5312,6)="TÉRREO",0,IFERROR(VALUE(LEFT(E5312,FIND("º",SUBSTITUTE(E5312,"°","º"))-1)),""))))</f>
        <v/>
      </c>
      <c r="O5312" s="2">
        <f>IF(OR(F5312="",G5312=""),"",IF(G5312&lt;='RETRATO 2027'!$K$5,"CONCLUÍDA",IF(F5312&lt;='RETRATO 2027'!$K$5,"EM ANDAMENTO","A INICIAR")))</f>
        <v/>
      </c>
    </row>
    <row r="5313">
      <c r="M5313" s="2">
        <f>IF(C5313="","",IFERROR(INDEX($S$5:$S$304,MATCH(C5313,$R$5:$R$304,0))&amp;"","?"))</f>
        <v/>
      </c>
      <c r="N5313" s="2">
        <f>IF(E5313="","",IF(ISNUMBER(SEARCH("SUBSOLO",E5313)),IFERROR(-VALUE(LEFT(E5313,FIND("º",SUBSTITUTE(E5313,"°","º"))-1)),-1),IF(LEFT(E5313,6)="TÉRREO",0,IFERROR(VALUE(LEFT(E5313,FIND("º",SUBSTITUTE(E5313,"°","º"))-1)),""))))</f>
        <v/>
      </c>
      <c r="O5313" s="2">
        <f>IF(OR(F5313="",G5313=""),"",IF(G5313&lt;='RETRATO 2027'!$K$5,"CONCLUÍDA",IF(F5313&lt;='RETRATO 2027'!$K$5,"EM ANDAMENTO","A INICIAR")))</f>
        <v/>
      </c>
    </row>
    <row r="5314">
      <c r="M5314" s="2">
        <f>IF(C5314="","",IFERROR(INDEX($S$5:$S$304,MATCH(C5314,$R$5:$R$304,0))&amp;"","?"))</f>
        <v/>
      </c>
      <c r="N5314" s="2">
        <f>IF(E5314="","",IF(ISNUMBER(SEARCH("SUBSOLO",E5314)),IFERROR(-VALUE(LEFT(E5314,FIND("º",SUBSTITUTE(E5314,"°","º"))-1)),-1),IF(LEFT(E5314,6)="TÉRREO",0,IFERROR(VALUE(LEFT(E5314,FIND("º",SUBSTITUTE(E5314,"°","º"))-1)),""))))</f>
        <v/>
      </c>
      <c r="O5314" s="2">
        <f>IF(OR(F5314="",G5314=""),"",IF(G5314&lt;='RETRATO 2027'!$K$5,"CONCLUÍDA",IF(F5314&lt;='RETRATO 2027'!$K$5,"EM ANDAMENTO","A INICIAR")))</f>
        <v/>
      </c>
    </row>
    <row r="5315">
      <c r="M5315" s="2">
        <f>IF(C5315="","",IFERROR(INDEX($S$5:$S$304,MATCH(C5315,$R$5:$R$304,0))&amp;"","?"))</f>
        <v/>
      </c>
      <c r="N5315" s="2">
        <f>IF(E5315="","",IF(ISNUMBER(SEARCH("SUBSOLO",E5315)),IFERROR(-VALUE(LEFT(E5315,FIND("º",SUBSTITUTE(E5315,"°","º"))-1)),-1),IF(LEFT(E5315,6)="TÉRREO",0,IFERROR(VALUE(LEFT(E5315,FIND("º",SUBSTITUTE(E5315,"°","º"))-1)),""))))</f>
        <v/>
      </c>
      <c r="O5315" s="2">
        <f>IF(OR(F5315="",G5315=""),"",IF(G5315&lt;='RETRATO 2027'!$K$5,"CONCLUÍDA",IF(F5315&lt;='RETRATO 2027'!$K$5,"EM ANDAMENTO","A INICIAR")))</f>
        <v/>
      </c>
    </row>
    <row r="5316">
      <c r="M5316" s="2">
        <f>IF(C5316="","",IFERROR(INDEX($S$5:$S$304,MATCH(C5316,$R$5:$R$304,0))&amp;"","?"))</f>
        <v/>
      </c>
      <c r="N5316" s="2">
        <f>IF(E5316="","",IF(ISNUMBER(SEARCH("SUBSOLO",E5316)),IFERROR(-VALUE(LEFT(E5316,FIND("º",SUBSTITUTE(E5316,"°","º"))-1)),-1),IF(LEFT(E5316,6)="TÉRREO",0,IFERROR(VALUE(LEFT(E5316,FIND("º",SUBSTITUTE(E5316,"°","º"))-1)),""))))</f>
        <v/>
      </c>
      <c r="O5316" s="2">
        <f>IF(OR(F5316="",G5316=""),"",IF(G5316&lt;='RETRATO 2027'!$K$5,"CONCLUÍDA",IF(F5316&lt;='RETRATO 2027'!$K$5,"EM ANDAMENTO","A INICIAR")))</f>
        <v/>
      </c>
    </row>
    <row r="5317">
      <c r="M5317" s="2">
        <f>IF(C5317="","",IFERROR(INDEX($S$5:$S$304,MATCH(C5317,$R$5:$R$304,0))&amp;"","?"))</f>
        <v/>
      </c>
      <c r="N5317" s="2">
        <f>IF(E5317="","",IF(ISNUMBER(SEARCH("SUBSOLO",E5317)),IFERROR(-VALUE(LEFT(E5317,FIND("º",SUBSTITUTE(E5317,"°","º"))-1)),-1),IF(LEFT(E5317,6)="TÉRREO",0,IFERROR(VALUE(LEFT(E5317,FIND("º",SUBSTITUTE(E5317,"°","º"))-1)),""))))</f>
        <v/>
      </c>
      <c r="O5317" s="2">
        <f>IF(OR(F5317="",G5317=""),"",IF(G5317&lt;='RETRATO 2027'!$K$5,"CONCLUÍDA",IF(F5317&lt;='RETRATO 2027'!$K$5,"EM ANDAMENTO","A INICIAR")))</f>
        <v/>
      </c>
    </row>
    <row r="5318">
      <c r="M5318" s="2">
        <f>IF(C5318="","",IFERROR(INDEX($S$5:$S$304,MATCH(C5318,$R$5:$R$304,0))&amp;"","?"))</f>
        <v/>
      </c>
      <c r="N5318" s="2">
        <f>IF(E5318="","",IF(ISNUMBER(SEARCH("SUBSOLO",E5318)),IFERROR(-VALUE(LEFT(E5318,FIND("º",SUBSTITUTE(E5318,"°","º"))-1)),-1),IF(LEFT(E5318,6)="TÉRREO",0,IFERROR(VALUE(LEFT(E5318,FIND("º",SUBSTITUTE(E5318,"°","º"))-1)),""))))</f>
        <v/>
      </c>
      <c r="O5318" s="2">
        <f>IF(OR(F5318="",G5318=""),"",IF(G5318&lt;='RETRATO 2027'!$K$5,"CONCLUÍDA",IF(F5318&lt;='RETRATO 2027'!$K$5,"EM ANDAMENTO","A INICIAR")))</f>
        <v/>
      </c>
    </row>
    <row r="5319">
      <c r="M5319" s="2">
        <f>IF(C5319="","",IFERROR(INDEX($S$5:$S$304,MATCH(C5319,$R$5:$R$304,0))&amp;"","?"))</f>
        <v/>
      </c>
      <c r="N5319" s="2">
        <f>IF(E5319="","",IF(ISNUMBER(SEARCH("SUBSOLO",E5319)),IFERROR(-VALUE(LEFT(E5319,FIND("º",SUBSTITUTE(E5319,"°","º"))-1)),-1),IF(LEFT(E5319,6)="TÉRREO",0,IFERROR(VALUE(LEFT(E5319,FIND("º",SUBSTITUTE(E5319,"°","º"))-1)),""))))</f>
        <v/>
      </c>
      <c r="O5319" s="2">
        <f>IF(OR(F5319="",G5319=""),"",IF(G5319&lt;='RETRATO 2027'!$K$5,"CONCLUÍDA",IF(F5319&lt;='RETRATO 2027'!$K$5,"EM ANDAMENTO","A INICIAR")))</f>
        <v/>
      </c>
    </row>
    <row r="5320">
      <c r="M5320" s="2">
        <f>IF(C5320="","",IFERROR(INDEX($S$5:$S$304,MATCH(C5320,$R$5:$R$304,0))&amp;"","?"))</f>
        <v/>
      </c>
      <c r="N5320" s="2">
        <f>IF(E5320="","",IF(ISNUMBER(SEARCH("SUBSOLO",E5320)),IFERROR(-VALUE(LEFT(E5320,FIND("º",SUBSTITUTE(E5320,"°","º"))-1)),-1),IF(LEFT(E5320,6)="TÉRREO",0,IFERROR(VALUE(LEFT(E5320,FIND("º",SUBSTITUTE(E5320,"°","º"))-1)),""))))</f>
        <v/>
      </c>
      <c r="O5320" s="2">
        <f>IF(OR(F5320="",G5320=""),"",IF(G5320&lt;='RETRATO 2027'!$K$5,"CONCLUÍDA",IF(F5320&lt;='RETRATO 2027'!$K$5,"EM ANDAMENTO","A INICIAR")))</f>
        <v/>
      </c>
    </row>
    <row r="5321">
      <c r="M5321" s="2">
        <f>IF(C5321="","",IFERROR(INDEX($S$5:$S$304,MATCH(C5321,$R$5:$R$304,0))&amp;"","?"))</f>
        <v/>
      </c>
      <c r="N5321" s="2">
        <f>IF(E5321="","",IF(ISNUMBER(SEARCH("SUBSOLO",E5321)),IFERROR(-VALUE(LEFT(E5321,FIND("º",SUBSTITUTE(E5321,"°","º"))-1)),-1),IF(LEFT(E5321,6)="TÉRREO",0,IFERROR(VALUE(LEFT(E5321,FIND("º",SUBSTITUTE(E5321,"°","º"))-1)),""))))</f>
        <v/>
      </c>
      <c r="O5321" s="2">
        <f>IF(OR(F5321="",G5321=""),"",IF(G5321&lt;='RETRATO 2027'!$K$5,"CONCLUÍDA",IF(F5321&lt;='RETRATO 2027'!$K$5,"EM ANDAMENTO","A INICIAR")))</f>
        <v/>
      </c>
    </row>
    <row r="5322">
      <c r="M5322" s="2">
        <f>IF(C5322="","",IFERROR(INDEX($S$5:$S$304,MATCH(C5322,$R$5:$R$304,0))&amp;"","?"))</f>
        <v/>
      </c>
      <c r="N5322" s="2">
        <f>IF(E5322="","",IF(ISNUMBER(SEARCH("SUBSOLO",E5322)),IFERROR(-VALUE(LEFT(E5322,FIND("º",SUBSTITUTE(E5322,"°","º"))-1)),-1),IF(LEFT(E5322,6)="TÉRREO",0,IFERROR(VALUE(LEFT(E5322,FIND("º",SUBSTITUTE(E5322,"°","º"))-1)),""))))</f>
        <v/>
      </c>
      <c r="O5322" s="2">
        <f>IF(OR(F5322="",G5322=""),"",IF(G5322&lt;='RETRATO 2027'!$K$5,"CONCLUÍDA",IF(F5322&lt;='RETRATO 2027'!$K$5,"EM ANDAMENTO","A INICIAR")))</f>
        <v/>
      </c>
    </row>
    <row r="5323">
      <c r="M5323" s="2">
        <f>IF(C5323="","",IFERROR(INDEX($S$5:$S$304,MATCH(C5323,$R$5:$R$304,0))&amp;"","?"))</f>
        <v/>
      </c>
      <c r="N5323" s="2">
        <f>IF(E5323="","",IF(ISNUMBER(SEARCH("SUBSOLO",E5323)),IFERROR(-VALUE(LEFT(E5323,FIND("º",SUBSTITUTE(E5323,"°","º"))-1)),-1),IF(LEFT(E5323,6)="TÉRREO",0,IFERROR(VALUE(LEFT(E5323,FIND("º",SUBSTITUTE(E5323,"°","º"))-1)),""))))</f>
        <v/>
      </c>
      <c r="O5323" s="2">
        <f>IF(OR(F5323="",G5323=""),"",IF(G5323&lt;='RETRATO 2027'!$K$5,"CONCLUÍDA",IF(F5323&lt;='RETRATO 2027'!$K$5,"EM ANDAMENTO","A INICIAR")))</f>
        <v/>
      </c>
    </row>
    <row r="5324">
      <c r="M5324" s="2">
        <f>IF(C5324="","",IFERROR(INDEX($S$5:$S$304,MATCH(C5324,$R$5:$R$304,0))&amp;"","?"))</f>
        <v/>
      </c>
      <c r="N5324" s="2">
        <f>IF(E5324="","",IF(ISNUMBER(SEARCH("SUBSOLO",E5324)),IFERROR(-VALUE(LEFT(E5324,FIND("º",SUBSTITUTE(E5324,"°","º"))-1)),-1),IF(LEFT(E5324,6)="TÉRREO",0,IFERROR(VALUE(LEFT(E5324,FIND("º",SUBSTITUTE(E5324,"°","º"))-1)),""))))</f>
        <v/>
      </c>
      <c r="O5324" s="2">
        <f>IF(OR(F5324="",G5324=""),"",IF(G5324&lt;='RETRATO 2027'!$K$5,"CONCLUÍDA",IF(F5324&lt;='RETRATO 2027'!$K$5,"EM ANDAMENTO","A INICIAR")))</f>
        <v/>
      </c>
    </row>
    <row r="5325">
      <c r="M5325" s="2">
        <f>IF(C5325="","",IFERROR(INDEX($S$5:$S$304,MATCH(C5325,$R$5:$R$304,0))&amp;"","?"))</f>
        <v/>
      </c>
      <c r="N5325" s="2">
        <f>IF(E5325="","",IF(ISNUMBER(SEARCH("SUBSOLO",E5325)),IFERROR(-VALUE(LEFT(E5325,FIND("º",SUBSTITUTE(E5325,"°","º"))-1)),-1),IF(LEFT(E5325,6)="TÉRREO",0,IFERROR(VALUE(LEFT(E5325,FIND("º",SUBSTITUTE(E5325,"°","º"))-1)),""))))</f>
        <v/>
      </c>
      <c r="O5325" s="2">
        <f>IF(OR(F5325="",G5325=""),"",IF(G5325&lt;='RETRATO 2027'!$K$5,"CONCLUÍDA",IF(F5325&lt;='RETRATO 2027'!$K$5,"EM ANDAMENTO","A INICIAR")))</f>
        <v/>
      </c>
    </row>
    <row r="5326">
      <c r="M5326" s="2">
        <f>IF(C5326="","",IFERROR(INDEX($S$5:$S$304,MATCH(C5326,$R$5:$R$304,0))&amp;"","?"))</f>
        <v/>
      </c>
      <c r="N5326" s="2">
        <f>IF(E5326="","",IF(ISNUMBER(SEARCH("SUBSOLO",E5326)),IFERROR(-VALUE(LEFT(E5326,FIND("º",SUBSTITUTE(E5326,"°","º"))-1)),-1),IF(LEFT(E5326,6)="TÉRREO",0,IFERROR(VALUE(LEFT(E5326,FIND("º",SUBSTITUTE(E5326,"°","º"))-1)),""))))</f>
        <v/>
      </c>
      <c r="O5326" s="2">
        <f>IF(OR(F5326="",G5326=""),"",IF(G5326&lt;='RETRATO 2027'!$K$5,"CONCLUÍDA",IF(F5326&lt;='RETRATO 2027'!$K$5,"EM ANDAMENTO","A INICIAR")))</f>
        <v/>
      </c>
    </row>
    <row r="5327">
      <c r="M5327" s="2">
        <f>IF(C5327="","",IFERROR(INDEX($S$5:$S$304,MATCH(C5327,$R$5:$R$304,0))&amp;"","?"))</f>
        <v/>
      </c>
      <c r="N5327" s="2">
        <f>IF(E5327="","",IF(ISNUMBER(SEARCH("SUBSOLO",E5327)),IFERROR(-VALUE(LEFT(E5327,FIND("º",SUBSTITUTE(E5327,"°","º"))-1)),-1),IF(LEFT(E5327,6)="TÉRREO",0,IFERROR(VALUE(LEFT(E5327,FIND("º",SUBSTITUTE(E5327,"°","º"))-1)),""))))</f>
        <v/>
      </c>
      <c r="O5327" s="2">
        <f>IF(OR(F5327="",G5327=""),"",IF(G5327&lt;='RETRATO 2027'!$K$5,"CONCLUÍDA",IF(F5327&lt;='RETRATO 2027'!$K$5,"EM ANDAMENTO","A INICIAR")))</f>
        <v/>
      </c>
    </row>
    <row r="5328">
      <c r="M5328" s="2">
        <f>IF(C5328="","",IFERROR(INDEX($S$5:$S$304,MATCH(C5328,$R$5:$R$304,0))&amp;"","?"))</f>
        <v/>
      </c>
      <c r="N5328" s="2">
        <f>IF(E5328="","",IF(ISNUMBER(SEARCH("SUBSOLO",E5328)),IFERROR(-VALUE(LEFT(E5328,FIND("º",SUBSTITUTE(E5328,"°","º"))-1)),-1),IF(LEFT(E5328,6)="TÉRREO",0,IFERROR(VALUE(LEFT(E5328,FIND("º",SUBSTITUTE(E5328,"°","º"))-1)),""))))</f>
        <v/>
      </c>
      <c r="O5328" s="2">
        <f>IF(OR(F5328="",G5328=""),"",IF(G5328&lt;='RETRATO 2027'!$K$5,"CONCLUÍDA",IF(F5328&lt;='RETRATO 2027'!$K$5,"EM ANDAMENTO","A INICIAR")))</f>
        <v/>
      </c>
    </row>
    <row r="5329">
      <c r="M5329" s="2">
        <f>IF(C5329="","",IFERROR(INDEX($S$5:$S$304,MATCH(C5329,$R$5:$R$304,0))&amp;"","?"))</f>
        <v/>
      </c>
      <c r="N5329" s="2">
        <f>IF(E5329="","",IF(ISNUMBER(SEARCH("SUBSOLO",E5329)),IFERROR(-VALUE(LEFT(E5329,FIND("º",SUBSTITUTE(E5329,"°","º"))-1)),-1),IF(LEFT(E5329,6)="TÉRREO",0,IFERROR(VALUE(LEFT(E5329,FIND("º",SUBSTITUTE(E5329,"°","º"))-1)),""))))</f>
        <v/>
      </c>
      <c r="O5329" s="2">
        <f>IF(OR(F5329="",G5329=""),"",IF(G5329&lt;='RETRATO 2027'!$K$5,"CONCLUÍDA",IF(F5329&lt;='RETRATO 2027'!$K$5,"EM ANDAMENTO","A INICIAR")))</f>
        <v/>
      </c>
    </row>
    <row r="5330">
      <c r="M5330" s="2">
        <f>IF(C5330="","",IFERROR(INDEX($S$5:$S$304,MATCH(C5330,$R$5:$R$304,0))&amp;"","?"))</f>
        <v/>
      </c>
      <c r="N5330" s="2">
        <f>IF(E5330="","",IF(ISNUMBER(SEARCH("SUBSOLO",E5330)),IFERROR(-VALUE(LEFT(E5330,FIND("º",SUBSTITUTE(E5330,"°","º"))-1)),-1),IF(LEFT(E5330,6)="TÉRREO",0,IFERROR(VALUE(LEFT(E5330,FIND("º",SUBSTITUTE(E5330,"°","º"))-1)),""))))</f>
        <v/>
      </c>
      <c r="O5330" s="2">
        <f>IF(OR(F5330="",G5330=""),"",IF(G5330&lt;='RETRATO 2027'!$K$5,"CONCLUÍDA",IF(F5330&lt;='RETRATO 2027'!$K$5,"EM ANDAMENTO","A INICIAR")))</f>
        <v/>
      </c>
    </row>
    <row r="5331">
      <c r="M5331" s="2">
        <f>IF(C5331="","",IFERROR(INDEX($S$5:$S$304,MATCH(C5331,$R$5:$R$304,0))&amp;"","?"))</f>
        <v/>
      </c>
      <c r="N5331" s="2">
        <f>IF(E5331="","",IF(ISNUMBER(SEARCH("SUBSOLO",E5331)),IFERROR(-VALUE(LEFT(E5331,FIND("º",SUBSTITUTE(E5331,"°","º"))-1)),-1),IF(LEFT(E5331,6)="TÉRREO",0,IFERROR(VALUE(LEFT(E5331,FIND("º",SUBSTITUTE(E5331,"°","º"))-1)),""))))</f>
        <v/>
      </c>
      <c r="O5331" s="2">
        <f>IF(OR(F5331="",G5331=""),"",IF(G5331&lt;='RETRATO 2027'!$K$5,"CONCLUÍDA",IF(F5331&lt;='RETRATO 2027'!$K$5,"EM ANDAMENTO","A INICIAR")))</f>
        <v/>
      </c>
    </row>
    <row r="5332">
      <c r="M5332" s="2">
        <f>IF(C5332="","",IFERROR(INDEX($S$5:$S$304,MATCH(C5332,$R$5:$R$304,0))&amp;"","?"))</f>
        <v/>
      </c>
      <c r="N5332" s="2">
        <f>IF(E5332="","",IF(ISNUMBER(SEARCH("SUBSOLO",E5332)),IFERROR(-VALUE(LEFT(E5332,FIND("º",SUBSTITUTE(E5332,"°","º"))-1)),-1),IF(LEFT(E5332,6)="TÉRREO",0,IFERROR(VALUE(LEFT(E5332,FIND("º",SUBSTITUTE(E5332,"°","º"))-1)),""))))</f>
        <v/>
      </c>
      <c r="O5332" s="2">
        <f>IF(OR(F5332="",G5332=""),"",IF(G5332&lt;='RETRATO 2027'!$K$5,"CONCLUÍDA",IF(F5332&lt;='RETRATO 2027'!$K$5,"EM ANDAMENTO","A INICIAR")))</f>
        <v/>
      </c>
    </row>
    <row r="5333">
      <c r="M5333" s="2">
        <f>IF(C5333="","",IFERROR(INDEX($S$5:$S$304,MATCH(C5333,$R$5:$R$304,0))&amp;"","?"))</f>
        <v/>
      </c>
      <c r="N5333" s="2">
        <f>IF(E5333="","",IF(ISNUMBER(SEARCH("SUBSOLO",E5333)),IFERROR(-VALUE(LEFT(E5333,FIND("º",SUBSTITUTE(E5333,"°","º"))-1)),-1),IF(LEFT(E5333,6)="TÉRREO",0,IFERROR(VALUE(LEFT(E5333,FIND("º",SUBSTITUTE(E5333,"°","º"))-1)),""))))</f>
        <v/>
      </c>
      <c r="O5333" s="2">
        <f>IF(OR(F5333="",G5333=""),"",IF(G5333&lt;='RETRATO 2027'!$K$5,"CONCLUÍDA",IF(F5333&lt;='RETRATO 2027'!$K$5,"EM ANDAMENTO","A INICIAR")))</f>
        <v/>
      </c>
    </row>
    <row r="5334">
      <c r="M5334" s="2">
        <f>IF(C5334="","",IFERROR(INDEX($S$5:$S$304,MATCH(C5334,$R$5:$R$304,0))&amp;"","?"))</f>
        <v/>
      </c>
      <c r="N5334" s="2">
        <f>IF(E5334="","",IF(ISNUMBER(SEARCH("SUBSOLO",E5334)),IFERROR(-VALUE(LEFT(E5334,FIND("º",SUBSTITUTE(E5334,"°","º"))-1)),-1),IF(LEFT(E5334,6)="TÉRREO",0,IFERROR(VALUE(LEFT(E5334,FIND("º",SUBSTITUTE(E5334,"°","º"))-1)),""))))</f>
        <v/>
      </c>
      <c r="O5334" s="2">
        <f>IF(OR(F5334="",G5334=""),"",IF(G5334&lt;='RETRATO 2027'!$K$5,"CONCLUÍDA",IF(F5334&lt;='RETRATO 2027'!$K$5,"EM ANDAMENTO","A INICIAR")))</f>
        <v/>
      </c>
    </row>
    <row r="5335">
      <c r="M5335" s="2">
        <f>IF(C5335="","",IFERROR(INDEX($S$5:$S$304,MATCH(C5335,$R$5:$R$304,0))&amp;"","?"))</f>
        <v/>
      </c>
      <c r="N5335" s="2">
        <f>IF(E5335="","",IF(ISNUMBER(SEARCH("SUBSOLO",E5335)),IFERROR(-VALUE(LEFT(E5335,FIND("º",SUBSTITUTE(E5335,"°","º"))-1)),-1),IF(LEFT(E5335,6)="TÉRREO",0,IFERROR(VALUE(LEFT(E5335,FIND("º",SUBSTITUTE(E5335,"°","º"))-1)),""))))</f>
        <v/>
      </c>
      <c r="O5335" s="2">
        <f>IF(OR(F5335="",G5335=""),"",IF(G5335&lt;='RETRATO 2027'!$K$5,"CONCLUÍDA",IF(F5335&lt;='RETRATO 2027'!$K$5,"EM ANDAMENTO","A INICIAR")))</f>
        <v/>
      </c>
    </row>
    <row r="5336">
      <c r="M5336" s="2">
        <f>IF(C5336="","",IFERROR(INDEX($S$5:$S$304,MATCH(C5336,$R$5:$R$304,0))&amp;"","?"))</f>
        <v/>
      </c>
      <c r="N5336" s="2">
        <f>IF(E5336="","",IF(ISNUMBER(SEARCH("SUBSOLO",E5336)),IFERROR(-VALUE(LEFT(E5336,FIND("º",SUBSTITUTE(E5336,"°","º"))-1)),-1),IF(LEFT(E5336,6)="TÉRREO",0,IFERROR(VALUE(LEFT(E5336,FIND("º",SUBSTITUTE(E5336,"°","º"))-1)),""))))</f>
        <v/>
      </c>
      <c r="O5336" s="2">
        <f>IF(OR(F5336="",G5336=""),"",IF(G5336&lt;='RETRATO 2027'!$K$5,"CONCLUÍDA",IF(F5336&lt;='RETRATO 2027'!$K$5,"EM ANDAMENTO","A INICIAR")))</f>
        <v/>
      </c>
    </row>
    <row r="5337">
      <c r="M5337" s="2">
        <f>IF(C5337="","",IFERROR(INDEX($S$5:$S$304,MATCH(C5337,$R$5:$R$304,0))&amp;"","?"))</f>
        <v/>
      </c>
      <c r="N5337" s="2">
        <f>IF(E5337="","",IF(ISNUMBER(SEARCH("SUBSOLO",E5337)),IFERROR(-VALUE(LEFT(E5337,FIND("º",SUBSTITUTE(E5337,"°","º"))-1)),-1),IF(LEFT(E5337,6)="TÉRREO",0,IFERROR(VALUE(LEFT(E5337,FIND("º",SUBSTITUTE(E5337,"°","º"))-1)),""))))</f>
        <v/>
      </c>
      <c r="O5337" s="2">
        <f>IF(OR(F5337="",G5337=""),"",IF(G5337&lt;='RETRATO 2027'!$K$5,"CONCLUÍDA",IF(F5337&lt;='RETRATO 2027'!$K$5,"EM ANDAMENTO","A INICIAR")))</f>
        <v/>
      </c>
    </row>
    <row r="5338">
      <c r="M5338" s="2">
        <f>IF(C5338="","",IFERROR(INDEX($S$5:$S$304,MATCH(C5338,$R$5:$R$304,0))&amp;"","?"))</f>
        <v/>
      </c>
      <c r="N5338" s="2">
        <f>IF(E5338="","",IF(ISNUMBER(SEARCH("SUBSOLO",E5338)),IFERROR(-VALUE(LEFT(E5338,FIND("º",SUBSTITUTE(E5338,"°","º"))-1)),-1),IF(LEFT(E5338,6)="TÉRREO",0,IFERROR(VALUE(LEFT(E5338,FIND("º",SUBSTITUTE(E5338,"°","º"))-1)),""))))</f>
        <v/>
      </c>
      <c r="O5338" s="2">
        <f>IF(OR(F5338="",G5338=""),"",IF(G5338&lt;='RETRATO 2027'!$K$5,"CONCLUÍDA",IF(F5338&lt;='RETRATO 2027'!$K$5,"EM ANDAMENTO","A INICIAR")))</f>
        <v/>
      </c>
    </row>
    <row r="5339">
      <c r="M5339" s="2">
        <f>IF(C5339="","",IFERROR(INDEX($S$5:$S$304,MATCH(C5339,$R$5:$R$304,0))&amp;"","?"))</f>
        <v/>
      </c>
      <c r="N5339" s="2">
        <f>IF(E5339="","",IF(ISNUMBER(SEARCH("SUBSOLO",E5339)),IFERROR(-VALUE(LEFT(E5339,FIND("º",SUBSTITUTE(E5339,"°","º"))-1)),-1),IF(LEFT(E5339,6)="TÉRREO",0,IFERROR(VALUE(LEFT(E5339,FIND("º",SUBSTITUTE(E5339,"°","º"))-1)),""))))</f>
        <v/>
      </c>
      <c r="O5339" s="2">
        <f>IF(OR(F5339="",G5339=""),"",IF(G5339&lt;='RETRATO 2027'!$K$5,"CONCLUÍDA",IF(F5339&lt;='RETRATO 2027'!$K$5,"EM ANDAMENTO","A INICIAR")))</f>
        <v/>
      </c>
    </row>
    <row r="5340">
      <c r="M5340" s="2">
        <f>IF(C5340="","",IFERROR(INDEX($S$5:$S$304,MATCH(C5340,$R$5:$R$304,0))&amp;"","?"))</f>
        <v/>
      </c>
      <c r="N5340" s="2">
        <f>IF(E5340="","",IF(ISNUMBER(SEARCH("SUBSOLO",E5340)),IFERROR(-VALUE(LEFT(E5340,FIND("º",SUBSTITUTE(E5340,"°","º"))-1)),-1),IF(LEFT(E5340,6)="TÉRREO",0,IFERROR(VALUE(LEFT(E5340,FIND("º",SUBSTITUTE(E5340,"°","º"))-1)),""))))</f>
        <v/>
      </c>
      <c r="O5340" s="2">
        <f>IF(OR(F5340="",G5340=""),"",IF(G5340&lt;='RETRATO 2027'!$K$5,"CONCLUÍDA",IF(F5340&lt;='RETRATO 2027'!$K$5,"EM ANDAMENTO","A INICIAR")))</f>
        <v/>
      </c>
    </row>
    <row r="5341">
      <c r="M5341" s="2">
        <f>IF(C5341="","",IFERROR(INDEX($S$5:$S$304,MATCH(C5341,$R$5:$R$304,0))&amp;"","?"))</f>
        <v/>
      </c>
      <c r="N5341" s="2">
        <f>IF(E5341="","",IF(ISNUMBER(SEARCH("SUBSOLO",E5341)),IFERROR(-VALUE(LEFT(E5341,FIND("º",SUBSTITUTE(E5341,"°","º"))-1)),-1),IF(LEFT(E5341,6)="TÉRREO",0,IFERROR(VALUE(LEFT(E5341,FIND("º",SUBSTITUTE(E5341,"°","º"))-1)),""))))</f>
        <v/>
      </c>
      <c r="O5341" s="2">
        <f>IF(OR(F5341="",G5341=""),"",IF(G5341&lt;='RETRATO 2027'!$K$5,"CONCLUÍDA",IF(F5341&lt;='RETRATO 2027'!$K$5,"EM ANDAMENTO","A INICIAR")))</f>
        <v/>
      </c>
    </row>
    <row r="5342">
      <c r="M5342" s="2">
        <f>IF(C5342="","",IFERROR(INDEX($S$5:$S$304,MATCH(C5342,$R$5:$R$304,0))&amp;"","?"))</f>
        <v/>
      </c>
      <c r="N5342" s="2">
        <f>IF(E5342="","",IF(ISNUMBER(SEARCH("SUBSOLO",E5342)),IFERROR(-VALUE(LEFT(E5342,FIND("º",SUBSTITUTE(E5342,"°","º"))-1)),-1),IF(LEFT(E5342,6)="TÉRREO",0,IFERROR(VALUE(LEFT(E5342,FIND("º",SUBSTITUTE(E5342,"°","º"))-1)),""))))</f>
        <v/>
      </c>
      <c r="O5342" s="2">
        <f>IF(OR(F5342="",G5342=""),"",IF(G5342&lt;='RETRATO 2027'!$K$5,"CONCLUÍDA",IF(F5342&lt;='RETRATO 2027'!$K$5,"EM ANDAMENTO","A INICIAR")))</f>
        <v/>
      </c>
    </row>
    <row r="5343">
      <c r="M5343" s="2">
        <f>IF(C5343="","",IFERROR(INDEX($S$5:$S$304,MATCH(C5343,$R$5:$R$304,0))&amp;"","?"))</f>
        <v/>
      </c>
      <c r="N5343" s="2">
        <f>IF(E5343="","",IF(ISNUMBER(SEARCH("SUBSOLO",E5343)),IFERROR(-VALUE(LEFT(E5343,FIND("º",SUBSTITUTE(E5343,"°","º"))-1)),-1),IF(LEFT(E5343,6)="TÉRREO",0,IFERROR(VALUE(LEFT(E5343,FIND("º",SUBSTITUTE(E5343,"°","º"))-1)),""))))</f>
        <v/>
      </c>
      <c r="O5343" s="2">
        <f>IF(OR(F5343="",G5343=""),"",IF(G5343&lt;='RETRATO 2027'!$K$5,"CONCLUÍDA",IF(F5343&lt;='RETRATO 2027'!$K$5,"EM ANDAMENTO","A INICIAR")))</f>
        <v/>
      </c>
    </row>
    <row r="5344">
      <c r="M5344" s="2">
        <f>IF(C5344="","",IFERROR(INDEX($S$5:$S$304,MATCH(C5344,$R$5:$R$304,0))&amp;"","?"))</f>
        <v/>
      </c>
      <c r="N5344" s="2">
        <f>IF(E5344="","",IF(ISNUMBER(SEARCH("SUBSOLO",E5344)),IFERROR(-VALUE(LEFT(E5344,FIND("º",SUBSTITUTE(E5344,"°","º"))-1)),-1),IF(LEFT(E5344,6)="TÉRREO",0,IFERROR(VALUE(LEFT(E5344,FIND("º",SUBSTITUTE(E5344,"°","º"))-1)),""))))</f>
        <v/>
      </c>
      <c r="O5344" s="2">
        <f>IF(OR(F5344="",G5344=""),"",IF(G5344&lt;='RETRATO 2027'!$K$5,"CONCLUÍDA",IF(F5344&lt;='RETRATO 2027'!$K$5,"EM ANDAMENTO","A INICIAR")))</f>
        <v/>
      </c>
    </row>
    <row r="5345">
      <c r="M5345" s="2">
        <f>IF(C5345="","",IFERROR(INDEX($S$5:$S$304,MATCH(C5345,$R$5:$R$304,0))&amp;"","?"))</f>
        <v/>
      </c>
      <c r="N5345" s="2">
        <f>IF(E5345="","",IF(ISNUMBER(SEARCH("SUBSOLO",E5345)),IFERROR(-VALUE(LEFT(E5345,FIND("º",SUBSTITUTE(E5345,"°","º"))-1)),-1),IF(LEFT(E5345,6)="TÉRREO",0,IFERROR(VALUE(LEFT(E5345,FIND("º",SUBSTITUTE(E5345,"°","º"))-1)),""))))</f>
        <v/>
      </c>
      <c r="O5345" s="2">
        <f>IF(OR(F5345="",G5345=""),"",IF(G5345&lt;='RETRATO 2027'!$K$5,"CONCLUÍDA",IF(F5345&lt;='RETRATO 2027'!$K$5,"EM ANDAMENTO","A INICIAR")))</f>
        <v/>
      </c>
    </row>
    <row r="5346">
      <c r="M5346" s="2">
        <f>IF(C5346="","",IFERROR(INDEX($S$5:$S$304,MATCH(C5346,$R$5:$R$304,0))&amp;"","?"))</f>
        <v/>
      </c>
      <c r="N5346" s="2">
        <f>IF(E5346="","",IF(ISNUMBER(SEARCH("SUBSOLO",E5346)),IFERROR(-VALUE(LEFT(E5346,FIND("º",SUBSTITUTE(E5346,"°","º"))-1)),-1),IF(LEFT(E5346,6)="TÉRREO",0,IFERROR(VALUE(LEFT(E5346,FIND("º",SUBSTITUTE(E5346,"°","º"))-1)),""))))</f>
        <v/>
      </c>
      <c r="O5346" s="2">
        <f>IF(OR(F5346="",G5346=""),"",IF(G5346&lt;='RETRATO 2027'!$K$5,"CONCLUÍDA",IF(F5346&lt;='RETRATO 2027'!$K$5,"EM ANDAMENTO","A INICIAR")))</f>
        <v/>
      </c>
    </row>
    <row r="5347">
      <c r="M5347" s="2">
        <f>IF(C5347="","",IFERROR(INDEX($S$5:$S$304,MATCH(C5347,$R$5:$R$304,0))&amp;"","?"))</f>
        <v/>
      </c>
      <c r="N5347" s="2">
        <f>IF(E5347="","",IF(ISNUMBER(SEARCH("SUBSOLO",E5347)),IFERROR(-VALUE(LEFT(E5347,FIND("º",SUBSTITUTE(E5347,"°","º"))-1)),-1),IF(LEFT(E5347,6)="TÉRREO",0,IFERROR(VALUE(LEFT(E5347,FIND("º",SUBSTITUTE(E5347,"°","º"))-1)),""))))</f>
        <v/>
      </c>
      <c r="O5347" s="2">
        <f>IF(OR(F5347="",G5347=""),"",IF(G5347&lt;='RETRATO 2027'!$K$5,"CONCLUÍDA",IF(F5347&lt;='RETRATO 2027'!$K$5,"EM ANDAMENTO","A INICIAR")))</f>
        <v/>
      </c>
    </row>
    <row r="5348">
      <c r="M5348" s="2">
        <f>IF(C5348="","",IFERROR(INDEX($S$5:$S$304,MATCH(C5348,$R$5:$R$304,0))&amp;"","?"))</f>
        <v/>
      </c>
      <c r="N5348" s="2">
        <f>IF(E5348="","",IF(ISNUMBER(SEARCH("SUBSOLO",E5348)),IFERROR(-VALUE(LEFT(E5348,FIND("º",SUBSTITUTE(E5348,"°","º"))-1)),-1),IF(LEFT(E5348,6)="TÉRREO",0,IFERROR(VALUE(LEFT(E5348,FIND("º",SUBSTITUTE(E5348,"°","º"))-1)),""))))</f>
        <v/>
      </c>
      <c r="O5348" s="2">
        <f>IF(OR(F5348="",G5348=""),"",IF(G5348&lt;='RETRATO 2027'!$K$5,"CONCLUÍDA",IF(F5348&lt;='RETRATO 2027'!$K$5,"EM ANDAMENTO","A INICIAR")))</f>
        <v/>
      </c>
    </row>
    <row r="5349">
      <c r="M5349" s="2">
        <f>IF(C5349="","",IFERROR(INDEX($S$5:$S$304,MATCH(C5349,$R$5:$R$304,0))&amp;"","?"))</f>
        <v/>
      </c>
      <c r="N5349" s="2">
        <f>IF(E5349="","",IF(ISNUMBER(SEARCH("SUBSOLO",E5349)),IFERROR(-VALUE(LEFT(E5349,FIND("º",SUBSTITUTE(E5349,"°","º"))-1)),-1),IF(LEFT(E5349,6)="TÉRREO",0,IFERROR(VALUE(LEFT(E5349,FIND("º",SUBSTITUTE(E5349,"°","º"))-1)),""))))</f>
        <v/>
      </c>
      <c r="O5349" s="2">
        <f>IF(OR(F5349="",G5349=""),"",IF(G5349&lt;='RETRATO 2027'!$K$5,"CONCLUÍDA",IF(F5349&lt;='RETRATO 2027'!$K$5,"EM ANDAMENTO","A INICIAR")))</f>
        <v/>
      </c>
    </row>
    <row r="5350">
      <c r="M5350" s="2">
        <f>IF(C5350="","",IFERROR(INDEX($S$5:$S$304,MATCH(C5350,$R$5:$R$304,0))&amp;"","?"))</f>
        <v/>
      </c>
      <c r="N5350" s="2">
        <f>IF(E5350="","",IF(ISNUMBER(SEARCH("SUBSOLO",E5350)),IFERROR(-VALUE(LEFT(E5350,FIND("º",SUBSTITUTE(E5350,"°","º"))-1)),-1),IF(LEFT(E5350,6)="TÉRREO",0,IFERROR(VALUE(LEFT(E5350,FIND("º",SUBSTITUTE(E5350,"°","º"))-1)),""))))</f>
        <v/>
      </c>
      <c r="O5350" s="2">
        <f>IF(OR(F5350="",G5350=""),"",IF(G5350&lt;='RETRATO 2027'!$K$5,"CONCLUÍDA",IF(F5350&lt;='RETRATO 2027'!$K$5,"EM ANDAMENTO","A INICIAR")))</f>
        <v/>
      </c>
    </row>
    <row r="5351">
      <c r="M5351" s="2">
        <f>IF(C5351="","",IFERROR(INDEX($S$5:$S$304,MATCH(C5351,$R$5:$R$304,0))&amp;"","?"))</f>
        <v/>
      </c>
      <c r="N5351" s="2">
        <f>IF(E5351="","",IF(ISNUMBER(SEARCH("SUBSOLO",E5351)),IFERROR(-VALUE(LEFT(E5351,FIND("º",SUBSTITUTE(E5351,"°","º"))-1)),-1),IF(LEFT(E5351,6)="TÉRREO",0,IFERROR(VALUE(LEFT(E5351,FIND("º",SUBSTITUTE(E5351,"°","º"))-1)),""))))</f>
        <v/>
      </c>
      <c r="O5351" s="2">
        <f>IF(OR(F5351="",G5351=""),"",IF(G5351&lt;='RETRATO 2027'!$K$5,"CONCLUÍDA",IF(F5351&lt;='RETRATO 2027'!$K$5,"EM ANDAMENTO","A INICIAR")))</f>
        <v/>
      </c>
    </row>
    <row r="5352">
      <c r="M5352" s="2">
        <f>IF(C5352="","",IFERROR(INDEX($S$5:$S$304,MATCH(C5352,$R$5:$R$304,0))&amp;"","?"))</f>
        <v/>
      </c>
      <c r="N5352" s="2">
        <f>IF(E5352="","",IF(ISNUMBER(SEARCH("SUBSOLO",E5352)),IFERROR(-VALUE(LEFT(E5352,FIND("º",SUBSTITUTE(E5352,"°","º"))-1)),-1),IF(LEFT(E5352,6)="TÉRREO",0,IFERROR(VALUE(LEFT(E5352,FIND("º",SUBSTITUTE(E5352,"°","º"))-1)),""))))</f>
        <v/>
      </c>
      <c r="O5352" s="2">
        <f>IF(OR(F5352="",G5352=""),"",IF(G5352&lt;='RETRATO 2027'!$K$5,"CONCLUÍDA",IF(F5352&lt;='RETRATO 2027'!$K$5,"EM ANDAMENTO","A INICIAR")))</f>
        <v/>
      </c>
    </row>
    <row r="5353">
      <c r="M5353" s="2">
        <f>IF(C5353="","",IFERROR(INDEX($S$5:$S$304,MATCH(C5353,$R$5:$R$304,0))&amp;"","?"))</f>
        <v/>
      </c>
      <c r="N5353" s="2">
        <f>IF(E5353="","",IF(ISNUMBER(SEARCH("SUBSOLO",E5353)),IFERROR(-VALUE(LEFT(E5353,FIND("º",SUBSTITUTE(E5353,"°","º"))-1)),-1),IF(LEFT(E5353,6)="TÉRREO",0,IFERROR(VALUE(LEFT(E5353,FIND("º",SUBSTITUTE(E5353,"°","º"))-1)),""))))</f>
        <v/>
      </c>
      <c r="O5353" s="2">
        <f>IF(OR(F5353="",G5353=""),"",IF(G5353&lt;='RETRATO 2027'!$K$5,"CONCLUÍDA",IF(F5353&lt;='RETRATO 2027'!$K$5,"EM ANDAMENTO","A INICIAR")))</f>
        <v/>
      </c>
    </row>
    <row r="5354">
      <c r="M5354" s="2">
        <f>IF(C5354="","",IFERROR(INDEX($S$5:$S$304,MATCH(C5354,$R$5:$R$304,0))&amp;"","?"))</f>
        <v/>
      </c>
      <c r="N5354" s="2">
        <f>IF(E5354="","",IF(ISNUMBER(SEARCH("SUBSOLO",E5354)),IFERROR(-VALUE(LEFT(E5354,FIND("º",SUBSTITUTE(E5354,"°","º"))-1)),-1),IF(LEFT(E5354,6)="TÉRREO",0,IFERROR(VALUE(LEFT(E5354,FIND("º",SUBSTITUTE(E5354,"°","º"))-1)),""))))</f>
        <v/>
      </c>
      <c r="O5354" s="2">
        <f>IF(OR(F5354="",G5354=""),"",IF(G5354&lt;='RETRATO 2027'!$K$5,"CONCLUÍDA",IF(F5354&lt;='RETRATO 2027'!$K$5,"EM ANDAMENTO","A INICIAR")))</f>
        <v/>
      </c>
    </row>
    <row r="5355">
      <c r="M5355" s="2">
        <f>IF(C5355="","",IFERROR(INDEX($S$5:$S$304,MATCH(C5355,$R$5:$R$304,0))&amp;"","?"))</f>
        <v/>
      </c>
      <c r="N5355" s="2">
        <f>IF(E5355="","",IF(ISNUMBER(SEARCH("SUBSOLO",E5355)),IFERROR(-VALUE(LEFT(E5355,FIND("º",SUBSTITUTE(E5355,"°","º"))-1)),-1),IF(LEFT(E5355,6)="TÉRREO",0,IFERROR(VALUE(LEFT(E5355,FIND("º",SUBSTITUTE(E5355,"°","º"))-1)),""))))</f>
        <v/>
      </c>
      <c r="O5355" s="2">
        <f>IF(OR(F5355="",G5355=""),"",IF(G5355&lt;='RETRATO 2027'!$K$5,"CONCLUÍDA",IF(F5355&lt;='RETRATO 2027'!$K$5,"EM ANDAMENTO","A INICIAR")))</f>
        <v/>
      </c>
    </row>
    <row r="5356">
      <c r="M5356" s="2">
        <f>IF(C5356="","",IFERROR(INDEX($S$5:$S$304,MATCH(C5356,$R$5:$R$304,0))&amp;"","?"))</f>
        <v/>
      </c>
      <c r="N5356" s="2">
        <f>IF(E5356="","",IF(ISNUMBER(SEARCH("SUBSOLO",E5356)),IFERROR(-VALUE(LEFT(E5356,FIND("º",SUBSTITUTE(E5356,"°","º"))-1)),-1),IF(LEFT(E5356,6)="TÉRREO",0,IFERROR(VALUE(LEFT(E5356,FIND("º",SUBSTITUTE(E5356,"°","º"))-1)),""))))</f>
        <v/>
      </c>
      <c r="O5356" s="2">
        <f>IF(OR(F5356="",G5356=""),"",IF(G5356&lt;='RETRATO 2027'!$K$5,"CONCLUÍDA",IF(F5356&lt;='RETRATO 2027'!$K$5,"EM ANDAMENTO","A INICIAR")))</f>
        <v/>
      </c>
    </row>
    <row r="5357">
      <c r="M5357" s="2">
        <f>IF(C5357="","",IFERROR(INDEX($S$5:$S$304,MATCH(C5357,$R$5:$R$304,0))&amp;"","?"))</f>
        <v/>
      </c>
      <c r="N5357" s="2">
        <f>IF(E5357="","",IF(ISNUMBER(SEARCH("SUBSOLO",E5357)),IFERROR(-VALUE(LEFT(E5357,FIND("º",SUBSTITUTE(E5357,"°","º"))-1)),-1),IF(LEFT(E5357,6)="TÉRREO",0,IFERROR(VALUE(LEFT(E5357,FIND("º",SUBSTITUTE(E5357,"°","º"))-1)),""))))</f>
        <v/>
      </c>
      <c r="O5357" s="2">
        <f>IF(OR(F5357="",G5357=""),"",IF(G5357&lt;='RETRATO 2027'!$K$5,"CONCLUÍDA",IF(F5357&lt;='RETRATO 2027'!$K$5,"EM ANDAMENTO","A INICIAR")))</f>
        <v/>
      </c>
    </row>
    <row r="5358">
      <c r="M5358" s="2">
        <f>IF(C5358="","",IFERROR(INDEX($S$5:$S$304,MATCH(C5358,$R$5:$R$304,0))&amp;"","?"))</f>
        <v/>
      </c>
      <c r="N5358" s="2">
        <f>IF(E5358="","",IF(ISNUMBER(SEARCH("SUBSOLO",E5358)),IFERROR(-VALUE(LEFT(E5358,FIND("º",SUBSTITUTE(E5358,"°","º"))-1)),-1),IF(LEFT(E5358,6)="TÉRREO",0,IFERROR(VALUE(LEFT(E5358,FIND("º",SUBSTITUTE(E5358,"°","º"))-1)),""))))</f>
        <v/>
      </c>
      <c r="O5358" s="2">
        <f>IF(OR(F5358="",G5358=""),"",IF(G5358&lt;='RETRATO 2027'!$K$5,"CONCLUÍDA",IF(F5358&lt;='RETRATO 2027'!$K$5,"EM ANDAMENTO","A INICIAR")))</f>
        <v/>
      </c>
    </row>
    <row r="5359">
      <c r="M5359" s="2">
        <f>IF(C5359="","",IFERROR(INDEX($S$5:$S$304,MATCH(C5359,$R$5:$R$304,0))&amp;"","?"))</f>
        <v/>
      </c>
      <c r="N5359" s="2">
        <f>IF(E5359="","",IF(ISNUMBER(SEARCH("SUBSOLO",E5359)),IFERROR(-VALUE(LEFT(E5359,FIND("º",SUBSTITUTE(E5359,"°","º"))-1)),-1),IF(LEFT(E5359,6)="TÉRREO",0,IFERROR(VALUE(LEFT(E5359,FIND("º",SUBSTITUTE(E5359,"°","º"))-1)),""))))</f>
        <v/>
      </c>
      <c r="O5359" s="2">
        <f>IF(OR(F5359="",G5359=""),"",IF(G5359&lt;='RETRATO 2027'!$K$5,"CONCLUÍDA",IF(F5359&lt;='RETRATO 2027'!$K$5,"EM ANDAMENTO","A INICIAR")))</f>
        <v/>
      </c>
    </row>
    <row r="5360">
      <c r="M5360" s="2">
        <f>IF(C5360="","",IFERROR(INDEX($S$5:$S$304,MATCH(C5360,$R$5:$R$304,0))&amp;"","?"))</f>
        <v/>
      </c>
      <c r="N5360" s="2">
        <f>IF(E5360="","",IF(ISNUMBER(SEARCH("SUBSOLO",E5360)),IFERROR(-VALUE(LEFT(E5360,FIND("º",SUBSTITUTE(E5360,"°","º"))-1)),-1),IF(LEFT(E5360,6)="TÉRREO",0,IFERROR(VALUE(LEFT(E5360,FIND("º",SUBSTITUTE(E5360,"°","º"))-1)),""))))</f>
        <v/>
      </c>
      <c r="O5360" s="2">
        <f>IF(OR(F5360="",G5360=""),"",IF(G5360&lt;='RETRATO 2027'!$K$5,"CONCLUÍDA",IF(F5360&lt;='RETRATO 2027'!$K$5,"EM ANDAMENTO","A INICIAR")))</f>
        <v/>
      </c>
    </row>
    <row r="5361">
      <c r="M5361" s="2">
        <f>IF(C5361="","",IFERROR(INDEX($S$5:$S$304,MATCH(C5361,$R$5:$R$304,0))&amp;"","?"))</f>
        <v/>
      </c>
      <c r="N5361" s="2">
        <f>IF(E5361="","",IF(ISNUMBER(SEARCH("SUBSOLO",E5361)),IFERROR(-VALUE(LEFT(E5361,FIND("º",SUBSTITUTE(E5361,"°","º"))-1)),-1),IF(LEFT(E5361,6)="TÉRREO",0,IFERROR(VALUE(LEFT(E5361,FIND("º",SUBSTITUTE(E5361,"°","º"))-1)),""))))</f>
        <v/>
      </c>
      <c r="O5361" s="2">
        <f>IF(OR(F5361="",G5361=""),"",IF(G5361&lt;='RETRATO 2027'!$K$5,"CONCLUÍDA",IF(F5361&lt;='RETRATO 2027'!$K$5,"EM ANDAMENTO","A INICIAR")))</f>
        <v/>
      </c>
    </row>
    <row r="5362">
      <c r="M5362" s="2">
        <f>IF(C5362="","",IFERROR(INDEX($S$5:$S$304,MATCH(C5362,$R$5:$R$304,0))&amp;"","?"))</f>
        <v/>
      </c>
      <c r="N5362" s="2">
        <f>IF(E5362="","",IF(ISNUMBER(SEARCH("SUBSOLO",E5362)),IFERROR(-VALUE(LEFT(E5362,FIND("º",SUBSTITUTE(E5362,"°","º"))-1)),-1),IF(LEFT(E5362,6)="TÉRREO",0,IFERROR(VALUE(LEFT(E5362,FIND("º",SUBSTITUTE(E5362,"°","º"))-1)),""))))</f>
        <v/>
      </c>
      <c r="O5362" s="2">
        <f>IF(OR(F5362="",G5362=""),"",IF(G5362&lt;='RETRATO 2027'!$K$5,"CONCLUÍDA",IF(F5362&lt;='RETRATO 2027'!$K$5,"EM ANDAMENTO","A INICIAR")))</f>
        <v/>
      </c>
    </row>
    <row r="5363">
      <c r="M5363" s="2">
        <f>IF(C5363="","",IFERROR(INDEX($S$5:$S$304,MATCH(C5363,$R$5:$R$304,0))&amp;"","?"))</f>
        <v/>
      </c>
      <c r="N5363" s="2">
        <f>IF(E5363="","",IF(ISNUMBER(SEARCH("SUBSOLO",E5363)),IFERROR(-VALUE(LEFT(E5363,FIND("º",SUBSTITUTE(E5363,"°","º"))-1)),-1),IF(LEFT(E5363,6)="TÉRREO",0,IFERROR(VALUE(LEFT(E5363,FIND("º",SUBSTITUTE(E5363,"°","º"))-1)),""))))</f>
        <v/>
      </c>
      <c r="O5363" s="2">
        <f>IF(OR(F5363="",G5363=""),"",IF(G5363&lt;='RETRATO 2027'!$K$5,"CONCLUÍDA",IF(F5363&lt;='RETRATO 2027'!$K$5,"EM ANDAMENTO","A INICIAR")))</f>
        <v/>
      </c>
    </row>
    <row r="5364">
      <c r="M5364" s="2">
        <f>IF(C5364="","",IFERROR(INDEX($S$5:$S$304,MATCH(C5364,$R$5:$R$304,0))&amp;"","?"))</f>
        <v/>
      </c>
      <c r="N5364" s="2">
        <f>IF(E5364="","",IF(ISNUMBER(SEARCH("SUBSOLO",E5364)),IFERROR(-VALUE(LEFT(E5364,FIND("º",SUBSTITUTE(E5364,"°","º"))-1)),-1),IF(LEFT(E5364,6)="TÉRREO",0,IFERROR(VALUE(LEFT(E5364,FIND("º",SUBSTITUTE(E5364,"°","º"))-1)),""))))</f>
        <v/>
      </c>
      <c r="O5364" s="2">
        <f>IF(OR(F5364="",G5364=""),"",IF(G5364&lt;='RETRATO 2027'!$K$5,"CONCLUÍDA",IF(F5364&lt;='RETRATO 2027'!$K$5,"EM ANDAMENTO","A INICIAR")))</f>
        <v/>
      </c>
    </row>
    <row r="5365">
      <c r="M5365" s="2">
        <f>IF(C5365="","",IFERROR(INDEX($S$5:$S$304,MATCH(C5365,$R$5:$R$304,0))&amp;"","?"))</f>
        <v/>
      </c>
      <c r="N5365" s="2">
        <f>IF(E5365="","",IF(ISNUMBER(SEARCH("SUBSOLO",E5365)),IFERROR(-VALUE(LEFT(E5365,FIND("º",SUBSTITUTE(E5365,"°","º"))-1)),-1),IF(LEFT(E5365,6)="TÉRREO",0,IFERROR(VALUE(LEFT(E5365,FIND("º",SUBSTITUTE(E5365,"°","º"))-1)),""))))</f>
        <v/>
      </c>
      <c r="O5365" s="2">
        <f>IF(OR(F5365="",G5365=""),"",IF(G5365&lt;='RETRATO 2027'!$K$5,"CONCLUÍDA",IF(F5365&lt;='RETRATO 2027'!$K$5,"EM ANDAMENTO","A INICIAR")))</f>
        <v/>
      </c>
    </row>
    <row r="5366">
      <c r="M5366" s="2">
        <f>IF(C5366="","",IFERROR(INDEX($S$5:$S$304,MATCH(C5366,$R$5:$R$304,0))&amp;"","?"))</f>
        <v/>
      </c>
      <c r="N5366" s="2">
        <f>IF(E5366="","",IF(ISNUMBER(SEARCH("SUBSOLO",E5366)),IFERROR(-VALUE(LEFT(E5366,FIND("º",SUBSTITUTE(E5366,"°","º"))-1)),-1),IF(LEFT(E5366,6)="TÉRREO",0,IFERROR(VALUE(LEFT(E5366,FIND("º",SUBSTITUTE(E5366,"°","º"))-1)),""))))</f>
        <v/>
      </c>
      <c r="O5366" s="2">
        <f>IF(OR(F5366="",G5366=""),"",IF(G5366&lt;='RETRATO 2027'!$K$5,"CONCLUÍDA",IF(F5366&lt;='RETRATO 2027'!$K$5,"EM ANDAMENTO","A INICIAR")))</f>
        <v/>
      </c>
    </row>
    <row r="5367">
      <c r="M5367" s="2">
        <f>IF(C5367="","",IFERROR(INDEX($S$5:$S$304,MATCH(C5367,$R$5:$R$304,0))&amp;"","?"))</f>
        <v/>
      </c>
      <c r="N5367" s="2">
        <f>IF(E5367="","",IF(ISNUMBER(SEARCH("SUBSOLO",E5367)),IFERROR(-VALUE(LEFT(E5367,FIND("º",SUBSTITUTE(E5367,"°","º"))-1)),-1),IF(LEFT(E5367,6)="TÉRREO",0,IFERROR(VALUE(LEFT(E5367,FIND("º",SUBSTITUTE(E5367,"°","º"))-1)),""))))</f>
        <v/>
      </c>
      <c r="O5367" s="2">
        <f>IF(OR(F5367="",G5367=""),"",IF(G5367&lt;='RETRATO 2027'!$K$5,"CONCLUÍDA",IF(F5367&lt;='RETRATO 2027'!$K$5,"EM ANDAMENTO","A INICIAR")))</f>
        <v/>
      </c>
    </row>
    <row r="5368">
      <c r="M5368" s="2">
        <f>IF(C5368="","",IFERROR(INDEX($S$5:$S$304,MATCH(C5368,$R$5:$R$304,0))&amp;"","?"))</f>
        <v/>
      </c>
      <c r="N5368" s="2">
        <f>IF(E5368="","",IF(ISNUMBER(SEARCH("SUBSOLO",E5368)),IFERROR(-VALUE(LEFT(E5368,FIND("º",SUBSTITUTE(E5368,"°","º"))-1)),-1),IF(LEFT(E5368,6)="TÉRREO",0,IFERROR(VALUE(LEFT(E5368,FIND("º",SUBSTITUTE(E5368,"°","º"))-1)),""))))</f>
        <v/>
      </c>
      <c r="O5368" s="2">
        <f>IF(OR(F5368="",G5368=""),"",IF(G5368&lt;='RETRATO 2027'!$K$5,"CONCLUÍDA",IF(F5368&lt;='RETRATO 2027'!$K$5,"EM ANDAMENTO","A INICIAR")))</f>
        <v/>
      </c>
    </row>
    <row r="5369">
      <c r="M5369" s="2">
        <f>IF(C5369="","",IFERROR(INDEX($S$5:$S$304,MATCH(C5369,$R$5:$R$304,0))&amp;"","?"))</f>
        <v/>
      </c>
      <c r="N5369" s="2">
        <f>IF(E5369="","",IF(ISNUMBER(SEARCH("SUBSOLO",E5369)),IFERROR(-VALUE(LEFT(E5369,FIND("º",SUBSTITUTE(E5369,"°","º"))-1)),-1),IF(LEFT(E5369,6)="TÉRREO",0,IFERROR(VALUE(LEFT(E5369,FIND("º",SUBSTITUTE(E5369,"°","º"))-1)),""))))</f>
        <v/>
      </c>
      <c r="O5369" s="2">
        <f>IF(OR(F5369="",G5369=""),"",IF(G5369&lt;='RETRATO 2027'!$K$5,"CONCLUÍDA",IF(F5369&lt;='RETRATO 2027'!$K$5,"EM ANDAMENTO","A INICIAR")))</f>
        <v/>
      </c>
    </row>
    <row r="5370">
      <c r="M5370" s="2">
        <f>IF(C5370="","",IFERROR(INDEX($S$5:$S$304,MATCH(C5370,$R$5:$R$304,0))&amp;"","?"))</f>
        <v/>
      </c>
      <c r="N5370" s="2">
        <f>IF(E5370="","",IF(ISNUMBER(SEARCH("SUBSOLO",E5370)),IFERROR(-VALUE(LEFT(E5370,FIND("º",SUBSTITUTE(E5370,"°","º"))-1)),-1),IF(LEFT(E5370,6)="TÉRREO",0,IFERROR(VALUE(LEFT(E5370,FIND("º",SUBSTITUTE(E5370,"°","º"))-1)),""))))</f>
        <v/>
      </c>
      <c r="O5370" s="2">
        <f>IF(OR(F5370="",G5370=""),"",IF(G5370&lt;='RETRATO 2027'!$K$5,"CONCLUÍDA",IF(F5370&lt;='RETRATO 2027'!$K$5,"EM ANDAMENTO","A INICIAR")))</f>
        <v/>
      </c>
    </row>
    <row r="5371">
      <c r="M5371" s="2">
        <f>IF(C5371="","",IFERROR(INDEX($S$5:$S$304,MATCH(C5371,$R$5:$R$304,0))&amp;"","?"))</f>
        <v/>
      </c>
      <c r="N5371" s="2">
        <f>IF(E5371="","",IF(ISNUMBER(SEARCH("SUBSOLO",E5371)),IFERROR(-VALUE(LEFT(E5371,FIND("º",SUBSTITUTE(E5371,"°","º"))-1)),-1),IF(LEFT(E5371,6)="TÉRREO",0,IFERROR(VALUE(LEFT(E5371,FIND("º",SUBSTITUTE(E5371,"°","º"))-1)),""))))</f>
        <v/>
      </c>
      <c r="O5371" s="2">
        <f>IF(OR(F5371="",G5371=""),"",IF(G5371&lt;='RETRATO 2027'!$K$5,"CONCLUÍDA",IF(F5371&lt;='RETRATO 2027'!$K$5,"EM ANDAMENTO","A INICIAR")))</f>
        <v/>
      </c>
    </row>
    <row r="5372">
      <c r="M5372" s="2">
        <f>IF(C5372="","",IFERROR(INDEX($S$5:$S$304,MATCH(C5372,$R$5:$R$304,0))&amp;"","?"))</f>
        <v/>
      </c>
      <c r="N5372" s="2">
        <f>IF(E5372="","",IF(ISNUMBER(SEARCH("SUBSOLO",E5372)),IFERROR(-VALUE(LEFT(E5372,FIND("º",SUBSTITUTE(E5372,"°","º"))-1)),-1),IF(LEFT(E5372,6)="TÉRREO",0,IFERROR(VALUE(LEFT(E5372,FIND("º",SUBSTITUTE(E5372,"°","º"))-1)),""))))</f>
        <v/>
      </c>
      <c r="O5372" s="2">
        <f>IF(OR(F5372="",G5372=""),"",IF(G5372&lt;='RETRATO 2027'!$K$5,"CONCLUÍDA",IF(F5372&lt;='RETRATO 2027'!$K$5,"EM ANDAMENTO","A INICIAR")))</f>
        <v/>
      </c>
    </row>
    <row r="5373">
      <c r="M5373" s="2">
        <f>IF(C5373="","",IFERROR(INDEX($S$5:$S$304,MATCH(C5373,$R$5:$R$304,0))&amp;"","?"))</f>
        <v/>
      </c>
      <c r="N5373" s="2">
        <f>IF(E5373="","",IF(ISNUMBER(SEARCH("SUBSOLO",E5373)),IFERROR(-VALUE(LEFT(E5373,FIND("º",SUBSTITUTE(E5373,"°","º"))-1)),-1),IF(LEFT(E5373,6)="TÉRREO",0,IFERROR(VALUE(LEFT(E5373,FIND("º",SUBSTITUTE(E5373,"°","º"))-1)),""))))</f>
        <v/>
      </c>
      <c r="O5373" s="2">
        <f>IF(OR(F5373="",G5373=""),"",IF(G5373&lt;='RETRATO 2027'!$K$5,"CONCLUÍDA",IF(F5373&lt;='RETRATO 2027'!$K$5,"EM ANDAMENTO","A INICIAR")))</f>
        <v/>
      </c>
    </row>
    <row r="5374">
      <c r="M5374" s="2">
        <f>IF(C5374="","",IFERROR(INDEX($S$5:$S$304,MATCH(C5374,$R$5:$R$304,0))&amp;"","?"))</f>
        <v/>
      </c>
      <c r="N5374" s="2">
        <f>IF(E5374="","",IF(ISNUMBER(SEARCH("SUBSOLO",E5374)),IFERROR(-VALUE(LEFT(E5374,FIND("º",SUBSTITUTE(E5374,"°","º"))-1)),-1),IF(LEFT(E5374,6)="TÉRREO",0,IFERROR(VALUE(LEFT(E5374,FIND("º",SUBSTITUTE(E5374,"°","º"))-1)),""))))</f>
        <v/>
      </c>
      <c r="O5374" s="2">
        <f>IF(OR(F5374="",G5374=""),"",IF(G5374&lt;='RETRATO 2027'!$K$5,"CONCLUÍDA",IF(F5374&lt;='RETRATO 2027'!$K$5,"EM ANDAMENTO","A INICIAR")))</f>
        <v/>
      </c>
    </row>
    <row r="5375">
      <c r="M5375" s="2">
        <f>IF(C5375="","",IFERROR(INDEX($S$5:$S$304,MATCH(C5375,$R$5:$R$304,0))&amp;"","?"))</f>
        <v/>
      </c>
      <c r="N5375" s="2">
        <f>IF(E5375="","",IF(ISNUMBER(SEARCH("SUBSOLO",E5375)),IFERROR(-VALUE(LEFT(E5375,FIND("º",SUBSTITUTE(E5375,"°","º"))-1)),-1),IF(LEFT(E5375,6)="TÉRREO",0,IFERROR(VALUE(LEFT(E5375,FIND("º",SUBSTITUTE(E5375,"°","º"))-1)),""))))</f>
        <v/>
      </c>
      <c r="O5375" s="2">
        <f>IF(OR(F5375="",G5375=""),"",IF(G5375&lt;='RETRATO 2027'!$K$5,"CONCLUÍDA",IF(F5375&lt;='RETRATO 2027'!$K$5,"EM ANDAMENTO","A INICIAR")))</f>
        <v/>
      </c>
    </row>
    <row r="5376">
      <c r="M5376" s="2">
        <f>IF(C5376="","",IFERROR(INDEX($S$5:$S$304,MATCH(C5376,$R$5:$R$304,0))&amp;"","?"))</f>
        <v/>
      </c>
      <c r="N5376" s="2">
        <f>IF(E5376="","",IF(ISNUMBER(SEARCH("SUBSOLO",E5376)),IFERROR(-VALUE(LEFT(E5376,FIND("º",SUBSTITUTE(E5376,"°","º"))-1)),-1),IF(LEFT(E5376,6)="TÉRREO",0,IFERROR(VALUE(LEFT(E5376,FIND("º",SUBSTITUTE(E5376,"°","º"))-1)),""))))</f>
        <v/>
      </c>
      <c r="O5376" s="2">
        <f>IF(OR(F5376="",G5376=""),"",IF(G5376&lt;='RETRATO 2027'!$K$5,"CONCLUÍDA",IF(F5376&lt;='RETRATO 2027'!$K$5,"EM ANDAMENTO","A INICIAR")))</f>
        <v/>
      </c>
    </row>
    <row r="5377">
      <c r="M5377" s="2">
        <f>IF(C5377="","",IFERROR(INDEX($S$5:$S$304,MATCH(C5377,$R$5:$R$304,0))&amp;"","?"))</f>
        <v/>
      </c>
      <c r="N5377" s="2">
        <f>IF(E5377="","",IF(ISNUMBER(SEARCH("SUBSOLO",E5377)),IFERROR(-VALUE(LEFT(E5377,FIND("º",SUBSTITUTE(E5377,"°","º"))-1)),-1),IF(LEFT(E5377,6)="TÉRREO",0,IFERROR(VALUE(LEFT(E5377,FIND("º",SUBSTITUTE(E5377,"°","º"))-1)),""))))</f>
        <v/>
      </c>
      <c r="O5377" s="2">
        <f>IF(OR(F5377="",G5377=""),"",IF(G5377&lt;='RETRATO 2027'!$K$5,"CONCLUÍDA",IF(F5377&lt;='RETRATO 2027'!$K$5,"EM ANDAMENTO","A INICIAR")))</f>
        <v/>
      </c>
    </row>
    <row r="5378">
      <c r="M5378" s="2">
        <f>IF(C5378="","",IFERROR(INDEX($S$5:$S$304,MATCH(C5378,$R$5:$R$304,0))&amp;"","?"))</f>
        <v/>
      </c>
      <c r="N5378" s="2">
        <f>IF(E5378="","",IF(ISNUMBER(SEARCH("SUBSOLO",E5378)),IFERROR(-VALUE(LEFT(E5378,FIND("º",SUBSTITUTE(E5378,"°","º"))-1)),-1),IF(LEFT(E5378,6)="TÉRREO",0,IFERROR(VALUE(LEFT(E5378,FIND("º",SUBSTITUTE(E5378,"°","º"))-1)),""))))</f>
        <v/>
      </c>
      <c r="O5378" s="2">
        <f>IF(OR(F5378="",G5378=""),"",IF(G5378&lt;='RETRATO 2027'!$K$5,"CONCLUÍDA",IF(F5378&lt;='RETRATO 2027'!$K$5,"EM ANDAMENTO","A INICIAR")))</f>
        <v/>
      </c>
    </row>
    <row r="5379">
      <c r="M5379" s="2">
        <f>IF(C5379="","",IFERROR(INDEX($S$5:$S$304,MATCH(C5379,$R$5:$R$304,0))&amp;"","?"))</f>
        <v/>
      </c>
      <c r="N5379" s="2">
        <f>IF(E5379="","",IF(ISNUMBER(SEARCH("SUBSOLO",E5379)),IFERROR(-VALUE(LEFT(E5379,FIND("º",SUBSTITUTE(E5379,"°","º"))-1)),-1),IF(LEFT(E5379,6)="TÉRREO",0,IFERROR(VALUE(LEFT(E5379,FIND("º",SUBSTITUTE(E5379,"°","º"))-1)),""))))</f>
        <v/>
      </c>
      <c r="O5379" s="2">
        <f>IF(OR(F5379="",G5379=""),"",IF(G5379&lt;='RETRATO 2027'!$K$5,"CONCLUÍDA",IF(F5379&lt;='RETRATO 2027'!$K$5,"EM ANDAMENTO","A INICIAR")))</f>
        <v/>
      </c>
    </row>
    <row r="5380">
      <c r="M5380" s="2">
        <f>IF(C5380="","",IFERROR(INDEX($S$5:$S$304,MATCH(C5380,$R$5:$R$304,0))&amp;"","?"))</f>
        <v/>
      </c>
      <c r="N5380" s="2">
        <f>IF(E5380="","",IF(ISNUMBER(SEARCH("SUBSOLO",E5380)),IFERROR(-VALUE(LEFT(E5380,FIND("º",SUBSTITUTE(E5380,"°","º"))-1)),-1),IF(LEFT(E5380,6)="TÉRREO",0,IFERROR(VALUE(LEFT(E5380,FIND("º",SUBSTITUTE(E5380,"°","º"))-1)),""))))</f>
        <v/>
      </c>
      <c r="O5380" s="2">
        <f>IF(OR(F5380="",G5380=""),"",IF(G5380&lt;='RETRATO 2027'!$K$5,"CONCLUÍDA",IF(F5380&lt;='RETRATO 2027'!$K$5,"EM ANDAMENTO","A INICIAR")))</f>
        <v/>
      </c>
    </row>
    <row r="5381">
      <c r="M5381" s="2">
        <f>IF(C5381="","",IFERROR(INDEX($S$5:$S$304,MATCH(C5381,$R$5:$R$304,0))&amp;"","?"))</f>
        <v/>
      </c>
      <c r="N5381" s="2">
        <f>IF(E5381="","",IF(ISNUMBER(SEARCH("SUBSOLO",E5381)),IFERROR(-VALUE(LEFT(E5381,FIND("º",SUBSTITUTE(E5381,"°","º"))-1)),-1),IF(LEFT(E5381,6)="TÉRREO",0,IFERROR(VALUE(LEFT(E5381,FIND("º",SUBSTITUTE(E5381,"°","º"))-1)),""))))</f>
        <v/>
      </c>
      <c r="O5381" s="2">
        <f>IF(OR(F5381="",G5381=""),"",IF(G5381&lt;='RETRATO 2027'!$K$5,"CONCLUÍDA",IF(F5381&lt;='RETRATO 2027'!$K$5,"EM ANDAMENTO","A INICIAR")))</f>
        <v/>
      </c>
    </row>
    <row r="5382">
      <c r="M5382" s="2">
        <f>IF(C5382="","",IFERROR(INDEX($S$5:$S$304,MATCH(C5382,$R$5:$R$304,0))&amp;"","?"))</f>
        <v/>
      </c>
      <c r="N5382" s="2">
        <f>IF(E5382="","",IF(ISNUMBER(SEARCH("SUBSOLO",E5382)),IFERROR(-VALUE(LEFT(E5382,FIND("º",SUBSTITUTE(E5382,"°","º"))-1)),-1),IF(LEFT(E5382,6)="TÉRREO",0,IFERROR(VALUE(LEFT(E5382,FIND("º",SUBSTITUTE(E5382,"°","º"))-1)),""))))</f>
        <v/>
      </c>
      <c r="O5382" s="2">
        <f>IF(OR(F5382="",G5382=""),"",IF(G5382&lt;='RETRATO 2027'!$K$5,"CONCLUÍDA",IF(F5382&lt;='RETRATO 2027'!$K$5,"EM ANDAMENTO","A INICIAR")))</f>
        <v/>
      </c>
    </row>
    <row r="5383">
      <c r="M5383" s="2">
        <f>IF(C5383="","",IFERROR(INDEX($S$5:$S$304,MATCH(C5383,$R$5:$R$304,0))&amp;"","?"))</f>
        <v/>
      </c>
      <c r="N5383" s="2">
        <f>IF(E5383="","",IF(ISNUMBER(SEARCH("SUBSOLO",E5383)),IFERROR(-VALUE(LEFT(E5383,FIND("º",SUBSTITUTE(E5383,"°","º"))-1)),-1),IF(LEFT(E5383,6)="TÉRREO",0,IFERROR(VALUE(LEFT(E5383,FIND("º",SUBSTITUTE(E5383,"°","º"))-1)),""))))</f>
        <v/>
      </c>
      <c r="O5383" s="2">
        <f>IF(OR(F5383="",G5383=""),"",IF(G5383&lt;='RETRATO 2027'!$K$5,"CONCLUÍDA",IF(F5383&lt;='RETRATO 2027'!$K$5,"EM ANDAMENTO","A INICIAR")))</f>
        <v/>
      </c>
    </row>
    <row r="5384">
      <c r="M5384" s="2">
        <f>IF(C5384="","",IFERROR(INDEX($S$5:$S$304,MATCH(C5384,$R$5:$R$304,0))&amp;"","?"))</f>
        <v/>
      </c>
      <c r="N5384" s="2">
        <f>IF(E5384="","",IF(ISNUMBER(SEARCH("SUBSOLO",E5384)),IFERROR(-VALUE(LEFT(E5384,FIND("º",SUBSTITUTE(E5384,"°","º"))-1)),-1),IF(LEFT(E5384,6)="TÉRREO",0,IFERROR(VALUE(LEFT(E5384,FIND("º",SUBSTITUTE(E5384,"°","º"))-1)),""))))</f>
        <v/>
      </c>
      <c r="O5384" s="2">
        <f>IF(OR(F5384="",G5384=""),"",IF(G5384&lt;='RETRATO 2027'!$K$5,"CONCLUÍDA",IF(F5384&lt;='RETRATO 2027'!$K$5,"EM ANDAMENTO","A INICIAR")))</f>
        <v/>
      </c>
    </row>
    <row r="5385">
      <c r="M5385" s="2">
        <f>IF(C5385="","",IFERROR(INDEX($S$5:$S$304,MATCH(C5385,$R$5:$R$304,0))&amp;"","?"))</f>
        <v/>
      </c>
      <c r="N5385" s="2">
        <f>IF(E5385="","",IF(ISNUMBER(SEARCH("SUBSOLO",E5385)),IFERROR(-VALUE(LEFT(E5385,FIND("º",SUBSTITUTE(E5385,"°","º"))-1)),-1),IF(LEFT(E5385,6)="TÉRREO",0,IFERROR(VALUE(LEFT(E5385,FIND("º",SUBSTITUTE(E5385,"°","º"))-1)),""))))</f>
        <v/>
      </c>
      <c r="O5385" s="2">
        <f>IF(OR(F5385="",G5385=""),"",IF(G5385&lt;='RETRATO 2027'!$K$5,"CONCLUÍDA",IF(F5385&lt;='RETRATO 2027'!$K$5,"EM ANDAMENTO","A INICIAR")))</f>
        <v/>
      </c>
    </row>
    <row r="5386">
      <c r="M5386" s="2">
        <f>IF(C5386="","",IFERROR(INDEX($S$5:$S$304,MATCH(C5386,$R$5:$R$304,0))&amp;"","?"))</f>
        <v/>
      </c>
      <c r="N5386" s="2">
        <f>IF(E5386="","",IF(ISNUMBER(SEARCH("SUBSOLO",E5386)),IFERROR(-VALUE(LEFT(E5386,FIND("º",SUBSTITUTE(E5386,"°","º"))-1)),-1),IF(LEFT(E5386,6)="TÉRREO",0,IFERROR(VALUE(LEFT(E5386,FIND("º",SUBSTITUTE(E5386,"°","º"))-1)),""))))</f>
        <v/>
      </c>
      <c r="O5386" s="2">
        <f>IF(OR(F5386="",G5386=""),"",IF(G5386&lt;='RETRATO 2027'!$K$5,"CONCLUÍDA",IF(F5386&lt;='RETRATO 2027'!$K$5,"EM ANDAMENTO","A INICIAR")))</f>
        <v/>
      </c>
    </row>
    <row r="5387">
      <c r="M5387" s="2">
        <f>IF(C5387="","",IFERROR(INDEX($S$5:$S$304,MATCH(C5387,$R$5:$R$304,0))&amp;"","?"))</f>
        <v/>
      </c>
      <c r="N5387" s="2">
        <f>IF(E5387="","",IF(ISNUMBER(SEARCH("SUBSOLO",E5387)),IFERROR(-VALUE(LEFT(E5387,FIND("º",SUBSTITUTE(E5387,"°","º"))-1)),-1),IF(LEFT(E5387,6)="TÉRREO",0,IFERROR(VALUE(LEFT(E5387,FIND("º",SUBSTITUTE(E5387,"°","º"))-1)),""))))</f>
        <v/>
      </c>
      <c r="O5387" s="2">
        <f>IF(OR(F5387="",G5387=""),"",IF(G5387&lt;='RETRATO 2027'!$K$5,"CONCLUÍDA",IF(F5387&lt;='RETRATO 2027'!$K$5,"EM ANDAMENTO","A INICIAR")))</f>
        <v/>
      </c>
    </row>
    <row r="5388">
      <c r="M5388" s="2">
        <f>IF(C5388="","",IFERROR(INDEX($S$5:$S$304,MATCH(C5388,$R$5:$R$304,0))&amp;"","?"))</f>
        <v/>
      </c>
      <c r="N5388" s="2">
        <f>IF(E5388="","",IF(ISNUMBER(SEARCH("SUBSOLO",E5388)),IFERROR(-VALUE(LEFT(E5388,FIND("º",SUBSTITUTE(E5388,"°","º"))-1)),-1),IF(LEFT(E5388,6)="TÉRREO",0,IFERROR(VALUE(LEFT(E5388,FIND("º",SUBSTITUTE(E5388,"°","º"))-1)),""))))</f>
        <v/>
      </c>
      <c r="O5388" s="2">
        <f>IF(OR(F5388="",G5388=""),"",IF(G5388&lt;='RETRATO 2027'!$K$5,"CONCLUÍDA",IF(F5388&lt;='RETRATO 2027'!$K$5,"EM ANDAMENTO","A INICIAR")))</f>
        <v/>
      </c>
    </row>
    <row r="5389">
      <c r="M5389" s="2">
        <f>IF(C5389="","",IFERROR(INDEX($S$5:$S$304,MATCH(C5389,$R$5:$R$304,0))&amp;"","?"))</f>
        <v/>
      </c>
      <c r="N5389" s="2">
        <f>IF(E5389="","",IF(ISNUMBER(SEARCH("SUBSOLO",E5389)),IFERROR(-VALUE(LEFT(E5389,FIND("º",SUBSTITUTE(E5389,"°","º"))-1)),-1),IF(LEFT(E5389,6)="TÉRREO",0,IFERROR(VALUE(LEFT(E5389,FIND("º",SUBSTITUTE(E5389,"°","º"))-1)),""))))</f>
        <v/>
      </c>
      <c r="O5389" s="2">
        <f>IF(OR(F5389="",G5389=""),"",IF(G5389&lt;='RETRATO 2027'!$K$5,"CONCLUÍDA",IF(F5389&lt;='RETRATO 2027'!$K$5,"EM ANDAMENTO","A INICIAR")))</f>
        <v/>
      </c>
    </row>
    <row r="5390">
      <c r="M5390" s="2">
        <f>IF(C5390="","",IFERROR(INDEX($S$5:$S$304,MATCH(C5390,$R$5:$R$304,0))&amp;"","?"))</f>
        <v/>
      </c>
      <c r="N5390" s="2">
        <f>IF(E5390="","",IF(ISNUMBER(SEARCH("SUBSOLO",E5390)),IFERROR(-VALUE(LEFT(E5390,FIND("º",SUBSTITUTE(E5390,"°","º"))-1)),-1),IF(LEFT(E5390,6)="TÉRREO",0,IFERROR(VALUE(LEFT(E5390,FIND("º",SUBSTITUTE(E5390,"°","º"))-1)),""))))</f>
        <v/>
      </c>
      <c r="O5390" s="2">
        <f>IF(OR(F5390="",G5390=""),"",IF(G5390&lt;='RETRATO 2027'!$K$5,"CONCLUÍDA",IF(F5390&lt;='RETRATO 2027'!$K$5,"EM ANDAMENTO","A INICIAR")))</f>
        <v/>
      </c>
    </row>
    <row r="5391">
      <c r="M5391" s="2">
        <f>IF(C5391="","",IFERROR(INDEX($S$5:$S$304,MATCH(C5391,$R$5:$R$304,0))&amp;"","?"))</f>
        <v/>
      </c>
      <c r="N5391" s="2">
        <f>IF(E5391="","",IF(ISNUMBER(SEARCH("SUBSOLO",E5391)),IFERROR(-VALUE(LEFT(E5391,FIND("º",SUBSTITUTE(E5391,"°","º"))-1)),-1),IF(LEFT(E5391,6)="TÉRREO",0,IFERROR(VALUE(LEFT(E5391,FIND("º",SUBSTITUTE(E5391,"°","º"))-1)),""))))</f>
        <v/>
      </c>
      <c r="O5391" s="2">
        <f>IF(OR(F5391="",G5391=""),"",IF(G5391&lt;='RETRATO 2027'!$K$5,"CONCLUÍDA",IF(F5391&lt;='RETRATO 2027'!$K$5,"EM ANDAMENTO","A INICIAR")))</f>
        <v/>
      </c>
    </row>
    <row r="5392">
      <c r="M5392" s="2">
        <f>IF(C5392="","",IFERROR(INDEX($S$5:$S$304,MATCH(C5392,$R$5:$R$304,0))&amp;"","?"))</f>
        <v/>
      </c>
      <c r="N5392" s="2">
        <f>IF(E5392="","",IF(ISNUMBER(SEARCH("SUBSOLO",E5392)),IFERROR(-VALUE(LEFT(E5392,FIND("º",SUBSTITUTE(E5392,"°","º"))-1)),-1),IF(LEFT(E5392,6)="TÉRREO",0,IFERROR(VALUE(LEFT(E5392,FIND("º",SUBSTITUTE(E5392,"°","º"))-1)),""))))</f>
        <v/>
      </c>
      <c r="O5392" s="2">
        <f>IF(OR(F5392="",G5392=""),"",IF(G5392&lt;='RETRATO 2027'!$K$5,"CONCLUÍDA",IF(F5392&lt;='RETRATO 2027'!$K$5,"EM ANDAMENTO","A INICIAR")))</f>
        <v/>
      </c>
    </row>
    <row r="5393">
      <c r="M5393" s="2">
        <f>IF(C5393="","",IFERROR(INDEX($S$5:$S$304,MATCH(C5393,$R$5:$R$304,0))&amp;"","?"))</f>
        <v/>
      </c>
      <c r="N5393" s="2">
        <f>IF(E5393="","",IF(ISNUMBER(SEARCH("SUBSOLO",E5393)),IFERROR(-VALUE(LEFT(E5393,FIND("º",SUBSTITUTE(E5393,"°","º"))-1)),-1),IF(LEFT(E5393,6)="TÉRREO",0,IFERROR(VALUE(LEFT(E5393,FIND("º",SUBSTITUTE(E5393,"°","º"))-1)),""))))</f>
        <v/>
      </c>
      <c r="O5393" s="2">
        <f>IF(OR(F5393="",G5393=""),"",IF(G5393&lt;='RETRATO 2027'!$K$5,"CONCLUÍDA",IF(F5393&lt;='RETRATO 2027'!$K$5,"EM ANDAMENTO","A INICIAR")))</f>
        <v/>
      </c>
    </row>
    <row r="5394">
      <c r="M5394" s="2">
        <f>IF(C5394="","",IFERROR(INDEX($S$5:$S$304,MATCH(C5394,$R$5:$R$304,0))&amp;"","?"))</f>
        <v/>
      </c>
      <c r="N5394" s="2">
        <f>IF(E5394="","",IF(ISNUMBER(SEARCH("SUBSOLO",E5394)),IFERROR(-VALUE(LEFT(E5394,FIND("º",SUBSTITUTE(E5394,"°","º"))-1)),-1),IF(LEFT(E5394,6)="TÉRREO",0,IFERROR(VALUE(LEFT(E5394,FIND("º",SUBSTITUTE(E5394,"°","º"))-1)),""))))</f>
        <v/>
      </c>
      <c r="O5394" s="2">
        <f>IF(OR(F5394="",G5394=""),"",IF(G5394&lt;='RETRATO 2027'!$K$5,"CONCLUÍDA",IF(F5394&lt;='RETRATO 2027'!$K$5,"EM ANDAMENTO","A INICIAR")))</f>
        <v/>
      </c>
    </row>
    <row r="5395">
      <c r="M5395" s="2">
        <f>IF(C5395="","",IFERROR(INDEX($S$5:$S$304,MATCH(C5395,$R$5:$R$304,0))&amp;"","?"))</f>
        <v/>
      </c>
      <c r="N5395" s="2">
        <f>IF(E5395="","",IF(ISNUMBER(SEARCH("SUBSOLO",E5395)),IFERROR(-VALUE(LEFT(E5395,FIND("º",SUBSTITUTE(E5395,"°","º"))-1)),-1),IF(LEFT(E5395,6)="TÉRREO",0,IFERROR(VALUE(LEFT(E5395,FIND("º",SUBSTITUTE(E5395,"°","º"))-1)),""))))</f>
        <v/>
      </c>
      <c r="O5395" s="2">
        <f>IF(OR(F5395="",G5395=""),"",IF(G5395&lt;='RETRATO 2027'!$K$5,"CONCLUÍDA",IF(F5395&lt;='RETRATO 2027'!$K$5,"EM ANDAMENTO","A INICIAR")))</f>
        <v/>
      </c>
    </row>
    <row r="5396">
      <c r="M5396" s="2">
        <f>IF(C5396="","",IFERROR(INDEX($S$5:$S$304,MATCH(C5396,$R$5:$R$304,0))&amp;"","?"))</f>
        <v/>
      </c>
      <c r="N5396" s="2">
        <f>IF(E5396="","",IF(ISNUMBER(SEARCH("SUBSOLO",E5396)),IFERROR(-VALUE(LEFT(E5396,FIND("º",SUBSTITUTE(E5396,"°","º"))-1)),-1),IF(LEFT(E5396,6)="TÉRREO",0,IFERROR(VALUE(LEFT(E5396,FIND("º",SUBSTITUTE(E5396,"°","º"))-1)),""))))</f>
        <v/>
      </c>
      <c r="O5396" s="2">
        <f>IF(OR(F5396="",G5396=""),"",IF(G5396&lt;='RETRATO 2027'!$K$5,"CONCLUÍDA",IF(F5396&lt;='RETRATO 2027'!$K$5,"EM ANDAMENTO","A INICIAR")))</f>
        <v/>
      </c>
    </row>
    <row r="5397">
      <c r="M5397" s="2">
        <f>IF(C5397="","",IFERROR(INDEX($S$5:$S$304,MATCH(C5397,$R$5:$R$304,0))&amp;"","?"))</f>
        <v/>
      </c>
      <c r="N5397" s="2">
        <f>IF(E5397="","",IF(ISNUMBER(SEARCH("SUBSOLO",E5397)),IFERROR(-VALUE(LEFT(E5397,FIND("º",SUBSTITUTE(E5397,"°","º"))-1)),-1),IF(LEFT(E5397,6)="TÉRREO",0,IFERROR(VALUE(LEFT(E5397,FIND("º",SUBSTITUTE(E5397,"°","º"))-1)),""))))</f>
        <v/>
      </c>
      <c r="O5397" s="2">
        <f>IF(OR(F5397="",G5397=""),"",IF(G5397&lt;='RETRATO 2027'!$K$5,"CONCLUÍDA",IF(F5397&lt;='RETRATO 2027'!$K$5,"EM ANDAMENTO","A INICIAR")))</f>
        <v/>
      </c>
    </row>
    <row r="5398">
      <c r="M5398" s="2">
        <f>IF(C5398="","",IFERROR(INDEX($S$5:$S$304,MATCH(C5398,$R$5:$R$304,0))&amp;"","?"))</f>
        <v/>
      </c>
      <c r="N5398" s="2">
        <f>IF(E5398="","",IF(ISNUMBER(SEARCH("SUBSOLO",E5398)),IFERROR(-VALUE(LEFT(E5398,FIND("º",SUBSTITUTE(E5398,"°","º"))-1)),-1),IF(LEFT(E5398,6)="TÉRREO",0,IFERROR(VALUE(LEFT(E5398,FIND("º",SUBSTITUTE(E5398,"°","º"))-1)),""))))</f>
        <v/>
      </c>
      <c r="O5398" s="2">
        <f>IF(OR(F5398="",G5398=""),"",IF(G5398&lt;='RETRATO 2027'!$K$5,"CONCLUÍDA",IF(F5398&lt;='RETRATO 2027'!$K$5,"EM ANDAMENTO","A INICIAR")))</f>
        <v/>
      </c>
    </row>
    <row r="5399">
      <c r="M5399" s="2">
        <f>IF(C5399="","",IFERROR(INDEX($S$5:$S$304,MATCH(C5399,$R$5:$R$304,0))&amp;"","?"))</f>
        <v/>
      </c>
      <c r="N5399" s="2">
        <f>IF(E5399="","",IF(ISNUMBER(SEARCH("SUBSOLO",E5399)),IFERROR(-VALUE(LEFT(E5399,FIND("º",SUBSTITUTE(E5399,"°","º"))-1)),-1),IF(LEFT(E5399,6)="TÉRREO",0,IFERROR(VALUE(LEFT(E5399,FIND("º",SUBSTITUTE(E5399,"°","º"))-1)),""))))</f>
        <v/>
      </c>
      <c r="O5399" s="2">
        <f>IF(OR(F5399="",G5399=""),"",IF(G5399&lt;='RETRATO 2027'!$K$5,"CONCLUÍDA",IF(F5399&lt;='RETRATO 2027'!$K$5,"EM ANDAMENTO","A INICIAR")))</f>
        <v/>
      </c>
    </row>
    <row r="5400">
      <c r="M5400" s="2">
        <f>IF(C5400="","",IFERROR(INDEX($S$5:$S$304,MATCH(C5400,$R$5:$R$304,0))&amp;"","?"))</f>
        <v/>
      </c>
      <c r="N5400" s="2">
        <f>IF(E5400="","",IF(ISNUMBER(SEARCH("SUBSOLO",E5400)),IFERROR(-VALUE(LEFT(E5400,FIND("º",SUBSTITUTE(E5400,"°","º"))-1)),-1),IF(LEFT(E5400,6)="TÉRREO",0,IFERROR(VALUE(LEFT(E5400,FIND("º",SUBSTITUTE(E5400,"°","º"))-1)),""))))</f>
        <v/>
      </c>
      <c r="O5400" s="2">
        <f>IF(OR(F5400="",G5400=""),"",IF(G5400&lt;='RETRATO 2027'!$K$5,"CONCLUÍDA",IF(F5400&lt;='RETRATO 2027'!$K$5,"EM ANDAMENTO","A INICIAR")))</f>
        <v/>
      </c>
    </row>
    <row r="5401">
      <c r="M5401" s="2">
        <f>IF(C5401="","",IFERROR(INDEX($S$5:$S$304,MATCH(C5401,$R$5:$R$304,0))&amp;"","?"))</f>
        <v/>
      </c>
      <c r="N5401" s="2">
        <f>IF(E5401="","",IF(ISNUMBER(SEARCH("SUBSOLO",E5401)),IFERROR(-VALUE(LEFT(E5401,FIND("º",SUBSTITUTE(E5401,"°","º"))-1)),-1),IF(LEFT(E5401,6)="TÉRREO",0,IFERROR(VALUE(LEFT(E5401,FIND("º",SUBSTITUTE(E5401,"°","º"))-1)),""))))</f>
        <v/>
      </c>
      <c r="O5401" s="2">
        <f>IF(OR(F5401="",G5401=""),"",IF(G5401&lt;='RETRATO 2027'!$K$5,"CONCLUÍDA",IF(F5401&lt;='RETRATO 2027'!$K$5,"EM ANDAMENTO","A INICIAR")))</f>
        <v/>
      </c>
    </row>
    <row r="5402">
      <c r="M5402" s="2">
        <f>IF(C5402="","",IFERROR(INDEX($S$5:$S$304,MATCH(C5402,$R$5:$R$304,0))&amp;"","?"))</f>
        <v/>
      </c>
      <c r="N5402" s="2">
        <f>IF(E5402="","",IF(ISNUMBER(SEARCH("SUBSOLO",E5402)),IFERROR(-VALUE(LEFT(E5402,FIND("º",SUBSTITUTE(E5402,"°","º"))-1)),-1),IF(LEFT(E5402,6)="TÉRREO",0,IFERROR(VALUE(LEFT(E5402,FIND("º",SUBSTITUTE(E5402,"°","º"))-1)),""))))</f>
        <v/>
      </c>
      <c r="O5402" s="2">
        <f>IF(OR(F5402="",G5402=""),"",IF(G5402&lt;='RETRATO 2027'!$K$5,"CONCLUÍDA",IF(F5402&lt;='RETRATO 2027'!$K$5,"EM ANDAMENTO","A INICIAR")))</f>
        <v/>
      </c>
    </row>
    <row r="5403">
      <c r="M5403" s="2">
        <f>IF(C5403="","",IFERROR(INDEX($S$5:$S$304,MATCH(C5403,$R$5:$R$304,0))&amp;"","?"))</f>
        <v/>
      </c>
      <c r="N5403" s="2">
        <f>IF(E5403="","",IF(ISNUMBER(SEARCH("SUBSOLO",E5403)),IFERROR(-VALUE(LEFT(E5403,FIND("º",SUBSTITUTE(E5403,"°","º"))-1)),-1),IF(LEFT(E5403,6)="TÉRREO",0,IFERROR(VALUE(LEFT(E5403,FIND("º",SUBSTITUTE(E5403,"°","º"))-1)),""))))</f>
        <v/>
      </c>
      <c r="O5403" s="2">
        <f>IF(OR(F5403="",G5403=""),"",IF(G5403&lt;='RETRATO 2027'!$K$5,"CONCLUÍDA",IF(F5403&lt;='RETRATO 2027'!$K$5,"EM ANDAMENTO","A INICIAR")))</f>
        <v/>
      </c>
    </row>
    <row r="5404">
      <c r="M5404" s="2">
        <f>IF(C5404="","",IFERROR(INDEX($S$5:$S$304,MATCH(C5404,$R$5:$R$304,0))&amp;"","?"))</f>
        <v/>
      </c>
      <c r="N5404" s="2">
        <f>IF(E5404="","",IF(ISNUMBER(SEARCH("SUBSOLO",E5404)),IFERROR(-VALUE(LEFT(E5404,FIND("º",SUBSTITUTE(E5404,"°","º"))-1)),-1),IF(LEFT(E5404,6)="TÉRREO",0,IFERROR(VALUE(LEFT(E5404,FIND("º",SUBSTITUTE(E5404,"°","º"))-1)),""))))</f>
        <v/>
      </c>
      <c r="O5404" s="2">
        <f>IF(OR(F5404="",G5404=""),"",IF(G5404&lt;='RETRATO 2027'!$K$5,"CONCLUÍDA",IF(F5404&lt;='RETRATO 2027'!$K$5,"EM ANDAMENTO","A INICIAR")))</f>
        <v/>
      </c>
    </row>
    <row r="5405">
      <c r="M5405" s="2">
        <f>IF(C5405="","",IFERROR(INDEX($S$5:$S$304,MATCH(C5405,$R$5:$R$304,0))&amp;"","?"))</f>
        <v/>
      </c>
      <c r="N5405" s="2">
        <f>IF(E5405="","",IF(ISNUMBER(SEARCH("SUBSOLO",E5405)),IFERROR(-VALUE(LEFT(E5405,FIND("º",SUBSTITUTE(E5405,"°","º"))-1)),-1),IF(LEFT(E5405,6)="TÉRREO",0,IFERROR(VALUE(LEFT(E5405,FIND("º",SUBSTITUTE(E5405,"°","º"))-1)),""))))</f>
        <v/>
      </c>
      <c r="O5405" s="2">
        <f>IF(OR(F5405="",G5405=""),"",IF(G5405&lt;='RETRATO 2027'!$K$5,"CONCLUÍDA",IF(F5405&lt;='RETRATO 2027'!$K$5,"EM ANDAMENTO","A INICIAR")))</f>
        <v/>
      </c>
    </row>
    <row r="5406">
      <c r="M5406" s="2">
        <f>IF(C5406="","",IFERROR(INDEX($S$5:$S$304,MATCH(C5406,$R$5:$R$304,0))&amp;"","?"))</f>
        <v/>
      </c>
      <c r="N5406" s="2">
        <f>IF(E5406="","",IF(ISNUMBER(SEARCH("SUBSOLO",E5406)),IFERROR(-VALUE(LEFT(E5406,FIND("º",SUBSTITUTE(E5406,"°","º"))-1)),-1),IF(LEFT(E5406,6)="TÉRREO",0,IFERROR(VALUE(LEFT(E5406,FIND("º",SUBSTITUTE(E5406,"°","º"))-1)),""))))</f>
        <v/>
      </c>
      <c r="O5406" s="2">
        <f>IF(OR(F5406="",G5406=""),"",IF(G5406&lt;='RETRATO 2027'!$K$5,"CONCLUÍDA",IF(F5406&lt;='RETRATO 2027'!$K$5,"EM ANDAMENTO","A INICIAR")))</f>
        <v/>
      </c>
    </row>
    <row r="5407">
      <c r="M5407" s="2">
        <f>IF(C5407="","",IFERROR(INDEX($S$5:$S$304,MATCH(C5407,$R$5:$R$304,0))&amp;"","?"))</f>
        <v/>
      </c>
      <c r="N5407" s="2">
        <f>IF(E5407="","",IF(ISNUMBER(SEARCH("SUBSOLO",E5407)),IFERROR(-VALUE(LEFT(E5407,FIND("º",SUBSTITUTE(E5407,"°","º"))-1)),-1),IF(LEFT(E5407,6)="TÉRREO",0,IFERROR(VALUE(LEFT(E5407,FIND("º",SUBSTITUTE(E5407,"°","º"))-1)),""))))</f>
        <v/>
      </c>
      <c r="O5407" s="2">
        <f>IF(OR(F5407="",G5407=""),"",IF(G5407&lt;='RETRATO 2027'!$K$5,"CONCLUÍDA",IF(F5407&lt;='RETRATO 2027'!$K$5,"EM ANDAMENTO","A INICIAR")))</f>
        <v/>
      </c>
    </row>
    <row r="5408">
      <c r="M5408" s="2">
        <f>IF(C5408="","",IFERROR(INDEX($S$5:$S$304,MATCH(C5408,$R$5:$R$304,0))&amp;"","?"))</f>
        <v/>
      </c>
      <c r="N5408" s="2">
        <f>IF(E5408="","",IF(ISNUMBER(SEARCH("SUBSOLO",E5408)),IFERROR(-VALUE(LEFT(E5408,FIND("º",SUBSTITUTE(E5408,"°","º"))-1)),-1),IF(LEFT(E5408,6)="TÉRREO",0,IFERROR(VALUE(LEFT(E5408,FIND("º",SUBSTITUTE(E5408,"°","º"))-1)),""))))</f>
        <v/>
      </c>
      <c r="O5408" s="2">
        <f>IF(OR(F5408="",G5408=""),"",IF(G5408&lt;='RETRATO 2027'!$K$5,"CONCLUÍDA",IF(F5408&lt;='RETRATO 2027'!$K$5,"EM ANDAMENTO","A INICIAR")))</f>
        <v/>
      </c>
    </row>
    <row r="5409">
      <c r="M5409" s="2">
        <f>IF(C5409="","",IFERROR(INDEX($S$5:$S$304,MATCH(C5409,$R$5:$R$304,0))&amp;"","?"))</f>
        <v/>
      </c>
      <c r="N5409" s="2">
        <f>IF(E5409="","",IF(ISNUMBER(SEARCH("SUBSOLO",E5409)),IFERROR(-VALUE(LEFT(E5409,FIND("º",SUBSTITUTE(E5409,"°","º"))-1)),-1),IF(LEFT(E5409,6)="TÉRREO",0,IFERROR(VALUE(LEFT(E5409,FIND("º",SUBSTITUTE(E5409,"°","º"))-1)),""))))</f>
        <v/>
      </c>
      <c r="O5409" s="2">
        <f>IF(OR(F5409="",G5409=""),"",IF(G5409&lt;='RETRATO 2027'!$K$5,"CONCLUÍDA",IF(F5409&lt;='RETRATO 2027'!$K$5,"EM ANDAMENTO","A INICIAR")))</f>
        <v/>
      </c>
    </row>
    <row r="5410">
      <c r="M5410" s="2">
        <f>IF(C5410="","",IFERROR(INDEX($S$5:$S$304,MATCH(C5410,$R$5:$R$304,0))&amp;"","?"))</f>
        <v/>
      </c>
      <c r="N5410" s="2">
        <f>IF(E5410="","",IF(ISNUMBER(SEARCH("SUBSOLO",E5410)),IFERROR(-VALUE(LEFT(E5410,FIND("º",SUBSTITUTE(E5410,"°","º"))-1)),-1),IF(LEFT(E5410,6)="TÉRREO",0,IFERROR(VALUE(LEFT(E5410,FIND("º",SUBSTITUTE(E5410,"°","º"))-1)),""))))</f>
        <v/>
      </c>
      <c r="O5410" s="2">
        <f>IF(OR(F5410="",G5410=""),"",IF(G5410&lt;='RETRATO 2027'!$K$5,"CONCLUÍDA",IF(F5410&lt;='RETRATO 2027'!$K$5,"EM ANDAMENTO","A INICIAR")))</f>
        <v/>
      </c>
    </row>
    <row r="5411">
      <c r="M5411" s="2">
        <f>IF(C5411="","",IFERROR(INDEX($S$5:$S$304,MATCH(C5411,$R$5:$R$304,0))&amp;"","?"))</f>
        <v/>
      </c>
      <c r="N5411" s="2">
        <f>IF(E5411="","",IF(ISNUMBER(SEARCH("SUBSOLO",E5411)),IFERROR(-VALUE(LEFT(E5411,FIND("º",SUBSTITUTE(E5411,"°","º"))-1)),-1),IF(LEFT(E5411,6)="TÉRREO",0,IFERROR(VALUE(LEFT(E5411,FIND("º",SUBSTITUTE(E5411,"°","º"))-1)),""))))</f>
        <v/>
      </c>
      <c r="O5411" s="2">
        <f>IF(OR(F5411="",G5411=""),"",IF(G5411&lt;='RETRATO 2027'!$K$5,"CONCLUÍDA",IF(F5411&lt;='RETRATO 2027'!$K$5,"EM ANDAMENTO","A INICIAR")))</f>
        <v/>
      </c>
    </row>
    <row r="5412">
      <c r="M5412" s="2">
        <f>IF(C5412="","",IFERROR(INDEX($S$5:$S$304,MATCH(C5412,$R$5:$R$304,0))&amp;"","?"))</f>
        <v/>
      </c>
      <c r="N5412" s="2">
        <f>IF(E5412="","",IF(ISNUMBER(SEARCH("SUBSOLO",E5412)),IFERROR(-VALUE(LEFT(E5412,FIND("º",SUBSTITUTE(E5412,"°","º"))-1)),-1),IF(LEFT(E5412,6)="TÉRREO",0,IFERROR(VALUE(LEFT(E5412,FIND("º",SUBSTITUTE(E5412,"°","º"))-1)),""))))</f>
        <v/>
      </c>
      <c r="O5412" s="2">
        <f>IF(OR(F5412="",G5412=""),"",IF(G5412&lt;='RETRATO 2027'!$K$5,"CONCLUÍDA",IF(F5412&lt;='RETRATO 2027'!$K$5,"EM ANDAMENTO","A INICIAR")))</f>
        <v/>
      </c>
    </row>
    <row r="5413">
      <c r="M5413" s="2">
        <f>IF(C5413="","",IFERROR(INDEX($S$5:$S$304,MATCH(C5413,$R$5:$R$304,0))&amp;"","?"))</f>
        <v/>
      </c>
      <c r="N5413" s="2">
        <f>IF(E5413="","",IF(ISNUMBER(SEARCH("SUBSOLO",E5413)),IFERROR(-VALUE(LEFT(E5413,FIND("º",SUBSTITUTE(E5413,"°","º"))-1)),-1),IF(LEFT(E5413,6)="TÉRREO",0,IFERROR(VALUE(LEFT(E5413,FIND("º",SUBSTITUTE(E5413,"°","º"))-1)),""))))</f>
        <v/>
      </c>
      <c r="O5413" s="2">
        <f>IF(OR(F5413="",G5413=""),"",IF(G5413&lt;='RETRATO 2027'!$K$5,"CONCLUÍDA",IF(F5413&lt;='RETRATO 2027'!$K$5,"EM ANDAMENTO","A INICIAR")))</f>
        <v/>
      </c>
    </row>
    <row r="5414">
      <c r="M5414" s="2">
        <f>IF(C5414="","",IFERROR(INDEX($S$5:$S$304,MATCH(C5414,$R$5:$R$304,0))&amp;"","?"))</f>
        <v/>
      </c>
      <c r="N5414" s="2">
        <f>IF(E5414="","",IF(ISNUMBER(SEARCH("SUBSOLO",E5414)),IFERROR(-VALUE(LEFT(E5414,FIND("º",SUBSTITUTE(E5414,"°","º"))-1)),-1),IF(LEFT(E5414,6)="TÉRREO",0,IFERROR(VALUE(LEFT(E5414,FIND("º",SUBSTITUTE(E5414,"°","º"))-1)),""))))</f>
        <v/>
      </c>
      <c r="O5414" s="2">
        <f>IF(OR(F5414="",G5414=""),"",IF(G5414&lt;='RETRATO 2027'!$K$5,"CONCLUÍDA",IF(F5414&lt;='RETRATO 2027'!$K$5,"EM ANDAMENTO","A INICIAR")))</f>
        <v/>
      </c>
    </row>
    <row r="5415">
      <c r="M5415" s="2">
        <f>IF(C5415="","",IFERROR(INDEX($S$5:$S$304,MATCH(C5415,$R$5:$R$304,0))&amp;"","?"))</f>
        <v/>
      </c>
      <c r="N5415" s="2">
        <f>IF(E5415="","",IF(ISNUMBER(SEARCH("SUBSOLO",E5415)),IFERROR(-VALUE(LEFT(E5415,FIND("º",SUBSTITUTE(E5415,"°","º"))-1)),-1),IF(LEFT(E5415,6)="TÉRREO",0,IFERROR(VALUE(LEFT(E5415,FIND("º",SUBSTITUTE(E5415,"°","º"))-1)),""))))</f>
        <v/>
      </c>
      <c r="O5415" s="2">
        <f>IF(OR(F5415="",G5415=""),"",IF(G5415&lt;='RETRATO 2027'!$K$5,"CONCLUÍDA",IF(F5415&lt;='RETRATO 2027'!$K$5,"EM ANDAMENTO","A INICIAR")))</f>
        <v/>
      </c>
    </row>
    <row r="5416">
      <c r="M5416" s="2">
        <f>IF(C5416="","",IFERROR(INDEX($S$5:$S$304,MATCH(C5416,$R$5:$R$304,0))&amp;"","?"))</f>
        <v/>
      </c>
      <c r="N5416" s="2">
        <f>IF(E5416="","",IF(ISNUMBER(SEARCH("SUBSOLO",E5416)),IFERROR(-VALUE(LEFT(E5416,FIND("º",SUBSTITUTE(E5416,"°","º"))-1)),-1),IF(LEFT(E5416,6)="TÉRREO",0,IFERROR(VALUE(LEFT(E5416,FIND("º",SUBSTITUTE(E5416,"°","º"))-1)),""))))</f>
        <v/>
      </c>
      <c r="O5416" s="2">
        <f>IF(OR(F5416="",G5416=""),"",IF(G5416&lt;='RETRATO 2027'!$K$5,"CONCLUÍDA",IF(F5416&lt;='RETRATO 2027'!$K$5,"EM ANDAMENTO","A INICIAR")))</f>
        <v/>
      </c>
    </row>
    <row r="5417">
      <c r="M5417" s="2">
        <f>IF(C5417="","",IFERROR(INDEX($S$5:$S$304,MATCH(C5417,$R$5:$R$304,0))&amp;"","?"))</f>
        <v/>
      </c>
      <c r="N5417" s="2">
        <f>IF(E5417="","",IF(ISNUMBER(SEARCH("SUBSOLO",E5417)),IFERROR(-VALUE(LEFT(E5417,FIND("º",SUBSTITUTE(E5417,"°","º"))-1)),-1),IF(LEFT(E5417,6)="TÉRREO",0,IFERROR(VALUE(LEFT(E5417,FIND("º",SUBSTITUTE(E5417,"°","º"))-1)),""))))</f>
        <v/>
      </c>
      <c r="O5417" s="2">
        <f>IF(OR(F5417="",G5417=""),"",IF(G5417&lt;='RETRATO 2027'!$K$5,"CONCLUÍDA",IF(F5417&lt;='RETRATO 2027'!$K$5,"EM ANDAMENTO","A INICIAR")))</f>
        <v/>
      </c>
    </row>
    <row r="5418">
      <c r="M5418" s="2">
        <f>IF(C5418="","",IFERROR(INDEX($S$5:$S$304,MATCH(C5418,$R$5:$R$304,0))&amp;"","?"))</f>
        <v/>
      </c>
      <c r="N5418" s="2">
        <f>IF(E5418="","",IF(ISNUMBER(SEARCH("SUBSOLO",E5418)),IFERROR(-VALUE(LEFT(E5418,FIND("º",SUBSTITUTE(E5418,"°","º"))-1)),-1),IF(LEFT(E5418,6)="TÉRREO",0,IFERROR(VALUE(LEFT(E5418,FIND("º",SUBSTITUTE(E5418,"°","º"))-1)),""))))</f>
        <v/>
      </c>
      <c r="O5418" s="2">
        <f>IF(OR(F5418="",G5418=""),"",IF(G5418&lt;='RETRATO 2027'!$K$5,"CONCLUÍDA",IF(F5418&lt;='RETRATO 2027'!$K$5,"EM ANDAMENTO","A INICIAR")))</f>
        <v/>
      </c>
    </row>
    <row r="5419">
      <c r="M5419" s="2">
        <f>IF(C5419="","",IFERROR(INDEX($S$5:$S$304,MATCH(C5419,$R$5:$R$304,0))&amp;"","?"))</f>
        <v/>
      </c>
      <c r="N5419" s="2">
        <f>IF(E5419="","",IF(ISNUMBER(SEARCH("SUBSOLO",E5419)),IFERROR(-VALUE(LEFT(E5419,FIND("º",SUBSTITUTE(E5419,"°","º"))-1)),-1),IF(LEFT(E5419,6)="TÉRREO",0,IFERROR(VALUE(LEFT(E5419,FIND("º",SUBSTITUTE(E5419,"°","º"))-1)),""))))</f>
        <v/>
      </c>
      <c r="O5419" s="2">
        <f>IF(OR(F5419="",G5419=""),"",IF(G5419&lt;='RETRATO 2027'!$K$5,"CONCLUÍDA",IF(F5419&lt;='RETRATO 2027'!$K$5,"EM ANDAMENTO","A INICIAR")))</f>
        <v/>
      </c>
    </row>
    <row r="5420">
      <c r="M5420" s="2">
        <f>IF(C5420="","",IFERROR(INDEX($S$5:$S$304,MATCH(C5420,$R$5:$R$304,0))&amp;"","?"))</f>
        <v/>
      </c>
      <c r="N5420" s="2">
        <f>IF(E5420="","",IF(ISNUMBER(SEARCH("SUBSOLO",E5420)),IFERROR(-VALUE(LEFT(E5420,FIND("º",SUBSTITUTE(E5420,"°","º"))-1)),-1),IF(LEFT(E5420,6)="TÉRREO",0,IFERROR(VALUE(LEFT(E5420,FIND("º",SUBSTITUTE(E5420,"°","º"))-1)),""))))</f>
        <v/>
      </c>
      <c r="O5420" s="2">
        <f>IF(OR(F5420="",G5420=""),"",IF(G5420&lt;='RETRATO 2027'!$K$5,"CONCLUÍDA",IF(F5420&lt;='RETRATO 2027'!$K$5,"EM ANDAMENTO","A INICIAR")))</f>
        <v/>
      </c>
    </row>
    <row r="5421">
      <c r="M5421" s="2">
        <f>IF(C5421="","",IFERROR(INDEX($S$5:$S$304,MATCH(C5421,$R$5:$R$304,0))&amp;"","?"))</f>
        <v/>
      </c>
      <c r="N5421" s="2">
        <f>IF(E5421="","",IF(ISNUMBER(SEARCH("SUBSOLO",E5421)),IFERROR(-VALUE(LEFT(E5421,FIND("º",SUBSTITUTE(E5421,"°","º"))-1)),-1),IF(LEFT(E5421,6)="TÉRREO",0,IFERROR(VALUE(LEFT(E5421,FIND("º",SUBSTITUTE(E5421,"°","º"))-1)),""))))</f>
        <v/>
      </c>
      <c r="O5421" s="2">
        <f>IF(OR(F5421="",G5421=""),"",IF(G5421&lt;='RETRATO 2027'!$K$5,"CONCLUÍDA",IF(F5421&lt;='RETRATO 2027'!$K$5,"EM ANDAMENTO","A INICIAR")))</f>
        <v/>
      </c>
    </row>
    <row r="5422">
      <c r="M5422" s="2">
        <f>IF(C5422="","",IFERROR(INDEX($S$5:$S$304,MATCH(C5422,$R$5:$R$304,0))&amp;"","?"))</f>
        <v/>
      </c>
      <c r="N5422" s="2">
        <f>IF(E5422="","",IF(ISNUMBER(SEARCH("SUBSOLO",E5422)),IFERROR(-VALUE(LEFT(E5422,FIND("º",SUBSTITUTE(E5422,"°","º"))-1)),-1),IF(LEFT(E5422,6)="TÉRREO",0,IFERROR(VALUE(LEFT(E5422,FIND("º",SUBSTITUTE(E5422,"°","º"))-1)),""))))</f>
        <v/>
      </c>
      <c r="O5422" s="2">
        <f>IF(OR(F5422="",G5422=""),"",IF(G5422&lt;='RETRATO 2027'!$K$5,"CONCLUÍDA",IF(F5422&lt;='RETRATO 2027'!$K$5,"EM ANDAMENTO","A INICIAR")))</f>
        <v/>
      </c>
    </row>
    <row r="5423">
      <c r="M5423" s="2">
        <f>IF(C5423="","",IFERROR(INDEX($S$5:$S$304,MATCH(C5423,$R$5:$R$304,0))&amp;"","?"))</f>
        <v/>
      </c>
      <c r="N5423" s="2">
        <f>IF(E5423="","",IF(ISNUMBER(SEARCH("SUBSOLO",E5423)),IFERROR(-VALUE(LEFT(E5423,FIND("º",SUBSTITUTE(E5423,"°","º"))-1)),-1),IF(LEFT(E5423,6)="TÉRREO",0,IFERROR(VALUE(LEFT(E5423,FIND("º",SUBSTITUTE(E5423,"°","º"))-1)),""))))</f>
        <v/>
      </c>
      <c r="O5423" s="2">
        <f>IF(OR(F5423="",G5423=""),"",IF(G5423&lt;='RETRATO 2027'!$K$5,"CONCLUÍDA",IF(F5423&lt;='RETRATO 2027'!$K$5,"EM ANDAMENTO","A INICIAR")))</f>
        <v/>
      </c>
    </row>
    <row r="5424">
      <c r="M5424" s="2">
        <f>IF(C5424="","",IFERROR(INDEX($S$5:$S$304,MATCH(C5424,$R$5:$R$304,0))&amp;"","?"))</f>
        <v/>
      </c>
      <c r="N5424" s="2">
        <f>IF(E5424="","",IF(ISNUMBER(SEARCH("SUBSOLO",E5424)),IFERROR(-VALUE(LEFT(E5424,FIND("º",SUBSTITUTE(E5424,"°","º"))-1)),-1),IF(LEFT(E5424,6)="TÉRREO",0,IFERROR(VALUE(LEFT(E5424,FIND("º",SUBSTITUTE(E5424,"°","º"))-1)),""))))</f>
        <v/>
      </c>
      <c r="O5424" s="2">
        <f>IF(OR(F5424="",G5424=""),"",IF(G5424&lt;='RETRATO 2027'!$K$5,"CONCLUÍDA",IF(F5424&lt;='RETRATO 2027'!$K$5,"EM ANDAMENTO","A INICIAR")))</f>
        <v/>
      </c>
    </row>
    <row r="5425">
      <c r="M5425" s="2">
        <f>IF(C5425="","",IFERROR(INDEX($S$5:$S$304,MATCH(C5425,$R$5:$R$304,0))&amp;"","?"))</f>
        <v/>
      </c>
      <c r="N5425" s="2">
        <f>IF(E5425="","",IF(ISNUMBER(SEARCH("SUBSOLO",E5425)),IFERROR(-VALUE(LEFT(E5425,FIND("º",SUBSTITUTE(E5425,"°","º"))-1)),-1),IF(LEFT(E5425,6)="TÉRREO",0,IFERROR(VALUE(LEFT(E5425,FIND("º",SUBSTITUTE(E5425,"°","º"))-1)),""))))</f>
        <v/>
      </c>
      <c r="O5425" s="2">
        <f>IF(OR(F5425="",G5425=""),"",IF(G5425&lt;='RETRATO 2027'!$K$5,"CONCLUÍDA",IF(F5425&lt;='RETRATO 2027'!$K$5,"EM ANDAMENTO","A INICIAR")))</f>
        <v/>
      </c>
    </row>
    <row r="5426">
      <c r="M5426" s="2">
        <f>IF(C5426="","",IFERROR(INDEX($S$5:$S$304,MATCH(C5426,$R$5:$R$304,0))&amp;"","?"))</f>
        <v/>
      </c>
      <c r="N5426" s="2">
        <f>IF(E5426="","",IF(ISNUMBER(SEARCH("SUBSOLO",E5426)),IFERROR(-VALUE(LEFT(E5426,FIND("º",SUBSTITUTE(E5426,"°","º"))-1)),-1),IF(LEFT(E5426,6)="TÉRREO",0,IFERROR(VALUE(LEFT(E5426,FIND("º",SUBSTITUTE(E5426,"°","º"))-1)),""))))</f>
        <v/>
      </c>
      <c r="O5426" s="2">
        <f>IF(OR(F5426="",G5426=""),"",IF(G5426&lt;='RETRATO 2027'!$K$5,"CONCLUÍDA",IF(F5426&lt;='RETRATO 2027'!$K$5,"EM ANDAMENTO","A INICIAR")))</f>
        <v/>
      </c>
    </row>
    <row r="5427">
      <c r="M5427" s="2">
        <f>IF(C5427="","",IFERROR(INDEX($S$5:$S$304,MATCH(C5427,$R$5:$R$304,0))&amp;"","?"))</f>
        <v/>
      </c>
      <c r="N5427" s="2">
        <f>IF(E5427="","",IF(ISNUMBER(SEARCH("SUBSOLO",E5427)),IFERROR(-VALUE(LEFT(E5427,FIND("º",SUBSTITUTE(E5427,"°","º"))-1)),-1),IF(LEFT(E5427,6)="TÉRREO",0,IFERROR(VALUE(LEFT(E5427,FIND("º",SUBSTITUTE(E5427,"°","º"))-1)),""))))</f>
        <v/>
      </c>
      <c r="O5427" s="2">
        <f>IF(OR(F5427="",G5427=""),"",IF(G5427&lt;='RETRATO 2027'!$K$5,"CONCLUÍDA",IF(F5427&lt;='RETRATO 2027'!$K$5,"EM ANDAMENTO","A INICIAR")))</f>
        <v/>
      </c>
    </row>
    <row r="5428">
      <c r="M5428" s="2">
        <f>IF(C5428="","",IFERROR(INDEX($S$5:$S$304,MATCH(C5428,$R$5:$R$304,0))&amp;"","?"))</f>
        <v/>
      </c>
      <c r="N5428" s="2">
        <f>IF(E5428="","",IF(ISNUMBER(SEARCH("SUBSOLO",E5428)),IFERROR(-VALUE(LEFT(E5428,FIND("º",SUBSTITUTE(E5428,"°","º"))-1)),-1),IF(LEFT(E5428,6)="TÉRREO",0,IFERROR(VALUE(LEFT(E5428,FIND("º",SUBSTITUTE(E5428,"°","º"))-1)),""))))</f>
        <v/>
      </c>
      <c r="O5428" s="2">
        <f>IF(OR(F5428="",G5428=""),"",IF(G5428&lt;='RETRATO 2027'!$K$5,"CONCLUÍDA",IF(F5428&lt;='RETRATO 2027'!$K$5,"EM ANDAMENTO","A INICIAR")))</f>
        <v/>
      </c>
    </row>
    <row r="5429">
      <c r="M5429" s="2">
        <f>IF(C5429="","",IFERROR(INDEX($S$5:$S$304,MATCH(C5429,$R$5:$R$304,0))&amp;"","?"))</f>
        <v/>
      </c>
      <c r="N5429" s="2">
        <f>IF(E5429="","",IF(ISNUMBER(SEARCH("SUBSOLO",E5429)),IFERROR(-VALUE(LEFT(E5429,FIND("º",SUBSTITUTE(E5429,"°","º"))-1)),-1),IF(LEFT(E5429,6)="TÉRREO",0,IFERROR(VALUE(LEFT(E5429,FIND("º",SUBSTITUTE(E5429,"°","º"))-1)),""))))</f>
        <v/>
      </c>
      <c r="O5429" s="2">
        <f>IF(OR(F5429="",G5429=""),"",IF(G5429&lt;='RETRATO 2027'!$K$5,"CONCLUÍDA",IF(F5429&lt;='RETRATO 2027'!$K$5,"EM ANDAMENTO","A INICIAR")))</f>
        <v/>
      </c>
    </row>
    <row r="5430">
      <c r="M5430" s="2">
        <f>IF(C5430="","",IFERROR(INDEX($S$5:$S$304,MATCH(C5430,$R$5:$R$304,0))&amp;"","?"))</f>
        <v/>
      </c>
      <c r="N5430" s="2">
        <f>IF(E5430="","",IF(ISNUMBER(SEARCH("SUBSOLO",E5430)),IFERROR(-VALUE(LEFT(E5430,FIND("º",SUBSTITUTE(E5430,"°","º"))-1)),-1),IF(LEFT(E5430,6)="TÉRREO",0,IFERROR(VALUE(LEFT(E5430,FIND("º",SUBSTITUTE(E5430,"°","º"))-1)),""))))</f>
        <v/>
      </c>
      <c r="O5430" s="2">
        <f>IF(OR(F5430="",G5430=""),"",IF(G5430&lt;='RETRATO 2027'!$K$5,"CONCLUÍDA",IF(F5430&lt;='RETRATO 2027'!$K$5,"EM ANDAMENTO","A INICIAR")))</f>
        <v/>
      </c>
    </row>
    <row r="5431">
      <c r="M5431" s="2">
        <f>IF(C5431="","",IFERROR(INDEX($S$5:$S$304,MATCH(C5431,$R$5:$R$304,0))&amp;"","?"))</f>
        <v/>
      </c>
      <c r="N5431" s="2">
        <f>IF(E5431="","",IF(ISNUMBER(SEARCH("SUBSOLO",E5431)),IFERROR(-VALUE(LEFT(E5431,FIND("º",SUBSTITUTE(E5431,"°","º"))-1)),-1),IF(LEFT(E5431,6)="TÉRREO",0,IFERROR(VALUE(LEFT(E5431,FIND("º",SUBSTITUTE(E5431,"°","º"))-1)),""))))</f>
        <v/>
      </c>
      <c r="O5431" s="2">
        <f>IF(OR(F5431="",G5431=""),"",IF(G5431&lt;='RETRATO 2027'!$K$5,"CONCLUÍDA",IF(F5431&lt;='RETRATO 2027'!$K$5,"EM ANDAMENTO","A INICIAR")))</f>
        <v/>
      </c>
    </row>
    <row r="5432">
      <c r="M5432" s="2">
        <f>IF(C5432="","",IFERROR(INDEX($S$5:$S$304,MATCH(C5432,$R$5:$R$304,0))&amp;"","?"))</f>
        <v/>
      </c>
      <c r="N5432" s="2">
        <f>IF(E5432="","",IF(ISNUMBER(SEARCH("SUBSOLO",E5432)),IFERROR(-VALUE(LEFT(E5432,FIND("º",SUBSTITUTE(E5432,"°","º"))-1)),-1),IF(LEFT(E5432,6)="TÉRREO",0,IFERROR(VALUE(LEFT(E5432,FIND("º",SUBSTITUTE(E5432,"°","º"))-1)),""))))</f>
        <v/>
      </c>
      <c r="O5432" s="2">
        <f>IF(OR(F5432="",G5432=""),"",IF(G5432&lt;='RETRATO 2027'!$K$5,"CONCLUÍDA",IF(F5432&lt;='RETRATO 2027'!$K$5,"EM ANDAMENTO","A INICIAR")))</f>
        <v/>
      </c>
    </row>
    <row r="5433">
      <c r="M5433" s="2">
        <f>IF(C5433="","",IFERROR(INDEX($S$5:$S$304,MATCH(C5433,$R$5:$R$304,0))&amp;"","?"))</f>
        <v/>
      </c>
      <c r="N5433" s="2">
        <f>IF(E5433="","",IF(ISNUMBER(SEARCH("SUBSOLO",E5433)),IFERROR(-VALUE(LEFT(E5433,FIND("º",SUBSTITUTE(E5433,"°","º"))-1)),-1),IF(LEFT(E5433,6)="TÉRREO",0,IFERROR(VALUE(LEFT(E5433,FIND("º",SUBSTITUTE(E5433,"°","º"))-1)),""))))</f>
        <v/>
      </c>
      <c r="O5433" s="2">
        <f>IF(OR(F5433="",G5433=""),"",IF(G5433&lt;='RETRATO 2027'!$K$5,"CONCLUÍDA",IF(F5433&lt;='RETRATO 2027'!$K$5,"EM ANDAMENTO","A INICIAR")))</f>
        <v/>
      </c>
    </row>
    <row r="5434">
      <c r="M5434" s="2">
        <f>IF(C5434="","",IFERROR(INDEX($S$5:$S$304,MATCH(C5434,$R$5:$R$304,0))&amp;"","?"))</f>
        <v/>
      </c>
      <c r="N5434" s="2">
        <f>IF(E5434="","",IF(ISNUMBER(SEARCH("SUBSOLO",E5434)),IFERROR(-VALUE(LEFT(E5434,FIND("º",SUBSTITUTE(E5434,"°","º"))-1)),-1),IF(LEFT(E5434,6)="TÉRREO",0,IFERROR(VALUE(LEFT(E5434,FIND("º",SUBSTITUTE(E5434,"°","º"))-1)),""))))</f>
        <v/>
      </c>
      <c r="O5434" s="2">
        <f>IF(OR(F5434="",G5434=""),"",IF(G5434&lt;='RETRATO 2027'!$K$5,"CONCLUÍDA",IF(F5434&lt;='RETRATO 2027'!$K$5,"EM ANDAMENTO","A INICIAR")))</f>
        <v/>
      </c>
    </row>
    <row r="5435">
      <c r="M5435" s="2">
        <f>IF(C5435="","",IFERROR(INDEX($S$5:$S$304,MATCH(C5435,$R$5:$R$304,0))&amp;"","?"))</f>
        <v/>
      </c>
      <c r="N5435" s="2">
        <f>IF(E5435="","",IF(ISNUMBER(SEARCH("SUBSOLO",E5435)),IFERROR(-VALUE(LEFT(E5435,FIND("º",SUBSTITUTE(E5435,"°","º"))-1)),-1),IF(LEFT(E5435,6)="TÉRREO",0,IFERROR(VALUE(LEFT(E5435,FIND("º",SUBSTITUTE(E5435,"°","º"))-1)),""))))</f>
        <v/>
      </c>
      <c r="O5435" s="2">
        <f>IF(OR(F5435="",G5435=""),"",IF(G5435&lt;='RETRATO 2027'!$K$5,"CONCLUÍDA",IF(F5435&lt;='RETRATO 2027'!$K$5,"EM ANDAMENTO","A INICIAR")))</f>
        <v/>
      </c>
    </row>
    <row r="5436">
      <c r="M5436" s="2">
        <f>IF(C5436="","",IFERROR(INDEX($S$5:$S$304,MATCH(C5436,$R$5:$R$304,0))&amp;"","?"))</f>
        <v/>
      </c>
      <c r="N5436" s="2">
        <f>IF(E5436="","",IF(ISNUMBER(SEARCH("SUBSOLO",E5436)),IFERROR(-VALUE(LEFT(E5436,FIND("º",SUBSTITUTE(E5436,"°","º"))-1)),-1),IF(LEFT(E5436,6)="TÉRREO",0,IFERROR(VALUE(LEFT(E5436,FIND("º",SUBSTITUTE(E5436,"°","º"))-1)),""))))</f>
        <v/>
      </c>
      <c r="O5436" s="2">
        <f>IF(OR(F5436="",G5436=""),"",IF(G5436&lt;='RETRATO 2027'!$K$5,"CONCLUÍDA",IF(F5436&lt;='RETRATO 2027'!$K$5,"EM ANDAMENTO","A INICIAR")))</f>
        <v/>
      </c>
    </row>
    <row r="5437">
      <c r="M5437" s="2">
        <f>IF(C5437="","",IFERROR(INDEX($S$5:$S$304,MATCH(C5437,$R$5:$R$304,0))&amp;"","?"))</f>
        <v/>
      </c>
      <c r="N5437" s="2">
        <f>IF(E5437="","",IF(ISNUMBER(SEARCH("SUBSOLO",E5437)),IFERROR(-VALUE(LEFT(E5437,FIND("º",SUBSTITUTE(E5437,"°","º"))-1)),-1),IF(LEFT(E5437,6)="TÉRREO",0,IFERROR(VALUE(LEFT(E5437,FIND("º",SUBSTITUTE(E5437,"°","º"))-1)),""))))</f>
        <v/>
      </c>
      <c r="O5437" s="2">
        <f>IF(OR(F5437="",G5437=""),"",IF(G5437&lt;='RETRATO 2027'!$K$5,"CONCLUÍDA",IF(F5437&lt;='RETRATO 2027'!$K$5,"EM ANDAMENTO","A INICIAR")))</f>
        <v/>
      </c>
    </row>
    <row r="5438">
      <c r="M5438" s="2">
        <f>IF(C5438="","",IFERROR(INDEX($S$5:$S$304,MATCH(C5438,$R$5:$R$304,0))&amp;"","?"))</f>
        <v/>
      </c>
      <c r="N5438" s="2">
        <f>IF(E5438="","",IF(ISNUMBER(SEARCH("SUBSOLO",E5438)),IFERROR(-VALUE(LEFT(E5438,FIND("º",SUBSTITUTE(E5438,"°","º"))-1)),-1),IF(LEFT(E5438,6)="TÉRREO",0,IFERROR(VALUE(LEFT(E5438,FIND("º",SUBSTITUTE(E5438,"°","º"))-1)),""))))</f>
        <v/>
      </c>
      <c r="O5438" s="2">
        <f>IF(OR(F5438="",G5438=""),"",IF(G5438&lt;='RETRATO 2027'!$K$5,"CONCLUÍDA",IF(F5438&lt;='RETRATO 2027'!$K$5,"EM ANDAMENTO","A INICIAR")))</f>
        <v/>
      </c>
    </row>
    <row r="5439">
      <c r="M5439" s="2">
        <f>IF(C5439="","",IFERROR(INDEX($S$5:$S$304,MATCH(C5439,$R$5:$R$304,0))&amp;"","?"))</f>
        <v/>
      </c>
      <c r="N5439" s="2">
        <f>IF(E5439="","",IF(ISNUMBER(SEARCH("SUBSOLO",E5439)),IFERROR(-VALUE(LEFT(E5439,FIND("º",SUBSTITUTE(E5439,"°","º"))-1)),-1),IF(LEFT(E5439,6)="TÉRREO",0,IFERROR(VALUE(LEFT(E5439,FIND("º",SUBSTITUTE(E5439,"°","º"))-1)),""))))</f>
        <v/>
      </c>
      <c r="O5439" s="2">
        <f>IF(OR(F5439="",G5439=""),"",IF(G5439&lt;='RETRATO 2027'!$K$5,"CONCLUÍDA",IF(F5439&lt;='RETRATO 2027'!$K$5,"EM ANDAMENTO","A INICIAR")))</f>
        <v/>
      </c>
    </row>
    <row r="5440">
      <c r="M5440" s="2">
        <f>IF(C5440="","",IFERROR(INDEX($S$5:$S$304,MATCH(C5440,$R$5:$R$304,0))&amp;"","?"))</f>
        <v/>
      </c>
      <c r="N5440" s="2">
        <f>IF(E5440="","",IF(ISNUMBER(SEARCH("SUBSOLO",E5440)),IFERROR(-VALUE(LEFT(E5440,FIND("º",SUBSTITUTE(E5440,"°","º"))-1)),-1),IF(LEFT(E5440,6)="TÉRREO",0,IFERROR(VALUE(LEFT(E5440,FIND("º",SUBSTITUTE(E5440,"°","º"))-1)),""))))</f>
        <v/>
      </c>
      <c r="O5440" s="2">
        <f>IF(OR(F5440="",G5440=""),"",IF(G5440&lt;='RETRATO 2027'!$K$5,"CONCLUÍDA",IF(F5440&lt;='RETRATO 2027'!$K$5,"EM ANDAMENTO","A INICIAR")))</f>
        <v/>
      </c>
    </row>
    <row r="5441">
      <c r="M5441" s="2">
        <f>IF(C5441="","",IFERROR(INDEX($S$5:$S$304,MATCH(C5441,$R$5:$R$304,0))&amp;"","?"))</f>
        <v/>
      </c>
      <c r="N5441" s="2">
        <f>IF(E5441="","",IF(ISNUMBER(SEARCH("SUBSOLO",E5441)),IFERROR(-VALUE(LEFT(E5441,FIND("º",SUBSTITUTE(E5441,"°","º"))-1)),-1),IF(LEFT(E5441,6)="TÉRREO",0,IFERROR(VALUE(LEFT(E5441,FIND("º",SUBSTITUTE(E5441,"°","º"))-1)),""))))</f>
        <v/>
      </c>
      <c r="O5441" s="2">
        <f>IF(OR(F5441="",G5441=""),"",IF(G5441&lt;='RETRATO 2027'!$K$5,"CONCLUÍDA",IF(F5441&lt;='RETRATO 2027'!$K$5,"EM ANDAMENTO","A INICIAR")))</f>
        <v/>
      </c>
    </row>
    <row r="5442">
      <c r="M5442" s="2">
        <f>IF(C5442="","",IFERROR(INDEX($S$5:$S$304,MATCH(C5442,$R$5:$R$304,0))&amp;"","?"))</f>
        <v/>
      </c>
      <c r="N5442" s="2">
        <f>IF(E5442="","",IF(ISNUMBER(SEARCH("SUBSOLO",E5442)),IFERROR(-VALUE(LEFT(E5442,FIND("º",SUBSTITUTE(E5442,"°","º"))-1)),-1),IF(LEFT(E5442,6)="TÉRREO",0,IFERROR(VALUE(LEFT(E5442,FIND("º",SUBSTITUTE(E5442,"°","º"))-1)),""))))</f>
        <v/>
      </c>
      <c r="O5442" s="2">
        <f>IF(OR(F5442="",G5442=""),"",IF(G5442&lt;='RETRATO 2027'!$K$5,"CONCLUÍDA",IF(F5442&lt;='RETRATO 2027'!$K$5,"EM ANDAMENTO","A INICIAR")))</f>
        <v/>
      </c>
    </row>
    <row r="5443">
      <c r="M5443" s="2">
        <f>IF(C5443="","",IFERROR(INDEX($S$5:$S$304,MATCH(C5443,$R$5:$R$304,0))&amp;"","?"))</f>
        <v/>
      </c>
      <c r="N5443" s="2">
        <f>IF(E5443="","",IF(ISNUMBER(SEARCH("SUBSOLO",E5443)),IFERROR(-VALUE(LEFT(E5443,FIND("º",SUBSTITUTE(E5443,"°","º"))-1)),-1),IF(LEFT(E5443,6)="TÉRREO",0,IFERROR(VALUE(LEFT(E5443,FIND("º",SUBSTITUTE(E5443,"°","º"))-1)),""))))</f>
        <v/>
      </c>
      <c r="O5443" s="2">
        <f>IF(OR(F5443="",G5443=""),"",IF(G5443&lt;='RETRATO 2027'!$K$5,"CONCLUÍDA",IF(F5443&lt;='RETRATO 2027'!$K$5,"EM ANDAMENTO","A INICIAR")))</f>
        <v/>
      </c>
    </row>
    <row r="5444">
      <c r="M5444" s="2">
        <f>IF(C5444="","",IFERROR(INDEX($S$5:$S$304,MATCH(C5444,$R$5:$R$304,0))&amp;"","?"))</f>
        <v/>
      </c>
      <c r="N5444" s="2">
        <f>IF(E5444="","",IF(ISNUMBER(SEARCH("SUBSOLO",E5444)),IFERROR(-VALUE(LEFT(E5444,FIND("º",SUBSTITUTE(E5444,"°","º"))-1)),-1),IF(LEFT(E5444,6)="TÉRREO",0,IFERROR(VALUE(LEFT(E5444,FIND("º",SUBSTITUTE(E5444,"°","º"))-1)),""))))</f>
        <v/>
      </c>
      <c r="O5444" s="2">
        <f>IF(OR(F5444="",G5444=""),"",IF(G5444&lt;='RETRATO 2027'!$K$5,"CONCLUÍDA",IF(F5444&lt;='RETRATO 2027'!$K$5,"EM ANDAMENTO","A INICIAR")))</f>
        <v/>
      </c>
    </row>
    <row r="5445">
      <c r="M5445" s="2">
        <f>IF(C5445="","",IFERROR(INDEX($S$5:$S$304,MATCH(C5445,$R$5:$R$304,0))&amp;"","?"))</f>
        <v/>
      </c>
      <c r="N5445" s="2">
        <f>IF(E5445="","",IF(ISNUMBER(SEARCH("SUBSOLO",E5445)),IFERROR(-VALUE(LEFT(E5445,FIND("º",SUBSTITUTE(E5445,"°","º"))-1)),-1),IF(LEFT(E5445,6)="TÉRREO",0,IFERROR(VALUE(LEFT(E5445,FIND("º",SUBSTITUTE(E5445,"°","º"))-1)),""))))</f>
        <v/>
      </c>
      <c r="O5445" s="2">
        <f>IF(OR(F5445="",G5445=""),"",IF(G5445&lt;='RETRATO 2027'!$K$5,"CONCLUÍDA",IF(F5445&lt;='RETRATO 2027'!$K$5,"EM ANDAMENTO","A INICIAR")))</f>
        <v/>
      </c>
    </row>
    <row r="5446">
      <c r="M5446" s="2">
        <f>IF(C5446="","",IFERROR(INDEX($S$5:$S$304,MATCH(C5446,$R$5:$R$304,0))&amp;"","?"))</f>
        <v/>
      </c>
      <c r="N5446" s="2">
        <f>IF(E5446="","",IF(ISNUMBER(SEARCH("SUBSOLO",E5446)),IFERROR(-VALUE(LEFT(E5446,FIND("º",SUBSTITUTE(E5446,"°","º"))-1)),-1),IF(LEFT(E5446,6)="TÉRREO",0,IFERROR(VALUE(LEFT(E5446,FIND("º",SUBSTITUTE(E5446,"°","º"))-1)),""))))</f>
        <v/>
      </c>
      <c r="O5446" s="2">
        <f>IF(OR(F5446="",G5446=""),"",IF(G5446&lt;='RETRATO 2027'!$K$5,"CONCLUÍDA",IF(F5446&lt;='RETRATO 2027'!$K$5,"EM ANDAMENTO","A INICIAR")))</f>
        <v/>
      </c>
    </row>
    <row r="5447">
      <c r="M5447" s="2">
        <f>IF(C5447="","",IFERROR(INDEX($S$5:$S$304,MATCH(C5447,$R$5:$R$304,0))&amp;"","?"))</f>
        <v/>
      </c>
      <c r="N5447" s="2">
        <f>IF(E5447="","",IF(ISNUMBER(SEARCH("SUBSOLO",E5447)),IFERROR(-VALUE(LEFT(E5447,FIND("º",SUBSTITUTE(E5447,"°","º"))-1)),-1),IF(LEFT(E5447,6)="TÉRREO",0,IFERROR(VALUE(LEFT(E5447,FIND("º",SUBSTITUTE(E5447,"°","º"))-1)),""))))</f>
        <v/>
      </c>
      <c r="O5447" s="2">
        <f>IF(OR(F5447="",G5447=""),"",IF(G5447&lt;='RETRATO 2027'!$K$5,"CONCLUÍDA",IF(F5447&lt;='RETRATO 2027'!$K$5,"EM ANDAMENTO","A INICIAR")))</f>
        <v/>
      </c>
    </row>
    <row r="5448">
      <c r="M5448" s="2">
        <f>IF(C5448="","",IFERROR(INDEX($S$5:$S$304,MATCH(C5448,$R$5:$R$304,0))&amp;"","?"))</f>
        <v/>
      </c>
      <c r="N5448" s="2">
        <f>IF(E5448="","",IF(ISNUMBER(SEARCH("SUBSOLO",E5448)),IFERROR(-VALUE(LEFT(E5448,FIND("º",SUBSTITUTE(E5448,"°","º"))-1)),-1),IF(LEFT(E5448,6)="TÉRREO",0,IFERROR(VALUE(LEFT(E5448,FIND("º",SUBSTITUTE(E5448,"°","º"))-1)),""))))</f>
        <v/>
      </c>
      <c r="O5448" s="2">
        <f>IF(OR(F5448="",G5448=""),"",IF(G5448&lt;='RETRATO 2027'!$K$5,"CONCLUÍDA",IF(F5448&lt;='RETRATO 2027'!$K$5,"EM ANDAMENTO","A INICIAR")))</f>
        <v/>
      </c>
    </row>
    <row r="5449">
      <c r="M5449" s="2">
        <f>IF(C5449="","",IFERROR(INDEX($S$5:$S$304,MATCH(C5449,$R$5:$R$304,0))&amp;"","?"))</f>
        <v/>
      </c>
      <c r="N5449" s="2">
        <f>IF(E5449="","",IF(ISNUMBER(SEARCH("SUBSOLO",E5449)),IFERROR(-VALUE(LEFT(E5449,FIND("º",SUBSTITUTE(E5449,"°","º"))-1)),-1),IF(LEFT(E5449,6)="TÉRREO",0,IFERROR(VALUE(LEFT(E5449,FIND("º",SUBSTITUTE(E5449,"°","º"))-1)),""))))</f>
        <v/>
      </c>
      <c r="O5449" s="2">
        <f>IF(OR(F5449="",G5449=""),"",IF(G5449&lt;='RETRATO 2027'!$K$5,"CONCLUÍDA",IF(F5449&lt;='RETRATO 2027'!$K$5,"EM ANDAMENTO","A INICIAR")))</f>
        <v/>
      </c>
    </row>
    <row r="5450">
      <c r="M5450" s="2">
        <f>IF(C5450="","",IFERROR(INDEX($S$5:$S$304,MATCH(C5450,$R$5:$R$304,0))&amp;"","?"))</f>
        <v/>
      </c>
      <c r="N5450" s="2">
        <f>IF(E5450="","",IF(ISNUMBER(SEARCH("SUBSOLO",E5450)),IFERROR(-VALUE(LEFT(E5450,FIND("º",SUBSTITUTE(E5450,"°","º"))-1)),-1),IF(LEFT(E5450,6)="TÉRREO",0,IFERROR(VALUE(LEFT(E5450,FIND("º",SUBSTITUTE(E5450,"°","º"))-1)),""))))</f>
        <v/>
      </c>
      <c r="O5450" s="2">
        <f>IF(OR(F5450="",G5450=""),"",IF(G5450&lt;='RETRATO 2027'!$K$5,"CONCLUÍDA",IF(F5450&lt;='RETRATO 2027'!$K$5,"EM ANDAMENTO","A INICIAR")))</f>
        <v/>
      </c>
    </row>
    <row r="5451">
      <c r="M5451" s="2">
        <f>IF(C5451="","",IFERROR(INDEX($S$5:$S$304,MATCH(C5451,$R$5:$R$304,0))&amp;"","?"))</f>
        <v/>
      </c>
      <c r="N5451" s="2">
        <f>IF(E5451="","",IF(ISNUMBER(SEARCH("SUBSOLO",E5451)),IFERROR(-VALUE(LEFT(E5451,FIND("º",SUBSTITUTE(E5451,"°","º"))-1)),-1),IF(LEFT(E5451,6)="TÉRREO",0,IFERROR(VALUE(LEFT(E5451,FIND("º",SUBSTITUTE(E5451,"°","º"))-1)),""))))</f>
        <v/>
      </c>
      <c r="O5451" s="2">
        <f>IF(OR(F5451="",G5451=""),"",IF(G5451&lt;='RETRATO 2027'!$K$5,"CONCLUÍDA",IF(F5451&lt;='RETRATO 2027'!$K$5,"EM ANDAMENTO","A INICIAR")))</f>
        <v/>
      </c>
    </row>
    <row r="5452">
      <c r="M5452" s="2">
        <f>IF(C5452="","",IFERROR(INDEX($S$5:$S$304,MATCH(C5452,$R$5:$R$304,0))&amp;"","?"))</f>
        <v/>
      </c>
      <c r="N5452" s="2">
        <f>IF(E5452="","",IF(ISNUMBER(SEARCH("SUBSOLO",E5452)),IFERROR(-VALUE(LEFT(E5452,FIND("º",SUBSTITUTE(E5452,"°","º"))-1)),-1),IF(LEFT(E5452,6)="TÉRREO",0,IFERROR(VALUE(LEFT(E5452,FIND("º",SUBSTITUTE(E5452,"°","º"))-1)),""))))</f>
        <v/>
      </c>
      <c r="O5452" s="2">
        <f>IF(OR(F5452="",G5452=""),"",IF(G5452&lt;='RETRATO 2027'!$K$5,"CONCLUÍDA",IF(F5452&lt;='RETRATO 2027'!$K$5,"EM ANDAMENTO","A INICIAR")))</f>
        <v/>
      </c>
    </row>
    <row r="5453">
      <c r="M5453" s="2">
        <f>IF(C5453="","",IFERROR(INDEX($S$5:$S$304,MATCH(C5453,$R$5:$R$304,0))&amp;"","?"))</f>
        <v/>
      </c>
      <c r="N5453" s="2">
        <f>IF(E5453="","",IF(ISNUMBER(SEARCH("SUBSOLO",E5453)),IFERROR(-VALUE(LEFT(E5453,FIND("º",SUBSTITUTE(E5453,"°","º"))-1)),-1),IF(LEFT(E5453,6)="TÉRREO",0,IFERROR(VALUE(LEFT(E5453,FIND("º",SUBSTITUTE(E5453,"°","º"))-1)),""))))</f>
        <v/>
      </c>
      <c r="O5453" s="2">
        <f>IF(OR(F5453="",G5453=""),"",IF(G5453&lt;='RETRATO 2027'!$K$5,"CONCLUÍDA",IF(F5453&lt;='RETRATO 2027'!$K$5,"EM ANDAMENTO","A INICIAR")))</f>
        <v/>
      </c>
    </row>
    <row r="5454">
      <c r="M5454" s="2">
        <f>IF(C5454="","",IFERROR(INDEX($S$5:$S$304,MATCH(C5454,$R$5:$R$304,0))&amp;"","?"))</f>
        <v/>
      </c>
      <c r="N5454" s="2">
        <f>IF(E5454="","",IF(ISNUMBER(SEARCH("SUBSOLO",E5454)),IFERROR(-VALUE(LEFT(E5454,FIND("º",SUBSTITUTE(E5454,"°","º"))-1)),-1),IF(LEFT(E5454,6)="TÉRREO",0,IFERROR(VALUE(LEFT(E5454,FIND("º",SUBSTITUTE(E5454,"°","º"))-1)),""))))</f>
        <v/>
      </c>
      <c r="O5454" s="2">
        <f>IF(OR(F5454="",G5454=""),"",IF(G5454&lt;='RETRATO 2027'!$K$5,"CONCLUÍDA",IF(F5454&lt;='RETRATO 2027'!$K$5,"EM ANDAMENTO","A INICIAR")))</f>
        <v/>
      </c>
    </row>
    <row r="5455">
      <c r="M5455" s="2">
        <f>IF(C5455="","",IFERROR(INDEX($S$5:$S$304,MATCH(C5455,$R$5:$R$304,0))&amp;"","?"))</f>
        <v/>
      </c>
      <c r="N5455" s="2">
        <f>IF(E5455="","",IF(ISNUMBER(SEARCH("SUBSOLO",E5455)),IFERROR(-VALUE(LEFT(E5455,FIND("º",SUBSTITUTE(E5455,"°","º"))-1)),-1),IF(LEFT(E5455,6)="TÉRREO",0,IFERROR(VALUE(LEFT(E5455,FIND("º",SUBSTITUTE(E5455,"°","º"))-1)),""))))</f>
        <v/>
      </c>
      <c r="O5455" s="2">
        <f>IF(OR(F5455="",G5455=""),"",IF(G5455&lt;='RETRATO 2027'!$K$5,"CONCLUÍDA",IF(F5455&lt;='RETRATO 2027'!$K$5,"EM ANDAMENTO","A INICIAR")))</f>
        <v/>
      </c>
    </row>
    <row r="5456">
      <c r="M5456" s="2">
        <f>IF(C5456="","",IFERROR(INDEX($S$5:$S$304,MATCH(C5456,$R$5:$R$304,0))&amp;"","?"))</f>
        <v/>
      </c>
      <c r="N5456" s="2">
        <f>IF(E5456="","",IF(ISNUMBER(SEARCH("SUBSOLO",E5456)),IFERROR(-VALUE(LEFT(E5456,FIND("º",SUBSTITUTE(E5456,"°","º"))-1)),-1),IF(LEFT(E5456,6)="TÉRREO",0,IFERROR(VALUE(LEFT(E5456,FIND("º",SUBSTITUTE(E5456,"°","º"))-1)),""))))</f>
        <v/>
      </c>
      <c r="O5456" s="2">
        <f>IF(OR(F5456="",G5456=""),"",IF(G5456&lt;='RETRATO 2027'!$K$5,"CONCLUÍDA",IF(F5456&lt;='RETRATO 2027'!$K$5,"EM ANDAMENTO","A INICIAR")))</f>
        <v/>
      </c>
    </row>
    <row r="5457">
      <c r="M5457" s="2">
        <f>IF(C5457="","",IFERROR(INDEX($S$5:$S$304,MATCH(C5457,$R$5:$R$304,0))&amp;"","?"))</f>
        <v/>
      </c>
      <c r="N5457" s="2">
        <f>IF(E5457="","",IF(ISNUMBER(SEARCH("SUBSOLO",E5457)),IFERROR(-VALUE(LEFT(E5457,FIND("º",SUBSTITUTE(E5457,"°","º"))-1)),-1),IF(LEFT(E5457,6)="TÉRREO",0,IFERROR(VALUE(LEFT(E5457,FIND("º",SUBSTITUTE(E5457,"°","º"))-1)),""))))</f>
        <v/>
      </c>
      <c r="O5457" s="2">
        <f>IF(OR(F5457="",G5457=""),"",IF(G5457&lt;='RETRATO 2027'!$K$5,"CONCLUÍDA",IF(F5457&lt;='RETRATO 2027'!$K$5,"EM ANDAMENTO","A INICIAR")))</f>
        <v/>
      </c>
    </row>
    <row r="5458">
      <c r="M5458" s="2">
        <f>IF(C5458="","",IFERROR(INDEX($S$5:$S$304,MATCH(C5458,$R$5:$R$304,0))&amp;"","?"))</f>
        <v/>
      </c>
      <c r="N5458" s="2">
        <f>IF(E5458="","",IF(ISNUMBER(SEARCH("SUBSOLO",E5458)),IFERROR(-VALUE(LEFT(E5458,FIND("º",SUBSTITUTE(E5458,"°","º"))-1)),-1),IF(LEFT(E5458,6)="TÉRREO",0,IFERROR(VALUE(LEFT(E5458,FIND("º",SUBSTITUTE(E5458,"°","º"))-1)),""))))</f>
        <v/>
      </c>
      <c r="O5458" s="2">
        <f>IF(OR(F5458="",G5458=""),"",IF(G5458&lt;='RETRATO 2027'!$K$5,"CONCLUÍDA",IF(F5458&lt;='RETRATO 2027'!$K$5,"EM ANDAMENTO","A INICIAR")))</f>
        <v/>
      </c>
    </row>
    <row r="5459">
      <c r="M5459" s="2">
        <f>IF(C5459="","",IFERROR(INDEX($S$5:$S$304,MATCH(C5459,$R$5:$R$304,0))&amp;"","?"))</f>
        <v/>
      </c>
      <c r="N5459" s="2">
        <f>IF(E5459="","",IF(ISNUMBER(SEARCH("SUBSOLO",E5459)),IFERROR(-VALUE(LEFT(E5459,FIND("º",SUBSTITUTE(E5459,"°","º"))-1)),-1),IF(LEFT(E5459,6)="TÉRREO",0,IFERROR(VALUE(LEFT(E5459,FIND("º",SUBSTITUTE(E5459,"°","º"))-1)),""))))</f>
        <v/>
      </c>
      <c r="O5459" s="2">
        <f>IF(OR(F5459="",G5459=""),"",IF(G5459&lt;='RETRATO 2027'!$K$5,"CONCLUÍDA",IF(F5459&lt;='RETRATO 2027'!$K$5,"EM ANDAMENTO","A INICIAR")))</f>
        <v/>
      </c>
    </row>
    <row r="5460">
      <c r="M5460" s="2">
        <f>IF(C5460="","",IFERROR(INDEX($S$5:$S$304,MATCH(C5460,$R$5:$R$304,0))&amp;"","?"))</f>
        <v/>
      </c>
      <c r="N5460" s="2">
        <f>IF(E5460="","",IF(ISNUMBER(SEARCH("SUBSOLO",E5460)),IFERROR(-VALUE(LEFT(E5460,FIND("º",SUBSTITUTE(E5460,"°","º"))-1)),-1),IF(LEFT(E5460,6)="TÉRREO",0,IFERROR(VALUE(LEFT(E5460,FIND("º",SUBSTITUTE(E5460,"°","º"))-1)),""))))</f>
        <v/>
      </c>
      <c r="O5460" s="2">
        <f>IF(OR(F5460="",G5460=""),"",IF(G5460&lt;='RETRATO 2027'!$K$5,"CONCLUÍDA",IF(F5460&lt;='RETRATO 2027'!$K$5,"EM ANDAMENTO","A INICIAR")))</f>
        <v/>
      </c>
    </row>
    <row r="5461">
      <c r="M5461" s="2">
        <f>IF(C5461="","",IFERROR(INDEX($S$5:$S$304,MATCH(C5461,$R$5:$R$304,0))&amp;"","?"))</f>
        <v/>
      </c>
      <c r="N5461" s="2">
        <f>IF(E5461="","",IF(ISNUMBER(SEARCH("SUBSOLO",E5461)),IFERROR(-VALUE(LEFT(E5461,FIND("º",SUBSTITUTE(E5461,"°","º"))-1)),-1),IF(LEFT(E5461,6)="TÉRREO",0,IFERROR(VALUE(LEFT(E5461,FIND("º",SUBSTITUTE(E5461,"°","º"))-1)),""))))</f>
        <v/>
      </c>
      <c r="O5461" s="2">
        <f>IF(OR(F5461="",G5461=""),"",IF(G5461&lt;='RETRATO 2027'!$K$5,"CONCLUÍDA",IF(F5461&lt;='RETRATO 2027'!$K$5,"EM ANDAMENTO","A INICIAR")))</f>
        <v/>
      </c>
    </row>
    <row r="5462">
      <c r="M5462" s="2">
        <f>IF(C5462="","",IFERROR(INDEX($S$5:$S$304,MATCH(C5462,$R$5:$R$304,0))&amp;"","?"))</f>
        <v/>
      </c>
      <c r="N5462" s="2">
        <f>IF(E5462="","",IF(ISNUMBER(SEARCH("SUBSOLO",E5462)),IFERROR(-VALUE(LEFT(E5462,FIND("º",SUBSTITUTE(E5462,"°","º"))-1)),-1),IF(LEFT(E5462,6)="TÉRREO",0,IFERROR(VALUE(LEFT(E5462,FIND("º",SUBSTITUTE(E5462,"°","º"))-1)),""))))</f>
        <v/>
      </c>
      <c r="O5462" s="2">
        <f>IF(OR(F5462="",G5462=""),"",IF(G5462&lt;='RETRATO 2027'!$K$5,"CONCLUÍDA",IF(F5462&lt;='RETRATO 2027'!$K$5,"EM ANDAMENTO","A INICIAR")))</f>
        <v/>
      </c>
    </row>
    <row r="5463">
      <c r="M5463" s="2">
        <f>IF(C5463="","",IFERROR(INDEX($S$5:$S$304,MATCH(C5463,$R$5:$R$304,0))&amp;"","?"))</f>
        <v/>
      </c>
      <c r="N5463" s="2">
        <f>IF(E5463="","",IF(ISNUMBER(SEARCH("SUBSOLO",E5463)),IFERROR(-VALUE(LEFT(E5463,FIND("º",SUBSTITUTE(E5463,"°","º"))-1)),-1),IF(LEFT(E5463,6)="TÉRREO",0,IFERROR(VALUE(LEFT(E5463,FIND("º",SUBSTITUTE(E5463,"°","º"))-1)),""))))</f>
        <v/>
      </c>
      <c r="O5463" s="2">
        <f>IF(OR(F5463="",G5463=""),"",IF(G5463&lt;='RETRATO 2027'!$K$5,"CONCLUÍDA",IF(F5463&lt;='RETRATO 2027'!$K$5,"EM ANDAMENTO","A INICIAR")))</f>
        <v/>
      </c>
    </row>
    <row r="5464">
      <c r="M5464" s="2">
        <f>IF(C5464="","",IFERROR(INDEX($S$5:$S$304,MATCH(C5464,$R$5:$R$304,0))&amp;"","?"))</f>
        <v/>
      </c>
      <c r="N5464" s="2">
        <f>IF(E5464="","",IF(ISNUMBER(SEARCH("SUBSOLO",E5464)),IFERROR(-VALUE(LEFT(E5464,FIND("º",SUBSTITUTE(E5464,"°","º"))-1)),-1),IF(LEFT(E5464,6)="TÉRREO",0,IFERROR(VALUE(LEFT(E5464,FIND("º",SUBSTITUTE(E5464,"°","º"))-1)),""))))</f>
        <v/>
      </c>
      <c r="O5464" s="2">
        <f>IF(OR(F5464="",G5464=""),"",IF(G5464&lt;='RETRATO 2027'!$K$5,"CONCLUÍDA",IF(F5464&lt;='RETRATO 2027'!$K$5,"EM ANDAMENTO","A INICIAR")))</f>
        <v/>
      </c>
    </row>
    <row r="5465">
      <c r="M5465" s="2">
        <f>IF(C5465="","",IFERROR(INDEX($S$5:$S$304,MATCH(C5465,$R$5:$R$304,0))&amp;"","?"))</f>
        <v/>
      </c>
      <c r="N5465" s="2">
        <f>IF(E5465="","",IF(ISNUMBER(SEARCH("SUBSOLO",E5465)),IFERROR(-VALUE(LEFT(E5465,FIND("º",SUBSTITUTE(E5465,"°","º"))-1)),-1),IF(LEFT(E5465,6)="TÉRREO",0,IFERROR(VALUE(LEFT(E5465,FIND("º",SUBSTITUTE(E5465,"°","º"))-1)),""))))</f>
        <v/>
      </c>
      <c r="O5465" s="2">
        <f>IF(OR(F5465="",G5465=""),"",IF(G5465&lt;='RETRATO 2027'!$K$5,"CONCLUÍDA",IF(F5465&lt;='RETRATO 2027'!$K$5,"EM ANDAMENTO","A INICIAR")))</f>
        <v/>
      </c>
    </row>
    <row r="5466">
      <c r="M5466" s="2">
        <f>IF(C5466="","",IFERROR(INDEX($S$5:$S$304,MATCH(C5466,$R$5:$R$304,0))&amp;"","?"))</f>
        <v/>
      </c>
      <c r="N5466" s="2">
        <f>IF(E5466="","",IF(ISNUMBER(SEARCH("SUBSOLO",E5466)),IFERROR(-VALUE(LEFT(E5466,FIND("º",SUBSTITUTE(E5466,"°","º"))-1)),-1),IF(LEFT(E5466,6)="TÉRREO",0,IFERROR(VALUE(LEFT(E5466,FIND("º",SUBSTITUTE(E5466,"°","º"))-1)),""))))</f>
        <v/>
      </c>
      <c r="O5466" s="2">
        <f>IF(OR(F5466="",G5466=""),"",IF(G5466&lt;='RETRATO 2027'!$K$5,"CONCLUÍDA",IF(F5466&lt;='RETRATO 2027'!$K$5,"EM ANDAMENTO","A INICIAR")))</f>
        <v/>
      </c>
    </row>
    <row r="5467">
      <c r="M5467" s="2">
        <f>IF(C5467="","",IFERROR(INDEX($S$5:$S$304,MATCH(C5467,$R$5:$R$304,0))&amp;"","?"))</f>
        <v/>
      </c>
      <c r="N5467" s="2">
        <f>IF(E5467="","",IF(ISNUMBER(SEARCH("SUBSOLO",E5467)),IFERROR(-VALUE(LEFT(E5467,FIND("º",SUBSTITUTE(E5467,"°","º"))-1)),-1),IF(LEFT(E5467,6)="TÉRREO",0,IFERROR(VALUE(LEFT(E5467,FIND("º",SUBSTITUTE(E5467,"°","º"))-1)),""))))</f>
        <v/>
      </c>
      <c r="O5467" s="2">
        <f>IF(OR(F5467="",G5467=""),"",IF(G5467&lt;='RETRATO 2027'!$K$5,"CONCLUÍDA",IF(F5467&lt;='RETRATO 2027'!$K$5,"EM ANDAMENTO","A INICIAR")))</f>
        <v/>
      </c>
    </row>
    <row r="5468">
      <c r="M5468" s="2">
        <f>IF(C5468="","",IFERROR(INDEX($S$5:$S$304,MATCH(C5468,$R$5:$R$304,0))&amp;"","?"))</f>
        <v/>
      </c>
      <c r="N5468" s="2">
        <f>IF(E5468="","",IF(ISNUMBER(SEARCH("SUBSOLO",E5468)),IFERROR(-VALUE(LEFT(E5468,FIND("º",SUBSTITUTE(E5468,"°","º"))-1)),-1),IF(LEFT(E5468,6)="TÉRREO",0,IFERROR(VALUE(LEFT(E5468,FIND("º",SUBSTITUTE(E5468,"°","º"))-1)),""))))</f>
        <v/>
      </c>
      <c r="O5468" s="2">
        <f>IF(OR(F5468="",G5468=""),"",IF(G5468&lt;='RETRATO 2027'!$K$5,"CONCLUÍDA",IF(F5468&lt;='RETRATO 2027'!$K$5,"EM ANDAMENTO","A INICIAR")))</f>
        <v/>
      </c>
    </row>
    <row r="5469">
      <c r="M5469" s="2">
        <f>IF(C5469="","",IFERROR(INDEX($S$5:$S$304,MATCH(C5469,$R$5:$R$304,0))&amp;"","?"))</f>
        <v/>
      </c>
      <c r="N5469" s="2">
        <f>IF(E5469="","",IF(ISNUMBER(SEARCH("SUBSOLO",E5469)),IFERROR(-VALUE(LEFT(E5469,FIND("º",SUBSTITUTE(E5469,"°","º"))-1)),-1),IF(LEFT(E5469,6)="TÉRREO",0,IFERROR(VALUE(LEFT(E5469,FIND("º",SUBSTITUTE(E5469,"°","º"))-1)),""))))</f>
        <v/>
      </c>
      <c r="O5469" s="2">
        <f>IF(OR(F5469="",G5469=""),"",IF(G5469&lt;='RETRATO 2027'!$K$5,"CONCLUÍDA",IF(F5469&lt;='RETRATO 2027'!$K$5,"EM ANDAMENTO","A INICIAR")))</f>
        <v/>
      </c>
    </row>
    <row r="5470">
      <c r="M5470" s="2">
        <f>IF(C5470="","",IFERROR(INDEX($S$5:$S$304,MATCH(C5470,$R$5:$R$304,0))&amp;"","?"))</f>
        <v/>
      </c>
      <c r="N5470" s="2">
        <f>IF(E5470="","",IF(ISNUMBER(SEARCH("SUBSOLO",E5470)),IFERROR(-VALUE(LEFT(E5470,FIND("º",SUBSTITUTE(E5470,"°","º"))-1)),-1),IF(LEFT(E5470,6)="TÉRREO",0,IFERROR(VALUE(LEFT(E5470,FIND("º",SUBSTITUTE(E5470,"°","º"))-1)),""))))</f>
        <v/>
      </c>
      <c r="O5470" s="2">
        <f>IF(OR(F5470="",G5470=""),"",IF(G5470&lt;='RETRATO 2027'!$K$5,"CONCLUÍDA",IF(F5470&lt;='RETRATO 2027'!$K$5,"EM ANDAMENTO","A INICIAR")))</f>
        <v/>
      </c>
    </row>
    <row r="5471">
      <c r="M5471" s="2">
        <f>IF(C5471="","",IFERROR(INDEX($S$5:$S$304,MATCH(C5471,$R$5:$R$304,0))&amp;"","?"))</f>
        <v/>
      </c>
      <c r="N5471" s="2">
        <f>IF(E5471="","",IF(ISNUMBER(SEARCH("SUBSOLO",E5471)),IFERROR(-VALUE(LEFT(E5471,FIND("º",SUBSTITUTE(E5471,"°","º"))-1)),-1),IF(LEFT(E5471,6)="TÉRREO",0,IFERROR(VALUE(LEFT(E5471,FIND("º",SUBSTITUTE(E5471,"°","º"))-1)),""))))</f>
        <v/>
      </c>
      <c r="O5471" s="2">
        <f>IF(OR(F5471="",G5471=""),"",IF(G5471&lt;='RETRATO 2027'!$K$5,"CONCLUÍDA",IF(F5471&lt;='RETRATO 2027'!$K$5,"EM ANDAMENTO","A INICIAR")))</f>
        <v/>
      </c>
    </row>
    <row r="5472">
      <c r="M5472" s="2">
        <f>IF(C5472="","",IFERROR(INDEX($S$5:$S$304,MATCH(C5472,$R$5:$R$304,0))&amp;"","?"))</f>
        <v/>
      </c>
      <c r="N5472" s="2">
        <f>IF(E5472="","",IF(ISNUMBER(SEARCH("SUBSOLO",E5472)),IFERROR(-VALUE(LEFT(E5472,FIND("º",SUBSTITUTE(E5472,"°","º"))-1)),-1),IF(LEFT(E5472,6)="TÉRREO",0,IFERROR(VALUE(LEFT(E5472,FIND("º",SUBSTITUTE(E5472,"°","º"))-1)),""))))</f>
        <v/>
      </c>
      <c r="O5472" s="2">
        <f>IF(OR(F5472="",G5472=""),"",IF(G5472&lt;='RETRATO 2027'!$K$5,"CONCLUÍDA",IF(F5472&lt;='RETRATO 2027'!$K$5,"EM ANDAMENTO","A INICIAR")))</f>
        <v/>
      </c>
    </row>
    <row r="5473">
      <c r="M5473" s="2">
        <f>IF(C5473="","",IFERROR(INDEX($S$5:$S$304,MATCH(C5473,$R$5:$R$304,0))&amp;"","?"))</f>
        <v/>
      </c>
      <c r="N5473" s="2">
        <f>IF(E5473="","",IF(ISNUMBER(SEARCH("SUBSOLO",E5473)),IFERROR(-VALUE(LEFT(E5473,FIND("º",SUBSTITUTE(E5473,"°","º"))-1)),-1),IF(LEFT(E5473,6)="TÉRREO",0,IFERROR(VALUE(LEFT(E5473,FIND("º",SUBSTITUTE(E5473,"°","º"))-1)),""))))</f>
        <v/>
      </c>
      <c r="O5473" s="2">
        <f>IF(OR(F5473="",G5473=""),"",IF(G5473&lt;='RETRATO 2027'!$K$5,"CONCLUÍDA",IF(F5473&lt;='RETRATO 2027'!$K$5,"EM ANDAMENTO","A INICIAR")))</f>
        <v/>
      </c>
    </row>
    <row r="5474">
      <c r="M5474" s="2">
        <f>IF(C5474="","",IFERROR(INDEX($S$5:$S$304,MATCH(C5474,$R$5:$R$304,0))&amp;"","?"))</f>
        <v/>
      </c>
      <c r="N5474" s="2">
        <f>IF(E5474="","",IF(ISNUMBER(SEARCH("SUBSOLO",E5474)),IFERROR(-VALUE(LEFT(E5474,FIND("º",SUBSTITUTE(E5474,"°","º"))-1)),-1),IF(LEFT(E5474,6)="TÉRREO",0,IFERROR(VALUE(LEFT(E5474,FIND("º",SUBSTITUTE(E5474,"°","º"))-1)),""))))</f>
        <v/>
      </c>
      <c r="O5474" s="2">
        <f>IF(OR(F5474="",G5474=""),"",IF(G5474&lt;='RETRATO 2027'!$K$5,"CONCLUÍDA",IF(F5474&lt;='RETRATO 2027'!$K$5,"EM ANDAMENTO","A INICIAR")))</f>
        <v/>
      </c>
    </row>
    <row r="5475">
      <c r="M5475" s="2">
        <f>IF(C5475="","",IFERROR(INDEX($S$5:$S$304,MATCH(C5475,$R$5:$R$304,0))&amp;"","?"))</f>
        <v/>
      </c>
      <c r="N5475" s="2">
        <f>IF(E5475="","",IF(ISNUMBER(SEARCH("SUBSOLO",E5475)),IFERROR(-VALUE(LEFT(E5475,FIND("º",SUBSTITUTE(E5475,"°","º"))-1)),-1),IF(LEFT(E5475,6)="TÉRREO",0,IFERROR(VALUE(LEFT(E5475,FIND("º",SUBSTITUTE(E5475,"°","º"))-1)),""))))</f>
        <v/>
      </c>
      <c r="O5475" s="2">
        <f>IF(OR(F5475="",G5475=""),"",IF(G5475&lt;='RETRATO 2027'!$K$5,"CONCLUÍDA",IF(F5475&lt;='RETRATO 2027'!$K$5,"EM ANDAMENTO","A INICIAR")))</f>
        <v/>
      </c>
    </row>
    <row r="5476">
      <c r="M5476" s="2">
        <f>IF(C5476="","",IFERROR(INDEX($S$5:$S$304,MATCH(C5476,$R$5:$R$304,0))&amp;"","?"))</f>
        <v/>
      </c>
      <c r="N5476" s="2">
        <f>IF(E5476="","",IF(ISNUMBER(SEARCH("SUBSOLO",E5476)),IFERROR(-VALUE(LEFT(E5476,FIND("º",SUBSTITUTE(E5476,"°","º"))-1)),-1),IF(LEFT(E5476,6)="TÉRREO",0,IFERROR(VALUE(LEFT(E5476,FIND("º",SUBSTITUTE(E5476,"°","º"))-1)),""))))</f>
        <v/>
      </c>
      <c r="O5476" s="2">
        <f>IF(OR(F5476="",G5476=""),"",IF(G5476&lt;='RETRATO 2027'!$K$5,"CONCLUÍDA",IF(F5476&lt;='RETRATO 2027'!$K$5,"EM ANDAMENTO","A INICIAR")))</f>
        <v/>
      </c>
    </row>
    <row r="5477">
      <c r="M5477" s="2">
        <f>IF(C5477="","",IFERROR(INDEX($S$5:$S$304,MATCH(C5477,$R$5:$R$304,0))&amp;"","?"))</f>
        <v/>
      </c>
      <c r="N5477" s="2">
        <f>IF(E5477="","",IF(ISNUMBER(SEARCH("SUBSOLO",E5477)),IFERROR(-VALUE(LEFT(E5477,FIND("º",SUBSTITUTE(E5477,"°","º"))-1)),-1),IF(LEFT(E5477,6)="TÉRREO",0,IFERROR(VALUE(LEFT(E5477,FIND("º",SUBSTITUTE(E5477,"°","º"))-1)),""))))</f>
        <v/>
      </c>
      <c r="O5477" s="2">
        <f>IF(OR(F5477="",G5477=""),"",IF(G5477&lt;='RETRATO 2027'!$K$5,"CONCLUÍDA",IF(F5477&lt;='RETRATO 2027'!$K$5,"EM ANDAMENTO","A INICIAR")))</f>
        <v/>
      </c>
    </row>
    <row r="5478">
      <c r="M5478" s="2">
        <f>IF(C5478="","",IFERROR(INDEX($S$5:$S$304,MATCH(C5478,$R$5:$R$304,0))&amp;"","?"))</f>
        <v/>
      </c>
      <c r="N5478" s="2">
        <f>IF(E5478="","",IF(ISNUMBER(SEARCH("SUBSOLO",E5478)),IFERROR(-VALUE(LEFT(E5478,FIND("º",SUBSTITUTE(E5478,"°","º"))-1)),-1),IF(LEFT(E5478,6)="TÉRREO",0,IFERROR(VALUE(LEFT(E5478,FIND("º",SUBSTITUTE(E5478,"°","º"))-1)),""))))</f>
        <v/>
      </c>
      <c r="O5478" s="2">
        <f>IF(OR(F5478="",G5478=""),"",IF(G5478&lt;='RETRATO 2027'!$K$5,"CONCLUÍDA",IF(F5478&lt;='RETRATO 2027'!$K$5,"EM ANDAMENTO","A INICIAR")))</f>
        <v/>
      </c>
    </row>
    <row r="5479">
      <c r="M5479" s="2">
        <f>IF(C5479="","",IFERROR(INDEX($S$5:$S$304,MATCH(C5479,$R$5:$R$304,0))&amp;"","?"))</f>
        <v/>
      </c>
      <c r="N5479" s="2">
        <f>IF(E5479="","",IF(ISNUMBER(SEARCH("SUBSOLO",E5479)),IFERROR(-VALUE(LEFT(E5479,FIND("º",SUBSTITUTE(E5479,"°","º"))-1)),-1),IF(LEFT(E5479,6)="TÉRREO",0,IFERROR(VALUE(LEFT(E5479,FIND("º",SUBSTITUTE(E5479,"°","º"))-1)),""))))</f>
        <v/>
      </c>
      <c r="O5479" s="2">
        <f>IF(OR(F5479="",G5479=""),"",IF(G5479&lt;='RETRATO 2027'!$K$5,"CONCLUÍDA",IF(F5479&lt;='RETRATO 2027'!$K$5,"EM ANDAMENTO","A INICIAR")))</f>
        <v/>
      </c>
    </row>
    <row r="5480">
      <c r="M5480" s="2">
        <f>IF(C5480="","",IFERROR(INDEX($S$5:$S$304,MATCH(C5480,$R$5:$R$304,0))&amp;"","?"))</f>
        <v/>
      </c>
      <c r="N5480" s="2">
        <f>IF(E5480="","",IF(ISNUMBER(SEARCH("SUBSOLO",E5480)),IFERROR(-VALUE(LEFT(E5480,FIND("º",SUBSTITUTE(E5480,"°","º"))-1)),-1),IF(LEFT(E5480,6)="TÉRREO",0,IFERROR(VALUE(LEFT(E5480,FIND("º",SUBSTITUTE(E5480,"°","º"))-1)),""))))</f>
        <v/>
      </c>
      <c r="O5480" s="2">
        <f>IF(OR(F5480="",G5480=""),"",IF(G5480&lt;='RETRATO 2027'!$K$5,"CONCLUÍDA",IF(F5480&lt;='RETRATO 2027'!$K$5,"EM ANDAMENTO","A INICIAR")))</f>
        <v/>
      </c>
    </row>
    <row r="5481">
      <c r="M5481" s="2">
        <f>IF(C5481="","",IFERROR(INDEX($S$5:$S$304,MATCH(C5481,$R$5:$R$304,0))&amp;"","?"))</f>
        <v/>
      </c>
      <c r="N5481" s="2">
        <f>IF(E5481="","",IF(ISNUMBER(SEARCH("SUBSOLO",E5481)),IFERROR(-VALUE(LEFT(E5481,FIND("º",SUBSTITUTE(E5481,"°","º"))-1)),-1),IF(LEFT(E5481,6)="TÉRREO",0,IFERROR(VALUE(LEFT(E5481,FIND("º",SUBSTITUTE(E5481,"°","º"))-1)),""))))</f>
        <v/>
      </c>
      <c r="O5481" s="2">
        <f>IF(OR(F5481="",G5481=""),"",IF(G5481&lt;='RETRATO 2027'!$K$5,"CONCLUÍDA",IF(F5481&lt;='RETRATO 2027'!$K$5,"EM ANDAMENTO","A INICIAR")))</f>
        <v/>
      </c>
    </row>
    <row r="5482">
      <c r="M5482" s="2">
        <f>IF(C5482="","",IFERROR(INDEX($S$5:$S$304,MATCH(C5482,$R$5:$R$304,0))&amp;"","?"))</f>
        <v/>
      </c>
      <c r="N5482" s="2">
        <f>IF(E5482="","",IF(ISNUMBER(SEARCH("SUBSOLO",E5482)),IFERROR(-VALUE(LEFT(E5482,FIND("º",SUBSTITUTE(E5482,"°","º"))-1)),-1),IF(LEFT(E5482,6)="TÉRREO",0,IFERROR(VALUE(LEFT(E5482,FIND("º",SUBSTITUTE(E5482,"°","º"))-1)),""))))</f>
        <v/>
      </c>
      <c r="O5482" s="2">
        <f>IF(OR(F5482="",G5482=""),"",IF(G5482&lt;='RETRATO 2027'!$K$5,"CONCLUÍDA",IF(F5482&lt;='RETRATO 2027'!$K$5,"EM ANDAMENTO","A INICIAR")))</f>
        <v/>
      </c>
    </row>
    <row r="5483">
      <c r="M5483" s="2">
        <f>IF(C5483="","",IFERROR(INDEX($S$5:$S$304,MATCH(C5483,$R$5:$R$304,0))&amp;"","?"))</f>
        <v/>
      </c>
      <c r="N5483" s="2">
        <f>IF(E5483="","",IF(ISNUMBER(SEARCH("SUBSOLO",E5483)),IFERROR(-VALUE(LEFT(E5483,FIND("º",SUBSTITUTE(E5483,"°","º"))-1)),-1),IF(LEFT(E5483,6)="TÉRREO",0,IFERROR(VALUE(LEFT(E5483,FIND("º",SUBSTITUTE(E5483,"°","º"))-1)),""))))</f>
        <v/>
      </c>
      <c r="O5483" s="2">
        <f>IF(OR(F5483="",G5483=""),"",IF(G5483&lt;='RETRATO 2027'!$K$5,"CONCLUÍDA",IF(F5483&lt;='RETRATO 2027'!$K$5,"EM ANDAMENTO","A INICIAR")))</f>
        <v/>
      </c>
    </row>
    <row r="5484">
      <c r="M5484" s="2">
        <f>IF(C5484="","",IFERROR(INDEX($S$5:$S$304,MATCH(C5484,$R$5:$R$304,0))&amp;"","?"))</f>
        <v/>
      </c>
      <c r="N5484" s="2">
        <f>IF(E5484="","",IF(ISNUMBER(SEARCH("SUBSOLO",E5484)),IFERROR(-VALUE(LEFT(E5484,FIND("º",SUBSTITUTE(E5484,"°","º"))-1)),-1),IF(LEFT(E5484,6)="TÉRREO",0,IFERROR(VALUE(LEFT(E5484,FIND("º",SUBSTITUTE(E5484,"°","º"))-1)),""))))</f>
        <v/>
      </c>
      <c r="O5484" s="2">
        <f>IF(OR(F5484="",G5484=""),"",IF(G5484&lt;='RETRATO 2027'!$K$5,"CONCLUÍDA",IF(F5484&lt;='RETRATO 2027'!$K$5,"EM ANDAMENTO","A INICIAR")))</f>
        <v/>
      </c>
    </row>
    <row r="5485">
      <c r="M5485" s="2">
        <f>IF(C5485="","",IFERROR(INDEX($S$5:$S$304,MATCH(C5485,$R$5:$R$304,0))&amp;"","?"))</f>
        <v/>
      </c>
      <c r="N5485" s="2">
        <f>IF(E5485="","",IF(ISNUMBER(SEARCH("SUBSOLO",E5485)),IFERROR(-VALUE(LEFT(E5485,FIND("º",SUBSTITUTE(E5485,"°","º"))-1)),-1),IF(LEFT(E5485,6)="TÉRREO",0,IFERROR(VALUE(LEFT(E5485,FIND("º",SUBSTITUTE(E5485,"°","º"))-1)),""))))</f>
        <v/>
      </c>
      <c r="O5485" s="2">
        <f>IF(OR(F5485="",G5485=""),"",IF(G5485&lt;='RETRATO 2027'!$K$5,"CONCLUÍDA",IF(F5485&lt;='RETRATO 2027'!$K$5,"EM ANDAMENTO","A INICIAR")))</f>
        <v/>
      </c>
    </row>
    <row r="5486">
      <c r="M5486" s="2">
        <f>IF(C5486="","",IFERROR(INDEX($S$5:$S$304,MATCH(C5486,$R$5:$R$304,0))&amp;"","?"))</f>
        <v/>
      </c>
      <c r="N5486" s="2">
        <f>IF(E5486="","",IF(ISNUMBER(SEARCH("SUBSOLO",E5486)),IFERROR(-VALUE(LEFT(E5486,FIND("º",SUBSTITUTE(E5486,"°","º"))-1)),-1),IF(LEFT(E5486,6)="TÉRREO",0,IFERROR(VALUE(LEFT(E5486,FIND("º",SUBSTITUTE(E5486,"°","º"))-1)),""))))</f>
        <v/>
      </c>
      <c r="O5486" s="2">
        <f>IF(OR(F5486="",G5486=""),"",IF(G5486&lt;='RETRATO 2027'!$K$5,"CONCLUÍDA",IF(F5486&lt;='RETRATO 2027'!$K$5,"EM ANDAMENTO","A INICIAR")))</f>
        <v/>
      </c>
    </row>
    <row r="5487">
      <c r="M5487" s="2">
        <f>IF(C5487="","",IFERROR(INDEX($S$5:$S$304,MATCH(C5487,$R$5:$R$304,0))&amp;"","?"))</f>
        <v/>
      </c>
      <c r="N5487" s="2">
        <f>IF(E5487="","",IF(ISNUMBER(SEARCH("SUBSOLO",E5487)),IFERROR(-VALUE(LEFT(E5487,FIND("º",SUBSTITUTE(E5487,"°","º"))-1)),-1),IF(LEFT(E5487,6)="TÉRREO",0,IFERROR(VALUE(LEFT(E5487,FIND("º",SUBSTITUTE(E5487,"°","º"))-1)),""))))</f>
        <v/>
      </c>
      <c r="O5487" s="2">
        <f>IF(OR(F5487="",G5487=""),"",IF(G5487&lt;='RETRATO 2027'!$K$5,"CONCLUÍDA",IF(F5487&lt;='RETRATO 2027'!$K$5,"EM ANDAMENTO","A INICIAR")))</f>
        <v/>
      </c>
    </row>
    <row r="5488">
      <c r="M5488" s="2">
        <f>IF(C5488="","",IFERROR(INDEX($S$5:$S$304,MATCH(C5488,$R$5:$R$304,0))&amp;"","?"))</f>
        <v/>
      </c>
      <c r="N5488" s="2">
        <f>IF(E5488="","",IF(ISNUMBER(SEARCH("SUBSOLO",E5488)),IFERROR(-VALUE(LEFT(E5488,FIND("º",SUBSTITUTE(E5488,"°","º"))-1)),-1),IF(LEFT(E5488,6)="TÉRREO",0,IFERROR(VALUE(LEFT(E5488,FIND("º",SUBSTITUTE(E5488,"°","º"))-1)),""))))</f>
        <v/>
      </c>
      <c r="O5488" s="2">
        <f>IF(OR(F5488="",G5488=""),"",IF(G5488&lt;='RETRATO 2027'!$K$5,"CONCLUÍDA",IF(F5488&lt;='RETRATO 2027'!$K$5,"EM ANDAMENTO","A INICIAR")))</f>
        <v/>
      </c>
    </row>
    <row r="5489">
      <c r="M5489" s="2">
        <f>IF(C5489="","",IFERROR(INDEX($S$5:$S$304,MATCH(C5489,$R$5:$R$304,0))&amp;"","?"))</f>
        <v/>
      </c>
      <c r="N5489" s="2">
        <f>IF(E5489="","",IF(ISNUMBER(SEARCH("SUBSOLO",E5489)),IFERROR(-VALUE(LEFT(E5489,FIND("º",SUBSTITUTE(E5489,"°","º"))-1)),-1),IF(LEFT(E5489,6)="TÉRREO",0,IFERROR(VALUE(LEFT(E5489,FIND("º",SUBSTITUTE(E5489,"°","º"))-1)),""))))</f>
        <v/>
      </c>
      <c r="O5489" s="2">
        <f>IF(OR(F5489="",G5489=""),"",IF(G5489&lt;='RETRATO 2027'!$K$5,"CONCLUÍDA",IF(F5489&lt;='RETRATO 2027'!$K$5,"EM ANDAMENTO","A INICIAR")))</f>
        <v/>
      </c>
    </row>
    <row r="5490">
      <c r="M5490" s="2">
        <f>IF(C5490="","",IFERROR(INDEX($S$5:$S$304,MATCH(C5490,$R$5:$R$304,0))&amp;"","?"))</f>
        <v/>
      </c>
      <c r="N5490" s="2">
        <f>IF(E5490="","",IF(ISNUMBER(SEARCH("SUBSOLO",E5490)),IFERROR(-VALUE(LEFT(E5490,FIND("º",SUBSTITUTE(E5490,"°","º"))-1)),-1),IF(LEFT(E5490,6)="TÉRREO",0,IFERROR(VALUE(LEFT(E5490,FIND("º",SUBSTITUTE(E5490,"°","º"))-1)),""))))</f>
        <v/>
      </c>
      <c r="O5490" s="2">
        <f>IF(OR(F5490="",G5490=""),"",IF(G5490&lt;='RETRATO 2027'!$K$5,"CONCLUÍDA",IF(F5490&lt;='RETRATO 2027'!$K$5,"EM ANDAMENTO","A INICIAR")))</f>
        <v/>
      </c>
    </row>
    <row r="5491">
      <c r="M5491" s="2">
        <f>IF(C5491="","",IFERROR(INDEX($S$5:$S$304,MATCH(C5491,$R$5:$R$304,0))&amp;"","?"))</f>
        <v/>
      </c>
      <c r="N5491" s="2">
        <f>IF(E5491="","",IF(ISNUMBER(SEARCH("SUBSOLO",E5491)),IFERROR(-VALUE(LEFT(E5491,FIND("º",SUBSTITUTE(E5491,"°","º"))-1)),-1),IF(LEFT(E5491,6)="TÉRREO",0,IFERROR(VALUE(LEFT(E5491,FIND("º",SUBSTITUTE(E5491,"°","º"))-1)),""))))</f>
        <v/>
      </c>
      <c r="O5491" s="2">
        <f>IF(OR(F5491="",G5491=""),"",IF(G5491&lt;='RETRATO 2027'!$K$5,"CONCLUÍDA",IF(F5491&lt;='RETRATO 2027'!$K$5,"EM ANDAMENTO","A INICIAR")))</f>
        <v/>
      </c>
    </row>
    <row r="5492">
      <c r="M5492" s="2">
        <f>IF(C5492="","",IFERROR(INDEX($S$5:$S$304,MATCH(C5492,$R$5:$R$304,0))&amp;"","?"))</f>
        <v/>
      </c>
      <c r="N5492" s="2">
        <f>IF(E5492="","",IF(ISNUMBER(SEARCH("SUBSOLO",E5492)),IFERROR(-VALUE(LEFT(E5492,FIND("º",SUBSTITUTE(E5492,"°","º"))-1)),-1),IF(LEFT(E5492,6)="TÉRREO",0,IFERROR(VALUE(LEFT(E5492,FIND("º",SUBSTITUTE(E5492,"°","º"))-1)),""))))</f>
        <v/>
      </c>
      <c r="O5492" s="2">
        <f>IF(OR(F5492="",G5492=""),"",IF(G5492&lt;='RETRATO 2027'!$K$5,"CONCLUÍDA",IF(F5492&lt;='RETRATO 2027'!$K$5,"EM ANDAMENTO","A INICIAR")))</f>
        <v/>
      </c>
    </row>
    <row r="5493">
      <c r="M5493" s="2">
        <f>IF(C5493="","",IFERROR(INDEX($S$5:$S$304,MATCH(C5493,$R$5:$R$304,0))&amp;"","?"))</f>
        <v/>
      </c>
      <c r="N5493" s="2">
        <f>IF(E5493="","",IF(ISNUMBER(SEARCH("SUBSOLO",E5493)),IFERROR(-VALUE(LEFT(E5493,FIND("º",SUBSTITUTE(E5493,"°","º"))-1)),-1),IF(LEFT(E5493,6)="TÉRREO",0,IFERROR(VALUE(LEFT(E5493,FIND("º",SUBSTITUTE(E5493,"°","º"))-1)),""))))</f>
        <v/>
      </c>
      <c r="O5493" s="2">
        <f>IF(OR(F5493="",G5493=""),"",IF(G5493&lt;='RETRATO 2027'!$K$5,"CONCLUÍDA",IF(F5493&lt;='RETRATO 2027'!$K$5,"EM ANDAMENTO","A INICIAR")))</f>
        <v/>
      </c>
    </row>
    <row r="5494">
      <c r="M5494" s="2">
        <f>IF(C5494="","",IFERROR(INDEX($S$5:$S$304,MATCH(C5494,$R$5:$R$304,0))&amp;"","?"))</f>
        <v/>
      </c>
      <c r="N5494" s="2">
        <f>IF(E5494="","",IF(ISNUMBER(SEARCH("SUBSOLO",E5494)),IFERROR(-VALUE(LEFT(E5494,FIND("º",SUBSTITUTE(E5494,"°","º"))-1)),-1),IF(LEFT(E5494,6)="TÉRREO",0,IFERROR(VALUE(LEFT(E5494,FIND("º",SUBSTITUTE(E5494,"°","º"))-1)),""))))</f>
        <v/>
      </c>
      <c r="O5494" s="2">
        <f>IF(OR(F5494="",G5494=""),"",IF(G5494&lt;='RETRATO 2027'!$K$5,"CONCLUÍDA",IF(F5494&lt;='RETRATO 2027'!$K$5,"EM ANDAMENTO","A INICIAR")))</f>
        <v/>
      </c>
    </row>
    <row r="5495">
      <c r="M5495" s="2">
        <f>IF(C5495="","",IFERROR(INDEX($S$5:$S$304,MATCH(C5495,$R$5:$R$304,0))&amp;"","?"))</f>
        <v/>
      </c>
      <c r="N5495" s="2">
        <f>IF(E5495="","",IF(ISNUMBER(SEARCH("SUBSOLO",E5495)),IFERROR(-VALUE(LEFT(E5495,FIND("º",SUBSTITUTE(E5495,"°","º"))-1)),-1),IF(LEFT(E5495,6)="TÉRREO",0,IFERROR(VALUE(LEFT(E5495,FIND("º",SUBSTITUTE(E5495,"°","º"))-1)),""))))</f>
        <v/>
      </c>
      <c r="O5495" s="2">
        <f>IF(OR(F5495="",G5495=""),"",IF(G5495&lt;='RETRATO 2027'!$K$5,"CONCLUÍDA",IF(F5495&lt;='RETRATO 2027'!$K$5,"EM ANDAMENTO","A INICIAR")))</f>
        <v/>
      </c>
    </row>
    <row r="5496">
      <c r="M5496" s="2">
        <f>IF(C5496="","",IFERROR(INDEX($S$5:$S$304,MATCH(C5496,$R$5:$R$304,0))&amp;"","?"))</f>
        <v/>
      </c>
      <c r="N5496" s="2">
        <f>IF(E5496="","",IF(ISNUMBER(SEARCH("SUBSOLO",E5496)),IFERROR(-VALUE(LEFT(E5496,FIND("º",SUBSTITUTE(E5496,"°","º"))-1)),-1),IF(LEFT(E5496,6)="TÉRREO",0,IFERROR(VALUE(LEFT(E5496,FIND("º",SUBSTITUTE(E5496,"°","º"))-1)),""))))</f>
        <v/>
      </c>
      <c r="O5496" s="2">
        <f>IF(OR(F5496="",G5496=""),"",IF(G5496&lt;='RETRATO 2027'!$K$5,"CONCLUÍDA",IF(F5496&lt;='RETRATO 2027'!$K$5,"EM ANDAMENTO","A INICIAR")))</f>
        <v/>
      </c>
    </row>
    <row r="5497">
      <c r="M5497" s="2">
        <f>IF(C5497="","",IFERROR(INDEX($S$5:$S$304,MATCH(C5497,$R$5:$R$304,0))&amp;"","?"))</f>
        <v/>
      </c>
      <c r="N5497" s="2">
        <f>IF(E5497="","",IF(ISNUMBER(SEARCH("SUBSOLO",E5497)),IFERROR(-VALUE(LEFT(E5497,FIND("º",SUBSTITUTE(E5497,"°","º"))-1)),-1),IF(LEFT(E5497,6)="TÉRREO",0,IFERROR(VALUE(LEFT(E5497,FIND("º",SUBSTITUTE(E5497,"°","º"))-1)),""))))</f>
        <v/>
      </c>
      <c r="O5497" s="2">
        <f>IF(OR(F5497="",G5497=""),"",IF(G5497&lt;='RETRATO 2027'!$K$5,"CONCLUÍDA",IF(F5497&lt;='RETRATO 2027'!$K$5,"EM ANDAMENTO","A INICIAR")))</f>
        <v/>
      </c>
    </row>
    <row r="5498">
      <c r="M5498" s="2">
        <f>IF(C5498="","",IFERROR(INDEX($S$5:$S$304,MATCH(C5498,$R$5:$R$304,0))&amp;"","?"))</f>
        <v/>
      </c>
      <c r="N5498" s="2">
        <f>IF(E5498="","",IF(ISNUMBER(SEARCH("SUBSOLO",E5498)),IFERROR(-VALUE(LEFT(E5498,FIND("º",SUBSTITUTE(E5498,"°","º"))-1)),-1),IF(LEFT(E5498,6)="TÉRREO",0,IFERROR(VALUE(LEFT(E5498,FIND("º",SUBSTITUTE(E5498,"°","º"))-1)),""))))</f>
        <v/>
      </c>
      <c r="O5498" s="2">
        <f>IF(OR(F5498="",G5498=""),"",IF(G5498&lt;='RETRATO 2027'!$K$5,"CONCLUÍDA",IF(F5498&lt;='RETRATO 2027'!$K$5,"EM ANDAMENTO","A INICIAR")))</f>
        <v/>
      </c>
    </row>
    <row r="5499">
      <c r="M5499" s="2">
        <f>IF(C5499="","",IFERROR(INDEX($S$5:$S$304,MATCH(C5499,$R$5:$R$304,0))&amp;"","?"))</f>
        <v/>
      </c>
      <c r="N5499" s="2">
        <f>IF(E5499="","",IF(ISNUMBER(SEARCH("SUBSOLO",E5499)),IFERROR(-VALUE(LEFT(E5499,FIND("º",SUBSTITUTE(E5499,"°","º"))-1)),-1),IF(LEFT(E5499,6)="TÉRREO",0,IFERROR(VALUE(LEFT(E5499,FIND("º",SUBSTITUTE(E5499,"°","º"))-1)),""))))</f>
        <v/>
      </c>
      <c r="O5499" s="2">
        <f>IF(OR(F5499="",G5499=""),"",IF(G5499&lt;='RETRATO 2027'!$K$5,"CONCLUÍDA",IF(F5499&lt;='RETRATO 2027'!$K$5,"EM ANDAMENTO","A INICIAR")))</f>
        <v/>
      </c>
    </row>
    <row r="5500">
      <c r="M5500" s="2">
        <f>IF(C5500="","",IFERROR(INDEX($S$5:$S$304,MATCH(C5500,$R$5:$R$304,0))&amp;"","?"))</f>
        <v/>
      </c>
      <c r="N5500" s="2">
        <f>IF(E5500="","",IF(ISNUMBER(SEARCH("SUBSOLO",E5500)),IFERROR(-VALUE(LEFT(E5500,FIND("º",SUBSTITUTE(E5500,"°","º"))-1)),-1),IF(LEFT(E5500,6)="TÉRREO",0,IFERROR(VALUE(LEFT(E5500,FIND("º",SUBSTITUTE(E5500,"°","º"))-1)),""))))</f>
        <v/>
      </c>
      <c r="O5500" s="2">
        <f>IF(OR(F5500="",G5500=""),"",IF(G5500&lt;='RETRATO 2027'!$K$5,"CONCLUÍDA",IF(F5500&lt;='RETRATO 2027'!$K$5,"EM ANDAMENTO","A INICIAR")))</f>
        <v/>
      </c>
    </row>
    <row r="5501">
      <c r="M5501" s="2">
        <f>IF(C5501="","",IFERROR(INDEX($S$5:$S$304,MATCH(C5501,$R$5:$R$304,0))&amp;"","?"))</f>
        <v/>
      </c>
      <c r="N5501" s="2">
        <f>IF(E5501="","",IF(ISNUMBER(SEARCH("SUBSOLO",E5501)),IFERROR(-VALUE(LEFT(E5501,FIND("º",SUBSTITUTE(E5501,"°","º"))-1)),-1),IF(LEFT(E5501,6)="TÉRREO",0,IFERROR(VALUE(LEFT(E5501,FIND("º",SUBSTITUTE(E5501,"°","º"))-1)),""))))</f>
        <v/>
      </c>
      <c r="O5501" s="2">
        <f>IF(OR(F5501="",G5501=""),"",IF(G5501&lt;='RETRATO 2027'!$K$5,"CONCLUÍDA",IF(F5501&lt;='RETRATO 2027'!$K$5,"EM ANDAMENTO","A INICIAR")))</f>
        <v/>
      </c>
    </row>
    <row r="5502">
      <c r="M5502" s="2">
        <f>IF(C5502="","",IFERROR(INDEX($S$5:$S$304,MATCH(C5502,$R$5:$R$304,0))&amp;"","?"))</f>
        <v/>
      </c>
      <c r="N5502" s="2">
        <f>IF(E5502="","",IF(ISNUMBER(SEARCH("SUBSOLO",E5502)),IFERROR(-VALUE(LEFT(E5502,FIND("º",SUBSTITUTE(E5502,"°","º"))-1)),-1),IF(LEFT(E5502,6)="TÉRREO",0,IFERROR(VALUE(LEFT(E5502,FIND("º",SUBSTITUTE(E5502,"°","º"))-1)),""))))</f>
        <v/>
      </c>
      <c r="O5502" s="2">
        <f>IF(OR(F5502="",G5502=""),"",IF(G5502&lt;='RETRATO 2027'!$K$5,"CONCLUÍDA",IF(F5502&lt;='RETRATO 2027'!$K$5,"EM ANDAMENTO","A INICIAR")))</f>
        <v/>
      </c>
    </row>
    <row r="5503">
      <c r="M5503" s="2">
        <f>IF(C5503="","",IFERROR(INDEX($S$5:$S$304,MATCH(C5503,$R$5:$R$304,0))&amp;"","?"))</f>
        <v/>
      </c>
      <c r="N5503" s="2">
        <f>IF(E5503="","",IF(ISNUMBER(SEARCH("SUBSOLO",E5503)),IFERROR(-VALUE(LEFT(E5503,FIND("º",SUBSTITUTE(E5503,"°","º"))-1)),-1),IF(LEFT(E5503,6)="TÉRREO",0,IFERROR(VALUE(LEFT(E5503,FIND("º",SUBSTITUTE(E5503,"°","º"))-1)),""))))</f>
        <v/>
      </c>
      <c r="O5503" s="2">
        <f>IF(OR(F5503="",G5503=""),"",IF(G5503&lt;='RETRATO 2027'!$K$5,"CONCLUÍDA",IF(F5503&lt;='RETRATO 2027'!$K$5,"EM ANDAMENTO","A INICIAR")))</f>
        <v/>
      </c>
    </row>
    <row r="5504">
      <c r="M5504" s="2">
        <f>IF(C5504="","",IFERROR(INDEX($S$5:$S$304,MATCH(C5504,$R$5:$R$304,0))&amp;"","?"))</f>
        <v/>
      </c>
      <c r="N5504" s="2">
        <f>IF(E5504="","",IF(ISNUMBER(SEARCH("SUBSOLO",E5504)),IFERROR(-VALUE(LEFT(E5504,FIND("º",SUBSTITUTE(E5504,"°","º"))-1)),-1),IF(LEFT(E5504,6)="TÉRREO",0,IFERROR(VALUE(LEFT(E5504,FIND("º",SUBSTITUTE(E5504,"°","º"))-1)),""))))</f>
        <v/>
      </c>
      <c r="O5504" s="2">
        <f>IF(OR(F5504="",G5504=""),"",IF(G5504&lt;='RETRATO 2027'!$K$5,"CONCLUÍDA",IF(F5504&lt;='RETRATO 2027'!$K$5,"EM ANDAMENTO","A INICIAR")))</f>
        <v/>
      </c>
    </row>
    <row r="5505">
      <c r="M5505" s="2">
        <f>IF(C5505="","",IFERROR(INDEX($S$5:$S$304,MATCH(C5505,$R$5:$R$304,0))&amp;"","?"))</f>
        <v/>
      </c>
      <c r="N5505" s="2">
        <f>IF(E5505="","",IF(ISNUMBER(SEARCH("SUBSOLO",E5505)),IFERROR(-VALUE(LEFT(E5505,FIND("º",SUBSTITUTE(E5505,"°","º"))-1)),-1),IF(LEFT(E5505,6)="TÉRREO",0,IFERROR(VALUE(LEFT(E5505,FIND("º",SUBSTITUTE(E5505,"°","º"))-1)),""))))</f>
        <v/>
      </c>
      <c r="O5505" s="2">
        <f>IF(OR(F5505="",G5505=""),"",IF(G5505&lt;='RETRATO 2027'!$K$5,"CONCLUÍDA",IF(F5505&lt;='RETRATO 2027'!$K$5,"EM ANDAMENTO","A INICIAR")))</f>
        <v/>
      </c>
    </row>
    <row r="5506">
      <c r="M5506" s="2">
        <f>IF(C5506="","",IFERROR(INDEX($S$5:$S$304,MATCH(C5506,$R$5:$R$304,0))&amp;"","?"))</f>
        <v/>
      </c>
      <c r="N5506" s="2">
        <f>IF(E5506="","",IF(ISNUMBER(SEARCH("SUBSOLO",E5506)),IFERROR(-VALUE(LEFT(E5506,FIND("º",SUBSTITUTE(E5506,"°","º"))-1)),-1),IF(LEFT(E5506,6)="TÉRREO",0,IFERROR(VALUE(LEFT(E5506,FIND("º",SUBSTITUTE(E5506,"°","º"))-1)),""))))</f>
        <v/>
      </c>
      <c r="O5506" s="2">
        <f>IF(OR(F5506="",G5506=""),"",IF(G5506&lt;='RETRATO 2027'!$K$5,"CONCLUÍDA",IF(F5506&lt;='RETRATO 2027'!$K$5,"EM ANDAMENTO","A INICIAR")))</f>
        <v/>
      </c>
    </row>
    <row r="5507">
      <c r="M5507" s="2">
        <f>IF(C5507="","",IFERROR(INDEX($S$5:$S$304,MATCH(C5507,$R$5:$R$304,0))&amp;"","?"))</f>
        <v/>
      </c>
      <c r="N5507" s="2">
        <f>IF(E5507="","",IF(ISNUMBER(SEARCH("SUBSOLO",E5507)),IFERROR(-VALUE(LEFT(E5507,FIND("º",SUBSTITUTE(E5507,"°","º"))-1)),-1),IF(LEFT(E5507,6)="TÉRREO",0,IFERROR(VALUE(LEFT(E5507,FIND("º",SUBSTITUTE(E5507,"°","º"))-1)),""))))</f>
        <v/>
      </c>
      <c r="O5507" s="2">
        <f>IF(OR(F5507="",G5507=""),"",IF(G5507&lt;='RETRATO 2027'!$K$5,"CONCLUÍDA",IF(F5507&lt;='RETRATO 2027'!$K$5,"EM ANDAMENTO","A INICIAR")))</f>
        <v/>
      </c>
    </row>
    <row r="5508">
      <c r="M5508" s="2">
        <f>IF(C5508="","",IFERROR(INDEX($S$5:$S$304,MATCH(C5508,$R$5:$R$304,0))&amp;"","?"))</f>
        <v/>
      </c>
      <c r="N5508" s="2">
        <f>IF(E5508="","",IF(ISNUMBER(SEARCH("SUBSOLO",E5508)),IFERROR(-VALUE(LEFT(E5508,FIND("º",SUBSTITUTE(E5508,"°","º"))-1)),-1),IF(LEFT(E5508,6)="TÉRREO",0,IFERROR(VALUE(LEFT(E5508,FIND("º",SUBSTITUTE(E5508,"°","º"))-1)),""))))</f>
        <v/>
      </c>
      <c r="O5508" s="2">
        <f>IF(OR(F5508="",G5508=""),"",IF(G5508&lt;='RETRATO 2027'!$K$5,"CONCLUÍDA",IF(F5508&lt;='RETRATO 2027'!$K$5,"EM ANDAMENTO","A INICIAR")))</f>
        <v/>
      </c>
    </row>
    <row r="5509">
      <c r="M5509" s="2">
        <f>IF(C5509="","",IFERROR(INDEX($S$5:$S$304,MATCH(C5509,$R$5:$R$304,0))&amp;"","?"))</f>
        <v/>
      </c>
      <c r="N5509" s="2">
        <f>IF(E5509="","",IF(ISNUMBER(SEARCH("SUBSOLO",E5509)),IFERROR(-VALUE(LEFT(E5509,FIND("º",SUBSTITUTE(E5509,"°","º"))-1)),-1),IF(LEFT(E5509,6)="TÉRREO",0,IFERROR(VALUE(LEFT(E5509,FIND("º",SUBSTITUTE(E5509,"°","º"))-1)),""))))</f>
        <v/>
      </c>
      <c r="O5509" s="2">
        <f>IF(OR(F5509="",G5509=""),"",IF(G5509&lt;='RETRATO 2027'!$K$5,"CONCLUÍDA",IF(F5509&lt;='RETRATO 2027'!$K$5,"EM ANDAMENTO","A INICIAR")))</f>
        <v/>
      </c>
    </row>
    <row r="5510">
      <c r="M5510" s="2">
        <f>IF(C5510="","",IFERROR(INDEX($S$5:$S$304,MATCH(C5510,$R$5:$R$304,0))&amp;"","?"))</f>
        <v/>
      </c>
      <c r="N5510" s="2">
        <f>IF(E5510="","",IF(ISNUMBER(SEARCH("SUBSOLO",E5510)),IFERROR(-VALUE(LEFT(E5510,FIND("º",SUBSTITUTE(E5510,"°","º"))-1)),-1),IF(LEFT(E5510,6)="TÉRREO",0,IFERROR(VALUE(LEFT(E5510,FIND("º",SUBSTITUTE(E5510,"°","º"))-1)),""))))</f>
        <v/>
      </c>
      <c r="O5510" s="2">
        <f>IF(OR(F5510="",G5510=""),"",IF(G5510&lt;='RETRATO 2027'!$K$5,"CONCLUÍDA",IF(F5510&lt;='RETRATO 2027'!$K$5,"EM ANDAMENTO","A INICIAR")))</f>
        <v/>
      </c>
    </row>
    <row r="5511">
      <c r="M5511" s="2">
        <f>IF(C5511="","",IFERROR(INDEX($S$5:$S$304,MATCH(C5511,$R$5:$R$304,0))&amp;"","?"))</f>
        <v/>
      </c>
      <c r="N5511" s="2">
        <f>IF(E5511="","",IF(ISNUMBER(SEARCH("SUBSOLO",E5511)),IFERROR(-VALUE(LEFT(E5511,FIND("º",SUBSTITUTE(E5511,"°","º"))-1)),-1),IF(LEFT(E5511,6)="TÉRREO",0,IFERROR(VALUE(LEFT(E5511,FIND("º",SUBSTITUTE(E5511,"°","º"))-1)),""))))</f>
        <v/>
      </c>
      <c r="O5511" s="2">
        <f>IF(OR(F5511="",G5511=""),"",IF(G5511&lt;='RETRATO 2027'!$K$5,"CONCLUÍDA",IF(F5511&lt;='RETRATO 2027'!$K$5,"EM ANDAMENTO","A INICIAR")))</f>
        <v/>
      </c>
    </row>
    <row r="5512">
      <c r="M5512" s="2">
        <f>IF(C5512="","",IFERROR(INDEX($S$5:$S$304,MATCH(C5512,$R$5:$R$304,0))&amp;"","?"))</f>
        <v/>
      </c>
      <c r="N5512" s="2">
        <f>IF(E5512="","",IF(ISNUMBER(SEARCH("SUBSOLO",E5512)),IFERROR(-VALUE(LEFT(E5512,FIND("º",SUBSTITUTE(E5512,"°","º"))-1)),-1),IF(LEFT(E5512,6)="TÉRREO",0,IFERROR(VALUE(LEFT(E5512,FIND("º",SUBSTITUTE(E5512,"°","º"))-1)),""))))</f>
        <v/>
      </c>
      <c r="O5512" s="2">
        <f>IF(OR(F5512="",G5512=""),"",IF(G5512&lt;='RETRATO 2027'!$K$5,"CONCLUÍDA",IF(F5512&lt;='RETRATO 2027'!$K$5,"EM ANDAMENTO","A INICIAR")))</f>
        <v/>
      </c>
    </row>
    <row r="5513">
      <c r="M5513" s="2">
        <f>IF(C5513="","",IFERROR(INDEX($S$5:$S$304,MATCH(C5513,$R$5:$R$304,0))&amp;"","?"))</f>
        <v/>
      </c>
      <c r="N5513" s="2">
        <f>IF(E5513="","",IF(ISNUMBER(SEARCH("SUBSOLO",E5513)),IFERROR(-VALUE(LEFT(E5513,FIND("º",SUBSTITUTE(E5513,"°","º"))-1)),-1),IF(LEFT(E5513,6)="TÉRREO",0,IFERROR(VALUE(LEFT(E5513,FIND("º",SUBSTITUTE(E5513,"°","º"))-1)),""))))</f>
        <v/>
      </c>
      <c r="O5513" s="2">
        <f>IF(OR(F5513="",G5513=""),"",IF(G5513&lt;='RETRATO 2027'!$K$5,"CONCLUÍDA",IF(F5513&lt;='RETRATO 2027'!$K$5,"EM ANDAMENTO","A INICIAR")))</f>
        <v/>
      </c>
    </row>
    <row r="5514">
      <c r="M5514" s="2">
        <f>IF(C5514="","",IFERROR(INDEX($S$5:$S$304,MATCH(C5514,$R$5:$R$304,0))&amp;"","?"))</f>
        <v/>
      </c>
      <c r="N5514" s="2">
        <f>IF(E5514="","",IF(ISNUMBER(SEARCH("SUBSOLO",E5514)),IFERROR(-VALUE(LEFT(E5514,FIND("º",SUBSTITUTE(E5514,"°","º"))-1)),-1),IF(LEFT(E5514,6)="TÉRREO",0,IFERROR(VALUE(LEFT(E5514,FIND("º",SUBSTITUTE(E5514,"°","º"))-1)),""))))</f>
        <v/>
      </c>
      <c r="O5514" s="2">
        <f>IF(OR(F5514="",G5514=""),"",IF(G5514&lt;='RETRATO 2027'!$K$5,"CONCLUÍDA",IF(F5514&lt;='RETRATO 2027'!$K$5,"EM ANDAMENTO","A INICIAR")))</f>
        <v/>
      </c>
    </row>
    <row r="5515">
      <c r="M5515" s="2">
        <f>IF(C5515="","",IFERROR(INDEX($S$5:$S$304,MATCH(C5515,$R$5:$R$304,0))&amp;"","?"))</f>
        <v/>
      </c>
      <c r="N5515" s="2">
        <f>IF(E5515="","",IF(ISNUMBER(SEARCH("SUBSOLO",E5515)),IFERROR(-VALUE(LEFT(E5515,FIND("º",SUBSTITUTE(E5515,"°","º"))-1)),-1),IF(LEFT(E5515,6)="TÉRREO",0,IFERROR(VALUE(LEFT(E5515,FIND("º",SUBSTITUTE(E5515,"°","º"))-1)),""))))</f>
        <v/>
      </c>
      <c r="O5515" s="2">
        <f>IF(OR(F5515="",G5515=""),"",IF(G5515&lt;='RETRATO 2027'!$K$5,"CONCLUÍDA",IF(F5515&lt;='RETRATO 2027'!$K$5,"EM ANDAMENTO","A INICIAR")))</f>
        <v/>
      </c>
    </row>
    <row r="5516">
      <c r="M5516" s="2">
        <f>IF(C5516="","",IFERROR(INDEX($S$5:$S$304,MATCH(C5516,$R$5:$R$304,0))&amp;"","?"))</f>
        <v/>
      </c>
      <c r="N5516" s="2">
        <f>IF(E5516="","",IF(ISNUMBER(SEARCH("SUBSOLO",E5516)),IFERROR(-VALUE(LEFT(E5516,FIND("º",SUBSTITUTE(E5516,"°","º"))-1)),-1),IF(LEFT(E5516,6)="TÉRREO",0,IFERROR(VALUE(LEFT(E5516,FIND("º",SUBSTITUTE(E5516,"°","º"))-1)),""))))</f>
        <v/>
      </c>
      <c r="O5516" s="2">
        <f>IF(OR(F5516="",G5516=""),"",IF(G5516&lt;='RETRATO 2027'!$K$5,"CONCLUÍDA",IF(F5516&lt;='RETRATO 2027'!$K$5,"EM ANDAMENTO","A INICIAR")))</f>
        <v/>
      </c>
    </row>
    <row r="5517">
      <c r="M5517" s="2">
        <f>IF(C5517="","",IFERROR(INDEX($S$5:$S$304,MATCH(C5517,$R$5:$R$304,0))&amp;"","?"))</f>
        <v/>
      </c>
      <c r="N5517" s="2">
        <f>IF(E5517="","",IF(ISNUMBER(SEARCH("SUBSOLO",E5517)),IFERROR(-VALUE(LEFT(E5517,FIND("º",SUBSTITUTE(E5517,"°","º"))-1)),-1),IF(LEFT(E5517,6)="TÉRREO",0,IFERROR(VALUE(LEFT(E5517,FIND("º",SUBSTITUTE(E5517,"°","º"))-1)),""))))</f>
        <v/>
      </c>
      <c r="O5517" s="2">
        <f>IF(OR(F5517="",G5517=""),"",IF(G5517&lt;='RETRATO 2027'!$K$5,"CONCLUÍDA",IF(F5517&lt;='RETRATO 2027'!$K$5,"EM ANDAMENTO","A INICIAR")))</f>
        <v/>
      </c>
    </row>
    <row r="5518">
      <c r="M5518" s="2">
        <f>IF(C5518="","",IFERROR(INDEX($S$5:$S$304,MATCH(C5518,$R$5:$R$304,0))&amp;"","?"))</f>
        <v/>
      </c>
      <c r="N5518" s="2">
        <f>IF(E5518="","",IF(ISNUMBER(SEARCH("SUBSOLO",E5518)),IFERROR(-VALUE(LEFT(E5518,FIND("º",SUBSTITUTE(E5518,"°","º"))-1)),-1),IF(LEFT(E5518,6)="TÉRREO",0,IFERROR(VALUE(LEFT(E5518,FIND("º",SUBSTITUTE(E5518,"°","º"))-1)),""))))</f>
        <v/>
      </c>
      <c r="O5518" s="2">
        <f>IF(OR(F5518="",G5518=""),"",IF(G5518&lt;='RETRATO 2027'!$K$5,"CONCLUÍDA",IF(F5518&lt;='RETRATO 2027'!$K$5,"EM ANDAMENTO","A INICIAR")))</f>
        <v/>
      </c>
    </row>
    <row r="5519">
      <c r="M5519" s="2">
        <f>IF(C5519="","",IFERROR(INDEX($S$5:$S$304,MATCH(C5519,$R$5:$R$304,0))&amp;"","?"))</f>
        <v/>
      </c>
      <c r="N5519" s="2">
        <f>IF(E5519="","",IF(ISNUMBER(SEARCH("SUBSOLO",E5519)),IFERROR(-VALUE(LEFT(E5519,FIND("º",SUBSTITUTE(E5519,"°","º"))-1)),-1),IF(LEFT(E5519,6)="TÉRREO",0,IFERROR(VALUE(LEFT(E5519,FIND("º",SUBSTITUTE(E5519,"°","º"))-1)),""))))</f>
        <v/>
      </c>
      <c r="O5519" s="2">
        <f>IF(OR(F5519="",G5519=""),"",IF(G5519&lt;='RETRATO 2027'!$K$5,"CONCLUÍDA",IF(F5519&lt;='RETRATO 2027'!$K$5,"EM ANDAMENTO","A INICIAR")))</f>
        <v/>
      </c>
    </row>
    <row r="5520">
      <c r="M5520" s="2">
        <f>IF(C5520="","",IFERROR(INDEX($S$5:$S$304,MATCH(C5520,$R$5:$R$304,0))&amp;"","?"))</f>
        <v/>
      </c>
      <c r="N5520" s="2">
        <f>IF(E5520="","",IF(ISNUMBER(SEARCH("SUBSOLO",E5520)),IFERROR(-VALUE(LEFT(E5520,FIND("º",SUBSTITUTE(E5520,"°","º"))-1)),-1),IF(LEFT(E5520,6)="TÉRREO",0,IFERROR(VALUE(LEFT(E5520,FIND("º",SUBSTITUTE(E5520,"°","º"))-1)),""))))</f>
        <v/>
      </c>
      <c r="O5520" s="2">
        <f>IF(OR(F5520="",G5520=""),"",IF(G5520&lt;='RETRATO 2027'!$K$5,"CONCLUÍDA",IF(F5520&lt;='RETRATO 2027'!$K$5,"EM ANDAMENTO","A INICIAR")))</f>
        <v/>
      </c>
    </row>
    <row r="5521">
      <c r="M5521" s="2">
        <f>IF(C5521="","",IFERROR(INDEX($S$5:$S$304,MATCH(C5521,$R$5:$R$304,0))&amp;"","?"))</f>
        <v/>
      </c>
      <c r="N5521" s="2">
        <f>IF(E5521="","",IF(ISNUMBER(SEARCH("SUBSOLO",E5521)),IFERROR(-VALUE(LEFT(E5521,FIND("º",SUBSTITUTE(E5521,"°","º"))-1)),-1),IF(LEFT(E5521,6)="TÉRREO",0,IFERROR(VALUE(LEFT(E5521,FIND("º",SUBSTITUTE(E5521,"°","º"))-1)),""))))</f>
        <v/>
      </c>
      <c r="O5521" s="2">
        <f>IF(OR(F5521="",G5521=""),"",IF(G5521&lt;='RETRATO 2027'!$K$5,"CONCLUÍDA",IF(F5521&lt;='RETRATO 2027'!$K$5,"EM ANDAMENTO","A INICIAR")))</f>
        <v/>
      </c>
    </row>
    <row r="5522">
      <c r="M5522" s="2">
        <f>IF(C5522="","",IFERROR(INDEX($S$5:$S$304,MATCH(C5522,$R$5:$R$304,0))&amp;"","?"))</f>
        <v/>
      </c>
      <c r="N5522" s="2">
        <f>IF(E5522="","",IF(ISNUMBER(SEARCH("SUBSOLO",E5522)),IFERROR(-VALUE(LEFT(E5522,FIND("º",SUBSTITUTE(E5522,"°","º"))-1)),-1),IF(LEFT(E5522,6)="TÉRREO",0,IFERROR(VALUE(LEFT(E5522,FIND("º",SUBSTITUTE(E5522,"°","º"))-1)),""))))</f>
        <v/>
      </c>
      <c r="O5522" s="2">
        <f>IF(OR(F5522="",G5522=""),"",IF(G5522&lt;='RETRATO 2027'!$K$5,"CONCLUÍDA",IF(F5522&lt;='RETRATO 2027'!$K$5,"EM ANDAMENTO","A INICIAR")))</f>
        <v/>
      </c>
    </row>
    <row r="5523">
      <c r="M5523" s="2">
        <f>IF(C5523="","",IFERROR(INDEX($S$5:$S$304,MATCH(C5523,$R$5:$R$304,0))&amp;"","?"))</f>
        <v/>
      </c>
      <c r="N5523" s="2">
        <f>IF(E5523="","",IF(ISNUMBER(SEARCH("SUBSOLO",E5523)),IFERROR(-VALUE(LEFT(E5523,FIND("º",SUBSTITUTE(E5523,"°","º"))-1)),-1),IF(LEFT(E5523,6)="TÉRREO",0,IFERROR(VALUE(LEFT(E5523,FIND("º",SUBSTITUTE(E5523,"°","º"))-1)),""))))</f>
        <v/>
      </c>
      <c r="O5523" s="2">
        <f>IF(OR(F5523="",G5523=""),"",IF(G5523&lt;='RETRATO 2027'!$K$5,"CONCLUÍDA",IF(F5523&lt;='RETRATO 2027'!$K$5,"EM ANDAMENTO","A INICIAR")))</f>
        <v/>
      </c>
    </row>
    <row r="5524">
      <c r="M5524" s="2">
        <f>IF(C5524="","",IFERROR(INDEX($S$5:$S$304,MATCH(C5524,$R$5:$R$304,0))&amp;"","?"))</f>
        <v/>
      </c>
      <c r="N5524" s="2">
        <f>IF(E5524="","",IF(ISNUMBER(SEARCH("SUBSOLO",E5524)),IFERROR(-VALUE(LEFT(E5524,FIND("º",SUBSTITUTE(E5524,"°","º"))-1)),-1),IF(LEFT(E5524,6)="TÉRREO",0,IFERROR(VALUE(LEFT(E5524,FIND("º",SUBSTITUTE(E5524,"°","º"))-1)),""))))</f>
        <v/>
      </c>
      <c r="O5524" s="2">
        <f>IF(OR(F5524="",G5524=""),"",IF(G5524&lt;='RETRATO 2027'!$K$5,"CONCLUÍDA",IF(F5524&lt;='RETRATO 2027'!$K$5,"EM ANDAMENTO","A INICIAR")))</f>
        <v/>
      </c>
    </row>
    <row r="5525">
      <c r="M5525" s="2">
        <f>IF(C5525="","",IFERROR(INDEX($S$5:$S$304,MATCH(C5525,$R$5:$R$304,0))&amp;"","?"))</f>
        <v/>
      </c>
      <c r="N5525" s="2">
        <f>IF(E5525="","",IF(ISNUMBER(SEARCH("SUBSOLO",E5525)),IFERROR(-VALUE(LEFT(E5525,FIND("º",SUBSTITUTE(E5525,"°","º"))-1)),-1),IF(LEFT(E5525,6)="TÉRREO",0,IFERROR(VALUE(LEFT(E5525,FIND("º",SUBSTITUTE(E5525,"°","º"))-1)),""))))</f>
        <v/>
      </c>
      <c r="O5525" s="2">
        <f>IF(OR(F5525="",G5525=""),"",IF(G5525&lt;='RETRATO 2027'!$K$5,"CONCLUÍDA",IF(F5525&lt;='RETRATO 2027'!$K$5,"EM ANDAMENTO","A INICIAR")))</f>
        <v/>
      </c>
    </row>
    <row r="5526">
      <c r="M5526" s="2">
        <f>IF(C5526="","",IFERROR(INDEX($S$5:$S$304,MATCH(C5526,$R$5:$R$304,0))&amp;"","?"))</f>
        <v/>
      </c>
      <c r="N5526" s="2">
        <f>IF(E5526="","",IF(ISNUMBER(SEARCH("SUBSOLO",E5526)),IFERROR(-VALUE(LEFT(E5526,FIND("º",SUBSTITUTE(E5526,"°","º"))-1)),-1),IF(LEFT(E5526,6)="TÉRREO",0,IFERROR(VALUE(LEFT(E5526,FIND("º",SUBSTITUTE(E5526,"°","º"))-1)),""))))</f>
        <v/>
      </c>
      <c r="O5526" s="2">
        <f>IF(OR(F5526="",G5526=""),"",IF(G5526&lt;='RETRATO 2027'!$K$5,"CONCLUÍDA",IF(F5526&lt;='RETRATO 2027'!$K$5,"EM ANDAMENTO","A INICIAR")))</f>
        <v/>
      </c>
    </row>
    <row r="5527">
      <c r="M5527" s="2">
        <f>IF(C5527="","",IFERROR(INDEX($S$5:$S$304,MATCH(C5527,$R$5:$R$304,0))&amp;"","?"))</f>
        <v/>
      </c>
      <c r="N5527" s="2">
        <f>IF(E5527="","",IF(ISNUMBER(SEARCH("SUBSOLO",E5527)),IFERROR(-VALUE(LEFT(E5527,FIND("º",SUBSTITUTE(E5527,"°","º"))-1)),-1),IF(LEFT(E5527,6)="TÉRREO",0,IFERROR(VALUE(LEFT(E5527,FIND("º",SUBSTITUTE(E5527,"°","º"))-1)),""))))</f>
        <v/>
      </c>
      <c r="O5527" s="2">
        <f>IF(OR(F5527="",G5527=""),"",IF(G5527&lt;='RETRATO 2027'!$K$5,"CONCLUÍDA",IF(F5527&lt;='RETRATO 2027'!$K$5,"EM ANDAMENTO","A INICIAR")))</f>
        <v/>
      </c>
    </row>
    <row r="5528">
      <c r="M5528" s="2">
        <f>IF(C5528="","",IFERROR(INDEX($S$5:$S$304,MATCH(C5528,$R$5:$R$304,0))&amp;"","?"))</f>
        <v/>
      </c>
      <c r="N5528" s="2">
        <f>IF(E5528="","",IF(ISNUMBER(SEARCH("SUBSOLO",E5528)),IFERROR(-VALUE(LEFT(E5528,FIND("º",SUBSTITUTE(E5528,"°","º"))-1)),-1),IF(LEFT(E5528,6)="TÉRREO",0,IFERROR(VALUE(LEFT(E5528,FIND("º",SUBSTITUTE(E5528,"°","º"))-1)),""))))</f>
        <v/>
      </c>
      <c r="O5528" s="2">
        <f>IF(OR(F5528="",G5528=""),"",IF(G5528&lt;='RETRATO 2027'!$K$5,"CONCLUÍDA",IF(F5528&lt;='RETRATO 2027'!$K$5,"EM ANDAMENTO","A INICIAR")))</f>
        <v/>
      </c>
    </row>
    <row r="5529">
      <c r="M5529" s="2">
        <f>IF(C5529="","",IFERROR(INDEX($S$5:$S$304,MATCH(C5529,$R$5:$R$304,0))&amp;"","?"))</f>
        <v/>
      </c>
      <c r="N5529" s="2">
        <f>IF(E5529="","",IF(ISNUMBER(SEARCH("SUBSOLO",E5529)),IFERROR(-VALUE(LEFT(E5529,FIND("º",SUBSTITUTE(E5529,"°","º"))-1)),-1),IF(LEFT(E5529,6)="TÉRREO",0,IFERROR(VALUE(LEFT(E5529,FIND("º",SUBSTITUTE(E5529,"°","º"))-1)),""))))</f>
        <v/>
      </c>
      <c r="O5529" s="2">
        <f>IF(OR(F5529="",G5529=""),"",IF(G5529&lt;='RETRATO 2027'!$K$5,"CONCLUÍDA",IF(F5529&lt;='RETRATO 2027'!$K$5,"EM ANDAMENTO","A INICIAR")))</f>
        <v/>
      </c>
    </row>
    <row r="5530">
      <c r="M5530" s="2">
        <f>IF(C5530="","",IFERROR(INDEX($S$5:$S$304,MATCH(C5530,$R$5:$R$304,0))&amp;"","?"))</f>
        <v/>
      </c>
      <c r="N5530" s="2">
        <f>IF(E5530="","",IF(ISNUMBER(SEARCH("SUBSOLO",E5530)),IFERROR(-VALUE(LEFT(E5530,FIND("º",SUBSTITUTE(E5530,"°","º"))-1)),-1),IF(LEFT(E5530,6)="TÉRREO",0,IFERROR(VALUE(LEFT(E5530,FIND("º",SUBSTITUTE(E5530,"°","º"))-1)),""))))</f>
        <v/>
      </c>
      <c r="O5530" s="2">
        <f>IF(OR(F5530="",G5530=""),"",IF(G5530&lt;='RETRATO 2027'!$K$5,"CONCLUÍDA",IF(F5530&lt;='RETRATO 2027'!$K$5,"EM ANDAMENTO","A INICIAR")))</f>
        <v/>
      </c>
    </row>
    <row r="5531">
      <c r="M5531" s="2">
        <f>IF(C5531="","",IFERROR(INDEX($S$5:$S$304,MATCH(C5531,$R$5:$R$304,0))&amp;"","?"))</f>
        <v/>
      </c>
      <c r="N5531" s="2">
        <f>IF(E5531="","",IF(ISNUMBER(SEARCH("SUBSOLO",E5531)),IFERROR(-VALUE(LEFT(E5531,FIND("º",SUBSTITUTE(E5531,"°","º"))-1)),-1),IF(LEFT(E5531,6)="TÉRREO",0,IFERROR(VALUE(LEFT(E5531,FIND("º",SUBSTITUTE(E5531,"°","º"))-1)),""))))</f>
        <v/>
      </c>
      <c r="O5531" s="2">
        <f>IF(OR(F5531="",G5531=""),"",IF(G5531&lt;='RETRATO 2027'!$K$5,"CONCLUÍDA",IF(F5531&lt;='RETRATO 2027'!$K$5,"EM ANDAMENTO","A INICIAR")))</f>
        <v/>
      </c>
    </row>
    <row r="5532">
      <c r="M5532" s="2">
        <f>IF(C5532="","",IFERROR(INDEX($S$5:$S$304,MATCH(C5532,$R$5:$R$304,0))&amp;"","?"))</f>
        <v/>
      </c>
      <c r="N5532" s="2">
        <f>IF(E5532="","",IF(ISNUMBER(SEARCH("SUBSOLO",E5532)),IFERROR(-VALUE(LEFT(E5532,FIND("º",SUBSTITUTE(E5532,"°","º"))-1)),-1),IF(LEFT(E5532,6)="TÉRREO",0,IFERROR(VALUE(LEFT(E5532,FIND("º",SUBSTITUTE(E5532,"°","º"))-1)),""))))</f>
        <v/>
      </c>
      <c r="O5532" s="2">
        <f>IF(OR(F5532="",G5532=""),"",IF(G5532&lt;='RETRATO 2027'!$K$5,"CONCLUÍDA",IF(F5532&lt;='RETRATO 2027'!$K$5,"EM ANDAMENTO","A INICIAR")))</f>
        <v/>
      </c>
    </row>
    <row r="5533">
      <c r="M5533" s="2">
        <f>IF(C5533="","",IFERROR(INDEX($S$5:$S$304,MATCH(C5533,$R$5:$R$304,0))&amp;"","?"))</f>
        <v/>
      </c>
      <c r="N5533" s="2">
        <f>IF(E5533="","",IF(ISNUMBER(SEARCH("SUBSOLO",E5533)),IFERROR(-VALUE(LEFT(E5533,FIND("º",SUBSTITUTE(E5533,"°","º"))-1)),-1),IF(LEFT(E5533,6)="TÉRREO",0,IFERROR(VALUE(LEFT(E5533,FIND("º",SUBSTITUTE(E5533,"°","º"))-1)),""))))</f>
        <v/>
      </c>
      <c r="O5533" s="2">
        <f>IF(OR(F5533="",G5533=""),"",IF(G5533&lt;='RETRATO 2027'!$K$5,"CONCLUÍDA",IF(F5533&lt;='RETRATO 2027'!$K$5,"EM ANDAMENTO","A INICIAR")))</f>
        <v/>
      </c>
    </row>
    <row r="5534">
      <c r="M5534" s="2">
        <f>IF(C5534="","",IFERROR(INDEX($S$5:$S$304,MATCH(C5534,$R$5:$R$304,0))&amp;"","?"))</f>
        <v/>
      </c>
      <c r="N5534" s="2">
        <f>IF(E5534="","",IF(ISNUMBER(SEARCH("SUBSOLO",E5534)),IFERROR(-VALUE(LEFT(E5534,FIND("º",SUBSTITUTE(E5534,"°","º"))-1)),-1),IF(LEFT(E5534,6)="TÉRREO",0,IFERROR(VALUE(LEFT(E5534,FIND("º",SUBSTITUTE(E5534,"°","º"))-1)),""))))</f>
        <v/>
      </c>
      <c r="O5534" s="2">
        <f>IF(OR(F5534="",G5534=""),"",IF(G5534&lt;='RETRATO 2027'!$K$5,"CONCLUÍDA",IF(F5534&lt;='RETRATO 2027'!$K$5,"EM ANDAMENTO","A INICIAR")))</f>
        <v/>
      </c>
    </row>
    <row r="5535">
      <c r="M5535" s="2">
        <f>IF(C5535="","",IFERROR(INDEX($S$5:$S$304,MATCH(C5535,$R$5:$R$304,0))&amp;"","?"))</f>
        <v/>
      </c>
      <c r="N5535" s="2">
        <f>IF(E5535="","",IF(ISNUMBER(SEARCH("SUBSOLO",E5535)),IFERROR(-VALUE(LEFT(E5535,FIND("º",SUBSTITUTE(E5535,"°","º"))-1)),-1),IF(LEFT(E5535,6)="TÉRREO",0,IFERROR(VALUE(LEFT(E5535,FIND("º",SUBSTITUTE(E5535,"°","º"))-1)),""))))</f>
        <v/>
      </c>
      <c r="O5535" s="2">
        <f>IF(OR(F5535="",G5535=""),"",IF(G5535&lt;='RETRATO 2027'!$K$5,"CONCLUÍDA",IF(F5535&lt;='RETRATO 2027'!$K$5,"EM ANDAMENTO","A INICIAR")))</f>
        <v/>
      </c>
    </row>
    <row r="5536">
      <c r="M5536" s="2">
        <f>IF(C5536="","",IFERROR(INDEX($S$5:$S$304,MATCH(C5536,$R$5:$R$304,0))&amp;"","?"))</f>
        <v/>
      </c>
      <c r="N5536" s="2">
        <f>IF(E5536="","",IF(ISNUMBER(SEARCH("SUBSOLO",E5536)),IFERROR(-VALUE(LEFT(E5536,FIND("º",SUBSTITUTE(E5536,"°","º"))-1)),-1),IF(LEFT(E5536,6)="TÉRREO",0,IFERROR(VALUE(LEFT(E5536,FIND("º",SUBSTITUTE(E5536,"°","º"))-1)),""))))</f>
        <v/>
      </c>
      <c r="O5536" s="2">
        <f>IF(OR(F5536="",G5536=""),"",IF(G5536&lt;='RETRATO 2027'!$K$5,"CONCLUÍDA",IF(F5536&lt;='RETRATO 2027'!$K$5,"EM ANDAMENTO","A INICIAR")))</f>
        <v/>
      </c>
    </row>
    <row r="5537">
      <c r="M5537" s="2">
        <f>IF(C5537="","",IFERROR(INDEX($S$5:$S$304,MATCH(C5537,$R$5:$R$304,0))&amp;"","?"))</f>
        <v/>
      </c>
      <c r="N5537" s="2">
        <f>IF(E5537="","",IF(ISNUMBER(SEARCH("SUBSOLO",E5537)),IFERROR(-VALUE(LEFT(E5537,FIND("º",SUBSTITUTE(E5537,"°","º"))-1)),-1),IF(LEFT(E5537,6)="TÉRREO",0,IFERROR(VALUE(LEFT(E5537,FIND("º",SUBSTITUTE(E5537,"°","º"))-1)),""))))</f>
        <v/>
      </c>
      <c r="O5537" s="2">
        <f>IF(OR(F5537="",G5537=""),"",IF(G5537&lt;='RETRATO 2027'!$K$5,"CONCLUÍDA",IF(F5537&lt;='RETRATO 2027'!$K$5,"EM ANDAMENTO","A INICIAR")))</f>
        <v/>
      </c>
    </row>
    <row r="5538">
      <c r="M5538" s="2">
        <f>IF(C5538="","",IFERROR(INDEX($S$5:$S$304,MATCH(C5538,$R$5:$R$304,0))&amp;"","?"))</f>
        <v/>
      </c>
      <c r="N5538" s="2">
        <f>IF(E5538="","",IF(ISNUMBER(SEARCH("SUBSOLO",E5538)),IFERROR(-VALUE(LEFT(E5538,FIND("º",SUBSTITUTE(E5538,"°","º"))-1)),-1),IF(LEFT(E5538,6)="TÉRREO",0,IFERROR(VALUE(LEFT(E5538,FIND("º",SUBSTITUTE(E5538,"°","º"))-1)),""))))</f>
        <v/>
      </c>
      <c r="O5538" s="2">
        <f>IF(OR(F5538="",G5538=""),"",IF(G5538&lt;='RETRATO 2027'!$K$5,"CONCLUÍDA",IF(F5538&lt;='RETRATO 2027'!$K$5,"EM ANDAMENTO","A INICIAR")))</f>
        <v/>
      </c>
    </row>
    <row r="5539">
      <c r="M5539" s="2">
        <f>IF(C5539="","",IFERROR(INDEX($S$5:$S$304,MATCH(C5539,$R$5:$R$304,0))&amp;"","?"))</f>
        <v/>
      </c>
      <c r="N5539" s="2">
        <f>IF(E5539="","",IF(ISNUMBER(SEARCH("SUBSOLO",E5539)),IFERROR(-VALUE(LEFT(E5539,FIND("º",SUBSTITUTE(E5539,"°","º"))-1)),-1),IF(LEFT(E5539,6)="TÉRREO",0,IFERROR(VALUE(LEFT(E5539,FIND("º",SUBSTITUTE(E5539,"°","º"))-1)),""))))</f>
        <v/>
      </c>
      <c r="O5539" s="2">
        <f>IF(OR(F5539="",G5539=""),"",IF(G5539&lt;='RETRATO 2027'!$K$5,"CONCLUÍDA",IF(F5539&lt;='RETRATO 2027'!$K$5,"EM ANDAMENTO","A INICIAR")))</f>
        <v/>
      </c>
    </row>
    <row r="5540">
      <c r="M5540" s="2">
        <f>IF(C5540="","",IFERROR(INDEX($S$5:$S$304,MATCH(C5540,$R$5:$R$304,0))&amp;"","?"))</f>
        <v/>
      </c>
      <c r="N5540" s="2">
        <f>IF(E5540="","",IF(ISNUMBER(SEARCH("SUBSOLO",E5540)),IFERROR(-VALUE(LEFT(E5540,FIND("º",SUBSTITUTE(E5540,"°","º"))-1)),-1),IF(LEFT(E5540,6)="TÉRREO",0,IFERROR(VALUE(LEFT(E5540,FIND("º",SUBSTITUTE(E5540,"°","º"))-1)),""))))</f>
        <v/>
      </c>
      <c r="O5540" s="2">
        <f>IF(OR(F5540="",G5540=""),"",IF(G5540&lt;='RETRATO 2027'!$K$5,"CONCLUÍDA",IF(F5540&lt;='RETRATO 2027'!$K$5,"EM ANDAMENTO","A INICIAR")))</f>
        <v/>
      </c>
    </row>
    <row r="5541">
      <c r="M5541" s="2">
        <f>IF(C5541="","",IFERROR(INDEX($S$5:$S$304,MATCH(C5541,$R$5:$R$304,0))&amp;"","?"))</f>
        <v/>
      </c>
      <c r="N5541" s="2">
        <f>IF(E5541="","",IF(ISNUMBER(SEARCH("SUBSOLO",E5541)),IFERROR(-VALUE(LEFT(E5541,FIND("º",SUBSTITUTE(E5541,"°","º"))-1)),-1),IF(LEFT(E5541,6)="TÉRREO",0,IFERROR(VALUE(LEFT(E5541,FIND("º",SUBSTITUTE(E5541,"°","º"))-1)),""))))</f>
        <v/>
      </c>
      <c r="O5541" s="2">
        <f>IF(OR(F5541="",G5541=""),"",IF(G5541&lt;='RETRATO 2027'!$K$5,"CONCLUÍDA",IF(F5541&lt;='RETRATO 2027'!$K$5,"EM ANDAMENTO","A INICIAR")))</f>
        <v/>
      </c>
    </row>
    <row r="5542">
      <c r="M5542" s="2">
        <f>IF(C5542="","",IFERROR(INDEX($S$5:$S$304,MATCH(C5542,$R$5:$R$304,0))&amp;"","?"))</f>
        <v/>
      </c>
      <c r="N5542" s="2">
        <f>IF(E5542="","",IF(ISNUMBER(SEARCH("SUBSOLO",E5542)),IFERROR(-VALUE(LEFT(E5542,FIND("º",SUBSTITUTE(E5542,"°","º"))-1)),-1),IF(LEFT(E5542,6)="TÉRREO",0,IFERROR(VALUE(LEFT(E5542,FIND("º",SUBSTITUTE(E5542,"°","º"))-1)),""))))</f>
        <v/>
      </c>
      <c r="O5542" s="2">
        <f>IF(OR(F5542="",G5542=""),"",IF(G5542&lt;='RETRATO 2027'!$K$5,"CONCLUÍDA",IF(F5542&lt;='RETRATO 2027'!$K$5,"EM ANDAMENTO","A INICIAR")))</f>
        <v/>
      </c>
    </row>
    <row r="5543">
      <c r="M5543" s="2">
        <f>IF(C5543="","",IFERROR(INDEX($S$5:$S$304,MATCH(C5543,$R$5:$R$304,0))&amp;"","?"))</f>
        <v/>
      </c>
      <c r="N5543" s="2">
        <f>IF(E5543="","",IF(ISNUMBER(SEARCH("SUBSOLO",E5543)),IFERROR(-VALUE(LEFT(E5543,FIND("º",SUBSTITUTE(E5543,"°","º"))-1)),-1),IF(LEFT(E5543,6)="TÉRREO",0,IFERROR(VALUE(LEFT(E5543,FIND("º",SUBSTITUTE(E5543,"°","º"))-1)),""))))</f>
        <v/>
      </c>
      <c r="O5543" s="2">
        <f>IF(OR(F5543="",G5543=""),"",IF(G5543&lt;='RETRATO 2027'!$K$5,"CONCLUÍDA",IF(F5543&lt;='RETRATO 2027'!$K$5,"EM ANDAMENTO","A INICIAR")))</f>
        <v/>
      </c>
    </row>
    <row r="5544">
      <c r="M5544" s="2">
        <f>IF(C5544="","",IFERROR(INDEX($S$5:$S$304,MATCH(C5544,$R$5:$R$304,0))&amp;"","?"))</f>
        <v/>
      </c>
      <c r="N5544" s="2">
        <f>IF(E5544="","",IF(ISNUMBER(SEARCH("SUBSOLO",E5544)),IFERROR(-VALUE(LEFT(E5544,FIND("º",SUBSTITUTE(E5544,"°","º"))-1)),-1),IF(LEFT(E5544,6)="TÉRREO",0,IFERROR(VALUE(LEFT(E5544,FIND("º",SUBSTITUTE(E5544,"°","º"))-1)),""))))</f>
        <v/>
      </c>
      <c r="O5544" s="2">
        <f>IF(OR(F5544="",G5544=""),"",IF(G5544&lt;='RETRATO 2027'!$K$5,"CONCLUÍDA",IF(F5544&lt;='RETRATO 2027'!$K$5,"EM ANDAMENTO","A INICIAR")))</f>
        <v/>
      </c>
    </row>
    <row r="5545">
      <c r="M5545" s="2">
        <f>IF(C5545="","",IFERROR(INDEX($S$5:$S$304,MATCH(C5545,$R$5:$R$304,0))&amp;"","?"))</f>
        <v/>
      </c>
      <c r="N5545" s="2">
        <f>IF(E5545="","",IF(ISNUMBER(SEARCH("SUBSOLO",E5545)),IFERROR(-VALUE(LEFT(E5545,FIND("º",SUBSTITUTE(E5545,"°","º"))-1)),-1),IF(LEFT(E5545,6)="TÉRREO",0,IFERROR(VALUE(LEFT(E5545,FIND("º",SUBSTITUTE(E5545,"°","º"))-1)),""))))</f>
        <v/>
      </c>
      <c r="O5545" s="2">
        <f>IF(OR(F5545="",G5545=""),"",IF(G5545&lt;='RETRATO 2027'!$K$5,"CONCLUÍDA",IF(F5545&lt;='RETRATO 2027'!$K$5,"EM ANDAMENTO","A INICIAR")))</f>
        <v/>
      </c>
    </row>
    <row r="5546">
      <c r="M5546" s="2">
        <f>IF(C5546="","",IFERROR(INDEX($S$5:$S$304,MATCH(C5546,$R$5:$R$304,0))&amp;"","?"))</f>
        <v/>
      </c>
      <c r="N5546" s="2">
        <f>IF(E5546="","",IF(ISNUMBER(SEARCH("SUBSOLO",E5546)),IFERROR(-VALUE(LEFT(E5546,FIND("º",SUBSTITUTE(E5546,"°","º"))-1)),-1),IF(LEFT(E5546,6)="TÉRREO",0,IFERROR(VALUE(LEFT(E5546,FIND("º",SUBSTITUTE(E5546,"°","º"))-1)),""))))</f>
        <v/>
      </c>
      <c r="O5546" s="2">
        <f>IF(OR(F5546="",G5546=""),"",IF(G5546&lt;='RETRATO 2027'!$K$5,"CONCLUÍDA",IF(F5546&lt;='RETRATO 2027'!$K$5,"EM ANDAMENTO","A INICIAR")))</f>
        <v/>
      </c>
    </row>
    <row r="5547">
      <c r="M5547" s="2">
        <f>IF(C5547="","",IFERROR(INDEX($S$5:$S$304,MATCH(C5547,$R$5:$R$304,0))&amp;"","?"))</f>
        <v/>
      </c>
      <c r="N5547" s="2">
        <f>IF(E5547="","",IF(ISNUMBER(SEARCH("SUBSOLO",E5547)),IFERROR(-VALUE(LEFT(E5547,FIND("º",SUBSTITUTE(E5547,"°","º"))-1)),-1),IF(LEFT(E5547,6)="TÉRREO",0,IFERROR(VALUE(LEFT(E5547,FIND("º",SUBSTITUTE(E5547,"°","º"))-1)),""))))</f>
        <v/>
      </c>
      <c r="O5547" s="2">
        <f>IF(OR(F5547="",G5547=""),"",IF(G5547&lt;='RETRATO 2027'!$K$5,"CONCLUÍDA",IF(F5547&lt;='RETRATO 2027'!$K$5,"EM ANDAMENTO","A INICIAR")))</f>
        <v/>
      </c>
    </row>
    <row r="5548">
      <c r="M5548" s="2">
        <f>IF(C5548="","",IFERROR(INDEX($S$5:$S$304,MATCH(C5548,$R$5:$R$304,0))&amp;"","?"))</f>
        <v/>
      </c>
      <c r="N5548" s="2">
        <f>IF(E5548="","",IF(ISNUMBER(SEARCH("SUBSOLO",E5548)),IFERROR(-VALUE(LEFT(E5548,FIND("º",SUBSTITUTE(E5548,"°","º"))-1)),-1),IF(LEFT(E5548,6)="TÉRREO",0,IFERROR(VALUE(LEFT(E5548,FIND("º",SUBSTITUTE(E5548,"°","º"))-1)),""))))</f>
        <v/>
      </c>
      <c r="O5548" s="2">
        <f>IF(OR(F5548="",G5548=""),"",IF(G5548&lt;='RETRATO 2027'!$K$5,"CONCLUÍDA",IF(F5548&lt;='RETRATO 2027'!$K$5,"EM ANDAMENTO","A INICIAR")))</f>
        <v/>
      </c>
    </row>
    <row r="5549">
      <c r="M5549" s="2">
        <f>IF(C5549="","",IFERROR(INDEX($S$5:$S$304,MATCH(C5549,$R$5:$R$304,0))&amp;"","?"))</f>
        <v/>
      </c>
      <c r="N5549" s="2">
        <f>IF(E5549="","",IF(ISNUMBER(SEARCH("SUBSOLO",E5549)),IFERROR(-VALUE(LEFT(E5549,FIND("º",SUBSTITUTE(E5549,"°","º"))-1)),-1),IF(LEFT(E5549,6)="TÉRREO",0,IFERROR(VALUE(LEFT(E5549,FIND("º",SUBSTITUTE(E5549,"°","º"))-1)),""))))</f>
        <v/>
      </c>
      <c r="O5549" s="2">
        <f>IF(OR(F5549="",G5549=""),"",IF(G5549&lt;='RETRATO 2027'!$K$5,"CONCLUÍDA",IF(F5549&lt;='RETRATO 2027'!$K$5,"EM ANDAMENTO","A INICIAR")))</f>
        <v/>
      </c>
    </row>
    <row r="5550">
      <c r="M5550" s="2">
        <f>IF(C5550="","",IFERROR(INDEX($S$5:$S$304,MATCH(C5550,$R$5:$R$304,0))&amp;"","?"))</f>
        <v/>
      </c>
      <c r="N5550" s="2">
        <f>IF(E5550="","",IF(ISNUMBER(SEARCH("SUBSOLO",E5550)),IFERROR(-VALUE(LEFT(E5550,FIND("º",SUBSTITUTE(E5550,"°","º"))-1)),-1),IF(LEFT(E5550,6)="TÉRREO",0,IFERROR(VALUE(LEFT(E5550,FIND("º",SUBSTITUTE(E5550,"°","º"))-1)),""))))</f>
        <v/>
      </c>
      <c r="O5550" s="2">
        <f>IF(OR(F5550="",G5550=""),"",IF(G5550&lt;='RETRATO 2027'!$K$5,"CONCLUÍDA",IF(F5550&lt;='RETRATO 2027'!$K$5,"EM ANDAMENTO","A INICIAR")))</f>
        <v/>
      </c>
    </row>
    <row r="5551">
      <c r="M5551" s="2">
        <f>IF(C5551="","",IFERROR(INDEX($S$5:$S$304,MATCH(C5551,$R$5:$R$304,0))&amp;"","?"))</f>
        <v/>
      </c>
      <c r="N5551" s="2">
        <f>IF(E5551="","",IF(ISNUMBER(SEARCH("SUBSOLO",E5551)),IFERROR(-VALUE(LEFT(E5551,FIND("º",SUBSTITUTE(E5551,"°","º"))-1)),-1),IF(LEFT(E5551,6)="TÉRREO",0,IFERROR(VALUE(LEFT(E5551,FIND("º",SUBSTITUTE(E5551,"°","º"))-1)),""))))</f>
        <v/>
      </c>
      <c r="O5551" s="2">
        <f>IF(OR(F5551="",G5551=""),"",IF(G5551&lt;='RETRATO 2027'!$K$5,"CONCLUÍDA",IF(F5551&lt;='RETRATO 2027'!$K$5,"EM ANDAMENTO","A INICIAR")))</f>
        <v/>
      </c>
    </row>
    <row r="5552">
      <c r="M5552" s="2">
        <f>IF(C5552="","",IFERROR(INDEX($S$5:$S$304,MATCH(C5552,$R$5:$R$304,0))&amp;"","?"))</f>
        <v/>
      </c>
      <c r="N5552" s="2">
        <f>IF(E5552="","",IF(ISNUMBER(SEARCH("SUBSOLO",E5552)),IFERROR(-VALUE(LEFT(E5552,FIND("º",SUBSTITUTE(E5552,"°","º"))-1)),-1),IF(LEFT(E5552,6)="TÉRREO",0,IFERROR(VALUE(LEFT(E5552,FIND("º",SUBSTITUTE(E5552,"°","º"))-1)),""))))</f>
        <v/>
      </c>
      <c r="O5552" s="2">
        <f>IF(OR(F5552="",G5552=""),"",IF(G5552&lt;='RETRATO 2027'!$K$5,"CONCLUÍDA",IF(F5552&lt;='RETRATO 2027'!$K$5,"EM ANDAMENTO","A INICIAR")))</f>
        <v/>
      </c>
    </row>
    <row r="5553">
      <c r="M5553" s="2">
        <f>IF(C5553="","",IFERROR(INDEX($S$5:$S$304,MATCH(C5553,$R$5:$R$304,0))&amp;"","?"))</f>
        <v/>
      </c>
      <c r="N5553" s="2">
        <f>IF(E5553="","",IF(ISNUMBER(SEARCH("SUBSOLO",E5553)),IFERROR(-VALUE(LEFT(E5553,FIND("º",SUBSTITUTE(E5553,"°","º"))-1)),-1),IF(LEFT(E5553,6)="TÉRREO",0,IFERROR(VALUE(LEFT(E5553,FIND("º",SUBSTITUTE(E5553,"°","º"))-1)),""))))</f>
        <v/>
      </c>
      <c r="O5553" s="2">
        <f>IF(OR(F5553="",G5553=""),"",IF(G5553&lt;='RETRATO 2027'!$K$5,"CONCLUÍDA",IF(F5553&lt;='RETRATO 2027'!$K$5,"EM ANDAMENTO","A INICIAR")))</f>
        <v/>
      </c>
    </row>
    <row r="5554">
      <c r="M5554" s="2">
        <f>IF(C5554="","",IFERROR(INDEX($S$5:$S$304,MATCH(C5554,$R$5:$R$304,0))&amp;"","?"))</f>
        <v/>
      </c>
      <c r="N5554" s="2">
        <f>IF(E5554="","",IF(ISNUMBER(SEARCH("SUBSOLO",E5554)),IFERROR(-VALUE(LEFT(E5554,FIND("º",SUBSTITUTE(E5554,"°","º"))-1)),-1),IF(LEFT(E5554,6)="TÉRREO",0,IFERROR(VALUE(LEFT(E5554,FIND("º",SUBSTITUTE(E5554,"°","º"))-1)),""))))</f>
        <v/>
      </c>
      <c r="O5554" s="2">
        <f>IF(OR(F5554="",G5554=""),"",IF(G5554&lt;='RETRATO 2027'!$K$5,"CONCLUÍDA",IF(F5554&lt;='RETRATO 2027'!$K$5,"EM ANDAMENTO","A INICIAR")))</f>
        <v/>
      </c>
    </row>
    <row r="5555">
      <c r="M5555" s="2">
        <f>IF(C5555="","",IFERROR(INDEX($S$5:$S$304,MATCH(C5555,$R$5:$R$304,0))&amp;"","?"))</f>
        <v/>
      </c>
      <c r="N5555" s="2">
        <f>IF(E5555="","",IF(ISNUMBER(SEARCH("SUBSOLO",E5555)),IFERROR(-VALUE(LEFT(E5555,FIND("º",SUBSTITUTE(E5555,"°","º"))-1)),-1),IF(LEFT(E5555,6)="TÉRREO",0,IFERROR(VALUE(LEFT(E5555,FIND("º",SUBSTITUTE(E5555,"°","º"))-1)),""))))</f>
        <v/>
      </c>
      <c r="O5555" s="2">
        <f>IF(OR(F5555="",G5555=""),"",IF(G5555&lt;='RETRATO 2027'!$K$5,"CONCLUÍDA",IF(F5555&lt;='RETRATO 2027'!$K$5,"EM ANDAMENTO","A INICIAR")))</f>
        <v/>
      </c>
    </row>
    <row r="5556">
      <c r="M5556" s="2">
        <f>IF(C5556="","",IFERROR(INDEX($S$5:$S$304,MATCH(C5556,$R$5:$R$304,0))&amp;"","?"))</f>
        <v/>
      </c>
      <c r="N5556" s="2">
        <f>IF(E5556="","",IF(ISNUMBER(SEARCH("SUBSOLO",E5556)),IFERROR(-VALUE(LEFT(E5556,FIND("º",SUBSTITUTE(E5556,"°","º"))-1)),-1),IF(LEFT(E5556,6)="TÉRREO",0,IFERROR(VALUE(LEFT(E5556,FIND("º",SUBSTITUTE(E5556,"°","º"))-1)),""))))</f>
        <v/>
      </c>
      <c r="O5556" s="2">
        <f>IF(OR(F5556="",G5556=""),"",IF(G5556&lt;='RETRATO 2027'!$K$5,"CONCLUÍDA",IF(F5556&lt;='RETRATO 2027'!$K$5,"EM ANDAMENTO","A INICIAR")))</f>
        <v/>
      </c>
    </row>
    <row r="5557">
      <c r="M5557" s="2">
        <f>IF(C5557="","",IFERROR(INDEX($S$5:$S$304,MATCH(C5557,$R$5:$R$304,0))&amp;"","?"))</f>
        <v/>
      </c>
      <c r="N5557" s="2">
        <f>IF(E5557="","",IF(ISNUMBER(SEARCH("SUBSOLO",E5557)),IFERROR(-VALUE(LEFT(E5557,FIND("º",SUBSTITUTE(E5557,"°","º"))-1)),-1),IF(LEFT(E5557,6)="TÉRREO",0,IFERROR(VALUE(LEFT(E5557,FIND("º",SUBSTITUTE(E5557,"°","º"))-1)),""))))</f>
        <v/>
      </c>
      <c r="O5557" s="2">
        <f>IF(OR(F5557="",G5557=""),"",IF(G5557&lt;='RETRATO 2027'!$K$5,"CONCLUÍDA",IF(F5557&lt;='RETRATO 2027'!$K$5,"EM ANDAMENTO","A INICIAR")))</f>
        <v/>
      </c>
    </row>
    <row r="5558">
      <c r="M5558" s="2">
        <f>IF(C5558="","",IFERROR(INDEX($S$5:$S$304,MATCH(C5558,$R$5:$R$304,0))&amp;"","?"))</f>
        <v/>
      </c>
      <c r="N5558" s="2">
        <f>IF(E5558="","",IF(ISNUMBER(SEARCH("SUBSOLO",E5558)),IFERROR(-VALUE(LEFT(E5558,FIND("º",SUBSTITUTE(E5558,"°","º"))-1)),-1),IF(LEFT(E5558,6)="TÉRREO",0,IFERROR(VALUE(LEFT(E5558,FIND("º",SUBSTITUTE(E5558,"°","º"))-1)),""))))</f>
        <v/>
      </c>
      <c r="O5558" s="2">
        <f>IF(OR(F5558="",G5558=""),"",IF(G5558&lt;='RETRATO 2027'!$K$5,"CONCLUÍDA",IF(F5558&lt;='RETRATO 2027'!$K$5,"EM ANDAMENTO","A INICIAR")))</f>
        <v/>
      </c>
    </row>
    <row r="5559">
      <c r="M5559" s="2">
        <f>IF(C5559="","",IFERROR(INDEX($S$5:$S$304,MATCH(C5559,$R$5:$R$304,0))&amp;"","?"))</f>
        <v/>
      </c>
      <c r="N5559" s="2">
        <f>IF(E5559="","",IF(ISNUMBER(SEARCH("SUBSOLO",E5559)),IFERROR(-VALUE(LEFT(E5559,FIND("º",SUBSTITUTE(E5559,"°","º"))-1)),-1),IF(LEFT(E5559,6)="TÉRREO",0,IFERROR(VALUE(LEFT(E5559,FIND("º",SUBSTITUTE(E5559,"°","º"))-1)),""))))</f>
        <v/>
      </c>
      <c r="O5559" s="2">
        <f>IF(OR(F5559="",G5559=""),"",IF(G5559&lt;='RETRATO 2027'!$K$5,"CONCLUÍDA",IF(F5559&lt;='RETRATO 2027'!$K$5,"EM ANDAMENTO","A INICIAR")))</f>
        <v/>
      </c>
    </row>
    <row r="5560">
      <c r="M5560" s="2">
        <f>IF(C5560="","",IFERROR(INDEX($S$5:$S$304,MATCH(C5560,$R$5:$R$304,0))&amp;"","?"))</f>
        <v/>
      </c>
      <c r="N5560" s="2">
        <f>IF(E5560="","",IF(ISNUMBER(SEARCH("SUBSOLO",E5560)),IFERROR(-VALUE(LEFT(E5560,FIND("º",SUBSTITUTE(E5560,"°","º"))-1)),-1),IF(LEFT(E5560,6)="TÉRREO",0,IFERROR(VALUE(LEFT(E5560,FIND("º",SUBSTITUTE(E5560,"°","º"))-1)),""))))</f>
        <v/>
      </c>
      <c r="O5560" s="2">
        <f>IF(OR(F5560="",G5560=""),"",IF(G5560&lt;='RETRATO 2027'!$K$5,"CONCLUÍDA",IF(F5560&lt;='RETRATO 2027'!$K$5,"EM ANDAMENTO","A INICIAR")))</f>
        <v/>
      </c>
    </row>
    <row r="5561">
      <c r="M5561" s="2">
        <f>IF(C5561="","",IFERROR(INDEX($S$5:$S$304,MATCH(C5561,$R$5:$R$304,0))&amp;"","?"))</f>
        <v/>
      </c>
      <c r="N5561" s="2">
        <f>IF(E5561="","",IF(ISNUMBER(SEARCH("SUBSOLO",E5561)),IFERROR(-VALUE(LEFT(E5561,FIND("º",SUBSTITUTE(E5561,"°","º"))-1)),-1),IF(LEFT(E5561,6)="TÉRREO",0,IFERROR(VALUE(LEFT(E5561,FIND("º",SUBSTITUTE(E5561,"°","º"))-1)),""))))</f>
        <v/>
      </c>
      <c r="O5561" s="2">
        <f>IF(OR(F5561="",G5561=""),"",IF(G5561&lt;='RETRATO 2027'!$K$5,"CONCLUÍDA",IF(F5561&lt;='RETRATO 2027'!$K$5,"EM ANDAMENTO","A INICIAR")))</f>
        <v/>
      </c>
    </row>
    <row r="5562">
      <c r="M5562" s="2">
        <f>IF(C5562="","",IFERROR(INDEX($S$5:$S$304,MATCH(C5562,$R$5:$R$304,0))&amp;"","?"))</f>
        <v/>
      </c>
      <c r="N5562" s="2">
        <f>IF(E5562="","",IF(ISNUMBER(SEARCH("SUBSOLO",E5562)),IFERROR(-VALUE(LEFT(E5562,FIND("º",SUBSTITUTE(E5562,"°","º"))-1)),-1),IF(LEFT(E5562,6)="TÉRREO",0,IFERROR(VALUE(LEFT(E5562,FIND("º",SUBSTITUTE(E5562,"°","º"))-1)),""))))</f>
        <v/>
      </c>
      <c r="O5562" s="2">
        <f>IF(OR(F5562="",G5562=""),"",IF(G5562&lt;='RETRATO 2027'!$K$5,"CONCLUÍDA",IF(F5562&lt;='RETRATO 2027'!$K$5,"EM ANDAMENTO","A INICIAR")))</f>
        <v/>
      </c>
    </row>
    <row r="5563">
      <c r="M5563" s="2">
        <f>IF(C5563="","",IFERROR(INDEX($S$5:$S$304,MATCH(C5563,$R$5:$R$304,0))&amp;"","?"))</f>
        <v/>
      </c>
      <c r="N5563" s="2">
        <f>IF(E5563="","",IF(ISNUMBER(SEARCH("SUBSOLO",E5563)),IFERROR(-VALUE(LEFT(E5563,FIND("º",SUBSTITUTE(E5563,"°","º"))-1)),-1),IF(LEFT(E5563,6)="TÉRREO",0,IFERROR(VALUE(LEFT(E5563,FIND("º",SUBSTITUTE(E5563,"°","º"))-1)),""))))</f>
        <v/>
      </c>
      <c r="O5563" s="2">
        <f>IF(OR(F5563="",G5563=""),"",IF(G5563&lt;='RETRATO 2027'!$K$5,"CONCLUÍDA",IF(F5563&lt;='RETRATO 2027'!$K$5,"EM ANDAMENTO","A INICIAR")))</f>
        <v/>
      </c>
    </row>
    <row r="5564">
      <c r="M5564" s="2">
        <f>IF(C5564="","",IFERROR(INDEX($S$5:$S$304,MATCH(C5564,$R$5:$R$304,0))&amp;"","?"))</f>
        <v/>
      </c>
      <c r="N5564" s="2">
        <f>IF(E5564="","",IF(ISNUMBER(SEARCH("SUBSOLO",E5564)),IFERROR(-VALUE(LEFT(E5564,FIND("º",SUBSTITUTE(E5564,"°","º"))-1)),-1),IF(LEFT(E5564,6)="TÉRREO",0,IFERROR(VALUE(LEFT(E5564,FIND("º",SUBSTITUTE(E5564,"°","º"))-1)),""))))</f>
        <v/>
      </c>
      <c r="O5564" s="2">
        <f>IF(OR(F5564="",G5564=""),"",IF(G5564&lt;='RETRATO 2027'!$K$5,"CONCLUÍDA",IF(F5564&lt;='RETRATO 2027'!$K$5,"EM ANDAMENTO","A INICIAR")))</f>
        <v/>
      </c>
    </row>
    <row r="5565">
      <c r="M5565" s="2">
        <f>IF(C5565="","",IFERROR(INDEX($S$5:$S$304,MATCH(C5565,$R$5:$R$304,0))&amp;"","?"))</f>
        <v/>
      </c>
      <c r="N5565" s="2">
        <f>IF(E5565="","",IF(ISNUMBER(SEARCH("SUBSOLO",E5565)),IFERROR(-VALUE(LEFT(E5565,FIND("º",SUBSTITUTE(E5565,"°","º"))-1)),-1),IF(LEFT(E5565,6)="TÉRREO",0,IFERROR(VALUE(LEFT(E5565,FIND("º",SUBSTITUTE(E5565,"°","º"))-1)),""))))</f>
        <v/>
      </c>
      <c r="O5565" s="2">
        <f>IF(OR(F5565="",G5565=""),"",IF(G5565&lt;='RETRATO 2027'!$K$5,"CONCLUÍDA",IF(F5565&lt;='RETRATO 2027'!$K$5,"EM ANDAMENTO","A INICIAR")))</f>
        <v/>
      </c>
    </row>
    <row r="5566">
      <c r="M5566" s="2">
        <f>IF(C5566="","",IFERROR(INDEX($S$5:$S$304,MATCH(C5566,$R$5:$R$304,0))&amp;"","?"))</f>
        <v/>
      </c>
      <c r="N5566" s="2">
        <f>IF(E5566="","",IF(ISNUMBER(SEARCH("SUBSOLO",E5566)),IFERROR(-VALUE(LEFT(E5566,FIND("º",SUBSTITUTE(E5566,"°","º"))-1)),-1),IF(LEFT(E5566,6)="TÉRREO",0,IFERROR(VALUE(LEFT(E5566,FIND("º",SUBSTITUTE(E5566,"°","º"))-1)),""))))</f>
        <v/>
      </c>
      <c r="O5566" s="2">
        <f>IF(OR(F5566="",G5566=""),"",IF(G5566&lt;='RETRATO 2027'!$K$5,"CONCLUÍDA",IF(F5566&lt;='RETRATO 2027'!$K$5,"EM ANDAMENTO","A INICIAR")))</f>
        <v/>
      </c>
    </row>
    <row r="5567">
      <c r="M5567" s="2">
        <f>IF(C5567="","",IFERROR(INDEX($S$5:$S$304,MATCH(C5567,$R$5:$R$304,0))&amp;"","?"))</f>
        <v/>
      </c>
      <c r="N5567" s="2">
        <f>IF(E5567="","",IF(ISNUMBER(SEARCH("SUBSOLO",E5567)),IFERROR(-VALUE(LEFT(E5567,FIND("º",SUBSTITUTE(E5567,"°","º"))-1)),-1),IF(LEFT(E5567,6)="TÉRREO",0,IFERROR(VALUE(LEFT(E5567,FIND("º",SUBSTITUTE(E5567,"°","º"))-1)),""))))</f>
        <v/>
      </c>
      <c r="O5567" s="2">
        <f>IF(OR(F5567="",G5567=""),"",IF(G5567&lt;='RETRATO 2027'!$K$5,"CONCLUÍDA",IF(F5567&lt;='RETRATO 2027'!$K$5,"EM ANDAMENTO","A INICIAR")))</f>
        <v/>
      </c>
    </row>
    <row r="5568">
      <c r="M5568" s="2">
        <f>IF(C5568="","",IFERROR(INDEX($S$5:$S$304,MATCH(C5568,$R$5:$R$304,0))&amp;"","?"))</f>
        <v/>
      </c>
      <c r="N5568" s="2">
        <f>IF(E5568="","",IF(ISNUMBER(SEARCH("SUBSOLO",E5568)),IFERROR(-VALUE(LEFT(E5568,FIND("º",SUBSTITUTE(E5568,"°","º"))-1)),-1),IF(LEFT(E5568,6)="TÉRREO",0,IFERROR(VALUE(LEFT(E5568,FIND("º",SUBSTITUTE(E5568,"°","º"))-1)),""))))</f>
        <v/>
      </c>
      <c r="O5568" s="2">
        <f>IF(OR(F5568="",G5568=""),"",IF(G5568&lt;='RETRATO 2027'!$K$5,"CONCLUÍDA",IF(F5568&lt;='RETRATO 2027'!$K$5,"EM ANDAMENTO","A INICIAR")))</f>
        <v/>
      </c>
    </row>
    <row r="5569">
      <c r="M5569" s="2">
        <f>IF(C5569="","",IFERROR(INDEX($S$5:$S$304,MATCH(C5569,$R$5:$R$304,0))&amp;"","?"))</f>
        <v/>
      </c>
      <c r="N5569" s="2">
        <f>IF(E5569="","",IF(ISNUMBER(SEARCH("SUBSOLO",E5569)),IFERROR(-VALUE(LEFT(E5569,FIND("º",SUBSTITUTE(E5569,"°","º"))-1)),-1),IF(LEFT(E5569,6)="TÉRREO",0,IFERROR(VALUE(LEFT(E5569,FIND("º",SUBSTITUTE(E5569,"°","º"))-1)),""))))</f>
        <v/>
      </c>
      <c r="O5569" s="2">
        <f>IF(OR(F5569="",G5569=""),"",IF(G5569&lt;='RETRATO 2027'!$K$5,"CONCLUÍDA",IF(F5569&lt;='RETRATO 2027'!$K$5,"EM ANDAMENTO","A INICIAR")))</f>
        <v/>
      </c>
    </row>
    <row r="5570">
      <c r="M5570" s="2">
        <f>IF(C5570="","",IFERROR(INDEX($S$5:$S$304,MATCH(C5570,$R$5:$R$304,0))&amp;"","?"))</f>
        <v/>
      </c>
      <c r="N5570" s="2">
        <f>IF(E5570="","",IF(ISNUMBER(SEARCH("SUBSOLO",E5570)),IFERROR(-VALUE(LEFT(E5570,FIND("º",SUBSTITUTE(E5570,"°","º"))-1)),-1),IF(LEFT(E5570,6)="TÉRREO",0,IFERROR(VALUE(LEFT(E5570,FIND("º",SUBSTITUTE(E5570,"°","º"))-1)),""))))</f>
        <v/>
      </c>
      <c r="O5570" s="2">
        <f>IF(OR(F5570="",G5570=""),"",IF(G5570&lt;='RETRATO 2027'!$K$5,"CONCLUÍDA",IF(F5570&lt;='RETRATO 2027'!$K$5,"EM ANDAMENTO","A INICIAR")))</f>
        <v/>
      </c>
    </row>
    <row r="5571">
      <c r="M5571" s="2">
        <f>IF(C5571="","",IFERROR(INDEX($S$5:$S$304,MATCH(C5571,$R$5:$R$304,0))&amp;"","?"))</f>
        <v/>
      </c>
      <c r="N5571" s="2">
        <f>IF(E5571="","",IF(ISNUMBER(SEARCH("SUBSOLO",E5571)),IFERROR(-VALUE(LEFT(E5571,FIND("º",SUBSTITUTE(E5571,"°","º"))-1)),-1),IF(LEFT(E5571,6)="TÉRREO",0,IFERROR(VALUE(LEFT(E5571,FIND("º",SUBSTITUTE(E5571,"°","º"))-1)),""))))</f>
        <v/>
      </c>
      <c r="O5571" s="2">
        <f>IF(OR(F5571="",G5571=""),"",IF(G5571&lt;='RETRATO 2027'!$K$5,"CONCLUÍDA",IF(F5571&lt;='RETRATO 2027'!$K$5,"EM ANDAMENTO","A INICIAR")))</f>
        <v/>
      </c>
    </row>
    <row r="5572">
      <c r="M5572" s="2">
        <f>IF(C5572="","",IFERROR(INDEX($S$5:$S$304,MATCH(C5572,$R$5:$R$304,0))&amp;"","?"))</f>
        <v/>
      </c>
      <c r="N5572" s="2">
        <f>IF(E5572="","",IF(ISNUMBER(SEARCH("SUBSOLO",E5572)),IFERROR(-VALUE(LEFT(E5572,FIND("º",SUBSTITUTE(E5572,"°","º"))-1)),-1),IF(LEFT(E5572,6)="TÉRREO",0,IFERROR(VALUE(LEFT(E5572,FIND("º",SUBSTITUTE(E5572,"°","º"))-1)),""))))</f>
        <v/>
      </c>
      <c r="O5572" s="2">
        <f>IF(OR(F5572="",G5572=""),"",IF(G5572&lt;='RETRATO 2027'!$K$5,"CONCLUÍDA",IF(F5572&lt;='RETRATO 2027'!$K$5,"EM ANDAMENTO","A INICIAR")))</f>
        <v/>
      </c>
    </row>
    <row r="5573">
      <c r="M5573" s="2">
        <f>IF(C5573="","",IFERROR(INDEX($S$5:$S$304,MATCH(C5573,$R$5:$R$304,0))&amp;"","?"))</f>
        <v/>
      </c>
      <c r="N5573" s="2">
        <f>IF(E5573="","",IF(ISNUMBER(SEARCH("SUBSOLO",E5573)),IFERROR(-VALUE(LEFT(E5573,FIND("º",SUBSTITUTE(E5573,"°","º"))-1)),-1),IF(LEFT(E5573,6)="TÉRREO",0,IFERROR(VALUE(LEFT(E5573,FIND("º",SUBSTITUTE(E5573,"°","º"))-1)),""))))</f>
        <v/>
      </c>
      <c r="O5573" s="2">
        <f>IF(OR(F5573="",G5573=""),"",IF(G5573&lt;='RETRATO 2027'!$K$5,"CONCLUÍDA",IF(F5573&lt;='RETRATO 2027'!$K$5,"EM ANDAMENTO","A INICIAR")))</f>
        <v/>
      </c>
    </row>
    <row r="5574">
      <c r="M5574" s="2">
        <f>IF(C5574="","",IFERROR(INDEX($S$5:$S$304,MATCH(C5574,$R$5:$R$304,0))&amp;"","?"))</f>
        <v/>
      </c>
      <c r="N5574" s="2">
        <f>IF(E5574="","",IF(ISNUMBER(SEARCH("SUBSOLO",E5574)),IFERROR(-VALUE(LEFT(E5574,FIND("º",SUBSTITUTE(E5574,"°","º"))-1)),-1),IF(LEFT(E5574,6)="TÉRREO",0,IFERROR(VALUE(LEFT(E5574,FIND("º",SUBSTITUTE(E5574,"°","º"))-1)),""))))</f>
        <v/>
      </c>
      <c r="O5574" s="2">
        <f>IF(OR(F5574="",G5574=""),"",IF(G5574&lt;='RETRATO 2027'!$K$5,"CONCLUÍDA",IF(F5574&lt;='RETRATO 2027'!$K$5,"EM ANDAMENTO","A INICIAR")))</f>
        <v/>
      </c>
    </row>
    <row r="5575">
      <c r="M5575" s="2">
        <f>IF(C5575="","",IFERROR(INDEX($S$5:$S$304,MATCH(C5575,$R$5:$R$304,0))&amp;"","?"))</f>
        <v/>
      </c>
      <c r="N5575" s="2">
        <f>IF(E5575="","",IF(ISNUMBER(SEARCH("SUBSOLO",E5575)),IFERROR(-VALUE(LEFT(E5575,FIND("º",SUBSTITUTE(E5575,"°","º"))-1)),-1),IF(LEFT(E5575,6)="TÉRREO",0,IFERROR(VALUE(LEFT(E5575,FIND("º",SUBSTITUTE(E5575,"°","º"))-1)),""))))</f>
        <v/>
      </c>
      <c r="O5575" s="2">
        <f>IF(OR(F5575="",G5575=""),"",IF(G5575&lt;='RETRATO 2027'!$K$5,"CONCLUÍDA",IF(F5575&lt;='RETRATO 2027'!$K$5,"EM ANDAMENTO","A INICIAR")))</f>
        <v/>
      </c>
    </row>
    <row r="5576">
      <c r="M5576" s="2">
        <f>IF(C5576="","",IFERROR(INDEX($S$5:$S$304,MATCH(C5576,$R$5:$R$304,0))&amp;"","?"))</f>
        <v/>
      </c>
      <c r="N5576" s="2">
        <f>IF(E5576="","",IF(ISNUMBER(SEARCH("SUBSOLO",E5576)),IFERROR(-VALUE(LEFT(E5576,FIND("º",SUBSTITUTE(E5576,"°","º"))-1)),-1),IF(LEFT(E5576,6)="TÉRREO",0,IFERROR(VALUE(LEFT(E5576,FIND("º",SUBSTITUTE(E5576,"°","º"))-1)),""))))</f>
        <v/>
      </c>
      <c r="O5576" s="2">
        <f>IF(OR(F5576="",G5576=""),"",IF(G5576&lt;='RETRATO 2027'!$K$5,"CONCLUÍDA",IF(F5576&lt;='RETRATO 2027'!$K$5,"EM ANDAMENTO","A INICIAR")))</f>
        <v/>
      </c>
    </row>
    <row r="5577">
      <c r="M5577" s="2">
        <f>IF(C5577="","",IFERROR(INDEX($S$5:$S$304,MATCH(C5577,$R$5:$R$304,0))&amp;"","?"))</f>
        <v/>
      </c>
      <c r="N5577" s="2">
        <f>IF(E5577="","",IF(ISNUMBER(SEARCH("SUBSOLO",E5577)),IFERROR(-VALUE(LEFT(E5577,FIND("º",SUBSTITUTE(E5577,"°","º"))-1)),-1),IF(LEFT(E5577,6)="TÉRREO",0,IFERROR(VALUE(LEFT(E5577,FIND("º",SUBSTITUTE(E5577,"°","º"))-1)),""))))</f>
        <v/>
      </c>
      <c r="O5577" s="2">
        <f>IF(OR(F5577="",G5577=""),"",IF(G5577&lt;='RETRATO 2027'!$K$5,"CONCLUÍDA",IF(F5577&lt;='RETRATO 2027'!$K$5,"EM ANDAMENTO","A INICIAR")))</f>
        <v/>
      </c>
    </row>
    <row r="5578">
      <c r="M5578" s="2">
        <f>IF(C5578="","",IFERROR(INDEX($S$5:$S$304,MATCH(C5578,$R$5:$R$304,0))&amp;"","?"))</f>
        <v/>
      </c>
      <c r="N5578" s="2">
        <f>IF(E5578="","",IF(ISNUMBER(SEARCH("SUBSOLO",E5578)),IFERROR(-VALUE(LEFT(E5578,FIND("º",SUBSTITUTE(E5578,"°","º"))-1)),-1),IF(LEFT(E5578,6)="TÉRREO",0,IFERROR(VALUE(LEFT(E5578,FIND("º",SUBSTITUTE(E5578,"°","º"))-1)),""))))</f>
        <v/>
      </c>
      <c r="O5578" s="2">
        <f>IF(OR(F5578="",G5578=""),"",IF(G5578&lt;='RETRATO 2027'!$K$5,"CONCLUÍDA",IF(F5578&lt;='RETRATO 2027'!$K$5,"EM ANDAMENTO","A INICIAR")))</f>
        <v/>
      </c>
    </row>
    <row r="5579">
      <c r="M5579" s="2">
        <f>IF(C5579="","",IFERROR(INDEX($S$5:$S$304,MATCH(C5579,$R$5:$R$304,0))&amp;"","?"))</f>
        <v/>
      </c>
      <c r="N5579" s="2">
        <f>IF(E5579="","",IF(ISNUMBER(SEARCH("SUBSOLO",E5579)),IFERROR(-VALUE(LEFT(E5579,FIND("º",SUBSTITUTE(E5579,"°","º"))-1)),-1),IF(LEFT(E5579,6)="TÉRREO",0,IFERROR(VALUE(LEFT(E5579,FIND("º",SUBSTITUTE(E5579,"°","º"))-1)),""))))</f>
        <v/>
      </c>
      <c r="O5579" s="2">
        <f>IF(OR(F5579="",G5579=""),"",IF(G5579&lt;='RETRATO 2027'!$K$5,"CONCLUÍDA",IF(F5579&lt;='RETRATO 2027'!$K$5,"EM ANDAMENTO","A INICIAR")))</f>
        <v/>
      </c>
    </row>
    <row r="5580">
      <c r="M5580" s="2">
        <f>IF(C5580="","",IFERROR(INDEX($S$5:$S$304,MATCH(C5580,$R$5:$R$304,0))&amp;"","?"))</f>
        <v/>
      </c>
      <c r="N5580" s="2">
        <f>IF(E5580="","",IF(ISNUMBER(SEARCH("SUBSOLO",E5580)),IFERROR(-VALUE(LEFT(E5580,FIND("º",SUBSTITUTE(E5580,"°","º"))-1)),-1),IF(LEFT(E5580,6)="TÉRREO",0,IFERROR(VALUE(LEFT(E5580,FIND("º",SUBSTITUTE(E5580,"°","º"))-1)),""))))</f>
        <v/>
      </c>
      <c r="O5580" s="2">
        <f>IF(OR(F5580="",G5580=""),"",IF(G5580&lt;='RETRATO 2027'!$K$5,"CONCLUÍDA",IF(F5580&lt;='RETRATO 2027'!$K$5,"EM ANDAMENTO","A INICIAR")))</f>
        <v/>
      </c>
    </row>
    <row r="5581">
      <c r="M5581" s="2">
        <f>IF(C5581="","",IFERROR(INDEX($S$5:$S$304,MATCH(C5581,$R$5:$R$304,0))&amp;"","?"))</f>
        <v/>
      </c>
      <c r="N5581" s="2">
        <f>IF(E5581="","",IF(ISNUMBER(SEARCH("SUBSOLO",E5581)),IFERROR(-VALUE(LEFT(E5581,FIND("º",SUBSTITUTE(E5581,"°","º"))-1)),-1),IF(LEFT(E5581,6)="TÉRREO",0,IFERROR(VALUE(LEFT(E5581,FIND("º",SUBSTITUTE(E5581,"°","º"))-1)),""))))</f>
        <v/>
      </c>
      <c r="O5581" s="2">
        <f>IF(OR(F5581="",G5581=""),"",IF(G5581&lt;='RETRATO 2027'!$K$5,"CONCLUÍDA",IF(F5581&lt;='RETRATO 2027'!$K$5,"EM ANDAMENTO","A INICIAR")))</f>
        <v/>
      </c>
    </row>
    <row r="5582">
      <c r="M5582" s="2">
        <f>IF(C5582="","",IFERROR(INDEX($S$5:$S$304,MATCH(C5582,$R$5:$R$304,0))&amp;"","?"))</f>
        <v/>
      </c>
      <c r="N5582" s="2">
        <f>IF(E5582="","",IF(ISNUMBER(SEARCH("SUBSOLO",E5582)),IFERROR(-VALUE(LEFT(E5582,FIND("º",SUBSTITUTE(E5582,"°","º"))-1)),-1),IF(LEFT(E5582,6)="TÉRREO",0,IFERROR(VALUE(LEFT(E5582,FIND("º",SUBSTITUTE(E5582,"°","º"))-1)),""))))</f>
        <v/>
      </c>
      <c r="O5582" s="2">
        <f>IF(OR(F5582="",G5582=""),"",IF(G5582&lt;='RETRATO 2027'!$K$5,"CONCLUÍDA",IF(F5582&lt;='RETRATO 2027'!$K$5,"EM ANDAMENTO","A INICIAR")))</f>
        <v/>
      </c>
    </row>
    <row r="5583">
      <c r="M5583" s="2">
        <f>IF(C5583="","",IFERROR(INDEX($S$5:$S$304,MATCH(C5583,$R$5:$R$304,0))&amp;"","?"))</f>
        <v/>
      </c>
      <c r="N5583" s="2">
        <f>IF(E5583="","",IF(ISNUMBER(SEARCH("SUBSOLO",E5583)),IFERROR(-VALUE(LEFT(E5583,FIND("º",SUBSTITUTE(E5583,"°","º"))-1)),-1),IF(LEFT(E5583,6)="TÉRREO",0,IFERROR(VALUE(LEFT(E5583,FIND("º",SUBSTITUTE(E5583,"°","º"))-1)),""))))</f>
        <v/>
      </c>
      <c r="O5583" s="2">
        <f>IF(OR(F5583="",G5583=""),"",IF(G5583&lt;='RETRATO 2027'!$K$5,"CONCLUÍDA",IF(F5583&lt;='RETRATO 2027'!$K$5,"EM ANDAMENTO","A INICIAR")))</f>
        <v/>
      </c>
    </row>
    <row r="5584">
      <c r="M5584" s="2">
        <f>IF(C5584="","",IFERROR(INDEX($S$5:$S$304,MATCH(C5584,$R$5:$R$304,0))&amp;"","?"))</f>
        <v/>
      </c>
      <c r="N5584" s="2">
        <f>IF(E5584="","",IF(ISNUMBER(SEARCH("SUBSOLO",E5584)),IFERROR(-VALUE(LEFT(E5584,FIND("º",SUBSTITUTE(E5584,"°","º"))-1)),-1),IF(LEFT(E5584,6)="TÉRREO",0,IFERROR(VALUE(LEFT(E5584,FIND("º",SUBSTITUTE(E5584,"°","º"))-1)),""))))</f>
        <v/>
      </c>
      <c r="O5584" s="2">
        <f>IF(OR(F5584="",G5584=""),"",IF(G5584&lt;='RETRATO 2027'!$K$5,"CONCLUÍDA",IF(F5584&lt;='RETRATO 2027'!$K$5,"EM ANDAMENTO","A INICIAR")))</f>
        <v/>
      </c>
    </row>
    <row r="5585">
      <c r="M5585" s="2">
        <f>IF(C5585="","",IFERROR(INDEX($S$5:$S$304,MATCH(C5585,$R$5:$R$304,0))&amp;"","?"))</f>
        <v/>
      </c>
      <c r="N5585" s="2">
        <f>IF(E5585="","",IF(ISNUMBER(SEARCH("SUBSOLO",E5585)),IFERROR(-VALUE(LEFT(E5585,FIND("º",SUBSTITUTE(E5585,"°","º"))-1)),-1),IF(LEFT(E5585,6)="TÉRREO",0,IFERROR(VALUE(LEFT(E5585,FIND("º",SUBSTITUTE(E5585,"°","º"))-1)),""))))</f>
        <v/>
      </c>
      <c r="O5585" s="2">
        <f>IF(OR(F5585="",G5585=""),"",IF(G5585&lt;='RETRATO 2027'!$K$5,"CONCLUÍDA",IF(F5585&lt;='RETRATO 2027'!$K$5,"EM ANDAMENTO","A INICIAR")))</f>
        <v/>
      </c>
    </row>
    <row r="5586">
      <c r="M5586" s="2">
        <f>IF(C5586="","",IFERROR(INDEX($S$5:$S$304,MATCH(C5586,$R$5:$R$304,0))&amp;"","?"))</f>
        <v/>
      </c>
      <c r="N5586" s="2">
        <f>IF(E5586="","",IF(ISNUMBER(SEARCH("SUBSOLO",E5586)),IFERROR(-VALUE(LEFT(E5586,FIND("º",SUBSTITUTE(E5586,"°","º"))-1)),-1),IF(LEFT(E5586,6)="TÉRREO",0,IFERROR(VALUE(LEFT(E5586,FIND("º",SUBSTITUTE(E5586,"°","º"))-1)),""))))</f>
        <v/>
      </c>
      <c r="O5586" s="2">
        <f>IF(OR(F5586="",G5586=""),"",IF(G5586&lt;='RETRATO 2027'!$K$5,"CONCLUÍDA",IF(F5586&lt;='RETRATO 2027'!$K$5,"EM ANDAMENTO","A INICIAR")))</f>
        <v/>
      </c>
    </row>
    <row r="5587">
      <c r="M5587" s="2">
        <f>IF(C5587="","",IFERROR(INDEX($S$5:$S$304,MATCH(C5587,$R$5:$R$304,0))&amp;"","?"))</f>
        <v/>
      </c>
      <c r="N5587" s="2">
        <f>IF(E5587="","",IF(ISNUMBER(SEARCH("SUBSOLO",E5587)),IFERROR(-VALUE(LEFT(E5587,FIND("º",SUBSTITUTE(E5587,"°","º"))-1)),-1),IF(LEFT(E5587,6)="TÉRREO",0,IFERROR(VALUE(LEFT(E5587,FIND("º",SUBSTITUTE(E5587,"°","º"))-1)),""))))</f>
        <v/>
      </c>
      <c r="O5587" s="2">
        <f>IF(OR(F5587="",G5587=""),"",IF(G5587&lt;='RETRATO 2027'!$K$5,"CONCLUÍDA",IF(F5587&lt;='RETRATO 2027'!$K$5,"EM ANDAMENTO","A INICIAR")))</f>
        <v/>
      </c>
    </row>
    <row r="5588">
      <c r="M5588" s="2">
        <f>IF(C5588="","",IFERROR(INDEX($S$5:$S$304,MATCH(C5588,$R$5:$R$304,0))&amp;"","?"))</f>
        <v/>
      </c>
      <c r="N5588" s="2">
        <f>IF(E5588="","",IF(ISNUMBER(SEARCH("SUBSOLO",E5588)),IFERROR(-VALUE(LEFT(E5588,FIND("º",SUBSTITUTE(E5588,"°","º"))-1)),-1),IF(LEFT(E5588,6)="TÉRREO",0,IFERROR(VALUE(LEFT(E5588,FIND("º",SUBSTITUTE(E5588,"°","º"))-1)),""))))</f>
        <v/>
      </c>
      <c r="O5588" s="2">
        <f>IF(OR(F5588="",G5588=""),"",IF(G5588&lt;='RETRATO 2027'!$K$5,"CONCLUÍDA",IF(F5588&lt;='RETRATO 2027'!$K$5,"EM ANDAMENTO","A INICIAR")))</f>
        <v/>
      </c>
    </row>
    <row r="5589">
      <c r="M5589" s="2">
        <f>IF(C5589="","",IFERROR(INDEX($S$5:$S$304,MATCH(C5589,$R$5:$R$304,0))&amp;"","?"))</f>
        <v/>
      </c>
      <c r="N5589" s="2">
        <f>IF(E5589="","",IF(ISNUMBER(SEARCH("SUBSOLO",E5589)),IFERROR(-VALUE(LEFT(E5589,FIND("º",SUBSTITUTE(E5589,"°","º"))-1)),-1),IF(LEFT(E5589,6)="TÉRREO",0,IFERROR(VALUE(LEFT(E5589,FIND("º",SUBSTITUTE(E5589,"°","º"))-1)),""))))</f>
        <v/>
      </c>
      <c r="O5589" s="2">
        <f>IF(OR(F5589="",G5589=""),"",IF(G5589&lt;='RETRATO 2027'!$K$5,"CONCLUÍDA",IF(F5589&lt;='RETRATO 2027'!$K$5,"EM ANDAMENTO","A INICIAR")))</f>
        <v/>
      </c>
    </row>
    <row r="5590">
      <c r="M5590" s="2">
        <f>IF(C5590="","",IFERROR(INDEX($S$5:$S$304,MATCH(C5590,$R$5:$R$304,0))&amp;"","?"))</f>
        <v/>
      </c>
      <c r="N5590" s="2">
        <f>IF(E5590="","",IF(ISNUMBER(SEARCH("SUBSOLO",E5590)),IFERROR(-VALUE(LEFT(E5590,FIND("º",SUBSTITUTE(E5590,"°","º"))-1)),-1),IF(LEFT(E5590,6)="TÉRREO",0,IFERROR(VALUE(LEFT(E5590,FIND("º",SUBSTITUTE(E5590,"°","º"))-1)),""))))</f>
        <v/>
      </c>
      <c r="O5590" s="2">
        <f>IF(OR(F5590="",G5590=""),"",IF(G5590&lt;='RETRATO 2027'!$K$5,"CONCLUÍDA",IF(F5590&lt;='RETRATO 2027'!$K$5,"EM ANDAMENTO","A INICIAR")))</f>
        <v/>
      </c>
    </row>
    <row r="5591">
      <c r="M5591" s="2">
        <f>IF(C5591="","",IFERROR(INDEX($S$5:$S$304,MATCH(C5591,$R$5:$R$304,0))&amp;"","?"))</f>
        <v/>
      </c>
      <c r="N5591" s="2">
        <f>IF(E5591="","",IF(ISNUMBER(SEARCH("SUBSOLO",E5591)),IFERROR(-VALUE(LEFT(E5591,FIND("º",SUBSTITUTE(E5591,"°","º"))-1)),-1),IF(LEFT(E5591,6)="TÉRREO",0,IFERROR(VALUE(LEFT(E5591,FIND("º",SUBSTITUTE(E5591,"°","º"))-1)),""))))</f>
        <v/>
      </c>
      <c r="O5591" s="2">
        <f>IF(OR(F5591="",G5591=""),"",IF(G5591&lt;='RETRATO 2027'!$K$5,"CONCLUÍDA",IF(F5591&lt;='RETRATO 2027'!$K$5,"EM ANDAMENTO","A INICIAR")))</f>
        <v/>
      </c>
    </row>
    <row r="5592">
      <c r="M5592" s="2">
        <f>IF(C5592="","",IFERROR(INDEX($S$5:$S$304,MATCH(C5592,$R$5:$R$304,0))&amp;"","?"))</f>
        <v/>
      </c>
      <c r="N5592" s="2">
        <f>IF(E5592="","",IF(ISNUMBER(SEARCH("SUBSOLO",E5592)),IFERROR(-VALUE(LEFT(E5592,FIND("º",SUBSTITUTE(E5592,"°","º"))-1)),-1),IF(LEFT(E5592,6)="TÉRREO",0,IFERROR(VALUE(LEFT(E5592,FIND("º",SUBSTITUTE(E5592,"°","º"))-1)),""))))</f>
        <v/>
      </c>
      <c r="O5592" s="2">
        <f>IF(OR(F5592="",G5592=""),"",IF(G5592&lt;='RETRATO 2027'!$K$5,"CONCLUÍDA",IF(F5592&lt;='RETRATO 2027'!$K$5,"EM ANDAMENTO","A INICIAR")))</f>
        <v/>
      </c>
    </row>
    <row r="5593">
      <c r="M5593" s="2">
        <f>IF(C5593="","",IFERROR(INDEX($S$5:$S$304,MATCH(C5593,$R$5:$R$304,0))&amp;"","?"))</f>
        <v/>
      </c>
      <c r="N5593" s="2">
        <f>IF(E5593="","",IF(ISNUMBER(SEARCH("SUBSOLO",E5593)),IFERROR(-VALUE(LEFT(E5593,FIND("º",SUBSTITUTE(E5593,"°","º"))-1)),-1),IF(LEFT(E5593,6)="TÉRREO",0,IFERROR(VALUE(LEFT(E5593,FIND("º",SUBSTITUTE(E5593,"°","º"))-1)),""))))</f>
        <v/>
      </c>
      <c r="O5593" s="2">
        <f>IF(OR(F5593="",G5593=""),"",IF(G5593&lt;='RETRATO 2027'!$K$5,"CONCLUÍDA",IF(F5593&lt;='RETRATO 2027'!$K$5,"EM ANDAMENTO","A INICIAR")))</f>
        <v/>
      </c>
    </row>
    <row r="5594">
      <c r="M5594" s="2">
        <f>IF(C5594="","",IFERROR(INDEX($S$5:$S$304,MATCH(C5594,$R$5:$R$304,0))&amp;"","?"))</f>
        <v/>
      </c>
      <c r="N5594" s="2">
        <f>IF(E5594="","",IF(ISNUMBER(SEARCH("SUBSOLO",E5594)),IFERROR(-VALUE(LEFT(E5594,FIND("º",SUBSTITUTE(E5594,"°","º"))-1)),-1),IF(LEFT(E5594,6)="TÉRREO",0,IFERROR(VALUE(LEFT(E5594,FIND("º",SUBSTITUTE(E5594,"°","º"))-1)),""))))</f>
        <v/>
      </c>
      <c r="O5594" s="2">
        <f>IF(OR(F5594="",G5594=""),"",IF(G5594&lt;='RETRATO 2027'!$K$5,"CONCLUÍDA",IF(F5594&lt;='RETRATO 2027'!$K$5,"EM ANDAMENTO","A INICIAR")))</f>
        <v/>
      </c>
    </row>
    <row r="5595">
      <c r="M5595" s="2">
        <f>IF(C5595="","",IFERROR(INDEX($S$5:$S$304,MATCH(C5595,$R$5:$R$304,0))&amp;"","?"))</f>
        <v/>
      </c>
      <c r="N5595" s="2">
        <f>IF(E5595="","",IF(ISNUMBER(SEARCH("SUBSOLO",E5595)),IFERROR(-VALUE(LEFT(E5595,FIND("º",SUBSTITUTE(E5595,"°","º"))-1)),-1),IF(LEFT(E5595,6)="TÉRREO",0,IFERROR(VALUE(LEFT(E5595,FIND("º",SUBSTITUTE(E5595,"°","º"))-1)),""))))</f>
        <v/>
      </c>
      <c r="O5595" s="2">
        <f>IF(OR(F5595="",G5595=""),"",IF(G5595&lt;='RETRATO 2027'!$K$5,"CONCLUÍDA",IF(F5595&lt;='RETRATO 2027'!$K$5,"EM ANDAMENTO","A INICIAR")))</f>
        <v/>
      </c>
    </row>
    <row r="5596">
      <c r="M5596" s="2">
        <f>IF(C5596="","",IFERROR(INDEX($S$5:$S$304,MATCH(C5596,$R$5:$R$304,0))&amp;"","?"))</f>
        <v/>
      </c>
      <c r="N5596" s="2">
        <f>IF(E5596="","",IF(ISNUMBER(SEARCH("SUBSOLO",E5596)),IFERROR(-VALUE(LEFT(E5596,FIND("º",SUBSTITUTE(E5596,"°","º"))-1)),-1),IF(LEFT(E5596,6)="TÉRREO",0,IFERROR(VALUE(LEFT(E5596,FIND("º",SUBSTITUTE(E5596,"°","º"))-1)),""))))</f>
        <v/>
      </c>
      <c r="O5596" s="2">
        <f>IF(OR(F5596="",G5596=""),"",IF(G5596&lt;='RETRATO 2027'!$K$5,"CONCLUÍDA",IF(F5596&lt;='RETRATO 2027'!$K$5,"EM ANDAMENTO","A INICIAR")))</f>
        <v/>
      </c>
    </row>
    <row r="5597">
      <c r="M5597" s="2">
        <f>IF(C5597="","",IFERROR(INDEX($S$5:$S$304,MATCH(C5597,$R$5:$R$304,0))&amp;"","?"))</f>
        <v/>
      </c>
      <c r="N5597" s="2">
        <f>IF(E5597="","",IF(ISNUMBER(SEARCH("SUBSOLO",E5597)),IFERROR(-VALUE(LEFT(E5597,FIND("º",SUBSTITUTE(E5597,"°","º"))-1)),-1),IF(LEFT(E5597,6)="TÉRREO",0,IFERROR(VALUE(LEFT(E5597,FIND("º",SUBSTITUTE(E5597,"°","º"))-1)),""))))</f>
        <v/>
      </c>
      <c r="O5597" s="2">
        <f>IF(OR(F5597="",G5597=""),"",IF(G5597&lt;='RETRATO 2027'!$K$5,"CONCLUÍDA",IF(F5597&lt;='RETRATO 2027'!$K$5,"EM ANDAMENTO","A INICIAR")))</f>
        <v/>
      </c>
    </row>
    <row r="5598">
      <c r="M5598" s="2">
        <f>IF(C5598="","",IFERROR(INDEX($S$5:$S$304,MATCH(C5598,$R$5:$R$304,0))&amp;"","?"))</f>
        <v/>
      </c>
      <c r="N5598" s="2">
        <f>IF(E5598="","",IF(ISNUMBER(SEARCH("SUBSOLO",E5598)),IFERROR(-VALUE(LEFT(E5598,FIND("º",SUBSTITUTE(E5598,"°","º"))-1)),-1),IF(LEFT(E5598,6)="TÉRREO",0,IFERROR(VALUE(LEFT(E5598,FIND("º",SUBSTITUTE(E5598,"°","º"))-1)),""))))</f>
        <v/>
      </c>
      <c r="O5598" s="2">
        <f>IF(OR(F5598="",G5598=""),"",IF(G5598&lt;='RETRATO 2027'!$K$5,"CONCLUÍDA",IF(F5598&lt;='RETRATO 2027'!$K$5,"EM ANDAMENTO","A INICIAR")))</f>
        <v/>
      </c>
    </row>
    <row r="5599">
      <c r="M5599" s="2">
        <f>IF(C5599="","",IFERROR(INDEX($S$5:$S$304,MATCH(C5599,$R$5:$R$304,0))&amp;"","?"))</f>
        <v/>
      </c>
      <c r="N5599" s="2">
        <f>IF(E5599="","",IF(ISNUMBER(SEARCH("SUBSOLO",E5599)),IFERROR(-VALUE(LEFT(E5599,FIND("º",SUBSTITUTE(E5599,"°","º"))-1)),-1),IF(LEFT(E5599,6)="TÉRREO",0,IFERROR(VALUE(LEFT(E5599,FIND("º",SUBSTITUTE(E5599,"°","º"))-1)),""))))</f>
        <v/>
      </c>
      <c r="O5599" s="2">
        <f>IF(OR(F5599="",G5599=""),"",IF(G5599&lt;='RETRATO 2027'!$K$5,"CONCLUÍDA",IF(F5599&lt;='RETRATO 2027'!$K$5,"EM ANDAMENTO","A INICIAR")))</f>
        <v/>
      </c>
    </row>
    <row r="5600">
      <c r="M5600" s="2">
        <f>IF(C5600="","",IFERROR(INDEX($S$5:$S$304,MATCH(C5600,$R$5:$R$304,0))&amp;"","?"))</f>
        <v/>
      </c>
      <c r="N5600" s="2">
        <f>IF(E5600="","",IF(ISNUMBER(SEARCH("SUBSOLO",E5600)),IFERROR(-VALUE(LEFT(E5600,FIND("º",SUBSTITUTE(E5600,"°","º"))-1)),-1),IF(LEFT(E5600,6)="TÉRREO",0,IFERROR(VALUE(LEFT(E5600,FIND("º",SUBSTITUTE(E5600,"°","º"))-1)),""))))</f>
        <v/>
      </c>
      <c r="O5600" s="2">
        <f>IF(OR(F5600="",G5600=""),"",IF(G5600&lt;='RETRATO 2027'!$K$5,"CONCLUÍDA",IF(F5600&lt;='RETRATO 2027'!$K$5,"EM ANDAMENTO","A INICIAR")))</f>
        <v/>
      </c>
    </row>
    <row r="5601">
      <c r="M5601" s="2">
        <f>IF(C5601="","",IFERROR(INDEX($S$5:$S$304,MATCH(C5601,$R$5:$R$304,0))&amp;"","?"))</f>
        <v/>
      </c>
      <c r="N5601" s="2">
        <f>IF(E5601="","",IF(ISNUMBER(SEARCH("SUBSOLO",E5601)),IFERROR(-VALUE(LEFT(E5601,FIND("º",SUBSTITUTE(E5601,"°","º"))-1)),-1),IF(LEFT(E5601,6)="TÉRREO",0,IFERROR(VALUE(LEFT(E5601,FIND("º",SUBSTITUTE(E5601,"°","º"))-1)),""))))</f>
        <v/>
      </c>
      <c r="O5601" s="2">
        <f>IF(OR(F5601="",G5601=""),"",IF(G5601&lt;='RETRATO 2027'!$K$5,"CONCLUÍDA",IF(F5601&lt;='RETRATO 2027'!$K$5,"EM ANDAMENTO","A INICIAR")))</f>
        <v/>
      </c>
    </row>
    <row r="5602">
      <c r="M5602" s="2">
        <f>IF(C5602="","",IFERROR(INDEX($S$5:$S$304,MATCH(C5602,$R$5:$R$304,0))&amp;"","?"))</f>
        <v/>
      </c>
      <c r="N5602" s="2">
        <f>IF(E5602="","",IF(ISNUMBER(SEARCH("SUBSOLO",E5602)),IFERROR(-VALUE(LEFT(E5602,FIND("º",SUBSTITUTE(E5602,"°","º"))-1)),-1),IF(LEFT(E5602,6)="TÉRREO",0,IFERROR(VALUE(LEFT(E5602,FIND("º",SUBSTITUTE(E5602,"°","º"))-1)),""))))</f>
        <v/>
      </c>
      <c r="O5602" s="2">
        <f>IF(OR(F5602="",G5602=""),"",IF(G5602&lt;='RETRATO 2027'!$K$5,"CONCLUÍDA",IF(F5602&lt;='RETRATO 2027'!$K$5,"EM ANDAMENTO","A INICIAR")))</f>
        <v/>
      </c>
    </row>
    <row r="5603">
      <c r="M5603" s="2">
        <f>IF(C5603="","",IFERROR(INDEX($S$5:$S$304,MATCH(C5603,$R$5:$R$304,0))&amp;"","?"))</f>
        <v/>
      </c>
      <c r="N5603" s="2">
        <f>IF(E5603="","",IF(ISNUMBER(SEARCH("SUBSOLO",E5603)),IFERROR(-VALUE(LEFT(E5603,FIND("º",SUBSTITUTE(E5603,"°","º"))-1)),-1),IF(LEFT(E5603,6)="TÉRREO",0,IFERROR(VALUE(LEFT(E5603,FIND("º",SUBSTITUTE(E5603,"°","º"))-1)),""))))</f>
        <v/>
      </c>
      <c r="O5603" s="2">
        <f>IF(OR(F5603="",G5603=""),"",IF(G5603&lt;='RETRATO 2027'!$K$5,"CONCLUÍDA",IF(F5603&lt;='RETRATO 2027'!$K$5,"EM ANDAMENTO","A INICIAR")))</f>
        <v/>
      </c>
    </row>
    <row r="5604">
      <c r="M5604" s="2">
        <f>IF(C5604="","",IFERROR(INDEX($S$5:$S$304,MATCH(C5604,$R$5:$R$304,0))&amp;"","?"))</f>
        <v/>
      </c>
      <c r="N5604" s="2">
        <f>IF(E5604="","",IF(ISNUMBER(SEARCH("SUBSOLO",E5604)),IFERROR(-VALUE(LEFT(E5604,FIND("º",SUBSTITUTE(E5604,"°","º"))-1)),-1),IF(LEFT(E5604,6)="TÉRREO",0,IFERROR(VALUE(LEFT(E5604,FIND("º",SUBSTITUTE(E5604,"°","º"))-1)),""))))</f>
        <v/>
      </c>
      <c r="O5604" s="2">
        <f>IF(OR(F5604="",G5604=""),"",IF(G5604&lt;='RETRATO 2027'!$K$5,"CONCLUÍDA",IF(F5604&lt;='RETRATO 2027'!$K$5,"EM ANDAMENTO","A INICIAR")))</f>
        <v/>
      </c>
    </row>
    <row r="5605">
      <c r="M5605" s="2">
        <f>IF(C5605="","",IFERROR(INDEX($S$5:$S$304,MATCH(C5605,$R$5:$R$304,0))&amp;"","?"))</f>
        <v/>
      </c>
      <c r="N5605" s="2">
        <f>IF(E5605="","",IF(ISNUMBER(SEARCH("SUBSOLO",E5605)),IFERROR(-VALUE(LEFT(E5605,FIND("º",SUBSTITUTE(E5605,"°","º"))-1)),-1),IF(LEFT(E5605,6)="TÉRREO",0,IFERROR(VALUE(LEFT(E5605,FIND("º",SUBSTITUTE(E5605,"°","º"))-1)),""))))</f>
        <v/>
      </c>
      <c r="O5605" s="2">
        <f>IF(OR(F5605="",G5605=""),"",IF(G5605&lt;='RETRATO 2027'!$K$5,"CONCLUÍDA",IF(F5605&lt;='RETRATO 2027'!$K$5,"EM ANDAMENTO","A INICIAR")))</f>
        <v/>
      </c>
    </row>
    <row r="5606">
      <c r="M5606" s="2">
        <f>IF(C5606="","",IFERROR(INDEX($S$5:$S$304,MATCH(C5606,$R$5:$R$304,0))&amp;"","?"))</f>
        <v/>
      </c>
      <c r="N5606" s="2">
        <f>IF(E5606="","",IF(ISNUMBER(SEARCH("SUBSOLO",E5606)),IFERROR(-VALUE(LEFT(E5606,FIND("º",SUBSTITUTE(E5606,"°","º"))-1)),-1),IF(LEFT(E5606,6)="TÉRREO",0,IFERROR(VALUE(LEFT(E5606,FIND("º",SUBSTITUTE(E5606,"°","º"))-1)),""))))</f>
        <v/>
      </c>
      <c r="O5606" s="2">
        <f>IF(OR(F5606="",G5606=""),"",IF(G5606&lt;='RETRATO 2027'!$K$5,"CONCLUÍDA",IF(F5606&lt;='RETRATO 2027'!$K$5,"EM ANDAMENTO","A INICIAR")))</f>
        <v/>
      </c>
    </row>
    <row r="5607">
      <c r="M5607" s="2">
        <f>IF(C5607="","",IFERROR(INDEX($S$5:$S$304,MATCH(C5607,$R$5:$R$304,0))&amp;"","?"))</f>
        <v/>
      </c>
      <c r="N5607" s="2">
        <f>IF(E5607="","",IF(ISNUMBER(SEARCH("SUBSOLO",E5607)),IFERROR(-VALUE(LEFT(E5607,FIND("º",SUBSTITUTE(E5607,"°","º"))-1)),-1),IF(LEFT(E5607,6)="TÉRREO",0,IFERROR(VALUE(LEFT(E5607,FIND("º",SUBSTITUTE(E5607,"°","º"))-1)),""))))</f>
        <v/>
      </c>
      <c r="O5607" s="2">
        <f>IF(OR(F5607="",G5607=""),"",IF(G5607&lt;='RETRATO 2027'!$K$5,"CONCLUÍDA",IF(F5607&lt;='RETRATO 2027'!$K$5,"EM ANDAMENTO","A INICIAR")))</f>
        <v/>
      </c>
    </row>
    <row r="5608">
      <c r="M5608" s="2">
        <f>IF(C5608="","",IFERROR(INDEX($S$5:$S$304,MATCH(C5608,$R$5:$R$304,0))&amp;"","?"))</f>
        <v/>
      </c>
      <c r="N5608" s="2">
        <f>IF(E5608="","",IF(ISNUMBER(SEARCH("SUBSOLO",E5608)),IFERROR(-VALUE(LEFT(E5608,FIND("º",SUBSTITUTE(E5608,"°","º"))-1)),-1),IF(LEFT(E5608,6)="TÉRREO",0,IFERROR(VALUE(LEFT(E5608,FIND("º",SUBSTITUTE(E5608,"°","º"))-1)),""))))</f>
        <v/>
      </c>
      <c r="O5608" s="2">
        <f>IF(OR(F5608="",G5608=""),"",IF(G5608&lt;='RETRATO 2027'!$K$5,"CONCLUÍDA",IF(F5608&lt;='RETRATO 2027'!$K$5,"EM ANDAMENTO","A INICIAR")))</f>
        <v/>
      </c>
    </row>
    <row r="5609">
      <c r="M5609" s="2">
        <f>IF(C5609="","",IFERROR(INDEX($S$5:$S$304,MATCH(C5609,$R$5:$R$304,0))&amp;"","?"))</f>
        <v/>
      </c>
      <c r="N5609" s="2">
        <f>IF(E5609="","",IF(ISNUMBER(SEARCH("SUBSOLO",E5609)),IFERROR(-VALUE(LEFT(E5609,FIND("º",SUBSTITUTE(E5609,"°","º"))-1)),-1),IF(LEFT(E5609,6)="TÉRREO",0,IFERROR(VALUE(LEFT(E5609,FIND("º",SUBSTITUTE(E5609,"°","º"))-1)),""))))</f>
        <v/>
      </c>
      <c r="O5609" s="2">
        <f>IF(OR(F5609="",G5609=""),"",IF(G5609&lt;='RETRATO 2027'!$K$5,"CONCLUÍDA",IF(F5609&lt;='RETRATO 2027'!$K$5,"EM ANDAMENTO","A INICIAR")))</f>
        <v/>
      </c>
    </row>
    <row r="5610">
      <c r="M5610" s="2">
        <f>IF(C5610="","",IFERROR(INDEX($S$5:$S$304,MATCH(C5610,$R$5:$R$304,0))&amp;"","?"))</f>
        <v/>
      </c>
      <c r="N5610" s="2">
        <f>IF(E5610="","",IF(ISNUMBER(SEARCH("SUBSOLO",E5610)),IFERROR(-VALUE(LEFT(E5610,FIND("º",SUBSTITUTE(E5610,"°","º"))-1)),-1),IF(LEFT(E5610,6)="TÉRREO",0,IFERROR(VALUE(LEFT(E5610,FIND("º",SUBSTITUTE(E5610,"°","º"))-1)),""))))</f>
        <v/>
      </c>
      <c r="O5610" s="2">
        <f>IF(OR(F5610="",G5610=""),"",IF(G5610&lt;='RETRATO 2027'!$K$5,"CONCLUÍDA",IF(F5610&lt;='RETRATO 2027'!$K$5,"EM ANDAMENTO","A INICIAR")))</f>
        <v/>
      </c>
    </row>
    <row r="5611">
      <c r="M5611" s="2">
        <f>IF(C5611="","",IFERROR(INDEX($S$5:$S$304,MATCH(C5611,$R$5:$R$304,0))&amp;"","?"))</f>
        <v/>
      </c>
      <c r="N5611" s="2">
        <f>IF(E5611="","",IF(ISNUMBER(SEARCH("SUBSOLO",E5611)),IFERROR(-VALUE(LEFT(E5611,FIND("º",SUBSTITUTE(E5611,"°","º"))-1)),-1),IF(LEFT(E5611,6)="TÉRREO",0,IFERROR(VALUE(LEFT(E5611,FIND("º",SUBSTITUTE(E5611,"°","º"))-1)),""))))</f>
        <v/>
      </c>
      <c r="O5611" s="2">
        <f>IF(OR(F5611="",G5611=""),"",IF(G5611&lt;='RETRATO 2027'!$K$5,"CONCLUÍDA",IF(F5611&lt;='RETRATO 2027'!$K$5,"EM ANDAMENTO","A INICIAR")))</f>
        <v/>
      </c>
    </row>
    <row r="5612">
      <c r="M5612" s="2">
        <f>IF(C5612="","",IFERROR(INDEX($S$5:$S$304,MATCH(C5612,$R$5:$R$304,0))&amp;"","?"))</f>
        <v/>
      </c>
      <c r="N5612" s="2">
        <f>IF(E5612="","",IF(ISNUMBER(SEARCH("SUBSOLO",E5612)),IFERROR(-VALUE(LEFT(E5612,FIND("º",SUBSTITUTE(E5612,"°","º"))-1)),-1),IF(LEFT(E5612,6)="TÉRREO",0,IFERROR(VALUE(LEFT(E5612,FIND("º",SUBSTITUTE(E5612,"°","º"))-1)),""))))</f>
        <v/>
      </c>
      <c r="O5612" s="2">
        <f>IF(OR(F5612="",G5612=""),"",IF(G5612&lt;='RETRATO 2027'!$K$5,"CONCLUÍDA",IF(F5612&lt;='RETRATO 2027'!$K$5,"EM ANDAMENTO","A INICIAR")))</f>
        <v/>
      </c>
    </row>
    <row r="5613">
      <c r="M5613" s="2">
        <f>IF(C5613="","",IFERROR(INDEX($S$5:$S$304,MATCH(C5613,$R$5:$R$304,0))&amp;"","?"))</f>
        <v/>
      </c>
      <c r="N5613" s="2">
        <f>IF(E5613="","",IF(ISNUMBER(SEARCH("SUBSOLO",E5613)),IFERROR(-VALUE(LEFT(E5613,FIND("º",SUBSTITUTE(E5613,"°","º"))-1)),-1),IF(LEFT(E5613,6)="TÉRREO",0,IFERROR(VALUE(LEFT(E5613,FIND("º",SUBSTITUTE(E5613,"°","º"))-1)),""))))</f>
        <v/>
      </c>
      <c r="O5613" s="2">
        <f>IF(OR(F5613="",G5613=""),"",IF(G5613&lt;='RETRATO 2027'!$K$5,"CONCLUÍDA",IF(F5613&lt;='RETRATO 2027'!$K$5,"EM ANDAMENTO","A INICIAR")))</f>
        <v/>
      </c>
    </row>
    <row r="5614">
      <c r="M5614" s="2">
        <f>IF(C5614="","",IFERROR(INDEX($S$5:$S$304,MATCH(C5614,$R$5:$R$304,0))&amp;"","?"))</f>
        <v/>
      </c>
      <c r="N5614" s="2">
        <f>IF(E5614="","",IF(ISNUMBER(SEARCH("SUBSOLO",E5614)),IFERROR(-VALUE(LEFT(E5614,FIND("º",SUBSTITUTE(E5614,"°","º"))-1)),-1),IF(LEFT(E5614,6)="TÉRREO",0,IFERROR(VALUE(LEFT(E5614,FIND("º",SUBSTITUTE(E5614,"°","º"))-1)),""))))</f>
        <v/>
      </c>
      <c r="O5614" s="2">
        <f>IF(OR(F5614="",G5614=""),"",IF(G5614&lt;='RETRATO 2027'!$K$5,"CONCLUÍDA",IF(F5614&lt;='RETRATO 2027'!$K$5,"EM ANDAMENTO","A INICIAR")))</f>
        <v/>
      </c>
    </row>
    <row r="5615">
      <c r="M5615" s="2">
        <f>IF(C5615="","",IFERROR(INDEX($S$5:$S$304,MATCH(C5615,$R$5:$R$304,0))&amp;"","?"))</f>
        <v/>
      </c>
      <c r="N5615" s="2">
        <f>IF(E5615="","",IF(ISNUMBER(SEARCH("SUBSOLO",E5615)),IFERROR(-VALUE(LEFT(E5615,FIND("º",SUBSTITUTE(E5615,"°","º"))-1)),-1),IF(LEFT(E5615,6)="TÉRREO",0,IFERROR(VALUE(LEFT(E5615,FIND("º",SUBSTITUTE(E5615,"°","º"))-1)),""))))</f>
        <v/>
      </c>
      <c r="O5615" s="2">
        <f>IF(OR(F5615="",G5615=""),"",IF(G5615&lt;='RETRATO 2027'!$K$5,"CONCLUÍDA",IF(F5615&lt;='RETRATO 2027'!$K$5,"EM ANDAMENTO","A INICIAR")))</f>
        <v/>
      </c>
    </row>
    <row r="5616">
      <c r="M5616" s="2">
        <f>IF(C5616="","",IFERROR(INDEX($S$5:$S$304,MATCH(C5616,$R$5:$R$304,0))&amp;"","?"))</f>
        <v/>
      </c>
      <c r="N5616" s="2">
        <f>IF(E5616="","",IF(ISNUMBER(SEARCH("SUBSOLO",E5616)),IFERROR(-VALUE(LEFT(E5616,FIND("º",SUBSTITUTE(E5616,"°","º"))-1)),-1),IF(LEFT(E5616,6)="TÉRREO",0,IFERROR(VALUE(LEFT(E5616,FIND("º",SUBSTITUTE(E5616,"°","º"))-1)),""))))</f>
        <v/>
      </c>
      <c r="O5616" s="2">
        <f>IF(OR(F5616="",G5616=""),"",IF(G5616&lt;='RETRATO 2027'!$K$5,"CONCLUÍDA",IF(F5616&lt;='RETRATO 2027'!$K$5,"EM ANDAMENTO","A INICIAR")))</f>
        <v/>
      </c>
    </row>
    <row r="5617">
      <c r="M5617" s="2">
        <f>IF(C5617="","",IFERROR(INDEX($S$5:$S$304,MATCH(C5617,$R$5:$R$304,0))&amp;"","?"))</f>
        <v/>
      </c>
      <c r="N5617" s="2">
        <f>IF(E5617="","",IF(ISNUMBER(SEARCH("SUBSOLO",E5617)),IFERROR(-VALUE(LEFT(E5617,FIND("º",SUBSTITUTE(E5617,"°","º"))-1)),-1),IF(LEFT(E5617,6)="TÉRREO",0,IFERROR(VALUE(LEFT(E5617,FIND("º",SUBSTITUTE(E5617,"°","º"))-1)),""))))</f>
        <v/>
      </c>
      <c r="O5617" s="2">
        <f>IF(OR(F5617="",G5617=""),"",IF(G5617&lt;='RETRATO 2027'!$K$5,"CONCLUÍDA",IF(F5617&lt;='RETRATO 2027'!$K$5,"EM ANDAMENTO","A INICIAR")))</f>
        <v/>
      </c>
    </row>
    <row r="5618">
      <c r="M5618" s="2">
        <f>IF(C5618="","",IFERROR(INDEX($S$5:$S$304,MATCH(C5618,$R$5:$R$304,0))&amp;"","?"))</f>
        <v/>
      </c>
      <c r="N5618" s="2">
        <f>IF(E5618="","",IF(ISNUMBER(SEARCH("SUBSOLO",E5618)),IFERROR(-VALUE(LEFT(E5618,FIND("º",SUBSTITUTE(E5618,"°","º"))-1)),-1),IF(LEFT(E5618,6)="TÉRREO",0,IFERROR(VALUE(LEFT(E5618,FIND("º",SUBSTITUTE(E5618,"°","º"))-1)),""))))</f>
        <v/>
      </c>
      <c r="O5618" s="2">
        <f>IF(OR(F5618="",G5618=""),"",IF(G5618&lt;='RETRATO 2027'!$K$5,"CONCLUÍDA",IF(F5618&lt;='RETRATO 2027'!$K$5,"EM ANDAMENTO","A INICIAR")))</f>
        <v/>
      </c>
    </row>
    <row r="5619">
      <c r="M5619" s="2">
        <f>IF(C5619="","",IFERROR(INDEX($S$5:$S$304,MATCH(C5619,$R$5:$R$304,0))&amp;"","?"))</f>
        <v/>
      </c>
      <c r="N5619" s="2">
        <f>IF(E5619="","",IF(ISNUMBER(SEARCH("SUBSOLO",E5619)),IFERROR(-VALUE(LEFT(E5619,FIND("º",SUBSTITUTE(E5619,"°","º"))-1)),-1),IF(LEFT(E5619,6)="TÉRREO",0,IFERROR(VALUE(LEFT(E5619,FIND("º",SUBSTITUTE(E5619,"°","º"))-1)),""))))</f>
        <v/>
      </c>
      <c r="O5619" s="2">
        <f>IF(OR(F5619="",G5619=""),"",IF(G5619&lt;='RETRATO 2027'!$K$5,"CONCLUÍDA",IF(F5619&lt;='RETRATO 2027'!$K$5,"EM ANDAMENTO","A INICIAR")))</f>
        <v/>
      </c>
    </row>
    <row r="5620">
      <c r="M5620" s="2">
        <f>IF(C5620="","",IFERROR(INDEX($S$5:$S$304,MATCH(C5620,$R$5:$R$304,0))&amp;"","?"))</f>
        <v/>
      </c>
      <c r="N5620" s="2">
        <f>IF(E5620="","",IF(ISNUMBER(SEARCH("SUBSOLO",E5620)),IFERROR(-VALUE(LEFT(E5620,FIND("º",SUBSTITUTE(E5620,"°","º"))-1)),-1),IF(LEFT(E5620,6)="TÉRREO",0,IFERROR(VALUE(LEFT(E5620,FIND("º",SUBSTITUTE(E5620,"°","º"))-1)),""))))</f>
        <v/>
      </c>
      <c r="O5620" s="2">
        <f>IF(OR(F5620="",G5620=""),"",IF(G5620&lt;='RETRATO 2027'!$K$5,"CONCLUÍDA",IF(F5620&lt;='RETRATO 2027'!$K$5,"EM ANDAMENTO","A INICIAR")))</f>
        <v/>
      </c>
    </row>
    <row r="5621">
      <c r="M5621" s="2">
        <f>IF(C5621="","",IFERROR(INDEX($S$5:$S$304,MATCH(C5621,$R$5:$R$304,0))&amp;"","?"))</f>
        <v/>
      </c>
      <c r="N5621" s="2">
        <f>IF(E5621="","",IF(ISNUMBER(SEARCH("SUBSOLO",E5621)),IFERROR(-VALUE(LEFT(E5621,FIND("º",SUBSTITUTE(E5621,"°","º"))-1)),-1),IF(LEFT(E5621,6)="TÉRREO",0,IFERROR(VALUE(LEFT(E5621,FIND("º",SUBSTITUTE(E5621,"°","º"))-1)),""))))</f>
        <v/>
      </c>
      <c r="O5621" s="2">
        <f>IF(OR(F5621="",G5621=""),"",IF(G5621&lt;='RETRATO 2027'!$K$5,"CONCLUÍDA",IF(F5621&lt;='RETRATO 2027'!$K$5,"EM ANDAMENTO","A INICIAR")))</f>
        <v/>
      </c>
    </row>
    <row r="5622">
      <c r="M5622" s="2">
        <f>IF(C5622="","",IFERROR(INDEX($S$5:$S$304,MATCH(C5622,$R$5:$R$304,0))&amp;"","?"))</f>
        <v/>
      </c>
      <c r="N5622" s="2">
        <f>IF(E5622="","",IF(ISNUMBER(SEARCH("SUBSOLO",E5622)),IFERROR(-VALUE(LEFT(E5622,FIND("º",SUBSTITUTE(E5622,"°","º"))-1)),-1),IF(LEFT(E5622,6)="TÉRREO",0,IFERROR(VALUE(LEFT(E5622,FIND("º",SUBSTITUTE(E5622,"°","º"))-1)),""))))</f>
        <v/>
      </c>
      <c r="O5622" s="2">
        <f>IF(OR(F5622="",G5622=""),"",IF(G5622&lt;='RETRATO 2027'!$K$5,"CONCLUÍDA",IF(F5622&lt;='RETRATO 2027'!$K$5,"EM ANDAMENTO","A INICIAR")))</f>
        <v/>
      </c>
    </row>
    <row r="5623">
      <c r="M5623" s="2">
        <f>IF(C5623="","",IFERROR(INDEX($S$5:$S$304,MATCH(C5623,$R$5:$R$304,0))&amp;"","?"))</f>
        <v/>
      </c>
      <c r="N5623" s="2">
        <f>IF(E5623="","",IF(ISNUMBER(SEARCH("SUBSOLO",E5623)),IFERROR(-VALUE(LEFT(E5623,FIND("º",SUBSTITUTE(E5623,"°","º"))-1)),-1),IF(LEFT(E5623,6)="TÉRREO",0,IFERROR(VALUE(LEFT(E5623,FIND("º",SUBSTITUTE(E5623,"°","º"))-1)),""))))</f>
        <v/>
      </c>
      <c r="O5623" s="2">
        <f>IF(OR(F5623="",G5623=""),"",IF(G5623&lt;='RETRATO 2027'!$K$5,"CONCLUÍDA",IF(F5623&lt;='RETRATO 2027'!$K$5,"EM ANDAMENTO","A INICIAR")))</f>
        <v/>
      </c>
    </row>
    <row r="5624">
      <c r="M5624" s="2">
        <f>IF(C5624="","",IFERROR(INDEX($S$5:$S$304,MATCH(C5624,$R$5:$R$304,0))&amp;"","?"))</f>
        <v/>
      </c>
      <c r="N5624" s="2">
        <f>IF(E5624="","",IF(ISNUMBER(SEARCH("SUBSOLO",E5624)),IFERROR(-VALUE(LEFT(E5624,FIND("º",SUBSTITUTE(E5624,"°","º"))-1)),-1),IF(LEFT(E5624,6)="TÉRREO",0,IFERROR(VALUE(LEFT(E5624,FIND("º",SUBSTITUTE(E5624,"°","º"))-1)),""))))</f>
        <v/>
      </c>
      <c r="O5624" s="2">
        <f>IF(OR(F5624="",G5624=""),"",IF(G5624&lt;='RETRATO 2027'!$K$5,"CONCLUÍDA",IF(F5624&lt;='RETRATO 2027'!$K$5,"EM ANDAMENTO","A INICIAR")))</f>
        <v/>
      </c>
    </row>
    <row r="5625">
      <c r="M5625" s="2">
        <f>IF(C5625="","",IFERROR(INDEX($S$5:$S$304,MATCH(C5625,$R$5:$R$304,0))&amp;"","?"))</f>
        <v/>
      </c>
      <c r="N5625" s="2">
        <f>IF(E5625="","",IF(ISNUMBER(SEARCH("SUBSOLO",E5625)),IFERROR(-VALUE(LEFT(E5625,FIND("º",SUBSTITUTE(E5625,"°","º"))-1)),-1),IF(LEFT(E5625,6)="TÉRREO",0,IFERROR(VALUE(LEFT(E5625,FIND("º",SUBSTITUTE(E5625,"°","º"))-1)),""))))</f>
        <v/>
      </c>
      <c r="O5625" s="2">
        <f>IF(OR(F5625="",G5625=""),"",IF(G5625&lt;='RETRATO 2027'!$K$5,"CONCLUÍDA",IF(F5625&lt;='RETRATO 2027'!$K$5,"EM ANDAMENTO","A INICIAR")))</f>
        <v/>
      </c>
    </row>
    <row r="5626">
      <c r="M5626" s="2">
        <f>IF(C5626="","",IFERROR(INDEX($S$5:$S$304,MATCH(C5626,$R$5:$R$304,0))&amp;"","?"))</f>
        <v/>
      </c>
      <c r="N5626" s="2">
        <f>IF(E5626="","",IF(ISNUMBER(SEARCH("SUBSOLO",E5626)),IFERROR(-VALUE(LEFT(E5626,FIND("º",SUBSTITUTE(E5626,"°","º"))-1)),-1),IF(LEFT(E5626,6)="TÉRREO",0,IFERROR(VALUE(LEFT(E5626,FIND("º",SUBSTITUTE(E5626,"°","º"))-1)),""))))</f>
        <v/>
      </c>
      <c r="O5626" s="2">
        <f>IF(OR(F5626="",G5626=""),"",IF(G5626&lt;='RETRATO 2027'!$K$5,"CONCLUÍDA",IF(F5626&lt;='RETRATO 2027'!$K$5,"EM ANDAMENTO","A INICIAR")))</f>
        <v/>
      </c>
    </row>
    <row r="5627">
      <c r="M5627" s="2">
        <f>IF(C5627="","",IFERROR(INDEX($S$5:$S$304,MATCH(C5627,$R$5:$R$304,0))&amp;"","?"))</f>
        <v/>
      </c>
      <c r="N5627" s="2">
        <f>IF(E5627="","",IF(ISNUMBER(SEARCH("SUBSOLO",E5627)),IFERROR(-VALUE(LEFT(E5627,FIND("º",SUBSTITUTE(E5627,"°","º"))-1)),-1),IF(LEFT(E5627,6)="TÉRREO",0,IFERROR(VALUE(LEFT(E5627,FIND("º",SUBSTITUTE(E5627,"°","º"))-1)),""))))</f>
        <v/>
      </c>
      <c r="O5627" s="2">
        <f>IF(OR(F5627="",G5627=""),"",IF(G5627&lt;='RETRATO 2027'!$K$5,"CONCLUÍDA",IF(F5627&lt;='RETRATO 2027'!$K$5,"EM ANDAMENTO","A INICIAR")))</f>
        <v/>
      </c>
    </row>
    <row r="5628">
      <c r="M5628" s="2">
        <f>IF(C5628="","",IFERROR(INDEX($S$5:$S$304,MATCH(C5628,$R$5:$R$304,0))&amp;"","?"))</f>
        <v/>
      </c>
      <c r="N5628" s="2">
        <f>IF(E5628="","",IF(ISNUMBER(SEARCH("SUBSOLO",E5628)),IFERROR(-VALUE(LEFT(E5628,FIND("º",SUBSTITUTE(E5628,"°","º"))-1)),-1),IF(LEFT(E5628,6)="TÉRREO",0,IFERROR(VALUE(LEFT(E5628,FIND("º",SUBSTITUTE(E5628,"°","º"))-1)),""))))</f>
        <v/>
      </c>
      <c r="O5628" s="2">
        <f>IF(OR(F5628="",G5628=""),"",IF(G5628&lt;='RETRATO 2027'!$K$5,"CONCLUÍDA",IF(F5628&lt;='RETRATO 2027'!$K$5,"EM ANDAMENTO","A INICIAR")))</f>
        <v/>
      </c>
    </row>
    <row r="5629">
      <c r="M5629" s="2">
        <f>IF(C5629="","",IFERROR(INDEX($S$5:$S$304,MATCH(C5629,$R$5:$R$304,0))&amp;"","?"))</f>
        <v/>
      </c>
      <c r="N5629" s="2">
        <f>IF(E5629="","",IF(ISNUMBER(SEARCH("SUBSOLO",E5629)),IFERROR(-VALUE(LEFT(E5629,FIND("º",SUBSTITUTE(E5629,"°","º"))-1)),-1),IF(LEFT(E5629,6)="TÉRREO",0,IFERROR(VALUE(LEFT(E5629,FIND("º",SUBSTITUTE(E5629,"°","º"))-1)),""))))</f>
        <v/>
      </c>
      <c r="O5629" s="2">
        <f>IF(OR(F5629="",G5629=""),"",IF(G5629&lt;='RETRATO 2027'!$K$5,"CONCLUÍDA",IF(F5629&lt;='RETRATO 2027'!$K$5,"EM ANDAMENTO","A INICIAR")))</f>
        <v/>
      </c>
    </row>
    <row r="5630">
      <c r="M5630" s="2">
        <f>IF(C5630="","",IFERROR(INDEX($S$5:$S$304,MATCH(C5630,$R$5:$R$304,0))&amp;"","?"))</f>
        <v/>
      </c>
      <c r="N5630" s="2">
        <f>IF(E5630="","",IF(ISNUMBER(SEARCH("SUBSOLO",E5630)),IFERROR(-VALUE(LEFT(E5630,FIND("º",SUBSTITUTE(E5630,"°","º"))-1)),-1),IF(LEFT(E5630,6)="TÉRREO",0,IFERROR(VALUE(LEFT(E5630,FIND("º",SUBSTITUTE(E5630,"°","º"))-1)),""))))</f>
        <v/>
      </c>
      <c r="O5630" s="2">
        <f>IF(OR(F5630="",G5630=""),"",IF(G5630&lt;='RETRATO 2027'!$K$5,"CONCLUÍDA",IF(F5630&lt;='RETRATO 2027'!$K$5,"EM ANDAMENTO","A INICIAR")))</f>
        <v/>
      </c>
    </row>
    <row r="5631">
      <c r="M5631" s="2">
        <f>IF(C5631="","",IFERROR(INDEX($S$5:$S$304,MATCH(C5631,$R$5:$R$304,0))&amp;"","?"))</f>
        <v/>
      </c>
      <c r="N5631" s="2">
        <f>IF(E5631="","",IF(ISNUMBER(SEARCH("SUBSOLO",E5631)),IFERROR(-VALUE(LEFT(E5631,FIND("º",SUBSTITUTE(E5631,"°","º"))-1)),-1),IF(LEFT(E5631,6)="TÉRREO",0,IFERROR(VALUE(LEFT(E5631,FIND("º",SUBSTITUTE(E5631,"°","º"))-1)),""))))</f>
        <v/>
      </c>
      <c r="O5631" s="2">
        <f>IF(OR(F5631="",G5631=""),"",IF(G5631&lt;='RETRATO 2027'!$K$5,"CONCLUÍDA",IF(F5631&lt;='RETRATO 2027'!$K$5,"EM ANDAMENTO","A INICIAR")))</f>
        <v/>
      </c>
    </row>
    <row r="5632">
      <c r="M5632" s="2">
        <f>IF(C5632="","",IFERROR(INDEX($S$5:$S$304,MATCH(C5632,$R$5:$R$304,0))&amp;"","?"))</f>
        <v/>
      </c>
      <c r="N5632" s="2">
        <f>IF(E5632="","",IF(ISNUMBER(SEARCH("SUBSOLO",E5632)),IFERROR(-VALUE(LEFT(E5632,FIND("º",SUBSTITUTE(E5632,"°","º"))-1)),-1),IF(LEFT(E5632,6)="TÉRREO",0,IFERROR(VALUE(LEFT(E5632,FIND("º",SUBSTITUTE(E5632,"°","º"))-1)),""))))</f>
        <v/>
      </c>
      <c r="O5632" s="2">
        <f>IF(OR(F5632="",G5632=""),"",IF(G5632&lt;='RETRATO 2027'!$K$5,"CONCLUÍDA",IF(F5632&lt;='RETRATO 2027'!$K$5,"EM ANDAMENTO","A INICIAR")))</f>
        <v/>
      </c>
    </row>
    <row r="5633">
      <c r="M5633" s="2">
        <f>IF(C5633="","",IFERROR(INDEX($S$5:$S$304,MATCH(C5633,$R$5:$R$304,0))&amp;"","?"))</f>
        <v/>
      </c>
      <c r="N5633" s="2">
        <f>IF(E5633="","",IF(ISNUMBER(SEARCH("SUBSOLO",E5633)),IFERROR(-VALUE(LEFT(E5633,FIND("º",SUBSTITUTE(E5633,"°","º"))-1)),-1),IF(LEFT(E5633,6)="TÉRREO",0,IFERROR(VALUE(LEFT(E5633,FIND("º",SUBSTITUTE(E5633,"°","º"))-1)),""))))</f>
        <v/>
      </c>
      <c r="O5633" s="2">
        <f>IF(OR(F5633="",G5633=""),"",IF(G5633&lt;='RETRATO 2027'!$K$5,"CONCLUÍDA",IF(F5633&lt;='RETRATO 2027'!$K$5,"EM ANDAMENTO","A INICIAR")))</f>
        <v/>
      </c>
    </row>
    <row r="5634">
      <c r="M5634" s="2">
        <f>IF(C5634="","",IFERROR(INDEX($S$5:$S$304,MATCH(C5634,$R$5:$R$304,0))&amp;"","?"))</f>
        <v/>
      </c>
      <c r="N5634" s="2">
        <f>IF(E5634="","",IF(ISNUMBER(SEARCH("SUBSOLO",E5634)),IFERROR(-VALUE(LEFT(E5634,FIND("º",SUBSTITUTE(E5634,"°","º"))-1)),-1),IF(LEFT(E5634,6)="TÉRREO",0,IFERROR(VALUE(LEFT(E5634,FIND("º",SUBSTITUTE(E5634,"°","º"))-1)),""))))</f>
        <v/>
      </c>
      <c r="O5634" s="2">
        <f>IF(OR(F5634="",G5634=""),"",IF(G5634&lt;='RETRATO 2027'!$K$5,"CONCLUÍDA",IF(F5634&lt;='RETRATO 2027'!$K$5,"EM ANDAMENTO","A INICIAR")))</f>
        <v/>
      </c>
    </row>
    <row r="5635">
      <c r="M5635" s="2">
        <f>IF(C5635="","",IFERROR(INDEX($S$5:$S$304,MATCH(C5635,$R$5:$R$304,0))&amp;"","?"))</f>
        <v/>
      </c>
      <c r="N5635" s="2">
        <f>IF(E5635="","",IF(ISNUMBER(SEARCH("SUBSOLO",E5635)),IFERROR(-VALUE(LEFT(E5635,FIND("º",SUBSTITUTE(E5635,"°","º"))-1)),-1),IF(LEFT(E5635,6)="TÉRREO",0,IFERROR(VALUE(LEFT(E5635,FIND("º",SUBSTITUTE(E5635,"°","º"))-1)),""))))</f>
        <v/>
      </c>
      <c r="O5635" s="2">
        <f>IF(OR(F5635="",G5635=""),"",IF(G5635&lt;='RETRATO 2027'!$K$5,"CONCLUÍDA",IF(F5635&lt;='RETRATO 2027'!$K$5,"EM ANDAMENTO","A INICIAR")))</f>
        <v/>
      </c>
    </row>
    <row r="5636">
      <c r="M5636" s="2">
        <f>IF(C5636="","",IFERROR(INDEX($S$5:$S$304,MATCH(C5636,$R$5:$R$304,0))&amp;"","?"))</f>
        <v/>
      </c>
      <c r="N5636" s="2">
        <f>IF(E5636="","",IF(ISNUMBER(SEARCH("SUBSOLO",E5636)),IFERROR(-VALUE(LEFT(E5636,FIND("º",SUBSTITUTE(E5636,"°","º"))-1)),-1),IF(LEFT(E5636,6)="TÉRREO",0,IFERROR(VALUE(LEFT(E5636,FIND("º",SUBSTITUTE(E5636,"°","º"))-1)),""))))</f>
        <v/>
      </c>
      <c r="O5636" s="2">
        <f>IF(OR(F5636="",G5636=""),"",IF(G5636&lt;='RETRATO 2027'!$K$5,"CONCLUÍDA",IF(F5636&lt;='RETRATO 2027'!$K$5,"EM ANDAMENTO","A INICIAR")))</f>
        <v/>
      </c>
    </row>
    <row r="5637">
      <c r="M5637" s="2">
        <f>IF(C5637="","",IFERROR(INDEX($S$5:$S$304,MATCH(C5637,$R$5:$R$304,0))&amp;"","?"))</f>
        <v/>
      </c>
      <c r="N5637" s="2">
        <f>IF(E5637="","",IF(ISNUMBER(SEARCH("SUBSOLO",E5637)),IFERROR(-VALUE(LEFT(E5637,FIND("º",SUBSTITUTE(E5637,"°","º"))-1)),-1),IF(LEFT(E5637,6)="TÉRREO",0,IFERROR(VALUE(LEFT(E5637,FIND("º",SUBSTITUTE(E5637,"°","º"))-1)),""))))</f>
        <v/>
      </c>
      <c r="O5637" s="2">
        <f>IF(OR(F5637="",G5637=""),"",IF(G5637&lt;='RETRATO 2027'!$K$5,"CONCLUÍDA",IF(F5637&lt;='RETRATO 2027'!$K$5,"EM ANDAMENTO","A INICIAR")))</f>
        <v/>
      </c>
    </row>
    <row r="5638">
      <c r="M5638" s="2">
        <f>IF(C5638="","",IFERROR(INDEX($S$5:$S$304,MATCH(C5638,$R$5:$R$304,0))&amp;"","?"))</f>
        <v/>
      </c>
      <c r="N5638" s="2">
        <f>IF(E5638="","",IF(ISNUMBER(SEARCH("SUBSOLO",E5638)),IFERROR(-VALUE(LEFT(E5638,FIND("º",SUBSTITUTE(E5638,"°","º"))-1)),-1),IF(LEFT(E5638,6)="TÉRREO",0,IFERROR(VALUE(LEFT(E5638,FIND("º",SUBSTITUTE(E5638,"°","º"))-1)),""))))</f>
        <v/>
      </c>
      <c r="O5638" s="2">
        <f>IF(OR(F5638="",G5638=""),"",IF(G5638&lt;='RETRATO 2027'!$K$5,"CONCLUÍDA",IF(F5638&lt;='RETRATO 2027'!$K$5,"EM ANDAMENTO","A INICIAR")))</f>
        <v/>
      </c>
    </row>
    <row r="5639">
      <c r="M5639" s="2">
        <f>IF(C5639="","",IFERROR(INDEX($S$5:$S$304,MATCH(C5639,$R$5:$R$304,0))&amp;"","?"))</f>
        <v/>
      </c>
      <c r="N5639" s="2">
        <f>IF(E5639="","",IF(ISNUMBER(SEARCH("SUBSOLO",E5639)),IFERROR(-VALUE(LEFT(E5639,FIND("º",SUBSTITUTE(E5639,"°","º"))-1)),-1),IF(LEFT(E5639,6)="TÉRREO",0,IFERROR(VALUE(LEFT(E5639,FIND("º",SUBSTITUTE(E5639,"°","º"))-1)),""))))</f>
        <v/>
      </c>
      <c r="O5639" s="2">
        <f>IF(OR(F5639="",G5639=""),"",IF(G5639&lt;='RETRATO 2027'!$K$5,"CONCLUÍDA",IF(F5639&lt;='RETRATO 2027'!$K$5,"EM ANDAMENTO","A INICIAR")))</f>
        <v/>
      </c>
    </row>
    <row r="5640">
      <c r="M5640" s="2">
        <f>IF(C5640="","",IFERROR(INDEX($S$5:$S$304,MATCH(C5640,$R$5:$R$304,0))&amp;"","?"))</f>
        <v/>
      </c>
      <c r="N5640" s="2">
        <f>IF(E5640="","",IF(ISNUMBER(SEARCH("SUBSOLO",E5640)),IFERROR(-VALUE(LEFT(E5640,FIND("º",SUBSTITUTE(E5640,"°","º"))-1)),-1),IF(LEFT(E5640,6)="TÉRREO",0,IFERROR(VALUE(LEFT(E5640,FIND("º",SUBSTITUTE(E5640,"°","º"))-1)),""))))</f>
        <v/>
      </c>
      <c r="O5640" s="2">
        <f>IF(OR(F5640="",G5640=""),"",IF(G5640&lt;='RETRATO 2027'!$K$5,"CONCLUÍDA",IF(F5640&lt;='RETRATO 2027'!$K$5,"EM ANDAMENTO","A INICIAR")))</f>
        <v/>
      </c>
    </row>
    <row r="5641">
      <c r="M5641" s="2">
        <f>IF(C5641="","",IFERROR(INDEX($S$5:$S$304,MATCH(C5641,$R$5:$R$304,0))&amp;"","?"))</f>
        <v/>
      </c>
      <c r="N5641" s="2">
        <f>IF(E5641="","",IF(ISNUMBER(SEARCH("SUBSOLO",E5641)),IFERROR(-VALUE(LEFT(E5641,FIND("º",SUBSTITUTE(E5641,"°","º"))-1)),-1),IF(LEFT(E5641,6)="TÉRREO",0,IFERROR(VALUE(LEFT(E5641,FIND("º",SUBSTITUTE(E5641,"°","º"))-1)),""))))</f>
        <v/>
      </c>
      <c r="O5641" s="2">
        <f>IF(OR(F5641="",G5641=""),"",IF(G5641&lt;='RETRATO 2027'!$K$5,"CONCLUÍDA",IF(F5641&lt;='RETRATO 2027'!$K$5,"EM ANDAMENTO","A INICIAR")))</f>
        <v/>
      </c>
    </row>
    <row r="5642">
      <c r="M5642" s="2">
        <f>IF(C5642="","",IFERROR(INDEX($S$5:$S$304,MATCH(C5642,$R$5:$R$304,0))&amp;"","?"))</f>
        <v/>
      </c>
      <c r="N5642" s="2">
        <f>IF(E5642="","",IF(ISNUMBER(SEARCH("SUBSOLO",E5642)),IFERROR(-VALUE(LEFT(E5642,FIND("º",SUBSTITUTE(E5642,"°","º"))-1)),-1),IF(LEFT(E5642,6)="TÉRREO",0,IFERROR(VALUE(LEFT(E5642,FIND("º",SUBSTITUTE(E5642,"°","º"))-1)),""))))</f>
        <v/>
      </c>
      <c r="O5642" s="2">
        <f>IF(OR(F5642="",G5642=""),"",IF(G5642&lt;='RETRATO 2027'!$K$5,"CONCLUÍDA",IF(F5642&lt;='RETRATO 2027'!$K$5,"EM ANDAMENTO","A INICIAR")))</f>
        <v/>
      </c>
    </row>
    <row r="5643">
      <c r="M5643" s="2">
        <f>IF(C5643="","",IFERROR(INDEX($S$5:$S$304,MATCH(C5643,$R$5:$R$304,0))&amp;"","?"))</f>
        <v/>
      </c>
      <c r="N5643" s="2">
        <f>IF(E5643="","",IF(ISNUMBER(SEARCH("SUBSOLO",E5643)),IFERROR(-VALUE(LEFT(E5643,FIND("º",SUBSTITUTE(E5643,"°","º"))-1)),-1),IF(LEFT(E5643,6)="TÉRREO",0,IFERROR(VALUE(LEFT(E5643,FIND("º",SUBSTITUTE(E5643,"°","º"))-1)),""))))</f>
        <v/>
      </c>
      <c r="O5643" s="2">
        <f>IF(OR(F5643="",G5643=""),"",IF(G5643&lt;='RETRATO 2027'!$K$5,"CONCLUÍDA",IF(F5643&lt;='RETRATO 2027'!$K$5,"EM ANDAMENTO","A INICIAR")))</f>
        <v/>
      </c>
    </row>
    <row r="5644">
      <c r="M5644" s="2">
        <f>IF(C5644="","",IFERROR(INDEX($S$5:$S$304,MATCH(C5644,$R$5:$R$304,0))&amp;"","?"))</f>
        <v/>
      </c>
      <c r="N5644" s="2">
        <f>IF(E5644="","",IF(ISNUMBER(SEARCH("SUBSOLO",E5644)),IFERROR(-VALUE(LEFT(E5644,FIND("º",SUBSTITUTE(E5644,"°","º"))-1)),-1),IF(LEFT(E5644,6)="TÉRREO",0,IFERROR(VALUE(LEFT(E5644,FIND("º",SUBSTITUTE(E5644,"°","º"))-1)),""))))</f>
        <v/>
      </c>
      <c r="O5644" s="2">
        <f>IF(OR(F5644="",G5644=""),"",IF(G5644&lt;='RETRATO 2027'!$K$5,"CONCLUÍDA",IF(F5644&lt;='RETRATO 2027'!$K$5,"EM ANDAMENTO","A INICIAR")))</f>
        <v/>
      </c>
    </row>
    <row r="5645">
      <c r="M5645" s="2">
        <f>IF(C5645="","",IFERROR(INDEX($S$5:$S$304,MATCH(C5645,$R$5:$R$304,0))&amp;"","?"))</f>
        <v/>
      </c>
      <c r="N5645" s="2">
        <f>IF(E5645="","",IF(ISNUMBER(SEARCH("SUBSOLO",E5645)),IFERROR(-VALUE(LEFT(E5645,FIND("º",SUBSTITUTE(E5645,"°","º"))-1)),-1),IF(LEFT(E5645,6)="TÉRREO",0,IFERROR(VALUE(LEFT(E5645,FIND("º",SUBSTITUTE(E5645,"°","º"))-1)),""))))</f>
        <v/>
      </c>
      <c r="O5645" s="2">
        <f>IF(OR(F5645="",G5645=""),"",IF(G5645&lt;='RETRATO 2027'!$K$5,"CONCLUÍDA",IF(F5645&lt;='RETRATO 2027'!$K$5,"EM ANDAMENTO","A INICIAR")))</f>
        <v/>
      </c>
    </row>
    <row r="5646">
      <c r="M5646" s="2">
        <f>IF(C5646="","",IFERROR(INDEX($S$5:$S$304,MATCH(C5646,$R$5:$R$304,0))&amp;"","?"))</f>
        <v/>
      </c>
      <c r="N5646" s="2">
        <f>IF(E5646="","",IF(ISNUMBER(SEARCH("SUBSOLO",E5646)),IFERROR(-VALUE(LEFT(E5646,FIND("º",SUBSTITUTE(E5646,"°","º"))-1)),-1),IF(LEFT(E5646,6)="TÉRREO",0,IFERROR(VALUE(LEFT(E5646,FIND("º",SUBSTITUTE(E5646,"°","º"))-1)),""))))</f>
        <v/>
      </c>
      <c r="O5646" s="2">
        <f>IF(OR(F5646="",G5646=""),"",IF(G5646&lt;='RETRATO 2027'!$K$5,"CONCLUÍDA",IF(F5646&lt;='RETRATO 2027'!$K$5,"EM ANDAMENTO","A INICIAR")))</f>
        <v/>
      </c>
    </row>
    <row r="5647">
      <c r="M5647" s="2">
        <f>IF(C5647="","",IFERROR(INDEX($S$5:$S$304,MATCH(C5647,$R$5:$R$304,0))&amp;"","?"))</f>
        <v/>
      </c>
      <c r="N5647" s="2">
        <f>IF(E5647="","",IF(ISNUMBER(SEARCH("SUBSOLO",E5647)),IFERROR(-VALUE(LEFT(E5647,FIND("º",SUBSTITUTE(E5647,"°","º"))-1)),-1),IF(LEFT(E5647,6)="TÉRREO",0,IFERROR(VALUE(LEFT(E5647,FIND("º",SUBSTITUTE(E5647,"°","º"))-1)),""))))</f>
        <v/>
      </c>
      <c r="O5647" s="2">
        <f>IF(OR(F5647="",G5647=""),"",IF(G5647&lt;='RETRATO 2027'!$K$5,"CONCLUÍDA",IF(F5647&lt;='RETRATO 2027'!$K$5,"EM ANDAMENTO","A INICIAR")))</f>
        <v/>
      </c>
    </row>
    <row r="5648">
      <c r="M5648" s="2">
        <f>IF(C5648="","",IFERROR(INDEX($S$5:$S$304,MATCH(C5648,$R$5:$R$304,0))&amp;"","?"))</f>
        <v/>
      </c>
      <c r="N5648" s="2">
        <f>IF(E5648="","",IF(ISNUMBER(SEARCH("SUBSOLO",E5648)),IFERROR(-VALUE(LEFT(E5648,FIND("º",SUBSTITUTE(E5648,"°","º"))-1)),-1),IF(LEFT(E5648,6)="TÉRREO",0,IFERROR(VALUE(LEFT(E5648,FIND("º",SUBSTITUTE(E5648,"°","º"))-1)),""))))</f>
        <v/>
      </c>
      <c r="O5648" s="2">
        <f>IF(OR(F5648="",G5648=""),"",IF(G5648&lt;='RETRATO 2027'!$K$5,"CONCLUÍDA",IF(F5648&lt;='RETRATO 2027'!$K$5,"EM ANDAMENTO","A INICIAR")))</f>
        <v/>
      </c>
    </row>
    <row r="5649">
      <c r="M5649" s="2">
        <f>IF(C5649="","",IFERROR(INDEX($S$5:$S$304,MATCH(C5649,$R$5:$R$304,0))&amp;"","?"))</f>
        <v/>
      </c>
      <c r="N5649" s="2">
        <f>IF(E5649="","",IF(ISNUMBER(SEARCH("SUBSOLO",E5649)),IFERROR(-VALUE(LEFT(E5649,FIND("º",SUBSTITUTE(E5649,"°","º"))-1)),-1),IF(LEFT(E5649,6)="TÉRREO",0,IFERROR(VALUE(LEFT(E5649,FIND("º",SUBSTITUTE(E5649,"°","º"))-1)),""))))</f>
        <v/>
      </c>
      <c r="O5649" s="2">
        <f>IF(OR(F5649="",G5649=""),"",IF(G5649&lt;='RETRATO 2027'!$K$5,"CONCLUÍDA",IF(F5649&lt;='RETRATO 2027'!$K$5,"EM ANDAMENTO","A INICIAR")))</f>
        <v/>
      </c>
    </row>
    <row r="5650">
      <c r="M5650" s="2">
        <f>IF(C5650="","",IFERROR(INDEX($S$5:$S$304,MATCH(C5650,$R$5:$R$304,0))&amp;"","?"))</f>
        <v/>
      </c>
      <c r="N5650" s="2">
        <f>IF(E5650="","",IF(ISNUMBER(SEARCH("SUBSOLO",E5650)),IFERROR(-VALUE(LEFT(E5650,FIND("º",SUBSTITUTE(E5650,"°","º"))-1)),-1),IF(LEFT(E5650,6)="TÉRREO",0,IFERROR(VALUE(LEFT(E5650,FIND("º",SUBSTITUTE(E5650,"°","º"))-1)),""))))</f>
        <v/>
      </c>
      <c r="O5650" s="2">
        <f>IF(OR(F5650="",G5650=""),"",IF(G5650&lt;='RETRATO 2027'!$K$5,"CONCLUÍDA",IF(F5650&lt;='RETRATO 2027'!$K$5,"EM ANDAMENTO","A INICIAR")))</f>
        <v/>
      </c>
    </row>
    <row r="5651">
      <c r="M5651" s="2">
        <f>IF(C5651="","",IFERROR(INDEX($S$5:$S$304,MATCH(C5651,$R$5:$R$304,0))&amp;"","?"))</f>
        <v/>
      </c>
      <c r="N5651" s="2">
        <f>IF(E5651="","",IF(ISNUMBER(SEARCH("SUBSOLO",E5651)),IFERROR(-VALUE(LEFT(E5651,FIND("º",SUBSTITUTE(E5651,"°","º"))-1)),-1),IF(LEFT(E5651,6)="TÉRREO",0,IFERROR(VALUE(LEFT(E5651,FIND("º",SUBSTITUTE(E5651,"°","º"))-1)),""))))</f>
        <v/>
      </c>
      <c r="O5651" s="2">
        <f>IF(OR(F5651="",G5651=""),"",IF(G5651&lt;='RETRATO 2027'!$K$5,"CONCLUÍDA",IF(F5651&lt;='RETRATO 2027'!$K$5,"EM ANDAMENTO","A INICIAR")))</f>
        <v/>
      </c>
    </row>
    <row r="5652">
      <c r="M5652" s="2">
        <f>IF(C5652="","",IFERROR(INDEX($S$5:$S$304,MATCH(C5652,$R$5:$R$304,0))&amp;"","?"))</f>
        <v/>
      </c>
      <c r="N5652" s="2">
        <f>IF(E5652="","",IF(ISNUMBER(SEARCH("SUBSOLO",E5652)),IFERROR(-VALUE(LEFT(E5652,FIND("º",SUBSTITUTE(E5652,"°","º"))-1)),-1),IF(LEFT(E5652,6)="TÉRREO",0,IFERROR(VALUE(LEFT(E5652,FIND("º",SUBSTITUTE(E5652,"°","º"))-1)),""))))</f>
        <v/>
      </c>
      <c r="O5652" s="2">
        <f>IF(OR(F5652="",G5652=""),"",IF(G5652&lt;='RETRATO 2027'!$K$5,"CONCLUÍDA",IF(F5652&lt;='RETRATO 2027'!$K$5,"EM ANDAMENTO","A INICIAR")))</f>
        <v/>
      </c>
    </row>
    <row r="5653">
      <c r="M5653" s="2">
        <f>IF(C5653="","",IFERROR(INDEX($S$5:$S$304,MATCH(C5653,$R$5:$R$304,0))&amp;"","?"))</f>
        <v/>
      </c>
      <c r="N5653" s="2">
        <f>IF(E5653="","",IF(ISNUMBER(SEARCH("SUBSOLO",E5653)),IFERROR(-VALUE(LEFT(E5653,FIND("º",SUBSTITUTE(E5653,"°","º"))-1)),-1),IF(LEFT(E5653,6)="TÉRREO",0,IFERROR(VALUE(LEFT(E5653,FIND("º",SUBSTITUTE(E5653,"°","º"))-1)),""))))</f>
        <v/>
      </c>
      <c r="O5653" s="2">
        <f>IF(OR(F5653="",G5653=""),"",IF(G5653&lt;='RETRATO 2027'!$K$5,"CONCLUÍDA",IF(F5653&lt;='RETRATO 2027'!$K$5,"EM ANDAMENTO","A INICIAR")))</f>
        <v/>
      </c>
    </row>
    <row r="5654">
      <c r="M5654" s="2">
        <f>IF(C5654="","",IFERROR(INDEX($S$5:$S$304,MATCH(C5654,$R$5:$R$304,0))&amp;"","?"))</f>
        <v/>
      </c>
      <c r="N5654" s="2">
        <f>IF(E5654="","",IF(ISNUMBER(SEARCH("SUBSOLO",E5654)),IFERROR(-VALUE(LEFT(E5654,FIND("º",SUBSTITUTE(E5654,"°","º"))-1)),-1),IF(LEFT(E5654,6)="TÉRREO",0,IFERROR(VALUE(LEFT(E5654,FIND("º",SUBSTITUTE(E5654,"°","º"))-1)),""))))</f>
        <v/>
      </c>
      <c r="O5654" s="2">
        <f>IF(OR(F5654="",G5654=""),"",IF(G5654&lt;='RETRATO 2027'!$K$5,"CONCLUÍDA",IF(F5654&lt;='RETRATO 2027'!$K$5,"EM ANDAMENTO","A INICIAR")))</f>
        <v/>
      </c>
    </row>
    <row r="5655">
      <c r="M5655" s="2">
        <f>IF(C5655="","",IFERROR(INDEX($S$5:$S$304,MATCH(C5655,$R$5:$R$304,0))&amp;"","?"))</f>
        <v/>
      </c>
      <c r="N5655" s="2">
        <f>IF(E5655="","",IF(ISNUMBER(SEARCH("SUBSOLO",E5655)),IFERROR(-VALUE(LEFT(E5655,FIND("º",SUBSTITUTE(E5655,"°","º"))-1)),-1),IF(LEFT(E5655,6)="TÉRREO",0,IFERROR(VALUE(LEFT(E5655,FIND("º",SUBSTITUTE(E5655,"°","º"))-1)),""))))</f>
        <v/>
      </c>
      <c r="O5655" s="2">
        <f>IF(OR(F5655="",G5655=""),"",IF(G5655&lt;='RETRATO 2027'!$K$5,"CONCLUÍDA",IF(F5655&lt;='RETRATO 2027'!$K$5,"EM ANDAMENTO","A INICIAR")))</f>
        <v/>
      </c>
    </row>
    <row r="5656">
      <c r="M5656" s="2">
        <f>IF(C5656="","",IFERROR(INDEX($S$5:$S$304,MATCH(C5656,$R$5:$R$304,0))&amp;"","?"))</f>
        <v/>
      </c>
      <c r="N5656" s="2">
        <f>IF(E5656="","",IF(ISNUMBER(SEARCH("SUBSOLO",E5656)),IFERROR(-VALUE(LEFT(E5656,FIND("º",SUBSTITUTE(E5656,"°","º"))-1)),-1),IF(LEFT(E5656,6)="TÉRREO",0,IFERROR(VALUE(LEFT(E5656,FIND("º",SUBSTITUTE(E5656,"°","º"))-1)),""))))</f>
        <v/>
      </c>
      <c r="O5656" s="2">
        <f>IF(OR(F5656="",G5656=""),"",IF(G5656&lt;='RETRATO 2027'!$K$5,"CONCLUÍDA",IF(F5656&lt;='RETRATO 2027'!$K$5,"EM ANDAMENTO","A INICIAR")))</f>
        <v/>
      </c>
    </row>
    <row r="5657">
      <c r="M5657" s="2">
        <f>IF(C5657="","",IFERROR(INDEX($S$5:$S$304,MATCH(C5657,$R$5:$R$304,0))&amp;"","?"))</f>
        <v/>
      </c>
      <c r="N5657" s="2">
        <f>IF(E5657="","",IF(ISNUMBER(SEARCH("SUBSOLO",E5657)),IFERROR(-VALUE(LEFT(E5657,FIND("º",SUBSTITUTE(E5657,"°","º"))-1)),-1),IF(LEFT(E5657,6)="TÉRREO",0,IFERROR(VALUE(LEFT(E5657,FIND("º",SUBSTITUTE(E5657,"°","º"))-1)),""))))</f>
        <v/>
      </c>
      <c r="O5657" s="2">
        <f>IF(OR(F5657="",G5657=""),"",IF(G5657&lt;='RETRATO 2027'!$K$5,"CONCLUÍDA",IF(F5657&lt;='RETRATO 2027'!$K$5,"EM ANDAMENTO","A INICIAR")))</f>
        <v/>
      </c>
    </row>
    <row r="5658">
      <c r="M5658" s="2">
        <f>IF(C5658="","",IFERROR(INDEX($S$5:$S$304,MATCH(C5658,$R$5:$R$304,0))&amp;"","?"))</f>
        <v/>
      </c>
      <c r="N5658" s="2">
        <f>IF(E5658="","",IF(ISNUMBER(SEARCH("SUBSOLO",E5658)),IFERROR(-VALUE(LEFT(E5658,FIND("º",SUBSTITUTE(E5658,"°","º"))-1)),-1),IF(LEFT(E5658,6)="TÉRREO",0,IFERROR(VALUE(LEFT(E5658,FIND("º",SUBSTITUTE(E5658,"°","º"))-1)),""))))</f>
        <v/>
      </c>
      <c r="O5658" s="2">
        <f>IF(OR(F5658="",G5658=""),"",IF(G5658&lt;='RETRATO 2027'!$K$5,"CONCLUÍDA",IF(F5658&lt;='RETRATO 2027'!$K$5,"EM ANDAMENTO","A INICIAR")))</f>
        <v/>
      </c>
    </row>
    <row r="5659">
      <c r="M5659" s="2">
        <f>IF(C5659="","",IFERROR(INDEX($S$5:$S$304,MATCH(C5659,$R$5:$R$304,0))&amp;"","?"))</f>
        <v/>
      </c>
      <c r="N5659" s="2">
        <f>IF(E5659="","",IF(ISNUMBER(SEARCH("SUBSOLO",E5659)),IFERROR(-VALUE(LEFT(E5659,FIND("º",SUBSTITUTE(E5659,"°","º"))-1)),-1),IF(LEFT(E5659,6)="TÉRREO",0,IFERROR(VALUE(LEFT(E5659,FIND("º",SUBSTITUTE(E5659,"°","º"))-1)),""))))</f>
        <v/>
      </c>
      <c r="O5659" s="2">
        <f>IF(OR(F5659="",G5659=""),"",IF(G5659&lt;='RETRATO 2027'!$K$5,"CONCLUÍDA",IF(F5659&lt;='RETRATO 2027'!$K$5,"EM ANDAMENTO","A INICIAR")))</f>
        <v/>
      </c>
    </row>
    <row r="5660">
      <c r="M5660" s="2">
        <f>IF(C5660="","",IFERROR(INDEX($S$5:$S$304,MATCH(C5660,$R$5:$R$304,0))&amp;"","?"))</f>
        <v/>
      </c>
      <c r="N5660" s="2">
        <f>IF(E5660="","",IF(ISNUMBER(SEARCH("SUBSOLO",E5660)),IFERROR(-VALUE(LEFT(E5660,FIND("º",SUBSTITUTE(E5660,"°","º"))-1)),-1),IF(LEFT(E5660,6)="TÉRREO",0,IFERROR(VALUE(LEFT(E5660,FIND("º",SUBSTITUTE(E5660,"°","º"))-1)),""))))</f>
        <v/>
      </c>
      <c r="O5660" s="2">
        <f>IF(OR(F5660="",G5660=""),"",IF(G5660&lt;='RETRATO 2027'!$K$5,"CONCLUÍDA",IF(F5660&lt;='RETRATO 2027'!$K$5,"EM ANDAMENTO","A INICIAR")))</f>
        <v/>
      </c>
    </row>
    <row r="5661">
      <c r="M5661" s="2">
        <f>IF(C5661="","",IFERROR(INDEX($S$5:$S$304,MATCH(C5661,$R$5:$R$304,0))&amp;"","?"))</f>
        <v/>
      </c>
      <c r="N5661" s="2">
        <f>IF(E5661="","",IF(ISNUMBER(SEARCH("SUBSOLO",E5661)),IFERROR(-VALUE(LEFT(E5661,FIND("º",SUBSTITUTE(E5661,"°","º"))-1)),-1),IF(LEFT(E5661,6)="TÉRREO",0,IFERROR(VALUE(LEFT(E5661,FIND("º",SUBSTITUTE(E5661,"°","º"))-1)),""))))</f>
        <v/>
      </c>
      <c r="O5661" s="2">
        <f>IF(OR(F5661="",G5661=""),"",IF(G5661&lt;='RETRATO 2027'!$K$5,"CONCLUÍDA",IF(F5661&lt;='RETRATO 2027'!$K$5,"EM ANDAMENTO","A INICIAR")))</f>
        <v/>
      </c>
    </row>
    <row r="5662">
      <c r="M5662" s="2">
        <f>IF(C5662="","",IFERROR(INDEX($S$5:$S$304,MATCH(C5662,$R$5:$R$304,0))&amp;"","?"))</f>
        <v/>
      </c>
      <c r="N5662" s="2">
        <f>IF(E5662="","",IF(ISNUMBER(SEARCH("SUBSOLO",E5662)),IFERROR(-VALUE(LEFT(E5662,FIND("º",SUBSTITUTE(E5662,"°","º"))-1)),-1),IF(LEFT(E5662,6)="TÉRREO",0,IFERROR(VALUE(LEFT(E5662,FIND("º",SUBSTITUTE(E5662,"°","º"))-1)),""))))</f>
        <v/>
      </c>
      <c r="O5662" s="2">
        <f>IF(OR(F5662="",G5662=""),"",IF(G5662&lt;='RETRATO 2027'!$K$5,"CONCLUÍDA",IF(F5662&lt;='RETRATO 2027'!$K$5,"EM ANDAMENTO","A INICIAR")))</f>
        <v/>
      </c>
    </row>
    <row r="5663">
      <c r="M5663" s="2">
        <f>IF(C5663="","",IFERROR(INDEX($S$5:$S$304,MATCH(C5663,$R$5:$R$304,0))&amp;"","?"))</f>
        <v/>
      </c>
      <c r="N5663" s="2">
        <f>IF(E5663="","",IF(ISNUMBER(SEARCH("SUBSOLO",E5663)),IFERROR(-VALUE(LEFT(E5663,FIND("º",SUBSTITUTE(E5663,"°","º"))-1)),-1),IF(LEFT(E5663,6)="TÉRREO",0,IFERROR(VALUE(LEFT(E5663,FIND("º",SUBSTITUTE(E5663,"°","º"))-1)),""))))</f>
        <v/>
      </c>
      <c r="O5663" s="2">
        <f>IF(OR(F5663="",G5663=""),"",IF(G5663&lt;='RETRATO 2027'!$K$5,"CONCLUÍDA",IF(F5663&lt;='RETRATO 2027'!$K$5,"EM ANDAMENTO","A INICIAR")))</f>
        <v/>
      </c>
    </row>
    <row r="5664">
      <c r="M5664" s="2">
        <f>IF(C5664="","",IFERROR(INDEX($S$5:$S$304,MATCH(C5664,$R$5:$R$304,0))&amp;"","?"))</f>
        <v/>
      </c>
      <c r="N5664" s="2">
        <f>IF(E5664="","",IF(ISNUMBER(SEARCH("SUBSOLO",E5664)),IFERROR(-VALUE(LEFT(E5664,FIND("º",SUBSTITUTE(E5664,"°","º"))-1)),-1),IF(LEFT(E5664,6)="TÉRREO",0,IFERROR(VALUE(LEFT(E5664,FIND("º",SUBSTITUTE(E5664,"°","º"))-1)),""))))</f>
        <v/>
      </c>
      <c r="O5664" s="2">
        <f>IF(OR(F5664="",G5664=""),"",IF(G5664&lt;='RETRATO 2027'!$K$5,"CONCLUÍDA",IF(F5664&lt;='RETRATO 2027'!$K$5,"EM ANDAMENTO","A INICIAR")))</f>
        <v/>
      </c>
    </row>
    <row r="5665">
      <c r="M5665" s="2">
        <f>IF(C5665="","",IFERROR(INDEX($S$5:$S$304,MATCH(C5665,$R$5:$R$304,0))&amp;"","?"))</f>
        <v/>
      </c>
      <c r="N5665" s="2">
        <f>IF(E5665="","",IF(ISNUMBER(SEARCH("SUBSOLO",E5665)),IFERROR(-VALUE(LEFT(E5665,FIND("º",SUBSTITUTE(E5665,"°","º"))-1)),-1),IF(LEFT(E5665,6)="TÉRREO",0,IFERROR(VALUE(LEFT(E5665,FIND("º",SUBSTITUTE(E5665,"°","º"))-1)),""))))</f>
        <v/>
      </c>
      <c r="O5665" s="2">
        <f>IF(OR(F5665="",G5665=""),"",IF(G5665&lt;='RETRATO 2027'!$K$5,"CONCLUÍDA",IF(F5665&lt;='RETRATO 2027'!$K$5,"EM ANDAMENTO","A INICIAR")))</f>
        <v/>
      </c>
    </row>
    <row r="5666">
      <c r="M5666" s="2">
        <f>IF(C5666="","",IFERROR(INDEX($S$5:$S$304,MATCH(C5666,$R$5:$R$304,0))&amp;"","?"))</f>
        <v/>
      </c>
      <c r="N5666" s="2">
        <f>IF(E5666="","",IF(ISNUMBER(SEARCH("SUBSOLO",E5666)),IFERROR(-VALUE(LEFT(E5666,FIND("º",SUBSTITUTE(E5666,"°","º"))-1)),-1),IF(LEFT(E5666,6)="TÉRREO",0,IFERROR(VALUE(LEFT(E5666,FIND("º",SUBSTITUTE(E5666,"°","º"))-1)),""))))</f>
        <v/>
      </c>
      <c r="O5666" s="2">
        <f>IF(OR(F5666="",G5666=""),"",IF(G5666&lt;='RETRATO 2027'!$K$5,"CONCLUÍDA",IF(F5666&lt;='RETRATO 2027'!$K$5,"EM ANDAMENTO","A INICIAR")))</f>
        <v/>
      </c>
    </row>
    <row r="5667">
      <c r="M5667" s="2">
        <f>IF(C5667="","",IFERROR(INDEX($S$5:$S$304,MATCH(C5667,$R$5:$R$304,0))&amp;"","?"))</f>
        <v/>
      </c>
      <c r="N5667" s="2">
        <f>IF(E5667="","",IF(ISNUMBER(SEARCH("SUBSOLO",E5667)),IFERROR(-VALUE(LEFT(E5667,FIND("º",SUBSTITUTE(E5667,"°","º"))-1)),-1),IF(LEFT(E5667,6)="TÉRREO",0,IFERROR(VALUE(LEFT(E5667,FIND("º",SUBSTITUTE(E5667,"°","º"))-1)),""))))</f>
        <v/>
      </c>
      <c r="O5667" s="2">
        <f>IF(OR(F5667="",G5667=""),"",IF(G5667&lt;='RETRATO 2027'!$K$5,"CONCLUÍDA",IF(F5667&lt;='RETRATO 2027'!$K$5,"EM ANDAMENTO","A INICIAR")))</f>
        <v/>
      </c>
    </row>
    <row r="5668">
      <c r="M5668" s="2">
        <f>IF(C5668="","",IFERROR(INDEX($S$5:$S$304,MATCH(C5668,$R$5:$R$304,0))&amp;"","?"))</f>
        <v/>
      </c>
      <c r="N5668" s="2">
        <f>IF(E5668="","",IF(ISNUMBER(SEARCH("SUBSOLO",E5668)),IFERROR(-VALUE(LEFT(E5668,FIND("º",SUBSTITUTE(E5668,"°","º"))-1)),-1),IF(LEFT(E5668,6)="TÉRREO",0,IFERROR(VALUE(LEFT(E5668,FIND("º",SUBSTITUTE(E5668,"°","º"))-1)),""))))</f>
        <v/>
      </c>
      <c r="O5668" s="2">
        <f>IF(OR(F5668="",G5668=""),"",IF(G5668&lt;='RETRATO 2027'!$K$5,"CONCLUÍDA",IF(F5668&lt;='RETRATO 2027'!$K$5,"EM ANDAMENTO","A INICIAR")))</f>
        <v/>
      </c>
    </row>
    <row r="5669">
      <c r="M5669" s="2">
        <f>IF(C5669="","",IFERROR(INDEX($S$5:$S$304,MATCH(C5669,$R$5:$R$304,0))&amp;"","?"))</f>
        <v/>
      </c>
      <c r="N5669" s="2">
        <f>IF(E5669="","",IF(ISNUMBER(SEARCH("SUBSOLO",E5669)),IFERROR(-VALUE(LEFT(E5669,FIND("º",SUBSTITUTE(E5669,"°","º"))-1)),-1),IF(LEFT(E5669,6)="TÉRREO",0,IFERROR(VALUE(LEFT(E5669,FIND("º",SUBSTITUTE(E5669,"°","º"))-1)),""))))</f>
        <v/>
      </c>
      <c r="O5669" s="2">
        <f>IF(OR(F5669="",G5669=""),"",IF(G5669&lt;='RETRATO 2027'!$K$5,"CONCLUÍDA",IF(F5669&lt;='RETRATO 2027'!$K$5,"EM ANDAMENTO","A INICIAR")))</f>
        <v/>
      </c>
    </row>
    <row r="5670">
      <c r="M5670" s="2">
        <f>IF(C5670="","",IFERROR(INDEX($S$5:$S$304,MATCH(C5670,$R$5:$R$304,0))&amp;"","?"))</f>
        <v/>
      </c>
      <c r="N5670" s="2">
        <f>IF(E5670="","",IF(ISNUMBER(SEARCH("SUBSOLO",E5670)),IFERROR(-VALUE(LEFT(E5670,FIND("º",SUBSTITUTE(E5670,"°","º"))-1)),-1),IF(LEFT(E5670,6)="TÉRREO",0,IFERROR(VALUE(LEFT(E5670,FIND("º",SUBSTITUTE(E5670,"°","º"))-1)),""))))</f>
        <v/>
      </c>
      <c r="O5670" s="2">
        <f>IF(OR(F5670="",G5670=""),"",IF(G5670&lt;='RETRATO 2027'!$K$5,"CONCLUÍDA",IF(F5670&lt;='RETRATO 2027'!$K$5,"EM ANDAMENTO","A INICIAR")))</f>
        <v/>
      </c>
    </row>
    <row r="5671">
      <c r="M5671" s="2">
        <f>IF(C5671="","",IFERROR(INDEX($S$5:$S$304,MATCH(C5671,$R$5:$R$304,0))&amp;"","?"))</f>
        <v/>
      </c>
      <c r="N5671" s="2">
        <f>IF(E5671="","",IF(ISNUMBER(SEARCH("SUBSOLO",E5671)),IFERROR(-VALUE(LEFT(E5671,FIND("º",SUBSTITUTE(E5671,"°","º"))-1)),-1),IF(LEFT(E5671,6)="TÉRREO",0,IFERROR(VALUE(LEFT(E5671,FIND("º",SUBSTITUTE(E5671,"°","º"))-1)),""))))</f>
        <v/>
      </c>
      <c r="O5671" s="2">
        <f>IF(OR(F5671="",G5671=""),"",IF(G5671&lt;='RETRATO 2027'!$K$5,"CONCLUÍDA",IF(F5671&lt;='RETRATO 2027'!$K$5,"EM ANDAMENTO","A INICIAR")))</f>
        <v/>
      </c>
    </row>
    <row r="5672">
      <c r="M5672" s="2">
        <f>IF(C5672="","",IFERROR(INDEX($S$5:$S$304,MATCH(C5672,$R$5:$R$304,0))&amp;"","?"))</f>
        <v/>
      </c>
      <c r="N5672" s="2">
        <f>IF(E5672="","",IF(ISNUMBER(SEARCH("SUBSOLO",E5672)),IFERROR(-VALUE(LEFT(E5672,FIND("º",SUBSTITUTE(E5672,"°","º"))-1)),-1),IF(LEFT(E5672,6)="TÉRREO",0,IFERROR(VALUE(LEFT(E5672,FIND("º",SUBSTITUTE(E5672,"°","º"))-1)),""))))</f>
        <v/>
      </c>
      <c r="O5672" s="2">
        <f>IF(OR(F5672="",G5672=""),"",IF(G5672&lt;='RETRATO 2027'!$K$5,"CONCLUÍDA",IF(F5672&lt;='RETRATO 2027'!$K$5,"EM ANDAMENTO","A INICIAR")))</f>
        <v/>
      </c>
    </row>
    <row r="5673">
      <c r="M5673" s="2">
        <f>IF(C5673="","",IFERROR(INDEX($S$5:$S$304,MATCH(C5673,$R$5:$R$304,0))&amp;"","?"))</f>
        <v/>
      </c>
      <c r="N5673" s="2">
        <f>IF(E5673="","",IF(ISNUMBER(SEARCH("SUBSOLO",E5673)),IFERROR(-VALUE(LEFT(E5673,FIND("º",SUBSTITUTE(E5673,"°","º"))-1)),-1),IF(LEFT(E5673,6)="TÉRREO",0,IFERROR(VALUE(LEFT(E5673,FIND("º",SUBSTITUTE(E5673,"°","º"))-1)),""))))</f>
        <v/>
      </c>
      <c r="O5673" s="2">
        <f>IF(OR(F5673="",G5673=""),"",IF(G5673&lt;='RETRATO 2027'!$K$5,"CONCLUÍDA",IF(F5673&lt;='RETRATO 2027'!$K$5,"EM ANDAMENTO","A INICIAR")))</f>
        <v/>
      </c>
    </row>
    <row r="5674">
      <c r="M5674" s="2">
        <f>IF(C5674="","",IFERROR(INDEX($S$5:$S$304,MATCH(C5674,$R$5:$R$304,0))&amp;"","?"))</f>
        <v/>
      </c>
      <c r="N5674" s="2">
        <f>IF(E5674="","",IF(ISNUMBER(SEARCH("SUBSOLO",E5674)),IFERROR(-VALUE(LEFT(E5674,FIND("º",SUBSTITUTE(E5674,"°","º"))-1)),-1),IF(LEFT(E5674,6)="TÉRREO",0,IFERROR(VALUE(LEFT(E5674,FIND("º",SUBSTITUTE(E5674,"°","º"))-1)),""))))</f>
        <v/>
      </c>
      <c r="O5674" s="2">
        <f>IF(OR(F5674="",G5674=""),"",IF(G5674&lt;='RETRATO 2027'!$K$5,"CONCLUÍDA",IF(F5674&lt;='RETRATO 2027'!$K$5,"EM ANDAMENTO","A INICIAR")))</f>
        <v/>
      </c>
    </row>
    <row r="5675">
      <c r="M5675" s="2">
        <f>IF(C5675="","",IFERROR(INDEX($S$5:$S$304,MATCH(C5675,$R$5:$R$304,0))&amp;"","?"))</f>
        <v/>
      </c>
      <c r="N5675" s="2">
        <f>IF(E5675="","",IF(ISNUMBER(SEARCH("SUBSOLO",E5675)),IFERROR(-VALUE(LEFT(E5675,FIND("º",SUBSTITUTE(E5675,"°","º"))-1)),-1),IF(LEFT(E5675,6)="TÉRREO",0,IFERROR(VALUE(LEFT(E5675,FIND("º",SUBSTITUTE(E5675,"°","º"))-1)),""))))</f>
        <v/>
      </c>
      <c r="O5675" s="2">
        <f>IF(OR(F5675="",G5675=""),"",IF(G5675&lt;='RETRATO 2027'!$K$5,"CONCLUÍDA",IF(F5675&lt;='RETRATO 2027'!$K$5,"EM ANDAMENTO","A INICIAR")))</f>
        <v/>
      </c>
    </row>
    <row r="5676">
      <c r="M5676" s="2">
        <f>IF(C5676="","",IFERROR(INDEX($S$5:$S$304,MATCH(C5676,$R$5:$R$304,0))&amp;"","?"))</f>
        <v/>
      </c>
      <c r="N5676" s="2">
        <f>IF(E5676="","",IF(ISNUMBER(SEARCH("SUBSOLO",E5676)),IFERROR(-VALUE(LEFT(E5676,FIND("º",SUBSTITUTE(E5676,"°","º"))-1)),-1),IF(LEFT(E5676,6)="TÉRREO",0,IFERROR(VALUE(LEFT(E5676,FIND("º",SUBSTITUTE(E5676,"°","º"))-1)),""))))</f>
        <v/>
      </c>
      <c r="O5676" s="2">
        <f>IF(OR(F5676="",G5676=""),"",IF(G5676&lt;='RETRATO 2027'!$K$5,"CONCLUÍDA",IF(F5676&lt;='RETRATO 2027'!$K$5,"EM ANDAMENTO","A INICIAR")))</f>
        <v/>
      </c>
    </row>
    <row r="5677">
      <c r="M5677" s="2">
        <f>IF(C5677="","",IFERROR(INDEX($S$5:$S$304,MATCH(C5677,$R$5:$R$304,0))&amp;"","?"))</f>
        <v/>
      </c>
      <c r="N5677" s="2">
        <f>IF(E5677="","",IF(ISNUMBER(SEARCH("SUBSOLO",E5677)),IFERROR(-VALUE(LEFT(E5677,FIND("º",SUBSTITUTE(E5677,"°","º"))-1)),-1),IF(LEFT(E5677,6)="TÉRREO",0,IFERROR(VALUE(LEFT(E5677,FIND("º",SUBSTITUTE(E5677,"°","º"))-1)),""))))</f>
        <v/>
      </c>
      <c r="O5677" s="2">
        <f>IF(OR(F5677="",G5677=""),"",IF(G5677&lt;='RETRATO 2027'!$K$5,"CONCLUÍDA",IF(F5677&lt;='RETRATO 2027'!$K$5,"EM ANDAMENTO","A INICIAR")))</f>
        <v/>
      </c>
    </row>
    <row r="5678">
      <c r="M5678" s="2">
        <f>IF(C5678="","",IFERROR(INDEX($S$5:$S$304,MATCH(C5678,$R$5:$R$304,0))&amp;"","?"))</f>
        <v/>
      </c>
      <c r="N5678" s="2">
        <f>IF(E5678="","",IF(ISNUMBER(SEARCH("SUBSOLO",E5678)),IFERROR(-VALUE(LEFT(E5678,FIND("º",SUBSTITUTE(E5678,"°","º"))-1)),-1),IF(LEFT(E5678,6)="TÉRREO",0,IFERROR(VALUE(LEFT(E5678,FIND("º",SUBSTITUTE(E5678,"°","º"))-1)),""))))</f>
        <v/>
      </c>
      <c r="O5678" s="2">
        <f>IF(OR(F5678="",G5678=""),"",IF(G5678&lt;='RETRATO 2027'!$K$5,"CONCLUÍDA",IF(F5678&lt;='RETRATO 2027'!$K$5,"EM ANDAMENTO","A INICIAR")))</f>
        <v/>
      </c>
    </row>
    <row r="5679">
      <c r="M5679" s="2">
        <f>IF(C5679="","",IFERROR(INDEX($S$5:$S$304,MATCH(C5679,$R$5:$R$304,0))&amp;"","?"))</f>
        <v/>
      </c>
      <c r="N5679" s="2">
        <f>IF(E5679="","",IF(ISNUMBER(SEARCH("SUBSOLO",E5679)),IFERROR(-VALUE(LEFT(E5679,FIND("º",SUBSTITUTE(E5679,"°","º"))-1)),-1),IF(LEFT(E5679,6)="TÉRREO",0,IFERROR(VALUE(LEFT(E5679,FIND("º",SUBSTITUTE(E5679,"°","º"))-1)),""))))</f>
        <v/>
      </c>
      <c r="O5679" s="2">
        <f>IF(OR(F5679="",G5679=""),"",IF(G5679&lt;='RETRATO 2027'!$K$5,"CONCLUÍDA",IF(F5679&lt;='RETRATO 2027'!$K$5,"EM ANDAMENTO","A INICIAR")))</f>
        <v/>
      </c>
    </row>
    <row r="5680">
      <c r="M5680" s="2">
        <f>IF(C5680="","",IFERROR(INDEX($S$5:$S$304,MATCH(C5680,$R$5:$R$304,0))&amp;"","?"))</f>
        <v/>
      </c>
      <c r="N5680" s="2">
        <f>IF(E5680="","",IF(ISNUMBER(SEARCH("SUBSOLO",E5680)),IFERROR(-VALUE(LEFT(E5680,FIND("º",SUBSTITUTE(E5680,"°","º"))-1)),-1),IF(LEFT(E5680,6)="TÉRREO",0,IFERROR(VALUE(LEFT(E5680,FIND("º",SUBSTITUTE(E5680,"°","º"))-1)),""))))</f>
        <v/>
      </c>
      <c r="O5680" s="2">
        <f>IF(OR(F5680="",G5680=""),"",IF(G5680&lt;='RETRATO 2027'!$K$5,"CONCLUÍDA",IF(F5680&lt;='RETRATO 2027'!$K$5,"EM ANDAMENTO","A INICIAR")))</f>
        <v/>
      </c>
    </row>
    <row r="5681">
      <c r="M5681" s="2">
        <f>IF(C5681="","",IFERROR(INDEX($S$5:$S$304,MATCH(C5681,$R$5:$R$304,0))&amp;"","?"))</f>
        <v/>
      </c>
      <c r="N5681" s="2">
        <f>IF(E5681="","",IF(ISNUMBER(SEARCH("SUBSOLO",E5681)),IFERROR(-VALUE(LEFT(E5681,FIND("º",SUBSTITUTE(E5681,"°","º"))-1)),-1),IF(LEFT(E5681,6)="TÉRREO",0,IFERROR(VALUE(LEFT(E5681,FIND("º",SUBSTITUTE(E5681,"°","º"))-1)),""))))</f>
        <v/>
      </c>
      <c r="O5681" s="2">
        <f>IF(OR(F5681="",G5681=""),"",IF(G5681&lt;='RETRATO 2027'!$K$5,"CONCLUÍDA",IF(F5681&lt;='RETRATO 2027'!$K$5,"EM ANDAMENTO","A INICIAR")))</f>
        <v/>
      </c>
    </row>
    <row r="5682">
      <c r="M5682" s="2">
        <f>IF(C5682="","",IFERROR(INDEX($S$5:$S$304,MATCH(C5682,$R$5:$R$304,0))&amp;"","?"))</f>
        <v/>
      </c>
      <c r="N5682" s="2">
        <f>IF(E5682="","",IF(ISNUMBER(SEARCH("SUBSOLO",E5682)),IFERROR(-VALUE(LEFT(E5682,FIND("º",SUBSTITUTE(E5682,"°","º"))-1)),-1),IF(LEFT(E5682,6)="TÉRREO",0,IFERROR(VALUE(LEFT(E5682,FIND("º",SUBSTITUTE(E5682,"°","º"))-1)),""))))</f>
        <v/>
      </c>
      <c r="O5682" s="2">
        <f>IF(OR(F5682="",G5682=""),"",IF(G5682&lt;='RETRATO 2027'!$K$5,"CONCLUÍDA",IF(F5682&lt;='RETRATO 2027'!$K$5,"EM ANDAMENTO","A INICIAR")))</f>
        <v/>
      </c>
    </row>
    <row r="5683">
      <c r="M5683" s="2">
        <f>IF(C5683="","",IFERROR(INDEX($S$5:$S$304,MATCH(C5683,$R$5:$R$304,0))&amp;"","?"))</f>
        <v/>
      </c>
      <c r="N5683" s="2">
        <f>IF(E5683="","",IF(ISNUMBER(SEARCH("SUBSOLO",E5683)),IFERROR(-VALUE(LEFT(E5683,FIND("º",SUBSTITUTE(E5683,"°","º"))-1)),-1),IF(LEFT(E5683,6)="TÉRREO",0,IFERROR(VALUE(LEFT(E5683,FIND("º",SUBSTITUTE(E5683,"°","º"))-1)),""))))</f>
        <v/>
      </c>
      <c r="O5683" s="2">
        <f>IF(OR(F5683="",G5683=""),"",IF(G5683&lt;='RETRATO 2027'!$K$5,"CONCLUÍDA",IF(F5683&lt;='RETRATO 2027'!$K$5,"EM ANDAMENTO","A INICIAR")))</f>
        <v/>
      </c>
    </row>
    <row r="5684">
      <c r="M5684" s="2">
        <f>IF(C5684="","",IFERROR(INDEX($S$5:$S$304,MATCH(C5684,$R$5:$R$304,0))&amp;"","?"))</f>
        <v/>
      </c>
      <c r="N5684" s="2">
        <f>IF(E5684="","",IF(ISNUMBER(SEARCH("SUBSOLO",E5684)),IFERROR(-VALUE(LEFT(E5684,FIND("º",SUBSTITUTE(E5684,"°","º"))-1)),-1),IF(LEFT(E5684,6)="TÉRREO",0,IFERROR(VALUE(LEFT(E5684,FIND("º",SUBSTITUTE(E5684,"°","º"))-1)),""))))</f>
        <v/>
      </c>
      <c r="O5684" s="2">
        <f>IF(OR(F5684="",G5684=""),"",IF(G5684&lt;='RETRATO 2027'!$K$5,"CONCLUÍDA",IF(F5684&lt;='RETRATO 2027'!$K$5,"EM ANDAMENTO","A INICIAR")))</f>
        <v/>
      </c>
    </row>
    <row r="5685">
      <c r="M5685" s="2">
        <f>IF(C5685="","",IFERROR(INDEX($S$5:$S$304,MATCH(C5685,$R$5:$R$304,0))&amp;"","?"))</f>
        <v/>
      </c>
      <c r="N5685" s="2">
        <f>IF(E5685="","",IF(ISNUMBER(SEARCH("SUBSOLO",E5685)),IFERROR(-VALUE(LEFT(E5685,FIND("º",SUBSTITUTE(E5685,"°","º"))-1)),-1),IF(LEFT(E5685,6)="TÉRREO",0,IFERROR(VALUE(LEFT(E5685,FIND("º",SUBSTITUTE(E5685,"°","º"))-1)),""))))</f>
        <v/>
      </c>
      <c r="O5685" s="2">
        <f>IF(OR(F5685="",G5685=""),"",IF(G5685&lt;='RETRATO 2027'!$K$5,"CONCLUÍDA",IF(F5685&lt;='RETRATO 2027'!$K$5,"EM ANDAMENTO","A INICIAR")))</f>
        <v/>
      </c>
    </row>
    <row r="5686">
      <c r="M5686" s="2">
        <f>IF(C5686="","",IFERROR(INDEX($S$5:$S$304,MATCH(C5686,$R$5:$R$304,0))&amp;"","?"))</f>
        <v/>
      </c>
      <c r="N5686" s="2">
        <f>IF(E5686="","",IF(ISNUMBER(SEARCH("SUBSOLO",E5686)),IFERROR(-VALUE(LEFT(E5686,FIND("º",SUBSTITUTE(E5686,"°","º"))-1)),-1),IF(LEFT(E5686,6)="TÉRREO",0,IFERROR(VALUE(LEFT(E5686,FIND("º",SUBSTITUTE(E5686,"°","º"))-1)),""))))</f>
        <v/>
      </c>
      <c r="O5686" s="2">
        <f>IF(OR(F5686="",G5686=""),"",IF(G5686&lt;='RETRATO 2027'!$K$5,"CONCLUÍDA",IF(F5686&lt;='RETRATO 2027'!$K$5,"EM ANDAMENTO","A INICIAR")))</f>
        <v/>
      </c>
    </row>
    <row r="5687">
      <c r="M5687" s="2">
        <f>IF(C5687="","",IFERROR(INDEX($S$5:$S$304,MATCH(C5687,$R$5:$R$304,0))&amp;"","?"))</f>
        <v/>
      </c>
      <c r="N5687" s="2">
        <f>IF(E5687="","",IF(ISNUMBER(SEARCH("SUBSOLO",E5687)),IFERROR(-VALUE(LEFT(E5687,FIND("º",SUBSTITUTE(E5687,"°","º"))-1)),-1),IF(LEFT(E5687,6)="TÉRREO",0,IFERROR(VALUE(LEFT(E5687,FIND("º",SUBSTITUTE(E5687,"°","º"))-1)),""))))</f>
        <v/>
      </c>
      <c r="O5687" s="2">
        <f>IF(OR(F5687="",G5687=""),"",IF(G5687&lt;='RETRATO 2027'!$K$5,"CONCLUÍDA",IF(F5687&lt;='RETRATO 2027'!$K$5,"EM ANDAMENTO","A INICIAR")))</f>
        <v/>
      </c>
    </row>
    <row r="5688">
      <c r="M5688" s="2">
        <f>IF(C5688="","",IFERROR(INDEX($S$5:$S$304,MATCH(C5688,$R$5:$R$304,0))&amp;"","?"))</f>
        <v/>
      </c>
      <c r="N5688" s="2">
        <f>IF(E5688="","",IF(ISNUMBER(SEARCH("SUBSOLO",E5688)),IFERROR(-VALUE(LEFT(E5688,FIND("º",SUBSTITUTE(E5688,"°","º"))-1)),-1),IF(LEFT(E5688,6)="TÉRREO",0,IFERROR(VALUE(LEFT(E5688,FIND("º",SUBSTITUTE(E5688,"°","º"))-1)),""))))</f>
        <v/>
      </c>
      <c r="O5688" s="2">
        <f>IF(OR(F5688="",G5688=""),"",IF(G5688&lt;='RETRATO 2027'!$K$5,"CONCLUÍDA",IF(F5688&lt;='RETRATO 2027'!$K$5,"EM ANDAMENTO","A INICIAR")))</f>
        <v/>
      </c>
    </row>
    <row r="5689">
      <c r="M5689" s="2">
        <f>IF(C5689="","",IFERROR(INDEX($S$5:$S$304,MATCH(C5689,$R$5:$R$304,0))&amp;"","?"))</f>
        <v/>
      </c>
      <c r="N5689" s="2">
        <f>IF(E5689="","",IF(ISNUMBER(SEARCH("SUBSOLO",E5689)),IFERROR(-VALUE(LEFT(E5689,FIND("º",SUBSTITUTE(E5689,"°","º"))-1)),-1),IF(LEFT(E5689,6)="TÉRREO",0,IFERROR(VALUE(LEFT(E5689,FIND("º",SUBSTITUTE(E5689,"°","º"))-1)),""))))</f>
        <v/>
      </c>
      <c r="O5689" s="2">
        <f>IF(OR(F5689="",G5689=""),"",IF(G5689&lt;='RETRATO 2027'!$K$5,"CONCLUÍDA",IF(F5689&lt;='RETRATO 2027'!$K$5,"EM ANDAMENTO","A INICIAR")))</f>
        <v/>
      </c>
    </row>
    <row r="5690">
      <c r="M5690" s="2">
        <f>IF(C5690="","",IFERROR(INDEX($S$5:$S$304,MATCH(C5690,$R$5:$R$304,0))&amp;"","?"))</f>
        <v/>
      </c>
      <c r="N5690" s="2">
        <f>IF(E5690="","",IF(ISNUMBER(SEARCH("SUBSOLO",E5690)),IFERROR(-VALUE(LEFT(E5690,FIND("º",SUBSTITUTE(E5690,"°","º"))-1)),-1),IF(LEFT(E5690,6)="TÉRREO",0,IFERROR(VALUE(LEFT(E5690,FIND("º",SUBSTITUTE(E5690,"°","º"))-1)),""))))</f>
        <v/>
      </c>
      <c r="O5690" s="2">
        <f>IF(OR(F5690="",G5690=""),"",IF(G5690&lt;='RETRATO 2027'!$K$5,"CONCLUÍDA",IF(F5690&lt;='RETRATO 2027'!$K$5,"EM ANDAMENTO","A INICIAR")))</f>
        <v/>
      </c>
    </row>
    <row r="5691">
      <c r="M5691" s="2">
        <f>IF(C5691="","",IFERROR(INDEX($S$5:$S$304,MATCH(C5691,$R$5:$R$304,0))&amp;"","?"))</f>
        <v/>
      </c>
      <c r="N5691" s="2">
        <f>IF(E5691="","",IF(ISNUMBER(SEARCH("SUBSOLO",E5691)),IFERROR(-VALUE(LEFT(E5691,FIND("º",SUBSTITUTE(E5691,"°","º"))-1)),-1),IF(LEFT(E5691,6)="TÉRREO",0,IFERROR(VALUE(LEFT(E5691,FIND("º",SUBSTITUTE(E5691,"°","º"))-1)),""))))</f>
        <v/>
      </c>
      <c r="O5691" s="2">
        <f>IF(OR(F5691="",G5691=""),"",IF(G5691&lt;='RETRATO 2027'!$K$5,"CONCLUÍDA",IF(F5691&lt;='RETRATO 2027'!$K$5,"EM ANDAMENTO","A INICIAR")))</f>
        <v/>
      </c>
    </row>
    <row r="5692">
      <c r="M5692" s="2">
        <f>IF(C5692="","",IFERROR(INDEX($S$5:$S$304,MATCH(C5692,$R$5:$R$304,0))&amp;"","?"))</f>
        <v/>
      </c>
      <c r="N5692" s="2">
        <f>IF(E5692="","",IF(ISNUMBER(SEARCH("SUBSOLO",E5692)),IFERROR(-VALUE(LEFT(E5692,FIND("º",SUBSTITUTE(E5692,"°","º"))-1)),-1),IF(LEFT(E5692,6)="TÉRREO",0,IFERROR(VALUE(LEFT(E5692,FIND("º",SUBSTITUTE(E5692,"°","º"))-1)),""))))</f>
        <v/>
      </c>
      <c r="O5692" s="2">
        <f>IF(OR(F5692="",G5692=""),"",IF(G5692&lt;='RETRATO 2027'!$K$5,"CONCLUÍDA",IF(F5692&lt;='RETRATO 2027'!$K$5,"EM ANDAMENTO","A INICIAR")))</f>
        <v/>
      </c>
    </row>
    <row r="5693">
      <c r="M5693" s="2">
        <f>IF(C5693="","",IFERROR(INDEX($S$5:$S$304,MATCH(C5693,$R$5:$R$304,0))&amp;"","?"))</f>
        <v/>
      </c>
      <c r="N5693" s="2">
        <f>IF(E5693="","",IF(ISNUMBER(SEARCH("SUBSOLO",E5693)),IFERROR(-VALUE(LEFT(E5693,FIND("º",SUBSTITUTE(E5693,"°","º"))-1)),-1),IF(LEFT(E5693,6)="TÉRREO",0,IFERROR(VALUE(LEFT(E5693,FIND("º",SUBSTITUTE(E5693,"°","º"))-1)),""))))</f>
        <v/>
      </c>
      <c r="O5693" s="2">
        <f>IF(OR(F5693="",G5693=""),"",IF(G5693&lt;='RETRATO 2027'!$K$5,"CONCLUÍDA",IF(F5693&lt;='RETRATO 2027'!$K$5,"EM ANDAMENTO","A INICIAR")))</f>
        <v/>
      </c>
    </row>
    <row r="5694">
      <c r="M5694" s="2">
        <f>IF(C5694="","",IFERROR(INDEX($S$5:$S$304,MATCH(C5694,$R$5:$R$304,0))&amp;"","?"))</f>
        <v/>
      </c>
      <c r="N5694" s="2">
        <f>IF(E5694="","",IF(ISNUMBER(SEARCH("SUBSOLO",E5694)),IFERROR(-VALUE(LEFT(E5694,FIND("º",SUBSTITUTE(E5694,"°","º"))-1)),-1),IF(LEFT(E5694,6)="TÉRREO",0,IFERROR(VALUE(LEFT(E5694,FIND("º",SUBSTITUTE(E5694,"°","º"))-1)),""))))</f>
        <v/>
      </c>
      <c r="O5694" s="2">
        <f>IF(OR(F5694="",G5694=""),"",IF(G5694&lt;='RETRATO 2027'!$K$5,"CONCLUÍDA",IF(F5694&lt;='RETRATO 2027'!$K$5,"EM ANDAMENTO","A INICIAR")))</f>
        <v/>
      </c>
    </row>
    <row r="5695">
      <c r="M5695" s="2">
        <f>IF(C5695="","",IFERROR(INDEX($S$5:$S$304,MATCH(C5695,$R$5:$R$304,0))&amp;"","?"))</f>
        <v/>
      </c>
      <c r="N5695" s="2">
        <f>IF(E5695="","",IF(ISNUMBER(SEARCH("SUBSOLO",E5695)),IFERROR(-VALUE(LEFT(E5695,FIND("º",SUBSTITUTE(E5695,"°","º"))-1)),-1),IF(LEFT(E5695,6)="TÉRREO",0,IFERROR(VALUE(LEFT(E5695,FIND("º",SUBSTITUTE(E5695,"°","º"))-1)),""))))</f>
        <v/>
      </c>
      <c r="O5695" s="2">
        <f>IF(OR(F5695="",G5695=""),"",IF(G5695&lt;='RETRATO 2027'!$K$5,"CONCLUÍDA",IF(F5695&lt;='RETRATO 2027'!$K$5,"EM ANDAMENTO","A INICIAR")))</f>
        <v/>
      </c>
    </row>
    <row r="5696">
      <c r="M5696" s="2">
        <f>IF(C5696="","",IFERROR(INDEX($S$5:$S$304,MATCH(C5696,$R$5:$R$304,0))&amp;"","?"))</f>
        <v/>
      </c>
      <c r="N5696" s="2">
        <f>IF(E5696="","",IF(ISNUMBER(SEARCH("SUBSOLO",E5696)),IFERROR(-VALUE(LEFT(E5696,FIND("º",SUBSTITUTE(E5696,"°","º"))-1)),-1),IF(LEFT(E5696,6)="TÉRREO",0,IFERROR(VALUE(LEFT(E5696,FIND("º",SUBSTITUTE(E5696,"°","º"))-1)),""))))</f>
        <v/>
      </c>
      <c r="O5696" s="2">
        <f>IF(OR(F5696="",G5696=""),"",IF(G5696&lt;='RETRATO 2027'!$K$5,"CONCLUÍDA",IF(F5696&lt;='RETRATO 2027'!$K$5,"EM ANDAMENTO","A INICIAR")))</f>
        <v/>
      </c>
    </row>
    <row r="5697">
      <c r="M5697" s="2">
        <f>IF(C5697="","",IFERROR(INDEX($S$5:$S$304,MATCH(C5697,$R$5:$R$304,0))&amp;"","?"))</f>
        <v/>
      </c>
      <c r="N5697" s="2">
        <f>IF(E5697="","",IF(ISNUMBER(SEARCH("SUBSOLO",E5697)),IFERROR(-VALUE(LEFT(E5697,FIND("º",SUBSTITUTE(E5697,"°","º"))-1)),-1),IF(LEFT(E5697,6)="TÉRREO",0,IFERROR(VALUE(LEFT(E5697,FIND("º",SUBSTITUTE(E5697,"°","º"))-1)),""))))</f>
        <v/>
      </c>
      <c r="O5697" s="2">
        <f>IF(OR(F5697="",G5697=""),"",IF(G5697&lt;='RETRATO 2027'!$K$5,"CONCLUÍDA",IF(F5697&lt;='RETRATO 2027'!$K$5,"EM ANDAMENTO","A INICIAR")))</f>
        <v/>
      </c>
    </row>
    <row r="5698">
      <c r="M5698" s="2">
        <f>IF(C5698="","",IFERROR(INDEX($S$5:$S$304,MATCH(C5698,$R$5:$R$304,0))&amp;"","?"))</f>
        <v/>
      </c>
      <c r="N5698" s="2">
        <f>IF(E5698="","",IF(ISNUMBER(SEARCH("SUBSOLO",E5698)),IFERROR(-VALUE(LEFT(E5698,FIND("º",SUBSTITUTE(E5698,"°","º"))-1)),-1),IF(LEFT(E5698,6)="TÉRREO",0,IFERROR(VALUE(LEFT(E5698,FIND("º",SUBSTITUTE(E5698,"°","º"))-1)),""))))</f>
        <v/>
      </c>
      <c r="O5698" s="2">
        <f>IF(OR(F5698="",G5698=""),"",IF(G5698&lt;='RETRATO 2027'!$K$5,"CONCLUÍDA",IF(F5698&lt;='RETRATO 2027'!$K$5,"EM ANDAMENTO","A INICIAR")))</f>
        <v/>
      </c>
    </row>
    <row r="5699">
      <c r="M5699" s="2">
        <f>IF(C5699="","",IFERROR(INDEX($S$5:$S$304,MATCH(C5699,$R$5:$R$304,0))&amp;"","?"))</f>
        <v/>
      </c>
      <c r="N5699" s="2">
        <f>IF(E5699="","",IF(ISNUMBER(SEARCH("SUBSOLO",E5699)),IFERROR(-VALUE(LEFT(E5699,FIND("º",SUBSTITUTE(E5699,"°","º"))-1)),-1),IF(LEFT(E5699,6)="TÉRREO",0,IFERROR(VALUE(LEFT(E5699,FIND("º",SUBSTITUTE(E5699,"°","º"))-1)),""))))</f>
        <v/>
      </c>
      <c r="O5699" s="2">
        <f>IF(OR(F5699="",G5699=""),"",IF(G5699&lt;='RETRATO 2027'!$K$5,"CONCLUÍDA",IF(F5699&lt;='RETRATO 2027'!$K$5,"EM ANDAMENTO","A INICIAR")))</f>
        <v/>
      </c>
    </row>
    <row r="5700">
      <c r="M5700" s="2">
        <f>IF(C5700="","",IFERROR(INDEX($S$5:$S$304,MATCH(C5700,$R$5:$R$304,0))&amp;"","?"))</f>
        <v/>
      </c>
      <c r="N5700" s="2">
        <f>IF(E5700="","",IF(ISNUMBER(SEARCH("SUBSOLO",E5700)),IFERROR(-VALUE(LEFT(E5700,FIND("º",SUBSTITUTE(E5700,"°","º"))-1)),-1),IF(LEFT(E5700,6)="TÉRREO",0,IFERROR(VALUE(LEFT(E5700,FIND("º",SUBSTITUTE(E5700,"°","º"))-1)),""))))</f>
        <v/>
      </c>
      <c r="O5700" s="2">
        <f>IF(OR(F5700="",G5700=""),"",IF(G5700&lt;='RETRATO 2027'!$K$5,"CONCLUÍDA",IF(F5700&lt;='RETRATO 2027'!$K$5,"EM ANDAMENTO","A INICIAR")))</f>
        <v/>
      </c>
    </row>
    <row r="5701">
      <c r="M5701" s="2">
        <f>IF(C5701="","",IFERROR(INDEX($S$5:$S$304,MATCH(C5701,$R$5:$R$304,0))&amp;"","?"))</f>
        <v/>
      </c>
      <c r="N5701" s="2">
        <f>IF(E5701="","",IF(ISNUMBER(SEARCH("SUBSOLO",E5701)),IFERROR(-VALUE(LEFT(E5701,FIND("º",SUBSTITUTE(E5701,"°","º"))-1)),-1),IF(LEFT(E5701,6)="TÉRREO",0,IFERROR(VALUE(LEFT(E5701,FIND("º",SUBSTITUTE(E5701,"°","º"))-1)),""))))</f>
        <v/>
      </c>
      <c r="O5701" s="2">
        <f>IF(OR(F5701="",G5701=""),"",IF(G5701&lt;='RETRATO 2027'!$K$5,"CONCLUÍDA",IF(F5701&lt;='RETRATO 2027'!$K$5,"EM ANDAMENTO","A INICIAR")))</f>
        <v/>
      </c>
    </row>
    <row r="5702">
      <c r="M5702" s="2">
        <f>IF(C5702="","",IFERROR(INDEX($S$5:$S$304,MATCH(C5702,$R$5:$R$304,0))&amp;"","?"))</f>
        <v/>
      </c>
      <c r="N5702" s="2">
        <f>IF(E5702="","",IF(ISNUMBER(SEARCH("SUBSOLO",E5702)),IFERROR(-VALUE(LEFT(E5702,FIND("º",SUBSTITUTE(E5702,"°","º"))-1)),-1),IF(LEFT(E5702,6)="TÉRREO",0,IFERROR(VALUE(LEFT(E5702,FIND("º",SUBSTITUTE(E5702,"°","º"))-1)),""))))</f>
        <v/>
      </c>
      <c r="O5702" s="2">
        <f>IF(OR(F5702="",G5702=""),"",IF(G5702&lt;='RETRATO 2027'!$K$5,"CONCLUÍDA",IF(F5702&lt;='RETRATO 2027'!$K$5,"EM ANDAMENTO","A INICIAR")))</f>
        <v/>
      </c>
    </row>
    <row r="5703">
      <c r="M5703" s="2">
        <f>IF(C5703="","",IFERROR(INDEX($S$5:$S$304,MATCH(C5703,$R$5:$R$304,0))&amp;"","?"))</f>
        <v/>
      </c>
      <c r="N5703" s="2">
        <f>IF(E5703="","",IF(ISNUMBER(SEARCH("SUBSOLO",E5703)),IFERROR(-VALUE(LEFT(E5703,FIND("º",SUBSTITUTE(E5703,"°","º"))-1)),-1),IF(LEFT(E5703,6)="TÉRREO",0,IFERROR(VALUE(LEFT(E5703,FIND("º",SUBSTITUTE(E5703,"°","º"))-1)),""))))</f>
        <v/>
      </c>
      <c r="O5703" s="2">
        <f>IF(OR(F5703="",G5703=""),"",IF(G5703&lt;='RETRATO 2027'!$K$5,"CONCLUÍDA",IF(F5703&lt;='RETRATO 2027'!$K$5,"EM ANDAMENTO","A INICIAR")))</f>
        <v/>
      </c>
    </row>
    <row r="5704">
      <c r="M5704" s="2">
        <f>IF(C5704="","",IFERROR(INDEX($S$5:$S$304,MATCH(C5704,$R$5:$R$304,0))&amp;"","?"))</f>
        <v/>
      </c>
      <c r="N5704" s="2">
        <f>IF(E5704="","",IF(ISNUMBER(SEARCH("SUBSOLO",E5704)),IFERROR(-VALUE(LEFT(E5704,FIND("º",SUBSTITUTE(E5704,"°","º"))-1)),-1),IF(LEFT(E5704,6)="TÉRREO",0,IFERROR(VALUE(LEFT(E5704,FIND("º",SUBSTITUTE(E5704,"°","º"))-1)),""))))</f>
        <v/>
      </c>
      <c r="O5704" s="2">
        <f>IF(OR(F5704="",G5704=""),"",IF(G5704&lt;='RETRATO 2027'!$K$5,"CONCLUÍDA",IF(F5704&lt;='RETRATO 2027'!$K$5,"EM ANDAMENTO","A INICIAR")))</f>
        <v/>
      </c>
    </row>
    <row r="5705">
      <c r="M5705" s="2">
        <f>IF(C5705="","",IFERROR(INDEX($S$5:$S$304,MATCH(C5705,$R$5:$R$304,0))&amp;"","?"))</f>
        <v/>
      </c>
      <c r="N5705" s="2">
        <f>IF(E5705="","",IF(ISNUMBER(SEARCH("SUBSOLO",E5705)),IFERROR(-VALUE(LEFT(E5705,FIND("º",SUBSTITUTE(E5705,"°","º"))-1)),-1),IF(LEFT(E5705,6)="TÉRREO",0,IFERROR(VALUE(LEFT(E5705,FIND("º",SUBSTITUTE(E5705,"°","º"))-1)),""))))</f>
        <v/>
      </c>
      <c r="O5705" s="2">
        <f>IF(OR(F5705="",G5705=""),"",IF(G5705&lt;='RETRATO 2027'!$K$5,"CONCLUÍDA",IF(F5705&lt;='RETRATO 2027'!$K$5,"EM ANDAMENTO","A INICIAR")))</f>
        <v/>
      </c>
    </row>
    <row r="5706">
      <c r="M5706" s="2">
        <f>IF(C5706="","",IFERROR(INDEX($S$5:$S$304,MATCH(C5706,$R$5:$R$304,0))&amp;"","?"))</f>
        <v/>
      </c>
      <c r="N5706" s="2">
        <f>IF(E5706="","",IF(ISNUMBER(SEARCH("SUBSOLO",E5706)),IFERROR(-VALUE(LEFT(E5706,FIND("º",SUBSTITUTE(E5706,"°","º"))-1)),-1),IF(LEFT(E5706,6)="TÉRREO",0,IFERROR(VALUE(LEFT(E5706,FIND("º",SUBSTITUTE(E5706,"°","º"))-1)),""))))</f>
        <v/>
      </c>
      <c r="O5706" s="2">
        <f>IF(OR(F5706="",G5706=""),"",IF(G5706&lt;='RETRATO 2027'!$K$5,"CONCLUÍDA",IF(F5706&lt;='RETRATO 2027'!$K$5,"EM ANDAMENTO","A INICIAR")))</f>
        <v/>
      </c>
    </row>
    <row r="5707">
      <c r="M5707" s="2">
        <f>IF(C5707="","",IFERROR(INDEX($S$5:$S$304,MATCH(C5707,$R$5:$R$304,0))&amp;"","?"))</f>
        <v/>
      </c>
      <c r="N5707" s="2">
        <f>IF(E5707="","",IF(ISNUMBER(SEARCH("SUBSOLO",E5707)),IFERROR(-VALUE(LEFT(E5707,FIND("º",SUBSTITUTE(E5707,"°","º"))-1)),-1),IF(LEFT(E5707,6)="TÉRREO",0,IFERROR(VALUE(LEFT(E5707,FIND("º",SUBSTITUTE(E5707,"°","º"))-1)),""))))</f>
        <v/>
      </c>
      <c r="O5707" s="2">
        <f>IF(OR(F5707="",G5707=""),"",IF(G5707&lt;='RETRATO 2027'!$K$5,"CONCLUÍDA",IF(F5707&lt;='RETRATO 2027'!$K$5,"EM ANDAMENTO","A INICIAR")))</f>
        <v/>
      </c>
    </row>
    <row r="5708">
      <c r="M5708" s="2">
        <f>IF(C5708="","",IFERROR(INDEX($S$5:$S$304,MATCH(C5708,$R$5:$R$304,0))&amp;"","?"))</f>
        <v/>
      </c>
      <c r="N5708" s="2">
        <f>IF(E5708="","",IF(ISNUMBER(SEARCH("SUBSOLO",E5708)),IFERROR(-VALUE(LEFT(E5708,FIND("º",SUBSTITUTE(E5708,"°","º"))-1)),-1),IF(LEFT(E5708,6)="TÉRREO",0,IFERROR(VALUE(LEFT(E5708,FIND("º",SUBSTITUTE(E5708,"°","º"))-1)),""))))</f>
        <v/>
      </c>
      <c r="O5708" s="2">
        <f>IF(OR(F5708="",G5708=""),"",IF(G5708&lt;='RETRATO 2027'!$K$5,"CONCLUÍDA",IF(F5708&lt;='RETRATO 2027'!$K$5,"EM ANDAMENTO","A INICIAR")))</f>
        <v/>
      </c>
    </row>
    <row r="5709">
      <c r="M5709" s="2">
        <f>IF(C5709="","",IFERROR(INDEX($S$5:$S$304,MATCH(C5709,$R$5:$R$304,0))&amp;"","?"))</f>
        <v/>
      </c>
      <c r="N5709" s="2">
        <f>IF(E5709="","",IF(ISNUMBER(SEARCH("SUBSOLO",E5709)),IFERROR(-VALUE(LEFT(E5709,FIND("º",SUBSTITUTE(E5709,"°","º"))-1)),-1),IF(LEFT(E5709,6)="TÉRREO",0,IFERROR(VALUE(LEFT(E5709,FIND("º",SUBSTITUTE(E5709,"°","º"))-1)),""))))</f>
        <v/>
      </c>
      <c r="O5709" s="2">
        <f>IF(OR(F5709="",G5709=""),"",IF(G5709&lt;='RETRATO 2027'!$K$5,"CONCLUÍDA",IF(F5709&lt;='RETRATO 2027'!$K$5,"EM ANDAMENTO","A INICIAR")))</f>
        <v/>
      </c>
    </row>
    <row r="5710">
      <c r="M5710" s="2">
        <f>IF(C5710="","",IFERROR(INDEX($S$5:$S$304,MATCH(C5710,$R$5:$R$304,0))&amp;"","?"))</f>
        <v/>
      </c>
      <c r="N5710" s="2">
        <f>IF(E5710="","",IF(ISNUMBER(SEARCH("SUBSOLO",E5710)),IFERROR(-VALUE(LEFT(E5710,FIND("º",SUBSTITUTE(E5710,"°","º"))-1)),-1),IF(LEFT(E5710,6)="TÉRREO",0,IFERROR(VALUE(LEFT(E5710,FIND("º",SUBSTITUTE(E5710,"°","º"))-1)),""))))</f>
        <v/>
      </c>
      <c r="O5710" s="2">
        <f>IF(OR(F5710="",G5710=""),"",IF(G5710&lt;='RETRATO 2027'!$K$5,"CONCLUÍDA",IF(F5710&lt;='RETRATO 2027'!$K$5,"EM ANDAMENTO","A INICIAR")))</f>
        <v/>
      </c>
    </row>
    <row r="5711">
      <c r="M5711" s="2">
        <f>IF(C5711="","",IFERROR(INDEX($S$5:$S$304,MATCH(C5711,$R$5:$R$304,0))&amp;"","?"))</f>
        <v/>
      </c>
      <c r="N5711" s="2">
        <f>IF(E5711="","",IF(ISNUMBER(SEARCH("SUBSOLO",E5711)),IFERROR(-VALUE(LEFT(E5711,FIND("º",SUBSTITUTE(E5711,"°","º"))-1)),-1),IF(LEFT(E5711,6)="TÉRREO",0,IFERROR(VALUE(LEFT(E5711,FIND("º",SUBSTITUTE(E5711,"°","º"))-1)),""))))</f>
        <v/>
      </c>
      <c r="O5711" s="2">
        <f>IF(OR(F5711="",G5711=""),"",IF(G5711&lt;='RETRATO 2027'!$K$5,"CONCLUÍDA",IF(F5711&lt;='RETRATO 2027'!$K$5,"EM ANDAMENTO","A INICIAR")))</f>
        <v/>
      </c>
    </row>
    <row r="5712">
      <c r="M5712" s="2">
        <f>IF(C5712="","",IFERROR(INDEX($S$5:$S$304,MATCH(C5712,$R$5:$R$304,0))&amp;"","?"))</f>
        <v/>
      </c>
      <c r="N5712" s="2">
        <f>IF(E5712="","",IF(ISNUMBER(SEARCH("SUBSOLO",E5712)),IFERROR(-VALUE(LEFT(E5712,FIND("º",SUBSTITUTE(E5712,"°","º"))-1)),-1),IF(LEFT(E5712,6)="TÉRREO",0,IFERROR(VALUE(LEFT(E5712,FIND("º",SUBSTITUTE(E5712,"°","º"))-1)),""))))</f>
        <v/>
      </c>
      <c r="O5712" s="2">
        <f>IF(OR(F5712="",G5712=""),"",IF(G5712&lt;='RETRATO 2027'!$K$5,"CONCLUÍDA",IF(F5712&lt;='RETRATO 2027'!$K$5,"EM ANDAMENTO","A INICIAR")))</f>
        <v/>
      </c>
    </row>
    <row r="5713">
      <c r="M5713" s="2">
        <f>IF(C5713="","",IFERROR(INDEX($S$5:$S$304,MATCH(C5713,$R$5:$R$304,0))&amp;"","?"))</f>
        <v/>
      </c>
      <c r="N5713" s="2">
        <f>IF(E5713="","",IF(ISNUMBER(SEARCH("SUBSOLO",E5713)),IFERROR(-VALUE(LEFT(E5713,FIND("º",SUBSTITUTE(E5713,"°","º"))-1)),-1),IF(LEFT(E5713,6)="TÉRREO",0,IFERROR(VALUE(LEFT(E5713,FIND("º",SUBSTITUTE(E5713,"°","º"))-1)),""))))</f>
        <v/>
      </c>
      <c r="O5713" s="2">
        <f>IF(OR(F5713="",G5713=""),"",IF(G5713&lt;='RETRATO 2027'!$K$5,"CONCLUÍDA",IF(F5713&lt;='RETRATO 2027'!$K$5,"EM ANDAMENTO","A INICIAR")))</f>
        <v/>
      </c>
    </row>
    <row r="5714">
      <c r="M5714" s="2">
        <f>IF(C5714="","",IFERROR(INDEX($S$5:$S$304,MATCH(C5714,$R$5:$R$304,0))&amp;"","?"))</f>
        <v/>
      </c>
      <c r="N5714" s="2">
        <f>IF(E5714="","",IF(ISNUMBER(SEARCH("SUBSOLO",E5714)),IFERROR(-VALUE(LEFT(E5714,FIND("º",SUBSTITUTE(E5714,"°","º"))-1)),-1),IF(LEFT(E5714,6)="TÉRREO",0,IFERROR(VALUE(LEFT(E5714,FIND("º",SUBSTITUTE(E5714,"°","º"))-1)),""))))</f>
        <v/>
      </c>
      <c r="O5714" s="2">
        <f>IF(OR(F5714="",G5714=""),"",IF(G5714&lt;='RETRATO 2027'!$K$5,"CONCLUÍDA",IF(F5714&lt;='RETRATO 2027'!$K$5,"EM ANDAMENTO","A INICIAR")))</f>
        <v/>
      </c>
    </row>
    <row r="5715">
      <c r="M5715" s="2">
        <f>IF(C5715="","",IFERROR(INDEX($S$5:$S$304,MATCH(C5715,$R$5:$R$304,0))&amp;"","?"))</f>
        <v/>
      </c>
      <c r="N5715" s="2">
        <f>IF(E5715="","",IF(ISNUMBER(SEARCH("SUBSOLO",E5715)),IFERROR(-VALUE(LEFT(E5715,FIND("º",SUBSTITUTE(E5715,"°","º"))-1)),-1),IF(LEFT(E5715,6)="TÉRREO",0,IFERROR(VALUE(LEFT(E5715,FIND("º",SUBSTITUTE(E5715,"°","º"))-1)),""))))</f>
        <v/>
      </c>
      <c r="O5715" s="2">
        <f>IF(OR(F5715="",G5715=""),"",IF(G5715&lt;='RETRATO 2027'!$K$5,"CONCLUÍDA",IF(F5715&lt;='RETRATO 2027'!$K$5,"EM ANDAMENTO","A INICIAR")))</f>
        <v/>
      </c>
    </row>
    <row r="5716">
      <c r="M5716" s="2">
        <f>IF(C5716="","",IFERROR(INDEX($S$5:$S$304,MATCH(C5716,$R$5:$R$304,0))&amp;"","?"))</f>
        <v/>
      </c>
      <c r="N5716" s="2">
        <f>IF(E5716="","",IF(ISNUMBER(SEARCH("SUBSOLO",E5716)),IFERROR(-VALUE(LEFT(E5716,FIND("º",SUBSTITUTE(E5716,"°","º"))-1)),-1),IF(LEFT(E5716,6)="TÉRREO",0,IFERROR(VALUE(LEFT(E5716,FIND("º",SUBSTITUTE(E5716,"°","º"))-1)),""))))</f>
        <v/>
      </c>
      <c r="O5716" s="2">
        <f>IF(OR(F5716="",G5716=""),"",IF(G5716&lt;='RETRATO 2027'!$K$5,"CONCLUÍDA",IF(F5716&lt;='RETRATO 2027'!$K$5,"EM ANDAMENTO","A INICIAR")))</f>
        <v/>
      </c>
    </row>
    <row r="5717">
      <c r="M5717" s="2">
        <f>IF(C5717="","",IFERROR(INDEX($S$5:$S$304,MATCH(C5717,$R$5:$R$304,0))&amp;"","?"))</f>
        <v/>
      </c>
      <c r="N5717" s="2">
        <f>IF(E5717="","",IF(ISNUMBER(SEARCH("SUBSOLO",E5717)),IFERROR(-VALUE(LEFT(E5717,FIND("º",SUBSTITUTE(E5717,"°","º"))-1)),-1),IF(LEFT(E5717,6)="TÉRREO",0,IFERROR(VALUE(LEFT(E5717,FIND("º",SUBSTITUTE(E5717,"°","º"))-1)),""))))</f>
        <v/>
      </c>
      <c r="O5717" s="2">
        <f>IF(OR(F5717="",G5717=""),"",IF(G5717&lt;='RETRATO 2027'!$K$5,"CONCLUÍDA",IF(F5717&lt;='RETRATO 2027'!$K$5,"EM ANDAMENTO","A INICIAR")))</f>
        <v/>
      </c>
    </row>
    <row r="5718">
      <c r="M5718" s="2">
        <f>IF(C5718="","",IFERROR(INDEX($S$5:$S$304,MATCH(C5718,$R$5:$R$304,0))&amp;"","?"))</f>
        <v/>
      </c>
      <c r="N5718" s="2">
        <f>IF(E5718="","",IF(ISNUMBER(SEARCH("SUBSOLO",E5718)),IFERROR(-VALUE(LEFT(E5718,FIND("º",SUBSTITUTE(E5718,"°","º"))-1)),-1),IF(LEFT(E5718,6)="TÉRREO",0,IFERROR(VALUE(LEFT(E5718,FIND("º",SUBSTITUTE(E5718,"°","º"))-1)),""))))</f>
        <v/>
      </c>
      <c r="O5718" s="2">
        <f>IF(OR(F5718="",G5718=""),"",IF(G5718&lt;='RETRATO 2027'!$K$5,"CONCLUÍDA",IF(F5718&lt;='RETRATO 2027'!$K$5,"EM ANDAMENTO","A INICIAR")))</f>
        <v/>
      </c>
    </row>
    <row r="5719">
      <c r="M5719" s="2">
        <f>IF(C5719="","",IFERROR(INDEX($S$5:$S$304,MATCH(C5719,$R$5:$R$304,0))&amp;"","?"))</f>
        <v/>
      </c>
      <c r="N5719" s="2">
        <f>IF(E5719="","",IF(ISNUMBER(SEARCH("SUBSOLO",E5719)),IFERROR(-VALUE(LEFT(E5719,FIND("º",SUBSTITUTE(E5719,"°","º"))-1)),-1),IF(LEFT(E5719,6)="TÉRREO",0,IFERROR(VALUE(LEFT(E5719,FIND("º",SUBSTITUTE(E5719,"°","º"))-1)),""))))</f>
        <v/>
      </c>
      <c r="O5719" s="2">
        <f>IF(OR(F5719="",G5719=""),"",IF(G5719&lt;='RETRATO 2027'!$K$5,"CONCLUÍDA",IF(F5719&lt;='RETRATO 2027'!$K$5,"EM ANDAMENTO","A INICIAR")))</f>
        <v/>
      </c>
    </row>
    <row r="5720">
      <c r="M5720" s="2">
        <f>IF(C5720="","",IFERROR(INDEX($S$5:$S$304,MATCH(C5720,$R$5:$R$304,0))&amp;"","?"))</f>
        <v/>
      </c>
      <c r="N5720" s="2">
        <f>IF(E5720="","",IF(ISNUMBER(SEARCH("SUBSOLO",E5720)),IFERROR(-VALUE(LEFT(E5720,FIND("º",SUBSTITUTE(E5720,"°","º"))-1)),-1),IF(LEFT(E5720,6)="TÉRREO",0,IFERROR(VALUE(LEFT(E5720,FIND("º",SUBSTITUTE(E5720,"°","º"))-1)),""))))</f>
        <v/>
      </c>
      <c r="O5720" s="2">
        <f>IF(OR(F5720="",G5720=""),"",IF(G5720&lt;='RETRATO 2027'!$K$5,"CONCLUÍDA",IF(F5720&lt;='RETRATO 2027'!$K$5,"EM ANDAMENTO","A INICIAR")))</f>
        <v/>
      </c>
    </row>
    <row r="5721">
      <c r="M5721" s="2">
        <f>IF(C5721="","",IFERROR(INDEX($S$5:$S$304,MATCH(C5721,$R$5:$R$304,0))&amp;"","?"))</f>
        <v/>
      </c>
      <c r="N5721" s="2">
        <f>IF(E5721="","",IF(ISNUMBER(SEARCH("SUBSOLO",E5721)),IFERROR(-VALUE(LEFT(E5721,FIND("º",SUBSTITUTE(E5721,"°","º"))-1)),-1),IF(LEFT(E5721,6)="TÉRREO",0,IFERROR(VALUE(LEFT(E5721,FIND("º",SUBSTITUTE(E5721,"°","º"))-1)),""))))</f>
        <v/>
      </c>
      <c r="O5721" s="2">
        <f>IF(OR(F5721="",G5721=""),"",IF(G5721&lt;='RETRATO 2027'!$K$5,"CONCLUÍDA",IF(F5721&lt;='RETRATO 2027'!$K$5,"EM ANDAMENTO","A INICIAR")))</f>
        <v/>
      </c>
    </row>
    <row r="5722">
      <c r="M5722" s="2">
        <f>IF(C5722="","",IFERROR(INDEX($S$5:$S$304,MATCH(C5722,$R$5:$R$304,0))&amp;"","?"))</f>
        <v/>
      </c>
      <c r="N5722" s="2">
        <f>IF(E5722="","",IF(ISNUMBER(SEARCH("SUBSOLO",E5722)),IFERROR(-VALUE(LEFT(E5722,FIND("º",SUBSTITUTE(E5722,"°","º"))-1)),-1),IF(LEFT(E5722,6)="TÉRREO",0,IFERROR(VALUE(LEFT(E5722,FIND("º",SUBSTITUTE(E5722,"°","º"))-1)),""))))</f>
        <v/>
      </c>
      <c r="O5722" s="2">
        <f>IF(OR(F5722="",G5722=""),"",IF(G5722&lt;='RETRATO 2027'!$K$5,"CONCLUÍDA",IF(F5722&lt;='RETRATO 2027'!$K$5,"EM ANDAMENTO","A INICIAR")))</f>
        <v/>
      </c>
    </row>
    <row r="5723">
      <c r="M5723" s="2">
        <f>IF(C5723="","",IFERROR(INDEX($S$5:$S$304,MATCH(C5723,$R$5:$R$304,0))&amp;"","?"))</f>
        <v/>
      </c>
      <c r="N5723" s="2">
        <f>IF(E5723="","",IF(ISNUMBER(SEARCH("SUBSOLO",E5723)),IFERROR(-VALUE(LEFT(E5723,FIND("º",SUBSTITUTE(E5723,"°","º"))-1)),-1),IF(LEFT(E5723,6)="TÉRREO",0,IFERROR(VALUE(LEFT(E5723,FIND("º",SUBSTITUTE(E5723,"°","º"))-1)),""))))</f>
        <v/>
      </c>
      <c r="O5723" s="2">
        <f>IF(OR(F5723="",G5723=""),"",IF(G5723&lt;='RETRATO 2027'!$K$5,"CONCLUÍDA",IF(F5723&lt;='RETRATO 2027'!$K$5,"EM ANDAMENTO","A INICIAR")))</f>
        <v/>
      </c>
    </row>
    <row r="5724">
      <c r="M5724" s="2">
        <f>IF(C5724="","",IFERROR(INDEX($S$5:$S$304,MATCH(C5724,$R$5:$R$304,0))&amp;"","?"))</f>
        <v/>
      </c>
      <c r="N5724" s="2">
        <f>IF(E5724="","",IF(ISNUMBER(SEARCH("SUBSOLO",E5724)),IFERROR(-VALUE(LEFT(E5724,FIND("º",SUBSTITUTE(E5724,"°","º"))-1)),-1),IF(LEFT(E5724,6)="TÉRREO",0,IFERROR(VALUE(LEFT(E5724,FIND("º",SUBSTITUTE(E5724,"°","º"))-1)),""))))</f>
        <v/>
      </c>
      <c r="O5724" s="2">
        <f>IF(OR(F5724="",G5724=""),"",IF(G5724&lt;='RETRATO 2027'!$K$5,"CONCLUÍDA",IF(F5724&lt;='RETRATO 2027'!$K$5,"EM ANDAMENTO","A INICIAR")))</f>
        <v/>
      </c>
    </row>
    <row r="5725">
      <c r="M5725" s="2">
        <f>IF(C5725="","",IFERROR(INDEX($S$5:$S$304,MATCH(C5725,$R$5:$R$304,0))&amp;"","?"))</f>
        <v/>
      </c>
      <c r="N5725" s="2">
        <f>IF(E5725="","",IF(ISNUMBER(SEARCH("SUBSOLO",E5725)),IFERROR(-VALUE(LEFT(E5725,FIND("º",SUBSTITUTE(E5725,"°","º"))-1)),-1),IF(LEFT(E5725,6)="TÉRREO",0,IFERROR(VALUE(LEFT(E5725,FIND("º",SUBSTITUTE(E5725,"°","º"))-1)),""))))</f>
        <v/>
      </c>
      <c r="O5725" s="2">
        <f>IF(OR(F5725="",G5725=""),"",IF(G5725&lt;='RETRATO 2027'!$K$5,"CONCLUÍDA",IF(F5725&lt;='RETRATO 2027'!$K$5,"EM ANDAMENTO","A INICIAR")))</f>
        <v/>
      </c>
    </row>
    <row r="5726">
      <c r="M5726" s="2">
        <f>IF(C5726="","",IFERROR(INDEX($S$5:$S$304,MATCH(C5726,$R$5:$R$304,0))&amp;"","?"))</f>
        <v/>
      </c>
      <c r="N5726" s="2">
        <f>IF(E5726="","",IF(ISNUMBER(SEARCH("SUBSOLO",E5726)),IFERROR(-VALUE(LEFT(E5726,FIND("º",SUBSTITUTE(E5726,"°","º"))-1)),-1),IF(LEFT(E5726,6)="TÉRREO",0,IFERROR(VALUE(LEFT(E5726,FIND("º",SUBSTITUTE(E5726,"°","º"))-1)),""))))</f>
        <v/>
      </c>
      <c r="O5726" s="2">
        <f>IF(OR(F5726="",G5726=""),"",IF(G5726&lt;='RETRATO 2027'!$K$5,"CONCLUÍDA",IF(F5726&lt;='RETRATO 2027'!$K$5,"EM ANDAMENTO","A INICIAR")))</f>
        <v/>
      </c>
    </row>
    <row r="5727">
      <c r="M5727" s="2">
        <f>IF(C5727="","",IFERROR(INDEX($S$5:$S$304,MATCH(C5727,$R$5:$R$304,0))&amp;"","?"))</f>
        <v/>
      </c>
      <c r="N5727" s="2">
        <f>IF(E5727="","",IF(ISNUMBER(SEARCH("SUBSOLO",E5727)),IFERROR(-VALUE(LEFT(E5727,FIND("º",SUBSTITUTE(E5727,"°","º"))-1)),-1),IF(LEFT(E5727,6)="TÉRREO",0,IFERROR(VALUE(LEFT(E5727,FIND("º",SUBSTITUTE(E5727,"°","º"))-1)),""))))</f>
        <v/>
      </c>
      <c r="O5727" s="2">
        <f>IF(OR(F5727="",G5727=""),"",IF(G5727&lt;='RETRATO 2027'!$K$5,"CONCLUÍDA",IF(F5727&lt;='RETRATO 2027'!$K$5,"EM ANDAMENTO","A INICIAR")))</f>
        <v/>
      </c>
    </row>
    <row r="5728">
      <c r="M5728" s="2">
        <f>IF(C5728="","",IFERROR(INDEX($S$5:$S$304,MATCH(C5728,$R$5:$R$304,0))&amp;"","?"))</f>
        <v/>
      </c>
      <c r="N5728" s="2">
        <f>IF(E5728="","",IF(ISNUMBER(SEARCH("SUBSOLO",E5728)),IFERROR(-VALUE(LEFT(E5728,FIND("º",SUBSTITUTE(E5728,"°","º"))-1)),-1),IF(LEFT(E5728,6)="TÉRREO",0,IFERROR(VALUE(LEFT(E5728,FIND("º",SUBSTITUTE(E5728,"°","º"))-1)),""))))</f>
        <v/>
      </c>
      <c r="O5728" s="2">
        <f>IF(OR(F5728="",G5728=""),"",IF(G5728&lt;='RETRATO 2027'!$K$5,"CONCLUÍDA",IF(F5728&lt;='RETRATO 2027'!$K$5,"EM ANDAMENTO","A INICIAR")))</f>
        <v/>
      </c>
    </row>
    <row r="5729">
      <c r="M5729" s="2">
        <f>IF(C5729="","",IFERROR(INDEX($S$5:$S$304,MATCH(C5729,$R$5:$R$304,0))&amp;"","?"))</f>
        <v/>
      </c>
      <c r="N5729" s="2">
        <f>IF(E5729="","",IF(ISNUMBER(SEARCH("SUBSOLO",E5729)),IFERROR(-VALUE(LEFT(E5729,FIND("º",SUBSTITUTE(E5729,"°","º"))-1)),-1),IF(LEFT(E5729,6)="TÉRREO",0,IFERROR(VALUE(LEFT(E5729,FIND("º",SUBSTITUTE(E5729,"°","º"))-1)),""))))</f>
        <v/>
      </c>
      <c r="O5729" s="2">
        <f>IF(OR(F5729="",G5729=""),"",IF(G5729&lt;='RETRATO 2027'!$K$5,"CONCLUÍDA",IF(F5729&lt;='RETRATO 2027'!$K$5,"EM ANDAMENTO","A INICIAR")))</f>
        <v/>
      </c>
    </row>
    <row r="5730">
      <c r="M5730" s="2">
        <f>IF(C5730="","",IFERROR(INDEX($S$5:$S$304,MATCH(C5730,$R$5:$R$304,0))&amp;"","?"))</f>
        <v/>
      </c>
      <c r="N5730" s="2">
        <f>IF(E5730="","",IF(ISNUMBER(SEARCH("SUBSOLO",E5730)),IFERROR(-VALUE(LEFT(E5730,FIND("º",SUBSTITUTE(E5730,"°","º"))-1)),-1),IF(LEFT(E5730,6)="TÉRREO",0,IFERROR(VALUE(LEFT(E5730,FIND("º",SUBSTITUTE(E5730,"°","º"))-1)),""))))</f>
        <v/>
      </c>
      <c r="O5730" s="2">
        <f>IF(OR(F5730="",G5730=""),"",IF(G5730&lt;='RETRATO 2027'!$K$5,"CONCLUÍDA",IF(F5730&lt;='RETRATO 2027'!$K$5,"EM ANDAMENTO","A INICIAR")))</f>
        <v/>
      </c>
    </row>
    <row r="5731">
      <c r="M5731" s="2">
        <f>IF(C5731="","",IFERROR(INDEX($S$5:$S$304,MATCH(C5731,$R$5:$R$304,0))&amp;"","?"))</f>
        <v/>
      </c>
      <c r="N5731" s="2">
        <f>IF(E5731="","",IF(ISNUMBER(SEARCH("SUBSOLO",E5731)),IFERROR(-VALUE(LEFT(E5731,FIND("º",SUBSTITUTE(E5731,"°","º"))-1)),-1),IF(LEFT(E5731,6)="TÉRREO",0,IFERROR(VALUE(LEFT(E5731,FIND("º",SUBSTITUTE(E5731,"°","º"))-1)),""))))</f>
        <v/>
      </c>
      <c r="O5731" s="2">
        <f>IF(OR(F5731="",G5731=""),"",IF(G5731&lt;='RETRATO 2027'!$K$5,"CONCLUÍDA",IF(F5731&lt;='RETRATO 2027'!$K$5,"EM ANDAMENTO","A INICIAR")))</f>
        <v/>
      </c>
    </row>
    <row r="5732">
      <c r="M5732" s="2">
        <f>IF(C5732="","",IFERROR(INDEX($S$5:$S$304,MATCH(C5732,$R$5:$R$304,0))&amp;"","?"))</f>
        <v/>
      </c>
      <c r="N5732" s="2">
        <f>IF(E5732="","",IF(ISNUMBER(SEARCH("SUBSOLO",E5732)),IFERROR(-VALUE(LEFT(E5732,FIND("º",SUBSTITUTE(E5732,"°","º"))-1)),-1),IF(LEFT(E5732,6)="TÉRREO",0,IFERROR(VALUE(LEFT(E5732,FIND("º",SUBSTITUTE(E5732,"°","º"))-1)),""))))</f>
        <v/>
      </c>
      <c r="O5732" s="2">
        <f>IF(OR(F5732="",G5732=""),"",IF(G5732&lt;='RETRATO 2027'!$K$5,"CONCLUÍDA",IF(F5732&lt;='RETRATO 2027'!$K$5,"EM ANDAMENTO","A INICIAR")))</f>
        <v/>
      </c>
    </row>
    <row r="5733">
      <c r="M5733" s="2">
        <f>IF(C5733="","",IFERROR(INDEX($S$5:$S$304,MATCH(C5733,$R$5:$R$304,0))&amp;"","?"))</f>
        <v/>
      </c>
      <c r="N5733" s="2">
        <f>IF(E5733="","",IF(ISNUMBER(SEARCH("SUBSOLO",E5733)),IFERROR(-VALUE(LEFT(E5733,FIND("º",SUBSTITUTE(E5733,"°","º"))-1)),-1),IF(LEFT(E5733,6)="TÉRREO",0,IFERROR(VALUE(LEFT(E5733,FIND("º",SUBSTITUTE(E5733,"°","º"))-1)),""))))</f>
        <v/>
      </c>
      <c r="O5733" s="2">
        <f>IF(OR(F5733="",G5733=""),"",IF(G5733&lt;='RETRATO 2027'!$K$5,"CONCLUÍDA",IF(F5733&lt;='RETRATO 2027'!$K$5,"EM ANDAMENTO","A INICIAR")))</f>
        <v/>
      </c>
    </row>
    <row r="5734">
      <c r="M5734" s="2">
        <f>IF(C5734="","",IFERROR(INDEX($S$5:$S$304,MATCH(C5734,$R$5:$R$304,0))&amp;"","?"))</f>
        <v/>
      </c>
      <c r="N5734" s="2">
        <f>IF(E5734="","",IF(ISNUMBER(SEARCH("SUBSOLO",E5734)),IFERROR(-VALUE(LEFT(E5734,FIND("º",SUBSTITUTE(E5734,"°","º"))-1)),-1),IF(LEFT(E5734,6)="TÉRREO",0,IFERROR(VALUE(LEFT(E5734,FIND("º",SUBSTITUTE(E5734,"°","º"))-1)),""))))</f>
        <v/>
      </c>
      <c r="O5734" s="2">
        <f>IF(OR(F5734="",G5734=""),"",IF(G5734&lt;='RETRATO 2027'!$K$5,"CONCLUÍDA",IF(F5734&lt;='RETRATO 2027'!$K$5,"EM ANDAMENTO","A INICIAR")))</f>
        <v/>
      </c>
    </row>
    <row r="5735">
      <c r="M5735" s="2">
        <f>IF(C5735="","",IFERROR(INDEX($S$5:$S$304,MATCH(C5735,$R$5:$R$304,0))&amp;"","?"))</f>
        <v/>
      </c>
      <c r="N5735" s="2">
        <f>IF(E5735="","",IF(ISNUMBER(SEARCH("SUBSOLO",E5735)),IFERROR(-VALUE(LEFT(E5735,FIND("º",SUBSTITUTE(E5735,"°","º"))-1)),-1),IF(LEFT(E5735,6)="TÉRREO",0,IFERROR(VALUE(LEFT(E5735,FIND("º",SUBSTITUTE(E5735,"°","º"))-1)),""))))</f>
        <v/>
      </c>
      <c r="O5735" s="2">
        <f>IF(OR(F5735="",G5735=""),"",IF(G5735&lt;='RETRATO 2027'!$K$5,"CONCLUÍDA",IF(F5735&lt;='RETRATO 2027'!$K$5,"EM ANDAMENTO","A INICIAR")))</f>
        <v/>
      </c>
    </row>
    <row r="5736">
      <c r="M5736" s="2">
        <f>IF(C5736="","",IFERROR(INDEX($S$5:$S$304,MATCH(C5736,$R$5:$R$304,0))&amp;"","?"))</f>
        <v/>
      </c>
      <c r="N5736" s="2">
        <f>IF(E5736="","",IF(ISNUMBER(SEARCH("SUBSOLO",E5736)),IFERROR(-VALUE(LEFT(E5736,FIND("º",SUBSTITUTE(E5736,"°","º"))-1)),-1),IF(LEFT(E5736,6)="TÉRREO",0,IFERROR(VALUE(LEFT(E5736,FIND("º",SUBSTITUTE(E5736,"°","º"))-1)),""))))</f>
        <v/>
      </c>
      <c r="O5736" s="2">
        <f>IF(OR(F5736="",G5736=""),"",IF(G5736&lt;='RETRATO 2027'!$K$5,"CONCLUÍDA",IF(F5736&lt;='RETRATO 2027'!$K$5,"EM ANDAMENTO","A INICIAR")))</f>
        <v/>
      </c>
    </row>
    <row r="5737">
      <c r="M5737" s="2">
        <f>IF(C5737="","",IFERROR(INDEX($S$5:$S$304,MATCH(C5737,$R$5:$R$304,0))&amp;"","?"))</f>
        <v/>
      </c>
      <c r="N5737" s="2">
        <f>IF(E5737="","",IF(ISNUMBER(SEARCH("SUBSOLO",E5737)),IFERROR(-VALUE(LEFT(E5737,FIND("º",SUBSTITUTE(E5737,"°","º"))-1)),-1),IF(LEFT(E5737,6)="TÉRREO",0,IFERROR(VALUE(LEFT(E5737,FIND("º",SUBSTITUTE(E5737,"°","º"))-1)),""))))</f>
        <v/>
      </c>
      <c r="O5737" s="2">
        <f>IF(OR(F5737="",G5737=""),"",IF(G5737&lt;='RETRATO 2027'!$K$5,"CONCLUÍDA",IF(F5737&lt;='RETRATO 2027'!$K$5,"EM ANDAMENTO","A INICIAR")))</f>
        <v/>
      </c>
    </row>
    <row r="5738">
      <c r="M5738" s="2">
        <f>IF(C5738="","",IFERROR(INDEX($S$5:$S$304,MATCH(C5738,$R$5:$R$304,0))&amp;"","?"))</f>
        <v/>
      </c>
      <c r="N5738" s="2">
        <f>IF(E5738="","",IF(ISNUMBER(SEARCH("SUBSOLO",E5738)),IFERROR(-VALUE(LEFT(E5738,FIND("º",SUBSTITUTE(E5738,"°","º"))-1)),-1),IF(LEFT(E5738,6)="TÉRREO",0,IFERROR(VALUE(LEFT(E5738,FIND("º",SUBSTITUTE(E5738,"°","º"))-1)),""))))</f>
        <v/>
      </c>
      <c r="O5738" s="2">
        <f>IF(OR(F5738="",G5738=""),"",IF(G5738&lt;='RETRATO 2027'!$K$5,"CONCLUÍDA",IF(F5738&lt;='RETRATO 2027'!$K$5,"EM ANDAMENTO","A INICIAR")))</f>
        <v/>
      </c>
    </row>
    <row r="5739">
      <c r="M5739" s="2">
        <f>IF(C5739="","",IFERROR(INDEX($S$5:$S$304,MATCH(C5739,$R$5:$R$304,0))&amp;"","?"))</f>
        <v/>
      </c>
      <c r="N5739" s="2">
        <f>IF(E5739="","",IF(ISNUMBER(SEARCH("SUBSOLO",E5739)),IFERROR(-VALUE(LEFT(E5739,FIND("º",SUBSTITUTE(E5739,"°","º"))-1)),-1),IF(LEFT(E5739,6)="TÉRREO",0,IFERROR(VALUE(LEFT(E5739,FIND("º",SUBSTITUTE(E5739,"°","º"))-1)),""))))</f>
        <v/>
      </c>
      <c r="O5739" s="2">
        <f>IF(OR(F5739="",G5739=""),"",IF(G5739&lt;='RETRATO 2027'!$K$5,"CONCLUÍDA",IF(F5739&lt;='RETRATO 2027'!$K$5,"EM ANDAMENTO","A INICIAR")))</f>
        <v/>
      </c>
    </row>
    <row r="5740">
      <c r="M5740" s="2">
        <f>IF(C5740="","",IFERROR(INDEX($S$5:$S$304,MATCH(C5740,$R$5:$R$304,0))&amp;"","?"))</f>
        <v/>
      </c>
      <c r="N5740" s="2">
        <f>IF(E5740="","",IF(ISNUMBER(SEARCH("SUBSOLO",E5740)),IFERROR(-VALUE(LEFT(E5740,FIND("º",SUBSTITUTE(E5740,"°","º"))-1)),-1),IF(LEFT(E5740,6)="TÉRREO",0,IFERROR(VALUE(LEFT(E5740,FIND("º",SUBSTITUTE(E5740,"°","º"))-1)),""))))</f>
        <v/>
      </c>
      <c r="O5740" s="2">
        <f>IF(OR(F5740="",G5740=""),"",IF(G5740&lt;='RETRATO 2027'!$K$5,"CONCLUÍDA",IF(F5740&lt;='RETRATO 2027'!$K$5,"EM ANDAMENTO","A INICIAR")))</f>
        <v/>
      </c>
    </row>
    <row r="5741">
      <c r="M5741" s="2">
        <f>IF(C5741="","",IFERROR(INDEX($S$5:$S$304,MATCH(C5741,$R$5:$R$304,0))&amp;"","?"))</f>
        <v/>
      </c>
      <c r="N5741" s="2">
        <f>IF(E5741="","",IF(ISNUMBER(SEARCH("SUBSOLO",E5741)),IFERROR(-VALUE(LEFT(E5741,FIND("º",SUBSTITUTE(E5741,"°","º"))-1)),-1),IF(LEFT(E5741,6)="TÉRREO",0,IFERROR(VALUE(LEFT(E5741,FIND("º",SUBSTITUTE(E5741,"°","º"))-1)),""))))</f>
        <v/>
      </c>
      <c r="O5741" s="2">
        <f>IF(OR(F5741="",G5741=""),"",IF(G5741&lt;='RETRATO 2027'!$K$5,"CONCLUÍDA",IF(F5741&lt;='RETRATO 2027'!$K$5,"EM ANDAMENTO","A INICIAR")))</f>
        <v/>
      </c>
    </row>
    <row r="5742">
      <c r="M5742" s="2">
        <f>IF(C5742="","",IFERROR(INDEX($S$5:$S$304,MATCH(C5742,$R$5:$R$304,0))&amp;"","?"))</f>
        <v/>
      </c>
      <c r="N5742" s="2">
        <f>IF(E5742="","",IF(ISNUMBER(SEARCH("SUBSOLO",E5742)),IFERROR(-VALUE(LEFT(E5742,FIND("º",SUBSTITUTE(E5742,"°","º"))-1)),-1),IF(LEFT(E5742,6)="TÉRREO",0,IFERROR(VALUE(LEFT(E5742,FIND("º",SUBSTITUTE(E5742,"°","º"))-1)),""))))</f>
        <v/>
      </c>
      <c r="O5742" s="2">
        <f>IF(OR(F5742="",G5742=""),"",IF(G5742&lt;='RETRATO 2027'!$K$5,"CONCLUÍDA",IF(F5742&lt;='RETRATO 2027'!$K$5,"EM ANDAMENTO","A INICIAR")))</f>
        <v/>
      </c>
    </row>
    <row r="5743">
      <c r="M5743" s="2">
        <f>IF(C5743="","",IFERROR(INDEX($S$5:$S$304,MATCH(C5743,$R$5:$R$304,0))&amp;"","?"))</f>
        <v/>
      </c>
      <c r="N5743" s="2">
        <f>IF(E5743="","",IF(ISNUMBER(SEARCH("SUBSOLO",E5743)),IFERROR(-VALUE(LEFT(E5743,FIND("º",SUBSTITUTE(E5743,"°","º"))-1)),-1),IF(LEFT(E5743,6)="TÉRREO",0,IFERROR(VALUE(LEFT(E5743,FIND("º",SUBSTITUTE(E5743,"°","º"))-1)),""))))</f>
        <v/>
      </c>
      <c r="O5743" s="2">
        <f>IF(OR(F5743="",G5743=""),"",IF(G5743&lt;='RETRATO 2027'!$K$5,"CONCLUÍDA",IF(F5743&lt;='RETRATO 2027'!$K$5,"EM ANDAMENTO","A INICIAR")))</f>
        <v/>
      </c>
    </row>
    <row r="5744">
      <c r="M5744" s="2">
        <f>IF(C5744="","",IFERROR(INDEX($S$5:$S$304,MATCH(C5744,$R$5:$R$304,0))&amp;"","?"))</f>
        <v/>
      </c>
      <c r="N5744" s="2">
        <f>IF(E5744="","",IF(ISNUMBER(SEARCH("SUBSOLO",E5744)),IFERROR(-VALUE(LEFT(E5744,FIND("º",SUBSTITUTE(E5744,"°","º"))-1)),-1),IF(LEFT(E5744,6)="TÉRREO",0,IFERROR(VALUE(LEFT(E5744,FIND("º",SUBSTITUTE(E5744,"°","º"))-1)),""))))</f>
        <v/>
      </c>
      <c r="O5744" s="2">
        <f>IF(OR(F5744="",G5744=""),"",IF(G5744&lt;='RETRATO 2027'!$K$5,"CONCLUÍDA",IF(F5744&lt;='RETRATO 2027'!$K$5,"EM ANDAMENTO","A INICIAR")))</f>
        <v/>
      </c>
    </row>
    <row r="5745">
      <c r="M5745" s="2">
        <f>IF(C5745="","",IFERROR(INDEX($S$5:$S$304,MATCH(C5745,$R$5:$R$304,0))&amp;"","?"))</f>
        <v/>
      </c>
      <c r="N5745" s="2">
        <f>IF(E5745="","",IF(ISNUMBER(SEARCH("SUBSOLO",E5745)),IFERROR(-VALUE(LEFT(E5745,FIND("º",SUBSTITUTE(E5745,"°","º"))-1)),-1),IF(LEFT(E5745,6)="TÉRREO",0,IFERROR(VALUE(LEFT(E5745,FIND("º",SUBSTITUTE(E5745,"°","º"))-1)),""))))</f>
        <v/>
      </c>
      <c r="O5745" s="2">
        <f>IF(OR(F5745="",G5745=""),"",IF(G5745&lt;='RETRATO 2027'!$K$5,"CONCLUÍDA",IF(F5745&lt;='RETRATO 2027'!$K$5,"EM ANDAMENTO","A INICIAR")))</f>
        <v/>
      </c>
    </row>
    <row r="5746">
      <c r="M5746" s="2">
        <f>IF(C5746="","",IFERROR(INDEX($S$5:$S$304,MATCH(C5746,$R$5:$R$304,0))&amp;"","?"))</f>
        <v/>
      </c>
      <c r="N5746" s="2">
        <f>IF(E5746="","",IF(ISNUMBER(SEARCH("SUBSOLO",E5746)),IFERROR(-VALUE(LEFT(E5746,FIND("º",SUBSTITUTE(E5746,"°","º"))-1)),-1),IF(LEFT(E5746,6)="TÉRREO",0,IFERROR(VALUE(LEFT(E5746,FIND("º",SUBSTITUTE(E5746,"°","º"))-1)),""))))</f>
        <v/>
      </c>
      <c r="O5746" s="2">
        <f>IF(OR(F5746="",G5746=""),"",IF(G5746&lt;='RETRATO 2027'!$K$5,"CONCLUÍDA",IF(F5746&lt;='RETRATO 2027'!$K$5,"EM ANDAMENTO","A INICIAR")))</f>
        <v/>
      </c>
    </row>
    <row r="5747">
      <c r="M5747" s="2">
        <f>IF(C5747="","",IFERROR(INDEX($S$5:$S$304,MATCH(C5747,$R$5:$R$304,0))&amp;"","?"))</f>
        <v/>
      </c>
      <c r="N5747" s="2">
        <f>IF(E5747="","",IF(ISNUMBER(SEARCH("SUBSOLO",E5747)),IFERROR(-VALUE(LEFT(E5747,FIND("º",SUBSTITUTE(E5747,"°","º"))-1)),-1),IF(LEFT(E5747,6)="TÉRREO",0,IFERROR(VALUE(LEFT(E5747,FIND("º",SUBSTITUTE(E5747,"°","º"))-1)),""))))</f>
        <v/>
      </c>
      <c r="O5747" s="2">
        <f>IF(OR(F5747="",G5747=""),"",IF(G5747&lt;='RETRATO 2027'!$K$5,"CONCLUÍDA",IF(F5747&lt;='RETRATO 2027'!$K$5,"EM ANDAMENTO","A INICIAR")))</f>
        <v/>
      </c>
    </row>
    <row r="5748">
      <c r="M5748" s="2">
        <f>IF(C5748="","",IFERROR(INDEX($S$5:$S$304,MATCH(C5748,$R$5:$R$304,0))&amp;"","?"))</f>
        <v/>
      </c>
      <c r="N5748" s="2">
        <f>IF(E5748="","",IF(ISNUMBER(SEARCH("SUBSOLO",E5748)),IFERROR(-VALUE(LEFT(E5748,FIND("º",SUBSTITUTE(E5748,"°","º"))-1)),-1),IF(LEFT(E5748,6)="TÉRREO",0,IFERROR(VALUE(LEFT(E5748,FIND("º",SUBSTITUTE(E5748,"°","º"))-1)),""))))</f>
        <v/>
      </c>
      <c r="O5748" s="2">
        <f>IF(OR(F5748="",G5748=""),"",IF(G5748&lt;='RETRATO 2027'!$K$5,"CONCLUÍDA",IF(F5748&lt;='RETRATO 2027'!$K$5,"EM ANDAMENTO","A INICIAR")))</f>
        <v/>
      </c>
    </row>
    <row r="5749">
      <c r="M5749" s="2">
        <f>IF(C5749="","",IFERROR(INDEX($S$5:$S$304,MATCH(C5749,$R$5:$R$304,0))&amp;"","?"))</f>
        <v/>
      </c>
      <c r="N5749" s="2">
        <f>IF(E5749="","",IF(ISNUMBER(SEARCH("SUBSOLO",E5749)),IFERROR(-VALUE(LEFT(E5749,FIND("º",SUBSTITUTE(E5749,"°","º"))-1)),-1),IF(LEFT(E5749,6)="TÉRREO",0,IFERROR(VALUE(LEFT(E5749,FIND("º",SUBSTITUTE(E5749,"°","º"))-1)),""))))</f>
        <v/>
      </c>
      <c r="O5749" s="2">
        <f>IF(OR(F5749="",G5749=""),"",IF(G5749&lt;='RETRATO 2027'!$K$5,"CONCLUÍDA",IF(F5749&lt;='RETRATO 2027'!$K$5,"EM ANDAMENTO","A INICIAR")))</f>
        <v/>
      </c>
    </row>
    <row r="5750">
      <c r="M5750" s="2">
        <f>IF(C5750="","",IFERROR(INDEX($S$5:$S$304,MATCH(C5750,$R$5:$R$304,0))&amp;"","?"))</f>
        <v/>
      </c>
      <c r="N5750" s="2">
        <f>IF(E5750="","",IF(ISNUMBER(SEARCH("SUBSOLO",E5750)),IFERROR(-VALUE(LEFT(E5750,FIND("º",SUBSTITUTE(E5750,"°","º"))-1)),-1),IF(LEFT(E5750,6)="TÉRREO",0,IFERROR(VALUE(LEFT(E5750,FIND("º",SUBSTITUTE(E5750,"°","º"))-1)),""))))</f>
        <v/>
      </c>
      <c r="O5750" s="2">
        <f>IF(OR(F5750="",G5750=""),"",IF(G5750&lt;='RETRATO 2027'!$K$5,"CONCLUÍDA",IF(F5750&lt;='RETRATO 2027'!$K$5,"EM ANDAMENTO","A INICIAR")))</f>
        <v/>
      </c>
    </row>
    <row r="5751">
      <c r="M5751" s="2">
        <f>IF(C5751="","",IFERROR(INDEX($S$5:$S$304,MATCH(C5751,$R$5:$R$304,0))&amp;"","?"))</f>
        <v/>
      </c>
      <c r="N5751" s="2">
        <f>IF(E5751="","",IF(ISNUMBER(SEARCH("SUBSOLO",E5751)),IFERROR(-VALUE(LEFT(E5751,FIND("º",SUBSTITUTE(E5751,"°","º"))-1)),-1),IF(LEFT(E5751,6)="TÉRREO",0,IFERROR(VALUE(LEFT(E5751,FIND("º",SUBSTITUTE(E5751,"°","º"))-1)),""))))</f>
        <v/>
      </c>
      <c r="O5751" s="2">
        <f>IF(OR(F5751="",G5751=""),"",IF(G5751&lt;='RETRATO 2027'!$K$5,"CONCLUÍDA",IF(F5751&lt;='RETRATO 2027'!$K$5,"EM ANDAMENTO","A INICIAR")))</f>
        <v/>
      </c>
    </row>
    <row r="5752">
      <c r="M5752" s="2">
        <f>IF(C5752="","",IFERROR(INDEX($S$5:$S$304,MATCH(C5752,$R$5:$R$304,0))&amp;"","?"))</f>
        <v/>
      </c>
      <c r="N5752" s="2">
        <f>IF(E5752="","",IF(ISNUMBER(SEARCH("SUBSOLO",E5752)),IFERROR(-VALUE(LEFT(E5752,FIND("º",SUBSTITUTE(E5752,"°","º"))-1)),-1),IF(LEFT(E5752,6)="TÉRREO",0,IFERROR(VALUE(LEFT(E5752,FIND("º",SUBSTITUTE(E5752,"°","º"))-1)),""))))</f>
        <v/>
      </c>
      <c r="O5752" s="2">
        <f>IF(OR(F5752="",G5752=""),"",IF(G5752&lt;='RETRATO 2027'!$K$5,"CONCLUÍDA",IF(F5752&lt;='RETRATO 2027'!$K$5,"EM ANDAMENTO","A INICIAR")))</f>
        <v/>
      </c>
    </row>
    <row r="5753">
      <c r="M5753" s="2">
        <f>IF(C5753="","",IFERROR(INDEX($S$5:$S$304,MATCH(C5753,$R$5:$R$304,0))&amp;"","?"))</f>
        <v/>
      </c>
      <c r="N5753" s="2">
        <f>IF(E5753="","",IF(ISNUMBER(SEARCH("SUBSOLO",E5753)),IFERROR(-VALUE(LEFT(E5753,FIND("º",SUBSTITUTE(E5753,"°","º"))-1)),-1),IF(LEFT(E5753,6)="TÉRREO",0,IFERROR(VALUE(LEFT(E5753,FIND("º",SUBSTITUTE(E5753,"°","º"))-1)),""))))</f>
        <v/>
      </c>
      <c r="O5753" s="2">
        <f>IF(OR(F5753="",G5753=""),"",IF(G5753&lt;='RETRATO 2027'!$K$5,"CONCLUÍDA",IF(F5753&lt;='RETRATO 2027'!$K$5,"EM ANDAMENTO","A INICIAR")))</f>
        <v/>
      </c>
    </row>
    <row r="5754">
      <c r="M5754" s="2">
        <f>IF(C5754="","",IFERROR(INDEX($S$5:$S$304,MATCH(C5754,$R$5:$R$304,0))&amp;"","?"))</f>
        <v/>
      </c>
      <c r="N5754" s="2">
        <f>IF(E5754="","",IF(ISNUMBER(SEARCH("SUBSOLO",E5754)),IFERROR(-VALUE(LEFT(E5754,FIND("º",SUBSTITUTE(E5754,"°","º"))-1)),-1),IF(LEFT(E5754,6)="TÉRREO",0,IFERROR(VALUE(LEFT(E5754,FIND("º",SUBSTITUTE(E5754,"°","º"))-1)),""))))</f>
        <v/>
      </c>
      <c r="O5754" s="2">
        <f>IF(OR(F5754="",G5754=""),"",IF(G5754&lt;='RETRATO 2027'!$K$5,"CONCLUÍDA",IF(F5754&lt;='RETRATO 2027'!$K$5,"EM ANDAMENTO","A INICIAR")))</f>
        <v/>
      </c>
    </row>
    <row r="5755">
      <c r="M5755" s="2">
        <f>IF(C5755="","",IFERROR(INDEX($S$5:$S$304,MATCH(C5755,$R$5:$R$304,0))&amp;"","?"))</f>
        <v/>
      </c>
      <c r="N5755" s="2">
        <f>IF(E5755="","",IF(ISNUMBER(SEARCH("SUBSOLO",E5755)),IFERROR(-VALUE(LEFT(E5755,FIND("º",SUBSTITUTE(E5755,"°","º"))-1)),-1),IF(LEFT(E5755,6)="TÉRREO",0,IFERROR(VALUE(LEFT(E5755,FIND("º",SUBSTITUTE(E5755,"°","º"))-1)),""))))</f>
        <v/>
      </c>
      <c r="O5755" s="2">
        <f>IF(OR(F5755="",G5755=""),"",IF(G5755&lt;='RETRATO 2027'!$K$5,"CONCLUÍDA",IF(F5755&lt;='RETRATO 2027'!$K$5,"EM ANDAMENTO","A INICIAR")))</f>
        <v/>
      </c>
    </row>
    <row r="5756">
      <c r="M5756" s="2">
        <f>IF(C5756="","",IFERROR(INDEX($S$5:$S$304,MATCH(C5756,$R$5:$R$304,0))&amp;"","?"))</f>
        <v/>
      </c>
      <c r="N5756" s="2">
        <f>IF(E5756="","",IF(ISNUMBER(SEARCH("SUBSOLO",E5756)),IFERROR(-VALUE(LEFT(E5756,FIND("º",SUBSTITUTE(E5756,"°","º"))-1)),-1),IF(LEFT(E5756,6)="TÉRREO",0,IFERROR(VALUE(LEFT(E5756,FIND("º",SUBSTITUTE(E5756,"°","º"))-1)),""))))</f>
        <v/>
      </c>
      <c r="O5756" s="2">
        <f>IF(OR(F5756="",G5756=""),"",IF(G5756&lt;='RETRATO 2027'!$K$5,"CONCLUÍDA",IF(F5756&lt;='RETRATO 2027'!$K$5,"EM ANDAMENTO","A INICIAR")))</f>
        <v/>
      </c>
    </row>
    <row r="5757">
      <c r="M5757" s="2">
        <f>IF(C5757="","",IFERROR(INDEX($S$5:$S$304,MATCH(C5757,$R$5:$R$304,0))&amp;"","?"))</f>
        <v/>
      </c>
      <c r="N5757" s="2">
        <f>IF(E5757="","",IF(ISNUMBER(SEARCH("SUBSOLO",E5757)),IFERROR(-VALUE(LEFT(E5757,FIND("º",SUBSTITUTE(E5757,"°","º"))-1)),-1),IF(LEFT(E5757,6)="TÉRREO",0,IFERROR(VALUE(LEFT(E5757,FIND("º",SUBSTITUTE(E5757,"°","º"))-1)),""))))</f>
        <v/>
      </c>
      <c r="O5757" s="2">
        <f>IF(OR(F5757="",G5757=""),"",IF(G5757&lt;='RETRATO 2027'!$K$5,"CONCLUÍDA",IF(F5757&lt;='RETRATO 2027'!$K$5,"EM ANDAMENTO","A INICIAR")))</f>
        <v/>
      </c>
    </row>
    <row r="5758">
      <c r="M5758" s="2">
        <f>IF(C5758="","",IFERROR(INDEX($S$5:$S$304,MATCH(C5758,$R$5:$R$304,0))&amp;"","?"))</f>
        <v/>
      </c>
      <c r="N5758" s="2">
        <f>IF(E5758="","",IF(ISNUMBER(SEARCH("SUBSOLO",E5758)),IFERROR(-VALUE(LEFT(E5758,FIND("º",SUBSTITUTE(E5758,"°","º"))-1)),-1),IF(LEFT(E5758,6)="TÉRREO",0,IFERROR(VALUE(LEFT(E5758,FIND("º",SUBSTITUTE(E5758,"°","º"))-1)),""))))</f>
        <v/>
      </c>
      <c r="O5758" s="2">
        <f>IF(OR(F5758="",G5758=""),"",IF(G5758&lt;='RETRATO 2027'!$K$5,"CONCLUÍDA",IF(F5758&lt;='RETRATO 2027'!$K$5,"EM ANDAMENTO","A INICIAR")))</f>
        <v/>
      </c>
    </row>
    <row r="5759">
      <c r="M5759" s="2">
        <f>IF(C5759="","",IFERROR(INDEX($S$5:$S$304,MATCH(C5759,$R$5:$R$304,0))&amp;"","?"))</f>
        <v/>
      </c>
      <c r="N5759" s="2">
        <f>IF(E5759="","",IF(ISNUMBER(SEARCH("SUBSOLO",E5759)),IFERROR(-VALUE(LEFT(E5759,FIND("º",SUBSTITUTE(E5759,"°","º"))-1)),-1),IF(LEFT(E5759,6)="TÉRREO",0,IFERROR(VALUE(LEFT(E5759,FIND("º",SUBSTITUTE(E5759,"°","º"))-1)),""))))</f>
        <v/>
      </c>
      <c r="O5759" s="2">
        <f>IF(OR(F5759="",G5759=""),"",IF(G5759&lt;='RETRATO 2027'!$K$5,"CONCLUÍDA",IF(F5759&lt;='RETRATO 2027'!$K$5,"EM ANDAMENTO","A INICIAR")))</f>
        <v/>
      </c>
    </row>
    <row r="5760">
      <c r="M5760" s="2">
        <f>IF(C5760="","",IFERROR(INDEX($S$5:$S$304,MATCH(C5760,$R$5:$R$304,0))&amp;"","?"))</f>
        <v/>
      </c>
      <c r="N5760" s="2">
        <f>IF(E5760="","",IF(ISNUMBER(SEARCH("SUBSOLO",E5760)),IFERROR(-VALUE(LEFT(E5760,FIND("º",SUBSTITUTE(E5760,"°","º"))-1)),-1),IF(LEFT(E5760,6)="TÉRREO",0,IFERROR(VALUE(LEFT(E5760,FIND("º",SUBSTITUTE(E5760,"°","º"))-1)),""))))</f>
        <v/>
      </c>
      <c r="O5760" s="2">
        <f>IF(OR(F5760="",G5760=""),"",IF(G5760&lt;='RETRATO 2027'!$K$5,"CONCLUÍDA",IF(F5760&lt;='RETRATO 2027'!$K$5,"EM ANDAMENTO","A INICIAR")))</f>
        <v/>
      </c>
    </row>
    <row r="5761">
      <c r="M5761" s="2">
        <f>IF(C5761="","",IFERROR(INDEX($S$5:$S$304,MATCH(C5761,$R$5:$R$304,0))&amp;"","?"))</f>
        <v/>
      </c>
      <c r="N5761" s="2">
        <f>IF(E5761="","",IF(ISNUMBER(SEARCH("SUBSOLO",E5761)),IFERROR(-VALUE(LEFT(E5761,FIND("º",SUBSTITUTE(E5761,"°","º"))-1)),-1),IF(LEFT(E5761,6)="TÉRREO",0,IFERROR(VALUE(LEFT(E5761,FIND("º",SUBSTITUTE(E5761,"°","º"))-1)),""))))</f>
        <v/>
      </c>
      <c r="O5761" s="2">
        <f>IF(OR(F5761="",G5761=""),"",IF(G5761&lt;='RETRATO 2027'!$K$5,"CONCLUÍDA",IF(F5761&lt;='RETRATO 2027'!$K$5,"EM ANDAMENTO","A INICIAR")))</f>
        <v/>
      </c>
    </row>
    <row r="5762">
      <c r="M5762" s="2">
        <f>IF(C5762="","",IFERROR(INDEX($S$5:$S$304,MATCH(C5762,$R$5:$R$304,0))&amp;"","?"))</f>
        <v/>
      </c>
      <c r="N5762" s="2">
        <f>IF(E5762="","",IF(ISNUMBER(SEARCH("SUBSOLO",E5762)),IFERROR(-VALUE(LEFT(E5762,FIND("º",SUBSTITUTE(E5762,"°","º"))-1)),-1),IF(LEFT(E5762,6)="TÉRREO",0,IFERROR(VALUE(LEFT(E5762,FIND("º",SUBSTITUTE(E5762,"°","º"))-1)),""))))</f>
        <v/>
      </c>
      <c r="O5762" s="2">
        <f>IF(OR(F5762="",G5762=""),"",IF(G5762&lt;='RETRATO 2027'!$K$5,"CONCLUÍDA",IF(F5762&lt;='RETRATO 2027'!$K$5,"EM ANDAMENTO","A INICIAR")))</f>
        <v/>
      </c>
    </row>
    <row r="5763">
      <c r="M5763" s="2">
        <f>IF(C5763="","",IFERROR(INDEX($S$5:$S$304,MATCH(C5763,$R$5:$R$304,0))&amp;"","?"))</f>
        <v/>
      </c>
      <c r="N5763" s="2">
        <f>IF(E5763="","",IF(ISNUMBER(SEARCH("SUBSOLO",E5763)),IFERROR(-VALUE(LEFT(E5763,FIND("º",SUBSTITUTE(E5763,"°","º"))-1)),-1),IF(LEFT(E5763,6)="TÉRREO",0,IFERROR(VALUE(LEFT(E5763,FIND("º",SUBSTITUTE(E5763,"°","º"))-1)),""))))</f>
        <v/>
      </c>
      <c r="O5763" s="2">
        <f>IF(OR(F5763="",G5763=""),"",IF(G5763&lt;='RETRATO 2027'!$K$5,"CONCLUÍDA",IF(F5763&lt;='RETRATO 2027'!$K$5,"EM ANDAMENTO","A INICIAR")))</f>
        <v/>
      </c>
    </row>
    <row r="5764">
      <c r="M5764" s="2">
        <f>IF(C5764="","",IFERROR(INDEX($S$5:$S$304,MATCH(C5764,$R$5:$R$304,0))&amp;"","?"))</f>
        <v/>
      </c>
      <c r="N5764" s="2">
        <f>IF(E5764="","",IF(ISNUMBER(SEARCH("SUBSOLO",E5764)),IFERROR(-VALUE(LEFT(E5764,FIND("º",SUBSTITUTE(E5764,"°","º"))-1)),-1),IF(LEFT(E5764,6)="TÉRREO",0,IFERROR(VALUE(LEFT(E5764,FIND("º",SUBSTITUTE(E5764,"°","º"))-1)),""))))</f>
        <v/>
      </c>
      <c r="O5764" s="2">
        <f>IF(OR(F5764="",G5764=""),"",IF(G5764&lt;='RETRATO 2027'!$K$5,"CONCLUÍDA",IF(F5764&lt;='RETRATO 2027'!$K$5,"EM ANDAMENTO","A INICIAR")))</f>
        <v/>
      </c>
    </row>
    <row r="5765">
      <c r="M5765" s="2">
        <f>IF(C5765="","",IFERROR(INDEX($S$5:$S$304,MATCH(C5765,$R$5:$R$304,0))&amp;"","?"))</f>
        <v/>
      </c>
      <c r="N5765" s="2">
        <f>IF(E5765="","",IF(ISNUMBER(SEARCH("SUBSOLO",E5765)),IFERROR(-VALUE(LEFT(E5765,FIND("º",SUBSTITUTE(E5765,"°","º"))-1)),-1),IF(LEFT(E5765,6)="TÉRREO",0,IFERROR(VALUE(LEFT(E5765,FIND("º",SUBSTITUTE(E5765,"°","º"))-1)),""))))</f>
        <v/>
      </c>
      <c r="O5765" s="2">
        <f>IF(OR(F5765="",G5765=""),"",IF(G5765&lt;='RETRATO 2027'!$K$5,"CONCLUÍDA",IF(F5765&lt;='RETRATO 2027'!$K$5,"EM ANDAMENTO","A INICIAR")))</f>
        <v/>
      </c>
    </row>
    <row r="5766">
      <c r="M5766" s="2">
        <f>IF(C5766="","",IFERROR(INDEX($S$5:$S$304,MATCH(C5766,$R$5:$R$304,0))&amp;"","?"))</f>
        <v/>
      </c>
      <c r="N5766" s="2">
        <f>IF(E5766="","",IF(ISNUMBER(SEARCH("SUBSOLO",E5766)),IFERROR(-VALUE(LEFT(E5766,FIND("º",SUBSTITUTE(E5766,"°","º"))-1)),-1),IF(LEFT(E5766,6)="TÉRREO",0,IFERROR(VALUE(LEFT(E5766,FIND("º",SUBSTITUTE(E5766,"°","º"))-1)),""))))</f>
        <v/>
      </c>
      <c r="O5766" s="2">
        <f>IF(OR(F5766="",G5766=""),"",IF(G5766&lt;='RETRATO 2027'!$K$5,"CONCLUÍDA",IF(F5766&lt;='RETRATO 2027'!$K$5,"EM ANDAMENTO","A INICIAR")))</f>
        <v/>
      </c>
    </row>
    <row r="5767">
      <c r="M5767" s="2">
        <f>IF(C5767="","",IFERROR(INDEX($S$5:$S$304,MATCH(C5767,$R$5:$R$304,0))&amp;"","?"))</f>
        <v/>
      </c>
      <c r="N5767" s="2">
        <f>IF(E5767="","",IF(ISNUMBER(SEARCH("SUBSOLO",E5767)),IFERROR(-VALUE(LEFT(E5767,FIND("º",SUBSTITUTE(E5767,"°","º"))-1)),-1),IF(LEFT(E5767,6)="TÉRREO",0,IFERROR(VALUE(LEFT(E5767,FIND("º",SUBSTITUTE(E5767,"°","º"))-1)),""))))</f>
        <v/>
      </c>
      <c r="O5767" s="2">
        <f>IF(OR(F5767="",G5767=""),"",IF(G5767&lt;='RETRATO 2027'!$K$5,"CONCLUÍDA",IF(F5767&lt;='RETRATO 2027'!$K$5,"EM ANDAMENTO","A INICIAR")))</f>
        <v/>
      </c>
    </row>
    <row r="5768">
      <c r="M5768" s="2">
        <f>IF(C5768="","",IFERROR(INDEX($S$5:$S$304,MATCH(C5768,$R$5:$R$304,0))&amp;"","?"))</f>
        <v/>
      </c>
      <c r="N5768" s="2">
        <f>IF(E5768="","",IF(ISNUMBER(SEARCH("SUBSOLO",E5768)),IFERROR(-VALUE(LEFT(E5768,FIND("º",SUBSTITUTE(E5768,"°","º"))-1)),-1),IF(LEFT(E5768,6)="TÉRREO",0,IFERROR(VALUE(LEFT(E5768,FIND("º",SUBSTITUTE(E5768,"°","º"))-1)),""))))</f>
        <v/>
      </c>
      <c r="O5768" s="2">
        <f>IF(OR(F5768="",G5768=""),"",IF(G5768&lt;='RETRATO 2027'!$K$5,"CONCLUÍDA",IF(F5768&lt;='RETRATO 2027'!$K$5,"EM ANDAMENTO","A INICIAR")))</f>
        <v/>
      </c>
    </row>
    <row r="5769">
      <c r="M5769" s="2">
        <f>IF(C5769="","",IFERROR(INDEX($S$5:$S$304,MATCH(C5769,$R$5:$R$304,0))&amp;"","?"))</f>
        <v/>
      </c>
      <c r="N5769" s="2">
        <f>IF(E5769="","",IF(ISNUMBER(SEARCH("SUBSOLO",E5769)),IFERROR(-VALUE(LEFT(E5769,FIND("º",SUBSTITUTE(E5769,"°","º"))-1)),-1),IF(LEFT(E5769,6)="TÉRREO",0,IFERROR(VALUE(LEFT(E5769,FIND("º",SUBSTITUTE(E5769,"°","º"))-1)),""))))</f>
        <v/>
      </c>
      <c r="O5769" s="2">
        <f>IF(OR(F5769="",G5769=""),"",IF(G5769&lt;='RETRATO 2027'!$K$5,"CONCLUÍDA",IF(F5769&lt;='RETRATO 2027'!$K$5,"EM ANDAMENTO","A INICIAR")))</f>
        <v/>
      </c>
    </row>
    <row r="5770">
      <c r="M5770" s="2">
        <f>IF(C5770="","",IFERROR(INDEX($S$5:$S$304,MATCH(C5770,$R$5:$R$304,0))&amp;"","?"))</f>
        <v/>
      </c>
      <c r="N5770" s="2">
        <f>IF(E5770="","",IF(ISNUMBER(SEARCH("SUBSOLO",E5770)),IFERROR(-VALUE(LEFT(E5770,FIND("º",SUBSTITUTE(E5770,"°","º"))-1)),-1),IF(LEFT(E5770,6)="TÉRREO",0,IFERROR(VALUE(LEFT(E5770,FIND("º",SUBSTITUTE(E5770,"°","º"))-1)),""))))</f>
        <v/>
      </c>
      <c r="O5770" s="2">
        <f>IF(OR(F5770="",G5770=""),"",IF(G5770&lt;='RETRATO 2027'!$K$5,"CONCLUÍDA",IF(F5770&lt;='RETRATO 2027'!$K$5,"EM ANDAMENTO","A INICIAR")))</f>
        <v/>
      </c>
    </row>
    <row r="5771">
      <c r="M5771" s="2">
        <f>IF(C5771="","",IFERROR(INDEX($S$5:$S$304,MATCH(C5771,$R$5:$R$304,0))&amp;"","?"))</f>
        <v/>
      </c>
      <c r="N5771" s="2">
        <f>IF(E5771="","",IF(ISNUMBER(SEARCH("SUBSOLO",E5771)),IFERROR(-VALUE(LEFT(E5771,FIND("º",SUBSTITUTE(E5771,"°","º"))-1)),-1),IF(LEFT(E5771,6)="TÉRREO",0,IFERROR(VALUE(LEFT(E5771,FIND("º",SUBSTITUTE(E5771,"°","º"))-1)),""))))</f>
        <v/>
      </c>
      <c r="O5771" s="2">
        <f>IF(OR(F5771="",G5771=""),"",IF(G5771&lt;='RETRATO 2027'!$K$5,"CONCLUÍDA",IF(F5771&lt;='RETRATO 2027'!$K$5,"EM ANDAMENTO","A INICIAR")))</f>
        <v/>
      </c>
    </row>
    <row r="5772">
      <c r="M5772" s="2">
        <f>IF(C5772="","",IFERROR(INDEX($S$5:$S$304,MATCH(C5772,$R$5:$R$304,0))&amp;"","?"))</f>
        <v/>
      </c>
      <c r="N5772" s="2">
        <f>IF(E5772="","",IF(ISNUMBER(SEARCH("SUBSOLO",E5772)),IFERROR(-VALUE(LEFT(E5772,FIND("º",SUBSTITUTE(E5772,"°","º"))-1)),-1),IF(LEFT(E5772,6)="TÉRREO",0,IFERROR(VALUE(LEFT(E5772,FIND("º",SUBSTITUTE(E5772,"°","º"))-1)),""))))</f>
        <v/>
      </c>
      <c r="O5772" s="2">
        <f>IF(OR(F5772="",G5772=""),"",IF(G5772&lt;='RETRATO 2027'!$K$5,"CONCLUÍDA",IF(F5772&lt;='RETRATO 2027'!$K$5,"EM ANDAMENTO","A INICIAR")))</f>
        <v/>
      </c>
    </row>
    <row r="5773">
      <c r="M5773" s="2">
        <f>IF(C5773="","",IFERROR(INDEX($S$5:$S$304,MATCH(C5773,$R$5:$R$304,0))&amp;"","?"))</f>
        <v/>
      </c>
      <c r="N5773" s="2">
        <f>IF(E5773="","",IF(ISNUMBER(SEARCH("SUBSOLO",E5773)),IFERROR(-VALUE(LEFT(E5773,FIND("º",SUBSTITUTE(E5773,"°","º"))-1)),-1),IF(LEFT(E5773,6)="TÉRREO",0,IFERROR(VALUE(LEFT(E5773,FIND("º",SUBSTITUTE(E5773,"°","º"))-1)),""))))</f>
        <v/>
      </c>
      <c r="O5773" s="2">
        <f>IF(OR(F5773="",G5773=""),"",IF(G5773&lt;='RETRATO 2027'!$K$5,"CONCLUÍDA",IF(F5773&lt;='RETRATO 2027'!$K$5,"EM ANDAMENTO","A INICIAR")))</f>
        <v/>
      </c>
    </row>
    <row r="5774">
      <c r="M5774" s="2">
        <f>IF(C5774="","",IFERROR(INDEX($S$5:$S$304,MATCH(C5774,$R$5:$R$304,0))&amp;"","?"))</f>
        <v/>
      </c>
      <c r="N5774" s="2">
        <f>IF(E5774="","",IF(ISNUMBER(SEARCH("SUBSOLO",E5774)),IFERROR(-VALUE(LEFT(E5774,FIND("º",SUBSTITUTE(E5774,"°","º"))-1)),-1),IF(LEFT(E5774,6)="TÉRREO",0,IFERROR(VALUE(LEFT(E5774,FIND("º",SUBSTITUTE(E5774,"°","º"))-1)),""))))</f>
        <v/>
      </c>
      <c r="O5774" s="2">
        <f>IF(OR(F5774="",G5774=""),"",IF(G5774&lt;='RETRATO 2027'!$K$5,"CONCLUÍDA",IF(F5774&lt;='RETRATO 2027'!$K$5,"EM ANDAMENTO","A INICIAR")))</f>
        <v/>
      </c>
    </row>
    <row r="5775">
      <c r="M5775" s="2">
        <f>IF(C5775="","",IFERROR(INDEX($S$5:$S$304,MATCH(C5775,$R$5:$R$304,0))&amp;"","?"))</f>
        <v/>
      </c>
      <c r="N5775" s="2">
        <f>IF(E5775="","",IF(ISNUMBER(SEARCH("SUBSOLO",E5775)),IFERROR(-VALUE(LEFT(E5775,FIND("º",SUBSTITUTE(E5775,"°","º"))-1)),-1),IF(LEFT(E5775,6)="TÉRREO",0,IFERROR(VALUE(LEFT(E5775,FIND("º",SUBSTITUTE(E5775,"°","º"))-1)),""))))</f>
        <v/>
      </c>
      <c r="O5775" s="2">
        <f>IF(OR(F5775="",G5775=""),"",IF(G5775&lt;='RETRATO 2027'!$K$5,"CONCLUÍDA",IF(F5775&lt;='RETRATO 2027'!$K$5,"EM ANDAMENTO","A INICIAR")))</f>
        <v/>
      </c>
    </row>
    <row r="5776">
      <c r="M5776" s="2">
        <f>IF(C5776="","",IFERROR(INDEX($S$5:$S$304,MATCH(C5776,$R$5:$R$304,0))&amp;"","?"))</f>
        <v/>
      </c>
      <c r="N5776" s="2">
        <f>IF(E5776="","",IF(ISNUMBER(SEARCH("SUBSOLO",E5776)),IFERROR(-VALUE(LEFT(E5776,FIND("º",SUBSTITUTE(E5776,"°","º"))-1)),-1),IF(LEFT(E5776,6)="TÉRREO",0,IFERROR(VALUE(LEFT(E5776,FIND("º",SUBSTITUTE(E5776,"°","º"))-1)),""))))</f>
        <v/>
      </c>
      <c r="O5776" s="2">
        <f>IF(OR(F5776="",G5776=""),"",IF(G5776&lt;='RETRATO 2027'!$K$5,"CONCLUÍDA",IF(F5776&lt;='RETRATO 2027'!$K$5,"EM ANDAMENTO","A INICIAR")))</f>
        <v/>
      </c>
    </row>
    <row r="5777">
      <c r="M5777" s="2">
        <f>IF(C5777="","",IFERROR(INDEX($S$5:$S$304,MATCH(C5777,$R$5:$R$304,0))&amp;"","?"))</f>
        <v/>
      </c>
      <c r="N5777" s="2">
        <f>IF(E5777="","",IF(ISNUMBER(SEARCH("SUBSOLO",E5777)),IFERROR(-VALUE(LEFT(E5777,FIND("º",SUBSTITUTE(E5777,"°","º"))-1)),-1),IF(LEFT(E5777,6)="TÉRREO",0,IFERROR(VALUE(LEFT(E5777,FIND("º",SUBSTITUTE(E5777,"°","º"))-1)),""))))</f>
        <v/>
      </c>
      <c r="O5777" s="2">
        <f>IF(OR(F5777="",G5777=""),"",IF(G5777&lt;='RETRATO 2027'!$K$5,"CONCLUÍDA",IF(F5777&lt;='RETRATO 2027'!$K$5,"EM ANDAMENTO","A INICIAR")))</f>
        <v/>
      </c>
    </row>
    <row r="5778">
      <c r="M5778" s="2">
        <f>IF(C5778="","",IFERROR(INDEX($S$5:$S$304,MATCH(C5778,$R$5:$R$304,0))&amp;"","?"))</f>
        <v/>
      </c>
      <c r="N5778" s="2">
        <f>IF(E5778="","",IF(ISNUMBER(SEARCH("SUBSOLO",E5778)),IFERROR(-VALUE(LEFT(E5778,FIND("º",SUBSTITUTE(E5778,"°","º"))-1)),-1),IF(LEFT(E5778,6)="TÉRREO",0,IFERROR(VALUE(LEFT(E5778,FIND("º",SUBSTITUTE(E5778,"°","º"))-1)),""))))</f>
        <v/>
      </c>
      <c r="O5778" s="2">
        <f>IF(OR(F5778="",G5778=""),"",IF(G5778&lt;='RETRATO 2027'!$K$5,"CONCLUÍDA",IF(F5778&lt;='RETRATO 2027'!$K$5,"EM ANDAMENTO","A INICIAR")))</f>
        <v/>
      </c>
    </row>
    <row r="5779">
      <c r="M5779" s="2">
        <f>IF(C5779="","",IFERROR(INDEX($S$5:$S$304,MATCH(C5779,$R$5:$R$304,0))&amp;"","?"))</f>
        <v/>
      </c>
      <c r="N5779" s="2">
        <f>IF(E5779="","",IF(ISNUMBER(SEARCH("SUBSOLO",E5779)),IFERROR(-VALUE(LEFT(E5779,FIND("º",SUBSTITUTE(E5779,"°","º"))-1)),-1),IF(LEFT(E5779,6)="TÉRREO",0,IFERROR(VALUE(LEFT(E5779,FIND("º",SUBSTITUTE(E5779,"°","º"))-1)),""))))</f>
        <v/>
      </c>
      <c r="O5779" s="2">
        <f>IF(OR(F5779="",G5779=""),"",IF(G5779&lt;='RETRATO 2027'!$K$5,"CONCLUÍDA",IF(F5779&lt;='RETRATO 2027'!$K$5,"EM ANDAMENTO","A INICIAR")))</f>
        <v/>
      </c>
    </row>
    <row r="5780">
      <c r="M5780" s="2">
        <f>IF(C5780="","",IFERROR(INDEX($S$5:$S$304,MATCH(C5780,$R$5:$R$304,0))&amp;"","?"))</f>
        <v/>
      </c>
      <c r="N5780" s="2">
        <f>IF(E5780="","",IF(ISNUMBER(SEARCH("SUBSOLO",E5780)),IFERROR(-VALUE(LEFT(E5780,FIND("º",SUBSTITUTE(E5780,"°","º"))-1)),-1),IF(LEFT(E5780,6)="TÉRREO",0,IFERROR(VALUE(LEFT(E5780,FIND("º",SUBSTITUTE(E5780,"°","º"))-1)),""))))</f>
        <v/>
      </c>
      <c r="O5780" s="2">
        <f>IF(OR(F5780="",G5780=""),"",IF(G5780&lt;='RETRATO 2027'!$K$5,"CONCLUÍDA",IF(F5780&lt;='RETRATO 2027'!$K$5,"EM ANDAMENTO","A INICIAR")))</f>
        <v/>
      </c>
    </row>
    <row r="5781">
      <c r="M5781" s="2">
        <f>IF(C5781="","",IFERROR(INDEX($S$5:$S$304,MATCH(C5781,$R$5:$R$304,0))&amp;"","?"))</f>
        <v/>
      </c>
      <c r="N5781" s="2">
        <f>IF(E5781="","",IF(ISNUMBER(SEARCH("SUBSOLO",E5781)),IFERROR(-VALUE(LEFT(E5781,FIND("º",SUBSTITUTE(E5781,"°","º"))-1)),-1),IF(LEFT(E5781,6)="TÉRREO",0,IFERROR(VALUE(LEFT(E5781,FIND("º",SUBSTITUTE(E5781,"°","º"))-1)),""))))</f>
        <v/>
      </c>
      <c r="O5781" s="2">
        <f>IF(OR(F5781="",G5781=""),"",IF(G5781&lt;='RETRATO 2027'!$K$5,"CONCLUÍDA",IF(F5781&lt;='RETRATO 2027'!$K$5,"EM ANDAMENTO","A INICIAR")))</f>
        <v/>
      </c>
    </row>
    <row r="5782">
      <c r="M5782" s="2">
        <f>IF(C5782="","",IFERROR(INDEX($S$5:$S$304,MATCH(C5782,$R$5:$R$304,0))&amp;"","?"))</f>
        <v/>
      </c>
      <c r="N5782" s="2">
        <f>IF(E5782="","",IF(ISNUMBER(SEARCH("SUBSOLO",E5782)),IFERROR(-VALUE(LEFT(E5782,FIND("º",SUBSTITUTE(E5782,"°","º"))-1)),-1),IF(LEFT(E5782,6)="TÉRREO",0,IFERROR(VALUE(LEFT(E5782,FIND("º",SUBSTITUTE(E5782,"°","º"))-1)),""))))</f>
        <v/>
      </c>
      <c r="O5782" s="2">
        <f>IF(OR(F5782="",G5782=""),"",IF(G5782&lt;='RETRATO 2027'!$K$5,"CONCLUÍDA",IF(F5782&lt;='RETRATO 2027'!$K$5,"EM ANDAMENTO","A INICIAR")))</f>
        <v/>
      </c>
    </row>
    <row r="5783">
      <c r="M5783" s="2">
        <f>IF(C5783="","",IFERROR(INDEX($S$5:$S$304,MATCH(C5783,$R$5:$R$304,0))&amp;"","?"))</f>
        <v/>
      </c>
      <c r="N5783" s="2">
        <f>IF(E5783="","",IF(ISNUMBER(SEARCH("SUBSOLO",E5783)),IFERROR(-VALUE(LEFT(E5783,FIND("º",SUBSTITUTE(E5783,"°","º"))-1)),-1),IF(LEFT(E5783,6)="TÉRREO",0,IFERROR(VALUE(LEFT(E5783,FIND("º",SUBSTITUTE(E5783,"°","º"))-1)),""))))</f>
        <v/>
      </c>
      <c r="O5783" s="2">
        <f>IF(OR(F5783="",G5783=""),"",IF(G5783&lt;='RETRATO 2027'!$K$5,"CONCLUÍDA",IF(F5783&lt;='RETRATO 2027'!$K$5,"EM ANDAMENTO","A INICIAR")))</f>
        <v/>
      </c>
    </row>
    <row r="5784">
      <c r="M5784" s="2">
        <f>IF(C5784="","",IFERROR(INDEX($S$5:$S$304,MATCH(C5784,$R$5:$R$304,0))&amp;"","?"))</f>
        <v/>
      </c>
      <c r="N5784" s="2">
        <f>IF(E5784="","",IF(ISNUMBER(SEARCH("SUBSOLO",E5784)),IFERROR(-VALUE(LEFT(E5784,FIND("º",SUBSTITUTE(E5784,"°","º"))-1)),-1),IF(LEFT(E5784,6)="TÉRREO",0,IFERROR(VALUE(LEFT(E5784,FIND("º",SUBSTITUTE(E5784,"°","º"))-1)),""))))</f>
        <v/>
      </c>
      <c r="O5784" s="2">
        <f>IF(OR(F5784="",G5784=""),"",IF(G5784&lt;='RETRATO 2027'!$K$5,"CONCLUÍDA",IF(F5784&lt;='RETRATO 2027'!$K$5,"EM ANDAMENTO","A INICIAR")))</f>
        <v/>
      </c>
    </row>
    <row r="5785">
      <c r="M5785" s="2">
        <f>IF(C5785="","",IFERROR(INDEX($S$5:$S$304,MATCH(C5785,$R$5:$R$304,0))&amp;"","?"))</f>
        <v/>
      </c>
      <c r="N5785" s="2">
        <f>IF(E5785="","",IF(ISNUMBER(SEARCH("SUBSOLO",E5785)),IFERROR(-VALUE(LEFT(E5785,FIND("º",SUBSTITUTE(E5785,"°","º"))-1)),-1),IF(LEFT(E5785,6)="TÉRREO",0,IFERROR(VALUE(LEFT(E5785,FIND("º",SUBSTITUTE(E5785,"°","º"))-1)),""))))</f>
        <v/>
      </c>
      <c r="O5785" s="2">
        <f>IF(OR(F5785="",G5785=""),"",IF(G5785&lt;='RETRATO 2027'!$K$5,"CONCLUÍDA",IF(F5785&lt;='RETRATO 2027'!$K$5,"EM ANDAMENTO","A INICIAR")))</f>
        <v/>
      </c>
    </row>
    <row r="5786">
      <c r="M5786" s="2">
        <f>IF(C5786="","",IFERROR(INDEX($S$5:$S$304,MATCH(C5786,$R$5:$R$304,0))&amp;"","?"))</f>
        <v/>
      </c>
      <c r="N5786" s="2">
        <f>IF(E5786="","",IF(ISNUMBER(SEARCH("SUBSOLO",E5786)),IFERROR(-VALUE(LEFT(E5786,FIND("º",SUBSTITUTE(E5786,"°","º"))-1)),-1),IF(LEFT(E5786,6)="TÉRREO",0,IFERROR(VALUE(LEFT(E5786,FIND("º",SUBSTITUTE(E5786,"°","º"))-1)),""))))</f>
        <v/>
      </c>
      <c r="O5786" s="2">
        <f>IF(OR(F5786="",G5786=""),"",IF(G5786&lt;='RETRATO 2027'!$K$5,"CONCLUÍDA",IF(F5786&lt;='RETRATO 2027'!$K$5,"EM ANDAMENTO","A INICIAR")))</f>
        <v/>
      </c>
    </row>
    <row r="5787">
      <c r="M5787" s="2">
        <f>IF(C5787="","",IFERROR(INDEX($S$5:$S$304,MATCH(C5787,$R$5:$R$304,0))&amp;"","?"))</f>
        <v/>
      </c>
      <c r="N5787" s="2">
        <f>IF(E5787="","",IF(ISNUMBER(SEARCH("SUBSOLO",E5787)),IFERROR(-VALUE(LEFT(E5787,FIND("º",SUBSTITUTE(E5787,"°","º"))-1)),-1),IF(LEFT(E5787,6)="TÉRREO",0,IFERROR(VALUE(LEFT(E5787,FIND("º",SUBSTITUTE(E5787,"°","º"))-1)),""))))</f>
        <v/>
      </c>
      <c r="O5787" s="2">
        <f>IF(OR(F5787="",G5787=""),"",IF(G5787&lt;='RETRATO 2027'!$K$5,"CONCLUÍDA",IF(F5787&lt;='RETRATO 2027'!$K$5,"EM ANDAMENTO","A INICIAR")))</f>
        <v/>
      </c>
    </row>
    <row r="5788">
      <c r="M5788" s="2">
        <f>IF(C5788="","",IFERROR(INDEX($S$5:$S$304,MATCH(C5788,$R$5:$R$304,0))&amp;"","?"))</f>
        <v/>
      </c>
      <c r="N5788" s="2">
        <f>IF(E5788="","",IF(ISNUMBER(SEARCH("SUBSOLO",E5788)),IFERROR(-VALUE(LEFT(E5788,FIND("º",SUBSTITUTE(E5788,"°","º"))-1)),-1),IF(LEFT(E5788,6)="TÉRREO",0,IFERROR(VALUE(LEFT(E5788,FIND("º",SUBSTITUTE(E5788,"°","º"))-1)),""))))</f>
        <v/>
      </c>
      <c r="O5788" s="2">
        <f>IF(OR(F5788="",G5788=""),"",IF(G5788&lt;='RETRATO 2027'!$K$5,"CONCLUÍDA",IF(F5788&lt;='RETRATO 2027'!$K$5,"EM ANDAMENTO","A INICIAR")))</f>
        <v/>
      </c>
    </row>
    <row r="5789">
      <c r="M5789" s="2">
        <f>IF(C5789="","",IFERROR(INDEX($S$5:$S$304,MATCH(C5789,$R$5:$R$304,0))&amp;"","?"))</f>
        <v/>
      </c>
      <c r="N5789" s="2">
        <f>IF(E5789="","",IF(ISNUMBER(SEARCH("SUBSOLO",E5789)),IFERROR(-VALUE(LEFT(E5789,FIND("º",SUBSTITUTE(E5789,"°","º"))-1)),-1),IF(LEFT(E5789,6)="TÉRREO",0,IFERROR(VALUE(LEFT(E5789,FIND("º",SUBSTITUTE(E5789,"°","º"))-1)),""))))</f>
        <v/>
      </c>
      <c r="O5789" s="2">
        <f>IF(OR(F5789="",G5789=""),"",IF(G5789&lt;='RETRATO 2027'!$K$5,"CONCLUÍDA",IF(F5789&lt;='RETRATO 2027'!$K$5,"EM ANDAMENTO","A INICIAR")))</f>
        <v/>
      </c>
    </row>
    <row r="5790">
      <c r="M5790" s="2">
        <f>IF(C5790="","",IFERROR(INDEX($S$5:$S$304,MATCH(C5790,$R$5:$R$304,0))&amp;"","?"))</f>
        <v/>
      </c>
      <c r="N5790" s="2">
        <f>IF(E5790="","",IF(ISNUMBER(SEARCH("SUBSOLO",E5790)),IFERROR(-VALUE(LEFT(E5790,FIND("º",SUBSTITUTE(E5790,"°","º"))-1)),-1),IF(LEFT(E5790,6)="TÉRREO",0,IFERROR(VALUE(LEFT(E5790,FIND("º",SUBSTITUTE(E5790,"°","º"))-1)),""))))</f>
        <v/>
      </c>
      <c r="O5790" s="2">
        <f>IF(OR(F5790="",G5790=""),"",IF(G5790&lt;='RETRATO 2027'!$K$5,"CONCLUÍDA",IF(F5790&lt;='RETRATO 2027'!$K$5,"EM ANDAMENTO","A INICIAR")))</f>
        <v/>
      </c>
    </row>
    <row r="5791">
      <c r="M5791" s="2">
        <f>IF(C5791="","",IFERROR(INDEX($S$5:$S$304,MATCH(C5791,$R$5:$R$304,0))&amp;"","?"))</f>
        <v/>
      </c>
      <c r="N5791" s="2">
        <f>IF(E5791="","",IF(ISNUMBER(SEARCH("SUBSOLO",E5791)),IFERROR(-VALUE(LEFT(E5791,FIND("º",SUBSTITUTE(E5791,"°","º"))-1)),-1),IF(LEFT(E5791,6)="TÉRREO",0,IFERROR(VALUE(LEFT(E5791,FIND("º",SUBSTITUTE(E5791,"°","º"))-1)),""))))</f>
        <v/>
      </c>
      <c r="O5791" s="2">
        <f>IF(OR(F5791="",G5791=""),"",IF(G5791&lt;='RETRATO 2027'!$K$5,"CONCLUÍDA",IF(F5791&lt;='RETRATO 2027'!$K$5,"EM ANDAMENTO","A INICIAR")))</f>
        <v/>
      </c>
    </row>
    <row r="5792">
      <c r="M5792" s="2">
        <f>IF(C5792="","",IFERROR(INDEX($S$5:$S$304,MATCH(C5792,$R$5:$R$304,0))&amp;"","?"))</f>
        <v/>
      </c>
      <c r="N5792" s="2">
        <f>IF(E5792="","",IF(ISNUMBER(SEARCH("SUBSOLO",E5792)),IFERROR(-VALUE(LEFT(E5792,FIND("º",SUBSTITUTE(E5792,"°","º"))-1)),-1),IF(LEFT(E5792,6)="TÉRREO",0,IFERROR(VALUE(LEFT(E5792,FIND("º",SUBSTITUTE(E5792,"°","º"))-1)),""))))</f>
        <v/>
      </c>
      <c r="O5792" s="2">
        <f>IF(OR(F5792="",G5792=""),"",IF(G5792&lt;='RETRATO 2027'!$K$5,"CONCLUÍDA",IF(F5792&lt;='RETRATO 2027'!$K$5,"EM ANDAMENTO","A INICIAR")))</f>
        <v/>
      </c>
    </row>
    <row r="5793">
      <c r="M5793" s="2">
        <f>IF(C5793="","",IFERROR(INDEX($S$5:$S$304,MATCH(C5793,$R$5:$R$304,0))&amp;"","?"))</f>
        <v/>
      </c>
      <c r="N5793" s="2">
        <f>IF(E5793="","",IF(ISNUMBER(SEARCH("SUBSOLO",E5793)),IFERROR(-VALUE(LEFT(E5793,FIND("º",SUBSTITUTE(E5793,"°","º"))-1)),-1),IF(LEFT(E5793,6)="TÉRREO",0,IFERROR(VALUE(LEFT(E5793,FIND("º",SUBSTITUTE(E5793,"°","º"))-1)),""))))</f>
        <v/>
      </c>
      <c r="O5793" s="2">
        <f>IF(OR(F5793="",G5793=""),"",IF(G5793&lt;='RETRATO 2027'!$K$5,"CONCLUÍDA",IF(F5793&lt;='RETRATO 2027'!$K$5,"EM ANDAMENTO","A INICIAR")))</f>
        <v/>
      </c>
    </row>
    <row r="5794">
      <c r="M5794" s="2">
        <f>IF(C5794="","",IFERROR(INDEX($S$5:$S$304,MATCH(C5794,$R$5:$R$304,0))&amp;"","?"))</f>
        <v/>
      </c>
      <c r="N5794" s="2">
        <f>IF(E5794="","",IF(ISNUMBER(SEARCH("SUBSOLO",E5794)),IFERROR(-VALUE(LEFT(E5794,FIND("º",SUBSTITUTE(E5794,"°","º"))-1)),-1),IF(LEFT(E5794,6)="TÉRREO",0,IFERROR(VALUE(LEFT(E5794,FIND("º",SUBSTITUTE(E5794,"°","º"))-1)),""))))</f>
        <v/>
      </c>
      <c r="O5794" s="2">
        <f>IF(OR(F5794="",G5794=""),"",IF(G5794&lt;='RETRATO 2027'!$K$5,"CONCLUÍDA",IF(F5794&lt;='RETRATO 2027'!$K$5,"EM ANDAMENTO","A INICIAR")))</f>
        <v/>
      </c>
    </row>
    <row r="5795">
      <c r="M5795" s="2">
        <f>IF(C5795="","",IFERROR(INDEX($S$5:$S$304,MATCH(C5795,$R$5:$R$304,0))&amp;"","?"))</f>
        <v/>
      </c>
      <c r="N5795" s="2">
        <f>IF(E5795="","",IF(ISNUMBER(SEARCH("SUBSOLO",E5795)),IFERROR(-VALUE(LEFT(E5795,FIND("º",SUBSTITUTE(E5795,"°","º"))-1)),-1),IF(LEFT(E5795,6)="TÉRREO",0,IFERROR(VALUE(LEFT(E5795,FIND("º",SUBSTITUTE(E5795,"°","º"))-1)),""))))</f>
        <v/>
      </c>
      <c r="O5795" s="2">
        <f>IF(OR(F5795="",G5795=""),"",IF(G5795&lt;='RETRATO 2027'!$K$5,"CONCLUÍDA",IF(F5795&lt;='RETRATO 2027'!$K$5,"EM ANDAMENTO","A INICIAR")))</f>
        <v/>
      </c>
    </row>
    <row r="5796">
      <c r="M5796" s="2">
        <f>IF(C5796="","",IFERROR(INDEX($S$5:$S$304,MATCH(C5796,$R$5:$R$304,0))&amp;"","?"))</f>
        <v/>
      </c>
      <c r="N5796" s="2">
        <f>IF(E5796="","",IF(ISNUMBER(SEARCH("SUBSOLO",E5796)),IFERROR(-VALUE(LEFT(E5796,FIND("º",SUBSTITUTE(E5796,"°","º"))-1)),-1),IF(LEFT(E5796,6)="TÉRREO",0,IFERROR(VALUE(LEFT(E5796,FIND("º",SUBSTITUTE(E5796,"°","º"))-1)),""))))</f>
        <v/>
      </c>
      <c r="O5796" s="2">
        <f>IF(OR(F5796="",G5796=""),"",IF(G5796&lt;='RETRATO 2027'!$K$5,"CONCLUÍDA",IF(F5796&lt;='RETRATO 2027'!$K$5,"EM ANDAMENTO","A INICIAR")))</f>
        <v/>
      </c>
    </row>
    <row r="5797">
      <c r="M5797" s="2">
        <f>IF(C5797="","",IFERROR(INDEX($S$5:$S$304,MATCH(C5797,$R$5:$R$304,0))&amp;"","?"))</f>
        <v/>
      </c>
      <c r="N5797" s="2">
        <f>IF(E5797="","",IF(ISNUMBER(SEARCH("SUBSOLO",E5797)),IFERROR(-VALUE(LEFT(E5797,FIND("º",SUBSTITUTE(E5797,"°","º"))-1)),-1),IF(LEFT(E5797,6)="TÉRREO",0,IFERROR(VALUE(LEFT(E5797,FIND("º",SUBSTITUTE(E5797,"°","º"))-1)),""))))</f>
        <v/>
      </c>
      <c r="O5797" s="2">
        <f>IF(OR(F5797="",G5797=""),"",IF(G5797&lt;='RETRATO 2027'!$K$5,"CONCLUÍDA",IF(F5797&lt;='RETRATO 2027'!$K$5,"EM ANDAMENTO","A INICIAR")))</f>
        <v/>
      </c>
    </row>
    <row r="5798">
      <c r="M5798" s="2">
        <f>IF(C5798="","",IFERROR(INDEX($S$5:$S$304,MATCH(C5798,$R$5:$R$304,0))&amp;"","?"))</f>
        <v/>
      </c>
      <c r="N5798" s="2">
        <f>IF(E5798="","",IF(ISNUMBER(SEARCH("SUBSOLO",E5798)),IFERROR(-VALUE(LEFT(E5798,FIND("º",SUBSTITUTE(E5798,"°","º"))-1)),-1),IF(LEFT(E5798,6)="TÉRREO",0,IFERROR(VALUE(LEFT(E5798,FIND("º",SUBSTITUTE(E5798,"°","º"))-1)),""))))</f>
        <v/>
      </c>
      <c r="O5798" s="2">
        <f>IF(OR(F5798="",G5798=""),"",IF(G5798&lt;='RETRATO 2027'!$K$5,"CONCLUÍDA",IF(F5798&lt;='RETRATO 2027'!$K$5,"EM ANDAMENTO","A INICIAR")))</f>
        <v/>
      </c>
    </row>
    <row r="5799">
      <c r="M5799" s="2">
        <f>IF(C5799="","",IFERROR(INDEX($S$5:$S$304,MATCH(C5799,$R$5:$R$304,0))&amp;"","?"))</f>
        <v/>
      </c>
      <c r="N5799" s="2">
        <f>IF(E5799="","",IF(ISNUMBER(SEARCH("SUBSOLO",E5799)),IFERROR(-VALUE(LEFT(E5799,FIND("º",SUBSTITUTE(E5799,"°","º"))-1)),-1),IF(LEFT(E5799,6)="TÉRREO",0,IFERROR(VALUE(LEFT(E5799,FIND("º",SUBSTITUTE(E5799,"°","º"))-1)),""))))</f>
        <v/>
      </c>
      <c r="O5799" s="2">
        <f>IF(OR(F5799="",G5799=""),"",IF(G5799&lt;='RETRATO 2027'!$K$5,"CONCLUÍDA",IF(F5799&lt;='RETRATO 2027'!$K$5,"EM ANDAMENTO","A INICIAR")))</f>
        <v/>
      </c>
    </row>
    <row r="5800">
      <c r="M5800" s="2">
        <f>IF(C5800="","",IFERROR(INDEX($S$5:$S$304,MATCH(C5800,$R$5:$R$304,0))&amp;"","?"))</f>
        <v/>
      </c>
      <c r="N5800" s="2">
        <f>IF(E5800="","",IF(ISNUMBER(SEARCH("SUBSOLO",E5800)),IFERROR(-VALUE(LEFT(E5800,FIND("º",SUBSTITUTE(E5800,"°","º"))-1)),-1),IF(LEFT(E5800,6)="TÉRREO",0,IFERROR(VALUE(LEFT(E5800,FIND("º",SUBSTITUTE(E5800,"°","º"))-1)),""))))</f>
        <v/>
      </c>
      <c r="O5800" s="2">
        <f>IF(OR(F5800="",G5800=""),"",IF(G5800&lt;='RETRATO 2027'!$K$5,"CONCLUÍDA",IF(F5800&lt;='RETRATO 2027'!$K$5,"EM ANDAMENTO","A INICIAR")))</f>
        <v/>
      </c>
    </row>
    <row r="5801">
      <c r="M5801" s="2">
        <f>IF(C5801="","",IFERROR(INDEX($S$5:$S$304,MATCH(C5801,$R$5:$R$304,0))&amp;"","?"))</f>
        <v/>
      </c>
      <c r="N5801" s="2">
        <f>IF(E5801="","",IF(ISNUMBER(SEARCH("SUBSOLO",E5801)),IFERROR(-VALUE(LEFT(E5801,FIND("º",SUBSTITUTE(E5801,"°","º"))-1)),-1),IF(LEFT(E5801,6)="TÉRREO",0,IFERROR(VALUE(LEFT(E5801,FIND("º",SUBSTITUTE(E5801,"°","º"))-1)),""))))</f>
        <v/>
      </c>
      <c r="O5801" s="2">
        <f>IF(OR(F5801="",G5801=""),"",IF(G5801&lt;='RETRATO 2027'!$K$5,"CONCLUÍDA",IF(F5801&lt;='RETRATO 2027'!$K$5,"EM ANDAMENTO","A INICIAR")))</f>
        <v/>
      </c>
    </row>
    <row r="5802">
      <c r="M5802" s="2">
        <f>IF(C5802="","",IFERROR(INDEX($S$5:$S$304,MATCH(C5802,$R$5:$R$304,0))&amp;"","?"))</f>
        <v/>
      </c>
      <c r="N5802" s="2">
        <f>IF(E5802="","",IF(ISNUMBER(SEARCH("SUBSOLO",E5802)),IFERROR(-VALUE(LEFT(E5802,FIND("º",SUBSTITUTE(E5802,"°","º"))-1)),-1),IF(LEFT(E5802,6)="TÉRREO",0,IFERROR(VALUE(LEFT(E5802,FIND("º",SUBSTITUTE(E5802,"°","º"))-1)),""))))</f>
        <v/>
      </c>
      <c r="O5802" s="2">
        <f>IF(OR(F5802="",G5802=""),"",IF(G5802&lt;='RETRATO 2027'!$K$5,"CONCLUÍDA",IF(F5802&lt;='RETRATO 2027'!$K$5,"EM ANDAMENTO","A INICIAR")))</f>
        <v/>
      </c>
    </row>
    <row r="5803">
      <c r="M5803" s="2">
        <f>IF(C5803="","",IFERROR(INDEX($S$5:$S$304,MATCH(C5803,$R$5:$R$304,0))&amp;"","?"))</f>
        <v/>
      </c>
      <c r="N5803" s="2">
        <f>IF(E5803="","",IF(ISNUMBER(SEARCH("SUBSOLO",E5803)),IFERROR(-VALUE(LEFT(E5803,FIND("º",SUBSTITUTE(E5803,"°","º"))-1)),-1),IF(LEFT(E5803,6)="TÉRREO",0,IFERROR(VALUE(LEFT(E5803,FIND("º",SUBSTITUTE(E5803,"°","º"))-1)),""))))</f>
        <v/>
      </c>
      <c r="O5803" s="2">
        <f>IF(OR(F5803="",G5803=""),"",IF(G5803&lt;='RETRATO 2027'!$K$5,"CONCLUÍDA",IF(F5803&lt;='RETRATO 2027'!$K$5,"EM ANDAMENTO","A INICIAR")))</f>
        <v/>
      </c>
    </row>
    <row r="5804">
      <c r="M5804" s="2">
        <f>IF(C5804="","",IFERROR(INDEX($S$5:$S$304,MATCH(C5804,$R$5:$R$304,0))&amp;"","?"))</f>
        <v/>
      </c>
      <c r="N5804" s="2">
        <f>IF(E5804="","",IF(ISNUMBER(SEARCH("SUBSOLO",E5804)),IFERROR(-VALUE(LEFT(E5804,FIND("º",SUBSTITUTE(E5804,"°","º"))-1)),-1),IF(LEFT(E5804,6)="TÉRREO",0,IFERROR(VALUE(LEFT(E5804,FIND("º",SUBSTITUTE(E5804,"°","º"))-1)),""))))</f>
        <v/>
      </c>
      <c r="O5804" s="2">
        <f>IF(OR(F5804="",G5804=""),"",IF(G5804&lt;='RETRATO 2027'!$K$5,"CONCLUÍDA",IF(F5804&lt;='RETRATO 2027'!$K$5,"EM ANDAMENTO","A INICIAR")))</f>
        <v/>
      </c>
    </row>
    <row r="5805">
      <c r="M5805" s="2">
        <f>IF(C5805="","",IFERROR(INDEX($S$5:$S$304,MATCH(C5805,$R$5:$R$304,0))&amp;"","?"))</f>
        <v/>
      </c>
      <c r="N5805" s="2">
        <f>IF(E5805="","",IF(ISNUMBER(SEARCH("SUBSOLO",E5805)),IFERROR(-VALUE(LEFT(E5805,FIND("º",SUBSTITUTE(E5805,"°","º"))-1)),-1),IF(LEFT(E5805,6)="TÉRREO",0,IFERROR(VALUE(LEFT(E5805,FIND("º",SUBSTITUTE(E5805,"°","º"))-1)),""))))</f>
        <v/>
      </c>
      <c r="O5805" s="2">
        <f>IF(OR(F5805="",G5805=""),"",IF(G5805&lt;='RETRATO 2027'!$K$5,"CONCLUÍDA",IF(F5805&lt;='RETRATO 2027'!$K$5,"EM ANDAMENTO","A INICIAR")))</f>
        <v/>
      </c>
    </row>
    <row r="5806">
      <c r="M5806" s="2">
        <f>IF(C5806="","",IFERROR(INDEX($S$5:$S$304,MATCH(C5806,$R$5:$R$304,0))&amp;"","?"))</f>
        <v/>
      </c>
      <c r="N5806" s="2">
        <f>IF(E5806="","",IF(ISNUMBER(SEARCH("SUBSOLO",E5806)),IFERROR(-VALUE(LEFT(E5806,FIND("º",SUBSTITUTE(E5806,"°","º"))-1)),-1),IF(LEFT(E5806,6)="TÉRREO",0,IFERROR(VALUE(LEFT(E5806,FIND("º",SUBSTITUTE(E5806,"°","º"))-1)),""))))</f>
        <v/>
      </c>
      <c r="O5806" s="2">
        <f>IF(OR(F5806="",G5806=""),"",IF(G5806&lt;='RETRATO 2027'!$K$5,"CONCLUÍDA",IF(F5806&lt;='RETRATO 2027'!$K$5,"EM ANDAMENTO","A INICIAR")))</f>
        <v/>
      </c>
    </row>
    <row r="5807">
      <c r="M5807" s="2">
        <f>IF(C5807="","",IFERROR(INDEX($S$5:$S$304,MATCH(C5807,$R$5:$R$304,0))&amp;"","?"))</f>
        <v/>
      </c>
      <c r="N5807" s="2">
        <f>IF(E5807="","",IF(ISNUMBER(SEARCH("SUBSOLO",E5807)),IFERROR(-VALUE(LEFT(E5807,FIND("º",SUBSTITUTE(E5807,"°","º"))-1)),-1),IF(LEFT(E5807,6)="TÉRREO",0,IFERROR(VALUE(LEFT(E5807,FIND("º",SUBSTITUTE(E5807,"°","º"))-1)),""))))</f>
        <v/>
      </c>
      <c r="O5807" s="2">
        <f>IF(OR(F5807="",G5807=""),"",IF(G5807&lt;='RETRATO 2027'!$K$5,"CONCLUÍDA",IF(F5807&lt;='RETRATO 2027'!$K$5,"EM ANDAMENTO","A INICIAR")))</f>
        <v/>
      </c>
    </row>
    <row r="5808">
      <c r="M5808" s="2">
        <f>IF(C5808="","",IFERROR(INDEX($S$5:$S$304,MATCH(C5808,$R$5:$R$304,0))&amp;"","?"))</f>
        <v/>
      </c>
      <c r="N5808" s="2">
        <f>IF(E5808="","",IF(ISNUMBER(SEARCH("SUBSOLO",E5808)),IFERROR(-VALUE(LEFT(E5808,FIND("º",SUBSTITUTE(E5808,"°","º"))-1)),-1),IF(LEFT(E5808,6)="TÉRREO",0,IFERROR(VALUE(LEFT(E5808,FIND("º",SUBSTITUTE(E5808,"°","º"))-1)),""))))</f>
        <v/>
      </c>
      <c r="O5808" s="2">
        <f>IF(OR(F5808="",G5808=""),"",IF(G5808&lt;='RETRATO 2027'!$K$5,"CONCLUÍDA",IF(F5808&lt;='RETRATO 2027'!$K$5,"EM ANDAMENTO","A INICIAR")))</f>
        <v/>
      </c>
    </row>
    <row r="5809">
      <c r="M5809" s="2">
        <f>IF(C5809="","",IFERROR(INDEX($S$5:$S$304,MATCH(C5809,$R$5:$R$304,0))&amp;"","?"))</f>
        <v/>
      </c>
      <c r="N5809" s="2">
        <f>IF(E5809="","",IF(ISNUMBER(SEARCH("SUBSOLO",E5809)),IFERROR(-VALUE(LEFT(E5809,FIND("º",SUBSTITUTE(E5809,"°","º"))-1)),-1),IF(LEFT(E5809,6)="TÉRREO",0,IFERROR(VALUE(LEFT(E5809,FIND("º",SUBSTITUTE(E5809,"°","º"))-1)),""))))</f>
        <v/>
      </c>
      <c r="O5809" s="2">
        <f>IF(OR(F5809="",G5809=""),"",IF(G5809&lt;='RETRATO 2027'!$K$5,"CONCLUÍDA",IF(F5809&lt;='RETRATO 2027'!$K$5,"EM ANDAMENTO","A INICIAR")))</f>
        <v/>
      </c>
    </row>
    <row r="5810">
      <c r="M5810" s="2">
        <f>IF(C5810="","",IFERROR(INDEX($S$5:$S$304,MATCH(C5810,$R$5:$R$304,0))&amp;"","?"))</f>
        <v/>
      </c>
      <c r="N5810" s="2">
        <f>IF(E5810="","",IF(ISNUMBER(SEARCH("SUBSOLO",E5810)),IFERROR(-VALUE(LEFT(E5810,FIND("º",SUBSTITUTE(E5810,"°","º"))-1)),-1),IF(LEFT(E5810,6)="TÉRREO",0,IFERROR(VALUE(LEFT(E5810,FIND("º",SUBSTITUTE(E5810,"°","º"))-1)),""))))</f>
        <v/>
      </c>
      <c r="O5810" s="2">
        <f>IF(OR(F5810="",G5810=""),"",IF(G5810&lt;='RETRATO 2027'!$K$5,"CONCLUÍDA",IF(F5810&lt;='RETRATO 2027'!$K$5,"EM ANDAMENTO","A INICIAR")))</f>
        <v/>
      </c>
    </row>
    <row r="5811">
      <c r="M5811" s="2">
        <f>IF(C5811="","",IFERROR(INDEX($S$5:$S$304,MATCH(C5811,$R$5:$R$304,0))&amp;"","?"))</f>
        <v/>
      </c>
      <c r="N5811" s="2">
        <f>IF(E5811="","",IF(ISNUMBER(SEARCH("SUBSOLO",E5811)),IFERROR(-VALUE(LEFT(E5811,FIND("º",SUBSTITUTE(E5811,"°","º"))-1)),-1),IF(LEFT(E5811,6)="TÉRREO",0,IFERROR(VALUE(LEFT(E5811,FIND("º",SUBSTITUTE(E5811,"°","º"))-1)),""))))</f>
        <v/>
      </c>
      <c r="O5811" s="2">
        <f>IF(OR(F5811="",G5811=""),"",IF(G5811&lt;='RETRATO 2027'!$K$5,"CONCLUÍDA",IF(F5811&lt;='RETRATO 2027'!$K$5,"EM ANDAMENTO","A INICIAR")))</f>
        <v/>
      </c>
    </row>
    <row r="5812">
      <c r="M5812" s="2">
        <f>IF(C5812="","",IFERROR(INDEX($S$5:$S$304,MATCH(C5812,$R$5:$R$304,0))&amp;"","?"))</f>
        <v/>
      </c>
      <c r="N5812" s="2">
        <f>IF(E5812="","",IF(ISNUMBER(SEARCH("SUBSOLO",E5812)),IFERROR(-VALUE(LEFT(E5812,FIND("º",SUBSTITUTE(E5812,"°","º"))-1)),-1),IF(LEFT(E5812,6)="TÉRREO",0,IFERROR(VALUE(LEFT(E5812,FIND("º",SUBSTITUTE(E5812,"°","º"))-1)),""))))</f>
        <v/>
      </c>
      <c r="O5812" s="2">
        <f>IF(OR(F5812="",G5812=""),"",IF(G5812&lt;='RETRATO 2027'!$K$5,"CONCLUÍDA",IF(F5812&lt;='RETRATO 2027'!$K$5,"EM ANDAMENTO","A INICIAR")))</f>
        <v/>
      </c>
    </row>
    <row r="5813">
      <c r="M5813" s="2">
        <f>IF(C5813="","",IFERROR(INDEX($S$5:$S$304,MATCH(C5813,$R$5:$R$304,0))&amp;"","?"))</f>
        <v/>
      </c>
      <c r="N5813" s="2">
        <f>IF(E5813="","",IF(ISNUMBER(SEARCH("SUBSOLO",E5813)),IFERROR(-VALUE(LEFT(E5813,FIND("º",SUBSTITUTE(E5813,"°","º"))-1)),-1),IF(LEFT(E5813,6)="TÉRREO",0,IFERROR(VALUE(LEFT(E5813,FIND("º",SUBSTITUTE(E5813,"°","º"))-1)),""))))</f>
        <v/>
      </c>
      <c r="O5813" s="2">
        <f>IF(OR(F5813="",G5813=""),"",IF(G5813&lt;='RETRATO 2027'!$K$5,"CONCLUÍDA",IF(F5813&lt;='RETRATO 2027'!$K$5,"EM ANDAMENTO","A INICIAR")))</f>
        <v/>
      </c>
    </row>
    <row r="5814">
      <c r="M5814" s="2">
        <f>IF(C5814="","",IFERROR(INDEX($S$5:$S$304,MATCH(C5814,$R$5:$R$304,0))&amp;"","?"))</f>
        <v/>
      </c>
      <c r="N5814" s="2">
        <f>IF(E5814="","",IF(ISNUMBER(SEARCH("SUBSOLO",E5814)),IFERROR(-VALUE(LEFT(E5814,FIND("º",SUBSTITUTE(E5814,"°","º"))-1)),-1),IF(LEFT(E5814,6)="TÉRREO",0,IFERROR(VALUE(LEFT(E5814,FIND("º",SUBSTITUTE(E5814,"°","º"))-1)),""))))</f>
        <v/>
      </c>
      <c r="O5814" s="2">
        <f>IF(OR(F5814="",G5814=""),"",IF(G5814&lt;='RETRATO 2027'!$K$5,"CONCLUÍDA",IF(F5814&lt;='RETRATO 2027'!$K$5,"EM ANDAMENTO","A INICIAR")))</f>
        <v/>
      </c>
    </row>
    <row r="5815">
      <c r="M5815" s="2">
        <f>IF(C5815="","",IFERROR(INDEX($S$5:$S$304,MATCH(C5815,$R$5:$R$304,0))&amp;"","?"))</f>
        <v/>
      </c>
      <c r="N5815" s="2">
        <f>IF(E5815="","",IF(ISNUMBER(SEARCH("SUBSOLO",E5815)),IFERROR(-VALUE(LEFT(E5815,FIND("º",SUBSTITUTE(E5815,"°","º"))-1)),-1),IF(LEFT(E5815,6)="TÉRREO",0,IFERROR(VALUE(LEFT(E5815,FIND("º",SUBSTITUTE(E5815,"°","º"))-1)),""))))</f>
        <v/>
      </c>
      <c r="O5815" s="2">
        <f>IF(OR(F5815="",G5815=""),"",IF(G5815&lt;='RETRATO 2027'!$K$5,"CONCLUÍDA",IF(F5815&lt;='RETRATO 2027'!$K$5,"EM ANDAMENTO","A INICIAR")))</f>
        <v/>
      </c>
    </row>
    <row r="5816">
      <c r="M5816" s="2">
        <f>IF(C5816="","",IFERROR(INDEX($S$5:$S$304,MATCH(C5816,$R$5:$R$304,0))&amp;"","?"))</f>
        <v/>
      </c>
      <c r="N5816" s="2">
        <f>IF(E5816="","",IF(ISNUMBER(SEARCH("SUBSOLO",E5816)),IFERROR(-VALUE(LEFT(E5816,FIND("º",SUBSTITUTE(E5816,"°","º"))-1)),-1),IF(LEFT(E5816,6)="TÉRREO",0,IFERROR(VALUE(LEFT(E5816,FIND("º",SUBSTITUTE(E5816,"°","º"))-1)),""))))</f>
        <v/>
      </c>
      <c r="O5816" s="2">
        <f>IF(OR(F5816="",G5816=""),"",IF(G5816&lt;='RETRATO 2027'!$K$5,"CONCLUÍDA",IF(F5816&lt;='RETRATO 2027'!$K$5,"EM ANDAMENTO","A INICIAR")))</f>
        <v/>
      </c>
    </row>
    <row r="5817">
      <c r="M5817" s="2">
        <f>IF(C5817="","",IFERROR(INDEX($S$5:$S$304,MATCH(C5817,$R$5:$R$304,0))&amp;"","?"))</f>
        <v/>
      </c>
      <c r="N5817" s="2">
        <f>IF(E5817="","",IF(ISNUMBER(SEARCH("SUBSOLO",E5817)),IFERROR(-VALUE(LEFT(E5817,FIND("º",SUBSTITUTE(E5817,"°","º"))-1)),-1),IF(LEFT(E5817,6)="TÉRREO",0,IFERROR(VALUE(LEFT(E5817,FIND("º",SUBSTITUTE(E5817,"°","º"))-1)),""))))</f>
        <v/>
      </c>
      <c r="O5817" s="2">
        <f>IF(OR(F5817="",G5817=""),"",IF(G5817&lt;='RETRATO 2027'!$K$5,"CONCLUÍDA",IF(F5817&lt;='RETRATO 2027'!$K$5,"EM ANDAMENTO","A INICIAR")))</f>
        <v/>
      </c>
    </row>
    <row r="5818">
      <c r="M5818" s="2">
        <f>IF(C5818="","",IFERROR(INDEX($S$5:$S$304,MATCH(C5818,$R$5:$R$304,0))&amp;"","?"))</f>
        <v/>
      </c>
      <c r="N5818" s="2">
        <f>IF(E5818="","",IF(ISNUMBER(SEARCH("SUBSOLO",E5818)),IFERROR(-VALUE(LEFT(E5818,FIND("º",SUBSTITUTE(E5818,"°","º"))-1)),-1),IF(LEFT(E5818,6)="TÉRREO",0,IFERROR(VALUE(LEFT(E5818,FIND("º",SUBSTITUTE(E5818,"°","º"))-1)),""))))</f>
        <v/>
      </c>
      <c r="O5818" s="2">
        <f>IF(OR(F5818="",G5818=""),"",IF(G5818&lt;='RETRATO 2027'!$K$5,"CONCLUÍDA",IF(F5818&lt;='RETRATO 2027'!$K$5,"EM ANDAMENTO","A INICIAR")))</f>
        <v/>
      </c>
    </row>
    <row r="5819">
      <c r="M5819" s="2">
        <f>IF(C5819="","",IFERROR(INDEX($S$5:$S$304,MATCH(C5819,$R$5:$R$304,0))&amp;"","?"))</f>
        <v/>
      </c>
      <c r="N5819" s="2">
        <f>IF(E5819="","",IF(ISNUMBER(SEARCH("SUBSOLO",E5819)),IFERROR(-VALUE(LEFT(E5819,FIND("º",SUBSTITUTE(E5819,"°","º"))-1)),-1),IF(LEFT(E5819,6)="TÉRREO",0,IFERROR(VALUE(LEFT(E5819,FIND("º",SUBSTITUTE(E5819,"°","º"))-1)),""))))</f>
        <v/>
      </c>
      <c r="O5819" s="2">
        <f>IF(OR(F5819="",G5819=""),"",IF(G5819&lt;='RETRATO 2027'!$K$5,"CONCLUÍDA",IF(F5819&lt;='RETRATO 2027'!$K$5,"EM ANDAMENTO","A INICIAR")))</f>
        <v/>
      </c>
    </row>
    <row r="5820">
      <c r="M5820" s="2">
        <f>IF(C5820="","",IFERROR(INDEX($S$5:$S$304,MATCH(C5820,$R$5:$R$304,0))&amp;"","?"))</f>
        <v/>
      </c>
      <c r="N5820" s="2">
        <f>IF(E5820="","",IF(ISNUMBER(SEARCH("SUBSOLO",E5820)),IFERROR(-VALUE(LEFT(E5820,FIND("º",SUBSTITUTE(E5820,"°","º"))-1)),-1),IF(LEFT(E5820,6)="TÉRREO",0,IFERROR(VALUE(LEFT(E5820,FIND("º",SUBSTITUTE(E5820,"°","º"))-1)),""))))</f>
        <v/>
      </c>
      <c r="O5820" s="2">
        <f>IF(OR(F5820="",G5820=""),"",IF(G5820&lt;='RETRATO 2027'!$K$5,"CONCLUÍDA",IF(F5820&lt;='RETRATO 2027'!$K$5,"EM ANDAMENTO","A INICIAR")))</f>
        <v/>
      </c>
    </row>
    <row r="5821">
      <c r="M5821" s="2">
        <f>IF(C5821="","",IFERROR(INDEX($S$5:$S$304,MATCH(C5821,$R$5:$R$304,0))&amp;"","?"))</f>
        <v/>
      </c>
      <c r="N5821" s="2">
        <f>IF(E5821="","",IF(ISNUMBER(SEARCH("SUBSOLO",E5821)),IFERROR(-VALUE(LEFT(E5821,FIND("º",SUBSTITUTE(E5821,"°","º"))-1)),-1),IF(LEFT(E5821,6)="TÉRREO",0,IFERROR(VALUE(LEFT(E5821,FIND("º",SUBSTITUTE(E5821,"°","º"))-1)),""))))</f>
        <v/>
      </c>
      <c r="O5821" s="2">
        <f>IF(OR(F5821="",G5821=""),"",IF(G5821&lt;='RETRATO 2027'!$K$5,"CONCLUÍDA",IF(F5821&lt;='RETRATO 2027'!$K$5,"EM ANDAMENTO","A INICIAR")))</f>
        <v/>
      </c>
    </row>
    <row r="5822">
      <c r="M5822" s="2">
        <f>IF(C5822="","",IFERROR(INDEX($S$5:$S$304,MATCH(C5822,$R$5:$R$304,0))&amp;"","?"))</f>
        <v/>
      </c>
      <c r="N5822" s="2">
        <f>IF(E5822="","",IF(ISNUMBER(SEARCH("SUBSOLO",E5822)),IFERROR(-VALUE(LEFT(E5822,FIND("º",SUBSTITUTE(E5822,"°","º"))-1)),-1),IF(LEFT(E5822,6)="TÉRREO",0,IFERROR(VALUE(LEFT(E5822,FIND("º",SUBSTITUTE(E5822,"°","º"))-1)),""))))</f>
        <v/>
      </c>
      <c r="O5822" s="2">
        <f>IF(OR(F5822="",G5822=""),"",IF(G5822&lt;='RETRATO 2027'!$K$5,"CONCLUÍDA",IF(F5822&lt;='RETRATO 2027'!$K$5,"EM ANDAMENTO","A INICIAR")))</f>
        <v/>
      </c>
    </row>
    <row r="5823">
      <c r="M5823" s="2">
        <f>IF(C5823="","",IFERROR(INDEX($S$5:$S$304,MATCH(C5823,$R$5:$R$304,0))&amp;"","?"))</f>
        <v/>
      </c>
      <c r="N5823" s="2">
        <f>IF(E5823="","",IF(ISNUMBER(SEARCH("SUBSOLO",E5823)),IFERROR(-VALUE(LEFT(E5823,FIND("º",SUBSTITUTE(E5823,"°","º"))-1)),-1),IF(LEFT(E5823,6)="TÉRREO",0,IFERROR(VALUE(LEFT(E5823,FIND("º",SUBSTITUTE(E5823,"°","º"))-1)),""))))</f>
        <v/>
      </c>
      <c r="O5823" s="2">
        <f>IF(OR(F5823="",G5823=""),"",IF(G5823&lt;='RETRATO 2027'!$K$5,"CONCLUÍDA",IF(F5823&lt;='RETRATO 2027'!$K$5,"EM ANDAMENTO","A INICIAR")))</f>
        <v/>
      </c>
    </row>
    <row r="5824">
      <c r="M5824" s="2">
        <f>IF(C5824="","",IFERROR(INDEX($S$5:$S$304,MATCH(C5824,$R$5:$R$304,0))&amp;"","?"))</f>
        <v/>
      </c>
      <c r="N5824" s="2">
        <f>IF(E5824="","",IF(ISNUMBER(SEARCH("SUBSOLO",E5824)),IFERROR(-VALUE(LEFT(E5824,FIND("º",SUBSTITUTE(E5824,"°","º"))-1)),-1),IF(LEFT(E5824,6)="TÉRREO",0,IFERROR(VALUE(LEFT(E5824,FIND("º",SUBSTITUTE(E5824,"°","º"))-1)),""))))</f>
        <v/>
      </c>
      <c r="O5824" s="2">
        <f>IF(OR(F5824="",G5824=""),"",IF(G5824&lt;='RETRATO 2027'!$K$5,"CONCLUÍDA",IF(F5824&lt;='RETRATO 2027'!$K$5,"EM ANDAMENTO","A INICIAR")))</f>
        <v/>
      </c>
    </row>
    <row r="5825">
      <c r="M5825" s="2">
        <f>IF(C5825="","",IFERROR(INDEX($S$5:$S$304,MATCH(C5825,$R$5:$R$304,0))&amp;"","?"))</f>
        <v/>
      </c>
      <c r="N5825" s="2">
        <f>IF(E5825="","",IF(ISNUMBER(SEARCH("SUBSOLO",E5825)),IFERROR(-VALUE(LEFT(E5825,FIND("º",SUBSTITUTE(E5825,"°","º"))-1)),-1),IF(LEFT(E5825,6)="TÉRREO",0,IFERROR(VALUE(LEFT(E5825,FIND("º",SUBSTITUTE(E5825,"°","º"))-1)),""))))</f>
        <v/>
      </c>
      <c r="O5825" s="2">
        <f>IF(OR(F5825="",G5825=""),"",IF(G5825&lt;='RETRATO 2027'!$K$5,"CONCLUÍDA",IF(F5825&lt;='RETRATO 2027'!$K$5,"EM ANDAMENTO","A INICIAR")))</f>
        <v/>
      </c>
    </row>
    <row r="5826">
      <c r="M5826" s="2">
        <f>IF(C5826="","",IFERROR(INDEX($S$5:$S$304,MATCH(C5826,$R$5:$R$304,0))&amp;"","?"))</f>
        <v/>
      </c>
      <c r="N5826" s="2">
        <f>IF(E5826="","",IF(ISNUMBER(SEARCH("SUBSOLO",E5826)),IFERROR(-VALUE(LEFT(E5826,FIND("º",SUBSTITUTE(E5826,"°","º"))-1)),-1),IF(LEFT(E5826,6)="TÉRREO",0,IFERROR(VALUE(LEFT(E5826,FIND("º",SUBSTITUTE(E5826,"°","º"))-1)),""))))</f>
        <v/>
      </c>
      <c r="O5826" s="2">
        <f>IF(OR(F5826="",G5826=""),"",IF(G5826&lt;='RETRATO 2027'!$K$5,"CONCLUÍDA",IF(F5826&lt;='RETRATO 2027'!$K$5,"EM ANDAMENTO","A INICIAR")))</f>
        <v/>
      </c>
    </row>
    <row r="5827">
      <c r="M5827" s="2">
        <f>IF(C5827="","",IFERROR(INDEX($S$5:$S$304,MATCH(C5827,$R$5:$R$304,0))&amp;"","?"))</f>
        <v/>
      </c>
      <c r="N5827" s="2">
        <f>IF(E5827="","",IF(ISNUMBER(SEARCH("SUBSOLO",E5827)),IFERROR(-VALUE(LEFT(E5827,FIND("º",SUBSTITUTE(E5827,"°","º"))-1)),-1),IF(LEFT(E5827,6)="TÉRREO",0,IFERROR(VALUE(LEFT(E5827,FIND("º",SUBSTITUTE(E5827,"°","º"))-1)),""))))</f>
        <v/>
      </c>
      <c r="O5827" s="2">
        <f>IF(OR(F5827="",G5827=""),"",IF(G5827&lt;='RETRATO 2027'!$K$5,"CONCLUÍDA",IF(F5827&lt;='RETRATO 2027'!$K$5,"EM ANDAMENTO","A INICIAR")))</f>
        <v/>
      </c>
    </row>
    <row r="5828">
      <c r="M5828" s="2">
        <f>IF(C5828="","",IFERROR(INDEX($S$5:$S$304,MATCH(C5828,$R$5:$R$304,0))&amp;"","?"))</f>
        <v/>
      </c>
      <c r="N5828" s="2">
        <f>IF(E5828="","",IF(ISNUMBER(SEARCH("SUBSOLO",E5828)),IFERROR(-VALUE(LEFT(E5828,FIND("º",SUBSTITUTE(E5828,"°","º"))-1)),-1),IF(LEFT(E5828,6)="TÉRREO",0,IFERROR(VALUE(LEFT(E5828,FIND("º",SUBSTITUTE(E5828,"°","º"))-1)),""))))</f>
        <v/>
      </c>
      <c r="O5828" s="2">
        <f>IF(OR(F5828="",G5828=""),"",IF(G5828&lt;='RETRATO 2027'!$K$5,"CONCLUÍDA",IF(F5828&lt;='RETRATO 2027'!$K$5,"EM ANDAMENTO","A INICIAR")))</f>
        <v/>
      </c>
    </row>
    <row r="5829">
      <c r="M5829" s="2">
        <f>IF(C5829="","",IFERROR(INDEX($S$5:$S$304,MATCH(C5829,$R$5:$R$304,0))&amp;"","?"))</f>
        <v/>
      </c>
      <c r="N5829" s="2">
        <f>IF(E5829="","",IF(ISNUMBER(SEARCH("SUBSOLO",E5829)),IFERROR(-VALUE(LEFT(E5829,FIND("º",SUBSTITUTE(E5829,"°","º"))-1)),-1),IF(LEFT(E5829,6)="TÉRREO",0,IFERROR(VALUE(LEFT(E5829,FIND("º",SUBSTITUTE(E5829,"°","º"))-1)),""))))</f>
        <v/>
      </c>
      <c r="O5829" s="2">
        <f>IF(OR(F5829="",G5829=""),"",IF(G5829&lt;='RETRATO 2027'!$K$5,"CONCLUÍDA",IF(F5829&lt;='RETRATO 2027'!$K$5,"EM ANDAMENTO","A INICIAR")))</f>
        <v/>
      </c>
    </row>
    <row r="5830">
      <c r="M5830" s="2">
        <f>IF(C5830="","",IFERROR(INDEX($S$5:$S$304,MATCH(C5830,$R$5:$R$304,0))&amp;"","?"))</f>
        <v/>
      </c>
      <c r="N5830" s="2">
        <f>IF(E5830="","",IF(ISNUMBER(SEARCH("SUBSOLO",E5830)),IFERROR(-VALUE(LEFT(E5830,FIND("º",SUBSTITUTE(E5830,"°","º"))-1)),-1),IF(LEFT(E5830,6)="TÉRREO",0,IFERROR(VALUE(LEFT(E5830,FIND("º",SUBSTITUTE(E5830,"°","º"))-1)),""))))</f>
        <v/>
      </c>
      <c r="O5830" s="2">
        <f>IF(OR(F5830="",G5830=""),"",IF(G5830&lt;='RETRATO 2027'!$K$5,"CONCLUÍDA",IF(F5830&lt;='RETRATO 2027'!$K$5,"EM ANDAMENTO","A INICIAR")))</f>
        <v/>
      </c>
    </row>
    <row r="5831">
      <c r="M5831" s="2">
        <f>IF(C5831="","",IFERROR(INDEX($S$5:$S$304,MATCH(C5831,$R$5:$R$304,0))&amp;"","?"))</f>
        <v/>
      </c>
      <c r="N5831" s="2">
        <f>IF(E5831="","",IF(ISNUMBER(SEARCH("SUBSOLO",E5831)),IFERROR(-VALUE(LEFT(E5831,FIND("º",SUBSTITUTE(E5831,"°","º"))-1)),-1),IF(LEFT(E5831,6)="TÉRREO",0,IFERROR(VALUE(LEFT(E5831,FIND("º",SUBSTITUTE(E5831,"°","º"))-1)),""))))</f>
        <v/>
      </c>
      <c r="O5831" s="2">
        <f>IF(OR(F5831="",G5831=""),"",IF(G5831&lt;='RETRATO 2027'!$K$5,"CONCLUÍDA",IF(F5831&lt;='RETRATO 2027'!$K$5,"EM ANDAMENTO","A INICIAR")))</f>
        <v/>
      </c>
    </row>
    <row r="5832">
      <c r="M5832" s="2">
        <f>IF(C5832="","",IFERROR(INDEX($S$5:$S$304,MATCH(C5832,$R$5:$R$304,0))&amp;"","?"))</f>
        <v/>
      </c>
      <c r="N5832" s="2">
        <f>IF(E5832="","",IF(ISNUMBER(SEARCH("SUBSOLO",E5832)),IFERROR(-VALUE(LEFT(E5832,FIND("º",SUBSTITUTE(E5832,"°","º"))-1)),-1),IF(LEFT(E5832,6)="TÉRREO",0,IFERROR(VALUE(LEFT(E5832,FIND("º",SUBSTITUTE(E5832,"°","º"))-1)),""))))</f>
        <v/>
      </c>
      <c r="O5832" s="2">
        <f>IF(OR(F5832="",G5832=""),"",IF(G5832&lt;='RETRATO 2027'!$K$5,"CONCLUÍDA",IF(F5832&lt;='RETRATO 2027'!$K$5,"EM ANDAMENTO","A INICIAR")))</f>
        <v/>
      </c>
    </row>
    <row r="5833">
      <c r="M5833" s="2">
        <f>IF(C5833="","",IFERROR(INDEX($S$5:$S$304,MATCH(C5833,$R$5:$R$304,0))&amp;"","?"))</f>
        <v/>
      </c>
      <c r="N5833" s="2">
        <f>IF(E5833="","",IF(ISNUMBER(SEARCH("SUBSOLO",E5833)),IFERROR(-VALUE(LEFT(E5833,FIND("º",SUBSTITUTE(E5833,"°","º"))-1)),-1),IF(LEFT(E5833,6)="TÉRREO",0,IFERROR(VALUE(LEFT(E5833,FIND("º",SUBSTITUTE(E5833,"°","º"))-1)),""))))</f>
        <v/>
      </c>
      <c r="O5833" s="2">
        <f>IF(OR(F5833="",G5833=""),"",IF(G5833&lt;='RETRATO 2027'!$K$5,"CONCLUÍDA",IF(F5833&lt;='RETRATO 2027'!$K$5,"EM ANDAMENTO","A INICIAR")))</f>
        <v/>
      </c>
    </row>
    <row r="5834">
      <c r="M5834" s="2">
        <f>IF(C5834="","",IFERROR(INDEX($S$5:$S$304,MATCH(C5834,$R$5:$R$304,0))&amp;"","?"))</f>
        <v/>
      </c>
      <c r="N5834" s="2">
        <f>IF(E5834="","",IF(ISNUMBER(SEARCH("SUBSOLO",E5834)),IFERROR(-VALUE(LEFT(E5834,FIND("º",SUBSTITUTE(E5834,"°","º"))-1)),-1),IF(LEFT(E5834,6)="TÉRREO",0,IFERROR(VALUE(LEFT(E5834,FIND("º",SUBSTITUTE(E5834,"°","º"))-1)),""))))</f>
        <v/>
      </c>
      <c r="O5834" s="2">
        <f>IF(OR(F5834="",G5834=""),"",IF(G5834&lt;='RETRATO 2027'!$K$5,"CONCLUÍDA",IF(F5834&lt;='RETRATO 2027'!$K$5,"EM ANDAMENTO","A INICIAR")))</f>
        <v/>
      </c>
    </row>
    <row r="5835">
      <c r="M5835" s="2">
        <f>IF(C5835="","",IFERROR(INDEX($S$5:$S$304,MATCH(C5835,$R$5:$R$304,0))&amp;"","?"))</f>
        <v/>
      </c>
      <c r="N5835" s="2">
        <f>IF(E5835="","",IF(ISNUMBER(SEARCH("SUBSOLO",E5835)),IFERROR(-VALUE(LEFT(E5835,FIND("º",SUBSTITUTE(E5835,"°","º"))-1)),-1),IF(LEFT(E5835,6)="TÉRREO",0,IFERROR(VALUE(LEFT(E5835,FIND("º",SUBSTITUTE(E5835,"°","º"))-1)),""))))</f>
        <v/>
      </c>
      <c r="O5835" s="2">
        <f>IF(OR(F5835="",G5835=""),"",IF(G5835&lt;='RETRATO 2027'!$K$5,"CONCLUÍDA",IF(F5835&lt;='RETRATO 2027'!$K$5,"EM ANDAMENTO","A INICIAR")))</f>
        <v/>
      </c>
    </row>
    <row r="5836">
      <c r="M5836" s="2">
        <f>IF(C5836="","",IFERROR(INDEX($S$5:$S$304,MATCH(C5836,$R$5:$R$304,0))&amp;"","?"))</f>
        <v/>
      </c>
      <c r="N5836" s="2">
        <f>IF(E5836="","",IF(ISNUMBER(SEARCH("SUBSOLO",E5836)),IFERROR(-VALUE(LEFT(E5836,FIND("º",SUBSTITUTE(E5836,"°","º"))-1)),-1),IF(LEFT(E5836,6)="TÉRREO",0,IFERROR(VALUE(LEFT(E5836,FIND("º",SUBSTITUTE(E5836,"°","º"))-1)),""))))</f>
        <v/>
      </c>
      <c r="O5836" s="2">
        <f>IF(OR(F5836="",G5836=""),"",IF(G5836&lt;='RETRATO 2027'!$K$5,"CONCLUÍDA",IF(F5836&lt;='RETRATO 2027'!$K$5,"EM ANDAMENTO","A INICIAR")))</f>
        <v/>
      </c>
    </row>
    <row r="5837">
      <c r="M5837" s="2">
        <f>IF(C5837="","",IFERROR(INDEX($S$5:$S$304,MATCH(C5837,$R$5:$R$304,0))&amp;"","?"))</f>
        <v/>
      </c>
      <c r="N5837" s="2">
        <f>IF(E5837="","",IF(ISNUMBER(SEARCH("SUBSOLO",E5837)),IFERROR(-VALUE(LEFT(E5837,FIND("º",SUBSTITUTE(E5837,"°","º"))-1)),-1),IF(LEFT(E5837,6)="TÉRREO",0,IFERROR(VALUE(LEFT(E5837,FIND("º",SUBSTITUTE(E5837,"°","º"))-1)),""))))</f>
        <v/>
      </c>
      <c r="O5837" s="2">
        <f>IF(OR(F5837="",G5837=""),"",IF(G5837&lt;='RETRATO 2027'!$K$5,"CONCLUÍDA",IF(F5837&lt;='RETRATO 2027'!$K$5,"EM ANDAMENTO","A INICIAR")))</f>
        <v/>
      </c>
    </row>
    <row r="5838">
      <c r="M5838" s="2">
        <f>IF(C5838="","",IFERROR(INDEX($S$5:$S$304,MATCH(C5838,$R$5:$R$304,0))&amp;"","?"))</f>
        <v/>
      </c>
      <c r="N5838" s="2">
        <f>IF(E5838="","",IF(ISNUMBER(SEARCH("SUBSOLO",E5838)),IFERROR(-VALUE(LEFT(E5838,FIND("º",SUBSTITUTE(E5838,"°","º"))-1)),-1),IF(LEFT(E5838,6)="TÉRREO",0,IFERROR(VALUE(LEFT(E5838,FIND("º",SUBSTITUTE(E5838,"°","º"))-1)),""))))</f>
        <v/>
      </c>
      <c r="O5838" s="2">
        <f>IF(OR(F5838="",G5838=""),"",IF(G5838&lt;='RETRATO 2027'!$K$5,"CONCLUÍDA",IF(F5838&lt;='RETRATO 2027'!$K$5,"EM ANDAMENTO","A INICIAR")))</f>
        <v/>
      </c>
    </row>
    <row r="5839">
      <c r="M5839" s="2">
        <f>IF(C5839="","",IFERROR(INDEX($S$5:$S$304,MATCH(C5839,$R$5:$R$304,0))&amp;"","?"))</f>
        <v/>
      </c>
      <c r="N5839" s="2">
        <f>IF(E5839="","",IF(ISNUMBER(SEARCH("SUBSOLO",E5839)),IFERROR(-VALUE(LEFT(E5839,FIND("º",SUBSTITUTE(E5839,"°","º"))-1)),-1),IF(LEFT(E5839,6)="TÉRREO",0,IFERROR(VALUE(LEFT(E5839,FIND("º",SUBSTITUTE(E5839,"°","º"))-1)),""))))</f>
        <v/>
      </c>
      <c r="O5839" s="2">
        <f>IF(OR(F5839="",G5839=""),"",IF(G5839&lt;='RETRATO 2027'!$K$5,"CONCLUÍDA",IF(F5839&lt;='RETRATO 2027'!$K$5,"EM ANDAMENTO","A INICIAR")))</f>
        <v/>
      </c>
    </row>
    <row r="5840">
      <c r="M5840" s="2">
        <f>IF(C5840="","",IFERROR(INDEX($S$5:$S$304,MATCH(C5840,$R$5:$R$304,0))&amp;"","?"))</f>
        <v/>
      </c>
      <c r="N5840" s="2">
        <f>IF(E5840="","",IF(ISNUMBER(SEARCH("SUBSOLO",E5840)),IFERROR(-VALUE(LEFT(E5840,FIND("º",SUBSTITUTE(E5840,"°","º"))-1)),-1),IF(LEFT(E5840,6)="TÉRREO",0,IFERROR(VALUE(LEFT(E5840,FIND("º",SUBSTITUTE(E5840,"°","º"))-1)),""))))</f>
        <v/>
      </c>
      <c r="O5840" s="2">
        <f>IF(OR(F5840="",G5840=""),"",IF(G5840&lt;='RETRATO 2027'!$K$5,"CONCLUÍDA",IF(F5840&lt;='RETRATO 2027'!$K$5,"EM ANDAMENTO","A INICIAR")))</f>
        <v/>
      </c>
    </row>
    <row r="5841">
      <c r="M5841" s="2">
        <f>IF(C5841="","",IFERROR(INDEX($S$5:$S$304,MATCH(C5841,$R$5:$R$304,0))&amp;"","?"))</f>
        <v/>
      </c>
      <c r="N5841" s="2">
        <f>IF(E5841="","",IF(ISNUMBER(SEARCH("SUBSOLO",E5841)),IFERROR(-VALUE(LEFT(E5841,FIND("º",SUBSTITUTE(E5841,"°","º"))-1)),-1),IF(LEFT(E5841,6)="TÉRREO",0,IFERROR(VALUE(LEFT(E5841,FIND("º",SUBSTITUTE(E5841,"°","º"))-1)),""))))</f>
        <v/>
      </c>
      <c r="O5841" s="2">
        <f>IF(OR(F5841="",G5841=""),"",IF(G5841&lt;='RETRATO 2027'!$K$5,"CONCLUÍDA",IF(F5841&lt;='RETRATO 2027'!$K$5,"EM ANDAMENTO","A INICIAR")))</f>
        <v/>
      </c>
    </row>
    <row r="5842">
      <c r="M5842" s="2">
        <f>IF(C5842="","",IFERROR(INDEX($S$5:$S$304,MATCH(C5842,$R$5:$R$304,0))&amp;"","?"))</f>
        <v/>
      </c>
      <c r="N5842" s="2">
        <f>IF(E5842="","",IF(ISNUMBER(SEARCH("SUBSOLO",E5842)),IFERROR(-VALUE(LEFT(E5842,FIND("º",SUBSTITUTE(E5842,"°","º"))-1)),-1),IF(LEFT(E5842,6)="TÉRREO",0,IFERROR(VALUE(LEFT(E5842,FIND("º",SUBSTITUTE(E5842,"°","º"))-1)),""))))</f>
        <v/>
      </c>
      <c r="O5842" s="2">
        <f>IF(OR(F5842="",G5842=""),"",IF(G5842&lt;='RETRATO 2027'!$K$5,"CONCLUÍDA",IF(F5842&lt;='RETRATO 2027'!$K$5,"EM ANDAMENTO","A INICIAR")))</f>
        <v/>
      </c>
    </row>
    <row r="5843">
      <c r="M5843" s="2">
        <f>IF(C5843="","",IFERROR(INDEX($S$5:$S$304,MATCH(C5843,$R$5:$R$304,0))&amp;"","?"))</f>
        <v/>
      </c>
      <c r="N5843" s="2">
        <f>IF(E5843="","",IF(ISNUMBER(SEARCH("SUBSOLO",E5843)),IFERROR(-VALUE(LEFT(E5843,FIND("º",SUBSTITUTE(E5843,"°","º"))-1)),-1),IF(LEFT(E5843,6)="TÉRREO",0,IFERROR(VALUE(LEFT(E5843,FIND("º",SUBSTITUTE(E5843,"°","º"))-1)),""))))</f>
        <v/>
      </c>
      <c r="O5843" s="2">
        <f>IF(OR(F5843="",G5843=""),"",IF(G5843&lt;='RETRATO 2027'!$K$5,"CONCLUÍDA",IF(F5843&lt;='RETRATO 2027'!$K$5,"EM ANDAMENTO","A INICIAR")))</f>
        <v/>
      </c>
    </row>
    <row r="5844">
      <c r="M5844" s="2">
        <f>IF(C5844="","",IFERROR(INDEX($S$5:$S$304,MATCH(C5844,$R$5:$R$304,0))&amp;"","?"))</f>
        <v/>
      </c>
      <c r="N5844" s="2">
        <f>IF(E5844="","",IF(ISNUMBER(SEARCH("SUBSOLO",E5844)),IFERROR(-VALUE(LEFT(E5844,FIND("º",SUBSTITUTE(E5844,"°","º"))-1)),-1),IF(LEFT(E5844,6)="TÉRREO",0,IFERROR(VALUE(LEFT(E5844,FIND("º",SUBSTITUTE(E5844,"°","º"))-1)),""))))</f>
        <v/>
      </c>
      <c r="O5844" s="2">
        <f>IF(OR(F5844="",G5844=""),"",IF(G5844&lt;='RETRATO 2027'!$K$5,"CONCLUÍDA",IF(F5844&lt;='RETRATO 2027'!$K$5,"EM ANDAMENTO","A INICIAR")))</f>
        <v/>
      </c>
    </row>
    <row r="5845">
      <c r="M5845" s="2">
        <f>IF(C5845="","",IFERROR(INDEX($S$5:$S$304,MATCH(C5845,$R$5:$R$304,0))&amp;"","?"))</f>
        <v/>
      </c>
      <c r="N5845" s="2">
        <f>IF(E5845="","",IF(ISNUMBER(SEARCH("SUBSOLO",E5845)),IFERROR(-VALUE(LEFT(E5845,FIND("º",SUBSTITUTE(E5845,"°","º"))-1)),-1),IF(LEFT(E5845,6)="TÉRREO",0,IFERROR(VALUE(LEFT(E5845,FIND("º",SUBSTITUTE(E5845,"°","º"))-1)),""))))</f>
        <v/>
      </c>
      <c r="O5845" s="2">
        <f>IF(OR(F5845="",G5845=""),"",IF(G5845&lt;='RETRATO 2027'!$K$5,"CONCLUÍDA",IF(F5845&lt;='RETRATO 2027'!$K$5,"EM ANDAMENTO","A INICIAR")))</f>
        <v/>
      </c>
    </row>
    <row r="5846">
      <c r="M5846" s="2">
        <f>IF(C5846="","",IFERROR(INDEX($S$5:$S$304,MATCH(C5846,$R$5:$R$304,0))&amp;"","?"))</f>
        <v/>
      </c>
      <c r="N5846" s="2">
        <f>IF(E5846="","",IF(ISNUMBER(SEARCH("SUBSOLO",E5846)),IFERROR(-VALUE(LEFT(E5846,FIND("º",SUBSTITUTE(E5846,"°","º"))-1)),-1),IF(LEFT(E5846,6)="TÉRREO",0,IFERROR(VALUE(LEFT(E5846,FIND("º",SUBSTITUTE(E5846,"°","º"))-1)),""))))</f>
        <v/>
      </c>
      <c r="O5846" s="2">
        <f>IF(OR(F5846="",G5846=""),"",IF(G5846&lt;='RETRATO 2027'!$K$5,"CONCLUÍDA",IF(F5846&lt;='RETRATO 2027'!$K$5,"EM ANDAMENTO","A INICIAR")))</f>
        <v/>
      </c>
    </row>
    <row r="5847">
      <c r="M5847" s="2">
        <f>IF(C5847="","",IFERROR(INDEX($S$5:$S$304,MATCH(C5847,$R$5:$R$304,0))&amp;"","?"))</f>
        <v/>
      </c>
      <c r="N5847" s="2">
        <f>IF(E5847="","",IF(ISNUMBER(SEARCH("SUBSOLO",E5847)),IFERROR(-VALUE(LEFT(E5847,FIND("º",SUBSTITUTE(E5847,"°","º"))-1)),-1),IF(LEFT(E5847,6)="TÉRREO",0,IFERROR(VALUE(LEFT(E5847,FIND("º",SUBSTITUTE(E5847,"°","º"))-1)),""))))</f>
        <v/>
      </c>
      <c r="O5847" s="2">
        <f>IF(OR(F5847="",G5847=""),"",IF(G5847&lt;='RETRATO 2027'!$K$5,"CONCLUÍDA",IF(F5847&lt;='RETRATO 2027'!$K$5,"EM ANDAMENTO","A INICIAR")))</f>
        <v/>
      </c>
    </row>
    <row r="5848">
      <c r="M5848" s="2">
        <f>IF(C5848="","",IFERROR(INDEX($S$5:$S$304,MATCH(C5848,$R$5:$R$304,0))&amp;"","?"))</f>
        <v/>
      </c>
      <c r="N5848" s="2">
        <f>IF(E5848="","",IF(ISNUMBER(SEARCH("SUBSOLO",E5848)),IFERROR(-VALUE(LEFT(E5848,FIND("º",SUBSTITUTE(E5848,"°","º"))-1)),-1),IF(LEFT(E5848,6)="TÉRREO",0,IFERROR(VALUE(LEFT(E5848,FIND("º",SUBSTITUTE(E5848,"°","º"))-1)),""))))</f>
        <v/>
      </c>
      <c r="O5848" s="2">
        <f>IF(OR(F5848="",G5848=""),"",IF(G5848&lt;='RETRATO 2027'!$K$5,"CONCLUÍDA",IF(F5848&lt;='RETRATO 2027'!$K$5,"EM ANDAMENTO","A INICIAR")))</f>
        <v/>
      </c>
    </row>
    <row r="5849">
      <c r="M5849" s="2">
        <f>IF(C5849="","",IFERROR(INDEX($S$5:$S$304,MATCH(C5849,$R$5:$R$304,0))&amp;"","?"))</f>
        <v/>
      </c>
      <c r="N5849" s="2">
        <f>IF(E5849="","",IF(ISNUMBER(SEARCH("SUBSOLO",E5849)),IFERROR(-VALUE(LEFT(E5849,FIND("º",SUBSTITUTE(E5849,"°","º"))-1)),-1),IF(LEFT(E5849,6)="TÉRREO",0,IFERROR(VALUE(LEFT(E5849,FIND("º",SUBSTITUTE(E5849,"°","º"))-1)),""))))</f>
        <v/>
      </c>
      <c r="O5849" s="2">
        <f>IF(OR(F5849="",G5849=""),"",IF(G5849&lt;='RETRATO 2027'!$K$5,"CONCLUÍDA",IF(F5849&lt;='RETRATO 2027'!$K$5,"EM ANDAMENTO","A INICIAR")))</f>
        <v/>
      </c>
    </row>
    <row r="5850">
      <c r="M5850" s="2">
        <f>IF(C5850="","",IFERROR(INDEX($S$5:$S$304,MATCH(C5850,$R$5:$R$304,0))&amp;"","?"))</f>
        <v/>
      </c>
      <c r="N5850" s="2">
        <f>IF(E5850="","",IF(ISNUMBER(SEARCH("SUBSOLO",E5850)),IFERROR(-VALUE(LEFT(E5850,FIND("º",SUBSTITUTE(E5850,"°","º"))-1)),-1),IF(LEFT(E5850,6)="TÉRREO",0,IFERROR(VALUE(LEFT(E5850,FIND("º",SUBSTITUTE(E5850,"°","º"))-1)),""))))</f>
        <v/>
      </c>
      <c r="O5850" s="2">
        <f>IF(OR(F5850="",G5850=""),"",IF(G5850&lt;='RETRATO 2027'!$K$5,"CONCLUÍDA",IF(F5850&lt;='RETRATO 2027'!$K$5,"EM ANDAMENTO","A INICIAR")))</f>
        <v/>
      </c>
    </row>
    <row r="5851">
      <c r="M5851" s="2">
        <f>IF(C5851="","",IFERROR(INDEX($S$5:$S$304,MATCH(C5851,$R$5:$R$304,0))&amp;"","?"))</f>
        <v/>
      </c>
      <c r="N5851" s="2">
        <f>IF(E5851="","",IF(ISNUMBER(SEARCH("SUBSOLO",E5851)),IFERROR(-VALUE(LEFT(E5851,FIND("º",SUBSTITUTE(E5851,"°","º"))-1)),-1),IF(LEFT(E5851,6)="TÉRREO",0,IFERROR(VALUE(LEFT(E5851,FIND("º",SUBSTITUTE(E5851,"°","º"))-1)),""))))</f>
        <v/>
      </c>
      <c r="O5851" s="2">
        <f>IF(OR(F5851="",G5851=""),"",IF(G5851&lt;='RETRATO 2027'!$K$5,"CONCLUÍDA",IF(F5851&lt;='RETRATO 2027'!$K$5,"EM ANDAMENTO","A INICIAR")))</f>
        <v/>
      </c>
    </row>
    <row r="5852">
      <c r="M5852" s="2">
        <f>IF(C5852="","",IFERROR(INDEX($S$5:$S$304,MATCH(C5852,$R$5:$R$304,0))&amp;"","?"))</f>
        <v/>
      </c>
      <c r="N5852" s="2">
        <f>IF(E5852="","",IF(ISNUMBER(SEARCH("SUBSOLO",E5852)),IFERROR(-VALUE(LEFT(E5852,FIND("º",SUBSTITUTE(E5852,"°","º"))-1)),-1),IF(LEFT(E5852,6)="TÉRREO",0,IFERROR(VALUE(LEFT(E5852,FIND("º",SUBSTITUTE(E5852,"°","º"))-1)),""))))</f>
        <v/>
      </c>
      <c r="O5852" s="2">
        <f>IF(OR(F5852="",G5852=""),"",IF(G5852&lt;='RETRATO 2027'!$K$5,"CONCLUÍDA",IF(F5852&lt;='RETRATO 2027'!$K$5,"EM ANDAMENTO","A INICIAR")))</f>
        <v/>
      </c>
    </row>
    <row r="5853">
      <c r="M5853" s="2">
        <f>IF(C5853="","",IFERROR(INDEX($S$5:$S$304,MATCH(C5853,$R$5:$R$304,0))&amp;"","?"))</f>
        <v/>
      </c>
      <c r="N5853" s="2">
        <f>IF(E5853="","",IF(ISNUMBER(SEARCH("SUBSOLO",E5853)),IFERROR(-VALUE(LEFT(E5853,FIND("º",SUBSTITUTE(E5853,"°","º"))-1)),-1),IF(LEFT(E5853,6)="TÉRREO",0,IFERROR(VALUE(LEFT(E5853,FIND("º",SUBSTITUTE(E5853,"°","º"))-1)),""))))</f>
        <v/>
      </c>
      <c r="O5853" s="2">
        <f>IF(OR(F5853="",G5853=""),"",IF(G5853&lt;='RETRATO 2027'!$K$5,"CONCLUÍDA",IF(F5853&lt;='RETRATO 2027'!$K$5,"EM ANDAMENTO","A INICIAR")))</f>
        <v/>
      </c>
    </row>
    <row r="5854">
      <c r="M5854" s="2">
        <f>IF(C5854="","",IFERROR(INDEX($S$5:$S$304,MATCH(C5854,$R$5:$R$304,0))&amp;"","?"))</f>
        <v/>
      </c>
      <c r="N5854" s="2">
        <f>IF(E5854="","",IF(ISNUMBER(SEARCH("SUBSOLO",E5854)),IFERROR(-VALUE(LEFT(E5854,FIND("º",SUBSTITUTE(E5854,"°","º"))-1)),-1),IF(LEFT(E5854,6)="TÉRREO",0,IFERROR(VALUE(LEFT(E5854,FIND("º",SUBSTITUTE(E5854,"°","º"))-1)),""))))</f>
        <v/>
      </c>
      <c r="O5854" s="2">
        <f>IF(OR(F5854="",G5854=""),"",IF(G5854&lt;='RETRATO 2027'!$K$5,"CONCLUÍDA",IF(F5854&lt;='RETRATO 2027'!$K$5,"EM ANDAMENTO","A INICIAR")))</f>
        <v/>
      </c>
    </row>
    <row r="5855">
      <c r="M5855" s="2">
        <f>IF(C5855="","",IFERROR(INDEX($S$5:$S$304,MATCH(C5855,$R$5:$R$304,0))&amp;"","?"))</f>
        <v/>
      </c>
      <c r="N5855" s="2">
        <f>IF(E5855="","",IF(ISNUMBER(SEARCH("SUBSOLO",E5855)),IFERROR(-VALUE(LEFT(E5855,FIND("º",SUBSTITUTE(E5855,"°","º"))-1)),-1),IF(LEFT(E5855,6)="TÉRREO",0,IFERROR(VALUE(LEFT(E5855,FIND("º",SUBSTITUTE(E5855,"°","º"))-1)),""))))</f>
        <v/>
      </c>
      <c r="O5855" s="2">
        <f>IF(OR(F5855="",G5855=""),"",IF(G5855&lt;='RETRATO 2027'!$K$5,"CONCLUÍDA",IF(F5855&lt;='RETRATO 2027'!$K$5,"EM ANDAMENTO","A INICIAR")))</f>
        <v/>
      </c>
    </row>
    <row r="5856">
      <c r="M5856" s="2">
        <f>IF(C5856="","",IFERROR(INDEX($S$5:$S$304,MATCH(C5856,$R$5:$R$304,0))&amp;"","?"))</f>
        <v/>
      </c>
      <c r="N5856" s="2">
        <f>IF(E5856="","",IF(ISNUMBER(SEARCH("SUBSOLO",E5856)),IFERROR(-VALUE(LEFT(E5856,FIND("º",SUBSTITUTE(E5856,"°","º"))-1)),-1),IF(LEFT(E5856,6)="TÉRREO",0,IFERROR(VALUE(LEFT(E5856,FIND("º",SUBSTITUTE(E5856,"°","º"))-1)),""))))</f>
        <v/>
      </c>
      <c r="O5856" s="2">
        <f>IF(OR(F5856="",G5856=""),"",IF(G5856&lt;='RETRATO 2027'!$K$5,"CONCLUÍDA",IF(F5856&lt;='RETRATO 2027'!$K$5,"EM ANDAMENTO","A INICIAR")))</f>
        <v/>
      </c>
    </row>
    <row r="5857">
      <c r="M5857" s="2">
        <f>IF(C5857="","",IFERROR(INDEX($S$5:$S$304,MATCH(C5857,$R$5:$R$304,0))&amp;"","?"))</f>
        <v/>
      </c>
      <c r="N5857" s="2">
        <f>IF(E5857="","",IF(ISNUMBER(SEARCH("SUBSOLO",E5857)),IFERROR(-VALUE(LEFT(E5857,FIND("º",SUBSTITUTE(E5857,"°","º"))-1)),-1),IF(LEFT(E5857,6)="TÉRREO",0,IFERROR(VALUE(LEFT(E5857,FIND("º",SUBSTITUTE(E5857,"°","º"))-1)),""))))</f>
        <v/>
      </c>
      <c r="O5857" s="2">
        <f>IF(OR(F5857="",G5857=""),"",IF(G5857&lt;='RETRATO 2027'!$K$5,"CONCLUÍDA",IF(F5857&lt;='RETRATO 2027'!$K$5,"EM ANDAMENTO","A INICIAR")))</f>
        <v/>
      </c>
    </row>
    <row r="5858">
      <c r="M5858" s="2">
        <f>IF(C5858="","",IFERROR(INDEX($S$5:$S$304,MATCH(C5858,$R$5:$R$304,0))&amp;"","?"))</f>
        <v/>
      </c>
      <c r="N5858" s="2">
        <f>IF(E5858="","",IF(ISNUMBER(SEARCH("SUBSOLO",E5858)),IFERROR(-VALUE(LEFT(E5858,FIND("º",SUBSTITUTE(E5858,"°","º"))-1)),-1),IF(LEFT(E5858,6)="TÉRREO",0,IFERROR(VALUE(LEFT(E5858,FIND("º",SUBSTITUTE(E5858,"°","º"))-1)),""))))</f>
        <v/>
      </c>
      <c r="O5858" s="2">
        <f>IF(OR(F5858="",G5858=""),"",IF(G5858&lt;='RETRATO 2027'!$K$5,"CONCLUÍDA",IF(F5858&lt;='RETRATO 2027'!$K$5,"EM ANDAMENTO","A INICIAR")))</f>
        <v/>
      </c>
    </row>
    <row r="5859">
      <c r="M5859" s="2">
        <f>IF(C5859="","",IFERROR(INDEX($S$5:$S$304,MATCH(C5859,$R$5:$R$304,0))&amp;"","?"))</f>
        <v/>
      </c>
      <c r="N5859" s="2">
        <f>IF(E5859="","",IF(ISNUMBER(SEARCH("SUBSOLO",E5859)),IFERROR(-VALUE(LEFT(E5859,FIND("º",SUBSTITUTE(E5859,"°","º"))-1)),-1),IF(LEFT(E5859,6)="TÉRREO",0,IFERROR(VALUE(LEFT(E5859,FIND("º",SUBSTITUTE(E5859,"°","º"))-1)),""))))</f>
        <v/>
      </c>
      <c r="O5859" s="2">
        <f>IF(OR(F5859="",G5859=""),"",IF(G5859&lt;='RETRATO 2027'!$K$5,"CONCLUÍDA",IF(F5859&lt;='RETRATO 2027'!$K$5,"EM ANDAMENTO","A INICIAR")))</f>
        <v/>
      </c>
    </row>
    <row r="5860">
      <c r="M5860" s="2">
        <f>IF(C5860="","",IFERROR(INDEX($S$5:$S$304,MATCH(C5860,$R$5:$R$304,0))&amp;"","?"))</f>
        <v/>
      </c>
      <c r="N5860" s="2">
        <f>IF(E5860="","",IF(ISNUMBER(SEARCH("SUBSOLO",E5860)),IFERROR(-VALUE(LEFT(E5860,FIND("º",SUBSTITUTE(E5860,"°","º"))-1)),-1),IF(LEFT(E5860,6)="TÉRREO",0,IFERROR(VALUE(LEFT(E5860,FIND("º",SUBSTITUTE(E5860,"°","º"))-1)),""))))</f>
        <v/>
      </c>
      <c r="O5860" s="2">
        <f>IF(OR(F5860="",G5860=""),"",IF(G5860&lt;='RETRATO 2027'!$K$5,"CONCLUÍDA",IF(F5860&lt;='RETRATO 2027'!$K$5,"EM ANDAMENTO","A INICIAR")))</f>
        <v/>
      </c>
    </row>
    <row r="5861">
      <c r="M5861" s="2">
        <f>IF(C5861="","",IFERROR(INDEX($S$5:$S$304,MATCH(C5861,$R$5:$R$304,0))&amp;"","?"))</f>
        <v/>
      </c>
      <c r="N5861" s="2">
        <f>IF(E5861="","",IF(ISNUMBER(SEARCH("SUBSOLO",E5861)),IFERROR(-VALUE(LEFT(E5861,FIND("º",SUBSTITUTE(E5861,"°","º"))-1)),-1),IF(LEFT(E5861,6)="TÉRREO",0,IFERROR(VALUE(LEFT(E5861,FIND("º",SUBSTITUTE(E5861,"°","º"))-1)),""))))</f>
        <v/>
      </c>
      <c r="O5861" s="2">
        <f>IF(OR(F5861="",G5861=""),"",IF(G5861&lt;='RETRATO 2027'!$K$5,"CONCLUÍDA",IF(F5861&lt;='RETRATO 2027'!$K$5,"EM ANDAMENTO","A INICIAR")))</f>
        <v/>
      </c>
    </row>
    <row r="5862">
      <c r="M5862" s="2">
        <f>IF(C5862="","",IFERROR(INDEX($S$5:$S$304,MATCH(C5862,$R$5:$R$304,0))&amp;"","?"))</f>
        <v/>
      </c>
      <c r="N5862" s="2">
        <f>IF(E5862="","",IF(ISNUMBER(SEARCH("SUBSOLO",E5862)),IFERROR(-VALUE(LEFT(E5862,FIND("º",SUBSTITUTE(E5862,"°","º"))-1)),-1),IF(LEFT(E5862,6)="TÉRREO",0,IFERROR(VALUE(LEFT(E5862,FIND("º",SUBSTITUTE(E5862,"°","º"))-1)),""))))</f>
        <v/>
      </c>
      <c r="O5862" s="2">
        <f>IF(OR(F5862="",G5862=""),"",IF(G5862&lt;='RETRATO 2027'!$K$5,"CONCLUÍDA",IF(F5862&lt;='RETRATO 2027'!$K$5,"EM ANDAMENTO","A INICIAR")))</f>
        <v/>
      </c>
    </row>
    <row r="5863">
      <c r="M5863" s="2">
        <f>IF(C5863="","",IFERROR(INDEX($S$5:$S$304,MATCH(C5863,$R$5:$R$304,0))&amp;"","?"))</f>
        <v/>
      </c>
      <c r="N5863" s="2">
        <f>IF(E5863="","",IF(ISNUMBER(SEARCH("SUBSOLO",E5863)),IFERROR(-VALUE(LEFT(E5863,FIND("º",SUBSTITUTE(E5863,"°","º"))-1)),-1),IF(LEFT(E5863,6)="TÉRREO",0,IFERROR(VALUE(LEFT(E5863,FIND("º",SUBSTITUTE(E5863,"°","º"))-1)),""))))</f>
        <v/>
      </c>
      <c r="O5863" s="2">
        <f>IF(OR(F5863="",G5863=""),"",IF(G5863&lt;='RETRATO 2027'!$K$5,"CONCLUÍDA",IF(F5863&lt;='RETRATO 2027'!$K$5,"EM ANDAMENTO","A INICIAR")))</f>
        <v/>
      </c>
    </row>
    <row r="5864">
      <c r="M5864" s="2">
        <f>IF(C5864="","",IFERROR(INDEX($S$5:$S$304,MATCH(C5864,$R$5:$R$304,0))&amp;"","?"))</f>
        <v/>
      </c>
      <c r="N5864" s="2">
        <f>IF(E5864="","",IF(ISNUMBER(SEARCH("SUBSOLO",E5864)),IFERROR(-VALUE(LEFT(E5864,FIND("º",SUBSTITUTE(E5864,"°","º"))-1)),-1),IF(LEFT(E5864,6)="TÉRREO",0,IFERROR(VALUE(LEFT(E5864,FIND("º",SUBSTITUTE(E5864,"°","º"))-1)),""))))</f>
        <v/>
      </c>
      <c r="O5864" s="2">
        <f>IF(OR(F5864="",G5864=""),"",IF(G5864&lt;='RETRATO 2027'!$K$5,"CONCLUÍDA",IF(F5864&lt;='RETRATO 2027'!$K$5,"EM ANDAMENTO","A INICIAR")))</f>
        <v/>
      </c>
    </row>
    <row r="5865">
      <c r="M5865" s="2">
        <f>IF(C5865="","",IFERROR(INDEX($S$5:$S$304,MATCH(C5865,$R$5:$R$304,0))&amp;"","?"))</f>
        <v/>
      </c>
      <c r="N5865" s="2">
        <f>IF(E5865="","",IF(ISNUMBER(SEARCH("SUBSOLO",E5865)),IFERROR(-VALUE(LEFT(E5865,FIND("º",SUBSTITUTE(E5865,"°","º"))-1)),-1),IF(LEFT(E5865,6)="TÉRREO",0,IFERROR(VALUE(LEFT(E5865,FIND("º",SUBSTITUTE(E5865,"°","º"))-1)),""))))</f>
        <v/>
      </c>
      <c r="O5865" s="2">
        <f>IF(OR(F5865="",G5865=""),"",IF(G5865&lt;='RETRATO 2027'!$K$5,"CONCLUÍDA",IF(F5865&lt;='RETRATO 2027'!$K$5,"EM ANDAMENTO","A INICIAR")))</f>
        <v/>
      </c>
    </row>
    <row r="5866">
      <c r="M5866" s="2">
        <f>IF(C5866="","",IFERROR(INDEX($S$5:$S$304,MATCH(C5866,$R$5:$R$304,0))&amp;"","?"))</f>
        <v/>
      </c>
      <c r="N5866" s="2">
        <f>IF(E5866="","",IF(ISNUMBER(SEARCH("SUBSOLO",E5866)),IFERROR(-VALUE(LEFT(E5866,FIND("º",SUBSTITUTE(E5866,"°","º"))-1)),-1),IF(LEFT(E5866,6)="TÉRREO",0,IFERROR(VALUE(LEFT(E5866,FIND("º",SUBSTITUTE(E5866,"°","º"))-1)),""))))</f>
        <v/>
      </c>
      <c r="O5866" s="2">
        <f>IF(OR(F5866="",G5866=""),"",IF(G5866&lt;='RETRATO 2027'!$K$5,"CONCLUÍDA",IF(F5866&lt;='RETRATO 2027'!$K$5,"EM ANDAMENTO","A INICIAR")))</f>
        <v/>
      </c>
    </row>
    <row r="5867">
      <c r="M5867" s="2">
        <f>IF(C5867="","",IFERROR(INDEX($S$5:$S$304,MATCH(C5867,$R$5:$R$304,0))&amp;"","?"))</f>
        <v/>
      </c>
      <c r="N5867" s="2">
        <f>IF(E5867="","",IF(ISNUMBER(SEARCH("SUBSOLO",E5867)),IFERROR(-VALUE(LEFT(E5867,FIND("º",SUBSTITUTE(E5867,"°","º"))-1)),-1),IF(LEFT(E5867,6)="TÉRREO",0,IFERROR(VALUE(LEFT(E5867,FIND("º",SUBSTITUTE(E5867,"°","º"))-1)),""))))</f>
        <v/>
      </c>
      <c r="O5867" s="2">
        <f>IF(OR(F5867="",G5867=""),"",IF(G5867&lt;='RETRATO 2027'!$K$5,"CONCLUÍDA",IF(F5867&lt;='RETRATO 2027'!$K$5,"EM ANDAMENTO","A INICIAR")))</f>
        <v/>
      </c>
    </row>
    <row r="5868">
      <c r="M5868" s="2">
        <f>IF(C5868="","",IFERROR(INDEX($S$5:$S$304,MATCH(C5868,$R$5:$R$304,0))&amp;"","?"))</f>
        <v/>
      </c>
      <c r="N5868" s="2">
        <f>IF(E5868="","",IF(ISNUMBER(SEARCH("SUBSOLO",E5868)),IFERROR(-VALUE(LEFT(E5868,FIND("º",SUBSTITUTE(E5868,"°","º"))-1)),-1),IF(LEFT(E5868,6)="TÉRREO",0,IFERROR(VALUE(LEFT(E5868,FIND("º",SUBSTITUTE(E5868,"°","º"))-1)),""))))</f>
        <v/>
      </c>
      <c r="O5868" s="2">
        <f>IF(OR(F5868="",G5868=""),"",IF(G5868&lt;='RETRATO 2027'!$K$5,"CONCLUÍDA",IF(F5868&lt;='RETRATO 2027'!$K$5,"EM ANDAMENTO","A INICIAR")))</f>
        <v/>
      </c>
    </row>
    <row r="5869">
      <c r="M5869" s="2">
        <f>IF(C5869="","",IFERROR(INDEX($S$5:$S$304,MATCH(C5869,$R$5:$R$304,0))&amp;"","?"))</f>
        <v/>
      </c>
      <c r="N5869" s="2">
        <f>IF(E5869="","",IF(ISNUMBER(SEARCH("SUBSOLO",E5869)),IFERROR(-VALUE(LEFT(E5869,FIND("º",SUBSTITUTE(E5869,"°","º"))-1)),-1),IF(LEFT(E5869,6)="TÉRREO",0,IFERROR(VALUE(LEFT(E5869,FIND("º",SUBSTITUTE(E5869,"°","º"))-1)),""))))</f>
        <v/>
      </c>
      <c r="O5869" s="2">
        <f>IF(OR(F5869="",G5869=""),"",IF(G5869&lt;='RETRATO 2027'!$K$5,"CONCLUÍDA",IF(F5869&lt;='RETRATO 2027'!$K$5,"EM ANDAMENTO","A INICIAR")))</f>
        <v/>
      </c>
    </row>
    <row r="5870">
      <c r="M5870" s="2">
        <f>IF(C5870="","",IFERROR(INDEX($S$5:$S$304,MATCH(C5870,$R$5:$R$304,0))&amp;"","?"))</f>
        <v/>
      </c>
      <c r="N5870" s="2">
        <f>IF(E5870="","",IF(ISNUMBER(SEARCH("SUBSOLO",E5870)),IFERROR(-VALUE(LEFT(E5870,FIND("º",SUBSTITUTE(E5870,"°","º"))-1)),-1),IF(LEFT(E5870,6)="TÉRREO",0,IFERROR(VALUE(LEFT(E5870,FIND("º",SUBSTITUTE(E5870,"°","º"))-1)),""))))</f>
        <v/>
      </c>
      <c r="O5870" s="2">
        <f>IF(OR(F5870="",G5870=""),"",IF(G5870&lt;='RETRATO 2027'!$K$5,"CONCLUÍDA",IF(F5870&lt;='RETRATO 2027'!$K$5,"EM ANDAMENTO","A INICIAR")))</f>
        <v/>
      </c>
    </row>
    <row r="5871">
      <c r="M5871" s="2">
        <f>IF(C5871="","",IFERROR(INDEX($S$5:$S$304,MATCH(C5871,$R$5:$R$304,0))&amp;"","?"))</f>
        <v/>
      </c>
      <c r="N5871" s="2">
        <f>IF(E5871="","",IF(ISNUMBER(SEARCH("SUBSOLO",E5871)),IFERROR(-VALUE(LEFT(E5871,FIND("º",SUBSTITUTE(E5871,"°","º"))-1)),-1),IF(LEFT(E5871,6)="TÉRREO",0,IFERROR(VALUE(LEFT(E5871,FIND("º",SUBSTITUTE(E5871,"°","º"))-1)),""))))</f>
        <v/>
      </c>
      <c r="O5871" s="2">
        <f>IF(OR(F5871="",G5871=""),"",IF(G5871&lt;='RETRATO 2027'!$K$5,"CONCLUÍDA",IF(F5871&lt;='RETRATO 2027'!$K$5,"EM ANDAMENTO","A INICIAR")))</f>
        <v/>
      </c>
    </row>
    <row r="5872">
      <c r="M5872" s="2">
        <f>IF(C5872="","",IFERROR(INDEX($S$5:$S$304,MATCH(C5872,$R$5:$R$304,0))&amp;"","?"))</f>
        <v/>
      </c>
      <c r="N5872" s="2">
        <f>IF(E5872="","",IF(ISNUMBER(SEARCH("SUBSOLO",E5872)),IFERROR(-VALUE(LEFT(E5872,FIND("º",SUBSTITUTE(E5872,"°","º"))-1)),-1),IF(LEFT(E5872,6)="TÉRREO",0,IFERROR(VALUE(LEFT(E5872,FIND("º",SUBSTITUTE(E5872,"°","º"))-1)),""))))</f>
        <v/>
      </c>
      <c r="O5872" s="2">
        <f>IF(OR(F5872="",G5872=""),"",IF(G5872&lt;='RETRATO 2027'!$K$5,"CONCLUÍDA",IF(F5872&lt;='RETRATO 2027'!$K$5,"EM ANDAMENTO","A INICIAR")))</f>
        <v/>
      </c>
    </row>
    <row r="5873">
      <c r="M5873" s="2">
        <f>IF(C5873="","",IFERROR(INDEX($S$5:$S$304,MATCH(C5873,$R$5:$R$304,0))&amp;"","?"))</f>
        <v/>
      </c>
      <c r="N5873" s="2">
        <f>IF(E5873="","",IF(ISNUMBER(SEARCH("SUBSOLO",E5873)),IFERROR(-VALUE(LEFT(E5873,FIND("º",SUBSTITUTE(E5873,"°","º"))-1)),-1),IF(LEFT(E5873,6)="TÉRREO",0,IFERROR(VALUE(LEFT(E5873,FIND("º",SUBSTITUTE(E5873,"°","º"))-1)),""))))</f>
        <v/>
      </c>
      <c r="O5873" s="2">
        <f>IF(OR(F5873="",G5873=""),"",IF(G5873&lt;='RETRATO 2027'!$K$5,"CONCLUÍDA",IF(F5873&lt;='RETRATO 2027'!$K$5,"EM ANDAMENTO","A INICIAR")))</f>
        <v/>
      </c>
    </row>
    <row r="5874">
      <c r="M5874" s="2">
        <f>IF(C5874="","",IFERROR(INDEX($S$5:$S$304,MATCH(C5874,$R$5:$R$304,0))&amp;"","?"))</f>
        <v/>
      </c>
      <c r="N5874" s="2">
        <f>IF(E5874="","",IF(ISNUMBER(SEARCH("SUBSOLO",E5874)),IFERROR(-VALUE(LEFT(E5874,FIND("º",SUBSTITUTE(E5874,"°","º"))-1)),-1),IF(LEFT(E5874,6)="TÉRREO",0,IFERROR(VALUE(LEFT(E5874,FIND("º",SUBSTITUTE(E5874,"°","º"))-1)),""))))</f>
        <v/>
      </c>
      <c r="O5874" s="2">
        <f>IF(OR(F5874="",G5874=""),"",IF(G5874&lt;='RETRATO 2027'!$K$5,"CONCLUÍDA",IF(F5874&lt;='RETRATO 2027'!$K$5,"EM ANDAMENTO","A INICIAR")))</f>
        <v/>
      </c>
    </row>
    <row r="5875">
      <c r="M5875" s="2">
        <f>IF(C5875="","",IFERROR(INDEX($S$5:$S$304,MATCH(C5875,$R$5:$R$304,0))&amp;"","?"))</f>
        <v/>
      </c>
      <c r="N5875" s="2">
        <f>IF(E5875="","",IF(ISNUMBER(SEARCH("SUBSOLO",E5875)),IFERROR(-VALUE(LEFT(E5875,FIND("º",SUBSTITUTE(E5875,"°","º"))-1)),-1),IF(LEFT(E5875,6)="TÉRREO",0,IFERROR(VALUE(LEFT(E5875,FIND("º",SUBSTITUTE(E5875,"°","º"))-1)),""))))</f>
        <v/>
      </c>
      <c r="O5875" s="2">
        <f>IF(OR(F5875="",G5875=""),"",IF(G5875&lt;='RETRATO 2027'!$K$5,"CONCLUÍDA",IF(F5875&lt;='RETRATO 2027'!$K$5,"EM ANDAMENTO","A INICIAR")))</f>
        <v/>
      </c>
    </row>
    <row r="5876">
      <c r="M5876" s="2">
        <f>IF(C5876="","",IFERROR(INDEX($S$5:$S$304,MATCH(C5876,$R$5:$R$304,0))&amp;"","?"))</f>
        <v/>
      </c>
      <c r="N5876" s="2">
        <f>IF(E5876="","",IF(ISNUMBER(SEARCH("SUBSOLO",E5876)),IFERROR(-VALUE(LEFT(E5876,FIND("º",SUBSTITUTE(E5876,"°","º"))-1)),-1),IF(LEFT(E5876,6)="TÉRREO",0,IFERROR(VALUE(LEFT(E5876,FIND("º",SUBSTITUTE(E5876,"°","º"))-1)),""))))</f>
        <v/>
      </c>
      <c r="O5876" s="2">
        <f>IF(OR(F5876="",G5876=""),"",IF(G5876&lt;='RETRATO 2027'!$K$5,"CONCLUÍDA",IF(F5876&lt;='RETRATO 2027'!$K$5,"EM ANDAMENTO","A INICIAR")))</f>
        <v/>
      </c>
    </row>
    <row r="5877">
      <c r="M5877" s="2">
        <f>IF(C5877="","",IFERROR(INDEX($S$5:$S$304,MATCH(C5877,$R$5:$R$304,0))&amp;"","?"))</f>
        <v/>
      </c>
      <c r="N5877" s="2">
        <f>IF(E5877="","",IF(ISNUMBER(SEARCH("SUBSOLO",E5877)),IFERROR(-VALUE(LEFT(E5877,FIND("º",SUBSTITUTE(E5877,"°","º"))-1)),-1),IF(LEFT(E5877,6)="TÉRREO",0,IFERROR(VALUE(LEFT(E5877,FIND("º",SUBSTITUTE(E5877,"°","º"))-1)),""))))</f>
        <v/>
      </c>
      <c r="O5877" s="2">
        <f>IF(OR(F5877="",G5877=""),"",IF(G5877&lt;='RETRATO 2027'!$K$5,"CONCLUÍDA",IF(F5877&lt;='RETRATO 2027'!$K$5,"EM ANDAMENTO","A INICIAR")))</f>
        <v/>
      </c>
    </row>
    <row r="5878">
      <c r="M5878" s="2">
        <f>IF(C5878="","",IFERROR(INDEX($S$5:$S$304,MATCH(C5878,$R$5:$R$304,0))&amp;"","?"))</f>
        <v/>
      </c>
      <c r="N5878" s="2">
        <f>IF(E5878="","",IF(ISNUMBER(SEARCH("SUBSOLO",E5878)),IFERROR(-VALUE(LEFT(E5878,FIND("º",SUBSTITUTE(E5878,"°","º"))-1)),-1),IF(LEFT(E5878,6)="TÉRREO",0,IFERROR(VALUE(LEFT(E5878,FIND("º",SUBSTITUTE(E5878,"°","º"))-1)),""))))</f>
        <v/>
      </c>
      <c r="O5878" s="2">
        <f>IF(OR(F5878="",G5878=""),"",IF(G5878&lt;='RETRATO 2027'!$K$5,"CONCLUÍDA",IF(F5878&lt;='RETRATO 2027'!$K$5,"EM ANDAMENTO","A INICIAR")))</f>
        <v/>
      </c>
    </row>
    <row r="5879">
      <c r="M5879" s="2">
        <f>IF(C5879="","",IFERROR(INDEX($S$5:$S$304,MATCH(C5879,$R$5:$R$304,0))&amp;"","?"))</f>
        <v/>
      </c>
      <c r="N5879" s="2">
        <f>IF(E5879="","",IF(ISNUMBER(SEARCH("SUBSOLO",E5879)),IFERROR(-VALUE(LEFT(E5879,FIND("º",SUBSTITUTE(E5879,"°","º"))-1)),-1),IF(LEFT(E5879,6)="TÉRREO",0,IFERROR(VALUE(LEFT(E5879,FIND("º",SUBSTITUTE(E5879,"°","º"))-1)),""))))</f>
        <v/>
      </c>
      <c r="O5879" s="2">
        <f>IF(OR(F5879="",G5879=""),"",IF(G5879&lt;='RETRATO 2027'!$K$5,"CONCLUÍDA",IF(F5879&lt;='RETRATO 2027'!$K$5,"EM ANDAMENTO","A INICIAR")))</f>
        <v/>
      </c>
    </row>
    <row r="5880">
      <c r="M5880" s="2">
        <f>IF(C5880="","",IFERROR(INDEX($S$5:$S$304,MATCH(C5880,$R$5:$R$304,0))&amp;"","?"))</f>
        <v/>
      </c>
      <c r="N5880" s="2">
        <f>IF(E5880="","",IF(ISNUMBER(SEARCH("SUBSOLO",E5880)),IFERROR(-VALUE(LEFT(E5880,FIND("º",SUBSTITUTE(E5880,"°","º"))-1)),-1),IF(LEFT(E5880,6)="TÉRREO",0,IFERROR(VALUE(LEFT(E5880,FIND("º",SUBSTITUTE(E5880,"°","º"))-1)),""))))</f>
        <v/>
      </c>
      <c r="O5880" s="2">
        <f>IF(OR(F5880="",G5880=""),"",IF(G5880&lt;='RETRATO 2027'!$K$5,"CONCLUÍDA",IF(F5880&lt;='RETRATO 2027'!$K$5,"EM ANDAMENTO","A INICIAR")))</f>
        <v/>
      </c>
    </row>
    <row r="5881">
      <c r="M5881" s="2">
        <f>IF(C5881="","",IFERROR(INDEX($S$5:$S$304,MATCH(C5881,$R$5:$R$304,0))&amp;"","?"))</f>
        <v/>
      </c>
      <c r="N5881" s="2">
        <f>IF(E5881="","",IF(ISNUMBER(SEARCH("SUBSOLO",E5881)),IFERROR(-VALUE(LEFT(E5881,FIND("º",SUBSTITUTE(E5881,"°","º"))-1)),-1),IF(LEFT(E5881,6)="TÉRREO",0,IFERROR(VALUE(LEFT(E5881,FIND("º",SUBSTITUTE(E5881,"°","º"))-1)),""))))</f>
        <v/>
      </c>
      <c r="O5881" s="2">
        <f>IF(OR(F5881="",G5881=""),"",IF(G5881&lt;='RETRATO 2027'!$K$5,"CONCLUÍDA",IF(F5881&lt;='RETRATO 2027'!$K$5,"EM ANDAMENTO","A INICIAR")))</f>
        <v/>
      </c>
    </row>
    <row r="5882">
      <c r="M5882" s="2">
        <f>IF(C5882="","",IFERROR(INDEX($S$5:$S$304,MATCH(C5882,$R$5:$R$304,0))&amp;"","?"))</f>
        <v/>
      </c>
      <c r="N5882" s="2">
        <f>IF(E5882="","",IF(ISNUMBER(SEARCH("SUBSOLO",E5882)),IFERROR(-VALUE(LEFT(E5882,FIND("º",SUBSTITUTE(E5882,"°","º"))-1)),-1),IF(LEFT(E5882,6)="TÉRREO",0,IFERROR(VALUE(LEFT(E5882,FIND("º",SUBSTITUTE(E5882,"°","º"))-1)),""))))</f>
        <v/>
      </c>
      <c r="O5882" s="2">
        <f>IF(OR(F5882="",G5882=""),"",IF(G5882&lt;='RETRATO 2027'!$K$5,"CONCLUÍDA",IF(F5882&lt;='RETRATO 2027'!$K$5,"EM ANDAMENTO","A INICIAR")))</f>
        <v/>
      </c>
    </row>
    <row r="5883">
      <c r="M5883" s="2">
        <f>IF(C5883="","",IFERROR(INDEX($S$5:$S$304,MATCH(C5883,$R$5:$R$304,0))&amp;"","?"))</f>
        <v/>
      </c>
      <c r="N5883" s="2">
        <f>IF(E5883="","",IF(ISNUMBER(SEARCH("SUBSOLO",E5883)),IFERROR(-VALUE(LEFT(E5883,FIND("º",SUBSTITUTE(E5883,"°","º"))-1)),-1),IF(LEFT(E5883,6)="TÉRREO",0,IFERROR(VALUE(LEFT(E5883,FIND("º",SUBSTITUTE(E5883,"°","º"))-1)),""))))</f>
        <v/>
      </c>
      <c r="O5883" s="2">
        <f>IF(OR(F5883="",G5883=""),"",IF(G5883&lt;='RETRATO 2027'!$K$5,"CONCLUÍDA",IF(F5883&lt;='RETRATO 2027'!$K$5,"EM ANDAMENTO","A INICIAR")))</f>
        <v/>
      </c>
    </row>
    <row r="5884">
      <c r="M5884" s="2">
        <f>IF(C5884="","",IFERROR(INDEX($S$5:$S$304,MATCH(C5884,$R$5:$R$304,0))&amp;"","?"))</f>
        <v/>
      </c>
      <c r="N5884" s="2">
        <f>IF(E5884="","",IF(ISNUMBER(SEARCH("SUBSOLO",E5884)),IFERROR(-VALUE(LEFT(E5884,FIND("º",SUBSTITUTE(E5884,"°","º"))-1)),-1),IF(LEFT(E5884,6)="TÉRREO",0,IFERROR(VALUE(LEFT(E5884,FIND("º",SUBSTITUTE(E5884,"°","º"))-1)),""))))</f>
        <v/>
      </c>
      <c r="O5884" s="2">
        <f>IF(OR(F5884="",G5884=""),"",IF(G5884&lt;='RETRATO 2027'!$K$5,"CONCLUÍDA",IF(F5884&lt;='RETRATO 2027'!$K$5,"EM ANDAMENTO","A INICIAR")))</f>
        <v/>
      </c>
    </row>
    <row r="5885">
      <c r="M5885" s="2">
        <f>IF(C5885="","",IFERROR(INDEX($S$5:$S$304,MATCH(C5885,$R$5:$R$304,0))&amp;"","?"))</f>
        <v/>
      </c>
      <c r="N5885" s="2">
        <f>IF(E5885="","",IF(ISNUMBER(SEARCH("SUBSOLO",E5885)),IFERROR(-VALUE(LEFT(E5885,FIND("º",SUBSTITUTE(E5885,"°","º"))-1)),-1),IF(LEFT(E5885,6)="TÉRREO",0,IFERROR(VALUE(LEFT(E5885,FIND("º",SUBSTITUTE(E5885,"°","º"))-1)),""))))</f>
        <v/>
      </c>
      <c r="O5885" s="2">
        <f>IF(OR(F5885="",G5885=""),"",IF(G5885&lt;='RETRATO 2027'!$K$5,"CONCLUÍDA",IF(F5885&lt;='RETRATO 2027'!$K$5,"EM ANDAMENTO","A INICIAR")))</f>
        <v/>
      </c>
    </row>
    <row r="5886">
      <c r="M5886" s="2">
        <f>IF(C5886="","",IFERROR(INDEX($S$5:$S$304,MATCH(C5886,$R$5:$R$304,0))&amp;"","?"))</f>
        <v/>
      </c>
      <c r="N5886" s="2">
        <f>IF(E5886="","",IF(ISNUMBER(SEARCH("SUBSOLO",E5886)),IFERROR(-VALUE(LEFT(E5886,FIND("º",SUBSTITUTE(E5886,"°","º"))-1)),-1),IF(LEFT(E5886,6)="TÉRREO",0,IFERROR(VALUE(LEFT(E5886,FIND("º",SUBSTITUTE(E5886,"°","º"))-1)),""))))</f>
        <v/>
      </c>
      <c r="O5886" s="2">
        <f>IF(OR(F5886="",G5886=""),"",IF(G5886&lt;='RETRATO 2027'!$K$5,"CONCLUÍDA",IF(F5886&lt;='RETRATO 2027'!$K$5,"EM ANDAMENTO","A INICIAR")))</f>
        <v/>
      </c>
    </row>
    <row r="5887">
      <c r="M5887" s="2">
        <f>IF(C5887="","",IFERROR(INDEX($S$5:$S$304,MATCH(C5887,$R$5:$R$304,0))&amp;"","?"))</f>
        <v/>
      </c>
      <c r="N5887" s="2">
        <f>IF(E5887="","",IF(ISNUMBER(SEARCH("SUBSOLO",E5887)),IFERROR(-VALUE(LEFT(E5887,FIND("º",SUBSTITUTE(E5887,"°","º"))-1)),-1),IF(LEFT(E5887,6)="TÉRREO",0,IFERROR(VALUE(LEFT(E5887,FIND("º",SUBSTITUTE(E5887,"°","º"))-1)),""))))</f>
        <v/>
      </c>
      <c r="O5887" s="2">
        <f>IF(OR(F5887="",G5887=""),"",IF(G5887&lt;='RETRATO 2027'!$K$5,"CONCLUÍDA",IF(F5887&lt;='RETRATO 2027'!$K$5,"EM ANDAMENTO","A INICIAR")))</f>
        <v/>
      </c>
    </row>
    <row r="5888">
      <c r="M5888" s="2">
        <f>IF(C5888="","",IFERROR(INDEX($S$5:$S$304,MATCH(C5888,$R$5:$R$304,0))&amp;"","?"))</f>
        <v/>
      </c>
      <c r="N5888" s="2">
        <f>IF(E5888="","",IF(ISNUMBER(SEARCH("SUBSOLO",E5888)),IFERROR(-VALUE(LEFT(E5888,FIND("º",SUBSTITUTE(E5888,"°","º"))-1)),-1),IF(LEFT(E5888,6)="TÉRREO",0,IFERROR(VALUE(LEFT(E5888,FIND("º",SUBSTITUTE(E5888,"°","º"))-1)),""))))</f>
        <v/>
      </c>
      <c r="O5888" s="2">
        <f>IF(OR(F5888="",G5888=""),"",IF(G5888&lt;='RETRATO 2027'!$K$5,"CONCLUÍDA",IF(F5888&lt;='RETRATO 2027'!$K$5,"EM ANDAMENTO","A INICIAR")))</f>
        <v/>
      </c>
    </row>
    <row r="5889">
      <c r="M5889" s="2">
        <f>IF(C5889="","",IFERROR(INDEX($S$5:$S$304,MATCH(C5889,$R$5:$R$304,0))&amp;"","?"))</f>
        <v/>
      </c>
      <c r="N5889" s="2">
        <f>IF(E5889="","",IF(ISNUMBER(SEARCH("SUBSOLO",E5889)),IFERROR(-VALUE(LEFT(E5889,FIND("º",SUBSTITUTE(E5889,"°","º"))-1)),-1),IF(LEFT(E5889,6)="TÉRREO",0,IFERROR(VALUE(LEFT(E5889,FIND("º",SUBSTITUTE(E5889,"°","º"))-1)),""))))</f>
        <v/>
      </c>
      <c r="O5889" s="2">
        <f>IF(OR(F5889="",G5889=""),"",IF(G5889&lt;='RETRATO 2027'!$K$5,"CONCLUÍDA",IF(F5889&lt;='RETRATO 2027'!$K$5,"EM ANDAMENTO","A INICIAR")))</f>
        <v/>
      </c>
    </row>
    <row r="5890">
      <c r="M5890" s="2">
        <f>IF(C5890="","",IFERROR(INDEX($S$5:$S$304,MATCH(C5890,$R$5:$R$304,0))&amp;"","?"))</f>
        <v/>
      </c>
      <c r="N5890" s="2">
        <f>IF(E5890="","",IF(ISNUMBER(SEARCH("SUBSOLO",E5890)),IFERROR(-VALUE(LEFT(E5890,FIND("º",SUBSTITUTE(E5890,"°","º"))-1)),-1),IF(LEFT(E5890,6)="TÉRREO",0,IFERROR(VALUE(LEFT(E5890,FIND("º",SUBSTITUTE(E5890,"°","º"))-1)),""))))</f>
        <v/>
      </c>
      <c r="O5890" s="2">
        <f>IF(OR(F5890="",G5890=""),"",IF(G5890&lt;='RETRATO 2027'!$K$5,"CONCLUÍDA",IF(F5890&lt;='RETRATO 2027'!$K$5,"EM ANDAMENTO","A INICIAR")))</f>
        <v/>
      </c>
    </row>
    <row r="5891">
      <c r="M5891" s="2">
        <f>IF(C5891="","",IFERROR(INDEX($S$5:$S$304,MATCH(C5891,$R$5:$R$304,0))&amp;"","?"))</f>
        <v/>
      </c>
      <c r="N5891" s="2">
        <f>IF(E5891="","",IF(ISNUMBER(SEARCH("SUBSOLO",E5891)),IFERROR(-VALUE(LEFT(E5891,FIND("º",SUBSTITUTE(E5891,"°","º"))-1)),-1),IF(LEFT(E5891,6)="TÉRREO",0,IFERROR(VALUE(LEFT(E5891,FIND("º",SUBSTITUTE(E5891,"°","º"))-1)),""))))</f>
        <v/>
      </c>
      <c r="O5891" s="2">
        <f>IF(OR(F5891="",G5891=""),"",IF(G5891&lt;='RETRATO 2027'!$K$5,"CONCLUÍDA",IF(F5891&lt;='RETRATO 2027'!$K$5,"EM ANDAMENTO","A INICIAR")))</f>
        <v/>
      </c>
    </row>
    <row r="5892">
      <c r="M5892" s="2">
        <f>IF(C5892="","",IFERROR(INDEX($S$5:$S$304,MATCH(C5892,$R$5:$R$304,0))&amp;"","?"))</f>
        <v/>
      </c>
      <c r="N5892" s="2">
        <f>IF(E5892="","",IF(ISNUMBER(SEARCH("SUBSOLO",E5892)),IFERROR(-VALUE(LEFT(E5892,FIND("º",SUBSTITUTE(E5892,"°","º"))-1)),-1),IF(LEFT(E5892,6)="TÉRREO",0,IFERROR(VALUE(LEFT(E5892,FIND("º",SUBSTITUTE(E5892,"°","º"))-1)),""))))</f>
        <v/>
      </c>
      <c r="O5892" s="2">
        <f>IF(OR(F5892="",G5892=""),"",IF(G5892&lt;='RETRATO 2027'!$K$5,"CONCLUÍDA",IF(F5892&lt;='RETRATO 2027'!$K$5,"EM ANDAMENTO","A INICIAR")))</f>
        <v/>
      </c>
    </row>
    <row r="5893">
      <c r="M5893" s="2">
        <f>IF(C5893="","",IFERROR(INDEX($S$5:$S$304,MATCH(C5893,$R$5:$R$304,0))&amp;"","?"))</f>
        <v/>
      </c>
      <c r="N5893" s="2">
        <f>IF(E5893="","",IF(ISNUMBER(SEARCH("SUBSOLO",E5893)),IFERROR(-VALUE(LEFT(E5893,FIND("º",SUBSTITUTE(E5893,"°","º"))-1)),-1),IF(LEFT(E5893,6)="TÉRREO",0,IFERROR(VALUE(LEFT(E5893,FIND("º",SUBSTITUTE(E5893,"°","º"))-1)),""))))</f>
        <v/>
      </c>
      <c r="O5893" s="2">
        <f>IF(OR(F5893="",G5893=""),"",IF(G5893&lt;='RETRATO 2027'!$K$5,"CONCLUÍDA",IF(F5893&lt;='RETRATO 2027'!$K$5,"EM ANDAMENTO","A INICIAR")))</f>
        <v/>
      </c>
    </row>
    <row r="5894">
      <c r="M5894" s="2">
        <f>IF(C5894="","",IFERROR(INDEX($S$5:$S$304,MATCH(C5894,$R$5:$R$304,0))&amp;"","?"))</f>
        <v/>
      </c>
      <c r="N5894" s="2">
        <f>IF(E5894="","",IF(ISNUMBER(SEARCH("SUBSOLO",E5894)),IFERROR(-VALUE(LEFT(E5894,FIND("º",SUBSTITUTE(E5894,"°","º"))-1)),-1),IF(LEFT(E5894,6)="TÉRREO",0,IFERROR(VALUE(LEFT(E5894,FIND("º",SUBSTITUTE(E5894,"°","º"))-1)),""))))</f>
        <v/>
      </c>
      <c r="O5894" s="2">
        <f>IF(OR(F5894="",G5894=""),"",IF(G5894&lt;='RETRATO 2027'!$K$5,"CONCLUÍDA",IF(F5894&lt;='RETRATO 2027'!$K$5,"EM ANDAMENTO","A INICIAR")))</f>
        <v/>
      </c>
    </row>
    <row r="5895">
      <c r="M5895" s="2">
        <f>IF(C5895="","",IFERROR(INDEX($S$5:$S$304,MATCH(C5895,$R$5:$R$304,0))&amp;"","?"))</f>
        <v/>
      </c>
      <c r="N5895" s="2">
        <f>IF(E5895="","",IF(ISNUMBER(SEARCH("SUBSOLO",E5895)),IFERROR(-VALUE(LEFT(E5895,FIND("º",SUBSTITUTE(E5895,"°","º"))-1)),-1),IF(LEFT(E5895,6)="TÉRREO",0,IFERROR(VALUE(LEFT(E5895,FIND("º",SUBSTITUTE(E5895,"°","º"))-1)),""))))</f>
        <v/>
      </c>
      <c r="O5895" s="2">
        <f>IF(OR(F5895="",G5895=""),"",IF(G5895&lt;='RETRATO 2027'!$K$5,"CONCLUÍDA",IF(F5895&lt;='RETRATO 2027'!$K$5,"EM ANDAMENTO","A INICIAR")))</f>
        <v/>
      </c>
    </row>
    <row r="5896">
      <c r="M5896" s="2">
        <f>IF(C5896="","",IFERROR(INDEX($S$5:$S$304,MATCH(C5896,$R$5:$R$304,0))&amp;"","?"))</f>
        <v/>
      </c>
      <c r="N5896" s="2">
        <f>IF(E5896="","",IF(ISNUMBER(SEARCH("SUBSOLO",E5896)),IFERROR(-VALUE(LEFT(E5896,FIND("º",SUBSTITUTE(E5896,"°","º"))-1)),-1),IF(LEFT(E5896,6)="TÉRREO",0,IFERROR(VALUE(LEFT(E5896,FIND("º",SUBSTITUTE(E5896,"°","º"))-1)),""))))</f>
        <v/>
      </c>
      <c r="O5896" s="2">
        <f>IF(OR(F5896="",G5896=""),"",IF(G5896&lt;='RETRATO 2027'!$K$5,"CONCLUÍDA",IF(F5896&lt;='RETRATO 2027'!$K$5,"EM ANDAMENTO","A INICIAR")))</f>
        <v/>
      </c>
    </row>
    <row r="5897">
      <c r="M5897" s="2">
        <f>IF(C5897="","",IFERROR(INDEX($S$5:$S$304,MATCH(C5897,$R$5:$R$304,0))&amp;"","?"))</f>
        <v/>
      </c>
      <c r="N5897" s="2">
        <f>IF(E5897="","",IF(ISNUMBER(SEARCH("SUBSOLO",E5897)),IFERROR(-VALUE(LEFT(E5897,FIND("º",SUBSTITUTE(E5897,"°","º"))-1)),-1),IF(LEFT(E5897,6)="TÉRREO",0,IFERROR(VALUE(LEFT(E5897,FIND("º",SUBSTITUTE(E5897,"°","º"))-1)),""))))</f>
        <v/>
      </c>
      <c r="O5897" s="2">
        <f>IF(OR(F5897="",G5897=""),"",IF(G5897&lt;='RETRATO 2027'!$K$5,"CONCLUÍDA",IF(F5897&lt;='RETRATO 2027'!$K$5,"EM ANDAMENTO","A INICIAR")))</f>
        <v/>
      </c>
    </row>
    <row r="5898">
      <c r="M5898" s="2">
        <f>IF(C5898="","",IFERROR(INDEX($S$5:$S$304,MATCH(C5898,$R$5:$R$304,0))&amp;"","?"))</f>
        <v/>
      </c>
      <c r="N5898" s="2">
        <f>IF(E5898="","",IF(ISNUMBER(SEARCH("SUBSOLO",E5898)),IFERROR(-VALUE(LEFT(E5898,FIND("º",SUBSTITUTE(E5898,"°","º"))-1)),-1),IF(LEFT(E5898,6)="TÉRREO",0,IFERROR(VALUE(LEFT(E5898,FIND("º",SUBSTITUTE(E5898,"°","º"))-1)),""))))</f>
        <v/>
      </c>
      <c r="O5898" s="2">
        <f>IF(OR(F5898="",G5898=""),"",IF(G5898&lt;='RETRATO 2027'!$K$5,"CONCLUÍDA",IF(F5898&lt;='RETRATO 2027'!$K$5,"EM ANDAMENTO","A INICIAR")))</f>
        <v/>
      </c>
    </row>
    <row r="5899">
      <c r="M5899" s="2">
        <f>IF(C5899="","",IFERROR(INDEX($S$5:$S$304,MATCH(C5899,$R$5:$R$304,0))&amp;"","?"))</f>
        <v/>
      </c>
      <c r="N5899" s="2">
        <f>IF(E5899="","",IF(ISNUMBER(SEARCH("SUBSOLO",E5899)),IFERROR(-VALUE(LEFT(E5899,FIND("º",SUBSTITUTE(E5899,"°","º"))-1)),-1),IF(LEFT(E5899,6)="TÉRREO",0,IFERROR(VALUE(LEFT(E5899,FIND("º",SUBSTITUTE(E5899,"°","º"))-1)),""))))</f>
        <v/>
      </c>
      <c r="O5899" s="2">
        <f>IF(OR(F5899="",G5899=""),"",IF(G5899&lt;='RETRATO 2027'!$K$5,"CONCLUÍDA",IF(F5899&lt;='RETRATO 2027'!$K$5,"EM ANDAMENTO","A INICIAR")))</f>
        <v/>
      </c>
    </row>
    <row r="5900">
      <c r="M5900" s="2">
        <f>IF(C5900="","",IFERROR(INDEX($S$5:$S$304,MATCH(C5900,$R$5:$R$304,0))&amp;"","?"))</f>
        <v/>
      </c>
      <c r="N5900" s="2">
        <f>IF(E5900="","",IF(ISNUMBER(SEARCH("SUBSOLO",E5900)),IFERROR(-VALUE(LEFT(E5900,FIND("º",SUBSTITUTE(E5900,"°","º"))-1)),-1),IF(LEFT(E5900,6)="TÉRREO",0,IFERROR(VALUE(LEFT(E5900,FIND("º",SUBSTITUTE(E5900,"°","º"))-1)),""))))</f>
        <v/>
      </c>
      <c r="O5900" s="2">
        <f>IF(OR(F5900="",G5900=""),"",IF(G5900&lt;='RETRATO 2027'!$K$5,"CONCLUÍDA",IF(F5900&lt;='RETRATO 2027'!$K$5,"EM ANDAMENTO","A INICIAR")))</f>
        <v/>
      </c>
    </row>
    <row r="5901">
      <c r="M5901" s="2">
        <f>IF(C5901="","",IFERROR(INDEX($S$5:$S$304,MATCH(C5901,$R$5:$R$304,0))&amp;"","?"))</f>
        <v/>
      </c>
      <c r="N5901" s="2">
        <f>IF(E5901="","",IF(ISNUMBER(SEARCH("SUBSOLO",E5901)),IFERROR(-VALUE(LEFT(E5901,FIND("º",SUBSTITUTE(E5901,"°","º"))-1)),-1),IF(LEFT(E5901,6)="TÉRREO",0,IFERROR(VALUE(LEFT(E5901,FIND("º",SUBSTITUTE(E5901,"°","º"))-1)),""))))</f>
        <v/>
      </c>
      <c r="O5901" s="2">
        <f>IF(OR(F5901="",G5901=""),"",IF(G5901&lt;='RETRATO 2027'!$K$5,"CONCLUÍDA",IF(F5901&lt;='RETRATO 2027'!$K$5,"EM ANDAMENTO","A INICIAR")))</f>
        <v/>
      </c>
    </row>
    <row r="5902">
      <c r="M5902" s="2">
        <f>IF(C5902="","",IFERROR(INDEX($S$5:$S$304,MATCH(C5902,$R$5:$R$304,0))&amp;"","?"))</f>
        <v/>
      </c>
      <c r="N5902" s="2">
        <f>IF(E5902="","",IF(ISNUMBER(SEARCH("SUBSOLO",E5902)),IFERROR(-VALUE(LEFT(E5902,FIND("º",SUBSTITUTE(E5902,"°","º"))-1)),-1),IF(LEFT(E5902,6)="TÉRREO",0,IFERROR(VALUE(LEFT(E5902,FIND("º",SUBSTITUTE(E5902,"°","º"))-1)),""))))</f>
        <v/>
      </c>
      <c r="O5902" s="2">
        <f>IF(OR(F5902="",G5902=""),"",IF(G5902&lt;='RETRATO 2027'!$K$5,"CONCLUÍDA",IF(F5902&lt;='RETRATO 2027'!$K$5,"EM ANDAMENTO","A INICIAR")))</f>
        <v/>
      </c>
    </row>
    <row r="5903">
      <c r="M5903" s="2">
        <f>IF(C5903="","",IFERROR(INDEX($S$5:$S$304,MATCH(C5903,$R$5:$R$304,0))&amp;"","?"))</f>
        <v/>
      </c>
      <c r="N5903" s="2">
        <f>IF(E5903="","",IF(ISNUMBER(SEARCH("SUBSOLO",E5903)),IFERROR(-VALUE(LEFT(E5903,FIND("º",SUBSTITUTE(E5903,"°","º"))-1)),-1),IF(LEFT(E5903,6)="TÉRREO",0,IFERROR(VALUE(LEFT(E5903,FIND("º",SUBSTITUTE(E5903,"°","º"))-1)),""))))</f>
        <v/>
      </c>
      <c r="O5903" s="2">
        <f>IF(OR(F5903="",G5903=""),"",IF(G5903&lt;='RETRATO 2027'!$K$5,"CONCLUÍDA",IF(F5903&lt;='RETRATO 2027'!$K$5,"EM ANDAMENTO","A INICIAR")))</f>
        <v/>
      </c>
    </row>
    <row r="5904">
      <c r="M5904" s="2">
        <f>IF(C5904="","",IFERROR(INDEX($S$5:$S$304,MATCH(C5904,$R$5:$R$304,0))&amp;"","?"))</f>
        <v/>
      </c>
      <c r="N5904" s="2">
        <f>IF(E5904="","",IF(ISNUMBER(SEARCH("SUBSOLO",E5904)),IFERROR(-VALUE(LEFT(E5904,FIND("º",SUBSTITUTE(E5904,"°","º"))-1)),-1),IF(LEFT(E5904,6)="TÉRREO",0,IFERROR(VALUE(LEFT(E5904,FIND("º",SUBSTITUTE(E5904,"°","º"))-1)),""))))</f>
        <v/>
      </c>
      <c r="O5904" s="2">
        <f>IF(OR(F5904="",G5904=""),"",IF(G5904&lt;='RETRATO 2027'!$K$5,"CONCLUÍDA",IF(F5904&lt;='RETRATO 2027'!$K$5,"EM ANDAMENTO","A INICIAR")))</f>
        <v/>
      </c>
    </row>
    <row r="5905">
      <c r="M5905" s="2">
        <f>IF(C5905="","",IFERROR(INDEX($S$5:$S$304,MATCH(C5905,$R$5:$R$304,0))&amp;"","?"))</f>
        <v/>
      </c>
      <c r="N5905" s="2">
        <f>IF(E5905="","",IF(ISNUMBER(SEARCH("SUBSOLO",E5905)),IFERROR(-VALUE(LEFT(E5905,FIND("º",SUBSTITUTE(E5905,"°","º"))-1)),-1),IF(LEFT(E5905,6)="TÉRREO",0,IFERROR(VALUE(LEFT(E5905,FIND("º",SUBSTITUTE(E5905,"°","º"))-1)),""))))</f>
        <v/>
      </c>
      <c r="O5905" s="2">
        <f>IF(OR(F5905="",G5905=""),"",IF(G5905&lt;='RETRATO 2027'!$K$5,"CONCLUÍDA",IF(F5905&lt;='RETRATO 2027'!$K$5,"EM ANDAMENTO","A INICIAR")))</f>
        <v/>
      </c>
    </row>
    <row r="5906">
      <c r="M5906" s="2">
        <f>IF(C5906="","",IFERROR(INDEX($S$5:$S$304,MATCH(C5906,$R$5:$R$304,0))&amp;"","?"))</f>
        <v/>
      </c>
      <c r="N5906" s="2">
        <f>IF(E5906="","",IF(ISNUMBER(SEARCH("SUBSOLO",E5906)),IFERROR(-VALUE(LEFT(E5906,FIND("º",SUBSTITUTE(E5906,"°","º"))-1)),-1),IF(LEFT(E5906,6)="TÉRREO",0,IFERROR(VALUE(LEFT(E5906,FIND("º",SUBSTITUTE(E5906,"°","º"))-1)),""))))</f>
        <v/>
      </c>
      <c r="O5906" s="2">
        <f>IF(OR(F5906="",G5906=""),"",IF(G5906&lt;='RETRATO 2027'!$K$5,"CONCLUÍDA",IF(F5906&lt;='RETRATO 2027'!$K$5,"EM ANDAMENTO","A INICIAR")))</f>
        <v/>
      </c>
    </row>
    <row r="5907">
      <c r="M5907" s="2">
        <f>IF(C5907="","",IFERROR(INDEX($S$5:$S$304,MATCH(C5907,$R$5:$R$304,0))&amp;"","?"))</f>
        <v/>
      </c>
      <c r="N5907" s="2">
        <f>IF(E5907="","",IF(ISNUMBER(SEARCH("SUBSOLO",E5907)),IFERROR(-VALUE(LEFT(E5907,FIND("º",SUBSTITUTE(E5907,"°","º"))-1)),-1),IF(LEFT(E5907,6)="TÉRREO",0,IFERROR(VALUE(LEFT(E5907,FIND("º",SUBSTITUTE(E5907,"°","º"))-1)),""))))</f>
        <v/>
      </c>
      <c r="O5907" s="2">
        <f>IF(OR(F5907="",G5907=""),"",IF(G5907&lt;='RETRATO 2027'!$K$5,"CONCLUÍDA",IF(F5907&lt;='RETRATO 2027'!$K$5,"EM ANDAMENTO","A INICIAR")))</f>
        <v/>
      </c>
    </row>
    <row r="5908">
      <c r="M5908" s="2">
        <f>IF(C5908="","",IFERROR(INDEX($S$5:$S$304,MATCH(C5908,$R$5:$R$304,0))&amp;"","?"))</f>
        <v/>
      </c>
      <c r="N5908" s="2">
        <f>IF(E5908="","",IF(ISNUMBER(SEARCH("SUBSOLO",E5908)),IFERROR(-VALUE(LEFT(E5908,FIND("º",SUBSTITUTE(E5908,"°","º"))-1)),-1),IF(LEFT(E5908,6)="TÉRREO",0,IFERROR(VALUE(LEFT(E5908,FIND("º",SUBSTITUTE(E5908,"°","º"))-1)),""))))</f>
        <v/>
      </c>
      <c r="O5908" s="2">
        <f>IF(OR(F5908="",G5908=""),"",IF(G5908&lt;='RETRATO 2027'!$K$5,"CONCLUÍDA",IF(F5908&lt;='RETRATO 2027'!$K$5,"EM ANDAMENTO","A INICIAR")))</f>
        <v/>
      </c>
    </row>
    <row r="5909">
      <c r="M5909" s="2">
        <f>IF(C5909="","",IFERROR(INDEX($S$5:$S$304,MATCH(C5909,$R$5:$R$304,0))&amp;"","?"))</f>
        <v/>
      </c>
      <c r="N5909" s="2">
        <f>IF(E5909="","",IF(ISNUMBER(SEARCH("SUBSOLO",E5909)),IFERROR(-VALUE(LEFT(E5909,FIND("º",SUBSTITUTE(E5909,"°","º"))-1)),-1),IF(LEFT(E5909,6)="TÉRREO",0,IFERROR(VALUE(LEFT(E5909,FIND("º",SUBSTITUTE(E5909,"°","º"))-1)),""))))</f>
        <v/>
      </c>
      <c r="O5909" s="2">
        <f>IF(OR(F5909="",G5909=""),"",IF(G5909&lt;='RETRATO 2027'!$K$5,"CONCLUÍDA",IF(F5909&lt;='RETRATO 2027'!$K$5,"EM ANDAMENTO","A INICIAR")))</f>
        <v/>
      </c>
    </row>
    <row r="5910">
      <c r="M5910" s="2">
        <f>IF(C5910="","",IFERROR(INDEX($S$5:$S$304,MATCH(C5910,$R$5:$R$304,0))&amp;"","?"))</f>
        <v/>
      </c>
      <c r="N5910" s="2">
        <f>IF(E5910="","",IF(ISNUMBER(SEARCH("SUBSOLO",E5910)),IFERROR(-VALUE(LEFT(E5910,FIND("º",SUBSTITUTE(E5910,"°","º"))-1)),-1),IF(LEFT(E5910,6)="TÉRREO",0,IFERROR(VALUE(LEFT(E5910,FIND("º",SUBSTITUTE(E5910,"°","º"))-1)),""))))</f>
        <v/>
      </c>
      <c r="O5910" s="2">
        <f>IF(OR(F5910="",G5910=""),"",IF(G5910&lt;='RETRATO 2027'!$K$5,"CONCLUÍDA",IF(F5910&lt;='RETRATO 2027'!$K$5,"EM ANDAMENTO","A INICIAR")))</f>
        <v/>
      </c>
    </row>
    <row r="5911">
      <c r="M5911" s="2">
        <f>IF(C5911="","",IFERROR(INDEX($S$5:$S$304,MATCH(C5911,$R$5:$R$304,0))&amp;"","?"))</f>
        <v/>
      </c>
      <c r="N5911" s="2">
        <f>IF(E5911="","",IF(ISNUMBER(SEARCH("SUBSOLO",E5911)),IFERROR(-VALUE(LEFT(E5911,FIND("º",SUBSTITUTE(E5911,"°","º"))-1)),-1),IF(LEFT(E5911,6)="TÉRREO",0,IFERROR(VALUE(LEFT(E5911,FIND("º",SUBSTITUTE(E5911,"°","º"))-1)),""))))</f>
        <v/>
      </c>
      <c r="O5911" s="2">
        <f>IF(OR(F5911="",G5911=""),"",IF(G5911&lt;='RETRATO 2027'!$K$5,"CONCLUÍDA",IF(F5911&lt;='RETRATO 2027'!$K$5,"EM ANDAMENTO","A INICIAR")))</f>
        <v/>
      </c>
    </row>
    <row r="5912">
      <c r="M5912" s="2">
        <f>IF(C5912="","",IFERROR(INDEX($S$5:$S$304,MATCH(C5912,$R$5:$R$304,0))&amp;"","?"))</f>
        <v/>
      </c>
      <c r="N5912" s="2">
        <f>IF(E5912="","",IF(ISNUMBER(SEARCH("SUBSOLO",E5912)),IFERROR(-VALUE(LEFT(E5912,FIND("º",SUBSTITUTE(E5912,"°","º"))-1)),-1),IF(LEFT(E5912,6)="TÉRREO",0,IFERROR(VALUE(LEFT(E5912,FIND("º",SUBSTITUTE(E5912,"°","º"))-1)),""))))</f>
        <v/>
      </c>
      <c r="O5912" s="2">
        <f>IF(OR(F5912="",G5912=""),"",IF(G5912&lt;='RETRATO 2027'!$K$5,"CONCLUÍDA",IF(F5912&lt;='RETRATO 2027'!$K$5,"EM ANDAMENTO","A INICIAR")))</f>
        <v/>
      </c>
    </row>
    <row r="5913">
      <c r="M5913" s="2">
        <f>IF(C5913="","",IFERROR(INDEX($S$5:$S$304,MATCH(C5913,$R$5:$R$304,0))&amp;"","?"))</f>
        <v/>
      </c>
      <c r="N5913" s="2">
        <f>IF(E5913="","",IF(ISNUMBER(SEARCH("SUBSOLO",E5913)),IFERROR(-VALUE(LEFT(E5913,FIND("º",SUBSTITUTE(E5913,"°","º"))-1)),-1),IF(LEFT(E5913,6)="TÉRREO",0,IFERROR(VALUE(LEFT(E5913,FIND("º",SUBSTITUTE(E5913,"°","º"))-1)),""))))</f>
        <v/>
      </c>
      <c r="O5913" s="2">
        <f>IF(OR(F5913="",G5913=""),"",IF(G5913&lt;='RETRATO 2027'!$K$5,"CONCLUÍDA",IF(F5913&lt;='RETRATO 2027'!$K$5,"EM ANDAMENTO","A INICIAR")))</f>
        <v/>
      </c>
    </row>
    <row r="5914">
      <c r="M5914" s="2">
        <f>IF(C5914="","",IFERROR(INDEX($S$5:$S$304,MATCH(C5914,$R$5:$R$304,0))&amp;"","?"))</f>
        <v/>
      </c>
      <c r="N5914" s="2">
        <f>IF(E5914="","",IF(ISNUMBER(SEARCH("SUBSOLO",E5914)),IFERROR(-VALUE(LEFT(E5914,FIND("º",SUBSTITUTE(E5914,"°","º"))-1)),-1),IF(LEFT(E5914,6)="TÉRREO",0,IFERROR(VALUE(LEFT(E5914,FIND("º",SUBSTITUTE(E5914,"°","º"))-1)),""))))</f>
        <v/>
      </c>
      <c r="O5914" s="2">
        <f>IF(OR(F5914="",G5914=""),"",IF(G5914&lt;='RETRATO 2027'!$K$5,"CONCLUÍDA",IF(F5914&lt;='RETRATO 2027'!$K$5,"EM ANDAMENTO","A INICIAR")))</f>
        <v/>
      </c>
    </row>
    <row r="5915">
      <c r="M5915" s="2">
        <f>IF(C5915="","",IFERROR(INDEX($S$5:$S$304,MATCH(C5915,$R$5:$R$304,0))&amp;"","?"))</f>
        <v/>
      </c>
      <c r="N5915" s="2">
        <f>IF(E5915="","",IF(ISNUMBER(SEARCH("SUBSOLO",E5915)),IFERROR(-VALUE(LEFT(E5915,FIND("º",SUBSTITUTE(E5915,"°","º"))-1)),-1),IF(LEFT(E5915,6)="TÉRREO",0,IFERROR(VALUE(LEFT(E5915,FIND("º",SUBSTITUTE(E5915,"°","º"))-1)),""))))</f>
        <v/>
      </c>
      <c r="O5915" s="2">
        <f>IF(OR(F5915="",G5915=""),"",IF(G5915&lt;='RETRATO 2027'!$K$5,"CONCLUÍDA",IF(F5915&lt;='RETRATO 2027'!$K$5,"EM ANDAMENTO","A INICIAR")))</f>
        <v/>
      </c>
    </row>
    <row r="5916">
      <c r="M5916" s="2">
        <f>IF(C5916="","",IFERROR(INDEX($S$5:$S$304,MATCH(C5916,$R$5:$R$304,0))&amp;"","?"))</f>
        <v/>
      </c>
      <c r="N5916" s="2">
        <f>IF(E5916="","",IF(ISNUMBER(SEARCH("SUBSOLO",E5916)),IFERROR(-VALUE(LEFT(E5916,FIND("º",SUBSTITUTE(E5916,"°","º"))-1)),-1),IF(LEFT(E5916,6)="TÉRREO",0,IFERROR(VALUE(LEFT(E5916,FIND("º",SUBSTITUTE(E5916,"°","º"))-1)),""))))</f>
        <v/>
      </c>
      <c r="O5916" s="2">
        <f>IF(OR(F5916="",G5916=""),"",IF(G5916&lt;='RETRATO 2027'!$K$5,"CONCLUÍDA",IF(F5916&lt;='RETRATO 2027'!$K$5,"EM ANDAMENTO","A INICIAR")))</f>
        <v/>
      </c>
    </row>
    <row r="5917">
      <c r="M5917" s="2">
        <f>IF(C5917="","",IFERROR(INDEX($S$5:$S$304,MATCH(C5917,$R$5:$R$304,0))&amp;"","?"))</f>
        <v/>
      </c>
      <c r="N5917" s="2">
        <f>IF(E5917="","",IF(ISNUMBER(SEARCH("SUBSOLO",E5917)),IFERROR(-VALUE(LEFT(E5917,FIND("º",SUBSTITUTE(E5917,"°","º"))-1)),-1),IF(LEFT(E5917,6)="TÉRREO",0,IFERROR(VALUE(LEFT(E5917,FIND("º",SUBSTITUTE(E5917,"°","º"))-1)),""))))</f>
        <v/>
      </c>
      <c r="O5917" s="2">
        <f>IF(OR(F5917="",G5917=""),"",IF(G5917&lt;='RETRATO 2027'!$K$5,"CONCLUÍDA",IF(F5917&lt;='RETRATO 2027'!$K$5,"EM ANDAMENTO","A INICIAR")))</f>
        <v/>
      </c>
    </row>
    <row r="5918">
      <c r="M5918" s="2">
        <f>IF(C5918="","",IFERROR(INDEX($S$5:$S$304,MATCH(C5918,$R$5:$R$304,0))&amp;"","?"))</f>
        <v/>
      </c>
      <c r="N5918" s="2">
        <f>IF(E5918="","",IF(ISNUMBER(SEARCH("SUBSOLO",E5918)),IFERROR(-VALUE(LEFT(E5918,FIND("º",SUBSTITUTE(E5918,"°","º"))-1)),-1),IF(LEFT(E5918,6)="TÉRREO",0,IFERROR(VALUE(LEFT(E5918,FIND("º",SUBSTITUTE(E5918,"°","º"))-1)),""))))</f>
        <v/>
      </c>
      <c r="O5918" s="2">
        <f>IF(OR(F5918="",G5918=""),"",IF(G5918&lt;='RETRATO 2027'!$K$5,"CONCLUÍDA",IF(F5918&lt;='RETRATO 2027'!$K$5,"EM ANDAMENTO","A INICIAR")))</f>
        <v/>
      </c>
    </row>
    <row r="5919">
      <c r="M5919" s="2">
        <f>IF(C5919="","",IFERROR(INDEX($S$5:$S$304,MATCH(C5919,$R$5:$R$304,0))&amp;"","?"))</f>
        <v/>
      </c>
      <c r="N5919" s="2">
        <f>IF(E5919="","",IF(ISNUMBER(SEARCH("SUBSOLO",E5919)),IFERROR(-VALUE(LEFT(E5919,FIND("º",SUBSTITUTE(E5919,"°","º"))-1)),-1),IF(LEFT(E5919,6)="TÉRREO",0,IFERROR(VALUE(LEFT(E5919,FIND("º",SUBSTITUTE(E5919,"°","º"))-1)),""))))</f>
        <v/>
      </c>
      <c r="O5919" s="2">
        <f>IF(OR(F5919="",G5919=""),"",IF(G5919&lt;='RETRATO 2027'!$K$5,"CONCLUÍDA",IF(F5919&lt;='RETRATO 2027'!$K$5,"EM ANDAMENTO","A INICIAR")))</f>
        <v/>
      </c>
    </row>
    <row r="5920">
      <c r="M5920" s="2">
        <f>IF(C5920="","",IFERROR(INDEX($S$5:$S$304,MATCH(C5920,$R$5:$R$304,0))&amp;"","?"))</f>
        <v/>
      </c>
      <c r="N5920" s="2">
        <f>IF(E5920="","",IF(ISNUMBER(SEARCH("SUBSOLO",E5920)),IFERROR(-VALUE(LEFT(E5920,FIND("º",SUBSTITUTE(E5920,"°","º"))-1)),-1),IF(LEFT(E5920,6)="TÉRREO",0,IFERROR(VALUE(LEFT(E5920,FIND("º",SUBSTITUTE(E5920,"°","º"))-1)),""))))</f>
        <v/>
      </c>
      <c r="O5920" s="2">
        <f>IF(OR(F5920="",G5920=""),"",IF(G5920&lt;='RETRATO 2027'!$K$5,"CONCLUÍDA",IF(F5920&lt;='RETRATO 2027'!$K$5,"EM ANDAMENTO","A INICIAR")))</f>
        <v/>
      </c>
    </row>
    <row r="5921">
      <c r="M5921" s="2">
        <f>IF(C5921="","",IFERROR(INDEX($S$5:$S$304,MATCH(C5921,$R$5:$R$304,0))&amp;"","?"))</f>
        <v/>
      </c>
      <c r="N5921" s="2">
        <f>IF(E5921="","",IF(ISNUMBER(SEARCH("SUBSOLO",E5921)),IFERROR(-VALUE(LEFT(E5921,FIND("º",SUBSTITUTE(E5921,"°","º"))-1)),-1),IF(LEFT(E5921,6)="TÉRREO",0,IFERROR(VALUE(LEFT(E5921,FIND("º",SUBSTITUTE(E5921,"°","º"))-1)),""))))</f>
        <v/>
      </c>
      <c r="O5921" s="2">
        <f>IF(OR(F5921="",G5921=""),"",IF(G5921&lt;='RETRATO 2027'!$K$5,"CONCLUÍDA",IF(F5921&lt;='RETRATO 2027'!$K$5,"EM ANDAMENTO","A INICIAR")))</f>
        <v/>
      </c>
    </row>
    <row r="5922">
      <c r="M5922" s="2">
        <f>IF(C5922="","",IFERROR(INDEX($S$5:$S$304,MATCH(C5922,$R$5:$R$304,0))&amp;"","?"))</f>
        <v/>
      </c>
      <c r="N5922" s="2">
        <f>IF(E5922="","",IF(ISNUMBER(SEARCH("SUBSOLO",E5922)),IFERROR(-VALUE(LEFT(E5922,FIND("º",SUBSTITUTE(E5922,"°","º"))-1)),-1),IF(LEFT(E5922,6)="TÉRREO",0,IFERROR(VALUE(LEFT(E5922,FIND("º",SUBSTITUTE(E5922,"°","º"))-1)),""))))</f>
        <v/>
      </c>
      <c r="O5922" s="2">
        <f>IF(OR(F5922="",G5922=""),"",IF(G5922&lt;='RETRATO 2027'!$K$5,"CONCLUÍDA",IF(F5922&lt;='RETRATO 2027'!$K$5,"EM ANDAMENTO","A INICIAR")))</f>
        <v/>
      </c>
    </row>
    <row r="5923">
      <c r="M5923" s="2">
        <f>IF(C5923="","",IFERROR(INDEX($S$5:$S$304,MATCH(C5923,$R$5:$R$304,0))&amp;"","?"))</f>
        <v/>
      </c>
      <c r="N5923" s="2">
        <f>IF(E5923="","",IF(ISNUMBER(SEARCH("SUBSOLO",E5923)),IFERROR(-VALUE(LEFT(E5923,FIND("º",SUBSTITUTE(E5923,"°","º"))-1)),-1),IF(LEFT(E5923,6)="TÉRREO",0,IFERROR(VALUE(LEFT(E5923,FIND("º",SUBSTITUTE(E5923,"°","º"))-1)),""))))</f>
        <v/>
      </c>
      <c r="O5923" s="2">
        <f>IF(OR(F5923="",G5923=""),"",IF(G5923&lt;='RETRATO 2027'!$K$5,"CONCLUÍDA",IF(F5923&lt;='RETRATO 2027'!$K$5,"EM ANDAMENTO","A INICIAR")))</f>
        <v/>
      </c>
    </row>
    <row r="5924">
      <c r="M5924" s="2">
        <f>IF(C5924="","",IFERROR(INDEX($S$5:$S$304,MATCH(C5924,$R$5:$R$304,0))&amp;"","?"))</f>
        <v/>
      </c>
      <c r="N5924" s="2">
        <f>IF(E5924="","",IF(ISNUMBER(SEARCH("SUBSOLO",E5924)),IFERROR(-VALUE(LEFT(E5924,FIND("º",SUBSTITUTE(E5924,"°","º"))-1)),-1),IF(LEFT(E5924,6)="TÉRREO",0,IFERROR(VALUE(LEFT(E5924,FIND("º",SUBSTITUTE(E5924,"°","º"))-1)),""))))</f>
        <v/>
      </c>
      <c r="O5924" s="2">
        <f>IF(OR(F5924="",G5924=""),"",IF(G5924&lt;='RETRATO 2027'!$K$5,"CONCLUÍDA",IF(F5924&lt;='RETRATO 2027'!$K$5,"EM ANDAMENTO","A INICIAR")))</f>
        <v/>
      </c>
    </row>
    <row r="5925">
      <c r="M5925" s="2">
        <f>IF(C5925="","",IFERROR(INDEX($S$5:$S$304,MATCH(C5925,$R$5:$R$304,0))&amp;"","?"))</f>
        <v/>
      </c>
      <c r="N5925" s="2">
        <f>IF(E5925="","",IF(ISNUMBER(SEARCH("SUBSOLO",E5925)),IFERROR(-VALUE(LEFT(E5925,FIND("º",SUBSTITUTE(E5925,"°","º"))-1)),-1),IF(LEFT(E5925,6)="TÉRREO",0,IFERROR(VALUE(LEFT(E5925,FIND("º",SUBSTITUTE(E5925,"°","º"))-1)),""))))</f>
        <v/>
      </c>
      <c r="O5925" s="2">
        <f>IF(OR(F5925="",G5925=""),"",IF(G5925&lt;='RETRATO 2027'!$K$5,"CONCLUÍDA",IF(F5925&lt;='RETRATO 2027'!$K$5,"EM ANDAMENTO","A INICIAR")))</f>
        <v/>
      </c>
    </row>
    <row r="5926">
      <c r="M5926" s="2">
        <f>IF(C5926="","",IFERROR(INDEX($S$5:$S$304,MATCH(C5926,$R$5:$R$304,0))&amp;"","?"))</f>
        <v/>
      </c>
      <c r="N5926" s="2">
        <f>IF(E5926="","",IF(ISNUMBER(SEARCH("SUBSOLO",E5926)),IFERROR(-VALUE(LEFT(E5926,FIND("º",SUBSTITUTE(E5926,"°","º"))-1)),-1),IF(LEFT(E5926,6)="TÉRREO",0,IFERROR(VALUE(LEFT(E5926,FIND("º",SUBSTITUTE(E5926,"°","º"))-1)),""))))</f>
        <v/>
      </c>
      <c r="O5926" s="2">
        <f>IF(OR(F5926="",G5926=""),"",IF(G5926&lt;='RETRATO 2027'!$K$5,"CONCLUÍDA",IF(F5926&lt;='RETRATO 2027'!$K$5,"EM ANDAMENTO","A INICIAR")))</f>
        <v/>
      </c>
    </row>
    <row r="5927">
      <c r="M5927" s="2">
        <f>IF(C5927="","",IFERROR(INDEX($S$5:$S$304,MATCH(C5927,$R$5:$R$304,0))&amp;"","?"))</f>
        <v/>
      </c>
      <c r="N5927" s="2">
        <f>IF(E5927="","",IF(ISNUMBER(SEARCH("SUBSOLO",E5927)),IFERROR(-VALUE(LEFT(E5927,FIND("º",SUBSTITUTE(E5927,"°","º"))-1)),-1),IF(LEFT(E5927,6)="TÉRREO",0,IFERROR(VALUE(LEFT(E5927,FIND("º",SUBSTITUTE(E5927,"°","º"))-1)),""))))</f>
        <v/>
      </c>
      <c r="O5927" s="2">
        <f>IF(OR(F5927="",G5927=""),"",IF(G5927&lt;='RETRATO 2027'!$K$5,"CONCLUÍDA",IF(F5927&lt;='RETRATO 2027'!$K$5,"EM ANDAMENTO","A INICIAR")))</f>
        <v/>
      </c>
    </row>
    <row r="5928">
      <c r="M5928" s="2">
        <f>IF(C5928="","",IFERROR(INDEX($S$5:$S$304,MATCH(C5928,$R$5:$R$304,0))&amp;"","?"))</f>
        <v/>
      </c>
      <c r="N5928" s="2">
        <f>IF(E5928="","",IF(ISNUMBER(SEARCH("SUBSOLO",E5928)),IFERROR(-VALUE(LEFT(E5928,FIND("º",SUBSTITUTE(E5928,"°","º"))-1)),-1),IF(LEFT(E5928,6)="TÉRREO",0,IFERROR(VALUE(LEFT(E5928,FIND("º",SUBSTITUTE(E5928,"°","º"))-1)),""))))</f>
        <v/>
      </c>
      <c r="O5928" s="2">
        <f>IF(OR(F5928="",G5928=""),"",IF(G5928&lt;='RETRATO 2027'!$K$5,"CONCLUÍDA",IF(F5928&lt;='RETRATO 2027'!$K$5,"EM ANDAMENTO","A INICIAR")))</f>
        <v/>
      </c>
    </row>
    <row r="5929">
      <c r="M5929" s="2">
        <f>IF(C5929="","",IFERROR(INDEX($S$5:$S$304,MATCH(C5929,$R$5:$R$304,0))&amp;"","?"))</f>
        <v/>
      </c>
      <c r="N5929" s="2">
        <f>IF(E5929="","",IF(ISNUMBER(SEARCH("SUBSOLO",E5929)),IFERROR(-VALUE(LEFT(E5929,FIND("º",SUBSTITUTE(E5929,"°","º"))-1)),-1),IF(LEFT(E5929,6)="TÉRREO",0,IFERROR(VALUE(LEFT(E5929,FIND("º",SUBSTITUTE(E5929,"°","º"))-1)),""))))</f>
        <v/>
      </c>
      <c r="O5929" s="2">
        <f>IF(OR(F5929="",G5929=""),"",IF(G5929&lt;='RETRATO 2027'!$K$5,"CONCLUÍDA",IF(F5929&lt;='RETRATO 2027'!$K$5,"EM ANDAMENTO","A INICIAR")))</f>
        <v/>
      </c>
    </row>
    <row r="5930">
      <c r="M5930" s="2">
        <f>IF(C5930="","",IFERROR(INDEX($S$5:$S$304,MATCH(C5930,$R$5:$R$304,0))&amp;"","?"))</f>
        <v/>
      </c>
      <c r="N5930" s="2">
        <f>IF(E5930="","",IF(ISNUMBER(SEARCH("SUBSOLO",E5930)),IFERROR(-VALUE(LEFT(E5930,FIND("º",SUBSTITUTE(E5930,"°","º"))-1)),-1),IF(LEFT(E5930,6)="TÉRREO",0,IFERROR(VALUE(LEFT(E5930,FIND("º",SUBSTITUTE(E5930,"°","º"))-1)),""))))</f>
        <v/>
      </c>
      <c r="O5930" s="2">
        <f>IF(OR(F5930="",G5930=""),"",IF(G5930&lt;='RETRATO 2027'!$K$5,"CONCLUÍDA",IF(F5930&lt;='RETRATO 2027'!$K$5,"EM ANDAMENTO","A INICIAR")))</f>
        <v/>
      </c>
    </row>
    <row r="5931">
      <c r="M5931" s="2">
        <f>IF(C5931="","",IFERROR(INDEX($S$5:$S$304,MATCH(C5931,$R$5:$R$304,0))&amp;"","?"))</f>
        <v/>
      </c>
      <c r="N5931" s="2">
        <f>IF(E5931="","",IF(ISNUMBER(SEARCH("SUBSOLO",E5931)),IFERROR(-VALUE(LEFT(E5931,FIND("º",SUBSTITUTE(E5931,"°","º"))-1)),-1),IF(LEFT(E5931,6)="TÉRREO",0,IFERROR(VALUE(LEFT(E5931,FIND("º",SUBSTITUTE(E5931,"°","º"))-1)),""))))</f>
        <v/>
      </c>
      <c r="O5931" s="2">
        <f>IF(OR(F5931="",G5931=""),"",IF(G5931&lt;='RETRATO 2027'!$K$5,"CONCLUÍDA",IF(F5931&lt;='RETRATO 2027'!$K$5,"EM ANDAMENTO","A INICIAR")))</f>
        <v/>
      </c>
    </row>
    <row r="5932">
      <c r="M5932" s="2">
        <f>IF(C5932="","",IFERROR(INDEX($S$5:$S$304,MATCH(C5932,$R$5:$R$304,0))&amp;"","?"))</f>
        <v/>
      </c>
      <c r="N5932" s="2">
        <f>IF(E5932="","",IF(ISNUMBER(SEARCH("SUBSOLO",E5932)),IFERROR(-VALUE(LEFT(E5932,FIND("º",SUBSTITUTE(E5932,"°","º"))-1)),-1),IF(LEFT(E5932,6)="TÉRREO",0,IFERROR(VALUE(LEFT(E5932,FIND("º",SUBSTITUTE(E5932,"°","º"))-1)),""))))</f>
        <v/>
      </c>
      <c r="O5932" s="2">
        <f>IF(OR(F5932="",G5932=""),"",IF(G5932&lt;='RETRATO 2027'!$K$5,"CONCLUÍDA",IF(F5932&lt;='RETRATO 2027'!$K$5,"EM ANDAMENTO","A INICIAR")))</f>
        <v/>
      </c>
    </row>
    <row r="5933">
      <c r="M5933" s="2">
        <f>IF(C5933="","",IFERROR(INDEX($S$5:$S$304,MATCH(C5933,$R$5:$R$304,0))&amp;"","?"))</f>
        <v/>
      </c>
      <c r="N5933" s="2">
        <f>IF(E5933="","",IF(ISNUMBER(SEARCH("SUBSOLO",E5933)),IFERROR(-VALUE(LEFT(E5933,FIND("º",SUBSTITUTE(E5933,"°","º"))-1)),-1),IF(LEFT(E5933,6)="TÉRREO",0,IFERROR(VALUE(LEFT(E5933,FIND("º",SUBSTITUTE(E5933,"°","º"))-1)),""))))</f>
        <v/>
      </c>
      <c r="O5933" s="2">
        <f>IF(OR(F5933="",G5933=""),"",IF(G5933&lt;='RETRATO 2027'!$K$5,"CONCLUÍDA",IF(F5933&lt;='RETRATO 2027'!$K$5,"EM ANDAMENTO","A INICIAR")))</f>
        <v/>
      </c>
    </row>
    <row r="5934">
      <c r="M5934" s="2">
        <f>IF(C5934="","",IFERROR(INDEX($S$5:$S$304,MATCH(C5934,$R$5:$R$304,0))&amp;"","?"))</f>
        <v/>
      </c>
      <c r="N5934" s="2">
        <f>IF(E5934="","",IF(ISNUMBER(SEARCH("SUBSOLO",E5934)),IFERROR(-VALUE(LEFT(E5934,FIND("º",SUBSTITUTE(E5934,"°","º"))-1)),-1),IF(LEFT(E5934,6)="TÉRREO",0,IFERROR(VALUE(LEFT(E5934,FIND("º",SUBSTITUTE(E5934,"°","º"))-1)),""))))</f>
        <v/>
      </c>
      <c r="O5934" s="2">
        <f>IF(OR(F5934="",G5934=""),"",IF(G5934&lt;='RETRATO 2027'!$K$5,"CONCLUÍDA",IF(F5934&lt;='RETRATO 2027'!$K$5,"EM ANDAMENTO","A INICIAR")))</f>
        <v/>
      </c>
    </row>
    <row r="5935">
      <c r="M5935" s="2">
        <f>IF(C5935="","",IFERROR(INDEX($S$5:$S$304,MATCH(C5935,$R$5:$R$304,0))&amp;"","?"))</f>
        <v/>
      </c>
      <c r="N5935" s="2">
        <f>IF(E5935="","",IF(ISNUMBER(SEARCH("SUBSOLO",E5935)),IFERROR(-VALUE(LEFT(E5935,FIND("º",SUBSTITUTE(E5935,"°","º"))-1)),-1),IF(LEFT(E5935,6)="TÉRREO",0,IFERROR(VALUE(LEFT(E5935,FIND("º",SUBSTITUTE(E5935,"°","º"))-1)),""))))</f>
        <v/>
      </c>
      <c r="O5935" s="2">
        <f>IF(OR(F5935="",G5935=""),"",IF(G5935&lt;='RETRATO 2027'!$K$5,"CONCLUÍDA",IF(F5935&lt;='RETRATO 2027'!$K$5,"EM ANDAMENTO","A INICIAR")))</f>
        <v/>
      </c>
    </row>
    <row r="5936">
      <c r="M5936" s="2">
        <f>IF(C5936="","",IFERROR(INDEX($S$5:$S$304,MATCH(C5936,$R$5:$R$304,0))&amp;"","?"))</f>
        <v/>
      </c>
      <c r="N5936" s="2">
        <f>IF(E5936="","",IF(ISNUMBER(SEARCH("SUBSOLO",E5936)),IFERROR(-VALUE(LEFT(E5936,FIND("º",SUBSTITUTE(E5936,"°","º"))-1)),-1),IF(LEFT(E5936,6)="TÉRREO",0,IFERROR(VALUE(LEFT(E5936,FIND("º",SUBSTITUTE(E5936,"°","º"))-1)),""))))</f>
        <v/>
      </c>
      <c r="O5936" s="2">
        <f>IF(OR(F5936="",G5936=""),"",IF(G5936&lt;='RETRATO 2027'!$K$5,"CONCLUÍDA",IF(F5936&lt;='RETRATO 2027'!$K$5,"EM ANDAMENTO","A INICIAR")))</f>
        <v/>
      </c>
    </row>
    <row r="5937">
      <c r="M5937" s="2">
        <f>IF(C5937="","",IFERROR(INDEX($S$5:$S$304,MATCH(C5937,$R$5:$R$304,0))&amp;"","?"))</f>
        <v/>
      </c>
      <c r="N5937" s="2">
        <f>IF(E5937="","",IF(ISNUMBER(SEARCH("SUBSOLO",E5937)),IFERROR(-VALUE(LEFT(E5937,FIND("º",SUBSTITUTE(E5937,"°","º"))-1)),-1),IF(LEFT(E5937,6)="TÉRREO",0,IFERROR(VALUE(LEFT(E5937,FIND("º",SUBSTITUTE(E5937,"°","º"))-1)),""))))</f>
        <v/>
      </c>
      <c r="O5937" s="2">
        <f>IF(OR(F5937="",G5937=""),"",IF(G5937&lt;='RETRATO 2027'!$K$5,"CONCLUÍDA",IF(F5937&lt;='RETRATO 2027'!$K$5,"EM ANDAMENTO","A INICIAR")))</f>
        <v/>
      </c>
    </row>
    <row r="5938">
      <c r="M5938" s="2">
        <f>IF(C5938="","",IFERROR(INDEX($S$5:$S$304,MATCH(C5938,$R$5:$R$304,0))&amp;"","?"))</f>
        <v/>
      </c>
      <c r="N5938" s="2">
        <f>IF(E5938="","",IF(ISNUMBER(SEARCH("SUBSOLO",E5938)),IFERROR(-VALUE(LEFT(E5938,FIND("º",SUBSTITUTE(E5938,"°","º"))-1)),-1),IF(LEFT(E5938,6)="TÉRREO",0,IFERROR(VALUE(LEFT(E5938,FIND("º",SUBSTITUTE(E5938,"°","º"))-1)),""))))</f>
        <v/>
      </c>
      <c r="O5938" s="2">
        <f>IF(OR(F5938="",G5938=""),"",IF(G5938&lt;='RETRATO 2027'!$K$5,"CONCLUÍDA",IF(F5938&lt;='RETRATO 2027'!$K$5,"EM ANDAMENTO","A INICIAR")))</f>
        <v/>
      </c>
    </row>
    <row r="5939">
      <c r="M5939" s="2">
        <f>IF(C5939="","",IFERROR(INDEX($S$5:$S$304,MATCH(C5939,$R$5:$R$304,0))&amp;"","?"))</f>
        <v/>
      </c>
      <c r="N5939" s="2">
        <f>IF(E5939="","",IF(ISNUMBER(SEARCH("SUBSOLO",E5939)),IFERROR(-VALUE(LEFT(E5939,FIND("º",SUBSTITUTE(E5939,"°","º"))-1)),-1),IF(LEFT(E5939,6)="TÉRREO",0,IFERROR(VALUE(LEFT(E5939,FIND("º",SUBSTITUTE(E5939,"°","º"))-1)),""))))</f>
        <v/>
      </c>
      <c r="O5939" s="2">
        <f>IF(OR(F5939="",G5939=""),"",IF(G5939&lt;='RETRATO 2027'!$K$5,"CONCLUÍDA",IF(F5939&lt;='RETRATO 2027'!$K$5,"EM ANDAMENTO","A INICIAR")))</f>
        <v/>
      </c>
    </row>
    <row r="5940">
      <c r="M5940" s="2">
        <f>IF(C5940="","",IFERROR(INDEX($S$5:$S$304,MATCH(C5940,$R$5:$R$304,0))&amp;"","?"))</f>
        <v/>
      </c>
      <c r="N5940" s="2">
        <f>IF(E5940="","",IF(ISNUMBER(SEARCH("SUBSOLO",E5940)),IFERROR(-VALUE(LEFT(E5940,FIND("º",SUBSTITUTE(E5940,"°","º"))-1)),-1),IF(LEFT(E5940,6)="TÉRREO",0,IFERROR(VALUE(LEFT(E5940,FIND("º",SUBSTITUTE(E5940,"°","º"))-1)),""))))</f>
        <v/>
      </c>
      <c r="O5940" s="2">
        <f>IF(OR(F5940="",G5940=""),"",IF(G5940&lt;='RETRATO 2027'!$K$5,"CONCLUÍDA",IF(F5940&lt;='RETRATO 2027'!$K$5,"EM ANDAMENTO","A INICIAR")))</f>
        <v/>
      </c>
    </row>
    <row r="5941">
      <c r="M5941" s="2">
        <f>IF(C5941="","",IFERROR(INDEX($S$5:$S$304,MATCH(C5941,$R$5:$R$304,0))&amp;"","?"))</f>
        <v/>
      </c>
      <c r="N5941" s="2">
        <f>IF(E5941="","",IF(ISNUMBER(SEARCH("SUBSOLO",E5941)),IFERROR(-VALUE(LEFT(E5941,FIND("º",SUBSTITUTE(E5941,"°","º"))-1)),-1),IF(LEFT(E5941,6)="TÉRREO",0,IFERROR(VALUE(LEFT(E5941,FIND("º",SUBSTITUTE(E5941,"°","º"))-1)),""))))</f>
        <v/>
      </c>
      <c r="O5941" s="2">
        <f>IF(OR(F5941="",G5941=""),"",IF(G5941&lt;='RETRATO 2027'!$K$5,"CONCLUÍDA",IF(F5941&lt;='RETRATO 2027'!$K$5,"EM ANDAMENTO","A INICIAR")))</f>
        <v/>
      </c>
    </row>
    <row r="5942">
      <c r="M5942" s="2">
        <f>IF(C5942="","",IFERROR(INDEX($S$5:$S$304,MATCH(C5942,$R$5:$R$304,0))&amp;"","?"))</f>
        <v/>
      </c>
      <c r="N5942" s="2">
        <f>IF(E5942="","",IF(ISNUMBER(SEARCH("SUBSOLO",E5942)),IFERROR(-VALUE(LEFT(E5942,FIND("º",SUBSTITUTE(E5942,"°","º"))-1)),-1),IF(LEFT(E5942,6)="TÉRREO",0,IFERROR(VALUE(LEFT(E5942,FIND("º",SUBSTITUTE(E5942,"°","º"))-1)),""))))</f>
        <v/>
      </c>
      <c r="O5942" s="2">
        <f>IF(OR(F5942="",G5942=""),"",IF(G5942&lt;='RETRATO 2027'!$K$5,"CONCLUÍDA",IF(F5942&lt;='RETRATO 2027'!$K$5,"EM ANDAMENTO","A INICIAR")))</f>
        <v/>
      </c>
    </row>
    <row r="5943">
      <c r="M5943" s="2">
        <f>IF(C5943="","",IFERROR(INDEX($S$5:$S$304,MATCH(C5943,$R$5:$R$304,0))&amp;"","?"))</f>
        <v/>
      </c>
      <c r="N5943" s="2">
        <f>IF(E5943="","",IF(ISNUMBER(SEARCH("SUBSOLO",E5943)),IFERROR(-VALUE(LEFT(E5943,FIND("º",SUBSTITUTE(E5943,"°","º"))-1)),-1),IF(LEFT(E5943,6)="TÉRREO",0,IFERROR(VALUE(LEFT(E5943,FIND("º",SUBSTITUTE(E5943,"°","º"))-1)),""))))</f>
        <v/>
      </c>
      <c r="O5943" s="2">
        <f>IF(OR(F5943="",G5943=""),"",IF(G5943&lt;='RETRATO 2027'!$K$5,"CONCLUÍDA",IF(F5943&lt;='RETRATO 2027'!$K$5,"EM ANDAMENTO","A INICIAR")))</f>
        <v/>
      </c>
    </row>
    <row r="5944">
      <c r="M5944" s="2">
        <f>IF(C5944="","",IFERROR(INDEX($S$5:$S$304,MATCH(C5944,$R$5:$R$304,0))&amp;"","?"))</f>
        <v/>
      </c>
      <c r="N5944" s="2">
        <f>IF(E5944="","",IF(ISNUMBER(SEARCH("SUBSOLO",E5944)),IFERROR(-VALUE(LEFT(E5944,FIND("º",SUBSTITUTE(E5944,"°","º"))-1)),-1),IF(LEFT(E5944,6)="TÉRREO",0,IFERROR(VALUE(LEFT(E5944,FIND("º",SUBSTITUTE(E5944,"°","º"))-1)),""))))</f>
        <v/>
      </c>
      <c r="O5944" s="2">
        <f>IF(OR(F5944="",G5944=""),"",IF(G5944&lt;='RETRATO 2027'!$K$5,"CONCLUÍDA",IF(F5944&lt;='RETRATO 2027'!$K$5,"EM ANDAMENTO","A INICIAR")))</f>
        <v/>
      </c>
    </row>
    <row r="5945">
      <c r="M5945" s="2">
        <f>IF(C5945="","",IFERROR(INDEX($S$5:$S$304,MATCH(C5945,$R$5:$R$304,0))&amp;"","?"))</f>
        <v/>
      </c>
      <c r="N5945" s="2">
        <f>IF(E5945="","",IF(ISNUMBER(SEARCH("SUBSOLO",E5945)),IFERROR(-VALUE(LEFT(E5945,FIND("º",SUBSTITUTE(E5945,"°","º"))-1)),-1),IF(LEFT(E5945,6)="TÉRREO",0,IFERROR(VALUE(LEFT(E5945,FIND("º",SUBSTITUTE(E5945,"°","º"))-1)),""))))</f>
        <v/>
      </c>
      <c r="O5945" s="2">
        <f>IF(OR(F5945="",G5945=""),"",IF(G5945&lt;='RETRATO 2027'!$K$5,"CONCLUÍDA",IF(F5945&lt;='RETRATO 2027'!$K$5,"EM ANDAMENTO","A INICIAR")))</f>
        <v/>
      </c>
    </row>
    <row r="5946">
      <c r="M5946" s="2">
        <f>IF(C5946="","",IFERROR(INDEX($S$5:$S$304,MATCH(C5946,$R$5:$R$304,0))&amp;"","?"))</f>
        <v/>
      </c>
      <c r="N5946" s="2">
        <f>IF(E5946="","",IF(ISNUMBER(SEARCH("SUBSOLO",E5946)),IFERROR(-VALUE(LEFT(E5946,FIND("º",SUBSTITUTE(E5946,"°","º"))-1)),-1),IF(LEFT(E5946,6)="TÉRREO",0,IFERROR(VALUE(LEFT(E5946,FIND("º",SUBSTITUTE(E5946,"°","º"))-1)),""))))</f>
        <v/>
      </c>
      <c r="O5946" s="2">
        <f>IF(OR(F5946="",G5946=""),"",IF(G5946&lt;='RETRATO 2027'!$K$5,"CONCLUÍDA",IF(F5946&lt;='RETRATO 2027'!$K$5,"EM ANDAMENTO","A INICIAR")))</f>
        <v/>
      </c>
    </row>
    <row r="5947">
      <c r="M5947" s="2">
        <f>IF(C5947="","",IFERROR(INDEX($S$5:$S$304,MATCH(C5947,$R$5:$R$304,0))&amp;"","?"))</f>
        <v/>
      </c>
      <c r="N5947" s="2">
        <f>IF(E5947="","",IF(ISNUMBER(SEARCH("SUBSOLO",E5947)),IFERROR(-VALUE(LEFT(E5947,FIND("º",SUBSTITUTE(E5947,"°","º"))-1)),-1),IF(LEFT(E5947,6)="TÉRREO",0,IFERROR(VALUE(LEFT(E5947,FIND("º",SUBSTITUTE(E5947,"°","º"))-1)),""))))</f>
        <v/>
      </c>
      <c r="O5947" s="2">
        <f>IF(OR(F5947="",G5947=""),"",IF(G5947&lt;='RETRATO 2027'!$K$5,"CONCLUÍDA",IF(F5947&lt;='RETRATO 2027'!$K$5,"EM ANDAMENTO","A INICIAR")))</f>
        <v/>
      </c>
    </row>
    <row r="5948">
      <c r="M5948" s="2">
        <f>IF(C5948="","",IFERROR(INDEX($S$5:$S$304,MATCH(C5948,$R$5:$R$304,0))&amp;"","?"))</f>
        <v/>
      </c>
      <c r="N5948" s="2">
        <f>IF(E5948="","",IF(ISNUMBER(SEARCH("SUBSOLO",E5948)),IFERROR(-VALUE(LEFT(E5948,FIND("º",SUBSTITUTE(E5948,"°","º"))-1)),-1),IF(LEFT(E5948,6)="TÉRREO",0,IFERROR(VALUE(LEFT(E5948,FIND("º",SUBSTITUTE(E5948,"°","º"))-1)),""))))</f>
        <v/>
      </c>
      <c r="O5948" s="2">
        <f>IF(OR(F5948="",G5948=""),"",IF(G5948&lt;='RETRATO 2027'!$K$5,"CONCLUÍDA",IF(F5948&lt;='RETRATO 2027'!$K$5,"EM ANDAMENTO","A INICIAR")))</f>
        <v/>
      </c>
    </row>
    <row r="5949">
      <c r="M5949" s="2">
        <f>IF(C5949="","",IFERROR(INDEX($S$5:$S$304,MATCH(C5949,$R$5:$R$304,0))&amp;"","?"))</f>
        <v/>
      </c>
      <c r="N5949" s="2">
        <f>IF(E5949="","",IF(ISNUMBER(SEARCH("SUBSOLO",E5949)),IFERROR(-VALUE(LEFT(E5949,FIND("º",SUBSTITUTE(E5949,"°","º"))-1)),-1),IF(LEFT(E5949,6)="TÉRREO",0,IFERROR(VALUE(LEFT(E5949,FIND("º",SUBSTITUTE(E5949,"°","º"))-1)),""))))</f>
        <v/>
      </c>
      <c r="O5949" s="2">
        <f>IF(OR(F5949="",G5949=""),"",IF(G5949&lt;='RETRATO 2027'!$K$5,"CONCLUÍDA",IF(F5949&lt;='RETRATO 2027'!$K$5,"EM ANDAMENTO","A INICIAR")))</f>
        <v/>
      </c>
    </row>
    <row r="5950">
      <c r="M5950" s="2">
        <f>IF(C5950="","",IFERROR(INDEX($S$5:$S$304,MATCH(C5950,$R$5:$R$304,0))&amp;"","?"))</f>
        <v/>
      </c>
      <c r="N5950" s="2">
        <f>IF(E5950="","",IF(ISNUMBER(SEARCH("SUBSOLO",E5950)),IFERROR(-VALUE(LEFT(E5950,FIND("º",SUBSTITUTE(E5950,"°","º"))-1)),-1),IF(LEFT(E5950,6)="TÉRREO",0,IFERROR(VALUE(LEFT(E5950,FIND("º",SUBSTITUTE(E5950,"°","º"))-1)),""))))</f>
        <v/>
      </c>
      <c r="O5950" s="2">
        <f>IF(OR(F5950="",G5950=""),"",IF(G5950&lt;='RETRATO 2027'!$K$5,"CONCLUÍDA",IF(F5950&lt;='RETRATO 2027'!$K$5,"EM ANDAMENTO","A INICIAR")))</f>
        <v/>
      </c>
    </row>
    <row r="5951">
      <c r="M5951" s="2">
        <f>IF(C5951="","",IFERROR(INDEX($S$5:$S$304,MATCH(C5951,$R$5:$R$304,0))&amp;"","?"))</f>
        <v/>
      </c>
      <c r="N5951" s="2">
        <f>IF(E5951="","",IF(ISNUMBER(SEARCH("SUBSOLO",E5951)),IFERROR(-VALUE(LEFT(E5951,FIND("º",SUBSTITUTE(E5951,"°","º"))-1)),-1),IF(LEFT(E5951,6)="TÉRREO",0,IFERROR(VALUE(LEFT(E5951,FIND("º",SUBSTITUTE(E5951,"°","º"))-1)),""))))</f>
        <v/>
      </c>
      <c r="O5951" s="2">
        <f>IF(OR(F5951="",G5951=""),"",IF(G5951&lt;='RETRATO 2027'!$K$5,"CONCLUÍDA",IF(F5951&lt;='RETRATO 2027'!$K$5,"EM ANDAMENTO","A INICIAR")))</f>
        <v/>
      </c>
    </row>
    <row r="5952">
      <c r="M5952" s="2">
        <f>IF(C5952="","",IFERROR(INDEX($S$5:$S$304,MATCH(C5952,$R$5:$R$304,0))&amp;"","?"))</f>
        <v/>
      </c>
      <c r="N5952" s="2">
        <f>IF(E5952="","",IF(ISNUMBER(SEARCH("SUBSOLO",E5952)),IFERROR(-VALUE(LEFT(E5952,FIND("º",SUBSTITUTE(E5952,"°","º"))-1)),-1),IF(LEFT(E5952,6)="TÉRREO",0,IFERROR(VALUE(LEFT(E5952,FIND("º",SUBSTITUTE(E5952,"°","º"))-1)),""))))</f>
        <v/>
      </c>
      <c r="O5952" s="2">
        <f>IF(OR(F5952="",G5952=""),"",IF(G5952&lt;='RETRATO 2027'!$K$5,"CONCLUÍDA",IF(F5952&lt;='RETRATO 2027'!$K$5,"EM ANDAMENTO","A INICIAR")))</f>
        <v/>
      </c>
    </row>
    <row r="5953">
      <c r="M5953" s="2">
        <f>IF(C5953="","",IFERROR(INDEX($S$5:$S$304,MATCH(C5953,$R$5:$R$304,0))&amp;"","?"))</f>
        <v/>
      </c>
      <c r="N5953" s="2">
        <f>IF(E5953="","",IF(ISNUMBER(SEARCH("SUBSOLO",E5953)),IFERROR(-VALUE(LEFT(E5953,FIND("º",SUBSTITUTE(E5953,"°","º"))-1)),-1),IF(LEFT(E5953,6)="TÉRREO",0,IFERROR(VALUE(LEFT(E5953,FIND("º",SUBSTITUTE(E5953,"°","º"))-1)),""))))</f>
        <v/>
      </c>
      <c r="O5953" s="2">
        <f>IF(OR(F5953="",G5953=""),"",IF(G5953&lt;='RETRATO 2027'!$K$5,"CONCLUÍDA",IF(F5953&lt;='RETRATO 2027'!$K$5,"EM ANDAMENTO","A INICIAR")))</f>
        <v/>
      </c>
    </row>
    <row r="5954">
      <c r="M5954" s="2">
        <f>IF(C5954="","",IFERROR(INDEX($S$5:$S$304,MATCH(C5954,$R$5:$R$304,0))&amp;"","?"))</f>
        <v/>
      </c>
      <c r="N5954" s="2">
        <f>IF(E5954="","",IF(ISNUMBER(SEARCH("SUBSOLO",E5954)),IFERROR(-VALUE(LEFT(E5954,FIND("º",SUBSTITUTE(E5954,"°","º"))-1)),-1),IF(LEFT(E5954,6)="TÉRREO",0,IFERROR(VALUE(LEFT(E5954,FIND("º",SUBSTITUTE(E5954,"°","º"))-1)),""))))</f>
        <v/>
      </c>
      <c r="O5954" s="2">
        <f>IF(OR(F5954="",G5954=""),"",IF(G5954&lt;='RETRATO 2027'!$K$5,"CONCLUÍDA",IF(F5954&lt;='RETRATO 2027'!$K$5,"EM ANDAMENTO","A INICIAR")))</f>
        <v/>
      </c>
    </row>
    <row r="5955">
      <c r="M5955" s="2">
        <f>IF(C5955="","",IFERROR(INDEX($S$5:$S$304,MATCH(C5955,$R$5:$R$304,0))&amp;"","?"))</f>
        <v/>
      </c>
      <c r="N5955" s="2">
        <f>IF(E5955="","",IF(ISNUMBER(SEARCH("SUBSOLO",E5955)),IFERROR(-VALUE(LEFT(E5955,FIND("º",SUBSTITUTE(E5955,"°","º"))-1)),-1),IF(LEFT(E5955,6)="TÉRREO",0,IFERROR(VALUE(LEFT(E5955,FIND("º",SUBSTITUTE(E5955,"°","º"))-1)),""))))</f>
        <v/>
      </c>
      <c r="O5955" s="2">
        <f>IF(OR(F5955="",G5955=""),"",IF(G5955&lt;='RETRATO 2027'!$K$5,"CONCLUÍDA",IF(F5955&lt;='RETRATO 2027'!$K$5,"EM ANDAMENTO","A INICIAR")))</f>
        <v/>
      </c>
    </row>
    <row r="5956">
      <c r="M5956" s="2">
        <f>IF(C5956="","",IFERROR(INDEX($S$5:$S$304,MATCH(C5956,$R$5:$R$304,0))&amp;"","?"))</f>
        <v/>
      </c>
      <c r="N5956" s="2">
        <f>IF(E5956="","",IF(ISNUMBER(SEARCH("SUBSOLO",E5956)),IFERROR(-VALUE(LEFT(E5956,FIND("º",SUBSTITUTE(E5956,"°","º"))-1)),-1),IF(LEFT(E5956,6)="TÉRREO",0,IFERROR(VALUE(LEFT(E5956,FIND("º",SUBSTITUTE(E5956,"°","º"))-1)),""))))</f>
        <v/>
      </c>
      <c r="O5956" s="2">
        <f>IF(OR(F5956="",G5956=""),"",IF(G5956&lt;='RETRATO 2027'!$K$5,"CONCLUÍDA",IF(F5956&lt;='RETRATO 2027'!$K$5,"EM ANDAMENTO","A INICIAR")))</f>
        <v/>
      </c>
    </row>
    <row r="5957">
      <c r="M5957" s="2">
        <f>IF(C5957="","",IFERROR(INDEX($S$5:$S$304,MATCH(C5957,$R$5:$R$304,0))&amp;"","?"))</f>
        <v/>
      </c>
      <c r="N5957" s="2">
        <f>IF(E5957="","",IF(ISNUMBER(SEARCH("SUBSOLO",E5957)),IFERROR(-VALUE(LEFT(E5957,FIND("º",SUBSTITUTE(E5957,"°","º"))-1)),-1),IF(LEFT(E5957,6)="TÉRREO",0,IFERROR(VALUE(LEFT(E5957,FIND("º",SUBSTITUTE(E5957,"°","º"))-1)),""))))</f>
        <v/>
      </c>
      <c r="O5957" s="2">
        <f>IF(OR(F5957="",G5957=""),"",IF(G5957&lt;='RETRATO 2027'!$K$5,"CONCLUÍDA",IF(F5957&lt;='RETRATO 2027'!$K$5,"EM ANDAMENTO","A INICIAR")))</f>
        <v/>
      </c>
    </row>
    <row r="5958">
      <c r="M5958" s="2">
        <f>IF(C5958="","",IFERROR(INDEX($S$5:$S$304,MATCH(C5958,$R$5:$R$304,0))&amp;"","?"))</f>
        <v/>
      </c>
      <c r="N5958" s="2">
        <f>IF(E5958="","",IF(ISNUMBER(SEARCH("SUBSOLO",E5958)),IFERROR(-VALUE(LEFT(E5958,FIND("º",SUBSTITUTE(E5958,"°","º"))-1)),-1),IF(LEFT(E5958,6)="TÉRREO",0,IFERROR(VALUE(LEFT(E5958,FIND("º",SUBSTITUTE(E5958,"°","º"))-1)),""))))</f>
        <v/>
      </c>
      <c r="O5958" s="2">
        <f>IF(OR(F5958="",G5958=""),"",IF(G5958&lt;='RETRATO 2027'!$K$5,"CONCLUÍDA",IF(F5958&lt;='RETRATO 2027'!$K$5,"EM ANDAMENTO","A INICIAR")))</f>
        <v/>
      </c>
    </row>
    <row r="5959">
      <c r="M5959" s="2">
        <f>IF(C5959="","",IFERROR(INDEX($S$5:$S$304,MATCH(C5959,$R$5:$R$304,0))&amp;"","?"))</f>
        <v/>
      </c>
      <c r="N5959" s="2">
        <f>IF(E5959="","",IF(ISNUMBER(SEARCH("SUBSOLO",E5959)),IFERROR(-VALUE(LEFT(E5959,FIND("º",SUBSTITUTE(E5959,"°","º"))-1)),-1),IF(LEFT(E5959,6)="TÉRREO",0,IFERROR(VALUE(LEFT(E5959,FIND("º",SUBSTITUTE(E5959,"°","º"))-1)),""))))</f>
        <v/>
      </c>
      <c r="O5959" s="2">
        <f>IF(OR(F5959="",G5959=""),"",IF(G5959&lt;='RETRATO 2027'!$K$5,"CONCLUÍDA",IF(F5959&lt;='RETRATO 2027'!$K$5,"EM ANDAMENTO","A INICIAR")))</f>
        <v/>
      </c>
    </row>
    <row r="5960">
      <c r="M5960" s="2">
        <f>IF(C5960="","",IFERROR(INDEX($S$5:$S$304,MATCH(C5960,$R$5:$R$304,0))&amp;"","?"))</f>
        <v/>
      </c>
      <c r="N5960" s="2">
        <f>IF(E5960="","",IF(ISNUMBER(SEARCH("SUBSOLO",E5960)),IFERROR(-VALUE(LEFT(E5960,FIND("º",SUBSTITUTE(E5960,"°","º"))-1)),-1),IF(LEFT(E5960,6)="TÉRREO",0,IFERROR(VALUE(LEFT(E5960,FIND("º",SUBSTITUTE(E5960,"°","º"))-1)),""))))</f>
        <v/>
      </c>
      <c r="O5960" s="2">
        <f>IF(OR(F5960="",G5960=""),"",IF(G5960&lt;='RETRATO 2027'!$K$5,"CONCLUÍDA",IF(F5960&lt;='RETRATO 2027'!$K$5,"EM ANDAMENTO","A INICIAR")))</f>
        <v/>
      </c>
    </row>
    <row r="5961">
      <c r="M5961" s="2">
        <f>IF(C5961="","",IFERROR(INDEX($S$5:$S$304,MATCH(C5961,$R$5:$R$304,0))&amp;"","?"))</f>
        <v/>
      </c>
      <c r="N5961" s="2">
        <f>IF(E5961="","",IF(ISNUMBER(SEARCH("SUBSOLO",E5961)),IFERROR(-VALUE(LEFT(E5961,FIND("º",SUBSTITUTE(E5961,"°","º"))-1)),-1),IF(LEFT(E5961,6)="TÉRREO",0,IFERROR(VALUE(LEFT(E5961,FIND("º",SUBSTITUTE(E5961,"°","º"))-1)),""))))</f>
        <v/>
      </c>
      <c r="O5961" s="2">
        <f>IF(OR(F5961="",G5961=""),"",IF(G5961&lt;='RETRATO 2027'!$K$5,"CONCLUÍDA",IF(F5961&lt;='RETRATO 2027'!$K$5,"EM ANDAMENTO","A INICIAR")))</f>
        <v/>
      </c>
    </row>
    <row r="5962">
      <c r="M5962" s="2">
        <f>IF(C5962="","",IFERROR(INDEX($S$5:$S$304,MATCH(C5962,$R$5:$R$304,0))&amp;"","?"))</f>
        <v/>
      </c>
      <c r="N5962" s="2">
        <f>IF(E5962="","",IF(ISNUMBER(SEARCH("SUBSOLO",E5962)),IFERROR(-VALUE(LEFT(E5962,FIND("º",SUBSTITUTE(E5962,"°","º"))-1)),-1),IF(LEFT(E5962,6)="TÉRREO",0,IFERROR(VALUE(LEFT(E5962,FIND("º",SUBSTITUTE(E5962,"°","º"))-1)),""))))</f>
        <v/>
      </c>
      <c r="O5962" s="2">
        <f>IF(OR(F5962="",G5962=""),"",IF(G5962&lt;='RETRATO 2027'!$K$5,"CONCLUÍDA",IF(F5962&lt;='RETRATO 2027'!$K$5,"EM ANDAMENTO","A INICIAR")))</f>
        <v/>
      </c>
    </row>
    <row r="5963">
      <c r="M5963" s="2">
        <f>IF(C5963="","",IFERROR(INDEX($S$5:$S$304,MATCH(C5963,$R$5:$R$304,0))&amp;"","?"))</f>
        <v/>
      </c>
      <c r="N5963" s="2">
        <f>IF(E5963="","",IF(ISNUMBER(SEARCH("SUBSOLO",E5963)),IFERROR(-VALUE(LEFT(E5963,FIND("º",SUBSTITUTE(E5963,"°","º"))-1)),-1),IF(LEFT(E5963,6)="TÉRREO",0,IFERROR(VALUE(LEFT(E5963,FIND("º",SUBSTITUTE(E5963,"°","º"))-1)),""))))</f>
        <v/>
      </c>
      <c r="O5963" s="2">
        <f>IF(OR(F5963="",G5963=""),"",IF(G5963&lt;='RETRATO 2027'!$K$5,"CONCLUÍDA",IF(F5963&lt;='RETRATO 2027'!$K$5,"EM ANDAMENTO","A INICIAR")))</f>
        <v/>
      </c>
    </row>
    <row r="5964">
      <c r="M5964" s="2">
        <f>IF(C5964="","",IFERROR(INDEX($S$5:$S$304,MATCH(C5964,$R$5:$R$304,0))&amp;"","?"))</f>
        <v/>
      </c>
      <c r="N5964" s="2">
        <f>IF(E5964="","",IF(ISNUMBER(SEARCH("SUBSOLO",E5964)),IFERROR(-VALUE(LEFT(E5964,FIND("º",SUBSTITUTE(E5964,"°","º"))-1)),-1),IF(LEFT(E5964,6)="TÉRREO",0,IFERROR(VALUE(LEFT(E5964,FIND("º",SUBSTITUTE(E5964,"°","º"))-1)),""))))</f>
        <v/>
      </c>
      <c r="O5964" s="2">
        <f>IF(OR(F5964="",G5964=""),"",IF(G5964&lt;='RETRATO 2027'!$K$5,"CONCLUÍDA",IF(F5964&lt;='RETRATO 2027'!$K$5,"EM ANDAMENTO","A INICIAR")))</f>
        <v/>
      </c>
    </row>
    <row r="5965">
      <c r="M5965" s="2">
        <f>IF(C5965="","",IFERROR(INDEX($S$5:$S$304,MATCH(C5965,$R$5:$R$304,0))&amp;"","?"))</f>
        <v/>
      </c>
      <c r="N5965" s="2">
        <f>IF(E5965="","",IF(ISNUMBER(SEARCH("SUBSOLO",E5965)),IFERROR(-VALUE(LEFT(E5965,FIND("º",SUBSTITUTE(E5965,"°","º"))-1)),-1),IF(LEFT(E5965,6)="TÉRREO",0,IFERROR(VALUE(LEFT(E5965,FIND("º",SUBSTITUTE(E5965,"°","º"))-1)),""))))</f>
        <v/>
      </c>
      <c r="O5965" s="2">
        <f>IF(OR(F5965="",G5965=""),"",IF(G5965&lt;='RETRATO 2027'!$K$5,"CONCLUÍDA",IF(F5965&lt;='RETRATO 2027'!$K$5,"EM ANDAMENTO","A INICIAR")))</f>
        <v/>
      </c>
    </row>
    <row r="5966">
      <c r="M5966" s="2">
        <f>IF(C5966="","",IFERROR(INDEX($S$5:$S$304,MATCH(C5966,$R$5:$R$304,0))&amp;"","?"))</f>
        <v/>
      </c>
      <c r="N5966" s="2">
        <f>IF(E5966="","",IF(ISNUMBER(SEARCH("SUBSOLO",E5966)),IFERROR(-VALUE(LEFT(E5966,FIND("º",SUBSTITUTE(E5966,"°","º"))-1)),-1),IF(LEFT(E5966,6)="TÉRREO",0,IFERROR(VALUE(LEFT(E5966,FIND("º",SUBSTITUTE(E5966,"°","º"))-1)),""))))</f>
        <v/>
      </c>
      <c r="O5966" s="2">
        <f>IF(OR(F5966="",G5966=""),"",IF(G5966&lt;='RETRATO 2027'!$K$5,"CONCLUÍDA",IF(F5966&lt;='RETRATO 2027'!$K$5,"EM ANDAMENTO","A INICIAR")))</f>
        <v/>
      </c>
    </row>
    <row r="5967">
      <c r="M5967" s="2">
        <f>IF(C5967="","",IFERROR(INDEX($S$5:$S$304,MATCH(C5967,$R$5:$R$304,0))&amp;"","?"))</f>
        <v/>
      </c>
      <c r="N5967" s="2">
        <f>IF(E5967="","",IF(ISNUMBER(SEARCH("SUBSOLO",E5967)),IFERROR(-VALUE(LEFT(E5967,FIND("º",SUBSTITUTE(E5967,"°","º"))-1)),-1),IF(LEFT(E5967,6)="TÉRREO",0,IFERROR(VALUE(LEFT(E5967,FIND("º",SUBSTITUTE(E5967,"°","º"))-1)),""))))</f>
        <v/>
      </c>
      <c r="O5967" s="2">
        <f>IF(OR(F5967="",G5967=""),"",IF(G5967&lt;='RETRATO 2027'!$K$5,"CONCLUÍDA",IF(F5967&lt;='RETRATO 2027'!$K$5,"EM ANDAMENTO","A INICIAR")))</f>
        <v/>
      </c>
    </row>
    <row r="5968">
      <c r="M5968" s="2">
        <f>IF(C5968="","",IFERROR(INDEX($S$5:$S$304,MATCH(C5968,$R$5:$R$304,0))&amp;"","?"))</f>
        <v/>
      </c>
      <c r="N5968" s="2">
        <f>IF(E5968="","",IF(ISNUMBER(SEARCH("SUBSOLO",E5968)),IFERROR(-VALUE(LEFT(E5968,FIND("º",SUBSTITUTE(E5968,"°","º"))-1)),-1),IF(LEFT(E5968,6)="TÉRREO",0,IFERROR(VALUE(LEFT(E5968,FIND("º",SUBSTITUTE(E5968,"°","º"))-1)),""))))</f>
        <v/>
      </c>
      <c r="O5968" s="2">
        <f>IF(OR(F5968="",G5968=""),"",IF(G5968&lt;='RETRATO 2027'!$K$5,"CONCLUÍDA",IF(F5968&lt;='RETRATO 2027'!$K$5,"EM ANDAMENTO","A INICIAR")))</f>
        <v/>
      </c>
    </row>
    <row r="5969">
      <c r="M5969" s="2">
        <f>IF(C5969="","",IFERROR(INDEX($S$5:$S$304,MATCH(C5969,$R$5:$R$304,0))&amp;"","?"))</f>
        <v/>
      </c>
      <c r="N5969" s="2">
        <f>IF(E5969="","",IF(ISNUMBER(SEARCH("SUBSOLO",E5969)),IFERROR(-VALUE(LEFT(E5969,FIND("º",SUBSTITUTE(E5969,"°","º"))-1)),-1),IF(LEFT(E5969,6)="TÉRREO",0,IFERROR(VALUE(LEFT(E5969,FIND("º",SUBSTITUTE(E5969,"°","º"))-1)),""))))</f>
        <v/>
      </c>
      <c r="O5969" s="2">
        <f>IF(OR(F5969="",G5969=""),"",IF(G5969&lt;='RETRATO 2027'!$K$5,"CONCLUÍDA",IF(F5969&lt;='RETRATO 2027'!$K$5,"EM ANDAMENTO","A INICIAR")))</f>
        <v/>
      </c>
    </row>
    <row r="5970">
      <c r="M5970" s="2">
        <f>IF(C5970="","",IFERROR(INDEX($S$5:$S$304,MATCH(C5970,$R$5:$R$304,0))&amp;"","?"))</f>
        <v/>
      </c>
      <c r="N5970" s="2">
        <f>IF(E5970="","",IF(ISNUMBER(SEARCH("SUBSOLO",E5970)),IFERROR(-VALUE(LEFT(E5970,FIND("º",SUBSTITUTE(E5970,"°","º"))-1)),-1),IF(LEFT(E5970,6)="TÉRREO",0,IFERROR(VALUE(LEFT(E5970,FIND("º",SUBSTITUTE(E5970,"°","º"))-1)),""))))</f>
        <v/>
      </c>
      <c r="O5970" s="2">
        <f>IF(OR(F5970="",G5970=""),"",IF(G5970&lt;='RETRATO 2027'!$K$5,"CONCLUÍDA",IF(F5970&lt;='RETRATO 2027'!$K$5,"EM ANDAMENTO","A INICIAR")))</f>
        <v/>
      </c>
    </row>
    <row r="5971">
      <c r="M5971" s="2">
        <f>IF(C5971="","",IFERROR(INDEX($S$5:$S$304,MATCH(C5971,$R$5:$R$304,0))&amp;"","?"))</f>
        <v/>
      </c>
      <c r="N5971" s="2">
        <f>IF(E5971="","",IF(ISNUMBER(SEARCH("SUBSOLO",E5971)),IFERROR(-VALUE(LEFT(E5971,FIND("º",SUBSTITUTE(E5971,"°","º"))-1)),-1),IF(LEFT(E5971,6)="TÉRREO",0,IFERROR(VALUE(LEFT(E5971,FIND("º",SUBSTITUTE(E5971,"°","º"))-1)),""))))</f>
        <v/>
      </c>
      <c r="O5971" s="2">
        <f>IF(OR(F5971="",G5971=""),"",IF(G5971&lt;='RETRATO 2027'!$K$5,"CONCLUÍDA",IF(F5971&lt;='RETRATO 2027'!$K$5,"EM ANDAMENTO","A INICIAR")))</f>
        <v/>
      </c>
    </row>
    <row r="5972">
      <c r="M5972" s="2">
        <f>IF(C5972="","",IFERROR(INDEX($S$5:$S$304,MATCH(C5972,$R$5:$R$304,0))&amp;"","?"))</f>
        <v/>
      </c>
      <c r="N5972" s="2">
        <f>IF(E5972="","",IF(ISNUMBER(SEARCH("SUBSOLO",E5972)),IFERROR(-VALUE(LEFT(E5972,FIND("º",SUBSTITUTE(E5972,"°","º"))-1)),-1),IF(LEFT(E5972,6)="TÉRREO",0,IFERROR(VALUE(LEFT(E5972,FIND("º",SUBSTITUTE(E5972,"°","º"))-1)),""))))</f>
        <v/>
      </c>
      <c r="O5972" s="2">
        <f>IF(OR(F5972="",G5972=""),"",IF(G5972&lt;='RETRATO 2027'!$K$5,"CONCLUÍDA",IF(F5972&lt;='RETRATO 2027'!$K$5,"EM ANDAMENTO","A INICIAR")))</f>
        <v/>
      </c>
    </row>
    <row r="5973">
      <c r="M5973" s="2">
        <f>IF(C5973="","",IFERROR(INDEX($S$5:$S$304,MATCH(C5973,$R$5:$R$304,0))&amp;"","?"))</f>
        <v/>
      </c>
      <c r="N5973" s="2">
        <f>IF(E5973="","",IF(ISNUMBER(SEARCH("SUBSOLO",E5973)),IFERROR(-VALUE(LEFT(E5973,FIND("º",SUBSTITUTE(E5973,"°","º"))-1)),-1),IF(LEFT(E5973,6)="TÉRREO",0,IFERROR(VALUE(LEFT(E5973,FIND("º",SUBSTITUTE(E5973,"°","º"))-1)),""))))</f>
        <v/>
      </c>
      <c r="O5973" s="2">
        <f>IF(OR(F5973="",G5973=""),"",IF(G5973&lt;='RETRATO 2027'!$K$5,"CONCLUÍDA",IF(F5973&lt;='RETRATO 2027'!$K$5,"EM ANDAMENTO","A INICIAR")))</f>
        <v/>
      </c>
    </row>
    <row r="5974">
      <c r="M5974" s="2">
        <f>IF(C5974="","",IFERROR(INDEX($S$5:$S$304,MATCH(C5974,$R$5:$R$304,0))&amp;"","?"))</f>
        <v/>
      </c>
      <c r="N5974" s="2">
        <f>IF(E5974="","",IF(ISNUMBER(SEARCH("SUBSOLO",E5974)),IFERROR(-VALUE(LEFT(E5974,FIND("º",SUBSTITUTE(E5974,"°","º"))-1)),-1),IF(LEFT(E5974,6)="TÉRREO",0,IFERROR(VALUE(LEFT(E5974,FIND("º",SUBSTITUTE(E5974,"°","º"))-1)),""))))</f>
        <v/>
      </c>
      <c r="O5974" s="2">
        <f>IF(OR(F5974="",G5974=""),"",IF(G5974&lt;='RETRATO 2027'!$K$5,"CONCLUÍDA",IF(F5974&lt;='RETRATO 2027'!$K$5,"EM ANDAMENTO","A INICIAR")))</f>
        <v/>
      </c>
    </row>
    <row r="5975">
      <c r="M5975" s="2">
        <f>IF(C5975="","",IFERROR(INDEX($S$5:$S$304,MATCH(C5975,$R$5:$R$304,0))&amp;"","?"))</f>
        <v/>
      </c>
      <c r="N5975" s="2">
        <f>IF(E5975="","",IF(ISNUMBER(SEARCH("SUBSOLO",E5975)),IFERROR(-VALUE(LEFT(E5975,FIND("º",SUBSTITUTE(E5975,"°","º"))-1)),-1),IF(LEFT(E5975,6)="TÉRREO",0,IFERROR(VALUE(LEFT(E5975,FIND("º",SUBSTITUTE(E5975,"°","º"))-1)),""))))</f>
        <v/>
      </c>
      <c r="O5975" s="2">
        <f>IF(OR(F5975="",G5975=""),"",IF(G5975&lt;='RETRATO 2027'!$K$5,"CONCLUÍDA",IF(F5975&lt;='RETRATO 2027'!$K$5,"EM ANDAMENTO","A INICIAR")))</f>
        <v/>
      </c>
    </row>
    <row r="5976">
      <c r="M5976" s="2">
        <f>IF(C5976="","",IFERROR(INDEX($S$5:$S$304,MATCH(C5976,$R$5:$R$304,0))&amp;"","?"))</f>
        <v/>
      </c>
      <c r="N5976" s="2">
        <f>IF(E5976="","",IF(ISNUMBER(SEARCH("SUBSOLO",E5976)),IFERROR(-VALUE(LEFT(E5976,FIND("º",SUBSTITUTE(E5976,"°","º"))-1)),-1),IF(LEFT(E5976,6)="TÉRREO",0,IFERROR(VALUE(LEFT(E5976,FIND("º",SUBSTITUTE(E5976,"°","º"))-1)),""))))</f>
        <v/>
      </c>
      <c r="O5976" s="2">
        <f>IF(OR(F5976="",G5976=""),"",IF(G5976&lt;='RETRATO 2027'!$K$5,"CONCLUÍDA",IF(F5976&lt;='RETRATO 2027'!$K$5,"EM ANDAMENTO","A INICIAR")))</f>
        <v/>
      </c>
    </row>
    <row r="5977">
      <c r="M5977" s="2">
        <f>IF(C5977="","",IFERROR(INDEX($S$5:$S$304,MATCH(C5977,$R$5:$R$304,0))&amp;"","?"))</f>
        <v/>
      </c>
      <c r="N5977" s="2">
        <f>IF(E5977="","",IF(ISNUMBER(SEARCH("SUBSOLO",E5977)),IFERROR(-VALUE(LEFT(E5977,FIND("º",SUBSTITUTE(E5977,"°","º"))-1)),-1),IF(LEFT(E5977,6)="TÉRREO",0,IFERROR(VALUE(LEFT(E5977,FIND("º",SUBSTITUTE(E5977,"°","º"))-1)),""))))</f>
        <v/>
      </c>
      <c r="O5977" s="2">
        <f>IF(OR(F5977="",G5977=""),"",IF(G5977&lt;='RETRATO 2027'!$K$5,"CONCLUÍDA",IF(F5977&lt;='RETRATO 2027'!$K$5,"EM ANDAMENTO","A INICIAR")))</f>
        <v/>
      </c>
    </row>
    <row r="5978">
      <c r="M5978" s="2">
        <f>IF(C5978="","",IFERROR(INDEX($S$5:$S$304,MATCH(C5978,$R$5:$R$304,0))&amp;"","?"))</f>
        <v/>
      </c>
      <c r="N5978" s="2">
        <f>IF(E5978="","",IF(ISNUMBER(SEARCH("SUBSOLO",E5978)),IFERROR(-VALUE(LEFT(E5978,FIND("º",SUBSTITUTE(E5978,"°","º"))-1)),-1),IF(LEFT(E5978,6)="TÉRREO",0,IFERROR(VALUE(LEFT(E5978,FIND("º",SUBSTITUTE(E5978,"°","º"))-1)),""))))</f>
        <v/>
      </c>
      <c r="O5978" s="2">
        <f>IF(OR(F5978="",G5978=""),"",IF(G5978&lt;='RETRATO 2027'!$K$5,"CONCLUÍDA",IF(F5978&lt;='RETRATO 2027'!$K$5,"EM ANDAMENTO","A INICIAR")))</f>
        <v/>
      </c>
    </row>
    <row r="5979">
      <c r="M5979" s="2">
        <f>IF(C5979="","",IFERROR(INDEX($S$5:$S$304,MATCH(C5979,$R$5:$R$304,0))&amp;"","?"))</f>
        <v/>
      </c>
      <c r="N5979" s="2">
        <f>IF(E5979="","",IF(ISNUMBER(SEARCH("SUBSOLO",E5979)),IFERROR(-VALUE(LEFT(E5979,FIND("º",SUBSTITUTE(E5979,"°","º"))-1)),-1),IF(LEFT(E5979,6)="TÉRREO",0,IFERROR(VALUE(LEFT(E5979,FIND("º",SUBSTITUTE(E5979,"°","º"))-1)),""))))</f>
        <v/>
      </c>
      <c r="O5979" s="2">
        <f>IF(OR(F5979="",G5979=""),"",IF(G5979&lt;='RETRATO 2027'!$K$5,"CONCLUÍDA",IF(F5979&lt;='RETRATO 2027'!$K$5,"EM ANDAMENTO","A INICIAR")))</f>
        <v/>
      </c>
    </row>
    <row r="5980">
      <c r="M5980" s="2">
        <f>IF(C5980="","",IFERROR(INDEX($S$5:$S$304,MATCH(C5980,$R$5:$R$304,0))&amp;"","?"))</f>
        <v/>
      </c>
      <c r="N5980" s="2">
        <f>IF(E5980="","",IF(ISNUMBER(SEARCH("SUBSOLO",E5980)),IFERROR(-VALUE(LEFT(E5980,FIND("º",SUBSTITUTE(E5980,"°","º"))-1)),-1),IF(LEFT(E5980,6)="TÉRREO",0,IFERROR(VALUE(LEFT(E5980,FIND("º",SUBSTITUTE(E5980,"°","º"))-1)),""))))</f>
        <v/>
      </c>
      <c r="O5980" s="2">
        <f>IF(OR(F5980="",G5980=""),"",IF(G5980&lt;='RETRATO 2027'!$K$5,"CONCLUÍDA",IF(F5980&lt;='RETRATO 2027'!$K$5,"EM ANDAMENTO","A INICIAR")))</f>
        <v/>
      </c>
    </row>
    <row r="5981">
      <c r="M5981" s="2">
        <f>IF(C5981="","",IFERROR(INDEX($S$5:$S$304,MATCH(C5981,$R$5:$R$304,0))&amp;"","?"))</f>
        <v/>
      </c>
      <c r="N5981" s="2">
        <f>IF(E5981="","",IF(ISNUMBER(SEARCH("SUBSOLO",E5981)),IFERROR(-VALUE(LEFT(E5981,FIND("º",SUBSTITUTE(E5981,"°","º"))-1)),-1),IF(LEFT(E5981,6)="TÉRREO",0,IFERROR(VALUE(LEFT(E5981,FIND("º",SUBSTITUTE(E5981,"°","º"))-1)),""))))</f>
        <v/>
      </c>
      <c r="O5981" s="2">
        <f>IF(OR(F5981="",G5981=""),"",IF(G5981&lt;='RETRATO 2027'!$K$5,"CONCLUÍDA",IF(F5981&lt;='RETRATO 2027'!$K$5,"EM ANDAMENTO","A INICIAR")))</f>
        <v/>
      </c>
    </row>
    <row r="5982">
      <c r="M5982" s="2">
        <f>IF(C5982="","",IFERROR(INDEX($S$5:$S$304,MATCH(C5982,$R$5:$R$304,0))&amp;"","?"))</f>
        <v/>
      </c>
      <c r="N5982" s="2">
        <f>IF(E5982="","",IF(ISNUMBER(SEARCH("SUBSOLO",E5982)),IFERROR(-VALUE(LEFT(E5982,FIND("º",SUBSTITUTE(E5982,"°","º"))-1)),-1),IF(LEFT(E5982,6)="TÉRREO",0,IFERROR(VALUE(LEFT(E5982,FIND("º",SUBSTITUTE(E5982,"°","º"))-1)),""))))</f>
        <v/>
      </c>
      <c r="O5982" s="2">
        <f>IF(OR(F5982="",G5982=""),"",IF(G5982&lt;='RETRATO 2027'!$K$5,"CONCLUÍDA",IF(F5982&lt;='RETRATO 2027'!$K$5,"EM ANDAMENTO","A INICIAR")))</f>
        <v/>
      </c>
    </row>
    <row r="5983">
      <c r="M5983" s="2">
        <f>IF(C5983="","",IFERROR(INDEX($S$5:$S$304,MATCH(C5983,$R$5:$R$304,0))&amp;"","?"))</f>
        <v/>
      </c>
      <c r="N5983" s="2">
        <f>IF(E5983="","",IF(ISNUMBER(SEARCH("SUBSOLO",E5983)),IFERROR(-VALUE(LEFT(E5983,FIND("º",SUBSTITUTE(E5983,"°","º"))-1)),-1),IF(LEFT(E5983,6)="TÉRREO",0,IFERROR(VALUE(LEFT(E5983,FIND("º",SUBSTITUTE(E5983,"°","º"))-1)),""))))</f>
        <v/>
      </c>
      <c r="O5983" s="2">
        <f>IF(OR(F5983="",G5983=""),"",IF(G5983&lt;='RETRATO 2027'!$K$5,"CONCLUÍDA",IF(F5983&lt;='RETRATO 2027'!$K$5,"EM ANDAMENTO","A INICIAR")))</f>
        <v/>
      </c>
    </row>
    <row r="5984">
      <c r="M5984" s="2">
        <f>IF(C5984="","",IFERROR(INDEX($S$5:$S$304,MATCH(C5984,$R$5:$R$304,0))&amp;"","?"))</f>
        <v/>
      </c>
      <c r="N5984" s="2">
        <f>IF(E5984="","",IF(ISNUMBER(SEARCH("SUBSOLO",E5984)),IFERROR(-VALUE(LEFT(E5984,FIND("º",SUBSTITUTE(E5984,"°","º"))-1)),-1),IF(LEFT(E5984,6)="TÉRREO",0,IFERROR(VALUE(LEFT(E5984,FIND("º",SUBSTITUTE(E5984,"°","º"))-1)),""))))</f>
        <v/>
      </c>
      <c r="O5984" s="2">
        <f>IF(OR(F5984="",G5984=""),"",IF(G5984&lt;='RETRATO 2027'!$K$5,"CONCLUÍDA",IF(F5984&lt;='RETRATO 2027'!$K$5,"EM ANDAMENTO","A INICIAR")))</f>
        <v/>
      </c>
    </row>
    <row r="5985">
      <c r="M5985" s="2">
        <f>IF(C5985="","",IFERROR(INDEX($S$5:$S$304,MATCH(C5985,$R$5:$R$304,0))&amp;"","?"))</f>
        <v/>
      </c>
      <c r="N5985" s="2">
        <f>IF(E5985="","",IF(ISNUMBER(SEARCH("SUBSOLO",E5985)),IFERROR(-VALUE(LEFT(E5985,FIND("º",SUBSTITUTE(E5985,"°","º"))-1)),-1),IF(LEFT(E5985,6)="TÉRREO",0,IFERROR(VALUE(LEFT(E5985,FIND("º",SUBSTITUTE(E5985,"°","º"))-1)),""))))</f>
        <v/>
      </c>
      <c r="O5985" s="2">
        <f>IF(OR(F5985="",G5985=""),"",IF(G5985&lt;='RETRATO 2027'!$K$5,"CONCLUÍDA",IF(F5985&lt;='RETRATO 2027'!$K$5,"EM ANDAMENTO","A INICIAR")))</f>
        <v/>
      </c>
    </row>
    <row r="5986">
      <c r="M5986" s="2">
        <f>IF(C5986="","",IFERROR(INDEX($S$5:$S$304,MATCH(C5986,$R$5:$R$304,0))&amp;"","?"))</f>
        <v/>
      </c>
      <c r="N5986" s="2">
        <f>IF(E5986="","",IF(ISNUMBER(SEARCH("SUBSOLO",E5986)),IFERROR(-VALUE(LEFT(E5986,FIND("º",SUBSTITUTE(E5986,"°","º"))-1)),-1),IF(LEFT(E5986,6)="TÉRREO",0,IFERROR(VALUE(LEFT(E5986,FIND("º",SUBSTITUTE(E5986,"°","º"))-1)),""))))</f>
        <v/>
      </c>
      <c r="O5986" s="2">
        <f>IF(OR(F5986="",G5986=""),"",IF(G5986&lt;='RETRATO 2027'!$K$5,"CONCLUÍDA",IF(F5986&lt;='RETRATO 2027'!$K$5,"EM ANDAMENTO","A INICIAR")))</f>
        <v/>
      </c>
    </row>
    <row r="5987">
      <c r="M5987" s="2">
        <f>IF(C5987="","",IFERROR(INDEX($S$5:$S$304,MATCH(C5987,$R$5:$R$304,0))&amp;"","?"))</f>
        <v/>
      </c>
      <c r="N5987" s="2">
        <f>IF(E5987="","",IF(ISNUMBER(SEARCH("SUBSOLO",E5987)),IFERROR(-VALUE(LEFT(E5987,FIND("º",SUBSTITUTE(E5987,"°","º"))-1)),-1),IF(LEFT(E5987,6)="TÉRREO",0,IFERROR(VALUE(LEFT(E5987,FIND("º",SUBSTITUTE(E5987,"°","º"))-1)),""))))</f>
        <v/>
      </c>
      <c r="O5987" s="2">
        <f>IF(OR(F5987="",G5987=""),"",IF(G5987&lt;='RETRATO 2027'!$K$5,"CONCLUÍDA",IF(F5987&lt;='RETRATO 2027'!$K$5,"EM ANDAMENTO","A INICIAR")))</f>
        <v/>
      </c>
    </row>
    <row r="5988">
      <c r="M5988" s="2">
        <f>IF(C5988="","",IFERROR(INDEX($S$5:$S$304,MATCH(C5988,$R$5:$R$304,0))&amp;"","?"))</f>
        <v/>
      </c>
      <c r="N5988" s="2">
        <f>IF(E5988="","",IF(ISNUMBER(SEARCH("SUBSOLO",E5988)),IFERROR(-VALUE(LEFT(E5988,FIND("º",SUBSTITUTE(E5988,"°","º"))-1)),-1),IF(LEFT(E5988,6)="TÉRREO",0,IFERROR(VALUE(LEFT(E5988,FIND("º",SUBSTITUTE(E5988,"°","º"))-1)),""))))</f>
        <v/>
      </c>
      <c r="O5988" s="2">
        <f>IF(OR(F5988="",G5988=""),"",IF(G5988&lt;='RETRATO 2027'!$K$5,"CONCLUÍDA",IF(F5988&lt;='RETRATO 2027'!$K$5,"EM ANDAMENTO","A INICIAR")))</f>
        <v/>
      </c>
    </row>
    <row r="5989">
      <c r="M5989" s="2">
        <f>IF(C5989="","",IFERROR(INDEX($S$5:$S$304,MATCH(C5989,$R$5:$R$304,0))&amp;"","?"))</f>
        <v/>
      </c>
      <c r="N5989" s="2">
        <f>IF(E5989="","",IF(ISNUMBER(SEARCH("SUBSOLO",E5989)),IFERROR(-VALUE(LEFT(E5989,FIND("º",SUBSTITUTE(E5989,"°","º"))-1)),-1),IF(LEFT(E5989,6)="TÉRREO",0,IFERROR(VALUE(LEFT(E5989,FIND("º",SUBSTITUTE(E5989,"°","º"))-1)),""))))</f>
        <v/>
      </c>
      <c r="O5989" s="2">
        <f>IF(OR(F5989="",G5989=""),"",IF(G5989&lt;='RETRATO 2027'!$K$5,"CONCLUÍDA",IF(F5989&lt;='RETRATO 2027'!$K$5,"EM ANDAMENTO","A INICIAR")))</f>
        <v/>
      </c>
    </row>
    <row r="5990">
      <c r="M5990" s="2">
        <f>IF(C5990="","",IFERROR(INDEX($S$5:$S$304,MATCH(C5990,$R$5:$R$304,0))&amp;"","?"))</f>
        <v/>
      </c>
      <c r="N5990" s="2">
        <f>IF(E5990="","",IF(ISNUMBER(SEARCH("SUBSOLO",E5990)),IFERROR(-VALUE(LEFT(E5990,FIND("º",SUBSTITUTE(E5990,"°","º"))-1)),-1),IF(LEFT(E5990,6)="TÉRREO",0,IFERROR(VALUE(LEFT(E5990,FIND("º",SUBSTITUTE(E5990,"°","º"))-1)),""))))</f>
        <v/>
      </c>
      <c r="O5990" s="2">
        <f>IF(OR(F5990="",G5990=""),"",IF(G5990&lt;='RETRATO 2027'!$K$5,"CONCLUÍDA",IF(F5990&lt;='RETRATO 2027'!$K$5,"EM ANDAMENTO","A INICIAR")))</f>
        <v/>
      </c>
    </row>
    <row r="5991">
      <c r="M5991" s="2">
        <f>IF(C5991="","",IFERROR(INDEX($S$5:$S$304,MATCH(C5991,$R$5:$R$304,0))&amp;"","?"))</f>
        <v/>
      </c>
      <c r="N5991" s="2">
        <f>IF(E5991="","",IF(ISNUMBER(SEARCH("SUBSOLO",E5991)),IFERROR(-VALUE(LEFT(E5991,FIND("º",SUBSTITUTE(E5991,"°","º"))-1)),-1),IF(LEFT(E5991,6)="TÉRREO",0,IFERROR(VALUE(LEFT(E5991,FIND("º",SUBSTITUTE(E5991,"°","º"))-1)),""))))</f>
        <v/>
      </c>
      <c r="O5991" s="2">
        <f>IF(OR(F5991="",G5991=""),"",IF(G5991&lt;='RETRATO 2027'!$K$5,"CONCLUÍDA",IF(F5991&lt;='RETRATO 2027'!$K$5,"EM ANDAMENTO","A INICIAR")))</f>
        <v/>
      </c>
    </row>
    <row r="5992">
      <c r="M5992" s="2">
        <f>IF(C5992="","",IFERROR(INDEX($S$5:$S$304,MATCH(C5992,$R$5:$R$304,0))&amp;"","?"))</f>
        <v/>
      </c>
      <c r="N5992" s="2">
        <f>IF(E5992="","",IF(ISNUMBER(SEARCH("SUBSOLO",E5992)),IFERROR(-VALUE(LEFT(E5992,FIND("º",SUBSTITUTE(E5992,"°","º"))-1)),-1),IF(LEFT(E5992,6)="TÉRREO",0,IFERROR(VALUE(LEFT(E5992,FIND("º",SUBSTITUTE(E5992,"°","º"))-1)),""))))</f>
        <v/>
      </c>
      <c r="O5992" s="2">
        <f>IF(OR(F5992="",G5992=""),"",IF(G5992&lt;='RETRATO 2027'!$K$5,"CONCLUÍDA",IF(F5992&lt;='RETRATO 2027'!$K$5,"EM ANDAMENTO","A INICIAR")))</f>
        <v/>
      </c>
    </row>
    <row r="5993">
      <c r="M5993" s="2">
        <f>IF(C5993="","",IFERROR(INDEX($S$5:$S$304,MATCH(C5993,$R$5:$R$304,0))&amp;"","?"))</f>
        <v/>
      </c>
      <c r="N5993" s="2">
        <f>IF(E5993="","",IF(ISNUMBER(SEARCH("SUBSOLO",E5993)),IFERROR(-VALUE(LEFT(E5993,FIND("º",SUBSTITUTE(E5993,"°","º"))-1)),-1),IF(LEFT(E5993,6)="TÉRREO",0,IFERROR(VALUE(LEFT(E5993,FIND("º",SUBSTITUTE(E5993,"°","º"))-1)),""))))</f>
        <v/>
      </c>
      <c r="O5993" s="2">
        <f>IF(OR(F5993="",G5993=""),"",IF(G5993&lt;='RETRATO 2027'!$K$5,"CONCLUÍDA",IF(F5993&lt;='RETRATO 2027'!$K$5,"EM ANDAMENTO","A INICIAR")))</f>
        <v/>
      </c>
    </row>
    <row r="5994">
      <c r="M5994" s="2">
        <f>IF(C5994="","",IFERROR(INDEX($S$5:$S$304,MATCH(C5994,$R$5:$R$304,0))&amp;"","?"))</f>
        <v/>
      </c>
      <c r="N5994" s="2">
        <f>IF(E5994="","",IF(ISNUMBER(SEARCH("SUBSOLO",E5994)),IFERROR(-VALUE(LEFT(E5994,FIND("º",SUBSTITUTE(E5994,"°","º"))-1)),-1),IF(LEFT(E5994,6)="TÉRREO",0,IFERROR(VALUE(LEFT(E5994,FIND("º",SUBSTITUTE(E5994,"°","º"))-1)),""))))</f>
        <v/>
      </c>
      <c r="O5994" s="2">
        <f>IF(OR(F5994="",G5994=""),"",IF(G5994&lt;='RETRATO 2027'!$K$5,"CONCLUÍDA",IF(F5994&lt;='RETRATO 2027'!$K$5,"EM ANDAMENTO","A INICIAR")))</f>
        <v/>
      </c>
    </row>
    <row r="5995">
      <c r="M5995" s="2">
        <f>IF(C5995="","",IFERROR(INDEX($S$5:$S$304,MATCH(C5995,$R$5:$R$304,0))&amp;"","?"))</f>
        <v/>
      </c>
      <c r="N5995" s="2">
        <f>IF(E5995="","",IF(ISNUMBER(SEARCH("SUBSOLO",E5995)),IFERROR(-VALUE(LEFT(E5995,FIND("º",SUBSTITUTE(E5995,"°","º"))-1)),-1),IF(LEFT(E5995,6)="TÉRREO",0,IFERROR(VALUE(LEFT(E5995,FIND("º",SUBSTITUTE(E5995,"°","º"))-1)),""))))</f>
        <v/>
      </c>
      <c r="O5995" s="2">
        <f>IF(OR(F5995="",G5995=""),"",IF(G5995&lt;='RETRATO 2027'!$K$5,"CONCLUÍDA",IF(F5995&lt;='RETRATO 2027'!$K$5,"EM ANDAMENTO","A INICIAR")))</f>
        <v/>
      </c>
    </row>
    <row r="5996">
      <c r="M5996" s="2">
        <f>IF(C5996="","",IFERROR(INDEX($S$5:$S$304,MATCH(C5996,$R$5:$R$304,0))&amp;"","?"))</f>
        <v/>
      </c>
      <c r="N5996" s="2">
        <f>IF(E5996="","",IF(ISNUMBER(SEARCH("SUBSOLO",E5996)),IFERROR(-VALUE(LEFT(E5996,FIND("º",SUBSTITUTE(E5996,"°","º"))-1)),-1),IF(LEFT(E5996,6)="TÉRREO",0,IFERROR(VALUE(LEFT(E5996,FIND("º",SUBSTITUTE(E5996,"°","º"))-1)),""))))</f>
        <v/>
      </c>
      <c r="O5996" s="2">
        <f>IF(OR(F5996="",G5996=""),"",IF(G5996&lt;='RETRATO 2027'!$K$5,"CONCLUÍDA",IF(F5996&lt;='RETRATO 2027'!$K$5,"EM ANDAMENTO","A INICIAR")))</f>
        <v/>
      </c>
    </row>
    <row r="5997">
      <c r="M5997" s="2">
        <f>IF(C5997="","",IFERROR(INDEX($S$5:$S$304,MATCH(C5997,$R$5:$R$304,0))&amp;"","?"))</f>
        <v/>
      </c>
      <c r="N5997" s="2">
        <f>IF(E5997="","",IF(ISNUMBER(SEARCH("SUBSOLO",E5997)),IFERROR(-VALUE(LEFT(E5997,FIND("º",SUBSTITUTE(E5997,"°","º"))-1)),-1),IF(LEFT(E5997,6)="TÉRREO",0,IFERROR(VALUE(LEFT(E5997,FIND("º",SUBSTITUTE(E5997,"°","º"))-1)),""))))</f>
        <v/>
      </c>
      <c r="O5997" s="2">
        <f>IF(OR(F5997="",G5997=""),"",IF(G5997&lt;='RETRATO 2027'!$K$5,"CONCLUÍDA",IF(F5997&lt;='RETRATO 2027'!$K$5,"EM ANDAMENTO","A INICIAR")))</f>
        <v/>
      </c>
    </row>
    <row r="5998">
      <c r="M5998" s="2">
        <f>IF(C5998="","",IFERROR(INDEX($S$5:$S$304,MATCH(C5998,$R$5:$R$304,0))&amp;"","?"))</f>
        <v/>
      </c>
      <c r="N5998" s="2">
        <f>IF(E5998="","",IF(ISNUMBER(SEARCH("SUBSOLO",E5998)),IFERROR(-VALUE(LEFT(E5998,FIND("º",SUBSTITUTE(E5998,"°","º"))-1)),-1),IF(LEFT(E5998,6)="TÉRREO",0,IFERROR(VALUE(LEFT(E5998,FIND("º",SUBSTITUTE(E5998,"°","º"))-1)),""))))</f>
        <v/>
      </c>
      <c r="O5998" s="2">
        <f>IF(OR(F5998="",G5998=""),"",IF(G5998&lt;='RETRATO 2027'!$K$5,"CONCLUÍDA",IF(F5998&lt;='RETRATO 2027'!$K$5,"EM ANDAMENTO","A INICIAR")))</f>
        <v/>
      </c>
    </row>
    <row r="5999">
      <c r="M5999" s="2">
        <f>IF(C5999="","",IFERROR(INDEX($S$5:$S$304,MATCH(C5999,$R$5:$R$304,0))&amp;"","?"))</f>
        <v/>
      </c>
      <c r="N5999" s="2">
        <f>IF(E5999="","",IF(ISNUMBER(SEARCH("SUBSOLO",E5999)),IFERROR(-VALUE(LEFT(E5999,FIND("º",SUBSTITUTE(E5999,"°","º"))-1)),-1),IF(LEFT(E5999,6)="TÉRREO",0,IFERROR(VALUE(LEFT(E5999,FIND("º",SUBSTITUTE(E5999,"°","º"))-1)),""))))</f>
        <v/>
      </c>
      <c r="O5999" s="2">
        <f>IF(OR(F5999="",G5999=""),"",IF(G5999&lt;='RETRATO 2027'!$K$5,"CONCLUÍDA",IF(F5999&lt;='RETRATO 2027'!$K$5,"EM ANDAMENTO","A INICIAR")))</f>
        <v/>
      </c>
    </row>
    <row r="6000">
      <c r="M6000" s="2">
        <f>IF(C6000="","",IFERROR(INDEX($S$5:$S$304,MATCH(C6000,$R$5:$R$304,0))&amp;"","?"))</f>
        <v/>
      </c>
      <c r="N6000" s="2">
        <f>IF(E6000="","",IF(ISNUMBER(SEARCH("SUBSOLO",E6000)),IFERROR(-VALUE(LEFT(E6000,FIND("º",SUBSTITUTE(E6000,"°","º"))-1)),-1),IF(LEFT(E6000,6)="TÉRREO",0,IFERROR(VALUE(LEFT(E6000,FIND("º",SUBSTITUTE(E6000,"°","º"))-1)),""))))</f>
        <v/>
      </c>
      <c r="O6000" s="2">
        <f>IF(OR(F6000="",G6000=""),"",IF(G6000&lt;='RETRATO 2027'!$K$5,"CONCLUÍDA",IF(F6000&lt;='RETRATO 2027'!$K$5,"EM ANDAMENTO","A INICIAR")))</f>
        <v/>
      </c>
    </row>
    <row r="6001">
      <c r="M6001" s="2">
        <f>IF(C6001="","",IFERROR(INDEX($S$5:$S$304,MATCH(C6001,$R$5:$R$304,0))&amp;"","?"))</f>
        <v/>
      </c>
      <c r="N6001" s="2">
        <f>IF(E6001="","",IF(ISNUMBER(SEARCH("SUBSOLO",E6001)),IFERROR(-VALUE(LEFT(E6001,FIND("º",SUBSTITUTE(E6001,"°","º"))-1)),-1),IF(LEFT(E6001,6)="TÉRREO",0,IFERROR(VALUE(LEFT(E6001,FIND("º",SUBSTITUTE(E6001,"°","º"))-1)),""))))</f>
        <v/>
      </c>
      <c r="O6001" s="2">
        <f>IF(OR(F6001="",G6001=""),"",IF(G6001&lt;='RETRATO 2027'!$K$5,"CONCLUÍDA",IF(F6001&lt;='RETRATO 2027'!$K$5,"EM ANDAMENTO","A INICIAR")))</f>
        <v/>
      </c>
    </row>
    <row r="6002">
      <c r="M6002" s="2">
        <f>IF(C6002="","",IFERROR(INDEX($S$5:$S$304,MATCH(C6002,$R$5:$R$304,0))&amp;"","?"))</f>
        <v/>
      </c>
      <c r="N6002" s="2">
        <f>IF(E6002="","",IF(ISNUMBER(SEARCH("SUBSOLO",E6002)),IFERROR(-VALUE(LEFT(E6002,FIND("º",SUBSTITUTE(E6002,"°","º"))-1)),-1),IF(LEFT(E6002,6)="TÉRREO",0,IFERROR(VALUE(LEFT(E6002,FIND("º",SUBSTITUTE(E6002,"°","º"))-1)),""))))</f>
        <v/>
      </c>
      <c r="O6002" s="2">
        <f>IF(OR(F6002="",G6002=""),"",IF(G6002&lt;='RETRATO 2027'!$K$5,"CONCLUÍDA",IF(F6002&lt;='RETRATO 2027'!$K$5,"EM ANDAMENTO","A INICIAR")))</f>
        <v/>
      </c>
    </row>
    <row r="6003">
      <c r="M6003" s="2">
        <f>IF(C6003="","",IFERROR(INDEX($S$5:$S$304,MATCH(C6003,$R$5:$R$304,0))&amp;"","?"))</f>
        <v/>
      </c>
      <c r="N6003" s="2">
        <f>IF(E6003="","",IF(ISNUMBER(SEARCH("SUBSOLO",E6003)),IFERROR(-VALUE(LEFT(E6003,FIND("º",SUBSTITUTE(E6003,"°","º"))-1)),-1),IF(LEFT(E6003,6)="TÉRREO",0,IFERROR(VALUE(LEFT(E6003,FIND("º",SUBSTITUTE(E6003,"°","º"))-1)),""))))</f>
        <v/>
      </c>
      <c r="O6003" s="2">
        <f>IF(OR(F6003="",G6003=""),"",IF(G6003&lt;='RETRATO 2027'!$K$5,"CONCLUÍDA",IF(F6003&lt;='RETRATO 2027'!$K$5,"EM ANDAMENTO","A INICIAR")))</f>
        <v/>
      </c>
    </row>
    <row r="6004">
      <c r="M6004" s="2">
        <f>IF(C6004="","",IFERROR(INDEX($S$5:$S$304,MATCH(C6004,$R$5:$R$304,0))&amp;"","?"))</f>
        <v/>
      </c>
      <c r="N6004" s="2">
        <f>IF(E6004="","",IF(ISNUMBER(SEARCH("SUBSOLO",E6004)),IFERROR(-VALUE(LEFT(E6004,FIND("º",SUBSTITUTE(E6004,"°","º"))-1)),-1),IF(LEFT(E6004,6)="TÉRREO",0,IFERROR(VALUE(LEFT(E6004,FIND("º",SUBSTITUTE(E6004,"°","º"))-1)),""))))</f>
        <v/>
      </c>
      <c r="O6004" s="2">
        <f>IF(OR(F6004="",G6004=""),"",IF(G6004&lt;='RETRATO 2027'!$K$5,"CONCLUÍDA",IF(F6004&lt;='RETRATO 2027'!$K$5,"EM ANDAMENTO","A INICIAR")))</f>
        <v/>
      </c>
    </row>
  </sheetData>
  <conditionalFormatting sqref="O2">
    <cfRule type="cellIs" priority="1" operator="greaterThan" dxfId="3">
      <formula>0</formula>
    </cfRule>
  </conditionalFormatting>
  <conditionalFormatting sqref="M5:M6004">
    <cfRule type="cellIs" priority="2" operator="equal" dxfId="3">
      <formula>"?"</formula>
    </cfRule>
  </conditionalFormatting>
  <dataValidations count="1">
    <dataValidation sqref="U5:U304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BW84"/>
  <sheetViews>
    <sheetView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</cols>
  <sheetData>
    <row r="1">
      <c r="A1" s="3" t="inlineStr">
        <is>
          <t>CRONOGRAMA DO PREVISION — % ACUMULADO PREVISTO POR PL (coluna 'Previsto' de cada mês)</t>
        </is>
      </c>
    </row>
    <row r="2">
      <c r="A2" s="2" t="inlineStr">
        <is>
          <t>1º mês do Prevision →</t>
        </is>
      </c>
      <c r="B2" s="127">
        <f>IFERROR(IF(ISNUMBER('CURVA PREVISION'!J2),DATE(YEAR('CURVA PREVISION'!J2),MONTH('CURVA PREVISION'!J2),1),DATE(VALUE(RIGHT('CURVA PREVISION'!J2,4)),VALUE(MID('CURVA PREVISION'!J2,4,2)),1)),"")</f>
        <v/>
      </c>
      <c r="C2" s="2" t="inlineStr">
        <is>
          <t>nº de meses →</t>
        </is>
      </c>
      <c r="D2" s="70">
        <f>COUNTIF('CURVA PREVISION'!$I$2:$KZ$2,"??/??/????")+COUNT('CURVA PREVISION'!$I$2:$KZ$2)</f>
        <v/>
      </c>
    </row>
    <row r="3">
      <c r="C3" s="123" t="inlineStr">
        <is>
          <t>índice do mês →</t>
        </is>
      </c>
      <c r="D3" s="128">
        <f>IF($B$2="","",(YEAR(D4)-YEAR($B$2))*12+MONTH(D4)-MONTH($B$2))</f>
        <v/>
      </c>
      <c r="E3" s="128">
        <f>IF($B$2="","",(YEAR(E4)-YEAR($B$2))*12+MONTH(E4)-MONTH($B$2))</f>
        <v/>
      </c>
      <c r="F3" s="128">
        <f>IF($B$2="","",(YEAR(F4)-YEAR($B$2))*12+MONTH(F4)-MONTH($B$2))</f>
        <v/>
      </c>
      <c r="G3" s="128">
        <f>IF($B$2="","",(YEAR(G4)-YEAR($B$2))*12+MONTH(G4)-MONTH($B$2))</f>
        <v/>
      </c>
      <c r="H3" s="128">
        <f>IF($B$2="","",(YEAR(H4)-YEAR($B$2))*12+MONTH(H4)-MONTH($B$2))</f>
        <v/>
      </c>
      <c r="I3" s="128">
        <f>IF($B$2="","",(YEAR(I4)-YEAR($B$2))*12+MONTH(I4)-MONTH($B$2))</f>
        <v/>
      </c>
      <c r="J3" s="128">
        <f>IF($B$2="","",(YEAR(J4)-YEAR($B$2))*12+MONTH(J4)-MONTH($B$2))</f>
        <v/>
      </c>
      <c r="K3" s="128">
        <f>IF($B$2="","",(YEAR(K4)-YEAR($B$2))*12+MONTH(K4)-MONTH($B$2))</f>
        <v/>
      </c>
      <c r="L3" s="128">
        <f>IF($B$2="","",(YEAR(L4)-YEAR($B$2))*12+MONTH(L4)-MONTH($B$2))</f>
        <v/>
      </c>
      <c r="M3" s="128">
        <f>IF($B$2="","",(YEAR(M4)-YEAR($B$2))*12+MONTH(M4)-MONTH($B$2))</f>
        <v/>
      </c>
      <c r="N3" s="128">
        <f>IF($B$2="","",(YEAR(N4)-YEAR($B$2))*12+MONTH(N4)-MONTH($B$2))</f>
        <v/>
      </c>
      <c r="O3" s="128">
        <f>IF($B$2="","",(YEAR(O4)-YEAR($B$2))*12+MONTH(O4)-MONTH($B$2))</f>
        <v/>
      </c>
      <c r="P3" s="128">
        <f>IF($B$2="","",(YEAR(P4)-YEAR($B$2))*12+MONTH(P4)-MONTH($B$2))</f>
        <v/>
      </c>
      <c r="Q3" s="128">
        <f>IF($B$2="","",(YEAR(Q4)-YEAR($B$2))*12+MONTH(Q4)-MONTH($B$2))</f>
        <v/>
      </c>
      <c r="R3" s="128">
        <f>IF($B$2="","",(YEAR(R4)-YEAR($B$2))*12+MONTH(R4)-MONTH($B$2))</f>
        <v/>
      </c>
      <c r="S3" s="128">
        <f>IF($B$2="","",(YEAR(S4)-YEAR($B$2))*12+MONTH(S4)-MONTH($B$2))</f>
        <v/>
      </c>
      <c r="T3" s="128">
        <f>IF($B$2="","",(YEAR(T4)-YEAR($B$2))*12+MONTH(T4)-MONTH($B$2))</f>
        <v/>
      </c>
      <c r="U3" s="128">
        <f>IF($B$2="","",(YEAR(U4)-YEAR($B$2))*12+MONTH(U4)-MONTH($B$2))</f>
        <v/>
      </c>
      <c r="V3" s="128">
        <f>IF($B$2="","",(YEAR(V4)-YEAR($B$2))*12+MONTH(V4)-MONTH($B$2))</f>
        <v/>
      </c>
      <c r="W3" s="128">
        <f>IF($B$2="","",(YEAR(W4)-YEAR($B$2))*12+MONTH(W4)-MONTH($B$2))</f>
        <v/>
      </c>
      <c r="X3" s="128">
        <f>IF($B$2="","",(YEAR(X4)-YEAR($B$2))*12+MONTH(X4)-MONTH($B$2))</f>
        <v/>
      </c>
      <c r="Y3" s="128">
        <f>IF($B$2="","",(YEAR(Y4)-YEAR($B$2))*12+MONTH(Y4)-MONTH($B$2))</f>
        <v/>
      </c>
      <c r="Z3" s="128">
        <f>IF($B$2="","",(YEAR(Z4)-YEAR($B$2))*12+MONTH(Z4)-MONTH($B$2))</f>
        <v/>
      </c>
      <c r="AA3" s="128">
        <f>IF($B$2="","",(YEAR(AA4)-YEAR($B$2))*12+MONTH(AA4)-MONTH($B$2))</f>
        <v/>
      </c>
      <c r="AB3" s="128">
        <f>IF($B$2="","",(YEAR(AB4)-YEAR($B$2))*12+MONTH(AB4)-MONTH($B$2))</f>
        <v/>
      </c>
      <c r="AC3" s="128">
        <f>IF($B$2="","",(YEAR(AC4)-YEAR($B$2))*12+MONTH(AC4)-MONTH($B$2))</f>
        <v/>
      </c>
      <c r="AD3" s="128">
        <f>IF($B$2="","",(YEAR(AD4)-YEAR($B$2))*12+MONTH(AD4)-MONTH($B$2))</f>
        <v/>
      </c>
      <c r="AE3" s="128">
        <f>IF($B$2="","",(YEAR(AE4)-YEAR($B$2))*12+MONTH(AE4)-MONTH($B$2))</f>
        <v/>
      </c>
      <c r="AF3" s="128">
        <f>IF($B$2="","",(YEAR(AF4)-YEAR($B$2))*12+MONTH(AF4)-MONTH($B$2))</f>
        <v/>
      </c>
      <c r="AG3" s="128">
        <f>IF($B$2="","",(YEAR(AG4)-YEAR($B$2))*12+MONTH(AG4)-MONTH($B$2))</f>
        <v/>
      </c>
      <c r="AH3" s="128">
        <f>IF($B$2="","",(YEAR(AH4)-YEAR($B$2))*12+MONTH(AH4)-MONTH($B$2))</f>
        <v/>
      </c>
      <c r="AI3" s="128">
        <f>IF($B$2="","",(YEAR(AI4)-YEAR($B$2))*12+MONTH(AI4)-MONTH($B$2))</f>
        <v/>
      </c>
      <c r="AJ3" s="128">
        <f>IF($B$2="","",(YEAR(AJ4)-YEAR($B$2))*12+MONTH(AJ4)-MONTH($B$2))</f>
        <v/>
      </c>
      <c r="AK3" s="128">
        <f>IF($B$2="","",(YEAR(AK4)-YEAR($B$2))*12+MONTH(AK4)-MONTH($B$2))</f>
        <v/>
      </c>
      <c r="AL3" s="128">
        <f>IF($B$2="","",(YEAR(AL4)-YEAR($B$2))*12+MONTH(AL4)-MONTH($B$2))</f>
        <v/>
      </c>
      <c r="AM3" s="128">
        <f>IF($B$2="","",(YEAR(AM4)-YEAR($B$2))*12+MONTH(AM4)-MONTH($B$2))</f>
        <v/>
      </c>
      <c r="AN3" s="128">
        <f>IF($B$2="","",(YEAR(AN4)-YEAR($B$2))*12+MONTH(AN4)-MONTH($B$2))</f>
        <v/>
      </c>
      <c r="AO3" s="128">
        <f>IF($B$2="","",(YEAR(AO4)-YEAR($B$2))*12+MONTH(AO4)-MONTH($B$2))</f>
        <v/>
      </c>
      <c r="AP3" s="128">
        <f>IF($B$2="","",(YEAR(AP4)-YEAR($B$2))*12+MONTH(AP4)-MONTH($B$2))</f>
        <v/>
      </c>
      <c r="AQ3" s="128">
        <f>IF($B$2="","",(YEAR(AQ4)-YEAR($B$2))*12+MONTH(AQ4)-MONTH($B$2))</f>
        <v/>
      </c>
      <c r="AR3" s="128">
        <f>IF($B$2="","",(YEAR(AR4)-YEAR($B$2))*12+MONTH(AR4)-MONTH($B$2))</f>
        <v/>
      </c>
      <c r="AS3" s="128">
        <f>IF($B$2="","",(YEAR(AS4)-YEAR($B$2))*12+MONTH(AS4)-MONTH($B$2))</f>
        <v/>
      </c>
      <c r="AT3" s="128">
        <f>IF($B$2="","",(YEAR(AT4)-YEAR($B$2))*12+MONTH(AT4)-MONTH($B$2))</f>
        <v/>
      </c>
      <c r="AU3" s="128">
        <f>IF($B$2="","",(YEAR(AU4)-YEAR($B$2))*12+MONTH(AU4)-MONTH($B$2))</f>
        <v/>
      </c>
      <c r="AV3" s="128">
        <f>IF($B$2="","",(YEAR(AV4)-YEAR($B$2))*12+MONTH(AV4)-MONTH($B$2))</f>
        <v/>
      </c>
      <c r="AW3" s="128">
        <f>IF($B$2="","",(YEAR(AW4)-YEAR($B$2))*12+MONTH(AW4)-MONTH($B$2))</f>
        <v/>
      </c>
      <c r="AX3" s="128">
        <f>IF($B$2="","",(YEAR(AX4)-YEAR($B$2))*12+MONTH(AX4)-MONTH($B$2))</f>
        <v/>
      </c>
      <c r="AY3" s="128">
        <f>IF($B$2="","",(YEAR(AY4)-YEAR($B$2))*12+MONTH(AY4)-MONTH($B$2))</f>
        <v/>
      </c>
      <c r="AZ3" s="128">
        <f>IF($B$2="","",(YEAR(AZ4)-YEAR($B$2))*12+MONTH(AZ4)-MONTH($B$2))</f>
        <v/>
      </c>
      <c r="BA3" s="128">
        <f>IF($B$2="","",(YEAR(BA4)-YEAR($B$2))*12+MONTH(BA4)-MONTH($B$2))</f>
        <v/>
      </c>
      <c r="BB3" s="128">
        <f>IF($B$2="","",(YEAR(BB4)-YEAR($B$2))*12+MONTH(BB4)-MONTH($B$2))</f>
        <v/>
      </c>
      <c r="BC3" s="128">
        <f>IF($B$2="","",(YEAR(BC4)-YEAR($B$2))*12+MONTH(BC4)-MONTH($B$2))</f>
        <v/>
      </c>
      <c r="BD3" s="128">
        <f>IF($B$2="","",(YEAR(BD4)-YEAR($B$2))*12+MONTH(BD4)-MONTH($B$2))</f>
        <v/>
      </c>
      <c r="BE3" s="128">
        <f>IF($B$2="","",(YEAR(BE4)-YEAR($B$2))*12+MONTH(BE4)-MONTH($B$2))</f>
        <v/>
      </c>
      <c r="BF3" s="128">
        <f>IF($B$2="","",(YEAR(BF4)-YEAR($B$2))*12+MONTH(BF4)-MONTH($B$2))</f>
        <v/>
      </c>
      <c r="BG3" s="128">
        <f>IF($B$2="","",(YEAR(BG4)-YEAR($B$2))*12+MONTH(BG4)-MONTH($B$2))</f>
        <v/>
      </c>
      <c r="BH3" s="128">
        <f>IF($B$2="","",(YEAR(BH4)-YEAR($B$2))*12+MONTH(BH4)-MONTH($B$2))</f>
        <v/>
      </c>
      <c r="BI3" s="128">
        <f>IF($B$2="","",(YEAR(BI4)-YEAR($B$2))*12+MONTH(BI4)-MONTH($B$2))</f>
        <v/>
      </c>
      <c r="BJ3" s="128">
        <f>IF($B$2="","",(YEAR(BJ4)-YEAR($B$2))*12+MONTH(BJ4)-MONTH($B$2))</f>
        <v/>
      </c>
      <c r="BK3" s="128">
        <f>IF($B$2="","",(YEAR(BK4)-YEAR($B$2))*12+MONTH(BK4)-MONTH($B$2))</f>
        <v/>
      </c>
      <c r="BL3" s="128">
        <f>IF($B$2="","",(YEAR(BL4)-YEAR($B$2))*12+MONTH(BL4)-MONTH($B$2))</f>
        <v/>
      </c>
      <c r="BM3" s="128">
        <f>IF($B$2="","",(YEAR(BM4)-YEAR($B$2))*12+MONTH(BM4)-MONTH($B$2))</f>
        <v/>
      </c>
      <c r="BN3" s="128">
        <f>IF($B$2="","",(YEAR(BN4)-YEAR($B$2))*12+MONTH(BN4)-MONTH($B$2))</f>
        <v/>
      </c>
      <c r="BO3" s="128">
        <f>IF($B$2="","",(YEAR(BO4)-YEAR($B$2))*12+MONTH(BO4)-MONTH($B$2))</f>
        <v/>
      </c>
      <c r="BP3" s="128">
        <f>IF($B$2="","",(YEAR(BP4)-YEAR($B$2))*12+MONTH(BP4)-MONTH($B$2))</f>
        <v/>
      </c>
      <c r="BQ3" s="128">
        <f>IF($B$2="","",(YEAR(BQ4)-YEAR($B$2))*12+MONTH(BQ4)-MONTH($B$2))</f>
        <v/>
      </c>
      <c r="BR3" s="128">
        <f>IF($B$2="","",(YEAR(BR4)-YEAR($B$2))*12+MONTH(BR4)-MONTH($B$2))</f>
        <v/>
      </c>
      <c r="BS3" s="128">
        <f>IF($B$2="","",(YEAR(BS4)-YEAR($B$2))*12+MONTH(BS4)-MONTH($B$2))</f>
        <v/>
      </c>
      <c r="BT3" s="128">
        <f>IF($B$2="","",(YEAR(BT4)-YEAR($B$2))*12+MONTH(BT4)-MONTH($B$2))</f>
        <v/>
      </c>
      <c r="BU3" s="128">
        <f>IF($B$2="","",(YEAR(BU4)-YEAR($B$2))*12+MONTH(BU4)-MONTH($B$2))</f>
        <v/>
      </c>
      <c r="BV3" s="128">
        <f>IF($B$2="","",(YEAR(BV4)-YEAR($B$2))*12+MONTH(BV4)-MONTH($B$2))</f>
        <v/>
      </c>
      <c r="BW3" s="128">
        <f>IF($B$2="","",(YEAR(BW4)-YEAR($B$2))*12+MONTH(BW4)-MONTH($B$2))</f>
        <v/>
      </c>
    </row>
    <row r="4" ht="32" customHeight="1">
      <c r="A4" s="58" t="inlineStr">
        <is>
          <t>PL</t>
        </is>
      </c>
      <c r="B4" s="58" t="inlineStr">
        <is>
          <t>DESCRIÇÃO</t>
        </is>
      </c>
      <c r="C4" s="58" t="inlineStr">
        <is>
          <t>LINHA NO
PREVISION</t>
        </is>
      </c>
      <c r="D4" s="129">
        <f>'MODELO PARA BI'!H1</f>
        <v/>
      </c>
      <c r="E4" s="129">
        <f>'MODELO PARA BI'!I1</f>
        <v/>
      </c>
      <c r="F4" s="129">
        <f>'MODELO PARA BI'!J1</f>
        <v/>
      </c>
      <c r="G4" s="129">
        <f>'MODELO PARA BI'!K1</f>
        <v/>
      </c>
      <c r="H4" s="129">
        <f>'MODELO PARA BI'!L1</f>
        <v/>
      </c>
      <c r="I4" s="129">
        <f>'MODELO PARA BI'!M1</f>
        <v/>
      </c>
      <c r="J4" s="129">
        <f>'MODELO PARA BI'!N1</f>
        <v/>
      </c>
      <c r="K4" s="129">
        <f>'MODELO PARA BI'!O1</f>
        <v/>
      </c>
      <c r="L4" s="129">
        <f>'MODELO PARA BI'!P1</f>
        <v/>
      </c>
      <c r="M4" s="129">
        <f>'MODELO PARA BI'!Q1</f>
        <v/>
      </c>
      <c r="N4" s="129">
        <f>'MODELO PARA BI'!R1</f>
        <v/>
      </c>
      <c r="O4" s="129">
        <f>'MODELO PARA BI'!S1</f>
        <v/>
      </c>
      <c r="P4" s="129">
        <f>'MODELO PARA BI'!T1</f>
        <v/>
      </c>
      <c r="Q4" s="129">
        <f>'MODELO PARA BI'!U1</f>
        <v/>
      </c>
      <c r="R4" s="129">
        <f>'MODELO PARA BI'!V1</f>
        <v/>
      </c>
      <c r="S4" s="129">
        <f>'MODELO PARA BI'!W1</f>
        <v/>
      </c>
      <c r="T4" s="129">
        <f>'MODELO PARA BI'!X1</f>
        <v/>
      </c>
      <c r="U4" s="129">
        <f>'MODELO PARA BI'!Y1</f>
        <v/>
      </c>
      <c r="V4" s="129">
        <f>'MODELO PARA BI'!Z1</f>
        <v/>
      </c>
      <c r="W4" s="129">
        <f>'MODELO PARA BI'!AA1</f>
        <v/>
      </c>
      <c r="X4" s="129">
        <f>'MODELO PARA BI'!AB1</f>
        <v/>
      </c>
      <c r="Y4" s="129">
        <f>'MODELO PARA BI'!AC1</f>
        <v/>
      </c>
      <c r="Z4" s="129">
        <f>'MODELO PARA BI'!AD1</f>
        <v/>
      </c>
      <c r="AA4" s="129">
        <f>'MODELO PARA BI'!AE1</f>
        <v/>
      </c>
      <c r="AB4" s="129">
        <f>'MODELO PARA BI'!AF1</f>
        <v/>
      </c>
      <c r="AC4" s="129">
        <f>'MODELO PARA BI'!AG1</f>
        <v/>
      </c>
      <c r="AD4" s="129">
        <f>'MODELO PARA BI'!AH1</f>
        <v/>
      </c>
      <c r="AE4" s="129">
        <f>'MODELO PARA BI'!AI1</f>
        <v/>
      </c>
      <c r="AF4" s="129">
        <f>'MODELO PARA BI'!AJ1</f>
        <v/>
      </c>
      <c r="AG4" s="129">
        <f>'MODELO PARA BI'!AK1</f>
        <v/>
      </c>
      <c r="AH4" s="129">
        <f>'MODELO PARA BI'!AL1</f>
        <v/>
      </c>
      <c r="AI4" s="129">
        <f>'MODELO PARA BI'!AM1</f>
        <v/>
      </c>
      <c r="AJ4" s="129">
        <f>'MODELO PARA BI'!AN1</f>
        <v/>
      </c>
      <c r="AK4" s="129">
        <f>'MODELO PARA BI'!AO1</f>
        <v/>
      </c>
      <c r="AL4" s="129">
        <f>'MODELO PARA BI'!AP1</f>
        <v/>
      </c>
      <c r="AM4" s="129">
        <f>'MODELO PARA BI'!AQ1</f>
        <v/>
      </c>
      <c r="AN4" s="129">
        <f>'MODELO PARA BI'!AR1</f>
        <v/>
      </c>
      <c r="AO4" s="129">
        <f>'MODELO PARA BI'!AS1</f>
        <v/>
      </c>
      <c r="AP4" s="129">
        <f>'MODELO PARA BI'!AT1</f>
        <v/>
      </c>
      <c r="AQ4" s="129">
        <f>'MODELO PARA BI'!AU1</f>
        <v/>
      </c>
      <c r="AR4" s="129">
        <f>'MODELO PARA BI'!AV1</f>
        <v/>
      </c>
      <c r="AS4" s="129">
        <f>'MODELO PARA BI'!AW1</f>
        <v/>
      </c>
      <c r="AT4" s="129">
        <f>'MODELO PARA BI'!AX1</f>
        <v/>
      </c>
      <c r="AU4" s="129">
        <f>'MODELO PARA BI'!AY1</f>
        <v/>
      </c>
      <c r="AV4" s="129">
        <f>'MODELO PARA BI'!AZ1</f>
        <v/>
      </c>
      <c r="AW4" s="129">
        <f>'MODELO PARA BI'!BA1</f>
        <v/>
      </c>
      <c r="AX4" s="129">
        <f>'MODELO PARA BI'!BB1</f>
        <v/>
      </c>
      <c r="AY4" s="129">
        <f>'MODELO PARA BI'!BC1</f>
        <v/>
      </c>
      <c r="AZ4" s="129">
        <f>'MODELO PARA BI'!BD1</f>
        <v/>
      </c>
      <c r="BA4" s="129">
        <f>'MODELO PARA BI'!BE1</f>
        <v/>
      </c>
      <c r="BB4" s="129">
        <f>'MODELO PARA BI'!BF1</f>
        <v/>
      </c>
      <c r="BC4" s="129">
        <f>'MODELO PARA BI'!BG1</f>
        <v/>
      </c>
      <c r="BD4" s="129">
        <f>'MODELO PARA BI'!BH1</f>
        <v/>
      </c>
      <c r="BE4" s="129">
        <f>'MODELO PARA BI'!BI1</f>
        <v/>
      </c>
      <c r="BF4" s="129">
        <f>'MODELO PARA BI'!BJ1</f>
        <v/>
      </c>
      <c r="BG4" s="129">
        <f>'MODELO PARA BI'!BK1</f>
        <v/>
      </c>
      <c r="BH4" s="129">
        <f>'MODELO PARA BI'!BL1</f>
        <v/>
      </c>
      <c r="BI4" s="129">
        <f>'MODELO PARA BI'!BM1</f>
        <v/>
      </c>
      <c r="BJ4" s="129">
        <f>'MODELO PARA BI'!BN1</f>
        <v/>
      </c>
      <c r="BK4" s="129">
        <f>'MODELO PARA BI'!BO1</f>
        <v/>
      </c>
      <c r="BL4" s="129">
        <f>'MODELO PARA BI'!BP1</f>
        <v/>
      </c>
      <c r="BM4" s="129">
        <f>'MODELO PARA BI'!BQ1</f>
        <v/>
      </c>
      <c r="BN4" s="129">
        <f>'MODELO PARA BI'!BR1</f>
        <v/>
      </c>
      <c r="BO4" s="129">
        <f>'MODELO PARA BI'!BS1</f>
        <v/>
      </c>
      <c r="BP4" s="129">
        <f>'MODELO PARA BI'!BT1</f>
        <v/>
      </c>
      <c r="BQ4" s="129">
        <f>'MODELO PARA BI'!BU1</f>
        <v/>
      </c>
      <c r="BR4" s="129">
        <f>'MODELO PARA BI'!BV1</f>
        <v/>
      </c>
      <c r="BS4" s="129">
        <f>'MODELO PARA BI'!BW1</f>
        <v/>
      </c>
      <c r="BT4" s="129">
        <f>'MODELO PARA BI'!BX1</f>
        <v/>
      </c>
      <c r="BU4" s="129">
        <f>'MODELO PARA BI'!BY1</f>
        <v/>
      </c>
      <c r="BV4" s="129">
        <f>'MODELO PARA BI'!BZ1</f>
        <v/>
      </c>
      <c r="BW4" s="129">
        <f>'MODELO PARA BI'!CA1</f>
        <v/>
      </c>
    </row>
    <row r="5">
      <c r="A5" s="61">
        <f>IF('VALOR POR PL'!R11&lt;&gt;"",'VALOR POR PL'!R11,IF('VALOR POR PL'!Q11="",'VALOR POR PL'!C11,'VALOR POR PL'!Q11))</f>
        <v/>
      </c>
      <c r="B5" s="61">
        <f>'VALOR POR PL'!D11</f>
        <v/>
      </c>
      <c r="C5" s="70">
        <f>IFERROR(MATCH(A5,'CURVA PREVISION'!$B$1:$B$3000,0),"")</f>
        <v/>
      </c>
      <c r="D5" s="130">
        <f>IF(OR($C5="",$B$2="",$D$2=0),0,IF(D$3&lt;0,0,N(INDEX('CURVA PREVISION'!$A$1:$KZ$3000,$C5,10+3*MIN(D$3,$D$2-1)))))</f>
        <v/>
      </c>
      <c r="E5" s="130">
        <f>IF(OR($C5="",$B$2="",$D$2=0),0,IF(E$3&lt;0,0,N(INDEX('CURVA PREVISION'!$A$1:$KZ$3000,$C5,10+3*MIN(E$3,$D$2-1)))))</f>
        <v/>
      </c>
      <c r="F5" s="130">
        <f>IF(OR($C5="",$B$2="",$D$2=0),0,IF(F$3&lt;0,0,N(INDEX('CURVA PREVISION'!$A$1:$KZ$3000,$C5,10+3*MIN(F$3,$D$2-1)))))</f>
        <v/>
      </c>
      <c r="G5" s="130">
        <f>IF(OR($C5="",$B$2="",$D$2=0),0,IF(G$3&lt;0,0,N(INDEX('CURVA PREVISION'!$A$1:$KZ$3000,$C5,10+3*MIN(G$3,$D$2-1)))))</f>
        <v/>
      </c>
      <c r="H5" s="130">
        <f>IF(OR($C5="",$B$2="",$D$2=0),0,IF(H$3&lt;0,0,N(INDEX('CURVA PREVISION'!$A$1:$KZ$3000,$C5,10+3*MIN(H$3,$D$2-1)))))</f>
        <v/>
      </c>
      <c r="I5" s="130">
        <f>IF(OR($C5="",$B$2="",$D$2=0),0,IF(I$3&lt;0,0,N(INDEX('CURVA PREVISION'!$A$1:$KZ$3000,$C5,10+3*MIN(I$3,$D$2-1)))))</f>
        <v/>
      </c>
      <c r="J5" s="130">
        <f>IF(OR($C5="",$B$2="",$D$2=0),0,IF(J$3&lt;0,0,N(INDEX('CURVA PREVISION'!$A$1:$KZ$3000,$C5,10+3*MIN(J$3,$D$2-1)))))</f>
        <v/>
      </c>
      <c r="K5" s="130">
        <f>IF(OR($C5="",$B$2="",$D$2=0),0,IF(K$3&lt;0,0,N(INDEX('CURVA PREVISION'!$A$1:$KZ$3000,$C5,10+3*MIN(K$3,$D$2-1)))))</f>
        <v/>
      </c>
      <c r="L5" s="130">
        <f>IF(OR($C5="",$B$2="",$D$2=0),0,IF(L$3&lt;0,0,N(INDEX('CURVA PREVISION'!$A$1:$KZ$3000,$C5,10+3*MIN(L$3,$D$2-1)))))</f>
        <v/>
      </c>
      <c r="M5" s="130">
        <f>IF(OR($C5="",$B$2="",$D$2=0),0,IF(M$3&lt;0,0,N(INDEX('CURVA PREVISION'!$A$1:$KZ$3000,$C5,10+3*MIN(M$3,$D$2-1)))))</f>
        <v/>
      </c>
      <c r="N5" s="130">
        <f>IF(OR($C5="",$B$2="",$D$2=0),0,IF(N$3&lt;0,0,N(INDEX('CURVA PREVISION'!$A$1:$KZ$3000,$C5,10+3*MIN(N$3,$D$2-1)))))</f>
        <v/>
      </c>
      <c r="O5" s="130">
        <f>IF(OR($C5="",$B$2="",$D$2=0),0,IF(O$3&lt;0,0,N(INDEX('CURVA PREVISION'!$A$1:$KZ$3000,$C5,10+3*MIN(O$3,$D$2-1)))))</f>
        <v/>
      </c>
      <c r="P5" s="130">
        <f>IF(OR($C5="",$B$2="",$D$2=0),0,IF(P$3&lt;0,0,N(INDEX('CURVA PREVISION'!$A$1:$KZ$3000,$C5,10+3*MIN(P$3,$D$2-1)))))</f>
        <v/>
      </c>
      <c r="Q5" s="130">
        <f>IF(OR($C5="",$B$2="",$D$2=0),0,IF(Q$3&lt;0,0,N(INDEX('CURVA PREVISION'!$A$1:$KZ$3000,$C5,10+3*MIN(Q$3,$D$2-1)))))</f>
        <v/>
      </c>
      <c r="R5" s="130">
        <f>IF(OR($C5="",$B$2="",$D$2=0),0,IF(R$3&lt;0,0,N(INDEX('CURVA PREVISION'!$A$1:$KZ$3000,$C5,10+3*MIN(R$3,$D$2-1)))))</f>
        <v/>
      </c>
      <c r="S5" s="130">
        <f>IF(OR($C5="",$B$2="",$D$2=0),0,IF(S$3&lt;0,0,N(INDEX('CURVA PREVISION'!$A$1:$KZ$3000,$C5,10+3*MIN(S$3,$D$2-1)))))</f>
        <v/>
      </c>
      <c r="T5" s="130">
        <f>IF(OR($C5="",$B$2="",$D$2=0),0,IF(T$3&lt;0,0,N(INDEX('CURVA PREVISION'!$A$1:$KZ$3000,$C5,10+3*MIN(T$3,$D$2-1)))))</f>
        <v/>
      </c>
      <c r="U5" s="130">
        <f>IF(OR($C5="",$B$2="",$D$2=0),0,IF(U$3&lt;0,0,N(INDEX('CURVA PREVISION'!$A$1:$KZ$3000,$C5,10+3*MIN(U$3,$D$2-1)))))</f>
        <v/>
      </c>
      <c r="V5" s="130">
        <f>IF(OR($C5="",$B$2="",$D$2=0),0,IF(V$3&lt;0,0,N(INDEX('CURVA PREVISION'!$A$1:$KZ$3000,$C5,10+3*MIN(V$3,$D$2-1)))))</f>
        <v/>
      </c>
      <c r="W5" s="130">
        <f>IF(OR($C5="",$B$2="",$D$2=0),0,IF(W$3&lt;0,0,N(INDEX('CURVA PREVISION'!$A$1:$KZ$3000,$C5,10+3*MIN(W$3,$D$2-1)))))</f>
        <v/>
      </c>
      <c r="X5" s="130">
        <f>IF(OR($C5="",$B$2="",$D$2=0),0,IF(X$3&lt;0,0,N(INDEX('CURVA PREVISION'!$A$1:$KZ$3000,$C5,10+3*MIN(X$3,$D$2-1)))))</f>
        <v/>
      </c>
      <c r="Y5" s="130">
        <f>IF(OR($C5="",$B$2="",$D$2=0),0,IF(Y$3&lt;0,0,N(INDEX('CURVA PREVISION'!$A$1:$KZ$3000,$C5,10+3*MIN(Y$3,$D$2-1)))))</f>
        <v/>
      </c>
      <c r="Z5" s="130">
        <f>IF(OR($C5="",$B$2="",$D$2=0),0,IF(Z$3&lt;0,0,N(INDEX('CURVA PREVISION'!$A$1:$KZ$3000,$C5,10+3*MIN(Z$3,$D$2-1)))))</f>
        <v/>
      </c>
      <c r="AA5" s="130">
        <f>IF(OR($C5="",$B$2="",$D$2=0),0,IF(AA$3&lt;0,0,N(INDEX('CURVA PREVISION'!$A$1:$KZ$3000,$C5,10+3*MIN(AA$3,$D$2-1)))))</f>
        <v/>
      </c>
      <c r="AB5" s="130">
        <f>IF(OR($C5="",$B$2="",$D$2=0),0,IF(AB$3&lt;0,0,N(INDEX('CURVA PREVISION'!$A$1:$KZ$3000,$C5,10+3*MIN(AB$3,$D$2-1)))))</f>
        <v/>
      </c>
      <c r="AC5" s="130">
        <f>IF(OR($C5="",$B$2="",$D$2=0),0,IF(AC$3&lt;0,0,N(INDEX('CURVA PREVISION'!$A$1:$KZ$3000,$C5,10+3*MIN(AC$3,$D$2-1)))))</f>
        <v/>
      </c>
      <c r="AD5" s="130">
        <f>IF(OR($C5="",$B$2="",$D$2=0),0,IF(AD$3&lt;0,0,N(INDEX('CURVA PREVISION'!$A$1:$KZ$3000,$C5,10+3*MIN(AD$3,$D$2-1)))))</f>
        <v/>
      </c>
      <c r="AE5" s="130">
        <f>IF(OR($C5="",$B$2="",$D$2=0),0,IF(AE$3&lt;0,0,N(INDEX('CURVA PREVISION'!$A$1:$KZ$3000,$C5,10+3*MIN(AE$3,$D$2-1)))))</f>
        <v/>
      </c>
      <c r="AF5" s="130">
        <f>IF(OR($C5="",$B$2="",$D$2=0),0,IF(AF$3&lt;0,0,N(INDEX('CURVA PREVISION'!$A$1:$KZ$3000,$C5,10+3*MIN(AF$3,$D$2-1)))))</f>
        <v/>
      </c>
      <c r="AG5" s="130">
        <f>IF(OR($C5="",$B$2="",$D$2=0),0,IF(AG$3&lt;0,0,N(INDEX('CURVA PREVISION'!$A$1:$KZ$3000,$C5,10+3*MIN(AG$3,$D$2-1)))))</f>
        <v/>
      </c>
      <c r="AH5" s="130">
        <f>IF(OR($C5="",$B$2="",$D$2=0),0,IF(AH$3&lt;0,0,N(INDEX('CURVA PREVISION'!$A$1:$KZ$3000,$C5,10+3*MIN(AH$3,$D$2-1)))))</f>
        <v/>
      </c>
      <c r="AI5" s="130">
        <f>IF(OR($C5="",$B$2="",$D$2=0),0,IF(AI$3&lt;0,0,N(INDEX('CURVA PREVISION'!$A$1:$KZ$3000,$C5,10+3*MIN(AI$3,$D$2-1)))))</f>
        <v/>
      </c>
      <c r="AJ5" s="130">
        <f>IF(OR($C5="",$B$2="",$D$2=0),0,IF(AJ$3&lt;0,0,N(INDEX('CURVA PREVISION'!$A$1:$KZ$3000,$C5,10+3*MIN(AJ$3,$D$2-1)))))</f>
        <v/>
      </c>
      <c r="AK5" s="130">
        <f>IF(OR($C5="",$B$2="",$D$2=0),0,IF(AK$3&lt;0,0,N(INDEX('CURVA PREVISION'!$A$1:$KZ$3000,$C5,10+3*MIN(AK$3,$D$2-1)))))</f>
        <v/>
      </c>
      <c r="AL5" s="130">
        <f>IF(OR($C5="",$B$2="",$D$2=0),0,IF(AL$3&lt;0,0,N(INDEX('CURVA PREVISION'!$A$1:$KZ$3000,$C5,10+3*MIN(AL$3,$D$2-1)))))</f>
        <v/>
      </c>
      <c r="AM5" s="130">
        <f>IF(OR($C5="",$B$2="",$D$2=0),0,IF(AM$3&lt;0,0,N(INDEX('CURVA PREVISION'!$A$1:$KZ$3000,$C5,10+3*MIN(AM$3,$D$2-1)))))</f>
        <v/>
      </c>
      <c r="AN5" s="130">
        <f>IF(OR($C5="",$B$2="",$D$2=0),0,IF(AN$3&lt;0,0,N(INDEX('CURVA PREVISION'!$A$1:$KZ$3000,$C5,10+3*MIN(AN$3,$D$2-1)))))</f>
        <v/>
      </c>
      <c r="AO5" s="130">
        <f>IF(OR($C5="",$B$2="",$D$2=0),0,IF(AO$3&lt;0,0,N(INDEX('CURVA PREVISION'!$A$1:$KZ$3000,$C5,10+3*MIN(AO$3,$D$2-1)))))</f>
        <v/>
      </c>
      <c r="AP5" s="130">
        <f>IF(OR($C5="",$B$2="",$D$2=0),0,IF(AP$3&lt;0,0,N(INDEX('CURVA PREVISION'!$A$1:$KZ$3000,$C5,10+3*MIN(AP$3,$D$2-1)))))</f>
        <v/>
      </c>
      <c r="AQ5" s="130">
        <f>IF(OR($C5="",$B$2="",$D$2=0),0,IF(AQ$3&lt;0,0,N(INDEX('CURVA PREVISION'!$A$1:$KZ$3000,$C5,10+3*MIN(AQ$3,$D$2-1)))))</f>
        <v/>
      </c>
      <c r="AR5" s="130">
        <f>IF(OR($C5="",$B$2="",$D$2=0),0,IF(AR$3&lt;0,0,N(INDEX('CURVA PREVISION'!$A$1:$KZ$3000,$C5,10+3*MIN(AR$3,$D$2-1)))))</f>
        <v/>
      </c>
      <c r="AS5" s="130">
        <f>IF(OR($C5="",$B$2="",$D$2=0),0,IF(AS$3&lt;0,0,N(INDEX('CURVA PREVISION'!$A$1:$KZ$3000,$C5,10+3*MIN(AS$3,$D$2-1)))))</f>
        <v/>
      </c>
      <c r="AT5" s="130">
        <f>IF(OR($C5="",$B$2="",$D$2=0),0,IF(AT$3&lt;0,0,N(INDEX('CURVA PREVISION'!$A$1:$KZ$3000,$C5,10+3*MIN(AT$3,$D$2-1)))))</f>
        <v/>
      </c>
      <c r="AU5" s="130">
        <f>IF(OR($C5="",$B$2="",$D$2=0),0,IF(AU$3&lt;0,0,N(INDEX('CURVA PREVISION'!$A$1:$KZ$3000,$C5,10+3*MIN(AU$3,$D$2-1)))))</f>
        <v/>
      </c>
      <c r="AV5" s="130">
        <f>IF(OR($C5="",$B$2="",$D$2=0),0,IF(AV$3&lt;0,0,N(INDEX('CURVA PREVISION'!$A$1:$KZ$3000,$C5,10+3*MIN(AV$3,$D$2-1)))))</f>
        <v/>
      </c>
      <c r="AW5" s="130">
        <f>IF(OR($C5="",$B$2="",$D$2=0),0,IF(AW$3&lt;0,0,N(INDEX('CURVA PREVISION'!$A$1:$KZ$3000,$C5,10+3*MIN(AW$3,$D$2-1)))))</f>
        <v/>
      </c>
      <c r="AX5" s="130">
        <f>IF(OR($C5="",$B$2="",$D$2=0),0,IF(AX$3&lt;0,0,N(INDEX('CURVA PREVISION'!$A$1:$KZ$3000,$C5,10+3*MIN(AX$3,$D$2-1)))))</f>
        <v/>
      </c>
      <c r="AY5" s="130">
        <f>IF(OR($C5="",$B$2="",$D$2=0),0,IF(AY$3&lt;0,0,N(INDEX('CURVA PREVISION'!$A$1:$KZ$3000,$C5,10+3*MIN(AY$3,$D$2-1)))))</f>
        <v/>
      </c>
      <c r="AZ5" s="130">
        <f>IF(OR($C5="",$B$2="",$D$2=0),0,IF(AZ$3&lt;0,0,N(INDEX('CURVA PREVISION'!$A$1:$KZ$3000,$C5,10+3*MIN(AZ$3,$D$2-1)))))</f>
        <v/>
      </c>
      <c r="BA5" s="130">
        <f>IF(OR($C5="",$B$2="",$D$2=0),0,IF(BA$3&lt;0,0,N(INDEX('CURVA PREVISION'!$A$1:$KZ$3000,$C5,10+3*MIN(BA$3,$D$2-1)))))</f>
        <v/>
      </c>
      <c r="BB5" s="130">
        <f>IF(OR($C5="",$B$2="",$D$2=0),0,IF(BB$3&lt;0,0,N(INDEX('CURVA PREVISION'!$A$1:$KZ$3000,$C5,10+3*MIN(BB$3,$D$2-1)))))</f>
        <v/>
      </c>
      <c r="BC5" s="130">
        <f>IF(OR($C5="",$B$2="",$D$2=0),0,IF(BC$3&lt;0,0,N(INDEX('CURVA PREVISION'!$A$1:$KZ$3000,$C5,10+3*MIN(BC$3,$D$2-1)))))</f>
        <v/>
      </c>
      <c r="BD5" s="130">
        <f>IF(OR($C5="",$B$2="",$D$2=0),0,IF(BD$3&lt;0,0,N(INDEX('CURVA PREVISION'!$A$1:$KZ$3000,$C5,10+3*MIN(BD$3,$D$2-1)))))</f>
        <v/>
      </c>
      <c r="BE5" s="130">
        <f>IF(OR($C5="",$B$2="",$D$2=0),0,IF(BE$3&lt;0,0,N(INDEX('CURVA PREVISION'!$A$1:$KZ$3000,$C5,10+3*MIN(BE$3,$D$2-1)))))</f>
        <v/>
      </c>
      <c r="BF5" s="130">
        <f>IF(OR($C5="",$B$2="",$D$2=0),0,IF(BF$3&lt;0,0,N(INDEX('CURVA PREVISION'!$A$1:$KZ$3000,$C5,10+3*MIN(BF$3,$D$2-1)))))</f>
        <v/>
      </c>
      <c r="BG5" s="130">
        <f>IF(OR($C5="",$B$2="",$D$2=0),0,IF(BG$3&lt;0,0,N(INDEX('CURVA PREVISION'!$A$1:$KZ$3000,$C5,10+3*MIN(BG$3,$D$2-1)))))</f>
        <v/>
      </c>
      <c r="BH5" s="130">
        <f>IF(OR($C5="",$B$2="",$D$2=0),0,IF(BH$3&lt;0,0,N(INDEX('CURVA PREVISION'!$A$1:$KZ$3000,$C5,10+3*MIN(BH$3,$D$2-1)))))</f>
        <v/>
      </c>
      <c r="BI5" s="130">
        <f>IF(OR($C5="",$B$2="",$D$2=0),0,IF(BI$3&lt;0,0,N(INDEX('CURVA PREVISION'!$A$1:$KZ$3000,$C5,10+3*MIN(BI$3,$D$2-1)))))</f>
        <v/>
      </c>
      <c r="BJ5" s="130">
        <f>IF(OR($C5="",$B$2="",$D$2=0),0,IF(BJ$3&lt;0,0,N(INDEX('CURVA PREVISION'!$A$1:$KZ$3000,$C5,10+3*MIN(BJ$3,$D$2-1)))))</f>
        <v/>
      </c>
      <c r="BK5" s="130">
        <f>IF(OR($C5="",$B$2="",$D$2=0),0,IF(BK$3&lt;0,0,N(INDEX('CURVA PREVISION'!$A$1:$KZ$3000,$C5,10+3*MIN(BK$3,$D$2-1)))))</f>
        <v/>
      </c>
      <c r="BL5" s="130">
        <f>IF(OR($C5="",$B$2="",$D$2=0),0,IF(BL$3&lt;0,0,N(INDEX('CURVA PREVISION'!$A$1:$KZ$3000,$C5,10+3*MIN(BL$3,$D$2-1)))))</f>
        <v/>
      </c>
      <c r="BM5" s="130">
        <f>IF(OR($C5="",$B$2="",$D$2=0),0,IF(BM$3&lt;0,0,N(INDEX('CURVA PREVISION'!$A$1:$KZ$3000,$C5,10+3*MIN(BM$3,$D$2-1)))))</f>
        <v/>
      </c>
      <c r="BN5" s="130">
        <f>IF(OR($C5="",$B$2="",$D$2=0),0,IF(BN$3&lt;0,0,N(INDEX('CURVA PREVISION'!$A$1:$KZ$3000,$C5,10+3*MIN(BN$3,$D$2-1)))))</f>
        <v/>
      </c>
      <c r="BO5" s="130">
        <f>IF(OR($C5="",$B$2="",$D$2=0),0,IF(BO$3&lt;0,0,N(INDEX('CURVA PREVISION'!$A$1:$KZ$3000,$C5,10+3*MIN(BO$3,$D$2-1)))))</f>
        <v/>
      </c>
      <c r="BP5" s="130">
        <f>IF(OR($C5="",$B$2="",$D$2=0),0,IF(BP$3&lt;0,0,N(INDEX('CURVA PREVISION'!$A$1:$KZ$3000,$C5,10+3*MIN(BP$3,$D$2-1)))))</f>
        <v/>
      </c>
      <c r="BQ5" s="130">
        <f>IF(OR($C5="",$B$2="",$D$2=0),0,IF(BQ$3&lt;0,0,N(INDEX('CURVA PREVISION'!$A$1:$KZ$3000,$C5,10+3*MIN(BQ$3,$D$2-1)))))</f>
        <v/>
      </c>
      <c r="BR5" s="130">
        <f>IF(OR($C5="",$B$2="",$D$2=0),0,IF(BR$3&lt;0,0,N(INDEX('CURVA PREVISION'!$A$1:$KZ$3000,$C5,10+3*MIN(BR$3,$D$2-1)))))</f>
        <v/>
      </c>
      <c r="BS5" s="130">
        <f>IF(OR($C5="",$B$2="",$D$2=0),0,IF(BS$3&lt;0,0,N(INDEX('CURVA PREVISION'!$A$1:$KZ$3000,$C5,10+3*MIN(BS$3,$D$2-1)))))</f>
        <v/>
      </c>
      <c r="BT5" s="130">
        <f>IF(OR($C5="",$B$2="",$D$2=0),0,IF(BT$3&lt;0,0,N(INDEX('CURVA PREVISION'!$A$1:$KZ$3000,$C5,10+3*MIN(BT$3,$D$2-1)))))</f>
        <v/>
      </c>
      <c r="BU5" s="130">
        <f>IF(OR($C5="",$B$2="",$D$2=0),0,IF(BU$3&lt;0,0,N(INDEX('CURVA PREVISION'!$A$1:$KZ$3000,$C5,10+3*MIN(BU$3,$D$2-1)))))</f>
        <v/>
      </c>
      <c r="BV5" s="130">
        <f>IF(OR($C5="",$B$2="",$D$2=0),0,IF(BV$3&lt;0,0,N(INDEX('CURVA PREVISION'!$A$1:$KZ$3000,$C5,10+3*MIN(BV$3,$D$2-1)))))</f>
        <v/>
      </c>
      <c r="BW5" s="130">
        <f>IF(OR($C5="",$B$2="",$D$2=0),0,IF(BW$3&lt;0,0,N(INDEX('CURVA PREVISION'!$A$1:$KZ$3000,$C5,10+3*MIN(BW$3,$D$2-1)))))</f>
        <v/>
      </c>
    </row>
    <row r="6">
      <c r="A6" s="61">
        <f>IF('VALOR POR PL'!R12&lt;&gt;"",'VALOR POR PL'!R12,IF('VALOR POR PL'!Q12="",'VALOR POR PL'!C12,'VALOR POR PL'!Q12))</f>
        <v/>
      </c>
      <c r="B6" s="61">
        <f>'VALOR POR PL'!D12</f>
        <v/>
      </c>
      <c r="C6" s="70">
        <f>IFERROR(MATCH(A6,'CURVA PREVISION'!$B$1:$B$3000,0),"")</f>
        <v/>
      </c>
      <c r="D6" s="130">
        <f>IF(OR($C6="",$B$2="",$D$2=0),0,IF(D$3&lt;0,0,N(INDEX('CURVA PREVISION'!$A$1:$KZ$3000,$C6,10+3*MIN(D$3,$D$2-1)))))</f>
        <v/>
      </c>
      <c r="E6" s="130">
        <f>IF(OR($C6="",$B$2="",$D$2=0),0,IF(E$3&lt;0,0,N(INDEX('CURVA PREVISION'!$A$1:$KZ$3000,$C6,10+3*MIN(E$3,$D$2-1)))))</f>
        <v/>
      </c>
      <c r="F6" s="130">
        <f>IF(OR($C6="",$B$2="",$D$2=0),0,IF(F$3&lt;0,0,N(INDEX('CURVA PREVISION'!$A$1:$KZ$3000,$C6,10+3*MIN(F$3,$D$2-1)))))</f>
        <v/>
      </c>
      <c r="G6" s="130">
        <f>IF(OR($C6="",$B$2="",$D$2=0),0,IF(G$3&lt;0,0,N(INDEX('CURVA PREVISION'!$A$1:$KZ$3000,$C6,10+3*MIN(G$3,$D$2-1)))))</f>
        <v/>
      </c>
      <c r="H6" s="130">
        <f>IF(OR($C6="",$B$2="",$D$2=0),0,IF(H$3&lt;0,0,N(INDEX('CURVA PREVISION'!$A$1:$KZ$3000,$C6,10+3*MIN(H$3,$D$2-1)))))</f>
        <v/>
      </c>
      <c r="I6" s="130">
        <f>IF(OR($C6="",$B$2="",$D$2=0),0,IF(I$3&lt;0,0,N(INDEX('CURVA PREVISION'!$A$1:$KZ$3000,$C6,10+3*MIN(I$3,$D$2-1)))))</f>
        <v/>
      </c>
      <c r="J6" s="130">
        <f>IF(OR($C6="",$B$2="",$D$2=0),0,IF(J$3&lt;0,0,N(INDEX('CURVA PREVISION'!$A$1:$KZ$3000,$C6,10+3*MIN(J$3,$D$2-1)))))</f>
        <v/>
      </c>
      <c r="K6" s="130">
        <f>IF(OR($C6="",$B$2="",$D$2=0),0,IF(K$3&lt;0,0,N(INDEX('CURVA PREVISION'!$A$1:$KZ$3000,$C6,10+3*MIN(K$3,$D$2-1)))))</f>
        <v/>
      </c>
      <c r="L6" s="130">
        <f>IF(OR($C6="",$B$2="",$D$2=0),0,IF(L$3&lt;0,0,N(INDEX('CURVA PREVISION'!$A$1:$KZ$3000,$C6,10+3*MIN(L$3,$D$2-1)))))</f>
        <v/>
      </c>
      <c r="M6" s="130">
        <f>IF(OR($C6="",$B$2="",$D$2=0),0,IF(M$3&lt;0,0,N(INDEX('CURVA PREVISION'!$A$1:$KZ$3000,$C6,10+3*MIN(M$3,$D$2-1)))))</f>
        <v/>
      </c>
      <c r="N6" s="130">
        <f>IF(OR($C6="",$B$2="",$D$2=0),0,IF(N$3&lt;0,0,N(INDEX('CURVA PREVISION'!$A$1:$KZ$3000,$C6,10+3*MIN(N$3,$D$2-1)))))</f>
        <v/>
      </c>
      <c r="O6" s="130">
        <f>IF(OR($C6="",$B$2="",$D$2=0),0,IF(O$3&lt;0,0,N(INDEX('CURVA PREVISION'!$A$1:$KZ$3000,$C6,10+3*MIN(O$3,$D$2-1)))))</f>
        <v/>
      </c>
      <c r="P6" s="130">
        <f>IF(OR($C6="",$B$2="",$D$2=0),0,IF(P$3&lt;0,0,N(INDEX('CURVA PREVISION'!$A$1:$KZ$3000,$C6,10+3*MIN(P$3,$D$2-1)))))</f>
        <v/>
      </c>
      <c r="Q6" s="130">
        <f>IF(OR($C6="",$B$2="",$D$2=0),0,IF(Q$3&lt;0,0,N(INDEX('CURVA PREVISION'!$A$1:$KZ$3000,$C6,10+3*MIN(Q$3,$D$2-1)))))</f>
        <v/>
      </c>
      <c r="R6" s="130">
        <f>IF(OR($C6="",$B$2="",$D$2=0),0,IF(R$3&lt;0,0,N(INDEX('CURVA PREVISION'!$A$1:$KZ$3000,$C6,10+3*MIN(R$3,$D$2-1)))))</f>
        <v/>
      </c>
      <c r="S6" s="130">
        <f>IF(OR($C6="",$B$2="",$D$2=0),0,IF(S$3&lt;0,0,N(INDEX('CURVA PREVISION'!$A$1:$KZ$3000,$C6,10+3*MIN(S$3,$D$2-1)))))</f>
        <v/>
      </c>
      <c r="T6" s="130">
        <f>IF(OR($C6="",$B$2="",$D$2=0),0,IF(T$3&lt;0,0,N(INDEX('CURVA PREVISION'!$A$1:$KZ$3000,$C6,10+3*MIN(T$3,$D$2-1)))))</f>
        <v/>
      </c>
      <c r="U6" s="130">
        <f>IF(OR($C6="",$B$2="",$D$2=0),0,IF(U$3&lt;0,0,N(INDEX('CURVA PREVISION'!$A$1:$KZ$3000,$C6,10+3*MIN(U$3,$D$2-1)))))</f>
        <v/>
      </c>
      <c r="V6" s="130">
        <f>IF(OR($C6="",$B$2="",$D$2=0),0,IF(V$3&lt;0,0,N(INDEX('CURVA PREVISION'!$A$1:$KZ$3000,$C6,10+3*MIN(V$3,$D$2-1)))))</f>
        <v/>
      </c>
      <c r="W6" s="130">
        <f>IF(OR($C6="",$B$2="",$D$2=0),0,IF(W$3&lt;0,0,N(INDEX('CURVA PREVISION'!$A$1:$KZ$3000,$C6,10+3*MIN(W$3,$D$2-1)))))</f>
        <v/>
      </c>
      <c r="X6" s="130">
        <f>IF(OR($C6="",$B$2="",$D$2=0),0,IF(X$3&lt;0,0,N(INDEX('CURVA PREVISION'!$A$1:$KZ$3000,$C6,10+3*MIN(X$3,$D$2-1)))))</f>
        <v/>
      </c>
      <c r="Y6" s="130">
        <f>IF(OR($C6="",$B$2="",$D$2=0),0,IF(Y$3&lt;0,0,N(INDEX('CURVA PREVISION'!$A$1:$KZ$3000,$C6,10+3*MIN(Y$3,$D$2-1)))))</f>
        <v/>
      </c>
      <c r="Z6" s="130">
        <f>IF(OR($C6="",$B$2="",$D$2=0),0,IF(Z$3&lt;0,0,N(INDEX('CURVA PREVISION'!$A$1:$KZ$3000,$C6,10+3*MIN(Z$3,$D$2-1)))))</f>
        <v/>
      </c>
      <c r="AA6" s="130">
        <f>IF(OR($C6="",$B$2="",$D$2=0),0,IF(AA$3&lt;0,0,N(INDEX('CURVA PREVISION'!$A$1:$KZ$3000,$C6,10+3*MIN(AA$3,$D$2-1)))))</f>
        <v/>
      </c>
      <c r="AB6" s="130">
        <f>IF(OR($C6="",$B$2="",$D$2=0),0,IF(AB$3&lt;0,0,N(INDEX('CURVA PREVISION'!$A$1:$KZ$3000,$C6,10+3*MIN(AB$3,$D$2-1)))))</f>
        <v/>
      </c>
      <c r="AC6" s="130">
        <f>IF(OR($C6="",$B$2="",$D$2=0),0,IF(AC$3&lt;0,0,N(INDEX('CURVA PREVISION'!$A$1:$KZ$3000,$C6,10+3*MIN(AC$3,$D$2-1)))))</f>
        <v/>
      </c>
      <c r="AD6" s="130">
        <f>IF(OR($C6="",$B$2="",$D$2=0),0,IF(AD$3&lt;0,0,N(INDEX('CURVA PREVISION'!$A$1:$KZ$3000,$C6,10+3*MIN(AD$3,$D$2-1)))))</f>
        <v/>
      </c>
      <c r="AE6" s="130">
        <f>IF(OR($C6="",$B$2="",$D$2=0),0,IF(AE$3&lt;0,0,N(INDEX('CURVA PREVISION'!$A$1:$KZ$3000,$C6,10+3*MIN(AE$3,$D$2-1)))))</f>
        <v/>
      </c>
      <c r="AF6" s="130">
        <f>IF(OR($C6="",$B$2="",$D$2=0),0,IF(AF$3&lt;0,0,N(INDEX('CURVA PREVISION'!$A$1:$KZ$3000,$C6,10+3*MIN(AF$3,$D$2-1)))))</f>
        <v/>
      </c>
      <c r="AG6" s="130">
        <f>IF(OR($C6="",$B$2="",$D$2=0),0,IF(AG$3&lt;0,0,N(INDEX('CURVA PREVISION'!$A$1:$KZ$3000,$C6,10+3*MIN(AG$3,$D$2-1)))))</f>
        <v/>
      </c>
      <c r="AH6" s="130">
        <f>IF(OR($C6="",$B$2="",$D$2=0),0,IF(AH$3&lt;0,0,N(INDEX('CURVA PREVISION'!$A$1:$KZ$3000,$C6,10+3*MIN(AH$3,$D$2-1)))))</f>
        <v/>
      </c>
      <c r="AI6" s="130">
        <f>IF(OR($C6="",$B$2="",$D$2=0),0,IF(AI$3&lt;0,0,N(INDEX('CURVA PREVISION'!$A$1:$KZ$3000,$C6,10+3*MIN(AI$3,$D$2-1)))))</f>
        <v/>
      </c>
      <c r="AJ6" s="130">
        <f>IF(OR($C6="",$B$2="",$D$2=0),0,IF(AJ$3&lt;0,0,N(INDEX('CURVA PREVISION'!$A$1:$KZ$3000,$C6,10+3*MIN(AJ$3,$D$2-1)))))</f>
        <v/>
      </c>
      <c r="AK6" s="130">
        <f>IF(OR($C6="",$B$2="",$D$2=0),0,IF(AK$3&lt;0,0,N(INDEX('CURVA PREVISION'!$A$1:$KZ$3000,$C6,10+3*MIN(AK$3,$D$2-1)))))</f>
        <v/>
      </c>
      <c r="AL6" s="130">
        <f>IF(OR($C6="",$B$2="",$D$2=0),0,IF(AL$3&lt;0,0,N(INDEX('CURVA PREVISION'!$A$1:$KZ$3000,$C6,10+3*MIN(AL$3,$D$2-1)))))</f>
        <v/>
      </c>
      <c r="AM6" s="130">
        <f>IF(OR($C6="",$B$2="",$D$2=0),0,IF(AM$3&lt;0,0,N(INDEX('CURVA PREVISION'!$A$1:$KZ$3000,$C6,10+3*MIN(AM$3,$D$2-1)))))</f>
        <v/>
      </c>
      <c r="AN6" s="130">
        <f>IF(OR($C6="",$B$2="",$D$2=0),0,IF(AN$3&lt;0,0,N(INDEX('CURVA PREVISION'!$A$1:$KZ$3000,$C6,10+3*MIN(AN$3,$D$2-1)))))</f>
        <v/>
      </c>
      <c r="AO6" s="130">
        <f>IF(OR($C6="",$B$2="",$D$2=0),0,IF(AO$3&lt;0,0,N(INDEX('CURVA PREVISION'!$A$1:$KZ$3000,$C6,10+3*MIN(AO$3,$D$2-1)))))</f>
        <v/>
      </c>
      <c r="AP6" s="130">
        <f>IF(OR($C6="",$B$2="",$D$2=0),0,IF(AP$3&lt;0,0,N(INDEX('CURVA PREVISION'!$A$1:$KZ$3000,$C6,10+3*MIN(AP$3,$D$2-1)))))</f>
        <v/>
      </c>
      <c r="AQ6" s="130">
        <f>IF(OR($C6="",$B$2="",$D$2=0),0,IF(AQ$3&lt;0,0,N(INDEX('CURVA PREVISION'!$A$1:$KZ$3000,$C6,10+3*MIN(AQ$3,$D$2-1)))))</f>
        <v/>
      </c>
      <c r="AR6" s="130">
        <f>IF(OR($C6="",$B$2="",$D$2=0),0,IF(AR$3&lt;0,0,N(INDEX('CURVA PREVISION'!$A$1:$KZ$3000,$C6,10+3*MIN(AR$3,$D$2-1)))))</f>
        <v/>
      </c>
      <c r="AS6" s="130">
        <f>IF(OR($C6="",$B$2="",$D$2=0),0,IF(AS$3&lt;0,0,N(INDEX('CURVA PREVISION'!$A$1:$KZ$3000,$C6,10+3*MIN(AS$3,$D$2-1)))))</f>
        <v/>
      </c>
      <c r="AT6" s="130">
        <f>IF(OR($C6="",$B$2="",$D$2=0),0,IF(AT$3&lt;0,0,N(INDEX('CURVA PREVISION'!$A$1:$KZ$3000,$C6,10+3*MIN(AT$3,$D$2-1)))))</f>
        <v/>
      </c>
      <c r="AU6" s="130">
        <f>IF(OR($C6="",$B$2="",$D$2=0),0,IF(AU$3&lt;0,0,N(INDEX('CURVA PREVISION'!$A$1:$KZ$3000,$C6,10+3*MIN(AU$3,$D$2-1)))))</f>
        <v/>
      </c>
      <c r="AV6" s="130">
        <f>IF(OR($C6="",$B$2="",$D$2=0),0,IF(AV$3&lt;0,0,N(INDEX('CURVA PREVISION'!$A$1:$KZ$3000,$C6,10+3*MIN(AV$3,$D$2-1)))))</f>
        <v/>
      </c>
      <c r="AW6" s="130">
        <f>IF(OR($C6="",$B$2="",$D$2=0),0,IF(AW$3&lt;0,0,N(INDEX('CURVA PREVISION'!$A$1:$KZ$3000,$C6,10+3*MIN(AW$3,$D$2-1)))))</f>
        <v/>
      </c>
      <c r="AX6" s="130">
        <f>IF(OR($C6="",$B$2="",$D$2=0),0,IF(AX$3&lt;0,0,N(INDEX('CURVA PREVISION'!$A$1:$KZ$3000,$C6,10+3*MIN(AX$3,$D$2-1)))))</f>
        <v/>
      </c>
      <c r="AY6" s="130">
        <f>IF(OR($C6="",$B$2="",$D$2=0),0,IF(AY$3&lt;0,0,N(INDEX('CURVA PREVISION'!$A$1:$KZ$3000,$C6,10+3*MIN(AY$3,$D$2-1)))))</f>
        <v/>
      </c>
      <c r="AZ6" s="130">
        <f>IF(OR($C6="",$B$2="",$D$2=0),0,IF(AZ$3&lt;0,0,N(INDEX('CURVA PREVISION'!$A$1:$KZ$3000,$C6,10+3*MIN(AZ$3,$D$2-1)))))</f>
        <v/>
      </c>
      <c r="BA6" s="130">
        <f>IF(OR($C6="",$B$2="",$D$2=0),0,IF(BA$3&lt;0,0,N(INDEX('CURVA PREVISION'!$A$1:$KZ$3000,$C6,10+3*MIN(BA$3,$D$2-1)))))</f>
        <v/>
      </c>
      <c r="BB6" s="130">
        <f>IF(OR($C6="",$B$2="",$D$2=0),0,IF(BB$3&lt;0,0,N(INDEX('CURVA PREVISION'!$A$1:$KZ$3000,$C6,10+3*MIN(BB$3,$D$2-1)))))</f>
        <v/>
      </c>
      <c r="BC6" s="130">
        <f>IF(OR($C6="",$B$2="",$D$2=0),0,IF(BC$3&lt;0,0,N(INDEX('CURVA PREVISION'!$A$1:$KZ$3000,$C6,10+3*MIN(BC$3,$D$2-1)))))</f>
        <v/>
      </c>
      <c r="BD6" s="130">
        <f>IF(OR($C6="",$B$2="",$D$2=0),0,IF(BD$3&lt;0,0,N(INDEX('CURVA PREVISION'!$A$1:$KZ$3000,$C6,10+3*MIN(BD$3,$D$2-1)))))</f>
        <v/>
      </c>
      <c r="BE6" s="130">
        <f>IF(OR($C6="",$B$2="",$D$2=0),0,IF(BE$3&lt;0,0,N(INDEX('CURVA PREVISION'!$A$1:$KZ$3000,$C6,10+3*MIN(BE$3,$D$2-1)))))</f>
        <v/>
      </c>
      <c r="BF6" s="130">
        <f>IF(OR($C6="",$B$2="",$D$2=0),0,IF(BF$3&lt;0,0,N(INDEX('CURVA PREVISION'!$A$1:$KZ$3000,$C6,10+3*MIN(BF$3,$D$2-1)))))</f>
        <v/>
      </c>
      <c r="BG6" s="130">
        <f>IF(OR($C6="",$B$2="",$D$2=0),0,IF(BG$3&lt;0,0,N(INDEX('CURVA PREVISION'!$A$1:$KZ$3000,$C6,10+3*MIN(BG$3,$D$2-1)))))</f>
        <v/>
      </c>
      <c r="BH6" s="130">
        <f>IF(OR($C6="",$B$2="",$D$2=0),0,IF(BH$3&lt;0,0,N(INDEX('CURVA PREVISION'!$A$1:$KZ$3000,$C6,10+3*MIN(BH$3,$D$2-1)))))</f>
        <v/>
      </c>
      <c r="BI6" s="130">
        <f>IF(OR($C6="",$B$2="",$D$2=0),0,IF(BI$3&lt;0,0,N(INDEX('CURVA PREVISION'!$A$1:$KZ$3000,$C6,10+3*MIN(BI$3,$D$2-1)))))</f>
        <v/>
      </c>
      <c r="BJ6" s="130">
        <f>IF(OR($C6="",$B$2="",$D$2=0),0,IF(BJ$3&lt;0,0,N(INDEX('CURVA PREVISION'!$A$1:$KZ$3000,$C6,10+3*MIN(BJ$3,$D$2-1)))))</f>
        <v/>
      </c>
      <c r="BK6" s="130">
        <f>IF(OR($C6="",$B$2="",$D$2=0),0,IF(BK$3&lt;0,0,N(INDEX('CURVA PREVISION'!$A$1:$KZ$3000,$C6,10+3*MIN(BK$3,$D$2-1)))))</f>
        <v/>
      </c>
      <c r="BL6" s="130">
        <f>IF(OR($C6="",$B$2="",$D$2=0),0,IF(BL$3&lt;0,0,N(INDEX('CURVA PREVISION'!$A$1:$KZ$3000,$C6,10+3*MIN(BL$3,$D$2-1)))))</f>
        <v/>
      </c>
      <c r="BM6" s="130">
        <f>IF(OR($C6="",$B$2="",$D$2=0),0,IF(BM$3&lt;0,0,N(INDEX('CURVA PREVISION'!$A$1:$KZ$3000,$C6,10+3*MIN(BM$3,$D$2-1)))))</f>
        <v/>
      </c>
      <c r="BN6" s="130">
        <f>IF(OR($C6="",$B$2="",$D$2=0),0,IF(BN$3&lt;0,0,N(INDEX('CURVA PREVISION'!$A$1:$KZ$3000,$C6,10+3*MIN(BN$3,$D$2-1)))))</f>
        <v/>
      </c>
      <c r="BO6" s="130">
        <f>IF(OR($C6="",$B$2="",$D$2=0),0,IF(BO$3&lt;0,0,N(INDEX('CURVA PREVISION'!$A$1:$KZ$3000,$C6,10+3*MIN(BO$3,$D$2-1)))))</f>
        <v/>
      </c>
      <c r="BP6" s="130">
        <f>IF(OR($C6="",$B$2="",$D$2=0),0,IF(BP$3&lt;0,0,N(INDEX('CURVA PREVISION'!$A$1:$KZ$3000,$C6,10+3*MIN(BP$3,$D$2-1)))))</f>
        <v/>
      </c>
      <c r="BQ6" s="130">
        <f>IF(OR($C6="",$B$2="",$D$2=0),0,IF(BQ$3&lt;0,0,N(INDEX('CURVA PREVISION'!$A$1:$KZ$3000,$C6,10+3*MIN(BQ$3,$D$2-1)))))</f>
        <v/>
      </c>
      <c r="BR6" s="130">
        <f>IF(OR($C6="",$B$2="",$D$2=0),0,IF(BR$3&lt;0,0,N(INDEX('CURVA PREVISION'!$A$1:$KZ$3000,$C6,10+3*MIN(BR$3,$D$2-1)))))</f>
        <v/>
      </c>
      <c r="BS6" s="130">
        <f>IF(OR($C6="",$B$2="",$D$2=0),0,IF(BS$3&lt;0,0,N(INDEX('CURVA PREVISION'!$A$1:$KZ$3000,$C6,10+3*MIN(BS$3,$D$2-1)))))</f>
        <v/>
      </c>
      <c r="BT6" s="130">
        <f>IF(OR($C6="",$B$2="",$D$2=0),0,IF(BT$3&lt;0,0,N(INDEX('CURVA PREVISION'!$A$1:$KZ$3000,$C6,10+3*MIN(BT$3,$D$2-1)))))</f>
        <v/>
      </c>
      <c r="BU6" s="130">
        <f>IF(OR($C6="",$B$2="",$D$2=0),0,IF(BU$3&lt;0,0,N(INDEX('CURVA PREVISION'!$A$1:$KZ$3000,$C6,10+3*MIN(BU$3,$D$2-1)))))</f>
        <v/>
      </c>
      <c r="BV6" s="130">
        <f>IF(OR($C6="",$B$2="",$D$2=0),0,IF(BV$3&lt;0,0,N(INDEX('CURVA PREVISION'!$A$1:$KZ$3000,$C6,10+3*MIN(BV$3,$D$2-1)))))</f>
        <v/>
      </c>
      <c r="BW6" s="130">
        <f>IF(OR($C6="",$B$2="",$D$2=0),0,IF(BW$3&lt;0,0,N(INDEX('CURVA PREVISION'!$A$1:$KZ$3000,$C6,10+3*MIN(BW$3,$D$2-1)))))</f>
        <v/>
      </c>
    </row>
    <row r="7">
      <c r="A7" s="61">
        <f>IF('VALOR POR PL'!R13&lt;&gt;"",'VALOR POR PL'!R13,IF('VALOR POR PL'!Q13="",'VALOR POR PL'!C13,'VALOR POR PL'!Q13))</f>
        <v/>
      </c>
      <c r="B7" s="61">
        <f>'VALOR POR PL'!D13</f>
        <v/>
      </c>
      <c r="C7" s="70">
        <f>IFERROR(MATCH(A7,'CURVA PREVISION'!$B$1:$B$3000,0),"")</f>
        <v/>
      </c>
      <c r="D7" s="130">
        <f>IF(OR($C7="",$B$2="",$D$2=0),0,IF(D$3&lt;0,0,N(INDEX('CURVA PREVISION'!$A$1:$KZ$3000,$C7,10+3*MIN(D$3,$D$2-1)))))</f>
        <v/>
      </c>
      <c r="E7" s="130">
        <f>IF(OR($C7="",$B$2="",$D$2=0),0,IF(E$3&lt;0,0,N(INDEX('CURVA PREVISION'!$A$1:$KZ$3000,$C7,10+3*MIN(E$3,$D$2-1)))))</f>
        <v/>
      </c>
      <c r="F7" s="130">
        <f>IF(OR($C7="",$B$2="",$D$2=0),0,IF(F$3&lt;0,0,N(INDEX('CURVA PREVISION'!$A$1:$KZ$3000,$C7,10+3*MIN(F$3,$D$2-1)))))</f>
        <v/>
      </c>
      <c r="G7" s="130">
        <f>IF(OR($C7="",$B$2="",$D$2=0),0,IF(G$3&lt;0,0,N(INDEX('CURVA PREVISION'!$A$1:$KZ$3000,$C7,10+3*MIN(G$3,$D$2-1)))))</f>
        <v/>
      </c>
      <c r="H7" s="130">
        <f>IF(OR($C7="",$B$2="",$D$2=0),0,IF(H$3&lt;0,0,N(INDEX('CURVA PREVISION'!$A$1:$KZ$3000,$C7,10+3*MIN(H$3,$D$2-1)))))</f>
        <v/>
      </c>
      <c r="I7" s="130">
        <f>IF(OR($C7="",$B$2="",$D$2=0),0,IF(I$3&lt;0,0,N(INDEX('CURVA PREVISION'!$A$1:$KZ$3000,$C7,10+3*MIN(I$3,$D$2-1)))))</f>
        <v/>
      </c>
      <c r="J7" s="130">
        <f>IF(OR($C7="",$B$2="",$D$2=0),0,IF(J$3&lt;0,0,N(INDEX('CURVA PREVISION'!$A$1:$KZ$3000,$C7,10+3*MIN(J$3,$D$2-1)))))</f>
        <v/>
      </c>
      <c r="K7" s="130">
        <f>IF(OR($C7="",$B$2="",$D$2=0),0,IF(K$3&lt;0,0,N(INDEX('CURVA PREVISION'!$A$1:$KZ$3000,$C7,10+3*MIN(K$3,$D$2-1)))))</f>
        <v/>
      </c>
      <c r="L7" s="130">
        <f>IF(OR($C7="",$B$2="",$D$2=0),0,IF(L$3&lt;0,0,N(INDEX('CURVA PREVISION'!$A$1:$KZ$3000,$C7,10+3*MIN(L$3,$D$2-1)))))</f>
        <v/>
      </c>
      <c r="M7" s="130">
        <f>IF(OR($C7="",$B$2="",$D$2=0),0,IF(M$3&lt;0,0,N(INDEX('CURVA PREVISION'!$A$1:$KZ$3000,$C7,10+3*MIN(M$3,$D$2-1)))))</f>
        <v/>
      </c>
      <c r="N7" s="130">
        <f>IF(OR($C7="",$B$2="",$D$2=0),0,IF(N$3&lt;0,0,N(INDEX('CURVA PREVISION'!$A$1:$KZ$3000,$C7,10+3*MIN(N$3,$D$2-1)))))</f>
        <v/>
      </c>
      <c r="O7" s="130">
        <f>IF(OR($C7="",$B$2="",$D$2=0),0,IF(O$3&lt;0,0,N(INDEX('CURVA PREVISION'!$A$1:$KZ$3000,$C7,10+3*MIN(O$3,$D$2-1)))))</f>
        <v/>
      </c>
      <c r="P7" s="130">
        <f>IF(OR($C7="",$B$2="",$D$2=0),0,IF(P$3&lt;0,0,N(INDEX('CURVA PREVISION'!$A$1:$KZ$3000,$C7,10+3*MIN(P$3,$D$2-1)))))</f>
        <v/>
      </c>
      <c r="Q7" s="130">
        <f>IF(OR($C7="",$B$2="",$D$2=0),0,IF(Q$3&lt;0,0,N(INDEX('CURVA PREVISION'!$A$1:$KZ$3000,$C7,10+3*MIN(Q$3,$D$2-1)))))</f>
        <v/>
      </c>
      <c r="R7" s="130">
        <f>IF(OR($C7="",$B$2="",$D$2=0),0,IF(R$3&lt;0,0,N(INDEX('CURVA PREVISION'!$A$1:$KZ$3000,$C7,10+3*MIN(R$3,$D$2-1)))))</f>
        <v/>
      </c>
      <c r="S7" s="130">
        <f>IF(OR($C7="",$B$2="",$D$2=0),0,IF(S$3&lt;0,0,N(INDEX('CURVA PREVISION'!$A$1:$KZ$3000,$C7,10+3*MIN(S$3,$D$2-1)))))</f>
        <v/>
      </c>
      <c r="T7" s="130">
        <f>IF(OR($C7="",$B$2="",$D$2=0),0,IF(T$3&lt;0,0,N(INDEX('CURVA PREVISION'!$A$1:$KZ$3000,$C7,10+3*MIN(T$3,$D$2-1)))))</f>
        <v/>
      </c>
      <c r="U7" s="130">
        <f>IF(OR($C7="",$B$2="",$D$2=0),0,IF(U$3&lt;0,0,N(INDEX('CURVA PREVISION'!$A$1:$KZ$3000,$C7,10+3*MIN(U$3,$D$2-1)))))</f>
        <v/>
      </c>
      <c r="V7" s="130">
        <f>IF(OR($C7="",$B$2="",$D$2=0),0,IF(V$3&lt;0,0,N(INDEX('CURVA PREVISION'!$A$1:$KZ$3000,$C7,10+3*MIN(V$3,$D$2-1)))))</f>
        <v/>
      </c>
      <c r="W7" s="130">
        <f>IF(OR($C7="",$B$2="",$D$2=0),0,IF(W$3&lt;0,0,N(INDEX('CURVA PREVISION'!$A$1:$KZ$3000,$C7,10+3*MIN(W$3,$D$2-1)))))</f>
        <v/>
      </c>
      <c r="X7" s="130">
        <f>IF(OR($C7="",$B$2="",$D$2=0),0,IF(X$3&lt;0,0,N(INDEX('CURVA PREVISION'!$A$1:$KZ$3000,$C7,10+3*MIN(X$3,$D$2-1)))))</f>
        <v/>
      </c>
      <c r="Y7" s="130">
        <f>IF(OR($C7="",$B$2="",$D$2=0),0,IF(Y$3&lt;0,0,N(INDEX('CURVA PREVISION'!$A$1:$KZ$3000,$C7,10+3*MIN(Y$3,$D$2-1)))))</f>
        <v/>
      </c>
      <c r="Z7" s="130">
        <f>IF(OR($C7="",$B$2="",$D$2=0),0,IF(Z$3&lt;0,0,N(INDEX('CURVA PREVISION'!$A$1:$KZ$3000,$C7,10+3*MIN(Z$3,$D$2-1)))))</f>
        <v/>
      </c>
      <c r="AA7" s="130">
        <f>IF(OR($C7="",$B$2="",$D$2=0),0,IF(AA$3&lt;0,0,N(INDEX('CURVA PREVISION'!$A$1:$KZ$3000,$C7,10+3*MIN(AA$3,$D$2-1)))))</f>
        <v/>
      </c>
      <c r="AB7" s="130">
        <f>IF(OR($C7="",$B$2="",$D$2=0),0,IF(AB$3&lt;0,0,N(INDEX('CURVA PREVISION'!$A$1:$KZ$3000,$C7,10+3*MIN(AB$3,$D$2-1)))))</f>
        <v/>
      </c>
      <c r="AC7" s="130">
        <f>IF(OR($C7="",$B$2="",$D$2=0),0,IF(AC$3&lt;0,0,N(INDEX('CURVA PREVISION'!$A$1:$KZ$3000,$C7,10+3*MIN(AC$3,$D$2-1)))))</f>
        <v/>
      </c>
      <c r="AD7" s="130">
        <f>IF(OR($C7="",$B$2="",$D$2=0),0,IF(AD$3&lt;0,0,N(INDEX('CURVA PREVISION'!$A$1:$KZ$3000,$C7,10+3*MIN(AD$3,$D$2-1)))))</f>
        <v/>
      </c>
      <c r="AE7" s="130">
        <f>IF(OR($C7="",$B$2="",$D$2=0),0,IF(AE$3&lt;0,0,N(INDEX('CURVA PREVISION'!$A$1:$KZ$3000,$C7,10+3*MIN(AE$3,$D$2-1)))))</f>
        <v/>
      </c>
      <c r="AF7" s="130">
        <f>IF(OR($C7="",$B$2="",$D$2=0),0,IF(AF$3&lt;0,0,N(INDEX('CURVA PREVISION'!$A$1:$KZ$3000,$C7,10+3*MIN(AF$3,$D$2-1)))))</f>
        <v/>
      </c>
      <c r="AG7" s="130">
        <f>IF(OR($C7="",$B$2="",$D$2=0),0,IF(AG$3&lt;0,0,N(INDEX('CURVA PREVISION'!$A$1:$KZ$3000,$C7,10+3*MIN(AG$3,$D$2-1)))))</f>
        <v/>
      </c>
      <c r="AH7" s="130">
        <f>IF(OR($C7="",$B$2="",$D$2=0),0,IF(AH$3&lt;0,0,N(INDEX('CURVA PREVISION'!$A$1:$KZ$3000,$C7,10+3*MIN(AH$3,$D$2-1)))))</f>
        <v/>
      </c>
      <c r="AI7" s="130">
        <f>IF(OR($C7="",$B$2="",$D$2=0),0,IF(AI$3&lt;0,0,N(INDEX('CURVA PREVISION'!$A$1:$KZ$3000,$C7,10+3*MIN(AI$3,$D$2-1)))))</f>
        <v/>
      </c>
      <c r="AJ7" s="130">
        <f>IF(OR($C7="",$B$2="",$D$2=0),0,IF(AJ$3&lt;0,0,N(INDEX('CURVA PREVISION'!$A$1:$KZ$3000,$C7,10+3*MIN(AJ$3,$D$2-1)))))</f>
        <v/>
      </c>
      <c r="AK7" s="130">
        <f>IF(OR($C7="",$B$2="",$D$2=0),0,IF(AK$3&lt;0,0,N(INDEX('CURVA PREVISION'!$A$1:$KZ$3000,$C7,10+3*MIN(AK$3,$D$2-1)))))</f>
        <v/>
      </c>
      <c r="AL7" s="130">
        <f>IF(OR($C7="",$B$2="",$D$2=0),0,IF(AL$3&lt;0,0,N(INDEX('CURVA PREVISION'!$A$1:$KZ$3000,$C7,10+3*MIN(AL$3,$D$2-1)))))</f>
        <v/>
      </c>
      <c r="AM7" s="130">
        <f>IF(OR($C7="",$B$2="",$D$2=0),0,IF(AM$3&lt;0,0,N(INDEX('CURVA PREVISION'!$A$1:$KZ$3000,$C7,10+3*MIN(AM$3,$D$2-1)))))</f>
        <v/>
      </c>
      <c r="AN7" s="130">
        <f>IF(OR($C7="",$B$2="",$D$2=0),0,IF(AN$3&lt;0,0,N(INDEX('CURVA PREVISION'!$A$1:$KZ$3000,$C7,10+3*MIN(AN$3,$D$2-1)))))</f>
        <v/>
      </c>
      <c r="AO7" s="130">
        <f>IF(OR($C7="",$B$2="",$D$2=0),0,IF(AO$3&lt;0,0,N(INDEX('CURVA PREVISION'!$A$1:$KZ$3000,$C7,10+3*MIN(AO$3,$D$2-1)))))</f>
        <v/>
      </c>
      <c r="AP7" s="130">
        <f>IF(OR($C7="",$B$2="",$D$2=0),0,IF(AP$3&lt;0,0,N(INDEX('CURVA PREVISION'!$A$1:$KZ$3000,$C7,10+3*MIN(AP$3,$D$2-1)))))</f>
        <v/>
      </c>
      <c r="AQ7" s="130">
        <f>IF(OR($C7="",$B$2="",$D$2=0),0,IF(AQ$3&lt;0,0,N(INDEX('CURVA PREVISION'!$A$1:$KZ$3000,$C7,10+3*MIN(AQ$3,$D$2-1)))))</f>
        <v/>
      </c>
      <c r="AR7" s="130">
        <f>IF(OR($C7="",$B$2="",$D$2=0),0,IF(AR$3&lt;0,0,N(INDEX('CURVA PREVISION'!$A$1:$KZ$3000,$C7,10+3*MIN(AR$3,$D$2-1)))))</f>
        <v/>
      </c>
      <c r="AS7" s="130">
        <f>IF(OR($C7="",$B$2="",$D$2=0),0,IF(AS$3&lt;0,0,N(INDEX('CURVA PREVISION'!$A$1:$KZ$3000,$C7,10+3*MIN(AS$3,$D$2-1)))))</f>
        <v/>
      </c>
      <c r="AT7" s="130">
        <f>IF(OR($C7="",$B$2="",$D$2=0),0,IF(AT$3&lt;0,0,N(INDEX('CURVA PREVISION'!$A$1:$KZ$3000,$C7,10+3*MIN(AT$3,$D$2-1)))))</f>
        <v/>
      </c>
      <c r="AU7" s="130">
        <f>IF(OR($C7="",$B$2="",$D$2=0),0,IF(AU$3&lt;0,0,N(INDEX('CURVA PREVISION'!$A$1:$KZ$3000,$C7,10+3*MIN(AU$3,$D$2-1)))))</f>
        <v/>
      </c>
      <c r="AV7" s="130">
        <f>IF(OR($C7="",$B$2="",$D$2=0),0,IF(AV$3&lt;0,0,N(INDEX('CURVA PREVISION'!$A$1:$KZ$3000,$C7,10+3*MIN(AV$3,$D$2-1)))))</f>
        <v/>
      </c>
      <c r="AW7" s="130">
        <f>IF(OR($C7="",$B$2="",$D$2=0),0,IF(AW$3&lt;0,0,N(INDEX('CURVA PREVISION'!$A$1:$KZ$3000,$C7,10+3*MIN(AW$3,$D$2-1)))))</f>
        <v/>
      </c>
      <c r="AX7" s="130">
        <f>IF(OR($C7="",$B$2="",$D$2=0),0,IF(AX$3&lt;0,0,N(INDEX('CURVA PREVISION'!$A$1:$KZ$3000,$C7,10+3*MIN(AX$3,$D$2-1)))))</f>
        <v/>
      </c>
      <c r="AY7" s="130">
        <f>IF(OR($C7="",$B$2="",$D$2=0),0,IF(AY$3&lt;0,0,N(INDEX('CURVA PREVISION'!$A$1:$KZ$3000,$C7,10+3*MIN(AY$3,$D$2-1)))))</f>
        <v/>
      </c>
      <c r="AZ7" s="130">
        <f>IF(OR($C7="",$B$2="",$D$2=0),0,IF(AZ$3&lt;0,0,N(INDEX('CURVA PREVISION'!$A$1:$KZ$3000,$C7,10+3*MIN(AZ$3,$D$2-1)))))</f>
        <v/>
      </c>
      <c r="BA7" s="130">
        <f>IF(OR($C7="",$B$2="",$D$2=0),0,IF(BA$3&lt;0,0,N(INDEX('CURVA PREVISION'!$A$1:$KZ$3000,$C7,10+3*MIN(BA$3,$D$2-1)))))</f>
        <v/>
      </c>
      <c r="BB7" s="130">
        <f>IF(OR($C7="",$B$2="",$D$2=0),0,IF(BB$3&lt;0,0,N(INDEX('CURVA PREVISION'!$A$1:$KZ$3000,$C7,10+3*MIN(BB$3,$D$2-1)))))</f>
        <v/>
      </c>
      <c r="BC7" s="130">
        <f>IF(OR($C7="",$B$2="",$D$2=0),0,IF(BC$3&lt;0,0,N(INDEX('CURVA PREVISION'!$A$1:$KZ$3000,$C7,10+3*MIN(BC$3,$D$2-1)))))</f>
        <v/>
      </c>
      <c r="BD7" s="130">
        <f>IF(OR($C7="",$B$2="",$D$2=0),0,IF(BD$3&lt;0,0,N(INDEX('CURVA PREVISION'!$A$1:$KZ$3000,$C7,10+3*MIN(BD$3,$D$2-1)))))</f>
        <v/>
      </c>
      <c r="BE7" s="130">
        <f>IF(OR($C7="",$B$2="",$D$2=0),0,IF(BE$3&lt;0,0,N(INDEX('CURVA PREVISION'!$A$1:$KZ$3000,$C7,10+3*MIN(BE$3,$D$2-1)))))</f>
        <v/>
      </c>
      <c r="BF7" s="130">
        <f>IF(OR($C7="",$B$2="",$D$2=0),0,IF(BF$3&lt;0,0,N(INDEX('CURVA PREVISION'!$A$1:$KZ$3000,$C7,10+3*MIN(BF$3,$D$2-1)))))</f>
        <v/>
      </c>
      <c r="BG7" s="130">
        <f>IF(OR($C7="",$B$2="",$D$2=0),0,IF(BG$3&lt;0,0,N(INDEX('CURVA PREVISION'!$A$1:$KZ$3000,$C7,10+3*MIN(BG$3,$D$2-1)))))</f>
        <v/>
      </c>
      <c r="BH7" s="130">
        <f>IF(OR($C7="",$B$2="",$D$2=0),0,IF(BH$3&lt;0,0,N(INDEX('CURVA PREVISION'!$A$1:$KZ$3000,$C7,10+3*MIN(BH$3,$D$2-1)))))</f>
        <v/>
      </c>
      <c r="BI7" s="130">
        <f>IF(OR($C7="",$B$2="",$D$2=0),0,IF(BI$3&lt;0,0,N(INDEX('CURVA PREVISION'!$A$1:$KZ$3000,$C7,10+3*MIN(BI$3,$D$2-1)))))</f>
        <v/>
      </c>
      <c r="BJ7" s="130">
        <f>IF(OR($C7="",$B$2="",$D$2=0),0,IF(BJ$3&lt;0,0,N(INDEX('CURVA PREVISION'!$A$1:$KZ$3000,$C7,10+3*MIN(BJ$3,$D$2-1)))))</f>
        <v/>
      </c>
      <c r="BK7" s="130">
        <f>IF(OR($C7="",$B$2="",$D$2=0),0,IF(BK$3&lt;0,0,N(INDEX('CURVA PREVISION'!$A$1:$KZ$3000,$C7,10+3*MIN(BK$3,$D$2-1)))))</f>
        <v/>
      </c>
      <c r="BL7" s="130">
        <f>IF(OR($C7="",$B$2="",$D$2=0),0,IF(BL$3&lt;0,0,N(INDEX('CURVA PREVISION'!$A$1:$KZ$3000,$C7,10+3*MIN(BL$3,$D$2-1)))))</f>
        <v/>
      </c>
      <c r="BM7" s="130">
        <f>IF(OR($C7="",$B$2="",$D$2=0),0,IF(BM$3&lt;0,0,N(INDEX('CURVA PREVISION'!$A$1:$KZ$3000,$C7,10+3*MIN(BM$3,$D$2-1)))))</f>
        <v/>
      </c>
      <c r="BN7" s="130">
        <f>IF(OR($C7="",$B$2="",$D$2=0),0,IF(BN$3&lt;0,0,N(INDEX('CURVA PREVISION'!$A$1:$KZ$3000,$C7,10+3*MIN(BN$3,$D$2-1)))))</f>
        <v/>
      </c>
      <c r="BO7" s="130">
        <f>IF(OR($C7="",$B$2="",$D$2=0),0,IF(BO$3&lt;0,0,N(INDEX('CURVA PREVISION'!$A$1:$KZ$3000,$C7,10+3*MIN(BO$3,$D$2-1)))))</f>
        <v/>
      </c>
      <c r="BP7" s="130">
        <f>IF(OR($C7="",$B$2="",$D$2=0),0,IF(BP$3&lt;0,0,N(INDEX('CURVA PREVISION'!$A$1:$KZ$3000,$C7,10+3*MIN(BP$3,$D$2-1)))))</f>
        <v/>
      </c>
      <c r="BQ7" s="130">
        <f>IF(OR($C7="",$B$2="",$D$2=0),0,IF(BQ$3&lt;0,0,N(INDEX('CURVA PREVISION'!$A$1:$KZ$3000,$C7,10+3*MIN(BQ$3,$D$2-1)))))</f>
        <v/>
      </c>
      <c r="BR7" s="130">
        <f>IF(OR($C7="",$B$2="",$D$2=0),0,IF(BR$3&lt;0,0,N(INDEX('CURVA PREVISION'!$A$1:$KZ$3000,$C7,10+3*MIN(BR$3,$D$2-1)))))</f>
        <v/>
      </c>
      <c r="BS7" s="130">
        <f>IF(OR($C7="",$B$2="",$D$2=0),0,IF(BS$3&lt;0,0,N(INDEX('CURVA PREVISION'!$A$1:$KZ$3000,$C7,10+3*MIN(BS$3,$D$2-1)))))</f>
        <v/>
      </c>
      <c r="BT7" s="130">
        <f>IF(OR($C7="",$B$2="",$D$2=0),0,IF(BT$3&lt;0,0,N(INDEX('CURVA PREVISION'!$A$1:$KZ$3000,$C7,10+3*MIN(BT$3,$D$2-1)))))</f>
        <v/>
      </c>
      <c r="BU7" s="130">
        <f>IF(OR($C7="",$B$2="",$D$2=0),0,IF(BU$3&lt;0,0,N(INDEX('CURVA PREVISION'!$A$1:$KZ$3000,$C7,10+3*MIN(BU$3,$D$2-1)))))</f>
        <v/>
      </c>
      <c r="BV7" s="130">
        <f>IF(OR($C7="",$B$2="",$D$2=0),0,IF(BV$3&lt;0,0,N(INDEX('CURVA PREVISION'!$A$1:$KZ$3000,$C7,10+3*MIN(BV$3,$D$2-1)))))</f>
        <v/>
      </c>
      <c r="BW7" s="130">
        <f>IF(OR($C7="",$B$2="",$D$2=0),0,IF(BW$3&lt;0,0,N(INDEX('CURVA PREVISION'!$A$1:$KZ$3000,$C7,10+3*MIN(BW$3,$D$2-1)))))</f>
        <v/>
      </c>
    </row>
    <row r="8">
      <c r="A8" s="61">
        <f>IF('VALOR POR PL'!R14&lt;&gt;"",'VALOR POR PL'!R14,IF('VALOR POR PL'!Q14="",'VALOR POR PL'!C14,'VALOR POR PL'!Q14))</f>
        <v/>
      </c>
      <c r="B8" s="61">
        <f>'VALOR POR PL'!D14</f>
        <v/>
      </c>
      <c r="C8" s="70">
        <f>IFERROR(MATCH(A8,'CURVA PREVISION'!$B$1:$B$3000,0),"")</f>
        <v/>
      </c>
      <c r="D8" s="130">
        <f>IF(OR($C8="",$B$2="",$D$2=0),0,IF(D$3&lt;0,0,N(INDEX('CURVA PREVISION'!$A$1:$KZ$3000,$C8,10+3*MIN(D$3,$D$2-1)))))</f>
        <v/>
      </c>
      <c r="E8" s="130">
        <f>IF(OR($C8="",$B$2="",$D$2=0),0,IF(E$3&lt;0,0,N(INDEX('CURVA PREVISION'!$A$1:$KZ$3000,$C8,10+3*MIN(E$3,$D$2-1)))))</f>
        <v/>
      </c>
      <c r="F8" s="130">
        <f>IF(OR($C8="",$B$2="",$D$2=0),0,IF(F$3&lt;0,0,N(INDEX('CURVA PREVISION'!$A$1:$KZ$3000,$C8,10+3*MIN(F$3,$D$2-1)))))</f>
        <v/>
      </c>
      <c r="G8" s="130">
        <f>IF(OR($C8="",$B$2="",$D$2=0),0,IF(G$3&lt;0,0,N(INDEX('CURVA PREVISION'!$A$1:$KZ$3000,$C8,10+3*MIN(G$3,$D$2-1)))))</f>
        <v/>
      </c>
      <c r="H8" s="130">
        <f>IF(OR($C8="",$B$2="",$D$2=0),0,IF(H$3&lt;0,0,N(INDEX('CURVA PREVISION'!$A$1:$KZ$3000,$C8,10+3*MIN(H$3,$D$2-1)))))</f>
        <v/>
      </c>
      <c r="I8" s="130">
        <f>IF(OR($C8="",$B$2="",$D$2=0),0,IF(I$3&lt;0,0,N(INDEX('CURVA PREVISION'!$A$1:$KZ$3000,$C8,10+3*MIN(I$3,$D$2-1)))))</f>
        <v/>
      </c>
      <c r="J8" s="130">
        <f>IF(OR($C8="",$B$2="",$D$2=0),0,IF(J$3&lt;0,0,N(INDEX('CURVA PREVISION'!$A$1:$KZ$3000,$C8,10+3*MIN(J$3,$D$2-1)))))</f>
        <v/>
      </c>
      <c r="K8" s="130">
        <f>IF(OR($C8="",$B$2="",$D$2=0),0,IF(K$3&lt;0,0,N(INDEX('CURVA PREVISION'!$A$1:$KZ$3000,$C8,10+3*MIN(K$3,$D$2-1)))))</f>
        <v/>
      </c>
      <c r="L8" s="130">
        <f>IF(OR($C8="",$B$2="",$D$2=0),0,IF(L$3&lt;0,0,N(INDEX('CURVA PREVISION'!$A$1:$KZ$3000,$C8,10+3*MIN(L$3,$D$2-1)))))</f>
        <v/>
      </c>
      <c r="M8" s="130">
        <f>IF(OR($C8="",$B$2="",$D$2=0),0,IF(M$3&lt;0,0,N(INDEX('CURVA PREVISION'!$A$1:$KZ$3000,$C8,10+3*MIN(M$3,$D$2-1)))))</f>
        <v/>
      </c>
      <c r="N8" s="130">
        <f>IF(OR($C8="",$B$2="",$D$2=0),0,IF(N$3&lt;0,0,N(INDEX('CURVA PREVISION'!$A$1:$KZ$3000,$C8,10+3*MIN(N$3,$D$2-1)))))</f>
        <v/>
      </c>
      <c r="O8" s="130">
        <f>IF(OR($C8="",$B$2="",$D$2=0),0,IF(O$3&lt;0,0,N(INDEX('CURVA PREVISION'!$A$1:$KZ$3000,$C8,10+3*MIN(O$3,$D$2-1)))))</f>
        <v/>
      </c>
      <c r="P8" s="130">
        <f>IF(OR($C8="",$B$2="",$D$2=0),0,IF(P$3&lt;0,0,N(INDEX('CURVA PREVISION'!$A$1:$KZ$3000,$C8,10+3*MIN(P$3,$D$2-1)))))</f>
        <v/>
      </c>
      <c r="Q8" s="130">
        <f>IF(OR($C8="",$B$2="",$D$2=0),0,IF(Q$3&lt;0,0,N(INDEX('CURVA PREVISION'!$A$1:$KZ$3000,$C8,10+3*MIN(Q$3,$D$2-1)))))</f>
        <v/>
      </c>
      <c r="R8" s="130">
        <f>IF(OR($C8="",$B$2="",$D$2=0),0,IF(R$3&lt;0,0,N(INDEX('CURVA PREVISION'!$A$1:$KZ$3000,$C8,10+3*MIN(R$3,$D$2-1)))))</f>
        <v/>
      </c>
      <c r="S8" s="130">
        <f>IF(OR($C8="",$B$2="",$D$2=0),0,IF(S$3&lt;0,0,N(INDEX('CURVA PREVISION'!$A$1:$KZ$3000,$C8,10+3*MIN(S$3,$D$2-1)))))</f>
        <v/>
      </c>
      <c r="T8" s="130">
        <f>IF(OR($C8="",$B$2="",$D$2=0),0,IF(T$3&lt;0,0,N(INDEX('CURVA PREVISION'!$A$1:$KZ$3000,$C8,10+3*MIN(T$3,$D$2-1)))))</f>
        <v/>
      </c>
      <c r="U8" s="130">
        <f>IF(OR($C8="",$B$2="",$D$2=0),0,IF(U$3&lt;0,0,N(INDEX('CURVA PREVISION'!$A$1:$KZ$3000,$C8,10+3*MIN(U$3,$D$2-1)))))</f>
        <v/>
      </c>
      <c r="V8" s="130">
        <f>IF(OR($C8="",$B$2="",$D$2=0),0,IF(V$3&lt;0,0,N(INDEX('CURVA PREVISION'!$A$1:$KZ$3000,$C8,10+3*MIN(V$3,$D$2-1)))))</f>
        <v/>
      </c>
      <c r="W8" s="130">
        <f>IF(OR($C8="",$B$2="",$D$2=0),0,IF(W$3&lt;0,0,N(INDEX('CURVA PREVISION'!$A$1:$KZ$3000,$C8,10+3*MIN(W$3,$D$2-1)))))</f>
        <v/>
      </c>
      <c r="X8" s="130">
        <f>IF(OR($C8="",$B$2="",$D$2=0),0,IF(X$3&lt;0,0,N(INDEX('CURVA PREVISION'!$A$1:$KZ$3000,$C8,10+3*MIN(X$3,$D$2-1)))))</f>
        <v/>
      </c>
      <c r="Y8" s="130">
        <f>IF(OR($C8="",$B$2="",$D$2=0),0,IF(Y$3&lt;0,0,N(INDEX('CURVA PREVISION'!$A$1:$KZ$3000,$C8,10+3*MIN(Y$3,$D$2-1)))))</f>
        <v/>
      </c>
      <c r="Z8" s="130">
        <f>IF(OR($C8="",$B$2="",$D$2=0),0,IF(Z$3&lt;0,0,N(INDEX('CURVA PREVISION'!$A$1:$KZ$3000,$C8,10+3*MIN(Z$3,$D$2-1)))))</f>
        <v/>
      </c>
      <c r="AA8" s="130">
        <f>IF(OR($C8="",$B$2="",$D$2=0),0,IF(AA$3&lt;0,0,N(INDEX('CURVA PREVISION'!$A$1:$KZ$3000,$C8,10+3*MIN(AA$3,$D$2-1)))))</f>
        <v/>
      </c>
      <c r="AB8" s="130">
        <f>IF(OR($C8="",$B$2="",$D$2=0),0,IF(AB$3&lt;0,0,N(INDEX('CURVA PREVISION'!$A$1:$KZ$3000,$C8,10+3*MIN(AB$3,$D$2-1)))))</f>
        <v/>
      </c>
      <c r="AC8" s="130">
        <f>IF(OR($C8="",$B$2="",$D$2=0),0,IF(AC$3&lt;0,0,N(INDEX('CURVA PREVISION'!$A$1:$KZ$3000,$C8,10+3*MIN(AC$3,$D$2-1)))))</f>
        <v/>
      </c>
      <c r="AD8" s="130">
        <f>IF(OR($C8="",$B$2="",$D$2=0),0,IF(AD$3&lt;0,0,N(INDEX('CURVA PREVISION'!$A$1:$KZ$3000,$C8,10+3*MIN(AD$3,$D$2-1)))))</f>
        <v/>
      </c>
      <c r="AE8" s="130">
        <f>IF(OR($C8="",$B$2="",$D$2=0),0,IF(AE$3&lt;0,0,N(INDEX('CURVA PREVISION'!$A$1:$KZ$3000,$C8,10+3*MIN(AE$3,$D$2-1)))))</f>
        <v/>
      </c>
      <c r="AF8" s="130">
        <f>IF(OR($C8="",$B$2="",$D$2=0),0,IF(AF$3&lt;0,0,N(INDEX('CURVA PREVISION'!$A$1:$KZ$3000,$C8,10+3*MIN(AF$3,$D$2-1)))))</f>
        <v/>
      </c>
      <c r="AG8" s="130">
        <f>IF(OR($C8="",$B$2="",$D$2=0),0,IF(AG$3&lt;0,0,N(INDEX('CURVA PREVISION'!$A$1:$KZ$3000,$C8,10+3*MIN(AG$3,$D$2-1)))))</f>
        <v/>
      </c>
      <c r="AH8" s="130">
        <f>IF(OR($C8="",$B$2="",$D$2=0),0,IF(AH$3&lt;0,0,N(INDEX('CURVA PREVISION'!$A$1:$KZ$3000,$C8,10+3*MIN(AH$3,$D$2-1)))))</f>
        <v/>
      </c>
      <c r="AI8" s="130">
        <f>IF(OR($C8="",$B$2="",$D$2=0),0,IF(AI$3&lt;0,0,N(INDEX('CURVA PREVISION'!$A$1:$KZ$3000,$C8,10+3*MIN(AI$3,$D$2-1)))))</f>
        <v/>
      </c>
      <c r="AJ8" s="130">
        <f>IF(OR($C8="",$B$2="",$D$2=0),0,IF(AJ$3&lt;0,0,N(INDEX('CURVA PREVISION'!$A$1:$KZ$3000,$C8,10+3*MIN(AJ$3,$D$2-1)))))</f>
        <v/>
      </c>
      <c r="AK8" s="130">
        <f>IF(OR($C8="",$B$2="",$D$2=0),0,IF(AK$3&lt;0,0,N(INDEX('CURVA PREVISION'!$A$1:$KZ$3000,$C8,10+3*MIN(AK$3,$D$2-1)))))</f>
        <v/>
      </c>
      <c r="AL8" s="130">
        <f>IF(OR($C8="",$B$2="",$D$2=0),0,IF(AL$3&lt;0,0,N(INDEX('CURVA PREVISION'!$A$1:$KZ$3000,$C8,10+3*MIN(AL$3,$D$2-1)))))</f>
        <v/>
      </c>
      <c r="AM8" s="130">
        <f>IF(OR($C8="",$B$2="",$D$2=0),0,IF(AM$3&lt;0,0,N(INDEX('CURVA PREVISION'!$A$1:$KZ$3000,$C8,10+3*MIN(AM$3,$D$2-1)))))</f>
        <v/>
      </c>
      <c r="AN8" s="130">
        <f>IF(OR($C8="",$B$2="",$D$2=0),0,IF(AN$3&lt;0,0,N(INDEX('CURVA PREVISION'!$A$1:$KZ$3000,$C8,10+3*MIN(AN$3,$D$2-1)))))</f>
        <v/>
      </c>
      <c r="AO8" s="130">
        <f>IF(OR($C8="",$B$2="",$D$2=0),0,IF(AO$3&lt;0,0,N(INDEX('CURVA PREVISION'!$A$1:$KZ$3000,$C8,10+3*MIN(AO$3,$D$2-1)))))</f>
        <v/>
      </c>
      <c r="AP8" s="130">
        <f>IF(OR($C8="",$B$2="",$D$2=0),0,IF(AP$3&lt;0,0,N(INDEX('CURVA PREVISION'!$A$1:$KZ$3000,$C8,10+3*MIN(AP$3,$D$2-1)))))</f>
        <v/>
      </c>
      <c r="AQ8" s="130">
        <f>IF(OR($C8="",$B$2="",$D$2=0),0,IF(AQ$3&lt;0,0,N(INDEX('CURVA PREVISION'!$A$1:$KZ$3000,$C8,10+3*MIN(AQ$3,$D$2-1)))))</f>
        <v/>
      </c>
      <c r="AR8" s="130">
        <f>IF(OR($C8="",$B$2="",$D$2=0),0,IF(AR$3&lt;0,0,N(INDEX('CURVA PREVISION'!$A$1:$KZ$3000,$C8,10+3*MIN(AR$3,$D$2-1)))))</f>
        <v/>
      </c>
      <c r="AS8" s="130">
        <f>IF(OR($C8="",$B$2="",$D$2=0),0,IF(AS$3&lt;0,0,N(INDEX('CURVA PREVISION'!$A$1:$KZ$3000,$C8,10+3*MIN(AS$3,$D$2-1)))))</f>
        <v/>
      </c>
      <c r="AT8" s="130">
        <f>IF(OR($C8="",$B$2="",$D$2=0),0,IF(AT$3&lt;0,0,N(INDEX('CURVA PREVISION'!$A$1:$KZ$3000,$C8,10+3*MIN(AT$3,$D$2-1)))))</f>
        <v/>
      </c>
      <c r="AU8" s="130">
        <f>IF(OR($C8="",$B$2="",$D$2=0),0,IF(AU$3&lt;0,0,N(INDEX('CURVA PREVISION'!$A$1:$KZ$3000,$C8,10+3*MIN(AU$3,$D$2-1)))))</f>
        <v/>
      </c>
      <c r="AV8" s="130">
        <f>IF(OR($C8="",$B$2="",$D$2=0),0,IF(AV$3&lt;0,0,N(INDEX('CURVA PREVISION'!$A$1:$KZ$3000,$C8,10+3*MIN(AV$3,$D$2-1)))))</f>
        <v/>
      </c>
      <c r="AW8" s="130">
        <f>IF(OR($C8="",$B$2="",$D$2=0),0,IF(AW$3&lt;0,0,N(INDEX('CURVA PREVISION'!$A$1:$KZ$3000,$C8,10+3*MIN(AW$3,$D$2-1)))))</f>
        <v/>
      </c>
      <c r="AX8" s="130">
        <f>IF(OR($C8="",$B$2="",$D$2=0),0,IF(AX$3&lt;0,0,N(INDEX('CURVA PREVISION'!$A$1:$KZ$3000,$C8,10+3*MIN(AX$3,$D$2-1)))))</f>
        <v/>
      </c>
      <c r="AY8" s="130">
        <f>IF(OR($C8="",$B$2="",$D$2=0),0,IF(AY$3&lt;0,0,N(INDEX('CURVA PREVISION'!$A$1:$KZ$3000,$C8,10+3*MIN(AY$3,$D$2-1)))))</f>
        <v/>
      </c>
      <c r="AZ8" s="130">
        <f>IF(OR($C8="",$B$2="",$D$2=0),0,IF(AZ$3&lt;0,0,N(INDEX('CURVA PREVISION'!$A$1:$KZ$3000,$C8,10+3*MIN(AZ$3,$D$2-1)))))</f>
        <v/>
      </c>
      <c r="BA8" s="130">
        <f>IF(OR($C8="",$B$2="",$D$2=0),0,IF(BA$3&lt;0,0,N(INDEX('CURVA PREVISION'!$A$1:$KZ$3000,$C8,10+3*MIN(BA$3,$D$2-1)))))</f>
        <v/>
      </c>
      <c r="BB8" s="130">
        <f>IF(OR($C8="",$B$2="",$D$2=0),0,IF(BB$3&lt;0,0,N(INDEX('CURVA PREVISION'!$A$1:$KZ$3000,$C8,10+3*MIN(BB$3,$D$2-1)))))</f>
        <v/>
      </c>
      <c r="BC8" s="130">
        <f>IF(OR($C8="",$B$2="",$D$2=0),0,IF(BC$3&lt;0,0,N(INDEX('CURVA PREVISION'!$A$1:$KZ$3000,$C8,10+3*MIN(BC$3,$D$2-1)))))</f>
        <v/>
      </c>
      <c r="BD8" s="130">
        <f>IF(OR($C8="",$B$2="",$D$2=0),0,IF(BD$3&lt;0,0,N(INDEX('CURVA PREVISION'!$A$1:$KZ$3000,$C8,10+3*MIN(BD$3,$D$2-1)))))</f>
        <v/>
      </c>
      <c r="BE8" s="130">
        <f>IF(OR($C8="",$B$2="",$D$2=0),0,IF(BE$3&lt;0,0,N(INDEX('CURVA PREVISION'!$A$1:$KZ$3000,$C8,10+3*MIN(BE$3,$D$2-1)))))</f>
        <v/>
      </c>
      <c r="BF8" s="130">
        <f>IF(OR($C8="",$B$2="",$D$2=0),0,IF(BF$3&lt;0,0,N(INDEX('CURVA PREVISION'!$A$1:$KZ$3000,$C8,10+3*MIN(BF$3,$D$2-1)))))</f>
        <v/>
      </c>
      <c r="BG8" s="130">
        <f>IF(OR($C8="",$B$2="",$D$2=0),0,IF(BG$3&lt;0,0,N(INDEX('CURVA PREVISION'!$A$1:$KZ$3000,$C8,10+3*MIN(BG$3,$D$2-1)))))</f>
        <v/>
      </c>
      <c r="BH8" s="130">
        <f>IF(OR($C8="",$B$2="",$D$2=0),0,IF(BH$3&lt;0,0,N(INDEX('CURVA PREVISION'!$A$1:$KZ$3000,$C8,10+3*MIN(BH$3,$D$2-1)))))</f>
        <v/>
      </c>
      <c r="BI8" s="130">
        <f>IF(OR($C8="",$B$2="",$D$2=0),0,IF(BI$3&lt;0,0,N(INDEX('CURVA PREVISION'!$A$1:$KZ$3000,$C8,10+3*MIN(BI$3,$D$2-1)))))</f>
        <v/>
      </c>
      <c r="BJ8" s="130">
        <f>IF(OR($C8="",$B$2="",$D$2=0),0,IF(BJ$3&lt;0,0,N(INDEX('CURVA PREVISION'!$A$1:$KZ$3000,$C8,10+3*MIN(BJ$3,$D$2-1)))))</f>
        <v/>
      </c>
      <c r="BK8" s="130">
        <f>IF(OR($C8="",$B$2="",$D$2=0),0,IF(BK$3&lt;0,0,N(INDEX('CURVA PREVISION'!$A$1:$KZ$3000,$C8,10+3*MIN(BK$3,$D$2-1)))))</f>
        <v/>
      </c>
      <c r="BL8" s="130">
        <f>IF(OR($C8="",$B$2="",$D$2=0),0,IF(BL$3&lt;0,0,N(INDEX('CURVA PREVISION'!$A$1:$KZ$3000,$C8,10+3*MIN(BL$3,$D$2-1)))))</f>
        <v/>
      </c>
      <c r="BM8" s="130">
        <f>IF(OR($C8="",$B$2="",$D$2=0),0,IF(BM$3&lt;0,0,N(INDEX('CURVA PREVISION'!$A$1:$KZ$3000,$C8,10+3*MIN(BM$3,$D$2-1)))))</f>
        <v/>
      </c>
      <c r="BN8" s="130">
        <f>IF(OR($C8="",$B$2="",$D$2=0),0,IF(BN$3&lt;0,0,N(INDEX('CURVA PREVISION'!$A$1:$KZ$3000,$C8,10+3*MIN(BN$3,$D$2-1)))))</f>
        <v/>
      </c>
      <c r="BO8" s="130">
        <f>IF(OR($C8="",$B$2="",$D$2=0),0,IF(BO$3&lt;0,0,N(INDEX('CURVA PREVISION'!$A$1:$KZ$3000,$C8,10+3*MIN(BO$3,$D$2-1)))))</f>
        <v/>
      </c>
      <c r="BP8" s="130">
        <f>IF(OR($C8="",$B$2="",$D$2=0),0,IF(BP$3&lt;0,0,N(INDEX('CURVA PREVISION'!$A$1:$KZ$3000,$C8,10+3*MIN(BP$3,$D$2-1)))))</f>
        <v/>
      </c>
      <c r="BQ8" s="130">
        <f>IF(OR($C8="",$B$2="",$D$2=0),0,IF(BQ$3&lt;0,0,N(INDEX('CURVA PREVISION'!$A$1:$KZ$3000,$C8,10+3*MIN(BQ$3,$D$2-1)))))</f>
        <v/>
      </c>
      <c r="BR8" s="130">
        <f>IF(OR($C8="",$B$2="",$D$2=0),0,IF(BR$3&lt;0,0,N(INDEX('CURVA PREVISION'!$A$1:$KZ$3000,$C8,10+3*MIN(BR$3,$D$2-1)))))</f>
        <v/>
      </c>
      <c r="BS8" s="130">
        <f>IF(OR($C8="",$B$2="",$D$2=0),0,IF(BS$3&lt;0,0,N(INDEX('CURVA PREVISION'!$A$1:$KZ$3000,$C8,10+3*MIN(BS$3,$D$2-1)))))</f>
        <v/>
      </c>
      <c r="BT8" s="130">
        <f>IF(OR($C8="",$B$2="",$D$2=0),0,IF(BT$3&lt;0,0,N(INDEX('CURVA PREVISION'!$A$1:$KZ$3000,$C8,10+3*MIN(BT$3,$D$2-1)))))</f>
        <v/>
      </c>
      <c r="BU8" s="130">
        <f>IF(OR($C8="",$B$2="",$D$2=0),0,IF(BU$3&lt;0,0,N(INDEX('CURVA PREVISION'!$A$1:$KZ$3000,$C8,10+3*MIN(BU$3,$D$2-1)))))</f>
        <v/>
      </c>
      <c r="BV8" s="130">
        <f>IF(OR($C8="",$B$2="",$D$2=0),0,IF(BV$3&lt;0,0,N(INDEX('CURVA PREVISION'!$A$1:$KZ$3000,$C8,10+3*MIN(BV$3,$D$2-1)))))</f>
        <v/>
      </c>
      <c r="BW8" s="130">
        <f>IF(OR($C8="",$B$2="",$D$2=0),0,IF(BW$3&lt;0,0,N(INDEX('CURVA PREVISION'!$A$1:$KZ$3000,$C8,10+3*MIN(BW$3,$D$2-1)))))</f>
        <v/>
      </c>
    </row>
    <row r="9">
      <c r="A9" s="61">
        <f>IF('VALOR POR PL'!R15&lt;&gt;"",'VALOR POR PL'!R15,IF('VALOR POR PL'!Q15="",'VALOR POR PL'!C15,'VALOR POR PL'!Q15))</f>
        <v/>
      </c>
      <c r="B9" s="61">
        <f>'VALOR POR PL'!D15</f>
        <v/>
      </c>
      <c r="C9" s="70">
        <f>IFERROR(MATCH(A9,'CURVA PREVISION'!$B$1:$B$3000,0),"")</f>
        <v/>
      </c>
      <c r="D9" s="130">
        <f>IF(OR($C9="",$B$2="",$D$2=0),0,IF(D$3&lt;0,0,N(INDEX('CURVA PREVISION'!$A$1:$KZ$3000,$C9,10+3*MIN(D$3,$D$2-1)))))</f>
        <v/>
      </c>
      <c r="E9" s="130">
        <f>IF(OR($C9="",$B$2="",$D$2=0),0,IF(E$3&lt;0,0,N(INDEX('CURVA PREVISION'!$A$1:$KZ$3000,$C9,10+3*MIN(E$3,$D$2-1)))))</f>
        <v/>
      </c>
      <c r="F9" s="130">
        <f>IF(OR($C9="",$B$2="",$D$2=0),0,IF(F$3&lt;0,0,N(INDEX('CURVA PREVISION'!$A$1:$KZ$3000,$C9,10+3*MIN(F$3,$D$2-1)))))</f>
        <v/>
      </c>
      <c r="G9" s="130">
        <f>IF(OR($C9="",$B$2="",$D$2=0),0,IF(G$3&lt;0,0,N(INDEX('CURVA PREVISION'!$A$1:$KZ$3000,$C9,10+3*MIN(G$3,$D$2-1)))))</f>
        <v/>
      </c>
      <c r="H9" s="130">
        <f>IF(OR($C9="",$B$2="",$D$2=0),0,IF(H$3&lt;0,0,N(INDEX('CURVA PREVISION'!$A$1:$KZ$3000,$C9,10+3*MIN(H$3,$D$2-1)))))</f>
        <v/>
      </c>
      <c r="I9" s="130">
        <f>IF(OR($C9="",$B$2="",$D$2=0),0,IF(I$3&lt;0,0,N(INDEX('CURVA PREVISION'!$A$1:$KZ$3000,$C9,10+3*MIN(I$3,$D$2-1)))))</f>
        <v/>
      </c>
      <c r="J9" s="130">
        <f>IF(OR($C9="",$B$2="",$D$2=0),0,IF(J$3&lt;0,0,N(INDEX('CURVA PREVISION'!$A$1:$KZ$3000,$C9,10+3*MIN(J$3,$D$2-1)))))</f>
        <v/>
      </c>
      <c r="K9" s="130">
        <f>IF(OR($C9="",$B$2="",$D$2=0),0,IF(K$3&lt;0,0,N(INDEX('CURVA PREVISION'!$A$1:$KZ$3000,$C9,10+3*MIN(K$3,$D$2-1)))))</f>
        <v/>
      </c>
      <c r="L9" s="130">
        <f>IF(OR($C9="",$B$2="",$D$2=0),0,IF(L$3&lt;0,0,N(INDEX('CURVA PREVISION'!$A$1:$KZ$3000,$C9,10+3*MIN(L$3,$D$2-1)))))</f>
        <v/>
      </c>
      <c r="M9" s="130">
        <f>IF(OR($C9="",$B$2="",$D$2=0),0,IF(M$3&lt;0,0,N(INDEX('CURVA PREVISION'!$A$1:$KZ$3000,$C9,10+3*MIN(M$3,$D$2-1)))))</f>
        <v/>
      </c>
      <c r="N9" s="130">
        <f>IF(OR($C9="",$B$2="",$D$2=0),0,IF(N$3&lt;0,0,N(INDEX('CURVA PREVISION'!$A$1:$KZ$3000,$C9,10+3*MIN(N$3,$D$2-1)))))</f>
        <v/>
      </c>
      <c r="O9" s="130">
        <f>IF(OR($C9="",$B$2="",$D$2=0),0,IF(O$3&lt;0,0,N(INDEX('CURVA PREVISION'!$A$1:$KZ$3000,$C9,10+3*MIN(O$3,$D$2-1)))))</f>
        <v/>
      </c>
      <c r="P9" s="130">
        <f>IF(OR($C9="",$B$2="",$D$2=0),0,IF(P$3&lt;0,0,N(INDEX('CURVA PREVISION'!$A$1:$KZ$3000,$C9,10+3*MIN(P$3,$D$2-1)))))</f>
        <v/>
      </c>
      <c r="Q9" s="130">
        <f>IF(OR($C9="",$B$2="",$D$2=0),0,IF(Q$3&lt;0,0,N(INDEX('CURVA PREVISION'!$A$1:$KZ$3000,$C9,10+3*MIN(Q$3,$D$2-1)))))</f>
        <v/>
      </c>
      <c r="R9" s="130">
        <f>IF(OR($C9="",$B$2="",$D$2=0),0,IF(R$3&lt;0,0,N(INDEX('CURVA PREVISION'!$A$1:$KZ$3000,$C9,10+3*MIN(R$3,$D$2-1)))))</f>
        <v/>
      </c>
      <c r="S9" s="130">
        <f>IF(OR($C9="",$B$2="",$D$2=0),0,IF(S$3&lt;0,0,N(INDEX('CURVA PREVISION'!$A$1:$KZ$3000,$C9,10+3*MIN(S$3,$D$2-1)))))</f>
        <v/>
      </c>
      <c r="T9" s="130">
        <f>IF(OR($C9="",$B$2="",$D$2=0),0,IF(T$3&lt;0,0,N(INDEX('CURVA PREVISION'!$A$1:$KZ$3000,$C9,10+3*MIN(T$3,$D$2-1)))))</f>
        <v/>
      </c>
      <c r="U9" s="130">
        <f>IF(OR($C9="",$B$2="",$D$2=0),0,IF(U$3&lt;0,0,N(INDEX('CURVA PREVISION'!$A$1:$KZ$3000,$C9,10+3*MIN(U$3,$D$2-1)))))</f>
        <v/>
      </c>
      <c r="V9" s="130">
        <f>IF(OR($C9="",$B$2="",$D$2=0),0,IF(V$3&lt;0,0,N(INDEX('CURVA PREVISION'!$A$1:$KZ$3000,$C9,10+3*MIN(V$3,$D$2-1)))))</f>
        <v/>
      </c>
      <c r="W9" s="130">
        <f>IF(OR($C9="",$B$2="",$D$2=0),0,IF(W$3&lt;0,0,N(INDEX('CURVA PREVISION'!$A$1:$KZ$3000,$C9,10+3*MIN(W$3,$D$2-1)))))</f>
        <v/>
      </c>
      <c r="X9" s="130">
        <f>IF(OR($C9="",$B$2="",$D$2=0),0,IF(X$3&lt;0,0,N(INDEX('CURVA PREVISION'!$A$1:$KZ$3000,$C9,10+3*MIN(X$3,$D$2-1)))))</f>
        <v/>
      </c>
      <c r="Y9" s="130">
        <f>IF(OR($C9="",$B$2="",$D$2=0),0,IF(Y$3&lt;0,0,N(INDEX('CURVA PREVISION'!$A$1:$KZ$3000,$C9,10+3*MIN(Y$3,$D$2-1)))))</f>
        <v/>
      </c>
      <c r="Z9" s="130">
        <f>IF(OR($C9="",$B$2="",$D$2=0),0,IF(Z$3&lt;0,0,N(INDEX('CURVA PREVISION'!$A$1:$KZ$3000,$C9,10+3*MIN(Z$3,$D$2-1)))))</f>
        <v/>
      </c>
      <c r="AA9" s="130">
        <f>IF(OR($C9="",$B$2="",$D$2=0),0,IF(AA$3&lt;0,0,N(INDEX('CURVA PREVISION'!$A$1:$KZ$3000,$C9,10+3*MIN(AA$3,$D$2-1)))))</f>
        <v/>
      </c>
      <c r="AB9" s="130">
        <f>IF(OR($C9="",$B$2="",$D$2=0),0,IF(AB$3&lt;0,0,N(INDEX('CURVA PREVISION'!$A$1:$KZ$3000,$C9,10+3*MIN(AB$3,$D$2-1)))))</f>
        <v/>
      </c>
      <c r="AC9" s="130">
        <f>IF(OR($C9="",$B$2="",$D$2=0),0,IF(AC$3&lt;0,0,N(INDEX('CURVA PREVISION'!$A$1:$KZ$3000,$C9,10+3*MIN(AC$3,$D$2-1)))))</f>
        <v/>
      </c>
      <c r="AD9" s="130">
        <f>IF(OR($C9="",$B$2="",$D$2=0),0,IF(AD$3&lt;0,0,N(INDEX('CURVA PREVISION'!$A$1:$KZ$3000,$C9,10+3*MIN(AD$3,$D$2-1)))))</f>
        <v/>
      </c>
      <c r="AE9" s="130">
        <f>IF(OR($C9="",$B$2="",$D$2=0),0,IF(AE$3&lt;0,0,N(INDEX('CURVA PREVISION'!$A$1:$KZ$3000,$C9,10+3*MIN(AE$3,$D$2-1)))))</f>
        <v/>
      </c>
      <c r="AF9" s="130">
        <f>IF(OR($C9="",$B$2="",$D$2=0),0,IF(AF$3&lt;0,0,N(INDEX('CURVA PREVISION'!$A$1:$KZ$3000,$C9,10+3*MIN(AF$3,$D$2-1)))))</f>
        <v/>
      </c>
      <c r="AG9" s="130">
        <f>IF(OR($C9="",$B$2="",$D$2=0),0,IF(AG$3&lt;0,0,N(INDEX('CURVA PREVISION'!$A$1:$KZ$3000,$C9,10+3*MIN(AG$3,$D$2-1)))))</f>
        <v/>
      </c>
      <c r="AH9" s="130">
        <f>IF(OR($C9="",$B$2="",$D$2=0),0,IF(AH$3&lt;0,0,N(INDEX('CURVA PREVISION'!$A$1:$KZ$3000,$C9,10+3*MIN(AH$3,$D$2-1)))))</f>
        <v/>
      </c>
      <c r="AI9" s="130">
        <f>IF(OR($C9="",$B$2="",$D$2=0),0,IF(AI$3&lt;0,0,N(INDEX('CURVA PREVISION'!$A$1:$KZ$3000,$C9,10+3*MIN(AI$3,$D$2-1)))))</f>
        <v/>
      </c>
      <c r="AJ9" s="130">
        <f>IF(OR($C9="",$B$2="",$D$2=0),0,IF(AJ$3&lt;0,0,N(INDEX('CURVA PREVISION'!$A$1:$KZ$3000,$C9,10+3*MIN(AJ$3,$D$2-1)))))</f>
        <v/>
      </c>
      <c r="AK9" s="130">
        <f>IF(OR($C9="",$B$2="",$D$2=0),0,IF(AK$3&lt;0,0,N(INDEX('CURVA PREVISION'!$A$1:$KZ$3000,$C9,10+3*MIN(AK$3,$D$2-1)))))</f>
        <v/>
      </c>
      <c r="AL9" s="130">
        <f>IF(OR($C9="",$B$2="",$D$2=0),0,IF(AL$3&lt;0,0,N(INDEX('CURVA PREVISION'!$A$1:$KZ$3000,$C9,10+3*MIN(AL$3,$D$2-1)))))</f>
        <v/>
      </c>
      <c r="AM9" s="130">
        <f>IF(OR($C9="",$B$2="",$D$2=0),0,IF(AM$3&lt;0,0,N(INDEX('CURVA PREVISION'!$A$1:$KZ$3000,$C9,10+3*MIN(AM$3,$D$2-1)))))</f>
        <v/>
      </c>
      <c r="AN9" s="130">
        <f>IF(OR($C9="",$B$2="",$D$2=0),0,IF(AN$3&lt;0,0,N(INDEX('CURVA PREVISION'!$A$1:$KZ$3000,$C9,10+3*MIN(AN$3,$D$2-1)))))</f>
        <v/>
      </c>
      <c r="AO9" s="130">
        <f>IF(OR($C9="",$B$2="",$D$2=0),0,IF(AO$3&lt;0,0,N(INDEX('CURVA PREVISION'!$A$1:$KZ$3000,$C9,10+3*MIN(AO$3,$D$2-1)))))</f>
        <v/>
      </c>
      <c r="AP9" s="130">
        <f>IF(OR($C9="",$B$2="",$D$2=0),0,IF(AP$3&lt;0,0,N(INDEX('CURVA PREVISION'!$A$1:$KZ$3000,$C9,10+3*MIN(AP$3,$D$2-1)))))</f>
        <v/>
      </c>
      <c r="AQ9" s="130">
        <f>IF(OR($C9="",$B$2="",$D$2=0),0,IF(AQ$3&lt;0,0,N(INDEX('CURVA PREVISION'!$A$1:$KZ$3000,$C9,10+3*MIN(AQ$3,$D$2-1)))))</f>
        <v/>
      </c>
      <c r="AR9" s="130">
        <f>IF(OR($C9="",$B$2="",$D$2=0),0,IF(AR$3&lt;0,0,N(INDEX('CURVA PREVISION'!$A$1:$KZ$3000,$C9,10+3*MIN(AR$3,$D$2-1)))))</f>
        <v/>
      </c>
      <c r="AS9" s="130">
        <f>IF(OR($C9="",$B$2="",$D$2=0),0,IF(AS$3&lt;0,0,N(INDEX('CURVA PREVISION'!$A$1:$KZ$3000,$C9,10+3*MIN(AS$3,$D$2-1)))))</f>
        <v/>
      </c>
      <c r="AT9" s="130">
        <f>IF(OR($C9="",$B$2="",$D$2=0),0,IF(AT$3&lt;0,0,N(INDEX('CURVA PREVISION'!$A$1:$KZ$3000,$C9,10+3*MIN(AT$3,$D$2-1)))))</f>
        <v/>
      </c>
      <c r="AU9" s="130">
        <f>IF(OR($C9="",$B$2="",$D$2=0),0,IF(AU$3&lt;0,0,N(INDEX('CURVA PREVISION'!$A$1:$KZ$3000,$C9,10+3*MIN(AU$3,$D$2-1)))))</f>
        <v/>
      </c>
      <c r="AV9" s="130">
        <f>IF(OR($C9="",$B$2="",$D$2=0),0,IF(AV$3&lt;0,0,N(INDEX('CURVA PREVISION'!$A$1:$KZ$3000,$C9,10+3*MIN(AV$3,$D$2-1)))))</f>
        <v/>
      </c>
      <c r="AW9" s="130">
        <f>IF(OR($C9="",$B$2="",$D$2=0),0,IF(AW$3&lt;0,0,N(INDEX('CURVA PREVISION'!$A$1:$KZ$3000,$C9,10+3*MIN(AW$3,$D$2-1)))))</f>
        <v/>
      </c>
      <c r="AX9" s="130">
        <f>IF(OR($C9="",$B$2="",$D$2=0),0,IF(AX$3&lt;0,0,N(INDEX('CURVA PREVISION'!$A$1:$KZ$3000,$C9,10+3*MIN(AX$3,$D$2-1)))))</f>
        <v/>
      </c>
      <c r="AY9" s="130">
        <f>IF(OR($C9="",$B$2="",$D$2=0),0,IF(AY$3&lt;0,0,N(INDEX('CURVA PREVISION'!$A$1:$KZ$3000,$C9,10+3*MIN(AY$3,$D$2-1)))))</f>
        <v/>
      </c>
      <c r="AZ9" s="130">
        <f>IF(OR($C9="",$B$2="",$D$2=0),0,IF(AZ$3&lt;0,0,N(INDEX('CURVA PREVISION'!$A$1:$KZ$3000,$C9,10+3*MIN(AZ$3,$D$2-1)))))</f>
        <v/>
      </c>
      <c r="BA9" s="130">
        <f>IF(OR($C9="",$B$2="",$D$2=0),0,IF(BA$3&lt;0,0,N(INDEX('CURVA PREVISION'!$A$1:$KZ$3000,$C9,10+3*MIN(BA$3,$D$2-1)))))</f>
        <v/>
      </c>
      <c r="BB9" s="130">
        <f>IF(OR($C9="",$B$2="",$D$2=0),0,IF(BB$3&lt;0,0,N(INDEX('CURVA PREVISION'!$A$1:$KZ$3000,$C9,10+3*MIN(BB$3,$D$2-1)))))</f>
        <v/>
      </c>
      <c r="BC9" s="130">
        <f>IF(OR($C9="",$B$2="",$D$2=0),0,IF(BC$3&lt;0,0,N(INDEX('CURVA PREVISION'!$A$1:$KZ$3000,$C9,10+3*MIN(BC$3,$D$2-1)))))</f>
        <v/>
      </c>
      <c r="BD9" s="130">
        <f>IF(OR($C9="",$B$2="",$D$2=0),0,IF(BD$3&lt;0,0,N(INDEX('CURVA PREVISION'!$A$1:$KZ$3000,$C9,10+3*MIN(BD$3,$D$2-1)))))</f>
        <v/>
      </c>
      <c r="BE9" s="130">
        <f>IF(OR($C9="",$B$2="",$D$2=0),0,IF(BE$3&lt;0,0,N(INDEX('CURVA PREVISION'!$A$1:$KZ$3000,$C9,10+3*MIN(BE$3,$D$2-1)))))</f>
        <v/>
      </c>
      <c r="BF9" s="130">
        <f>IF(OR($C9="",$B$2="",$D$2=0),0,IF(BF$3&lt;0,0,N(INDEX('CURVA PREVISION'!$A$1:$KZ$3000,$C9,10+3*MIN(BF$3,$D$2-1)))))</f>
        <v/>
      </c>
      <c r="BG9" s="130">
        <f>IF(OR($C9="",$B$2="",$D$2=0),0,IF(BG$3&lt;0,0,N(INDEX('CURVA PREVISION'!$A$1:$KZ$3000,$C9,10+3*MIN(BG$3,$D$2-1)))))</f>
        <v/>
      </c>
      <c r="BH9" s="130">
        <f>IF(OR($C9="",$B$2="",$D$2=0),0,IF(BH$3&lt;0,0,N(INDEX('CURVA PREVISION'!$A$1:$KZ$3000,$C9,10+3*MIN(BH$3,$D$2-1)))))</f>
        <v/>
      </c>
      <c r="BI9" s="130">
        <f>IF(OR($C9="",$B$2="",$D$2=0),0,IF(BI$3&lt;0,0,N(INDEX('CURVA PREVISION'!$A$1:$KZ$3000,$C9,10+3*MIN(BI$3,$D$2-1)))))</f>
        <v/>
      </c>
      <c r="BJ9" s="130">
        <f>IF(OR($C9="",$B$2="",$D$2=0),0,IF(BJ$3&lt;0,0,N(INDEX('CURVA PREVISION'!$A$1:$KZ$3000,$C9,10+3*MIN(BJ$3,$D$2-1)))))</f>
        <v/>
      </c>
      <c r="BK9" s="130">
        <f>IF(OR($C9="",$B$2="",$D$2=0),0,IF(BK$3&lt;0,0,N(INDEX('CURVA PREVISION'!$A$1:$KZ$3000,$C9,10+3*MIN(BK$3,$D$2-1)))))</f>
        <v/>
      </c>
      <c r="BL9" s="130">
        <f>IF(OR($C9="",$B$2="",$D$2=0),0,IF(BL$3&lt;0,0,N(INDEX('CURVA PREVISION'!$A$1:$KZ$3000,$C9,10+3*MIN(BL$3,$D$2-1)))))</f>
        <v/>
      </c>
      <c r="BM9" s="130">
        <f>IF(OR($C9="",$B$2="",$D$2=0),0,IF(BM$3&lt;0,0,N(INDEX('CURVA PREVISION'!$A$1:$KZ$3000,$C9,10+3*MIN(BM$3,$D$2-1)))))</f>
        <v/>
      </c>
      <c r="BN9" s="130">
        <f>IF(OR($C9="",$B$2="",$D$2=0),0,IF(BN$3&lt;0,0,N(INDEX('CURVA PREVISION'!$A$1:$KZ$3000,$C9,10+3*MIN(BN$3,$D$2-1)))))</f>
        <v/>
      </c>
      <c r="BO9" s="130">
        <f>IF(OR($C9="",$B$2="",$D$2=0),0,IF(BO$3&lt;0,0,N(INDEX('CURVA PREVISION'!$A$1:$KZ$3000,$C9,10+3*MIN(BO$3,$D$2-1)))))</f>
        <v/>
      </c>
      <c r="BP9" s="130">
        <f>IF(OR($C9="",$B$2="",$D$2=0),0,IF(BP$3&lt;0,0,N(INDEX('CURVA PREVISION'!$A$1:$KZ$3000,$C9,10+3*MIN(BP$3,$D$2-1)))))</f>
        <v/>
      </c>
      <c r="BQ9" s="130">
        <f>IF(OR($C9="",$B$2="",$D$2=0),0,IF(BQ$3&lt;0,0,N(INDEX('CURVA PREVISION'!$A$1:$KZ$3000,$C9,10+3*MIN(BQ$3,$D$2-1)))))</f>
        <v/>
      </c>
      <c r="BR9" s="130">
        <f>IF(OR($C9="",$B$2="",$D$2=0),0,IF(BR$3&lt;0,0,N(INDEX('CURVA PREVISION'!$A$1:$KZ$3000,$C9,10+3*MIN(BR$3,$D$2-1)))))</f>
        <v/>
      </c>
      <c r="BS9" s="130">
        <f>IF(OR($C9="",$B$2="",$D$2=0),0,IF(BS$3&lt;0,0,N(INDEX('CURVA PREVISION'!$A$1:$KZ$3000,$C9,10+3*MIN(BS$3,$D$2-1)))))</f>
        <v/>
      </c>
      <c r="BT9" s="130">
        <f>IF(OR($C9="",$B$2="",$D$2=0),0,IF(BT$3&lt;0,0,N(INDEX('CURVA PREVISION'!$A$1:$KZ$3000,$C9,10+3*MIN(BT$3,$D$2-1)))))</f>
        <v/>
      </c>
      <c r="BU9" s="130">
        <f>IF(OR($C9="",$B$2="",$D$2=0),0,IF(BU$3&lt;0,0,N(INDEX('CURVA PREVISION'!$A$1:$KZ$3000,$C9,10+3*MIN(BU$3,$D$2-1)))))</f>
        <v/>
      </c>
      <c r="BV9" s="130">
        <f>IF(OR($C9="",$B$2="",$D$2=0),0,IF(BV$3&lt;0,0,N(INDEX('CURVA PREVISION'!$A$1:$KZ$3000,$C9,10+3*MIN(BV$3,$D$2-1)))))</f>
        <v/>
      </c>
      <c r="BW9" s="130">
        <f>IF(OR($C9="",$B$2="",$D$2=0),0,IF(BW$3&lt;0,0,N(INDEX('CURVA PREVISION'!$A$1:$KZ$3000,$C9,10+3*MIN(BW$3,$D$2-1)))))</f>
        <v/>
      </c>
    </row>
    <row r="10">
      <c r="A10" s="61">
        <f>IF('VALOR POR PL'!R16&lt;&gt;"",'VALOR POR PL'!R16,IF('VALOR POR PL'!Q16="",'VALOR POR PL'!C16,'VALOR POR PL'!Q16))</f>
        <v/>
      </c>
      <c r="B10" s="61">
        <f>'VALOR POR PL'!D16</f>
        <v/>
      </c>
      <c r="C10" s="70">
        <f>IFERROR(MATCH(A10,'CURVA PREVISION'!$B$1:$B$3000,0),"")</f>
        <v/>
      </c>
      <c r="D10" s="130">
        <f>IF(OR($C10="",$B$2="",$D$2=0),0,IF(D$3&lt;0,0,N(INDEX('CURVA PREVISION'!$A$1:$KZ$3000,$C10,10+3*MIN(D$3,$D$2-1)))))</f>
        <v/>
      </c>
      <c r="E10" s="130">
        <f>IF(OR($C10="",$B$2="",$D$2=0),0,IF(E$3&lt;0,0,N(INDEX('CURVA PREVISION'!$A$1:$KZ$3000,$C10,10+3*MIN(E$3,$D$2-1)))))</f>
        <v/>
      </c>
      <c r="F10" s="130">
        <f>IF(OR($C10="",$B$2="",$D$2=0),0,IF(F$3&lt;0,0,N(INDEX('CURVA PREVISION'!$A$1:$KZ$3000,$C10,10+3*MIN(F$3,$D$2-1)))))</f>
        <v/>
      </c>
      <c r="G10" s="130">
        <f>IF(OR($C10="",$B$2="",$D$2=0),0,IF(G$3&lt;0,0,N(INDEX('CURVA PREVISION'!$A$1:$KZ$3000,$C10,10+3*MIN(G$3,$D$2-1)))))</f>
        <v/>
      </c>
      <c r="H10" s="130">
        <f>IF(OR($C10="",$B$2="",$D$2=0),0,IF(H$3&lt;0,0,N(INDEX('CURVA PREVISION'!$A$1:$KZ$3000,$C10,10+3*MIN(H$3,$D$2-1)))))</f>
        <v/>
      </c>
      <c r="I10" s="130">
        <f>IF(OR($C10="",$B$2="",$D$2=0),0,IF(I$3&lt;0,0,N(INDEX('CURVA PREVISION'!$A$1:$KZ$3000,$C10,10+3*MIN(I$3,$D$2-1)))))</f>
        <v/>
      </c>
      <c r="J10" s="130">
        <f>IF(OR($C10="",$B$2="",$D$2=0),0,IF(J$3&lt;0,0,N(INDEX('CURVA PREVISION'!$A$1:$KZ$3000,$C10,10+3*MIN(J$3,$D$2-1)))))</f>
        <v/>
      </c>
      <c r="K10" s="130">
        <f>IF(OR($C10="",$B$2="",$D$2=0),0,IF(K$3&lt;0,0,N(INDEX('CURVA PREVISION'!$A$1:$KZ$3000,$C10,10+3*MIN(K$3,$D$2-1)))))</f>
        <v/>
      </c>
      <c r="L10" s="130">
        <f>IF(OR($C10="",$B$2="",$D$2=0),0,IF(L$3&lt;0,0,N(INDEX('CURVA PREVISION'!$A$1:$KZ$3000,$C10,10+3*MIN(L$3,$D$2-1)))))</f>
        <v/>
      </c>
      <c r="M10" s="130">
        <f>IF(OR($C10="",$B$2="",$D$2=0),0,IF(M$3&lt;0,0,N(INDEX('CURVA PREVISION'!$A$1:$KZ$3000,$C10,10+3*MIN(M$3,$D$2-1)))))</f>
        <v/>
      </c>
      <c r="N10" s="130">
        <f>IF(OR($C10="",$B$2="",$D$2=0),0,IF(N$3&lt;0,0,N(INDEX('CURVA PREVISION'!$A$1:$KZ$3000,$C10,10+3*MIN(N$3,$D$2-1)))))</f>
        <v/>
      </c>
      <c r="O10" s="130">
        <f>IF(OR($C10="",$B$2="",$D$2=0),0,IF(O$3&lt;0,0,N(INDEX('CURVA PREVISION'!$A$1:$KZ$3000,$C10,10+3*MIN(O$3,$D$2-1)))))</f>
        <v/>
      </c>
      <c r="P10" s="130">
        <f>IF(OR($C10="",$B$2="",$D$2=0),0,IF(P$3&lt;0,0,N(INDEX('CURVA PREVISION'!$A$1:$KZ$3000,$C10,10+3*MIN(P$3,$D$2-1)))))</f>
        <v/>
      </c>
      <c r="Q10" s="130">
        <f>IF(OR($C10="",$B$2="",$D$2=0),0,IF(Q$3&lt;0,0,N(INDEX('CURVA PREVISION'!$A$1:$KZ$3000,$C10,10+3*MIN(Q$3,$D$2-1)))))</f>
        <v/>
      </c>
      <c r="R10" s="130">
        <f>IF(OR($C10="",$B$2="",$D$2=0),0,IF(R$3&lt;0,0,N(INDEX('CURVA PREVISION'!$A$1:$KZ$3000,$C10,10+3*MIN(R$3,$D$2-1)))))</f>
        <v/>
      </c>
      <c r="S10" s="130">
        <f>IF(OR($C10="",$B$2="",$D$2=0),0,IF(S$3&lt;0,0,N(INDEX('CURVA PREVISION'!$A$1:$KZ$3000,$C10,10+3*MIN(S$3,$D$2-1)))))</f>
        <v/>
      </c>
      <c r="T10" s="130">
        <f>IF(OR($C10="",$B$2="",$D$2=0),0,IF(T$3&lt;0,0,N(INDEX('CURVA PREVISION'!$A$1:$KZ$3000,$C10,10+3*MIN(T$3,$D$2-1)))))</f>
        <v/>
      </c>
      <c r="U10" s="130">
        <f>IF(OR($C10="",$B$2="",$D$2=0),0,IF(U$3&lt;0,0,N(INDEX('CURVA PREVISION'!$A$1:$KZ$3000,$C10,10+3*MIN(U$3,$D$2-1)))))</f>
        <v/>
      </c>
      <c r="V10" s="130">
        <f>IF(OR($C10="",$B$2="",$D$2=0),0,IF(V$3&lt;0,0,N(INDEX('CURVA PREVISION'!$A$1:$KZ$3000,$C10,10+3*MIN(V$3,$D$2-1)))))</f>
        <v/>
      </c>
      <c r="W10" s="130">
        <f>IF(OR($C10="",$B$2="",$D$2=0),0,IF(W$3&lt;0,0,N(INDEX('CURVA PREVISION'!$A$1:$KZ$3000,$C10,10+3*MIN(W$3,$D$2-1)))))</f>
        <v/>
      </c>
      <c r="X10" s="130">
        <f>IF(OR($C10="",$B$2="",$D$2=0),0,IF(X$3&lt;0,0,N(INDEX('CURVA PREVISION'!$A$1:$KZ$3000,$C10,10+3*MIN(X$3,$D$2-1)))))</f>
        <v/>
      </c>
      <c r="Y10" s="130">
        <f>IF(OR($C10="",$B$2="",$D$2=0),0,IF(Y$3&lt;0,0,N(INDEX('CURVA PREVISION'!$A$1:$KZ$3000,$C10,10+3*MIN(Y$3,$D$2-1)))))</f>
        <v/>
      </c>
      <c r="Z10" s="130">
        <f>IF(OR($C10="",$B$2="",$D$2=0),0,IF(Z$3&lt;0,0,N(INDEX('CURVA PREVISION'!$A$1:$KZ$3000,$C10,10+3*MIN(Z$3,$D$2-1)))))</f>
        <v/>
      </c>
      <c r="AA10" s="130">
        <f>IF(OR($C10="",$B$2="",$D$2=0),0,IF(AA$3&lt;0,0,N(INDEX('CURVA PREVISION'!$A$1:$KZ$3000,$C10,10+3*MIN(AA$3,$D$2-1)))))</f>
        <v/>
      </c>
      <c r="AB10" s="130">
        <f>IF(OR($C10="",$B$2="",$D$2=0),0,IF(AB$3&lt;0,0,N(INDEX('CURVA PREVISION'!$A$1:$KZ$3000,$C10,10+3*MIN(AB$3,$D$2-1)))))</f>
        <v/>
      </c>
      <c r="AC10" s="130">
        <f>IF(OR($C10="",$B$2="",$D$2=0),0,IF(AC$3&lt;0,0,N(INDEX('CURVA PREVISION'!$A$1:$KZ$3000,$C10,10+3*MIN(AC$3,$D$2-1)))))</f>
        <v/>
      </c>
      <c r="AD10" s="130">
        <f>IF(OR($C10="",$B$2="",$D$2=0),0,IF(AD$3&lt;0,0,N(INDEX('CURVA PREVISION'!$A$1:$KZ$3000,$C10,10+3*MIN(AD$3,$D$2-1)))))</f>
        <v/>
      </c>
      <c r="AE10" s="130">
        <f>IF(OR($C10="",$B$2="",$D$2=0),0,IF(AE$3&lt;0,0,N(INDEX('CURVA PREVISION'!$A$1:$KZ$3000,$C10,10+3*MIN(AE$3,$D$2-1)))))</f>
        <v/>
      </c>
      <c r="AF10" s="130">
        <f>IF(OR($C10="",$B$2="",$D$2=0),0,IF(AF$3&lt;0,0,N(INDEX('CURVA PREVISION'!$A$1:$KZ$3000,$C10,10+3*MIN(AF$3,$D$2-1)))))</f>
        <v/>
      </c>
      <c r="AG10" s="130">
        <f>IF(OR($C10="",$B$2="",$D$2=0),0,IF(AG$3&lt;0,0,N(INDEX('CURVA PREVISION'!$A$1:$KZ$3000,$C10,10+3*MIN(AG$3,$D$2-1)))))</f>
        <v/>
      </c>
      <c r="AH10" s="130">
        <f>IF(OR($C10="",$B$2="",$D$2=0),0,IF(AH$3&lt;0,0,N(INDEX('CURVA PREVISION'!$A$1:$KZ$3000,$C10,10+3*MIN(AH$3,$D$2-1)))))</f>
        <v/>
      </c>
      <c r="AI10" s="130">
        <f>IF(OR($C10="",$B$2="",$D$2=0),0,IF(AI$3&lt;0,0,N(INDEX('CURVA PREVISION'!$A$1:$KZ$3000,$C10,10+3*MIN(AI$3,$D$2-1)))))</f>
        <v/>
      </c>
      <c r="AJ10" s="130">
        <f>IF(OR($C10="",$B$2="",$D$2=0),0,IF(AJ$3&lt;0,0,N(INDEX('CURVA PREVISION'!$A$1:$KZ$3000,$C10,10+3*MIN(AJ$3,$D$2-1)))))</f>
        <v/>
      </c>
      <c r="AK10" s="130">
        <f>IF(OR($C10="",$B$2="",$D$2=0),0,IF(AK$3&lt;0,0,N(INDEX('CURVA PREVISION'!$A$1:$KZ$3000,$C10,10+3*MIN(AK$3,$D$2-1)))))</f>
        <v/>
      </c>
      <c r="AL10" s="130">
        <f>IF(OR($C10="",$B$2="",$D$2=0),0,IF(AL$3&lt;0,0,N(INDEX('CURVA PREVISION'!$A$1:$KZ$3000,$C10,10+3*MIN(AL$3,$D$2-1)))))</f>
        <v/>
      </c>
      <c r="AM10" s="130">
        <f>IF(OR($C10="",$B$2="",$D$2=0),0,IF(AM$3&lt;0,0,N(INDEX('CURVA PREVISION'!$A$1:$KZ$3000,$C10,10+3*MIN(AM$3,$D$2-1)))))</f>
        <v/>
      </c>
      <c r="AN10" s="130">
        <f>IF(OR($C10="",$B$2="",$D$2=0),0,IF(AN$3&lt;0,0,N(INDEX('CURVA PREVISION'!$A$1:$KZ$3000,$C10,10+3*MIN(AN$3,$D$2-1)))))</f>
        <v/>
      </c>
      <c r="AO10" s="130">
        <f>IF(OR($C10="",$B$2="",$D$2=0),0,IF(AO$3&lt;0,0,N(INDEX('CURVA PREVISION'!$A$1:$KZ$3000,$C10,10+3*MIN(AO$3,$D$2-1)))))</f>
        <v/>
      </c>
      <c r="AP10" s="130">
        <f>IF(OR($C10="",$B$2="",$D$2=0),0,IF(AP$3&lt;0,0,N(INDEX('CURVA PREVISION'!$A$1:$KZ$3000,$C10,10+3*MIN(AP$3,$D$2-1)))))</f>
        <v/>
      </c>
      <c r="AQ10" s="130">
        <f>IF(OR($C10="",$B$2="",$D$2=0),0,IF(AQ$3&lt;0,0,N(INDEX('CURVA PREVISION'!$A$1:$KZ$3000,$C10,10+3*MIN(AQ$3,$D$2-1)))))</f>
        <v/>
      </c>
      <c r="AR10" s="130">
        <f>IF(OR($C10="",$B$2="",$D$2=0),0,IF(AR$3&lt;0,0,N(INDEX('CURVA PREVISION'!$A$1:$KZ$3000,$C10,10+3*MIN(AR$3,$D$2-1)))))</f>
        <v/>
      </c>
      <c r="AS10" s="130">
        <f>IF(OR($C10="",$B$2="",$D$2=0),0,IF(AS$3&lt;0,0,N(INDEX('CURVA PREVISION'!$A$1:$KZ$3000,$C10,10+3*MIN(AS$3,$D$2-1)))))</f>
        <v/>
      </c>
      <c r="AT10" s="130">
        <f>IF(OR($C10="",$B$2="",$D$2=0),0,IF(AT$3&lt;0,0,N(INDEX('CURVA PREVISION'!$A$1:$KZ$3000,$C10,10+3*MIN(AT$3,$D$2-1)))))</f>
        <v/>
      </c>
      <c r="AU10" s="130">
        <f>IF(OR($C10="",$B$2="",$D$2=0),0,IF(AU$3&lt;0,0,N(INDEX('CURVA PREVISION'!$A$1:$KZ$3000,$C10,10+3*MIN(AU$3,$D$2-1)))))</f>
        <v/>
      </c>
      <c r="AV10" s="130">
        <f>IF(OR($C10="",$B$2="",$D$2=0),0,IF(AV$3&lt;0,0,N(INDEX('CURVA PREVISION'!$A$1:$KZ$3000,$C10,10+3*MIN(AV$3,$D$2-1)))))</f>
        <v/>
      </c>
      <c r="AW10" s="130">
        <f>IF(OR($C10="",$B$2="",$D$2=0),0,IF(AW$3&lt;0,0,N(INDEX('CURVA PREVISION'!$A$1:$KZ$3000,$C10,10+3*MIN(AW$3,$D$2-1)))))</f>
        <v/>
      </c>
      <c r="AX10" s="130">
        <f>IF(OR($C10="",$B$2="",$D$2=0),0,IF(AX$3&lt;0,0,N(INDEX('CURVA PREVISION'!$A$1:$KZ$3000,$C10,10+3*MIN(AX$3,$D$2-1)))))</f>
        <v/>
      </c>
      <c r="AY10" s="130">
        <f>IF(OR($C10="",$B$2="",$D$2=0),0,IF(AY$3&lt;0,0,N(INDEX('CURVA PREVISION'!$A$1:$KZ$3000,$C10,10+3*MIN(AY$3,$D$2-1)))))</f>
        <v/>
      </c>
      <c r="AZ10" s="130">
        <f>IF(OR($C10="",$B$2="",$D$2=0),0,IF(AZ$3&lt;0,0,N(INDEX('CURVA PREVISION'!$A$1:$KZ$3000,$C10,10+3*MIN(AZ$3,$D$2-1)))))</f>
        <v/>
      </c>
      <c r="BA10" s="130">
        <f>IF(OR($C10="",$B$2="",$D$2=0),0,IF(BA$3&lt;0,0,N(INDEX('CURVA PREVISION'!$A$1:$KZ$3000,$C10,10+3*MIN(BA$3,$D$2-1)))))</f>
        <v/>
      </c>
      <c r="BB10" s="130">
        <f>IF(OR($C10="",$B$2="",$D$2=0),0,IF(BB$3&lt;0,0,N(INDEX('CURVA PREVISION'!$A$1:$KZ$3000,$C10,10+3*MIN(BB$3,$D$2-1)))))</f>
        <v/>
      </c>
      <c r="BC10" s="130">
        <f>IF(OR($C10="",$B$2="",$D$2=0),0,IF(BC$3&lt;0,0,N(INDEX('CURVA PREVISION'!$A$1:$KZ$3000,$C10,10+3*MIN(BC$3,$D$2-1)))))</f>
        <v/>
      </c>
      <c r="BD10" s="130">
        <f>IF(OR($C10="",$B$2="",$D$2=0),0,IF(BD$3&lt;0,0,N(INDEX('CURVA PREVISION'!$A$1:$KZ$3000,$C10,10+3*MIN(BD$3,$D$2-1)))))</f>
        <v/>
      </c>
      <c r="BE10" s="130">
        <f>IF(OR($C10="",$B$2="",$D$2=0),0,IF(BE$3&lt;0,0,N(INDEX('CURVA PREVISION'!$A$1:$KZ$3000,$C10,10+3*MIN(BE$3,$D$2-1)))))</f>
        <v/>
      </c>
      <c r="BF10" s="130">
        <f>IF(OR($C10="",$B$2="",$D$2=0),0,IF(BF$3&lt;0,0,N(INDEX('CURVA PREVISION'!$A$1:$KZ$3000,$C10,10+3*MIN(BF$3,$D$2-1)))))</f>
        <v/>
      </c>
      <c r="BG10" s="130">
        <f>IF(OR($C10="",$B$2="",$D$2=0),0,IF(BG$3&lt;0,0,N(INDEX('CURVA PREVISION'!$A$1:$KZ$3000,$C10,10+3*MIN(BG$3,$D$2-1)))))</f>
        <v/>
      </c>
      <c r="BH10" s="130">
        <f>IF(OR($C10="",$B$2="",$D$2=0),0,IF(BH$3&lt;0,0,N(INDEX('CURVA PREVISION'!$A$1:$KZ$3000,$C10,10+3*MIN(BH$3,$D$2-1)))))</f>
        <v/>
      </c>
      <c r="BI10" s="130">
        <f>IF(OR($C10="",$B$2="",$D$2=0),0,IF(BI$3&lt;0,0,N(INDEX('CURVA PREVISION'!$A$1:$KZ$3000,$C10,10+3*MIN(BI$3,$D$2-1)))))</f>
        <v/>
      </c>
      <c r="BJ10" s="130">
        <f>IF(OR($C10="",$B$2="",$D$2=0),0,IF(BJ$3&lt;0,0,N(INDEX('CURVA PREVISION'!$A$1:$KZ$3000,$C10,10+3*MIN(BJ$3,$D$2-1)))))</f>
        <v/>
      </c>
      <c r="BK10" s="130">
        <f>IF(OR($C10="",$B$2="",$D$2=0),0,IF(BK$3&lt;0,0,N(INDEX('CURVA PREVISION'!$A$1:$KZ$3000,$C10,10+3*MIN(BK$3,$D$2-1)))))</f>
        <v/>
      </c>
      <c r="BL10" s="130">
        <f>IF(OR($C10="",$B$2="",$D$2=0),0,IF(BL$3&lt;0,0,N(INDEX('CURVA PREVISION'!$A$1:$KZ$3000,$C10,10+3*MIN(BL$3,$D$2-1)))))</f>
        <v/>
      </c>
      <c r="BM10" s="130">
        <f>IF(OR($C10="",$B$2="",$D$2=0),0,IF(BM$3&lt;0,0,N(INDEX('CURVA PREVISION'!$A$1:$KZ$3000,$C10,10+3*MIN(BM$3,$D$2-1)))))</f>
        <v/>
      </c>
      <c r="BN10" s="130">
        <f>IF(OR($C10="",$B$2="",$D$2=0),0,IF(BN$3&lt;0,0,N(INDEX('CURVA PREVISION'!$A$1:$KZ$3000,$C10,10+3*MIN(BN$3,$D$2-1)))))</f>
        <v/>
      </c>
      <c r="BO10" s="130">
        <f>IF(OR($C10="",$B$2="",$D$2=0),0,IF(BO$3&lt;0,0,N(INDEX('CURVA PREVISION'!$A$1:$KZ$3000,$C10,10+3*MIN(BO$3,$D$2-1)))))</f>
        <v/>
      </c>
      <c r="BP10" s="130">
        <f>IF(OR($C10="",$B$2="",$D$2=0),0,IF(BP$3&lt;0,0,N(INDEX('CURVA PREVISION'!$A$1:$KZ$3000,$C10,10+3*MIN(BP$3,$D$2-1)))))</f>
        <v/>
      </c>
      <c r="BQ10" s="130">
        <f>IF(OR($C10="",$B$2="",$D$2=0),0,IF(BQ$3&lt;0,0,N(INDEX('CURVA PREVISION'!$A$1:$KZ$3000,$C10,10+3*MIN(BQ$3,$D$2-1)))))</f>
        <v/>
      </c>
      <c r="BR10" s="130">
        <f>IF(OR($C10="",$B$2="",$D$2=0),0,IF(BR$3&lt;0,0,N(INDEX('CURVA PREVISION'!$A$1:$KZ$3000,$C10,10+3*MIN(BR$3,$D$2-1)))))</f>
        <v/>
      </c>
      <c r="BS10" s="130">
        <f>IF(OR($C10="",$B$2="",$D$2=0),0,IF(BS$3&lt;0,0,N(INDEX('CURVA PREVISION'!$A$1:$KZ$3000,$C10,10+3*MIN(BS$3,$D$2-1)))))</f>
        <v/>
      </c>
      <c r="BT10" s="130">
        <f>IF(OR($C10="",$B$2="",$D$2=0),0,IF(BT$3&lt;0,0,N(INDEX('CURVA PREVISION'!$A$1:$KZ$3000,$C10,10+3*MIN(BT$3,$D$2-1)))))</f>
        <v/>
      </c>
      <c r="BU10" s="130">
        <f>IF(OR($C10="",$B$2="",$D$2=0),0,IF(BU$3&lt;0,0,N(INDEX('CURVA PREVISION'!$A$1:$KZ$3000,$C10,10+3*MIN(BU$3,$D$2-1)))))</f>
        <v/>
      </c>
      <c r="BV10" s="130">
        <f>IF(OR($C10="",$B$2="",$D$2=0),0,IF(BV$3&lt;0,0,N(INDEX('CURVA PREVISION'!$A$1:$KZ$3000,$C10,10+3*MIN(BV$3,$D$2-1)))))</f>
        <v/>
      </c>
      <c r="BW10" s="130">
        <f>IF(OR($C10="",$B$2="",$D$2=0),0,IF(BW$3&lt;0,0,N(INDEX('CURVA PREVISION'!$A$1:$KZ$3000,$C10,10+3*MIN(BW$3,$D$2-1)))))</f>
        <v/>
      </c>
    </row>
    <row r="11">
      <c r="A11" s="61">
        <f>IF('VALOR POR PL'!R17&lt;&gt;"",'VALOR POR PL'!R17,IF('VALOR POR PL'!Q17="",'VALOR POR PL'!C17,'VALOR POR PL'!Q17))</f>
        <v/>
      </c>
      <c r="B11" s="61">
        <f>'VALOR POR PL'!D17</f>
        <v/>
      </c>
      <c r="C11" s="70">
        <f>IFERROR(MATCH(A11,'CURVA PREVISION'!$B$1:$B$3000,0),"")</f>
        <v/>
      </c>
      <c r="D11" s="130">
        <f>IF(OR($C11="",$B$2="",$D$2=0),0,IF(D$3&lt;0,0,N(INDEX('CURVA PREVISION'!$A$1:$KZ$3000,$C11,10+3*MIN(D$3,$D$2-1)))))</f>
        <v/>
      </c>
      <c r="E11" s="130">
        <f>IF(OR($C11="",$B$2="",$D$2=0),0,IF(E$3&lt;0,0,N(INDEX('CURVA PREVISION'!$A$1:$KZ$3000,$C11,10+3*MIN(E$3,$D$2-1)))))</f>
        <v/>
      </c>
      <c r="F11" s="130">
        <f>IF(OR($C11="",$B$2="",$D$2=0),0,IF(F$3&lt;0,0,N(INDEX('CURVA PREVISION'!$A$1:$KZ$3000,$C11,10+3*MIN(F$3,$D$2-1)))))</f>
        <v/>
      </c>
      <c r="G11" s="130">
        <f>IF(OR($C11="",$B$2="",$D$2=0),0,IF(G$3&lt;0,0,N(INDEX('CURVA PREVISION'!$A$1:$KZ$3000,$C11,10+3*MIN(G$3,$D$2-1)))))</f>
        <v/>
      </c>
      <c r="H11" s="130">
        <f>IF(OR($C11="",$B$2="",$D$2=0),0,IF(H$3&lt;0,0,N(INDEX('CURVA PREVISION'!$A$1:$KZ$3000,$C11,10+3*MIN(H$3,$D$2-1)))))</f>
        <v/>
      </c>
      <c r="I11" s="130">
        <f>IF(OR($C11="",$B$2="",$D$2=0),0,IF(I$3&lt;0,0,N(INDEX('CURVA PREVISION'!$A$1:$KZ$3000,$C11,10+3*MIN(I$3,$D$2-1)))))</f>
        <v/>
      </c>
      <c r="J11" s="130">
        <f>IF(OR($C11="",$B$2="",$D$2=0),0,IF(J$3&lt;0,0,N(INDEX('CURVA PREVISION'!$A$1:$KZ$3000,$C11,10+3*MIN(J$3,$D$2-1)))))</f>
        <v/>
      </c>
      <c r="K11" s="130">
        <f>IF(OR($C11="",$B$2="",$D$2=0),0,IF(K$3&lt;0,0,N(INDEX('CURVA PREVISION'!$A$1:$KZ$3000,$C11,10+3*MIN(K$3,$D$2-1)))))</f>
        <v/>
      </c>
      <c r="L11" s="130">
        <f>IF(OR($C11="",$B$2="",$D$2=0),0,IF(L$3&lt;0,0,N(INDEX('CURVA PREVISION'!$A$1:$KZ$3000,$C11,10+3*MIN(L$3,$D$2-1)))))</f>
        <v/>
      </c>
      <c r="M11" s="130">
        <f>IF(OR($C11="",$B$2="",$D$2=0),0,IF(M$3&lt;0,0,N(INDEX('CURVA PREVISION'!$A$1:$KZ$3000,$C11,10+3*MIN(M$3,$D$2-1)))))</f>
        <v/>
      </c>
      <c r="N11" s="130">
        <f>IF(OR($C11="",$B$2="",$D$2=0),0,IF(N$3&lt;0,0,N(INDEX('CURVA PREVISION'!$A$1:$KZ$3000,$C11,10+3*MIN(N$3,$D$2-1)))))</f>
        <v/>
      </c>
      <c r="O11" s="130">
        <f>IF(OR($C11="",$B$2="",$D$2=0),0,IF(O$3&lt;0,0,N(INDEX('CURVA PREVISION'!$A$1:$KZ$3000,$C11,10+3*MIN(O$3,$D$2-1)))))</f>
        <v/>
      </c>
      <c r="P11" s="130">
        <f>IF(OR($C11="",$B$2="",$D$2=0),0,IF(P$3&lt;0,0,N(INDEX('CURVA PREVISION'!$A$1:$KZ$3000,$C11,10+3*MIN(P$3,$D$2-1)))))</f>
        <v/>
      </c>
      <c r="Q11" s="130">
        <f>IF(OR($C11="",$B$2="",$D$2=0),0,IF(Q$3&lt;0,0,N(INDEX('CURVA PREVISION'!$A$1:$KZ$3000,$C11,10+3*MIN(Q$3,$D$2-1)))))</f>
        <v/>
      </c>
      <c r="R11" s="130">
        <f>IF(OR($C11="",$B$2="",$D$2=0),0,IF(R$3&lt;0,0,N(INDEX('CURVA PREVISION'!$A$1:$KZ$3000,$C11,10+3*MIN(R$3,$D$2-1)))))</f>
        <v/>
      </c>
      <c r="S11" s="130">
        <f>IF(OR($C11="",$B$2="",$D$2=0),0,IF(S$3&lt;0,0,N(INDEX('CURVA PREVISION'!$A$1:$KZ$3000,$C11,10+3*MIN(S$3,$D$2-1)))))</f>
        <v/>
      </c>
      <c r="T11" s="130">
        <f>IF(OR($C11="",$B$2="",$D$2=0),0,IF(T$3&lt;0,0,N(INDEX('CURVA PREVISION'!$A$1:$KZ$3000,$C11,10+3*MIN(T$3,$D$2-1)))))</f>
        <v/>
      </c>
      <c r="U11" s="130">
        <f>IF(OR($C11="",$B$2="",$D$2=0),0,IF(U$3&lt;0,0,N(INDEX('CURVA PREVISION'!$A$1:$KZ$3000,$C11,10+3*MIN(U$3,$D$2-1)))))</f>
        <v/>
      </c>
      <c r="V11" s="130">
        <f>IF(OR($C11="",$B$2="",$D$2=0),0,IF(V$3&lt;0,0,N(INDEX('CURVA PREVISION'!$A$1:$KZ$3000,$C11,10+3*MIN(V$3,$D$2-1)))))</f>
        <v/>
      </c>
      <c r="W11" s="130">
        <f>IF(OR($C11="",$B$2="",$D$2=0),0,IF(W$3&lt;0,0,N(INDEX('CURVA PREVISION'!$A$1:$KZ$3000,$C11,10+3*MIN(W$3,$D$2-1)))))</f>
        <v/>
      </c>
      <c r="X11" s="130">
        <f>IF(OR($C11="",$B$2="",$D$2=0),0,IF(X$3&lt;0,0,N(INDEX('CURVA PREVISION'!$A$1:$KZ$3000,$C11,10+3*MIN(X$3,$D$2-1)))))</f>
        <v/>
      </c>
      <c r="Y11" s="130">
        <f>IF(OR($C11="",$B$2="",$D$2=0),0,IF(Y$3&lt;0,0,N(INDEX('CURVA PREVISION'!$A$1:$KZ$3000,$C11,10+3*MIN(Y$3,$D$2-1)))))</f>
        <v/>
      </c>
      <c r="Z11" s="130">
        <f>IF(OR($C11="",$B$2="",$D$2=0),0,IF(Z$3&lt;0,0,N(INDEX('CURVA PREVISION'!$A$1:$KZ$3000,$C11,10+3*MIN(Z$3,$D$2-1)))))</f>
        <v/>
      </c>
      <c r="AA11" s="130">
        <f>IF(OR($C11="",$B$2="",$D$2=0),0,IF(AA$3&lt;0,0,N(INDEX('CURVA PREVISION'!$A$1:$KZ$3000,$C11,10+3*MIN(AA$3,$D$2-1)))))</f>
        <v/>
      </c>
      <c r="AB11" s="130">
        <f>IF(OR($C11="",$B$2="",$D$2=0),0,IF(AB$3&lt;0,0,N(INDEX('CURVA PREVISION'!$A$1:$KZ$3000,$C11,10+3*MIN(AB$3,$D$2-1)))))</f>
        <v/>
      </c>
      <c r="AC11" s="130">
        <f>IF(OR($C11="",$B$2="",$D$2=0),0,IF(AC$3&lt;0,0,N(INDEX('CURVA PREVISION'!$A$1:$KZ$3000,$C11,10+3*MIN(AC$3,$D$2-1)))))</f>
        <v/>
      </c>
      <c r="AD11" s="130">
        <f>IF(OR($C11="",$B$2="",$D$2=0),0,IF(AD$3&lt;0,0,N(INDEX('CURVA PREVISION'!$A$1:$KZ$3000,$C11,10+3*MIN(AD$3,$D$2-1)))))</f>
        <v/>
      </c>
      <c r="AE11" s="130">
        <f>IF(OR($C11="",$B$2="",$D$2=0),0,IF(AE$3&lt;0,0,N(INDEX('CURVA PREVISION'!$A$1:$KZ$3000,$C11,10+3*MIN(AE$3,$D$2-1)))))</f>
        <v/>
      </c>
      <c r="AF11" s="130">
        <f>IF(OR($C11="",$B$2="",$D$2=0),0,IF(AF$3&lt;0,0,N(INDEX('CURVA PREVISION'!$A$1:$KZ$3000,$C11,10+3*MIN(AF$3,$D$2-1)))))</f>
        <v/>
      </c>
      <c r="AG11" s="130">
        <f>IF(OR($C11="",$B$2="",$D$2=0),0,IF(AG$3&lt;0,0,N(INDEX('CURVA PREVISION'!$A$1:$KZ$3000,$C11,10+3*MIN(AG$3,$D$2-1)))))</f>
        <v/>
      </c>
      <c r="AH11" s="130">
        <f>IF(OR($C11="",$B$2="",$D$2=0),0,IF(AH$3&lt;0,0,N(INDEX('CURVA PREVISION'!$A$1:$KZ$3000,$C11,10+3*MIN(AH$3,$D$2-1)))))</f>
        <v/>
      </c>
      <c r="AI11" s="130">
        <f>IF(OR($C11="",$B$2="",$D$2=0),0,IF(AI$3&lt;0,0,N(INDEX('CURVA PREVISION'!$A$1:$KZ$3000,$C11,10+3*MIN(AI$3,$D$2-1)))))</f>
        <v/>
      </c>
      <c r="AJ11" s="130">
        <f>IF(OR($C11="",$B$2="",$D$2=0),0,IF(AJ$3&lt;0,0,N(INDEX('CURVA PREVISION'!$A$1:$KZ$3000,$C11,10+3*MIN(AJ$3,$D$2-1)))))</f>
        <v/>
      </c>
      <c r="AK11" s="130">
        <f>IF(OR($C11="",$B$2="",$D$2=0),0,IF(AK$3&lt;0,0,N(INDEX('CURVA PREVISION'!$A$1:$KZ$3000,$C11,10+3*MIN(AK$3,$D$2-1)))))</f>
        <v/>
      </c>
      <c r="AL11" s="130">
        <f>IF(OR($C11="",$B$2="",$D$2=0),0,IF(AL$3&lt;0,0,N(INDEX('CURVA PREVISION'!$A$1:$KZ$3000,$C11,10+3*MIN(AL$3,$D$2-1)))))</f>
        <v/>
      </c>
      <c r="AM11" s="130">
        <f>IF(OR($C11="",$B$2="",$D$2=0),0,IF(AM$3&lt;0,0,N(INDEX('CURVA PREVISION'!$A$1:$KZ$3000,$C11,10+3*MIN(AM$3,$D$2-1)))))</f>
        <v/>
      </c>
      <c r="AN11" s="130">
        <f>IF(OR($C11="",$B$2="",$D$2=0),0,IF(AN$3&lt;0,0,N(INDEX('CURVA PREVISION'!$A$1:$KZ$3000,$C11,10+3*MIN(AN$3,$D$2-1)))))</f>
        <v/>
      </c>
      <c r="AO11" s="130">
        <f>IF(OR($C11="",$B$2="",$D$2=0),0,IF(AO$3&lt;0,0,N(INDEX('CURVA PREVISION'!$A$1:$KZ$3000,$C11,10+3*MIN(AO$3,$D$2-1)))))</f>
        <v/>
      </c>
      <c r="AP11" s="130">
        <f>IF(OR($C11="",$B$2="",$D$2=0),0,IF(AP$3&lt;0,0,N(INDEX('CURVA PREVISION'!$A$1:$KZ$3000,$C11,10+3*MIN(AP$3,$D$2-1)))))</f>
        <v/>
      </c>
      <c r="AQ11" s="130">
        <f>IF(OR($C11="",$B$2="",$D$2=0),0,IF(AQ$3&lt;0,0,N(INDEX('CURVA PREVISION'!$A$1:$KZ$3000,$C11,10+3*MIN(AQ$3,$D$2-1)))))</f>
        <v/>
      </c>
      <c r="AR11" s="130">
        <f>IF(OR($C11="",$B$2="",$D$2=0),0,IF(AR$3&lt;0,0,N(INDEX('CURVA PREVISION'!$A$1:$KZ$3000,$C11,10+3*MIN(AR$3,$D$2-1)))))</f>
        <v/>
      </c>
      <c r="AS11" s="130">
        <f>IF(OR($C11="",$B$2="",$D$2=0),0,IF(AS$3&lt;0,0,N(INDEX('CURVA PREVISION'!$A$1:$KZ$3000,$C11,10+3*MIN(AS$3,$D$2-1)))))</f>
        <v/>
      </c>
      <c r="AT11" s="130">
        <f>IF(OR($C11="",$B$2="",$D$2=0),0,IF(AT$3&lt;0,0,N(INDEX('CURVA PREVISION'!$A$1:$KZ$3000,$C11,10+3*MIN(AT$3,$D$2-1)))))</f>
        <v/>
      </c>
      <c r="AU11" s="130">
        <f>IF(OR($C11="",$B$2="",$D$2=0),0,IF(AU$3&lt;0,0,N(INDEX('CURVA PREVISION'!$A$1:$KZ$3000,$C11,10+3*MIN(AU$3,$D$2-1)))))</f>
        <v/>
      </c>
      <c r="AV11" s="130">
        <f>IF(OR($C11="",$B$2="",$D$2=0),0,IF(AV$3&lt;0,0,N(INDEX('CURVA PREVISION'!$A$1:$KZ$3000,$C11,10+3*MIN(AV$3,$D$2-1)))))</f>
        <v/>
      </c>
      <c r="AW11" s="130">
        <f>IF(OR($C11="",$B$2="",$D$2=0),0,IF(AW$3&lt;0,0,N(INDEX('CURVA PREVISION'!$A$1:$KZ$3000,$C11,10+3*MIN(AW$3,$D$2-1)))))</f>
        <v/>
      </c>
      <c r="AX11" s="130">
        <f>IF(OR($C11="",$B$2="",$D$2=0),0,IF(AX$3&lt;0,0,N(INDEX('CURVA PREVISION'!$A$1:$KZ$3000,$C11,10+3*MIN(AX$3,$D$2-1)))))</f>
        <v/>
      </c>
      <c r="AY11" s="130">
        <f>IF(OR($C11="",$B$2="",$D$2=0),0,IF(AY$3&lt;0,0,N(INDEX('CURVA PREVISION'!$A$1:$KZ$3000,$C11,10+3*MIN(AY$3,$D$2-1)))))</f>
        <v/>
      </c>
      <c r="AZ11" s="130">
        <f>IF(OR($C11="",$B$2="",$D$2=0),0,IF(AZ$3&lt;0,0,N(INDEX('CURVA PREVISION'!$A$1:$KZ$3000,$C11,10+3*MIN(AZ$3,$D$2-1)))))</f>
        <v/>
      </c>
      <c r="BA11" s="130">
        <f>IF(OR($C11="",$B$2="",$D$2=0),0,IF(BA$3&lt;0,0,N(INDEX('CURVA PREVISION'!$A$1:$KZ$3000,$C11,10+3*MIN(BA$3,$D$2-1)))))</f>
        <v/>
      </c>
      <c r="BB11" s="130">
        <f>IF(OR($C11="",$B$2="",$D$2=0),0,IF(BB$3&lt;0,0,N(INDEX('CURVA PREVISION'!$A$1:$KZ$3000,$C11,10+3*MIN(BB$3,$D$2-1)))))</f>
        <v/>
      </c>
      <c r="BC11" s="130">
        <f>IF(OR($C11="",$B$2="",$D$2=0),0,IF(BC$3&lt;0,0,N(INDEX('CURVA PREVISION'!$A$1:$KZ$3000,$C11,10+3*MIN(BC$3,$D$2-1)))))</f>
        <v/>
      </c>
      <c r="BD11" s="130">
        <f>IF(OR($C11="",$B$2="",$D$2=0),0,IF(BD$3&lt;0,0,N(INDEX('CURVA PREVISION'!$A$1:$KZ$3000,$C11,10+3*MIN(BD$3,$D$2-1)))))</f>
        <v/>
      </c>
      <c r="BE11" s="130">
        <f>IF(OR($C11="",$B$2="",$D$2=0),0,IF(BE$3&lt;0,0,N(INDEX('CURVA PREVISION'!$A$1:$KZ$3000,$C11,10+3*MIN(BE$3,$D$2-1)))))</f>
        <v/>
      </c>
      <c r="BF11" s="130">
        <f>IF(OR($C11="",$B$2="",$D$2=0),0,IF(BF$3&lt;0,0,N(INDEX('CURVA PREVISION'!$A$1:$KZ$3000,$C11,10+3*MIN(BF$3,$D$2-1)))))</f>
        <v/>
      </c>
      <c r="BG11" s="130">
        <f>IF(OR($C11="",$B$2="",$D$2=0),0,IF(BG$3&lt;0,0,N(INDEX('CURVA PREVISION'!$A$1:$KZ$3000,$C11,10+3*MIN(BG$3,$D$2-1)))))</f>
        <v/>
      </c>
      <c r="BH11" s="130">
        <f>IF(OR($C11="",$B$2="",$D$2=0),0,IF(BH$3&lt;0,0,N(INDEX('CURVA PREVISION'!$A$1:$KZ$3000,$C11,10+3*MIN(BH$3,$D$2-1)))))</f>
        <v/>
      </c>
      <c r="BI11" s="130">
        <f>IF(OR($C11="",$B$2="",$D$2=0),0,IF(BI$3&lt;0,0,N(INDEX('CURVA PREVISION'!$A$1:$KZ$3000,$C11,10+3*MIN(BI$3,$D$2-1)))))</f>
        <v/>
      </c>
      <c r="BJ11" s="130">
        <f>IF(OR($C11="",$B$2="",$D$2=0),0,IF(BJ$3&lt;0,0,N(INDEX('CURVA PREVISION'!$A$1:$KZ$3000,$C11,10+3*MIN(BJ$3,$D$2-1)))))</f>
        <v/>
      </c>
      <c r="BK11" s="130">
        <f>IF(OR($C11="",$B$2="",$D$2=0),0,IF(BK$3&lt;0,0,N(INDEX('CURVA PREVISION'!$A$1:$KZ$3000,$C11,10+3*MIN(BK$3,$D$2-1)))))</f>
        <v/>
      </c>
      <c r="BL11" s="130">
        <f>IF(OR($C11="",$B$2="",$D$2=0),0,IF(BL$3&lt;0,0,N(INDEX('CURVA PREVISION'!$A$1:$KZ$3000,$C11,10+3*MIN(BL$3,$D$2-1)))))</f>
        <v/>
      </c>
      <c r="BM11" s="130">
        <f>IF(OR($C11="",$B$2="",$D$2=0),0,IF(BM$3&lt;0,0,N(INDEX('CURVA PREVISION'!$A$1:$KZ$3000,$C11,10+3*MIN(BM$3,$D$2-1)))))</f>
        <v/>
      </c>
      <c r="BN11" s="130">
        <f>IF(OR($C11="",$B$2="",$D$2=0),0,IF(BN$3&lt;0,0,N(INDEX('CURVA PREVISION'!$A$1:$KZ$3000,$C11,10+3*MIN(BN$3,$D$2-1)))))</f>
        <v/>
      </c>
      <c r="BO11" s="130">
        <f>IF(OR($C11="",$B$2="",$D$2=0),0,IF(BO$3&lt;0,0,N(INDEX('CURVA PREVISION'!$A$1:$KZ$3000,$C11,10+3*MIN(BO$3,$D$2-1)))))</f>
        <v/>
      </c>
      <c r="BP11" s="130">
        <f>IF(OR($C11="",$B$2="",$D$2=0),0,IF(BP$3&lt;0,0,N(INDEX('CURVA PREVISION'!$A$1:$KZ$3000,$C11,10+3*MIN(BP$3,$D$2-1)))))</f>
        <v/>
      </c>
      <c r="BQ11" s="130">
        <f>IF(OR($C11="",$B$2="",$D$2=0),0,IF(BQ$3&lt;0,0,N(INDEX('CURVA PREVISION'!$A$1:$KZ$3000,$C11,10+3*MIN(BQ$3,$D$2-1)))))</f>
        <v/>
      </c>
      <c r="BR11" s="130">
        <f>IF(OR($C11="",$B$2="",$D$2=0),0,IF(BR$3&lt;0,0,N(INDEX('CURVA PREVISION'!$A$1:$KZ$3000,$C11,10+3*MIN(BR$3,$D$2-1)))))</f>
        <v/>
      </c>
      <c r="BS11" s="130">
        <f>IF(OR($C11="",$B$2="",$D$2=0),0,IF(BS$3&lt;0,0,N(INDEX('CURVA PREVISION'!$A$1:$KZ$3000,$C11,10+3*MIN(BS$3,$D$2-1)))))</f>
        <v/>
      </c>
      <c r="BT11" s="130">
        <f>IF(OR($C11="",$B$2="",$D$2=0),0,IF(BT$3&lt;0,0,N(INDEX('CURVA PREVISION'!$A$1:$KZ$3000,$C11,10+3*MIN(BT$3,$D$2-1)))))</f>
        <v/>
      </c>
      <c r="BU11" s="130">
        <f>IF(OR($C11="",$B$2="",$D$2=0),0,IF(BU$3&lt;0,0,N(INDEX('CURVA PREVISION'!$A$1:$KZ$3000,$C11,10+3*MIN(BU$3,$D$2-1)))))</f>
        <v/>
      </c>
      <c r="BV11" s="130">
        <f>IF(OR($C11="",$B$2="",$D$2=0),0,IF(BV$3&lt;0,0,N(INDEX('CURVA PREVISION'!$A$1:$KZ$3000,$C11,10+3*MIN(BV$3,$D$2-1)))))</f>
        <v/>
      </c>
      <c r="BW11" s="130">
        <f>IF(OR($C11="",$B$2="",$D$2=0),0,IF(BW$3&lt;0,0,N(INDEX('CURVA PREVISION'!$A$1:$KZ$3000,$C11,10+3*MIN(BW$3,$D$2-1)))))</f>
        <v/>
      </c>
    </row>
    <row r="12">
      <c r="A12" s="61">
        <f>IF('VALOR POR PL'!R18&lt;&gt;"",'VALOR POR PL'!R18,IF('VALOR POR PL'!Q18="",'VALOR POR PL'!C18,'VALOR POR PL'!Q18))</f>
        <v/>
      </c>
      <c r="B12" s="61">
        <f>'VALOR POR PL'!D18</f>
        <v/>
      </c>
      <c r="C12" s="70">
        <f>IFERROR(MATCH(A12,'CURVA PREVISION'!$B$1:$B$3000,0),"")</f>
        <v/>
      </c>
      <c r="D12" s="130">
        <f>IF(OR($C12="",$B$2="",$D$2=0),0,IF(D$3&lt;0,0,N(INDEX('CURVA PREVISION'!$A$1:$KZ$3000,$C12,10+3*MIN(D$3,$D$2-1)))))</f>
        <v/>
      </c>
      <c r="E12" s="130">
        <f>IF(OR($C12="",$B$2="",$D$2=0),0,IF(E$3&lt;0,0,N(INDEX('CURVA PREVISION'!$A$1:$KZ$3000,$C12,10+3*MIN(E$3,$D$2-1)))))</f>
        <v/>
      </c>
      <c r="F12" s="130">
        <f>IF(OR($C12="",$B$2="",$D$2=0),0,IF(F$3&lt;0,0,N(INDEX('CURVA PREVISION'!$A$1:$KZ$3000,$C12,10+3*MIN(F$3,$D$2-1)))))</f>
        <v/>
      </c>
      <c r="G12" s="130">
        <f>IF(OR($C12="",$B$2="",$D$2=0),0,IF(G$3&lt;0,0,N(INDEX('CURVA PREVISION'!$A$1:$KZ$3000,$C12,10+3*MIN(G$3,$D$2-1)))))</f>
        <v/>
      </c>
      <c r="H12" s="130">
        <f>IF(OR($C12="",$B$2="",$D$2=0),0,IF(H$3&lt;0,0,N(INDEX('CURVA PREVISION'!$A$1:$KZ$3000,$C12,10+3*MIN(H$3,$D$2-1)))))</f>
        <v/>
      </c>
      <c r="I12" s="130">
        <f>IF(OR($C12="",$B$2="",$D$2=0),0,IF(I$3&lt;0,0,N(INDEX('CURVA PREVISION'!$A$1:$KZ$3000,$C12,10+3*MIN(I$3,$D$2-1)))))</f>
        <v/>
      </c>
      <c r="J12" s="130">
        <f>IF(OR($C12="",$B$2="",$D$2=0),0,IF(J$3&lt;0,0,N(INDEX('CURVA PREVISION'!$A$1:$KZ$3000,$C12,10+3*MIN(J$3,$D$2-1)))))</f>
        <v/>
      </c>
      <c r="K12" s="130">
        <f>IF(OR($C12="",$B$2="",$D$2=0),0,IF(K$3&lt;0,0,N(INDEX('CURVA PREVISION'!$A$1:$KZ$3000,$C12,10+3*MIN(K$3,$D$2-1)))))</f>
        <v/>
      </c>
      <c r="L12" s="130">
        <f>IF(OR($C12="",$B$2="",$D$2=0),0,IF(L$3&lt;0,0,N(INDEX('CURVA PREVISION'!$A$1:$KZ$3000,$C12,10+3*MIN(L$3,$D$2-1)))))</f>
        <v/>
      </c>
      <c r="M12" s="130">
        <f>IF(OR($C12="",$B$2="",$D$2=0),0,IF(M$3&lt;0,0,N(INDEX('CURVA PREVISION'!$A$1:$KZ$3000,$C12,10+3*MIN(M$3,$D$2-1)))))</f>
        <v/>
      </c>
      <c r="N12" s="130">
        <f>IF(OR($C12="",$B$2="",$D$2=0),0,IF(N$3&lt;0,0,N(INDEX('CURVA PREVISION'!$A$1:$KZ$3000,$C12,10+3*MIN(N$3,$D$2-1)))))</f>
        <v/>
      </c>
      <c r="O12" s="130">
        <f>IF(OR($C12="",$B$2="",$D$2=0),0,IF(O$3&lt;0,0,N(INDEX('CURVA PREVISION'!$A$1:$KZ$3000,$C12,10+3*MIN(O$3,$D$2-1)))))</f>
        <v/>
      </c>
      <c r="P12" s="130">
        <f>IF(OR($C12="",$B$2="",$D$2=0),0,IF(P$3&lt;0,0,N(INDEX('CURVA PREVISION'!$A$1:$KZ$3000,$C12,10+3*MIN(P$3,$D$2-1)))))</f>
        <v/>
      </c>
      <c r="Q12" s="130">
        <f>IF(OR($C12="",$B$2="",$D$2=0),0,IF(Q$3&lt;0,0,N(INDEX('CURVA PREVISION'!$A$1:$KZ$3000,$C12,10+3*MIN(Q$3,$D$2-1)))))</f>
        <v/>
      </c>
      <c r="R12" s="130">
        <f>IF(OR($C12="",$B$2="",$D$2=0),0,IF(R$3&lt;0,0,N(INDEX('CURVA PREVISION'!$A$1:$KZ$3000,$C12,10+3*MIN(R$3,$D$2-1)))))</f>
        <v/>
      </c>
      <c r="S12" s="130">
        <f>IF(OR($C12="",$B$2="",$D$2=0),0,IF(S$3&lt;0,0,N(INDEX('CURVA PREVISION'!$A$1:$KZ$3000,$C12,10+3*MIN(S$3,$D$2-1)))))</f>
        <v/>
      </c>
      <c r="T12" s="130">
        <f>IF(OR($C12="",$B$2="",$D$2=0),0,IF(T$3&lt;0,0,N(INDEX('CURVA PREVISION'!$A$1:$KZ$3000,$C12,10+3*MIN(T$3,$D$2-1)))))</f>
        <v/>
      </c>
      <c r="U12" s="130">
        <f>IF(OR($C12="",$B$2="",$D$2=0),0,IF(U$3&lt;0,0,N(INDEX('CURVA PREVISION'!$A$1:$KZ$3000,$C12,10+3*MIN(U$3,$D$2-1)))))</f>
        <v/>
      </c>
      <c r="V12" s="130">
        <f>IF(OR($C12="",$B$2="",$D$2=0),0,IF(V$3&lt;0,0,N(INDEX('CURVA PREVISION'!$A$1:$KZ$3000,$C12,10+3*MIN(V$3,$D$2-1)))))</f>
        <v/>
      </c>
      <c r="W12" s="130">
        <f>IF(OR($C12="",$B$2="",$D$2=0),0,IF(W$3&lt;0,0,N(INDEX('CURVA PREVISION'!$A$1:$KZ$3000,$C12,10+3*MIN(W$3,$D$2-1)))))</f>
        <v/>
      </c>
      <c r="X12" s="130">
        <f>IF(OR($C12="",$B$2="",$D$2=0),0,IF(X$3&lt;0,0,N(INDEX('CURVA PREVISION'!$A$1:$KZ$3000,$C12,10+3*MIN(X$3,$D$2-1)))))</f>
        <v/>
      </c>
      <c r="Y12" s="130">
        <f>IF(OR($C12="",$B$2="",$D$2=0),0,IF(Y$3&lt;0,0,N(INDEX('CURVA PREVISION'!$A$1:$KZ$3000,$C12,10+3*MIN(Y$3,$D$2-1)))))</f>
        <v/>
      </c>
      <c r="Z12" s="130">
        <f>IF(OR($C12="",$B$2="",$D$2=0),0,IF(Z$3&lt;0,0,N(INDEX('CURVA PREVISION'!$A$1:$KZ$3000,$C12,10+3*MIN(Z$3,$D$2-1)))))</f>
        <v/>
      </c>
      <c r="AA12" s="130">
        <f>IF(OR($C12="",$B$2="",$D$2=0),0,IF(AA$3&lt;0,0,N(INDEX('CURVA PREVISION'!$A$1:$KZ$3000,$C12,10+3*MIN(AA$3,$D$2-1)))))</f>
        <v/>
      </c>
      <c r="AB12" s="130">
        <f>IF(OR($C12="",$B$2="",$D$2=0),0,IF(AB$3&lt;0,0,N(INDEX('CURVA PREVISION'!$A$1:$KZ$3000,$C12,10+3*MIN(AB$3,$D$2-1)))))</f>
        <v/>
      </c>
      <c r="AC12" s="130">
        <f>IF(OR($C12="",$B$2="",$D$2=0),0,IF(AC$3&lt;0,0,N(INDEX('CURVA PREVISION'!$A$1:$KZ$3000,$C12,10+3*MIN(AC$3,$D$2-1)))))</f>
        <v/>
      </c>
      <c r="AD12" s="130">
        <f>IF(OR($C12="",$B$2="",$D$2=0),0,IF(AD$3&lt;0,0,N(INDEX('CURVA PREVISION'!$A$1:$KZ$3000,$C12,10+3*MIN(AD$3,$D$2-1)))))</f>
        <v/>
      </c>
      <c r="AE12" s="130">
        <f>IF(OR($C12="",$B$2="",$D$2=0),0,IF(AE$3&lt;0,0,N(INDEX('CURVA PREVISION'!$A$1:$KZ$3000,$C12,10+3*MIN(AE$3,$D$2-1)))))</f>
        <v/>
      </c>
      <c r="AF12" s="130">
        <f>IF(OR($C12="",$B$2="",$D$2=0),0,IF(AF$3&lt;0,0,N(INDEX('CURVA PREVISION'!$A$1:$KZ$3000,$C12,10+3*MIN(AF$3,$D$2-1)))))</f>
        <v/>
      </c>
      <c r="AG12" s="130">
        <f>IF(OR($C12="",$B$2="",$D$2=0),0,IF(AG$3&lt;0,0,N(INDEX('CURVA PREVISION'!$A$1:$KZ$3000,$C12,10+3*MIN(AG$3,$D$2-1)))))</f>
        <v/>
      </c>
      <c r="AH12" s="130">
        <f>IF(OR($C12="",$B$2="",$D$2=0),0,IF(AH$3&lt;0,0,N(INDEX('CURVA PREVISION'!$A$1:$KZ$3000,$C12,10+3*MIN(AH$3,$D$2-1)))))</f>
        <v/>
      </c>
      <c r="AI12" s="130">
        <f>IF(OR($C12="",$B$2="",$D$2=0),0,IF(AI$3&lt;0,0,N(INDEX('CURVA PREVISION'!$A$1:$KZ$3000,$C12,10+3*MIN(AI$3,$D$2-1)))))</f>
        <v/>
      </c>
      <c r="AJ12" s="130">
        <f>IF(OR($C12="",$B$2="",$D$2=0),0,IF(AJ$3&lt;0,0,N(INDEX('CURVA PREVISION'!$A$1:$KZ$3000,$C12,10+3*MIN(AJ$3,$D$2-1)))))</f>
        <v/>
      </c>
      <c r="AK12" s="130">
        <f>IF(OR($C12="",$B$2="",$D$2=0),0,IF(AK$3&lt;0,0,N(INDEX('CURVA PREVISION'!$A$1:$KZ$3000,$C12,10+3*MIN(AK$3,$D$2-1)))))</f>
        <v/>
      </c>
      <c r="AL12" s="130">
        <f>IF(OR($C12="",$B$2="",$D$2=0),0,IF(AL$3&lt;0,0,N(INDEX('CURVA PREVISION'!$A$1:$KZ$3000,$C12,10+3*MIN(AL$3,$D$2-1)))))</f>
        <v/>
      </c>
      <c r="AM12" s="130">
        <f>IF(OR($C12="",$B$2="",$D$2=0),0,IF(AM$3&lt;0,0,N(INDEX('CURVA PREVISION'!$A$1:$KZ$3000,$C12,10+3*MIN(AM$3,$D$2-1)))))</f>
        <v/>
      </c>
      <c r="AN12" s="130">
        <f>IF(OR($C12="",$B$2="",$D$2=0),0,IF(AN$3&lt;0,0,N(INDEX('CURVA PREVISION'!$A$1:$KZ$3000,$C12,10+3*MIN(AN$3,$D$2-1)))))</f>
        <v/>
      </c>
      <c r="AO12" s="130">
        <f>IF(OR($C12="",$B$2="",$D$2=0),0,IF(AO$3&lt;0,0,N(INDEX('CURVA PREVISION'!$A$1:$KZ$3000,$C12,10+3*MIN(AO$3,$D$2-1)))))</f>
        <v/>
      </c>
      <c r="AP12" s="130">
        <f>IF(OR($C12="",$B$2="",$D$2=0),0,IF(AP$3&lt;0,0,N(INDEX('CURVA PREVISION'!$A$1:$KZ$3000,$C12,10+3*MIN(AP$3,$D$2-1)))))</f>
        <v/>
      </c>
      <c r="AQ12" s="130">
        <f>IF(OR($C12="",$B$2="",$D$2=0),0,IF(AQ$3&lt;0,0,N(INDEX('CURVA PREVISION'!$A$1:$KZ$3000,$C12,10+3*MIN(AQ$3,$D$2-1)))))</f>
        <v/>
      </c>
      <c r="AR12" s="130">
        <f>IF(OR($C12="",$B$2="",$D$2=0),0,IF(AR$3&lt;0,0,N(INDEX('CURVA PREVISION'!$A$1:$KZ$3000,$C12,10+3*MIN(AR$3,$D$2-1)))))</f>
        <v/>
      </c>
      <c r="AS12" s="130">
        <f>IF(OR($C12="",$B$2="",$D$2=0),0,IF(AS$3&lt;0,0,N(INDEX('CURVA PREVISION'!$A$1:$KZ$3000,$C12,10+3*MIN(AS$3,$D$2-1)))))</f>
        <v/>
      </c>
      <c r="AT12" s="130">
        <f>IF(OR($C12="",$B$2="",$D$2=0),0,IF(AT$3&lt;0,0,N(INDEX('CURVA PREVISION'!$A$1:$KZ$3000,$C12,10+3*MIN(AT$3,$D$2-1)))))</f>
        <v/>
      </c>
      <c r="AU12" s="130">
        <f>IF(OR($C12="",$B$2="",$D$2=0),0,IF(AU$3&lt;0,0,N(INDEX('CURVA PREVISION'!$A$1:$KZ$3000,$C12,10+3*MIN(AU$3,$D$2-1)))))</f>
        <v/>
      </c>
      <c r="AV12" s="130">
        <f>IF(OR($C12="",$B$2="",$D$2=0),0,IF(AV$3&lt;0,0,N(INDEX('CURVA PREVISION'!$A$1:$KZ$3000,$C12,10+3*MIN(AV$3,$D$2-1)))))</f>
        <v/>
      </c>
      <c r="AW12" s="130">
        <f>IF(OR($C12="",$B$2="",$D$2=0),0,IF(AW$3&lt;0,0,N(INDEX('CURVA PREVISION'!$A$1:$KZ$3000,$C12,10+3*MIN(AW$3,$D$2-1)))))</f>
        <v/>
      </c>
      <c r="AX12" s="130">
        <f>IF(OR($C12="",$B$2="",$D$2=0),0,IF(AX$3&lt;0,0,N(INDEX('CURVA PREVISION'!$A$1:$KZ$3000,$C12,10+3*MIN(AX$3,$D$2-1)))))</f>
        <v/>
      </c>
      <c r="AY12" s="130">
        <f>IF(OR($C12="",$B$2="",$D$2=0),0,IF(AY$3&lt;0,0,N(INDEX('CURVA PREVISION'!$A$1:$KZ$3000,$C12,10+3*MIN(AY$3,$D$2-1)))))</f>
        <v/>
      </c>
      <c r="AZ12" s="130">
        <f>IF(OR($C12="",$B$2="",$D$2=0),0,IF(AZ$3&lt;0,0,N(INDEX('CURVA PREVISION'!$A$1:$KZ$3000,$C12,10+3*MIN(AZ$3,$D$2-1)))))</f>
        <v/>
      </c>
      <c r="BA12" s="130">
        <f>IF(OR($C12="",$B$2="",$D$2=0),0,IF(BA$3&lt;0,0,N(INDEX('CURVA PREVISION'!$A$1:$KZ$3000,$C12,10+3*MIN(BA$3,$D$2-1)))))</f>
        <v/>
      </c>
      <c r="BB12" s="130">
        <f>IF(OR($C12="",$B$2="",$D$2=0),0,IF(BB$3&lt;0,0,N(INDEX('CURVA PREVISION'!$A$1:$KZ$3000,$C12,10+3*MIN(BB$3,$D$2-1)))))</f>
        <v/>
      </c>
      <c r="BC12" s="130">
        <f>IF(OR($C12="",$B$2="",$D$2=0),0,IF(BC$3&lt;0,0,N(INDEX('CURVA PREVISION'!$A$1:$KZ$3000,$C12,10+3*MIN(BC$3,$D$2-1)))))</f>
        <v/>
      </c>
      <c r="BD12" s="130">
        <f>IF(OR($C12="",$B$2="",$D$2=0),0,IF(BD$3&lt;0,0,N(INDEX('CURVA PREVISION'!$A$1:$KZ$3000,$C12,10+3*MIN(BD$3,$D$2-1)))))</f>
        <v/>
      </c>
      <c r="BE12" s="130">
        <f>IF(OR($C12="",$B$2="",$D$2=0),0,IF(BE$3&lt;0,0,N(INDEX('CURVA PREVISION'!$A$1:$KZ$3000,$C12,10+3*MIN(BE$3,$D$2-1)))))</f>
        <v/>
      </c>
      <c r="BF12" s="130">
        <f>IF(OR($C12="",$B$2="",$D$2=0),0,IF(BF$3&lt;0,0,N(INDEX('CURVA PREVISION'!$A$1:$KZ$3000,$C12,10+3*MIN(BF$3,$D$2-1)))))</f>
        <v/>
      </c>
      <c r="BG12" s="130">
        <f>IF(OR($C12="",$B$2="",$D$2=0),0,IF(BG$3&lt;0,0,N(INDEX('CURVA PREVISION'!$A$1:$KZ$3000,$C12,10+3*MIN(BG$3,$D$2-1)))))</f>
        <v/>
      </c>
      <c r="BH12" s="130">
        <f>IF(OR($C12="",$B$2="",$D$2=0),0,IF(BH$3&lt;0,0,N(INDEX('CURVA PREVISION'!$A$1:$KZ$3000,$C12,10+3*MIN(BH$3,$D$2-1)))))</f>
        <v/>
      </c>
      <c r="BI12" s="130">
        <f>IF(OR($C12="",$B$2="",$D$2=0),0,IF(BI$3&lt;0,0,N(INDEX('CURVA PREVISION'!$A$1:$KZ$3000,$C12,10+3*MIN(BI$3,$D$2-1)))))</f>
        <v/>
      </c>
      <c r="BJ12" s="130">
        <f>IF(OR($C12="",$B$2="",$D$2=0),0,IF(BJ$3&lt;0,0,N(INDEX('CURVA PREVISION'!$A$1:$KZ$3000,$C12,10+3*MIN(BJ$3,$D$2-1)))))</f>
        <v/>
      </c>
      <c r="BK12" s="130">
        <f>IF(OR($C12="",$B$2="",$D$2=0),0,IF(BK$3&lt;0,0,N(INDEX('CURVA PREVISION'!$A$1:$KZ$3000,$C12,10+3*MIN(BK$3,$D$2-1)))))</f>
        <v/>
      </c>
      <c r="BL12" s="130">
        <f>IF(OR($C12="",$B$2="",$D$2=0),0,IF(BL$3&lt;0,0,N(INDEX('CURVA PREVISION'!$A$1:$KZ$3000,$C12,10+3*MIN(BL$3,$D$2-1)))))</f>
        <v/>
      </c>
      <c r="BM12" s="130">
        <f>IF(OR($C12="",$B$2="",$D$2=0),0,IF(BM$3&lt;0,0,N(INDEX('CURVA PREVISION'!$A$1:$KZ$3000,$C12,10+3*MIN(BM$3,$D$2-1)))))</f>
        <v/>
      </c>
      <c r="BN12" s="130">
        <f>IF(OR($C12="",$B$2="",$D$2=0),0,IF(BN$3&lt;0,0,N(INDEX('CURVA PREVISION'!$A$1:$KZ$3000,$C12,10+3*MIN(BN$3,$D$2-1)))))</f>
        <v/>
      </c>
      <c r="BO12" s="130">
        <f>IF(OR($C12="",$B$2="",$D$2=0),0,IF(BO$3&lt;0,0,N(INDEX('CURVA PREVISION'!$A$1:$KZ$3000,$C12,10+3*MIN(BO$3,$D$2-1)))))</f>
        <v/>
      </c>
      <c r="BP12" s="130">
        <f>IF(OR($C12="",$B$2="",$D$2=0),0,IF(BP$3&lt;0,0,N(INDEX('CURVA PREVISION'!$A$1:$KZ$3000,$C12,10+3*MIN(BP$3,$D$2-1)))))</f>
        <v/>
      </c>
      <c r="BQ12" s="130">
        <f>IF(OR($C12="",$B$2="",$D$2=0),0,IF(BQ$3&lt;0,0,N(INDEX('CURVA PREVISION'!$A$1:$KZ$3000,$C12,10+3*MIN(BQ$3,$D$2-1)))))</f>
        <v/>
      </c>
      <c r="BR12" s="130">
        <f>IF(OR($C12="",$B$2="",$D$2=0),0,IF(BR$3&lt;0,0,N(INDEX('CURVA PREVISION'!$A$1:$KZ$3000,$C12,10+3*MIN(BR$3,$D$2-1)))))</f>
        <v/>
      </c>
      <c r="BS12" s="130">
        <f>IF(OR($C12="",$B$2="",$D$2=0),0,IF(BS$3&lt;0,0,N(INDEX('CURVA PREVISION'!$A$1:$KZ$3000,$C12,10+3*MIN(BS$3,$D$2-1)))))</f>
        <v/>
      </c>
      <c r="BT12" s="130">
        <f>IF(OR($C12="",$B$2="",$D$2=0),0,IF(BT$3&lt;0,0,N(INDEX('CURVA PREVISION'!$A$1:$KZ$3000,$C12,10+3*MIN(BT$3,$D$2-1)))))</f>
        <v/>
      </c>
      <c r="BU12" s="130">
        <f>IF(OR($C12="",$B$2="",$D$2=0),0,IF(BU$3&lt;0,0,N(INDEX('CURVA PREVISION'!$A$1:$KZ$3000,$C12,10+3*MIN(BU$3,$D$2-1)))))</f>
        <v/>
      </c>
      <c r="BV12" s="130">
        <f>IF(OR($C12="",$B$2="",$D$2=0),0,IF(BV$3&lt;0,0,N(INDEX('CURVA PREVISION'!$A$1:$KZ$3000,$C12,10+3*MIN(BV$3,$D$2-1)))))</f>
        <v/>
      </c>
      <c r="BW12" s="130">
        <f>IF(OR($C12="",$B$2="",$D$2=0),0,IF(BW$3&lt;0,0,N(INDEX('CURVA PREVISION'!$A$1:$KZ$3000,$C12,10+3*MIN(BW$3,$D$2-1)))))</f>
        <v/>
      </c>
    </row>
    <row r="13">
      <c r="A13" s="61">
        <f>IF('VALOR POR PL'!R19&lt;&gt;"",'VALOR POR PL'!R19,IF('VALOR POR PL'!Q19="",'VALOR POR PL'!C19,'VALOR POR PL'!Q19))</f>
        <v/>
      </c>
      <c r="B13" s="61">
        <f>'VALOR POR PL'!D19</f>
        <v/>
      </c>
      <c r="C13" s="70">
        <f>IFERROR(MATCH(A13,'CURVA PREVISION'!$B$1:$B$3000,0),"")</f>
        <v/>
      </c>
      <c r="D13" s="130">
        <f>IF(OR($C13="",$B$2="",$D$2=0),0,IF(D$3&lt;0,0,N(INDEX('CURVA PREVISION'!$A$1:$KZ$3000,$C13,10+3*MIN(D$3,$D$2-1)))))</f>
        <v/>
      </c>
      <c r="E13" s="130">
        <f>IF(OR($C13="",$B$2="",$D$2=0),0,IF(E$3&lt;0,0,N(INDEX('CURVA PREVISION'!$A$1:$KZ$3000,$C13,10+3*MIN(E$3,$D$2-1)))))</f>
        <v/>
      </c>
      <c r="F13" s="130">
        <f>IF(OR($C13="",$B$2="",$D$2=0),0,IF(F$3&lt;0,0,N(INDEX('CURVA PREVISION'!$A$1:$KZ$3000,$C13,10+3*MIN(F$3,$D$2-1)))))</f>
        <v/>
      </c>
      <c r="G13" s="130">
        <f>IF(OR($C13="",$B$2="",$D$2=0),0,IF(G$3&lt;0,0,N(INDEX('CURVA PREVISION'!$A$1:$KZ$3000,$C13,10+3*MIN(G$3,$D$2-1)))))</f>
        <v/>
      </c>
      <c r="H13" s="130">
        <f>IF(OR($C13="",$B$2="",$D$2=0),0,IF(H$3&lt;0,0,N(INDEX('CURVA PREVISION'!$A$1:$KZ$3000,$C13,10+3*MIN(H$3,$D$2-1)))))</f>
        <v/>
      </c>
      <c r="I13" s="130">
        <f>IF(OR($C13="",$B$2="",$D$2=0),0,IF(I$3&lt;0,0,N(INDEX('CURVA PREVISION'!$A$1:$KZ$3000,$C13,10+3*MIN(I$3,$D$2-1)))))</f>
        <v/>
      </c>
      <c r="J13" s="130">
        <f>IF(OR($C13="",$B$2="",$D$2=0),0,IF(J$3&lt;0,0,N(INDEX('CURVA PREVISION'!$A$1:$KZ$3000,$C13,10+3*MIN(J$3,$D$2-1)))))</f>
        <v/>
      </c>
      <c r="K13" s="130">
        <f>IF(OR($C13="",$B$2="",$D$2=0),0,IF(K$3&lt;0,0,N(INDEX('CURVA PREVISION'!$A$1:$KZ$3000,$C13,10+3*MIN(K$3,$D$2-1)))))</f>
        <v/>
      </c>
      <c r="L13" s="130">
        <f>IF(OR($C13="",$B$2="",$D$2=0),0,IF(L$3&lt;0,0,N(INDEX('CURVA PREVISION'!$A$1:$KZ$3000,$C13,10+3*MIN(L$3,$D$2-1)))))</f>
        <v/>
      </c>
      <c r="M13" s="130">
        <f>IF(OR($C13="",$B$2="",$D$2=0),0,IF(M$3&lt;0,0,N(INDEX('CURVA PREVISION'!$A$1:$KZ$3000,$C13,10+3*MIN(M$3,$D$2-1)))))</f>
        <v/>
      </c>
      <c r="N13" s="130">
        <f>IF(OR($C13="",$B$2="",$D$2=0),0,IF(N$3&lt;0,0,N(INDEX('CURVA PREVISION'!$A$1:$KZ$3000,$C13,10+3*MIN(N$3,$D$2-1)))))</f>
        <v/>
      </c>
      <c r="O13" s="130">
        <f>IF(OR($C13="",$B$2="",$D$2=0),0,IF(O$3&lt;0,0,N(INDEX('CURVA PREVISION'!$A$1:$KZ$3000,$C13,10+3*MIN(O$3,$D$2-1)))))</f>
        <v/>
      </c>
      <c r="P13" s="130">
        <f>IF(OR($C13="",$B$2="",$D$2=0),0,IF(P$3&lt;0,0,N(INDEX('CURVA PREVISION'!$A$1:$KZ$3000,$C13,10+3*MIN(P$3,$D$2-1)))))</f>
        <v/>
      </c>
      <c r="Q13" s="130">
        <f>IF(OR($C13="",$B$2="",$D$2=0),0,IF(Q$3&lt;0,0,N(INDEX('CURVA PREVISION'!$A$1:$KZ$3000,$C13,10+3*MIN(Q$3,$D$2-1)))))</f>
        <v/>
      </c>
      <c r="R13" s="130">
        <f>IF(OR($C13="",$B$2="",$D$2=0),0,IF(R$3&lt;0,0,N(INDEX('CURVA PREVISION'!$A$1:$KZ$3000,$C13,10+3*MIN(R$3,$D$2-1)))))</f>
        <v/>
      </c>
      <c r="S13" s="130">
        <f>IF(OR($C13="",$B$2="",$D$2=0),0,IF(S$3&lt;0,0,N(INDEX('CURVA PREVISION'!$A$1:$KZ$3000,$C13,10+3*MIN(S$3,$D$2-1)))))</f>
        <v/>
      </c>
      <c r="T13" s="130">
        <f>IF(OR($C13="",$B$2="",$D$2=0),0,IF(T$3&lt;0,0,N(INDEX('CURVA PREVISION'!$A$1:$KZ$3000,$C13,10+3*MIN(T$3,$D$2-1)))))</f>
        <v/>
      </c>
      <c r="U13" s="130">
        <f>IF(OR($C13="",$B$2="",$D$2=0),0,IF(U$3&lt;0,0,N(INDEX('CURVA PREVISION'!$A$1:$KZ$3000,$C13,10+3*MIN(U$3,$D$2-1)))))</f>
        <v/>
      </c>
      <c r="V13" s="130">
        <f>IF(OR($C13="",$B$2="",$D$2=0),0,IF(V$3&lt;0,0,N(INDEX('CURVA PREVISION'!$A$1:$KZ$3000,$C13,10+3*MIN(V$3,$D$2-1)))))</f>
        <v/>
      </c>
      <c r="W13" s="130">
        <f>IF(OR($C13="",$B$2="",$D$2=0),0,IF(W$3&lt;0,0,N(INDEX('CURVA PREVISION'!$A$1:$KZ$3000,$C13,10+3*MIN(W$3,$D$2-1)))))</f>
        <v/>
      </c>
      <c r="X13" s="130">
        <f>IF(OR($C13="",$B$2="",$D$2=0),0,IF(X$3&lt;0,0,N(INDEX('CURVA PREVISION'!$A$1:$KZ$3000,$C13,10+3*MIN(X$3,$D$2-1)))))</f>
        <v/>
      </c>
      <c r="Y13" s="130">
        <f>IF(OR($C13="",$B$2="",$D$2=0),0,IF(Y$3&lt;0,0,N(INDEX('CURVA PREVISION'!$A$1:$KZ$3000,$C13,10+3*MIN(Y$3,$D$2-1)))))</f>
        <v/>
      </c>
      <c r="Z13" s="130">
        <f>IF(OR($C13="",$B$2="",$D$2=0),0,IF(Z$3&lt;0,0,N(INDEX('CURVA PREVISION'!$A$1:$KZ$3000,$C13,10+3*MIN(Z$3,$D$2-1)))))</f>
        <v/>
      </c>
      <c r="AA13" s="130">
        <f>IF(OR($C13="",$B$2="",$D$2=0),0,IF(AA$3&lt;0,0,N(INDEX('CURVA PREVISION'!$A$1:$KZ$3000,$C13,10+3*MIN(AA$3,$D$2-1)))))</f>
        <v/>
      </c>
      <c r="AB13" s="130">
        <f>IF(OR($C13="",$B$2="",$D$2=0),0,IF(AB$3&lt;0,0,N(INDEX('CURVA PREVISION'!$A$1:$KZ$3000,$C13,10+3*MIN(AB$3,$D$2-1)))))</f>
        <v/>
      </c>
      <c r="AC13" s="130">
        <f>IF(OR($C13="",$B$2="",$D$2=0),0,IF(AC$3&lt;0,0,N(INDEX('CURVA PREVISION'!$A$1:$KZ$3000,$C13,10+3*MIN(AC$3,$D$2-1)))))</f>
        <v/>
      </c>
      <c r="AD13" s="130">
        <f>IF(OR($C13="",$B$2="",$D$2=0),0,IF(AD$3&lt;0,0,N(INDEX('CURVA PREVISION'!$A$1:$KZ$3000,$C13,10+3*MIN(AD$3,$D$2-1)))))</f>
        <v/>
      </c>
      <c r="AE13" s="130">
        <f>IF(OR($C13="",$B$2="",$D$2=0),0,IF(AE$3&lt;0,0,N(INDEX('CURVA PREVISION'!$A$1:$KZ$3000,$C13,10+3*MIN(AE$3,$D$2-1)))))</f>
        <v/>
      </c>
      <c r="AF13" s="130">
        <f>IF(OR($C13="",$B$2="",$D$2=0),0,IF(AF$3&lt;0,0,N(INDEX('CURVA PREVISION'!$A$1:$KZ$3000,$C13,10+3*MIN(AF$3,$D$2-1)))))</f>
        <v/>
      </c>
      <c r="AG13" s="130">
        <f>IF(OR($C13="",$B$2="",$D$2=0),0,IF(AG$3&lt;0,0,N(INDEX('CURVA PREVISION'!$A$1:$KZ$3000,$C13,10+3*MIN(AG$3,$D$2-1)))))</f>
        <v/>
      </c>
      <c r="AH13" s="130">
        <f>IF(OR($C13="",$B$2="",$D$2=0),0,IF(AH$3&lt;0,0,N(INDEX('CURVA PREVISION'!$A$1:$KZ$3000,$C13,10+3*MIN(AH$3,$D$2-1)))))</f>
        <v/>
      </c>
      <c r="AI13" s="130">
        <f>IF(OR($C13="",$B$2="",$D$2=0),0,IF(AI$3&lt;0,0,N(INDEX('CURVA PREVISION'!$A$1:$KZ$3000,$C13,10+3*MIN(AI$3,$D$2-1)))))</f>
        <v/>
      </c>
      <c r="AJ13" s="130">
        <f>IF(OR($C13="",$B$2="",$D$2=0),0,IF(AJ$3&lt;0,0,N(INDEX('CURVA PREVISION'!$A$1:$KZ$3000,$C13,10+3*MIN(AJ$3,$D$2-1)))))</f>
        <v/>
      </c>
      <c r="AK13" s="130">
        <f>IF(OR($C13="",$B$2="",$D$2=0),0,IF(AK$3&lt;0,0,N(INDEX('CURVA PREVISION'!$A$1:$KZ$3000,$C13,10+3*MIN(AK$3,$D$2-1)))))</f>
        <v/>
      </c>
      <c r="AL13" s="130">
        <f>IF(OR($C13="",$B$2="",$D$2=0),0,IF(AL$3&lt;0,0,N(INDEX('CURVA PREVISION'!$A$1:$KZ$3000,$C13,10+3*MIN(AL$3,$D$2-1)))))</f>
        <v/>
      </c>
      <c r="AM13" s="130">
        <f>IF(OR($C13="",$B$2="",$D$2=0),0,IF(AM$3&lt;0,0,N(INDEX('CURVA PREVISION'!$A$1:$KZ$3000,$C13,10+3*MIN(AM$3,$D$2-1)))))</f>
        <v/>
      </c>
      <c r="AN13" s="130">
        <f>IF(OR($C13="",$B$2="",$D$2=0),0,IF(AN$3&lt;0,0,N(INDEX('CURVA PREVISION'!$A$1:$KZ$3000,$C13,10+3*MIN(AN$3,$D$2-1)))))</f>
        <v/>
      </c>
      <c r="AO13" s="130">
        <f>IF(OR($C13="",$B$2="",$D$2=0),0,IF(AO$3&lt;0,0,N(INDEX('CURVA PREVISION'!$A$1:$KZ$3000,$C13,10+3*MIN(AO$3,$D$2-1)))))</f>
        <v/>
      </c>
      <c r="AP13" s="130">
        <f>IF(OR($C13="",$B$2="",$D$2=0),0,IF(AP$3&lt;0,0,N(INDEX('CURVA PREVISION'!$A$1:$KZ$3000,$C13,10+3*MIN(AP$3,$D$2-1)))))</f>
        <v/>
      </c>
      <c r="AQ13" s="130">
        <f>IF(OR($C13="",$B$2="",$D$2=0),0,IF(AQ$3&lt;0,0,N(INDEX('CURVA PREVISION'!$A$1:$KZ$3000,$C13,10+3*MIN(AQ$3,$D$2-1)))))</f>
        <v/>
      </c>
      <c r="AR13" s="130">
        <f>IF(OR($C13="",$B$2="",$D$2=0),0,IF(AR$3&lt;0,0,N(INDEX('CURVA PREVISION'!$A$1:$KZ$3000,$C13,10+3*MIN(AR$3,$D$2-1)))))</f>
        <v/>
      </c>
      <c r="AS13" s="130">
        <f>IF(OR($C13="",$B$2="",$D$2=0),0,IF(AS$3&lt;0,0,N(INDEX('CURVA PREVISION'!$A$1:$KZ$3000,$C13,10+3*MIN(AS$3,$D$2-1)))))</f>
        <v/>
      </c>
      <c r="AT13" s="130">
        <f>IF(OR($C13="",$B$2="",$D$2=0),0,IF(AT$3&lt;0,0,N(INDEX('CURVA PREVISION'!$A$1:$KZ$3000,$C13,10+3*MIN(AT$3,$D$2-1)))))</f>
        <v/>
      </c>
      <c r="AU13" s="130">
        <f>IF(OR($C13="",$B$2="",$D$2=0),0,IF(AU$3&lt;0,0,N(INDEX('CURVA PREVISION'!$A$1:$KZ$3000,$C13,10+3*MIN(AU$3,$D$2-1)))))</f>
        <v/>
      </c>
      <c r="AV13" s="130">
        <f>IF(OR($C13="",$B$2="",$D$2=0),0,IF(AV$3&lt;0,0,N(INDEX('CURVA PREVISION'!$A$1:$KZ$3000,$C13,10+3*MIN(AV$3,$D$2-1)))))</f>
        <v/>
      </c>
      <c r="AW13" s="130">
        <f>IF(OR($C13="",$B$2="",$D$2=0),0,IF(AW$3&lt;0,0,N(INDEX('CURVA PREVISION'!$A$1:$KZ$3000,$C13,10+3*MIN(AW$3,$D$2-1)))))</f>
        <v/>
      </c>
      <c r="AX13" s="130">
        <f>IF(OR($C13="",$B$2="",$D$2=0),0,IF(AX$3&lt;0,0,N(INDEX('CURVA PREVISION'!$A$1:$KZ$3000,$C13,10+3*MIN(AX$3,$D$2-1)))))</f>
        <v/>
      </c>
      <c r="AY13" s="130">
        <f>IF(OR($C13="",$B$2="",$D$2=0),0,IF(AY$3&lt;0,0,N(INDEX('CURVA PREVISION'!$A$1:$KZ$3000,$C13,10+3*MIN(AY$3,$D$2-1)))))</f>
        <v/>
      </c>
      <c r="AZ13" s="130">
        <f>IF(OR($C13="",$B$2="",$D$2=0),0,IF(AZ$3&lt;0,0,N(INDEX('CURVA PREVISION'!$A$1:$KZ$3000,$C13,10+3*MIN(AZ$3,$D$2-1)))))</f>
        <v/>
      </c>
      <c r="BA13" s="130">
        <f>IF(OR($C13="",$B$2="",$D$2=0),0,IF(BA$3&lt;0,0,N(INDEX('CURVA PREVISION'!$A$1:$KZ$3000,$C13,10+3*MIN(BA$3,$D$2-1)))))</f>
        <v/>
      </c>
      <c r="BB13" s="130">
        <f>IF(OR($C13="",$B$2="",$D$2=0),0,IF(BB$3&lt;0,0,N(INDEX('CURVA PREVISION'!$A$1:$KZ$3000,$C13,10+3*MIN(BB$3,$D$2-1)))))</f>
        <v/>
      </c>
      <c r="BC13" s="130">
        <f>IF(OR($C13="",$B$2="",$D$2=0),0,IF(BC$3&lt;0,0,N(INDEX('CURVA PREVISION'!$A$1:$KZ$3000,$C13,10+3*MIN(BC$3,$D$2-1)))))</f>
        <v/>
      </c>
      <c r="BD13" s="130">
        <f>IF(OR($C13="",$B$2="",$D$2=0),0,IF(BD$3&lt;0,0,N(INDEX('CURVA PREVISION'!$A$1:$KZ$3000,$C13,10+3*MIN(BD$3,$D$2-1)))))</f>
        <v/>
      </c>
      <c r="BE13" s="130">
        <f>IF(OR($C13="",$B$2="",$D$2=0),0,IF(BE$3&lt;0,0,N(INDEX('CURVA PREVISION'!$A$1:$KZ$3000,$C13,10+3*MIN(BE$3,$D$2-1)))))</f>
        <v/>
      </c>
      <c r="BF13" s="130">
        <f>IF(OR($C13="",$B$2="",$D$2=0),0,IF(BF$3&lt;0,0,N(INDEX('CURVA PREVISION'!$A$1:$KZ$3000,$C13,10+3*MIN(BF$3,$D$2-1)))))</f>
        <v/>
      </c>
      <c r="BG13" s="130">
        <f>IF(OR($C13="",$B$2="",$D$2=0),0,IF(BG$3&lt;0,0,N(INDEX('CURVA PREVISION'!$A$1:$KZ$3000,$C13,10+3*MIN(BG$3,$D$2-1)))))</f>
        <v/>
      </c>
      <c r="BH13" s="130">
        <f>IF(OR($C13="",$B$2="",$D$2=0),0,IF(BH$3&lt;0,0,N(INDEX('CURVA PREVISION'!$A$1:$KZ$3000,$C13,10+3*MIN(BH$3,$D$2-1)))))</f>
        <v/>
      </c>
      <c r="BI13" s="130">
        <f>IF(OR($C13="",$B$2="",$D$2=0),0,IF(BI$3&lt;0,0,N(INDEX('CURVA PREVISION'!$A$1:$KZ$3000,$C13,10+3*MIN(BI$3,$D$2-1)))))</f>
        <v/>
      </c>
      <c r="BJ13" s="130">
        <f>IF(OR($C13="",$B$2="",$D$2=0),0,IF(BJ$3&lt;0,0,N(INDEX('CURVA PREVISION'!$A$1:$KZ$3000,$C13,10+3*MIN(BJ$3,$D$2-1)))))</f>
        <v/>
      </c>
      <c r="BK13" s="130">
        <f>IF(OR($C13="",$B$2="",$D$2=0),0,IF(BK$3&lt;0,0,N(INDEX('CURVA PREVISION'!$A$1:$KZ$3000,$C13,10+3*MIN(BK$3,$D$2-1)))))</f>
        <v/>
      </c>
      <c r="BL13" s="130">
        <f>IF(OR($C13="",$B$2="",$D$2=0),0,IF(BL$3&lt;0,0,N(INDEX('CURVA PREVISION'!$A$1:$KZ$3000,$C13,10+3*MIN(BL$3,$D$2-1)))))</f>
        <v/>
      </c>
      <c r="BM13" s="130">
        <f>IF(OR($C13="",$B$2="",$D$2=0),0,IF(BM$3&lt;0,0,N(INDEX('CURVA PREVISION'!$A$1:$KZ$3000,$C13,10+3*MIN(BM$3,$D$2-1)))))</f>
        <v/>
      </c>
      <c r="BN13" s="130">
        <f>IF(OR($C13="",$B$2="",$D$2=0),0,IF(BN$3&lt;0,0,N(INDEX('CURVA PREVISION'!$A$1:$KZ$3000,$C13,10+3*MIN(BN$3,$D$2-1)))))</f>
        <v/>
      </c>
      <c r="BO13" s="130">
        <f>IF(OR($C13="",$B$2="",$D$2=0),0,IF(BO$3&lt;0,0,N(INDEX('CURVA PREVISION'!$A$1:$KZ$3000,$C13,10+3*MIN(BO$3,$D$2-1)))))</f>
        <v/>
      </c>
      <c r="BP13" s="130">
        <f>IF(OR($C13="",$B$2="",$D$2=0),0,IF(BP$3&lt;0,0,N(INDEX('CURVA PREVISION'!$A$1:$KZ$3000,$C13,10+3*MIN(BP$3,$D$2-1)))))</f>
        <v/>
      </c>
      <c r="BQ13" s="130">
        <f>IF(OR($C13="",$B$2="",$D$2=0),0,IF(BQ$3&lt;0,0,N(INDEX('CURVA PREVISION'!$A$1:$KZ$3000,$C13,10+3*MIN(BQ$3,$D$2-1)))))</f>
        <v/>
      </c>
      <c r="BR13" s="130">
        <f>IF(OR($C13="",$B$2="",$D$2=0),0,IF(BR$3&lt;0,0,N(INDEX('CURVA PREVISION'!$A$1:$KZ$3000,$C13,10+3*MIN(BR$3,$D$2-1)))))</f>
        <v/>
      </c>
      <c r="BS13" s="130">
        <f>IF(OR($C13="",$B$2="",$D$2=0),0,IF(BS$3&lt;0,0,N(INDEX('CURVA PREVISION'!$A$1:$KZ$3000,$C13,10+3*MIN(BS$3,$D$2-1)))))</f>
        <v/>
      </c>
      <c r="BT13" s="130">
        <f>IF(OR($C13="",$B$2="",$D$2=0),0,IF(BT$3&lt;0,0,N(INDEX('CURVA PREVISION'!$A$1:$KZ$3000,$C13,10+3*MIN(BT$3,$D$2-1)))))</f>
        <v/>
      </c>
      <c r="BU13" s="130">
        <f>IF(OR($C13="",$B$2="",$D$2=0),0,IF(BU$3&lt;0,0,N(INDEX('CURVA PREVISION'!$A$1:$KZ$3000,$C13,10+3*MIN(BU$3,$D$2-1)))))</f>
        <v/>
      </c>
      <c r="BV13" s="130">
        <f>IF(OR($C13="",$B$2="",$D$2=0),0,IF(BV$3&lt;0,0,N(INDEX('CURVA PREVISION'!$A$1:$KZ$3000,$C13,10+3*MIN(BV$3,$D$2-1)))))</f>
        <v/>
      </c>
      <c r="BW13" s="130">
        <f>IF(OR($C13="",$B$2="",$D$2=0),0,IF(BW$3&lt;0,0,N(INDEX('CURVA PREVISION'!$A$1:$KZ$3000,$C13,10+3*MIN(BW$3,$D$2-1)))))</f>
        <v/>
      </c>
    </row>
    <row r="14">
      <c r="A14" s="61">
        <f>IF('VALOR POR PL'!R20&lt;&gt;"",'VALOR POR PL'!R20,IF('VALOR POR PL'!Q20="",'VALOR POR PL'!C20,'VALOR POR PL'!Q20))</f>
        <v/>
      </c>
      <c r="B14" s="61">
        <f>'VALOR POR PL'!D20</f>
        <v/>
      </c>
      <c r="C14" s="70">
        <f>IFERROR(MATCH(A14,'CURVA PREVISION'!$B$1:$B$3000,0),"")</f>
        <v/>
      </c>
      <c r="D14" s="130">
        <f>IF(OR($C14="",$B$2="",$D$2=0),0,IF(D$3&lt;0,0,N(INDEX('CURVA PREVISION'!$A$1:$KZ$3000,$C14,10+3*MIN(D$3,$D$2-1)))))</f>
        <v/>
      </c>
      <c r="E14" s="130">
        <f>IF(OR($C14="",$B$2="",$D$2=0),0,IF(E$3&lt;0,0,N(INDEX('CURVA PREVISION'!$A$1:$KZ$3000,$C14,10+3*MIN(E$3,$D$2-1)))))</f>
        <v/>
      </c>
      <c r="F14" s="130">
        <f>IF(OR($C14="",$B$2="",$D$2=0),0,IF(F$3&lt;0,0,N(INDEX('CURVA PREVISION'!$A$1:$KZ$3000,$C14,10+3*MIN(F$3,$D$2-1)))))</f>
        <v/>
      </c>
      <c r="G14" s="130">
        <f>IF(OR($C14="",$B$2="",$D$2=0),0,IF(G$3&lt;0,0,N(INDEX('CURVA PREVISION'!$A$1:$KZ$3000,$C14,10+3*MIN(G$3,$D$2-1)))))</f>
        <v/>
      </c>
      <c r="H14" s="130">
        <f>IF(OR($C14="",$B$2="",$D$2=0),0,IF(H$3&lt;0,0,N(INDEX('CURVA PREVISION'!$A$1:$KZ$3000,$C14,10+3*MIN(H$3,$D$2-1)))))</f>
        <v/>
      </c>
      <c r="I14" s="130">
        <f>IF(OR($C14="",$B$2="",$D$2=0),0,IF(I$3&lt;0,0,N(INDEX('CURVA PREVISION'!$A$1:$KZ$3000,$C14,10+3*MIN(I$3,$D$2-1)))))</f>
        <v/>
      </c>
      <c r="J14" s="130">
        <f>IF(OR($C14="",$B$2="",$D$2=0),0,IF(J$3&lt;0,0,N(INDEX('CURVA PREVISION'!$A$1:$KZ$3000,$C14,10+3*MIN(J$3,$D$2-1)))))</f>
        <v/>
      </c>
      <c r="K14" s="130">
        <f>IF(OR($C14="",$B$2="",$D$2=0),0,IF(K$3&lt;0,0,N(INDEX('CURVA PREVISION'!$A$1:$KZ$3000,$C14,10+3*MIN(K$3,$D$2-1)))))</f>
        <v/>
      </c>
      <c r="L14" s="130">
        <f>IF(OR($C14="",$B$2="",$D$2=0),0,IF(L$3&lt;0,0,N(INDEX('CURVA PREVISION'!$A$1:$KZ$3000,$C14,10+3*MIN(L$3,$D$2-1)))))</f>
        <v/>
      </c>
      <c r="M14" s="130">
        <f>IF(OR($C14="",$B$2="",$D$2=0),0,IF(M$3&lt;0,0,N(INDEX('CURVA PREVISION'!$A$1:$KZ$3000,$C14,10+3*MIN(M$3,$D$2-1)))))</f>
        <v/>
      </c>
      <c r="N14" s="130">
        <f>IF(OR($C14="",$B$2="",$D$2=0),0,IF(N$3&lt;0,0,N(INDEX('CURVA PREVISION'!$A$1:$KZ$3000,$C14,10+3*MIN(N$3,$D$2-1)))))</f>
        <v/>
      </c>
      <c r="O14" s="130">
        <f>IF(OR($C14="",$B$2="",$D$2=0),0,IF(O$3&lt;0,0,N(INDEX('CURVA PREVISION'!$A$1:$KZ$3000,$C14,10+3*MIN(O$3,$D$2-1)))))</f>
        <v/>
      </c>
      <c r="P14" s="130">
        <f>IF(OR($C14="",$B$2="",$D$2=0),0,IF(P$3&lt;0,0,N(INDEX('CURVA PREVISION'!$A$1:$KZ$3000,$C14,10+3*MIN(P$3,$D$2-1)))))</f>
        <v/>
      </c>
      <c r="Q14" s="130">
        <f>IF(OR($C14="",$B$2="",$D$2=0),0,IF(Q$3&lt;0,0,N(INDEX('CURVA PREVISION'!$A$1:$KZ$3000,$C14,10+3*MIN(Q$3,$D$2-1)))))</f>
        <v/>
      </c>
      <c r="R14" s="130">
        <f>IF(OR($C14="",$B$2="",$D$2=0),0,IF(R$3&lt;0,0,N(INDEX('CURVA PREVISION'!$A$1:$KZ$3000,$C14,10+3*MIN(R$3,$D$2-1)))))</f>
        <v/>
      </c>
      <c r="S14" s="130">
        <f>IF(OR($C14="",$B$2="",$D$2=0),0,IF(S$3&lt;0,0,N(INDEX('CURVA PREVISION'!$A$1:$KZ$3000,$C14,10+3*MIN(S$3,$D$2-1)))))</f>
        <v/>
      </c>
      <c r="T14" s="130">
        <f>IF(OR($C14="",$B$2="",$D$2=0),0,IF(T$3&lt;0,0,N(INDEX('CURVA PREVISION'!$A$1:$KZ$3000,$C14,10+3*MIN(T$3,$D$2-1)))))</f>
        <v/>
      </c>
      <c r="U14" s="130">
        <f>IF(OR($C14="",$B$2="",$D$2=0),0,IF(U$3&lt;0,0,N(INDEX('CURVA PREVISION'!$A$1:$KZ$3000,$C14,10+3*MIN(U$3,$D$2-1)))))</f>
        <v/>
      </c>
      <c r="V14" s="130">
        <f>IF(OR($C14="",$B$2="",$D$2=0),0,IF(V$3&lt;0,0,N(INDEX('CURVA PREVISION'!$A$1:$KZ$3000,$C14,10+3*MIN(V$3,$D$2-1)))))</f>
        <v/>
      </c>
      <c r="W14" s="130">
        <f>IF(OR($C14="",$B$2="",$D$2=0),0,IF(W$3&lt;0,0,N(INDEX('CURVA PREVISION'!$A$1:$KZ$3000,$C14,10+3*MIN(W$3,$D$2-1)))))</f>
        <v/>
      </c>
      <c r="X14" s="130">
        <f>IF(OR($C14="",$B$2="",$D$2=0),0,IF(X$3&lt;0,0,N(INDEX('CURVA PREVISION'!$A$1:$KZ$3000,$C14,10+3*MIN(X$3,$D$2-1)))))</f>
        <v/>
      </c>
      <c r="Y14" s="130">
        <f>IF(OR($C14="",$B$2="",$D$2=0),0,IF(Y$3&lt;0,0,N(INDEX('CURVA PREVISION'!$A$1:$KZ$3000,$C14,10+3*MIN(Y$3,$D$2-1)))))</f>
        <v/>
      </c>
      <c r="Z14" s="130">
        <f>IF(OR($C14="",$B$2="",$D$2=0),0,IF(Z$3&lt;0,0,N(INDEX('CURVA PREVISION'!$A$1:$KZ$3000,$C14,10+3*MIN(Z$3,$D$2-1)))))</f>
        <v/>
      </c>
      <c r="AA14" s="130">
        <f>IF(OR($C14="",$B$2="",$D$2=0),0,IF(AA$3&lt;0,0,N(INDEX('CURVA PREVISION'!$A$1:$KZ$3000,$C14,10+3*MIN(AA$3,$D$2-1)))))</f>
        <v/>
      </c>
      <c r="AB14" s="130">
        <f>IF(OR($C14="",$B$2="",$D$2=0),0,IF(AB$3&lt;0,0,N(INDEX('CURVA PREVISION'!$A$1:$KZ$3000,$C14,10+3*MIN(AB$3,$D$2-1)))))</f>
        <v/>
      </c>
      <c r="AC14" s="130">
        <f>IF(OR($C14="",$B$2="",$D$2=0),0,IF(AC$3&lt;0,0,N(INDEX('CURVA PREVISION'!$A$1:$KZ$3000,$C14,10+3*MIN(AC$3,$D$2-1)))))</f>
        <v/>
      </c>
      <c r="AD14" s="130">
        <f>IF(OR($C14="",$B$2="",$D$2=0),0,IF(AD$3&lt;0,0,N(INDEX('CURVA PREVISION'!$A$1:$KZ$3000,$C14,10+3*MIN(AD$3,$D$2-1)))))</f>
        <v/>
      </c>
      <c r="AE14" s="130">
        <f>IF(OR($C14="",$B$2="",$D$2=0),0,IF(AE$3&lt;0,0,N(INDEX('CURVA PREVISION'!$A$1:$KZ$3000,$C14,10+3*MIN(AE$3,$D$2-1)))))</f>
        <v/>
      </c>
      <c r="AF14" s="130">
        <f>IF(OR($C14="",$B$2="",$D$2=0),0,IF(AF$3&lt;0,0,N(INDEX('CURVA PREVISION'!$A$1:$KZ$3000,$C14,10+3*MIN(AF$3,$D$2-1)))))</f>
        <v/>
      </c>
      <c r="AG14" s="130">
        <f>IF(OR($C14="",$B$2="",$D$2=0),0,IF(AG$3&lt;0,0,N(INDEX('CURVA PREVISION'!$A$1:$KZ$3000,$C14,10+3*MIN(AG$3,$D$2-1)))))</f>
        <v/>
      </c>
      <c r="AH14" s="130">
        <f>IF(OR($C14="",$B$2="",$D$2=0),0,IF(AH$3&lt;0,0,N(INDEX('CURVA PREVISION'!$A$1:$KZ$3000,$C14,10+3*MIN(AH$3,$D$2-1)))))</f>
        <v/>
      </c>
      <c r="AI14" s="130">
        <f>IF(OR($C14="",$B$2="",$D$2=0),0,IF(AI$3&lt;0,0,N(INDEX('CURVA PREVISION'!$A$1:$KZ$3000,$C14,10+3*MIN(AI$3,$D$2-1)))))</f>
        <v/>
      </c>
      <c r="AJ14" s="130">
        <f>IF(OR($C14="",$B$2="",$D$2=0),0,IF(AJ$3&lt;0,0,N(INDEX('CURVA PREVISION'!$A$1:$KZ$3000,$C14,10+3*MIN(AJ$3,$D$2-1)))))</f>
        <v/>
      </c>
      <c r="AK14" s="130">
        <f>IF(OR($C14="",$B$2="",$D$2=0),0,IF(AK$3&lt;0,0,N(INDEX('CURVA PREVISION'!$A$1:$KZ$3000,$C14,10+3*MIN(AK$3,$D$2-1)))))</f>
        <v/>
      </c>
      <c r="AL14" s="130">
        <f>IF(OR($C14="",$B$2="",$D$2=0),0,IF(AL$3&lt;0,0,N(INDEX('CURVA PREVISION'!$A$1:$KZ$3000,$C14,10+3*MIN(AL$3,$D$2-1)))))</f>
        <v/>
      </c>
      <c r="AM14" s="130">
        <f>IF(OR($C14="",$B$2="",$D$2=0),0,IF(AM$3&lt;0,0,N(INDEX('CURVA PREVISION'!$A$1:$KZ$3000,$C14,10+3*MIN(AM$3,$D$2-1)))))</f>
        <v/>
      </c>
      <c r="AN14" s="130">
        <f>IF(OR($C14="",$B$2="",$D$2=0),0,IF(AN$3&lt;0,0,N(INDEX('CURVA PREVISION'!$A$1:$KZ$3000,$C14,10+3*MIN(AN$3,$D$2-1)))))</f>
        <v/>
      </c>
      <c r="AO14" s="130">
        <f>IF(OR($C14="",$B$2="",$D$2=0),0,IF(AO$3&lt;0,0,N(INDEX('CURVA PREVISION'!$A$1:$KZ$3000,$C14,10+3*MIN(AO$3,$D$2-1)))))</f>
        <v/>
      </c>
      <c r="AP14" s="130">
        <f>IF(OR($C14="",$B$2="",$D$2=0),0,IF(AP$3&lt;0,0,N(INDEX('CURVA PREVISION'!$A$1:$KZ$3000,$C14,10+3*MIN(AP$3,$D$2-1)))))</f>
        <v/>
      </c>
      <c r="AQ14" s="130">
        <f>IF(OR($C14="",$B$2="",$D$2=0),0,IF(AQ$3&lt;0,0,N(INDEX('CURVA PREVISION'!$A$1:$KZ$3000,$C14,10+3*MIN(AQ$3,$D$2-1)))))</f>
        <v/>
      </c>
      <c r="AR14" s="130">
        <f>IF(OR($C14="",$B$2="",$D$2=0),0,IF(AR$3&lt;0,0,N(INDEX('CURVA PREVISION'!$A$1:$KZ$3000,$C14,10+3*MIN(AR$3,$D$2-1)))))</f>
        <v/>
      </c>
      <c r="AS14" s="130">
        <f>IF(OR($C14="",$B$2="",$D$2=0),0,IF(AS$3&lt;0,0,N(INDEX('CURVA PREVISION'!$A$1:$KZ$3000,$C14,10+3*MIN(AS$3,$D$2-1)))))</f>
        <v/>
      </c>
      <c r="AT14" s="130">
        <f>IF(OR($C14="",$B$2="",$D$2=0),0,IF(AT$3&lt;0,0,N(INDEX('CURVA PREVISION'!$A$1:$KZ$3000,$C14,10+3*MIN(AT$3,$D$2-1)))))</f>
        <v/>
      </c>
      <c r="AU14" s="130">
        <f>IF(OR($C14="",$B$2="",$D$2=0),0,IF(AU$3&lt;0,0,N(INDEX('CURVA PREVISION'!$A$1:$KZ$3000,$C14,10+3*MIN(AU$3,$D$2-1)))))</f>
        <v/>
      </c>
      <c r="AV14" s="130">
        <f>IF(OR($C14="",$B$2="",$D$2=0),0,IF(AV$3&lt;0,0,N(INDEX('CURVA PREVISION'!$A$1:$KZ$3000,$C14,10+3*MIN(AV$3,$D$2-1)))))</f>
        <v/>
      </c>
      <c r="AW14" s="130">
        <f>IF(OR($C14="",$B$2="",$D$2=0),0,IF(AW$3&lt;0,0,N(INDEX('CURVA PREVISION'!$A$1:$KZ$3000,$C14,10+3*MIN(AW$3,$D$2-1)))))</f>
        <v/>
      </c>
      <c r="AX14" s="130">
        <f>IF(OR($C14="",$B$2="",$D$2=0),0,IF(AX$3&lt;0,0,N(INDEX('CURVA PREVISION'!$A$1:$KZ$3000,$C14,10+3*MIN(AX$3,$D$2-1)))))</f>
        <v/>
      </c>
      <c r="AY14" s="130">
        <f>IF(OR($C14="",$B$2="",$D$2=0),0,IF(AY$3&lt;0,0,N(INDEX('CURVA PREVISION'!$A$1:$KZ$3000,$C14,10+3*MIN(AY$3,$D$2-1)))))</f>
        <v/>
      </c>
      <c r="AZ14" s="130">
        <f>IF(OR($C14="",$B$2="",$D$2=0),0,IF(AZ$3&lt;0,0,N(INDEX('CURVA PREVISION'!$A$1:$KZ$3000,$C14,10+3*MIN(AZ$3,$D$2-1)))))</f>
        <v/>
      </c>
      <c r="BA14" s="130">
        <f>IF(OR($C14="",$B$2="",$D$2=0),0,IF(BA$3&lt;0,0,N(INDEX('CURVA PREVISION'!$A$1:$KZ$3000,$C14,10+3*MIN(BA$3,$D$2-1)))))</f>
        <v/>
      </c>
      <c r="BB14" s="130">
        <f>IF(OR($C14="",$B$2="",$D$2=0),0,IF(BB$3&lt;0,0,N(INDEX('CURVA PREVISION'!$A$1:$KZ$3000,$C14,10+3*MIN(BB$3,$D$2-1)))))</f>
        <v/>
      </c>
      <c r="BC14" s="130">
        <f>IF(OR($C14="",$B$2="",$D$2=0),0,IF(BC$3&lt;0,0,N(INDEX('CURVA PREVISION'!$A$1:$KZ$3000,$C14,10+3*MIN(BC$3,$D$2-1)))))</f>
        <v/>
      </c>
      <c r="BD14" s="130">
        <f>IF(OR($C14="",$B$2="",$D$2=0),0,IF(BD$3&lt;0,0,N(INDEX('CURVA PREVISION'!$A$1:$KZ$3000,$C14,10+3*MIN(BD$3,$D$2-1)))))</f>
        <v/>
      </c>
      <c r="BE14" s="130">
        <f>IF(OR($C14="",$B$2="",$D$2=0),0,IF(BE$3&lt;0,0,N(INDEX('CURVA PREVISION'!$A$1:$KZ$3000,$C14,10+3*MIN(BE$3,$D$2-1)))))</f>
        <v/>
      </c>
      <c r="BF14" s="130">
        <f>IF(OR($C14="",$B$2="",$D$2=0),0,IF(BF$3&lt;0,0,N(INDEX('CURVA PREVISION'!$A$1:$KZ$3000,$C14,10+3*MIN(BF$3,$D$2-1)))))</f>
        <v/>
      </c>
      <c r="BG14" s="130">
        <f>IF(OR($C14="",$B$2="",$D$2=0),0,IF(BG$3&lt;0,0,N(INDEX('CURVA PREVISION'!$A$1:$KZ$3000,$C14,10+3*MIN(BG$3,$D$2-1)))))</f>
        <v/>
      </c>
      <c r="BH14" s="130">
        <f>IF(OR($C14="",$B$2="",$D$2=0),0,IF(BH$3&lt;0,0,N(INDEX('CURVA PREVISION'!$A$1:$KZ$3000,$C14,10+3*MIN(BH$3,$D$2-1)))))</f>
        <v/>
      </c>
      <c r="BI14" s="130">
        <f>IF(OR($C14="",$B$2="",$D$2=0),0,IF(BI$3&lt;0,0,N(INDEX('CURVA PREVISION'!$A$1:$KZ$3000,$C14,10+3*MIN(BI$3,$D$2-1)))))</f>
        <v/>
      </c>
      <c r="BJ14" s="130">
        <f>IF(OR($C14="",$B$2="",$D$2=0),0,IF(BJ$3&lt;0,0,N(INDEX('CURVA PREVISION'!$A$1:$KZ$3000,$C14,10+3*MIN(BJ$3,$D$2-1)))))</f>
        <v/>
      </c>
      <c r="BK14" s="130">
        <f>IF(OR($C14="",$B$2="",$D$2=0),0,IF(BK$3&lt;0,0,N(INDEX('CURVA PREVISION'!$A$1:$KZ$3000,$C14,10+3*MIN(BK$3,$D$2-1)))))</f>
        <v/>
      </c>
      <c r="BL14" s="130">
        <f>IF(OR($C14="",$B$2="",$D$2=0),0,IF(BL$3&lt;0,0,N(INDEX('CURVA PREVISION'!$A$1:$KZ$3000,$C14,10+3*MIN(BL$3,$D$2-1)))))</f>
        <v/>
      </c>
      <c r="BM14" s="130">
        <f>IF(OR($C14="",$B$2="",$D$2=0),0,IF(BM$3&lt;0,0,N(INDEX('CURVA PREVISION'!$A$1:$KZ$3000,$C14,10+3*MIN(BM$3,$D$2-1)))))</f>
        <v/>
      </c>
      <c r="BN14" s="130">
        <f>IF(OR($C14="",$B$2="",$D$2=0),0,IF(BN$3&lt;0,0,N(INDEX('CURVA PREVISION'!$A$1:$KZ$3000,$C14,10+3*MIN(BN$3,$D$2-1)))))</f>
        <v/>
      </c>
      <c r="BO14" s="130">
        <f>IF(OR($C14="",$B$2="",$D$2=0),0,IF(BO$3&lt;0,0,N(INDEX('CURVA PREVISION'!$A$1:$KZ$3000,$C14,10+3*MIN(BO$3,$D$2-1)))))</f>
        <v/>
      </c>
      <c r="BP14" s="130">
        <f>IF(OR($C14="",$B$2="",$D$2=0),0,IF(BP$3&lt;0,0,N(INDEX('CURVA PREVISION'!$A$1:$KZ$3000,$C14,10+3*MIN(BP$3,$D$2-1)))))</f>
        <v/>
      </c>
      <c r="BQ14" s="130">
        <f>IF(OR($C14="",$B$2="",$D$2=0),0,IF(BQ$3&lt;0,0,N(INDEX('CURVA PREVISION'!$A$1:$KZ$3000,$C14,10+3*MIN(BQ$3,$D$2-1)))))</f>
        <v/>
      </c>
      <c r="BR14" s="130">
        <f>IF(OR($C14="",$B$2="",$D$2=0),0,IF(BR$3&lt;0,0,N(INDEX('CURVA PREVISION'!$A$1:$KZ$3000,$C14,10+3*MIN(BR$3,$D$2-1)))))</f>
        <v/>
      </c>
      <c r="BS14" s="130">
        <f>IF(OR($C14="",$B$2="",$D$2=0),0,IF(BS$3&lt;0,0,N(INDEX('CURVA PREVISION'!$A$1:$KZ$3000,$C14,10+3*MIN(BS$3,$D$2-1)))))</f>
        <v/>
      </c>
      <c r="BT14" s="130">
        <f>IF(OR($C14="",$B$2="",$D$2=0),0,IF(BT$3&lt;0,0,N(INDEX('CURVA PREVISION'!$A$1:$KZ$3000,$C14,10+3*MIN(BT$3,$D$2-1)))))</f>
        <v/>
      </c>
      <c r="BU14" s="130">
        <f>IF(OR($C14="",$B$2="",$D$2=0),0,IF(BU$3&lt;0,0,N(INDEX('CURVA PREVISION'!$A$1:$KZ$3000,$C14,10+3*MIN(BU$3,$D$2-1)))))</f>
        <v/>
      </c>
      <c r="BV14" s="130">
        <f>IF(OR($C14="",$B$2="",$D$2=0),0,IF(BV$3&lt;0,0,N(INDEX('CURVA PREVISION'!$A$1:$KZ$3000,$C14,10+3*MIN(BV$3,$D$2-1)))))</f>
        <v/>
      </c>
      <c r="BW14" s="130">
        <f>IF(OR($C14="",$B$2="",$D$2=0),0,IF(BW$3&lt;0,0,N(INDEX('CURVA PREVISION'!$A$1:$KZ$3000,$C14,10+3*MIN(BW$3,$D$2-1)))))</f>
        <v/>
      </c>
    </row>
    <row r="15">
      <c r="A15" s="61">
        <f>IF('VALOR POR PL'!R21&lt;&gt;"",'VALOR POR PL'!R21,IF('VALOR POR PL'!Q21="",'VALOR POR PL'!C21,'VALOR POR PL'!Q21))</f>
        <v/>
      </c>
      <c r="B15" s="61">
        <f>'VALOR POR PL'!D21</f>
        <v/>
      </c>
      <c r="C15" s="70">
        <f>IFERROR(MATCH(A15,'CURVA PREVISION'!$B$1:$B$3000,0),"")</f>
        <v/>
      </c>
      <c r="D15" s="130">
        <f>IF(OR($C15="",$B$2="",$D$2=0),0,IF(D$3&lt;0,0,N(INDEX('CURVA PREVISION'!$A$1:$KZ$3000,$C15,10+3*MIN(D$3,$D$2-1)))))</f>
        <v/>
      </c>
      <c r="E15" s="130">
        <f>IF(OR($C15="",$B$2="",$D$2=0),0,IF(E$3&lt;0,0,N(INDEX('CURVA PREVISION'!$A$1:$KZ$3000,$C15,10+3*MIN(E$3,$D$2-1)))))</f>
        <v/>
      </c>
      <c r="F15" s="130">
        <f>IF(OR($C15="",$B$2="",$D$2=0),0,IF(F$3&lt;0,0,N(INDEX('CURVA PREVISION'!$A$1:$KZ$3000,$C15,10+3*MIN(F$3,$D$2-1)))))</f>
        <v/>
      </c>
      <c r="G15" s="130">
        <f>IF(OR($C15="",$B$2="",$D$2=0),0,IF(G$3&lt;0,0,N(INDEX('CURVA PREVISION'!$A$1:$KZ$3000,$C15,10+3*MIN(G$3,$D$2-1)))))</f>
        <v/>
      </c>
      <c r="H15" s="130">
        <f>IF(OR($C15="",$B$2="",$D$2=0),0,IF(H$3&lt;0,0,N(INDEX('CURVA PREVISION'!$A$1:$KZ$3000,$C15,10+3*MIN(H$3,$D$2-1)))))</f>
        <v/>
      </c>
      <c r="I15" s="130">
        <f>IF(OR($C15="",$B$2="",$D$2=0),0,IF(I$3&lt;0,0,N(INDEX('CURVA PREVISION'!$A$1:$KZ$3000,$C15,10+3*MIN(I$3,$D$2-1)))))</f>
        <v/>
      </c>
      <c r="J15" s="130">
        <f>IF(OR($C15="",$B$2="",$D$2=0),0,IF(J$3&lt;0,0,N(INDEX('CURVA PREVISION'!$A$1:$KZ$3000,$C15,10+3*MIN(J$3,$D$2-1)))))</f>
        <v/>
      </c>
      <c r="K15" s="130">
        <f>IF(OR($C15="",$B$2="",$D$2=0),0,IF(K$3&lt;0,0,N(INDEX('CURVA PREVISION'!$A$1:$KZ$3000,$C15,10+3*MIN(K$3,$D$2-1)))))</f>
        <v/>
      </c>
      <c r="L15" s="130">
        <f>IF(OR($C15="",$B$2="",$D$2=0),0,IF(L$3&lt;0,0,N(INDEX('CURVA PREVISION'!$A$1:$KZ$3000,$C15,10+3*MIN(L$3,$D$2-1)))))</f>
        <v/>
      </c>
      <c r="M15" s="130">
        <f>IF(OR($C15="",$B$2="",$D$2=0),0,IF(M$3&lt;0,0,N(INDEX('CURVA PREVISION'!$A$1:$KZ$3000,$C15,10+3*MIN(M$3,$D$2-1)))))</f>
        <v/>
      </c>
      <c r="N15" s="130">
        <f>IF(OR($C15="",$B$2="",$D$2=0),0,IF(N$3&lt;0,0,N(INDEX('CURVA PREVISION'!$A$1:$KZ$3000,$C15,10+3*MIN(N$3,$D$2-1)))))</f>
        <v/>
      </c>
      <c r="O15" s="130">
        <f>IF(OR($C15="",$B$2="",$D$2=0),0,IF(O$3&lt;0,0,N(INDEX('CURVA PREVISION'!$A$1:$KZ$3000,$C15,10+3*MIN(O$3,$D$2-1)))))</f>
        <v/>
      </c>
      <c r="P15" s="130">
        <f>IF(OR($C15="",$B$2="",$D$2=0),0,IF(P$3&lt;0,0,N(INDEX('CURVA PREVISION'!$A$1:$KZ$3000,$C15,10+3*MIN(P$3,$D$2-1)))))</f>
        <v/>
      </c>
      <c r="Q15" s="130">
        <f>IF(OR($C15="",$B$2="",$D$2=0),0,IF(Q$3&lt;0,0,N(INDEX('CURVA PREVISION'!$A$1:$KZ$3000,$C15,10+3*MIN(Q$3,$D$2-1)))))</f>
        <v/>
      </c>
      <c r="R15" s="130">
        <f>IF(OR($C15="",$B$2="",$D$2=0),0,IF(R$3&lt;0,0,N(INDEX('CURVA PREVISION'!$A$1:$KZ$3000,$C15,10+3*MIN(R$3,$D$2-1)))))</f>
        <v/>
      </c>
      <c r="S15" s="130">
        <f>IF(OR($C15="",$B$2="",$D$2=0),0,IF(S$3&lt;0,0,N(INDEX('CURVA PREVISION'!$A$1:$KZ$3000,$C15,10+3*MIN(S$3,$D$2-1)))))</f>
        <v/>
      </c>
      <c r="T15" s="130">
        <f>IF(OR($C15="",$B$2="",$D$2=0),0,IF(T$3&lt;0,0,N(INDEX('CURVA PREVISION'!$A$1:$KZ$3000,$C15,10+3*MIN(T$3,$D$2-1)))))</f>
        <v/>
      </c>
      <c r="U15" s="130">
        <f>IF(OR($C15="",$B$2="",$D$2=0),0,IF(U$3&lt;0,0,N(INDEX('CURVA PREVISION'!$A$1:$KZ$3000,$C15,10+3*MIN(U$3,$D$2-1)))))</f>
        <v/>
      </c>
      <c r="V15" s="130">
        <f>IF(OR($C15="",$B$2="",$D$2=0),0,IF(V$3&lt;0,0,N(INDEX('CURVA PREVISION'!$A$1:$KZ$3000,$C15,10+3*MIN(V$3,$D$2-1)))))</f>
        <v/>
      </c>
      <c r="W15" s="130">
        <f>IF(OR($C15="",$B$2="",$D$2=0),0,IF(W$3&lt;0,0,N(INDEX('CURVA PREVISION'!$A$1:$KZ$3000,$C15,10+3*MIN(W$3,$D$2-1)))))</f>
        <v/>
      </c>
      <c r="X15" s="130">
        <f>IF(OR($C15="",$B$2="",$D$2=0),0,IF(X$3&lt;0,0,N(INDEX('CURVA PREVISION'!$A$1:$KZ$3000,$C15,10+3*MIN(X$3,$D$2-1)))))</f>
        <v/>
      </c>
      <c r="Y15" s="130">
        <f>IF(OR($C15="",$B$2="",$D$2=0),0,IF(Y$3&lt;0,0,N(INDEX('CURVA PREVISION'!$A$1:$KZ$3000,$C15,10+3*MIN(Y$3,$D$2-1)))))</f>
        <v/>
      </c>
      <c r="Z15" s="130">
        <f>IF(OR($C15="",$B$2="",$D$2=0),0,IF(Z$3&lt;0,0,N(INDEX('CURVA PREVISION'!$A$1:$KZ$3000,$C15,10+3*MIN(Z$3,$D$2-1)))))</f>
        <v/>
      </c>
      <c r="AA15" s="130">
        <f>IF(OR($C15="",$B$2="",$D$2=0),0,IF(AA$3&lt;0,0,N(INDEX('CURVA PREVISION'!$A$1:$KZ$3000,$C15,10+3*MIN(AA$3,$D$2-1)))))</f>
        <v/>
      </c>
      <c r="AB15" s="130">
        <f>IF(OR($C15="",$B$2="",$D$2=0),0,IF(AB$3&lt;0,0,N(INDEX('CURVA PREVISION'!$A$1:$KZ$3000,$C15,10+3*MIN(AB$3,$D$2-1)))))</f>
        <v/>
      </c>
      <c r="AC15" s="130">
        <f>IF(OR($C15="",$B$2="",$D$2=0),0,IF(AC$3&lt;0,0,N(INDEX('CURVA PREVISION'!$A$1:$KZ$3000,$C15,10+3*MIN(AC$3,$D$2-1)))))</f>
        <v/>
      </c>
      <c r="AD15" s="130">
        <f>IF(OR($C15="",$B$2="",$D$2=0),0,IF(AD$3&lt;0,0,N(INDEX('CURVA PREVISION'!$A$1:$KZ$3000,$C15,10+3*MIN(AD$3,$D$2-1)))))</f>
        <v/>
      </c>
      <c r="AE15" s="130">
        <f>IF(OR($C15="",$B$2="",$D$2=0),0,IF(AE$3&lt;0,0,N(INDEX('CURVA PREVISION'!$A$1:$KZ$3000,$C15,10+3*MIN(AE$3,$D$2-1)))))</f>
        <v/>
      </c>
      <c r="AF15" s="130">
        <f>IF(OR($C15="",$B$2="",$D$2=0),0,IF(AF$3&lt;0,0,N(INDEX('CURVA PREVISION'!$A$1:$KZ$3000,$C15,10+3*MIN(AF$3,$D$2-1)))))</f>
        <v/>
      </c>
      <c r="AG15" s="130">
        <f>IF(OR($C15="",$B$2="",$D$2=0),0,IF(AG$3&lt;0,0,N(INDEX('CURVA PREVISION'!$A$1:$KZ$3000,$C15,10+3*MIN(AG$3,$D$2-1)))))</f>
        <v/>
      </c>
      <c r="AH15" s="130">
        <f>IF(OR($C15="",$B$2="",$D$2=0),0,IF(AH$3&lt;0,0,N(INDEX('CURVA PREVISION'!$A$1:$KZ$3000,$C15,10+3*MIN(AH$3,$D$2-1)))))</f>
        <v/>
      </c>
      <c r="AI15" s="130">
        <f>IF(OR($C15="",$B$2="",$D$2=0),0,IF(AI$3&lt;0,0,N(INDEX('CURVA PREVISION'!$A$1:$KZ$3000,$C15,10+3*MIN(AI$3,$D$2-1)))))</f>
        <v/>
      </c>
      <c r="AJ15" s="130">
        <f>IF(OR($C15="",$B$2="",$D$2=0),0,IF(AJ$3&lt;0,0,N(INDEX('CURVA PREVISION'!$A$1:$KZ$3000,$C15,10+3*MIN(AJ$3,$D$2-1)))))</f>
        <v/>
      </c>
      <c r="AK15" s="130">
        <f>IF(OR($C15="",$B$2="",$D$2=0),0,IF(AK$3&lt;0,0,N(INDEX('CURVA PREVISION'!$A$1:$KZ$3000,$C15,10+3*MIN(AK$3,$D$2-1)))))</f>
        <v/>
      </c>
      <c r="AL15" s="130">
        <f>IF(OR($C15="",$B$2="",$D$2=0),0,IF(AL$3&lt;0,0,N(INDEX('CURVA PREVISION'!$A$1:$KZ$3000,$C15,10+3*MIN(AL$3,$D$2-1)))))</f>
        <v/>
      </c>
      <c r="AM15" s="130">
        <f>IF(OR($C15="",$B$2="",$D$2=0),0,IF(AM$3&lt;0,0,N(INDEX('CURVA PREVISION'!$A$1:$KZ$3000,$C15,10+3*MIN(AM$3,$D$2-1)))))</f>
        <v/>
      </c>
      <c r="AN15" s="130">
        <f>IF(OR($C15="",$B$2="",$D$2=0),0,IF(AN$3&lt;0,0,N(INDEX('CURVA PREVISION'!$A$1:$KZ$3000,$C15,10+3*MIN(AN$3,$D$2-1)))))</f>
        <v/>
      </c>
      <c r="AO15" s="130">
        <f>IF(OR($C15="",$B$2="",$D$2=0),0,IF(AO$3&lt;0,0,N(INDEX('CURVA PREVISION'!$A$1:$KZ$3000,$C15,10+3*MIN(AO$3,$D$2-1)))))</f>
        <v/>
      </c>
      <c r="AP15" s="130">
        <f>IF(OR($C15="",$B$2="",$D$2=0),0,IF(AP$3&lt;0,0,N(INDEX('CURVA PREVISION'!$A$1:$KZ$3000,$C15,10+3*MIN(AP$3,$D$2-1)))))</f>
        <v/>
      </c>
      <c r="AQ15" s="130">
        <f>IF(OR($C15="",$B$2="",$D$2=0),0,IF(AQ$3&lt;0,0,N(INDEX('CURVA PREVISION'!$A$1:$KZ$3000,$C15,10+3*MIN(AQ$3,$D$2-1)))))</f>
        <v/>
      </c>
      <c r="AR15" s="130">
        <f>IF(OR($C15="",$B$2="",$D$2=0),0,IF(AR$3&lt;0,0,N(INDEX('CURVA PREVISION'!$A$1:$KZ$3000,$C15,10+3*MIN(AR$3,$D$2-1)))))</f>
        <v/>
      </c>
      <c r="AS15" s="130">
        <f>IF(OR($C15="",$B$2="",$D$2=0),0,IF(AS$3&lt;0,0,N(INDEX('CURVA PREVISION'!$A$1:$KZ$3000,$C15,10+3*MIN(AS$3,$D$2-1)))))</f>
        <v/>
      </c>
      <c r="AT15" s="130">
        <f>IF(OR($C15="",$B$2="",$D$2=0),0,IF(AT$3&lt;0,0,N(INDEX('CURVA PREVISION'!$A$1:$KZ$3000,$C15,10+3*MIN(AT$3,$D$2-1)))))</f>
        <v/>
      </c>
      <c r="AU15" s="130">
        <f>IF(OR($C15="",$B$2="",$D$2=0),0,IF(AU$3&lt;0,0,N(INDEX('CURVA PREVISION'!$A$1:$KZ$3000,$C15,10+3*MIN(AU$3,$D$2-1)))))</f>
        <v/>
      </c>
      <c r="AV15" s="130">
        <f>IF(OR($C15="",$B$2="",$D$2=0),0,IF(AV$3&lt;0,0,N(INDEX('CURVA PREVISION'!$A$1:$KZ$3000,$C15,10+3*MIN(AV$3,$D$2-1)))))</f>
        <v/>
      </c>
      <c r="AW15" s="130">
        <f>IF(OR($C15="",$B$2="",$D$2=0),0,IF(AW$3&lt;0,0,N(INDEX('CURVA PREVISION'!$A$1:$KZ$3000,$C15,10+3*MIN(AW$3,$D$2-1)))))</f>
        <v/>
      </c>
      <c r="AX15" s="130">
        <f>IF(OR($C15="",$B$2="",$D$2=0),0,IF(AX$3&lt;0,0,N(INDEX('CURVA PREVISION'!$A$1:$KZ$3000,$C15,10+3*MIN(AX$3,$D$2-1)))))</f>
        <v/>
      </c>
      <c r="AY15" s="130">
        <f>IF(OR($C15="",$B$2="",$D$2=0),0,IF(AY$3&lt;0,0,N(INDEX('CURVA PREVISION'!$A$1:$KZ$3000,$C15,10+3*MIN(AY$3,$D$2-1)))))</f>
        <v/>
      </c>
      <c r="AZ15" s="130">
        <f>IF(OR($C15="",$B$2="",$D$2=0),0,IF(AZ$3&lt;0,0,N(INDEX('CURVA PREVISION'!$A$1:$KZ$3000,$C15,10+3*MIN(AZ$3,$D$2-1)))))</f>
        <v/>
      </c>
      <c r="BA15" s="130">
        <f>IF(OR($C15="",$B$2="",$D$2=0),0,IF(BA$3&lt;0,0,N(INDEX('CURVA PREVISION'!$A$1:$KZ$3000,$C15,10+3*MIN(BA$3,$D$2-1)))))</f>
        <v/>
      </c>
      <c r="BB15" s="130">
        <f>IF(OR($C15="",$B$2="",$D$2=0),0,IF(BB$3&lt;0,0,N(INDEX('CURVA PREVISION'!$A$1:$KZ$3000,$C15,10+3*MIN(BB$3,$D$2-1)))))</f>
        <v/>
      </c>
      <c r="BC15" s="130">
        <f>IF(OR($C15="",$B$2="",$D$2=0),0,IF(BC$3&lt;0,0,N(INDEX('CURVA PREVISION'!$A$1:$KZ$3000,$C15,10+3*MIN(BC$3,$D$2-1)))))</f>
        <v/>
      </c>
      <c r="BD15" s="130">
        <f>IF(OR($C15="",$B$2="",$D$2=0),0,IF(BD$3&lt;0,0,N(INDEX('CURVA PREVISION'!$A$1:$KZ$3000,$C15,10+3*MIN(BD$3,$D$2-1)))))</f>
        <v/>
      </c>
      <c r="BE15" s="130">
        <f>IF(OR($C15="",$B$2="",$D$2=0),0,IF(BE$3&lt;0,0,N(INDEX('CURVA PREVISION'!$A$1:$KZ$3000,$C15,10+3*MIN(BE$3,$D$2-1)))))</f>
        <v/>
      </c>
      <c r="BF15" s="130">
        <f>IF(OR($C15="",$B$2="",$D$2=0),0,IF(BF$3&lt;0,0,N(INDEX('CURVA PREVISION'!$A$1:$KZ$3000,$C15,10+3*MIN(BF$3,$D$2-1)))))</f>
        <v/>
      </c>
      <c r="BG15" s="130">
        <f>IF(OR($C15="",$B$2="",$D$2=0),0,IF(BG$3&lt;0,0,N(INDEX('CURVA PREVISION'!$A$1:$KZ$3000,$C15,10+3*MIN(BG$3,$D$2-1)))))</f>
        <v/>
      </c>
      <c r="BH15" s="130">
        <f>IF(OR($C15="",$B$2="",$D$2=0),0,IF(BH$3&lt;0,0,N(INDEX('CURVA PREVISION'!$A$1:$KZ$3000,$C15,10+3*MIN(BH$3,$D$2-1)))))</f>
        <v/>
      </c>
      <c r="BI15" s="130">
        <f>IF(OR($C15="",$B$2="",$D$2=0),0,IF(BI$3&lt;0,0,N(INDEX('CURVA PREVISION'!$A$1:$KZ$3000,$C15,10+3*MIN(BI$3,$D$2-1)))))</f>
        <v/>
      </c>
      <c r="BJ15" s="130">
        <f>IF(OR($C15="",$B$2="",$D$2=0),0,IF(BJ$3&lt;0,0,N(INDEX('CURVA PREVISION'!$A$1:$KZ$3000,$C15,10+3*MIN(BJ$3,$D$2-1)))))</f>
        <v/>
      </c>
      <c r="BK15" s="130">
        <f>IF(OR($C15="",$B$2="",$D$2=0),0,IF(BK$3&lt;0,0,N(INDEX('CURVA PREVISION'!$A$1:$KZ$3000,$C15,10+3*MIN(BK$3,$D$2-1)))))</f>
        <v/>
      </c>
      <c r="BL15" s="130">
        <f>IF(OR($C15="",$B$2="",$D$2=0),0,IF(BL$3&lt;0,0,N(INDEX('CURVA PREVISION'!$A$1:$KZ$3000,$C15,10+3*MIN(BL$3,$D$2-1)))))</f>
        <v/>
      </c>
      <c r="BM15" s="130">
        <f>IF(OR($C15="",$B$2="",$D$2=0),0,IF(BM$3&lt;0,0,N(INDEX('CURVA PREVISION'!$A$1:$KZ$3000,$C15,10+3*MIN(BM$3,$D$2-1)))))</f>
        <v/>
      </c>
      <c r="BN15" s="130">
        <f>IF(OR($C15="",$B$2="",$D$2=0),0,IF(BN$3&lt;0,0,N(INDEX('CURVA PREVISION'!$A$1:$KZ$3000,$C15,10+3*MIN(BN$3,$D$2-1)))))</f>
        <v/>
      </c>
      <c r="BO15" s="130">
        <f>IF(OR($C15="",$B$2="",$D$2=0),0,IF(BO$3&lt;0,0,N(INDEX('CURVA PREVISION'!$A$1:$KZ$3000,$C15,10+3*MIN(BO$3,$D$2-1)))))</f>
        <v/>
      </c>
      <c r="BP15" s="130">
        <f>IF(OR($C15="",$B$2="",$D$2=0),0,IF(BP$3&lt;0,0,N(INDEX('CURVA PREVISION'!$A$1:$KZ$3000,$C15,10+3*MIN(BP$3,$D$2-1)))))</f>
        <v/>
      </c>
      <c r="BQ15" s="130">
        <f>IF(OR($C15="",$B$2="",$D$2=0),0,IF(BQ$3&lt;0,0,N(INDEX('CURVA PREVISION'!$A$1:$KZ$3000,$C15,10+3*MIN(BQ$3,$D$2-1)))))</f>
        <v/>
      </c>
      <c r="BR15" s="130">
        <f>IF(OR($C15="",$B$2="",$D$2=0),0,IF(BR$3&lt;0,0,N(INDEX('CURVA PREVISION'!$A$1:$KZ$3000,$C15,10+3*MIN(BR$3,$D$2-1)))))</f>
        <v/>
      </c>
      <c r="BS15" s="130">
        <f>IF(OR($C15="",$B$2="",$D$2=0),0,IF(BS$3&lt;0,0,N(INDEX('CURVA PREVISION'!$A$1:$KZ$3000,$C15,10+3*MIN(BS$3,$D$2-1)))))</f>
        <v/>
      </c>
      <c r="BT15" s="130">
        <f>IF(OR($C15="",$B$2="",$D$2=0),0,IF(BT$3&lt;0,0,N(INDEX('CURVA PREVISION'!$A$1:$KZ$3000,$C15,10+3*MIN(BT$3,$D$2-1)))))</f>
        <v/>
      </c>
      <c r="BU15" s="130">
        <f>IF(OR($C15="",$B$2="",$D$2=0),0,IF(BU$3&lt;0,0,N(INDEX('CURVA PREVISION'!$A$1:$KZ$3000,$C15,10+3*MIN(BU$3,$D$2-1)))))</f>
        <v/>
      </c>
      <c r="BV15" s="130">
        <f>IF(OR($C15="",$B$2="",$D$2=0),0,IF(BV$3&lt;0,0,N(INDEX('CURVA PREVISION'!$A$1:$KZ$3000,$C15,10+3*MIN(BV$3,$D$2-1)))))</f>
        <v/>
      </c>
      <c r="BW15" s="130">
        <f>IF(OR($C15="",$B$2="",$D$2=0),0,IF(BW$3&lt;0,0,N(INDEX('CURVA PREVISION'!$A$1:$KZ$3000,$C15,10+3*MIN(BW$3,$D$2-1)))))</f>
        <v/>
      </c>
    </row>
    <row r="16">
      <c r="A16" s="61">
        <f>IF('VALOR POR PL'!R22&lt;&gt;"",'VALOR POR PL'!R22,IF('VALOR POR PL'!Q22="",'VALOR POR PL'!C22,'VALOR POR PL'!Q22))</f>
        <v/>
      </c>
      <c r="B16" s="61">
        <f>'VALOR POR PL'!D22</f>
        <v/>
      </c>
      <c r="C16" s="70">
        <f>IFERROR(MATCH(A16,'CURVA PREVISION'!$B$1:$B$3000,0),"")</f>
        <v/>
      </c>
      <c r="D16" s="130">
        <f>IF(OR($C16="",$B$2="",$D$2=0),0,IF(D$3&lt;0,0,N(INDEX('CURVA PREVISION'!$A$1:$KZ$3000,$C16,10+3*MIN(D$3,$D$2-1)))))</f>
        <v/>
      </c>
      <c r="E16" s="130">
        <f>IF(OR($C16="",$B$2="",$D$2=0),0,IF(E$3&lt;0,0,N(INDEX('CURVA PREVISION'!$A$1:$KZ$3000,$C16,10+3*MIN(E$3,$D$2-1)))))</f>
        <v/>
      </c>
      <c r="F16" s="130">
        <f>IF(OR($C16="",$B$2="",$D$2=0),0,IF(F$3&lt;0,0,N(INDEX('CURVA PREVISION'!$A$1:$KZ$3000,$C16,10+3*MIN(F$3,$D$2-1)))))</f>
        <v/>
      </c>
      <c r="G16" s="130">
        <f>IF(OR($C16="",$B$2="",$D$2=0),0,IF(G$3&lt;0,0,N(INDEX('CURVA PREVISION'!$A$1:$KZ$3000,$C16,10+3*MIN(G$3,$D$2-1)))))</f>
        <v/>
      </c>
      <c r="H16" s="130">
        <f>IF(OR($C16="",$B$2="",$D$2=0),0,IF(H$3&lt;0,0,N(INDEX('CURVA PREVISION'!$A$1:$KZ$3000,$C16,10+3*MIN(H$3,$D$2-1)))))</f>
        <v/>
      </c>
      <c r="I16" s="130">
        <f>IF(OR($C16="",$B$2="",$D$2=0),0,IF(I$3&lt;0,0,N(INDEX('CURVA PREVISION'!$A$1:$KZ$3000,$C16,10+3*MIN(I$3,$D$2-1)))))</f>
        <v/>
      </c>
      <c r="J16" s="130">
        <f>IF(OR($C16="",$B$2="",$D$2=0),0,IF(J$3&lt;0,0,N(INDEX('CURVA PREVISION'!$A$1:$KZ$3000,$C16,10+3*MIN(J$3,$D$2-1)))))</f>
        <v/>
      </c>
      <c r="K16" s="130">
        <f>IF(OR($C16="",$B$2="",$D$2=0),0,IF(K$3&lt;0,0,N(INDEX('CURVA PREVISION'!$A$1:$KZ$3000,$C16,10+3*MIN(K$3,$D$2-1)))))</f>
        <v/>
      </c>
      <c r="L16" s="130">
        <f>IF(OR($C16="",$B$2="",$D$2=0),0,IF(L$3&lt;0,0,N(INDEX('CURVA PREVISION'!$A$1:$KZ$3000,$C16,10+3*MIN(L$3,$D$2-1)))))</f>
        <v/>
      </c>
      <c r="M16" s="130">
        <f>IF(OR($C16="",$B$2="",$D$2=0),0,IF(M$3&lt;0,0,N(INDEX('CURVA PREVISION'!$A$1:$KZ$3000,$C16,10+3*MIN(M$3,$D$2-1)))))</f>
        <v/>
      </c>
      <c r="N16" s="130">
        <f>IF(OR($C16="",$B$2="",$D$2=0),0,IF(N$3&lt;0,0,N(INDEX('CURVA PREVISION'!$A$1:$KZ$3000,$C16,10+3*MIN(N$3,$D$2-1)))))</f>
        <v/>
      </c>
      <c r="O16" s="130">
        <f>IF(OR($C16="",$B$2="",$D$2=0),0,IF(O$3&lt;0,0,N(INDEX('CURVA PREVISION'!$A$1:$KZ$3000,$C16,10+3*MIN(O$3,$D$2-1)))))</f>
        <v/>
      </c>
      <c r="P16" s="130">
        <f>IF(OR($C16="",$B$2="",$D$2=0),0,IF(P$3&lt;0,0,N(INDEX('CURVA PREVISION'!$A$1:$KZ$3000,$C16,10+3*MIN(P$3,$D$2-1)))))</f>
        <v/>
      </c>
      <c r="Q16" s="130">
        <f>IF(OR($C16="",$B$2="",$D$2=0),0,IF(Q$3&lt;0,0,N(INDEX('CURVA PREVISION'!$A$1:$KZ$3000,$C16,10+3*MIN(Q$3,$D$2-1)))))</f>
        <v/>
      </c>
      <c r="R16" s="130">
        <f>IF(OR($C16="",$B$2="",$D$2=0),0,IF(R$3&lt;0,0,N(INDEX('CURVA PREVISION'!$A$1:$KZ$3000,$C16,10+3*MIN(R$3,$D$2-1)))))</f>
        <v/>
      </c>
      <c r="S16" s="130">
        <f>IF(OR($C16="",$B$2="",$D$2=0),0,IF(S$3&lt;0,0,N(INDEX('CURVA PREVISION'!$A$1:$KZ$3000,$C16,10+3*MIN(S$3,$D$2-1)))))</f>
        <v/>
      </c>
      <c r="T16" s="130">
        <f>IF(OR($C16="",$B$2="",$D$2=0),0,IF(T$3&lt;0,0,N(INDEX('CURVA PREVISION'!$A$1:$KZ$3000,$C16,10+3*MIN(T$3,$D$2-1)))))</f>
        <v/>
      </c>
      <c r="U16" s="130">
        <f>IF(OR($C16="",$B$2="",$D$2=0),0,IF(U$3&lt;0,0,N(INDEX('CURVA PREVISION'!$A$1:$KZ$3000,$C16,10+3*MIN(U$3,$D$2-1)))))</f>
        <v/>
      </c>
      <c r="V16" s="130">
        <f>IF(OR($C16="",$B$2="",$D$2=0),0,IF(V$3&lt;0,0,N(INDEX('CURVA PREVISION'!$A$1:$KZ$3000,$C16,10+3*MIN(V$3,$D$2-1)))))</f>
        <v/>
      </c>
      <c r="W16" s="130">
        <f>IF(OR($C16="",$B$2="",$D$2=0),0,IF(W$3&lt;0,0,N(INDEX('CURVA PREVISION'!$A$1:$KZ$3000,$C16,10+3*MIN(W$3,$D$2-1)))))</f>
        <v/>
      </c>
      <c r="X16" s="130">
        <f>IF(OR($C16="",$B$2="",$D$2=0),0,IF(X$3&lt;0,0,N(INDEX('CURVA PREVISION'!$A$1:$KZ$3000,$C16,10+3*MIN(X$3,$D$2-1)))))</f>
        <v/>
      </c>
      <c r="Y16" s="130">
        <f>IF(OR($C16="",$B$2="",$D$2=0),0,IF(Y$3&lt;0,0,N(INDEX('CURVA PREVISION'!$A$1:$KZ$3000,$C16,10+3*MIN(Y$3,$D$2-1)))))</f>
        <v/>
      </c>
      <c r="Z16" s="130">
        <f>IF(OR($C16="",$B$2="",$D$2=0),0,IF(Z$3&lt;0,0,N(INDEX('CURVA PREVISION'!$A$1:$KZ$3000,$C16,10+3*MIN(Z$3,$D$2-1)))))</f>
        <v/>
      </c>
      <c r="AA16" s="130">
        <f>IF(OR($C16="",$B$2="",$D$2=0),0,IF(AA$3&lt;0,0,N(INDEX('CURVA PREVISION'!$A$1:$KZ$3000,$C16,10+3*MIN(AA$3,$D$2-1)))))</f>
        <v/>
      </c>
      <c r="AB16" s="130">
        <f>IF(OR($C16="",$B$2="",$D$2=0),0,IF(AB$3&lt;0,0,N(INDEX('CURVA PREVISION'!$A$1:$KZ$3000,$C16,10+3*MIN(AB$3,$D$2-1)))))</f>
        <v/>
      </c>
      <c r="AC16" s="130">
        <f>IF(OR($C16="",$B$2="",$D$2=0),0,IF(AC$3&lt;0,0,N(INDEX('CURVA PREVISION'!$A$1:$KZ$3000,$C16,10+3*MIN(AC$3,$D$2-1)))))</f>
        <v/>
      </c>
      <c r="AD16" s="130">
        <f>IF(OR($C16="",$B$2="",$D$2=0),0,IF(AD$3&lt;0,0,N(INDEX('CURVA PREVISION'!$A$1:$KZ$3000,$C16,10+3*MIN(AD$3,$D$2-1)))))</f>
        <v/>
      </c>
      <c r="AE16" s="130">
        <f>IF(OR($C16="",$B$2="",$D$2=0),0,IF(AE$3&lt;0,0,N(INDEX('CURVA PREVISION'!$A$1:$KZ$3000,$C16,10+3*MIN(AE$3,$D$2-1)))))</f>
        <v/>
      </c>
      <c r="AF16" s="130">
        <f>IF(OR($C16="",$B$2="",$D$2=0),0,IF(AF$3&lt;0,0,N(INDEX('CURVA PREVISION'!$A$1:$KZ$3000,$C16,10+3*MIN(AF$3,$D$2-1)))))</f>
        <v/>
      </c>
      <c r="AG16" s="130">
        <f>IF(OR($C16="",$B$2="",$D$2=0),0,IF(AG$3&lt;0,0,N(INDEX('CURVA PREVISION'!$A$1:$KZ$3000,$C16,10+3*MIN(AG$3,$D$2-1)))))</f>
        <v/>
      </c>
      <c r="AH16" s="130">
        <f>IF(OR($C16="",$B$2="",$D$2=0),0,IF(AH$3&lt;0,0,N(INDEX('CURVA PREVISION'!$A$1:$KZ$3000,$C16,10+3*MIN(AH$3,$D$2-1)))))</f>
        <v/>
      </c>
      <c r="AI16" s="130">
        <f>IF(OR($C16="",$B$2="",$D$2=0),0,IF(AI$3&lt;0,0,N(INDEX('CURVA PREVISION'!$A$1:$KZ$3000,$C16,10+3*MIN(AI$3,$D$2-1)))))</f>
        <v/>
      </c>
      <c r="AJ16" s="130">
        <f>IF(OR($C16="",$B$2="",$D$2=0),0,IF(AJ$3&lt;0,0,N(INDEX('CURVA PREVISION'!$A$1:$KZ$3000,$C16,10+3*MIN(AJ$3,$D$2-1)))))</f>
        <v/>
      </c>
      <c r="AK16" s="130">
        <f>IF(OR($C16="",$B$2="",$D$2=0),0,IF(AK$3&lt;0,0,N(INDEX('CURVA PREVISION'!$A$1:$KZ$3000,$C16,10+3*MIN(AK$3,$D$2-1)))))</f>
        <v/>
      </c>
      <c r="AL16" s="130">
        <f>IF(OR($C16="",$B$2="",$D$2=0),0,IF(AL$3&lt;0,0,N(INDEX('CURVA PREVISION'!$A$1:$KZ$3000,$C16,10+3*MIN(AL$3,$D$2-1)))))</f>
        <v/>
      </c>
      <c r="AM16" s="130">
        <f>IF(OR($C16="",$B$2="",$D$2=0),0,IF(AM$3&lt;0,0,N(INDEX('CURVA PREVISION'!$A$1:$KZ$3000,$C16,10+3*MIN(AM$3,$D$2-1)))))</f>
        <v/>
      </c>
      <c r="AN16" s="130">
        <f>IF(OR($C16="",$B$2="",$D$2=0),0,IF(AN$3&lt;0,0,N(INDEX('CURVA PREVISION'!$A$1:$KZ$3000,$C16,10+3*MIN(AN$3,$D$2-1)))))</f>
        <v/>
      </c>
      <c r="AO16" s="130">
        <f>IF(OR($C16="",$B$2="",$D$2=0),0,IF(AO$3&lt;0,0,N(INDEX('CURVA PREVISION'!$A$1:$KZ$3000,$C16,10+3*MIN(AO$3,$D$2-1)))))</f>
        <v/>
      </c>
      <c r="AP16" s="130">
        <f>IF(OR($C16="",$B$2="",$D$2=0),0,IF(AP$3&lt;0,0,N(INDEX('CURVA PREVISION'!$A$1:$KZ$3000,$C16,10+3*MIN(AP$3,$D$2-1)))))</f>
        <v/>
      </c>
      <c r="AQ16" s="130">
        <f>IF(OR($C16="",$B$2="",$D$2=0),0,IF(AQ$3&lt;0,0,N(INDEX('CURVA PREVISION'!$A$1:$KZ$3000,$C16,10+3*MIN(AQ$3,$D$2-1)))))</f>
        <v/>
      </c>
      <c r="AR16" s="130">
        <f>IF(OR($C16="",$B$2="",$D$2=0),0,IF(AR$3&lt;0,0,N(INDEX('CURVA PREVISION'!$A$1:$KZ$3000,$C16,10+3*MIN(AR$3,$D$2-1)))))</f>
        <v/>
      </c>
      <c r="AS16" s="130">
        <f>IF(OR($C16="",$B$2="",$D$2=0),0,IF(AS$3&lt;0,0,N(INDEX('CURVA PREVISION'!$A$1:$KZ$3000,$C16,10+3*MIN(AS$3,$D$2-1)))))</f>
        <v/>
      </c>
      <c r="AT16" s="130">
        <f>IF(OR($C16="",$B$2="",$D$2=0),0,IF(AT$3&lt;0,0,N(INDEX('CURVA PREVISION'!$A$1:$KZ$3000,$C16,10+3*MIN(AT$3,$D$2-1)))))</f>
        <v/>
      </c>
      <c r="AU16" s="130">
        <f>IF(OR($C16="",$B$2="",$D$2=0),0,IF(AU$3&lt;0,0,N(INDEX('CURVA PREVISION'!$A$1:$KZ$3000,$C16,10+3*MIN(AU$3,$D$2-1)))))</f>
        <v/>
      </c>
      <c r="AV16" s="130">
        <f>IF(OR($C16="",$B$2="",$D$2=0),0,IF(AV$3&lt;0,0,N(INDEX('CURVA PREVISION'!$A$1:$KZ$3000,$C16,10+3*MIN(AV$3,$D$2-1)))))</f>
        <v/>
      </c>
      <c r="AW16" s="130">
        <f>IF(OR($C16="",$B$2="",$D$2=0),0,IF(AW$3&lt;0,0,N(INDEX('CURVA PREVISION'!$A$1:$KZ$3000,$C16,10+3*MIN(AW$3,$D$2-1)))))</f>
        <v/>
      </c>
      <c r="AX16" s="130">
        <f>IF(OR($C16="",$B$2="",$D$2=0),0,IF(AX$3&lt;0,0,N(INDEX('CURVA PREVISION'!$A$1:$KZ$3000,$C16,10+3*MIN(AX$3,$D$2-1)))))</f>
        <v/>
      </c>
      <c r="AY16" s="130">
        <f>IF(OR($C16="",$B$2="",$D$2=0),0,IF(AY$3&lt;0,0,N(INDEX('CURVA PREVISION'!$A$1:$KZ$3000,$C16,10+3*MIN(AY$3,$D$2-1)))))</f>
        <v/>
      </c>
      <c r="AZ16" s="130">
        <f>IF(OR($C16="",$B$2="",$D$2=0),0,IF(AZ$3&lt;0,0,N(INDEX('CURVA PREVISION'!$A$1:$KZ$3000,$C16,10+3*MIN(AZ$3,$D$2-1)))))</f>
        <v/>
      </c>
      <c r="BA16" s="130">
        <f>IF(OR($C16="",$B$2="",$D$2=0),0,IF(BA$3&lt;0,0,N(INDEX('CURVA PREVISION'!$A$1:$KZ$3000,$C16,10+3*MIN(BA$3,$D$2-1)))))</f>
        <v/>
      </c>
      <c r="BB16" s="130">
        <f>IF(OR($C16="",$B$2="",$D$2=0),0,IF(BB$3&lt;0,0,N(INDEX('CURVA PREVISION'!$A$1:$KZ$3000,$C16,10+3*MIN(BB$3,$D$2-1)))))</f>
        <v/>
      </c>
      <c r="BC16" s="130">
        <f>IF(OR($C16="",$B$2="",$D$2=0),0,IF(BC$3&lt;0,0,N(INDEX('CURVA PREVISION'!$A$1:$KZ$3000,$C16,10+3*MIN(BC$3,$D$2-1)))))</f>
        <v/>
      </c>
      <c r="BD16" s="130">
        <f>IF(OR($C16="",$B$2="",$D$2=0),0,IF(BD$3&lt;0,0,N(INDEX('CURVA PREVISION'!$A$1:$KZ$3000,$C16,10+3*MIN(BD$3,$D$2-1)))))</f>
        <v/>
      </c>
      <c r="BE16" s="130">
        <f>IF(OR($C16="",$B$2="",$D$2=0),0,IF(BE$3&lt;0,0,N(INDEX('CURVA PREVISION'!$A$1:$KZ$3000,$C16,10+3*MIN(BE$3,$D$2-1)))))</f>
        <v/>
      </c>
      <c r="BF16" s="130">
        <f>IF(OR($C16="",$B$2="",$D$2=0),0,IF(BF$3&lt;0,0,N(INDEX('CURVA PREVISION'!$A$1:$KZ$3000,$C16,10+3*MIN(BF$3,$D$2-1)))))</f>
        <v/>
      </c>
      <c r="BG16" s="130">
        <f>IF(OR($C16="",$B$2="",$D$2=0),0,IF(BG$3&lt;0,0,N(INDEX('CURVA PREVISION'!$A$1:$KZ$3000,$C16,10+3*MIN(BG$3,$D$2-1)))))</f>
        <v/>
      </c>
      <c r="BH16" s="130">
        <f>IF(OR($C16="",$B$2="",$D$2=0),0,IF(BH$3&lt;0,0,N(INDEX('CURVA PREVISION'!$A$1:$KZ$3000,$C16,10+3*MIN(BH$3,$D$2-1)))))</f>
        <v/>
      </c>
      <c r="BI16" s="130">
        <f>IF(OR($C16="",$B$2="",$D$2=0),0,IF(BI$3&lt;0,0,N(INDEX('CURVA PREVISION'!$A$1:$KZ$3000,$C16,10+3*MIN(BI$3,$D$2-1)))))</f>
        <v/>
      </c>
      <c r="BJ16" s="130">
        <f>IF(OR($C16="",$B$2="",$D$2=0),0,IF(BJ$3&lt;0,0,N(INDEX('CURVA PREVISION'!$A$1:$KZ$3000,$C16,10+3*MIN(BJ$3,$D$2-1)))))</f>
        <v/>
      </c>
      <c r="BK16" s="130">
        <f>IF(OR($C16="",$B$2="",$D$2=0),0,IF(BK$3&lt;0,0,N(INDEX('CURVA PREVISION'!$A$1:$KZ$3000,$C16,10+3*MIN(BK$3,$D$2-1)))))</f>
        <v/>
      </c>
      <c r="BL16" s="130">
        <f>IF(OR($C16="",$B$2="",$D$2=0),0,IF(BL$3&lt;0,0,N(INDEX('CURVA PREVISION'!$A$1:$KZ$3000,$C16,10+3*MIN(BL$3,$D$2-1)))))</f>
        <v/>
      </c>
      <c r="BM16" s="130">
        <f>IF(OR($C16="",$B$2="",$D$2=0),0,IF(BM$3&lt;0,0,N(INDEX('CURVA PREVISION'!$A$1:$KZ$3000,$C16,10+3*MIN(BM$3,$D$2-1)))))</f>
        <v/>
      </c>
      <c r="BN16" s="130">
        <f>IF(OR($C16="",$B$2="",$D$2=0),0,IF(BN$3&lt;0,0,N(INDEX('CURVA PREVISION'!$A$1:$KZ$3000,$C16,10+3*MIN(BN$3,$D$2-1)))))</f>
        <v/>
      </c>
      <c r="BO16" s="130">
        <f>IF(OR($C16="",$B$2="",$D$2=0),0,IF(BO$3&lt;0,0,N(INDEX('CURVA PREVISION'!$A$1:$KZ$3000,$C16,10+3*MIN(BO$3,$D$2-1)))))</f>
        <v/>
      </c>
      <c r="BP16" s="130">
        <f>IF(OR($C16="",$B$2="",$D$2=0),0,IF(BP$3&lt;0,0,N(INDEX('CURVA PREVISION'!$A$1:$KZ$3000,$C16,10+3*MIN(BP$3,$D$2-1)))))</f>
        <v/>
      </c>
      <c r="BQ16" s="130">
        <f>IF(OR($C16="",$B$2="",$D$2=0),0,IF(BQ$3&lt;0,0,N(INDEX('CURVA PREVISION'!$A$1:$KZ$3000,$C16,10+3*MIN(BQ$3,$D$2-1)))))</f>
        <v/>
      </c>
      <c r="BR16" s="130">
        <f>IF(OR($C16="",$B$2="",$D$2=0),0,IF(BR$3&lt;0,0,N(INDEX('CURVA PREVISION'!$A$1:$KZ$3000,$C16,10+3*MIN(BR$3,$D$2-1)))))</f>
        <v/>
      </c>
      <c r="BS16" s="130">
        <f>IF(OR($C16="",$B$2="",$D$2=0),0,IF(BS$3&lt;0,0,N(INDEX('CURVA PREVISION'!$A$1:$KZ$3000,$C16,10+3*MIN(BS$3,$D$2-1)))))</f>
        <v/>
      </c>
      <c r="BT16" s="130">
        <f>IF(OR($C16="",$B$2="",$D$2=0),0,IF(BT$3&lt;0,0,N(INDEX('CURVA PREVISION'!$A$1:$KZ$3000,$C16,10+3*MIN(BT$3,$D$2-1)))))</f>
        <v/>
      </c>
      <c r="BU16" s="130">
        <f>IF(OR($C16="",$B$2="",$D$2=0),0,IF(BU$3&lt;0,0,N(INDEX('CURVA PREVISION'!$A$1:$KZ$3000,$C16,10+3*MIN(BU$3,$D$2-1)))))</f>
        <v/>
      </c>
      <c r="BV16" s="130">
        <f>IF(OR($C16="",$B$2="",$D$2=0),0,IF(BV$3&lt;0,0,N(INDEX('CURVA PREVISION'!$A$1:$KZ$3000,$C16,10+3*MIN(BV$3,$D$2-1)))))</f>
        <v/>
      </c>
      <c r="BW16" s="130">
        <f>IF(OR($C16="",$B$2="",$D$2=0),0,IF(BW$3&lt;0,0,N(INDEX('CURVA PREVISION'!$A$1:$KZ$3000,$C16,10+3*MIN(BW$3,$D$2-1)))))</f>
        <v/>
      </c>
    </row>
    <row r="17">
      <c r="A17" s="61">
        <f>IF('VALOR POR PL'!R23&lt;&gt;"",'VALOR POR PL'!R23,IF('VALOR POR PL'!Q23="",'VALOR POR PL'!C23,'VALOR POR PL'!Q23))</f>
        <v/>
      </c>
      <c r="B17" s="61">
        <f>'VALOR POR PL'!D23</f>
        <v/>
      </c>
      <c r="C17" s="70">
        <f>IFERROR(MATCH(A17,'CURVA PREVISION'!$B$1:$B$3000,0),"")</f>
        <v/>
      </c>
      <c r="D17" s="130">
        <f>IF(OR($C17="",$B$2="",$D$2=0),0,IF(D$3&lt;0,0,N(INDEX('CURVA PREVISION'!$A$1:$KZ$3000,$C17,10+3*MIN(D$3,$D$2-1)))))</f>
        <v/>
      </c>
      <c r="E17" s="130">
        <f>IF(OR($C17="",$B$2="",$D$2=0),0,IF(E$3&lt;0,0,N(INDEX('CURVA PREVISION'!$A$1:$KZ$3000,$C17,10+3*MIN(E$3,$D$2-1)))))</f>
        <v/>
      </c>
      <c r="F17" s="130">
        <f>IF(OR($C17="",$B$2="",$D$2=0),0,IF(F$3&lt;0,0,N(INDEX('CURVA PREVISION'!$A$1:$KZ$3000,$C17,10+3*MIN(F$3,$D$2-1)))))</f>
        <v/>
      </c>
      <c r="G17" s="130">
        <f>IF(OR($C17="",$B$2="",$D$2=0),0,IF(G$3&lt;0,0,N(INDEX('CURVA PREVISION'!$A$1:$KZ$3000,$C17,10+3*MIN(G$3,$D$2-1)))))</f>
        <v/>
      </c>
      <c r="H17" s="130">
        <f>IF(OR($C17="",$B$2="",$D$2=0),0,IF(H$3&lt;0,0,N(INDEX('CURVA PREVISION'!$A$1:$KZ$3000,$C17,10+3*MIN(H$3,$D$2-1)))))</f>
        <v/>
      </c>
      <c r="I17" s="130">
        <f>IF(OR($C17="",$B$2="",$D$2=0),0,IF(I$3&lt;0,0,N(INDEX('CURVA PREVISION'!$A$1:$KZ$3000,$C17,10+3*MIN(I$3,$D$2-1)))))</f>
        <v/>
      </c>
      <c r="J17" s="130">
        <f>IF(OR($C17="",$B$2="",$D$2=0),0,IF(J$3&lt;0,0,N(INDEX('CURVA PREVISION'!$A$1:$KZ$3000,$C17,10+3*MIN(J$3,$D$2-1)))))</f>
        <v/>
      </c>
      <c r="K17" s="130">
        <f>IF(OR($C17="",$B$2="",$D$2=0),0,IF(K$3&lt;0,0,N(INDEX('CURVA PREVISION'!$A$1:$KZ$3000,$C17,10+3*MIN(K$3,$D$2-1)))))</f>
        <v/>
      </c>
      <c r="L17" s="130">
        <f>IF(OR($C17="",$B$2="",$D$2=0),0,IF(L$3&lt;0,0,N(INDEX('CURVA PREVISION'!$A$1:$KZ$3000,$C17,10+3*MIN(L$3,$D$2-1)))))</f>
        <v/>
      </c>
      <c r="M17" s="130">
        <f>IF(OR($C17="",$B$2="",$D$2=0),0,IF(M$3&lt;0,0,N(INDEX('CURVA PREVISION'!$A$1:$KZ$3000,$C17,10+3*MIN(M$3,$D$2-1)))))</f>
        <v/>
      </c>
      <c r="N17" s="130">
        <f>IF(OR($C17="",$B$2="",$D$2=0),0,IF(N$3&lt;0,0,N(INDEX('CURVA PREVISION'!$A$1:$KZ$3000,$C17,10+3*MIN(N$3,$D$2-1)))))</f>
        <v/>
      </c>
      <c r="O17" s="130">
        <f>IF(OR($C17="",$B$2="",$D$2=0),0,IF(O$3&lt;0,0,N(INDEX('CURVA PREVISION'!$A$1:$KZ$3000,$C17,10+3*MIN(O$3,$D$2-1)))))</f>
        <v/>
      </c>
      <c r="P17" s="130">
        <f>IF(OR($C17="",$B$2="",$D$2=0),0,IF(P$3&lt;0,0,N(INDEX('CURVA PREVISION'!$A$1:$KZ$3000,$C17,10+3*MIN(P$3,$D$2-1)))))</f>
        <v/>
      </c>
      <c r="Q17" s="130">
        <f>IF(OR($C17="",$B$2="",$D$2=0),0,IF(Q$3&lt;0,0,N(INDEX('CURVA PREVISION'!$A$1:$KZ$3000,$C17,10+3*MIN(Q$3,$D$2-1)))))</f>
        <v/>
      </c>
      <c r="R17" s="130">
        <f>IF(OR($C17="",$B$2="",$D$2=0),0,IF(R$3&lt;0,0,N(INDEX('CURVA PREVISION'!$A$1:$KZ$3000,$C17,10+3*MIN(R$3,$D$2-1)))))</f>
        <v/>
      </c>
      <c r="S17" s="130">
        <f>IF(OR($C17="",$B$2="",$D$2=0),0,IF(S$3&lt;0,0,N(INDEX('CURVA PREVISION'!$A$1:$KZ$3000,$C17,10+3*MIN(S$3,$D$2-1)))))</f>
        <v/>
      </c>
      <c r="T17" s="130">
        <f>IF(OR($C17="",$B$2="",$D$2=0),0,IF(T$3&lt;0,0,N(INDEX('CURVA PREVISION'!$A$1:$KZ$3000,$C17,10+3*MIN(T$3,$D$2-1)))))</f>
        <v/>
      </c>
      <c r="U17" s="130">
        <f>IF(OR($C17="",$B$2="",$D$2=0),0,IF(U$3&lt;0,0,N(INDEX('CURVA PREVISION'!$A$1:$KZ$3000,$C17,10+3*MIN(U$3,$D$2-1)))))</f>
        <v/>
      </c>
      <c r="V17" s="130">
        <f>IF(OR($C17="",$B$2="",$D$2=0),0,IF(V$3&lt;0,0,N(INDEX('CURVA PREVISION'!$A$1:$KZ$3000,$C17,10+3*MIN(V$3,$D$2-1)))))</f>
        <v/>
      </c>
      <c r="W17" s="130">
        <f>IF(OR($C17="",$B$2="",$D$2=0),0,IF(W$3&lt;0,0,N(INDEX('CURVA PREVISION'!$A$1:$KZ$3000,$C17,10+3*MIN(W$3,$D$2-1)))))</f>
        <v/>
      </c>
      <c r="X17" s="130">
        <f>IF(OR($C17="",$B$2="",$D$2=0),0,IF(X$3&lt;0,0,N(INDEX('CURVA PREVISION'!$A$1:$KZ$3000,$C17,10+3*MIN(X$3,$D$2-1)))))</f>
        <v/>
      </c>
      <c r="Y17" s="130">
        <f>IF(OR($C17="",$B$2="",$D$2=0),0,IF(Y$3&lt;0,0,N(INDEX('CURVA PREVISION'!$A$1:$KZ$3000,$C17,10+3*MIN(Y$3,$D$2-1)))))</f>
        <v/>
      </c>
      <c r="Z17" s="130">
        <f>IF(OR($C17="",$B$2="",$D$2=0),0,IF(Z$3&lt;0,0,N(INDEX('CURVA PREVISION'!$A$1:$KZ$3000,$C17,10+3*MIN(Z$3,$D$2-1)))))</f>
        <v/>
      </c>
      <c r="AA17" s="130">
        <f>IF(OR($C17="",$B$2="",$D$2=0),0,IF(AA$3&lt;0,0,N(INDEX('CURVA PREVISION'!$A$1:$KZ$3000,$C17,10+3*MIN(AA$3,$D$2-1)))))</f>
        <v/>
      </c>
      <c r="AB17" s="130">
        <f>IF(OR($C17="",$B$2="",$D$2=0),0,IF(AB$3&lt;0,0,N(INDEX('CURVA PREVISION'!$A$1:$KZ$3000,$C17,10+3*MIN(AB$3,$D$2-1)))))</f>
        <v/>
      </c>
      <c r="AC17" s="130">
        <f>IF(OR($C17="",$B$2="",$D$2=0),0,IF(AC$3&lt;0,0,N(INDEX('CURVA PREVISION'!$A$1:$KZ$3000,$C17,10+3*MIN(AC$3,$D$2-1)))))</f>
        <v/>
      </c>
      <c r="AD17" s="130">
        <f>IF(OR($C17="",$B$2="",$D$2=0),0,IF(AD$3&lt;0,0,N(INDEX('CURVA PREVISION'!$A$1:$KZ$3000,$C17,10+3*MIN(AD$3,$D$2-1)))))</f>
        <v/>
      </c>
      <c r="AE17" s="130">
        <f>IF(OR($C17="",$B$2="",$D$2=0),0,IF(AE$3&lt;0,0,N(INDEX('CURVA PREVISION'!$A$1:$KZ$3000,$C17,10+3*MIN(AE$3,$D$2-1)))))</f>
        <v/>
      </c>
      <c r="AF17" s="130">
        <f>IF(OR($C17="",$B$2="",$D$2=0),0,IF(AF$3&lt;0,0,N(INDEX('CURVA PREVISION'!$A$1:$KZ$3000,$C17,10+3*MIN(AF$3,$D$2-1)))))</f>
        <v/>
      </c>
      <c r="AG17" s="130">
        <f>IF(OR($C17="",$B$2="",$D$2=0),0,IF(AG$3&lt;0,0,N(INDEX('CURVA PREVISION'!$A$1:$KZ$3000,$C17,10+3*MIN(AG$3,$D$2-1)))))</f>
        <v/>
      </c>
      <c r="AH17" s="130">
        <f>IF(OR($C17="",$B$2="",$D$2=0),0,IF(AH$3&lt;0,0,N(INDEX('CURVA PREVISION'!$A$1:$KZ$3000,$C17,10+3*MIN(AH$3,$D$2-1)))))</f>
        <v/>
      </c>
      <c r="AI17" s="130">
        <f>IF(OR($C17="",$B$2="",$D$2=0),0,IF(AI$3&lt;0,0,N(INDEX('CURVA PREVISION'!$A$1:$KZ$3000,$C17,10+3*MIN(AI$3,$D$2-1)))))</f>
        <v/>
      </c>
      <c r="AJ17" s="130">
        <f>IF(OR($C17="",$B$2="",$D$2=0),0,IF(AJ$3&lt;0,0,N(INDEX('CURVA PREVISION'!$A$1:$KZ$3000,$C17,10+3*MIN(AJ$3,$D$2-1)))))</f>
        <v/>
      </c>
      <c r="AK17" s="130">
        <f>IF(OR($C17="",$B$2="",$D$2=0),0,IF(AK$3&lt;0,0,N(INDEX('CURVA PREVISION'!$A$1:$KZ$3000,$C17,10+3*MIN(AK$3,$D$2-1)))))</f>
        <v/>
      </c>
      <c r="AL17" s="130">
        <f>IF(OR($C17="",$B$2="",$D$2=0),0,IF(AL$3&lt;0,0,N(INDEX('CURVA PREVISION'!$A$1:$KZ$3000,$C17,10+3*MIN(AL$3,$D$2-1)))))</f>
        <v/>
      </c>
      <c r="AM17" s="130">
        <f>IF(OR($C17="",$B$2="",$D$2=0),0,IF(AM$3&lt;0,0,N(INDEX('CURVA PREVISION'!$A$1:$KZ$3000,$C17,10+3*MIN(AM$3,$D$2-1)))))</f>
        <v/>
      </c>
      <c r="AN17" s="130">
        <f>IF(OR($C17="",$B$2="",$D$2=0),0,IF(AN$3&lt;0,0,N(INDEX('CURVA PREVISION'!$A$1:$KZ$3000,$C17,10+3*MIN(AN$3,$D$2-1)))))</f>
        <v/>
      </c>
      <c r="AO17" s="130">
        <f>IF(OR($C17="",$B$2="",$D$2=0),0,IF(AO$3&lt;0,0,N(INDEX('CURVA PREVISION'!$A$1:$KZ$3000,$C17,10+3*MIN(AO$3,$D$2-1)))))</f>
        <v/>
      </c>
      <c r="AP17" s="130">
        <f>IF(OR($C17="",$B$2="",$D$2=0),0,IF(AP$3&lt;0,0,N(INDEX('CURVA PREVISION'!$A$1:$KZ$3000,$C17,10+3*MIN(AP$3,$D$2-1)))))</f>
        <v/>
      </c>
      <c r="AQ17" s="130">
        <f>IF(OR($C17="",$B$2="",$D$2=0),0,IF(AQ$3&lt;0,0,N(INDEX('CURVA PREVISION'!$A$1:$KZ$3000,$C17,10+3*MIN(AQ$3,$D$2-1)))))</f>
        <v/>
      </c>
      <c r="AR17" s="130">
        <f>IF(OR($C17="",$B$2="",$D$2=0),0,IF(AR$3&lt;0,0,N(INDEX('CURVA PREVISION'!$A$1:$KZ$3000,$C17,10+3*MIN(AR$3,$D$2-1)))))</f>
        <v/>
      </c>
      <c r="AS17" s="130">
        <f>IF(OR($C17="",$B$2="",$D$2=0),0,IF(AS$3&lt;0,0,N(INDEX('CURVA PREVISION'!$A$1:$KZ$3000,$C17,10+3*MIN(AS$3,$D$2-1)))))</f>
        <v/>
      </c>
      <c r="AT17" s="130">
        <f>IF(OR($C17="",$B$2="",$D$2=0),0,IF(AT$3&lt;0,0,N(INDEX('CURVA PREVISION'!$A$1:$KZ$3000,$C17,10+3*MIN(AT$3,$D$2-1)))))</f>
        <v/>
      </c>
      <c r="AU17" s="130">
        <f>IF(OR($C17="",$B$2="",$D$2=0),0,IF(AU$3&lt;0,0,N(INDEX('CURVA PREVISION'!$A$1:$KZ$3000,$C17,10+3*MIN(AU$3,$D$2-1)))))</f>
        <v/>
      </c>
      <c r="AV17" s="130">
        <f>IF(OR($C17="",$B$2="",$D$2=0),0,IF(AV$3&lt;0,0,N(INDEX('CURVA PREVISION'!$A$1:$KZ$3000,$C17,10+3*MIN(AV$3,$D$2-1)))))</f>
        <v/>
      </c>
      <c r="AW17" s="130">
        <f>IF(OR($C17="",$B$2="",$D$2=0),0,IF(AW$3&lt;0,0,N(INDEX('CURVA PREVISION'!$A$1:$KZ$3000,$C17,10+3*MIN(AW$3,$D$2-1)))))</f>
        <v/>
      </c>
      <c r="AX17" s="130">
        <f>IF(OR($C17="",$B$2="",$D$2=0),0,IF(AX$3&lt;0,0,N(INDEX('CURVA PREVISION'!$A$1:$KZ$3000,$C17,10+3*MIN(AX$3,$D$2-1)))))</f>
        <v/>
      </c>
      <c r="AY17" s="130">
        <f>IF(OR($C17="",$B$2="",$D$2=0),0,IF(AY$3&lt;0,0,N(INDEX('CURVA PREVISION'!$A$1:$KZ$3000,$C17,10+3*MIN(AY$3,$D$2-1)))))</f>
        <v/>
      </c>
      <c r="AZ17" s="130">
        <f>IF(OR($C17="",$B$2="",$D$2=0),0,IF(AZ$3&lt;0,0,N(INDEX('CURVA PREVISION'!$A$1:$KZ$3000,$C17,10+3*MIN(AZ$3,$D$2-1)))))</f>
        <v/>
      </c>
      <c r="BA17" s="130">
        <f>IF(OR($C17="",$B$2="",$D$2=0),0,IF(BA$3&lt;0,0,N(INDEX('CURVA PREVISION'!$A$1:$KZ$3000,$C17,10+3*MIN(BA$3,$D$2-1)))))</f>
        <v/>
      </c>
      <c r="BB17" s="130">
        <f>IF(OR($C17="",$B$2="",$D$2=0),0,IF(BB$3&lt;0,0,N(INDEX('CURVA PREVISION'!$A$1:$KZ$3000,$C17,10+3*MIN(BB$3,$D$2-1)))))</f>
        <v/>
      </c>
      <c r="BC17" s="130">
        <f>IF(OR($C17="",$B$2="",$D$2=0),0,IF(BC$3&lt;0,0,N(INDEX('CURVA PREVISION'!$A$1:$KZ$3000,$C17,10+3*MIN(BC$3,$D$2-1)))))</f>
        <v/>
      </c>
      <c r="BD17" s="130">
        <f>IF(OR($C17="",$B$2="",$D$2=0),0,IF(BD$3&lt;0,0,N(INDEX('CURVA PREVISION'!$A$1:$KZ$3000,$C17,10+3*MIN(BD$3,$D$2-1)))))</f>
        <v/>
      </c>
      <c r="BE17" s="130">
        <f>IF(OR($C17="",$B$2="",$D$2=0),0,IF(BE$3&lt;0,0,N(INDEX('CURVA PREVISION'!$A$1:$KZ$3000,$C17,10+3*MIN(BE$3,$D$2-1)))))</f>
        <v/>
      </c>
      <c r="BF17" s="130">
        <f>IF(OR($C17="",$B$2="",$D$2=0),0,IF(BF$3&lt;0,0,N(INDEX('CURVA PREVISION'!$A$1:$KZ$3000,$C17,10+3*MIN(BF$3,$D$2-1)))))</f>
        <v/>
      </c>
      <c r="BG17" s="130">
        <f>IF(OR($C17="",$B$2="",$D$2=0),0,IF(BG$3&lt;0,0,N(INDEX('CURVA PREVISION'!$A$1:$KZ$3000,$C17,10+3*MIN(BG$3,$D$2-1)))))</f>
        <v/>
      </c>
      <c r="BH17" s="130">
        <f>IF(OR($C17="",$B$2="",$D$2=0),0,IF(BH$3&lt;0,0,N(INDEX('CURVA PREVISION'!$A$1:$KZ$3000,$C17,10+3*MIN(BH$3,$D$2-1)))))</f>
        <v/>
      </c>
      <c r="BI17" s="130">
        <f>IF(OR($C17="",$B$2="",$D$2=0),0,IF(BI$3&lt;0,0,N(INDEX('CURVA PREVISION'!$A$1:$KZ$3000,$C17,10+3*MIN(BI$3,$D$2-1)))))</f>
        <v/>
      </c>
      <c r="BJ17" s="130">
        <f>IF(OR($C17="",$B$2="",$D$2=0),0,IF(BJ$3&lt;0,0,N(INDEX('CURVA PREVISION'!$A$1:$KZ$3000,$C17,10+3*MIN(BJ$3,$D$2-1)))))</f>
        <v/>
      </c>
      <c r="BK17" s="130">
        <f>IF(OR($C17="",$B$2="",$D$2=0),0,IF(BK$3&lt;0,0,N(INDEX('CURVA PREVISION'!$A$1:$KZ$3000,$C17,10+3*MIN(BK$3,$D$2-1)))))</f>
        <v/>
      </c>
      <c r="BL17" s="130">
        <f>IF(OR($C17="",$B$2="",$D$2=0),0,IF(BL$3&lt;0,0,N(INDEX('CURVA PREVISION'!$A$1:$KZ$3000,$C17,10+3*MIN(BL$3,$D$2-1)))))</f>
        <v/>
      </c>
      <c r="BM17" s="130">
        <f>IF(OR($C17="",$B$2="",$D$2=0),0,IF(BM$3&lt;0,0,N(INDEX('CURVA PREVISION'!$A$1:$KZ$3000,$C17,10+3*MIN(BM$3,$D$2-1)))))</f>
        <v/>
      </c>
      <c r="BN17" s="130">
        <f>IF(OR($C17="",$B$2="",$D$2=0),0,IF(BN$3&lt;0,0,N(INDEX('CURVA PREVISION'!$A$1:$KZ$3000,$C17,10+3*MIN(BN$3,$D$2-1)))))</f>
        <v/>
      </c>
      <c r="BO17" s="130">
        <f>IF(OR($C17="",$B$2="",$D$2=0),0,IF(BO$3&lt;0,0,N(INDEX('CURVA PREVISION'!$A$1:$KZ$3000,$C17,10+3*MIN(BO$3,$D$2-1)))))</f>
        <v/>
      </c>
      <c r="BP17" s="130">
        <f>IF(OR($C17="",$B$2="",$D$2=0),0,IF(BP$3&lt;0,0,N(INDEX('CURVA PREVISION'!$A$1:$KZ$3000,$C17,10+3*MIN(BP$3,$D$2-1)))))</f>
        <v/>
      </c>
      <c r="BQ17" s="130">
        <f>IF(OR($C17="",$B$2="",$D$2=0),0,IF(BQ$3&lt;0,0,N(INDEX('CURVA PREVISION'!$A$1:$KZ$3000,$C17,10+3*MIN(BQ$3,$D$2-1)))))</f>
        <v/>
      </c>
      <c r="BR17" s="130">
        <f>IF(OR($C17="",$B$2="",$D$2=0),0,IF(BR$3&lt;0,0,N(INDEX('CURVA PREVISION'!$A$1:$KZ$3000,$C17,10+3*MIN(BR$3,$D$2-1)))))</f>
        <v/>
      </c>
      <c r="BS17" s="130">
        <f>IF(OR($C17="",$B$2="",$D$2=0),0,IF(BS$3&lt;0,0,N(INDEX('CURVA PREVISION'!$A$1:$KZ$3000,$C17,10+3*MIN(BS$3,$D$2-1)))))</f>
        <v/>
      </c>
      <c r="BT17" s="130">
        <f>IF(OR($C17="",$B$2="",$D$2=0),0,IF(BT$3&lt;0,0,N(INDEX('CURVA PREVISION'!$A$1:$KZ$3000,$C17,10+3*MIN(BT$3,$D$2-1)))))</f>
        <v/>
      </c>
      <c r="BU17" s="130">
        <f>IF(OR($C17="",$B$2="",$D$2=0),0,IF(BU$3&lt;0,0,N(INDEX('CURVA PREVISION'!$A$1:$KZ$3000,$C17,10+3*MIN(BU$3,$D$2-1)))))</f>
        <v/>
      </c>
      <c r="BV17" s="130">
        <f>IF(OR($C17="",$B$2="",$D$2=0),0,IF(BV$3&lt;0,0,N(INDEX('CURVA PREVISION'!$A$1:$KZ$3000,$C17,10+3*MIN(BV$3,$D$2-1)))))</f>
        <v/>
      </c>
      <c r="BW17" s="130">
        <f>IF(OR($C17="",$B$2="",$D$2=0),0,IF(BW$3&lt;0,0,N(INDEX('CURVA PREVISION'!$A$1:$KZ$3000,$C17,10+3*MIN(BW$3,$D$2-1)))))</f>
        <v/>
      </c>
    </row>
    <row r="18">
      <c r="A18" s="61">
        <f>IF('VALOR POR PL'!R24&lt;&gt;"",'VALOR POR PL'!R24,IF('VALOR POR PL'!Q24="",'VALOR POR PL'!C24,'VALOR POR PL'!Q24))</f>
        <v/>
      </c>
      <c r="B18" s="61">
        <f>'VALOR POR PL'!D24</f>
        <v/>
      </c>
      <c r="C18" s="70">
        <f>IFERROR(MATCH(A18,'CURVA PREVISION'!$B$1:$B$3000,0),"")</f>
        <v/>
      </c>
      <c r="D18" s="130">
        <f>IF(OR($C18="",$B$2="",$D$2=0),0,IF(D$3&lt;0,0,N(INDEX('CURVA PREVISION'!$A$1:$KZ$3000,$C18,10+3*MIN(D$3,$D$2-1)))))</f>
        <v/>
      </c>
      <c r="E18" s="130">
        <f>IF(OR($C18="",$B$2="",$D$2=0),0,IF(E$3&lt;0,0,N(INDEX('CURVA PREVISION'!$A$1:$KZ$3000,$C18,10+3*MIN(E$3,$D$2-1)))))</f>
        <v/>
      </c>
      <c r="F18" s="130">
        <f>IF(OR($C18="",$B$2="",$D$2=0),0,IF(F$3&lt;0,0,N(INDEX('CURVA PREVISION'!$A$1:$KZ$3000,$C18,10+3*MIN(F$3,$D$2-1)))))</f>
        <v/>
      </c>
      <c r="G18" s="130">
        <f>IF(OR($C18="",$B$2="",$D$2=0),0,IF(G$3&lt;0,0,N(INDEX('CURVA PREVISION'!$A$1:$KZ$3000,$C18,10+3*MIN(G$3,$D$2-1)))))</f>
        <v/>
      </c>
      <c r="H18" s="130">
        <f>IF(OR($C18="",$B$2="",$D$2=0),0,IF(H$3&lt;0,0,N(INDEX('CURVA PREVISION'!$A$1:$KZ$3000,$C18,10+3*MIN(H$3,$D$2-1)))))</f>
        <v/>
      </c>
      <c r="I18" s="130">
        <f>IF(OR($C18="",$B$2="",$D$2=0),0,IF(I$3&lt;0,0,N(INDEX('CURVA PREVISION'!$A$1:$KZ$3000,$C18,10+3*MIN(I$3,$D$2-1)))))</f>
        <v/>
      </c>
      <c r="J18" s="130">
        <f>IF(OR($C18="",$B$2="",$D$2=0),0,IF(J$3&lt;0,0,N(INDEX('CURVA PREVISION'!$A$1:$KZ$3000,$C18,10+3*MIN(J$3,$D$2-1)))))</f>
        <v/>
      </c>
      <c r="K18" s="130">
        <f>IF(OR($C18="",$B$2="",$D$2=0),0,IF(K$3&lt;0,0,N(INDEX('CURVA PREVISION'!$A$1:$KZ$3000,$C18,10+3*MIN(K$3,$D$2-1)))))</f>
        <v/>
      </c>
      <c r="L18" s="130">
        <f>IF(OR($C18="",$B$2="",$D$2=0),0,IF(L$3&lt;0,0,N(INDEX('CURVA PREVISION'!$A$1:$KZ$3000,$C18,10+3*MIN(L$3,$D$2-1)))))</f>
        <v/>
      </c>
      <c r="M18" s="130">
        <f>IF(OR($C18="",$B$2="",$D$2=0),0,IF(M$3&lt;0,0,N(INDEX('CURVA PREVISION'!$A$1:$KZ$3000,$C18,10+3*MIN(M$3,$D$2-1)))))</f>
        <v/>
      </c>
      <c r="N18" s="130">
        <f>IF(OR($C18="",$B$2="",$D$2=0),0,IF(N$3&lt;0,0,N(INDEX('CURVA PREVISION'!$A$1:$KZ$3000,$C18,10+3*MIN(N$3,$D$2-1)))))</f>
        <v/>
      </c>
      <c r="O18" s="130">
        <f>IF(OR($C18="",$B$2="",$D$2=0),0,IF(O$3&lt;0,0,N(INDEX('CURVA PREVISION'!$A$1:$KZ$3000,$C18,10+3*MIN(O$3,$D$2-1)))))</f>
        <v/>
      </c>
      <c r="P18" s="130">
        <f>IF(OR($C18="",$B$2="",$D$2=0),0,IF(P$3&lt;0,0,N(INDEX('CURVA PREVISION'!$A$1:$KZ$3000,$C18,10+3*MIN(P$3,$D$2-1)))))</f>
        <v/>
      </c>
      <c r="Q18" s="130">
        <f>IF(OR($C18="",$B$2="",$D$2=0),0,IF(Q$3&lt;0,0,N(INDEX('CURVA PREVISION'!$A$1:$KZ$3000,$C18,10+3*MIN(Q$3,$D$2-1)))))</f>
        <v/>
      </c>
      <c r="R18" s="130">
        <f>IF(OR($C18="",$B$2="",$D$2=0),0,IF(R$3&lt;0,0,N(INDEX('CURVA PREVISION'!$A$1:$KZ$3000,$C18,10+3*MIN(R$3,$D$2-1)))))</f>
        <v/>
      </c>
      <c r="S18" s="130">
        <f>IF(OR($C18="",$B$2="",$D$2=0),0,IF(S$3&lt;0,0,N(INDEX('CURVA PREVISION'!$A$1:$KZ$3000,$C18,10+3*MIN(S$3,$D$2-1)))))</f>
        <v/>
      </c>
      <c r="T18" s="130">
        <f>IF(OR($C18="",$B$2="",$D$2=0),0,IF(T$3&lt;0,0,N(INDEX('CURVA PREVISION'!$A$1:$KZ$3000,$C18,10+3*MIN(T$3,$D$2-1)))))</f>
        <v/>
      </c>
      <c r="U18" s="130">
        <f>IF(OR($C18="",$B$2="",$D$2=0),0,IF(U$3&lt;0,0,N(INDEX('CURVA PREVISION'!$A$1:$KZ$3000,$C18,10+3*MIN(U$3,$D$2-1)))))</f>
        <v/>
      </c>
      <c r="V18" s="130">
        <f>IF(OR($C18="",$B$2="",$D$2=0),0,IF(V$3&lt;0,0,N(INDEX('CURVA PREVISION'!$A$1:$KZ$3000,$C18,10+3*MIN(V$3,$D$2-1)))))</f>
        <v/>
      </c>
      <c r="W18" s="130">
        <f>IF(OR($C18="",$B$2="",$D$2=0),0,IF(W$3&lt;0,0,N(INDEX('CURVA PREVISION'!$A$1:$KZ$3000,$C18,10+3*MIN(W$3,$D$2-1)))))</f>
        <v/>
      </c>
      <c r="X18" s="130">
        <f>IF(OR($C18="",$B$2="",$D$2=0),0,IF(X$3&lt;0,0,N(INDEX('CURVA PREVISION'!$A$1:$KZ$3000,$C18,10+3*MIN(X$3,$D$2-1)))))</f>
        <v/>
      </c>
      <c r="Y18" s="130">
        <f>IF(OR($C18="",$B$2="",$D$2=0),0,IF(Y$3&lt;0,0,N(INDEX('CURVA PREVISION'!$A$1:$KZ$3000,$C18,10+3*MIN(Y$3,$D$2-1)))))</f>
        <v/>
      </c>
      <c r="Z18" s="130">
        <f>IF(OR($C18="",$B$2="",$D$2=0),0,IF(Z$3&lt;0,0,N(INDEX('CURVA PREVISION'!$A$1:$KZ$3000,$C18,10+3*MIN(Z$3,$D$2-1)))))</f>
        <v/>
      </c>
      <c r="AA18" s="130">
        <f>IF(OR($C18="",$B$2="",$D$2=0),0,IF(AA$3&lt;0,0,N(INDEX('CURVA PREVISION'!$A$1:$KZ$3000,$C18,10+3*MIN(AA$3,$D$2-1)))))</f>
        <v/>
      </c>
      <c r="AB18" s="130">
        <f>IF(OR($C18="",$B$2="",$D$2=0),0,IF(AB$3&lt;0,0,N(INDEX('CURVA PREVISION'!$A$1:$KZ$3000,$C18,10+3*MIN(AB$3,$D$2-1)))))</f>
        <v/>
      </c>
      <c r="AC18" s="130">
        <f>IF(OR($C18="",$B$2="",$D$2=0),0,IF(AC$3&lt;0,0,N(INDEX('CURVA PREVISION'!$A$1:$KZ$3000,$C18,10+3*MIN(AC$3,$D$2-1)))))</f>
        <v/>
      </c>
      <c r="AD18" s="130">
        <f>IF(OR($C18="",$B$2="",$D$2=0),0,IF(AD$3&lt;0,0,N(INDEX('CURVA PREVISION'!$A$1:$KZ$3000,$C18,10+3*MIN(AD$3,$D$2-1)))))</f>
        <v/>
      </c>
      <c r="AE18" s="130">
        <f>IF(OR($C18="",$B$2="",$D$2=0),0,IF(AE$3&lt;0,0,N(INDEX('CURVA PREVISION'!$A$1:$KZ$3000,$C18,10+3*MIN(AE$3,$D$2-1)))))</f>
        <v/>
      </c>
      <c r="AF18" s="130">
        <f>IF(OR($C18="",$B$2="",$D$2=0),0,IF(AF$3&lt;0,0,N(INDEX('CURVA PREVISION'!$A$1:$KZ$3000,$C18,10+3*MIN(AF$3,$D$2-1)))))</f>
        <v/>
      </c>
      <c r="AG18" s="130">
        <f>IF(OR($C18="",$B$2="",$D$2=0),0,IF(AG$3&lt;0,0,N(INDEX('CURVA PREVISION'!$A$1:$KZ$3000,$C18,10+3*MIN(AG$3,$D$2-1)))))</f>
        <v/>
      </c>
      <c r="AH18" s="130">
        <f>IF(OR($C18="",$B$2="",$D$2=0),0,IF(AH$3&lt;0,0,N(INDEX('CURVA PREVISION'!$A$1:$KZ$3000,$C18,10+3*MIN(AH$3,$D$2-1)))))</f>
        <v/>
      </c>
      <c r="AI18" s="130">
        <f>IF(OR($C18="",$B$2="",$D$2=0),0,IF(AI$3&lt;0,0,N(INDEX('CURVA PREVISION'!$A$1:$KZ$3000,$C18,10+3*MIN(AI$3,$D$2-1)))))</f>
        <v/>
      </c>
      <c r="AJ18" s="130">
        <f>IF(OR($C18="",$B$2="",$D$2=0),0,IF(AJ$3&lt;0,0,N(INDEX('CURVA PREVISION'!$A$1:$KZ$3000,$C18,10+3*MIN(AJ$3,$D$2-1)))))</f>
        <v/>
      </c>
      <c r="AK18" s="130">
        <f>IF(OR($C18="",$B$2="",$D$2=0),0,IF(AK$3&lt;0,0,N(INDEX('CURVA PREVISION'!$A$1:$KZ$3000,$C18,10+3*MIN(AK$3,$D$2-1)))))</f>
        <v/>
      </c>
      <c r="AL18" s="130">
        <f>IF(OR($C18="",$B$2="",$D$2=0),0,IF(AL$3&lt;0,0,N(INDEX('CURVA PREVISION'!$A$1:$KZ$3000,$C18,10+3*MIN(AL$3,$D$2-1)))))</f>
        <v/>
      </c>
      <c r="AM18" s="130">
        <f>IF(OR($C18="",$B$2="",$D$2=0),0,IF(AM$3&lt;0,0,N(INDEX('CURVA PREVISION'!$A$1:$KZ$3000,$C18,10+3*MIN(AM$3,$D$2-1)))))</f>
        <v/>
      </c>
      <c r="AN18" s="130">
        <f>IF(OR($C18="",$B$2="",$D$2=0),0,IF(AN$3&lt;0,0,N(INDEX('CURVA PREVISION'!$A$1:$KZ$3000,$C18,10+3*MIN(AN$3,$D$2-1)))))</f>
        <v/>
      </c>
      <c r="AO18" s="130">
        <f>IF(OR($C18="",$B$2="",$D$2=0),0,IF(AO$3&lt;0,0,N(INDEX('CURVA PREVISION'!$A$1:$KZ$3000,$C18,10+3*MIN(AO$3,$D$2-1)))))</f>
        <v/>
      </c>
      <c r="AP18" s="130">
        <f>IF(OR($C18="",$B$2="",$D$2=0),0,IF(AP$3&lt;0,0,N(INDEX('CURVA PREVISION'!$A$1:$KZ$3000,$C18,10+3*MIN(AP$3,$D$2-1)))))</f>
        <v/>
      </c>
      <c r="AQ18" s="130">
        <f>IF(OR($C18="",$B$2="",$D$2=0),0,IF(AQ$3&lt;0,0,N(INDEX('CURVA PREVISION'!$A$1:$KZ$3000,$C18,10+3*MIN(AQ$3,$D$2-1)))))</f>
        <v/>
      </c>
      <c r="AR18" s="130">
        <f>IF(OR($C18="",$B$2="",$D$2=0),0,IF(AR$3&lt;0,0,N(INDEX('CURVA PREVISION'!$A$1:$KZ$3000,$C18,10+3*MIN(AR$3,$D$2-1)))))</f>
        <v/>
      </c>
      <c r="AS18" s="130">
        <f>IF(OR($C18="",$B$2="",$D$2=0),0,IF(AS$3&lt;0,0,N(INDEX('CURVA PREVISION'!$A$1:$KZ$3000,$C18,10+3*MIN(AS$3,$D$2-1)))))</f>
        <v/>
      </c>
      <c r="AT18" s="130">
        <f>IF(OR($C18="",$B$2="",$D$2=0),0,IF(AT$3&lt;0,0,N(INDEX('CURVA PREVISION'!$A$1:$KZ$3000,$C18,10+3*MIN(AT$3,$D$2-1)))))</f>
        <v/>
      </c>
      <c r="AU18" s="130">
        <f>IF(OR($C18="",$B$2="",$D$2=0),0,IF(AU$3&lt;0,0,N(INDEX('CURVA PREVISION'!$A$1:$KZ$3000,$C18,10+3*MIN(AU$3,$D$2-1)))))</f>
        <v/>
      </c>
      <c r="AV18" s="130">
        <f>IF(OR($C18="",$B$2="",$D$2=0),0,IF(AV$3&lt;0,0,N(INDEX('CURVA PREVISION'!$A$1:$KZ$3000,$C18,10+3*MIN(AV$3,$D$2-1)))))</f>
        <v/>
      </c>
      <c r="AW18" s="130">
        <f>IF(OR($C18="",$B$2="",$D$2=0),0,IF(AW$3&lt;0,0,N(INDEX('CURVA PREVISION'!$A$1:$KZ$3000,$C18,10+3*MIN(AW$3,$D$2-1)))))</f>
        <v/>
      </c>
      <c r="AX18" s="130">
        <f>IF(OR($C18="",$B$2="",$D$2=0),0,IF(AX$3&lt;0,0,N(INDEX('CURVA PREVISION'!$A$1:$KZ$3000,$C18,10+3*MIN(AX$3,$D$2-1)))))</f>
        <v/>
      </c>
      <c r="AY18" s="130">
        <f>IF(OR($C18="",$B$2="",$D$2=0),0,IF(AY$3&lt;0,0,N(INDEX('CURVA PREVISION'!$A$1:$KZ$3000,$C18,10+3*MIN(AY$3,$D$2-1)))))</f>
        <v/>
      </c>
      <c r="AZ18" s="130">
        <f>IF(OR($C18="",$B$2="",$D$2=0),0,IF(AZ$3&lt;0,0,N(INDEX('CURVA PREVISION'!$A$1:$KZ$3000,$C18,10+3*MIN(AZ$3,$D$2-1)))))</f>
        <v/>
      </c>
      <c r="BA18" s="130">
        <f>IF(OR($C18="",$B$2="",$D$2=0),0,IF(BA$3&lt;0,0,N(INDEX('CURVA PREVISION'!$A$1:$KZ$3000,$C18,10+3*MIN(BA$3,$D$2-1)))))</f>
        <v/>
      </c>
      <c r="BB18" s="130">
        <f>IF(OR($C18="",$B$2="",$D$2=0),0,IF(BB$3&lt;0,0,N(INDEX('CURVA PREVISION'!$A$1:$KZ$3000,$C18,10+3*MIN(BB$3,$D$2-1)))))</f>
        <v/>
      </c>
      <c r="BC18" s="130">
        <f>IF(OR($C18="",$B$2="",$D$2=0),0,IF(BC$3&lt;0,0,N(INDEX('CURVA PREVISION'!$A$1:$KZ$3000,$C18,10+3*MIN(BC$3,$D$2-1)))))</f>
        <v/>
      </c>
      <c r="BD18" s="130">
        <f>IF(OR($C18="",$B$2="",$D$2=0),0,IF(BD$3&lt;0,0,N(INDEX('CURVA PREVISION'!$A$1:$KZ$3000,$C18,10+3*MIN(BD$3,$D$2-1)))))</f>
        <v/>
      </c>
      <c r="BE18" s="130">
        <f>IF(OR($C18="",$B$2="",$D$2=0),0,IF(BE$3&lt;0,0,N(INDEX('CURVA PREVISION'!$A$1:$KZ$3000,$C18,10+3*MIN(BE$3,$D$2-1)))))</f>
        <v/>
      </c>
      <c r="BF18" s="130">
        <f>IF(OR($C18="",$B$2="",$D$2=0),0,IF(BF$3&lt;0,0,N(INDEX('CURVA PREVISION'!$A$1:$KZ$3000,$C18,10+3*MIN(BF$3,$D$2-1)))))</f>
        <v/>
      </c>
      <c r="BG18" s="130">
        <f>IF(OR($C18="",$B$2="",$D$2=0),0,IF(BG$3&lt;0,0,N(INDEX('CURVA PREVISION'!$A$1:$KZ$3000,$C18,10+3*MIN(BG$3,$D$2-1)))))</f>
        <v/>
      </c>
      <c r="BH18" s="130">
        <f>IF(OR($C18="",$B$2="",$D$2=0),0,IF(BH$3&lt;0,0,N(INDEX('CURVA PREVISION'!$A$1:$KZ$3000,$C18,10+3*MIN(BH$3,$D$2-1)))))</f>
        <v/>
      </c>
      <c r="BI18" s="130">
        <f>IF(OR($C18="",$B$2="",$D$2=0),0,IF(BI$3&lt;0,0,N(INDEX('CURVA PREVISION'!$A$1:$KZ$3000,$C18,10+3*MIN(BI$3,$D$2-1)))))</f>
        <v/>
      </c>
      <c r="BJ18" s="130">
        <f>IF(OR($C18="",$B$2="",$D$2=0),0,IF(BJ$3&lt;0,0,N(INDEX('CURVA PREVISION'!$A$1:$KZ$3000,$C18,10+3*MIN(BJ$3,$D$2-1)))))</f>
        <v/>
      </c>
      <c r="BK18" s="130">
        <f>IF(OR($C18="",$B$2="",$D$2=0),0,IF(BK$3&lt;0,0,N(INDEX('CURVA PREVISION'!$A$1:$KZ$3000,$C18,10+3*MIN(BK$3,$D$2-1)))))</f>
        <v/>
      </c>
      <c r="BL18" s="130">
        <f>IF(OR($C18="",$B$2="",$D$2=0),0,IF(BL$3&lt;0,0,N(INDEX('CURVA PREVISION'!$A$1:$KZ$3000,$C18,10+3*MIN(BL$3,$D$2-1)))))</f>
        <v/>
      </c>
      <c r="BM18" s="130">
        <f>IF(OR($C18="",$B$2="",$D$2=0),0,IF(BM$3&lt;0,0,N(INDEX('CURVA PREVISION'!$A$1:$KZ$3000,$C18,10+3*MIN(BM$3,$D$2-1)))))</f>
        <v/>
      </c>
      <c r="BN18" s="130">
        <f>IF(OR($C18="",$B$2="",$D$2=0),0,IF(BN$3&lt;0,0,N(INDEX('CURVA PREVISION'!$A$1:$KZ$3000,$C18,10+3*MIN(BN$3,$D$2-1)))))</f>
        <v/>
      </c>
      <c r="BO18" s="130">
        <f>IF(OR($C18="",$B$2="",$D$2=0),0,IF(BO$3&lt;0,0,N(INDEX('CURVA PREVISION'!$A$1:$KZ$3000,$C18,10+3*MIN(BO$3,$D$2-1)))))</f>
        <v/>
      </c>
      <c r="BP18" s="130">
        <f>IF(OR($C18="",$B$2="",$D$2=0),0,IF(BP$3&lt;0,0,N(INDEX('CURVA PREVISION'!$A$1:$KZ$3000,$C18,10+3*MIN(BP$3,$D$2-1)))))</f>
        <v/>
      </c>
      <c r="BQ18" s="130">
        <f>IF(OR($C18="",$B$2="",$D$2=0),0,IF(BQ$3&lt;0,0,N(INDEX('CURVA PREVISION'!$A$1:$KZ$3000,$C18,10+3*MIN(BQ$3,$D$2-1)))))</f>
        <v/>
      </c>
      <c r="BR18" s="130">
        <f>IF(OR($C18="",$B$2="",$D$2=0),0,IF(BR$3&lt;0,0,N(INDEX('CURVA PREVISION'!$A$1:$KZ$3000,$C18,10+3*MIN(BR$3,$D$2-1)))))</f>
        <v/>
      </c>
      <c r="BS18" s="130">
        <f>IF(OR($C18="",$B$2="",$D$2=0),0,IF(BS$3&lt;0,0,N(INDEX('CURVA PREVISION'!$A$1:$KZ$3000,$C18,10+3*MIN(BS$3,$D$2-1)))))</f>
        <v/>
      </c>
      <c r="BT18" s="130">
        <f>IF(OR($C18="",$B$2="",$D$2=0),0,IF(BT$3&lt;0,0,N(INDEX('CURVA PREVISION'!$A$1:$KZ$3000,$C18,10+3*MIN(BT$3,$D$2-1)))))</f>
        <v/>
      </c>
      <c r="BU18" s="130">
        <f>IF(OR($C18="",$B$2="",$D$2=0),0,IF(BU$3&lt;0,0,N(INDEX('CURVA PREVISION'!$A$1:$KZ$3000,$C18,10+3*MIN(BU$3,$D$2-1)))))</f>
        <v/>
      </c>
      <c r="BV18" s="130">
        <f>IF(OR($C18="",$B$2="",$D$2=0),0,IF(BV$3&lt;0,0,N(INDEX('CURVA PREVISION'!$A$1:$KZ$3000,$C18,10+3*MIN(BV$3,$D$2-1)))))</f>
        <v/>
      </c>
      <c r="BW18" s="130">
        <f>IF(OR($C18="",$B$2="",$D$2=0),0,IF(BW$3&lt;0,0,N(INDEX('CURVA PREVISION'!$A$1:$KZ$3000,$C18,10+3*MIN(BW$3,$D$2-1)))))</f>
        <v/>
      </c>
    </row>
    <row r="19">
      <c r="A19" s="61">
        <f>IF('VALOR POR PL'!R25&lt;&gt;"",'VALOR POR PL'!R25,IF('VALOR POR PL'!Q25="",'VALOR POR PL'!C25,'VALOR POR PL'!Q25))</f>
        <v/>
      </c>
      <c r="B19" s="61">
        <f>'VALOR POR PL'!D25</f>
        <v/>
      </c>
      <c r="C19" s="70">
        <f>IFERROR(MATCH(A19,'CURVA PREVISION'!$B$1:$B$3000,0),"")</f>
        <v/>
      </c>
      <c r="D19" s="130">
        <f>IF(OR($C19="",$B$2="",$D$2=0),0,IF(D$3&lt;0,0,N(INDEX('CURVA PREVISION'!$A$1:$KZ$3000,$C19,10+3*MIN(D$3,$D$2-1)))))</f>
        <v/>
      </c>
      <c r="E19" s="130">
        <f>IF(OR($C19="",$B$2="",$D$2=0),0,IF(E$3&lt;0,0,N(INDEX('CURVA PREVISION'!$A$1:$KZ$3000,$C19,10+3*MIN(E$3,$D$2-1)))))</f>
        <v/>
      </c>
      <c r="F19" s="130">
        <f>IF(OR($C19="",$B$2="",$D$2=0),0,IF(F$3&lt;0,0,N(INDEX('CURVA PREVISION'!$A$1:$KZ$3000,$C19,10+3*MIN(F$3,$D$2-1)))))</f>
        <v/>
      </c>
      <c r="G19" s="130">
        <f>IF(OR($C19="",$B$2="",$D$2=0),0,IF(G$3&lt;0,0,N(INDEX('CURVA PREVISION'!$A$1:$KZ$3000,$C19,10+3*MIN(G$3,$D$2-1)))))</f>
        <v/>
      </c>
      <c r="H19" s="130">
        <f>IF(OR($C19="",$B$2="",$D$2=0),0,IF(H$3&lt;0,0,N(INDEX('CURVA PREVISION'!$A$1:$KZ$3000,$C19,10+3*MIN(H$3,$D$2-1)))))</f>
        <v/>
      </c>
      <c r="I19" s="130">
        <f>IF(OR($C19="",$B$2="",$D$2=0),0,IF(I$3&lt;0,0,N(INDEX('CURVA PREVISION'!$A$1:$KZ$3000,$C19,10+3*MIN(I$3,$D$2-1)))))</f>
        <v/>
      </c>
      <c r="J19" s="130">
        <f>IF(OR($C19="",$B$2="",$D$2=0),0,IF(J$3&lt;0,0,N(INDEX('CURVA PREVISION'!$A$1:$KZ$3000,$C19,10+3*MIN(J$3,$D$2-1)))))</f>
        <v/>
      </c>
      <c r="K19" s="130">
        <f>IF(OR($C19="",$B$2="",$D$2=0),0,IF(K$3&lt;0,0,N(INDEX('CURVA PREVISION'!$A$1:$KZ$3000,$C19,10+3*MIN(K$3,$D$2-1)))))</f>
        <v/>
      </c>
      <c r="L19" s="130">
        <f>IF(OR($C19="",$B$2="",$D$2=0),0,IF(L$3&lt;0,0,N(INDEX('CURVA PREVISION'!$A$1:$KZ$3000,$C19,10+3*MIN(L$3,$D$2-1)))))</f>
        <v/>
      </c>
      <c r="M19" s="130">
        <f>IF(OR($C19="",$B$2="",$D$2=0),0,IF(M$3&lt;0,0,N(INDEX('CURVA PREVISION'!$A$1:$KZ$3000,$C19,10+3*MIN(M$3,$D$2-1)))))</f>
        <v/>
      </c>
      <c r="N19" s="130">
        <f>IF(OR($C19="",$B$2="",$D$2=0),0,IF(N$3&lt;0,0,N(INDEX('CURVA PREVISION'!$A$1:$KZ$3000,$C19,10+3*MIN(N$3,$D$2-1)))))</f>
        <v/>
      </c>
      <c r="O19" s="130">
        <f>IF(OR($C19="",$B$2="",$D$2=0),0,IF(O$3&lt;0,0,N(INDEX('CURVA PREVISION'!$A$1:$KZ$3000,$C19,10+3*MIN(O$3,$D$2-1)))))</f>
        <v/>
      </c>
      <c r="P19" s="130">
        <f>IF(OR($C19="",$B$2="",$D$2=0),0,IF(P$3&lt;0,0,N(INDEX('CURVA PREVISION'!$A$1:$KZ$3000,$C19,10+3*MIN(P$3,$D$2-1)))))</f>
        <v/>
      </c>
      <c r="Q19" s="130">
        <f>IF(OR($C19="",$B$2="",$D$2=0),0,IF(Q$3&lt;0,0,N(INDEX('CURVA PREVISION'!$A$1:$KZ$3000,$C19,10+3*MIN(Q$3,$D$2-1)))))</f>
        <v/>
      </c>
      <c r="R19" s="130">
        <f>IF(OR($C19="",$B$2="",$D$2=0),0,IF(R$3&lt;0,0,N(INDEX('CURVA PREVISION'!$A$1:$KZ$3000,$C19,10+3*MIN(R$3,$D$2-1)))))</f>
        <v/>
      </c>
      <c r="S19" s="130">
        <f>IF(OR($C19="",$B$2="",$D$2=0),0,IF(S$3&lt;0,0,N(INDEX('CURVA PREVISION'!$A$1:$KZ$3000,$C19,10+3*MIN(S$3,$D$2-1)))))</f>
        <v/>
      </c>
      <c r="T19" s="130">
        <f>IF(OR($C19="",$B$2="",$D$2=0),0,IF(T$3&lt;0,0,N(INDEX('CURVA PREVISION'!$A$1:$KZ$3000,$C19,10+3*MIN(T$3,$D$2-1)))))</f>
        <v/>
      </c>
      <c r="U19" s="130">
        <f>IF(OR($C19="",$B$2="",$D$2=0),0,IF(U$3&lt;0,0,N(INDEX('CURVA PREVISION'!$A$1:$KZ$3000,$C19,10+3*MIN(U$3,$D$2-1)))))</f>
        <v/>
      </c>
      <c r="V19" s="130">
        <f>IF(OR($C19="",$B$2="",$D$2=0),0,IF(V$3&lt;0,0,N(INDEX('CURVA PREVISION'!$A$1:$KZ$3000,$C19,10+3*MIN(V$3,$D$2-1)))))</f>
        <v/>
      </c>
      <c r="W19" s="130">
        <f>IF(OR($C19="",$B$2="",$D$2=0),0,IF(W$3&lt;0,0,N(INDEX('CURVA PREVISION'!$A$1:$KZ$3000,$C19,10+3*MIN(W$3,$D$2-1)))))</f>
        <v/>
      </c>
      <c r="X19" s="130">
        <f>IF(OR($C19="",$B$2="",$D$2=0),0,IF(X$3&lt;0,0,N(INDEX('CURVA PREVISION'!$A$1:$KZ$3000,$C19,10+3*MIN(X$3,$D$2-1)))))</f>
        <v/>
      </c>
      <c r="Y19" s="130">
        <f>IF(OR($C19="",$B$2="",$D$2=0),0,IF(Y$3&lt;0,0,N(INDEX('CURVA PREVISION'!$A$1:$KZ$3000,$C19,10+3*MIN(Y$3,$D$2-1)))))</f>
        <v/>
      </c>
      <c r="Z19" s="130">
        <f>IF(OR($C19="",$B$2="",$D$2=0),0,IF(Z$3&lt;0,0,N(INDEX('CURVA PREVISION'!$A$1:$KZ$3000,$C19,10+3*MIN(Z$3,$D$2-1)))))</f>
        <v/>
      </c>
      <c r="AA19" s="130">
        <f>IF(OR($C19="",$B$2="",$D$2=0),0,IF(AA$3&lt;0,0,N(INDEX('CURVA PREVISION'!$A$1:$KZ$3000,$C19,10+3*MIN(AA$3,$D$2-1)))))</f>
        <v/>
      </c>
      <c r="AB19" s="130">
        <f>IF(OR($C19="",$B$2="",$D$2=0),0,IF(AB$3&lt;0,0,N(INDEX('CURVA PREVISION'!$A$1:$KZ$3000,$C19,10+3*MIN(AB$3,$D$2-1)))))</f>
        <v/>
      </c>
      <c r="AC19" s="130">
        <f>IF(OR($C19="",$B$2="",$D$2=0),0,IF(AC$3&lt;0,0,N(INDEX('CURVA PREVISION'!$A$1:$KZ$3000,$C19,10+3*MIN(AC$3,$D$2-1)))))</f>
        <v/>
      </c>
      <c r="AD19" s="130">
        <f>IF(OR($C19="",$B$2="",$D$2=0),0,IF(AD$3&lt;0,0,N(INDEX('CURVA PREVISION'!$A$1:$KZ$3000,$C19,10+3*MIN(AD$3,$D$2-1)))))</f>
        <v/>
      </c>
      <c r="AE19" s="130">
        <f>IF(OR($C19="",$B$2="",$D$2=0),0,IF(AE$3&lt;0,0,N(INDEX('CURVA PREVISION'!$A$1:$KZ$3000,$C19,10+3*MIN(AE$3,$D$2-1)))))</f>
        <v/>
      </c>
      <c r="AF19" s="130">
        <f>IF(OR($C19="",$B$2="",$D$2=0),0,IF(AF$3&lt;0,0,N(INDEX('CURVA PREVISION'!$A$1:$KZ$3000,$C19,10+3*MIN(AF$3,$D$2-1)))))</f>
        <v/>
      </c>
      <c r="AG19" s="130">
        <f>IF(OR($C19="",$B$2="",$D$2=0),0,IF(AG$3&lt;0,0,N(INDEX('CURVA PREVISION'!$A$1:$KZ$3000,$C19,10+3*MIN(AG$3,$D$2-1)))))</f>
        <v/>
      </c>
      <c r="AH19" s="130">
        <f>IF(OR($C19="",$B$2="",$D$2=0),0,IF(AH$3&lt;0,0,N(INDEX('CURVA PREVISION'!$A$1:$KZ$3000,$C19,10+3*MIN(AH$3,$D$2-1)))))</f>
        <v/>
      </c>
      <c r="AI19" s="130">
        <f>IF(OR($C19="",$B$2="",$D$2=0),0,IF(AI$3&lt;0,0,N(INDEX('CURVA PREVISION'!$A$1:$KZ$3000,$C19,10+3*MIN(AI$3,$D$2-1)))))</f>
        <v/>
      </c>
      <c r="AJ19" s="130">
        <f>IF(OR($C19="",$B$2="",$D$2=0),0,IF(AJ$3&lt;0,0,N(INDEX('CURVA PREVISION'!$A$1:$KZ$3000,$C19,10+3*MIN(AJ$3,$D$2-1)))))</f>
        <v/>
      </c>
      <c r="AK19" s="130">
        <f>IF(OR($C19="",$B$2="",$D$2=0),0,IF(AK$3&lt;0,0,N(INDEX('CURVA PREVISION'!$A$1:$KZ$3000,$C19,10+3*MIN(AK$3,$D$2-1)))))</f>
        <v/>
      </c>
      <c r="AL19" s="130">
        <f>IF(OR($C19="",$B$2="",$D$2=0),0,IF(AL$3&lt;0,0,N(INDEX('CURVA PREVISION'!$A$1:$KZ$3000,$C19,10+3*MIN(AL$3,$D$2-1)))))</f>
        <v/>
      </c>
      <c r="AM19" s="130">
        <f>IF(OR($C19="",$B$2="",$D$2=0),0,IF(AM$3&lt;0,0,N(INDEX('CURVA PREVISION'!$A$1:$KZ$3000,$C19,10+3*MIN(AM$3,$D$2-1)))))</f>
        <v/>
      </c>
      <c r="AN19" s="130">
        <f>IF(OR($C19="",$B$2="",$D$2=0),0,IF(AN$3&lt;0,0,N(INDEX('CURVA PREVISION'!$A$1:$KZ$3000,$C19,10+3*MIN(AN$3,$D$2-1)))))</f>
        <v/>
      </c>
      <c r="AO19" s="130">
        <f>IF(OR($C19="",$B$2="",$D$2=0),0,IF(AO$3&lt;0,0,N(INDEX('CURVA PREVISION'!$A$1:$KZ$3000,$C19,10+3*MIN(AO$3,$D$2-1)))))</f>
        <v/>
      </c>
      <c r="AP19" s="130">
        <f>IF(OR($C19="",$B$2="",$D$2=0),0,IF(AP$3&lt;0,0,N(INDEX('CURVA PREVISION'!$A$1:$KZ$3000,$C19,10+3*MIN(AP$3,$D$2-1)))))</f>
        <v/>
      </c>
      <c r="AQ19" s="130">
        <f>IF(OR($C19="",$B$2="",$D$2=0),0,IF(AQ$3&lt;0,0,N(INDEX('CURVA PREVISION'!$A$1:$KZ$3000,$C19,10+3*MIN(AQ$3,$D$2-1)))))</f>
        <v/>
      </c>
      <c r="AR19" s="130">
        <f>IF(OR($C19="",$B$2="",$D$2=0),0,IF(AR$3&lt;0,0,N(INDEX('CURVA PREVISION'!$A$1:$KZ$3000,$C19,10+3*MIN(AR$3,$D$2-1)))))</f>
        <v/>
      </c>
      <c r="AS19" s="130">
        <f>IF(OR($C19="",$B$2="",$D$2=0),0,IF(AS$3&lt;0,0,N(INDEX('CURVA PREVISION'!$A$1:$KZ$3000,$C19,10+3*MIN(AS$3,$D$2-1)))))</f>
        <v/>
      </c>
      <c r="AT19" s="130">
        <f>IF(OR($C19="",$B$2="",$D$2=0),0,IF(AT$3&lt;0,0,N(INDEX('CURVA PREVISION'!$A$1:$KZ$3000,$C19,10+3*MIN(AT$3,$D$2-1)))))</f>
        <v/>
      </c>
      <c r="AU19" s="130">
        <f>IF(OR($C19="",$B$2="",$D$2=0),0,IF(AU$3&lt;0,0,N(INDEX('CURVA PREVISION'!$A$1:$KZ$3000,$C19,10+3*MIN(AU$3,$D$2-1)))))</f>
        <v/>
      </c>
      <c r="AV19" s="130">
        <f>IF(OR($C19="",$B$2="",$D$2=0),0,IF(AV$3&lt;0,0,N(INDEX('CURVA PREVISION'!$A$1:$KZ$3000,$C19,10+3*MIN(AV$3,$D$2-1)))))</f>
        <v/>
      </c>
      <c r="AW19" s="130">
        <f>IF(OR($C19="",$B$2="",$D$2=0),0,IF(AW$3&lt;0,0,N(INDEX('CURVA PREVISION'!$A$1:$KZ$3000,$C19,10+3*MIN(AW$3,$D$2-1)))))</f>
        <v/>
      </c>
      <c r="AX19" s="130">
        <f>IF(OR($C19="",$B$2="",$D$2=0),0,IF(AX$3&lt;0,0,N(INDEX('CURVA PREVISION'!$A$1:$KZ$3000,$C19,10+3*MIN(AX$3,$D$2-1)))))</f>
        <v/>
      </c>
      <c r="AY19" s="130">
        <f>IF(OR($C19="",$B$2="",$D$2=0),0,IF(AY$3&lt;0,0,N(INDEX('CURVA PREVISION'!$A$1:$KZ$3000,$C19,10+3*MIN(AY$3,$D$2-1)))))</f>
        <v/>
      </c>
      <c r="AZ19" s="130">
        <f>IF(OR($C19="",$B$2="",$D$2=0),0,IF(AZ$3&lt;0,0,N(INDEX('CURVA PREVISION'!$A$1:$KZ$3000,$C19,10+3*MIN(AZ$3,$D$2-1)))))</f>
        <v/>
      </c>
      <c r="BA19" s="130">
        <f>IF(OR($C19="",$B$2="",$D$2=0),0,IF(BA$3&lt;0,0,N(INDEX('CURVA PREVISION'!$A$1:$KZ$3000,$C19,10+3*MIN(BA$3,$D$2-1)))))</f>
        <v/>
      </c>
      <c r="BB19" s="130">
        <f>IF(OR($C19="",$B$2="",$D$2=0),0,IF(BB$3&lt;0,0,N(INDEX('CURVA PREVISION'!$A$1:$KZ$3000,$C19,10+3*MIN(BB$3,$D$2-1)))))</f>
        <v/>
      </c>
      <c r="BC19" s="130">
        <f>IF(OR($C19="",$B$2="",$D$2=0),0,IF(BC$3&lt;0,0,N(INDEX('CURVA PREVISION'!$A$1:$KZ$3000,$C19,10+3*MIN(BC$3,$D$2-1)))))</f>
        <v/>
      </c>
      <c r="BD19" s="130">
        <f>IF(OR($C19="",$B$2="",$D$2=0),0,IF(BD$3&lt;0,0,N(INDEX('CURVA PREVISION'!$A$1:$KZ$3000,$C19,10+3*MIN(BD$3,$D$2-1)))))</f>
        <v/>
      </c>
      <c r="BE19" s="130">
        <f>IF(OR($C19="",$B$2="",$D$2=0),0,IF(BE$3&lt;0,0,N(INDEX('CURVA PREVISION'!$A$1:$KZ$3000,$C19,10+3*MIN(BE$3,$D$2-1)))))</f>
        <v/>
      </c>
      <c r="BF19" s="130">
        <f>IF(OR($C19="",$B$2="",$D$2=0),0,IF(BF$3&lt;0,0,N(INDEX('CURVA PREVISION'!$A$1:$KZ$3000,$C19,10+3*MIN(BF$3,$D$2-1)))))</f>
        <v/>
      </c>
      <c r="BG19" s="130">
        <f>IF(OR($C19="",$B$2="",$D$2=0),0,IF(BG$3&lt;0,0,N(INDEX('CURVA PREVISION'!$A$1:$KZ$3000,$C19,10+3*MIN(BG$3,$D$2-1)))))</f>
        <v/>
      </c>
      <c r="BH19" s="130">
        <f>IF(OR($C19="",$B$2="",$D$2=0),0,IF(BH$3&lt;0,0,N(INDEX('CURVA PREVISION'!$A$1:$KZ$3000,$C19,10+3*MIN(BH$3,$D$2-1)))))</f>
        <v/>
      </c>
      <c r="BI19" s="130">
        <f>IF(OR($C19="",$B$2="",$D$2=0),0,IF(BI$3&lt;0,0,N(INDEX('CURVA PREVISION'!$A$1:$KZ$3000,$C19,10+3*MIN(BI$3,$D$2-1)))))</f>
        <v/>
      </c>
      <c r="BJ19" s="130">
        <f>IF(OR($C19="",$B$2="",$D$2=0),0,IF(BJ$3&lt;0,0,N(INDEX('CURVA PREVISION'!$A$1:$KZ$3000,$C19,10+3*MIN(BJ$3,$D$2-1)))))</f>
        <v/>
      </c>
      <c r="BK19" s="130">
        <f>IF(OR($C19="",$B$2="",$D$2=0),0,IF(BK$3&lt;0,0,N(INDEX('CURVA PREVISION'!$A$1:$KZ$3000,$C19,10+3*MIN(BK$3,$D$2-1)))))</f>
        <v/>
      </c>
      <c r="BL19" s="130">
        <f>IF(OR($C19="",$B$2="",$D$2=0),0,IF(BL$3&lt;0,0,N(INDEX('CURVA PREVISION'!$A$1:$KZ$3000,$C19,10+3*MIN(BL$3,$D$2-1)))))</f>
        <v/>
      </c>
      <c r="BM19" s="130">
        <f>IF(OR($C19="",$B$2="",$D$2=0),0,IF(BM$3&lt;0,0,N(INDEX('CURVA PREVISION'!$A$1:$KZ$3000,$C19,10+3*MIN(BM$3,$D$2-1)))))</f>
        <v/>
      </c>
      <c r="BN19" s="130">
        <f>IF(OR($C19="",$B$2="",$D$2=0),0,IF(BN$3&lt;0,0,N(INDEX('CURVA PREVISION'!$A$1:$KZ$3000,$C19,10+3*MIN(BN$3,$D$2-1)))))</f>
        <v/>
      </c>
      <c r="BO19" s="130">
        <f>IF(OR($C19="",$B$2="",$D$2=0),0,IF(BO$3&lt;0,0,N(INDEX('CURVA PREVISION'!$A$1:$KZ$3000,$C19,10+3*MIN(BO$3,$D$2-1)))))</f>
        <v/>
      </c>
      <c r="BP19" s="130">
        <f>IF(OR($C19="",$B$2="",$D$2=0),0,IF(BP$3&lt;0,0,N(INDEX('CURVA PREVISION'!$A$1:$KZ$3000,$C19,10+3*MIN(BP$3,$D$2-1)))))</f>
        <v/>
      </c>
      <c r="BQ19" s="130">
        <f>IF(OR($C19="",$B$2="",$D$2=0),0,IF(BQ$3&lt;0,0,N(INDEX('CURVA PREVISION'!$A$1:$KZ$3000,$C19,10+3*MIN(BQ$3,$D$2-1)))))</f>
        <v/>
      </c>
      <c r="BR19" s="130">
        <f>IF(OR($C19="",$B$2="",$D$2=0),0,IF(BR$3&lt;0,0,N(INDEX('CURVA PREVISION'!$A$1:$KZ$3000,$C19,10+3*MIN(BR$3,$D$2-1)))))</f>
        <v/>
      </c>
      <c r="BS19" s="130">
        <f>IF(OR($C19="",$B$2="",$D$2=0),0,IF(BS$3&lt;0,0,N(INDEX('CURVA PREVISION'!$A$1:$KZ$3000,$C19,10+3*MIN(BS$3,$D$2-1)))))</f>
        <v/>
      </c>
      <c r="BT19" s="130">
        <f>IF(OR($C19="",$B$2="",$D$2=0),0,IF(BT$3&lt;0,0,N(INDEX('CURVA PREVISION'!$A$1:$KZ$3000,$C19,10+3*MIN(BT$3,$D$2-1)))))</f>
        <v/>
      </c>
      <c r="BU19" s="130">
        <f>IF(OR($C19="",$B$2="",$D$2=0),0,IF(BU$3&lt;0,0,N(INDEX('CURVA PREVISION'!$A$1:$KZ$3000,$C19,10+3*MIN(BU$3,$D$2-1)))))</f>
        <v/>
      </c>
      <c r="BV19" s="130">
        <f>IF(OR($C19="",$B$2="",$D$2=0),0,IF(BV$3&lt;0,0,N(INDEX('CURVA PREVISION'!$A$1:$KZ$3000,$C19,10+3*MIN(BV$3,$D$2-1)))))</f>
        <v/>
      </c>
      <c r="BW19" s="130">
        <f>IF(OR($C19="",$B$2="",$D$2=0),0,IF(BW$3&lt;0,0,N(INDEX('CURVA PREVISION'!$A$1:$KZ$3000,$C19,10+3*MIN(BW$3,$D$2-1)))))</f>
        <v/>
      </c>
    </row>
    <row r="20">
      <c r="A20" s="61">
        <f>IF('VALOR POR PL'!R26&lt;&gt;"",'VALOR POR PL'!R26,IF('VALOR POR PL'!Q26="",'VALOR POR PL'!C26,'VALOR POR PL'!Q26))</f>
        <v/>
      </c>
      <c r="B20" s="61">
        <f>'VALOR POR PL'!D26</f>
        <v/>
      </c>
      <c r="C20" s="70">
        <f>IFERROR(MATCH(A20,'CURVA PREVISION'!$B$1:$B$3000,0),"")</f>
        <v/>
      </c>
      <c r="D20" s="130">
        <f>IF(OR($C20="",$B$2="",$D$2=0),0,IF(D$3&lt;0,0,N(INDEX('CURVA PREVISION'!$A$1:$KZ$3000,$C20,10+3*MIN(D$3,$D$2-1)))))</f>
        <v/>
      </c>
      <c r="E20" s="130">
        <f>IF(OR($C20="",$B$2="",$D$2=0),0,IF(E$3&lt;0,0,N(INDEX('CURVA PREVISION'!$A$1:$KZ$3000,$C20,10+3*MIN(E$3,$D$2-1)))))</f>
        <v/>
      </c>
      <c r="F20" s="130">
        <f>IF(OR($C20="",$B$2="",$D$2=0),0,IF(F$3&lt;0,0,N(INDEX('CURVA PREVISION'!$A$1:$KZ$3000,$C20,10+3*MIN(F$3,$D$2-1)))))</f>
        <v/>
      </c>
      <c r="G20" s="130">
        <f>IF(OR($C20="",$B$2="",$D$2=0),0,IF(G$3&lt;0,0,N(INDEX('CURVA PREVISION'!$A$1:$KZ$3000,$C20,10+3*MIN(G$3,$D$2-1)))))</f>
        <v/>
      </c>
      <c r="H20" s="130">
        <f>IF(OR($C20="",$B$2="",$D$2=0),0,IF(H$3&lt;0,0,N(INDEX('CURVA PREVISION'!$A$1:$KZ$3000,$C20,10+3*MIN(H$3,$D$2-1)))))</f>
        <v/>
      </c>
      <c r="I20" s="130">
        <f>IF(OR($C20="",$B$2="",$D$2=0),0,IF(I$3&lt;0,0,N(INDEX('CURVA PREVISION'!$A$1:$KZ$3000,$C20,10+3*MIN(I$3,$D$2-1)))))</f>
        <v/>
      </c>
      <c r="J20" s="130">
        <f>IF(OR($C20="",$B$2="",$D$2=0),0,IF(J$3&lt;0,0,N(INDEX('CURVA PREVISION'!$A$1:$KZ$3000,$C20,10+3*MIN(J$3,$D$2-1)))))</f>
        <v/>
      </c>
      <c r="K20" s="130">
        <f>IF(OR($C20="",$B$2="",$D$2=0),0,IF(K$3&lt;0,0,N(INDEX('CURVA PREVISION'!$A$1:$KZ$3000,$C20,10+3*MIN(K$3,$D$2-1)))))</f>
        <v/>
      </c>
      <c r="L20" s="130">
        <f>IF(OR($C20="",$B$2="",$D$2=0),0,IF(L$3&lt;0,0,N(INDEX('CURVA PREVISION'!$A$1:$KZ$3000,$C20,10+3*MIN(L$3,$D$2-1)))))</f>
        <v/>
      </c>
      <c r="M20" s="130">
        <f>IF(OR($C20="",$B$2="",$D$2=0),0,IF(M$3&lt;0,0,N(INDEX('CURVA PREVISION'!$A$1:$KZ$3000,$C20,10+3*MIN(M$3,$D$2-1)))))</f>
        <v/>
      </c>
      <c r="N20" s="130">
        <f>IF(OR($C20="",$B$2="",$D$2=0),0,IF(N$3&lt;0,0,N(INDEX('CURVA PREVISION'!$A$1:$KZ$3000,$C20,10+3*MIN(N$3,$D$2-1)))))</f>
        <v/>
      </c>
      <c r="O20" s="130">
        <f>IF(OR($C20="",$B$2="",$D$2=0),0,IF(O$3&lt;0,0,N(INDEX('CURVA PREVISION'!$A$1:$KZ$3000,$C20,10+3*MIN(O$3,$D$2-1)))))</f>
        <v/>
      </c>
      <c r="P20" s="130">
        <f>IF(OR($C20="",$B$2="",$D$2=0),0,IF(P$3&lt;0,0,N(INDEX('CURVA PREVISION'!$A$1:$KZ$3000,$C20,10+3*MIN(P$3,$D$2-1)))))</f>
        <v/>
      </c>
      <c r="Q20" s="130">
        <f>IF(OR($C20="",$B$2="",$D$2=0),0,IF(Q$3&lt;0,0,N(INDEX('CURVA PREVISION'!$A$1:$KZ$3000,$C20,10+3*MIN(Q$3,$D$2-1)))))</f>
        <v/>
      </c>
      <c r="R20" s="130">
        <f>IF(OR($C20="",$B$2="",$D$2=0),0,IF(R$3&lt;0,0,N(INDEX('CURVA PREVISION'!$A$1:$KZ$3000,$C20,10+3*MIN(R$3,$D$2-1)))))</f>
        <v/>
      </c>
      <c r="S20" s="130">
        <f>IF(OR($C20="",$B$2="",$D$2=0),0,IF(S$3&lt;0,0,N(INDEX('CURVA PREVISION'!$A$1:$KZ$3000,$C20,10+3*MIN(S$3,$D$2-1)))))</f>
        <v/>
      </c>
      <c r="T20" s="130">
        <f>IF(OR($C20="",$B$2="",$D$2=0),0,IF(T$3&lt;0,0,N(INDEX('CURVA PREVISION'!$A$1:$KZ$3000,$C20,10+3*MIN(T$3,$D$2-1)))))</f>
        <v/>
      </c>
      <c r="U20" s="130">
        <f>IF(OR($C20="",$B$2="",$D$2=0),0,IF(U$3&lt;0,0,N(INDEX('CURVA PREVISION'!$A$1:$KZ$3000,$C20,10+3*MIN(U$3,$D$2-1)))))</f>
        <v/>
      </c>
      <c r="V20" s="130">
        <f>IF(OR($C20="",$B$2="",$D$2=0),0,IF(V$3&lt;0,0,N(INDEX('CURVA PREVISION'!$A$1:$KZ$3000,$C20,10+3*MIN(V$3,$D$2-1)))))</f>
        <v/>
      </c>
      <c r="W20" s="130">
        <f>IF(OR($C20="",$B$2="",$D$2=0),0,IF(W$3&lt;0,0,N(INDEX('CURVA PREVISION'!$A$1:$KZ$3000,$C20,10+3*MIN(W$3,$D$2-1)))))</f>
        <v/>
      </c>
      <c r="X20" s="130">
        <f>IF(OR($C20="",$B$2="",$D$2=0),0,IF(X$3&lt;0,0,N(INDEX('CURVA PREVISION'!$A$1:$KZ$3000,$C20,10+3*MIN(X$3,$D$2-1)))))</f>
        <v/>
      </c>
      <c r="Y20" s="130">
        <f>IF(OR($C20="",$B$2="",$D$2=0),0,IF(Y$3&lt;0,0,N(INDEX('CURVA PREVISION'!$A$1:$KZ$3000,$C20,10+3*MIN(Y$3,$D$2-1)))))</f>
        <v/>
      </c>
      <c r="Z20" s="130">
        <f>IF(OR($C20="",$B$2="",$D$2=0),0,IF(Z$3&lt;0,0,N(INDEX('CURVA PREVISION'!$A$1:$KZ$3000,$C20,10+3*MIN(Z$3,$D$2-1)))))</f>
        <v/>
      </c>
      <c r="AA20" s="130">
        <f>IF(OR($C20="",$B$2="",$D$2=0),0,IF(AA$3&lt;0,0,N(INDEX('CURVA PREVISION'!$A$1:$KZ$3000,$C20,10+3*MIN(AA$3,$D$2-1)))))</f>
        <v/>
      </c>
      <c r="AB20" s="130">
        <f>IF(OR($C20="",$B$2="",$D$2=0),0,IF(AB$3&lt;0,0,N(INDEX('CURVA PREVISION'!$A$1:$KZ$3000,$C20,10+3*MIN(AB$3,$D$2-1)))))</f>
        <v/>
      </c>
      <c r="AC20" s="130">
        <f>IF(OR($C20="",$B$2="",$D$2=0),0,IF(AC$3&lt;0,0,N(INDEX('CURVA PREVISION'!$A$1:$KZ$3000,$C20,10+3*MIN(AC$3,$D$2-1)))))</f>
        <v/>
      </c>
      <c r="AD20" s="130">
        <f>IF(OR($C20="",$B$2="",$D$2=0),0,IF(AD$3&lt;0,0,N(INDEX('CURVA PREVISION'!$A$1:$KZ$3000,$C20,10+3*MIN(AD$3,$D$2-1)))))</f>
        <v/>
      </c>
      <c r="AE20" s="130">
        <f>IF(OR($C20="",$B$2="",$D$2=0),0,IF(AE$3&lt;0,0,N(INDEX('CURVA PREVISION'!$A$1:$KZ$3000,$C20,10+3*MIN(AE$3,$D$2-1)))))</f>
        <v/>
      </c>
      <c r="AF20" s="130">
        <f>IF(OR($C20="",$B$2="",$D$2=0),0,IF(AF$3&lt;0,0,N(INDEX('CURVA PREVISION'!$A$1:$KZ$3000,$C20,10+3*MIN(AF$3,$D$2-1)))))</f>
        <v/>
      </c>
      <c r="AG20" s="130">
        <f>IF(OR($C20="",$B$2="",$D$2=0),0,IF(AG$3&lt;0,0,N(INDEX('CURVA PREVISION'!$A$1:$KZ$3000,$C20,10+3*MIN(AG$3,$D$2-1)))))</f>
        <v/>
      </c>
      <c r="AH20" s="130">
        <f>IF(OR($C20="",$B$2="",$D$2=0),0,IF(AH$3&lt;0,0,N(INDEX('CURVA PREVISION'!$A$1:$KZ$3000,$C20,10+3*MIN(AH$3,$D$2-1)))))</f>
        <v/>
      </c>
      <c r="AI20" s="130">
        <f>IF(OR($C20="",$B$2="",$D$2=0),0,IF(AI$3&lt;0,0,N(INDEX('CURVA PREVISION'!$A$1:$KZ$3000,$C20,10+3*MIN(AI$3,$D$2-1)))))</f>
        <v/>
      </c>
      <c r="AJ20" s="130">
        <f>IF(OR($C20="",$B$2="",$D$2=0),0,IF(AJ$3&lt;0,0,N(INDEX('CURVA PREVISION'!$A$1:$KZ$3000,$C20,10+3*MIN(AJ$3,$D$2-1)))))</f>
        <v/>
      </c>
      <c r="AK20" s="130">
        <f>IF(OR($C20="",$B$2="",$D$2=0),0,IF(AK$3&lt;0,0,N(INDEX('CURVA PREVISION'!$A$1:$KZ$3000,$C20,10+3*MIN(AK$3,$D$2-1)))))</f>
        <v/>
      </c>
      <c r="AL20" s="130">
        <f>IF(OR($C20="",$B$2="",$D$2=0),0,IF(AL$3&lt;0,0,N(INDEX('CURVA PREVISION'!$A$1:$KZ$3000,$C20,10+3*MIN(AL$3,$D$2-1)))))</f>
        <v/>
      </c>
      <c r="AM20" s="130">
        <f>IF(OR($C20="",$B$2="",$D$2=0),0,IF(AM$3&lt;0,0,N(INDEX('CURVA PREVISION'!$A$1:$KZ$3000,$C20,10+3*MIN(AM$3,$D$2-1)))))</f>
        <v/>
      </c>
      <c r="AN20" s="130">
        <f>IF(OR($C20="",$B$2="",$D$2=0),0,IF(AN$3&lt;0,0,N(INDEX('CURVA PREVISION'!$A$1:$KZ$3000,$C20,10+3*MIN(AN$3,$D$2-1)))))</f>
        <v/>
      </c>
      <c r="AO20" s="130">
        <f>IF(OR($C20="",$B$2="",$D$2=0),0,IF(AO$3&lt;0,0,N(INDEX('CURVA PREVISION'!$A$1:$KZ$3000,$C20,10+3*MIN(AO$3,$D$2-1)))))</f>
        <v/>
      </c>
      <c r="AP20" s="130">
        <f>IF(OR($C20="",$B$2="",$D$2=0),0,IF(AP$3&lt;0,0,N(INDEX('CURVA PREVISION'!$A$1:$KZ$3000,$C20,10+3*MIN(AP$3,$D$2-1)))))</f>
        <v/>
      </c>
      <c r="AQ20" s="130">
        <f>IF(OR($C20="",$B$2="",$D$2=0),0,IF(AQ$3&lt;0,0,N(INDEX('CURVA PREVISION'!$A$1:$KZ$3000,$C20,10+3*MIN(AQ$3,$D$2-1)))))</f>
        <v/>
      </c>
      <c r="AR20" s="130">
        <f>IF(OR($C20="",$B$2="",$D$2=0),0,IF(AR$3&lt;0,0,N(INDEX('CURVA PREVISION'!$A$1:$KZ$3000,$C20,10+3*MIN(AR$3,$D$2-1)))))</f>
        <v/>
      </c>
      <c r="AS20" s="130">
        <f>IF(OR($C20="",$B$2="",$D$2=0),0,IF(AS$3&lt;0,0,N(INDEX('CURVA PREVISION'!$A$1:$KZ$3000,$C20,10+3*MIN(AS$3,$D$2-1)))))</f>
        <v/>
      </c>
      <c r="AT20" s="130">
        <f>IF(OR($C20="",$B$2="",$D$2=0),0,IF(AT$3&lt;0,0,N(INDEX('CURVA PREVISION'!$A$1:$KZ$3000,$C20,10+3*MIN(AT$3,$D$2-1)))))</f>
        <v/>
      </c>
      <c r="AU20" s="130">
        <f>IF(OR($C20="",$B$2="",$D$2=0),0,IF(AU$3&lt;0,0,N(INDEX('CURVA PREVISION'!$A$1:$KZ$3000,$C20,10+3*MIN(AU$3,$D$2-1)))))</f>
        <v/>
      </c>
      <c r="AV20" s="130">
        <f>IF(OR($C20="",$B$2="",$D$2=0),0,IF(AV$3&lt;0,0,N(INDEX('CURVA PREVISION'!$A$1:$KZ$3000,$C20,10+3*MIN(AV$3,$D$2-1)))))</f>
        <v/>
      </c>
      <c r="AW20" s="130">
        <f>IF(OR($C20="",$B$2="",$D$2=0),0,IF(AW$3&lt;0,0,N(INDEX('CURVA PREVISION'!$A$1:$KZ$3000,$C20,10+3*MIN(AW$3,$D$2-1)))))</f>
        <v/>
      </c>
      <c r="AX20" s="130">
        <f>IF(OR($C20="",$B$2="",$D$2=0),0,IF(AX$3&lt;0,0,N(INDEX('CURVA PREVISION'!$A$1:$KZ$3000,$C20,10+3*MIN(AX$3,$D$2-1)))))</f>
        <v/>
      </c>
      <c r="AY20" s="130">
        <f>IF(OR($C20="",$B$2="",$D$2=0),0,IF(AY$3&lt;0,0,N(INDEX('CURVA PREVISION'!$A$1:$KZ$3000,$C20,10+3*MIN(AY$3,$D$2-1)))))</f>
        <v/>
      </c>
      <c r="AZ20" s="130">
        <f>IF(OR($C20="",$B$2="",$D$2=0),0,IF(AZ$3&lt;0,0,N(INDEX('CURVA PREVISION'!$A$1:$KZ$3000,$C20,10+3*MIN(AZ$3,$D$2-1)))))</f>
        <v/>
      </c>
      <c r="BA20" s="130">
        <f>IF(OR($C20="",$B$2="",$D$2=0),0,IF(BA$3&lt;0,0,N(INDEX('CURVA PREVISION'!$A$1:$KZ$3000,$C20,10+3*MIN(BA$3,$D$2-1)))))</f>
        <v/>
      </c>
      <c r="BB20" s="130">
        <f>IF(OR($C20="",$B$2="",$D$2=0),0,IF(BB$3&lt;0,0,N(INDEX('CURVA PREVISION'!$A$1:$KZ$3000,$C20,10+3*MIN(BB$3,$D$2-1)))))</f>
        <v/>
      </c>
      <c r="BC20" s="130">
        <f>IF(OR($C20="",$B$2="",$D$2=0),0,IF(BC$3&lt;0,0,N(INDEX('CURVA PREVISION'!$A$1:$KZ$3000,$C20,10+3*MIN(BC$3,$D$2-1)))))</f>
        <v/>
      </c>
      <c r="BD20" s="130">
        <f>IF(OR($C20="",$B$2="",$D$2=0),0,IF(BD$3&lt;0,0,N(INDEX('CURVA PREVISION'!$A$1:$KZ$3000,$C20,10+3*MIN(BD$3,$D$2-1)))))</f>
        <v/>
      </c>
      <c r="BE20" s="130">
        <f>IF(OR($C20="",$B$2="",$D$2=0),0,IF(BE$3&lt;0,0,N(INDEX('CURVA PREVISION'!$A$1:$KZ$3000,$C20,10+3*MIN(BE$3,$D$2-1)))))</f>
        <v/>
      </c>
      <c r="BF20" s="130">
        <f>IF(OR($C20="",$B$2="",$D$2=0),0,IF(BF$3&lt;0,0,N(INDEX('CURVA PREVISION'!$A$1:$KZ$3000,$C20,10+3*MIN(BF$3,$D$2-1)))))</f>
        <v/>
      </c>
      <c r="BG20" s="130">
        <f>IF(OR($C20="",$B$2="",$D$2=0),0,IF(BG$3&lt;0,0,N(INDEX('CURVA PREVISION'!$A$1:$KZ$3000,$C20,10+3*MIN(BG$3,$D$2-1)))))</f>
        <v/>
      </c>
      <c r="BH20" s="130">
        <f>IF(OR($C20="",$B$2="",$D$2=0),0,IF(BH$3&lt;0,0,N(INDEX('CURVA PREVISION'!$A$1:$KZ$3000,$C20,10+3*MIN(BH$3,$D$2-1)))))</f>
        <v/>
      </c>
      <c r="BI20" s="130">
        <f>IF(OR($C20="",$B$2="",$D$2=0),0,IF(BI$3&lt;0,0,N(INDEX('CURVA PREVISION'!$A$1:$KZ$3000,$C20,10+3*MIN(BI$3,$D$2-1)))))</f>
        <v/>
      </c>
      <c r="BJ20" s="130">
        <f>IF(OR($C20="",$B$2="",$D$2=0),0,IF(BJ$3&lt;0,0,N(INDEX('CURVA PREVISION'!$A$1:$KZ$3000,$C20,10+3*MIN(BJ$3,$D$2-1)))))</f>
        <v/>
      </c>
      <c r="BK20" s="130">
        <f>IF(OR($C20="",$B$2="",$D$2=0),0,IF(BK$3&lt;0,0,N(INDEX('CURVA PREVISION'!$A$1:$KZ$3000,$C20,10+3*MIN(BK$3,$D$2-1)))))</f>
        <v/>
      </c>
      <c r="BL20" s="130">
        <f>IF(OR($C20="",$B$2="",$D$2=0),0,IF(BL$3&lt;0,0,N(INDEX('CURVA PREVISION'!$A$1:$KZ$3000,$C20,10+3*MIN(BL$3,$D$2-1)))))</f>
        <v/>
      </c>
      <c r="BM20" s="130">
        <f>IF(OR($C20="",$B$2="",$D$2=0),0,IF(BM$3&lt;0,0,N(INDEX('CURVA PREVISION'!$A$1:$KZ$3000,$C20,10+3*MIN(BM$3,$D$2-1)))))</f>
        <v/>
      </c>
      <c r="BN20" s="130">
        <f>IF(OR($C20="",$B$2="",$D$2=0),0,IF(BN$3&lt;0,0,N(INDEX('CURVA PREVISION'!$A$1:$KZ$3000,$C20,10+3*MIN(BN$3,$D$2-1)))))</f>
        <v/>
      </c>
      <c r="BO20" s="130">
        <f>IF(OR($C20="",$B$2="",$D$2=0),0,IF(BO$3&lt;0,0,N(INDEX('CURVA PREVISION'!$A$1:$KZ$3000,$C20,10+3*MIN(BO$3,$D$2-1)))))</f>
        <v/>
      </c>
      <c r="BP20" s="130">
        <f>IF(OR($C20="",$B$2="",$D$2=0),0,IF(BP$3&lt;0,0,N(INDEX('CURVA PREVISION'!$A$1:$KZ$3000,$C20,10+3*MIN(BP$3,$D$2-1)))))</f>
        <v/>
      </c>
      <c r="BQ20" s="130">
        <f>IF(OR($C20="",$B$2="",$D$2=0),0,IF(BQ$3&lt;0,0,N(INDEX('CURVA PREVISION'!$A$1:$KZ$3000,$C20,10+3*MIN(BQ$3,$D$2-1)))))</f>
        <v/>
      </c>
      <c r="BR20" s="130">
        <f>IF(OR($C20="",$B$2="",$D$2=0),0,IF(BR$3&lt;0,0,N(INDEX('CURVA PREVISION'!$A$1:$KZ$3000,$C20,10+3*MIN(BR$3,$D$2-1)))))</f>
        <v/>
      </c>
      <c r="BS20" s="130">
        <f>IF(OR($C20="",$B$2="",$D$2=0),0,IF(BS$3&lt;0,0,N(INDEX('CURVA PREVISION'!$A$1:$KZ$3000,$C20,10+3*MIN(BS$3,$D$2-1)))))</f>
        <v/>
      </c>
      <c r="BT20" s="130">
        <f>IF(OR($C20="",$B$2="",$D$2=0),0,IF(BT$3&lt;0,0,N(INDEX('CURVA PREVISION'!$A$1:$KZ$3000,$C20,10+3*MIN(BT$3,$D$2-1)))))</f>
        <v/>
      </c>
      <c r="BU20" s="130">
        <f>IF(OR($C20="",$B$2="",$D$2=0),0,IF(BU$3&lt;0,0,N(INDEX('CURVA PREVISION'!$A$1:$KZ$3000,$C20,10+3*MIN(BU$3,$D$2-1)))))</f>
        <v/>
      </c>
      <c r="BV20" s="130">
        <f>IF(OR($C20="",$B$2="",$D$2=0),0,IF(BV$3&lt;0,0,N(INDEX('CURVA PREVISION'!$A$1:$KZ$3000,$C20,10+3*MIN(BV$3,$D$2-1)))))</f>
        <v/>
      </c>
      <c r="BW20" s="130">
        <f>IF(OR($C20="",$B$2="",$D$2=0),0,IF(BW$3&lt;0,0,N(INDEX('CURVA PREVISION'!$A$1:$KZ$3000,$C20,10+3*MIN(BW$3,$D$2-1)))))</f>
        <v/>
      </c>
    </row>
    <row r="21">
      <c r="A21" s="61">
        <f>IF('VALOR POR PL'!R27&lt;&gt;"",'VALOR POR PL'!R27,IF('VALOR POR PL'!Q27="",'VALOR POR PL'!C27,'VALOR POR PL'!Q27))</f>
        <v/>
      </c>
      <c r="B21" s="61">
        <f>'VALOR POR PL'!D27</f>
        <v/>
      </c>
      <c r="C21" s="70">
        <f>IFERROR(MATCH(A21,'CURVA PREVISION'!$B$1:$B$3000,0),"")</f>
        <v/>
      </c>
      <c r="D21" s="130">
        <f>IF(OR($C21="",$B$2="",$D$2=0),0,IF(D$3&lt;0,0,N(INDEX('CURVA PREVISION'!$A$1:$KZ$3000,$C21,10+3*MIN(D$3,$D$2-1)))))</f>
        <v/>
      </c>
      <c r="E21" s="130">
        <f>IF(OR($C21="",$B$2="",$D$2=0),0,IF(E$3&lt;0,0,N(INDEX('CURVA PREVISION'!$A$1:$KZ$3000,$C21,10+3*MIN(E$3,$D$2-1)))))</f>
        <v/>
      </c>
      <c r="F21" s="130">
        <f>IF(OR($C21="",$B$2="",$D$2=0),0,IF(F$3&lt;0,0,N(INDEX('CURVA PREVISION'!$A$1:$KZ$3000,$C21,10+3*MIN(F$3,$D$2-1)))))</f>
        <v/>
      </c>
      <c r="G21" s="130">
        <f>IF(OR($C21="",$B$2="",$D$2=0),0,IF(G$3&lt;0,0,N(INDEX('CURVA PREVISION'!$A$1:$KZ$3000,$C21,10+3*MIN(G$3,$D$2-1)))))</f>
        <v/>
      </c>
      <c r="H21" s="130">
        <f>IF(OR($C21="",$B$2="",$D$2=0),0,IF(H$3&lt;0,0,N(INDEX('CURVA PREVISION'!$A$1:$KZ$3000,$C21,10+3*MIN(H$3,$D$2-1)))))</f>
        <v/>
      </c>
      <c r="I21" s="130">
        <f>IF(OR($C21="",$B$2="",$D$2=0),0,IF(I$3&lt;0,0,N(INDEX('CURVA PREVISION'!$A$1:$KZ$3000,$C21,10+3*MIN(I$3,$D$2-1)))))</f>
        <v/>
      </c>
      <c r="J21" s="130">
        <f>IF(OR($C21="",$B$2="",$D$2=0),0,IF(J$3&lt;0,0,N(INDEX('CURVA PREVISION'!$A$1:$KZ$3000,$C21,10+3*MIN(J$3,$D$2-1)))))</f>
        <v/>
      </c>
      <c r="K21" s="130">
        <f>IF(OR($C21="",$B$2="",$D$2=0),0,IF(K$3&lt;0,0,N(INDEX('CURVA PREVISION'!$A$1:$KZ$3000,$C21,10+3*MIN(K$3,$D$2-1)))))</f>
        <v/>
      </c>
      <c r="L21" s="130">
        <f>IF(OR($C21="",$B$2="",$D$2=0),0,IF(L$3&lt;0,0,N(INDEX('CURVA PREVISION'!$A$1:$KZ$3000,$C21,10+3*MIN(L$3,$D$2-1)))))</f>
        <v/>
      </c>
      <c r="M21" s="130">
        <f>IF(OR($C21="",$B$2="",$D$2=0),0,IF(M$3&lt;0,0,N(INDEX('CURVA PREVISION'!$A$1:$KZ$3000,$C21,10+3*MIN(M$3,$D$2-1)))))</f>
        <v/>
      </c>
      <c r="N21" s="130">
        <f>IF(OR($C21="",$B$2="",$D$2=0),0,IF(N$3&lt;0,0,N(INDEX('CURVA PREVISION'!$A$1:$KZ$3000,$C21,10+3*MIN(N$3,$D$2-1)))))</f>
        <v/>
      </c>
      <c r="O21" s="130">
        <f>IF(OR($C21="",$B$2="",$D$2=0),0,IF(O$3&lt;0,0,N(INDEX('CURVA PREVISION'!$A$1:$KZ$3000,$C21,10+3*MIN(O$3,$D$2-1)))))</f>
        <v/>
      </c>
      <c r="P21" s="130">
        <f>IF(OR($C21="",$B$2="",$D$2=0),0,IF(P$3&lt;0,0,N(INDEX('CURVA PREVISION'!$A$1:$KZ$3000,$C21,10+3*MIN(P$3,$D$2-1)))))</f>
        <v/>
      </c>
      <c r="Q21" s="130">
        <f>IF(OR($C21="",$B$2="",$D$2=0),0,IF(Q$3&lt;0,0,N(INDEX('CURVA PREVISION'!$A$1:$KZ$3000,$C21,10+3*MIN(Q$3,$D$2-1)))))</f>
        <v/>
      </c>
      <c r="R21" s="130">
        <f>IF(OR($C21="",$B$2="",$D$2=0),0,IF(R$3&lt;0,0,N(INDEX('CURVA PREVISION'!$A$1:$KZ$3000,$C21,10+3*MIN(R$3,$D$2-1)))))</f>
        <v/>
      </c>
      <c r="S21" s="130">
        <f>IF(OR($C21="",$B$2="",$D$2=0),0,IF(S$3&lt;0,0,N(INDEX('CURVA PREVISION'!$A$1:$KZ$3000,$C21,10+3*MIN(S$3,$D$2-1)))))</f>
        <v/>
      </c>
      <c r="T21" s="130">
        <f>IF(OR($C21="",$B$2="",$D$2=0),0,IF(T$3&lt;0,0,N(INDEX('CURVA PREVISION'!$A$1:$KZ$3000,$C21,10+3*MIN(T$3,$D$2-1)))))</f>
        <v/>
      </c>
      <c r="U21" s="130">
        <f>IF(OR($C21="",$B$2="",$D$2=0),0,IF(U$3&lt;0,0,N(INDEX('CURVA PREVISION'!$A$1:$KZ$3000,$C21,10+3*MIN(U$3,$D$2-1)))))</f>
        <v/>
      </c>
      <c r="V21" s="130">
        <f>IF(OR($C21="",$B$2="",$D$2=0),0,IF(V$3&lt;0,0,N(INDEX('CURVA PREVISION'!$A$1:$KZ$3000,$C21,10+3*MIN(V$3,$D$2-1)))))</f>
        <v/>
      </c>
      <c r="W21" s="130">
        <f>IF(OR($C21="",$B$2="",$D$2=0),0,IF(W$3&lt;0,0,N(INDEX('CURVA PREVISION'!$A$1:$KZ$3000,$C21,10+3*MIN(W$3,$D$2-1)))))</f>
        <v/>
      </c>
      <c r="X21" s="130">
        <f>IF(OR($C21="",$B$2="",$D$2=0),0,IF(X$3&lt;0,0,N(INDEX('CURVA PREVISION'!$A$1:$KZ$3000,$C21,10+3*MIN(X$3,$D$2-1)))))</f>
        <v/>
      </c>
      <c r="Y21" s="130">
        <f>IF(OR($C21="",$B$2="",$D$2=0),0,IF(Y$3&lt;0,0,N(INDEX('CURVA PREVISION'!$A$1:$KZ$3000,$C21,10+3*MIN(Y$3,$D$2-1)))))</f>
        <v/>
      </c>
      <c r="Z21" s="130">
        <f>IF(OR($C21="",$B$2="",$D$2=0),0,IF(Z$3&lt;0,0,N(INDEX('CURVA PREVISION'!$A$1:$KZ$3000,$C21,10+3*MIN(Z$3,$D$2-1)))))</f>
        <v/>
      </c>
      <c r="AA21" s="130">
        <f>IF(OR($C21="",$B$2="",$D$2=0),0,IF(AA$3&lt;0,0,N(INDEX('CURVA PREVISION'!$A$1:$KZ$3000,$C21,10+3*MIN(AA$3,$D$2-1)))))</f>
        <v/>
      </c>
      <c r="AB21" s="130">
        <f>IF(OR($C21="",$B$2="",$D$2=0),0,IF(AB$3&lt;0,0,N(INDEX('CURVA PREVISION'!$A$1:$KZ$3000,$C21,10+3*MIN(AB$3,$D$2-1)))))</f>
        <v/>
      </c>
      <c r="AC21" s="130">
        <f>IF(OR($C21="",$B$2="",$D$2=0),0,IF(AC$3&lt;0,0,N(INDEX('CURVA PREVISION'!$A$1:$KZ$3000,$C21,10+3*MIN(AC$3,$D$2-1)))))</f>
        <v/>
      </c>
      <c r="AD21" s="130">
        <f>IF(OR($C21="",$B$2="",$D$2=0),0,IF(AD$3&lt;0,0,N(INDEX('CURVA PREVISION'!$A$1:$KZ$3000,$C21,10+3*MIN(AD$3,$D$2-1)))))</f>
        <v/>
      </c>
      <c r="AE21" s="130">
        <f>IF(OR($C21="",$B$2="",$D$2=0),0,IF(AE$3&lt;0,0,N(INDEX('CURVA PREVISION'!$A$1:$KZ$3000,$C21,10+3*MIN(AE$3,$D$2-1)))))</f>
        <v/>
      </c>
      <c r="AF21" s="130">
        <f>IF(OR($C21="",$B$2="",$D$2=0),0,IF(AF$3&lt;0,0,N(INDEX('CURVA PREVISION'!$A$1:$KZ$3000,$C21,10+3*MIN(AF$3,$D$2-1)))))</f>
        <v/>
      </c>
      <c r="AG21" s="130">
        <f>IF(OR($C21="",$B$2="",$D$2=0),0,IF(AG$3&lt;0,0,N(INDEX('CURVA PREVISION'!$A$1:$KZ$3000,$C21,10+3*MIN(AG$3,$D$2-1)))))</f>
        <v/>
      </c>
      <c r="AH21" s="130">
        <f>IF(OR($C21="",$B$2="",$D$2=0),0,IF(AH$3&lt;0,0,N(INDEX('CURVA PREVISION'!$A$1:$KZ$3000,$C21,10+3*MIN(AH$3,$D$2-1)))))</f>
        <v/>
      </c>
      <c r="AI21" s="130">
        <f>IF(OR($C21="",$B$2="",$D$2=0),0,IF(AI$3&lt;0,0,N(INDEX('CURVA PREVISION'!$A$1:$KZ$3000,$C21,10+3*MIN(AI$3,$D$2-1)))))</f>
        <v/>
      </c>
      <c r="AJ21" s="130">
        <f>IF(OR($C21="",$B$2="",$D$2=0),0,IF(AJ$3&lt;0,0,N(INDEX('CURVA PREVISION'!$A$1:$KZ$3000,$C21,10+3*MIN(AJ$3,$D$2-1)))))</f>
        <v/>
      </c>
      <c r="AK21" s="130">
        <f>IF(OR($C21="",$B$2="",$D$2=0),0,IF(AK$3&lt;0,0,N(INDEX('CURVA PREVISION'!$A$1:$KZ$3000,$C21,10+3*MIN(AK$3,$D$2-1)))))</f>
        <v/>
      </c>
      <c r="AL21" s="130">
        <f>IF(OR($C21="",$B$2="",$D$2=0),0,IF(AL$3&lt;0,0,N(INDEX('CURVA PREVISION'!$A$1:$KZ$3000,$C21,10+3*MIN(AL$3,$D$2-1)))))</f>
        <v/>
      </c>
      <c r="AM21" s="130">
        <f>IF(OR($C21="",$B$2="",$D$2=0),0,IF(AM$3&lt;0,0,N(INDEX('CURVA PREVISION'!$A$1:$KZ$3000,$C21,10+3*MIN(AM$3,$D$2-1)))))</f>
        <v/>
      </c>
      <c r="AN21" s="130">
        <f>IF(OR($C21="",$B$2="",$D$2=0),0,IF(AN$3&lt;0,0,N(INDEX('CURVA PREVISION'!$A$1:$KZ$3000,$C21,10+3*MIN(AN$3,$D$2-1)))))</f>
        <v/>
      </c>
      <c r="AO21" s="130">
        <f>IF(OR($C21="",$B$2="",$D$2=0),0,IF(AO$3&lt;0,0,N(INDEX('CURVA PREVISION'!$A$1:$KZ$3000,$C21,10+3*MIN(AO$3,$D$2-1)))))</f>
        <v/>
      </c>
      <c r="AP21" s="130">
        <f>IF(OR($C21="",$B$2="",$D$2=0),0,IF(AP$3&lt;0,0,N(INDEX('CURVA PREVISION'!$A$1:$KZ$3000,$C21,10+3*MIN(AP$3,$D$2-1)))))</f>
        <v/>
      </c>
      <c r="AQ21" s="130">
        <f>IF(OR($C21="",$B$2="",$D$2=0),0,IF(AQ$3&lt;0,0,N(INDEX('CURVA PREVISION'!$A$1:$KZ$3000,$C21,10+3*MIN(AQ$3,$D$2-1)))))</f>
        <v/>
      </c>
      <c r="AR21" s="130">
        <f>IF(OR($C21="",$B$2="",$D$2=0),0,IF(AR$3&lt;0,0,N(INDEX('CURVA PREVISION'!$A$1:$KZ$3000,$C21,10+3*MIN(AR$3,$D$2-1)))))</f>
        <v/>
      </c>
      <c r="AS21" s="130">
        <f>IF(OR($C21="",$B$2="",$D$2=0),0,IF(AS$3&lt;0,0,N(INDEX('CURVA PREVISION'!$A$1:$KZ$3000,$C21,10+3*MIN(AS$3,$D$2-1)))))</f>
        <v/>
      </c>
      <c r="AT21" s="130">
        <f>IF(OR($C21="",$B$2="",$D$2=0),0,IF(AT$3&lt;0,0,N(INDEX('CURVA PREVISION'!$A$1:$KZ$3000,$C21,10+3*MIN(AT$3,$D$2-1)))))</f>
        <v/>
      </c>
      <c r="AU21" s="130">
        <f>IF(OR($C21="",$B$2="",$D$2=0),0,IF(AU$3&lt;0,0,N(INDEX('CURVA PREVISION'!$A$1:$KZ$3000,$C21,10+3*MIN(AU$3,$D$2-1)))))</f>
        <v/>
      </c>
      <c r="AV21" s="130">
        <f>IF(OR($C21="",$B$2="",$D$2=0),0,IF(AV$3&lt;0,0,N(INDEX('CURVA PREVISION'!$A$1:$KZ$3000,$C21,10+3*MIN(AV$3,$D$2-1)))))</f>
        <v/>
      </c>
      <c r="AW21" s="130">
        <f>IF(OR($C21="",$B$2="",$D$2=0),0,IF(AW$3&lt;0,0,N(INDEX('CURVA PREVISION'!$A$1:$KZ$3000,$C21,10+3*MIN(AW$3,$D$2-1)))))</f>
        <v/>
      </c>
      <c r="AX21" s="130">
        <f>IF(OR($C21="",$B$2="",$D$2=0),0,IF(AX$3&lt;0,0,N(INDEX('CURVA PREVISION'!$A$1:$KZ$3000,$C21,10+3*MIN(AX$3,$D$2-1)))))</f>
        <v/>
      </c>
      <c r="AY21" s="130">
        <f>IF(OR($C21="",$B$2="",$D$2=0),0,IF(AY$3&lt;0,0,N(INDEX('CURVA PREVISION'!$A$1:$KZ$3000,$C21,10+3*MIN(AY$3,$D$2-1)))))</f>
        <v/>
      </c>
      <c r="AZ21" s="130">
        <f>IF(OR($C21="",$B$2="",$D$2=0),0,IF(AZ$3&lt;0,0,N(INDEX('CURVA PREVISION'!$A$1:$KZ$3000,$C21,10+3*MIN(AZ$3,$D$2-1)))))</f>
        <v/>
      </c>
      <c r="BA21" s="130">
        <f>IF(OR($C21="",$B$2="",$D$2=0),0,IF(BA$3&lt;0,0,N(INDEX('CURVA PREVISION'!$A$1:$KZ$3000,$C21,10+3*MIN(BA$3,$D$2-1)))))</f>
        <v/>
      </c>
      <c r="BB21" s="130">
        <f>IF(OR($C21="",$B$2="",$D$2=0),0,IF(BB$3&lt;0,0,N(INDEX('CURVA PREVISION'!$A$1:$KZ$3000,$C21,10+3*MIN(BB$3,$D$2-1)))))</f>
        <v/>
      </c>
      <c r="BC21" s="130">
        <f>IF(OR($C21="",$B$2="",$D$2=0),0,IF(BC$3&lt;0,0,N(INDEX('CURVA PREVISION'!$A$1:$KZ$3000,$C21,10+3*MIN(BC$3,$D$2-1)))))</f>
        <v/>
      </c>
      <c r="BD21" s="130">
        <f>IF(OR($C21="",$B$2="",$D$2=0),0,IF(BD$3&lt;0,0,N(INDEX('CURVA PREVISION'!$A$1:$KZ$3000,$C21,10+3*MIN(BD$3,$D$2-1)))))</f>
        <v/>
      </c>
      <c r="BE21" s="130">
        <f>IF(OR($C21="",$B$2="",$D$2=0),0,IF(BE$3&lt;0,0,N(INDEX('CURVA PREVISION'!$A$1:$KZ$3000,$C21,10+3*MIN(BE$3,$D$2-1)))))</f>
        <v/>
      </c>
      <c r="BF21" s="130">
        <f>IF(OR($C21="",$B$2="",$D$2=0),0,IF(BF$3&lt;0,0,N(INDEX('CURVA PREVISION'!$A$1:$KZ$3000,$C21,10+3*MIN(BF$3,$D$2-1)))))</f>
        <v/>
      </c>
      <c r="BG21" s="130">
        <f>IF(OR($C21="",$B$2="",$D$2=0),0,IF(BG$3&lt;0,0,N(INDEX('CURVA PREVISION'!$A$1:$KZ$3000,$C21,10+3*MIN(BG$3,$D$2-1)))))</f>
        <v/>
      </c>
      <c r="BH21" s="130">
        <f>IF(OR($C21="",$B$2="",$D$2=0),0,IF(BH$3&lt;0,0,N(INDEX('CURVA PREVISION'!$A$1:$KZ$3000,$C21,10+3*MIN(BH$3,$D$2-1)))))</f>
        <v/>
      </c>
      <c r="BI21" s="130">
        <f>IF(OR($C21="",$B$2="",$D$2=0),0,IF(BI$3&lt;0,0,N(INDEX('CURVA PREVISION'!$A$1:$KZ$3000,$C21,10+3*MIN(BI$3,$D$2-1)))))</f>
        <v/>
      </c>
      <c r="BJ21" s="130">
        <f>IF(OR($C21="",$B$2="",$D$2=0),0,IF(BJ$3&lt;0,0,N(INDEX('CURVA PREVISION'!$A$1:$KZ$3000,$C21,10+3*MIN(BJ$3,$D$2-1)))))</f>
        <v/>
      </c>
      <c r="BK21" s="130">
        <f>IF(OR($C21="",$B$2="",$D$2=0),0,IF(BK$3&lt;0,0,N(INDEX('CURVA PREVISION'!$A$1:$KZ$3000,$C21,10+3*MIN(BK$3,$D$2-1)))))</f>
        <v/>
      </c>
      <c r="BL21" s="130">
        <f>IF(OR($C21="",$B$2="",$D$2=0),0,IF(BL$3&lt;0,0,N(INDEX('CURVA PREVISION'!$A$1:$KZ$3000,$C21,10+3*MIN(BL$3,$D$2-1)))))</f>
        <v/>
      </c>
      <c r="BM21" s="130">
        <f>IF(OR($C21="",$B$2="",$D$2=0),0,IF(BM$3&lt;0,0,N(INDEX('CURVA PREVISION'!$A$1:$KZ$3000,$C21,10+3*MIN(BM$3,$D$2-1)))))</f>
        <v/>
      </c>
      <c r="BN21" s="130">
        <f>IF(OR($C21="",$B$2="",$D$2=0),0,IF(BN$3&lt;0,0,N(INDEX('CURVA PREVISION'!$A$1:$KZ$3000,$C21,10+3*MIN(BN$3,$D$2-1)))))</f>
        <v/>
      </c>
      <c r="BO21" s="130">
        <f>IF(OR($C21="",$B$2="",$D$2=0),0,IF(BO$3&lt;0,0,N(INDEX('CURVA PREVISION'!$A$1:$KZ$3000,$C21,10+3*MIN(BO$3,$D$2-1)))))</f>
        <v/>
      </c>
      <c r="BP21" s="130">
        <f>IF(OR($C21="",$B$2="",$D$2=0),0,IF(BP$3&lt;0,0,N(INDEX('CURVA PREVISION'!$A$1:$KZ$3000,$C21,10+3*MIN(BP$3,$D$2-1)))))</f>
        <v/>
      </c>
      <c r="BQ21" s="130">
        <f>IF(OR($C21="",$B$2="",$D$2=0),0,IF(BQ$3&lt;0,0,N(INDEX('CURVA PREVISION'!$A$1:$KZ$3000,$C21,10+3*MIN(BQ$3,$D$2-1)))))</f>
        <v/>
      </c>
      <c r="BR21" s="130">
        <f>IF(OR($C21="",$B$2="",$D$2=0),0,IF(BR$3&lt;0,0,N(INDEX('CURVA PREVISION'!$A$1:$KZ$3000,$C21,10+3*MIN(BR$3,$D$2-1)))))</f>
        <v/>
      </c>
      <c r="BS21" s="130">
        <f>IF(OR($C21="",$B$2="",$D$2=0),0,IF(BS$3&lt;0,0,N(INDEX('CURVA PREVISION'!$A$1:$KZ$3000,$C21,10+3*MIN(BS$3,$D$2-1)))))</f>
        <v/>
      </c>
      <c r="BT21" s="130">
        <f>IF(OR($C21="",$B$2="",$D$2=0),0,IF(BT$3&lt;0,0,N(INDEX('CURVA PREVISION'!$A$1:$KZ$3000,$C21,10+3*MIN(BT$3,$D$2-1)))))</f>
        <v/>
      </c>
      <c r="BU21" s="130">
        <f>IF(OR($C21="",$B$2="",$D$2=0),0,IF(BU$3&lt;0,0,N(INDEX('CURVA PREVISION'!$A$1:$KZ$3000,$C21,10+3*MIN(BU$3,$D$2-1)))))</f>
        <v/>
      </c>
      <c r="BV21" s="130">
        <f>IF(OR($C21="",$B$2="",$D$2=0),0,IF(BV$3&lt;0,0,N(INDEX('CURVA PREVISION'!$A$1:$KZ$3000,$C21,10+3*MIN(BV$3,$D$2-1)))))</f>
        <v/>
      </c>
      <c r="BW21" s="130">
        <f>IF(OR($C21="",$B$2="",$D$2=0),0,IF(BW$3&lt;0,0,N(INDEX('CURVA PREVISION'!$A$1:$KZ$3000,$C21,10+3*MIN(BW$3,$D$2-1)))))</f>
        <v/>
      </c>
    </row>
    <row r="22">
      <c r="A22" s="61">
        <f>IF('VALOR POR PL'!R28&lt;&gt;"",'VALOR POR PL'!R28,IF('VALOR POR PL'!Q28="",'VALOR POR PL'!C28,'VALOR POR PL'!Q28))</f>
        <v/>
      </c>
      <c r="B22" s="61">
        <f>'VALOR POR PL'!D28</f>
        <v/>
      </c>
      <c r="C22" s="70">
        <f>IFERROR(MATCH(A22,'CURVA PREVISION'!$B$1:$B$3000,0),"")</f>
        <v/>
      </c>
      <c r="D22" s="130">
        <f>IF(OR($C22="",$B$2="",$D$2=0),0,IF(D$3&lt;0,0,N(INDEX('CURVA PREVISION'!$A$1:$KZ$3000,$C22,10+3*MIN(D$3,$D$2-1)))))</f>
        <v/>
      </c>
      <c r="E22" s="130">
        <f>IF(OR($C22="",$B$2="",$D$2=0),0,IF(E$3&lt;0,0,N(INDEX('CURVA PREVISION'!$A$1:$KZ$3000,$C22,10+3*MIN(E$3,$D$2-1)))))</f>
        <v/>
      </c>
      <c r="F22" s="130">
        <f>IF(OR($C22="",$B$2="",$D$2=0),0,IF(F$3&lt;0,0,N(INDEX('CURVA PREVISION'!$A$1:$KZ$3000,$C22,10+3*MIN(F$3,$D$2-1)))))</f>
        <v/>
      </c>
      <c r="G22" s="130">
        <f>IF(OR($C22="",$B$2="",$D$2=0),0,IF(G$3&lt;0,0,N(INDEX('CURVA PREVISION'!$A$1:$KZ$3000,$C22,10+3*MIN(G$3,$D$2-1)))))</f>
        <v/>
      </c>
      <c r="H22" s="130">
        <f>IF(OR($C22="",$B$2="",$D$2=0),0,IF(H$3&lt;0,0,N(INDEX('CURVA PREVISION'!$A$1:$KZ$3000,$C22,10+3*MIN(H$3,$D$2-1)))))</f>
        <v/>
      </c>
      <c r="I22" s="130">
        <f>IF(OR($C22="",$B$2="",$D$2=0),0,IF(I$3&lt;0,0,N(INDEX('CURVA PREVISION'!$A$1:$KZ$3000,$C22,10+3*MIN(I$3,$D$2-1)))))</f>
        <v/>
      </c>
      <c r="J22" s="130">
        <f>IF(OR($C22="",$B$2="",$D$2=0),0,IF(J$3&lt;0,0,N(INDEX('CURVA PREVISION'!$A$1:$KZ$3000,$C22,10+3*MIN(J$3,$D$2-1)))))</f>
        <v/>
      </c>
      <c r="K22" s="130">
        <f>IF(OR($C22="",$B$2="",$D$2=0),0,IF(K$3&lt;0,0,N(INDEX('CURVA PREVISION'!$A$1:$KZ$3000,$C22,10+3*MIN(K$3,$D$2-1)))))</f>
        <v/>
      </c>
      <c r="L22" s="130">
        <f>IF(OR($C22="",$B$2="",$D$2=0),0,IF(L$3&lt;0,0,N(INDEX('CURVA PREVISION'!$A$1:$KZ$3000,$C22,10+3*MIN(L$3,$D$2-1)))))</f>
        <v/>
      </c>
      <c r="M22" s="130">
        <f>IF(OR($C22="",$B$2="",$D$2=0),0,IF(M$3&lt;0,0,N(INDEX('CURVA PREVISION'!$A$1:$KZ$3000,$C22,10+3*MIN(M$3,$D$2-1)))))</f>
        <v/>
      </c>
      <c r="N22" s="130">
        <f>IF(OR($C22="",$B$2="",$D$2=0),0,IF(N$3&lt;0,0,N(INDEX('CURVA PREVISION'!$A$1:$KZ$3000,$C22,10+3*MIN(N$3,$D$2-1)))))</f>
        <v/>
      </c>
      <c r="O22" s="130">
        <f>IF(OR($C22="",$B$2="",$D$2=0),0,IF(O$3&lt;0,0,N(INDEX('CURVA PREVISION'!$A$1:$KZ$3000,$C22,10+3*MIN(O$3,$D$2-1)))))</f>
        <v/>
      </c>
      <c r="P22" s="130">
        <f>IF(OR($C22="",$B$2="",$D$2=0),0,IF(P$3&lt;0,0,N(INDEX('CURVA PREVISION'!$A$1:$KZ$3000,$C22,10+3*MIN(P$3,$D$2-1)))))</f>
        <v/>
      </c>
      <c r="Q22" s="130">
        <f>IF(OR($C22="",$B$2="",$D$2=0),0,IF(Q$3&lt;0,0,N(INDEX('CURVA PREVISION'!$A$1:$KZ$3000,$C22,10+3*MIN(Q$3,$D$2-1)))))</f>
        <v/>
      </c>
      <c r="R22" s="130">
        <f>IF(OR($C22="",$B$2="",$D$2=0),0,IF(R$3&lt;0,0,N(INDEX('CURVA PREVISION'!$A$1:$KZ$3000,$C22,10+3*MIN(R$3,$D$2-1)))))</f>
        <v/>
      </c>
      <c r="S22" s="130">
        <f>IF(OR($C22="",$B$2="",$D$2=0),0,IF(S$3&lt;0,0,N(INDEX('CURVA PREVISION'!$A$1:$KZ$3000,$C22,10+3*MIN(S$3,$D$2-1)))))</f>
        <v/>
      </c>
      <c r="T22" s="130">
        <f>IF(OR($C22="",$B$2="",$D$2=0),0,IF(T$3&lt;0,0,N(INDEX('CURVA PREVISION'!$A$1:$KZ$3000,$C22,10+3*MIN(T$3,$D$2-1)))))</f>
        <v/>
      </c>
      <c r="U22" s="130">
        <f>IF(OR($C22="",$B$2="",$D$2=0),0,IF(U$3&lt;0,0,N(INDEX('CURVA PREVISION'!$A$1:$KZ$3000,$C22,10+3*MIN(U$3,$D$2-1)))))</f>
        <v/>
      </c>
      <c r="V22" s="130">
        <f>IF(OR($C22="",$B$2="",$D$2=0),0,IF(V$3&lt;0,0,N(INDEX('CURVA PREVISION'!$A$1:$KZ$3000,$C22,10+3*MIN(V$3,$D$2-1)))))</f>
        <v/>
      </c>
      <c r="W22" s="130">
        <f>IF(OR($C22="",$B$2="",$D$2=0),0,IF(W$3&lt;0,0,N(INDEX('CURVA PREVISION'!$A$1:$KZ$3000,$C22,10+3*MIN(W$3,$D$2-1)))))</f>
        <v/>
      </c>
      <c r="X22" s="130">
        <f>IF(OR($C22="",$B$2="",$D$2=0),0,IF(X$3&lt;0,0,N(INDEX('CURVA PREVISION'!$A$1:$KZ$3000,$C22,10+3*MIN(X$3,$D$2-1)))))</f>
        <v/>
      </c>
      <c r="Y22" s="130">
        <f>IF(OR($C22="",$B$2="",$D$2=0),0,IF(Y$3&lt;0,0,N(INDEX('CURVA PREVISION'!$A$1:$KZ$3000,$C22,10+3*MIN(Y$3,$D$2-1)))))</f>
        <v/>
      </c>
      <c r="Z22" s="130">
        <f>IF(OR($C22="",$B$2="",$D$2=0),0,IF(Z$3&lt;0,0,N(INDEX('CURVA PREVISION'!$A$1:$KZ$3000,$C22,10+3*MIN(Z$3,$D$2-1)))))</f>
        <v/>
      </c>
      <c r="AA22" s="130">
        <f>IF(OR($C22="",$B$2="",$D$2=0),0,IF(AA$3&lt;0,0,N(INDEX('CURVA PREVISION'!$A$1:$KZ$3000,$C22,10+3*MIN(AA$3,$D$2-1)))))</f>
        <v/>
      </c>
      <c r="AB22" s="130">
        <f>IF(OR($C22="",$B$2="",$D$2=0),0,IF(AB$3&lt;0,0,N(INDEX('CURVA PREVISION'!$A$1:$KZ$3000,$C22,10+3*MIN(AB$3,$D$2-1)))))</f>
        <v/>
      </c>
      <c r="AC22" s="130">
        <f>IF(OR($C22="",$B$2="",$D$2=0),0,IF(AC$3&lt;0,0,N(INDEX('CURVA PREVISION'!$A$1:$KZ$3000,$C22,10+3*MIN(AC$3,$D$2-1)))))</f>
        <v/>
      </c>
      <c r="AD22" s="130">
        <f>IF(OR($C22="",$B$2="",$D$2=0),0,IF(AD$3&lt;0,0,N(INDEX('CURVA PREVISION'!$A$1:$KZ$3000,$C22,10+3*MIN(AD$3,$D$2-1)))))</f>
        <v/>
      </c>
      <c r="AE22" s="130">
        <f>IF(OR($C22="",$B$2="",$D$2=0),0,IF(AE$3&lt;0,0,N(INDEX('CURVA PREVISION'!$A$1:$KZ$3000,$C22,10+3*MIN(AE$3,$D$2-1)))))</f>
        <v/>
      </c>
      <c r="AF22" s="130">
        <f>IF(OR($C22="",$B$2="",$D$2=0),0,IF(AF$3&lt;0,0,N(INDEX('CURVA PREVISION'!$A$1:$KZ$3000,$C22,10+3*MIN(AF$3,$D$2-1)))))</f>
        <v/>
      </c>
      <c r="AG22" s="130">
        <f>IF(OR($C22="",$B$2="",$D$2=0),0,IF(AG$3&lt;0,0,N(INDEX('CURVA PREVISION'!$A$1:$KZ$3000,$C22,10+3*MIN(AG$3,$D$2-1)))))</f>
        <v/>
      </c>
      <c r="AH22" s="130">
        <f>IF(OR($C22="",$B$2="",$D$2=0),0,IF(AH$3&lt;0,0,N(INDEX('CURVA PREVISION'!$A$1:$KZ$3000,$C22,10+3*MIN(AH$3,$D$2-1)))))</f>
        <v/>
      </c>
      <c r="AI22" s="130">
        <f>IF(OR($C22="",$B$2="",$D$2=0),0,IF(AI$3&lt;0,0,N(INDEX('CURVA PREVISION'!$A$1:$KZ$3000,$C22,10+3*MIN(AI$3,$D$2-1)))))</f>
        <v/>
      </c>
      <c r="AJ22" s="130">
        <f>IF(OR($C22="",$B$2="",$D$2=0),0,IF(AJ$3&lt;0,0,N(INDEX('CURVA PREVISION'!$A$1:$KZ$3000,$C22,10+3*MIN(AJ$3,$D$2-1)))))</f>
        <v/>
      </c>
      <c r="AK22" s="130">
        <f>IF(OR($C22="",$B$2="",$D$2=0),0,IF(AK$3&lt;0,0,N(INDEX('CURVA PREVISION'!$A$1:$KZ$3000,$C22,10+3*MIN(AK$3,$D$2-1)))))</f>
        <v/>
      </c>
      <c r="AL22" s="130">
        <f>IF(OR($C22="",$B$2="",$D$2=0),0,IF(AL$3&lt;0,0,N(INDEX('CURVA PREVISION'!$A$1:$KZ$3000,$C22,10+3*MIN(AL$3,$D$2-1)))))</f>
        <v/>
      </c>
      <c r="AM22" s="130">
        <f>IF(OR($C22="",$B$2="",$D$2=0),0,IF(AM$3&lt;0,0,N(INDEX('CURVA PREVISION'!$A$1:$KZ$3000,$C22,10+3*MIN(AM$3,$D$2-1)))))</f>
        <v/>
      </c>
      <c r="AN22" s="130">
        <f>IF(OR($C22="",$B$2="",$D$2=0),0,IF(AN$3&lt;0,0,N(INDEX('CURVA PREVISION'!$A$1:$KZ$3000,$C22,10+3*MIN(AN$3,$D$2-1)))))</f>
        <v/>
      </c>
      <c r="AO22" s="130">
        <f>IF(OR($C22="",$B$2="",$D$2=0),0,IF(AO$3&lt;0,0,N(INDEX('CURVA PREVISION'!$A$1:$KZ$3000,$C22,10+3*MIN(AO$3,$D$2-1)))))</f>
        <v/>
      </c>
      <c r="AP22" s="130">
        <f>IF(OR($C22="",$B$2="",$D$2=0),0,IF(AP$3&lt;0,0,N(INDEX('CURVA PREVISION'!$A$1:$KZ$3000,$C22,10+3*MIN(AP$3,$D$2-1)))))</f>
        <v/>
      </c>
      <c r="AQ22" s="130">
        <f>IF(OR($C22="",$B$2="",$D$2=0),0,IF(AQ$3&lt;0,0,N(INDEX('CURVA PREVISION'!$A$1:$KZ$3000,$C22,10+3*MIN(AQ$3,$D$2-1)))))</f>
        <v/>
      </c>
      <c r="AR22" s="130">
        <f>IF(OR($C22="",$B$2="",$D$2=0),0,IF(AR$3&lt;0,0,N(INDEX('CURVA PREVISION'!$A$1:$KZ$3000,$C22,10+3*MIN(AR$3,$D$2-1)))))</f>
        <v/>
      </c>
      <c r="AS22" s="130">
        <f>IF(OR($C22="",$B$2="",$D$2=0),0,IF(AS$3&lt;0,0,N(INDEX('CURVA PREVISION'!$A$1:$KZ$3000,$C22,10+3*MIN(AS$3,$D$2-1)))))</f>
        <v/>
      </c>
      <c r="AT22" s="130">
        <f>IF(OR($C22="",$B$2="",$D$2=0),0,IF(AT$3&lt;0,0,N(INDEX('CURVA PREVISION'!$A$1:$KZ$3000,$C22,10+3*MIN(AT$3,$D$2-1)))))</f>
        <v/>
      </c>
      <c r="AU22" s="130">
        <f>IF(OR($C22="",$B$2="",$D$2=0),0,IF(AU$3&lt;0,0,N(INDEX('CURVA PREVISION'!$A$1:$KZ$3000,$C22,10+3*MIN(AU$3,$D$2-1)))))</f>
        <v/>
      </c>
      <c r="AV22" s="130">
        <f>IF(OR($C22="",$B$2="",$D$2=0),0,IF(AV$3&lt;0,0,N(INDEX('CURVA PREVISION'!$A$1:$KZ$3000,$C22,10+3*MIN(AV$3,$D$2-1)))))</f>
        <v/>
      </c>
      <c r="AW22" s="130">
        <f>IF(OR($C22="",$B$2="",$D$2=0),0,IF(AW$3&lt;0,0,N(INDEX('CURVA PREVISION'!$A$1:$KZ$3000,$C22,10+3*MIN(AW$3,$D$2-1)))))</f>
        <v/>
      </c>
      <c r="AX22" s="130">
        <f>IF(OR($C22="",$B$2="",$D$2=0),0,IF(AX$3&lt;0,0,N(INDEX('CURVA PREVISION'!$A$1:$KZ$3000,$C22,10+3*MIN(AX$3,$D$2-1)))))</f>
        <v/>
      </c>
      <c r="AY22" s="130">
        <f>IF(OR($C22="",$B$2="",$D$2=0),0,IF(AY$3&lt;0,0,N(INDEX('CURVA PREVISION'!$A$1:$KZ$3000,$C22,10+3*MIN(AY$3,$D$2-1)))))</f>
        <v/>
      </c>
      <c r="AZ22" s="130">
        <f>IF(OR($C22="",$B$2="",$D$2=0),0,IF(AZ$3&lt;0,0,N(INDEX('CURVA PREVISION'!$A$1:$KZ$3000,$C22,10+3*MIN(AZ$3,$D$2-1)))))</f>
        <v/>
      </c>
      <c r="BA22" s="130">
        <f>IF(OR($C22="",$B$2="",$D$2=0),0,IF(BA$3&lt;0,0,N(INDEX('CURVA PREVISION'!$A$1:$KZ$3000,$C22,10+3*MIN(BA$3,$D$2-1)))))</f>
        <v/>
      </c>
      <c r="BB22" s="130">
        <f>IF(OR($C22="",$B$2="",$D$2=0),0,IF(BB$3&lt;0,0,N(INDEX('CURVA PREVISION'!$A$1:$KZ$3000,$C22,10+3*MIN(BB$3,$D$2-1)))))</f>
        <v/>
      </c>
      <c r="BC22" s="130">
        <f>IF(OR($C22="",$B$2="",$D$2=0),0,IF(BC$3&lt;0,0,N(INDEX('CURVA PREVISION'!$A$1:$KZ$3000,$C22,10+3*MIN(BC$3,$D$2-1)))))</f>
        <v/>
      </c>
      <c r="BD22" s="130">
        <f>IF(OR($C22="",$B$2="",$D$2=0),0,IF(BD$3&lt;0,0,N(INDEX('CURVA PREVISION'!$A$1:$KZ$3000,$C22,10+3*MIN(BD$3,$D$2-1)))))</f>
        <v/>
      </c>
      <c r="BE22" s="130">
        <f>IF(OR($C22="",$B$2="",$D$2=0),0,IF(BE$3&lt;0,0,N(INDEX('CURVA PREVISION'!$A$1:$KZ$3000,$C22,10+3*MIN(BE$3,$D$2-1)))))</f>
        <v/>
      </c>
      <c r="BF22" s="130">
        <f>IF(OR($C22="",$B$2="",$D$2=0),0,IF(BF$3&lt;0,0,N(INDEX('CURVA PREVISION'!$A$1:$KZ$3000,$C22,10+3*MIN(BF$3,$D$2-1)))))</f>
        <v/>
      </c>
      <c r="BG22" s="130">
        <f>IF(OR($C22="",$B$2="",$D$2=0),0,IF(BG$3&lt;0,0,N(INDEX('CURVA PREVISION'!$A$1:$KZ$3000,$C22,10+3*MIN(BG$3,$D$2-1)))))</f>
        <v/>
      </c>
      <c r="BH22" s="130">
        <f>IF(OR($C22="",$B$2="",$D$2=0),0,IF(BH$3&lt;0,0,N(INDEX('CURVA PREVISION'!$A$1:$KZ$3000,$C22,10+3*MIN(BH$3,$D$2-1)))))</f>
        <v/>
      </c>
      <c r="BI22" s="130">
        <f>IF(OR($C22="",$B$2="",$D$2=0),0,IF(BI$3&lt;0,0,N(INDEX('CURVA PREVISION'!$A$1:$KZ$3000,$C22,10+3*MIN(BI$3,$D$2-1)))))</f>
        <v/>
      </c>
      <c r="BJ22" s="130">
        <f>IF(OR($C22="",$B$2="",$D$2=0),0,IF(BJ$3&lt;0,0,N(INDEX('CURVA PREVISION'!$A$1:$KZ$3000,$C22,10+3*MIN(BJ$3,$D$2-1)))))</f>
        <v/>
      </c>
      <c r="BK22" s="130">
        <f>IF(OR($C22="",$B$2="",$D$2=0),0,IF(BK$3&lt;0,0,N(INDEX('CURVA PREVISION'!$A$1:$KZ$3000,$C22,10+3*MIN(BK$3,$D$2-1)))))</f>
        <v/>
      </c>
      <c r="BL22" s="130">
        <f>IF(OR($C22="",$B$2="",$D$2=0),0,IF(BL$3&lt;0,0,N(INDEX('CURVA PREVISION'!$A$1:$KZ$3000,$C22,10+3*MIN(BL$3,$D$2-1)))))</f>
        <v/>
      </c>
      <c r="BM22" s="130">
        <f>IF(OR($C22="",$B$2="",$D$2=0),0,IF(BM$3&lt;0,0,N(INDEX('CURVA PREVISION'!$A$1:$KZ$3000,$C22,10+3*MIN(BM$3,$D$2-1)))))</f>
        <v/>
      </c>
      <c r="BN22" s="130">
        <f>IF(OR($C22="",$B$2="",$D$2=0),0,IF(BN$3&lt;0,0,N(INDEX('CURVA PREVISION'!$A$1:$KZ$3000,$C22,10+3*MIN(BN$3,$D$2-1)))))</f>
        <v/>
      </c>
      <c r="BO22" s="130">
        <f>IF(OR($C22="",$B$2="",$D$2=0),0,IF(BO$3&lt;0,0,N(INDEX('CURVA PREVISION'!$A$1:$KZ$3000,$C22,10+3*MIN(BO$3,$D$2-1)))))</f>
        <v/>
      </c>
      <c r="BP22" s="130">
        <f>IF(OR($C22="",$B$2="",$D$2=0),0,IF(BP$3&lt;0,0,N(INDEX('CURVA PREVISION'!$A$1:$KZ$3000,$C22,10+3*MIN(BP$3,$D$2-1)))))</f>
        <v/>
      </c>
      <c r="BQ22" s="130">
        <f>IF(OR($C22="",$B$2="",$D$2=0),0,IF(BQ$3&lt;0,0,N(INDEX('CURVA PREVISION'!$A$1:$KZ$3000,$C22,10+3*MIN(BQ$3,$D$2-1)))))</f>
        <v/>
      </c>
      <c r="BR22" s="130">
        <f>IF(OR($C22="",$B$2="",$D$2=0),0,IF(BR$3&lt;0,0,N(INDEX('CURVA PREVISION'!$A$1:$KZ$3000,$C22,10+3*MIN(BR$3,$D$2-1)))))</f>
        <v/>
      </c>
      <c r="BS22" s="130">
        <f>IF(OR($C22="",$B$2="",$D$2=0),0,IF(BS$3&lt;0,0,N(INDEX('CURVA PREVISION'!$A$1:$KZ$3000,$C22,10+3*MIN(BS$3,$D$2-1)))))</f>
        <v/>
      </c>
      <c r="BT22" s="130">
        <f>IF(OR($C22="",$B$2="",$D$2=0),0,IF(BT$3&lt;0,0,N(INDEX('CURVA PREVISION'!$A$1:$KZ$3000,$C22,10+3*MIN(BT$3,$D$2-1)))))</f>
        <v/>
      </c>
      <c r="BU22" s="130">
        <f>IF(OR($C22="",$B$2="",$D$2=0),0,IF(BU$3&lt;0,0,N(INDEX('CURVA PREVISION'!$A$1:$KZ$3000,$C22,10+3*MIN(BU$3,$D$2-1)))))</f>
        <v/>
      </c>
      <c r="BV22" s="130">
        <f>IF(OR($C22="",$B$2="",$D$2=0),0,IF(BV$3&lt;0,0,N(INDEX('CURVA PREVISION'!$A$1:$KZ$3000,$C22,10+3*MIN(BV$3,$D$2-1)))))</f>
        <v/>
      </c>
      <c r="BW22" s="130">
        <f>IF(OR($C22="",$B$2="",$D$2=0),0,IF(BW$3&lt;0,0,N(INDEX('CURVA PREVISION'!$A$1:$KZ$3000,$C22,10+3*MIN(BW$3,$D$2-1)))))</f>
        <v/>
      </c>
    </row>
    <row r="23">
      <c r="A23" s="61">
        <f>IF('VALOR POR PL'!R29&lt;&gt;"",'VALOR POR PL'!R29,IF('VALOR POR PL'!Q29="",'VALOR POR PL'!C29,'VALOR POR PL'!Q29))</f>
        <v/>
      </c>
      <c r="B23" s="61">
        <f>'VALOR POR PL'!D29</f>
        <v/>
      </c>
      <c r="C23" s="70">
        <f>IFERROR(MATCH(A23,'CURVA PREVISION'!$B$1:$B$3000,0),"")</f>
        <v/>
      </c>
      <c r="D23" s="130">
        <f>IF(OR($C23="",$B$2="",$D$2=0),0,IF(D$3&lt;0,0,N(INDEX('CURVA PREVISION'!$A$1:$KZ$3000,$C23,10+3*MIN(D$3,$D$2-1)))))</f>
        <v/>
      </c>
      <c r="E23" s="130">
        <f>IF(OR($C23="",$B$2="",$D$2=0),0,IF(E$3&lt;0,0,N(INDEX('CURVA PREVISION'!$A$1:$KZ$3000,$C23,10+3*MIN(E$3,$D$2-1)))))</f>
        <v/>
      </c>
      <c r="F23" s="130">
        <f>IF(OR($C23="",$B$2="",$D$2=0),0,IF(F$3&lt;0,0,N(INDEX('CURVA PREVISION'!$A$1:$KZ$3000,$C23,10+3*MIN(F$3,$D$2-1)))))</f>
        <v/>
      </c>
      <c r="G23" s="130">
        <f>IF(OR($C23="",$B$2="",$D$2=0),0,IF(G$3&lt;0,0,N(INDEX('CURVA PREVISION'!$A$1:$KZ$3000,$C23,10+3*MIN(G$3,$D$2-1)))))</f>
        <v/>
      </c>
      <c r="H23" s="130">
        <f>IF(OR($C23="",$B$2="",$D$2=0),0,IF(H$3&lt;0,0,N(INDEX('CURVA PREVISION'!$A$1:$KZ$3000,$C23,10+3*MIN(H$3,$D$2-1)))))</f>
        <v/>
      </c>
      <c r="I23" s="130">
        <f>IF(OR($C23="",$B$2="",$D$2=0),0,IF(I$3&lt;0,0,N(INDEX('CURVA PREVISION'!$A$1:$KZ$3000,$C23,10+3*MIN(I$3,$D$2-1)))))</f>
        <v/>
      </c>
      <c r="J23" s="130">
        <f>IF(OR($C23="",$B$2="",$D$2=0),0,IF(J$3&lt;0,0,N(INDEX('CURVA PREVISION'!$A$1:$KZ$3000,$C23,10+3*MIN(J$3,$D$2-1)))))</f>
        <v/>
      </c>
      <c r="K23" s="130">
        <f>IF(OR($C23="",$B$2="",$D$2=0),0,IF(K$3&lt;0,0,N(INDEX('CURVA PREVISION'!$A$1:$KZ$3000,$C23,10+3*MIN(K$3,$D$2-1)))))</f>
        <v/>
      </c>
      <c r="L23" s="130">
        <f>IF(OR($C23="",$B$2="",$D$2=0),0,IF(L$3&lt;0,0,N(INDEX('CURVA PREVISION'!$A$1:$KZ$3000,$C23,10+3*MIN(L$3,$D$2-1)))))</f>
        <v/>
      </c>
      <c r="M23" s="130">
        <f>IF(OR($C23="",$B$2="",$D$2=0),0,IF(M$3&lt;0,0,N(INDEX('CURVA PREVISION'!$A$1:$KZ$3000,$C23,10+3*MIN(M$3,$D$2-1)))))</f>
        <v/>
      </c>
      <c r="N23" s="130">
        <f>IF(OR($C23="",$B$2="",$D$2=0),0,IF(N$3&lt;0,0,N(INDEX('CURVA PREVISION'!$A$1:$KZ$3000,$C23,10+3*MIN(N$3,$D$2-1)))))</f>
        <v/>
      </c>
      <c r="O23" s="130">
        <f>IF(OR($C23="",$B$2="",$D$2=0),0,IF(O$3&lt;0,0,N(INDEX('CURVA PREVISION'!$A$1:$KZ$3000,$C23,10+3*MIN(O$3,$D$2-1)))))</f>
        <v/>
      </c>
      <c r="P23" s="130">
        <f>IF(OR($C23="",$B$2="",$D$2=0),0,IF(P$3&lt;0,0,N(INDEX('CURVA PREVISION'!$A$1:$KZ$3000,$C23,10+3*MIN(P$3,$D$2-1)))))</f>
        <v/>
      </c>
      <c r="Q23" s="130">
        <f>IF(OR($C23="",$B$2="",$D$2=0),0,IF(Q$3&lt;0,0,N(INDEX('CURVA PREVISION'!$A$1:$KZ$3000,$C23,10+3*MIN(Q$3,$D$2-1)))))</f>
        <v/>
      </c>
      <c r="R23" s="130">
        <f>IF(OR($C23="",$B$2="",$D$2=0),0,IF(R$3&lt;0,0,N(INDEX('CURVA PREVISION'!$A$1:$KZ$3000,$C23,10+3*MIN(R$3,$D$2-1)))))</f>
        <v/>
      </c>
      <c r="S23" s="130">
        <f>IF(OR($C23="",$B$2="",$D$2=0),0,IF(S$3&lt;0,0,N(INDEX('CURVA PREVISION'!$A$1:$KZ$3000,$C23,10+3*MIN(S$3,$D$2-1)))))</f>
        <v/>
      </c>
      <c r="T23" s="130">
        <f>IF(OR($C23="",$B$2="",$D$2=0),0,IF(T$3&lt;0,0,N(INDEX('CURVA PREVISION'!$A$1:$KZ$3000,$C23,10+3*MIN(T$3,$D$2-1)))))</f>
        <v/>
      </c>
      <c r="U23" s="130">
        <f>IF(OR($C23="",$B$2="",$D$2=0),0,IF(U$3&lt;0,0,N(INDEX('CURVA PREVISION'!$A$1:$KZ$3000,$C23,10+3*MIN(U$3,$D$2-1)))))</f>
        <v/>
      </c>
      <c r="V23" s="130">
        <f>IF(OR($C23="",$B$2="",$D$2=0),0,IF(V$3&lt;0,0,N(INDEX('CURVA PREVISION'!$A$1:$KZ$3000,$C23,10+3*MIN(V$3,$D$2-1)))))</f>
        <v/>
      </c>
      <c r="W23" s="130">
        <f>IF(OR($C23="",$B$2="",$D$2=0),0,IF(W$3&lt;0,0,N(INDEX('CURVA PREVISION'!$A$1:$KZ$3000,$C23,10+3*MIN(W$3,$D$2-1)))))</f>
        <v/>
      </c>
      <c r="X23" s="130">
        <f>IF(OR($C23="",$B$2="",$D$2=0),0,IF(X$3&lt;0,0,N(INDEX('CURVA PREVISION'!$A$1:$KZ$3000,$C23,10+3*MIN(X$3,$D$2-1)))))</f>
        <v/>
      </c>
      <c r="Y23" s="130">
        <f>IF(OR($C23="",$B$2="",$D$2=0),0,IF(Y$3&lt;0,0,N(INDEX('CURVA PREVISION'!$A$1:$KZ$3000,$C23,10+3*MIN(Y$3,$D$2-1)))))</f>
        <v/>
      </c>
      <c r="Z23" s="130">
        <f>IF(OR($C23="",$B$2="",$D$2=0),0,IF(Z$3&lt;0,0,N(INDEX('CURVA PREVISION'!$A$1:$KZ$3000,$C23,10+3*MIN(Z$3,$D$2-1)))))</f>
        <v/>
      </c>
      <c r="AA23" s="130">
        <f>IF(OR($C23="",$B$2="",$D$2=0),0,IF(AA$3&lt;0,0,N(INDEX('CURVA PREVISION'!$A$1:$KZ$3000,$C23,10+3*MIN(AA$3,$D$2-1)))))</f>
        <v/>
      </c>
      <c r="AB23" s="130">
        <f>IF(OR($C23="",$B$2="",$D$2=0),0,IF(AB$3&lt;0,0,N(INDEX('CURVA PREVISION'!$A$1:$KZ$3000,$C23,10+3*MIN(AB$3,$D$2-1)))))</f>
        <v/>
      </c>
      <c r="AC23" s="130">
        <f>IF(OR($C23="",$B$2="",$D$2=0),0,IF(AC$3&lt;0,0,N(INDEX('CURVA PREVISION'!$A$1:$KZ$3000,$C23,10+3*MIN(AC$3,$D$2-1)))))</f>
        <v/>
      </c>
      <c r="AD23" s="130">
        <f>IF(OR($C23="",$B$2="",$D$2=0),0,IF(AD$3&lt;0,0,N(INDEX('CURVA PREVISION'!$A$1:$KZ$3000,$C23,10+3*MIN(AD$3,$D$2-1)))))</f>
        <v/>
      </c>
      <c r="AE23" s="130">
        <f>IF(OR($C23="",$B$2="",$D$2=0),0,IF(AE$3&lt;0,0,N(INDEX('CURVA PREVISION'!$A$1:$KZ$3000,$C23,10+3*MIN(AE$3,$D$2-1)))))</f>
        <v/>
      </c>
      <c r="AF23" s="130">
        <f>IF(OR($C23="",$B$2="",$D$2=0),0,IF(AF$3&lt;0,0,N(INDEX('CURVA PREVISION'!$A$1:$KZ$3000,$C23,10+3*MIN(AF$3,$D$2-1)))))</f>
        <v/>
      </c>
      <c r="AG23" s="130">
        <f>IF(OR($C23="",$B$2="",$D$2=0),0,IF(AG$3&lt;0,0,N(INDEX('CURVA PREVISION'!$A$1:$KZ$3000,$C23,10+3*MIN(AG$3,$D$2-1)))))</f>
        <v/>
      </c>
      <c r="AH23" s="130">
        <f>IF(OR($C23="",$B$2="",$D$2=0),0,IF(AH$3&lt;0,0,N(INDEX('CURVA PREVISION'!$A$1:$KZ$3000,$C23,10+3*MIN(AH$3,$D$2-1)))))</f>
        <v/>
      </c>
      <c r="AI23" s="130">
        <f>IF(OR($C23="",$B$2="",$D$2=0),0,IF(AI$3&lt;0,0,N(INDEX('CURVA PREVISION'!$A$1:$KZ$3000,$C23,10+3*MIN(AI$3,$D$2-1)))))</f>
        <v/>
      </c>
      <c r="AJ23" s="130">
        <f>IF(OR($C23="",$B$2="",$D$2=0),0,IF(AJ$3&lt;0,0,N(INDEX('CURVA PREVISION'!$A$1:$KZ$3000,$C23,10+3*MIN(AJ$3,$D$2-1)))))</f>
        <v/>
      </c>
      <c r="AK23" s="130">
        <f>IF(OR($C23="",$B$2="",$D$2=0),0,IF(AK$3&lt;0,0,N(INDEX('CURVA PREVISION'!$A$1:$KZ$3000,$C23,10+3*MIN(AK$3,$D$2-1)))))</f>
        <v/>
      </c>
      <c r="AL23" s="130">
        <f>IF(OR($C23="",$B$2="",$D$2=0),0,IF(AL$3&lt;0,0,N(INDEX('CURVA PREVISION'!$A$1:$KZ$3000,$C23,10+3*MIN(AL$3,$D$2-1)))))</f>
        <v/>
      </c>
      <c r="AM23" s="130">
        <f>IF(OR($C23="",$B$2="",$D$2=0),0,IF(AM$3&lt;0,0,N(INDEX('CURVA PREVISION'!$A$1:$KZ$3000,$C23,10+3*MIN(AM$3,$D$2-1)))))</f>
        <v/>
      </c>
      <c r="AN23" s="130">
        <f>IF(OR($C23="",$B$2="",$D$2=0),0,IF(AN$3&lt;0,0,N(INDEX('CURVA PREVISION'!$A$1:$KZ$3000,$C23,10+3*MIN(AN$3,$D$2-1)))))</f>
        <v/>
      </c>
      <c r="AO23" s="130">
        <f>IF(OR($C23="",$B$2="",$D$2=0),0,IF(AO$3&lt;0,0,N(INDEX('CURVA PREVISION'!$A$1:$KZ$3000,$C23,10+3*MIN(AO$3,$D$2-1)))))</f>
        <v/>
      </c>
      <c r="AP23" s="130">
        <f>IF(OR($C23="",$B$2="",$D$2=0),0,IF(AP$3&lt;0,0,N(INDEX('CURVA PREVISION'!$A$1:$KZ$3000,$C23,10+3*MIN(AP$3,$D$2-1)))))</f>
        <v/>
      </c>
      <c r="AQ23" s="130">
        <f>IF(OR($C23="",$B$2="",$D$2=0),0,IF(AQ$3&lt;0,0,N(INDEX('CURVA PREVISION'!$A$1:$KZ$3000,$C23,10+3*MIN(AQ$3,$D$2-1)))))</f>
        <v/>
      </c>
      <c r="AR23" s="130">
        <f>IF(OR($C23="",$B$2="",$D$2=0),0,IF(AR$3&lt;0,0,N(INDEX('CURVA PREVISION'!$A$1:$KZ$3000,$C23,10+3*MIN(AR$3,$D$2-1)))))</f>
        <v/>
      </c>
      <c r="AS23" s="130">
        <f>IF(OR($C23="",$B$2="",$D$2=0),0,IF(AS$3&lt;0,0,N(INDEX('CURVA PREVISION'!$A$1:$KZ$3000,$C23,10+3*MIN(AS$3,$D$2-1)))))</f>
        <v/>
      </c>
      <c r="AT23" s="130">
        <f>IF(OR($C23="",$B$2="",$D$2=0),0,IF(AT$3&lt;0,0,N(INDEX('CURVA PREVISION'!$A$1:$KZ$3000,$C23,10+3*MIN(AT$3,$D$2-1)))))</f>
        <v/>
      </c>
      <c r="AU23" s="130">
        <f>IF(OR($C23="",$B$2="",$D$2=0),0,IF(AU$3&lt;0,0,N(INDEX('CURVA PREVISION'!$A$1:$KZ$3000,$C23,10+3*MIN(AU$3,$D$2-1)))))</f>
        <v/>
      </c>
      <c r="AV23" s="130">
        <f>IF(OR($C23="",$B$2="",$D$2=0),0,IF(AV$3&lt;0,0,N(INDEX('CURVA PREVISION'!$A$1:$KZ$3000,$C23,10+3*MIN(AV$3,$D$2-1)))))</f>
        <v/>
      </c>
      <c r="AW23" s="130">
        <f>IF(OR($C23="",$B$2="",$D$2=0),0,IF(AW$3&lt;0,0,N(INDEX('CURVA PREVISION'!$A$1:$KZ$3000,$C23,10+3*MIN(AW$3,$D$2-1)))))</f>
        <v/>
      </c>
      <c r="AX23" s="130">
        <f>IF(OR($C23="",$B$2="",$D$2=0),0,IF(AX$3&lt;0,0,N(INDEX('CURVA PREVISION'!$A$1:$KZ$3000,$C23,10+3*MIN(AX$3,$D$2-1)))))</f>
        <v/>
      </c>
      <c r="AY23" s="130">
        <f>IF(OR($C23="",$B$2="",$D$2=0),0,IF(AY$3&lt;0,0,N(INDEX('CURVA PREVISION'!$A$1:$KZ$3000,$C23,10+3*MIN(AY$3,$D$2-1)))))</f>
        <v/>
      </c>
      <c r="AZ23" s="130">
        <f>IF(OR($C23="",$B$2="",$D$2=0),0,IF(AZ$3&lt;0,0,N(INDEX('CURVA PREVISION'!$A$1:$KZ$3000,$C23,10+3*MIN(AZ$3,$D$2-1)))))</f>
        <v/>
      </c>
      <c r="BA23" s="130">
        <f>IF(OR($C23="",$B$2="",$D$2=0),0,IF(BA$3&lt;0,0,N(INDEX('CURVA PREVISION'!$A$1:$KZ$3000,$C23,10+3*MIN(BA$3,$D$2-1)))))</f>
        <v/>
      </c>
      <c r="BB23" s="130">
        <f>IF(OR($C23="",$B$2="",$D$2=0),0,IF(BB$3&lt;0,0,N(INDEX('CURVA PREVISION'!$A$1:$KZ$3000,$C23,10+3*MIN(BB$3,$D$2-1)))))</f>
        <v/>
      </c>
      <c r="BC23" s="130">
        <f>IF(OR($C23="",$B$2="",$D$2=0),0,IF(BC$3&lt;0,0,N(INDEX('CURVA PREVISION'!$A$1:$KZ$3000,$C23,10+3*MIN(BC$3,$D$2-1)))))</f>
        <v/>
      </c>
      <c r="BD23" s="130">
        <f>IF(OR($C23="",$B$2="",$D$2=0),0,IF(BD$3&lt;0,0,N(INDEX('CURVA PREVISION'!$A$1:$KZ$3000,$C23,10+3*MIN(BD$3,$D$2-1)))))</f>
        <v/>
      </c>
      <c r="BE23" s="130">
        <f>IF(OR($C23="",$B$2="",$D$2=0),0,IF(BE$3&lt;0,0,N(INDEX('CURVA PREVISION'!$A$1:$KZ$3000,$C23,10+3*MIN(BE$3,$D$2-1)))))</f>
        <v/>
      </c>
      <c r="BF23" s="130">
        <f>IF(OR($C23="",$B$2="",$D$2=0),0,IF(BF$3&lt;0,0,N(INDEX('CURVA PREVISION'!$A$1:$KZ$3000,$C23,10+3*MIN(BF$3,$D$2-1)))))</f>
        <v/>
      </c>
      <c r="BG23" s="130">
        <f>IF(OR($C23="",$B$2="",$D$2=0),0,IF(BG$3&lt;0,0,N(INDEX('CURVA PREVISION'!$A$1:$KZ$3000,$C23,10+3*MIN(BG$3,$D$2-1)))))</f>
        <v/>
      </c>
      <c r="BH23" s="130">
        <f>IF(OR($C23="",$B$2="",$D$2=0),0,IF(BH$3&lt;0,0,N(INDEX('CURVA PREVISION'!$A$1:$KZ$3000,$C23,10+3*MIN(BH$3,$D$2-1)))))</f>
        <v/>
      </c>
      <c r="BI23" s="130">
        <f>IF(OR($C23="",$B$2="",$D$2=0),0,IF(BI$3&lt;0,0,N(INDEX('CURVA PREVISION'!$A$1:$KZ$3000,$C23,10+3*MIN(BI$3,$D$2-1)))))</f>
        <v/>
      </c>
      <c r="BJ23" s="130">
        <f>IF(OR($C23="",$B$2="",$D$2=0),0,IF(BJ$3&lt;0,0,N(INDEX('CURVA PREVISION'!$A$1:$KZ$3000,$C23,10+3*MIN(BJ$3,$D$2-1)))))</f>
        <v/>
      </c>
      <c r="BK23" s="130">
        <f>IF(OR($C23="",$B$2="",$D$2=0),0,IF(BK$3&lt;0,0,N(INDEX('CURVA PREVISION'!$A$1:$KZ$3000,$C23,10+3*MIN(BK$3,$D$2-1)))))</f>
        <v/>
      </c>
      <c r="BL23" s="130">
        <f>IF(OR($C23="",$B$2="",$D$2=0),0,IF(BL$3&lt;0,0,N(INDEX('CURVA PREVISION'!$A$1:$KZ$3000,$C23,10+3*MIN(BL$3,$D$2-1)))))</f>
        <v/>
      </c>
      <c r="BM23" s="130">
        <f>IF(OR($C23="",$B$2="",$D$2=0),0,IF(BM$3&lt;0,0,N(INDEX('CURVA PREVISION'!$A$1:$KZ$3000,$C23,10+3*MIN(BM$3,$D$2-1)))))</f>
        <v/>
      </c>
      <c r="BN23" s="130">
        <f>IF(OR($C23="",$B$2="",$D$2=0),0,IF(BN$3&lt;0,0,N(INDEX('CURVA PREVISION'!$A$1:$KZ$3000,$C23,10+3*MIN(BN$3,$D$2-1)))))</f>
        <v/>
      </c>
      <c r="BO23" s="130">
        <f>IF(OR($C23="",$B$2="",$D$2=0),0,IF(BO$3&lt;0,0,N(INDEX('CURVA PREVISION'!$A$1:$KZ$3000,$C23,10+3*MIN(BO$3,$D$2-1)))))</f>
        <v/>
      </c>
      <c r="BP23" s="130">
        <f>IF(OR($C23="",$B$2="",$D$2=0),0,IF(BP$3&lt;0,0,N(INDEX('CURVA PREVISION'!$A$1:$KZ$3000,$C23,10+3*MIN(BP$3,$D$2-1)))))</f>
        <v/>
      </c>
      <c r="BQ23" s="130">
        <f>IF(OR($C23="",$B$2="",$D$2=0),0,IF(BQ$3&lt;0,0,N(INDEX('CURVA PREVISION'!$A$1:$KZ$3000,$C23,10+3*MIN(BQ$3,$D$2-1)))))</f>
        <v/>
      </c>
      <c r="BR23" s="130">
        <f>IF(OR($C23="",$B$2="",$D$2=0),0,IF(BR$3&lt;0,0,N(INDEX('CURVA PREVISION'!$A$1:$KZ$3000,$C23,10+3*MIN(BR$3,$D$2-1)))))</f>
        <v/>
      </c>
      <c r="BS23" s="130">
        <f>IF(OR($C23="",$B$2="",$D$2=0),0,IF(BS$3&lt;0,0,N(INDEX('CURVA PREVISION'!$A$1:$KZ$3000,$C23,10+3*MIN(BS$3,$D$2-1)))))</f>
        <v/>
      </c>
      <c r="BT23" s="130">
        <f>IF(OR($C23="",$B$2="",$D$2=0),0,IF(BT$3&lt;0,0,N(INDEX('CURVA PREVISION'!$A$1:$KZ$3000,$C23,10+3*MIN(BT$3,$D$2-1)))))</f>
        <v/>
      </c>
      <c r="BU23" s="130">
        <f>IF(OR($C23="",$B$2="",$D$2=0),0,IF(BU$3&lt;0,0,N(INDEX('CURVA PREVISION'!$A$1:$KZ$3000,$C23,10+3*MIN(BU$3,$D$2-1)))))</f>
        <v/>
      </c>
      <c r="BV23" s="130">
        <f>IF(OR($C23="",$B$2="",$D$2=0),0,IF(BV$3&lt;0,0,N(INDEX('CURVA PREVISION'!$A$1:$KZ$3000,$C23,10+3*MIN(BV$3,$D$2-1)))))</f>
        <v/>
      </c>
      <c r="BW23" s="130">
        <f>IF(OR($C23="",$B$2="",$D$2=0),0,IF(BW$3&lt;0,0,N(INDEX('CURVA PREVISION'!$A$1:$KZ$3000,$C23,10+3*MIN(BW$3,$D$2-1)))))</f>
        <v/>
      </c>
    </row>
    <row r="24">
      <c r="A24" s="61">
        <f>IF('VALOR POR PL'!R30&lt;&gt;"",'VALOR POR PL'!R30,IF('VALOR POR PL'!Q30="",'VALOR POR PL'!C30,'VALOR POR PL'!Q30))</f>
        <v/>
      </c>
      <c r="B24" s="61">
        <f>'VALOR POR PL'!D30</f>
        <v/>
      </c>
      <c r="C24" s="70">
        <f>IFERROR(MATCH(A24,'CURVA PREVISION'!$B$1:$B$3000,0),"")</f>
        <v/>
      </c>
      <c r="D24" s="130">
        <f>IF(OR($C24="",$B$2="",$D$2=0),0,IF(D$3&lt;0,0,N(INDEX('CURVA PREVISION'!$A$1:$KZ$3000,$C24,10+3*MIN(D$3,$D$2-1)))))</f>
        <v/>
      </c>
      <c r="E24" s="130">
        <f>IF(OR($C24="",$B$2="",$D$2=0),0,IF(E$3&lt;0,0,N(INDEX('CURVA PREVISION'!$A$1:$KZ$3000,$C24,10+3*MIN(E$3,$D$2-1)))))</f>
        <v/>
      </c>
      <c r="F24" s="130">
        <f>IF(OR($C24="",$B$2="",$D$2=0),0,IF(F$3&lt;0,0,N(INDEX('CURVA PREVISION'!$A$1:$KZ$3000,$C24,10+3*MIN(F$3,$D$2-1)))))</f>
        <v/>
      </c>
      <c r="G24" s="130">
        <f>IF(OR($C24="",$B$2="",$D$2=0),0,IF(G$3&lt;0,0,N(INDEX('CURVA PREVISION'!$A$1:$KZ$3000,$C24,10+3*MIN(G$3,$D$2-1)))))</f>
        <v/>
      </c>
      <c r="H24" s="130">
        <f>IF(OR($C24="",$B$2="",$D$2=0),0,IF(H$3&lt;0,0,N(INDEX('CURVA PREVISION'!$A$1:$KZ$3000,$C24,10+3*MIN(H$3,$D$2-1)))))</f>
        <v/>
      </c>
      <c r="I24" s="130">
        <f>IF(OR($C24="",$B$2="",$D$2=0),0,IF(I$3&lt;0,0,N(INDEX('CURVA PREVISION'!$A$1:$KZ$3000,$C24,10+3*MIN(I$3,$D$2-1)))))</f>
        <v/>
      </c>
      <c r="J24" s="130">
        <f>IF(OR($C24="",$B$2="",$D$2=0),0,IF(J$3&lt;0,0,N(INDEX('CURVA PREVISION'!$A$1:$KZ$3000,$C24,10+3*MIN(J$3,$D$2-1)))))</f>
        <v/>
      </c>
      <c r="K24" s="130">
        <f>IF(OR($C24="",$B$2="",$D$2=0),0,IF(K$3&lt;0,0,N(INDEX('CURVA PREVISION'!$A$1:$KZ$3000,$C24,10+3*MIN(K$3,$D$2-1)))))</f>
        <v/>
      </c>
      <c r="L24" s="130">
        <f>IF(OR($C24="",$B$2="",$D$2=0),0,IF(L$3&lt;0,0,N(INDEX('CURVA PREVISION'!$A$1:$KZ$3000,$C24,10+3*MIN(L$3,$D$2-1)))))</f>
        <v/>
      </c>
      <c r="M24" s="130">
        <f>IF(OR($C24="",$B$2="",$D$2=0),0,IF(M$3&lt;0,0,N(INDEX('CURVA PREVISION'!$A$1:$KZ$3000,$C24,10+3*MIN(M$3,$D$2-1)))))</f>
        <v/>
      </c>
      <c r="N24" s="130">
        <f>IF(OR($C24="",$B$2="",$D$2=0),0,IF(N$3&lt;0,0,N(INDEX('CURVA PREVISION'!$A$1:$KZ$3000,$C24,10+3*MIN(N$3,$D$2-1)))))</f>
        <v/>
      </c>
      <c r="O24" s="130">
        <f>IF(OR($C24="",$B$2="",$D$2=0),0,IF(O$3&lt;0,0,N(INDEX('CURVA PREVISION'!$A$1:$KZ$3000,$C24,10+3*MIN(O$3,$D$2-1)))))</f>
        <v/>
      </c>
      <c r="P24" s="130">
        <f>IF(OR($C24="",$B$2="",$D$2=0),0,IF(P$3&lt;0,0,N(INDEX('CURVA PREVISION'!$A$1:$KZ$3000,$C24,10+3*MIN(P$3,$D$2-1)))))</f>
        <v/>
      </c>
      <c r="Q24" s="130">
        <f>IF(OR($C24="",$B$2="",$D$2=0),0,IF(Q$3&lt;0,0,N(INDEX('CURVA PREVISION'!$A$1:$KZ$3000,$C24,10+3*MIN(Q$3,$D$2-1)))))</f>
        <v/>
      </c>
      <c r="R24" s="130">
        <f>IF(OR($C24="",$B$2="",$D$2=0),0,IF(R$3&lt;0,0,N(INDEX('CURVA PREVISION'!$A$1:$KZ$3000,$C24,10+3*MIN(R$3,$D$2-1)))))</f>
        <v/>
      </c>
      <c r="S24" s="130">
        <f>IF(OR($C24="",$B$2="",$D$2=0),0,IF(S$3&lt;0,0,N(INDEX('CURVA PREVISION'!$A$1:$KZ$3000,$C24,10+3*MIN(S$3,$D$2-1)))))</f>
        <v/>
      </c>
      <c r="T24" s="130">
        <f>IF(OR($C24="",$B$2="",$D$2=0),0,IF(T$3&lt;0,0,N(INDEX('CURVA PREVISION'!$A$1:$KZ$3000,$C24,10+3*MIN(T$3,$D$2-1)))))</f>
        <v/>
      </c>
      <c r="U24" s="130">
        <f>IF(OR($C24="",$B$2="",$D$2=0),0,IF(U$3&lt;0,0,N(INDEX('CURVA PREVISION'!$A$1:$KZ$3000,$C24,10+3*MIN(U$3,$D$2-1)))))</f>
        <v/>
      </c>
      <c r="V24" s="130">
        <f>IF(OR($C24="",$B$2="",$D$2=0),0,IF(V$3&lt;0,0,N(INDEX('CURVA PREVISION'!$A$1:$KZ$3000,$C24,10+3*MIN(V$3,$D$2-1)))))</f>
        <v/>
      </c>
      <c r="W24" s="130">
        <f>IF(OR($C24="",$B$2="",$D$2=0),0,IF(W$3&lt;0,0,N(INDEX('CURVA PREVISION'!$A$1:$KZ$3000,$C24,10+3*MIN(W$3,$D$2-1)))))</f>
        <v/>
      </c>
      <c r="X24" s="130">
        <f>IF(OR($C24="",$B$2="",$D$2=0),0,IF(X$3&lt;0,0,N(INDEX('CURVA PREVISION'!$A$1:$KZ$3000,$C24,10+3*MIN(X$3,$D$2-1)))))</f>
        <v/>
      </c>
      <c r="Y24" s="130">
        <f>IF(OR($C24="",$B$2="",$D$2=0),0,IF(Y$3&lt;0,0,N(INDEX('CURVA PREVISION'!$A$1:$KZ$3000,$C24,10+3*MIN(Y$3,$D$2-1)))))</f>
        <v/>
      </c>
      <c r="Z24" s="130">
        <f>IF(OR($C24="",$B$2="",$D$2=0),0,IF(Z$3&lt;0,0,N(INDEX('CURVA PREVISION'!$A$1:$KZ$3000,$C24,10+3*MIN(Z$3,$D$2-1)))))</f>
        <v/>
      </c>
      <c r="AA24" s="130">
        <f>IF(OR($C24="",$B$2="",$D$2=0),0,IF(AA$3&lt;0,0,N(INDEX('CURVA PREVISION'!$A$1:$KZ$3000,$C24,10+3*MIN(AA$3,$D$2-1)))))</f>
        <v/>
      </c>
      <c r="AB24" s="130">
        <f>IF(OR($C24="",$B$2="",$D$2=0),0,IF(AB$3&lt;0,0,N(INDEX('CURVA PREVISION'!$A$1:$KZ$3000,$C24,10+3*MIN(AB$3,$D$2-1)))))</f>
        <v/>
      </c>
      <c r="AC24" s="130">
        <f>IF(OR($C24="",$B$2="",$D$2=0),0,IF(AC$3&lt;0,0,N(INDEX('CURVA PREVISION'!$A$1:$KZ$3000,$C24,10+3*MIN(AC$3,$D$2-1)))))</f>
        <v/>
      </c>
      <c r="AD24" s="130">
        <f>IF(OR($C24="",$B$2="",$D$2=0),0,IF(AD$3&lt;0,0,N(INDEX('CURVA PREVISION'!$A$1:$KZ$3000,$C24,10+3*MIN(AD$3,$D$2-1)))))</f>
        <v/>
      </c>
      <c r="AE24" s="130">
        <f>IF(OR($C24="",$B$2="",$D$2=0),0,IF(AE$3&lt;0,0,N(INDEX('CURVA PREVISION'!$A$1:$KZ$3000,$C24,10+3*MIN(AE$3,$D$2-1)))))</f>
        <v/>
      </c>
      <c r="AF24" s="130">
        <f>IF(OR($C24="",$B$2="",$D$2=0),0,IF(AF$3&lt;0,0,N(INDEX('CURVA PREVISION'!$A$1:$KZ$3000,$C24,10+3*MIN(AF$3,$D$2-1)))))</f>
        <v/>
      </c>
      <c r="AG24" s="130">
        <f>IF(OR($C24="",$B$2="",$D$2=0),0,IF(AG$3&lt;0,0,N(INDEX('CURVA PREVISION'!$A$1:$KZ$3000,$C24,10+3*MIN(AG$3,$D$2-1)))))</f>
        <v/>
      </c>
      <c r="AH24" s="130">
        <f>IF(OR($C24="",$B$2="",$D$2=0),0,IF(AH$3&lt;0,0,N(INDEX('CURVA PREVISION'!$A$1:$KZ$3000,$C24,10+3*MIN(AH$3,$D$2-1)))))</f>
        <v/>
      </c>
      <c r="AI24" s="130">
        <f>IF(OR($C24="",$B$2="",$D$2=0),0,IF(AI$3&lt;0,0,N(INDEX('CURVA PREVISION'!$A$1:$KZ$3000,$C24,10+3*MIN(AI$3,$D$2-1)))))</f>
        <v/>
      </c>
      <c r="AJ24" s="130">
        <f>IF(OR($C24="",$B$2="",$D$2=0),0,IF(AJ$3&lt;0,0,N(INDEX('CURVA PREVISION'!$A$1:$KZ$3000,$C24,10+3*MIN(AJ$3,$D$2-1)))))</f>
        <v/>
      </c>
      <c r="AK24" s="130">
        <f>IF(OR($C24="",$B$2="",$D$2=0),0,IF(AK$3&lt;0,0,N(INDEX('CURVA PREVISION'!$A$1:$KZ$3000,$C24,10+3*MIN(AK$3,$D$2-1)))))</f>
        <v/>
      </c>
      <c r="AL24" s="130">
        <f>IF(OR($C24="",$B$2="",$D$2=0),0,IF(AL$3&lt;0,0,N(INDEX('CURVA PREVISION'!$A$1:$KZ$3000,$C24,10+3*MIN(AL$3,$D$2-1)))))</f>
        <v/>
      </c>
      <c r="AM24" s="130">
        <f>IF(OR($C24="",$B$2="",$D$2=0),0,IF(AM$3&lt;0,0,N(INDEX('CURVA PREVISION'!$A$1:$KZ$3000,$C24,10+3*MIN(AM$3,$D$2-1)))))</f>
        <v/>
      </c>
      <c r="AN24" s="130">
        <f>IF(OR($C24="",$B$2="",$D$2=0),0,IF(AN$3&lt;0,0,N(INDEX('CURVA PREVISION'!$A$1:$KZ$3000,$C24,10+3*MIN(AN$3,$D$2-1)))))</f>
        <v/>
      </c>
      <c r="AO24" s="130">
        <f>IF(OR($C24="",$B$2="",$D$2=0),0,IF(AO$3&lt;0,0,N(INDEX('CURVA PREVISION'!$A$1:$KZ$3000,$C24,10+3*MIN(AO$3,$D$2-1)))))</f>
        <v/>
      </c>
      <c r="AP24" s="130">
        <f>IF(OR($C24="",$B$2="",$D$2=0),0,IF(AP$3&lt;0,0,N(INDEX('CURVA PREVISION'!$A$1:$KZ$3000,$C24,10+3*MIN(AP$3,$D$2-1)))))</f>
        <v/>
      </c>
      <c r="AQ24" s="130">
        <f>IF(OR($C24="",$B$2="",$D$2=0),0,IF(AQ$3&lt;0,0,N(INDEX('CURVA PREVISION'!$A$1:$KZ$3000,$C24,10+3*MIN(AQ$3,$D$2-1)))))</f>
        <v/>
      </c>
      <c r="AR24" s="130">
        <f>IF(OR($C24="",$B$2="",$D$2=0),0,IF(AR$3&lt;0,0,N(INDEX('CURVA PREVISION'!$A$1:$KZ$3000,$C24,10+3*MIN(AR$3,$D$2-1)))))</f>
        <v/>
      </c>
      <c r="AS24" s="130">
        <f>IF(OR($C24="",$B$2="",$D$2=0),0,IF(AS$3&lt;0,0,N(INDEX('CURVA PREVISION'!$A$1:$KZ$3000,$C24,10+3*MIN(AS$3,$D$2-1)))))</f>
        <v/>
      </c>
      <c r="AT24" s="130">
        <f>IF(OR($C24="",$B$2="",$D$2=0),0,IF(AT$3&lt;0,0,N(INDEX('CURVA PREVISION'!$A$1:$KZ$3000,$C24,10+3*MIN(AT$3,$D$2-1)))))</f>
        <v/>
      </c>
      <c r="AU24" s="130">
        <f>IF(OR($C24="",$B$2="",$D$2=0),0,IF(AU$3&lt;0,0,N(INDEX('CURVA PREVISION'!$A$1:$KZ$3000,$C24,10+3*MIN(AU$3,$D$2-1)))))</f>
        <v/>
      </c>
      <c r="AV24" s="130">
        <f>IF(OR($C24="",$B$2="",$D$2=0),0,IF(AV$3&lt;0,0,N(INDEX('CURVA PREVISION'!$A$1:$KZ$3000,$C24,10+3*MIN(AV$3,$D$2-1)))))</f>
        <v/>
      </c>
      <c r="AW24" s="130">
        <f>IF(OR($C24="",$B$2="",$D$2=0),0,IF(AW$3&lt;0,0,N(INDEX('CURVA PREVISION'!$A$1:$KZ$3000,$C24,10+3*MIN(AW$3,$D$2-1)))))</f>
        <v/>
      </c>
      <c r="AX24" s="130">
        <f>IF(OR($C24="",$B$2="",$D$2=0),0,IF(AX$3&lt;0,0,N(INDEX('CURVA PREVISION'!$A$1:$KZ$3000,$C24,10+3*MIN(AX$3,$D$2-1)))))</f>
        <v/>
      </c>
      <c r="AY24" s="130">
        <f>IF(OR($C24="",$B$2="",$D$2=0),0,IF(AY$3&lt;0,0,N(INDEX('CURVA PREVISION'!$A$1:$KZ$3000,$C24,10+3*MIN(AY$3,$D$2-1)))))</f>
        <v/>
      </c>
      <c r="AZ24" s="130">
        <f>IF(OR($C24="",$B$2="",$D$2=0),0,IF(AZ$3&lt;0,0,N(INDEX('CURVA PREVISION'!$A$1:$KZ$3000,$C24,10+3*MIN(AZ$3,$D$2-1)))))</f>
        <v/>
      </c>
      <c r="BA24" s="130">
        <f>IF(OR($C24="",$B$2="",$D$2=0),0,IF(BA$3&lt;0,0,N(INDEX('CURVA PREVISION'!$A$1:$KZ$3000,$C24,10+3*MIN(BA$3,$D$2-1)))))</f>
        <v/>
      </c>
      <c r="BB24" s="130">
        <f>IF(OR($C24="",$B$2="",$D$2=0),0,IF(BB$3&lt;0,0,N(INDEX('CURVA PREVISION'!$A$1:$KZ$3000,$C24,10+3*MIN(BB$3,$D$2-1)))))</f>
        <v/>
      </c>
      <c r="BC24" s="130">
        <f>IF(OR($C24="",$B$2="",$D$2=0),0,IF(BC$3&lt;0,0,N(INDEX('CURVA PREVISION'!$A$1:$KZ$3000,$C24,10+3*MIN(BC$3,$D$2-1)))))</f>
        <v/>
      </c>
      <c r="BD24" s="130">
        <f>IF(OR($C24="",$B$2="",$D$2=0),0,IF(BD$3&lt;0,0,N(INDEX('CURVA PREVISION'!$A$1:$KZ$3000,$C24,10+3*MIN(BD$3,$D$2-1)))))</f>
        <v/>
      </c>
      <c r="BE24" s="130">
        <f>IF(OR($C24="",$B$2="",$D$2=0),0,IF(BE$3&lt;0,0,N(INDEX('CURVA PREVISION'!$A$1:$KZ$3000,$C24,10+3*MIN(BE$3,$D$2-1)))))</f>
        <v/>
      </c>
      <c r="BF24" s="130">
        <f>IF(OR($C24="",$B$2="",$D$2=0),0,IF(BF$3&lt;0,0,N(INDEX('CURVA PREVISION'!$A$1:$KZ$3000,$C24,10+3*MIN(BF$3,$D$2-1)))))</f>
        <v/>
      </c>
      <c r="BG24" s="130">
        <f>IF(OR($C24="",$B$2="",$D$2=0),0,IF(BG$3&lt;0,0,N(INDEX('CURVA PREVISION'!$A$1:$KZ$3000,$C24,10+3*MIN(BG$3,$D$2-1)))))</f>
        <v/>
      </c>
      <c r="BH24" s="130">
        <f>IF(OR($C24="",$B$2="",$D$2=0),0,IF(BH$3&lt;0,0,N(INDEX('CURVA PREVISION'!$A$1:$KZ$3000,$C24,10+3*MIN(BH$3,$D$2-1)))))</f>
        <v/>
      </c>
      <c r="BI24" s="130">
        <f>IF(OR($C24="",$B$2="",$D$2=0),0,IF(BI$3&lt;0,0,N(INDEX('CURVA PREVISION'!$A$1:$KZ$3000,$C24,10+3*MIN(BI$3,$D$2-1)))))</f>
        <v/>
      </c>
      <c r="BJ24" s="130">
        <f>IF(OR($C24="",$B$2="",$D$2=0),0,IF(BJ$3&lt;0,0,N(INDEX('CURVA PREVISION'!$A$1:$KZ$3000,$C24,10+3*MIN(BJ$3,$D$2-1)))))</f>
        <v/>
      </c>
      <c r="BK24" s="130">
        <f>IF(OR($C24="",$B$2="",$D$2=0),0,IF(BK$3&lt;0,0,N(INDEX('CURVA PREVISION'!$A$1:$KZ$3000,$C24,10+3*MIN(BK$3,$D$2-1)))))</f>
        <v/>
      </c>
      <c r="BL24" s="130">
        <f>IF(OR($C24="",$B$2="",$D$2=0),0,IF(BL$3&lt;0,0,N(INDEX('CURVA PREVISION'!$A$1:$KZ$3000,$C24,10+3*MIN(BL$3,$D$2-1)))))</f>
        <v/>
      </c>
      <c r="BM24" s="130">
        <f>IF(OR($C24="",$B$2="",$D$2=0),0,IF(BM$3&lt;0,0,N(INDEX('CURVA PREVISION'!$A$1:$KZ$3000,$C24,10+3*MIN(BM$3,$D$2-1)))))</f>
        <v/>
      </c>
      <c r="BN24" s="130">
        <f>IF(OR($C24="",$B$2="",$D$2=0),0,IF(BN$3&lt;0,0,N(INDEX('CURVA PREVISION'!$A$1:$KZ$3000,$C24,10+3*MIN(BN$3,$D$2-1)))))</f>
        <v/>
      </c>
      <c r="BO24" s="130">
        <f>IF(OR($C24="",$B$2="",$D$2=0),0,IF(BO$3&lt;0,0,N(INDEX('CURVA PREVISION'!$A$1:$KZ$3000,$C24,10+3*MIN(BO$3,$D$2-1)))))</f>
        <v/>
      </c>
      <c r="BP24" s="130">
        <f>IF(OR($C24="",$B$2="",$D$2=0),0,IF(BP$3&lt;0,0,N(INDEX('CURVA PREVISION'!$A$1:$KZ$3000,$C24,10+3*MIN(BP$3,$D$2-1)))))</f>
        <v/>
      </c>
      <c r="BQ24" s="130">
        <f>IF(OR($C24="",$B$2="",$D$2=0),0,IF(BQ$3&lt;0,0,N(INDEX('CURVA PREVISION'!$A$1:$KZ$3000,$C24,10+3*MIN(BQ$3,$D$2-1)))))</f>
        <v/>
      </c>
      <c r="BR24" s="130">
        <f>IF(OR($C24="",$B$2="",$D$2=0),0,IF(BR$3&lt;0,0,N(INDEX('CURVA PREVISION'!$A$1:$KZ$3000,$C24,10+3*MIN(BR$3,$D$2-1)))))</f>
        <v/>
      </c>
      <c r="BS24" s="130">
        <f>IF(OR($C24="",$B$2="",$D$2=0),0,IF(BS$3&lt;0,0,N(INDEX('CURVA PREVISION'!$A$1:$KZ$3000,$C24,10+3*MIN(BS$3,$D$2-1)))))</f>
        <v/>
      </c>
      <c r="BT24" s="130">
        <f>IF(OR($C24="",$B$2="",$D$2=0),0,IF(BT$3&lt;0,0,N(INDEX('CURVA PREVISION'!$A$1:$KZ$3000,$C24,10+3*MIN(BT$3,$D$2-1)))))</f>
        <v/>
      </c>
      <c r="BU24" s="130">
        <f>IF(OR($C24="",$B$2="",$D$2=0),0,IF(BU$3&lt;0,0,N(INDEX('CURVA PREVISION'!$A$1:$KZ$3000,$C24,10+3*MIN(BU$3,$D$2-1)))))</f>
        <v/>
      </c>
      <c r="BV24" s="130">
        <f>IF(OR($C24="",$B$2="",$D$2=0),0,IF(BV$3&lt;0,0,N(INDEX('CURVA PREVISION'!$A$1:$KZ$3000,$C24,10+3*MIN(BV$3,$D$2-1)))))</f>
        <v/>
      </c>
      <c r="BW24" s="130">
        <f>IF(OR($C24="",$B$2="",$D$2=0),0,IF(BW$3&lt;0,0,N(INDEX('CURVA PREVISION'!$A$1:$KZ$3000,$C24,10+3*MIN(BW$3,$D$2-1)))))</f>
        <v/>
      </c>
    </row>
    <row r="25">
      <c r="A25" s="61">
        <f>IF('VALOR POR PL'!R31&lt;&gt;"",'VALOR POR PL'!R31,IF('VALOR POR PL'!Q31="",'VALOR POR PL'!C31,'VALOR POR PL'!Q31))</f>
        <v/>
      </c>
      <c r="B25" s="61">
        <f>'VALOR POR PL'!D31</f>
        <v/>
      </c>
      <c r="C25" s="70">
        <f>IFERROR(MATCH(A25,'CURVA PREVISION'!$B$1:$B$3000,0),"")</f>
        <v/>
      </c>
      <c r="D25" s="130">
        <f>IF(OR($C25="",$B$2="",$D$2=0),0,IF(D$3&lt;0,0,N(INDEX('CURVA PREVISION'!$A$1:$KZ$3000,$C25,10+3*MIN(D$3,$D$2-1)))))</f>
        <v/>
      </c>
      <c r="E25" s="130">
        <f>IF(OR($C25="",$B$2="",$D$2=0),0,IF(E$3&lt;0,0,N(INDEX('CURVA PREVISION'!$A$1:$KZ$3000,$C25,10+3*MIN(E$3,$D$2-1)))))</f>
        <v/>
      </c>
      <c r="F25" s="130">
        <f>IF(OR($C25="",$B$2="",$D$2=0),0,IF(F$3&lt;0,0,N(INDEX('CURVA PREVISION'!$A$1:$KZ$3000,$C25,10+3*MIN(F$3,$D$2-1)))))</f>
        <v/>
      </c>
      <c r="G25" s="130">
        <f>IF(OR($C25="",$B$2="",$D$2=0),0,IF(G$3&lt;0,0,N(INDEX('CURVA PREVISION'!$A$1:$KZ$3000,$C25,10+3*MIN(G$3,$D$2-1)))))</f>
        <v/>
      </c>
      <c r="H25" s="130">
        <f>IF(OR($C25="",$B$2="",$D$2=0),0,IF(H$3&lt;0,0,N(INDEX('CURVA PREVISION'!$A$1:$KZ$3000,$C25,10+3*MIN(H$3,$D$2-1)))))</f>
        <v/>
      </c>
      <c r="I25" s="130">
        <f>IF(OR($C25="",$B$2="",$D$2=0),0,IF(I$3&lt;0,0,N(INDEX('CURVA PREVISION'!$A$1:$KZ$3000,$C25,10+3*MIN(I$3,$D$2-1)))))</f>
        <v/>
      </c>
      <c r="J25" s="130">
        <f>IF(OR($C25="",$B$2="",$D$2=0),0,IF(J$3&lt;0,0,N(INDEX('CURVA PREVISION'!$A$1:$KZ$3000,$C25,10+3*MIN(J$3,$D$2-1)))))</f>
        <v/>
      </c>
      <c r="K25" s="130">
        <f>IF(OR($C25="",$B$2="",$D$2=0),0,IF(K$3&lt;0,0,N(INDEX('CURVA PREVISION'!$A$1:$KZ$3000,$C25,10+3*MIN(K$3,$D$2-1)))))</f>
        <v/>
      </c>
      <c r="L25" s="130">
        <f>IF(OR($C25="",$B$2="",$D$2=0),0,IF(L$3&lt;0,0,N(INDEX('CURVA PREVISION'!$A$1:$KZ$3000,$C25,10+3*MIN(L$3,$D$2-1)))))</f>
        <v/>
      </c>
      <c r="M25" s="130">
        <f>IF(OR($C25="",$B$2="",$D$2=0),0,IF(M$3&lt;0,0,N(INDEX('CURVA PREVISION'!$A$1:$KZ$3000,$C25,10+3*MIN(M$3,$D$2-1)))))</f>
        <v/>
      </c>
      <c r="N25" s="130">
        <f>IF(OR($C25="",$B$2="",$D$2=0),0,IF(N$3&lt;0,0,N(INDEX('CURVA PREVISION'!$A$1:$KZ$3000,$C25,10+3*MIN(N$3,$D$2-1)))))</f>
        <v/>
      </c>
      <c r="O25" s="130">
        <f>IF(OR($C25="",$B$2="",$D$2=0),0,IF(O$3&lt;0,0,N(INDEX('CURVA PREVISION'!$A$1:$KZ$3000,$C25,10+3*MIN(O$3,$D$2-1)))))</f>
        <v/>
      </c>
      <c r="P25" s="130">
        <f>IF(OR($C25="",$B$2="",$D$2=0),0,IF(P$3&lt;0,0,N(INDEX('CURVA PREVISION'!$A$1:$KZ$3000,$C25,10+3*MIN(P$3,$D$2-1)))))</f>
        <v/>
      </c>
      <c r="Q25" s="130">
        <f>IF(OR($C25="",$B$2="",$D$2=0),0,IF(Q$3&lt;0,0,N(INDEX('CURVA PREVISION'!$A$1:$KZ$3000,$C25,10+3*MIN(Q$3,$D$2-1)))))</f>
        <v/>
      </c>
      <c r="R25" s="130">
        <f>IF(OR($C25="",$B$2="",$D$2=0),0,IF(R$3&lt;0,0,N(INDEX('CURVA PREVISION'!$A$1:$KZ$3000,$C25,10+3*MIN(R$3,$D$2-1)))))</f>
        <v/>
      </c>
      <c r="S25" s="130">
        <f>IF(OR($C25="",$B$2="",$D$2=0),0,IF(S$3&lt;0,0,N(INDEX('CURVA PREVISION'!$A$1:$KZ$3000,$C25,10+3*MIN(S$3,$D$2-1)))))</f>
        <v/>
      </c>
      <c r="T25" s="130">
        <f>IF(OR($C25="",$B$2="",$D$2=0),0,IF(T$3&lt;0,0,N(INDEX('CURVA PREVISION'!$A$1:$KZ$3000,$C25,10+3*MIN(T$3,$D$2-1)))))</f>
        <v/>
      </c>
      <c r="U25" s="130">
        <f>IF(OR($C25="",$B$2="",$D$2=0),0,IF(U$3&lt;0,0,N(INDEX('CURVA PREVISION'!$A$1:$KZ$3000,$C25,10+3*MIN(U$3,$D$2-1)))))</f>
        <v/>
      </c>
      <c r="V25" s="130">
        <f>IF(OR($C25="",$B$2="",$D$2=0),0,IF(V$3&lt;0,0,N(INDEX('CURVA PREVISION'!$A$1:$KZ$3000,$C25,10+3*MIN(V$3,$D$2-1)))))</f>
        <v/>
      </c>
      <c r="W25" s="130">
        <f>IF(OR($C25="",$B$2="",$D$2=0),0,IF(W$3&lt;0,0,N(INDEX('CURVA PREVISION'!$A$1:$KZ$3000,$C25,10+3*MIN(W$3,$D$2-1)))))</f>
        <v/>
      </c>
      <c r="X25" s="130">
        <f>IF(OR($C25="",$B$2="",$D$2=0),0,IF(X$3&lt;0,0,N(INDEX('CURVA PREVISION'!$A$1:$KZ$3000,$C25,10+3*MIN(X$3,$D$2-1)))))</f>
        <v/>
      </c>
      <c r="Y25" s="130">
        <f>IF(OR($C25="",$B$2="",$D$2=0),0,IF(Y$3&lt;0,0,N(INDEX('CURVA PREVISION'!$A$1:$KZ$3000,$C25,10+3*MIN(Y$3,$D$2-1)))))</f>
        <v/>
      </c>
      <c r="Z25" s="130">
        <f>IF(OR($C25="",$B$2="",$D$2=0),0,IF(Z$3&lt;0,0,N(INDEX('CURVA PREVISION'!$A$1:$KZ$3000,$C25,10+3*MIN(Z$3,$D$2-1)))))</f>
        <v/>
      </c>
      <c r="AA25" s="130">
        <f>IF(OR($C25="",$B$2="",$D$2=0),0,IF(AA$3&lt;0,0,N(INDEX('CURVA PREVISION'!$A$1:$KZ$3000,$C25,10+3*MIN(AA$3,$D$2-1)))))</f>
        <v/>
      </c>
      <c r="AB25" s="130">
        <f>IF(OR($C25="",$B$2="",$D$2=0),0,IF(AB$3&lt;0,0,N(INDEX('CURVA PREVISION'!$A$1:$KZ$3000,$C25,10+3*MIN(AB$3,$D$2-1)))))</f>
        <v/>
      </c>
      <c r="AC25" s="130">
        <f>IF(OR($C25="",$B$2="",$D$2=0),0,IF(AC$3&lt;0,0,N(INDEX('CURVA PREVISION'!$A$1:$KZ$3000,$C25,10+3*MIN(AC$3,$D$2-1)))))</f>
        <v/>
      </c>
      <c r="AD25" s="130">
        <f>IF(OR($C25="",$B$2="",$D$2=0),0,IF(AD$3&lt;0,0,N(INDEX('CURVA PREVISION'!$A$1:$KZ$3000,$C25,10+3*MIN(AD$3,$D$2-1)))))</f>
        <v/>
      </c>
      <c r="AE25" s="130">
        <f>IF(OR($C25="",$B$2="",$D$2=0),0,IF(AE$3&lt;0,0,N(INDEX('CURVA PREVISION'!$A$1:$KZ$3000,$C25,10+3*MIN(AE$3,$D$2-1)))))</f>
        <v/>
      </c>
      <c r="AF25" s="130">
        <f>IF(OR($C25="",$B$2="",$D$2=0),0,IF(AF$3&lt;0,0,N(INDEX('CURVA PREVISION'!$A$1:$KZ$3000,$C25,10+3*MIN(AF$3,$D$2-1)))))</f>
        <v/>
      </c>
      <c r="AG25" s="130">
        <f>IF(OR($C25="",$B$2="",$D$2=0),0,IF(AG$3&lt;0,0,N(INDEX('CURVA PREVISION'!$A$1:$KZ$3000,$C25,10+3*MIN(AG$3,$D$2-1)))))</f>
        <v/>
      </c>
      <c r="AH25" s="130">
        <f>IF(OR($C25="",$B$2="",$D$2=0),0,IF(AH$3&lt;0,0,N(INDEX('CURVA PREVISION'!$A$1:$KZ$3000,$C25,10+3*MIN(AH$3,$D$2-1)))))</f>
        <v/>
      </c>
      <c r="AI25" s="130">
        <f>IF(OR($C25="",$B$2="",$D$2=0),0,IF(AI$3&lt;0,0,N(INDEX('CURVA PREVISION'!$A$1:$KZ$3000,$C25,10+3*MIN(AI$3,$D$2-1)))))</f>
        <v/>
      </c>
      <c r="AJ25" s="130">
        <f>IF(OR($C25="",$B$2="",$D$2=0),0,IF(AJ$3&lt;0,0,N(INDEX('CURVA PREVISION'!$A$1:$KZ$3000,$C25,10+3*MIN(AJ$3,$D$2-1)))))</f>
        <v/>
      </c>
      <c r="AK25" s="130">
        <f>IF(OR($C25="",$B$2="",$D$2=0),0,IF(AK$3&lt;0,0,N(INDEX('CURVA PREVISION'!$A$1:$KZ$3000,$C25,10+3*MIN(AK$3,$D$2-1)))))</f>
        <v/>
      </c>
      <c r="AL25" s="130">
        <f>IF(OR($C25="",$B$2="",$D$2=0),0,IF(AL$3&lt;0,0,N(INDEX('CURVA PREVISION'!$A$1:$KZ$3000,$C25,10+3*MIN(AL$3,$D$2-1)))))</f>
        <v/>
      </c>
      <c r="AM25" s="130">
        <f>IF(OR($C25="",$B$2="",$D$2=0),0,IF(AM$3&lt;0,0,N(INDEX('CURVA PREVISION'!$A$1:$KZ$3000,$C25,10+3*MIN(AM$3,$D$2-1)))))</f>
        <v/>
      </c>
      <c r="AN25" s="130">
        <f>IF(OR($C25="",$B$2="",$D$2=0),0,IF(AN$3&lt;0,0,N(INDEX('CURVA PREVISION'!$A$1:$KZ$3000,$C25,10+3*MIN(AN$3,$D$2-1)))))</f>
        <v/>
      </c>
      <c r="AO25" s="130">
        <f>IF(OR($C25="",$B$2="",$D$2=0),0,IF(AO$3&lt;0,0,N(INDEX('CURVA PREVISION'!$A$1:$KZ$3000,$C25,10+3*MIN(AO$3,$D$2-1)))))</f>
        <v/>
      </c>
      <c r="AP25" s="130">
        <f>IF(OR($C25="",$B$2="",$D$2=0),0,IF(AP$3&lt;0,0,N(INDEX('CURVA PREVISION'!$A$1:$KZ$3000,$C25,10+3*MIN(AP$3,$D$2-1)))))</f>
        <v/>
      </c>
      <c r="AQ25" s="130">
        <f>IF(OR($C25="",$B$2="",$D$2=0),0,IF(AQ$3&lt;0,0,N(INDEX('CURVA PREVISION'!$A$1:$KZ$3000,$C25,10+3*MIN(AQ$3,$D$2-1)))))</f>
        <v/>
      </c>
      <c r="AR25" s="130">
        <f>IF(OR($C25="",$B$2="",$D$2=0),0,IF(AR$3&lt;0,0,N(INDEX('CURVA PREVISION'!$A$1:$KZ$3000,$C25,10+3*MIN(AR$3,$D$2-1)))))</f>
        <v/>
      </c>
      <c r="AS25" s="130">
        <f>IF(OR($C25="",$B$2="",$D$2=0),0,IF(AS$3&lt;0,0,N(INDEX('CURVA PREVISION'!$A$1:$KZ$3000,$C25,10+3*MIN(AS$3,$D$2-1)))))</f>
        <v/>
      </c>
      <c r="AT25" s="130">
        <f>IF(OR($C25="",$B$2="",$D$2=0),0,IF(AT$3&lt;0,0,N(INDEX('CURVA PREVISION'!$A$1:$KZ$3000,$C25,10+3*MIN(AT$3,$D$2-1)))))</f>
        <v/>
      </c>
      <c r="AU25" s="130">
        <f>IF(OR($C25="",$B$2="",$D$2=0),0,IF(AU$3&lt;0,0,N(INDEX('CURVA PREVISION'!$A$1:$KZ$3000,$C25,10+3*MIN(AU$3,$D$2-1)))))</f>
        <v/>
      </c>
      <c r="AV25" s="130">
        <f>IF(OR($C25="",$B$2="",$D$2=0),0,IF(AV$3&lt;0,0,N(INDEX('CURVA PREVISION'!$A$1:$KZ$3000,$C25,10+3*MIN(AV$3,$D$2-1)))))</f>
        <v/>
      </c>
      <c r="AW25" s="130">
        <f>IF(OR($C25="",$B$2="",$D$2=0),0,IF(AW$3&lt;0,0,N(INDEX('CURVA PREVISION'!$A$1:$KZ$3000,$C25,10+3*MIN(AW$3,$D$2-1)))))</f>
        <v/>
      </c>
      <c r="AX25" s="130">
        <f>IF(OR($C25="",$B$2="",$D$2=0),0,IF(AX$3&lt;0,0,N(INDEX('CURVA PREVISION'!$A$1:$KZ$3000,$C25,10+3*MIN(AX$3,$D$2-1)))))</f>
        <v/>
      </c>
      <c r="AY25" s="130">
        <f>IF(OR($C25="",$B$2="",$D$2=0),0,IF(AY$3&lt;0,0,N(INDEX('CURVA PREVISION'!$A$1:$KZ$3000,$C25,10+3*MIN(AY$3,$D$2-1)))))</f>
        <v/>
      </c>
      <c r="AZ25" s="130">
        <f>IF(OR($C25="",$B$2="",$D$2=0),0,IF(AZ$3&lt;0,0,N(INDEX('CURVA PREVISION'!$A$1:$KZ$3000,$C25,10+3*MIN(AZ$3,$D$2-1)))))</f>
        <v/>
      </c>
      <c r="BA25" s="130">
        <f>IF(OR($C25="",$B$2="",$D$2=0),0,IF(BA$3&lt;0,0,N(INDEX('CURVA PREVISION'!$A$1:$KZ$3000,$C25,10+3*MIN(BA$3,$D$2-1)))))</f>
        <v/>
      </c>
      <c r="BB25" s="130">
        <f>IF(OR($C25="",$B$2="",$D$2=0),0,IF(BB$3&lt;0,0,N(INDEX('CURVA PREVISION'!$A$1:$KZ$3000,$C25,10+3*MIN(BB$3,$D$2-1)))))</f>
        <v/>
      </c>
      <c r="BC25" s="130">
        <f>IF(OR($C25="",$B$2="",$D$2=0),0,IF(BC$3&lt;0,0,N(INDEX('CURVA PREVISION'!$A$1:$KZ$3000,$C25,10+3*MIN(BC$3,$D$2-1)))))</f>
        <v/>
      </c>
      <c r="BD25" s="130">
        <f>IF(OR($C25="",$B$2="",$D$2=0),0,IF(BD$3&lt;0,0,N(INDEX('CURVA PREVISION'!$A$1:$KZ$3000,$C25,10+3*MIN(BD$3,$D$2-1)))))</f>
        <v/>
      </c>
      <c r="BE25" s="130">
        <f>IF(OR($C25="",$B$2="",$D$2=0),0,IF(BE$3&lt;0,0,N(INDEX('CURVA PREVISION'!$A$1:$KZ$3000,$C25,10+3*MIN(BE$3,$D$2-1)))))</f>
        <v/>
      </c>
      <c r="BF25" s="130">
        <f>IF(OR($C25="",$B$2="",$D$2=0),0,IF(BF$3&lt;0,0,N(INDEX('CURVA PREVISION'!$A$1:$KZ$3000,$C25,10+3*MIN(BF$3,$D$2-1)))))</f>
        <v/>
      </c>
      <c r="BG25" s="130">
        <f>IF(OR($C25="",$B$2="",$D$2=0),0,IF(BG$3&lt;0,0,N(INDEX('CURVA PREVISION'!$A$1:$KZ$3000,$C25,10+3*MIN(BG$3,$D$2-1)))))</f>
        <v/>
      </c>
      <c r="BH25" s="130">
        <f>IF(OR($C25="",$B$2="",$D$2=0),0,IF(BH$3&lt;0,0,N(INDEX('CURVA PREVISION'!$A$1:$KZ$3000,$C25,10+3*MIN(BH$3,$D$2-1)))))</f>
        <v/>
      </c>
      <c r="BI25" s="130">
        <f>IF(OR($C25="",$B$2="",$D$2=0),0,IF(BI$3&lt;0,0,N(INDEX('CURVA PREVISION'!$A$1:$KZ$3000,$C25,10+3*MIN(BI$3,$D$2-1)))))</f>
        <v/>
      </c>
      <c r="BJ25" s="130">
        <f>IF(OR($C25="",$B$2="",$D$2=0),0,IF(BJ$3&lt;0,0,N(INDEX('CURVA PREVISION'!$A$1:$KZ$3000,$C25,10+3*MIN(BJ$3,$D$2-1)))))</f>
        <v/>
      </c>
      <c r="BK25" s="130">
        <f>IF(OR($C25="",$B$2="",$D$2=0),0,IF(BK$3&lt;0,0,N(INDEX('CURVA PREVISION'!$A$1:$KZ$3000,$C25,10+3*MIN(BK$3,$D$2-1)))))</f>
        <v/>
      </c>
      <c r="BL25" s="130">
        <f>IF(OR($C25="",$B$2="",$D$2=0),0,IF(BL$3&lt;0,0,N(INDEX('CURVA PREVISION'!$A$1:$KZ$3000,$C25,10+3*MIN(BL$3,$D$2-1)))))</f>
        <v/>
      </c>
      <c r="BM25" s="130">
        <f>IF(OR($C25="",$B$2="",$D$2=0),0,IF(BM$3&lt;0,0,N(INDEX('CURVA PREVISION'!$A$1:$KZ$3000,$C25,10+3*MIN(BM$3,$D$2-1)))))</f>
        <v/>
      </c>
      <c r="BN25" s="130">
        <f>IF(OR($C25="",$B$2="",$D$2=0),0,IF(BN$3&lt;0,0,N(INDEX('CURVA PREVISION'!$A$1:$KZ$3000,$C25,10+3*MIN(BN$3,$D$2-1)))))</f>
        <v/>
      </c>
      <c r="BO25" s="130">
        <f>IF(OR($C25="",$B$2="",$D$2=0),0,IF(BO$3&lt;0,0,N(INDEX('CURVA PREVISION'!$A$1:$KZ$3000,$C25,10+3*MIN(BO$3,$D$2-1)))))</f>
        <v/>
      </c>
      <c r="BP25" s="130">
        <f>IF(OR($C25="",$B$2="",$D$2=0),0,IF(BP$3&lt;0,0,N(INDEX('CURVA PREVISION'!$A$1:$KZ$3000,$C25,10+3*MIN(BP$3,$D$2-1)))))</f>
        <v/>
      </c>
      <c r="BQ25" s="130">
        <f>IF(OR($C25="",$B$2="",$D$2=0),0,IF(BQ$3&lt;0,0,N(INDEX('CURVA PREVISION'!$A$1:$KZ$3000,$C25,10+3*MIN(BQ$3,$D$2-1)))))</f>
        <v/>
      </c>
      <c r="BR25" s="130">
        <f>IF(OR($C25="",$B$2="",$D$2=0),0,IF(BR$3&lt;0,0,N(INDEX('CURVA PREVISION'!$A$1:$KZ$3000,$C25,10+3*MIN(BR$3,$D$2-1)))))</f>
        <v/>
      </c>
      <c r="BS25" s="130">
        <f>IF(OR($C25="",$B$2="",$D$2=0),0,IF(BS$3&lt;0,0,N(INDEX('CURVA PREVISION'!$A$1:$KZ$3000,$C25,10+3*MIN(BS$3,$D$2-1)))))</f>
        <v/>
      </c>
      <c r="BT25" s="130">
        <f>IF(OR($C25="",$B$2="",$D$2=0),0,IF(BT$3&lt;0,0,N(INDEX('CURVA PREVISION'!$A$1:$KZ$3000,$C25,10+3*MIN(BT$3,$D$2-1)))))</f>
        <v/>
      </c>
      <c r="BU25" s="130">
        <f>IF(OR($C25="",$B$2="",$D$2=0),0,IF(BU$3&lt;0,0,N(INDEX('CURVA PREVISION'!$A$1:$KZ$3000,$C25,10+3*MIN(BU$3,$D$2-1)))))</f>
        <v/>
      </c>
      <c r="BV25" s="130">
        <f>IF(OR($C25="",$B$2="",$D$2=0),0,IF(BV$3&lt;0,0,N(INDEX('CURVA PREVISION'!$A$1:$KZ$3000,$C25,10+3*MIN(BV$3,$D$2-1)))))</f>
        <v/>
      </c>
      <c r="BW25" s="130">
        <f>IF(OR($C25="",$B$2="",$D$2=0),0,IF(BW$3&lt;0,0,N(INDEX('CURVA PREVISION'!$A$1:$KZ$3000,$C25,10+3*MIN(BW$3,$D$2-1)))))</f>
        <v/>
      </c>
    </row>
    <row r="26">
      <c r="A26" s="61">
        <f>IF('VALOR POR PL'!R32&lt;&gt;"",'VALOR POR PL'!R32,IF('VALOR POR PL'!Q32="",'VALOR POR PL'!C32,'VALOR POR PL'!Q32))</f>
        <v/>
      </c>
      <c r="B26" s="61">
        <f>'VALOR POR PL'!D32</f>
        <v/>
      </c>
      <c r="C26" s="70">
        <f>IFERROR(MATCH(A26,'CURVA PREVISION'!$B$1:$B$3000,0),"")</f>
        <v/>
      </c>
      <c r="D26" s="130">
        <f>IF(OR($C26="",$B$2="",$D$2=0),0,IF(D$3&lt;0,0,N(INDEX('CURVA PREVISION'!$A$1:$KZ$3000,$C26,10+3*MIN(D$3,$D$2-1)))))</f>
        <v/>
      </c>
      <c r="E26" s="130">
        <f>IF(OR($C26="",$B$2="",$D$2=0),0,IF(E$3&lt;0,0,N(INDEX('CURVA PREVISION'!$A$1:$KZ$3000,$C26,10+3*MIN(E$3,$D$2-1)))))</f>
        <v/>
      </c>
      <c r="F26" s="130">
        <f>IF(OR($C26="",$B$2="",$D$2=0),0,IF(F$3&lt;0,0,N(INDEX('CURVA PREVISION'!$A$1:$KZ$3000,$C26,10+3*MIN(F$3,$D$2-1)))))</f>
        <v/>
      </c>
      <c r="G26" s="130">
        <f>IF(OR($C26="",$B$2="",$D$2=0),0,IF(G$3&lt;0,0,N(INDEX('CURVA PREVISION'!$A$1:$KZ$3000,$C26,10+3*MIN(G$3,$D$2-1)))))</f>
        <v/>
      </c>
      <c r="H26" s="130">
        <f>IF(OR($C26="",$B$2="",$D$2=0),0,IF(H$3&lt;0,0,N(INDEX('CURVA PREVISION'!$A$1:$KZ$3000,$C26,10+3*MIN(H$3,$D$2-1)))))</f>
        <v/>
      </c>
      <c r="I26" s="130">
        <f>IF(OR($C26="",$B$2="",$D$2=0),0,IF(I$3&lt;0,0,N(INDEX('CURVA PREVISION'!$A$1:$KZ$3000,$C26,10+3*MIN(I$3,$D$2-1)))))</f>
        <v/>
      </c>
      <c r="J26" s="130">
        <f>IF(OR($C26="",$B$2="",$D$2=0),0,IF(J$3&lt;0,0,N(INDEX('CURVA PREVISION'!$A$1:$KZ$3000,$C26,10+3*MIN(J$3,$D$2-1)))))</f>
        <v/>
      </c>
      <c r="K26" s="130">
        <f>IF(OR($C26="",$B$2="",$D$2=0),0,IF(K$3&lt;0,0,N(INDEX('CURVA PREVISION'!$A$1:$KZ$3000,$C26,10+3*MIN(K$3,$D$2-1)))))</f>
        <v/>
      </c>
      <c r="L26" s="130">
        <f>IF(OR($C26="",$B$2="",$D$2=0),0,IF(L$3&lt;0,0,N(INDEX('CURVA PREVISION'!$A$1:$KZ$3000,$C26,10+3*MIN(L$3,$D$2-1)))))</f>
        <v/>
      </c>
      <c r="M26" s="130">
        <f>IF(OR($C26="",$B$2="",$D$2=0),0,IF(M$3&lt;0,0,N(INDEX('CURVA PREVISION'!$A$1:$KZ$3000,$C26,10+3*MIN(M$3,$D$2-1)))))</f>
        <v/>
      </c>
      <c r="N26" s="130">
        <f>IF(OR($C26="",$B$2="",$D$2=0),0,IF(N$3&lt;0,0,N(INDEX('CURVA PREVISION'!$A$1:$KZ$3000,$C26,10+3*MIN(N$3,$D$2-1)))))</f>
        <v/>
      </c>
      <c r="O26" s="130">
        <f>IF(OR($C26="",$B$2="",$D$2=0),0,IF(O$3&lt;0,0,N(INDEX('CURVA PREVISION'!$A$1:$KZ$3000,$C26,10+3*MIN(O$3,$D$2-1)))))</f>
        <v/>
      </c>
      <c r="P26" s="130">
        <f>IF(OR($C26="",$B$2="",$D$2=0),0,IF(P$3&lt;0,0,N(INDEX('CURVA PREVISION'!$A$1:$KZ$3000,$C26,10+3*MIN(P$3,$D$2-1)))))</f>
        <v/>
      </c>
      <c r="Q26" s="130">
        <f>IF(OR($C26="",$B$2="",$D$2=0),0,IF(Q$3&lt;0,0,N(INDEX('CURVA PREVISION'!$A$1:$KZ$3000,$C26,10+3*MIN(Q$3,$D$2-1)))))</f>
        <v/>
      </c>
      <c r="R26" s="130">
        <f>IF(OR($C26="",$B$2="",$D$2=0),0,IF(R$3&lt;0,0,N(INDEX('CURVA PREVISION'!$A$1:$KZ$3000,$C26,10+3*MIN(R$3,$D$2-1)))))</f>
        <v/>
      </c>
      <c r="S26" s="130">
        <f>IF(OR($C26="",$B$2="",$D$2=0),0,IF(S$3&lt;0,0,N(INDEX('CURVA PREVISION'!$A$1:$KZ$3000,$C26,10+3*MIN(S$3,$D$2-1)))))</f>
        <v/>
      </c>
      <c r="T26" s="130">
        <f>IF(OR($C26="",$B$2="",$D$2=0),0,IF(T$3&lt;0,0,N(INDEX('CURVA PREVISION'!$A$1:$KZ$3000,$C26,10+3*MIN(T$3,$D$2-1)))))</f>
        <v/>
      </c>
      <c r="U26" s="130">
        <f>IF(OR($C26="",$B$2="",$D$2=0),0,IF(U$3&lt;0,0,N(INDEX('CURVA PREVISION'!$A$1:$KZ$3000,$C26,10+3*MIN(U$3,$D$2-1)))))</f>
        <v/>
      </c>
      <c r="V26" s="130">
        <f>IF(OR($C26="",$B$2="",$D$2=0),0,IF(V$3&lt;0,0,N(INDEX('CURVA PREVISION'!$A$1:$KZ$3000,$C26,10+3*MIN(V$3,$D$2-1)))))</f>
        <v/>
      </c>
      <c r="W26" s="130">
        <f>IF(OR($C26="",$B$2="",$D$2=0),0,IF(W$3&lt;0,0,N(INDEX('CURVA PREVISION'!$A$1:$KZ$3000,$C26,10+3*MIN(W$3,$D$2-1)))))</f>
        <v/>
      </c>
      <c r="X26" s="130">
        <f>IF(OR($C26="",$B$2="",$D$2=0),0,IF(X$3&lt;0,0,N(INDEX('CURVA PREVISION'!$A$1:$KZ$3000,$C26,10+3*MIN(X$3,$D$2-1)))))</f>
        <v/>
      </c>
      <c r="Y26" s="130">
        <f>IF(OR($C26="",$B$2="",$D$2=0),0,IF(Y$3&lt;0,0,N(INDEX('CURVA PREVISION'!$A$1:$KZ$3000,$C26,10+3*MIN(Y$3,$D$2-1)))))</f>
        <v/>
      </c>
      <c r="Z26" s="130">
        <f>IF(OR($C26="",$B$2="",$D$2=0),0,IF(Z$3&lt;0,0,N(INDEX('CURVA PREVISION'!$A$1:$KZ$3000,$C26,10+3*MIN(Z$3,$D$2-1)))))</f>
        <v/>
      </c>
      <c r="AA26" s="130">
        <f>IF(OR($C26="",$B$2="",$D$2=0),0,IF(AA$3&lt;0,0,N(INDEX('CURVA PREVISION'!$A$1:$KZ$3000,$C26,10+3*MIN(AA$3,$D$2-1)))))</f>
        <v/>
      </c>
      <c r="AB26" s="130">
        <f>IF(OR($C26="",$B$2="",$D$2=0),0,IF(AB$3&lt;0,0,N(INDEX('CURVA PREVISION'!$A$1:$KZ$3000,$C26,10+3*MIN(AB$3,$D$2-1)))))</f>
        <v/>
      </c>
      <c r="AC26" s="130">
        <f>IF(OR($C26="",$B$2="",$D$2=0),0,IF(AC$3&lt;0,0,N(INDEX('CURVA PREVISION'!$A$1:$KZ$3000,$C26,10+3*MIN(AC$3,$D$2-1)))))</f>
        <v/>
      </c>
      <c r="AD26" s="130">
        <f>IF(OR($C26="",$B$2="",$D$2=0),0,IF(AD$3&lt;0,0,N(INDEX('CURVA PREVISION'!$A$1:$KZ$3000,$C26,10+3*MIN(AD$3,$D$2-1)))))</f>
        <v/>
      </c>
      <c r="AE26" s="130">
        <f>IF(OR($C26="",$B$2="",$D$2=0),0,IF(AE$3&lt;0,0,N(INDEX('CURVA PREVISION'!$A$1:$KZ$3000,$C26,10+3*MIN(AE$3,$D$2-1)))))</f>
        <v/>
      </c>
      <c r="AF26" s="130">
        <f>IF(OR($C26="",$B$2="",$D$2=0),0,IF(AF$3&lt;0,0,N(INDEX('CURVA PREVISION'!$A$1:$KZ$3000,$C26,10+3*MIN(AF$3,$D$2-1)))))</f>
        <v/>
      </c>
      <c r="AG26" s="130">
        <f>IF(OR($C26="",$B$2="",$D$2=0),0,IF(AG$3&lt;0,0,N(INDEX('CURVA PREVISION'!$A$1:$KZ$3000,$C26,10+3*MIN(AG$3,$D$2-1)))))</f>
        <v/>
      </c>
      <c r="AH26" s="130">
        <f>IF(OR($C26="",$B$2="",$D$2=0),0,IF(AH$3&lt;0,0,N(INDEX('CURVA PREVISION'!$A$1:$KZ$3000,$C26,10+3*MIN(AH$3,$D$2-1)))))</f>
        <v/>
      </c>
      <c r="AI26" s="130">
        <f>IF(OR($C26="",$B$2="",$D$2=0),0,IF(AI$3&lt;0,0,N(INDEX('CURVA PREVISION'!$A$1:$KZ$3000,$C26,10+3*MIN(AI$3,$D$2-1)))))</f>
        <v/>
      </c>
      <c r="AJ26" s="130">
        <f>IF(OR($C26="",$B$2="",$D$2=0),0,IF(AJ$3&lt;0,0,N(INDEX('CURVA PREVISION'!$A$1:$KZ$3000,$C26,10+3*MIN(AJ$3,$D$2-1)))))</f>
        <v/>
      </c>
      <c r="AK26" s="130">
        <f>IF(OR($C26="",$B$2="",$D$2=0),0,IF(AK$3&lt;0,0,N(INDEX('CURVA PREVISION'!$A$1:$KZ$3000,$C26,10+3*MIN(AK$3,$D$2-1)))))</f>
        <v/>
      </c>
      <c r="AL26" s="130">
        <f>IF(OR($C26="",$B$2="",$D$2=0),0,IF(AL$3&lt;0,0,N(INDEX('CURVA PREVISION'!$A$1:$KZ$3000,$C26,10+3*MIN(AL$3,$D$2-1)))))</f>
        <v/>
      </c>
      <c r="AM26" s="130">
        <f>IF(OR($C26="",$B$2="",$D$2=0),0,IF(AM$3&lt;0,0,N(INDEX('CURVA PREVISION'!$A$1:$KZ$3000,$C26,10+3*MIN(AM$3,$D$2-1)))))</f>
        <v/>
      </c>
      <c r="AN26" s="130">
        <f>IF(OR($C26="",$B$2="",$D$2=0),0,IF(AN$3&lt;0,0,N(INDEX('CURVA PREVISION'!$A$1:$KZ$3000,$C26,10+3*MIN(AN$3,$D$2-1)))))</f>
        <v/>
      </c>
      <c r="AO26" s="130">
        <f>IF(OR($C26="",$B$2="",$D$2=0),0,IF(AO$3&lt;0,0,N(INDEX('CURVA PREVISION'!$A$1:$KZ$3000,$C26,10+3*MIN(AO$3,$D$2-1)))))</f>
        <v/>
      </c>
      <c r="AP26" s="130">
        <f>IF(OR($C26="",$B$2="",$D$2=0),0,IF(AP$3&lt;0,0,N(INDEX('CURVA PREVISION'!$A$1:$KZ$3000,$C26,10+3*MIN(AP$3,$D$2-1)))))</f>
        <v/>
      </c>
      <c r="AQ26" s="130">
        <f>IF(OR($C26="",$B$2="",$D$2=0),0,IF(AQ$3&lt;0,0,N(INDEX('CURVA PREVISION'!$A$1:$KZ$3000,$C26,10+3*MIN(AQ$3,$D$2-1)))))</f>
        <v/>
      </c>
      <c r="AR26" s="130">
        <f>IF(OR($C26="",$B$2="",$D$2=0),0,IF(AR$3&lt;0,0,N(INDEX('CURVA PREVISION'!$A$1:$KZ$3000,$C26,10+3*MIN(AR$3,$D$2-1)))))</f>
        <v/>
      </c>
      <c r="AS26" s="130">
        <f>IF(OR($C26="",$B$2="",$D$2=0),0,IF(AS$3&lt;0,0,N(INDEX('CURVA PREVISION'!$A$1:$KZ$3000,$C26,10+3*MIN(AS$3,$D$2-1)))))</f>
        <v/>
      </c>
      <c r="AT26" s="130">
        <f>IF(OR($C26="",$B$2="",$D$2=0),0,IF(AT$3&lt;0,0,N(INDEX('CURVA PREVISION'!$A$1:$KZ$3000,$C26,10+3*MIN(AT$3,$D$2-1)))))</f>
        <v/>
      </c>
      <c r="AU26" s="130">
        <f>IF(OR($C26="",$B$2="",$D$2=0),0,IF(AU$3&lt;0,0,N(INDEX('CURVA PREVISION'!$A$1:$KZ$3000,$C26,10+3*MIN(AU$3,$D$2-1)))))</f>
        <v/>
      </c>
      <c r="AV26" s="130">
        <f>IF(OR($C26="",$B$2="",$D$2=0),0,IF(AV$3&lt;0,0,N(INDEX('CURVA PREVISION'!$A$1:$KZ$3000,$C26,10+3*MIN(AV$3,$D$2-1)))))</f>
        <v/>
      </c>
      <c r="AW26" s="130">
        <f>IF(OR($C26="",$B$2="",$D$2=0),0,IF(AW$3&lt;0,0,N(INDEX('CURVA PREVISION'!$A$1:$KZ$3000,$C26,10+3*MIN(AW$3,$D$2-1)))))</f>
        <v/>
      </c>
      <c r="AX26" s="130">
        <f>IF(OR($C26="",$B$2="",$D$2=0),0,IF(AX$3&lt;0,0,N(INDEX('CURVA PREVISION'!$A$1:$KZ$3000,$C26,10+3*MIN(AX$3,$D$2-1)))))</f>
        <v/>
      </c>
      <c r="AY26" s="130">
        <f>IF(OR($C26="",$B$2="",$D$2=0),0,IF(AY$3&lt;0,0,N(INDEX('CURVA PREVISION'!$A$1:$KZ$3000,$C26,10+3*MIN(AY$3,$D$2-1)))))</f>
        <v/>
      </c>
      <c r="AZ26" s="130">
        <f>IF(OR($C26="",$B$2="",$D$2=0),0,IF(AZ$3&lt;0,0,N(INDEX('CURVA PREVISION'!$A$1:$KZ$3000,$C26,10+3*MIN(AZ$3,$D$2-1)))))</f>
        <v/>
      </c>
      <c r="BA26" s="130">
        <f>IF(OR($C26="",$B$2="",$D$2=0),0,IF(BA$3&lt;0,0,N(INDEX('CURVA PREVISION'!$A$1:$KZ$3000,$C26,10+3*MIN(BA$3,$D$2-1)))))</f>
        <v/>
      </c>
      <c r="BB26" s="130">
        <f>IF(OR($C26="",$B$2="",$D$2=0),0,IF(BB$3&lt;0,0,N(INDEX('CURVA PREVISION'!$A$1:$KZ$3000,$C26,10+3*MIN(BB$3,$D$2-1)))))</f>
        <v/>
      </c>
      <c r="BC26" s="130">
        <f>IF(OR($C26="",$B$2="",$D$2=0),0,IF(BC$3&lt;0,0,N(INDEX('CURVA PREVISION'!$A$1:$KZ$3000,$C26,10+3*MIN(BC$3,$D$2-1)))))</f>
        <v/>
      </c>
      <c r="BD26" s="130">
        <f>IF(OR($C26="",$B$2="",$D$2=0),0,IF(BD$3&lt;0,0,N(INDEX('CURVA PREVISION'!$A$1:$KZ$3000,$C26,10+3*MIN(BD$3,$D$2-1)))))</f>
        <v/>
      </c>
      <c r="BE26" s="130">
        <f>IF(OR($C26="",$B$2="",$D$2=0),0,IF(BE$3&lt;0,0,N(INDEX('CURVA PREVISION'!$A$1:$KZ$3000,$C26,10+3*MIN(BE$3,$D$2-1)))))</f>
        <v/>
      </c>
      <c r="BF26" s="130">
        <f>IF(OR($C26="",$B$2="",$D$2=0),0,IF(BF$3&lt;0,0,N(INDEX('CURVA PREVISION'!$A$1:$KZ$3000,$C26,10+3*MIN(BF$3,$D$2-1)))))</f>
        <v/>
      </c>
      <c r="BG26" s="130">
        <f>IF(OR($C26="",$B$2="",$D$2=0),0,IF(BG$3&lt;0,0,N(INDEX('CURVA PREVISION'!$A$1:$KZ$3000,$C26,10+3*MIN(BG$3,$D$2-1)))))</f>
        <v/>
      </c>
      <c r="BH26" s="130">
        <f>IF(OR($C26="",$B$2="",$D$2=0),0,IF(BH$3&lt;0,0,N(INDEX('CURVA PREVISION'!$A$1:$KZ$3000,$C26,10+3*MIN(BH$3,$D$2-1)))))</f>
        <v/>
      </c>
      <c r="BI26" s="130">
        <f>IF(OR($C26="",$B$2="",$D$2=0),0,IF(BI$3&lt;0,0,N(INDEX('CURVA PREVISION'!$A$1:$KZ$3000,$C26,10+3*MIN(BI$3,$D$2-1)))))</f>
        <v/>
      </c>
      <c r="BJ26" s="130">
        <f>IF(OR($C26="",$B$2="",$D$2=0),0,IF(BJ$3&lt;0,0,N(INDEX('CURVA PREVISION'!$A$1:$KZ$3000,$C26,10+3*MIN(BJ$3,$D$2-1)))))</f>
        <v/>
      </c>
      <c r="BK26" s="130">
        <f>IF(OR($C26="",$B$2="",$D$2=0),0,IF(BK$3&lt;0,0,N(INDEX('CURVA PREVISION'!$A$1:$KZ$3000,$C26,10+3*MIN(BK$3,$D$2-1)))))</f>
        <v/>
      </c>
      <c r="BL26" s="130">
        <f>IF(OR($C26="",$B$2="",$D$2=0),0,IF(BL$3&lt;0,0,N(INDEX('CURVA PREVISION'!$A$1:$KZ$3000,$C26,10+3*MIN(BL$3,$D$2-1)))))</f>
        <v/>
      </c>
      <c r="BM26" s="130">
        <f>IF(OR($C26="",$B$2="",$D$2=0),0,IF(BM$3&lt;0,0,N(INDEX('CURVA PREVISION'!$A$1:$KZ$3000,$C26,10+3*MIN(BM$3,$D$2-1)))))</f>
        <v/>
      </c>
      <c r="BN26" s="130">
        <f>IF(OR($C26="",$B$2="",$D$2=0),0,IF(BN$3&lt;0,0,N(INDEX('CURVA PREVISION'!$A$1:$KZ$3000,$C26,10+3*MIN(BN$3,$D$2-1)))))</f>
        <v/>
      </c>
      <c r="BO26" s="130">
        <f>IF(OR($C26="",$B$2="",$D$2=0),0,IF(BO$3&lt;0,0,N(INDEX('CURVA PREVISION'!$A$1:$KZ$3000,$C26,10+3*MIN(BO$3,$D$2-1)))))</f>
        <v/>
      </c>
      <c r="BP26" s="130">
        <f>IF(OR($C26="",$B$2="",$D$2=0),0,IF(BP$3&lt;0,0,N(INDEX('CURVA PREVISION'!$A$1:$KZ$3000,$C26,10+3*MIN(BP$3,$D$2-1)))))</f>
        <v/>
      </c>
      <c r="BQ26" s="130">
        <f>IF(OR($C26="",$B$2="",$D$2=0),0,IF(BQ$3&lt;0,0,N(INDEX('CURVA PREVISION'!$A$1:$KZ$3000,$C26,10+3*MIN(BQ$3,$D$2-1)))))</f>
        <v/>
      </c>
      <c r="BR26" s="130">
        <f>IF(OR($C26="",$B$2="",$D$2=0),0,IF(BR$3&lt;0,0,N(INDEX('CURVA PREVISION'!$A$1:$KZ$3000,$C26,10+3*MIN(BR$3,$D$2-1)))))</f>
        <v/>
      </c>
      <c r="BS26" s="130">
        <f>IF(OR($C26="",$B$2="",$D$2=0),0,IF(BS$3&lt;0,0,N(INDEX('CURVA PREVISION'!$A$1:$KZ$3000,$C26,10+3*MIN(BS$3,$D$2-1)))))</f>
        <v/>
      </c>
      <c r="BT26" s="130">
        <f>IF(OR($C26="",$B$2="",$D$2=0),0,IF(BT$3&lt;0,0,N(INDEX('CURVA PREVISION'!$A$1:$KZ$3000,$C26,10+3*MIN(BT$3,$D$2-1)))))</f>
        <v/>
      </c>
      <c r="BU26" s="130">
        <f>IF(OR($C26="",$B$2="",$D$2=0),0,IF(BU$3&lt;0,0,N(INDEX('CURVA PREVISION'!$A$1:$KZ$3000,$C26,10+3*MIN(BU$3,$D$2-1)))))</f>
        <v/>
      </c>
      <c r="BV26" s="130">
        <f>IF(OR($C26="",$B$2="",$D$2=0),0,IF(BV$3&lt;0,0,N(INDEX('CURVA PREVISION'!$A$1:$KZ$3000,$C26,10+3*MIN(BV$3,$D$2-1)))))</f>
        <v/>
      </c>
      <c r="BW26" s="130">
        <f>IF(OR($C26="",$B$2="",$D$2=0),0,IF(BW$3&lt;0,0,N(INDEX('CURVA PREVISION'!$A$1:$KZ$3000,$C26,10+3*MIN(BW$3,$D$2-1)))))</f>
        <v/>
      </c>
    </row>
    <row r="27">
      <c r="A27" s="61">
        <f>IF('VALOR POR PL'!R33&lt;&gt;"",'VALOR POR PL'!R33,IF('VALOR POR PL'!Q33="",'VALOR POR PL'!C33,'VALOR POR PL'!Q33))</f>
        <v/>
      </c>
      <c r="B27" s="61">
        <f>'VALOR POR PL'!D33</f>
        <v/>
      </c>
      <c r="C27" s="70">
        <f>IFERROR(MATCH(A27,'CURVA PREVISION'!$B$1:$B$3000,0),"")</f>
        <v/>
      </c>
      <c r="D27" s="130">
        <f>IF(OR($C27="",$B$2="",$D$2=0),0,IF(D$3&lt;0,0,N(INDEX('CURVA PREVISION'!$A$1:$KZ$3000,$C27,10+3*MIN(D$3,$D$2-1)))))</f>
        <v/>
      </c>
      <c r="E27" s="130">
        <f>IF(OR($C27="",$B$2="",$D$2=0),0,IF(E$3&lt;0,0,N(INDEX('CURVA PREVISION'!$A$1:$KZ$3000,$C27,10+3*MIN(E$3,$D$2-1)))))</f>
        <v/>
      </c>
      <c r="F27" s="130">
        <f>IF(OR($C27="",$B$2="",$D$2=0),0,IF(F$3&lt;0,0,N(INDEX('CURVA PREVISION'!$A$1:$KZ$3000,$C27,10+3*MIN(F$3,$D$2-1)))))</f>
        <v/>
      </c>
      <c r="G27" s="130">
        <f>IF(OR($C27="",$B$2="",$D$2=0),0,IF(G$3&lt;0,0,N(INDEX('CURVA PREVISION'!$A$1:$KZ$3000,$C27,10+3*MIN(G$3,$D$2-1)))))</f>
        <v/>
      </c>
      <c r="H27" s="130">
        <f>IF(OR($C27="",$B$2="",$D$2=0),0,IF(H$3&lt;0,0,N(INDEX('CURVA PREVISION'!$A$1:$KZ$3000,$C27,10+3*MIN(H$3,$D$2-1)))))</f>
        <v/>
      </c>
      <c r="I27" s="130">
        <f>IF(OR($C27="",$B$2="",$D$2=0),0,IF(I$3&lt;0,0,N(INDEX('CURVA PREVISION'!$A$1:$KZ$3000,$C27,10+3*MIN(I$3,$D$2-1)))))</f>
        <v/>
      </c>
      <c r="J27" s="130">
        <f>IF(OR($C27="",$B$2="",$D$2=0),0,IF(J$3&lt;0,0,N(INDEX('CURVA PREVISION'!$A$1:$KZ$3000,$C27,10+3*MIN(J$3,$D$2-1)))))</f>
        <v/>
      </c>
      <c r="K27" s="130">
        <f>IF(OR($C27="",$B$2="",$D$2=0),0,IF(K$3&lt;0,0,N(INDEX('CURVA PREVISION'!$A$1:$KZ$3000,$C27,10+3*MIN(K$3,$D$2-1)))))</f>
        <v/>
      </c>
      <c r="L27" s="130">
        <f>IF(OR($C27="",$B$2="",$D$2=0),0,IF(L$3&lt;0,0,N(INDEX('CURVA PREVISION'!$A$1:$KZ$3000,$C27,10+3*MIN(L$3,$D$2-1)))))</f>
        <v/>
      </c>
      <c r="M27" s="130">
        <f>IF(OR($C27="",$B$2="",$D$2=0),0,IF(M$3&lt;0,0,N(INDEX('CURVA PREVISION'!$A$1:$KZ$3000,$C27,10+3*MIN(M$3,$D$2-1)))))</f>
        <v/>
      </c>
      <c r="N27" s="130">
        <f>IF(OR($C27="",$B$2="",$D$2=0),0,IF(N$3&lt;0,0,N(INDEX('CURVA PREVISION'!$A$1:$KZ$3000,$C27,10+3*MIN(N$3,$D$2-1)))))</f>
        <v/>
      </c>
      <c r="O27" s="130">
        <f>IF(OR($C27="",$B$2="",$D$2=0),0,IF(O$3&lt;0,0,N(INDEX('CURVA PREVISION'!$A$1:$KZ$3000,$C27,10+3*MIN(O$3,$D$2-1)))))</f>
        <v/>
      </c>
      <c r="P27" s="130">
        <f>IF(OR($C27="",$B$2="",$D$2=0),0,IF(P$3&lt;0,0,N(INDEX('CURVA PREVISION'!$A$1:$KZ$3000,$C27,10+3*MIN(P$3,$D$2-1)))))</f>
        <v/>
      </c>
      <c r="Q27" s="130">
        <f>IF(OR($C27="",$B$2="",$D$2=0),0,IF(Q$3&lt;0,0,N(INDEX('CURVA PREVISION'!$A$1:$KZ$3000,$C27,10+3*MIN(Q$3,$D$2-1)))))</f>
        <v/>
      </c>
      <c r="R27" s="130">
        <f>IF(OR($C27="",$B$2="",$D$2=0),0,IF(R$3&lt;0,0,N(INDEX('CURVA PREVISION'!$A$1:$KZ$3000,$C27,10+3*MIN(R$3,$D$2-1)))))</f>
        <v/>
      </c>
      <c r="S27" s="130">
        <f>IF(OR($C27="",$B$2="",$D$2=0),0,IF(S$3&lt;0,0,N(INDEX('CURVA PREVISION'!$A$1:$KZ$3000,$C27,10+3*MIN(S$3,$D$2-1)))))</f>
        <v/>
      </c>
      <c r="T27" s="130">
        <f>IF(OR($C27="",$B$2="",$D$2=0),0,IF(T$3&lt;0,0,N(INDEX('CURVA PREVISION'!$A$1:$KZ$3000,$C27,10+3*MIN(T$3,$D$2-1)))))</f>
        <v/>
      </c>
      <c r="U27" s="130">
        <f>IF(OR($C27="",$B$2="",$D$2=0),0,IF(U$3&lt;0,0,N(INDEX('CURVA PREVISION'!$A$1:$KZ$3000,$C27,10+3*MIN(U$3,$D$2-1)))))</f>
        <v/>
      </c>
      <c r="V27" s="130">
        <f>IF(OR($C27="",$B$2="",$D$2=0),0,IF(V$3&lt;0,0,N(INDEX('CURVA PREVISION'!$A$1:$KZ$3000,$C27,10+3*MIN(V$3,$D$2-1)))))</f>
        <v/>
      </c>
      <c r="W27" s="130">
        <f>IF(OR($C27="",$B$2="",$D$2=0),0,IF(W$3&lt;0,0,N(INDEX('CURVA PREVISION'!$A$1:$KZ$3000,$C27,10+3*MIN(W$3,$D$2-1)))))</f>
        <v/>
      </c>
      <c r="X27" s="130">
        <f>IF(OR($C27="",$B$2="",$D$2=0),0,IF(X$3&lt;0,0,N(INDEX('CURVA PREVISION'!$A$1:$KZ$3000,$C27,10+3*MIN(X$3,$D$2-1)))))</f>
        <v/>
      </c>
      <c r="Y27" s="130">
        <f>IF(OR($C27="",$B$2="",$D$2=0),0,IF(Y$3&lt;0,0,N(INDEX('CURVA PREVISION'!$A$1:$KZ$3000,$C27,10+3*MIN(Y$3,$D$2-1)))))</f>
        <v/>
      </c>
      <c r="Z27" s="130">
        <f>IF(OR($C27="",$B$2="",$D$2=0),0,IF(Z$3&lt;0,0,N(INDEX('CURVA PREVISION'!$A$1:$KZ$3000,$C27,10+3*MIN(Z$3,$D$2-1)))))</f>
        <v/>
      </c>
      <c r="AA27" s="130">
        <f>IF(OR($C27="",$B$2="",$D$2=0),0,IF(AA$3&lt;0,0,N(INDEX('CURVA PREVISION'!$A$1:$KZ$3000,$C27,10+3*MIN(AA$3,$D$2-1)))))</f>
        <v/>
      </c>
      <c r="AB27" s="130">
        <f>IF(OR($C27="",$B$2="",$D$2=0),0,IF(AB$3&lt;0,0,N(INDEX('CURVA PREVISION'!$A$1:$KZ$3000,$C27,10+3*MIN(AB$3,$D$2-1)))))</f>
        <v/>
      </c>
      <c r="AC27" s="130">
        <f>IF(OR($C27="",$B$2="",$D$2=0),0,IF(AC$3&lt;0,0,N(INDEX('CURVA PREVISION'!$A$1:$KZ$3000,$C27,10+3*MIN(AC$3,$D$2-1)))))</f>
        <v/>
      </c>
      <c r="AD27" s="130">
        <f>IF(OR($C27="",$B$2="",$D$2=0),0,IF(AD$3&lt;0,0,N(INDEX('CURVA PREVISION'!$A$1:$KZ$3000,$C27,10+3*MIN(AD$3,$D$2-1)))))</f>
        <v/>
      </c>
      <c r="AE27" s="130">
        <f>IF(OR($C27="",$B$2="",$D$2=0),0,IF(AE$3&lt;0,0,N(INDEX('CURVA PREVISION'!$A$1:$KZ$3000,$C27,10+3*MIN(AE$3,$D$2-1)))))</f>
        <v/>
      </c>
      <c r="AF27" s="130">
        <f>IF(OR($C27="",$B$2="",$D$2=0),0,IF(AF$3&lt;0,0,N(INDEX('CURVA PREVISION'!$A$1:$KZ$3000,$C27,10+3*MIN(AF$3,$D$2-1)))))</f>
        <v/>
      </c>
      <c r="AG27" s="130">
        <f>IF(OR($C27="",$B$2="",$D$2=0),0,IF(AG$3&lt;0,0,N(INDEX('CURVA PREVISION'!$A$1:$KZ$3000,$C27,10+3*MIN(AG$3,$D$2-1)))))</f>
        <v/>
      </c>
      <c r="AH27" s="130">
        <f>IF(OR($C27="",$B$2="",$D$2=0),0,IF(AH$3&lt;0,0,N(INDEX('CURVA PREVISION'!$A$1:$KZ$3000,$C27,10+3*MIN(AH$3,$D$2-1)))))</f>
        <v/>
      </c>
      <c r="AI27" s="130">
        <f>IF(OR($C27="",$B$2="",$D$2=0),0,IF(AI$3&lt;0,0,N(INDEX('CURVA PREVISION'!$A$1:$KZ$3000,$C27,10+3*MIN(AI$3,$D$2-1)))))</f>
        <v/>
      </c>
      <c r="AJ27" s="130">
        <f>IF(OR($C27="",$B$2="",$D$2=0),0,IF(AJ$3&lt;0,0,N(INDEX('CURVA PREVISION'!$A$1:$KZ$3000,$C27,10+3*MIN(AJ$3,$D$2-1)))))</f>
        <v/>
      </c>
      <c r="AK27" s="130">
        <f>IF(OR($C27="",$B$2="",$D$2=0),0,IF(AK$3&lt;0,0,N(INDEX('CURVA PREVISION'!$A$1:$KZ$3000,$C27,10+3*MIN(AK$3,$D$2-1)))))</f>
        <v/>
      </c>
      <c r="AL27" s="130">
        <f>IF(OR($C27="",$B$2="",$D$2=0),0,IF(AL$3&lt;0,0,N(INDEX('CURVA PREVISION'!$A$1:$KZ$3000,$C27,10+3*MIN(AL$3,$D$2-1)))))</f>
        <v/>
      </c>
      <c r="AM27" s="130">
        <f>IF(OR($C27="",$B$2="",$D$2=0),0,IF(AM$3&lt;0,0,N(INDEX('CURVA PREVISION'!$A$1:$KZ$3000,$C27,10+3*MIN(AM$3,$D$2-1)))))</f>
        <v/>
      </c>
      <c r="AN27" s="130">
        <f>IF(OR($C27="",$B$2="",$D$2=0),0,IF(AN$3&lt;0,0,N(INDEX('CURVA PREVISION'!$A$1:$KZ$3000,$C27,10+3*MIN(AN$3,$D$2-1)))))</f>
        <v/>
      </c>
      <c r="AO27" s="130">
        <f>IF(OR($C27="",$B$2="",$D$2=0),0,IF(AO$3&lt;0,0,N(INDEX('CURVA PREVISION'!$A$1:$KZ$3000,$C27,10+3*MIN(AO$3,$D$2-1)))))</f>
        <v/>
      </c>
      <c r="AP27" s="130">
        <f>IF(OR($C27="",$B$2="",$D$2=0),0,IF(AP$3&lt;0,0,N(INDEX('CURVA PREVISION'!$A$1:$KZ$3000,$C27,10+3*MIN(AP$3,$D$2-1)))))</f>
        <v/>
      </c>
      <c r="AQ27" s="130">
        <f>IF(OR($C27="",$B$2="",$D$2=0),0,IF(AQ$3&lt;0,0,N(INDEX('CURVA PREVISION'!$A$1:$KZ$3000,$C27,10+3*MIN(AQ$3,$D$2-1)))))</f>
        <v/>
      </c>
      <c r="AR27" s="130">
        <f>IF(OR($C27="",$B$2="",$D$2=0),0,IF(AR$3&lt;0,0,N(INDEX('CURVA PREVISION'!$A$1:$KZ$3000,$C27,10+3*MIN(AR$3,$D$2-1)))))</f>
        <v/>
      </c>
      <c r="AS27" s="130">
        <f>IF(OR($C27="",$B$2="",$D$2=0),0,IF(AS$3&lt;0,0,N(INDEX('CURVA PREVISION'!$A$1:$KZ$3000,$C27,10+3*MIN(AS$3,$D$2-1)))))</f>
        <v/>
      </c>
      <c r="AT27" s="130">
        <f>IF(OR($C27="",$B$2="",$D$2=0),0,IF(AT$3&lt;0,0,N(INDEX('CURVA PREVISION'!$A$1:$KZ$3000,$C27,10+3*MIN(AT$3,$D$2-1)))))</f>
        <v/>
      </c>
      <c r="AU27" s="130">
        <f>IF(OR($C27="",$B$2="",$D$2=0),0,IF(AU$3&lt;0,0,N(INDEX('CURVA PREVISION'!$A$1:$KZ$3000,$C27,10+3*MIN(AU$3,$D$2-1)))))</f>
        <v/>
      </c>
      <c r="AV27" s="130">
        <f>IF(OR($C27="",$B$2="",$D$2=0),0,IF(AV$3&lt;0,0,N(INDEX('CURVA PREVISION'!$A$1:$KZ$3000,$C27,10+3*MIN(AV$3,$D$2-1)))))</f>
        <v/>
      </c>
      <c r="AW27" s="130">
        <f>IF(OR($C27="",$B$2="",$D$2=0),0,IF(AW$3&lt;0,0,N(INDEX('CURVA PREVISION'!$A$1:$KZ$3000,$C27,10+3*MIN(AW$3,$D$2-1)))))</f>
        <v/>
      </c>
      <c r="AX27" s="130">
        <f>IF(OR($C27="",$B$2="",$D$2=0),0,IF(AX$3&lt;0,0,N(INDEX('CURVA PREVISION'!$A$1:$KZ$3000,$C27,10+3*MIN(AX$3,$D$2-1)))))</f>
        <v/>
      </c>
      <c r="AY27" s="130">
        <f>IF(OR($C27="",$B$2="",$D$2=0),0,IF(AY$3&lt;0,0,N(INDEX('CURVA PREVISION'!$A$1:$KZ$3000,$C27,10+3*MIN(AY$3,$D$2-1)))))</f>
        <v/>
      </c>
      <c r="AZ27" s="130">
        <f>IF(OR($C27="",$B$2="",$D$2=0),0,IF(AZ$3&lt;0,0,N(INDEX('CURVA PREVISION'!$A$1:$KZ$3000,$C27,10+3*MIN(AZ$3,$D$2-1)))))</f>
        <v/>
      </c>
      <c r="BA27" s="130">
        <f>IF(OR($C27="",$B$2="",$D$2=0),0,IF(BA$3&lt;0,0,N(INDEX('CURVA PREVISION'!$A$1:$KZ$3000,$C27,10+3*MIN(BA$3,$D$2-1)))))</f>
        <v/>
      </c>
      <c r="BB27" s="130">
        <f>IF(OR($C27="",$B$2="",$D$2=0),0,IF(BB$3&lt;0,0,N(INDEX('CURVA PREVISION'!$A$1:$KZ$3000,$C27,10+3*MIN(BB$3,$D$2-1)))))</f>
        <v/>
      </c>
      <c r="BC27" s="130">
        <f>IF(OR($C27="",$B$2="",$D$2=0),0,IF(BC$3&lt;0,0,N(INDEX('CURVA PREVISION'!$A$1:$KZ$3000,$C27,10+3*MIN(BC$3,$D$2-1)))))</f>
        <v/>
      </c>
      <c r="BD27" s="130">
        <f>IF(OR($C27="",$B$2="",$D$2=0),0,IF(BD$3&lt;0,0,N(INDEX('CURVA PREVISION'!$A$1:$KZ$3000,$C27,10+3*MIN(BD$3,$D$2-1)))))</f>
        <v/>
      </c>
      <c r="BE27" s="130">
        <f>IF(OR($C27="",$B$2="",$D$2=0),0,IF(BE$3&lt;0,0,N(INDEX('CURVA PREVISION'!$A$1:$KZ$3000,$C27,10+3*MIN(BE$3,$D$2-1)))))</f>
        <v/>
      </c>
      <c r="BF27" s="130">
        <f>IF(OR($C27="",$B$2="",$D$2=0),0,IF(BF$3&lt;0,0,N(INDEX('CURVA PREVISION'!$A$1:$KZ$3000,$C27,10+3*MIN(BF$3,$D$2-1)))))</f>
        <v/>
      </c>
      <c r="BG27" s="130">
        <f>IF(OR($C27="",$B$2="",$D$2=0),0,IF(BG$3&lt;0,0,N(INDEX('CURVA PREVISION'!$A$1:$KZ$3000,$C27,10+3*MIN(BG$3,$D$2-1)))))</f>
        <v/>
      </c>
      <c r="BH27" s="130">
        <f>IF(OR($C27="",$B$2="",$D$2=0),0,IF(BH$3&lt;0,0,N(INDEX('CURVA PREVISION'!$A$1:$KZ$3000,$C27,10+3*MIN(BH$3,$D$2-1)))))</f>
        <v/>
      </c>
      <c r="BI27" s="130">
        <f>IF(OR($C27="",$B$2="",$D$2=0),0,IF(BI$3&lt;0,0,N(INDEX('CURVA PREVISION'!$A$1:$KZ$3000,$C27,10+3*MIN(BI$3,$D$2-1)))))</f>
        <v/>
      </c>
      <c r="BJ27" s="130">
        <f>IF(OR($C27="",$B$2="",$D$2=0),0,IF(BJ$3&lt;0,0,N(INDEX('CURVA PREVISION'!$A$1:$KZ$3000,$C27,10+3*MIN(BJ$3,$D$2-1)))))</f>
        <v/>
      </c>
      <c r="BK27" s="130">
        <f>IF(OR($C27="",$B$2="",$D$2=0),0,IF(BK$3&lt;0,0,N(INDEX('CURVA PREVISION'!$A$1:$KZ$3000,$C27,10+3*MIN(BK$3,$D$2-1)))))</f>
        <v/>
      </c>
      <c r="BL27" s="130">
        <f>IF(OR($C27="",$B$2="",$D$2=0),0,IF(BL$3&lt;0,0,N(INDEX('CURVA PREVISION'!$A$1:$KZ$3000,$C27,10+3*MIN(BL$3,$D$2-1)))))</f>
        <v/>
      </c>
      <c r="BM27" s="130">
        <f>IF(OR($C27="",$B$2="",$D$2=0),0,IF(BM$3&lt;0,0,N(INDEX('CURVA PREVISION'!$A$1:$KZ$3000,$C27,10+3*MIN(BM$3,$D$2-1)))))</f>
        <v/>
      </c>
      <c r="BN27" s="130">
        <f>IF(OR($C27="",$B$2="",$D$2=0),0,IF(BN$3&lt;0,0,N(INDEX('CURVA PREVISION'!$A$1:$KZ$3000,$C27,10+3*MIN(BN$3,$D$2-1)))))</f>
        <v/>
      </c>
      <c r="BO27" s="130">
        <f>IF(OR($C27="",$B$2="",$D$2=0),0,IF(BO$3&lt;0,0,N(INDEX('CURVA PREVISION'!$A$1:$KZ$3000,$C27,10+3*MIN(BO$3,$D$2-1)))))</f>
        <v/>
      </c>
      <c r="BP27" s="130">
        <f>IF(OR($C27="",$B$2="",$D$2=0),0,IF(BP$3&lt;0,0,N(INDEX('CURVA PREVISION'!$A$1:$KZ$3000,$C27,10+3*MIN(BP$3,$D$2-1)))))</f>
        <v/>
      </c>
      <c r="BQ27" s="130">
        <f>IF(OR($C27="",$B$2="",$D$2=0),0,IF(BQ$3&lt;0,0,N(INDEX('CURVA PREVISION'!$A$1:$KZ$3000,$C27,10+3*MIN(BQ$3,$D$2-1)))))</f>
        <v/>
      </c>
      <c r="BR27" s="130">
        <f>IF(OR($C27="",$B$2="",$D$2=0),0,IF(BR$3&lt;0,0,N(INDEX('CURVA PREVISION'!$A$1:$KZ$3000,$C27,10+3*MIN(BR$3,$D$2-1)))))</f>
        <v/>
      </c>
      <c r="BS27" s="130">
        <f>IF(OR($C27="",$B$2="",$D$2=0),0,IF(BS$3&lt;0,0,N(INDEX('CURVA PREVISION'!$A$1:$KZ$3000,$C27,10+3*MIN(BS$3,$D$2-1)))))</f>
        <v/>
      </c>
      <c r="BT27" s="130">
        <f>IF(OR($C27="",$B$2="",$D$2=0),0,IF(BT$3&lt;0,0,N(INDEX('CURVA PREVISION'!$A$1:$KZ$3000,$C27,10+3*MIN(BT$3,$D$2-1)))))</f>
        <v/>
      </c>
      <c r="BU27" s="130">
        <f>IF(OR($C27="",$B$2="",$D$2=0),0,IF(BU$3&lt;0,0,N(INDEX('CURVA PREVISION'!$A$1:$KZ$3000,$C27,10+3*MIN(BU$3,$D$2-1)))))</f>
        <v/>
      </c>
      <c r="BV27" s="130">
        <f>IF(OR($C27="",$B$2="",$D$2=0),0,IF(BV$3&lt;0,0,N(INDEX('CURVA PREVISION'!$A$1:$KZ$3000,$C27,10+3*MIN(BV$3,$D$2-1)))))</f>
        <v/>
      </c>
      <c r="BW27" s="130">
        <f>IF(OR($C27="",$B$2="",$D$2=0),0,IF(BW$3&lt;0,0,N(INDEX('CURVA PREVISION'!$A$1:$KZ$3000,$C27,10+3*MIN(BW$3,$D$2-1)))))</f>
        <v/>
      </c>
    </row>
    <row r="28">
      <c r="A28" s="61">
        <f>IF('VALOR POR PL'!R34&lt;&gt;"",'VALOR POR PL'!R34,IF('VALOR POR PL'!Q34="",'VALOR POR PL'!C34,'VALOR POR PL'!Q34))</f>
        <v/>
      </c>
      <c r="B28" s="61">
        <f>'VALOR POR PL'!D34</f>
        <v/>
      </c>
      <c r="C28" s="70">
        <f>IFERROR(MATCH(A28,'CURVA PREVISION'!$B$1:$B$3000,0),"")</f>
        <v/>
      </c>
      <c r="D28" s="130">
        <f>IF(OR($C28="",$B$2="",$D$2=0),0,IF(D$3&lt;0,0,N(INDEX('CURVA PREVISION'!$A$1:$KZ$3000,$C28,10+3*MIN(D$3,$D$2-1)))))</f>
        <v/>
      </c>
      <c r="E28" s="130">
        <f>IF(OR($C28="",$B$2="",$D$2=0),0,IF(E$3&lt;0,0,N(INDEX('CURVA PREVISION'!$A$1:$KZ$3000,$C28,10+3*MIN(E$3,$D$2-1)))))</f>
        <v/>
      </c>
      <c r="F28" s="130">
        <f>IF(OR($C28="",$B$2="",$D$2=0),0,IF(F$3&lt;0,0,N(INDEX('CURVA PREVISION'!$A$1:$KZ$3000,$C28,10+3*MIN(F$3,$D$2-1)))))</f>
        <v/>
      </c>
      <c r="G28" s="130">
        <f>IF(OR($C28="",$B$2="",$D$2=0),0,IF(G$3&lt;0,0,N(INDEX('CURVA PREVISION'!$A$1:$KZ$3000,$C28,10+3*MIN(G$3,$D$2-1)))))</f>
        <v/>
      </c>
      <c r="H28" s="130">
        <f>IF(OR($C28="",$B$2="",$D$2=0),0,IF(H$3&lt;0,0,N(INDEX('CURVA PREVISION'!$A$1:$KZ$3000,$C28,10+3*MIN(H$3,$D$2-1)))))</f>
        <v/>
      </c>
      <c r="I28" s="130">
        <f>IF(OR($C28="",$B$2="",$D$2=0),0,IF(I$3&lt;0,0,N(INDEX('CURVA PREVISION'!$A$1:$KZ$3000,$C28,10+3*MIN(I$3,$D$2-1)))))</f>
        <v/>
      </c>
      <c r="J28" s="130">
        <f>IF(OR($C28="",$B$2="",$D$2=0),0,IF(J$3&lt;0,0,N(INDEX('CURVA PREVISION'!$A$1:$KZ$3000,$C28,10+3*MIN(J$3,$D$2-1)))))</f>
        <v/>
      </c>
      <c r="K28" s="130">
        <f>IF(OR($C28="",$B$2="",$D$2=0),0,IF(K$3&lt;0,0,N(INDEX('CURVA PREVISION'!$A$1:$KZ$3000,$C28,10+3*MIN(K$3,$D$2-1)))))</f>
        <v/>
      </c>
      <c r="L28" s="130">
        <f>IF(OR($C28="",$B$2="",$D$2=0),0,IF(L$3&lt;0,0,N(INDEX('CURVA PREVISION'!$A$1:$KZ$3000,$C28,10+3*MIN(L$3,$D$2-1)))))</f>
        <v/>
      </c>
      <c r="M28" s="130">
        <f>IF(OR($C28="",$B$2="",$D$2=0),0,IF(M$3&lt;0,0,N(INDEX('CURVA PREVISION'!$A$1:$KZ$3000,$C28,10+3*MIN(M$3,$D$2-1)))))</f>
        <v/>
      </c>
      <c r="N28" s="130">
        <f>IF(OR($C28="",$B$2="",$D$2=0),0,IF(N$3&lt;0,0,N(INDEX('CURVA PREVISION'!$A$1:$KZ$3000,$C28,10+3*MIN(N$3,$D$2-1)))))</f>
        <v/>
      </c>
      <c r="O28" s="130">
        <f>IF(OR($C28="",$B$2="",$D$2=0),0,IF(O$3&lt;0,0,N(INDEX('CURVA PREVISION'!$A$1:$KZ$3000,$C28,10+3*MIN(O$3,$D$2-1)))))</f>
        <v/>
      </c>
      <c r="P28" s="130">
        <f>IF(OR($C28="",$B$2="",$D$2=0),0,IF(P$3&lt;0,0,N(INDEX('CURVA PREVISION'!$A$1:$KZ$3000,$C28,10+3*MIN(P$3,$D$2-1)))))</f>
        <v/>
      </c>
      <c r="Q28" s="130">
        <f>IF(OR($C28="",$B$2="",$D$2=0),0,IF(Q$3&lt;0,0,N(INDEX('CURVA PREVISION'!$A$1:$KZ$3000,$C28,10+3*MIN(Q$3,$D$2-1)))))</f>
        <v/>
      </c>
      <c r="R28" s="130">
        <f>IF(OR($C28="",$B$2="",$D$2=0),0,IF(R$3&lt;0,0,N(INDEX('CURVA PREVISION'!$A$1:$KZ$3000,$C28,10+3*MIN(R$3,$D$2-1)))))</f>
        <v/>
      </c>
      <c r="S28" s="130">
        <f>IF(OR($C28="",$B$2="",$D$2=0),0,IF(S$3&lt;0,0,N(INDEX('CURVA PREVISION'!$A$1:$KZ$3000,$C28,10+3*MIN(S$3,$D$2-1)))))</f>
        <v/>
      </c>
      <c r="T28" s="130">
        <f>IF(OR($C28="",$B$2="",$D$2=0),0,IF(T$3&lt;0,0,N(INDEX('CURVA PREVISION'!$A$1:$KZ$3000,$C28,10+3*MIN(T$3,$D$2-1)))))</f>
        <v/>
      </c>
      <c r="U28" s="130">
        <f>IF(OR($C28="",$B$2="",$D$2=0),0,IF(U$3&lt;0,0,N(INDEX('CURVA PREVISION'!$A$1:$KZ$3000,$C28,10+3*MIN(U$3,$D$2-1)))))</f>
        <v/>
      </c>
      <c r="V28" s="130">
        <f>IF(OR($C28="",$B$2="",$D$2=0),0,IF(V$3&lt;0,0,N(INDEX('CURVA PREVISION'!$A$1:$KZ$3000,$C28,10+3*MIN(V$3,$D$2-1)))))</f>
        <v/>
      </c>
      <c r="W28" s="130">
        <f>IF(OR($C28="",$B$2="",$D$2=0),0,IF(W$3&lt;0,0,N(INDEX('CURVA PREVISION'!$A$1:$KZ$3000,$C28,10+3*MIN(W$3,$D$2-1)))))</f>
        <v/>
      </c>
      <c r="X28" s="130">
        <f>IF(OR($C28="",$B$2="",$D$2=0),0,IF(X$3&lt;0,0,N(INDEX('CURVA PREVISION'!$A$1:$KZ$3000,$C28,10+3*MIN(X$3,$D$2-1)))))</f>
        <v/>
      </c>
      <c r="Y28" s="130">
        <f>IF(OR($C28="",$B$2="",$D$2=0),0,IF(Y$3&lt;0,0,N(INDEX('CURVA PREVISION'!$A$1:$KZ$3000,$C28,10+3*MIN(Y$3,$D$2-1)))))</f>
        <v/>
      </c>
      <c r="Z28" s="130">
        <f>IF(OR($C28="",$B$2="",$D$2=0),0,IF(Z$3&lt;0,0,N(INDEX('CURVA PREVISION'!$A$1:$KZ$3000,$C28,10+3*MIN(Z$3,$D$2-1)))))</f>
        <v/>
      </c>
      <c r="AA28" s="130">
        <f>IF(OR($C28="",$B$2="",$D$2=0),0,IF(AA$3&lt;0,0,N(INDEX('CURVA PREVISION'!$A$1:$KZ$3000,$C28,10+3*MIN(AA$3,$D$2-1)))))</f>
        <v/>
      </c>
      <c r="AB28" s="130">
        <f>IF(OR($C28="",$B$2="",$D$2=0),0,IF(AB$3&lt;0,0,N(INDEX('CURVA PREVISION'!$A$1:$KZ$3000,$C28,10+3*MIN(AB$3,$D$2-1)))))</f>
        <v/>
      </c>
      <c r="AC28" s="130">
        <f>IF(OR($C28="",$B$2="",$D$2=0),0,IF(AC$3&lt;0,0,N(INDEX('CURVA PREVISION'!$A$1:$KZ$3000,$C28,10+3*MIN(AC$3,$D$2-1)))))</f>
        <v/>
      </c>
      <c r="AD28" s="130">
        <f>IF(OR($C28="",$B$2="",$D$2=0),0,IF(AD$3&lt;0,0,N(INDEX('CURVA PREVISION'!$A$1:$KZ$3000,$C28,10+3*MIN(AD$3,$D$2-1)))))</f>
        <v/>
      </c>
      <c r="AE28" s="130">
        <f>IF(OR($C28="",$B$2="",$D$2=0),0,IF(AE$3&lt;0,0,N(INDEX('CURVA PREVISION'!$A$1:$KZ$3000,$C28,10+3*MIN(AE$3,$D$2-1)))))</f>
        <v/>
      </c>
      <c r="AF28" s="130">
        <f>IF(OR($C28="",$B$2="",$D$2=0),0,IF(AF$3&lt;0,0,N(INDEX('CURVA PREVISION'!$A$1:$KZ$3000,$C28,10+3*MIN(AF$3,$D$2-1)))))</f>
        <v/>
      </c>
      <c r="AG28" s="130">
        <f>IF(OR($C28="",$B$2="",$D$2=0),0,IF(AG$3&lt;0,0,N(INDEX('CURVA PREVISION'!$A$1:$KZ$3000,$C28,10+3*MIN(AG$3,$D$2-1)))))</f>
        <v/>
      </c>
      <c r="AH28" s="130">
        <f>IF(OR($C28="",$B$2="",$D$2=0),0,IF(AH$3&lt;0,0,N(INDEX('CURVA PREVISION'!$A$1:$KZ$3000,$C28,10+3*MIN(AH$3,$D$2-1)))))</f>
        <v/>
      </c>
      <c r="AI28" s="130">
        <f>IF(OR($C28="",$B$2="",$D$2=0),0,IF(AI$3&lt;0,0,N(INDEX('CURVA PREVISION'!$A$1:$KZ$3000,$C28,10+3*MIN(AI$3,$D$2-1)))))</f>
        <v/>
      </c>
      <c r="AJ28" s="130">
        <f>IF(OR($C28="",$B$2="",$D$2=0),0,IF(AJ$3&lt;0,0,N(INDEX('CURVA PREVISION'!$A$1:$KZ$3000,$C28,10+3*MIN(AJ$3,$D$2-1)))))</f>
        <v/>
      </c>
      <c r="AK28" s="130">
        <f>IF(OR($C28="",$B$2="",$D$2=0),0,IF(AK$3&lt;0,0,N(INDEX('CURVA PREVISION'!$A$1:$KZ$3000,$C28,10+3*MIN(AK$3,$D$2-1)))))</f>
        <v/>
      </c>
      <c r="AL28" s="130">
        <f>IF(OR($C28="",$B$2="",$D$2=0),0,IF(AL$3&lt;0,0,N(INDEX('CURVA PREVISION'!$A$1:$KZ$3000,$C28,10+3*MIN(AL$3,$D$2-1)))))</f>
        <v/>
      </c>
      <c r="AM28" s="130">
        <f>IF(OR($C28="",$B$2="",$D$2=0),0,IF(AM$3&lt;0,0,N(INDEX('CURVA PREVISION'!$A$1:$KZ$3000,$C28,10+3*MIN(AM$3,$D$2-1)))))</f>
        <v/>
      </c>
      <c r="AN28" s="130">
        <f>IF(OR($C28="",$B$2="",$D$2=0),0,IF(AN$3&lt;0,0,N(INDEX('CURVA PREVISION'!$A$1:$KZ$3000,$C28,10+3*MIN(AN$3,$D$2-1)))))</f>
        <v/>
      </c>
      <c r="AO28" s="130">
        <f>IF(OR($C28="",$B$2="",$D$2=0),0,IF(AO$3&lt;0,0,N(INDEX('CURVA PREVISION'!$A$1:$KZ$3000,$C28,10+3*MIN(AO$3,$D$2-1)))))</f>
        <v/>
      </c>
      <c r="AP28" s="130">
        <f>IF(OR($C28="",$B$2="",$D$2=0),0,IF(AP$3&lt;0,0,N(INDEX('CURVA PREVISION'!$A$1:$KZ$3000,$C28,10+3*MIN(AP$3,$D$2-1)))))</f>
        <v/>
      </c>
      <c r="AQ28" s="130">
        <f>IF(OR($C28="",$B$2="",$D$2=0),0,IF(AQ$3&lt;0,0,N(INDEX('CURVA PREVISION'!$A$1:$KZ$3000,$C28,10+3*MIN(AQ$3,$D$2-1)))))</f>
        <v/>
      </c>
      <c r="AR28" s="130">
        <f>IF(OR($C28="",$B$2="",$D$2=0),0,IF(AR$3&lt;0,0,N(INDEX('CURVA PREVISION'!$A$1:$KZ$3000,$C28,10+3*MIN(AR$3,$D$2-1)))))</f>
        <v/>
      </c>
      <c r="AS28" s="130">
        <f>IF(OR($C28="",$B$2="",$D$2=0),0,IF(AS$3&lt;0,0,N(INDEX('CURVA PREVISION'!$A$1:$KZ$3000,$C28,10+3*MIN(AS$3,$D$2-1)))))</f>
        <v/>
      </c>
      <c r="AT28" s="130">
        <f>IF(OR($C28="",$B$2="",$D$2=0),0,IF(AT$3&lt;0,0,N(INDEX('CURVA PREVISION'!$A$1:$KZ$3000,$C28,10+3*MIN(AT$3,$D$2-1)))))</f>
        <v/>
      </c>
      <c r="AU28" s="130">
        <f>IF(OR($C28="",$B$2="",$D$2=0),0,IF(AU$3&lt;0,0,N(INDEX('CURVA PREVISION'!$A$1:$KZ$3000,$C28,10+3*MIN(AU$3,$D$2-1)))))</f>
        <v/>
      </c>
      <c r="AV28" s="130">
        <f>IF(OR($C28="",$B$2="",$D$2=0),0,IF(AV$3&lt;0,0,N(INDEX('CURVA PREVISION'!$A$1:$KZ$3000,$C28,10+3*MIN(AV$3,$D$2-1)))))</f>
        <v/>
      </c>
      <c r="AW28" s="130">
        <f>IF(OR($C28="",$B$2="",$D$2=0),0,IF(AW$3&lt;0,0,N(INDEX('CURVA PREVISION'!$A$1:$KZ$3000,$C28,10+3*MIN(AW$3,$D$2-1)))))</f>
        <v/>
      </c>
      <c r="AX28" s="130">
        <f>IF(OR($C28="",$B$2="",$D$2=0),0,IF(AX$3&lt;0,0,N(INDEX('CURVA PREVISION'!$A$1:$KZ$3000,$C28,10+3*MIN(AX$3,$D$2-1)))))</f>
        <v/>
      </c>
      <c r="AY28" s="130">
        <f>IF(OR($C28="",$B$2="",$D$2=0),0,IF(AY$3&lt;0,0,N(INDEX('CURVA PREVISION'!$A$1:$KZ$3000,$C28,10+3*MIN(AY$3,$D$2-1)))))</f>
        <v/>
      </c>
      <c r="AZ28" s="130">
        <f>IF(OR($C28="",$B$2="",$D$2=0),0,IF(AZ$3&lt;0,0,N(INDEX('CURVA PREVISION'!$A$1:$KZ$3000,$C28,10+3*MIN(AZ$3,$D$2-1)))))</f>
        <v/>
      </c>
      <c r="BA28" s="130">
        <f>IF(OR($C28="",$B$2="",$D$2=0),0,IF(BA$3&lt;0,0,N(INDEX('CURVA PREVISION'!$A$1:$KZ$3000,$C28,10+3*MIN(BA$3,$D$2-1)))))</f>
        <v/>
      </c>
      <c r="BB28" s="130">
        <f>IF(OR($C28="",$B$2="",$D$2=0),0,IF(BB$3&lt;0,0,N(INDEX('CURVA PREVISION'!$A$1:$KZ$3000,$C28,10+3*MIN(BB$3,$D$2-1)))))</f>
        <v/>
      </c>
      <c r="BC28" s="130">
        <f>IF(OR($C28="",$B$2="",$D$2=0),0,IF(BC$3&lt;0,0,N(INDEX('CURVA PREVISION'!$A$1:$KZ$3000,$C28,10+3*MIN(BC$3,$D$2-1)))))</f>
        <v/>
      </c>
      <c r="BD28" s="130">
        <f>IF(OR($C28="",$B$2="",$D$2=0),0,IF(BD$3&lt;0,0,N(INDEX('CURVA PREVISION'!$A$1:$KZ$3000,$C28,10+3*MIN(BD$3,$D$2-1)))))</f>
        <v/>
      </c>
      <c r="BE28" s="130">
        <f>IF(OR($C28="",$B$2="",$D$2=0),0,IF(BE$3&lt;0,0,N(INDEX('CURVA PREVISION'!$A$1:$KZ$3000,$C28,10+3*MIN(BE$3,$D$2-1)))))</f>
        <v/>
      </c>
      <c r="BF28" s="130">
        <f>IF(OR($C28="",$B$2="",$D$2=0),0,IF(BF$3&lt;0,0,N(INDEX('CURVA PREVISION'!$A$1:$KZ$3000,$C28,10+3*MIN(BF$3,$D$2-1)))))</f>
        <v/>
      </c>
      <c r="BG28" s="130">
        <f>IF(OR($C28="",$B$2="",$D$2=0),0,IF(BG$3&lt;0,0,N(INDEX('CURVA PREVISION'!$A$1:$KZ$3000,$C28,10+3*MIN(BG$3,$D$2-1)))))</f>
        <v/>
      </c>
      <c r="BH28" s="130">
        <f>IF(OR($C28="",$B$2="",$D$2=0),0,IF(BH$3&lt;0,0,N(INDEX('CURVA PREVISION'!$A$1:$KZ$3000,$C28,10+3*MIN(BH$3,$D$2-1)))))</f>
        <v/>
      </c>
      <c r="BI28" s="130">
        <f>IF(OR($C28="",$B$2="",$D$2=0),0,IF(BI$3&lt;0,0,N(INDEX('CURVA PREVISION'!$A$1:$KZ$3000,$C28,10+3*MIN(BI$3,$D$2-1)))))</f>
        <v/>
      </c>
      <c r="BJ28" s="130">
        <f>IF(OR($C28="",$B$2="",$D$2=0),0,IF(BJ$3&lt;0,0,N(INDEX('CURVA PREVISION'!$A$1:$KZ$3000,$C28,10+3*MIN(BJ$3,$D$2-1)))))</f>
        <v/>
      </c>
      <c r="BK28" s="130">
        <f>IF(OR($C28="",$B$2="",$D$2=0),0,IF(BK$3&lt;0,0,N(INDEX('CURVA PREVISION'!$A$1:$KZ$3000,$C28,10+3*MIN(BK$3,$D$2-1)))))</f>
        <v/>
      </c>
      <c r="BL28" s="130">
        <f>IF(OR($C28="",$B$2="",$D$2=0),0,IF(BL$3&lt;0,0,N(INDEX('CURVA PREVISION'!$A$1:$KZ$3000,$C28,10+3*MIN(BL$3,$D$2-1)))))</f>
        <v/>
      </c>
      <c r="BM28" s="130">
        <f>IF(OR($C28="",$B$2="",$D$2=0),0,IF(BM$3&lt;0,0,N(INDEX('CURVA PREVISION'!$A$1:$KZ$3000,$C28,10+3*MIN(BM$3,$D$2-1)))))</f>
        <v/>
      </c>
      <c r="BN28" s="130">
        <f>IF(OR($C28="",$B$2="",$D$2=0),0,IF(BN$3&lt;0,0,N(INDEX('CURVA PREVISION'!$A$1:$KZ$3000,$C28,10+3*MIN(BN$3,$D$2-1)))))</f>
        <v/>
      </c>
      <c r="BO28" s="130">
        <f>IF(OR($C28="",$B$2="",$D$2=0),0,IF(BO$3&lt;0,0,N(INDEX('CURVA PREVISION'!$A$1:$KZ$3000,$C28,10+3*MIN(BO$3,$D$2-1)))))</f>
        <v/>
      </c>
      <c r="BP28" s="130">
        <f>IF(OR($C28="",$B$2="",$D$2=0),0,IF(BP$3&lt;0,0,N(INDEX('CURVA PREVISION'!$A$1:$KZ$3000,$C28,10+3*MIN(BP$3,$D$2-1)))))</f>
        <v/>
      </c>
      <c r="BQ28" s="130">
        <f>IF(OR($C28="",$B$2="",$D$2=0),0,IF(BQ$3&lt;0,0,N(INDEX('CURVA PREVISION'!$A$1:$KZ$3000,$C28,10+3*MIN(BQ$3,$D$2-1)))))</f>
        <v/>
      </c>
      <c r="BR28" s="130">
        <f>IF(OR($C28="",$B$2="",$D$2=0),0,IF(BR$3&lt;0,0,N(INDEX('CURVA PREVISION'!$A$1:$KZ$3000,$C28,10+3*MIN(BR$3,$D$2-1)))))</f>
        <v/>
      </c>
      <c r="BS28" s="130">
        <f>IF(OR($C28="",$B$2="",$D$2=0),0,IF(BS$3&lt;0,0,N(INDEX('CURVA PREVISION'!$A$1:$KZ$3000,$C28,10+3*MIN(BS$3,$D$2-1)))))</f>
        <v/>
      </c>
      <c r="BT28" s="130">
        <f>IF(OR($C28="",$B$2="",$D$2=0),0,IF(BT$3&lt;0,0,N(INDEX('CURVA PREVISION'!$A$1:$KZ$3000,$C28,10+3*MIN(BT$3,$D$2-1)))))</f>
        <v/>
      </c>
      <c r="BU28" s="130">
        <f>IF(OR($C28="",$B$2="",$D$2=0),0,IF(BU$3&lt;0,0,N(INDEX('CURVA PREVISION'!$A$1:$KZ$3000,$C28,10+3*MIN(BU$3,$D$2-1)))))</f>
        <v/>
      </c>
      <c r="BV28" s="130">
        <f>IF(OR($C28="",$B$2="",$D$2=0),0,IF(BV$3&lt;0,0,N(INDEX('CURVA PREVISION'!$A$1:$KZ$3000,$C28,10+3*MIN(BV$3,$D$2-1)))))</f>
        <v/>
      </c>
      <c r="BW28" s="130">
        <f>IF(OR($C28="",$B$2="",$D$2=0),0,IF(BW$3&lt;0,0,N(INDEX('CURVA PREVISION'!$A$1:$KZ$3000,$C28,10+3*MIN(BW$3,$D$2-1)))))</f>
        <v/>
      </c>
    </row>
    <row r="29">
      <c r="A29" s="61">
        <f>IF('VALOR POR PL'!R35&lt;&gt;"",'VALOR POR PL'!R35,IF('VALOR POR PL'!Q35="",'VALOR POR PL'!C35,'VALOR POR PL'!Q35))</f>
        <v/>
      </c>
      <c r="B29" s="61">
        <f>'VALOR POR PL'!D35</f>
        <v/>
      </c>
      <c r="C29" s="70">
        <f>IFERROR(MATCH(A29,'CURVA PREVISION'!$B$1:$B$3000,0),"")</f>
        <v/>
      </c>
      <c r="D29" s="130">
        <f>IF(OR($C29="",$B$2="",$D$2=0),0,IF(D$3&lt;0,0,N(INDEX('CURVA PREVISION'!$A$1:$KZ$3000,$C29,10+3*MIN(D$3,$D$2-1)))))</f>
        <v/>
      </c>
      <c r="E29" s="130">
        <f>IF(OR($C29="",$B$2="",$D$2=0),0,IF(E$3&lt;0,0,N(INDEX('CURVA PREVISION'!$A$1:$KZ$3000,$C29,10+3*MIN(E$3,$D$2-1)))))</f>
        <v/>
      </c>
      <c r="F29" s="130">
        <f>IF(OR($C29="",$B$2="",$D$2=0),0,IF(F$3&lt;0,0,N(INDEX('CURVA PREVISION'!$A$1:$KZ$3000,$C29,10+3*MIN(F$3,$D$2-1)))))</f>
        <v/>
      </c>
      <c r="G29" s="130">
        <f>IF(OR($C29="",$B$2="",$D$2=0),0,IF(G$3&lt;0,0,N(INDEX('CURVA PREVISION'!$A$1:$KZ$3000,$C29,10+3*MIN(G$3,$D$2-1)))))</f>
        <v/>
      </c>
      <c r="H29" s="130">
        <f>IF(OR($C29="",$B$2="",$D$2=0),0,IF(H$3&lt;0,0,N(INDEX('CURVA PREVISION'!$A$1:$KZ$3000,$C29,10+3*MIN(H$3,$D$2-1)))))</f>
        <v/>
      </c>
      <c r="I29" s="130">
        <f>IF(OR($C29="",$B$2="",$D$2=0),0,IF(I$3&lt;0,0,N(INDEX('CURVA PREVISION'!$A$1:$KZ$3000,$C29,10+3*MIN(I$3,$D$2-1)))))</f>
        <v/>
      </c>
      <c r="J29" s="130">
        <f>IF(OR($C29="",$B$2="",$D$2=0),0,IF(J$3&lt;0,0,N(INDEX('CURVA PREVISION'!$A$1:$KZ$3000,$C29,10+3*MIN(J$3,$D$2-1)))))</f>
        <v/>
      </c>
      <c r="K29" s="130">
        <f>IF(OR($C29="",$B$2="",$D$2=0),0,IF(K$3&lt;0,0,N(INDEX('CURVA PREVISION'!$A$1:$KZ$3000,$C29,10+3*MIN(K$3,$D$2-1)))))</f>
        <v/>
      </c>
      <c r="L29" s="130">
        <f>IF(OR($C29="",$B$2="",$D$2=0),0,IF(L$3&lt;0,0,N(INDEX('CURVA PREVISION'!$A$1:$KZ$3000,$C29,10+3*MIN(L$3,$D$2-1)))))</f>
        <v/>
      </c>
      <c r="M29" s="130">
        <f>IF(OR($C29="",$B$2="",$D$2=0),0,IF(M$3&lt;0,0,N(INDEX('CURVA PREVISION'!$A$1:$KZ$3000,$C29,10+3*MIN(M$3,$D$2-1)))))</f>
        <v/>
      </c>
      <c r="N29" s="130">
        <f>IF(OR($C29="",$B$2="",$D$2=0),0,IF(N$3&lt;0,0,N(INDEX('CURVA PREVISION'!$A$1:$KZ$3000,$C29,10+3*MIN(N$3,$D$2-1)))))</f>
        <v/>
      </c>
      <c r="O29" s="130">
        <f>IF(OR($C29="",$B$2="",$D$2=0),0,IF(O$3&lt;0,0,N(INDEX('CURVA PREVISION'!$A$1:$KZ$3000,$C29,10+3*MIN(O$3,$D$2-1)))))</f>
        <v/>
      </c>
      <c r="P29" s="130">
        <f>IF(OR($C29="",$B$2="",$D$2=0),0,IF(P$3&lt;0,0,N(INDEX('CURVA PREVISION'!$A$1:$KZ$3000,$C29,10+3*MIN(P$3,$D$2-1)))))</f>
        <v/>
      </c>
      <c r="Q29" s="130">
        <f>IF(OR($C29="",$B$2="",$D$2=0),0,IF(Q$3&lt;0,0,N(INDEX('CURVA PREVISION'!$A$1:$KZ$3000,$C29,10+3*MIN(Q$3,$D$2-1)))))</f>
        <v/>
      </c>
      <c r="R29" s="130">
        <f>IF(OR($C29="",$B$2="",$D$2=0),0,IF(R$3&lt;0,0,N(INDEX('CURVA PREVISION'!$A$1:$KZ$3000,$C29,10+3*MIN(R$3,$D$2-1)))))</f>
        <v/>
      </c>
      <c r="S29" s="130">
        <f>IF(OR($C29="",$B$2="",$D$2=0),0,IF(S$3&lt;0,0,N(INDEX('CURVA PREVISION'!$A$1:$KZ$3000,$C29,10+3*MIN(S$3,$D$2-1)))))</f>
        <v/>
      </c>
      <c r="T29" s="130">
        <f>IF(OR($C29="",$B$2="",$D$2=0),0,IF(T$3&lt;0,0,N(INDEX('CURVA PREVISION'!$A$1:$KZ$3000,$C29,10+3*MIN(T$3,$D$2-1)))))</f>
        <v/>
      </c>
      <c r="U29" s="130">
        <f>IF(OR($C29="",$B$2="",$D$2=0),0,IF(U$3&lt;0,0,N(INDEX('CURVA PREVISION'!$A$1:$KZ$3000,$C29,10+3*MIN(U$3,$D$2-1)))))</f>
        <v/>
      </c>
      <c r="V29" s="130">
        <f>IF(OR($C29="",$B$2="",$D$2=0),0,IF(V$3&lt;0,0,N(INDEX('CURVA PREVISION'!$A$1:$KZ$3000,$C29,10+3*MIN(V$3,$D$2-1)))))</f>
        <v/>
      </c>
      <c r="W29" s="130">
        <f>IF(OR($C29="",$B$2="",$D$2=0),0,IF(W$3&lt;0,0,N(INDEX('CURVA PREVISION'!$A$1:$KZ$3000,$C29,10+3*MIN(W$3,$D$2-1)))))</f>
        <v/>
      </c>
      <c r="X29" s="130">
        <f>IF(OR($C29="",$B$2="",$D$2=0),0,IF(X$3&lt;0,0,N(INDEX('CURVA PREVISION'!$A$1:$KZ$3000,$C29,10+3*MIN(X$3,$D$2-1)))))</f>
        <v/>
      </c>
      <c r="Y29" s="130">
        <f>IF(OR($C29="",$B$2="",$D$2=0),0,IF(Y$3&lt;0,0,N(INDEX('CURVA PREVISION'!$A$1:$KZ$3000,$C29,10+3*MIN(Y$3,$D$2-1)))))</f>
        <v/>
      </c>
      <c r="Z29" s="130">
        <f>IF(OR($C29="",$B$2="",$D$2=0),0,IF(Z$3&lt;0,0,N(INDEX('CURVA PREVISION'!$A$1:$KZ$3000,$C29,10+3*MIN(Z$3,$D$2-1)))))</f>
        <v/>
      </c>
      <c r="AA29" s="130">
        <f>IF(OR($C29="",$B$2="",$D$2=0),0,IF(AA$3&lt;0,0,N(INDEX('CURVA PREVISION'!$A$1:$KZ$3000,$C29,10+3*MIN(AA$3,$D$2-1)))))</f>
        <v/>
      </c>
      <c r="AB29" s="130">
        <f>IF(OR($C29="",$B$2="",$D$2=0),0,IF(AB$3&lt;0,0,N(INDEX('CURVA PREVISION'!$A$1:$KZ$3000,$C29,10+3*MIN(AB$3,$D$2-1)))))</f>
        <v/>
      </c>
      <c r="AC29" s="130">
        <f>IF(OR($C29="",$B$2="",$D$2=0),0,IF(AC$3&lt;0,0,N(INDEX('CURVA PREVISION'!$A$1:$KZ$3000,$C29,10+3*MIN(AC$3,$D$2-1)))))</f>
        <v/>
      </c>
      <c r="AD29" s="130">
        <f>IF(OR($C29="",$B$2="",$D$2=0),0,IF(AD$3&lt;0,0,N(INDEX('CURVA PREVISION'!$A$1:$KZ$3000,$C29,10+3*MIN(AD$3,$D$2-1)))))</f>
        <v/>
      </c>
      <c r="AE29" s="130">
        <f>IF(OR($C29="",$B$2="",$D$2=0),0,IF(AE$3&lt;0,0,N(INDEX('CURVA PREVISION'!$A$1:$KZ$3000,$C29,10+3*MIN(AE$3,$D$2-1)))))</f>
        <v/>
      </c>
      <c r="AF29" s="130">
        <f>IF(OR($C29="",$B$2="",$D$2=0),0,IF(AF$3&lt;0,0,N(INDEX('CURVA PREVISION'!$A$1:$KZ$3000,$C29,10+3*MIN(AF$3,$D$2-1)))))</f>
        <v/>
      </c>
      <c r="AG29" s="130">
        <f>IF(OR($C29="",$B$2="",$D$2=0),0,IF(AG$3&lt;0,0,N(INDEX('CURVA PREVISION'!$A$1:$KZ$3000,$C29,10+3*MIN(AG$3,$D$2-1)))))</f>
        <v/>
      </c>
      <c r="AH29" s="130">
        <f>IF(OR($C29="",$B$2="",$D$2=0),0,IF(AH$3&lt;0,0,N(INDEX('CURVA PREVISION'!$A$1:$KZ$3000,$C29,10+3*MIN(AH$3,$D$2-1)))))</f>
        <v/>
      </c>
      <c r="AI29" s="130">
        <f>IF(OR($C29="",$B$2="",$D$2=0),0,IF(AI$3&lt;0,0,N(INDEX('CURVA PREVISION'!$A$1:$KZ$3000,$C29,10+3*MIN(AI$3,$D$2-1)))))</f>
        <v/>
      </c>
      <c r="AJ29" s="130">
        <f>IF(OR($C29="",$B$2="",$D$2=0),0,IF(AJ$3&lt;0,0,N(INDEX('CURVA PREVISION'!$A$1:$KZ$3000,$C29,10+3*MIN(AJ$3,$D$2-1)))))</f>
        <v/>
      </c>
      <c r="AK29" s="130">
        <f>IF(OR($C29="",$B$2="",$D$2=0),0,IF(AK$3&lt;0,0,N(INDEX('CURVA PREVISION'!$A$1:$KZ$3000,$C29,10+3*MIN(AK$3,$D$2-1)))))</f>
        <v/>
      </c>
      <c r="AL29" s="130">
        <f>IF(OR($C29="",$B$2="",$D$2=0),0,IF(AL$3&lt;0,0,N(INDEX('CURVA PREVISION'!$A$1:$KZ$3000,$C29,10+3*MIN(AL$3,$D$2-1)))))</f>
        <v/>
      </c>
      <c r="AM29" s="130">
        <f>IF(OR($C29="",$B$2="",$D$2=0),0,IF(AM$3&lt;0,0,N(INDEX('CURVA PREVISION'!$A$1:$KZ$3000,$C29,10+3*MIN(AM$3,$D$2-1)))))</f>
        <v/>
      </c>
      <c r="AN29" s="130">
        <f>IF(OR($C29="",$B$2="",$D$2=0),0,IF(AN$3&lt;0,0,N(INDEX('CURVA PREVISION'!$A$1:$KZ$3000,$C29,10+3*MIN(AN$3,$D$2-1)))))</f>
        <v/>
      </c>
      <c r="AO29" s="130">
        <f>IF(OR($C29="",$B$2="",$D$2=0),0,IF(AO$3&lt;0,0,N(INDEX('CURVA PREVISION'!$A$1:$KZ$3000,$C29,10+3*MIN(AO$3,$D$2-1)))))</f>
        <v/>
      </c>
      <c r="AP29" s="130">
        <f>IF(OR($C29="",$B$2="",$D$2=0),0,IF(AP$3&lt;0,0,N(INDEX('CURVA PREVISION'!$A$1:$KZ$3000,$C29,10+3*MIN(AP$3,$D$2-1)))))</f>
        <v/>
      </c>
      <c r="AQ29" s="130">
        <f>IF(OR($C29="",$B$2="",$D$2=0),0,IF(AQ$3&lt;0,0,N(INDEX('CURVA PREVISION'!$A$1:$KZ$3000,$C29,10+3*MIN(AQ$3,$D$2-1)))))</f>
        <v/>
      </c>
      <c r="AR29" s="130">
        <f>IF(OR($C29="",$B$2="",$D$2=0),0,IF(AR$3&lt;0,0,N(INDEX('CURVA PREVISION'!$A$1:$KZ$3000,$C29,10+3*MIN(AR$3,$D$2-1)))))</f>
        <v/>
      </c>
      <c r="AS29" s="130">
        <f>IF(OR($C29="",$B$2="",$D$2=0),0,IF(AS$3&lt;0,0,N(INDEX('CURVA PREVISION'!$A$1:$KZ$3000,$C29,10+3*MIN(AS$3,$D$2-1)))))</f>
        <v/>
      </c>
      <c r="AT29" s="130">
        <f>IF(OR($C29="",$B$2="",$D$2=0),0,IF(AT$3&lt;0,0,N(INDEX('CURVA PREVISION'!$A$1:$KZ$3000,$C29,10+3*MIN(AT$3,$D$2-1)))))</f>
        <v/>
      </c>
      <c r="AU29" s="130">
        <f>IF(OR($C29="",$B$2="",$D$2=0),0,IF(AU$3&lt;0,0,N(INDEX('CURVA PREVISION'!$A$1:$KZ$3000,$C29,10+3*MIN(AU$3,$D$2-1)))))</f>
        <v/>
      </c>
      <c r="AV29" s="130">
        <f>IF(OR($C29="",$B$2="",$D$2=0),0,IF(AV$3&lt;0,0,N(INDEX('CURVA PREVISION'!$A$1:$KZ$3000,$C29,10+3*MIN(AV$3,$D$2-1)))))</f>
        <v/>
      </c>
      <c r="AW29" s="130">
        <f>IF(OR($C29="",$B$2="",$D$2=0),0,IF(AW$3&lt;0,0,N(INDEX('CURVA PREVISION'!$A$1:$KZ$3000,$C29,10+3*MIN(AW$3,$D$2-1)))))</f>
        <v/>
      </c>
      <c r="AX29" s="130">
        <f>IF(OR($C29="",$B$2="",$D$2=0),0,IF(AX$3&lt;0,0,N(INDEX('CURVA PREVISION'!$A$1:$KZ$3000,$C29,10+3*MIN(AX$3,$D$2-1)))))</f>
        <v/>
      </c>
      <c r="AY29" s="130">
        <f>IF(OR($C29="",$B$2="",$D$2=0),0,IF(AY$3&lt;0,0,N(INDEX('CURVA PREVISION'!$A$1:$KZ$3000,$C29,10+3*MIN(AY$3,$D$2-1)))))</f>
        <v/>
      </c>
      <c r="AZ29" s="130">
        <f>IF(OR($C29="",$B$2="",$D$2=0),0,IF(AZ$3&lt;0,0,N(INDEX('CURVA PREVISION'!$A$1:$KZ$3000,$C29,10+3*MIN(AZ$3,$D$2-1)))))</f>
        <v/>
      </c>
      <c r="BA29" s="130">
        <f>IF(OR($C29="",$B$2="",$D$2=0),0,IF(BA$3&lt;0,0,N(INDEX('CURVA PREVISION'!$A$1:$KZ$3000,$C29,10+3*MIN(BA$3,$D$2-1)))))</f>
        <v/>
      </c>
      <c r="BB29" s="130">
        <f>IF(OR($C29="",$B$2="",$D$2=0),0,IF(BB$3&lt;0,0,N(INDEX('CURVA PREVISION'!$A$1:$KZ$3000,$C29,10+3*MIN(BB$3,$D$2-1)))))</f>
        <v/>
      </c>
      <c r="BC29" s="130">
        <f>IF(OR($C29="",$B$2="",$D$2=0),0,IF(BC$3&lt;0,0,N(INDEX('CURVA PREVISION'!$A$1:$KZ$3000,$C29,10+3*MIN(BC$3,$D$2-1)))))</f>
        <v/>
      </c>
      <c r="BD29" s="130">
        <f>IF(OR($C29="",$B$2="",$D$2=0),0,IF(BD$3&lt;0,0,N(INDEX('CURVA PREVISION'!$A$1:$KZ$3000,$C29,10+3*MIN(BD$3,$D$2-1)))))</f>
        <v/>
      </c>
      <c r="BE29" s="130">
        <f>IF(OR($C29="",$B$2="",$D$2=0),0,IF(BE$3&lt;0,0,N(INDEX('CURVA PREVISION'!$A$1:$KZ$3000,$C29,10+3*MIN(BE$3,$D$2-1)))))</f>
        <v/>
      </c>
      <c r="BF29" s="130">
        <f>IF(OR($C29="",$B$2="",$D$2=0),0,IF(BF$3&lt;0,0,N(INDEX('CURVA PREVISION'!$A$1:$KZ$3000,$C29,10+3*MIN(BF$3,$D$2-1)))))</f>
        <v/>
      </c>
      <c r="BG29" s="130">
        <f>IF(OR($C29="",$B$2="",$D$2=0),0,IF(BG$3&lt;0,0,N(INDEX('CURVA PREVISION'!$A$1:$KZ$3000,$C29,10+3*MIN(BG$3,$D$2-1)))))</f>
        <v/>
      </c>
      <c r="BH29" s="130">
        <f>IF(OR($C29="",$B$2="",$D$2=0),0,IF(BH$3&lt;0,0,N(INDEX('CURVA PREVISION'!$A$1:$KZ$3000,$C29,10+3*MIN(BH$3,$D$2-1)))))</f>
        <v/>
      </c>
      <c r="BI29" s="130">
        <f>IF(OR($C29="",$B$2="",$D$2=0),0,IF(BI$3&lt;0,0,N(INDEX('CURVA PREVISION'!$A$1:$KZ$3000,$C29,10+3*MIN(BI$3,$D$2-1)))))</f>
        <v/>
      </c>
      <c r="BJ29" s="130">
        <f>IF(OR($C29="",$B$2="",$D$2=0),0,IF(BJ$3&lt;0,0,N(INDEX('CURVA PREVISION'!$A$1:$KZ$3000,$C29,10+3*MIN(BJ$3,$D$2-1)))))</f>
        <v/>
      </c>
      <c r="BK29" s="130">
        <f>IF(OR($C29="",$B$2="",$D$2=0),0,IF(BK$3&lt;0,0,N(INDEX('CURVA PREVISION'!$A$1:$KZ$3000,$C29,10+3*MIN(BK$3,$D$2-1)))))</f>
        <v/>
      </c>
      <c r="BL29" s="130">
        <f>IF(OR($C29="",$B$2="",$D$2=0),0,IF(BL$3&lt;0,0,N(INDEX('CURVA PREVISION'!$A$1:$KZ$3000,$C29,10+3*MIN(BL$3,$D$2-1)))))</f>
        <v/>
      </c>
      <c r="BM29" s="130">
        <f>IF(OR($C29="",$B$2="",$D$2=0),0,IF(BM$3&lt;0,0,N(INDEX('CURVA PREVISION'!$A$1:$KZ$3000,$C29,10+3*MIN(BM$3,$D$2-1)))))</f>
        <v/>
      </c>
      <c r="BN29" s="130">
        <f>IF(OR($C29="",$B$2="",$D$2=0),0,IF(BN$3&lt;0,0,N(INDEX('CURVA PREVISION'!$A$1:$KZ$3000,$C29,10+3*MIN(BN$3,$D$2-1)))))</f>
        <v/>
      </c>
      <c r="BO29" s="130">
        <f>IF(OR($C29="",$B$2="",$D$2=0),0,IF(BO$3&lt;0,0,N(INDEX('CURVA PREVISION'!$A$1:$KZ$3000,$C29,10+3*MIN(BO$3,$D$2-1)))))</f>
        <v/>
      </c>
      <c r="BP29" s="130">
        <f>IF(OR($C29="",$B$2="",$D$2=0),0,IF(BP$3&lt;0,0,N(INDEX('CURVA PREVISION'!$A$1:$KZ$3000,$C29,10+3*MIN(BP$3,$D$2-1)))))</f>
        <v/>
      </c>
      <c r="BQ29" s="130">
        <f>IF(OR($C29="",$B$2="",$D$2=0),0,IF(BQ$3&lt;0,0,N(INDEX('CURVA PREVISION'!$A$1:$KZ$3000,$C29,10+3*MIN(BQ$3,$D$2-1)))))</f>
        <v/>
      </c>
      <c r="BR29" s="130">
        <f>IF(OR($C29="",$B$2="",$D$2=0),0,IF(BR$3&lt;0,0,N(INDEX('CURVA PREVISION'!$A$1:$KZ$3000,$C29,10+3*MIN(BR$3,$D$2-1)))))</f>
        <v/>
      </c>
      <c r="BS29" s="130">
        <f>IF(OR($C29="",$B$2="",$D$2=0),0,IF(BS$3&lt;0,0,N(INDEX('CURVA PREVISION'!$A$1:$KZ$3000,$C29,10+3*MIN(BS$3,$D$2-1)))))</f>
        <v/>
      </c>
      <c r="BT29" s="130">
        <f>IF(OR($C29="",$B$2="",$D$2=0),0,IF(BT$3&lt;0,0,N(INDEX('CURVA PREVISION'!$A$1:$KZ$3000,$C29,10+3*MIN(BT$3,$D$2-1)))))</f>
        <v/>
      </c>
      <c r="BU29" s="130">
        <f>IF(OR($C29="",$B$2="",$D$2=0),0,IF(BU$3&lt;0,0,N(INDEX('CURVA PREVISION'!$A$1:$KZ$3000,$C29,10+3*MIN(BU$3,$D$2-1)))))</f>
        <v/>
      </c>
      <c r="BV29" s="130">
        <f>IF(OR($C29="",$B$2="",$D$2=0),0,IF(BV$3&lt;0,0,N(INDEX('CURVA PREVISION'!$A$1:$KZ$3000,$C29,10+3*MIN(BV$3,$D$2-1)))))</f>
        <v/>
      </c>
      <c r="BW29" s="130">
        <f>IF(OR($C29="",$B$2="",$D$2=0),0,IF(BW$3&lt;0,0,N(INDEX('CURVA PREVISION'!$A$1:$KZ$3000,$C29,10+3*MIN(BW$3,$D$2-1)))))</f>
        <v/>
      </c>
    </row>
    <row r="30">
      <c r="A30" s="61">
        <f>IF('VALOR POR PL'!R36&lt;&gt;"",'VALOR POR PL'!R36,IF('VALOR POR PL'!Q36="",'VALOR POR PL'!C36,'VALOR POR PL'!Q36))</f>
        <v/>
      </c>
      <c r="B30" s="61">
        <f>'VALOR POR PL'!D36</f>
        <v/>
      </c>
      <c r="C30" s="70">
        <f>IFERROR(MATCH(A30,'CURVA PREVISION'!$B$1:$B$3000,0),"")</f>
        <v/>
      </c>
      <c r="D30" s="130">
        <f>IF(OR($C30="",$B$2="",$D$2=0),0,IF(D$3&lt;0,0,N(INDEX('CURVA PREVISION'!$A$1:$KZ$3000,$C30,10+3*MIN(D$3,$D$2-1)))))</f>
        <v/>
      </c>
      <c r="E30" s="130">
        <f>IF(OR($C30="",$B$2="",$D$2=0),0,IF(E$3&lt;0,0,N(INDEX('CURVA PREVISION'!$A$1:$KZ$3000,$C30,10+3*MIN(E$3,$D$2-1)))))</f>
        <v/>
      </c>
      <c r="F30" s="130">
        <f>IF(OR($C30="",$B$2="",$D$2=0),0,IF(F$3&lt;0,0,N(INDEX('CURVA PREVISION'!$A$1:$KZ$3000,$C30,10+3*MIN(F$3,$D$2-1)))))</f>
        <v/>
      </c>
      <c r="G30" s="130">
        <f>IF(OR($C30="",$B$2="",$D$2=0),0,IF(G$3&lt;0,0,N(INDEX('CURVA PREVISION'!$A$1:$KZ$3000,$C30,10+3*MIN(G$3,$D$2-1)))))</f>
        <v/>
      </c>
      <c r="H30" s="130">
        <f>IF(OR($C30="",$B$2="",$D$2=0),0,IF(H$3&lt;0,0,N(INDEX('CURVA PREVISION'!$A$1:$KZ$3000,$C30,10+3*MIN(H$3,$D$2-1)))))</f>
        <v/>
      </c>
      <c r="I30" s="130">
        <f>IF(OR($C30="",$B$2="",$D$2=0),0,IF(I$3&lt;0,0,N(INDEX('CURVA PREVISION'!$A$1:$KZ$3000,$C30,10+3*MIN(I$3,$D$2-1)))))</f>
        <v/>
      </c>
      <c r="J30" s="130">
        <f>IF(OR($C30="",$B$2="",$D$2=0),0,IF(J$3&lt;0,0,N(INDEX('CURVA PREVISION'!$A$1:$KZ$3000,$C30,10+3*MIN(J$3,$D$2-1)))))</f>
        <v/>
      </c>
      <c r="K30" s="130">
        <f>IF(OR($C30="",$B$2="",$D$2=0),0,IF(K$3&lt;0,0,N(INDEX('CURVA PREVISION'!$A$1:$KZ$3000,$C30,10+3*MIN(K$3,$D$2-1)))))</f>
        <v/>
      </c>
      <c r="L30" s="130">
        <f>IF(OR($C30="",$B$2="",$D$2=0),0,IF(L$3&lt;0,0,N(INDEX('CURVA PREVISION'!$A$1:$KZ$3000,$C30,10+3*MIN(L$3,$D$2-1)))))</f>
        <v/>
      </c>
      <c r="M30" s="130">
        <f>IF(OR($C30="",$B$2="",$D$2=0),0,IF(M$3&lt;0,0,N(INDEX('CURVA PREVISION'!$A$1:$KZ$3000,$C30,10+3*MIN(M$3,$D$2-1)))))</f>
        <v/>
      </c>
      <c r="N30" s="130">
        <f>IF(OR($C30="",$B$2="",$D$2=0),0,IF(N$3&lt;0,0,N(INDEX('CURVA PREVISION'!$A$1:$KZ$3000,$C30,10+3*MIN(N$3,$D$2-1)))))</f>
        <v/>
      </c>
      <c r="O30" s="130">
        <f>IF(OR($C30="",$B$2="",$D$2=0),0,IF(O$3&lt;0,0,N(INDEX('CURVA PREVISION'!$A$1:$KZ$3000,$C30,10+3*MIN(O$3,$D$2-1)))))</f>
        <v/>
      </c>
      <c r="P30" s="130">
        <f>IF(OR($C30="",$B$2="",$D$2=0),0,IF(P$3&lt;0,0,N(INDEX('CURVA PREVISION'!$A$1:$KZ$3000,$C30,10+3*MIN(P$3,$D$2-1)))))</f>
        <v/>
      </c>
      <c r="Q30" s="130">
        <f>IF(OR($C30="",$B$2="",$D$2=0),0,IF(Q$3&lt;0,0,N(INDEX('CURVA PREVISION'!$A$1:$KZ$3000,$C30,10+3*MIN(Q$3,$D$2-1)))))</f>
        <v/>
      </c>
      <c r="R30" s="130">
        <f>IF(OR($C30="",$B$2="",$D$2=0),0,IF(R$3&lt;0,0,N(INDEX('CURVA PREVISION'!$A$1:$KZ$3000,$C30,10+3*MIN(R$3,$D$2-1)))))</f>
        <v/>
      </c>
      <c r="S30" s="130">
        <f>IF(OR($C30="",$B$2="",$D$2=0),0,IF(S$3&lt;0,0,N(INDEX('CURVA PREVISION'!$A$1:$KZ$3000,$C30,10+3*MIN(S$3,$D$2-1)))))</f>
        <v/>
      </c>
      <c r="T30" s="130">
        <f>IF(OR($C30="",$B$2="",$D$2=0),0,IF(T$3&lt;0,0,N(INDEX('CURVA PREVISION'!$A$1:$KZ$3000,$C30,10+3*MIN(T$3,$D$2-1)))))</f>
        <v/>
      </c>
      <c r="U30" s="130">
        <f>IF(OR($C30="",$B$2="",$D$2=0),0,IF(U$3&lt;0,0,N(INDEX('CURVA PREVISION'!$A$1:$KZ$3000,$C30,10+3*MIN(U$3,$D$2-1)))))</f>
        <v/>
      </c>
      <c r="V30" s="130">
        <f>IF(OR($C30="",$B$2="",$D$2=0),0,IF(V$3&lt;0,0,N(INDEX('CURVA PREVISION'!$A$1:$KZ$3000,$C30,10+3*MIN(V$3,$D$2-1)))))</f>
        <v/>
      </c>
      <c r="W30" s="130">
        <f>IF(OR($C30="",$B$2="",$D$2=0),0,IF(W$3&lt;0,0,N(INDEX('CURVA PREVISION'!$A$1:$KZ$3000,$C30,10+3*MIN(W$3,$D$2-1)))))</f>
        <v/>
      </c>
      <c r="X30" s="130">
        <f>IF(OR($C30="",$B$2="",$D$2=0),0,IF(X$3&lt;0,0,N(INDEX('CURVA PREVISION'!$A$1:$KZ$3000,$C30,10+3*MIN(X$3,$D$2-1)))))</f>
        <v/>
      </c>
      <c r="Y30" s="130">
        <f>IF(OR($C30="",$B$2="",$D$2=0),0,IF(Y$3&lt;0,0,N(INDEX('CURVA PREVISION'!$A$1:$KZ$3000,$C30,10+3*MIN(Y$3,$D$2-1)))))</f>
        <v/>
      </c>
      <c r="Z30" s="130">
        <f>IF(OR($C30="",$B$2="",$D$2=0),0,IF(Z$3&lt;0,0,N(INDEX('CURVA PREVISION'!$A$1:$KZ$3000,$C30,10+3*MIN(Z$3,$D$2-1)))))</f>
        <v/>
      </c>
      <c r="AA30" s="130">
        <f>IF(OR($C30="",$B$2="",$D$2=0),0,IF(AA$3&lt;0,0,N(INDEX('CURVA PREVISION'!$A$1:$KZ$3000,$C30,10+3*MIN(AA$3,$D$2-1)))))</f>
        <v/>
      </c>
      <c r="AB30" s="130">
        <f>IF(OR($C30="",$B$2="",$D$2=0),0,IF(AB$3&lt;0,0,N(INDEX('CURVA PREVISION'!$A$1:$KZ$3000,$C30,10+3*MIN(AB$3,$D$2-1)))))</f>
        <v/>
      </c>
      <c r="AC30" s="130">
        <f>IF(OR($C30="",$B$2="",$D$2=0),0,IF(AC$3&lt;0,0,N(INDEX('CURVA PREVISION'!$A$1:$KZ$3000,$C30,10+3*MIN(AC$3,$D$2-1)))))</f>
        <v/>
      </c>
      <c r="AD30" s="130">
        <f>IF(OR($C30="",$B$2="",$D$2=0),0,IF(AD$3&lt;0,0,N(INDEX('CURVA PREVISION'!$A$1:$KZ$3000,$C30,10+3*MIN(AD$3,$D$2-1)))))</f>
        <v/>
      </c>
      <c r="AE30" s="130">
        <f>IF(OR($C30="",$B$2="",$D$2=0),0,IF(AE$3&lt;0,0,N(INDEX('CURVA PREVISION'!$A$1:$KZ$3000,$C30,10+3*MIN(AE$3,$D$2-1)))))</f>
        <v/>
      </c>
      <c r="AF30" s="130">
        <f>IF(OR($C30="",$B$2="",$D$2=0),0,IF(AF$3&lt;0,0,N(INDEX('CURVA PREVISION'!$A$1:$KZ$3000,$C30,10+3*MIN(AF$3,$D$2-1)))))</f>
        <v/>
      </c>
      <c r="AG30" s="130">
        <f>IF(OR($C30="",$B$2="",$D$2=0),0,IF(AG$3&lt;0,0,N(INDEX('CURVA PREVISION'!$A$1:$KZ$3000,$C30,10+3*MIN(AG$3,$D$2-1)))))</f>
        <v/>
      </c>
      <c r="AH30" s="130">
        <f>IF(OR($C30="",$B$2="",$D$2=0),0,IF(AH$3&lt;0,0,N(INDEX('CURVA PREVISION'!$A$1:$KZ$3000,$C30,10+3*MIN(AH$3,$D$2-1)))))</f>
        <v/>
      </c>
      <c r="AI30" s="130">
        <f>IF(OR($C30="",$B$2="",$D$2=0),0,IF(AI$3&lt;0,0,N(INDEX('CURVA PREVISION'!$A$1:$KZ$3000,$C30,10+3*MIN(AI$3,$D$2-1)))))</f>
        <v/>
      </c>
      <c r="AJ30" s="130">
        <f>IF(OR($C30="",$B$2="",$D$2=0),0,IF(AJ$3&lt;0,0,N(INDEX('CURVA PREVISION'!$A$1:$KZ$3000,$C30,10+3*MIN(AJ$3,$D$2-1)))))</f>
        <v/>
      </c>
      <c r="AK30" s="130">
        <f>IF(OR($C30="",$B$2="",$D$2=0),0,IF(AK$3&lt;0,0,N(INDEX('CURVA PREVISION'!$A$1:$KZ$3000,$C30,10+3*MIN(AK$3,$D$2-1)))))</f>
        <v/>
      </c>
      <c r="AL30" s="130">
        <f>IF(OR($C30="",$B$2="",$D$2=0),0,IF(AL$3&lt;0,0,N(INDEX('CURVA PREVISION'!$A$1:$KZ$3000,$C30,10+3*MIN(AL$3,$D$2-1)))))</f>
        <v/>
      </c>
      <c r="AM30" s="130">
        <f>IF(OR($C30="",$B$2="",$D$2=0),0,IF(AM$3&lt;0,0,N(INDEX('CURVA PREVISION'!$A$1:$KZ$3000,$C30,10+3*MIN(AM$3,$D$2-1)))))</f>
        <v/>
      </c>
      <c r="AN30" s="130">
        <f>IF(OR($C30="",$B$2="",$D$2=0),0,IF(AN$3&lt;0,0,N(INDEX('CURVA PREVISION'!$A$1:$KZ$3000,$C30,10+3*MIN(AN$3,$D$2-1)))))</f>
        <v/>
      </c>
      <c r="AO30" s="130">
        <f>IF(OR($C30="",$B$2="",$D$2=0),0,IF(AO$3&lt;0,0,N(INDEX('CURVA PREVISION'!$A$1:$KZ$3000,$C30,10+3*MIN(AO$3,$D$2-1)))))</f>
        <v/>
      </c>
      <c r="AP30" s="130">
        <f>IF(OR($C30="",$B$2="",$D$2=0),0,IF(AP$3&lt;0,0,N(INDEX('CURVA PREVISION'!$A$1:$KZ$3000,$C30,10+3*MIN(AP$3,$D$2-1)))))</f>
        <v/>
      </c>
      <c r="AQ30" s="130">
        <f>IF(OR($C30="",$B$2="",$D$2=0),0,IF(AQ$3&lt;0,0,N(INDEX('CURVA PREVISION'!$A$1:$KZ$3000,$C30,10+3*MIN(AQ$3,$D$2-1)))))</f>
        <v/>
      </c>
      <c r="AR30" s="130">
        <f>IF(OR($C30="",$B$2="",$D$2=0),0,IF(AR$3&lt;0,0,N(INDEX('CURVA PREVISION'!$A$1:$KZ$3000,$C30,10+3*MIN(AR$3,$D$2-1)))))</f>
        <v/>
      </c>
      <c r="AS30" s="130">
        <f>IF(OR($C30="",$B$2="",$D$2=0),0,IF(AS$3&lt;0,0,N(INDEX('CURVA PREVISION'!$A$1:$KZ$3000,$C30,10+3*MIN(AS$3,$D$2-1)))))</f>
        <v/>
      </c>
      <c r="AT30" s="130">
        <f>IF(OR($C30="",$B$2="",$D$2=0),0,IF(AT$3&lt;0,0,N(INDEX('CURVA PREVISION'!$A$1:$KZ$3000,$C30,10+3*MIN(AT$3,$D$2-1)))))</f>
        <v/>
      </c>
      <c r="AU30" s="130">
        <f>IF(OR($C30="",$B$2="",$D$2=0),0,IF(AU$3&lt;0,0,N(INDEX('CURVA PREVISION'!$A$1:$KZ$3000,$C30,10+3*MIN(AU$3,$D$2-1)))))</f>
        <v/>
      </c>
      <c r="AV30" s="130">
        <f>IF(OR($C30="",$B$2="",$D$2=0),0,IF(AV$3&lt;0,0,N(INDEX('CURVA PREVISION'!$A$1:$KZ$3000,$C30,10+3*MIN(AV$3,$D$2-1)))))</f>
        <v/>
      </c>
      <c r="AW30" s="130">
        <f>IF(OR($C30="",$B$2="",$D$2=0),0,IF(AW$3&lt;0,0,N(INDEX('CURVA PREVISION'!$A$1:$KZ$3000,$C30,10+3*MIN(AW$3,$D$2-1)))))</f>
        <v/>
      </c>
      <c r="AX30" s="130">
        <f>IF(OR($C30="",$B$2="",$D$2=0),0,IF(AX$3&lt;0,0,N(INDEX('CURVA PREVISION'!$A$1:$KZ$3000,$C30,10+3*MIN(AX$3,$D$2-1)))))</f>
        <v/>
      </c>
      <c r="AY30" s="130">
        <f>IF(OR($C30="",$B$2="",$D$2=0),0,IF(AY$3&lt;0,0,N(INDEX('CURVA PREVISION'!$A$1:$KZ$3000,$C30,10+3*MIN(AY$3,$D$2-1)))))</f>
        <v/>
      </c>
      <c r="AZ30" s="130">
        <f>IF(OR($C30="",$B$2="",$D$2=0),0,IF(AZ$3&lt;0,0,N(INDEX('CURVA PREVISION'!$A$1:$KZ$3000,$C30,10+3*MIN(AZ$3,$D$2-1)))))</f>
        <v/>
      </c>
      <c r="BA30" s="130">
        <f>IF(OR($C30="",$B$2="",$D$2=0),0,IF(BA$3&lt;0,0,N(INDEX('CURVA PREVISION'!$A$1:$KZ$3000,$C30,10+3*MIN(BA$3,$D$2-1)))))</f>
        <v/>
      </c>
      <c r="BB30" s="130">
        <f>IF(OR($C30="",$B$2="",$D$2=0),0,IF(BB$3&lt;0,0,N(INDEX('CURVA PREVISION'!$A$1:$KZ$3000,$C30,10+3*MIN(BB$3,$D$2-1)))))</f>
        <v/>
      </c>
      <c r="BC30" s="130">
        <f>IF(OR($C30="",$B$2="",$D$2=0),0,IF(BC$3&lt;0,0,N(INDEX('CURVA PREVISION'!$A$1:$KZ$3000,$C30,10+3*MIN(BC$3,$D$2-1)))))</f>
        <v/>
      </c>
      <c r="BD30" s="130">
        <f>IF(OR($C30="",$B$2="",$D$2=0),0,IF(BD$3&lt;0,0,N(INDEX('CURVA PREVISION'!$A$1:$KZ$3000,$C30,10+3*MIN(BD$3,$D$2-1)))))</f>
        <v/>
      </c>
      <c r="BE30" s="130">
        <f>IF(OR($C30="",$B$2="",$D$2=0),0,IF(BE$3&lt;0,0,N(INDEX('CURVA PREVISION'!$A$1:$KZ$3000,$C30,10+3*MIN(BE$3,$D$2-1)))))</f>
        <v/>
      </c>
      <c r="BF30" s="130">
        <f>IF(OR($C30="",$B$2="",$D$2=0),0,IF(BF$3&lt;0,0,N(INDEX('CURVA PREVISION'!$A$1:$KZ$3000,$C30,10+3*MIN(BF$3,$D$2-1)))))</f>
        <v/>
      </c>
      <c r="BG30" s="130">
        <f>IF(OR($C30="",$B$2="",$D$2=0),0,IF(BG$3&lt;0,0,N(INDEX('CURVA PREVISION'!$A$1:$KZ$3000,$C30,10+3*MIN(BG$3,$D$2-1)))))</f>
        <v/>
      </c>
      <c r="BH30" s="130">
        <f>IF(OR($C30="",$B$2="",$D$2=0),0,IF(BH$3&lt;0,0,N(INDEX('CURVA PREVISION'!$A$1:$KZ$3000,$C30,10+3*MIN(BH$3,$D$2-1)))))</f>
        <v/>
      </c>
      <c r="BI30" s="130">
        <f>IF(OR($C30="",$B$2="",$D$2=0),0,IF(BI$3&lt;0,0,N(INDEX('CURVA PREVISION'!$A$1:$KZ$3000,$C30,10+3*MIN(BI$3,$D$2-1)))))</f>
        <v/>
      </c>
      <c r="BJ30" s="130">
        <f>IF(OR($C30="",$B$2="",$D$2=0),0,IF(BJ$3&lt;0,0,N(INDEX('CURVA PREVISION'!$A$1:$KZ$3000,$C30,10+3*MIN(BJ$3,$D$2-1)))))</f>
        <v/>
      </c>
      <c r="BK30" s="130">
        <f>IF(OR($C30="",$B$2="",$D$2=0),0,IF(BK$3&lt;0,0,N(INDEX('CURVA PREVISION'!$A$1:$KZ$3000,$C30,10+3*MIN(BK$3,$D$2-1)))))</f>
        <v/>
      </c>
      <c r="BL30" s="130">
        <f>IF(OR($C30="",$B$2="",$D$2=0),0,IF(BL$3&lt;0,0,N(INDEX('CURVA PREVISION'!$A$1:$KZ$3000,$C30,10+3*MIN(BL$3,$D$2-1)))))</f>
        <v/>
      </c>
      <c r="BM30" s="130">
        <f>IF(OR($C30="",$B$2="",$D$2=0),0,IF(BM$3&lt;0,0,N(INDEX('CURVA PREVISION'!$A$1:$KZ$3000,$C30,10+3*MIN(BM$3,$D$2-1)))))</f>
        <v/>
      </c>
      <c r="BN30" s="130">
        <f>IF(OR($C30="",$B$2="",$D$2=0),0,IF(BN$3&lt;0,0,N(INDEX('CURVA PREVISION'!$A$1:$KZ$3000,$C30,10+3*MIN(BN$3,$D$2-1)))))</f>
        <v/>
      </c>
      <c r="BO30" s="130">
        <f>IF(OR($C30="",$B$2="",$D$2=0),0,IF(BO$3&lt;0,0,N(INDEX('CURVA PREVISION'!$A$1:$KZ$3000,$C30,10+3*MIN(BO$3,$D$2-1)))))</f>
        <v/>
      </c>
      <c r="BP30" s="130">
        <f>IF(OR($C30="",$B$2="",$D$2=0),0,IF(BP$3&lt;0,0,N(INDEX('CURVA PREVISION'!$A$1:$KZ$3000,$C30,10+3*MIN(BP$3,$D$2-1)))))</f>
        <v/>
      </c>
      <c r="BQ30" s="130">
        <f>IF(OR($C30="",$B$2="",$D$2=0),0,IF(BQ$3&lt;0,0,N(INDEX('CURVA PREVISION'!$A$1:$KZ$3000,$C30,10+3*MIN(BQ$3,$D$2-1)))))</f>
        <v/>
      </c>
      <c r="BR30" s="130">
        <f>IF(OR($C30="",$B$2="",$D$2=0),0,IF(BR$3&lt;0,0,N(INDEX('CURVA PREVISION'!$A$1:$KZ$3000,$C30,10+3*MIN(BR$3,$D$2-1)))))</f>
        <v/>
      </c>
      <c r="BS30" s="130">
        <f>IF(OR($C30="",$B$2="",$D$2=0),0,IF(BS$3&lt;0,0,N(INDEX('CURVA PREVISION'!$A$1:$KZ$3000,$C30,10+3*MIN(BS$3,$D$2-1)))))</f>
        <v/>
      </c>
      <c r="BT30" s="130">
        <f>IF(OR($C30="",$B$2="",$D$2=0),0,IF(BT$3&lt;0,0,N(INDEX('CURVA PREVISION'!$A$1:$KZ$3000,$C30,10+3*MIN(BT$3,$D$2-1)))))</f>
        <v/>
      </c>
      <c r="BU30" s="130">
        <f>IF(OR($C30="",$B$2="",$D$2=0),0,IF(BU$3&lt;0,0,N(INDEX('CURVA PREVISION'!$A$1:$KZ$3000,$C30,10+3*MIN(BU$3,$D$2-1)))))</f>
        <v/>
      </c>
      <c r="BV30" s="130">
        <f>IF(OR($C30="",$B$2="",$D$2=0),0,IF(BV$3&lt;0,0,N(INDEX('CURVA PREVISION'!$A$1:$KZ$3000,$C30,10+3*MIN(BV$3,$D$2-1)))))</f>
        <v/>
      </c>
      <c r="BW30" s="130">
        <f>IF(OR($C30="",$B$2="",$D$2=0),0,IF(BW$3&lt;0,0,N(INDEX('CURVA PREVISION'!$A$1:$KZ$3000,$C30,10+3*MIN(BW$3,$D$2-1)))))</f>
        <v/>
      </c>
    </row>
    <row r="31">
      <c r="A31" s="61">
        <f>IF('VALOR POR PL'!R37&lt;&gt;"",'VALOR POR PL'!R37,IF('VALOR POR PL'!Q37="",'VALOR POR PL'!C37,'VALOR POR PL'!Q37))</f>
        <v/>
      </c>
      <c r="B31" s="61">
        <f>'VALOR POR PL'!D37</f>
        <v/>
      </c>
      <c r="C31" s="70">
        <f>IFERROR(MATCH(A31,'CURVA PREVISION'!$B$1:$B$3000,0),"")</f>
        <v/>
      </c>
      <c r="D31" s="130">
        <f>IF(OR($C31="",$B$2="",$D$2=0),0,IF(D$3&lt;0,0,N(INDEX('CURVA PREVISION'!$A$1:$KZ$3000,$C31,10+3*MIN(D$3,$D$2-1)))))</f>
        <v/>
      </c>
      <c r="E31" s="130">
        <f>IF(OR($C31="",$B$2="",$D$2=0),0,IF(E$3&lt;0,0,N(INDEX('CURVA PREVISION'!$A$1:$KZ$3000,$C31,10+3*MIN(E$3,$D$2-1)))))</f>
        <v/>
      </c>
      <c r="F31" s="130">
        <f>IF(OR($C31="",$B$2="",$D$2=0),0,IF(F$3&lt;0,0,N(INDEX('CURVA PREVISION'!$A$1:$KZ$3000,$C31,10+3*MIN(F$3,$D$2-1)))))</f>
        <v/>
      </c>
      <c r="G31" s="130">
        <f>IF(OR($C31="",$B$2="",$D$2=0),0,IF(G$3&lt;0,0,N(INDEX('CURVA PREVISION'!$A$1:$KZ$3000,$C31,10+3*MIN(G$3,$D$2-1)))))</f>
        <v/>
      </c>
      <c r="H31" s="130">
        <f>IF(OR($C31="",$B$2="",$D$2=0),0,IF(H$3&lt;0,0,N(INDEX('CURVA PREVISION'!$A$1:$KZ$3000,$C31,10+3*MIN(H$3,$D$2-1)))))</f>
        <v/>
      </c>
      <c r="I31" s="130">
        <f>IF(OR($C31="",$B$2="",$D$2=0),0,IF(I$3&lt;0,0,N(INDEX('CURVA PREVISION'!$A$1:$KZ$3000,$C31,10+3*MIN(I$3,$D$2-1)))))</f>
        <v/>
      </c>
      <c r="J31" s="130">
        <f>IF(OR($C31="",$B$2="",$D$2=0),0,IF(J$3&lt;0,0,N(INDEX('CURVA PREVISION'!$A$1:$KZ$3000,$C31,10+3*MIN(J$3,$D$2-1)))))</f>
        <v/>
      </c>
      <c r="K31" s="130">
        <f>IF(OR($C31="",$B$2="",$D$2=0),0,IF(K$3&lt;0,0,N(INDEX('CURVA PREVISION'!$A$1:$KZ$3000,$C31,10+3*MIN(K$3,$D$2-1)))))</f>
        <v/>
      </c>
      <c r="L31" s="130">
        <f>IF(OR($C31="",$B$2="",$D$2=0),0,IF(L$3&lt;0,0,N(INDEX('CURVA PREVISION'!$A$1:$KZ$3000,$C31,10+3*MIN(L$3,$D$2-1)))))</f>
        <v/>
      </c>
      <c r="M31" s="130">
        <f>IF(OR($C31="",$B$2="",$D$2=0),0,IF(M$3&lt;0,0,N(INDEX('CURVA PREVISION'!$A$1:$KZ$3000,$C31,10+3*MIN(M$3,$D$2-1)))))</f>
        <v/>
      </c>
      <c r="N31" s="130">
        <f>IF(OR($C31="",$B$2="",$D$2=0),0,IF(N$3&lt;0,0,N(INDEX('CURVA PREVISION'!$A$1:$KZ$3000,$C31,10+3*MIN(N$3,$D$2-1)))))</f>
        <v/>
      </c>
      <c r="O31" s="130">
        <f>IF(OR($C31="",$B$2="",$D$2=0),0,IF(O$3&lt;0,0,N(INDEX('CURVA PREVISION'!$A$1:$KZ$3000,$C31,10+3*MIN(O$3,$D$2-1)))))</f>
        <v/>
      </c>
      <c r="P31" s="130">
        <f>IF(OR($C31="",$B$2="",$D$2=0),0,IF(P$3&lt;0,0,N(INDEX('CURVA PREVISION'!$A$1:$KZ$3000,$C31,10+3*MIN(P$3,$D$2-1)))))</f>
        <v/>
      </c>
      <c r="Q31" s="130">
        <f>IF(OR($C31="",$B$2="",$D$2=0),0,IF(Q$3&lt;0,0,N(INDEX('CURVA PREVISION'!$A$1:$KZ$3000,$C31,10+3*MIN(Q$3,$D$2-1)))))</f>
        <v/>
      </c>
      <c r="R31" s="130">
        <f>IF(OR($C31="",$B$2="",$D$2=0),0,IF(R$3&lt;0,0,N(INDEX('CURVA PREVISION'!$A$1:$KZ$3000,$C31,10+3*MIN(R$3,$D$2-1)))))</f>
        <v/>
      </c>
      <c r="S31" s="130">
        <f>IF(OR($C31="",$B$2="",$D$2=0),0,IF(S$3&lt;0,0,N(INDEX('CURVA PREVISION'!$A$1:$KZ$3000,$C31,10+3*MIN(S$3,$D$2-1)))))</f>
        <v/>
      </c>
      <c r="T31" s="130">
        <f>IF(OR($C31="",$B$2="",$D$2=0),0,IF(T$3&lt;0,0,N(INDEX('CURVA PREVISION'!$A$1:$KZ$3000,$C31,10+3*MIN(T$3,$D$2-1)))))</f>
        <v/>
      </c>
      <c r="U31" s="130">
        <f>IF(OR($C31="",$B$2="",$D$2=0),0,IF(U$3&lt;0,0,N(INDEX('CURVA PREVISION'!$A$1:$KZ$3000,$C31,10+3*MIN(U$3,$D$2-1)))))</f>
        <v/>
      </c>
      <c r="V31" s="130">
        <f>IF(OR($C31="",$B$2="",$D$2=0),0,IF(V$3&lt;0,0,N(INDEX('CURVA PREVISION'!$A$1:$KZ$3000,$C31,10+3*MIN(V$3,$D$2-1)))))</f>
        <v/>
      </c>
      <c r="W31" s="130">
        <f>IF(OR($C31="",$B$2="",$D$2=0),0,IF(W$3&lt;0,0,N(INDEX('CURVA PREVISION'!$A$1:$KZ$3000,$C31,10+3*MIN(W$3,$D$2-1)))))</f>
        <v/>
      </c>
      <c r="X31" s="130">
        <f>IF(OR($C31="",$B$2="",$D$2=0),0,IF(X$3&lt;0,0,N(INDEX('CURVA PREVISION'!$A$1:$KZ$3000,$C31,10+3*MIN(X$3,$D$2-1)))))</f>
        <v/>
      </c>
      <c r="Y31" s="130">
        <f>IF(OR($C31="",$B$2="",$D$2=0),0,IF(Y$3&lt;0,0,N(INDEX('CURVA PREVISION'!$A$1:$KZ$3000,$C31,10+3*MIN(Y$3,$D$2-1)))))</f>
        <v/>
      </c>
      <c r="Z31" s="130">
        <f>IF(OR($C31="",$B$2="",$D$2=0),0,IF(Z$3&lt;0,0,N(INDEX('CURVA PREVISION'!$A$1:$KZ$3000,$C31,10+3*MIN(Z$3,$D$2-1)))))</f>
        <v/>
      </c>
      <c r="AA31" s="130">
        <f>IF(OR($C31="",$B$2="",$D$2=0),0,IF(AA$3&lt;0,0,N(INDEX('CURVA PREVISION'!$A$1:$KZ$3000,$C31,10+3*MIN(AA$3,$D$2-1)))))</f>
        <v/>
      </c>
      <c r="AB31" s="130">
        <f>IF(OR($C31="",$B$2="",$D$2=0),0,IF(AB$3&lt;0,0,N(INDEX('CURVA PREVISION'!$A$1:$KZ$3000,$C31,10+3*MIN(AB$3,$D$2-1)))))</f>
        <v/>
      </c>
      <c r="AC31" s="130">
        <f>IF(OR($C31="",$B$2="",$D$2=0),0,IF(AC$3&lt;0,0,N(INDEX('CURVA PREVISION'!$A$1:$KZ$3000,$C31,10+3*MIN(AC$3,$D$2-1)))))</f>
        <v/>
      </c>
      <c r="AD31" s="130">
        <f>IF(OR($C31="",$B$2="",$D$2=0),0,IF(AD$3&lt;0,0,N(INDEX('CURVA PREVISION'!$A$1:$KZ$3000,$C31,10+3*MIN(AD$3,$D$2-1)))))</f>
        <v/>
      </c>
      <c r="AE31" s="130">
        <f>IF(OR($C31="",$B$2="",$D$2=0),0,IF(AE$3&lt;0,0,N(INDEX('CURVA PREVISION'!$A$1:$KZ$3000,$C31,10+3*MIN(AE$3,$D$2-1)))))</f>
        <v/>
      </c>
      <c r="AF31" s="130">
        <f>IF(OR($C31="",$B$2="",$D$2=0),0,IF(AF$3&lt;0,0,N(INDEX('CURVA PREVISION'!$A$1:$KZ$3000,$C31,10+3*MIN(AF$3,$D$2-1)))))</f>
        <v/>
      </c>
      <c r="AG31" s="130">
        <f>IF(OR($C31="",$B$2="",$D$2=0),0,IF(AG$3&lt;0,0,N(INDEX('CURVA PREVISION'!$A$1:$KZ$3000,$C31,10+3*MIN(AG$3,$D$2-1)))))</f>
        <v/>
      </c>
      <c r="AH31" s="130">
        <f>IF(OR($C31="",$B$2="",$D$2=0),0,IF(AH$3&lt;0,0,N(INDEX('CURVA PREVISION'!$A$1:$KZ$3000,$C31,10+3*MIN(AH$3,$D$2-1)))))</f>
        <v/>
      </c>
      <c r="AI31" s="130">
        <f>IF(OR($C31="",$B$2="",$D$2=0),0,IF(AI$3&lt;0,0,N(INDEX('CURVA PREVISION'!$A$1:$KZ$3000,$C31,10+3*MIN(AI$3,$D$2-1)))))</f>
        <v/>
      </c>
      <c r="AJ31" s="130">
        <f>IF(OR($C31="",$B$2="",$D$2=0),0,IF(AJ$3&lt;0,0,N(INDEX('CURVA PREVISION'!$A$1:$KZ$3000,$C31,10+3*MIN(AJ$3,$D$2-1)))))</f>
        <v/>
      </c>
      <c r="AK31" s="130">
        <f>IF(OR($C31="",$B$2="",$D$2=0),0,IF(AK$3&lt;0,0,N(INDEX('CURVA PREVISION'!$A$1:$KZ$3000,$C31,10+3*MIN(AK$3,$D$2-1)))))</f>
        <v/>
      </c>
      <c r="AL31" s="130">
        <f>IF(OR($C31="",$B$2="",$D$2=0),0,IF(AL$3&lt;0,0,N(INDEX('CURVA PREVISION'!$A$1:$KZ$3000,$C31,10+3*MIN(AL$3,$D$2-1)))))</f>
        <v/>
      </c>
      <c r="AM31" s="130">
        <f>IF(OR($C31="",$B$2="",$D$2=0),0,IF(AM$3&lt;0,0,N(INDEX('CURVA PREVISION'!$A$1:$KZ$3000,$C31,10+3*MIN(AM$3,$D$2-1)))))</f>
        <v/>
      </c>
      <c r="AN31" s="130">
        <f>IF(OR($C31="",$B$2="",$D$2=0),0,IF(AN$3&lt;0,0,N(INDEX('CURVA PREVISION'!$A$1:$KZ$3000,$C31,10+3*MIN(AN$3,$D$2-1)))))</f>
        <v/>
      </c>
      <c r="AO31" s="130">
        <f>IF(OR($C31="",$B$2="",$D$2=0),0,IF(AO$3&lt;0,0,N(INDEX('CURVA PREVISION'!$A$1:$KZ$3000,$C31,10+3*MIN(AO$3,$D$2-1)))))</f>
        <v/>
      </c>
      <c r="AP31" s="130">
        <f>IF(OR($C31="",$B$2="",$D$2=0),0,IF(AP$3&lt;0,0,N(INDEX('CURVA PREVISION'!$A$1:$KZ$3000,$C31,10+3*MIN(AP$3,$D$2-1)))))</f>
        <v/>
      </c>
      <c r="AQ31" s="130">
        <f>IF(OR($C31="",$B$2="",$D$2=0),0,IF(AQ$3&lt;0,0,N(INDEX('CURVA PREVISION'!$A$1:$KZ$3000,$C31,10+3*MIN(AQ$3,$D$2-1)))))</f>
        <v/>
      </c>
      <c r="AR31" s="130">
        <f>IF(OR($C31="",$B$2="",$D$2=0),0,IF(AR$3&lt;0,0,N(INDEX('CURVA PREVISION'!$A$1:$KZ$3000,$C31,10+3*MIN(AR$3,$D$2-1)))))</f>
        <v/>
      </c>
      <c r="AS31" s="130">
        <f>IF(OR($C31="",$B$2="",$D$2=0),0,IF(AS$3&lt;0,0,N(INDEX('CURVA PREVISION'!$A$1:$KZ$3000,$C31,10+3*MIN(AS$3,$D$2-1)))))</f>
        <v/>
      </c>
      <c r="AT31" s="130">
        <f>IF(OR($C31="",$B$2="",$D$2=0),0,IF(AT$3&lt;0,0,N(INDEX('CURVA PREVISION'!$A$1:$KZ$3000,$C31,10+3*MIN(AT$3,$D$2-1)))))</f>
        <v/>
      </c>
      <c r="AU31" s="130">
        <f>IF(OR($C31="",$B$2="",$D$2=0),0,IF(AU$3&lt;0,0,N(INDEX('CURVA PREVISION'!$A$1:$KZ$3000,$C31,10+3*MIN(AU$3,$D$2-1)))))</f>
        <v/>
      </c>
      <c r="AV31" s="130">
        <f>IF(OR($C31="",$B$2="",$D$2=0),0,IF(AV$3&lt;0,0,N(INDEX('CURVA PREVISION'!$A$1:$KZ$3000,$C31,10+3*MIN(AV$3,$D$2-1)))))</f>
        <v/>
      </c>
      <c r="AW31" s="130">
        <f>IF(OR($C31="",$B$2="",$D$2=0),0,IF(AW$3&lt;0,0,N(INDEX('CURVA PREVISION'!$A$1:$KZ$3000,$C31,10+3*MIN(AW$3,$D$2-1)))))</f>
        <v/>
      </c>
      <c r="AX31" s="130">
        <f>IF(OR($C31="",$B$2="",$D$2=0),0,IF(AX$3&lt;0,0,N(INDEX('CURVA PREVISION'!$A$1:$KZ$3000,$C31,10+3*MIN(AX$3,$D$2-1)))))</f>
        <v/>
      </c>
      <c r="AY31" s="130">
        <f>IF(OR($C31="",$B$2="",$D$2=0),0,IF(AY$3&lt;0,0,N(INDEX('CURVA PREVISION'!$A$1:$KZ$3000,$C31,10+3*MIN(AY$3,$D$2-1)))))</f>
        <v/>
      </c>
      <c r="AZ31" s="130">
        <f>IF(OR($C31="",$B$2="",$D$2=0),0,IF(AZ$3&lt;0,0,N(INDEX('CURVA PREVISION'!$A$1:$KZ$3000,$C31,10+3*MIN(AZ$3,$D$2-1)))))</f>
        <v/>
      </c>
      <c r="BA31" s="130">
        <f>IF(OR($C31="",$B$2="",$D$2=0),0,IF(BA$3&lt;0,0,N(INDEX('CURVA PREVISION'!$A$1:$KZ$3000,$C31,10+3*MIN(BA$3,$D$2-1)))))</f>
        <v/>
      </c>
      <c r="BB31" s="130">
        <f>IF(OR($C31="",$B$2="",$D$2=0),0,IF(BB$3&lt;0,0,N(INDEX('CURVA PREVISION'!$A$1:$KZ$3000,$C31,10+3*MIN(BB$3,$D$2-1)))))</f>
        <v/>
      </c>
      <c r="BC31" s="130">
        <f>IF(OR($C31="",$B$2="",$D$2=0),0,IF(BC$3&lt;0,0,N(INDEX('CURVA PREVISION'!$A$1:$KZ$3000,$C31,10+3*MIN(BC$3,$D$2-1)))))</f>
        <v/>
      </c>
      <c r="BD31" s="130">
        <f>IF(OR($C31="",$B$2="",$D$2=0),0,IF(BD$3&lt;0,0,N(INDEX('CURVA PREVISION'!$A$1:$KZ$3000,$C31,10+3*MIN(BD$3,$D$2-1)))))</f>
        <v/>
      </c>
      <c r="BE31" s="130">
        <f>IF(OR($C31="",$B$2="",$D$2=0),0,IF(BE$3&lt;0,0,N(INDEX('CURVA PREVISION'!$A$1:$KZ$3000,$C31,10+3*MIN(BE$3,$D$2-1)))))</f>
        <v/>
      </c>
      <c r="BF31" s="130">
        <f>IF(OR($C31="",$B$2="",$D$2=0),0,IF(BF$3&lt;0,0,N(INDEX('CURVA PREVISION'!$A$1:$KZ$3000,$C31,10+3*MIN(BF$3,$D$2-1)))))</f>
        <v/>
      </c>
      <c r="BG31" s="130">
        <f>IF(OR($C31="",$B$2="",$D$2=0),0,IF(BG$3&lt;0,0,N(INDEX('CURVA PREVISION'!$A$1:$KZ$3000,$C31,10+3*MIN(BG$3,$D$2-1)))))</f>
        <v/>
      </c>
      <c r="BH31" s="130">
        <f>IF(OR($C31="",$B$2="",$D$2=0),0,IF(BH$3&lt;0,0,N(INDEX('CURVA PREVISION'!$A$1:$KZ$3000,$C31,10+3*MIN(BH$3,$D$2-1)))))</f>
        <v/>
      </c>
      <c r="BI31" s="130">
        <f>IF(OR($C31="",$B$2="",$D$2=0),0,IF(BI$3&lt;0,0,N(INDEX('CURVA PREVISION'!$A$1:$KZ$3000,$C31,10+3*MIN(BI$3,$D$2-1)))))</f>
        <v/>
      </c>
      <c r="BJ31" s="130">
        <f>IF(OR($C31="",$B$2="",$D$2=0),0,IF(BJ$3&lt;0,0,N(INDEX('CURVA PREVISION'!$A$1:$KZ$3000,$C31,10+3*MIN(BJ$3,$D$2-1)))))</f>
        <v/>
      </c>
      <c r="BK31" s="130">
        <f>IF(OR($C31="",$B$2="",$D$2=0),0,IF(BK$3&lt;0,0,N(INDEX('CURVA PREVISION'!$A$1:$KZ$3000,$C31,10+3*MIN(BK$3,$D$2-1)))))</f>
        <v/>
      </c>
      <c r="BL31" s="130">
        <f>IF(OR($C31="",$B$2="",$D$2=0),0,IF(BL$3&lt;0,0,N(INDEX('CURVA PREVISION'!$A$1:$KZ$3000,$C31,10+3*MIN(BL$3,$D$2-1)))))</f>
        <v/>
      </c>
      <c r="BM31" s="130">
        <f>IF(OR($C31="",$B$2="",$D$2=0),0,IF(BM$3&lt;0,0,N(INDEX('CURVA PREVISION'!$A$1:$KZ$3000,$C31,10+3*MIN(BM$3,$D$2-1)))))</f>
        <v/>
      </c>
      <c r="BN31" s="130">
        <f>IF(OR($C31="",$B$2="",$D$2=0),0,IF(BN$3&lt;0,0,N(INDEX('CURVA PREVISION'!$A$1:$KZ$3000,$C31,10+3*MIN(BN$3,$D$2-1)))))</f>
        <v/>
      </c>
      <c r="BO31" s="130">
        <f>IF(OR($C31="",$B$2="",$D$2=0),0,IF(BO$3&lt;0,0,N(INDEX('CURVA PREVISION'!$A$1:$KZ$3000,$C31,10+3*MIN(BO$3,$D$2-1)))))</f>
        <v/>
      </c>
      <c r="BP31" s="130">
        <f>IF(OR($C31="",$B$2="",$D$2=0),0,IF(BP$3&lt;0,0,N(INDEX('CURVA PREVISION'!$A$1:$KZ$3000,$C31,10+3*MIN(BP$3,$D$2-1)))))</f>
        <v/>
      </c>
      <c r="BQ31" s="130">
        <f>IF(OR($C31="",$B$2="",$D$2=0),0,IF(BQ$3&lt;0,0,N(INDEX('CURVA PREVISION'!$A$1:$KZ$3000,$C31,10+3*MIN(BQ$3,$D$2-1)))))</f>
        <v/>
      </c>
      <c r="BR31" s="130">
        <f>IF(OR($C31="",$B$2="",$D$2=0),0,IF(BR$3&lt;0,0,N(INDEX('CURVA PREVISION'!$A$1:$KZ$3000,$C31,10+3*MIN(BR$3,$D$2-1)))))</f>
        <v/>
      </c>
      <c r="BS31" s="130">
        <f>IF(OR($C31="",$B$2="",$D$2=0),0,IF(BS$3&lt;0,0,N(INDEX('CURVA PREVISION'!$A$1:$KZ$3000,$C31,10+3*MIN(BS$3,$D$2-1)))))</f>
        <v/>
      </c>
      <c r="BT31" s="130">
        <f>IF(OR($C31="",$B$2="",$D$2=0),0,IF(BT$3&lt;0,0,N(INDEX('CURVA PREVISION'!$A$1:$KZ$3000,$C31,10+3*MIN(BT$3,$D$2-1)))))</f>
        <v/>
      </c>
      <c r="BU31" s="130">
        <f>IF(OR($C31="",$B$2="",$D$2=0),0,IF(BU$3&lt;0,0,N(INDEX('CURVA PREVISION'!$A$1:$KZ$3000,$C31,10+3*MIN(BU$3,$D$2-1)))))</f>
        <v/>
      </c>
      <c r="BV31" s="130">
        <f>IF(OR($C31="",$B$2="",$D$2=0),0,IF(BV$3&lt;0,0,N(INDEX('CURVA PREVISION'!$A$1:$KZ$3000,$C31,10+3*MIN(BV$3,$D$2-1)))))</f>
        <v/>
      </c>
      <c r="BW31" s="130">
        <f>IF(OR($C31="",$B$2="",$D$2=0),0,IF(BW$3&lt;0,0,N(INDEX('CURVA PREVISION'!$A$1:$KZ$3000,$C31,10+3*MIN(BW$3,$D$2-1)))))</f>
        <v/>
      </c>
    </row>
    <row r="32">
      <c r="A32" s="61">
        <f>IF('VALOR POR PL'!R38&lt;&gt;"",'VALOR POR PL'!R38,IF('VALOR POR PL'!Q38="",'VALOR POR PL'!C38,'VALOR POR PL'!Q38))</f>
        <v/>
      </c>
      <c r="B32" s="61">
        <f>'VALOR POR PL'!D38</f>
        <v/>
      </c>
      <c r="C32" s="70">
        <f>IFERROR(MATCH(A32,'CURVA PREVISION'!$B$1:$B$3000,0),"")</f>
        <v/>
      </c>
      <c r="D32" s="130">
        <f>IF(OR($C32="",$B$2="",$D$2=0),0,IF(D$3&lt;0,0,N(INDEX('CURVA PREVISION'!$A$1:$KZ$3000,$C32,10+3*MIN(D$3,$D$2-1)))))</f>
        <v/>
      </c>
      <c r="E32" s="130">
        <f>IF(OR($C32="",$B$2="",$D$2=0),0,IF(E$3&lt;0,0,N(INDEX('CURVA PREVISION'!$A$1:$KZ$3000,$C32,10+3*MIN(E$3,$D$2-1)))))</f>
        <v/>
      </c>
      <c r="F32" s="130">
        <f>IF(OR($C32="",$B$2="",$D$2=0),0,IF(F$3&lt;0,0,N(INDEX('CURVA PREVISION'!$A$1:$KZ$3000,$C32,10+3*MIN(F$3,$D$2-1)))))</f>
        <v/>
      </c>
      <c r="G32" s="130">
        <f>IF(OR($C32="",$B$2="",$D$2=0),0,IF(G$3&lt;0,0,N(INDEX('CURVA PREVISION'!$A$1:$KZ$3000,$C32,10+3*MIN(G$3,$D$2-1)))))</f>
        <v/>
      </c>
      <c r="H32" s="130">
        <f>IF(OR($C32="",$B$2="",$D$2=0),0,IF(H$3&lt;0,0,N(INDEX('CURVA PREVISION'!$A$1:$KZ$3000,$C32,10+3*MIN(H$3,$D$2-1)))))</f>
        <v/>
      </c>
      <c r="I32" s="130">
        <f>IF(OR($C32="",$B$2="",$D$2=0),0,IF(I$3&lt;0,0,N(INDEX('CURVA PREVISION'!$A$1:$KZ$3000,$C32,10+3*MIN(I$3,$D$2-1)))))</f>
        <v/>
      </c>
      <c r="J32" s="130">
        <f>IF(OR($C32="",$B$2="",$D$2=0),0,IF(J$3&lt;0,0,N(INDEX('CURVA PREVISION'!$A$1:$KZ$3000,$C32,10+3*MIN(J$3,$D$2-1)))))</f>
        <v/>
      </c>
      <c r="K32" s="130">
        <f>IF(OR($C32="",$B$2="",$D$2=0),0,IF(K$3&lt;0,0,N(INDEX('CURVA PREVISION'!$A$1:$KZ$3000,$C32,10+3*MIN(K$3,$D$2-1)))))</f>
        <v/>
      </c>
      <c r="L32" s="130">
        <f>IF(OR($C32="",$B$2="",$D$2=0),0,IF(L$3&lt;0,0,N(INDEX('CURVA PREVISION'!$A$1:$KZ$3000,$C32,10+3*MIN(L$3,$D$2-1)))))</f>
        <v/>
      </c>
      <c r="M32" s="130">
        <f>IF(OR($C32="",$B$2="",$D$2=0),0,IF(M$3&lt;0,0,N(INDEX('CURVA PREVISION'!$A$1:$KZ$3000,$C32,10+3*MIN(M$3,$D$2-1)))))</f>
        <v/>
      </c>
      <c r="N32" s="130">
        <f>IF(OR($C32="",$B$2="",$D$2=0),0,IF(N$3&lt;0,0,N(INDEX('CURVA PREVISION'!$A$1:$KZ$3000,$C32,10+3*MIN(N$3,$D$2-1)))))</f>
        <v/>
      </c>
      <c r="O32" s="130">
        <f>IF(OR($C32="",$B$2="",$D$2=0),0,IF(O$3&lt;0,0,N(INDEX('CURVA PREVISION'!$A$1:$KZ$3000,$C32,10+3*MIN(O$3,$D$2-1)))))</f>
        <v/>
      </c>
      <c r="P32" s="130">
        <f>IF(OR($C32="",$B$2="",$D$2=0),0,IF(P$3&lt;0,0,N(INDEX('CURVA PREVISION'!$A$1:$KZ$3000,$C32,10+3*MIN(P$3,$D$2-1)))))</f>
        <v/>
      </c>
      <c r="Q32" s="130">
        <f>IF(OR($C32="",$B$2="",$D$2=0),0,IF(Q$3&lt;0,0,N(INDEX('CURVA PREVISION'!$A$1:$KZ$3000,$C32,10+3*MIN(Q$3,$D$2-1)))))</f>
        <v/>
      </c>
      <c r="R32" s="130">
        <f>IF(OR($C32="",$B$2="",$D$2=0),0,IF(R$3&lt;0,0,N(INDEX('CURVA PREVISION'!$A$1:$KZ$3000,$C32,10+3*MIN(R$3,$D$2-1)))))</f>
        <v/>
      </c>
      <c r="S32" s="130">
        <f>IF(OR($C32="",$B$2="",$D$2=0),0,IF(S$3&lt;0,0,N(INDEX('CURVA PREVISION'!$A$1:$KZ$3000,$C32,10+3*MIN(S$3,$D$2-1)))))</f>
        <v/>
      </c>
      <c r="T32" s="130">
        <f>IF(OR($C32="",$B$2="",$D$2=0),0,IF(T$3&lt;0,0,N(INDEX('CURVA PREVISION'!$A$1:$KZ$3000,$C32,10+3*MIN(T$3,$D$2-1)))))</f>
        <v/>
      </c>
      <c r="U32" s="130">
        <f>IF(OR($C32="",$B$2="",$D$2=0),0,IF(U$3&lt;0,0,N(INDEX('CURVA PREVISION'!$A$1:$KZ$3000,$C32,10+3*MIN(U$3,$D$2-1)))))</f>
        <v/>
      </c>
      <c r="V32" s="130">
        <f>IF(OR($C32="",$B$2="",$D$2=0),0,IF(V$3&lt;0,0,N(INDEX('CURVA PREVISION'!$A$1:$KZ$3000,$C32,10+3*MIN(V$3,$D$2-1)))))</f>
        <v/>
      </c>
      <c r="W32" s="130">
        <f>IF(OR($C32="",$B$2="",$D$2=0),0,IF(W$3&lt;0,0,N(INDEX('CURVA PREVISION'!$A$1:$KZ$3000,$C32,10+3*MIN(W$3,$D$2-1)))))</f>
        <v/>
      </c>
      <c r="X32" s="130">
        <f>IF(OR($C32="",$B$2="",$D$2=0),0,IF(X$3&lt;0,0,N(INDEX('CURVA PREVISION'!$A$1:$KZ$3000,$C32,10+3*MIN(X$3,$D$2-1)))))</f>
        <v/>
      </c>
      <c r="Y32" s="130">
        <f>IF(OR($C32="",$B$2="",$D$2=0),0,IF(Y$3&lt;0,0,N(INDEX('CURVA PREVISION'!$A$1:$KZ$3000,$C32,10+3*MIN(Y$3,$D$2-1)))))</f>
        <v/>
      </c>
      <c r="Z32" s="130">
        <f>IF(OR($C32="",$B$2="",$D$2=0),0,IF(Z$3&lt;0,0,N(INDEX('CURVA PREVISION'!$A$1:$KZ$3000,$C32,10+3*MIN(Z$3,$D$2-1)))))</f>
        <v/>
      </c>
      <c r="AA32" s="130">
        <f>IF(OR($C32="",$B$2="",$D$2=0),0,IF(AA$3&lt;0,0,N(INDEX('CURVA PREVISION'!$A$1:$KZ$3000,$C32,10+3*MIN(AA$3,$D$2-1)))))</f>
        <v/>
      </c>
      <c r="AB32" s="130">
        <f>IF(OR($C32="",$B$2="",$D$2=0),0,IF(AB$3&lt;0,0,N(INDEX('CURVA PREVISION'!$A$1:$KZ$3000,$C32,10+3*MIN(AB$3,$D$2-1)))))</f>
        <v/>
      </c>
      <c r="AC32" s="130">
        <f>IF(OR($C32="",$B$2="",$D$2=0),0,IF(AC$3&lt;0,0,N(INDEX('CURVA PREVISION'!$A$1:$KZ$3000,$C32,10+3*MIN(AC$3,$D$2-1)))))</f>
        <v/>
      </c>
      <c r="AD32" s="130">
        <f>IF(OR($C32="",$B$2="",$D$2=0),0,IF(AD$3&lt;0,0,N(INDEX('CURVA PREVISION'!$A$1:$KZ$3000,$C32,10+3*MIN(AD$3,$D$2-1)))))</f>
        <v/>
      </c>
      <c r="AE32" s="130">
        <f>IF(OR($C32="",$B$2="",$D$2=0),0,IF(AE$3&lt;0,0,N(INDEX('CURVA PREVISION'!$A$1:$KZ$3000,$C32,10+3*MIN(AE$3,$D$2-1)))))</f>
        <v/>
      </c>
      <c r="AF32" s="130">
        <f>IF(OR($C32="",$B$2="",$D$2=0),0,IF(AF$3&lt;0,0,N(INDEX('CURVA PREVISION'!$A$1:$KZ$3000,$C32,10+3*MIN(AF$3,$D$2-1)))))</f>
        <v/>
      </c>
      <c r="AG32" s="130">
        <f>IF(OR($C32="",$B$2="",$D$2=0),0,IF(AG$3&lt;0,0,N(INDEX('CURVA PREVISION'!$A$1:$KZ$3000,$C32,10+3*MIN(AG$3,$D$2-1)))))</f>
        <v/>
      </c>
      <c r="AH32" s="130">
        <f>IF(OR($C32="",$B$2="",$D$2=0),0,IF(AH$3&lt;0,0,N(INDEX('CURVA PREVISION'!$A$1:$KZ$3000,$C32,10+3*MIN(AH$3,$D$2-1)))))</f>
        <v/>
      </c>
      <c r="AI32" s="130">
        <f>IF(OR($C32="",$B$2="",$D$2=0),0,IF(AI$3&lt;0,0,N(INDEX('CURVA PREVISION'!$A$1:$KZ$3000,$C32,10+3*MIN(AI$3,$D$2-1)))))</f>
        <v/>
      </c>
      <c r="AJ32" s="130">
        <f>IF(OR($C32="",$B$2="",$D$2=0),0,IF(AJ$3&lt;0,0,N(INDEX('CURVA PREVISION'!$A$1:$KZ$3000,$C32,10+3*MIN(AJ$3,$D$2-1)))))</f>
        <v/>
      </c>
      <c r="AK32" s="130">
        <f>IF(OR($C32="",$B$2="",$D$2=0),0,IF(AK$3&lt;0,0,N(INDEX('CURVA PREVISION'!$A$1:$KZ$3000,$C32,10+3*MIN(AK$3,$D$2-1)))))</f>
        <v/>
      </c>
      <c r="AL32" s="130">
        <f>IF(OR($C32="",$B$2="",$D$2=0),0,IF(AL$3&lt;0,0,N(INDEX('CURVA PREVISION'!$A$1:$KZ$3000,$C32,10+3*MIN(AL$3,$D$2-1)))))</f>
        <v/>
      </c>
      <c r="AM32" s="130">
        <f>IF(OR($C32="",$B$2="",$D$2=0),0,IF(AM$3&lt;0,0,N(INDEX('CURVA PREVISION'!$A$1:$KZ$3000,$C32,10+3*MIN(AM$3,$D$2-1)))))</f>
        <v/>
      </c>
      <c r="AN32" s="130">
        <f>IF(OR($C32="",$B$2="",$D$2=0),0,IF(AN$3&lt;0,0,N(INDEX('CURVA PREVISION'!$A$1:$KZ$3000,$C32,10+3*MIN(AN$3,$D$2-1)))))</f>
        <v/>
      </c>
      <c r="AO32" s="130">
        <f>IF(OR($C32="",$B$2="",$D$2=0),0,IF(AO$3&lt;0,0,N(INDEX('CURVA PREVISION'!$A$1:$KZ$3000,$C32,10+3*MIN(AO$3,$D$2-1)))))</f>
        <v/>
      </c>
      <c r="AP32" s="130">
        <f>IF(OR($C32="",$B$2="",$D$2=0),0,IF(AP$3&lt;0,0,N(INDEX('CURVA PREVISION'!$A$1:$KZ$3000,$C32,10+3*MIN(AP$3,$D$2-1)))))</f>
        <v/>
      </c>
      <c r="AQ32" s="130">
        <f>IF(OR($C32="",$B$2="",$D$2=0),0,IF(AQ$3&lt;0,0,N(INDEX('CURVA PREVISION'!$A$1:$KZ$3000,$C32,10+3*MIN(AQ$3,$D$2-1)))))</f>
        <v/>
      </c>
      <c r="AR32" s="130">
        <f>IF(OR($C32="",$B$2="",$D$2=0),0,IF(AR$3&lt;0,0,N(INDEX('CURVA PREVISION'!$A$1:$KZ$3000,$C32,10+3*MIN(AR$3,$D$2-1)))))</f>
        <v/>
      </c>
      <c r="AS32" s="130">
        <f>IF(OR($C32="",$B$2="",$D$2=0),0,IF(AS$3&lt;0,0,N(INDEX('CURVA PREVISION'!$A$1:$KZ$3000,$C32,10+3*MIN(AS$3,$D$2-1)))))</f>
        <v/>
      </c>
      <c r="AT32" s="130">
        <f>IF(OR($C32="",$B$2="",$D$2=0),0,IF(AT$3&lt;0,0,N(INDEX('CURVA PREVISION'!$A$1:$KZ$3000,$C32,10+3*MIN(AT$3,$D$2-1)))))</f>
        <v/>
      </c>
      <c r="AU32" s="130">
        <f>IF(OR($C32="",$B$2="",$D$2=0),0,IF(AU$3&lt;0,0,N(INDEX('CURVA PREVISION'!$A$1:$KZ$3000,$C32,10+3*MIN(AU$3,$D$2-1)))))</f>
        <v/>
      </c>
      <c r="AV32" s="130">
        <f>IF(OR($C32="",$B$2="",$D$2=0),0,IF(AV$3&lt;0,0,N(INDEX('CURVA PREVISION'!$A$1:$KZ$3000,$C32,10+3*MIN(AV$3,$D$2-1)))))</f>
        <v/>
      </c>
      <c r="AW32" s="130">
        <f>IF(OR($C32="",$B$2="",$D$2=0),0,IF(AW$3&lt;0,0,N(INDEX('CURVA PREVISION'!$A$1:$KZ$3000,$C32,10+3*MIN(AW$3,$D$2-1)))))</f>
        <v/>
      </c>
      <c r="AX32" s="130">
        <f>IF(OR($C32="",$B$2="",$D$2=0),0,IF(AX$3&lt;0,0,N(INDEX('CURVA PREVISION'!$A$1:$KZ$3000,$C32,10+3*MIN(AX$3,$D$2-1)))))</f>
        <v/>
      </c>
      <c r="AY32" s="130">
        <f>IF(OR($C32="",$B$2="",$D$2=0),0,IF(AY$3&lt;0,0,N(INDEX('CURVA PREVISION'!$A$1:$KZ$3000,$C32,10+3*MIN(AY$3,$D$2-1)))))</f>
        <v/>
      </c>
      <c r="AZ32" s="130">
        <f>IF(OR($C32="",$B$2="",$D$2=0),0,IF(AZ$3&lt;0,0,N(INDEX('CURVA PREVISION'!$A$1:$KZ$3000,$C32,10+3*MIN(AZ$3,$D$2-1)))))</f>
        <v/>
      </c>
      <c r="BA32" s="130">
        <f>IF(OR($C32="",$B$2="",$D$2=0),0,IF(BA$3&lt;0,0,N(INDEX('CURVA PREVISION'!$A$1:$KZ$3000,$C32,10+3*MIN(BA$3,$D$2-1)))))</f>
        <v/>
      </c>
      <c r="BB32" s="130">
        <f>IF(OR($C32="",$B$2="",$D$2=0),0,IF(BB$3&lt;0,0,N(INDEX('CURVA PREVISION'!$A$1:$KZ$3000,$C32,10+3*MIN(BB$3,$D$2-1)))))</f>
        <v/>
      </c>
      <c r="BC32" s="130">
        <f>IF(OR($C32="",$B$2="",$D$2=0),0,IF(BC$3&lt;0,0,N(INDEX('CURVA PREVISION'!$A$1:$KZ$3000,$C32,10+3*MIN(BC$3,$D$2-1)))))</f>
        <v/>
      </c>
      <c r="BD32" s="130">
        <f>IF(OR($C32="",$B$2="",$D$2=0),0,IF(BD$3&lt;0,0,N(INDEX('CURVA PREVISION'!$A$1:$KZ$3000,$C32,10+3*MIN(BD$3,$D$2-1)))))</f>
        <v/>
      </c>
      <c r="BE32" s="130">
        <f>IF(OR($C32="",$B$2="",$D$2=0),0,IF(BE$3&lt;0,0,N(INDEX('CURVA PREVISION'!$A$1:$KZ$3000,$C32,10+3*MIN(BE$3,$D$2-1)))))</f>
        <v/>
      </c>
      <c r="BF32" s="130">
        <f>IF(OR($C32="",$B$2="",$D$2=0),0,IF(BF$3&lt;0,0,N(INDEX('CURVA PREVISION'!$A$1:$KZ$3000,$C32,10+3*MIN(BF$3,$D$2-1)))))</f>
        <v/>
      </c>
      <c r="BG32" s="130">
        <f>IF(OR($C32="",$B$2="",$D$2=0),0,IF(BG$3&lt;0,0,N(INDEX('CURVA PREVISION'!$A$1:$KZ$3000,$C32,10+3*MIN(BG$3,$D$2-1)))))</f>
        <v/>
      </c>
      <c r="BH32" s="130">
        <f>IF(OR($C32="",$B$2="",$D$2=0),0,IF(BH$3&lt;0,0,N(INDEX('CURVA PREVISION'!$A$1:$KZ$3000,$C32,10+3*MIN(BH$3,$D$2-1)))))</f>
        <v/>
      </c>
      <c r="BI32" s="130">
        <f>IF(OR($C32="",$B$2="",$D$2=0),0,IF(BI$3&lt;0,0,N(INDEX('CURVA PREVISION'!$A$1:$KZ$3000,$C32,10+3*MIN(BI$3,$D$2-1)))))</f>
        <v/>
      </c>
      <c r="BJ32" s="130">
        <f>IF(OR($C32="",$B$2="",$D$2=0),0,IF(BJ$3&lt;0,0,N(INDEX('CURVA PREVISION'!$A$1:$KZ$3000,$C32,10+3*MIN(BJ$3,$D$2-1)))))</f>
        <v/>
      </c>
      <c r="BK32" s="130">
        <f>IF(OR($C32="",$B$2="",$D$2=0),0,IF(BK$3&lt;0,0,N(INDEX('CURVA PREVISION'!$A$1:$KZ$3000,$C32,10+3*MIN(BK$3,$D$2-1)))))</f>
        <v/>
      </c>
      <c r="BL32" s="130">
        <f>IF(OR($C32="",$B$2="",$D$2=0),0,IF(BL$3&lt;0,0,N(INDEX('CURVA PREVISION'!$A$1:$KZ$3000,$C32,10+3*MIN(BL$3,$D$2-1)))))</f>
        <v/>
      </c>
      <c r="BM32" s="130">
        <f>IF(OR($C32="",$B$2="",$D$2=0),0,IF(BM$3&lt;0,0,N(INDEX('CURVA PREVISION'!$A$1:$KZ$3000,$C32,10+3*MIN(BM$3,$D$2-1)))))</f>
        <v/>
      </c>
      <c r="BN32" s="130">
        <f>IF(OR($C32="",$B$2="",$D$2=0),0,IF(BN$3&lt;0,0,N(INDEX('CURVA PREVISION'!$A$1:$KZ$3000,$C32,10+3*MIN(BN$3,$D$2-1)))))</f>
        <v/>
      </c>
      <c r="BO32" s="130">
        <f>IF(OR($C32="",$B$2="",$D$2=0),0,IF(BO$3&lt;0,0,N(INDEX('CURVA PREVISION'!$A$1:$KZ$3000,$C32,10+3*MIN(BO$3,$D$2-1)))))</f>
        <v/>
      </c>
      <c r="BP32" s="130">
        <f>IF(OR($C32="",$B$2="",$D$2=0),0,IF(BP$3&lt;0,0,N(INDEX('CURVA PREVISION'!$A$1:$KZ$3000,$C32,10+3*MIN(BP$3,$D$2-1)))))</f>
        <v/>
      </c>
      <c r="BQ32" s="130">
        <f>IF(OR($C32="",$B$2="",$D$2=0),0,IF(BQ$3&lt;0,0,N(INDEX('CURVA PREVISION'!$A$1:$KZ$3000,$C32,10+3*MIN(BQ$3,$D$2-1)))))</f>
        <v/>
      </c>
      <c r="BR32" s="130">
        <f>IF(OR($C32="",$B$2="",$D$2=0),0,IF(BR$3&lt;0,0,N(INDEX('CURVA PREVISION'!$A$1:$KZ$3000,$C32,10+3*MIN(BR$3,$D$2-1)))))</f>
        <v/>
      </c>
      <c r="BS32" s="130">
        <f>IF(OR($C32="",$B$2="",$D$2=0),0,IF(BS$3&lt;0,0,N(INDEX('CURVA PREVISION'!$A$1:$KZ$3000,$C32,10+3*MIN(BS$3,$D$2-1)))))</f>
        <v/>
      </c>
      <c r="BT32" s="130">
        <f>IF(OR($C32="",$B$2="",$D$2=0),0,IF(BT$3&lt;0,0,N(INDEX('CURVA PREVISION'!$A$1:$KZ$3000,$C32,10+3*MIN(BT$3,$D$2-1)))))</f>
        <v/>
      </c>
      <c r="BU32" s="130">
        <f>IF(OR($C32="",$B$2="",$D$2=0),0,IF(BU$3&lt;0,0,N(INDEX('CURVA PREVISION'!$A$1:$KZ$3000,$C32,10+3*MIN(BU$3,$D$2-1)))))</f>
        <v/>
      </c>
      <c r="BV32" s="130">
        <f>IF(OR($C32="",$B$2="",$D$2=0),0,IF(BV$3&lt;0,0,N(INDEX('CURVA PREVISION'!$A$1:$KZ$3000,$C32,10+3*MIN(BV$3,$D$2-1)))))</f>
        <v/>
      </c>
      <c r="BW32" s="130">
        <f>IF(OR($C32="",$B$2="",$D$2=0),0,IF(BW$3&lt;0,0,N(INDEX('CURVA PREVISION'!$A$1:$KZ$3000,$C32,10+3*MIN(BW$3,$D$2-1)))))</f>
        <v/>
      </c>
    </row>
    <row r="33">
      <c r="A33" s="61">
        <f>IF('VALOR POR PL'!R39&lt;&gt;"",'VALOR POR PL'!R39,IF('VALOR POR PL'!Q39="",'VALOR POR PL'!C39,'VALOR POR PL'!Q39))</f>
        <v/>
      </c>
      <c r="B33" s="61">
        <f>'VALOR POR PL'!D39</f>
        <v/>
      </c>
      <c r="C33" s="70">
        <f>IFERROR(MATCH(A33,'CURVA PREVISION'!$B$1:$B$3000,0),"")</f>
        <v/>
      </c>
      <c r="D33" s="130">
        <f>IF(OR($C33="",$B$2="",$D$2=0),0,IF(D$3&lt;0,0,N(INDEX('CURVA PREVISION'!$A$1:$KZ$3000,$C33,10+3*MIN(D$3,$D$2-1)))))</f>
        <v/>
      </c>
      <c r="E33" s="130">
        <f>IF(OR($C33="",$B$2="",$D$2=0),0,IF(E$3&lt;0,0,N(INDEX('CURVA PREVISION'!$A$1:$KZ$3000,$C33,10+3*MIN(E$3,$D$2-1)))))</f>
        <v/>
      </c>
      <c r="F33" s="130">
        <f>IF(OR($C33="",$B$2="",$D$2=0),0,IF(F$3&lt;0,0,N(INDEX('CURVA PREVISION'!$A$1:$KZ$3000,$C33,10+3*MIN(F$3,$D$2-1)))))</f>
        <v/>
      </c>
      <c r="G33" s="130">
        <f>IF(OR($C33="",$B$2="",$D$2=0),0,IF(G$3&lt;0,0,N(INDEX('CURVA PREVISION'!$A$1:$KZ$3000,$C33,10+3*MIN(G$3,$D$2-1)))))</f>
        <v/>
      </c>
      <c r="H33" s="130">
        <f>IF(OR($C33="",$B$2="",$D$2=0),0,IF(H$3&lt;0,0,N(INDEX('CURVA PREVISION'!$A$1:$KZ$3000,$C33,10+3*MIN(H$3,$D$2-1)))))</f>
        <v/>
      </c>
      <c r="I33" s="130">
        <f>IF(OR($C33="",$B$2="",$D$2=0),0,IF(I$3&lt;0,0,N(INDEX('CURVA PREVISION'!$A$1:$KZ$3000,$C33,10+3*MIN(I$3,$D$2-1)))))</f>
        <v/>
      </c>
      <c r="J33" s="130">
        <f>IF(OR($C33="",$B$2="",$D$2=0),0,IF(J$3&lt;0,0,N(INDEX('CURVA PREVISION'!$A$1:$KZ$3000,$C33,10+3*MIN(J$3,$D$2-1)))))</f>
        <v/>
      </c>
      <c r="K33" s="130">
        <f>IF(OR($C33="",$B$2="",$D$2=0),0,IF(K$3&lt;0,0,N(INDEX('CURVA PREVISION'!$A$1:$KZ$3000,$C33,10+3*MIN(K$3,$D$2-1)))))</f>
        <v/>
      </c>
      <c r="L33" s="130">
        <f>IF(OR($C33="",$B$2="",$D$2=0),0,IF(L$3&lt;0,0,N(INDEX('CURVA PREVISION'!$A$1:$KZ$3000,$C33,10+3*MIN(L$3,$D$2-1)))))</f>
        <v/>
      </c>
      <c r="M33" s="130">
        <f>IF(OR($C33="",$B$2="",$D$2=0),0,IF(M$3&lt;0,0,N(INDEX('CURVA PREVISION'!$A$1:$KZ$3000,$C33,10+3*MIN(M$3,$D$2-1)))))</f>
        <v/>
      </c>
      <c r="N33" s="130">
        <f>IF(OR($C33="",$B$2="",$D$2=0),0,IF(N$3&lt;0,0,N(INDEX('CURVA PREVISION'!$A$1:$KZ$3000,$C33,10+3*MIN(N$3,$D$2-1)))))</f>
        <v/>
      </c>
      <c r="O33" s="130">
        <f>IF(OR($C33="",$B$2="",$D$2=0),0,IF(O$3&lt;0,0,N(INDEX('CURVA PREVISION'!$A$1:$KZ$3000,$C33,10+3*MIN(O$3,$D$2-1)))))</f>
        <v/>
      </c>
      <c r="P33" s="130">
        <f>IF(OR($C33="",$B$2="",$D$2=0),0,IF(P$3&lt;0,0,N(INDEX('CURVA PREVISION'!$A$1:$KZ$3000,$C33,10+3*MIN(P$3,$D$2-1)))))</f>
        <v/>
      </c>
      <c r="Q33" s="130">
        <f>IF(OR($C33="",$B$2="",$D$2=0),0,IF(Q$3&lt;0,0,N(INDEX('CURVA PREVISION'!$A$1:$KZ$3000,$C33,10+3*MIN(Q$3,$D$2-1)))))</f>
        <v/>
      </c>
      <c r="R33" s="130">
        <f>IF(OR($C33="",$B$2="",$D$2=0),0,IF(R$3&lt;0,0,N(INDEX('CURVA PREVISION'!$A$1:$KZ$3000,$C33,10+3*MIN(R$3,$D$2-1)))))</f>
        <v/>
      </c>
      <c r="S33" s="130">
        <f>IF(OR($C33="",$B$2="",$D$2=0),0,IF(S$3&lt;0,0,N(INDEX('CURVA PREVISION'!$A$1:$KZ$3000,$C33,10+3*MIN(S$3,$D$2-1)))))</f>
        <v/>
      </c>
      <c r="T33" s="130">
        <f>IF(OR($C33="",$B$2="",$D$2=0),0,IF(T$3&lt;0,0,N(INDEX('CURVA PREVISION'!$A$1:$KZ$3000,$C33,10+3*MIN(T$3,$D$2-1)))))</f>
        <v/>
      </c>
      <c r="U33" s="130">
        <f>IF(OR($C33="",$B$2="",$D$2=0),0,IF(U$3&lt;0,0,N(INDEX('CURVA PREVISION'!$A$1:$KZ$3000,$C33,10+3*MIN(U$3,$D$2-1)))))</f>
        <v/>
      </c>
      <c r="V33" s="130">
        <f>IF(OR($C33="",$B$2="",$D$2=0),0,IF(V$3&lt;0,0,N(INDEX('CURVA PREVISION'!$A$1:$KZ$3000,$C33,10+3*MIN(V$3,$D$2-1)))))</f>
        <v/>
      </c>
      <c r="W33" s="130">
        <f>IF(OR($C33="",$B$2="",$D$2=0),0,IF(W$3&lt;0,0,N(INDEX('CURVA PREVISION'!$A$1:$KZ$3000,$C33,10+3*MIN(W$3,$D$2-1)))))</f>
        <v/>
      </c>
      <c r="X33" s="130">
        <f>IF(OR($C33="",$B$2="",$D$2=0),0,IF(X$3&lt;0,0,N(INDEX('CURVA PREVISION'!$A$1:$KZ$3000,$C33,10+3*MIN(X$3,$D$2-1)))))</f>
        <v/>
      </c>
      <c r="Y33" s="130">
        <f>IF(OR($C33="",$B$2="",$D$2=0),0,IF(Y$3&lt;0,0,N(INDEX('CURVA PREVISION'!$A$1:$KZ$3000,$C33,10+3*MIN(Y$3,$D$2-1)))))</f>
        <v/>
      </c>
      <c r="Z33" s="130">
        <f>IF(OR($C33="",$B$2="",$D$2=0),0,IF(Z$3&lt;0,0,N(INDEX('CURVA PREVISION'!$A$1:$KZ$3000,$C33,10+3*MIN(Z$3,$D$2-1)))))</f>
        <v/>
      </c>
      <c r="AA33" s="130">
        <f>IF(OR($C33="",$B$2="",$D$2=0),0,IF(AA$3&lt;0,0,N(INDEX('CURVA PREVISION'!$A$1:$KZ$3000,$C33,10+3*MIN(AA$3,$D$2-1)))))</f>
        <v/>
      </c>
      <c r="AB33" s="130">
        <f>IF(OR($C33="",$B$2="",$D$2=0),0,IF(AB$3&lt;0,0,N(INDEX('CURVA PREVISION'!$A$1:$KZ$3000,$C33,10+3*MIN(AB$3,$D$2-1)))))</f>
        <v/>
      </c>
      <c r="AC33" s="130">
        <f>IF(OR($C33="",$B$2="",$D$2=0),0,IF(AC$3&lt;0,0,N(INDEX('CURVA PREVISION'!$A$1:$KZ$3000,$C33,10+3*MIN(AC$3,$D$2-1)))))</f>
        <v/>
      </c>
      <c r="AD33" s="130">
        <f>IF(OR($C33="",$B$2="",$D$2=0),0,IF(AD$3&lt;0,0,N(INDEX('CURVA PREVISION'!$A$1:$KZ$3000,$C33,10+3*MIN(AD$3,$D$2-1)))))</f>
        <v/>
      </c>
      <c r="AE33" s="130">
        <f>IF(OR($C33="",$B$2="",$D$2=0),0,IF(AE$3&lt;0,0,N(INDEX('CURVA PREVISION'!$A$1:$KZ$3000,$C33,10+3*MIN(AE$3,$D$2-1)))))</f>
        <v/>
      </c>
      <c r="AF33" s="130">
        <f>IF(OR($C33="",$B$2="",$D$2=0),0,IF(AF$3&lt;0,0,N(INDEX('CURVA PREVISION'!$A$1:$KZ$3000,$C33,10+3*MIN(AF$3,$D$2-1)))))</f>
        <v/>
      </c>
      <c r="AG33" s="130">
        <f>IF(OR($C33="",$B$2="",$D$2=0),0,IF(AG$3&lt;0,0,N(INDEX('CURVA PREVISION'!$A$1:$KZ$3000,$C33,10+3*MIN(AG$3,$D$2-1)))))</f>
        <v/>
      </c>
      <c r="AH33" s="130">
        <f>IF(OR($C33="",$B$2="",$D$2=0),0,IF(AH$3&lt;0,0,N(INDEX('CURVA PREVISION'!$A$1:$KZ$3000,$C33,10+3*MIN(AH$3,$D$2-1)))))</f>
        <v/>
      </c>
      <c r="AI33" s="130">
        <f>IF(OR($C33="",$B$2="",$D$2=0),0,IF(AI$3&lt;0,0,N(INDEX('CURVA PREVISION'!$A$1:$KZ$3000,$C33,10+3*MIN(AI$3,$D$2-1)))))</f>
        <v/>
      </c>
      <c r="AJ33" s="130">
        <f>IF(OR($C33="",$B$2="",$D$2=0),0,IF(AJ$3&lt;0,0,N(INDEX('CURVA PREVISION'!$A$1:$KZ$3000,$C33,10+3*MIN(AJ$3,$D$2-1)))))</f>
        <v/>
      </c>
      <c r="AK33" s="130">
        <f>IF(OR($C33="",$B$2="",$D$2=0),0,IF(AK$3&lt;0,0,N(INDEX('CURVA PREVISION'!$A$1:$KZ$3000,$C33,10+3*MIN(AK$3,$D$2-1)))))</f>
        <v/>
      </c>
      <c r="AL33" s="130">
        <f>IF(OR($C33="",$B$2="",$D$2=0),0,IF(AL$3&lt;0,0,N(INDEX('CURVA PREVISION'!$A$1:$KZ$3000,$C33,10+3*MIN(AL$3,$D$2-1)))))</f>
        <v/>
      </c>
      <c r="AM33" s="130">
        <f>IF(OR($C33="",$B$2="",$D$2=0),0,IF(AM$3&lt;0,0,N(INDEX('CURVA PREVISION'!$A$1:$KZ$3000,$C33,10+3*MIN(AM$3,$D$2-1)))))</f>
        <v/>
      </c>
      <c r="AN33" s="130">
        <f>IF(OR($C33="",$B$2="",$D$2=0),0,IF(AN$3&lt;0,0,N(INDEX('CURVA PREVISION'!$A$1:$KZ$3000,$C33,10+3*MIN(AN$3,$D$2-1)))))</f>
        <v/>
      </c>
      <c r="AO33" s="130">
        <f>IF(OR($C33="",$B$2="",$D$2=0),0,IF(AO$3&lt;0,0,N(INDEX('CURVA PREVISION'!$A$1:$KZ$3000,$C33,10+3*MIN(AO$3,$D$2-1)))))</f>
        <v/>
      </c>
      <c r="AP33" s="130">
        <f>IF(OR($C33="",$B$2="",$D$2=0),0,IF(AP$3&lt;0,0,N(INDEX('CURVA PREVISION'!$A$1:$KZ$3000,$C33,10+3*MIN(AP$3,$D$2-1)))))</f>
        <v/>
      </c>
      <c r="AQ33" s="130">
        <f>IF(OR($C33="",$B$2="",$D$2=0),0,IF(AQ$3&lt;0,0,N(INDEX('CURVA PREVISION'!$A$1:$KZ$3000,$C33,10+3*MIN(AQ$3,$D$2-1)))))</f>
        <v/>
      </c>
      <c r="AR33" s="130">
        <f>IF(OR($C33="",$B$2="",$D$2=0),0,IF(AR$3&lt;0,0,N(INDEX('CURVA PREVISION'!$A$1:$KZ$3000,$C33,10+3*MIN(AR$3,$D$2-1)))))</f>
        <v/>
      </c>
      <c r="AS33" s="130">
        <f>IF(OR($C33="",$B$2="",$D$2=0),0,IF(AS$3&lt;0,0,N(INDEX('CURVA PREVISION'!$A$1:$KZ$3000,$C33,10+3*MIN(AS$3,$D$2-1)))))</f>
        <v/>
      </c>
      <c r="AT33" s="130">
        <f>IF(OR($C33="",$B$2="",$D$2=0),0,IF(AT$3&lt;0,0,N(INDEX('CURVA PREVISION'!$A$1:$KZ$3000,$C33,10+3*MIN(AT$3,$D$2-1)))))</f>
        <v/>
      </c>
      <c r="AU33" s="130">
        <f>IF(OR($C33="",$B$2="",$D$2=0),0,IF(AU$3&lt;0,0,N(INDEX('CURVA PREVISION'!$A$1:$KZ$3000,$C33,10+3*MIN(AU$3,$D$2-1)))))</f>
        <v/>
      </c>
      <c r="AV33" s="130">
        <f>IF(OR($C33="",$B$2="",$D$2=0),0,IF(AV$3&lt;0,0,N(INDEX('CURVA PREVISION'!$A$1:$KZ$3000,$C33,10+3*MIN(AV$3,$D$2-1)))))</f>
        <v/>
      </c>
      <c r="AW33" s="130">
        <f>IF(OR($C33="",$B$2="",$D$2=0),0,IF(AW$3&lt;0,0,N(INDEX('CURVA PREVISION'!$A$1:$KZ$3000,$C33,10+3*MIN(AW$3,$D$2-1)))))</f>
        <v/>
      </c>
      <c r="AX33" s="130">
        <f>IF(OR($C33="",$B$2="",$D$2=0),0,IF(AX$3&lt;0,0,N(INDEX('CURVA PREVISION'!$A$1:$KZ$3000,$C33,10+3*MIN(AX$3,$D$2-1)))))</f>
        <v/>
      </c>
      <c r="AY33" s="130">
        <f>IF(OR($C33="",$B$2="",$D$2=0),0,IF(AY$3&lt;0,0,N(INDEX('CURVA PREVISION'!$A$1:$KZ$3000,$C33,10+3*MIN(AY$3,$D$2-1)))))</f>
        <v/>
      </c>
      <c r="AZ33" s="130">
        <f>IF(OR($C33="",$B$2="",$D$2=0),0,IF(AZ$3&lt;0,0,N(INDEX('CURVA PREVISION'!$A$1:$KZ$3000,$C33,10+3*MIN(AZ$3,$D$2-1)))))</f>
        <v/>
      </c>
      <c r="BA33" s="130">
        <f>IF(OR($C33="",$B$2="",$D$2=0),0,IF(BA$3&lt;0,0,N(INDEX('CURVA PREVISION'!$A$1:$KZ$3000,$C33,10+3*MIN(BA$3,$D$2-1)))))</f>
        <v/>
      </c>
      <c r="BB33" s="130">
        <f>IF(OR($C33="",$B$2="",$D$2=0),0,IF(BB$3&lt;0,0,N(INDEX('CURVA PREVISION'!$A$1:$KZ$3000,$C33,10+3*MIN(BB$3,$D$2-1)))))</f>
        <v/>
      </c>
      <c r="BC33" s="130">
        <f>IF(OR($C33="",$B$2="",$D$2=0),0,IF(BC$3&lt;0,0,N(INDEX('CURVA PREVISION'!$A$1:$KZ$3000,$C33,10+3*MIN(BC$3,$D$2-1)))))</f>
        <v/>
      </c>
      <c r="BD33" s="130">
        <f>IF(OR($C33="",$B$2="",$D$2=0),0,IF(BD$3&lt;0,0,N(INDEX('CURVA PREVISION'!$A$1:$KZ$3000,$C33,10+3*MIN(BD$3,$D$2-1)))))</f>
        <v/>
      </c>
      <c r="BE33" s="130">
        <f>IF(OR($C33="",$B$2="",$D$2=0),0,IF(BE$3&lt;0,0,N(INDEX('CURVA PREVISION'!$A$1:$KZ$3000,$C33,10+3*MIN(BE$3,$D$2-1)))))</f>
        <v/>
      </c>
      <c r="BF33" s="130">
        <f>IF(OR($C33="",$B$2="",$D$2=0),0,IF(BF$3&lt;0,0,N(INDEX('CURVA PREVISION'!$A$1:$KZ$3000,$C33,10+3*MIN(BF$3,$D$2-1)))))</f>
        <v/>
      </c>
      <c r="BG33" s="130">
        <f>IF(OR($C33="",$B$2="",$D$2=0),0,IF(BG$3&lt;0,0,N(INDEX('CURVA PREVISION'!$A$1:$KZ$3000,$C33,10+3*MIN(BG$3,$D$2-1)))))</f>
        <v/>
      </c>
      <c r="BH33" s="130">
        <f>IF(OR($C33="",$B$2="",$D$2=0),0,IF(BH$3&lt;0,0,N(INDEX('CURVA PREVISION'!$A$1:$KZ$3000,$C33,10+3*MIN(BH$3,$D$2-1)))))</f>
        <v/>
      </c>
      <c r="BI33" s="130">
        <f>IF(OR($C33="",$B$2="",$D$2=0),0,IF(BI$3&lt;0,0,N(INDEX('CURVA PREVISION'!$A$1:$KZ$3000,$C33,10+3*MIN(BI$3,$D$2-1)))))</f>
        <v/>
      </c>
      <c r="BJ33" s="130">
        <f>IF(OR($C33="",$B$2="",$D$2=0),0,IF(BJ$3&lt;0,0,N(INDEX('CURVA PREVISION'!$A$1:$KZ$3000,$C33,10+3*MIN(BJ$3,$D$2-1)))))</f>
        <v/>
      </c>
      <c r="BK33" s="130">
        <f>IF(OR($C33="",$B$2="",$D$2=0),0,IF(BK$3&lt;0,0,N(INDEX('CURVA PREVISION'!$A$1:$KZ$3000,$C33,10+3*MIN(BK$3,$D$2-1)))))</f>
        <v/>
      </c>
      <c r="BL33" s="130">
        <f>IF(OR($C33="",$B$2="",$D$2=0),0,IF(BL$3&lt;0,0,N(INDEX('CURVA PREVISION'!$A$1:$KZ$3000,$C33,10+3*MIN(BL$3,$D$2-1)))))</f>
        <v/>
      </c>
      <c r="BM33" s="130">
        <f>IF(OR($C33="",$B$2="",$D$2=0),0,IF(BM$3&lt;0,0,N(INDEX('CURVA PREVISION'!$A$1:$KZ$3000,$C33,10+3*MIN(BM$3,$D$2-1)))))</f>
        <v/>
      </c>
      <c r="BN33" s="130">
        <f>IF(OR($C33="",$B$2="",$D$2=0),0,IF(BN$3&lt;0,0,N(INDEX('CURVA PREVISION'!$A$1:$KZ$3000,$C33,10+3*MIN(BN$3,$D$2-1)))))</f>
        <v/>
      </c>
      <c r="BO33" s="130">
        <f>IF(OR($C33="",$B$2="",$D$2=0),0,IF(BO$3&lt;0,0,N(INDEX('CURVA PREVISION'!$A$1:$KZ$3000,$C33,10+3*MIN(BO$3,$D$2-1)))))</f>
        <v/>
      </c>
      <c r="BP33" s="130">
        <f>IF(OR($C33="",$B$2="",$D$2=0),0,IF(BP$3&lt;0,0,N(INDEX('CURVA PREVISION'!$A$1:$KZ$3000,$C33,10+3*MIN(BP$3,$D$2-1)))))</f>
        <v/>
      </c>
      <c r="BQ33" s="130">
        <f>IF(OR($C33="",$B$2="",$D$2=0),0,IF(BQ$3&lt;0,0,N(INDEX('CURVA PREVISION'!$A$1:$KZ$3000,$C33,10+3*MIN(BQ$3,$D$2-1)))))</f>
        <v/>
      </c>
      <c r="BR33" s="130">
        <f>IF(OR($C33="",$B$2="",$D$2=0),0,IF(BR$3&lt;0,0,N(INDEX('CURVA PREVISION'!$A$1:$KZ$3000,$C33,10+3*MIN(BR$3,$D$2-1)))))</f>
        <v/>
      </c>
      <c r="BS33" s="130">
        <f>IF(OR($C33="",$B$2="",$D$2=0),0,IF(BS$3&lt;0,0,N(INDEX('CURVA PREVISION'!$A$1:$KZ$3000,$C33,10+3*MIN(BS$3,$D$2-1)))))</f>
        <v/>
      </c>
      <c r="BT33" s="130">
        <f>IF(OR($C33="",$B$2="",$D$2=0),0,IF(BT$3&lt;0,0,N(INDEX('CURVA PREVISION'!$A$1:$KZ$3000,$C33,10+3*MIN(BT$3,$D$2-1)))))</f>
        <v/>
      </c>
      <c r="BU33" s="130">
        <f>IF(OR($C33="",$B$2="",$D$2=0),0,IF(BU$3&lt;0,0,N(INDEX('CURVA PREVISION'!$A$1:$KZ$3000,$C33,10+3*MIN(BU$3,$D$2-1)))))</f>
        <v/>
      </c>
      <c r="BV33" s="130">
        <f>IF(OR($C33="",$B$2="",$D$2=0),0,IF(BV$3&lt;0,0,N(INDEX('CURVA PREVISION'!$A$1:$KZ$3000,$C33,10+3*MIN(BV$3,$D$2-1)))))</f>
        <v/>
      </c>
      <c r="BW33" s="130">
        <f>IF(OR($C33="",$B$2="",$D$2=0),0,IF(BW$3&lt;0,0,N(INDEX('CURVA PREVISION'!$A$1:$KZ$3000,$C33,10+3*MIN(BW$3,$D$2-1)))))</f>
        <v/>
      </c>
    </row>
    <row r="34">
      <c r="A34" s="61">
        <f>IF('VALOR POR PL'!R40&lt;&gt;"",'VALOR POR PL'!R40,IF('VALOR POR PL'!Q40="",'VALOR POR PL'!C40,'VALOR POR PL'!Q40))</f>
        <v/>
      </c>
      <c r="B34" s="61">
        <f>'VALOR POR PL'!D40</f>
        <v/>
      </c>
      <c r="C34" s="70">
        <f>IFERROR(MATCH(A34,'CURVA PREVISION'!$B$1:$B$3000,0),"")</f>
        <v/>
      </c>
      <c r="D34" s="130">
        <f>IF(OR($C34="",$B$2="",$D$2=0),0,IF(D$3&lt;0,0,N(INDEX('CURVA PREVISION'!$A$1:$KZ$3000,$C34,10+3*MIN(D$3,$D$2-1)))))</f>
        <v/>
      </c>
      <c r="E34" s="130">
        <f>IF(OR($C34="",$B$2="",$D$2=0),0,IF(E$3&lt;0,0,N(INDEX('CURVA PREVISION'!$A$1:$KZ$3000,$C34,10+3*MIN(E$3,$D$2-1)))))</f>
        <v/>
      </c>
      <c r="F34" s="130">
        <f>IF(OR($C34="",$B$2="",$D$2=0),0,IF(F$3&lt;0,0,N(INDEX('CURVA PREVISION'!$A$1:$KZ$3000,$C34,10+3*MIN(F$3,$D$2-1)))))</f>
        <v/>
      </c>
      <c r="G34" s="130">
        <f>IF(OR($C34="",$B$2="",$D$2=0),0,IF(G$3&lt;0,0,N(INDEX('CURVA PREVISION'!$A$1:$KZ$3000,$C34,10+3*MIN(G$3,$D$2-1)))))</f>
        <v/>
      </c>
      <c r="H34" s="130">
        <f>IF(OR($C34="",$B$2="",$D$2=0),0,IF(H$3&lt;0,0,N(INDEX('CURVA PREVISION'!$A$1:$KZ$3000,$C34,10+3*MIN(H$3,$D$2-1)))))</f>
        <v/>
      </c>
      <c r="I34" s="130">
        <f>IF(OR($C34="",$B$2="",$D$2=0),0,IF(I$3&lt;0,0,N(INDEX('CURVA PREVISION'!$A$1:$KZ$3000,$C34,10+3*MIN(I$3,$D$2-1)))))</f>
        <v/>
      </c>
      <c r="J34" s="130">
        <f>IF(OR($C34="",$B$2="",$D$2=0),0,IF(J$3&lt;0,0,N(INDEX('CURVA PREVISION'!$A$1:$KZ$3000,$C34,10+3*MIN(J$3,$D$2-1)))))</f>
        <v/>
      </c>
      <c r="K34" s="130">
        <f>IF(OR($C34="",$B$2="",$D$2=0),0,IF(K$3&lt;0,0,N(INDEX('CURVA PREVISION'!$A$1:$KZ$3000,$C34,10+3*MIN(K$3,$D$2-1)))))</f>
        <v/>
      </c>
      <c r="L34" s="130">
        <f>IF(OR($C34="",$B$2="",$D$2=0),0,IF(L$3&lt;0,0,N(INDEX('CURVA PREVISION'!$A$1:$KZ$3000,$C34,10+3*MIN(L$3,$D$2-1)))))</f>
        <v/>
      </c>
      <c r="M34" s="130">
        <f>IF(OR($C34="",$B$2="",$D$2=0),0,IF(M$3&lt;0,0,N(INDEX('CURVA PREVISION'!$A$1:$KZ$3000,$C34,10+3*MIN(M$3,$D$2-1)))))</f>
        <v/>
      </c>
      <c r="N34" s="130">
        <f>IF(OR($C34="",$B$2="",$D$2=0),0,IF(N$3&lt;0,0,N(INDEX('CURVA PREVISION'!$A$1:$KZ$3000,$C34,10+3*MIN(N$3,$D$2-1)))))</f>
        <v/>
      </c>
      <c r="O34" s="130">
        <f>IF(OR($C34="",$B$2="",$D$2=0),0,IF(O$3&lt;0,0,N(INDEX('CURVA PREVISION'!$A$1:$KZ$3000,$C34,10+3*MIN(O$3,$D$2-1)))))</f>
        <v/>
      </c>
      <c r="P34" s="130">
        <f>IF(OR($C34="",$B$2="",$D$2=0),0,IF(P$3&lt;0,0,N(INDEX('CURVA PREVISION'!$A$1:$KZ$3000,$C34,10+3*MIN(P$3,$D$2-1)))))</f>
        <v/>
      </c>
      <c r="Q34" s="130">
        <f>IF(OR($C34="",$B$2="",$D$2=0),0,IF(Q$3&lt;0,0,N(INDEX('CURVA PREVISION'!$A$1:$KZ$3000,$C34,10+3*MIN(Q$3,$D$2-1)))))</f>
        <v/>
      </c>
      <c r="R34" s="130">
        <f>IF(OR($C34="",$B$2="",$D$2=0),0,IF(R$3&lt;0,0,N(INDEX('CURVA PREVISION'!$A$1:$KZ$3000,$C34,10+3*MIN(R$3,$D$2-1)))))</f>
        <v/>
      </c>
      <c r="S34" s="130">
        <f>IF(OR($C34="",$B$2="",$D$2=0),0,IF(S$3&lt;0,0,N(INDEX('CURVA PREVISION'!$A$1:$KZ$3000,$C34,10+3*MIN(S$3,$D$2-1)))))</f>
        <v/>
      </c>
      <c r="T34" s="130">
        <f>IF(OR($C34="",$B$2="",$D$2=0),0,IF(T$3&lt;0,0,N(INDEX('CURVA PREVISION'!$A$1:$KZ$3000,$C34,10+3*MIN(T$3,$D$2-1)))))</f>
        <v/>
      </c>
      <c r="U34" s="130">
        <f>IF(OR($C34="",$B$2="",$D$2=0),0,IF(U$3&lt;0,0,N(INDEX('CURVA PREVISION'!$A$1:$KZ$3000,$C34,10+3*MIN(U$3,$D$2-1)))))</f>
        <v/>
      </c>
      <c r="V34" s="130">
        <f>IF(OR($C34="",$B$2="",$D$2=0),0,IF(V$3&lt;0,0,N(INDEX('CURVA PREVISION'!$A$1:$KZ$3000,$C34,10+3*MIN(V$3,$D$2-1)))))</f>
        <v/>
      </c>
      <c r="W34" s="130">
        <f>IF(OR($C34="",$B$2="",$D$2=0),0,IF(W$3&lt;0,0,N(INDEX('CURVA PREVISION'!$A$1:$KZ$3000,$C34,10+3*MIN(W$3,$D$2-1)))))</f>
        <v/>
      </c>
      <c r="X34" s="130">
        <f>IF(OR($C34="",$B$2="",$D$2=0),0,IF(X$3&lt;0,0,N(INDEX('CURVA PREVISION'!$A$1:$KZ$3000,$C34,10+3*MIN(X$3,$D$2-1)))))</f>
        <v/>
      </c>
      <c r="Y34" s="130">
        <f>IF(OR($C34="",$B$2="",$D$2=0),0,IF(Y$3&lt;0,0,N(INDEX('CURVA PREVISION'!$A$1:$KZ$3000,$C34,10+3*MIN(Y$3,$D$2-1)))))</f>
        <v/>
      </c>
      <c r="Z34" s="130">
        <f>IF(OR($C34="",$B$2="",$D$2=0),0,IF(Z$3&lt;0,0,N(INDEX('CURVA PREVISION'!$A$1:$KZ$3000,$C34,10+3*MIN(Z$3,$D$2-1)))))</f>
        <v/>
      </c>
      <c r="AA34" s="130">
        <f>IF(OR($C34="",$B$2="",$D$2=0),0,IF(AA$3&lt;0,0,N(INDEX('CURVA PREVISION'!$A$1:$KZ$3000,$C34,10+3*MIN(AA$3,$D$2-1)))))</f>
        <v/>
      </c>
      <c r="AB34" s="130">
        <f>IF(OR($C34="",$B$2="",$D$2=0),0,IF(AB$3&lt;0,0,N(INDEX('CURVA PREVISION'!$A$1:$KZ$3000,$C34,10+3*MIN(AB$3,$D$2-1)))))</f>
        <v/>
      </c>
      <c r="AC34" s="130">
        <f>IF(OR($C34="",$B$2="",$D$2=0),0,IF(AC$3&lt;0,0,N(INDEX('CURVA PREVISION'!$A$1:$KZ$3000,$C34,10+3*MIN(AC$3,$D$2-1)))))</f>
        <v/>
      </c>
      <c r="AD34" s="130">
        <f>IF(OR($C34="",$B$2="",$D$2=0),0,IF(AD$3&lt;0,0,N(INDEX('CURVA PREVISION'!$A$1:$KZ$3000,$C34,10+3*MIN(AD$3,$D$2-1)))))</f>
        <v/>
      </c>
      <c r="AE34" s="130">
        <f>IF(OR($C34="",$B$2="",$D$2=0),0,IF(AE$3&lt;0,0,N(INDEX('CURVA PREVISION'!$A$1:$KZ$3000,$C34,10+3*MIN(AE$3,$D$2-1)))))</f>
        <v/>
      </c>
      <c r="AF34" s="130">
        <f>IF(OR($C34="",$B$2="",$D$2=0),0,IF(AF$3&lt;0,0,N(INDEX('CURVA PREVISION'!$A$1:$KZ$3000,$C34,10+3*MIN(AF$3,$D$2-1)))))</f>
        <v/>
      </c>
      <c r="AG34" s="130">
        <f>IF(OR($C34="",$B$2="",$D$2=0),0,IF(AG$3&lt;0,0,N(INDEX('CURVA PREVISION'!$A$1:$KZ$3000,$C34,10+3*MIN(AG$3,$D$2-1)))))</f>
        <v/>
      </c>
      <c r="AH34" s="130">
        <f>IF(OR($C34="",$B$2="",$D$2=0),0,IF(AH$3&lt;0,0,N(INDEX('CURVA PREVISION'!$A$1:$KZ$3000,$C34,10+3*MIN(AH$3,$D$2-1)))))</f>
        <v/>
      </c>
      <c r="AI34" s="130">
        <f>IF(OR($C34="",$B$2="",$D$2=0),0,IF(AI$3&lt;0,0,N(INDEX('CURVA PREVISION'!$A$1:$KZ$3000,$C34,10+3*MIN(AI$3,$D$2-1)))))</f>
        <v/>
      </c>
      <c r="AJ34" s="130">
        <f>IF(OR($C34="",$B$2="",$D$2=0),0,IF(AJ$3&lt;0,0,N(INDEX('CURVA PREVISION'!$A$1:$KZ$3000,$C34,10+3*MIN(AJ$3,$D$2-1)))))</f>
        <v/>
      </c>
      <c r="AK34" s="130">
        <f>IF(OR($C34="",$B$2="",$D$2=0),0,IF(AK$3&lt;0,0,N(INDEX('CURVA PREVISION'!$A$1:$KZ$3000,$C34,10+3*MIN(AK$3,$D$2-1)))))</f>
        <v/>
      </c>
      <c r="AL34" s="130">
        <f>IF(OR($C34="",$B$2="",$D$2=0),0,IF(AL$3&lt;0,0,N(INDEX('CURVA PREVISION'!$A$1:$KZ$3000,$C34,10+3*MIN(AL$3,$D$2-1)))))</f>
        <v/>
      </c>
      <c r="AM34" s="130">
        <f>IF(OR($C34="",$B$2="",$D$2=0),0,IF(AM$3&lt;0,0,N(INDEX('CURVA PREVISION'!$A$1:$KZ$3000,$C34,10+3*MIN(AM$3,$D$2-1)))))</f>
        <v/>
      </c>
      <c r="AN34" s="130">
        <f>IF(OR($C34="",$B$2="",$D$2=0),0,IF(AN$3&lt;0,0,N(INDEX('CURVA PREVISION'!$A$1:$KZ$3000,$C34,10+3*MIN(AN$3,$D$2-1)))))</f>
        <v/>
      </c>
      <c r="AO34" s="130">
        <f>IF(OR($C34="",$B$2="",$D$2=0),0,IF(AO$3&lt;0,0,N(INDEX('CURVA PREVISION'!$A$1:$KZ$3000,$C34,10+3*MIN(AO$3,$D$2-1)))))</f>
        <v/>
      </c>
      <c r="AP34" s="130">
        <f>IF(OR($C34="",$B$2="",$D$2=0),0,IF(AP$3&lt;0,0,N(INDEX('CURVA PREVISION'!$A$1:$KZ$3000,$C34,10+3*MIN(AP$3,$D$2-1)))))</f>
        <v/>
      </c>
      <c r="AQ34" s="130">
        <f>IF(OR($C34="",$B$2="",$D$2=0),0,IF(AQ$3&lt;0,0,N(INDEX('CURVA PREVISION'!$A$1:$KZ$3000,$C34,10+3*MIN(AQ$3,$D$2-1)))))</f>
        <v/>
      </c>
      <c r="AR34" s="130">
        <f>IF(OR($C34="",$B$2="",$D$2=0),0,IF(AR$3&lt;0,0,N(INDEX('CURVA PREVISION'!$A$1:$KZ$3000,$C34,10+3*MIN(AR$3,$D$2-1)))))</f>
        <v/>
      </c>
      <c r="AS34" s="130">
        <f>IF(OR($C34="",$B$2="",$D$2=0),0,IF(AS$3&lt;0,0,N(INDEX('CURVA PREVISION'!$A$1:$KZ$3000,$C34,10+3*MIN(AS$3,$D$2-1)))))</f>
        <v/>
      </c>
      <c r="AT34" s="130">
        <f>IF(OR($C34="",$B$2="",$D$2=0),0,IF(AT$3&lt;0,0,N(INDEX('CURVA PREVISION'!$A$1:$KZ$3000,$C34,10+3*MIN(AT$3,$D$2-1)))))</f>
        <v/>
      </c>
      <c r="AU34" s="130">
        <f>IF(OR($C34="",$B$2="",$D$2=0),0,IF(AU$3&lt;0,0,N(INDEX('CURVA PREVISION'!$A$1:$KZ$3000,$C34,10+3*MIN(AU$3,$D$2-1)))))</f>
        <v/>
      </c>
      <c r="AV34" s="130">
        <f>IF(OR($C34="",$B$2="",$D$2=0),0,IF(AV$3&lt;0,0,N(INDEX('CURVA PREVISION'!$A$1:$KZ$3000,$C34,10+3*MIN(AV$3,$D$2-1)))))</f>
        <v/>
      </c>
      <c r="AW34" s="130">
        <f>IF(OR($C34="",$B$2="",$D$2=0),0,IF(AW$3&lt;0,0,N(INDEX('CURVA PREVISION'!$A$1:$KZ$3000,$C34,10+3*MIN(AW$3,$D$2-1)))))</f>
        <v/>
      </c>
      <c r="AX34" s="130">
        <f>IF(OR($C34="",$B$2="",$D$2=0),0,IF(AX$3&lt;0,0,N(INDEX('CURVA PREVISION'!$A$1:$KZ$3000,$C34,10+3*MIN(AX$3,$D$2-1)))))</f>
        <v/>
      </c>
      <c r="AY34" s="130">
        <f>IF(OR($C34="",$B$2="",$D$2=0),0,IF(AY$3&lt;0,0,N(INDEX('CURVA PREVISION'!$A$1:$KZ$3000,$C34,10+3*MIN(AY$3,$D$2-1)))))</f>
        <v/>
      </c>
      <c r="AZ34" s="130">
        <f>IF(OR($C34="",$B$2="",$D$2=0),0,IF(AZ$3&lt;0,0,N(INDEX('CURVA PREVISION'!$A$1:$KZ$3000,$C34,10+3*MIN(AZ$3,$D$2-1)))))</f>
        <v/>
      </c>
      <c r="BA34" s="130">
        <f>IF(OR($C34="",$B$2="",$D$2=0),0,IF(BA$3&lt;0,0,N(INDEX('CURVA PREVISION'!$A$1:$KZ$3000,$C34,10+3*MIN(BA$3,$D$2-1)))))</f>
        <v/>
      </c>
      <c r="BB34" s="130">
        <f>IF(OR($C34="",$B$2="",$D$2=0),0,IF(BB$3&lt;0,0,N(INDEX('CURVA PREVISION'!$A$1:$KZ$3000,$C34,10+3*MIN(BB$3,$D$2-1)))))</f>
        <v/>
      </c>
      <c r="BC34" s="130">
        <f>IF(OR($C34="",$B$2="",$D$2=0),0,IF(BC$3&lt;0,0,N(INDEX('CURVA PREVISION'!$A$1:$KZ$3000,$C34,10+3*MIN(BC$3,$D$2-1)))))</f>
        <v/>
      </c>
      <c r="BD34" s="130">
        <f>IF(OR($C34="",$B$2="",$D$2=0),0,IF(BD$3&lt;0,0,N(INDEX('CURVA PREVISION'!$A$1:$KZ$3000,$C34,10+3*MIN(BD$3,$D$2-1)))))</f>
        <v/>
      </c>
      <c r="BE34" s="130">
        <f>IF(OR($C34="",$B$2="",$D$2=0),0,IF(BE$3&lt;0,0,N(INDEX('CURVA PREVISION'!$A$1:$KZ$3000,$C34,10+3*MIN(BE$3,$D$2-1)))))</f>
        <v/>
      </c>
      <c r="BF34" s="130">
        <f>IF(OR($C34="",$B$2="",$D$2=0),0,IF(BF$3&lt;0,0,N(INDEX('CURVA PREVISION'!$A$1:$KZ$3000,$C34,10+3*MIN(BF$3,$D$2-1)))))</f>
        <v/>
      </c>
      <c r="BG34" s="130">
        <f>IF(OR($C34="",$B$2="",$D$2=0),0,IF(BG$3&lt;0,0,N(INDEX('CURVA PREVISION'!$A$1:$KZ$3000,$C34,10+3*MIN(BG$3,$D$2-1)))))</f>
        <v/>
      </c>
      <c r="BH34" s="130">
        <f>IF(OR($C34="",$B$2="",$D$2=0),0,IF(BH$3&lt;0,0,N(INDEX('CURVA PREVISION'!$A$1:$KZ$3000,$C34,10+3*MIN(BH$3,$D$2-1)))))</f>
        <v/>
      </c>
      <c r="BI34" s="130">
        <f>IF(OR($C34="",$B$2="",$D$2=0),0,IF(BI$3&lt;0,0,N(INDEX('CURVA PREVISION'!$A$1:$KZ$3000,$C34,10+3*MIN(BI$3,$D$2-1)))))</f>
        <v/>
      </c>
      <c r="BJ34" s="130">
        <f>IF(OR($C34="",$B$2="",$D$2=0),0,IF(BJ$3&lt;0,0,N(INDEX('CURVA PREVISION'!$A$1:$KZ$3000,$C34,10+3*MIN(BJ$3,$D$2-1)))))</f>
        <v/>
      </c>
      <c r="BK34" s="130">
        <f>IF(OR($C34="",$B$2="",$D$2=0),0,IF(BK$3&lt;0,0,N(INDEX('CURVA PREVISION'!$A$1:$KZ$3000,$C34,10+3*MIN(BK$3,$D$2-1)))))</f>
        <v/>
      </c>
      <c r="BL34" s="130">
        <f>IF(OR($C34="",$B$2="",$D$2=0),0,IF(BL$3&lt;0,0,N(INDEX('CURVA PREVISION'!$A$1:$KZ$3000,$C34,10+3*MIN(BL$3,$D$2-1)))))</f>
        <v/>
      </c>
      <c r="BM34" s="130">
        <f>IF(OR($C34="",$B$2="",$D$2=0),0,IF(BM$3&lt;0,0,N(INDEX('CURVA PREVISION'!$A$1:$KZ$3000,$C34,10+3*MIN(BM$3,$D$2-1)))))</f>
        <v/>
      </c>
      <c r="BN34" s="130">
        <f>IF(OR($C34="",$B$2="",$D$2=0),0,IF(BN$3&lt;0,0,N(INDEX('CURVA PREVISION'!$A$1:$KZ$3000,$C34,10+3*MIN(BN$3,$D$2-1)))))</f>
        <v/>
      </c>
      <c r="BO34" s="130">
        <f>IF(OR($C34="",$B$2="",$D$2=0),0,IF(BO$3&lt;0,0,N(INDEX('CURVA PREVISION'!$A$1:$KZ$3000,$C34,10+3*MIN(BO$3,$D$2-1)))))</f>
        <v/>
      </c>
      <c r="BP34" s="130">
        <f>IF(OR($C34="",$B$2="",$D$2=0),0,IF(BP$3&lt;0,0,N(INDEX('CURVA PREVISION'!$A$1:$KZ$3000,$C34,10+3*MIN(BP$3,$D$2-1)))))</f>
        <v/>
      </c>
      <c r="BQ34" s="130">
        <f>IF(OR($C34="",$B$2="",$D$2=0),0,IF(BQ$3&lt;0,0,N(INDEX('CURVA PREVISION'!$A$1:$KZ$3000,$C34,10+3*MIN(BQ$3,$D$2-1)))))</f>
        <v/>
      </c>
      <c r="BR34" s="130">
        <f>IF(OR($C34="",$B$2="",$D$2=0),0,IF(BR$3&lt;0,0,N(INDEX('CURVA PREVISION'!$A$1:$KZ$3000,$C34,10+3*MIN(BR$3,$D$2-1)))))</f>
        <v/>
      </c>
      <c r="BS34" s="130">
        <f>IF(OR($C34="",$B$2="",$D$2=0),0,IF(BS$3&lt;0,0,N(INDEX('CURVA PREVISION'!$A$1:$KZ$3000,$C34,10+3*MIN(BS$3,$D$2-1)))))</f>
        <v/>
      </c>
      <c r="BT34" s="130">
        <f>IF(OR($C34="",$B$2="",$D$2=0),0,IF(BT$3&lt;0,0,N(INDEX('CURVA PREVISION'!$A$1:$KZ$3000,$C34,10+3*MIN(BT$3,$D$2-1)))))</f>
        <v/>
      </c>
      <c r="BU34" s="130">
        <f>IF(OR($C34="",$B$2="",$D$2=0),0,IF(BU$3&lt;0,0,N(INDEX('CURVA PREVISION'!$A$1:$KZ$3000,$C34,10+3*MIN(BU$3,$D$2-1)))))</f>
        <v/>
      </c>
      <c r="BV34" s="130">
        <f>IF(OR($C34="",$B$2="",$D$2=0),0,IF(BV$3&lt;0,0,N(INDEX('CURVA PREVISION'!$A$1:$KZ$3000,$C34,10+3*MIN(BV$3,$D$2-1)))))</f>
        <v/>
      </c>
      <c r="BW34" s="130">
        <f>IF(OR($C34="",$B$2="",$D$2=0),0,IF(BW$3&lt;0,0,N(INDEX('CURVA PREVISION'!$A$1:$KZ$3000,$C34,10+3*MIN(BW$3,$D$2-1)))))</f>
        <v/>
      </c>
    </row>
    <row r="35">
      <c r="A35" s="61">
        <f>IF('VALOR POR PL'!R41&lt;&gt;"",'VALOR POR PL'!R41,IF('VALOR POR PL'!Q41="",'VALOR POR PL'!C41,'VALOR POR PL'!Q41))</f>
        <v/>
      </c>
      <c r="B35" s="61">
        <f>'VALOR POR PL'!D41</f>
        <v/>
      </c>
      <c r="C35" s="70">
        <f>IFERROR(MATCH(A35,'CURVA PREVISION'!$B$1:$B$3000,0),"")</f>
        <v/>
      </c>
      <c r="D35" s="130">
        <f>IF(OR($C35="",$B$2="",$D$2=0),0,IF(D$3&lt;0,0,N(INDEX('CURVA PREVISION'!$A$1:$KZ$3000,$C35,10+3*MIN(D$3,$D$2-1)))))</f>
        <v/>
      </c>
      <c r="E35" s="130">
        <f>IF(OR($C35="",$B$2="",$D$2=0),0,IF(E$3&lt;0,0,N(INDEX('CURVA PREVISION'!$A$1:$KZ$3000,$C35,10+3*MIN(E$3,$D$2-1)))))</f>
        <v/>
      </c>
      <c r="F35" s="130">
        <f>IF(OR($C35="",$B$2="",$D$2=0),0,IF(F$3&lt;0,0,N(INDEX('CURVA PREVISION'!$A$1:$KZ$3000,$C35,10+3*MIN(F$3,$D$2-1)))))</f>
        <v/>
      </c>
      <c r="G35" s="130">
        <f>IF(OR($C35="",$B$2="",$D$2=0),0,IF(G$3&lt;0,0,N(INDEX('CURVA PREVISION'!$A$1:$KZ$3000,$C35,10+3*MIN(G$3,$D$2-1)))))</f>
        <v/>
      </c>
      <c r="H35" s="130">
        <f>IF(OR($C35="",$B$2="",$D$2=0),0,IF(H$3&lt;0,0,N(INDEX('CURVA PREVISION'!$A$1:$KZ$3000,$C35,10+3*MIN(H$3,$D$2-1)))))</f>
        <v/>
      </c>
      <c r="I35" s="130">
        <f>IF(OR($C35="",$B$2="",$D$2=0),0,IF(I$3&lt;0,0,N(INDEX('CURVA PREVISION'!$A$1:$KZ$3000,$C35,10+3*MIN(I$3,$D$2-1)))))</f>
        <v/>
      </c>
      <c r="J35" s="130">
        <f>IF(OR($C35="",$B$2="",$D$2=0),0,IF(J$3&lt;0,0,N(INDEX('CURVA PREVISION'!$A$1:$KZ$3000,$C35,10+3*MIN(J$3,$D$2-1)))))</f>
        <v/>
      </c>
      <c r="K35" s="130">
        <f>IF(OR($C35="",$B$2="",$D$2=0),0,IF(K$3&lt;0,0,N(INDEX('CURVA PREVISION'!$A$1:$KZ$3000,$C35,10+3*MIN(K$3,$D$2-1)))))</f>
        <v/>
      </c>
      <c r="L35" s="130">
        <f>IF(OR($C35="",$B$2="",$D$2=0),0,IF(L$3&lt;0,0,N(INDEX('CURVA PREVISION'!$A$1:$KZ$3000,$C35,10+3*MIN(L$3,$D$2-1)))))</f>
        <v/>
      </c>
      <c r="M35" s="130">
        <f>IF(OR($C35="",$B$2="",$D$2=0),0,IF(M$3&lt;0,0,N(INDEX('CURVA PREVISION'!$A$1:$KZ$3000,$C35,10+3*MIN(M$3,$D$2-1)))))</f>
        <v/>
      </c>
      <c r="N35" s="130">
        <f>IF(OR($C35="",$B$2="",$D$2=0),0,IF(N$3&lt;0,0,N(INDEX('CURVA PREVISION'!$A$1:$KZ$3000,$C35,10+3*MIN(N$3,$D$2-1)))))</f>
        <v/>
      </c>
      <c r="O35" s="130">
        <f>IF(OR($C35="",$B$2="",$D$2=0),0,IF(O$3&lt;0,0,N(INDEX('CURVA PREVISION'!$A$1:$KZ$3000,$C35,10+3*MIN(O$3,$D$2-1)))))</f>
        <v/>
      </c>
      <c r="P35" s="130">
        <f>IF(OR($C35="",$B$2="",$D$2=0),0,IF(P$3&lt;0,0,N(INDEX('CURVA PREVISION'!$A$1:$KZ$3000,$C35,10+3*MIN(P$3,$D$2-1)))))</f>
        <v/>
      </c>
      <c r="Q35" s="130">
        <f>IF(OR($C35="",$B$2="",$D$2=0),0,IF(Q$3&lt;0,0,N(INDEX('CURVA PREVISION'!$A$1:$KZ$3000,$C35,10+3*MIN(Q$3,$D$2-1)))))</f>
        <v/>
      </c>
      <c r="R35" s="130">
        <f>IF(OR($C35="",$B$2="",$D$2=0),0,IF(R$3&lt;0,0,N(INDEX('CURVA PREVISION'!$A$1:$KZ$3000,$C35,10+3*MIN(R$3,$D$2-1)))))</f>
        <v/>
      </c>
      <c r="S35" s="130">
        <f>IF(OR($C35="",$B$2="",$D$2=0),0,IF(S$3&lt;0,0,N(INDEX('CURVA PREVISION'!$A$1:$KZ$3000,$C35,10+3*MIN(S$3,$D$2-1)))))</f>
        <v/>
      </c>
      <c r="T35" s="130">
        <f>IF(OR($C35="",$B$2="",$D$2=0),0,IF(T$3&lt;0,0,N(INDEX('CURVA PREVISION'!$A$1:$KZ$3000,$C35,10+3*MIN(T$3,$D$2-1)))))</f>
        <v/>
      </c>
      <c r="U35" s="130">
        <f>IF(OR($C35="",$B$2="",$D$2=0),0,IF(U$3&lt;0,0,N(INDEX('CURVA PREVISION'!$A$1:$KZ$3000,$C35,10+3*MIN(U$3,$D$2-1)))))</f>
        <v/>
      </c>
      <c r="V35" s="130">
        <f>IF(OR($C35="",$B$2="",$D$2=0),0,IF(V$3&lt;0,0,N(INDEX('CURVA PREVISION'!$A$1:$KZ$3000,$C35,10+3*MIN(V$3,$D$2-1)))))</f>
        <v/>
      </c>
      <c r="W35" s="130">
        <f>IF(OR($C35="",$B$2="",$D$2=0),0,IF(W$3&lt;0,0,N(INDEX('CURVA PREVISION'!$A$1:$KZ$3000,$C35,10+3*MIN(W$3,$D$2-1)))))</f>
        <v/>
      </c>
      <c r="X35" s="130">
        <f>IF(OR($C35="",$B$2="",$D$2=0),0,IF(X$3&lt;0,0,N(INDEX('CURVA PREVISION'!$A$1:$KZ$3000,$C35,10+3*MIN(X$3,$D$2-1)))))</f>
        <v/>
      </c>
      <c r="Y35" s="130">
        <f>IF(OR($C35="",$B$2="",$D$2=0),0,IF(Y$3&lt;0,0,N(INDEX('CURVA PREVISION'!$A$1:$KZ$3000,$C35,10+3*MIN(Y$3,$D$2-1)))))</f>
        <v/>
      </c>
      <c r="Z35" s="130">
        <f>IF(OR($C35="",$B$2="",$D$2=0),0,IF(Z$3&lt;0,0,N(INDEX('CURVA PREVISION'!$A$1:$KZ$3000,$C35,10+3*MIN(Z$3,$D$2-1)))))</f>
        <v/>
      </c>
      <c r="AA35" s="130">
        <f>IF(OR($C35="",$B$2="",$D$2=0),0,IF(AA$3&lt;0,0,N(INDEX('CURVA PREVISION'!$A$1:$KZ$3000,$C35,10+3*MIN(AA$3,$D$2-1)))))</f>
        <v/>
      </c>
      <c r="AB35" s="130">
        <f>IF(OR($C35="",$B$2="",$D$2=0),0,IF(AB$3&lt;0,0,N(INDEX('CURVA PREVISION'!$A$1:$KZ$3000,$C35,10+3*MIN(AB$3,$D$2-1)))))</f>
        <v/>
      </c>
      <c r="AC35" s="130">
        <f>IF(OR($C35="",$B$2="",$D$2=0),0,IF(AC$3&lt;0,0,N(INDEX('CURVA PREVISION'!$A$1:$KZ$3000,$C35,10+3*MIN(AC$3,$D$2-1)))))</f>
        <v/>
      </c>
      <c r="AD35" s="130">
        <f>IF(OR($C35="",$B$2="",$D$2=0),0,IF(AD$3&lt;0,0,N(INDEX('CURVA PREVISION'!$A$1:$KZ$3000,$C35,10+3*MIN(AD$3,$D$2-1)))))</f>
        <v/>
      </c>
      <c r="AE35" s="130">
        <f>IF(OR($C35="",$B$2="",$D$2=0),0,IF(AE$3&lt;0,0,N(INDEX('CURVA PREVISION'!$A$1:$KZ$3000,$C35,10+3*MIN(AE$3,$D$2-1)))))</f>
        <v/>
      </c>
      <c r="AF35" s="130">
        <f>IF(OR($C35="",$B$2="",$D$2=0),0,IF(AF$3&lt;0,0,N(INDEX('CURVA PREVISION'!$A$1:$KZ$3000,$C35,10+3*MIN(AF$3,$D$2-1)))))</f>
        <v/>
      </c>
      <c r="AG35" s="130">
        <f>IF(OR($C35="",$B$2="",$D$2=0),0,IF(AG$3&lt;0,0,N(INDEX('CURVA PREVISION'!$A$1:$KZ$3000,$C35,10+3*MIN(AG$3,$D$2-1)))))</f>
        <v/>
      </c>
      <c r="AH35" s="130">
        <f>IF(OR($C35="",$B$2="",$D$2=0),0,IF(AH$3&lt;0,0,N(INDEX('CURVA PREVISION'!$A$1:$KZ$3000,$C35,10+3*MIN(AH$3,$D$2-1)))))</f>
        <v/>
      </c>
      <c r="AI35" s="130">
        <f>IF(OR($C35="",$B$2="",$D$2=0),0,IF(AI$3&lt;0,0,N(INDEX('CURVA PREVISION'!$A$1:$KZ$3000,$C35,10+3*MIN(AI$3,$D$2-1)))))</f>
        <v/>
      </c>
      <c r="AJ35" s="130">
        <f>IF(OR($C35="",$B$2="",$D$2=0),0,IF(AJ$3&lt;0,0,N(INDEX('CURVA PREVISION'!$A$1:$KZ$3000,$C35,10+3*MIN(AJ$3,$D$2-1)))))</f>
        <v/>
      </c>
      <c r="AK35" s="130">
        <f>IF(OR($C35="",$B$2="",$D$2=0),0,IF(AK$3&lt;0,0,N(INDEX('CURVA PREVISION'!$A$1:$KZ$3000,$C35,10+3*MIN(AK$3,$D$2-1)))))</f>
        <v/>
      </c>
      <c r="AL35" s="130">
        <f>IF(OR($C35="",$B$2="",$D$2=0),0,IF(AL$3&lt;0,0,N(INDEX('CURVA PREVISION'!$A$1:$KZ$3000,$C35,10+3*MIN(AL$3,$D$2-1)))))</f>
        <v/>
      </c>
      <c r="AM35" s="130">
        <f>IF(OR($C35="",$B$2="",$D$2=0),0,IF(AM$3&lt;0,0,N(INDEX('CURVA PREVISION'!$A$1:$KZ$3000,$C35,10+3*MIN(AM$3,$D$2-1)))))</f>
        <v/>
      </c>
      <c r="AN35" s="130">
        <f>IF(OR($C35="",$B$2="",$D$2=0),0,IF(AN$3&lt;0,0,N(INDEX('CURVA PREVISION'!$A$1:$KZ$3000,$C35,10+3*MIN(AN$3,$D$2-1)))))</f>
        <v/>
      </c>
      <c r="AO35" s="130">
        <f>IF(OR($C35="",$B$2="",$D$2=0),0,IF(AO$3&lt;0,0,N(INDEX('CURVA PREVISION'!$A$1:$KZ$3000,$C35,10+3*MIN(AO$3,$D$2-1)))))</f>
        <v/>
      </c>
      <c r="AP35" s="130">
        <f>IF(OR($C35="",$B$2="",$D$2=0),0,IF(AP$3&lt;0,0,N(INDEX('CURVA PREVISION'!$A$1:$KZ$3000,$C35,10+3*MIN(AP$3,$D$2-1)))))</f>
        <v/>
      </c>
      <c r="AQ35" s="130">
        <f>IF(OR($C35="",$B$2="",$D$2=0),0,IF(AQ$3&lt;0,0,N(INDEX('CURVA PREVISION'!$A$1:$KZ$3000,$C35,10+3*MIN(AQ$3,$D$2-1)))))</f>
        <v/>
      </c>
      <c r="AR35" s="130">
        <f>IF(OR($C35="",$B$2="",$D$2=0),0,IF(AR$3&lt;0,0,N(INDEX('CURVA PREVISION'!$A$1:$KZ$3000,$C35,10+3*MIN(AR$3,$D$2-1)))))</f>
        <v/>
      </c>
      <c r="AS35" s="130">
        <f>IF(OR($C35="",$B$2="",$D$2=0),0,IF(AS$3&lt;0,0,N(INDEX('CURVA PREVISION'!$A$1:$KZ$3000,$C35,10+3*MIN(AS$3,$D$2-1)))))</f>
        <v/>
      </c>
      <c r="AT35" s="130">
        <f>IF(OR($C35="",$B$2="",$D$2=0),0,IF(AT$3&lt;0,0,N(INDEX('CURVA PREVISION'!$A$1:$KZ$3000,$C35,10+3*MIN(AT$3,$D$2-1)))))</f>
        <v/>
      </c>
      <c r="AU35" s="130">
        <f>IF(OR($C35="",$B$2="",$D$2=0),0,IF(AU$3&lt;0,0,N(INDEX('CURVA PREVISION'!$A$1:$KZ$3000,$C35,10+3*MIN(AU$3,$D$2-1)))))</f>
        <v/>
      </c>
      <c r="AV35" s="130">
        <f>IF(OR($C35="",$B$2="",$D$2=0),0,IF(AV$3&lt;0,0,N(INDEX('CURVA PREVISION'!$A$1:$KZ$3000,$C35,10+3*MIN(AV$3,$D$2-1)))))</f>
        <v/>
      </c>
      <c r="AW35" s="130">
        <f>IF(OR($C35="",$B$2="",$D$2=0),0,IF(AW$3&lt;0,0,N(INDEX('CURVA PREVISION'!$A$1:$KZ$3000,$C35,10+3*MIN(AW$3,$D$2-1)))))</f>
        <v/>
      </c>
      <c r="AX35" s="130">
        <f>IF(OR($C35="",$B$2="",$D$2=0),0,IF(AX$3&lt;0,0,N(INDEX('CURVA PREVISION'!$A$1:$KZ$3000,$C35,10+3*MIN(AX$3,$D$2-1)))))</f>
        <v/>
      </c>
      <c r="AY35" s="130">
        <f>IF(OR($C35="",$B$2="",$D$2=0),0,IF(AY$3&lt;0,0,N(INDEX('CURVA PREVISION'!$A$1:$KZ$3000,$C35,10+3*MIN(AY$3,$D$2-1)))))</f>
        <v/>
      </c>
      <c r="AZ35" s="130">
        <f>IF(OR($C35="",$B$2="",$D$2=0),0,IF(AZ$3&lt;0,0,N(INDEX('CURVA PREVISION'!$A$1:$KZ$3000,$C35,10+3*MIN(AZ$3,$D$2-1)))))</f>
        <v/>
      </c>
      <c r="BA35" s="130">
        <f>IF(OR($C35="",$B$2="",$D$2=0),0,IF(BA$3&lt;0,0,N(INDEX('CURVA PREVISION'!$A$1:$KZ$3000,$C35,10+3*MIN(BA$3,$D$2-1)))))</f>
        <v/>
      </c>
      <c r="BB35" s="130">
        <f>IF(OR($C35="",$B$2="",$D$2=0),0,IF(BB$3&lt;0,0,N(INDEX('CURVA PREVISION'!$A$1:$KZ$3000,$C35,10+3*MIN(BB$3,$D$2-1)))))</f>
        <v/>
      </c>
      <c r="BC35" s="130">
        <f>IF(OR($C35="",$B$2="",$D$2=0),0,IF(BC$3&lt;0,0,N(INDEX('CURVA PREVISION'!$A$1:$KZ$3000,$C35,10+3*MIN(BC$3,$D$2-1)))))</f>
        <v/>
      </c>
      <c r="BD35" s="130">
        <f>IF(OR($C35="",$B$2="",$D$2=0),0,IF(BD$3&lt;0,0,N(INDEX('CURVA PREVISION'!$A$1:$KZ$3000,$C35,10+3*MIN(BD$3,$D$2-1)))))</f>
        <v/>
      </c>
      <c r="BE35" s="130">
        <f>IF(OR($C35="",$B$2="",$D$2=0),0,IF(BE$3&lt;0,0,N(INDEX('CURVA PREVISION'!$A$1:$KZ$3000,$C35,10+3*MIN(BE$3,$D$2-1)))))</f>
        <v/>
      </c>
      <c r="BF35" s="130">
        <f>IF(OR($C35="",$B$2="",$D$2=0),0,IF(BF$3&lt;0,0,N(INDEX('CURVA PREVISION'!$A$1:$KZ$3000,$C35,10+3*MIN(BF$3,$D$2-1)))))</f>
        <v/>
      </c>
      <c r="BG35" s="130">
        <f>IF(OR($C35="",$B$2="",$D$2=0),0,IF(BG$3&lt;0,0,N(INDEX('CURVA PREVISION'!$A$1:$KZ$3000,$C35,10+3*MIN(BG$3,$D$2-1)))))</f>
        <v/>
      </c>
      <c r="BH35" s="130">
        <f>IF(OR($C35="",$B$2="",$D$2=0),0,IF(BH$3&lt;0,0,N(INDEX('CURVA PREVISION'!$A$1:$KZ$3000,$C35,10+3*MIN(BH$3,$D$2-1)))))</f>
        <v/>
      </c>
      <c r="BI35" s="130">
        <f>IF(OR($C35="",$B$2="",$D$2=0),0,IF(BI$3&lt;0,0,N(INDEX('CURVA PREVISION'!$A$1:$KZ$3000,$C35,10+3*MIN(BI$3,$D$2-1)))))</f>
        <v/>
      </c>
      <c r="BJ35" s="130">
        <f>IF(OR($C35="",$B$2="",$D$2=0),0,IF(BJ$3&lt;0,0,N(INDEX('CURVA PREVISION'!$A$1:$KZ$3000,$C35,10+3*MIN(BJ$3,$D$2-1)))))</f>
        <v/>
      </c>
      <c r="BK35" s="130">
        <f>IF(OR($C35="",$B$2="",$D$2=0),0,IF(BK$3&lt;0,0,N(INDEX('CURVA PREVISION'!$A$1:$KZ$3000,$C35,10+3*MIN(BK$3,$D$2-1)))))</f>
        <v/>
      </c>
      <c r="BL35" s="130">
        <f>IF(OR($C35="",$B$2="",$D$2=0),0,IF(BL$3&lt;0,0,N(INDEX('CURVA PREVISION'!$A$1:$KZ$3000,$C35,10+3*MIN(BL$3,$D$2-1)))))</f>
        <v/>
      </c>
      <c r="BM35" s="130">
        <f>IF(OR($C35="",$B$2="",$D$2=0),0,IF(BM$3&lt;0,0,N(INDEX('CURVA PREVISION'!$A$1:$KZ$3000,$C35,10+3*MIN(BM$3,$D$2-1)))))</f>
        <v/>
      </c>
      <c r="BN35" s="130">
        <f>IF(OR($C35="",$B$2="",$D$2=0),0,IF(BN$3&lt;0,0,N(INDEX('CURVA PREVISION'!$A$1:$KZ$3000,$C35,10+3*MIN(BN$3,$D$2-1)))))</f>
        <v/>
      </c>
      <c r="BO35" s="130">
        <f>IF(OR($C35="",$B$2="",$D$2=0),0,IF(BO$3&lt;0,0,N(INDEX('CURVA PREVISION'!$A$1:$KZ$3000,$C35,10+3*MIN(BO$3,$D$2-1)))))</f>
        <v/>
      </c>
      <c r="BP35" s="130">
        <f>IF(OR($C35="",$B$2="",$D$2=0),0,IF(BP$3&lt;0,0,N(INDEX('CURVA PREVISION'!$A$1:$KZ$3000,$C35,10+3*MIN(BP$3,$D$2-1)))))</f>
        <v/>
      </c>
      <c r="BQ35" s="130">
        <f>IF(OR($C35="",$B$2="",$D$2=0),0,IF(BQ$3&lt;0,0,N(INDEX('CURVA PREVISION'!$A$1:$KZ$3000,$C35,10+3*MIN(BQ$3,$D$2-1)))))</f>
        <v/>
      </c>
      <c r="BR35" s="130">
        <f>IF(OR($C35="",$B$2="",$D$2=0),0,IF(BR$3&lt;0,0,N(INDEX('CURVA PREVISION'!$A$1:$KZ$3000,$C35,10+3*MIN(BR$3,$D$2-1)))))</f>
        <v/>
      </c>
      <c r="BS35" s="130">
        <f>IF(OR($C35="",$B$2="",$D$2=0),0,IF(BS$3&lt;0,0,N(INDEX('CURVA PREVISION'!$A$1:$KZ$3000,$C35,10+3*MIN(BS$3,$D$2-1)))))</f>
        <v/>
      </c>
      <c r="BT35" s="130">
        <f>IF(OR($C35="",$B$2="",$D$2=0),0,IF(BT$3&lt;0,0,N(INDEX('CURVA PREVISION'!$A$1:$KZ$3000,$C35,10+3*MIN(BT$3,$D$2-1)))))</f>
        <v/>
      </c>
      <c r="BU35" s="130">
        <f>IF(OR($C35="",$B$2="",$D$2=0),0,IF(BU$3&lt;0,0,N(INDEX('CURVA PREVISION'!$A$1:$KZ$3000,$C35,10+3*MIN(BU$3,$D$2-1)))))</f>
        <v/>
      </c>
      <c r="BV35" s="130">
        <f>IF(OR($C35="",$B$2="",$D$2=0),0,IF(BV$3&lt;0,0,N(INDEX('CURVA PREVISION'!$A$1:$KZ$3000,$C35,10+3*MIN(BV$3,$D$2-1)))))</f>
        <v/>
      </c>
      <c r="BW35" s="130">
        <f>IF(OR($C35="",$B$2="",$D$2=0),0,IF(BW$3&lt;0,0,N(INDEX('CURVA PREVISION'!$A$1:$KZ$3000,$C35,10+3*MIN(BW$3,$D$2-1)))))</f>
        <v/>
      </c>
    </row>
    <row r="36">
      <c r="A36" s="61">
        <f>IF('VALOR POR PL'!R42&lt;&gt;"",'VALOR POR PL'!R42,IF('VALOR POR PL'!Q42="",'VALOR POR PL'!C42,'VALOR POR PL'!Q42))</f>
        <v/>
      </c>
      <c r="B36" s="61">
        <f>'VALOR POR PL'!D42</f>
        <v/>
      </c>
      <c r="C36" s="70">
        <f>IFERROR(MATCH(A36,'CURVA PREVISION'!$B$1:$B$3000,0),"")</f>
        <v/>
      </c>
      <c r="D36" s="130">
        <f>IF(OR($C36="",$B$2="",$D$2=0),0,IF(D$3&lt;0,0,N(INDEX('CURVA PREVISION'!$A$1:$KZ$3000,$C36,10+3*MIN(D$3,$D$2-1)))))</f>
        <v/>
      </c>
      <c r="E36" s="130">
        <f>IF(OR($C36="",$B$2="",$D$2=0),0,IF(E$3&lt;0,0,N(INDEX('CURVA PREVISION'!$A$1:$KZ$3000,$C36,10+3*MIN(E$3,$D$2-1)))))</f>
        <v/>
      </c>
      <c r="F36" s="130">
        <f>IF(OR($C36="",$B$2="",$D$2=0),0,IF(F$3&lt;0,0,N(INDEX('CURVA PREVISION'!$A$1:$KZ$3000,$C36,10+3*MIN(F$3,$D$2-1)))))</f>
        <v/>
      </c>
      <c r="G36" s="130">
        <f>IF(OR($C36="",$B$2="",$D$2=0),0,IF(G$3&lt;0,0,N(INDEX('CURVA PREVISION'!$A$1:$KZ$3000,$C36,10+3*MIN(G$3,$D$2-1)))))</f>
        <v/>
      </c>
      <c r="H36" s="130">
        <f>IF(OR($C36="",$B$2="",$D$2=0),0,IF(H$3&lt;0,0,N(INDEX('CURVA PREVISION'!$A$1:$KZ$3000,$C36,10+3*MIN(H$3,$D$2-1)))))</f>
        <v/>
      </c>
      <c r="I36" s="130">
        <f>IF(OR($C36="",$B$2="",$D$2=0),0,IF(I$3&lt;0,0,N(INDEX('CURVA PREVISION'!$A$1:$KZ$3000,$C36,10+3*MIN(I$3,$D$2-1)))))</f>
        <v/>
      </c>
      <c r="J36" s="130">
        <f>IF(OR($C36="",$B$2="",$D$2=0),0,IF(J$3&lt;0,0,N(INDEX('CURVA PREVISION'!$A$1:$KZ$3000,$C36,10+3*MIN(J$3,$D$2-1)))))</f>
        <v/>
      </c>
      <c r="K36" s="130">
        <f>IF(OR($C36="",$B$2="",$D$2=0),0,IF(K$3&lt;0,0,N(INDEX('CURVA PREVISION'!$A$1:$KZ$3000,$C36,10+3*MIN(K$3,$D$2-1)))))</f>
        <v/>
      </c>
      <c r="L36" s="130">
        <f>IF(OR($C36="",$B$2="",$D$2=0),0,IF(L$3&lt;0,0,N(INDEX('CURVA PREVISION'!$A$1:$KZ$3000,$C36,10+3*MIN(L$3,$D$2-1)))))</f>
        <v/>
      </c>
      <c r="M36" s="130">
        <f>IF(OR($C36="",$B$2="",$D$2=0),0,IF(M$3&lt;0,0,N(INDEX('CURVA PREVISION'!$A$1:$KZ$3000,$C36,10+3*MIN(M$3,$D$2-1)))))</f>
        <v/>
      </c>
      <c r="N36" s="130">
        <f>IF(OR($C36="",$B$2="",$D$2=0),0,IF(N$3&lt;0,0,N(INDEX('CURVA PREVISION'!$A$1:$KZ$3000,$C36,10+3*MIN(N$3,$D$2-1)))))</f>
        <v/>
      </c>
      <c r="O36" s="130">
        <f>IF(OR($C36="",$B$2="",$D$2=0),0,IF(O$3&lt;0,0,N(INDEX('CURVA PREVISION'!$A$1:$KZ$3000,$C36,10+3*MIN(O$3,$D$2-1)))))</f>
        <v/>
      </c>
      <c r="P36" s="130">
        <f>IF(OR($C36="",$B$2="",$D$2=0),0,IF(P$3&lt;0,0,N(INDEX('CURVA PREVISION'!$A$1:$KZ$3000,$C36,10+3*MIN(P$3,$D$2-1)))))</f>
        <v/>
      </c>
      <c r="Q36" s="130">
        <f>IF(OR($C36="",$B$2="",$D$2=0),0,IF(Q$3&lt;0,0,N(INDEX('CURVA PREVISION'!$A$1:$KZ$3000,$C36,10+3*MIN(Q$3,$D$2-1)))))</f>
        <v/>
      </c>
      <c r="R36" s="130">
        <f>IF(OR($C36="",$B$2="",$D$2=0),0,IF(R$3&lt;0,0,N(INDEX('CURVA PREVISION'!$A$1:$KZ$3000,$C36,10+3*MIN(R$3,$D$2-1)))))</f>
        <v/>
      </c>
      <c r="S36" s="130">
        <f>IF(OR($C36="",$B$2="",$D$2=0),0,IF(S$3&lt;0,0,N(INDEX('CURVA PREVISION'!$A$1:$KZ$3000,$C36,10+3*MIN(S$3,$D$2-1)))))</f>
        <v/>
      </c>
      <c r="T36" s="130">
        <f>IF(OR($C36="",$B$2="",$D$2=0),0,IF(T$3&lt;0,0,N(INDEX('CURVA PREVISION'!$A$1:$KZ$3000,$C36,10+3*MIN(T$3,$D$2-1)))))</f>
        <v/>
      </c>
      <c r="U36" s="130">
        <f>IF(OR($C36="",$B$2="",$D$2=0),0,IF(U$3&lt;0,0,N(INDEX('CURVA PREVISION'!$A$1:$KZ$3000,$C36,10+3*MIN(U$3,$D$2-1)))))</f>
        <v/>
      </c>
      <c r="V36" s="130">
        <f>IF(OR($C36="",$B$2="",$D$2=0),0,IF(V$3&lt;0,0,N(INDEX('CURVA PREVISION'!$A$1:$KZ$3000,$C36,10+3*MIN(V$3,$D$2-1)))))</f>
        <v/>
      </c>
      <c r="W36" s="130">
        <f>IF(OR($C36="",$B$2="",$D$2=0),0,IF(W$3&lt;0,0,N(INDEX('CURVA PREVISION'!$A$1:$KZ$3000,$C36,10+3*MIN(W$3,$D$2-1)))))</f>
        <v/>
      </c>
      <c r="X36" s="130">
        <f>IF(OR($C36="",$B$2="",$D$2=0),0,IF(X$3&lt;0,0,N(INDEX('CURVA PREVISION'!$A$1:$KZ$3000,$C36,10+3*MIN(X$3,$D$2-1)))))</f>
        <v/>
      </c>
      <c r="Y36" s="130">
        <f>IF(OR($C36="",$B$2="",$D$2=0),0,IF(Y$3&lt;0,0,N(INDEX('CURVA PREVISION'!$A$1:$KZ$3000,$C36,10+3*MIN(Y$3,$D$2-1)))))</f>
        <v/>
      </c>
      <c r="Z36" s="130">
        <f>IF(OR($C36="",$B$2="",$D$2=0),0,IF(Z$3&lt;0,0,N(INDEX('CURVA PREVISION'!$A$1:$KZ$3000,$C36,10+3*MIN(Z$3,$D$2-1)))))</f>
        <v/>
      </c>
      <c r="AA36" s="130">
        <f>IF(OR($C36="",$B$2="",$D$2=0),0,IF(AA$3&lt;0,0,N(INDEX('CURVA PREVISION'!$A$1:$KZ$3000,$C36,10+3*MIN(AA$3,$D$2-1)))))</f>
        <v/>
      </c>
      <c r="AB36" s="130">
        <f>IF(OR($C36="",$B$2="",$D$2=0),0,IF(AB$3&lt;0,0,N(INDEX('CURVA PREVISION'!$A$1:$KZ$3000,$C36,10+3*MIN(AB$3,$D$2-1)))))</f>
        <v/>
      </c>
      <c r="AC36" s="130">
        <f>IF(OR($C36="",$B$2="",$D$2=0),0,IF(AC$3&lt;0,0,N(INDEX('CURVA PREVISION'!$A$1:$KZ$3000,$C36,10+3*MIN(AC$3,$D$2-1)))))</f>
        <v/>
      </c>
      <c r="AD36" s="130">
        <f>IF(OR($C36="",$B$2="",$D$2=0),0,IF(AD$3&lt;0,0,N(INDEX('CURVA PREVISION'!$A$1:$KZ$3000,$C36,10+3*MIN(AD$3,$D$2-1)))))</f>
        <v/>
      </c>
      <c r="AE36" s="130">
        <f>IF(OR($C36="",$B$2="",$D$2=0),0,IF(AE$3&lt;0,0,N(INDEX('CURVA PREVISION'!$A$1:$KZ$3000,$C36,10+3*MIN(AE$3,$D$2-1)))))</f>
        <v/>
      </c>
      <c r="AF36" s="130">
        <f>IF(OR($C36="",$B$2="",$D$2=0),0,IF(AF$3&lt;0,0,N(INDEX('CURVA PREVISION'!$A$1:$KZ$3000,$C36,10+3*MIN(AF$3,$D$2-1)))))</f>
        <v/>
      </c>
      <c r="AG36" s="130">
        <f>IF(OR($C36="",$B$2="",$D$2=0),0,IF(AG$3&lt;0,0,N(INDEX('CURVA PREVISION'!$A$1:$KZ$3000,$C36,10+3*MIN(AG$3,$D$2-1)))))</f>
        <v/>
      </c>
      <c r="AH36" s="130">
        <f>IF(OR($C36="",$B$2="",$D$2=0),0,IF(AH$3&lt;0,0,N(INDEX('CURVA PREVISION'!$A$1:$KZ$3000,$C36,10+3*MIN(AH$3,$D$2-1)))))</f>
        <v/>
      </c>
      <c r="AI36" s="130">
        <f>IF(OR($C36="",$B$2="",$D$2=0),0,IF(AI$3&lt;0,0,N(INDEX('CURVA PREVISION'!$A$1:$KZ$3000,$C36,10+3*MIN(AI$3,$D$2-1)))))</f>
        <v/>
      </c>
      <c r="AJ36" s="130">
        <f>IF(OR($C36="",$B$2="",$D$2=0),0,IF(AJ$3&lt;0,0,N(INDEX('CURVA PREVISION'!$A$1:$KZ$3000,$C36,10+3*MIN(AJ$3,$D$2-1)))))</f>
        <v/>
      </c>
      <c r="AK36" s="130">
        <f>IF(OR($C36="",$B$2="",$D$2=0),0,IF(AK$3&lt;0,0,N(INDEX('CURVA PREVISION'!$A$1:$KZ$3000,$C36,10+3*MIN(AK$3,$D$2-1)))))</f>
        <v/>
      </c>
      <c r="AL36" s="130">
        <f>IF(OR($C36="",$B$2="",$D$2=0),0,IF(AL$3&lt;0,0,N(INDEX('CURVA PREVISION'!$A$1:$KZ$3000,$C36,10+3*MIN(AL$3,$D$2-1)))))</f>
        <v/>
      </c>
      <c r="AM36" s="130">
        <f>IF(OR($C36="",$B$2="",$D$2=0),0,IF(AM$3&lt;0,0,N(INDEX('CURVA PREVISION'!$A$1:$KZ$3000,$C36,10+3*MIN(AM$3,$D$2-1)))))</f>
        <v/>
      </c>
      <c r="AN36" s="130">
        <f>IF(OR($C36="",$B$2="",$D$2=0),0,IF(AN$3&lt;0,0,N(INDEX('CURVA PREVISION'!$A$1:$KZ$3000,$C36,10+3*MIN(AN$3,$D$2-1)))))</f>
        <v/>
      </c>
      <c r="AO36" s="130">
        <f>IF(OR($C36="",$B$2="",$D$2=0),0,IF(AO$3&lt;0,0,N(INDEX('CURVA PREVISION'!$A$1:$KZ$3000,$C36,10+3*MIN(AO$3,$D$2-1)))))</f>
        <v/>
      </c>
      <c r="AP36" s="130">
        <f>IF(OR($C36="",$B$2="",$D$2=0),0,IF(AP$3&lt;0,0,N(INDEX('CURVA PREVISION'!$A$1:$KZ$3000,$C36,10+3*MIN(AP$3,$D$2-1)))))</f>
        <v/>
      </c>
      <c r="AQ36" s="130">
        <f>IF(OR($C36="",$B$2="",$D$2=0),0,IF(AQ$3&lt;0,0,N(INDEX('CURVA PREVISION'!$A$1:$KZ$3000,$C36,10+3*MIN(AQ$3,$D$2-1)))))</f>
        <v/>
      </c>
      <c r="AR36" s="130">
        <f>IF(OR($C36="",$B$2="",$D$2=0),0,IF(AR$3&lt;0,0,N(INDEX('CURVA PREVISION'!$A$1:$KZ$3000,$C36,10+3*MIN(AR$3,$D$2-1)))))</f>
        <v/>
      </c>
      <c r="AS36" s="130">
        <f>IF(OR($C36="",$B$2="",$D$2=0),0,IF(AS$3&lt;0,0,N(INDEX('CURVA PREVISION'!$A$1:$KZ$3000,$C36,10+3*MIN(AS$3,$D$2-1)))))</f>
        <v/>
      </c>
      <c r="AT36" s="130">
        <f>IF(OR($C36="",$B$2="",$D$2=0),0,IF(AT$3&lt;0,0,N(INDEX('CURVA PREVISION'!$A$1:$KZ$3000,$C36,10+3*MIN(AT$3,$D$2-1)))))</f>
        <v/>
      </c>
      <c r="AU36" s="130">
        <f>IF(OR($C36="",$B$2="",$D$2=0),0,IF(AU$3&lt;0,0,N(INDEX('CURVA PREVISION'!$A$1:$KZ$3000,$C36,10+3*MIN(AU$3,$D$2-1)))))</f>
        <v/>
      </c>
      <c r="AV36" s="130">
        <f>IF(OR($C36="",$B$2="",$D$2=0),0,IF(AV$3&lt;0,0,N(INDEX('CURVA PREVISION'!$A$1:$KZ$3000,$C36,10+3*MIN(AV$3,$D$2-1)))))</f>
        <v/>
      </c>
      <c r="AW36" s="130">
        <f>IF(OR($C36="",$B$2="",$D$2=0),0,IF(AW$3&lt;0,0,N(INDEX('CURVA PREVISION'!$A$1:$KZ$3000,$C36,10+3*MIN(AW$3,$D$2-1)))))</f>
        <v/>
      </c>
      <c r="AX36" s="130">
        <f>IF(OR($C36="",$B$2="",$D$2=0),0,IF(AX$3&lt;0,0,N(INDEX('CURVA PREVISION'!$A$1:$KZ$3000,$C36,10+3*MIN(AX$3,$D$2-1)))))</f>
        <v/>
      </c>
      <c r="AY36" s="130">
        <f>IF(OR($C36="",$B$2="",$D$2=0),0,IF(AY$3&lt;0,0,N(INDEX('CURVA PREVISION'!$A$1:$KZ$3000,$C36,10+3*MIN(AY$3,$D$2-1)))))</f>
        <v/>
      </c>
      <c r="AZ36" s="130">
        <f>IF(OR($C36="",$B$2="",$D$2=0),0,IF(AZ$3&lt;0,0,N(INDEX('CURVA PREVISION'!$A$1:$KZ$3000,$C36,10+3*MIN(AZ$3,$D$2-1)))))</f>
        <v/>
      </c>
      <c r="BA36" s="130">
        <f>IF(OR($C36="",$B$2="",$D$2=0),0,IF(BA$3&lt;0,0,N(INDEX('CURVA PREVISION'!$A$1:$KZ$3000,$C36,10+3*MIN(BA$3,$D$2-1)))))</f>
        <v/>
      </c>
      <c r="BB36" s="130">
        <f>IF(OR($C36="",$B$2="",$D$2=0),0,IF(BB$3&lt;0,0,N(INDEX('CURVA PREVISION'!$A$1:$KZ$3000,$C36,10+3*MIN(BB$3,$D$2-1)))))</f>
        <v/>
      </c>
      <c r="BC36" s="130">
        <f>IF(OR($C36="",$B$2="",$D$2=0),0,IF(BC$3&lt;0,0,N(INDEX('CURVA PREVISION'!$A$1:$KZ$3000,$C36,10+3*MIN(BC$3,$D$2-1)))))</f>
        <v/>
      </c>
      <c r="BD36" s="130">
        <f>IF(OR($C36="",$B$2="",$D$2=0),0,IF(BD$3&lt;0,0,N(INDEX('CURVA PREVISION'!$A$1:$KZ$3000,$C36,10+3*MIN(BD$3,$D$2-1)))))</f>
        <v/>
      </c>
      <c r="BE36" s="130">
        <f>IF(OR($C36="",$B$2="",$D$2=0),0,IF(BE$3&lt;0,0,N(INDEX('CURVA PREVISION'!$A$1:$KZ$3000,$C36,10+3*MIN(BE$3,$D$2-1)))))</f>
        <v/>
      </c>
      <c r="BF36" s="130">
        <f>IF(OR($C36="",$B$2="",$D$2=0),0,IF(BF$3&lt;0,0,N(INDEX('CURVA PREVISION'!$A$1:$KZ$3000,$C36,10+3*MIN(BF$3,$D$2-1)))))</f>
        <v/>
      </c>
      <c r="BG36" s="130">
        <f>IF(OR($C36="",$B$2="",$D$2=0),0,IF(BG$3&lt;0,0,N(INDEX('CURVA PREVISION'!$A$1:$KZ$3000,$C36,10+3*MIN(BG$3,$D$2-1)))))</f>
        <v/>
      </c>
      <c r="BH36" s="130">
        <f>IF(OR($C36="",$B$2="",$D$2=0),0,IF(BH$3&lt;0,0,N(INDEX('CURVA PREVISION'!$A$1:$KZ$3000,$C36,10+3*MIN(BH$3,$D$2-1)))))</f>
        <v/>
      </c>
      <c r="BI36" s="130">
        <f>IF(OR($C36="",$B$2="",$D$2=0),0,IF(BI$3&lt;0,0,N(INDEX('CURVA PREVISION'!$A$1:$KZ$3000,$C36,10+3*MIN(BI$3,$D$2-1)))))</f>
        <v/>
      </c>
      <c r="BJ36" s="130">
        <f>IF(OR($C36="",$B$2="",$D$2=0),0,IF(BJ$3&lt;0,0,N(INDEX('CURVA PREVISION'!$A$1:$KZ$3000,$C36,10+3*MIN(BJ$3,$D$2-1)))))</f>
        <v/>
      </c>
      <c r="BK36" s="130">
        <f>IF(OR($C36="",$B$2="",$D$2=0),0,IF(BK$3&lt;0,0,N(INDEX('CURVA PREVISION'!$A$1:$KZ$3000,$C36,10+3*MIN(BK$3,$D$2-1)))))</f>
        <v/>
      </c>
      <c r="BL36" s="130">
        <f>IF(OR($C36="",$B$2="",$D$2=0),0,IF(BL$3&lt;0,0,N(INDEX('CURVA PREVISION'!$A$1:$KZ$3000,$C36,10+3*MIN(BL$3,$D$2-1)))))</f>
        <v/>
      </c>
      <c r="BM36" s="130">
        <f>IF(OR($C36="",$B$2="",$D$2=0),0,IF(BM$3&lt;0,0,N(INDEX('CURVA PREVISION'!$A$1:$KZ$3000,$C36,10+3*MIN(BM$3,$D$2-1)))))</f>
        <v/>
      </c>
      <c r="BN36" s="130">
        <f>IF(OR($C36="",$B$2="",$D$2=0),0,IF(BN$3&lt;0,0,N(INDEX('CURVA PREVISION'!$A$1:$KZ$3000,$C36,10+3*MIN(BN$3,$D$2-1)))))</f>
        <v/>
      </c>
      <c r="BO36" s="130">
        <f>IF(OR($C36="",$B$2="",$D$2=0),0,IF(BO$3&lt;0,0,N(INDEX('CURVA PREVISION'!$A$1:$KZ$3000,$C36,10+3*MIN(BO$3,$D$2-1)))))</f>
        <v/>
      </c>
      <c r="BP36" s="130">
        <f>IF(OR($C36="",$B$2="",$D$2=0),0,IF(BP$3&lt;0,0,N(INDEX('CURVA PREVISION'!$A$1:$KZ$3000,$C36,10+3*MIN(BP$3,$D$2-1)))))</f>
        <v/>
      </c>
      <c r="BQ36" s="130">
        <f>IF(OR($C36="",$B$2="",$D$2=0),0,IF(BQ$3&lt;0,0,N(INDEX('CURVA PREVISION'!$A$1:$KZ$3000,$C36,10+3*MIN(BQ$3,$D$2-1)))))</f>
        <v/>
      </c>
      <c r="BR36" s="130">
        <f>IF(OR($C36="",$B$2="",$D$2=0),0,IF(BR$3&lt;0,0,N(INDEX('CURVA PREVISION'!$A$1:$KZ$3000,$C36,10+3*MIN(BR$3,$D$2-1)))))</f>
        <v/>
      </c>
      <c r="BS36" s="130">
        <f>IF(OR($C36="",$B$2="",$D$2=0),0,IF(BS$3&lt;0,0,N(INDEX('CURVA PREVISION'!$A$1:$KZ$3000,$C36,10+3*MIN(BS$3,$D$2-1)))))</f>
        <v/>
      </c>
      <c r="BT36" s="130">
        <f>IF(OR($C36="",$B$2="",$D$2=0),0,IF(BT$3&lt;0,0,N(INDEX('CURVA PREVISION'!$A$1:$KZ$3000,$C36,10+3*MIN(BT$3,$D$2-1)))))</f>
        <v/>
      </c>
      <c r="BU36" s="130">
        <f>IF(OR($C36="",$B$2="",$D$2=0),0,IF(BU$3&lt;0,0,N(INDEX('CURVA PREVISION'!$A$1:$KZ$3000,$C36,10+3*MIN(BU$3,$D$2-1)))))</f>
        <v/>
      </c>
      <c r="BV36" s="130">
        <f>IF(OR($C36="",$B$2="",$D$2=0),0,IF(BV$3&lt;0,0,N(INDEX('CURVA PREVISION'!$A$1:$KZ$3000,$C36,10+3*MIN(BV$3,$D$2-1)))))</f>
        <v/>
      </c>
      <c r="BW36" s="130">
        <f>IF(OR($C36="",$B$2="",$D$2=0),0,IF(BW$3&lt;0,0,N(INDEX('CURVA PREVISION'!$A$1:$KZ$3000,$C36,10+3*MIN(BW$3,$D$2-1)))))</f>
        <v/>
      </c>
    </row>
    <row r="37">
      <c r="A37" s="61">
        <f>IF('VALOR POR PL'!R43&lt;&gt;"",'VALOR POR PL'!R43,IF('VALOR POR PL'!Q43="",'VALOR POR PL'!C43,'VALOR POR PL'!Q43))</f>
        <v/>
      </c>
      <c r="B37" s="61">
        <f>'VALOR POR PL'!D43</f>
        <v/>
      </c>
      <c r="C37" s="70">
        <f>IFERROR(MATCH(A37,'CURVA PREVISION'!$B$1:$B$3000,0),"")</f>
        <v/>
      </c>
      <c r="D37" s="130">
        <f>IF(OR($C37="",$B$2="",$D$2=0),0,IF(D$3&lt;0,0,N(INDEX('CURVA PREVISION'!$A$1:$KZ$3000,$C37,10+3*MIN(D$3,$D$2-1)))))</f>
        <v/>
      </c>
      <c r="E37" s="130">
        <f>IF(OR($C37="",$B$2="",$D$2=0),0,IF(E$3&lt;0,0,N(INDEX('CURVA PREVISION'!$A$1:$KZ$3000,$C37,10+3*MIN(E$3,$D$2-1)))))</f>
        <v/>
      </c>
      <c r="F37" s="130">
        <f>IF(OR($C37="",$B$2="",$D$2=0),0,IF(F$3&lt;0,0,N(INDEX('CURVA PREVISION'!$A$1:$KZ$3000,$C37,10+3*MIN(F$3,$D$2-1)))))</f>
        <v/>
      </c>
      <c r="G37" s="130">
        <f>IF(OR($C37="",$B$2="",$D$2=0),0,IF(G$3&lt;0,0,N(INDEX('CURVA PREVISION'!$A$1:$KZ$3000,$C37,10+3*MIN(G$3,$D$2-1)))))</f>
        <v/>
      </c>
      <c r="H37" s="130">
        <f>IF(OR($C37="",$B$2="",$D$2=0),0,IF(H$3&lt;0,0,N(INDEX('CURVA PREVISION'!$A$1:$KZ$3000,$C37,10+3*MIN(H$3,$D$2-1)))))</f>
        <v/>
      </c>
      <c r="I37" s="130">
        <f>IF(OR($C37="",$B$2="",$D$2=0),0,IF(I$3&lt;0,0,N(INDEX('CURVA PREVISION'!$A$1:$KZ$3000,$C37,10+3*MIN(I$3,$D$2-1)))))</f>
        <v/>
      </c>
      <c r="J37" s="130">
        <f>IF(OR($C37="",$B$2="",$D$2=0),0,IF(J$3&lt;0,0,N(INDEX('CURVA PREVISION'!$A$1:$KZ$3000,$C37,10+3*MIN(J$3,$D$2-1)))))</f>
        <v/>
      </c>
      <c r="K37" s="130">
        <f>IF(OR($C37="",$B$2="",$D$2=0),0,IF(K$3&lt;0,0,N(INDEX('CURVA PREVISION'!$A$1:$KZ$3000,$C37,10+3*MIN(K$3,$D$2-1)))))</f>
        <v/>
      </c>
      <c r="L37" s="130">
        <f>IF(OR($C37="",$B$2="",$D$2=0),0,IF(L$3&lt;0,0,N(INDEX('CURVA PREVISION'!$A$1:$KZ$3000,$C37,10+3*MIN(L$3,$D$2-1)))))</f>
        <v/>
      </c>
      <c r="M37" s="130">
        <f>IF(OR($C37="",$B$2="",$D$2=0),0,IF(M$3&lt;0,0,N(INDEX('CURVA PREVISION'!$A$1:$KZ$3000,$C37,10+3*MIN(M$3,$D$2-1)))))</f>
        <v/>
      </c>
      <c r="N37" s="130">
        <f>IF(OR($C37="",$B$2="",$D$2=0),0,IF(N$3&lt;0,0,N(INDEX('CURVA PREVISION'!$A$1:$KZ$3000,$C37,10+3*MIN(N$3,$D$2-1)))))</f>
        <v/>
      </c>
      <c r="O37" s="130">
        <f>IF(OR($C37="",$B$2="",$D$2=0),0,IF(O$3&lt;0,0,N(INDEX('CURVA PREVISION'!$A$1:$KZ$3000,$C37,10+3*MIN(O$3,$D$2-1)))))</f>
        <v/>
      </c>
      <c r="P37" s="130">
        <f>IF(OR($C37="",$B$2="",$D$2=0),0,IF(P$3&lt;0,0,N(INDEX('CURVA PREVISION'!$A$1:$KZ$3000,$C37,10+3*MIN(P$3,$D$2-1)))))</f>
        <v/>
      </c>
      <c r="Q37" s="130">
        <f>IF(OR($C37="",$B$2="",$D$2=0),0,IF(Q$3&lt;0,0,N(INDEX('CURVA PREVISION'!$A$1:$KZ$3000,$C37,10+3*MIN(Q$3,$D$2-1)))))</f>
        <v/>
      </c>
      <c r="R37" s="130">
        <f>IF(OR($C37="",$B$2="",$D$2=0),0,IF(R$3&lt;0,0,N(INDEX('CURVA PREVISION'!$A$1:$KZ$3000,$C37,10+3*MIN(R$3,$D$2-1)))))</f>
        <v/>
      </c>
      <c r="S37" s="130">
        <f>IF(OR($C37="",$B$2="",$D$2=0),0,IF(S$3&lt;0,0,N(INDEX('CURVA PREVISION'!$A$1:$KZ$3000,$C37,10+3*MIN(S$3,$D$2-1)))))</f>
        <v/>
      </c>
      <c r="T37" s="130">
        <f>IF(OR($C37="",$B$2="",$D$2=0),0,IF(T$3&lt;0,0,N(INDEX('CURVA PREVISION'!$A$1:$KZ$3000,$C37,10+3*MIN(T$3,$D$2-1)))))</f>
        <v/>
      </c>
      <c r="U37" s="130">
        <f>IF(OR($C37="",$B$2="",$D$2=0),0,IF(U$3&lt;0,0,N(INDEX('CURVA PREVISION'!$A$1:$KZ$3000,$C37,10+3*MIN(U$3,$D$2-1)))))</f>
        <v/>
      </c>
      <c r="V37" s="130">
        <f>IF(OR($C37="",$B$2="",$D$2=0),0,IF(V$3&lt;0,0,N(INDEX('CURVA PREVISION'!$A$1:$KZ$3000,$C37,10+3*MIN(V$3,$D$2-1)))))</f>
        <v/>
      </c>
      <c r="W37" s="130">
        <f>IF(OR($C37="",$B$2="",$D$2=0),0,IF(W$3&lt;0,0,N(INDEX('CURVA PREVISION'!$A$1:$KZ$3000,$C37,10+3*MIN(W$3,$D$2-1)))))</f>
        <v/>
      </c>
      <c r="X37" s="130">
        <f>IF(OR($C37="",$B$2="",$D$2=0),0,IF(X$3&lt;0,0,N(INDEX('CURVA PREVISION'!$A$1:$KZ$3000,$C37,10+3*MIN(X$3,$D$2-1)))))</f>
        <v/>
      </c>
      <c r="Y37" s="130">
        <f>IF(OR($C37="",$B$2="",$D$2=0),0,IF(Y$3&lt;0,0,N(INDEX('CURVA PREVISION'!$A$1:$KZ$3000,$C37,10+3*MIN(Y$3,$D$2-1)))))</f>
        <v/>
      </c>
      <c r="Z37" s="130">
        <f>IF(OR($C37="",$B$2="",$D$2=0),0,IF(Z$3&lt;0,0,N(INDEX('CURVA PREVISION'!$A$1:$KZ$3000,$C37,10+3*MIN(Z$3,$D$2-1)))))</f>
        <v/>
      </c>
      <c r="AA37" s="130">
        <f>IF(OR($C37="",$B$2="",$D$2=0),0,IF(AA$3&lt;0,0,N(INDEX('CURVA PREVISION'!$A$1:$KZ$3000,$C37,10+3*MIN(AA$3,$D$2-1)))))</f>
        <v/>
      </c>
      <c r="AB37" s="130">
        <f>IF(OR($C37="",$B$2="",$D$2=0),0,IF(AB$3&lt;0,0,N(INDEX('CURVA PREVISION'!$A$1:$KZ$3000,$C37,10+3*MIN(AB$3,$D$2-1)))))</f>
        <v/>
      </c>
      <c r="AC37" s="130">
        <f>IF(OR($C37="",$B$2="",$D$2=0),0,IF(AC$3&lt;0,0,N(INDEX('CURVA PREVISION'!$A$1:$KZ$3000,$C37,10+3*MIN(AC$3,$D$2-1)))))</f>
        <v/>
      </c>
      <c r="AD37" s="130">
        <f>IF(OR($C37="",$B$2="",$D$2=0),0,IF(AD$3&lt;0,0,N(INDEX('CURVA PREVISION'!$A$1:$KZ$3000,$C37,10+3*MIN(AD$3,$D$2-1)))))</f>
        <v/>
      </c>
      <c r="AE37" s="130">
        <f>IF(OR($C37="",$B$2="",$D$2=0),0,IF(AE$3&lt;0,0,N(INDEX('CURVA PREVISION'!$A$1:$KZ$3000,$C37,10+3*MIN(AE$3,$D$2-1)))))</f>
        <v/>
      </c>
      <c r="AF37" s="130">
        <f>IF(OR($C37="",$B$2="",$D$2=0),0,IF(AF$3&lt;0,0,N(INDEX('CURVA PREVISION'!$A$1:$KZ$3000,$C37,10+3*MIN(AF$3,$D$2-1)))))</f>
        <v/>
      </c>
      <c r="AG37" s="130">
        <f>IF(OR($C37="",$B$2="",$D$2=0),0,IF(AG$3&lt;0,0,N(INDEX('CURVA PREVISION'!$A$1:$KZ$3000,$C37,10+3*MIN(AG$3,$D$2-1)))))</f>
        <v/>
      </c>
      <c r="AH37" s="130">
        <f>IF(OR($C37="",$B$2="",$D$2=0),0,IF(AH$3&lt;0,0,N(INDEX('CURVA PREVISION'!$A$1:$KZ$3000,$C37,10+3*MIN(AH$3,$D$2-1)))))</f>
        <v/>
      </c>
      <c r="AI37" s="130">
        <f>IF(OR($C37="",$B$2="",$D$2=0),0,IF(AI$3&lt;0,0,N(INDEX('CURVA PREVISION'!$A$1:$KZ$3000,$C37,10+3*MIN(AI$3,$D$2-1)))))</f>
        <v/>
      </c>
      <c r="AJ37" s="130">
        <f>IF(OR($C37="",$B$2="",$D$2=0),0,IF(AJ$3&lt;0,0,N(INDEX('CURVA PREVISION'!$A$1:$KZ$3000,$C37,10+3*MIN(AJ$3,$D$2-1)))))</f>
        <v/>
      </c>
      <c r="AK37" s="130">
        <f>IF(OR($C37="",$B$2="",$D$2=0),0,IF(AK$3&lt;0,0,N(INDEX('CURVA PREVISION'!$A$1:$KZ$3000,$C37,10+3*MIN(AK$3,$D$2-1)))))</f>
        <v/>
      </c>
      <c r="AL37" s="130">
        <f>IF(OR($C37="",$B$2="",$D$2=0),0,IF(AL$3&lt;0,0,N(INDEX('CURVA PREVISION'!$A$1:$KZ$3000,$C37,10+3*MIN(AL$3,$D$2-1)))))</f>
        <v/>
      </c>
      <c r="AM37" s="130">
        <f>IF(OR($C37="",$B$2="",$D$2=0),0,IF(AM$3&lt;0,0,N(INDEX('CURVA PREVISION'!$A$1:$KZ$3000,$C37,10+3*MIN(AM$3,$D$2-1)))))</f>
        <v/>
      </c>
      <c r="AN37" s="130">
        <f>IF(OR($C37="",$B$2="",$D$2=0),0,IF(AN$3&lt;0,0,N(INDEX('CURVA PREVISION'!$A$1:$KZ$3000,$C37,10+3*MIN(AN$3,$D$2-1)))))</f>
        <v/>
      </c>
      <c r="AO37" s="130">
        <f>IF(OR($C37="",$B$2="",$D$2=0),0,IF(AO$3&lt;0,0,N(INDEX('CURVA PREVISION'!$A$1:$KZ$3000,$C37,10+3*MIN(AO$3,$D$2-1)))))</f>
        <v/>
      </c>
      <c r="AP37" s="130">
        <f>IF(OR($C37="",$B$2="",$D$2=0),0,IF(AP$3&lt;0,0,N(INDEX('CURVA PREVISION'!$A$1:$KZ$3000,$C37,10+3*MIN(AP$3,$D$2-1)))))</f>
        <v/>
      </c>
      <c r="AQ37" s="130">
        <f>IF(OR($C37="",$B$2="",$D$2=0),0,IF(AQ$3&lt;0,0,N(INDEX('CURVA PREVISION'!$A$1:$KZ$3000,$C37,10+3*MIN(AQ$3,$D$2-1)))))</f>
        <v/>
      </c>
      <c r="AR37" s="130">
        <f>IF(OR($C37="",$B$2="",$D$2=0),0,IF(AR$3&lt;0,0,N(INDEX('CURVA PREVISION'!$A$1:$KZ$3000,$C37,10+3*MIN(AR$3,$D$2-1)))))</f>
        <v/>
      </c>
      <c r="AS37" s="130">
        <f>IF(OR($C37="",$B$2="",$D$2=0),0,IF(AS$3&lt;0,0,N(INDEX('CURVA PREVISION'!$A$1:$KZ$3000,$C37,10+3*MIN(AS$3,$D$2-1)))))</f>
        <v/>
      </c>
      <c r="AT37" s="130">
        <f>IF(OR($C37="",$B$2="",$D$2=0),0,IF(AT$3&lt;0,0,N(INDEX('CURVA PREVISION'!$A$1:$KZ$3000,$C37,10+3*MIN(AT$3,$D$2-1)))))</f>
        <v/>
      </c>
      <c r="AU37" s="130">
        <f>IF(OR($C37="",$B$2="",$D$2=0),0,IF(AU$3&lt;0,0,N(INDEX('CURVA PREVISION'!$A$1:$KZ$3000,$C37,10+3*MIN(AU$3,$D$2-1)))))</f>
        <v/>
      </c>
      <c r="AV37" s="130">
        <f>IF(OR($C37="",$B$2="",$D$2=0),0,IF(AV$3&lt;0,0,N(INDEX('CURVA PREVISION'!$A$1:$KZ$3000,$C37,10+3*MIN(AV$3,$D$2-1)))))</f>
        <v/>
      </c>
      <c r="AW37" s="130">
        <f>IF(OR($C37="",$B$2="",$D$2=0),0,IF(AW$3&lt;0,0,N(INDEX('CURVA PREVISION'!$A$1:$KZ$3000,$C37,10+3*MIN(AW$3,$D$2-1)))))</f>
        <v/>
      </c>
      <c r="AX37" s="130">
        <f>IF(OR($C37="",$B$2="",$D$2=0),0,IF(AX$3&lt;0,0,N(INDEX('CURVA PREVISION'!$A$1:$KZ$3000,$C37,10+3*MIN(AX$3,$D$2-1)))))</f>
        <v/>
      </c>
      <c r="AY37" s="130">
        <f>IF(OR($C37="",$B$2="",$D$2=0),0,IF(AY$3&lt;0,0,N(INDEX('CURVA PREVISION'!$A$1:$KZ$3000,$C37,10+3*MIN(AY$3,$D$2-1)))))</f>
        <v/>
      </c>
      <c r="AZ37" s="130">
        <f>IF(OR($C37="",$B$2="",$D$2=0),0,IF(AZ$3&lt;0,0,N(INDEX('CURVA PREVISION'!$A$1:$KZ$3000,$C37,10+3*MIN(AZ$3,$D$2-1)))))</f>
        <v/>
      </c>
      <c r="BA37" s="130">
        <f>IF(OR($C37="",$B$2="",$D$2=0),0,IF(BA$3&lt;0,0,N(INDEX('CURVA PREVISION'!$A$1:$KZ$3000,$C37,10+3*MIN(BA$3,$D$2-1)))))</f>
        <v/>
      </c>
      <c r="BB37" s="130">
        <f>IF(OR($C37="",$B$2="",$D$2=0),0,IF(BB$3&lt;0,0,N(INDEX('CURVA PREVISION'!$A$1:$KZ$3000,$C37,10+3*MIN(BB$3,$D$2-1)))))</f>
        <v/>
      </c>
      <c r="BC37" s="130">
        <f>IF(OR($C37="",$B$2="",$D$2=0),0,IF(BC$3&lt;0,0,N(INDEX('CURVA PREVISION'!$A$1:$KZ$3000,$C37,10+3*MIN(BC$3,$D$2-1)))))</f>
        <v/>
      </c>
      <c r="BD37" s="130">
        <f>IF(OR($C37="",$B$2="",$D$2=0),0,IF(BD$3&lt;0,0,N(INDEX('CURVA PREVISION'!$A$1:$KZ$3000,$C37,10+3*MIN(BD$3,$D$2-1)))))</f>
        <v/>
      </c>
      <c r="BE37" s="130">
        <f>IF(OR($C37="",$B$2="",$D$2=0),0,IF(BE$3&lt;0,0,N(INDEX('CURVA PREVISION'!$A$1:$KZ$3000,$C37,10+3*MIN(BE$3,$D$2-1)))))</f>
        <v/>
      </c>
      <c r="BF37" s="130">
        <f>IF(OR($C37="",$B$2="",$D$2=0),0,IF(BF$3&lt;0,0,N(INDEX('CURVA PREVISION'!$A$1:$KZ$3000,$C37,10+3*MIN(BF$3,$D$2-1)))))</f>
        <v/>
      </c>
      <c r="BG37" s="130">
        <f>IF(OR($C37="",$B$2="",$D$2=0),0,IF(BG$3&lt;0,0,N(INDEX('CURVA PREVISION'!$A$1:$KZ$3000,$C37,10+3*MIN(BG$3,$D$2-1)))))</f>
        <v/>
      </c>
      <c r="BH37" s="130">
        <f>IF(OR($C37="",$B$2="",$D$2=0),0,IF(BH$3&lt;0,0,N(INDEX('CURVA PREVISION'!$A$1:$KZ$3000,$C37,10+3*MIN(BH$3,$D$2-1)))))</f>
        <v/>
      </c>
      <c r="BI37" s="130">
        <f>IF(OR($C37="",$B$2="",$D$2=0),0,IF(BI$3&lt;0,0,N(INDEX('CURVA PREVISION'!$A$1:$KZ$3000,$C37,10+3*MIN(BI$3,$D$2-1)))))</f>
        <v/>
      </c>
      <c r="BJ37" s="130">
        <f>IF(OR($C37="",$B$2="",$D$2=0),0,IF(BJ$3&lt;0,0,N(INDEX('CURVA PREVISION'!$A$1:$KZ$3000,$C37,10+3*MIN(BJ$3,$D$2-1)))))</f>
        <v/>
      </c>
      <c r="BK37" s="130">
        <f>IF(OR($C37="",$B$2="",$D$2=0),0,IF(BK$3&lt;0,0,N(INDEX('CURVA PREVISION'!$A$1:$KZ$3000,$C37,10+3*MIN(BK$3,$D$2-1)))))</f>
        <v/>
      </c>
      <c r="BL37" s="130">
        <f>IF(OR($C37="",$B$2="",$D$2=0),0,IF(BL$3&lt;0,0,N(INDEX('CURVA PREVISION'!$A$1:$KZ$3000,$C37,10+3*MIN(BL$3,$D$2-1)))))</f>
        <v/>
      </c>
      <c r="BM37" s="130">
        <f>IF(OR($C37="",$B$2="",$D$2=0),0,IF(BM$3&lt;0,0,N(INDEX('CURVA PREVISION'!$A$1:$KZ$3000,$C37,10+3*MIN(BM$3,$D$2-1)))))</f>
        <v/>
      </c>
      <c r="BN37" s="130">
        <f>IF(OR($C37="",$B$2="",$D$2=0),0,IF(BN$3&lt;0,0,N(INDEX('CURVA PREVISION'!$A$1:$KZ$3000,$C37,10+3*MIN(BN$3,$D$2-1)))))</f>
        <v/>
      </c>
      <c r="BO37" s="130">
        <f>IF(OR($C37="",$B$2="",$D$2=0),0,IF(BO$3&lt;0,0,N(INDEX('CURVA PREVISION'!$A$1:$KZ$3000,$C37,10+3*MIN(BO$3,$D$2-1)))))</f>
        <v/>
      </c>
      <c r="BP37" s="130">
        <f>IF(OR($C37="",$B$2="",$D$2=0),0,IF(BP$3&lt;0,0,N(INDEX('CURVA PREVISION'!$A$1:$KZ$3000,$C37,10+3*MIN(BP$3,$D$2-1)))))</f>
        <v/>
      </c>
      <c r="BQ37" s="130">
        <f>IF(OR($C37="",$B$2="",$D$2=0),0,IF(BQ$3&lt;0,0,N(INDEX('CURVA PREVISION'!$A$1:$KZ$3000,$C37,10+3*MIN(BQ$3,$D$2-1)))))</f>
        <v/>
      </c>
      <c r="BR37" s="130">
        <f>IF(OR($C37="",$B$2="",$D$2=0),0,IF(BR$3&lt;0,0,N(INDEX('CURVA PREVISION'!$A$1:$KZ$3000,$C37,10+3*MIN(BR$3,$D$2-1)))))</f>
        <v/>
      </c>
      <c r="BS37" s="130">
        <f>IF(OR($C37="",$B$2="",$D$2=0),0,IF(BS$3&lt;0,0,N(INDEX('CURVA PREVISION'!$A$1:$KZ$3000,$C37,10+3*MIN(BS$3,$D$2-1)))))</f>
        <v/>
      </c>
      <c r="BT37" s="130">
        <f>IF(OR($C37="",$B$2="",$D$2=0),0,IF(BT$3&lt;0,0,N(INDEX('CURVA PREVISION'!$A$1:$KZ$3000,$C37,10+3*MIN(BT$3,$D$2-1)))))</f>
        <v/>
      </c>
      <c r="BU37" s="130">
        <f>IF(OR($C37="",$B$2="",$D$2=0),0,IF(BU$3&lt;0,0,N(INDEX('CURVA PREVISION'!$A$1:$KZ$3000,$C37,10+3*MIN(BU$3,$D$2-1)))))</f>
        <v/>
      </c>
      <c r="BV37" s="130">
        <f>IF(OR($C37="",$B$2="",$D$2=0),0,IF(BV$3&lt;0,0,N(INDEX('CURVA PREVISION'!$A$1:$KZ$3000,$C37,10+3*MIN(BV$3,$D$2-1)))))</f>
        <v/>
      </c>
      <c r="BW37" s="130">
        <f>IF(OR($C37="",$B$2="",$D$2=0),0,IF(BW$3&lt;0,0,N(INDEX('CURVA PREVISION'!$A$1:$KZ$3000,$C37,10+3*MIN(BW$3,$D$2-1)))))</f>
        <v/>
      </c>
    </row>
    <row r="38">
      <c r="A38" s="61">
        <f>IF('VALOR POR PL'!R44&lt;&gt;"",'VALOR POR PL'!R44,IF('VALOR POR PL'!Q44="",'VALOR POR PL'!C44,'VALOR POR PL'!Q44))</f>
        <v/>
      </c>
      <c r="B38" s="61">
        <f>'VALOR POR PL'!D44</f>
        <v/>
      </c>
      <c r="C38" s="70">
        <f>IFERROR(MATCH(A38,'CURVA PREVISION'!$B$1:$B$3000,0),"")</f>
        <v/>
      </c>
      <c r="D38" s="130">
        <f>IF(OR($C38="",$B$2="",$D$2=0),0,IF(D$3&lt;0,0,N(INDEX('CURVA PREVISION'!$A$1:$KZ$3000,$C38,10+3*MIN(D$3,$D$2-1)))))</f>
        <v/>
      </c>
      <c r="E38" s="130">
        <f>IF(OR($C38="",$B$2="",$D$2=0),0,IF(E$3&lt;0,0,N(INDEX('CURVA PREVISION'!$A$1:$KZ$3000,$C38,10+3*MIN(E$3,$D$2-1)))))</f>
        <v/>
      </c>
      <c r="F38" s="130">
        <f>IF(OR($C38="",$B$2="",$D$2=0),0,IF(F$3&lt;0,0,N(INDEX('CURVA PREVISION'!$A$1:$KZ$3000,$C38,10+3*MIN(F$3,$D$2-1)))))</f>
        <v/>
      </c>
      <c r="G38" s="130">
        <f>IF(OR($C38="",$B$2="",$D$2=0),0,IF(G$3&lt;0,0,N(INDEX('CURVA PREVISION'!$A$1:$KZ$3000,$C38,10+3*MIN(G$3,$D$2-1)))))</f>
        <v/>
      </c>
      <c r="H38" s="130">
        <f>IF(OR($C38="",$B$2="",$D$2=0),0,IF(H$3&lt;0,0,N(INDEX('CURVA PREVISION'!$A$1:$KZ$3000,$C38,10+3*MIN(H$3,$D$2-1)))))</f>
        <v/>
      </c>
      <c r="I38" s="130">
        <f>IF(OR($C38="",$B$2="",$D$2=0),0,IF(I$3&lt;0,0,N(INDEX('CURVA PREVISION'!$A$1:$KZ$3000,$C38,10+3*MIN(I$3,$D$2-1)))))</f>
        <v/>
      </c>
      <c r="J38" s="130">
        <f>IF(OR($C38="",$B$2="",$D$2=0),0,IF(J$3&lt;0,0,N(INDEX('CURVA PREVISION'!$A$1:$KZ$3000,$C38,10+3*MIN(J$3,$D$2-1)))))</f>
        <v/>
      </c>
      <c r="K38" s="130">
        <f>IF(OR($C38="",$B$2="",$D$2=0),0,IF(K$3&lt;0,0,N(INDEX('CURVA PREVISION'!$A$1:$KZ$3000,$C38,10+3*MIN(K$3,$D$2-1)))))</f>
        <v/>
      </c>
      <c r="L38" s="130">
        <f>IF(OR($C38="",$B$2="",$D$2=0),0,IF(L$3&lt;0,0,N(INDEX('CURVA PREVISION'!$A$1:$KZ$3000,$C38,10+3*MIN(L$3,$D$2-1)))))</f>
        <v/>
      </c>
      <c r="M38" s="130">
        <f>IF(OR($C38="",$B$2="",$D$2=0),0,IF(M$3&lt;0,0,N(INDEX('CURVA PREVISION'!$A$1:$KZ$3000,$C38,10+3*MIN(M$3,$D$2-1)))))</f>
        <v/>
      </c>
      <c r="N38" s="130">
        <f>IF(OR($C38="",$B$2="",$D$2=0),0,IF(N$3&lt;0,0,N(INDEX('CURVA PREVISION'!$A$1:$KZ$3000,$C38,10+3*MIN(N$3,$D$2-1)))))</f>
        <v/>
      </c>
      <c r="O38" s="130">
        <f>IF(OR($C38="",$B$2="",$D$2=0),0,IF(O$3&lt;0,0,N(INDEX('CURVA PREVISION'!$A$1:$KZ$3000,$C38,10+3*MIN(O$3,$D$2-1)))))</f>
        <v/>
      </c>
      <c r="P38" s="130">
        <f>IF(OR($C38="",$B$2="",$D$2=0),0,IF(P$3&lt;0,0,N(INDEX('CURVA PREVISION'!$A$1:$KZ$3000,$C38,10+3*MIN(P$3,$D$2-1)))))</f>
        <v/>
      </c>
      <c r="Q38" s="130">
        <f>IF(OR($C38="",$B$2="",$D$2=0),0,IF(Q$3&lt;0,0,N(INDEX('CURVA PREVISION'!$A$1:$KZ$3000,$C38,10+3*MIN(Q$3,$D$2-1)))))</f>
        <v/>
      </c>
      <c r="R38" s="130">
        <f>IF(OR($C38="",$B$2="",$D$2=0),0,IF(R$3&lt;0,0,N(INDEX('CURVA PREVISION'!$A$1:$KZ$3000,$C38,10+3*MIN(R$3,$D$2-1)))))</f>
        <v/>
      </c>
      <c r="S38" s="130">
        <f>IF(OR($C38="",$B$2="",$D$2=0),0,IF(S$3&lt;0,0,N(INDEX('CURVA PREVISION'!$A$1:$KZ$3000,$C38,10+3*MIN(S$3,$D$2-1)))))</f>
        <v/>
      </c>
      <c r="T38" s="130">
        <f>IF(OR($C38="",$B$2="",$D$2=0),0,IF(T$3&lt;0,0,N(INDEX('CURVA PREVISION'!$A$1:$KZ$3000,$C38,10+3*MIN(T$3,$D$2-1)))))</f>
        <v/>
      </c>
      <c r="U38" s="130">
        <f>IF(OR($C38="",$B$2="",$D$2=0),0,IF(U$3&lt;0,0,N(INDEX('CURVA PREVISION'!$A$1:$KZ$3000,$C38,10+3*MIN(U$3,$D$2-1)))))</f>
        <v/>
      </c>
      <c r="V38" s="130">
        <f>IF(OR($C38="",$B$2="",$D$2=0),0,IF(V$3&lt;0,0,N(INDEX('CURVA PREVISION'!$A$1:$KZ$3000,$C38,10+3*MIN(V$3,$D$2-1)))))</f>
        <v/>
      </c>
      <c r="W38" s="130">
        <f>IF(OR($C38="",$B$2="",$D$2=0),0,IF(W$3&lt;0,0,N(INDEX('CURVA PREVISION'!$A$1:$KZ$3000,$C38,10+3*MIN(W$3,$D$2-1)))))</f>
        <v/>
      </c>
      <c r="X38" s="130">
        <f>IF(OR($C38="",$B$2="",$D$2=0),0,IF(X$3&lt;0,0,N(INDEX('CURVA PREVISION'!$A$1:$KZ$3000,$C38,10+3*MIN(X$3,$D$2-1)))))</f>
        <v/>
      </c>
      <c r="Y38" s="130">
        <f>IF(OR($C38="",$B$2="",$D$2=0),0,IF(Y$3&lt;0,0,N(INDEX('CURVA PREVISION'!$A$1:$KZ$3000,$C38,10+3*MIN(Y$3,$D$2-1)))))</f>
        <v/>
      </c>
      <c r="Z38" s="130">
        <f>IF(OR($C38="",$B$2="",$D$2=0),0,IF(Z$3&lt;0,0,N(INDEX('CURVA PREVISION'!$A$1:$KZ$3000,$C38,10+3*MIN(Z$3,$D$2-1)))))</f>
        <v/>
      </c>
      <c r="AA38" s="130">
        <f>IF(OR($C38="",$B$2="",$D$2=0),0,IF(AA$3&lt;0,0,N(INDEX('CURVA PREVISION'!$A$1:$KZ$3000,$C38,10+3*MIN(AA$3,$D$2-1)))))</f>
        <v/>
      </c>
      <c r="AB38" s="130">
        <f>IF(OR($C38="",$B$2="",$D$2=0),0,IF(AB$3&lt;0,0,N(INDEX('CURVA PREVISION'!$A$1:$KZ$3000,$C38,10+3*MIN(AB$3,$D$2-1)))))</f>
        <v/>
      </c>
      <c r="AC38" s="130">
        <f>IF(OR($C38="",$B$2="",$D$2=0),0,IF(AC$3&lt;0,0,N(INDEX('CURVA PREVISION'!$A$1:$KZ$3000,$C38,10+3*MIN(AC$3,$D$2-1)))))</f>
        <v/>
      </c>
      <c r="AD38" s="130">
        <f>IF(OR($C38="",$B$2="",$D$2=0),0,IF(AD$3&lt;0,0,N(INDEX('CURVA PREVISION'!$A$1:$KZ$3000,$C38,10+3*MIN(AD$3,$D$2-1)))))</f>
        <v/>
      </c>
      <c r="AE38" s="130">
        <f>IF(OR($C38="",$B$2="",$D$2=0),0,IF(AE$3&lt;0,0,N(INDEX('CURVA PREVISION'!$A$1:$KZ$3000,$C38,10+3*MIN(AE$3,$D$2-1)))))</f>
        <v/>
      </c>
      <c r="AF38" s="130">
        <f>IF(OR($C38="",$B$2="",$D$2=0),0,IF(AF$3&lt;0,0,N(INDEX('CURVA PREVISION'!$A$1:$KZ$3000,$C38,10+3*MIN(AF$3,$D$2-1)))))</f>
        <v/>
      </c>
      <c r="AG38" s="130">
        <f>IF(OR($C38="",$B$2="",$D$2=0),0,IF(AG$3&lt;0,0,N(INDEX('CURVA PREVISION'!$A$1:$KZ$3000,$C38,10+3*MIN(AG$3,$D$2-1)))))</f>
        <v/>
      </c>
      <c r="AH38" s="130">
        <f>IF(OR($C38="",$B$2="",$D$2=0),0,IF(AH$3&lt;0,0,N(INDEX('CURVA PREVISION'!$A$1:$KZ$3000,$C38,10+3*MIN(AH$3,$D$2-1)))))</f>
        <v/>
      </c>
      <c r="AI38" s="130">
        <f>IF(OR($C38="",$B$2="",$D$2=0),0,IF(AI$3&lt;0,0,N(INDEX('CURVA PREVISION'!$A$1:$KZ$3000,$C38,10+3*MIN(AI$3,$D$2-1)))))</f>
        <v/>
      </c>
      <c r="AJ38" s="130">
        <f>IF(OR($C38="",$B$2="",$D$2=0),0,IF(AJ$3&lt;0,0,N(INDEX('CURVA PREVISION'!$A$1:$KZ$3000,$C38,10+3*MIN(AJ$3,$D$2-1)))))</f>
        <v/>
      </c>
      <c r="AK38" s="130">
        <f>IF(OR($C38="",$B$2="",$D$2=0),0,IF(AK$3&lt;0,0,N(INDEX('CURVA PREVISION'!$A$1:$KZ$3000,$C38,10+3*MIN(AK$3,$D$2-1)))))</f>
        <v/>
      </c>
      <c r="AL38" s="130">
        <f>IF(OR($C38="",$B$2="",$D$2=0),0,IF(AL$3&lt;0,0,N(INDEX('CURVA PREVISION'!$A$1:$KZ$3000,$C38,10+3*MIN(AL$3,$D$2-1)))))</f>
        <v/>
      </c>
      <c r="AM38" s="130">
        <f>IF(OR($C38="",$B$2="",$D$2=0),0,IF(AM$3&lt;0,0,N(INDEX('CURVA PREVISION'!$A$1:$KZ$3000,$C38,10+3*MIN(AM$3,$D$2-1)))))</f>
        <v/>
      </c>
      <c r="AN38" s="130">
        <f>IF(OR($C38="",$B$2="",$D$2=0),0,IF(AN$3&lt;0,0,N(INDEX('CURVA PREVISION'!$A$1:$KZ$3000,$C38,10+3*MIN(AN$3,$D$2-1)))))</f>
        <v/>
      </c>
      <c r="AO38" s="130">
        <f>IF(OR($C38="",$B$2="",$D$2=0),0,IF(AO$3&lt;0,0,N(INDEX('CURVA PREVISION'!$A$1:$KZ$3000,$C38,10+3*MIN(AO$3,$D$2-1)))))</f>
        <v/>
      </c>
      <c r="AP38" s="130">
        <f>IF(OR($C38="",$B$2="",$D$2=0),0,IF(AP$3&lt;0,0,N(INDEX('CURVA PREVISION'!$A$1:$KZ$3000,$C38,10+3*MIN(AP$3,$D$2-1)))))</f>
        <v/>
      </c>
      <c r="AQ38" s="130">
        <f>IF(OR($C38="",$B$2="",$D$2=0),0,IF(AQ$3&lt;0,0,N(INDEX('CURVA PREVISION'!$A$1:$KZ$3000,$C38,10+3*MIN(AQ$3,$D$2-1)))))</f>
        <v/>
      </c>
      <c r="AR38" s="130">
        <f>IF(OR($C38="",$B$2="",$D$2=0),0,IF(AR$3&lt;0,0,N(INDEX('CURVA PREVISION'!$A$1:$KZ$3000,$C38,10+3*MIN(AR$3,$D$2-1)))))</f>
        <v/>
      </c>
      <c r="AS38" s="130">
        <f>IF(OR($C38="",$B$2="",$D$2=0),0,IF(AS$3&lt;0,0,N(INDEX('CURVA PREVISION'!$A$1:$KZ$3000,$C38,10+3*MIN(AS$3,$D$2-1)))))</f>
        <v/>
      </c>
      <c r="AT38" s="130">
        <f>IF(OR($C38="",$B$2="",$D$2=0),0,IF(AT$3&lt;0,0,N(INDEX('CURVA PREVISION'!$A$1:$KZ$3000,$C38,10+3*MIN(AT$3,$D$2-1)))))</f>
        <v/>
      </c>
      <c r="AU38" s="130">
        <f>IF(OR($C38="",$B$2="",$D$2=0),0,IF(AU$3&lt;0,0,N(INDEX('CURVA PREVISION'!$A$1:$KZ$3000,$C38,10+3*MIN(AU$3,$D$2-1)))))</f>
        <v/>
      </c>
      <c r="AV38" s="130">
        <f>IF(OR($C38="",$B$2="",$D$2=0),0,IF(AV$3&lt;0,0,N(INDEX('CURVA PREVISION'!$A$1:$KZ$3000,$C38,10+3*MIN(AV$3,$D$2-1)))))</f>
        <v/>
      </c>
      <c r="AW38" s="130">
        <f>IF(OR($C38="",$B$2="",$D$2=0),0,IF(AW$3&lt;0,0,N(INDEX('CURVA PREVISION'!$A$1:$KZ$3000,$C38,10+3*MIN(AW$3,$D$2-1)))))</f>
        <v/>
      </c>
      <c r="AX38" s="130">
        <f>IF(OR($C38="",$B$2="",$D$2=0),0,IF(AX$3&lt;0,0,N(INDEX('CURVA PREVISION'!$A$1:$KZ$3000,$C38,10+3*MIN(AX$3,$D$2-1)))))</f>
        <v/>
      </c>
      <c r="AY38" s="130">
        <f>IF(OR($C38="",$B$2="",$D$2=0),0,IF(AY$3&lt;0,0,N(INDEX('CURVA PREVISION'!$A$1:$KZ$3000,$C38,10+3*MIN(AY$3,$D$2-1)))))</f>
        <v/>
      </c>
      <c r="AZ38" s="130">
        <f>IF(OR($C38="",$B$2="",$D$2=0),0,IF(AZ$3&lt;0,0,N(INDEX('CURVA PREVISION'!$A$1:$KZ$3000,$C38,10+3*MIN(AZ$3,$D$2-1)))))</f>
        <v/>
      </c>
      <c r="BA38" s="130">
        <f>IF(OR($C38="",$B$2="",$D$2=0),0,IF(BA$3&lt;0,0,N(INDEX('CURVA PREVISION'!$A$1:$KZ$3000,$C38,10+3*MIN(BA$3,$D$2-1)))))</f>
        <v/>
      </c>
      <c r="BB38" s="130">
        <f>IF(OR($C38="",$B$2="",$D$2=0),0,IF(BB$3&lt;0,0,N(INDEX('CURVA PREVISION'!$A$1:$KZ$3000,$C38,10+3*MIN(BB$3,$D$2-1)))))</f>
        <v/>
      </c>
      <c r="BC38" s="130">
        <f>IF(OR($C38="",$B$2="",$D$2=0),0,IF(BC$3&lt;0,0,N(INDEX('CURVA PREVISION'!$A$1:$KZ$3000,$C38,10+3*MIN(BC$3,$D$2-1)))))</f>
        <v/>
      </c>
      <c r="BD38" s="130">
        <f>IF(OR($C38="",$B$2="",$D$2=0),0,IF(BD$3&lt;0,0,N(INDEX('CURVA PREVISION'!$A$1:$KZ$3000,$C38,10+3*MIN(BD$3,$D$2-1)))))</f>
        <v/>
      </c>
      <c r="BE38" s="130">
        <f>IF(OR($C38="",$B$2="",$D$2=0),0,IF(BE$3&lt;0,0,N(INDEX('CURVA PREVISION'!$A$1:$KZ$3000,$C38,10+3*MIN(BE$3,$D$2-1)))))</f>
        <v/>
      </c>
      <c r="BF38" s="130">
        <f>IF(OR($C38="",$B$2="",$D$2=0),0,IF(BF$3&lt;0,0,N(INDEX('CURVA PREVISION'!$A$1:$KZ$3000,$C38,10+3*MIN(BF$3,$D$2-1)))))</f>
        <v/>
      </c>
      <c r="BG38" s="130">
        <f>IF(OR($C38="",$B$2="",$D$2=0),0,IF(BG$3&lt;0,0,N(INDEX('CURVA PREVISION'!$A$1:$KZ$3000,$C38,10+3*MIN(BG$3,$D$2-1)))))</f>
        <v/>
      </c>
      <c r="BH38" s="130">
        <f>IF(OR($C38="",$B$2="",$D$2=0),0,IF(BH$3&lt;0,0,N(INDEX('CURVA PREVISION'!$A$1:$KZ$3000,$C38,10+3*MIN(BH$3,$D$2-1)))))</f>
        <v/>
      </c>
      <c r="BI38" s="130">
        <f>IF(OR($C38="",$B$2="",$D$2=0),0,IF(BI$3&lt;0,0,N(INDEX('CURVA PREVISION'!$A$1:$KZ$3000,$C38,10+3*MIN(BI$3,$D$2-1)))))</f>
        <v/>
      </c>
      <c r="BJ38" s="130">
        <f>IF(OR($C38="",$B$2="",$D$2=0),0,IF(BJ$3&lt;0,0,N(INDEX('CURVA PREVISION'!$A$1:$KZ$3000,$C38,10+3*MIN(BJ$3,$D$2-1)))))</f>
        <v/>
      </c>
      <c r="BK38" s="130">
        <f>IF(OR($C38="",$B$2="",$D$2=0),0,IF(BK$3&lt;0,0,N(INDEX('CURVA PREVISION'!$A$1:$KZ$3000,$C38,10+3*MIN(BK$3,$D$2-1)))))</f>
        <v/>
      </c>
      <c r="BL38" s="130">
        <f>IF(OR($C38="",$B$2="",$D$2=0),0,IF(BL$3&lt;0,0,N(INDEX('CURVA PREVISION'!$A$1:$KZ$3000,$C38,10+3*MIN(BL$3,$D$2-1)))))</f>
        <v/>
      </c>
      <c r="BM38" s="130">
        <f>IF(OR($C38="",$B$2="",$D$2=0),0,IF(BM$3&lt;0,0,N(INDEX('CURVA PREVISION'!$A$1:$KZ$3000,$C38,10+3*MIN(BM$3,$D$2-1)))))</f>
        <v/>
      </c>
      <c r="BN38" s="130">
        <f>IF(OR($C38="",$B$2="",$D$2=0),0,IF(BN$3&lt;0,0,N(INDEX('CURVA PREVISION'!$A$1:$KZ$3000,$C38,10+3*MIN(BN$3,$D$2-1)))))</f>
        <v/>
      </c>
      <c r="BO38" s="130">
        <f>IF(OR($C38="",$B$2="",$D$2=0),0,IF(BO$3&lt;0,0,N(INDEX('CURVA PREVISION'!$A$1:$KZ$3000,$C38,10+3*MIN(BO$3,$D$2-1)))))</f>
        <v/>
      </c>
      <c r="BP38" s="130">
        <f>IF(OR($C38="",$B$2="",$D$2=0),0,IF(BP$3&lt;0,0,N(INDEX('CURVA PREVISION'!$A$1:$KZ$3000,$C38,10+3*MIN(BP$3,$D$2-1)))))</f>
        <v/>
      </c>
      <c r="BQ38" s="130">
        <f>IF(OR($C38="",$B$2="",$D$2=0),0,IF(BQ$3&lt;0,0,N(INDEX('CURVA PREVISION'!$A$1:$KZ$3000,$C38,10+3*MIN(BQ$3,$D$2-1)))))</f>
        <v/>
      </c>
      <c r="BR38" s="130">
        <f>IF(OR($C38="",$B$2="",$D$2=0),0,IF(BR$3&lt;0,0,N(INDEX('CURVA PREVISION'!$A$1:$KZ$3000,$C38,10+3*MIN(BR$3,$D$2-1)))))</f>
        <v/>
      </c>
      <c r="BS38" s="130">
        <f>IF(OR($C38="",$B$2="",$D$2=0),0,IF(BS$3&lt;0,0,N(INDEX('CURVA PREVISION'!$A$1:$KZ$3000,$C38,10+3*MIN(BS$3,$D$2-1)))))</f>
        <v/>
      </c>
      <c r="BT38" s="130">
        <f>IF(OR($C38="",$B$2="",$D$2=0),0,IF(BT$3&lt;0,0,N(INDEX('CURVA PREVISION'!$A$1:$KZ$3000,$C38,10+3*MIN(BT$3,$D$2-1)))))</f>
        <v/>
      </c>
      <c r="BU38" s="130">
        <f>IF(OR($C38="",$B$2="",$D$2=0),0,IF(BU$3&lt;0,0,N(INDEX('CURVA PREVISION'!$A$1:$KZ$3000,$C38,10+3*MIN(BU$3,$D$2-1)))))</f>
        <v/>
      </c>
      <c r="BV38" s="130">
        <f>IF(OR($C38="",$B$2="",$D$2=0),0,IF(BV$3&lt;0,0,N(INDEX('CURVA PREVISION'!$A$1:$KZ$3000,$C38,10+3*MIN(BV$3,$D$2-1)))))</f>
        <v/>
      </c>
      <c r="BW38" s="130">
        <f>IF(OR($C38="",$B$2="",$D$2=0),0,IF(BW$3&lt;0,0,N(INDEX('CURVA PREVISION'!$A$1:$KZ$3000,$C38,10+3*MIN(BW$3,$D$2-1)))))</f>
        <v/>
      </c>
    </row>
    <row r="39">
      <c r="A39" s="61">
        <f>IF('VALOR POR PL'!R45&lt;&gt;"",'VALOR POR PL'!R45,IF('VALOR POR PL'!Q45="",'VALOR POR PL'!C45,'VALOR POR PL'!Q45))</f>
        <v/>
      </c>
      <c r="B39" s="61">
        <f>'VALOR POR PL'!D45</f>
        <v/>
      </c>
      <c r="C39" s="70">
        <f>IFERROR(MATCH(A39,'CURVA PREVISION'!$B$1:$B$3000,0),"")</f>
        <v/>
      </c>
      <c r="D39" s="130">
        <f>IF(OR($C39="",$B$2="",$D$2=0),0,IF(D$3&lt;0,0,N(INDEX('CURVA PREVISION'!$A$1:$KZ$3000,$C39,10+3*MIN(D$3,$D$2-1)))))</f>
        <v/>
      </c>
      <c r="E39" s="130">
        <f>IF(OR($C39="",$B$2="",$D$2=0),0,IF(E$3&lt;0,0,N(INDEX('CURVA PREVISION'!$A$1:$KZ$3000,$C39,10+3*MIN(E$3,$D$2-1)))))</f>
        <v/>
      </c>
      <c r="F39" s="130">
        <f>IF(OR($C39="",$B$2="",$D$2=0),0,IF(F$3&lt;0,0,N(INDEX('CURVA PREVISION'!$A$1:$KZ$3000,$C39,10+3*MIN(F$3,$D$2-1)))))</f>
        <v/>
      </c>
      <c r="G39" s="130">
        <f>IF(OR($C39="",$B$2="",$D$2=0),0,IF(G$3&lt;0,0,N(INDEX('CURVA PREVISION'!$A$1:$KZ$3000,$C39,10+3*MIN(G$3,$D$2-1)))))</f>
        <v/>
      </c>
      <c r="H39" s="130">
        <f>IF(OR($C39="",$B$2="",$D$2=0),0,IF(H$3&lt;0,0,N(INDEX('CURVA PREVISION'!$A$1:$KZ$3000,$C39,10+3*MIN(H$3,$D$2-1)))))</f>
        <v/>
      </c>
      <c r="I39" s="130">
        <f>IF(OR($C39="",$B$2="",$D$2=0),0,IF(I$3&lt;0,0,N(INDEX('CURVA PREVISION'!$A$1:$KZ$3000,$C39,10+3*MIN(I$3,$D$2-1)))))</f>
        <v/>
      </c>
      <c r="J39" s="130">
        <f>IF(OR($C39="",$B$2="",$D$2=0),0,IF(J$3&lt;0,0,N(INDEX('CURVA PREVISION'!$A$1:$KZ$3000,$C39,10+3*MIN(J$3,$D$2-1)))))</f>
        <v/>
      </c>
      <c r="K39" s="130">
        <f>IF(OR($C39="",$B$2="",$D$2=0),0,IF(K$3&lt;0,0,N(INDEX('CURVA PREVISION'!$A$1:$KZ$3000,$C39,10+3*MIN(K$3,$D$2-1)))))</f>
        <v/>
      </c>
      <c r="L39" s="130">
        <f>IF(OR($C39="",$B$2="",$D$2=0),0,IF(L$3&lt;0,0,N(INDEX('CURVA PREVISION'!$A$1:$KZ$3000,$C39,10+3*MIN(L$3,$D$2-1)))))</f>
        <v/>
      </c>
      <c r="M39" s="130">
        <f>IF(OR($C39="",$B$2="",$D$2=0),0,IF(M$3&lt;0,0,N(INDEX('CURVA PREVISION'!$A$1:$KZ$3000,$C39,10+3*MIN(M$3,$D$2-1)))))</f>
        <v/>
      </c>
      <c r="N39" s="130">
        <f>IF(OR($C39="",$B$2="",$D$2=0),0,IF(N$3&lt;0,0,N(INDEX('CURVA PREVISION'!$A$1:$KZ$3000,$C39,10+3*MIN(N$3,$D$2-1)))))</f>
        <v/>
      </c>
      <c r="O39" s="130">
        <f>IF(OR($C39="",$B$2="",$D$2=0),0,IF(O$3&lt;0,0,N(INDEX('CURVA PREVISION'!$A$1:$KZ$3000,$C39,10+3*MIN(O$3,$D$2-1)))))</f>
        <v/>
      </c>
      <c r="P39" s="130">
        <f>IF(OR($C39="",$B$2="",$D$2=0),0,IF(P$3&lt;0,0,N(INDEX('CURVA PREVISION'!$A$1:$KZ$3000,$C39,10+3*MIN(P$3,$D$2-1)))))</f>
        <v/>
      </c>
      <c r="Q39" s="130">
        <f>IF(OR($C39="",$B$2="",$D$2=0),0,IF(Q$3&lt;0,0,N(INDEX('CURVA PREVISION'!$A$1:$KZ$3000,$C39,10+3*MIN(Q$3,$D$2-1)))))</f>
        <v/>
      </c>
      <c r="R39" s="130">
        <f>IF(OR($C39="",$B$2="",$D$2=0),0,IF(R$3&lt;0,0,N(INDEX('CURVA PREVISION'!$A$1:$KZ$3000,$C39,10+3*MIN(R$3,$D$2-1)))))</f>
        <v/>
      </c>
      <c r="S39" s="130">
        <f>IF(OR($C39="",$B$2="",$D$2=0),0,IF(S$3&lt;0,0,N(INDEX('CURVA PREVISION'!$A$1:$KZ$3000,$C39,10+3*MIN(S$3,$D$2-1)))))</f>
        <v/>
      </c>
      <c r="T39" s="130">
        <f>IF(OR($C39="",$B$2="",$D$2=0),0,IF(T$3&lt;0,0,N(INDEX('CURVA PREVISION'!$A$1:$KZ$3000,$C39,10+3*MIN(T$3,$D$2-1)))))</f>
        <v/>
      </c>
      <c r="U39" s="130">
        <f>IF(OR($C39="",$B$2="",$D$2=0),0,IF(U$3&lt;0,0,N(INDEX('CURVA PREVISION'!$A$1:$KZ$3000,$C39,10+3*MIN(U$3,$D$2-1)))))</f>
        <v/>
      </c>
      <c r="V39" s="130">
        <f>IF(OR($C39="",$B$2="",$D$2=0),0,IF(V$3&lt;0,0,N(INDEX('CURVA PREVISION'!$A$1:$KZ$3000,$C39,10+3*MIN(V$3,$D$2-1)))))</f>
        <v/>
      </c>
      <c r="W39" s="130">
        <f>IF(OR($C39="",$B$2="",$D$2=0),0,IF(W$3&lt;0,0,N(INDEX('CURVA PREVISION'!$A$1:$KZ$3000,$C39,10+3*MIN(W$3,$D$2-1)))))</f>
        <v/>
      </c>
      <c r="X39" s="130">
        <f>IF(OR($C39="",$B$2="",$D$2=0),0,IF(X$3&lt;0,0,N(INDEX('CURVA PREVISION'!$A$1:$KZ$3000,$C39,10+3*MIN(X$3,$D$2-1)))))</f>
        <v/>
      </c>
      <c r="Y39" s="130">
        <f>IF(OR($C39="",$B$2="",$D$2=0),0,IF(Y$3&lt;0,0,N(INDEX('CURVA PREVISION'!$A$1:$KZ$3000,$C39,10+3*MIN(Y$3,$D$2-1)))))</f>
        <v/>
      </c>
      <c r="Z39" s="130">
        <f>IF(OR($C39="",$B$2="",$D$2=0),0,IF(Z$3&lt;0,0,N(INDEX('CURVA PREVISION'!$A$1:$KZ$3000,$C39,10+3*MIN(Z$3,$D$2-1)))))</f>
        <v/>
      </c>
      <c r="AA39" s="130">
        <f>IF(OR($C39="",$B$2="",$D$2=0),0,IF(AA$3&lt;0,0,N(INDEX('CURVA PREVISION'!$A$1:$KZ$3000,$C39,10+3*MIN(AA$3,$D$2-1)))))</f>
        <v/>
      </c>
      <c r="AB39" s="130">
        <f>IF(OR($C39="",$B$2="",$D$2=0),0,IF(AB$3&lt;0,0,N(INDEX('CURVA PREVISION'!$A$1:$KZ$3000,$C39,10+3*MIN(AB$3,$D$2-1)))))</f>
        <v/>
      </c>
      <c r="AC39" s="130">
        <f>IF(OR($C39="",$B$2="",$D$2=0),0,IF(AC$3&lt;0,0,N(INDEX('CURVA PREVISION'!$A$1:$KZ$3000,$C39,10+3*MIN(AC$3,$D$2-1)))))</f>
        <v/>
      </c>
      <c r="AD39" s="130">
        <f>IF(OR($C39="",$B$2="",$D$2=0),0,IF(AD$3&lt;0,0,N(INDEX('CURVA PREVISION'!$A$1:$KZ$3000,$C39,10+3*MIN(AD$3,$D$2-1)))))</f>
        <v/>
      </c>
      <c r="AE39" s="130">
        <f>IF(OR($C39="",$B$2="",$D$2=0),0,IF(AE$3&lt;0,0,N(INDEX('CURVA PREVISION'!$A$1:$KZ$3000,$C39,10+3*MIN(AE$3,$D$2-1)))))</f>
        <v/>
      </c>
      <c r="AF39" s="130">
        <f>IF(OR($C39="",$B$2="",$D$2=0),0,IF(AF$3&lt;0,0,N(INDEX('CURVA PREVISION'!$A$1:$KZ$3000,$C39,10+3*MIN(AF$3,$D$2-1)))))</f>
        <v/>
      </c>
      <c r="AG39" s="130">
        <f>IF(OR($C39="",$B$2="",$D$2=0),0,IF(AG$3&lt;0,0,N(INDEX('CURVA PREVISION'!$A$1:$KZ$3000,$C39,10+3*MIN(AG$3,$D$2-1)))))</f>
        <v/>
      </c>
      <c r="AH39" s="130">
        <f>IF(OR($C39="",$B$2="",$D$2=0),0,IF(AH$3&lt;0,0,N(INDEX('CURVA PREVISION'!$A$1:$KZ$3000,$C39,10+3*MIN(AH$3,$D$2-1)))))</f>
        <v/>
      </c>
      <c r="AI39" s="130">
        <f>IF(OR($C39="",$B$2="",$D$2=0),0,IF(AI$3&lt;0,0,N(INDEX('CURVA PREVISION'!$A$1:$KZ$3000,$C39,10+3*MIN(AI$3,$D$2-1)))))</f>
        <v/>
      </c>
      <c r="AJ39" s="130">
        <f>IF(OR($C39="",$B$2="",$D$2=0),0,IF(AJ$3&lt;0,0,N(INDEX('CURVA PREVISION'!$A$1:$KZ$3000,$C39,10+3*MIN(AJ$3,$D$2-1)))))</f>
        <v/>
      </c>
      <c r="AK39" s="130">
        <f>IF(OR($C39="",$B$2="",$D$2=0),0,IF(AK$3&lt;0,0,N(INDEX('CURVA PREVISION'!$A$1:$KZ$3000,$C39,10+3*MIN(AK$3,$D$2-1)))))</f>
        <v/>
      </c>
      <c r="AL39" s="130">
        <f>IF(OR($C39="",$B$2="",$D$2=0),0,IF(AL$3&lt;0,0,N(INDEX('CURVA PREVISION'!$A$1:$KZ$3000,$C39,10+3*MIN(AL$3,$D$2-1)))))</f>
        <v/>
      </c>
      <c r="AM39" s="130">
        <f>IF(OR($C39="",$B$2="",$D$2=0),0,IF(AM$3&lt;0,0,N(INDEX('CURVA PREVISION'!$A$1:$KZ$3000,$C39,10+3*MIN(AM$3,$D$2-1)))))</f>
        <v/>
      </c>
      <c r="AN39" s="130">
        <f>IF(OR($C39="",$B$2="",$D$2=0),0,IF(AN$3&lt;0,0,N(INDEX('CURVA PREVISION'!$A$1:$KZ$3000,$C39,10+3*MIN(AN$3,$D$2-1)))))</f>
        <v/>
      </c>
      <c r="AO39" s="130">
        <f>IF(OR($C39="",$B$2="",$D$2=0),0,IF(AO$3&lt;0,0,N(INDEX('CURVA PREVISION'!$A$1:$KZ$3000,$C39,10+3*MIN(AO$3,$D$2-1)))))</f>
        <v/>
      </c>
      <c r="AP39" s="130">
        <f>IF(OR($C39="",$B$2="",$D$2=0),0,IF(AP$3&lt;0,0,N(INDEX('CURVA PREVISION'!$A$1:$KZ$3000,$C39,10+3*MIN(AP$3,$D$2-1)))))</f>
        <v/>
      </c>
      <c r="AQ39" s="130">
        <f>IF(OR($C39="",$B$2="",$D$2=0),0,IF(AQ$3&lt;0,0,N(INDEX('CURVA PREVISION'!$A$1:$KZ$3000,$C39,10+3*MIN(AQ$3,$D$2-1)))))</f>
        <v/>
      </c>
      <c r="AR39" s="130">
        <f>IF(OR($C39="",$B$2="",$D$2=0),0,IF(AR$3&lt;0,0,N(INDEX('CURVA PREVISION'!$A$1:$KZ$3000,$C39,10+3*MIN(AR$3,$D$2-1)))))</f>
        <v/>
      </c>
      <c r="AS39" s="130">
        <f>IF(OR($C39="",$B$2="",$D$2=0),0,IF(AS$3&lt;0,0,N(INDEX('CURVA PREVISION'!$A$1:$KZ$3000,$C39,10+3*MIN(AS$3,$D$2-1)))))</f>
        <v/>
      </c>
      <c r="AT39" s="130">
        <f>IF(OR($C39="",$B$2="",$D$2=0),0,IF(AT$3&lt;0,0,N(INDEX('CURVA PREVISION'!$A$1:$KZ$3000,$C39,10+3*MIN(AT$3,$D$2-1)))))</f>
        <v/>
      </c>
      <c r="AU39" s="130">
        <f>IF(OR($C39="",$B$2="",$D$2=0),0,IF(AU$3&lt;0,0,N(INDEX('CURVA PREVISION'!$A$1:$KZ$3000,$C39,10+3*MIN(AU$3,$D$2-1)))))</f>
        <v/>
      </c>
      <c r="AV39" s="130">
        <f>IF(OR($C39="",$B$2="",$D$2=0),0,IF(AV$3&lt;0,0,N(INDEX('CURVA PREVISION'!$A$1:$KZ$3000,$C39,10+3*MIN(AV$3,$D$2-1)))))</f>
        <v/>
      </c>
      <c r="AW39" s="130">
        <f>IF(OR($C39="",$B$2="",$D$2=0),0,IF(AW$3&lt;0,0,N(INDEX('CURVA PREVISION'!$A$1:$KZ$3000,$C39,10+3*MIN(AW$3,$D$2-1)))))</f>
        <v/>
      </c>
      <c r="AX39" s="130">
        <f>IF(OR($C39="",$B$2="",$D$2=0),0,IF(AX$3&lt;0,0,N(INDEX('CURVA PREVISION'!$A$1:$KZ$3000,$C39,10+3*MIN(AX$3,$D$2-1)))))</f>
        <v/>
      </c>
      <c r="AY39" s="130">
        <f>IF(OR($C39="",$B$2="",$D$2=0),0,IF(AY$3&lt;0,0,N(INDEX('CURVA PREVISION'!$A$1:$KZ$3000,$C39,10+3*MIN(AY$3,$D$2-1)))))</f>
        <v/>
      </c>
      <c r="AZ39" s="130">
        <f>IF(OR($C39="",$B$2="",$D$2=0),0,IF(AZ$3&lt;0,0,N(INDEX('CURVA PREVISION'!$A$1:$KZ$3000,$C39,10+3*MIN(AZ$3,$D$2-1)))))</f>
        <v/>
      </c>
      <c r="BA39" s="130">
        <f>IF(OR($C39="",$B$2="",$D$2=0),0,IF(BA$3&lt;0,0,N(INDEX('CURVA PREVISION'!$A$1:$KZ$3000,$C39,10+3*MIN(BA$3,$D$2-1)))))</f>
        <v/>
      </c>
      <c r="BB39" s="130">
        <f>IF(OR($C39="",$B$2="",$D$2=0),0,IF(BB$3&lt;0,0,N(INDEX('CURVA PREVISION'!$A$1:$KZ$3000,$C39,10+3*MIN(BB$3,$D$2-1)))))</f>
        <v/>
      </c>
      <c r="BC39" s="130">
        <f>IF(OR($C39="",$B$2="",$D$2=0),0,IF(BC$3&lt;0,0,N(INDEX('CURVA PREVISION'!$A$1:$KZ$3000,$C39,10+3*MIN(BC$3,$D$2-1)))))</f>
        <v/>
      </c>
      <c r="BD39" s="130">
        <f>IF(OR($C39="",$B$2="",$D$2=0),0,IF(BD$3&lt;0,0,N(INDEX('CURVA PREVISION'!$A$1:$KZ$3000,$C39,10+3*MIN(BD$3,$D$2-1)))))</f>
        <v/>
      </c>
      <c r="BE39" s="130">
        <f>IF(OR($C39="",$B$2="",$D$2=0),0,IF(BE$3&lt;0,0,N(INDEX('CURVA PREVISION'!$A$1:$KZ$3000,$C39,10+3*MIN(BE$3,$D$2-1)))))</f>
        <v/>
      </c>
      <c r="BF39" s="130">
        <f>IF(OR($C39="",$B$2="",$D$2=0),0,IF(BF$3&lt;0,0,N(INDEX('CURVA PREVISION'!$A$1:$KZ$3000,$C39,10+3*MIN(BF$3,$D$2-1)))))</f>
        <v/>
      </c>
      <c r="BG39" s="130">
        <f>IF(OR($C39="",$B$2="",$D$2=0),0,IF(BG$3&lt;0,0,N(INDEX('CURVA PREVISION'!$A$1:$KZ$3000,$C39,10+3*MIN(BG$3,$D$2-1)))))</f>
        <v/>
      </c>
      <c r="BH39" s="130">
        <f>IF(OR($C39="",$B$2="",$D$2=0),0,IF(BH$3&lt;0,0,N(INDEX('CURVA PREVISION'!$A$1:$KZ$3000,$C39,10+3*MIN(BH$3,$D$2-1)))))</f>
        <v/>
      </c>
      <c r="BI39" s="130">
        <f>IF(OR($C39="",$B$2="",$D$2=0),0,IF(BI$3&lt;0,0,N(INDEX('CURVA PREVISION'!$A$1:$KZ$3000,$C39,10+3*MIN(BI$3,$D$2-1)))))</f>
        <v/>
      </c>
      <c r="BJ39" s="130">
        <f>IF(OR($C39="",$B$2="",$D$2=0),0,IF(BJ$3&lt;0,0,N(INDEX('CURVA PREVISION'!$A$1:$KZ$3000,$C39,10+3*MIN(BJ$3,$D$2-1)))))</f>
        <v/>
      </c>
      <c r="BK39" s="130">
        <f>IF(OR($C39="",$B$2="",$D$2=0),0,IF(BK$3&lt;0,0,N(INDEX('CURVA PREVISION'!$A$1:$KZ$3000,$C39,10+3*MIN(BK$3,$D$2-1)))))</f>
        <v/>
      </c>
      <c r="BL39" s="130">
        <f>IF(OR($C39="",$B$2="",$D$2=0),0,IF(BL$3&lt;0,0,N(INDEX('CURVA PREVISION'!$A$1:$KZ$3000,$C39,10+3*MIN(BL$3,$D$2-1)))))</f>
        <v/>
      </c>
      <c r="BM39" s="130">
        <f>IF(OR($C39="",$B$2="",$D$2=0),0,IF(BM$3&lt;0,0,N(INDEX('CURVA PREVISION'!$A$1:$KZ$3000,$C39,10+3*MIN(BM$3,$D$2-1)))))</f>
        <v/>
      </c>
      <c r="BN39" s="130">
        <f>IF(OR($C39="",$B$2="",$D$2=0),0,IF(BN$3&lt;0,0,N(INDEX('CURVA PREVISION'!$A$1:$KZ$3000,$C39,10+3*MIN(BN$3,$D$2-1)))))</f>
        <v/>
      </c>
      <c r="BO39" s="130">
        <f>IF(OR($C39="",$B$2="",$D$2=0),0,IF(BO$3&lt;0,0,N(INDEX('CURVA PREVISION'!$A$1:$KZ$3000,$C39,10+3*MIN(BO$3,$D$2-1)))))</f>
        <v/>
      </c>
      <c r="BP39" s="130">
        <f>IF(OR($C39="",$B$2="",$D$2=0),0,IF(BP$3&lt;0,0,N(INDEX('CURVA PREVISION'!$A$1:$KZ$3000,$C39,10+3*MIN(BP$3,$D$2-1)))))</f>
        <v/>
      </c>
      <c r="BQ39" s="130">
        <f>IF(OR($C39="",$B$2="",$D$2=0),0,IF(BQ$3&lt;0,0,N(INDEX('CURVA PREVISION'!$A$1:$KZ$3000,$C39,10+3*MIN(BQ$3,$D$2-1)))))</f>
        <v/>
      </c>
      <c r="BR39" s="130">
        <f>IF(OR($C39="",$B$2="",$D$2=0),0,IF(BR$3&lt;0,0,N(INDEX('CURVA PREVISION'!$A$1:$KZ$3000,$C39,10+3*MIN(BR$3,$D$2-1)))))</f>
        <v/>
      </c>
      <c r="BS39" s="130">
        <f>IF(OR($C39="",$B$2="",$D$2=0),0,IF(BS$3&lt;0,0,N(INDEX('CURVA PREVISION'!$A$1:$KZ$3000,$C39,10+3*MIN(BS$3,$D$2-1)))))</f>
        <v/>
      </c>
      <c r="BT39" s="130">
        <f>IF(OR($C39="",$B$2="",$D$2=0),0,IF(BT$3&lt;0,0,N(INDEX('CURVA PREVISION'!$A$1:$KZ$3000,$C39,10+3*MIN(BT$3,$D$2-1)))))</f>
        <v/>
      </c>
      <c r="BU39" s="130">
        <f>IF(OR($C39="",$B$2="",$D$2=0),0,IF(BU$3&lt;0,0,N(INDEX('CURVA PREVISION'!$A$1:$KZ$3000,$C39,10+3*MIN(BU$3,$D$2-1)))))</f>
        <v/>
      </c>
      <c r="BV39" s="130">
        <f>IF(OR($C39="",$B$2="",$D$2=0),0,IF(BV$3&lt;0,0,N(INDEX('CURVA PREVISION'!$A$1:$KZ$3000,$C39,10+3*MIN(BV$3,$D$2-1)))))</f>
        <v/>
      </c>
      <c r="BW39" s="130">
        <f>IF(OR($C39="",$B$2="",$D$2=0),0,IF(BW$3&lt;0,0,N(INDEX('CURVA PREVISION'!$A$1:$KZ$3000,$C39,10+3*MIN(BW$3,$D$2-1)))))</f>
        <v/>
      </c>
    </row>
    <row r="40">
      <c r="A40" s="61">
        <f>IF('VALOR POR PL'!R46&lt;&gt;"",'VALOR POR PL'!R46,IF('VALOR POR PL'!Q46="",'VALOR POR PL'!C46,'VALOR POR PL'!Q46))</f>
        <v/>
      </c>
      <c r="B40" s="61">
        <f>'VALOR POR PL'!D46</f>
        <v/>
      </c>
      <c r="C40" s="70">
        <f>IFERROR(MATCH(A40,'CURVA PREVISION'!$B$1:$B$3000,0),"")</f>
        <v/>
      </c>
      <c r="D40" s="130">
        <f>IF(OR($C40="",$B$2="",$D$2=0),0,IF(D$3&lt;0,0,N(INDEX('CURVA PREVISION'!$A$1:$KZ$3000,$C40,10+3*MIN(D$3,$D$2-1)))))</f>
        <v/>
      </c>
      <c r="E40" s="130">
        <f>IF(OR($C40="",$B$2="",$D$2=0),0,IF(E$3&lt;0,0,N(INDEX('CURVA PREVISION'!$A$1:$KZ$3000,$C40,10+3*MIN(E$3,$D$2-1)))))</f>
        <v/>
      </c>
      <c r="F40" s="130">
        <f>IF(OR($C40="",$B$2="",$D$2=0),0,IF(F$3&lt;0,0,N(INDEX('CURVA PREVISION'!$A$1:$KZ$3000,$C40,10+3*MIN(F$3,$D$2-1)))))</f>
        <v/>
      </c>
      <c r="G40" s="130">
        <f>IF(OR($C40="",$B$2="",$D$2=0),0,IF(G$3&lt;0,0,N(INDEX('CURVA PREVISION'!$A$1:$KZ$3000,$C40,10+3*MIN(G$3,$D$2-1)))))</f>
        <v/>
      </c>
      <c r="H40" s="130">
        <f>IF(OR($C40="",$B$2="",$D$2=0),0,IF(H$3&lt;0,0,N(INDEX('CURVA PREVISION'!$A$1:$KZ$3000,$C40,10+3*MIN(H$3,$D$2-1)))))</f>
        <v/>
      </c>
      <c r="I40" s="130">
        <f>IF(OR($C40="",$B$2="",$D$2=0),0,IF(I$3&lt;0,0,N(INDEX('CURVA PREVISION'!$A$1:$KZ$3000,$C40,10+3*MIN(I$3,$D$2-1)))))</f>
        <v/>
      </c>
      <c r="J40" s="130">
        <f>IF(OR($C40="",$B$2="",$D$2=0),0,IF(J$3&lt;0,0,N(INDEX('CURVA PREVISION'!$A$1:$KZ$3000,$C40,10+3*MIN(J$3,$D$2-1)))))</f>
        <v/>
      </c>
      <c r="K40" s="130">
        <f>IF(OR($C40="",$B$2="",$D$2=0),0,IF(K$3&lt;0,0,N(INDEX('CURVA PREVISION'!$A$1:$KZ$3000,$C40,10+3*MIN(K$3,$D$2-1)))))</f>
        <v/>
      </c>
      <c r="L40" s="130">
        <f>IF(OR($C40="",$B$2="",$D$2=0),0,IF(L$3&lt;0,0,N(INDEX('CURVA PREVISION'!$A$1:$KZ$3000,$C40,10+3*MIN(L$3,$D$2-1)))))</f>
        <v/>
      </c>
      <c r="M40" s="130">
        <f>IF(OR($C40="",$B$2="",$D$2=0),0,IF(M$3&lt;0,0,N(INDEX('CURVA PREVISION'!$A$1:$KZ$3000,$C40,10+3*MIN(M$3,$D$2-1)))))</f>
        <v/>
      </c>
      <c r="N40" s="130">
        <f>IF(OR($C40="",$B$2="",$D$2=0),0,IF(N$3&lt;0,0,N(INDEX('CURVA PREVISION'!$A$1:$KZ$3000,$C40,10+3*MIN(N$3,$D$2-1)))))</f>
        <v/>
      </c>
      <c r="O40" s="130">
        <f>IF(OR($C40="",$B$2="",$D$2=0),0,IF(O$3&lt;0,0,N(INDEX('CURVA PREVISION'!$A$1:$KZ$3000,$C40,10+3*MIN(O$3,$D$2-1)))))</f>
        <v/>
      </c>
      <c r="P40" s="130">
        <f>IF(OR($C40="",$B$2="",$D$2=0),0,IF(P$3&lt;0,0,N(INDEX('CURVA PREVISION'!$A$1:$KZ$3000,$C40,10+3*MIN(P$3,$D$2-1)))))</f>
        <v/>
      </c>
      <c r="Q40" s="130">
        <f>IF(OR($C40="",$B$2="",$D$2=0),0,IF(Q$3&lt;0,0,N(INDEX('CURVA PREVISION'!$A$1:$KZ$3000,$C40,10+3*MIN(Q$3,$D$2-1)))))</f>
        <v/>
      </c>
      <c r="R40" s="130">
        <f>IF(OR($C40="",$B$2="",$D$2=0),0,IF(R$3&lt;0,0,N(INDEX('CURVA PREVISION'!$A$1:$KZ$3000,$C40,10+3*MIN(R$3,$D$2-1)))))</f>
        <v/>
      </c>
      <c r="S40" s="130">
        <f>IF(OR($C40="",$B$2="",$D$2=0),0,IF(S$3&lt;0,0,N(INDEX('CURVA PREVISION'!$A$1:$KZ$3000,$C40,10+3*MIN(S$3,$D$2-1)))))</f>
        <v/>
      </c>
      <c r="T40" s="130">
        <f>IF(OR($C40="",$B$2="",$D$2=0),0,IF(T$3&lt;0,0,N(INDEX('CURVA PREVISION'!$A$1:$KZ$3000,$C40,10+3*MIN(T$3,$D$2-1)))))</f>
        <v/>
      </c>
      <c r="U40" s="130">
        <f>IF(OR($C40="",$B$2="",$D$2=0),0,IF(U$3&lt;0,0,N(INDEX('CURVA PREVISION'!$A$1:$KZ$3000,$C40,10+3*MIN(U$3,$D$2-1)))))</f>
        <v/>
      </c>
      <c r="V40" s="130">
        <f>IF(OR($C40="",$B$2="",$D$2=0),0,IF(V$3&lt;0,0,N(INDEX('CURVA PREVISION'!$A$1:$KZ$3000,$C40,10+3*MIN(V$3,$D$2-1)))))</f>
        <v/>
      </c>
      <c r="W40" s="130">
        <f>IF(OR($C40="",$B$2="",$D$2=0),0,IF(W$3&lt;0,0,N(INDEX('CURVA PREVISION'!$A$1:$KZ$3000,$C40,10+3*MIN(W$3,$D$2-1)))))</f>
        <v/>
      </c>
      <c r="X40" s="130">
        <f>IF(OR($C40="",$B$2="",$D$2=0),0,IF(X$3&lt;0,0,N(INDEX('CURVA PREVISION'!$A$1:$KZ$3000,$C40,10+3*MIN(X$3,$D$2-1)))))</f>
        <v/>
      </c>
      <c r="Y40" s="130">
        <f>IF(OR($C40="",$B$2="",$D$2=0),0,IF(Y$3&lt;0,0,N(INDEX('CURVA PREVISION'!$A$1:$KZ$3000,$C40,10+3*MIN(Y$3,$D$2-1)))))</f>
        <v/>
      </c>
      <c r="Z40" s="130">
        <f>IF(OR($C40="",$B$2="",$D$2=0),0,IF(Z$3&lt;0,0,N(INDEX('CURVA PREVISION'!$A$1:$KZ$3000,$C40,10+3*MIN(Z$3,$D$2-1)))))</f>
        <v/>
      </c>
      <c r="AA40" s="130">
        <f>IF(OR($C40="",$B$2="",$D$2=0),0,IF(AA$3&lt;0,0,N(INDEX('CURVA PREVISION'!$A$1:$KZ$3000,$C40,10+3*MIN(AA$3,$D$2-1)))))</f>
        <v/>
      </c>
      <c r="AB40" s="130">
        <f>IF(OR($C40="",$B$2="",$D$2=0),0,IF(AB$3&lt;0,0,N(INDEX('CURVA PREVISION'!$A$1:$KZ$3000,$C40,10+3*MIN(AB$3,$D$2-1)))))</f>
        <v/>
      </c>
      <c r="AC40" s="130">
        <f>IF(OR($C40="",$B$2="",$D$2=0),0,IF(AC$3&lt;0,0,N(INDEX('CURVA PREVISION'!$A$1:$KZ$3000,$C40,10+3*MIN(AC$3,$D$2-1)))))</f>
        <v/>
      </c>
      <c r="AD40" s="130">
        <f>IF(OR($C40="",$B$2="",$D$2=0),0,IF(AD$3&lt;0,0,N(INDEX('CURVA PREVISION'!$A$1:$KZ$3000,$C40,10+3*MIN(AD$3,$D$2-1)))))</f>
        <v/>
      </c>
      <c r="AE40" s="130">
        <f>IF(OR($C40="",$B$2="",$D$2=0),0,IF(AE$3&lt;0,0,N(INDEX('CURVA PREVISION'!$A$1:$KZ$3000,$C40,10+3*MIN(AE$3,$D$2-1)))))</f>
        <v/>
      </c>
      <c r="AF40" s="130">
        <f>IF(OR($C40="",$B$2="",$D$2=0),0,IF(AF$3&lt;0,0,N(INDEX('CURVA PREVISION'!$A$1:$KZ$3000,$C40,10+3*MIN(AF$3,$D$2-1)))))</f>
        <v/>
      </c>
      <c r="AG40" s="130">
        <f>IF(OR($C40="",$B$2="",$D$2=0),0,IF(AG$3&lt;0,0,N(INDEX('CURVA PREVISION'!$A$1:$KZ$3000,$C40,10+3*MIN(AG$3,$D$2-1)))))</f>
        <v/>
      </c>
      <c r="AH40" s="130">
        <f>IF(OR($C40="",$B$2="",$D$2=0),0,IF(AH$3&lt;0,0,N(INDEX('CURVA PREVISION'!$A$1:$KZ$3000,$C40,10+3*MIN(AH$3,$D$2-1)))))</f>
        <v/>
      </c>
      <c r="AI40" s="130">
        <f>IF(OR($C40="",$B$2="",$D$2=0),0,IF(AI$3&lt;0,0,N(INDEX('CURVA PREVISION'!$A$1:$KZ$3000,$C40,10+3*MIN(AI$3,$D$2-1)))))</f>
        <v/>
      </c>
      <c r="AJ40" s="130">
        <f>IF(OR($C40="",$B$2="",$D$2=0),0,IF(AJ$3&lt;0,0,N(INDEX('CURVA PREVISION'!$A$1:$KZ$3000,$C40,10+3*MIN(AJ$3,$D$2-1)))))</f>
        <v/>
      </c>
      <c r="AK40" s="130">
        <f>IF(OR($C40="",$B$2="",$D$2=0),0,IF(AK$3&lt;0,0,N(INDEX('CURVA PREVISION'!$A$1:$KZ$3000,$C40,10+3*MIN(AK$3,$D$2-1)))))</f>
        <v/>
      </c>
      <c r="AL40" s="130">
        <f>IF(OR($C40="",$B$2="",$D$2=0),0,IF(AL$3&lt;0,0,N(INDEX('CURVA PREVISION'!$A$1:$KZ$3000,$C40,10+3*MIN(AL$3,$D$2-1)))))</f>
        <v/>
      </c>
      <c r="AM40" s="130">
        <f>IF(OR($C40="",$B$2="",$D$2=0),0,IF(AM$3&lt;0,0,N(INDEX('CURVA PREVISION'!$A$1:$KZ$3000,$C40,10+3*MIN(AM$3,$D$2-1)))))</f>
        <v/>
      </c>
      <c r="AN40" s="130">
        <f>IF(OR($C40="",$B$2="",$D$2=0),0,IF(AN$3&lt;0,0,N(INDEX('CURVA PREVISION'!$A$1:$KZ$3000,$C40,10+3*MIN(AN$3,$D$2-1)))))</f>
        <v/>
      </c>
      <c r="AO40" s="130">
        <f>IF(OR($C40="",$B$2="",$D$2=0),0,IF(AO$3&lt;0,0,N(INDEX('CURVA PREVISION'!$A$1:$KZ$3000,$C40,10+3*MIN(AO$3,$D$2-1)))))</f>
        <v/>
      </c>
      <c r="AP40" s="130">
        <f>IF(OR($C40="",$B$2="",$D$2=0),0,IF(AP$3&lt;0,0,N(INDEX('CURVA PREVISION'!$A$1:$KZ$3000,$C40,10+3*MIN(AP$3,$D$2-1)))))</f>
        <v/>
      </c>
      <c r="AQ40" s="130">
        <f>IF(OR($C40="",$B$2="",$D$2=0),0,IF(AQ$3&lt;0,0,N(INDEX('CURVA PREVISION'!$A$1:$KZ$3000,$C40,10+3*MIN(AQ$3,$D$2-1)))))</f>
        <v/>
      </c>
      <c r="AR40" s="130">
        <f>IF(OR($C40="",$B$2="",$D$2=0),0,IF(AR$3&lt;0,0,N(INDEX('CURVA PREVISION'!$A$1:$KZ$3000,$C40,10+3*MIN(AR$3,$D$2-1)))))</f>
        <v/>
      </c>
      <c r="AS40" s="130">
        <f>IF(OR($C40="",$B$2="",$D$2=0),0,IF(AS$3&lt;0,0,N(INDEX('CURVA PREVISION'!$A$1:$KZ$3000,$C40,10+3*MIN(AS$3,$D$2-1)))))</f>
        <v/>
      </c>
      <c r="AT40" s="130">
        <f>IF(OR($C40="",$B$2="",$D$2=0),0,IF(AT$3&lt;0,0,N(INDEX('CURVA PREVISION'!$A$1:$KZ$3000,$C40,10+3*MIN(AT$3,$D$2-1)))))</f>
        <v/>
      </c>
      <c r="AU40" s="130">
        <f>IF(OR($C40="",$B$2="",$D$2=0),0,IF(AU$3&lt;0,0,N(INDEX('CURVA PREVISION'!$A$1:$KZ$3000,$C40,10+3*MIN(AU$3,$D$2-1)))))</f>
        <v/>
      </c>
      <c r="AV40" s="130">
        <f>IF(OR($C40="",$B$2="",$D$2=0),0,IF(AV$3&lt;0,0,N(INDEX('CURVA PREVISION'!$A$1:$KZ$3000,$C40,10+3*MIN(AV$3,$D$2-1)))))</f>
        <v/>
      </c>
      <c r="AW40" s="130">
        <f>IF(OR($C40="",$B$2="",$D$2=0),0,IF(AW$3&lt;0,0,N(INDEX('CURVA PREVISION'!$A$1:$KZ$3000,$C40,10+3*MIN(AW$3,$D$2-1)))))</f>
        <v/>
      </c>
      <c r="AX40" s="130">
        <f>IF(OR($C40="",$B$2="",$D$2=0),0,IF(AX$3&lt;0,0,N(INDEX('CURVA PREVISION'!$A$1:$KZ$3000,$C40,10+3*MIN(AX$3,$D$2-1)))))</f>
        <v/>
      </c>
      <c r="AY40" s="130">
        <f>IF(OR($C40="",$B$2="",$D$2=0),0,IF(AY$3&lt;0,0,N(INDEX('CURVA PREVISION'!$A$1:$KZ$3000,$C40,10+3*MIN(AY$3,$D$2-1)))))</f>
        <v/>
      </c>
      <c r="AZ40" s="130">
        <f>IF(OR($C40="",$B$2="",$D$2=0),0,IF(AZ$3&lt;0,0,N(INDEX('CURVA PREVISION'!$A$1:$KZ$3000,$C40,10+3*MIN(AZ$3,$D$2-1)))))</f>
        <v/>
      </c>
      <c r="BA40" s="130">
        <f>IF(OR($C40="",$B$2="",$D$2=0),0,IF(BA$3&lt;0,0,N(INDEX('CURVA PREVISION'!$A$1:$KZ$3000,$C40,10+3*MIN(BA$3,$D$2-1)))))</f>
        <v/>
      </c>
      <c r="BB40" s="130">
        <f>IF(OR($C40="",$B$2="",$D$2=0),0,IF(BB$3&lt;0,0,N(INDEX('CURVA PREVISION'!$A$1:$KZ$3000,$C40,10+3*MIN(BB$3,$D$2-1)))))</f>
        <v/>
      </c>
      <c r="BC40" s="130">
        <f>IF(OR($C40="",$B$2="",$D$2=0),0,IF(BC$3&lt;0,0,N(INDEX('CURVA PREVISION'!$A$1:$KZ$3000,$C40,10+3*MIN(BC$3,$D$2-1)))))</f>
        <v/>
      </c>
      <c r="BD40" s="130">
        <f>IF(OR($C40="",$B$2="",$D$2=0),0,IF(BD$3&lt;0,0,N(INDEX('CURVA PREVISION'!$A$1:$KZ$3000,$C40,10+3*MIN(BD$3,$D$2-1)))))</f>
        <v/>
      </c>
      <c r="BE40" s="130">
        <f>IF(OR($C40="",$B$2="",$D$2=0),0,IF(BE$3&lt;0,0,N(INDEX('CURVA PREVISION'!$A$1:$KZ$3000,$C40,10+3*MIN(BE$3,$D$2-1)))))</f>
        <v/>
      </c>
      <c r="BF40" s="130">
        <f>IF(OR($C40="",$B$2="",$D$2=0),0,IF(BF$3&lt;0,0,N(INDEX('CURVA PREVISION'!$A$1:$KZ$3000,$C40,10+3*MIN(BF$3,$D$2-1)))))</f>
        <v/>
      </c>
      <c r="BG40" s="130">
        <f>IF(OR($C40="",$B$2="",$D$2=0),0,IF(BG$3&lt;0,0,N(INDEX('CURVA PREVISION'!$A$1:$KZ$3000,$C40,10+3*MIN(BG$3,$D$2-1)))))</f>
        <v/>
      </c>
      <c r="BH40" s="130">
        <f>IF(OR($C40="",$B$2="",$D$2=0),0,IF(BH$3&lt;0,0,N(INDEX('CURVA PREVISION'!$A$1:$KZ$3000,$C40,10+3*MIN(BH$3,$D$2-1)))))</f>
        <v/>
      </c>
      <c r="BI40" s="130">
        <f>IF(OR($C40="",$B$2="",$D$2=0),0,IF(BI$3&lt;0,0,N(INDEX('CURVA PREVISION'!$A$1:$KZ$3000,$C40,10+3*MIN(BI$3,$D$2-1)))))</f>
        <v/>
      </c>
      <c r="BJ40" s="130">
        <f>IF(OR($C40="",$B$2="",$D$2=0),0,IF(BJ$3&lt;0,0,N(INDEX('CURVA PREVISION'!$A$1:$KZ$3000,$C40,10+3*MIN(BJ$3,$D$2-1)))))</f>
        <v/>
      </c>
      <c r="BK40" s="130">
        <f>IF(OR($C40="",$B$2="",$D$2=0),0,IF(BK$3&lt;0,0,N(INDEX('CURVA PREVISION'!$A$1:$KZ$3000,$C40,10+3*MIN(BK$3,$D$2-1)))))</f>
        <v/>
      </c>
      <c r="BL40" s="130">
        <f>IF(OR($C40="",$B$2="",$D$2=0),0,IF(BL$3&lt;0,0,N(INDEX('CURVA PREVISION'!$A$1:$KZ$3000,$C40,10+3*MIN(BL$3,$D$2-1)))))</f>
        <v/>
      </c>
      <c r="BM40" s="130">
        <f>IF(OR($C40="",$B$2="",$D$2=0),0,IF(BM$3&lt;0,0,N(INDEX('CURVA PREVISION'!$A$1:$KZ$3000,$C40,10+3*MIN(BM$3,$D$2-1)))))</f>
        <v/>
      </c>
      <c r="BN40" s="130">
        <f>IF(OR($C40="",$B$2="",$D$2=0),0,IF(BN$3&lt;0,0,N(INDEX('CURVA PREVISION'!$A$1:$KZ$3000,$C40,10+3*MIN(BN$3,$D$2-1)))))</f>
        <v/>
      </c>
      <c r="BO40" s="130">
        <f>IF(OR($C40="",$B$2="",$D$2=0),0,IF(BO$3&lt;0,0,N(INDEX('CURVA PREVISION'!$A$1:$KZ$3000,$C40,10+3*MIN(BO$3,$D$2-1)))))</f>
        <v/>
      </c>
      <c r="BP40" s="130">
        <f>IF(OR($C40="",$B$2="",$D$2=0),0,IF(BP$3&lt;0,0,N(INDEX('CURVA PREVISION'!$A$1:$KZ$3000,$C40,10+3*MIN(BP$3,$D$2-1)))))</f>
        <v/>
      </c>
      <c r="BQ40" s="130">
        <f>IF(OR($C40="",$B$2="",$D$2=0),0,IF(BQ$3&lt;0,0,N(INDEX('CURVA PREVISION'!$A$1:$KZ$3000,$C40,10+3*MIN(BQ$3,$D$2-1)))))</f>
        <v/>
      </c>
      <c r="BR40" s="130">
        <f>IF(OR($C40="",$B$2="",$D$2=0),0,IF(BR$3&lt;0,0,N(INDEX('CURVA PREVISION'!$A$1:$KZ$3000,$C40,10+3*MIN(BR$3,$D$2-1)))))</f>
        <v/>
      </c>
      <c r="BS40" s="130">
        <f>IF(OR($C40="",$B$2="",$D$2=0),0,IF(BS$3&lt;0,0,N(INDEX('CURVA PREVISION'!$A$1:$KZ$3000,$C40,10+3*MIN(BS$3,$D$2-1)))))</f>
        <v/>
      </c>
      <c r="BT40" s="130">
        <f>IF(OR($C40="",$B$2="",$D$2=0),0,IF(BT$3&lt;0,0,N(INDEX('CURVA PREVISION'!$A$1:$KZ$3000,$C40,10+3*MIN(BT$3,$D$2-1)))))</f>
        <v/>
      </c>
      <c r="BU40" s="130">
        <f>IF(OR($C40="",$B$2="",$D$2=0),0,IF(BU$3&lt;0,0,N(INDEX('CURVA PREVISION'!$A$1:$KZ$3000,$C40,10+3*MIN(BU$3,$D$2-1)))))</f>
        <v/>
      </c>
      <c r="BV40" s="130">
        <f>IF(OR($C40="",$B$2="",$D$2=0),0,IF(BV$3&lt;0,0,N(INDEX('CURVA PREVISION'!$A$1:$KZ$3000,$C40,10+3*MIN(BV$3,$D$2-1)))))</f>
        <v/>
      </c>
      <c r="BW40" s="130">
        <f>IF(OR($C40="",$B$2="",$D$2=0),0,IF(BW$3&lt;0,0,N(INDEX('CURVA PREVISION'!$A$1:$KZ$3000,$C40,10+3*MIN(BW$3,$D$2-1)))))</f>
        <v/>
      </c>
    </row>
    <row r="41">
      <c r="A41" s="61">
        <f>IF('VALOR POR PL'!R47&lt;&gt;"",'VALOR POR PL'!R47,IF('VALOR POR PL'!Q47="",'VALOR POR PL'!C47,'VALOR POR PL'!Q47))</f>
        <v/>
      </c>
      <c r="B41" s="61">
        <f>'VALOR POR PL'!D47</f>
        <v/>
      </c>
      <c r="C41" s="70">
        <f>IFERROR(MATCH(A41,'CURVA PREVISION'!$B$1:$B$3000,0),"")</f>
        <v/>
      </c>
      <c r="D41" s="130">
        <f>IF(OR($C41="",$B$2="",$D$2=0),0,IF(D$3&lt;0,0,N(INDEX('CURVA PREVISION'!$A$1:$KZ$3000,$C41,10+3*MIN(D$3,$D$2-1)))))</f>
        <v/>
      </c>
      <c r="E41" s="130">
        <f>IF(OR($C41="",$B$2="",$D$2=0),0,IF(E$3&lt;0,0,N(INDEX('CURVA PREVISION'!$A$1:$KZ$3000,$C41,10+3*MIN(E$3,$D$2-1)))))</f>
        <v/>
      </c>
      <c r="F41" s="130">
        <f>IF(OR($C41="",$B$2="",$D$2=0),0,IF(F$3&lt;0,0,N(INDEX('CURVA PREVISION'!$A$1:$KZ$3000,$C41,10+3*MIN(F$3,$D$2-1)))))</f>
        <v/>
      </c>
      <c r="G41" s="130">
        <f>IF(OR($C41="",$B$2="",$D$2=0),0,IF(G$3&lt;0,0,N(INDEX('CURVA PREVISION'!$A$1:$KZ$3000,$C41,10+3*MIN(G$3,$D$2-1)))))</f>
        <v/>
      </c>
      <c r="H41" s="130">
        <f>IF(OR($C41="",$B$2="",$D$2=0),0,IF(H$3&lt;0,0,N(INDEX('CURVA PREVISION'!$A$1:$KZ$3000,$C41,10+3*MIN(H$3,$D$2-1)))))</f>
        <v/>
      </c>
      <c r="I41" s="130">
        <f>IF(OR($C41="",$B$2="",$D$2=0),0,IF(I$3&lt;0,0,N(INDEX('CURVA PREVISION'!$A$1:$KZ$3000,$C41,10+3*MIN(I$3,$D$2-1)))))</f>
        <v/>
      </c>
      <c r="J41" s="130">
        <f>IF(OR($C41="",$B$2="",$D$2=0),0,IF(J$3&lt;0,0,N(INDEX('CURVA PREVISION'!$A$1:$KZ$3000,$C41,10+3*MIN(J$3,$D$2-1)))))</f>
        <v/>
      </c>
      <c r="K41" s="130">
        <f>IF(OR($C41="",$B$2="",$D$2=0),0,IF(K$3&lt;0,0,N(INDEX('CURVA PREVISION'!$A$1:$KZ$3000,$C41,10+3*MIN(K$3,$D$2-1)))))</f>
        <v/>
      </c>
      <c r="L41" s="130">
        <f>IF(OR($C41="",$B$2="",$D$2=0),0,IF(L$3&lt;0,0,N(INDEX('CURVA PREVISION'!$A$1:$KZ$3000,$C41,10+3*MIN(L$3,$D$2-1)))))</f>
        <v/>
      </c>
      <c r="M41" s="130">
        <f>IF(OR($C41="",$B$2="",$D$2=0),0,IF(M$3&lt;0,0,N(INDEX('CURVA PREVISION'!$A$1:$KZ$3000,$C41,10+3*MIN(M$3,$D$2-1)))))</f>
        <v/>
      </c>
      <c r="N41" s="130">
        <f>IF(OR($C41="",$B$2="",$D$2=0),0,IF(N$3&lt;0,0,N(INDEX('CURVA PREVISION'!$A$1:$KZ$3000,$C41,10+3*MIN(N$3,$D$2-1)))))</f>
        <v/>
      </c>
      <c r="O41" s="130">
        <f>IF(OR($C41="",$B$2="",$D$2=0),0,IF(O$3&lt;0,0,N(INDEX('CURVA PREVISION'!$A$1:$KZ$3000,$C41,10+3*MIN(O$3,$D$2-1)))))</f>
        <v/>
      </c>
      <c r="P41" s="130">
        <f>IF(OR($C41="",$B$2="",$D$2=0),0,IF(P$3&lt;0,0,N(INDEX('CURVA PREVISION'!$A$1:$KZ$3000,$C41,10+3*MIN(P$3,$D$2-1)))))</f>
        <v/>
      </c>
      <c r="Q41" s="130">
        <f>IF(OR($C41="",$B$2="",$D$2=0),0,IF(Q$3&lt;0,0,N(INDEX('CURVA PREVISION'!$A$1:$KZ$3000,$C41,10+3*MIN(Q$3,$D$2-1)))))</f>
        <v/>
      </c>
      <c r="R41" s="130">
        <f>IF(OR($C41="",$B$2="",$D$2=0),0,IF(R$3&lt;0,0,N(INDEX('CURVA PREVISION'!$A$1:$KZ$3000,$C41,10+3*MIN(R$3,$D$2-1)))))</f>
        <v/>
      </c>
      <c r="S41" s="130">
        <f>IF(OR($C41="",$B$2="",$D$2=0),0,IF(S$3&lt;0,0,N(INDEX('CURVA PREVISION'!$A$1:$KZ$3000,$C41,10+3*MIN(S$3,$D$2-1)))))</f>
        <v/>
      </c>
      <c r="T41" s="130">
        <f>IF(OR($C41="",$B$2="",$D$2=0),0,IF(T$3&lt;0,0,N(INDEX('CURVA PREVISION'!$A$1:$KZ$3000,$C41,10+3*MIN(T$3,$D$2-1)))))</f>
        <v/>
      </c>
      <c r="U41" s="130">
        <f>IF(OR($C41="",$B$2="",$D$2=0),0,IF(U$3&lt;0,0,N(INDEX('CURVA PREVISION'!$A$1:$KZ$3000,$C41,10+3*MIN(U$3,$D$2-1)))))</f>
        <v/>
      </c>
      <c r="V41" s="130">
        <f>IF(OR($C41="",$B$2="",$D$2=0),0,IF(V$3&lt;0,0,N(INDEX('CURVA PREVISION'!$A$1:$KZ$3000,$C41,10+3*MIN(V$3,$D$2-1)))))</f>
        <v/>
      </c>
      <c r="W41" s="130">
        <f>IF(OR($C41="",$B$2="",$D$2=0),0,IF(W$3&lt;0,0,N(INDEX('CURVA PREVISION'!$A$1:$KZ$3000,$C41,10+3*MIN(W$3,$D$2-1)))))</f>
        <v/>
      </c>
      <c r="X41" s="130">
        <f>IF(OR($C41="",$B$2="",$D$2=0),0,IF(X$3&lt;0,0,N(INDEX('CURVA PREVISION'!$A$1:$KZ$3000,$C41,10+3*MIN(X$3,$D$2-1)))))</f>
        <v/>
      </c>
      <c r="Y41" s="130">
        <f>IF(OR($C41="",$B$2="",$D$2=0),0,IF(Y$3&lt;0,0,N(INDEX('CURVA PREVISION'!$A$1:$KZ$3000,$C41,10+3*MIN(Y$3,$D$2-1)))))</f>
        <v/>
      </c>
      <c r="Z41" s="130">
        <f>IF(OR($C41="",$B$2="",$D$2=0),0,IF(Z$3&lt;0,0,N(INDEX('CURVA PREVISION'!$A$1:$KZ$3000,$C41,10+3*MIN(Z$3,$D$2-1)))))</f>
        <v/>
      </c>
      <c r="AA41" s="130">
        <f>IF(OR($C41="",$B$2="",$D$2=0),0,IF(AA$3&lt;0,0,N(INDEX('CURVA PREVISION'!$A$1:$KZ$3000,$C41,10+3*MIN(AA$3,$D$2-1)))))</f>
        <v/>
      </c>
      <c r="AB41" s="130">
        <f>IF(OR($C41="",$B$2="",$D$2=0),0,IF(AB$3&lt;0,0,N(INDEX('CURVA PREVISION'!$A$1:$KZ$3000,$C41,10+3*MIN(AB$3,$D$2-1)))))</f>
        <v/>
      </c>
      <c r="AC41" s="130">
        <f>IF(OR($C41="",$B$2="",$D$2=0),0,IF(AC$3&lt;0,0,N(INDEX('CURVA PREVISION'!$A$1:$KZ$3000,$C41,10+3*MIN(AC$3,$D$2-1)))))</f>
        <v/>
      </c>
      <c r="AD41" s="130">
        <f>IF(OR($C41="",$B$2="",$D$2=0),0,IF(AD$3&lt;0,0,N(INDEX('CURVA PREVISION'!$A$1:$KZ$3000,$C41,10+3*MIN(AD$3,$D$2-1)))))</f>
        <v/>
      </c>
      <c r="AE41" s="130">
        <f>IF(OR($C41="",$B$2="",$D$2=0),0,IF(AE$3&lt;0,0,N(INDEX('CURVA PREVISION'!$A$1:$KZ$3000,$C41,10+3*MIN(AE$3,$D$2-1)))))</f>
        <v/>
      </c>
      <c r="AF41" s="130">
        <f>IF(OR($C41="",$B$2="",$D$2=0),0,IF(AF$3&lt;0,0,N(INDEX('CURVA PREVISION'!$A$1:$KZ$3000,$C41,10+3*MIN(AF$3,$D$2-1)))))</f>
        <v/>
      </c>
      <c r="AG41" s="130">
        <f>IF(OR($C41="",$B$2="",$D$2=0),0,IF(AG$3&lt;0,0,N(INDEX('CURVA PREVISION'!$A$1:$KZ$3000,$C41,10+3*MIN(AG$3,$D$2-1)))))</f>
        <v/>
      </c>
      <c r="AH41" s="130">
        <f>IF(OR($C41="",$B$2="",$D$2=0),0,IF(AH$3&lt;0,0,N(INDEX('CURVA PREVISION'!$A$1:$KZ$3000,$C41,10+3*MIN(AH$3,$D$2-1)))))</f>
        <v/>
      </c>
      <c r="AI41" s="130">
        <f>IF(OR($C41="",$B$2="",$D$2=0),0,IF(AI$3&lt;0,0,N(INDEX('CURVA PREVISION'!$A$1:$KZ$3000,$C41,10+3*MIN(AI$3,$D$2-1)))))</f>
        <v/>
      </c>
      <c r="AJ41" s="130">
        <f>IF(OR($C41="",$B$2="",$D$2=0),0,IF(AJ$3&lt;0,0,N(INDEX('CURVA PREVISION'!$A$1:$KZ$3000,$C41,10+3*MIN(AJ$3,$D$2-1)))))</f>
        <v/>
      </c>
      <c r="AK41" s="130">
        <f>IF(OR($C41="",$B$2="",$D$2=0),0,IF(AK$3&lt;0,0,N(INDEX('CURVA PREVISION'!$A$1:$KZ$3000,$C41,10+3*MIN(AK$3,$D$2-1)))))</f>
        <v/>
      </c>
      <c r="AL41" s="130">
        <f>IF(OR($C41="",$B$2="",$D$2=0),0,IF(AL$3&lt;0,0,N(INDEX('CURVA PREVISION'!$A$1:$KZ$3000,$C41,10+3*MIN(AL$3,$D$2-1)))))</f>
        <v/>
      </c>
      <c r="AM41" s="130">
        <f>IF(OR($C41="",$B$2="",$D$2=0),0,IF(AM$3&lt;0,0,N(INDEX('CURVA PREVISION'!$A$1:$KZ$3000,$C41,10+3*MIN(AM$3,$D$2-1)))))</f>
        <v/>
      </c>
      <c r="AN41" s="130">
        <f>IF(OR($C41="",$B$2="",$D$2=0),0,IF(AN$3&lt;0,0,N(INDEX('CURVA PREVISION'!$A$1:$KZ$3000,$C41,10+3*MIN(AN$3,$D$2-1)))))</f>
        <v/>
      </c>
      <c r="AO41" s="130">
        <f>IF(OR($C41="",$B$2="",$D$2=0),0,IF(AO$3&lt;0,0,N(INDEX('CURVA PREVISION'!$A$1:$KZ$3000,$C41,10+3*MIN(AO$3,$D$2-1)))))</f>
        <v/>
      </c>
      <c r="AP41" s="130">
        <f>IF(OR($C41="",$B$2="",$D$2=0),0,IF(AP$3&lt;0,0,N(INDEX('CURVA PREVISION'!$A$1:$KZ$3000,$C41,10+3*MIN(AP$3,$D$2-1)))))</f>
        <v/>
      </c>
      <c r="AQ41" s="130">
        <f>IF(OR($C41="",$B$2="",$D$2=0),0,IF(AQ$3&lt;0,0,N(INDEX('CURVA PREVISION'!$A$1:$KZ$3000,$C41,10+3*MIN(AQ$3,$D$2-1)))))</f>
        <v/>
      </c>
      <c r="AR41" s="130">
        <f>IF(OR($C41="",$B$2="",$D$2=0),0,IF(AR$3&lt;0,0,N(INDEX('CURVA PREVISION'!$A$1:$KZ$3000,$C41,10+3*MIN(AR$3,$D$2-1)))))</f>
        <v/>
      </c>
      <c r="AS41" s="130">
        <f>IF(OR($C41="",$B$2="",$D$2=0),0,IF(AS$3&lt;0,0,N(INDEX('CURVA PREVISION'!$A$1:$KZ$3000,$C41,10+3*MIN(AS$3,$D$2-1)))))</f>
        <v/>
      </c>
      <c r="AT41" s="130">
        <f>IF(OR($C41="",$B$2="",$D$2=0),0,IF(AT$3&lt;0,0,N(INDEX('CURVA PREVISION'!$A$1:$KZ$3000,$C41,10+3*MIN(AT$3,$D$2-1)))))</f>
        <v/>
      </c>
      <c r="AU41" s="130">
        <f>IF(OR($C41="",$B$2="",$D$2=0),0,IF(AU$3&lt;0,0,N(INDEX('CURVA PREVISION'!$A$1:$KZ$3000,$C41,10+3*MIN(AU$3,$D$2-1)))))</f>
        <v/>
      </c>
      <c r="AV41" s="130">
        <f>IF(OR($C41="",$B$2="",$D$2=0),0,IF(AV$3&lt;0,0,N(INDEX('CURVA PREVISION'!$A$1:$KZ$3000,$C41,10+3*MIN(AV$3,$D$2-1)))))</f>
        <v/>
      </c>
      <c r="AW41" s="130">
        <f>IF(OR($C41="",$B$2="",$D$2=0),0,IF(AW$3&lt;0,0,N(INDEX('CURVA PREVISION'!$A$1:$KZ$3000,$C41,10+3*MIN(AW$3,$D$2-1)))))</f>
        <v/>
      </c>
      <c r="AX41" s="130">
        <f>IF(OR($C41="",$B$2="",$D$2=0),0,IF(AX$3&lt;0,0,N(INDEX('CURVA PREVISION'!$A$1:$KZ$3000,$C41,10+3*MIN(AX$3,$D$2-1)))))</f>
        <v/>
      </c>
      <c r="AY41" s="130">
        <f>IF(OR($C41="",$B$2="",$D$2=0),0,IF(AY$3&lt;0,0,N(INDEX('CURVA PREVISION'!$A$1:$KZ$3000,$C41,10+3*MIN(AY$3,$D$2-1)))))</f>
        <v/>
      </c>
      <c r="AZ41" s="130">
        <f>IF(OR($C41="",$B$2="",$D$2=0),0,IF(AZ$3&lt;0,0,N(INDEX('CURVA PREVISION'!$A$1:$KZ$3000,$C41,10+3*MIN(AZ$3,$D$2-1)))))</f>
        <v/>
      </c>
      <c r="BA41" s="130">
        <f>IF(OR($C41="",$B$2="",$D$2=0),0,IF(BA$3&lt;0,0,N(INDEX('CURVA PREVISION'!$A$1:$KZ$3000,$C41,10+3*MIN(BA$3,$D$2-1)))))</f>
        <v/>
      </c>
      <c r="BB41" s="130">
        <f>IF(OR($C41="",$B$2="",$D$2=0),0,IF(BB$3&lt;0,0,N(INDEX('CURVA PREVISION'!$A$1:$KZ$3000,$C41,10+3*MIN(BB$3,$D$2-1)))))</f>
        <v/>
      </c>
      <c r="BC41" s="130">
        <f>IF(OR($C41="",$B$2="",$D$2=0),0,IF(BC$3&lt;0,0,N(INDEX('CURVA PREVISION'!$A$1:$KZ$3000,$C41,10+3*MIN(BC$3,$D$2-1)))))</f>
        <v/>
      </c>
      <c r="BD41" s="130">
        <f>IF(OR($C41="",$B$2="",$D$2=0),0,IF(BD$3&lt;0,0,N(INDEX('CURVA PREVISION'!$A$1:$KZ$3000,$C41,10+3*MIN(BD$3,$D$2-1)))))</f>
        <v/>
      </c>
      <c r="BE41" s="130">
        <f>IF(OR($C41="",$B$2="",$D$2=0),0,IF(BE$3&lt;0,0,N(INDEX('CURVA PREVISION'!$A$1:$KZ$3000,$C41,10+3*MIN(BE$3,$D$2-1)))))</f>
        <v/>
      </c>
      <c r="BF41" s="130">
        <f>IF(OR($C41="",$B$2="",$D$2=0),0,IF(BF$3&lt;0,0,N(INDEX('CURVA PREVISION'!$A$1:$KZ$3000,$C41,10+3*MIN(BF$3,$D$2-1)))))</f>
        <v/>
      </c>
      <c r="BG41" s="130">
        <f>IF(OR($C41="",$B$2="",$D$2=0),0,IF(BG$3&lt;0,0,N(INDEX('CURVA PREVISION'!$A$1:$KZ$3000,$C41,10+3*MIN(BG$3,$D$2-1)))))</f>
        <v/>
      </c>
      <c r="BH41" s="130">
        <f>IF(OR($C41="",$B$2="",$D$2=0),0,IF(BH$3&lt;0,0,N(INDEX('CURVA PREVISION'!$A$1:$KZ$3000,$C41,10+3*MIN(BH$3,$D$2-1)))))</f>
        <v/>
      </c>
      <c r="BI41" s="130">
        <f>IF(OR($C41="",$B$2="",$D$2=0),0,IF(BI$3&lt;0,0,N(INDEX('CURVA PREVISION'!$A$1:$KZ$3000,$C41,10+3*MIN(BI$3,$D$2-1)))))</f>
        <v/>
      </c>
      <c r="BJ41" s="130">
        <f>IF(OR($C41="",$B$2="",$D$2=0),0,IF(BJ$3&lt;0,0,N(INDEX('CURVA PREVISION'!$A$1:$KZ$3000,$C41,10+3*MIN(BJ$3,$D$2-1)))))</f>
        <v/>
      </c>
      <c r="BK41" s="130">
        <f>IF(OR($C41="",$B$2="",$D$2=0),0,IF(BK$3&lt;0,0,N(INDEX('CURVA PREVISION'!$A$1:$KZ$3000,$C41,10+3*MIN(BK$3,$D$2-1)))))</f>
        <v/>
      </c>
      <c r="BL41" s="130">
        <f>IF(OR($C41="",$B$2="",$D$2=0),0,IF(BL$3&lt;0,0,N(INDEX('CURVA PREVISION'!$A$1:$KZ$3000,$C41,10+3*MIN(BL$3,$D$2-1)))))</f>
        <v/>
      </c>
      <c r="BM41" s="130">
        <f>IF(OR($C41="",$B$2="",$D$2=0),0,IF(BM$3&lt;0,0,N(INDEX('CURVA PREVISION'!$A$1:$KZ$3000,$C41,10+3*MIN(BM$3,$D$2-1)))))</f>
        <v/>
      </c>
      <c r="BN41" s="130">
        <f>IF(OR($C41="",$B$2="",$D$2=0),0,IF(BN$3&lt;0,0,N(INDEX('CURVA PREVISION'!$A$1:$KZ$3000,$C41,10+3*MIN(BN$3,$D$2-1)))))</f>
        <v/>
      </c>
      <c r="BO41" s="130">
        <f>IF(OR($C41="",$B$2="",$D$2=0),0,IF(BO$3&lt;0,0,N(INDEX('CURVA PREVISION'!$A$1:$KZ$3000,$C41,10+3*MIN(BO$3,$D$2-1)))))</f>
        <v/>
      </c>
      <c r="BP41" s="130">
        <f>IF(OR($C41="",$B$2="",$D$2=0),0,IF(BP$3&lt;0,0,N(INDEX('CURVA PREVISION'!$A$1:$KZ$3000,$C41,10+3*MIN(BP$3,$D$2-1)))))</f>
        <v/>
      </c>
      <c r="BQ41" s="130">
        <f>IF(OR($C41="",$B$2="",$D$2=0),0,IF(BQ$3&lt;0,0,N(INDEX('CURVA PREVISION'!$A$1:$KZ$3000,$C41,10+3*MIN(BQ$3,$D$2-1)))))</f>
        <v/>
      </c>
      <c r="BR41" s="130">
        <f>IF(OR($C41="",$B$2="",$D$2=0),0,IF(BR$3&lt;0,0,N(INDEX('CURVA PREVISION'!$A$1:$KZ$3000,$C41,10+3*MIN(BR$3,$D$2-1)))))</f>
        <v/>
      </c>
      <c r="BS41" s="130">
        <f>IF(OR($C41="",$B$2="",$D$2=0),0,IF(BS$3&lt;0,0,N(INDEX('CURVA PREVISION'!$A$1:$KZ$3000,$C41,10+3*MIN(BS$3,$D$2-1)))))</f>
        <v/>
      </c>
      <c r="BT41" s="130">
        <f>IF(OR($C41="",$B$2="",$D$2=0),0,IF(BT$3&lt;0,0,N(INDEX('CURVA PREVISION'!$A$1:$KZ$3000,$C41,10+3*MIN(BT$3,$D$2-1)))))</f>
        <v/>
      </c>
      <c r="BU41" s="130">
        <f>IF(OR($C41="",$B$2="",$D$2=0),0,IF(BU$3&lt;0,0,N(INDEX('CURVA PREVISION'!$A$1:$KZ$3000,$C41,10+3*MIN(BU$3,$D$2-1)))))</f>
        <v/>
      </c>
      <c r="BV41" s="130">
        <f>IF(OR($C41="",$B$2="",$D$2=0),0,IF(BV$3&lt;0,0,N(INDEX('CURVA PREVISION'!$A$1:$KZ$3000,$C41,10+3*MIN(BV$3,$D$2-1)))))</f>
        <v/>
      </c>
      <c r="BW41" s="130">
        <f>IF(OR($C41="",$B$2="",$D$2=0),0,IF(BW$3&lt;0,0,N(INDEX('CURVA PREVISION'!$A$1:$KZ$3000,$C41,10+3*MIN(BW$3,$D$2-1)))))</f>
        <v/>
      </c>
    </row>
    <row r="42">
      <c r="A42" s="61">
        <f>IF('VALOR POR PL'!R48&lt;&gt;"",'VALOR POR PL'!R48,IF('VALOR POR PL'!Q48="",'VALOR POR PL'!C48,'VALOR POR PL'!Q48))</f>
        <v/>
      </c>
      <c r="B42" s="61">
        <f>'VALOR POR PL'!D48</f>
        <v/>
      </c>
      <c r="C42" s="70">
        <f>IFERROR(MATCH(A42,'CURVA PREVISION'!$B$1:$B$3000,0),"")</f>
        <v/>
      </c>
      <c r="D42" s="130">
        <f>IF(OR($C42="",$B$2="",$D$2=0),0,IF(D$3&lt;0,0,N(INDEX('CURVA PREVISION'!$A$1:$KZ$3000,$C42,10+3*MIN(D$3,$D$2-1)))))</f>
        <v/>
      </c>
      <c r="E42" s="130">
        <f>IF(OR($C42="",$B$2="",$D$2=0),0,IF(E$3&lt;0,0,N(INDEX('CURVA PREVISION'!$A$1:$KZ$3000,$C42,10+3*MIN(E$3,$D$2-1)))))</f>
        <v/>
      </c>
      <c r="F42" s="130">
        <f>IF(OR($C42="",$B$2="",$D$2=0),0,IF(F$3&lt;0,0,N(INDEX('CURVA PREVISION'!$A$1:$KZ$3000,$C42,10+3*MIN(F$3,$D$2-1)))))</f>
        <v/>
      </c>
      <c r="G42" s="130">
        <f>IF(OR($C42="",$B$2="",$D$2=0),0,IF(G$3&lt;0,0,N(INDEX('CURVA PREVISION'!$A$1:$KZ$3000,$C42,10+3*MIN(G$3,$D$2-1)))))</f>
        <v/>
      </c>
      <c r="H42" s="130">
        <f>IF(OR($C42="",$B$2="",$D$2=0),0,IF(H$3&lt;0,0,N(INDEX('CURVA PREVISION'!$A$1:$KZ$3000,$C42,10+3*MIN(H$3,$D$2-1)))))</f>
        <v/>
      </c>
      <c r="I42" s="130">
        <f>IF(OR($C42="",$B$2="",$D$2=0),0,IF(I$3&lt;0,0,N(INDEX('CURVA PREVISION'!$A$1:$KZ$3000,$C42,10+3*MIN(I$3,$D$2-1)))))</f>
        <v/>
      </c>
      <c r="J42" s="130">
        <f>IF(OR($C42="",$B$2="",$D$2=0),0,IF(J$3&lt;0,0,N(INDEX('CURVA PREVISION'!$A$1:$KZ$3000,$C42,10+3*MIN(J$3,$D$2-1)))))</f>
        <v/>
      </c>
      <c r="K42" s="130">
        <f>IF(OR($C42="",$B$2="",$D$2=0),0,IF(K$3&lt;0,0,N(INDEX('CURVA PREVISION'!$A$1:$KZ$3000,$C42,10+3*MIN(K$3,$D$2-1)))))</f>
        <v/>
      </c>
      <c r="L42" s="130">
        <f>IF(OR($C42="",$B$2="",$D$2=0),0,IF(L$3&lt;0,0,N(INDEX('CURVA PREVISION'!$A$1:$KZ$3000,$C42,10+3*MIN(L$3,$D$2-1)))))</f>
        <v/>
      </c>
      <c r="M42" s="130">
        <f>IF(OR($C42="",$B$2="",$D$2=0),0,IF(M$3&lt;0,0,N(INDEX('CURVA PREVISION'!$A$1:$KZ$3000,$C42,10+3*MIN(M$3,$D$2-1)))))</f>
        <v/>
      </c>
      <c r="N42" s="130">
        <f>IF(OR($C42="",$B$2="",$D$2=0),0,IF(N$3&lt;0,0,N(INDEX('CURVA PREVISION'!$A$1:$KZ$3000,$C42,10+3*MIN(N$3,$D$2-1)))))</f>
        <v/>
      </c>
      <c r="O42" s="130">
        <f>IF(OR($C42="",$B$2="",$D$2=0),0,IF(O$3&lt;0,0,N(INDEX('CURVA PREVISION'!$A$1:$KZ$3000,$C42,10+3*MIN(O$3,$D$2-1)))))</f>
        <v/>
      </c>
      <c r="P42" s="130">
        <f>IF(OR($C42="",$B$2="",$D$2=0),0,IF(P$3&lt;0,0,N(INDEX('CURVA PREVISION'!$A$1:$KZ$3000,$C42,10+3*MIN(P$3,$D$2-1)))))</f>
        <v/>
      </c>
      <c r="Q42" s="130">
        <f>IF(OR($C42="",$B$2="",$D$2=0),0,IF(Q$3&lt;0,0,N(INDEX('CURVA PREVISION'!$A$1:$KZ$3000,$C42,10+3*MIN(Q$3,$D$2-1)))))</f>
        <v/>
      </c>
      <c r="R42" s="130">
        <f>IF(OR($C42="",$B$2="",$D$2=0),0,IF(R$3&lt;0,0,N(INDEX('CURVA PREVISION'!$A$1:$KZ$3000,$C42,10+3*MIN(R$3,$D$2-1)))))</f>
        <v/>
      </c>
      <c r="S42" s="130">
        <f>IF(OR($C42="",$B$2="",$D$2=0),0,IF(S$3&lt;0,0,N(INDEX('CURVA PREVISION'!$A$1:$KZ$3000,$C42,10+3*MIN(S$3,$D$2-1)))))</f>
        <v/>
      </c>
      <c r="T42" s="130">
        <f>IF(OR($C42="",$B$2="",$D$2=0),0,IF(T$3&lt;0,0,N(INDEX('CURVA PREVISION'!$A$1:$KZ$3000,$C42,10+3*MIN(T$3,$D$2-1)))))</f>
        <v/>
      </c>
      <c r="U42" s="130">
        <f>IF(OR($C42="",$B$2="",$D$2=0),0,IF(U$3&lt;0,0,N(INDEX('CURVA PREVISION'!$A$1:$KZ$3000,$C42,10+3*MIN(U$3,$D$2-1)))))</f>
        <v/>
      </c>
      <c r="V42" s="130">
        <f>IF(OR($C42="",$B$2="",$D$2=0),0,IF(V$3&lt;0,0,N(INDEX('CURVA PREVISION'!$A$1:$KZ$3000,$C42,10+3*MIN(V$3,$D$2-1)))))</f>
        <v/>
      </c>
      <c r="W42" s="130">
        <f>IF(OR($C42="",$B$2="",$D$2=0),0,IF(W$3&lt;0,0,N(INDEX('CURVA PREVISION'!$A$1:$KZ$3000,$C42,10+3*MIN(W$3,$D$2-1)))))</f>
        <v/>
      </c>
      <c r="X42" s="130">
        <f>IF(OR($C42="",$B$2="",$D$2=0),0,IF(X$3&lt;0,0,N(INDEX('CURVA PREVISION'!$A$1:$KZ$3000,$C42,10+3*MIN(X$3,$D$2-1)))))</f>
        <v/>
      </c>
      <c r="Y42" s="130">
        <f>IF(OR($C42="",$B$2="",$D$2=0),0,IF(Y$3&lt;0,0,N(INDEX('CURVA PREVISION'!$A$1:$KZ$3000,$C42,10+3*MIN(Y$3,$D$2-1)))))</f>
        <v/>
      </c>
      <c r="Z42" s="130">
        <f>IF(OR($C42="",$B$2="",$D$2=0),0,IF(Z$3&lt;0,0,N(INDEX('CURVA PREVISION'!$A$1:$KZ$3000,$C42,10+3*MIN(Z$3,$D$2-1)))))</f>
        <v/>
      </c>
      <c r="AA42" s="130">
        <f>IF(OR($C42="",$B$2="",$D$2=0),0,IF(AA$3&lt;0,0,N(INDEX('CURVA PREVISION'!$A$1:$KZ$3000,$C42,10+3*MIN(AA$3,$D$2-1)))))</f>
        <v/>
      </c>
      <c r="AB42" s="130">
        <f>IF(OR($C42="",$B$2="",$D$2=0),0,IF(AB$3&lt;0,0,N(INDEX('CURVA PREVISION'!$A$1:$KZ$3000,$C42,10+3*MIN(AB$3,$D$2-1)))))</f>
        <v/>
      </c>
      <c r="AC42" s="130">
        <f>IF(OR($C42="",$B$2="",$D$2=0),0,IF(AC$3&lt;0,0,N(INDEX('CURVA PREVISION'!$A$1:$KZ$3000,$C42,10+3*MIN(AC$3,$D$2-1)))))</f>
        <v/>
      </c>
      <c r="AD42" s="130">
        <f>IF(OR($C42="",$B$2="",$D$2=0),0,IF(AD$3&lt;0,0,N(INDEX('CURVA PREVISION'!$A$1:$KZ$3000,$C42,10+3*MIN(AD$3,$D$2-1)))))</f>
        <v/>
      </c>
      <c r="AE42" s="130">
        <f>IF(OR($C42="",$B$2="",$D$2=0),0,IF(AE$3&lt;0,0,N(INDEX('CURVA PREVISION'!$A$1:$KZ$3000,$C42,10+3*MIN(AE$3,$D$2-1)))))</f>
        <v/>
      </c>
      <c r="AF42" s="130">
        <f>IF(OR($C42="",$B$2="",$D$2=0),0,IF(AF$3&lt;0,0,N(INDEX('CURVA PREVISION'!$A$1:$KZ$3000,$C42,10+3*MIN(AF$3,$D$2-1)))))</f>
        <v/>
      </c>
      <c r="AG42" s="130">
        <f>IF(OR($C42="",$B$2="",$D$2=0),0,IF(AG$3&lt;0,0,N(INDEX('CURVA PREVISION'!$A$1:$KZ$3000,$C42,10+3*MIN(AG$3,$D$2-1)))))</f>
        <v/>
      </c>
      <c r="AH42" s="130">
        <f>IF(OR($C42="",$B$2="",$D$2=0),0,IF(AH$3&lt;0,0,N(INDEX('CURVA PREVISION'!$A$1:$KZ$3000,$C42,10+3*MIN(AH$3,$D$2-1)))))</f>
        <v/>
      </c>
      <c r="AI42" s="130">
        <f>IF(OR($C42="",$B$2="",$D$2=0),0,IF(AI$3&lt;0,0,N(INDEX('CURVA PREVISION'!$A$1:$KZ$3000,$C42,10+3*MIN(AI$3,$D$2-1)))))</f>
        <v/>
      </c>
      <c r="AJ42" s="130">
        <f>IF(OR($C42="",$B$2="",$D$2=0),0,IF(AJ$3&lt;0,0,N(INDEX('CURVA PREVISION'!$A$1:$KZ$3000,$C42,10+3*MIN(AJ$3,$D$2-1)))))</f>
        <v/>
      </c>
      <c r="AK42" s="130">
        <f>IF(OR($C42="",$B$2="",$D$2=0),0,IF(AK$3&lt;0,0,N(INDEX('CURVA PREVISION'!$A$1:$KZ$3000,$C42,10+3*MIN(AK$3,$D$2-1)))))</f>
        <v/>
      </c>
      <c r="AL42" s="130">
        <f>IF(OR($C42="",$B$2="",$D$2=0),0,IF(AL$3&lt;0,0,N(INDEX('CURVA PREVISION'!$A$1:$KZ$3000,$C42,10+3*MIN(AL$3,$D$2-1)))))</f>
        <v/>
      </c>
      <c r="AM42" s="130">
        <f>IF(OR($C42="",$B$2="",$D$2=0),0,IF(AM$3&lt;0,0,N(INDEX('CURVA PREVISION'!$A$1:$KZ$3000,$C42,10+3*MIN(AM$3,$D$2-1)))))</f>
        <v/>
      </c>
      <c r="AN42" s="130">
        <f>IF(OR($C42="",$B$2="",$D$2=0),0,IF(AN$3&lt;0,0,N(INDEX('CURVA PREVISION'!$A$1:$KZ$3000,$C42,10+3*MIN(AN$3,$D$2-1)))))</f>
        <v/>
      </c>
      <c r="AO42" s="130">
        <f>IF(OR($C42="",$B$2="",$D$2=0),0,IF(AO$3&lt;0,0,N(INDEX('CURVA PREVISION'!$A$1:$KZ$3000,$C42,10+3*MIN(AO$3,$D$2-1)))))</f>
        <v/>
      </c>
      <c r="AP42" s="130">
        <f>IF(OR($C42="",$B$2="",$D$2=0),0,IF(AP$3&lt;0,0,N(INDEX('CURVA PREVISION'!$A$1:$KZ$3000,$C42,10+3*MIN(AP$3,$D$2-1)))))</f>
        <v/>
      </c>
      <c r="AQ42" s="130">
        <f>IF(OR($C42="",$B$2="",$D$2=0),0,IF(AQ$3&lt;0,0,N(INDEX('CURVA PREVISION'!$A$1:$KZ$3000,$C42,10+3*MIN(AQ$3,$D$2-1)))))</f>
        <v/>
      </c>
      <c r="AR42" s="130">
        <f>IF(OR($C42="",$B$2="",$D$2=0),0,IF(AR$3&lt;0,0,N(INDEX('CURVA PREVISION'!$A$1:$KZ$3000,$C42,10+3*MIN(AR$3,$D$2-1)))))</f>
        <v/>
      </c>
      <c r="AS42" s="130">
        <f>IF(OR($C42="",$B$2="",$D$2=0),0,IF(AS$3&lt;0,0,N(INDEX('CURVA PREVISION'!$A$1:$KZ$3000,$C42,10+3*MIN(AS$3,$D$2-1)))))</f>
        <v/>
      </c>
      <c r="AT42" s="130">
        <f>IF(OR($C42="",$B$2="",$D$2=0),0,IF(AT$3&lt;0,0,N(INDEX('CURVA PREVISION'!$A$1:$KZ$3000,$C42,10+3*MIN(AT$3,$D$2-1)))))</f>
        <v/>
      </c>
      <c r="AU42" s="130">
        <f>IF(OR($C42="",$B$2="",$D$2=0),0,IF(AU$3&lt;0,0,N(INDEX('CURVA PREVISION'!$A$1:$KZ$3000,$C42,10+3*MIN(AU$3,$D$2-1)))))</f>
        <v/>
      </c>
      <c r="AV42" s="130">
        <f>IF(OR($C42="",$B$2="",$D$2=0),0,IF(AV$3&lt;0,0,N(INDEX('CURVA PREVISION'!$A$1:$KZ$3000,$C42,10+3*MIN(AV$3,$D$2-1)))))</f>
        <v/>
      </c>
      <c r="AW42" s="130">
        <f>IF(OR($C42="",$B$2="",$D$2=0),0,IF(AW$3&lt;0,0,N(INDEX('CURVA PREVISION'!$A$1:$KZ$3000,$C42,10+3*MIN(AW$3,$D$2-1)))))</f>
        <v/>
      </c>
      <c r="AX42" s="130">
        <f>IF(OR($C42="",$B$2="",$D$2=0),0,IF(AX$3&lt;0,0,N(INDEX('CURVA PREVISION'!$A$1:$KZ$3000,$C42,10+3*MIN(AX$3,$D$2-1)))))</f>
        <v/>
      </c>
      <c r="AY42" s="130">
        <f>IF(OR($C42="",$B$2="",$D$2=0),0,IF(AY$3&lt;0,0,N(INDEX('CURVA PREVISION'!$A$1:$KZ$3000,$C42,10+3*MIN(AY$3,$D$2-1)))))</f>
        <v/>
      </c>
      <c r="AZ42" s="130">
        <f>IF(OR($C42="",$B$2="",$D$2=0),0,IF(AZ$3&lt;0,0,N(INDEX('CURVA PREVISION'!$A$1:$KZ$3000,$C42,10+3*MIN(AZ$3,$D$2-1)))))</f>
        <v/>
      </c>
      <c r="BA42" s="130">
        <f>IF(OR($C42="",$B$2="",$D$2=0),0,IF(BA$3&lt;0,0,N(INDEX('CURVA PREVISION'!$A$1:$KZ$3000,$C42,10+3*MIN(BA$3,$D$2-1)))))</f>
        <v/>
      </c>
      <c r="BB42" s="130">
        <f>IF(OR($C42="",$B$2="",$D$2=0),0,IF(BB$3&lt;0,0,N(INDEX('CURVA PREVISION'!$A$1:$KZ$3000,$C42,10+3*MIN(BB$3,$D$2-1)))))</f>
        <v/>
      </c>
      <c r="BC42" s="130">
        <f>IF(OR($C42="",$B$2="",$D$2=0),0,IF(BC$3&lt;0,0,N(INDEX('CURVA PREVISION'!$A$1:$KZ$3000,$C42,10+3*MIN(BC$3,$D$2-1)))))</f>
        <v/>
      </c>
      <c r="BD42" s="130">
        <f>IF(OR($C42="",$B$2="",$D$2=0),0,IF(BD$3&lt;0,0,N(INDEX('CURVA PREVISION'!$A$1:$KZ$3000,$C42,10+3*MIN(BD$3,$D$2-1)))))</f>
        <v/>
      </c>
      <c r="BE42" s="130">
        <f>IF(OR($C42="",$B$2="",$D$2=0),0,IF(BE$3&lt;0,0,N(INDEX('CURVA PREVISION'!$A$1:$KZ$3000,$C42,10+3*MIN(BE$3,$D$2-1)))))</f>
        <v/>
      </c>
      <c r="BF42" s="130">
        <f>IF(OR($C42="",$B$2="",$D$2=0),0,IF(BF$3&lt;0,0,N(INDEX('CURVA PREVISION'!$A$1:$KZ$3000,$C42,10+3*MIN(BF$3,$D$2-1)))))</f>
        <v/>
      </c>
      <c r="BG42" s="130">
        <f>IF(OR($C42="",$B$2="",$D$2=0),0,IF(BG$3&lt;0,0,N(INDEX('CURVA PREVISION'!$A$1:$KZ$3000,$C42,10+3*MIN(BG$3,$D$2-1)))))</f>
        <v/>
      </c>
      <c r="BH42" s="130">
        <f>IF(OR($C42="",$B$2="",$D$2=0),0,IF(BH$3&lt;0,0,N(INDEX('CURVA PREVISION'!$A$1:$KZ$3000,$C42,10+3*MIN(BH$3,$D$2-1)))))</f>
        <v/>
      </c>
      <c r="BI42" s="130">
        <f>IF(OR($C42="",$B$2="",$D$2=0),0,IF(BI$3&lt;0,0,N(INDEX('CURVA PREVISION'!$A$1:$KZ$3000,$C42,10+3*MIN(BI$3,$D$2-1)))))</f>
        <v/>
      </c>
      <c r="BJ42" s="130">
        <f>IF(OR($C42="",$B$2="",$D$2=0),0,IF(BJ$3&lt;0,0,N(INDEX('CURVA PREVISION'!$A$1:$KZ$3000,$C42,10+3*MIN(BJ$3,$D$2-1)))))</f>
        <v/>
      </c>
      <c r="BK42" s="130">
        <f>IF(OR($C42="",$B$2="",$D$2=0),0,IF(BK$3&lt;0,0,N(INDEX('CURVA PREVISION'!$A$1:$KZ$3000,$C42,10+3*MIN(BK$3,$D$2-1)))))</f>
        <v/>
      </c>
      <c r="BL42" s="130">
        <f>IF(OR($C42="",$B$2="",$D$2=0),0,IF(BL$3&lt;0,0,N(INDEX('CURVA PREVISION'!$A$1:$KZ$3000,$C42,10+3*MIN(BL$3,$D$2-1)))))</f>
        <v/>
      </c>
      <c r="BM42" s="130">
        <f>IF(OR($C42="",$B$2="",$D$2=0),0,IF(BM$3&lt;0,0,N(INDEX('CURVA PREVISION'!$A$1:$KZ$3000,$C42,10+3*MIN(BM$3,$D$2-1)))))</f>
        <v/>
      </c>
      <c r="BN42" s="130">
        <f>IF(OR($C42="",$B$2="",$D$2=0),0,IF(BN$3&lt;0,0,N(INDEX('CURVA PREVISION'!$A$1:$KZ$3000,$C42,10+3*MIN(BN$3,$D$2-1)))))</f>
        <v/>
      </c>
      <c r="BO42" s="130">
        <f>IF(OR($C42="",$B$2="",$D$2=0),0,IF(BO$3&lt;0,0,N(INDEX('CURVA PREVISION'!$A$1:$KZ$3000,$C42,10+3*MIN(BO$3,$D$2-1)))))</f>
        <v/>
      </c>
      <c r="BP42" s="130">
        <f>IF(OR($C42="",$B$2="",$D$2=0),0,IF(BP$3&lt;0,0,N(INDEX('CURVA PREVISION'!$A$1:$KZ$3000,$C42,10+3*MIN(BP$3,$D$2-1)))))</f>
        <v/>
      </c>
      <c r="BQ42" s="130">
        <f>IF(OR($C42="",$B$2="",$D$2=0),0,IF(BQ$3&lt;0,0,N(INDEX('CURVA PREVISION'!$A$1:$KZ$3000,$C42,10+3*MIN(BQ$3,$D$2-1)))))</f>
        <v/>
      </c>
      <c r="BR42" s="130">
        <f>IF(OR($C42="",$B$2="",$D$2=0),0,IF(BR$3&lt;0,0,N(INDEX('CURVA PREVISION'!$A$1:$KZ$3000,$C42,10+3*MIN(BR$3,$D$2-1)))))</f>
        <v/>
      </c>
      <c r="BS42" s="130">
        <f>IF(OR($C42="",$B$2="",$D$2=0),0,IF(BS$3&lt;0,0,N(INDEX('CURVA PREVISION'!$A$1:$KZ$3000,$C42,10+3*MIN(BS$3,$D$2-1)))))</f>
        <v/>
      </c>
      <c r="BT42" s="130">
        <f>IF(OR($C42="",$B$2="",$D$2=0),0,IF(BT$3&lt;0,0,N(INDEX('CURVA PREVISION'!$A$1:$KZ$3000,$C42,10+3*MIN(BT$3,$D$2-1)))))</f>
        <v/>
      </c>
      <c r="BU42" s="130">
        <f>IF(OR($C42="",$B$2="",$D$2=0),0,IF(BU$3&lt;0,0,N(INDEX('CURVA PREVISION'!$A$1:$KZ$3000,$C42,10+3*MIN(BU$3,$D$2-1)))))</f>
        <v/>
      </c>
      <c r="BV42" s="130">
        <f>IF(OR($C42="",$B$2="",$D$2=0),0,IF(BV$3&lt;0,0,N(INDEX('CURVA PREVISION'!$A$1:$KZ$3000,$C42,10+3*MIN(BV$3,$D$2-1)))))</f>
        <v/>
      </c>
      <c r="BW42" s="130">
        <f>IF(OR($C42="",$B$2="",$D$2=0),0,IF(BW$3&lt;0,0,N(INDEX('CURVA PREVISION'!$A$1:$KZ$3000,$C42,10+3*MIN(BW$3,$D$2-1)))))</f>
        <v/>
      </c>
    </row>
    <row r="45">
      <c r="A45" s="3" t="inlineStr">
        <is>
          <t>% ACUMULADO REALIZADO POR PL (coluna 'Realizado' de cada mês)</t>
        </is>
      </c>
    </row>
    <row r="46" ht="32" customHeight="1">
      <c r="A46" s="58" t="inlineStr">
        <is>
          <t>PL</t>
        </is>
      </c>
      <c r="B46" s="58" t="inlineStr">
        <is>
          <t>DESCRIÇÃO</t>
        </is>
      </c>
      <c r="C46" s="58" t="inlineStr">
        <is>
          <t>LINHA NO
PREVISION</t>
        </is>
      </c>
      <c r="D46" s="129">
        <f>D4</f>
        <v/>
      </c>
      <c r="E46" s="129">
        <f>E4</f>
        <v/>
      </c>
      <c r="F46" s="129">
        <f>F4</f>
        <v/>
      </c>
      <c r="G46" s="129">
        <f>G4</f>
        <v/>
      </c>
      <c r="H46" s="129">
        <f>H4</f>
        <v/>
      </c>
      <c r="I46" s="129">
        <f>I4</f>
        <v/>
      </c>
      <c r="J46" s="129">
        <f>J4</f>
        <v/>
      </c>
      <c r="K46" s="129">
        <f>K4</f>
        <v/>
      </c>
      <c r="L46" s="129">
        <f>L4</f>
        <v/>
      </c>
      <c r="M46" s="129">
        <f>M4</f>
        <v/>
      </c>
      <c r="N46" s="129">
        <f>N4</f>
        <v/>
      </c>
      <c r="O46" s="129">
        <f>O4</f>
        <v/>
      </c>
      <c r="P46" s="129">
        <f>P4</f>
        <v/>
      </c>
      <c r="Q46" s="129">
        <f>Q4</f>
        <v/>
      </c>
      <c r="R46" s="129">
        <f>R4</f>
        <v/>
      </c>
      <c r="S46" s="129">
        <f>S4</f>
        <v/>
      </c>
      <c r="T46" s="129">
        <f>T4</f>
        <v/>
      </c>
      <c r="U46" s="129">
        <f>U4</f>
        <v/>
      </c>
      <c r="V46" s="129">
        <f>V4</f>
        <v/>
      </c>
      <c r="W46" s="129">
        <f>W4</f>
        <v/>
      </c>
      <c r="X46" s="129">
        <f>X4</f>
        <v/>
      </c>
      <c r="Y46" s="129">
        <f>Y4</f>
        <v/>
      </c>
      <c r="Z46" s="129">
        <f>Z4</f>
        <v/>
      </c>
      <c r="AA46" s="129">
        <f>AA4</f>
        <v/>
      </c>
      <c r="AB46" s="129">
        <f>AB4</f>
        <v/>
      </c>
      <c r="AC46" s="129">
        <f>AC4</f>
        <v/>
      </c>
      <c r="AD46" s="129">
        <f>AD4</f>
        <v/>
      </c>
      <c r="AE46" s="129">
        <f>AE4</f>
        <v/>
      </c>
      <c r="AF46" s="129">
        <f>AF4</f>
        <v/>
      </c>
      <c r="AG46" s="129">
        <f>AG4</f>
        <v/>
      </c>
      <c r="AH46" s="129">
        <f>AH4</f>
        <v/>
      </c>
      <c r="AI46" s="129">
        <f>AI4</f>
        <v/>
      </c>
      <c r="AJ46" s="129">
        <f>AJ4</f>
        <v/>
      </c>
      <c r="AK46" s="129">
        <f>AK4</f>
        <v/>
      </c>
      <c r="AL46" s="129">
        <f>AL4</f>
        <v/>
      </c>
      <c r="AM46" s="129">
        <f>AM4</f>
        <v/>
      </c>
      <c r="AN46" s="129">
        <f>AN4</f>
        <v/>
      </c>
      <c r="AO46" s="129">
        <f>AO4</f>
        <v/>
      </c>
      <c r="AP46" s="129">
        <f>AP4</f>
        <v/>
      </c>
      <c r="AQ46" s="129">
        <f>AQ4</f>
        <v/>
      </c>
      <c r="AR46" s="129">
        <f>AR4</f>
        <v/>
      </c>
      <c r="AS46" s="129">
        <f>AS4</f>
        <v/>
      </c>
      <c r="AT46" s="129">
        <f>AT4</f>
        <v/>
      </c>
      <c r="AU46" s="129">
        <f>AU4</f>
        <v/>
      </c>
      <c r="AV46" s="129">
        <f>AV4</f>
        <v/>
      </c>
      <c r="AW46" s="129">
        <f>AW4</f>
        <v/>
      </c>
      <c r="AX46" s="129">
        <f>AX4</f>
        <v/>
      </c>
      <c r="AY46" s="129">
        <f>AY4</f>
        <v/>
      </c>
      <c r="AZ46" s="129">
        <f>AZ4</f>
        <v/>
      </c>
      <c r="BA46" s="129">
        <f>BA4</f>
        <v/>
      </c>
      <c r="BB46" s="129">
        <f>BB4</f>
        <v/>
      </c>
      <c r="BC46" s="129">
        <f>BC4</f>
        <v/>
      </c>
      <c r="BD46" s="129">
        <f>BD4</f>
        <v/>
      </c>
      <c r="BE46" s="129">
        <f>BE4</f>
        <v/>
      </c>
      <c r="BF46" s="129">
        <f>BF4</f>
        <v/>
      </c>
      <c r="BG46" s="129">
        <f>BG4</f>
        <v/>
      </c>
      <c r="BH46" s="129">
        <f>BH4</f>
        <v/>
      </c>
      <c r="BI46" s="129">
        <f>BI4</f>
        <v/>
      </c>
      <c r="BJ46" s="129">
        <f>BJ4</f>
        <v/>
      </c>
      <c r="BK46" s="129">
        <f>BK4</f>
        <v/>
      </c>
      <c r="BL46" s="129">
        <f>BL4</f>
        <v/>
      </c>
      <c r="BM46" s="129">
        <f>BM4</f>
        <v/>
      </c>
      <c r="BN46" s="129">
        <f>BN4</f>
        <v/>
      </c>
      <c r="BO46" s="129">
        <f>BO4</f>
        <v/>
      </c>
      <c r="BP46" s="129">
        <f>BP4</f>
        <v/>
      </c>
      <c r="BQ46" s="129">
        <f>BQ4</f>
        <v/>
      </c>
      <c r="BR46" s="129">
        <f>BR4</f>
        <v/>
      </c>
      <c r="BS46" s="129">
        <f>BS4</f>
        <v/>
      </c>
      <c r="BT46" s="129">
        <f>BT4</f>
        <v/>
      </c>
      <c r="BU46" s="129">
        <f>BU4</f>
        <v/>
      </c>
      <c r="BV46" s="129">
        <f>BV4</f>
        <v/>
      </c>
      <c r="BW46" s="129">
        <f>BW4</f>
        <v/>
      </c>
    </row>
    <row r="47">
      <c r="A47" s="61">
        <f>IF('VALOR POR PL'!Q11="",'VALOR POR PL'!C11,'VALOR POR PL'!Q11)</f>
        <v/>
      </c>
      <c r="B47" s="51">
        <f>B5</f>
        <v/>
      </c>
      <c r="C47" s="70">
        <f>IFERROR(MATCH(A47,'CURVA PREVISION'!$B$1:$B$3000,0),"")</f>
        <v/>
      </c>
      <c r="D47" s="130">
        <f>IF(OR($C47="",$B$2="",$D$2=0),0,IF(D$3&lt;0,0,N(INDEX('CURVA PREVISION'!$A$1:$KZ$3000,$C47,11+3*MIN(D$3,$D$2-1)))))</f>
        <v/>
      </c>
      <c r="E47" s="130">
        <f>IF(OR($C47="",$B$2="",$D$2=0),0,IF(E$3&lt;0,0,N(INDEX('CURVA PREVISION'!$A$1:$KZ$3000,$C47,11+3*MIN(E$3,$D$2-1)))))</f>
        <v/>
      </c>
      <c r="F47" s="130">
        <f>IF(OR($C47="",$B$2="",$D$2=0),0,IF(F$3&lt;0,0,N(INDEX('CURVA PREVISION'!$A$1:$KZ$3000,$C47,11+3*MIN(F$3,$D$2-1)))))</f>
        <v/>
      </c>
      <c r="G47" s="130">
        <f>IF(OR($C47="",$B$2="",$D$2=0),0,IF(G$3&lt;0,0,N(INDEX('CURVA PREVISION'!$A$1:$KZ$3000,$C47,11+3*MIN(G$3,$D$2-1)))))</f>
        <v/>
      </c>
      <c r="H47" s="130">
        <f>IF(OR($C47="",$B$2="",$D$2=0),0,IF(H$3&lt;0,0,N(INDEX('CURVA PREVISION'!$A$1:$KZ$3000,$C47,11+3*MIN(H$3,$D$2-1)))))</f>
        <v/>
      </c>
      <c r="I47" s="130">
        <f>IF(OR($C47="",$B$2="",$D$2=0),0,IF(I$3&lt;0,0,N(INDEX('CURVA PREVISION'!$A$1:$KZ$3000,$C47,11+3*MIN(I$3,$D$2-1)))))</f>
        <v/>
      </c>
      <c r="J47" s="130">
        <f>IF(OR($C47="",$B$2="",$D$2=0),0,IF(J$3&lt;0,0,N(INDEX('CURVA PREVISION'!$A$1:$KZ$3000,$C47,11+3*MIN(J$3,$D$2-1)))))</f>
        <v/>
      </c>
      <c r="K47" s="130">
        <f>IF(OR($C47="",$B$2="",$D$2=0),0,IF(K$3&lt;0,0,N(INDEX('CURVA PREVISION'!$A$1:$KZ$3000,$C47,11+3*MIN(K$3,$D$2-1)))))</f>
        <v/>
      </c>
      <c r="L47" s="130">
        <f>IF(OR($C47="",$B$2="",$D$2=0),0,IF(L$3&lt;0,0,N(INDEX('CURVA PREVISION'!$A$1:$KZ$3000,$C47,11+3*MIN(L$3,$D$2-1)))))</f>
        <v/>
      </c>
      <c r="M47" s="130">
        <f>IF(OR($C47="",$B$2="",$D$2=0),0,IF(M$3&lt;0,0,N(INDEX('CURVA PREVISION'!$A$1:$KZ$3000,$C47,11+3*MIN(M$3,$D$2-1)))))</f>
        <v/>
      </c>
      <c r="N47" s="130">
        <f>IF(OR($C47="",$B$2="",$D$2=0),0,IF(N$3&lt;0,0,N(INDEX('CURVA PREVISION'!$A$1:$KZ$3000,$C47,11+3*MIN(N$3,$D$2-1)))))</f>
        <v/>
      </c>
      <c r="O47" s="130">
        <f>IF(OR($C47="",$B$2="",$D$2=0),0,IF(O$3&lt;0,0,N(INDEX('CURVA PREVISION'!$A$1:$KZ$3000,$C47,11+3*MIN(O$3,$D$2-1)))))</f>
        <v/>
      </c>
      <c r="P47" s="130">
        <f>IF(OR($C47="",$B$2="",$D$2=0),0,IF(P$3&lt;0,0,N(INDEX('CURVA PREVISION'!$A$1:$KZ$3000,$C47,11+3*MIN(P$3,$D$2-1)))))</f>
        <v/>
      </c>
      <c r="Q47" s="130">
        <f>IF(OR($C47="",$B$2="",$D$2=0),0,IF(Q$3&lt;0,0,N(INDEX('CURVA PREVISION'!$A$1:$KZ$3000,$C47,11+3*MIN(Q$3,$D$2-1)))))</f>
        <v/>
      </c>
      <c r="R47" s="130">
        <f>IF(OR($C47="",$B$2="",$D$2=0),0,IF(R$3&lt;0,0,N(INDEX('CURVA PREVISION'!$A$1:$KZ$3000,$C47,11+3*MIN(R$3,$D$2-1)))))</f>
        <v/>
      </c>
      <c r="S47" s="130">
        <f>IF(OR($C47="",$B$2="",$D$2=0),0,IF(S$3&lt;0,0,N(INDEX('CURVA PREVISION'!$A$1:$KZ$3000,$C47,11+3*MIN(S$3,$D$2-1)))))</f>
        <v/>
      </c>
      <c r="T47" s="130">
        <f>IF(OR($C47="",$B$2="",$D$2=0),0,IF(T$3&lt;0,0,N(INDEX('CURVA PREVISION'!$A$1:$KZ$3000,$C47,11+3*MIN(T$3,$D$2-1)))))</f>
        <v/>
      </c>
      <c r="U47" s="130">
        <f>IF(OR($C47="",$B$2="",$D$2=0),0,IF(U$3&lt;0,0,N(INDEX('CURVA PREVISION'!$A$1:$KZ$3000,$C47,11+3*MIN(U$3,$D$2-1)))))</f>
        <v/>
      </c>
      <c r="V47" s="130">
        <f>IF(OR($C47="",$B$2="",$D$2=0),0,IF(V$3&lt;0,0,N(INDEX('CURVA PREVISION'!$A$1:$KZ$3000,$C47,11+3*MIN(V$3,$D$2-1)))))</f>
        <v/>
      </c>
      <c r="W47" s="130">
        <f>IF(OR($C47="",$B$2="",$D$2=0),0,IF(W$3&lt;0,0,N(INDEX('CURVA PREVISION'!$A$1:$KZ$3000,$C47,11+3*MIN(W$3,$D$2-1)))))</f>
        <v/>
      </c>
      <c r="X47" s="130">
        <f>IF(OR($C47="",$B$2="",$D$2=0),0,IF(X$3&lt;0,0,N(INDEX('CURVA PREVISION'!$A$1:$KZ$3000,$C47,11+3*MIN(X$3,$D$2-1)))))</f>
        <v/>
      </c>
      <c r="Y47" s="130">
        <f>IF(OR($C47="",$B$2="",$D$2=0),0,IF(Y$3&lt;0,0,N(INDEX('CURVA PREVISION'!$A$1:$KZ$3000,$C47,11+3*MIN(Y$3,$D$2-1)))))</f>
        <v/>
      </c>
      <c r="Z47" s="130">
        <f>IF(OR($C47="",$B$2="",$D$2=0),0,IF(Z$3&lt;0,0,N(INDEX('CURVA PREVISION'!$A$1:$KZ$3000,$C47,11+3*MIN(Z$3,$D$2-1)))))</f>
        <v/>
      </c>
      <c r="AA47" s="130">
        <f>IF(OR($C47="",$B$2="",$D$2=0),0,IF(AA$3&lt;0,0,N(INDEX('CURVA PREVISION'!$A$1:$KZ$3000,$C47,11+3*MIN(AA$3,$D$2-1)))))</f>
        <v/>
      </c>
      <c r="AB47" s="130">
        <f>IF(OR($C47="",$B$2="",$D$2=0),0,IF(AB$3&lt;0,0,N(INDEX('CURVA PREVISION'!$A$1:$KZ$3000,$C47,11+3*MIN(AB$3,$D$2-1)))))</f>
        <v/>
      </c>
      <c r="AC47" s="130">
        <f>IF(OR($C47="",$B$2="",$D$2=0),0,IF(AC$3&lt;0,0,N(INDEX('CURVA PREVISION'!$A$1:$KZ$3000,$C47,11+3*MIN(AC$3,$D$2-1)))))</f>
        <v/>
      </c>
      <c r="AD47" s="130">
        <f>IF(OR($C47="",$B$2="",$D$2=0),0,IF(AD$3&lt;0,0,N(INDEX('CURVA PREVISION'!$A$1:$KZ$3000,$C47,11+3*MIN(AD$3,$D$2-1)))))</f>
        <v/>
      </c>
      <c r="AE47" s="130">
        <f>IF(OR($C47="",$B$2="",$D$2=0),0,IF(AE$3&lt;0,0,N(INDEX('CURVA PREVISION'!$A$1:$KZ$3000,$C47,11+3*MIN(AE$3,$D$2-1)))))</f>
        <v/>
      </c>
      <c r="AF47" s="130">
        <f>IF(OR($C47="",$B$2="",$D$2=0),0,IF(AF$3&lt;0,0,N(INDEX('CURVA PREVISION'!$A$1:$KZ$3000,$C47,11+3*MIN(AF$3,$D$2-1)))))</f>
        <v/>
      </c>
      <c r="AG47" s="130">
        <f>IF(OR($C47="",$B$2="",$D$2=0),0,IF(AG$3&lt;0,0,N(INDEX('CURVA PREVISION'!$A$1:$KZ$3000,$C47,11+3*MIN(AG$3,$D$2-1)))))</f>
        <v/>
      </c>
      <c r="AH47" s="130">
        <f>IF(OR($C47="",$B$2="",$D$2=0),0,IF(AH$3&lt;0,0,N(INDEX('CURVA PREVISION'!$A$1:$KZ$3000,$C47,11+3*MIN(AH$3,$D$2-1)))))</f>
        <v/>
      </c>
      <c r="AI47" s="130">
        <f>IF(OR($C47="",$B$2="",$D$2=0),0,IF(AI$3&lt;0,0,N(INDEX('CURVA PREVISION'!$A$1:$KZ$3000,$C47,11+3*MIN(AI$3,$D$2-1)))))</f>
        <v/>
      </c>
      <c r="AJ47" s="130">
        <f>IF(OR($C47="",$B$2="",$D$2=0),0,IF(AJ$3&lt;0,0,N(INDEX('CURVA PREVISION'!$A$1:$KZ$3000,$C47,11+3*MIN(AJ$3,$D$2-1)))))</f>
        <v/>
      </c>
      <c r="AK47" s="130">
        <f>IF(OR($C47="",$B$2="",$D$2=0),0,IF(AK$3&lt;0,0,N(INDEX('CURVA PREVISION'!$A$1:$KZ$3000,$C47,11+3*MIN(AK$3,$D$2-1)))))</f>
        <v/>
      </c>
      <c r="AL47" s="130">
        <f>IF(OR($C47="",$B$2="",$D$2=0),0,IF(AL$3&lt;0,0,N(INDEX('CURVA PREVISION'!$A$1:$KZ$3000,$C47,11+3*MIN(AL$3,$D$2-1)))))</f>
        <v/>
      </c>
      <c r="AM47" s="130">
        <f>IF(OR($C47="",$B$2="",$D$2=0),0,IF(AM$3&lt;0,0,N(INDEX('CURVA PREVISION'!$A$1:$KZ$3000,$C47,11+3*MIN(AM$3,$D$2-1)))))</f>
        <v/>
      </c>
      <c r="AN47" s="130">
        <f>IF(OR($C47="",$B$2="",$D$2=0),0,IF(AN$3&lt;0,0,N(INDEX('CURVA PREVISION'!$A$1:$KZ$3000,$C47,11+3*MIN(AN$3,$D$2-1)))))</f>
        <v/>
      </c>
      <c r="AO47" s="130">
        <f>IF(OR($C47="",$B$2="",$D$2=0),0,IF(AO$3&lt;0,0,N(INDEX('CURVA PREVISION'!$A$1:$KZ$3000,$C47,11+3*MIN(AO$3,$D$2-1)))))</f>
        <v/>
      </c>
      <c r="AP47" s="130">
        <f>IF(OR($C47="",$B$2="",$D$2=0),0,IF(AP$3&lt;0,0,N(INDEX('CURVA PREVISION'!$A$1:$KZ$3000,$C47,11+3*MIN(AP$3,$D$2-1)))))</f>
        <v/>
      </c>
      <c r="AQ47" s="130">
        <f>IF(OR($C47="",$B$2="",$D$2=0),0,IF(AQ$3&lt;0,0,N(INDEX('CURVA PREVISION'!$A$1:$KZ$3000,$C47,11+3*MIN(AQ$3,$D$2-1)))))</f>
        <v/>
      </c>
      <c r="AR47" s="130">
        <f>IF(OR($C47="",$B$2="",$D$2=0),0,IF(AR$3&lt;0,0,N(INDEX('CURVA PREVISION'!$A$1:$KZ$3000,$C47,11+3*MIN(AR$3,$D$2-1)))))</f>
        <v/>
      </c>
      <c r="AS47" s="130">
        <f>IF(OR($C47="",$B$2="",$D$2=0),0,IF(AS$3&lt;0,0,N(INDEX('CURVA PREVISION'!$A$1:$KZ$3000,$C47,11+3*MIN(AS$3,$D$2-1)))))</f>
        <v/>
      </c>
      <c r="AT47" s="130">
        <f>IF(OR($C47="",$B$2="",$D$2=0),0,IF(AT$3&lt;0,0,N(INDEX('CURVA PREVISION'!$A$1:$KZ$3000,$C47,11+3*MIN(AT$3,$D$2-1)))))</f>
        <v/>
      </c>
      <c r="AU47" s="130">
        <f>IF(OR($C47="",$B$2="",$D$2=0),0,IF(AU$3&lt;0,0,N(INDEX('CURVA PREVISION'!$A$1:$KZ$3000,$C47,11+3*MIN(AU$3,$D$2-1)))))</f>
        <v/>
      </c>
      <c r="AV47" s="130">
        <f>IF(OR($C47="",$B$2="",$D$2=0),0,IF(AV$3&lt;0,0,N(INDEX('CURVA PREVISION'!$A$1:$KZ$3000,$C47,11+3*MIN(AV$3,$D$2-1)))))</f>
        <v/>
      </c>
      <c r="AW47" s="130">
        <f>IF(OR($C47="",$B$2="",$D$2=0),0,IF(AW$3&lt;0,0,N(INDEX('CURVA PREVISION'!$A$1:$KZ$3000,$C47,11+3*MIN(AW$3,$D$2-1)))))</f>
        <v/>
      </c>
      <c r="AX47" s="130">
        <f>IF(OR($C47="",$B$2="",$D$2=0),0,IF(AX$3&lt;0,0,N(INDEX('CURVA PREVISION'!$A$1:$KZ$3000,$C47,11+3*MIN(AX$3,$D$2-1)))))</f>
        <v/>
      </c>
      <c r="AY47" s="130">
        <f>IF(OR($C47="",$B$2="",$D$2=0),0,IF(AY$3&lt;0,0,N(INDEX('CURVA PREVISION'!$A$1:$KZ$3000,$C47,11+3*MIN(AY$3,$D$2-1)))))</f>
        <v/>
      </c>
      <c r="AZ47" s="130">
        <f>IF(OR($C47="",$B$2="",$D$2=0),0,IF(AZ$3&lt;0,0,N(INDEX('CURVA PREVISION'!$A$1:$KZ$3000,$C47,11+3*MIN(AZ$3,$D$2-1)))))</f>
        <v/>
      </c>
      <c r="BA47" s="130">
        <f>IF(OR($C47="",$B$2="",$D$2=0),0,IF(BA$3&lt;0,0,N(INDEX('CURVA PREVISION'!$A$1:$KZ$3000,$C47,11+3*MIN(BA$3,$D$2-1)))))</f>
        <v/>
      </c>
      <c r="BB47" s="130">
        <f>IF(OR($C47="",$B$2="",$D$2=0),0,IF(BB$3&lt;0,0,N(INDEX('CURVA PREVISION'!$A$1:$KZ$3000,$C47,11+3*MIN(BB$3,$D$2-1)))))</f>
        <v/>
      </c>
      <c r="BC47" s="130">
        <f>IF(OR($C47="",$B$2="",$D$2=0),0,IF(BC$3&lt;0,0,N(INDEX('CURVA PREVISION'!$A$1:$KZ$3000,$C47,11+3*MIN(BC$3,$D$2-1)))))</f>
        <v/>
      </c>
      <c r="BD47" s="130">
        <f>IF(OR($C47="",$B$2="",$D$2=0),0,IF(BD$3&lt;0,0,N(INDEX('CURVA PREVISION'!$A$1:$KZ$3000,$C47,11+3*MIN(BD$3,$D$2-1)))))</f>
        <v/>
      </c>
      <c r="BE47" s="130">
        <f>IF(OR($C47="",$B$2="",$D$2=0),0,IF(BE$3&lt;0,0,N(INDEX('CURVA PREVISION'!$A$1:$KZ$3000,$C47,11+3*MIN(BE$3,$D$2-1)))))</f>
        <v/>
      </c>
      <c r="BF47" s="130">
        <f>IF(OR($C47="",$B$2="",$D$2=0),0,IF(BF$3&lt;0,0,N(INDEX('CURVA PREVISION'!$A$1:$KZ$3000,$C47,11+3*MIN(BF$3,$D$2-1)))))</f>
        <v/>
      </c>
      <c r="BG47" s="130">
        <f>IF(OR($C47="",$B$2="",$D$2=0),0,IF(BG$3&lt;0,0,N(INDEX('CURVA PREVISION'!$A$1:$KZ$3000,$C47,11+3*MIN(BG$3,$D$2-1)))))</f>
        <v/>
      </c>
      <c r="BH47" s="130">
        <f>IF(OR($C47="",$B$2="",$D$2=0),0,IF(BH$3&lt;0,0,N(INDEX('CURVA PREVISION'!$A$1:$KZ$3000,$C47,11+3*MIN(BH$3,$D$2-1)))))</f>
        <v/>
      </c>
      <c r="BI47" s="130">
        <f>IF(OR($C47="",$B$2="",$D$2=0),0,IF(BI$3&lt;0,0,N(INDEX('CURVA PREVISION'!$A$1:$KZ$3000,$C47,11+3*MIN(BI$3,$D$2-1)))))</f>
        <v/>
      </c>
      <c r="BJ47" s="130">
        <f>IF(OR($C47="",$B$2="",$D$2=0),0,IF(BJ$3&lt;0,0,N(INDEX('CURVA PREVISION'!$A$1:$KZ$3000,$C47,11+3*MIN(BJ$3,$D$2-1)))))</f>
        <v/>
      </c>
      <c r="BK47" s="130">
        <f>IF(OR($C47="",$B$2="",$D$2=0),0,IF(BK$3&lt;0,0,N(INDEX('CURVA PREVISION'!$A$1:$KZ$3000,$C47,11+3*MIN(BK$3,$D$2-1)))))</f>
        <v/>
      </c>
      <c r="BL47" s="130">
        <f>IF(OR($C47="",$B$2="",$D$2=0),0,IF(BL$3&lt;0,0,N(INDEX('CURVA PREVISION'!$A$1:$KZ$3000,$C47,11+3*MIN(BL$3,$D$2-1)))))</f>
        <v/>
      </c>
      <c r="BM47" s="130">
        <f>IF(OR($C47="",$B$2="",$D$2=0),0,IF(BM$3&lt;0,0,N(INDEX('CURVA PREVISION'!$A$1:$KZ$3000,$C47,11+3*MIN(BM$3,$D$2-1)))))</f>
        <v/>
      </c>
      <c r="BN47" s="130">
        <f>IF(OR($C47="",$B$2="",$D$2=0),0,IF(BN$3&lt;0,0,N(INDEX('CURVA PREVISION'!$A$1:$KZ$3000,$C47,11+3*MIN(BN$3,$D$2-1)))))</f>
        <v/>
      </c>
      <c r="BO47" s="130">
        <f>IF(OR($C47="",$B$2="",$D$2=0),0,IF(BO$3&lt;0,0,N(INDEX('CURVA PREVISION'!$A$1:$KZ$3000,$C47,11+3*MIN(BO$3,$D$2-1)))))</f>
        <v/>
      </c>
      <c r="BP47" s="130">
        <f>IF(OR($C47="",$B$2="",$D$2=0),0,IF(BP$3&lt;0,0,N(INDEX('CURVA PREVISION'!$A$1:$KZ$3000,$C47,11+3*MIN(BP$3,$D$2-1)))))</f>
        <v/>
      </c>
      <c r="BQ47" s="130">
        <f>IF(OR($C47="",$B$2="",$D$2=0),0,IF(BQ$3&lt;0,0,N(INDEX('CURVA PREVISION'!$A$1:$KZ$3000,$C47,11+3*MIN(BQ$3,$D$2-1)))))</f>
        <v/>
      </c>
      <c r="BR47" s="130">
        <f>IF(OR($C47="",$B$2="",$D$2=0),0,IF(BR$3&lt;0,0,N(INDEX('CURVA PREVISION'!$A$1:$KZ$3000,$C47,11+3*MIN(BR$3,$D$2-1)))))</f>
        <v/>
      </c>
      <c r="BS47" s="130">
        <f>IF(OR($C47="",$B$2="",$D$2=0),0,IF(BS$3&lt;0,0,N(INDEX('CURVA PREVISION'!$A$1:$KZ$3000,$C47,11+3*MIN(BS$3,$D$2-1)))))</f>
        <v/>
      </c>
      <c r="BT47" s="130">
        <f>IF(OR($C47="",$B$2="",$D$2=0),0,IF(BT$3&lt;0,0,N(INDEX('CURVA PREVISION'!$A$1:$KZ$3000,$C47,11+3*MIN(BT$3,$D$2-1)))))</f>
        <v/>
      </c>
      <c r="BU47" s="130">
        <f>IF(OR($C47="",$B$2="",$D$2=0),0,IF(BU$3&lt;0,0,N(INDEX('CURVA PREVISION'!$A$1:$KZ$3000,$C47,11+3*MIN(BU$3,$D$2-1)))))</f>
        <v/>
      </c>
      <c r="BV47" s="130">
        <f>IF(OR($C47="",$B$2="",$D$2=0),0,IF(BV$3&lt;0,0,N(INDEX('CURVA PREVISION'!$A$1:$KZ$3000,$C47,11+3*MIN(BV$3,$D$2-1)))))</f>
        <v/>
      </c>
      <c r="BW47" s="130">
        <f>IF(OR($C47="",$B$2="",$D$2=0),0,IF(BW$3&lt;0,0,N(INDEX('CURVA PREVISION'!$A$1:$KZ$3000,$C47,11+3*MIN(BW$3,$D$2-1)))))</f>
        <v/>
      </c>
    </row>
    <row r="48">
      <c r="A48" s="61">
        <f>IF('VALOR POR PL'!Q12="",'VALOR POR PL'!C12,'VALOR POR PL'!Q12)</f>
        <v/>
      </c>
      <c r="B48" s="51">
        <f>B6</f>
        <v/>
      </c>
      <c r="C48" s="70">
        <f>IFERROR(MATCH(A48,'CURVA PREVISION'!$B$1:$B$3000,0),"")</f>
        <v/>
      </c>
      <c r="D48" s="130">
        <f>IF(OR($C48="",$B$2="",$D$2=0),0,IF(D$3&lt;0,0,N(INDEX('CURVA PREVISION'!$A$1:$KZ$3000,$C48,11+3*MIN(D$3,$D$2-1)))))</f>
        <v/>
      </c>
      <c r="E48" s="130">
        <f>IF(OR($C48="",$B$2="",$D$2=0),0,IF(E$3&lt;0,0,N(INDEX('CURVA PREVISION'!$A$1:$KZ$3000,$C48,11+3*MIN(E$3,$D$2-1)))))</f>
        <v/>
      </c>
      <c r="F48" s="130">
        <f>IF(OR($C48="",$B$2="",$D$2=0),0,IF(F$3&lt;0,0,N(INDEX('CURVA PREVISION'!$A$1:$KZ$3000,$C48,11+3*MIN(F$3,$D$2-1)))))</f>
        <v/>
      </c>
      <c r="G48" s="130">
        <f>IF(OR($C48="",$B$2="",$D$2=0),0,IF(G$3&lt;0,0,N(INDEX('CURVA PREVISION'!$A$1:$KZ$3000,$C48,11+3*MIN(G$3,$D$2-1)))))</f>
        <v/>
      </c>
      <c r="H48" s="130">
        <f>IF(OR($C48="",$B$2="",$D$2=0),0,IF(H$3&lt;0,0,N(INDEX('CURVA PREVISION'!$A$1:$KZ$3000,$C48,11+3*MIN(H$3,$D$2-1)))))</f>
        <v/>
      </c>
      <c r="I48" s="130">
        <f>IF(OR($C48="",$B$2="",$D$2=0),0,IF(I$3&lt;0,0,N(INDEX('CURVA PREVISION'!$A$1:$KZ$3000,$C48,11+3*MIN(I$3,$D$2-1)))))</f>
        <v/>
      </c>
      <c r="J48" s="130">
        <f>IF(OR($C48="",$B$2="",$D$2=0),0,IF(J$3&lt;0,0,N(INDEX('CURVA PREVISION'!$A$1:$KZ$3000,$C48,11+3*MIN(J$3,$D$2-1)))))</f>
        <v/>
      </c>
      <c r="K48" s="130">
        <f>IF(OR($C48="",$B$2="",$D$2=0),0,IF(K$3&lt;0,0,N(INDEX('CURVA PREVISION'!$A$1:$KZ$3000,$C48,11+3*MIN(K$3,$D$2-1)))))</f>
        <v/>
      </c>
      <c r="L48" s="130">
        <f>IF(OR($C48="",$B$2="",$D$2=0),0,IF(L$3&lt;0,0,N(INDEX('CURVA PREVISION'!$A$1:$KZ$3000,$C48,11+3*MIN(L$3,$D$2-1)))))</f>
        <v/>
      </c>
      <c r="M48" s="130">
        <f>IF(OR($C48="",$B$2="",$D$2=0),0,IF(M$3&lt;0,0,N(INDEX('CURVA PREVISION'!$A$1:$KZ$3000,$C48,11+3*MIN(M$3,$D$2-1)))))</f>
        <v/>
      </c>
      <c r="N48" s="130">
        <f>IF(OR($C48="",$B$2="",$D$2=0),0,IF(N$3&lt;0,0,N(INDEX('CURVA PREVISION'!$A$1:$KZ$3000,$C48,11+3*MIN(N$3,$D$2-1)))))</f>
        <v/>
      </c>
      <c r="O48" s="130">
        <f>IF(OR($C48="",$B$2="",$D$2=0),0,IF(O$3&lt;0,0,N(INDEX('CURVA PREVISION'!$A$1:$KZ$3000,$C48,11+3*MIN(O$3,$D$2-1)))))</f>
        <v/>
      </c>
      <c r="P48" s="130">
        <f>IF(OR($C48="",$B$2="",$D$2=0),0,IF(P$3&lt;0,0,N(INDEX('CURVA PREVISION'!$A$1:$KZ$3000,$C48,11+3*MIN(P$3,$D$2-1)))))</f>
        <v/>
      </c>
      <c r="Q48" s="130">
        <f>IF(OR($C48="",$B$2="",$D$2=0),0,IF(Q$3&lt;0,0,N(INDEX('CURVA PREVISION'!$A$1:$KZ$3000,$C48,11+3*MIN(Q$3,$D$2-1)))))</f>
        <v/>
      </c>
      <c r="R48" s="130">
        <f>IF(OR($C48="",$B$2="",$D$2=0),0,IF(R$3&lt;0,0,N(INDEX('CURVA PREVISION'!$A$1:$KZ$3000,$C48,11+3*MIN(R$3,$D$2-1)))))</f>
        <v/>
      </c>
      <c r="S48" s="130">
        <f>IF(OR($C48="",$B$2="",$D$2=0),0,IF(S$3&lt;0,0,N(INDEX('CURVA PREVISION'!$A$1:$KZ$3000,$C48,11+3*MIN(S$3,$D$2-1)))))</f>
        <v/>
      </c>
      <c r="T48" s="130">
        <f>IF(OR($C48="",$B$2="",$D$2=0),0,IF(T$3&lt;0,0,N(INDEX('CURVA PREVISION'!$A$1:$KZ$3000,$C48,11+3*MIN(T$3,$D$2-1)))))</f>
        <v/>
      </c>
      <c r="U48" s="130">
        <f>IF(OR($C48="",$B$2="",$D$2=0),0,IF(U$3&lt;0,0,N(INDEX('CURVA PREVISION'!$A$1:$KZ$3000,$C48,11+3*MIN(U$3,$D$2-1)))))</f>
        <v/>
      </c>
      <c r="V48" s="130">
        <f>IF(OR($C48="",$B$2="",$D$2=0),0,IF(V$3&lt;0,0,N(INDEX('CURVA PREVISION'!$A$1:$KZ$3000,$C48,11+3*MIN(V$3,$D$2-1)))))</f>
        <v/>
      </c>
      <c r="W48" s="130">
        <f>IF(OR($C48="",$B$2="",$D$2=0),0,IF(W$3&lt;0,0,N(INDEX('CURVA PREVISION'!$A$1:$KZ$3000,$C48,11+3*MIN(W$3,$D$2-1)))))</f>
        <v/>
      </c>
      <c r="X48" s="130">
        <f>IF(OR($C48="",$B$2="",$D$2=0),0,IF(X$3&lt;0,0,N(INDEX('CURVA PREVISION'!$A$1:$KZ$3000,$C48,11+3*MIN(X$3,$D$2-1)))))</f>
        <v/>
      </c>
      <c r="Y48" s="130">
        <f>IF(OR($C48="",$B$2="",$D$2=0),0,IF(Y$3&lt;0,0,N(INDEX('CURVA PREVISION'!$A$1:$KZ$3000,$C48,11+3*MIN(Y$3,$D$2-1)))))</f>
        <v/>
      </c>
      <c r="Z48" s="130">
        <f>IF(OR($C48="",$B$2="",$D$2=0),0,IF(Z$3&lt;0,0,N(INDEX('CURVA PREVISION'!$A$1:$KZ$3000,$C48,11+3*MIN(Z$3,$D$2-1)))))</f>
        <v/>
      </c>
      <c r="AA48" s="130">
        <f>IF(OR($C48="",$B$2="",$D$2=0),0,IF(AA$3&lt;0,0,N(INDEX('CURVA PREVISION'!$A$1:$KZ$3000,$C48,11+3*MIN(AA$3,$D$2-1)))))</f>
        <v/>
      </c>
      <c r="AB48" s="130">
        <f>IF(OR($C48="",$B$2="",$D$2=0),0,IF(AB$3&lt;0,0,N(INDEX('CURVA PREVISION'!$A$1:$KZ$3000,$C48,11+3*MIN(AB$3,$D$2-1)))))</f>
        <v/>
      </c>
      <c r="AC48" s="130">
        <f>IF(OR($C48="",$B$2="",$D$2=0),0,IF(AC$3&lt;0,0,N(INDEX('CURVA PREVISION'!$A$1:$KZ$3000,$C48,11+3*MIN(AC$3,$D$2-1)))))</f>
        <v/>
      </c>
      <c r="AD48" s="130">
        <f>IF(OR($C48="",$B$2="",$D$2=0),0,IF(AD$3&lt;0,0,N(INDEX('CURVA PREVISION'!$A$1:$KZ$3000,$C48,11+3*MIN(AD$3,$D$2-1)))))</f>
        <v/>
      </c>
      <c r="AE48" s="130">
        <f>IF(OR($C48="",$B$2="",$D$2=0),0,IF(AE$3&lt;0,0,N(INDEX('CURVA PREVISION'!$A$1:$KZ$3000,$C48,11+3*MIN(AE$3,$D$2-1)))))</f>
        <v/>
      </c>
      <c r="AF48" s="130">
        <f>IF(OR($C48="",$B$2="",$D$2=0),0,IF(AF$3&lt;0,0,N(INDEX('CURVA PREVISION'!$A$1:$KZ$3000,$C48,11+3*MIN(AF$3,$D$2-1)))))</f>
        <v/>
      </c>
      <c r="AG48" s="130">
        <f>IF(OR($C48="",$B$2="",$D$2=0),0,IF(AG$3&lt;0,0,N(INDEX('CURVA PREVISION'!$A$1:$KZ$3000,$C48,11+3*MIN(AG$3,$D$2-1)))))</f>
        <v/>
      </c>
      <c r="AH48" s="130">
        <f>IF(OR($C48="",$B$2="",$D$2=0),0,IF(AH$3&lt;0,0,N(INDEX('CURVA PREVISION'!$A$1:$KZ$3000,$C48,11+3*MIN(AH$3,$D$2-1)))))</f>
        <v/>
      </c>
      <c r="AI48" s="130">
        <f>IF(OR($C48="",$B$2="",$D$2=0),0,IF(AI$3&lt;0,0,N(INDEX('CURVA PREVISION'!$A$1:$KZ$3000,$C48,11+3*MIN(AI$3,$D$2-1)))))</f>
        <v/>
      </c>
      <c r="AJ48" s="130">
        <f>IF(OR($C48="",$B$2="",$D$2=0),0,IF(AJ$3&lt;0,0,N(INDEX('CURVA PREVISION'!$A$1:$KZ$3000,$C48,11+3*MIN(AJ$3,$D$2-1)))))</f>
        <v/>
      </c>
      <c r="AK48" s="130">
        <f>IF(OR($C48="",$B$2="",$D$2=0),0,IF(AK$3&lt;0,0,N(INDEX('CURVA PREVISION'!$A$1:$KZ$3000,$C48,11+3*MIN(AK$3,$D$2-1)))))</f>
        <v/>
      </c>
      <c r="AL48" s="130">
        <f>IF(OR($C48="",$B$2="",$D$2=0),0,IF(AL$3&lt;0,0,N(INDEX('CURVA PREVISION'!$A$1:$KZ$3000,$C48,11+3*MIN(AL$3,$D$2-1)))))</f>
        <v/>
      </c>
      <c r="AM48" s="130">
        <f>IF(OR($C48="",$B$2="",$D$2=0),0,IF(AM$3&lt;0,0,N(INDEX('CURVA PREVISION'!$A$1:$KZ$3000,$C48,11+3*MIN(AM$3,$D$2-1)))))</f>
        <v/>
      </c>
      <c r="AN48" s="130">
        <f>IF(OR($C48="",$B$2="",$D$2=0),0,IF(AN$3&lt;0,0,N(INDEX('CURVA PREVISION'!$A$1:$KZ$3000,$C48,11+3*MIN(AN$3,$D$2-1)))))</f>
        <v/>
      </c>
      <c r="AO48" s="130">
        <f>IF(OR($C48="",$B$2="",$D$2=0),0,IF(AO$3&lt;0,0,N(INDEX('CURVA PREVISION'!$A$1:$KZ$3000,$C48,11+3*MIN(AO$3,$D$2-1)))))</f>
        <v/>
      </c>
      <c r="AP48" s="130">
        <f>IF(OR($C48="",$B$2="",$D$2=0),0,IF(AP$3&lt;0,0,N(INDEX('CURVA PREVISION'!$A$1:$KZ$3000,$C48,11+3*MIN(AP$3,$D$2-1)))))</f>
        <v/>
      </c>
      <c r="AQ48" s="130">
        <f>IF(OR($C48="",$B$2="",$D$2=0),0,IF(AQ$3&lt;0,0,N(INDEX('CURVA PREVISION'!$A$1:$KZ$3000,$C48,11+3*MIN(AQ$3,$D$2-1)))))</f>
        <v/>
      </c>
      <c r="AR48" s="130">
        <f>IF(OR($C48="",$B$2="",$D$2=0),0,IF(AR$3&lt;0,0,N(INDEX('CURVA PREVISION'!$A$1:$KZ$3000,$C48,11+3*MIN(AR$3,$D$2-1)))))</f>
        <v/>
      </c>
      <c r="AS48" s="130">
        <f>IF(OR($C48="",$B$2="",$D$2=0),0,IF(AS$3&lt;0,0,N(INDEX('CURVA PREVISION'!$A$1:$KZ$3000,$C48,11+3*MIN(AS$3,$D$2-1)))))</f>
        <v/>
      </c>
      <c r="AT48" s="130">
        <f>IF(OR($C48="",$B$2="",$D$2=0),0,IF(AT$3&lt;0,0,N(INDEX('CURVA PREVISION'!$A$1:$KZ$3000,$C48,11+3*MIN(AT$3,$D$2-1)))))</f>
        <v/>
      </c>
      <c r="AU48" s="130">
        <f>IF(OR($C48="",$B$2="",$D$2=0),0,IF(AU$3&lt;0,0,N(INDEX('CURVA PREVISION'!$A$1:$KZ$3000,$C48,11+3*MIN(AU$3,$D$2-1)))))</f>
        <v/>
      </c>
      <c r="AV48" s="130">
        <f>IF(OR($C48="",$B$2="",$D$2=0),0,IF(AV$3&lt;0,0,N(INDEX('CURVA PREVISION'!$A$1:$KZ$3000,$C48,11+3*MIN(AV$3,$D$2-1)))))</f>
        <v/>
      </c>
      <c r="AW48" s="130">
        <f>IF(OR($C48="",$B$2="",$D$2=0),0,IF(AW$3&lt;0,0,N(INDEX('CURVA PREVISION'!$A$1:$KZ$3000,$C48,11+3*MIN(AW$3,$D$2-1)))))</f>
        <v/>
      </c>
      <c r="AX48" s="130">
        <f>IF(OR($C48="",$B$2="",$D$2=0),0,IF(AX$3&lt;0,0,N(INDEX('CURVA PREVISION'!$A$1:$KZ$3000,$C48,11+3*MIN(AX$3,$D$2-1)))))</f>
        <v/>
      </c>
      <c r="AY48" s="130">
        <f>IF(OR($C48="",$B$2="",$D$2=0),0,IF(AY$3&lt;0,0,N(INDEX('CURVA PREVISION'!$A$1:$KZ$3000,$C48,11+3*MIN(AY$3,$D$2-1)))))</f>
        <v/>
      </c>
      <c r="AZ48" s="130">
        <f>IF(OR($C48="",$B$2="",$D$2=0),0,IF(AZ$3&lt;0,0,N(INDEX('CURVA PREVISION'!$A$1:$KZ$3000,$C48,11+3*MIN(AZ$3,$D$2-1)))))</f>
        <v/>
      </c>
      <c r="BA48" s="130">
        <f>IF(OR($C48="",$B$2="",$D$2=0),0,IF(BA$3&lt;0,0,N(INDEX('CURVA PREVISION'!$A$1:$KZ$3000,$C48,11+3*MIN(BA$3,$D$2-1)))))</f>
        <v/>
      </c>
      <c r="BB48" s="130">
        <f>IF(OR($C48="",$B$2="",$D$2=0),0,IF(BB$3&lt;0,0,N(INDEX('CURVA PREVISION'!$A$1:$KZ$3000,$C48,11+3*MIN(BB$3,$D$2-1)))))</f>
        <v/>
      </c>
      <c r="BC48" s="130">
        <f>IF(OR($C48="",$B$2="",$D$2=0),0,IF(BC$3&lt;0,0,N(INDEX('CURVA PREVISION'!$A$1:$KZ$3000,$C48,11+3*MIN(BC$3,$D$2-1)))))</f>
        <v/>
      </c>
      <c r="BD48" s="130">
        <f>IF(OR($C48="",$B$2="",$D$2=0),0,IF(BD$3&lt;0,0,N(INDEX('CURVA PREVISION'!$A$1:$KZ$3000,$C48,11+3*MIN(BD$3,$D$2-1)))))</f>
        <v/>
      </c>
      <c r="BE48" s="130">
        <f>IF(OR($C48="",$B$2="",$D$2=0),0,IF(BE$3&lt;0,0,N(INDEX('CURVA PREVISION'!$A$1:$KZ$3000,$C48,11+3*MIN(BE$3,$D$2-1)))))</f>
        <v/>
      </c>
      <c r="BF48" s="130">
        <f>IF(OR($C48="",$B$2="",$D$2=0),0,IF(BF$3&lt;0,0,N(INDEX('CURVA PREVISION'!$A$1:$KZ$3000,$C48,11+3*MIN(BF$3,$D$2-1)))))</f>
        <v/>
      </c>
      <c r="BG48" s="130">
        <f>IF(OR($C48="",$B$2="",$D$2=0),0,IF(BG$3&lt;0,0,N(INDEX('CURVA PREVISION'!$A$1:$KZ$3000,$C48,11+3*MIN(BG$3,$D$2-1)))))</f>
        <v/>
      </c>
      <c r="BH48" s="130">
        <f>IF(OR($C48="",$B$2="",$D$2=0),0,IF(BH$3&lt;0,0,N(INDEX('CURVA PREVISION'!$A$1:$KZ$3000,$C48,11+3*MIN(BH$3,$D$2-1)))))</f>
        <v/>
      </c>
      <c r="BI48" s="130">
        <f>IF(OR($C48="",$B$2="",$D$2=0),0,IF(BI$3&lt;0,0,N(INDEX('CURVA PREVISION'!$A$1:$KZ$3000,$C48,11+3*MIN(BI$3,$D$2-1)))))</f>
        <v/>
      </c>
      <c r="BJ48" s="130">
        <f>IF(OR($C48="",$B$2="",$D$2=0),0,IF(BJ$3&lt;0,0,N(INDEX('CURVA PREVISION'!$A$1:$KZ$3000,$C48,11+3*MIN(BJ$3,$D$2-1)))))</f>
        <v/>
      </c>
      <c r="BK48" s="130">
        <f>IF(OR($C48="",$B$2="",$D$2=0),0,IF(BK$3&lt;0,0,N(INDEX('CURVA PREVISION'!$A$1:$KZ$3000,$C48,11+3*MIN(BK$3,$D$2-1)))))</f>
        <v/>
      </c>
      <c r="BL48" s="130">
        <f>IF(OR($C48="",$B$2="",$D$2=0),0,IF(BL$3&lt;0,0,N(INDEX('CURVA PREVISION'!$A$1:$KZ$3000,$C48,11+3*MIN(BL$3,$D$2-1)))))</f>
        <v/>
      </c>
      <c r="BM48" s="130">
        <f>IF(OR($C48="",$B$2="",$D$2=0),0,IF(BM$3&lt;0,0,N(INDEX('CURVA PREVISION'!$A$1:$KZ$3000,$C48,11+3*MIN(BM$3,$D$2-1)))))</f>
        <v/>
      </c>
      <c r="BN48" s="130">
        <f>IF(OR($C48="",$B$2="",$D$2=0),0,IF(BN$3&lt;0,0,N(INDEX('CURVA PREVISION'!$A$1:$KZ$3000,$C48,11+3*MIN(BN$3,$D$2-1)))))</f>
        <v/>
      </c>
      <c r="BO48" s="130">
        <f>IF(OR($C48="",$B$2="",$D$2=0),0,IF(BO$3&lt;0,0,N(INDEX('CURVA PREVISION'!$A$1:$KZ$3000,$C48,11+3*MIN(BO$3,$D$2-1)))))</f>
        <v/>
      </c>
      <c r="BP48" s="130">
        <f>IF(OR($C48="",$B$2="",$D$2=0),0,IF(BP$3&lt;0,0,N(INDEX('CURVA PREVISION'!$A$1:$KZ$3000,$C48,11+3*MIN(BP$3,$D$2-1)))))</f>
        <v/>
      </c>
      <c r="BQ48" s="130">
        <f>IF(OR($C48="",$B$2="",$D$2=0),0,IF(BQ$3&lt;0,0,N(INDEX('CURVA PREVISION'!$A$1:$KZ$3000,$C48,11+3*MIN(BQ$3,$D$2-1)))))</f>
        <v/>
      </c>
      <c r="BR48" s="130">
        <f>IF(OR($C48="",$B$2="",$D$2=0),0,IF(BR$3&lt;0,0,N(INDEX('CURVA PREVISION'!$A$1:$KZ$3000,$C48,11+3*MIN(BR$3,$D$2-1)))))</f>
        <v/>
      </c>
      <c r="BS48" s="130">
        <f>IF(OR($C48="",$B$2="",$D$2=0),0,IF(BS$3&lt;0,0,N(INDEX('CURVA PREVISION'!$A$1:$KZ$3000,$C48,11+3*MIN(BS$3,$D$2-1)))))</f>
        <v/>
      </c>
      <c r="BT48" s="130">
        <f>IF(OR($C48="",$B$2="",$D$2=0),0,IF(BT$3&lt;0,0,N(INDEX('CURVA PREVISION'!$A$1:$KZ$3000,$C48,11+3*MIN(BT$3,$D$2-1)))))</f>
        <v/>
      </c>
      <c r="BU48" s="130">
        <f>IF(OR($C48="",$B$2="",$D$2=0),0,IF(BU$3&lt;0,0,N(INDEX('CURVA PREVISION'!$A$1:$KZ$3000,$C48,11+3*MIN(BU$3,$D$2-1)))))</f>
        <v/>
      </c>
      <c r="BV48" s="130">
        <f>IF(OR($C48="",$B$2="",$D$2=0),0,IF(BV$3&lt;0,0,N(INDEX('CURVA PREVISION'!$A$1:$KZ$3000,$C48,11+3*MIN(BV$3,$D$2-1)))))</f>
        <v/>
      </c>
      <c r="BW48" s="130">
        <f>IF(OR($C48="",$B$2="",$D$2=0),0,IF(BW$3&lt;0,0,N(INDEX('CURVA PREVISION'!$A$1:$KZ$3000,$C48,11+3*MIN(BW$3,$D$2-1)))))</f>
        <v/>
      </c>
    </row>
    <row r="49">
      <c r="A49" s="61">
        <f>IF('VALOR POR PL'!Q13="",'VALOR POR PL'!C13,'VALOR POR PL'!Q13)</f>
        <v/>
      </c>
      <c r="B49" s="51">
        <f>B7</f>
        <v/>
      </c>
      <c r="C49" s="70">
        <f>IFERROR(MATCH(A49,'CURVA PREVISION'!$B$1:$B$3000,0),"")</f>
        <v/>
      </c>
      <c r="D49" s="130">
        <f>IF(OR($C49="",$B$2="",$D$2=0),0,IF(D$3&lt;0,0,N(INDEX('CURVA PREVISION'!$A$1:$KZ$3000,$C49,11+3*MIN(D$3,$D$2-1)))))</f>
        <v/>
      </c>
      <c r="E49" s="130">
        <f>IF(OR($C49="",$B$2="",$D$2=0),0,IF(E$3&lt;0,0,N(INDEX('CURVA PREVISION'!$A$1:$KZ$3000,$C49,11+3*MIN(E$3,$D$2-1)))))</f>
        <v/>
      </c>
      <c r="F49" s="130">
        <f>IF(OR($C49="",$B$2="",$D$2=0),0,IF(F$3&lt;0,0,N(INDEX('CURVA PREVISION'!$A$1:$KZ$3000,$C49,11+3*MIN(F$3,$D$2-1)))))</f>
        <v/>
      </c>
      <c r="G49" s="130">
        <f>IF(OR($C49="",$B$2="",$D$2=0),0,IF(G$3&lt;0,0,N(INDEX('CURVA PREVISION'!$A$1:$KZ$3000,$C49,11+3*MIN(G$3,$D$2-1)))))</f>
        <v/>
      </c>
      <c r="H49" s="130">
        <f>IF(OR($C49="",$B$2="",$D$2=0),0,IF(H$3&lt;0,0,N(INDEX('CURVA PREVISION'!$A$1:$KZ$3000,$C49,11+3*MIN(H$3,$D$2-1)))))</f>
        <v/>
      </c>
      <c r="I49" s="130">
        <f>IF(OR($C49="",$B$2="",$D$2=0),0,IF(I$3&lt;0,0,N(INDEX('CURVA PREVISION'!$A$1:$KZ$3000,$C49,11+3*MIN(I$3,$D$2-1)))))</f>
        <v/>
      </c>
      <c r="J49" s="130">
        <f>IF(OR($C49="",$B$2="",$D$2=0),0,IF(J$3&lt;0,0,N(INDEX('CURVA PREVISION'!$A$1:$KZ$3000,$C49,11+3*MIN(J$3,$D$2-1)))))</f>
        <v/>
      </c>
      <c r="K49" s="130">
        <f>IF(OR($C49="",$B$2="",$D$2=0),0,IF(K$3&lt;0,0,N(INDEX('CURVA PREVISION'!$A$1:$KZ$3000,$C49,11+3*MIN(K$3,$D$2-1)))))</f>
        <v/>
      </c>
      <c r="L49" s="130">
        <f>IF(OR($C49="",$B$2="",$D$2=0),0,IF(L$3&lt;0,0,N(INDEX('CURVA PREVISION'!$A$1:$KZ$3000,$C49,11+3*MIN(L$3,$D$2-1)))))</f>
        <v/>
      </c>
      <c r="M49" s="130">
        <f>IF(OR($C49="",$B$2="",$D$2=0),0,IF(M$3&lt;0,0,N(INDEX('CURVA PREVISION'!$A$1:$KZ$3000,$C49,11+3*MIN(M$3,$D$2-1)))))</f>
        <v/>
      </c>
      <c r="N49" s="130">
        <f>IF(OR($C49="",$B$2="",$D$2=0),0,IF(N$3&lt;0,0,N(INDEX('CURVA PREVISION'!$A$1:$KZ$3000,$C49,11+3*MIN(N$3,$D$2-1)))))</f>
        <v/>
      </c>
      <c r="O49" s="130">
        <f>IF(OR($C49="",$B$2="",$D$2=0),0,IF(O$3&lt;0,0,N(INDEX('CURVA PREVISION'!$A$1:$KZ$3000,$C49,11+3*MIN(O$3,$D$2-1)))))</f>
        <v/>
      </c>
      <c r="P49" s="130">
        <f>IF(OR($C49="",$B$2="",$D$2=0),0,IF(P$3&lt;0,0,N(INDEX('CURVA PREVISION'!$A$1:$KZ$3000,$C49,11+3*MIN(P$3,$D$2-1)))))</f>
        <v/>
      </c>
      <c r="Q49" s="130">
        <f>IF(OR($C49="",$B$2="",$D$2=0),0,IF(Q$3&lt;0,0,N(INDEX('CURVA PREVISION'!$A$1:$KZ$3000,$C49,11+3*MIN(Q$3,$D$2-1)))))</f>
        <v/>
      </c>
      <c r="R49" s="130">
        <f>IF(OR($C49="",$B$2="",$D$2=0),0,IF(R$3&lt;0,0,N(INDEX('CURVA PREVISION'!$A$1:$KZ$3000,$C49,11+3*MIN(R$3,$D$2-1)))))</f>
        <v/>
      </c>
      <c r="S49" s="130">
        <f>IF(OR($C49="",$B$2="",$D$2=0),0,IF(S$3&lt;0,0,N(INDEX('CURVA PREVISION'!$A$1:$KZ$3000,$C49,11+3*MIN(S$3,$D$2-1)))))</f>
        <v/>
      </c>
      <c r="T49" s="130">
        <f>IF(OR($C49="",$B$2="",$D$2=0),0,IF(T$3&lt;0,0,N(INDEX('CURVA PREVISION'!$A$1:$KZ$3000,$C49,11+3*MIN(T$3,$D$2-1)))))</f>
        <v/>
      </c>
      <c r="U49" s="130">
        <f>IF(OR($C49="",$B$2="",$D$2=0),0,IF(U$3&lt;0,0,N(INDEX('CURVA PREVISION'!$A$1:$KZ$3000,$C49,11+3*MIN(U$3,$D$2-1)))))</f>
        <v/>
      </c>
      <c r="V49" s="130">
        <f>IF(OR($C49="",$B$2="",$D$2=0),0,IF(V$3&lt;0,0,N(INDEX('CURVA PREVISION'!$A$1:$KZ$3000,$C49,11+3*MIN(V$3,$D$2-1)))))</f>
        <v/>
      </c>
      <c r="W49" s="130">
        <f>IF(OR($C49="",$B$2="",$D$2=0),0,IF(W$3&lt;0,0,N(INDEX('CURVA PREVISION'!$A$1:$KZ$3000,$C49,11+3*MIN(W$3,$D$2-1)))))</f>
        <v/>
      </c>
      <c r="X49" s="130">
        <f>IF(OR($C49="",$B$2="",$D$2=0),0,IF(X$3&lt;0,0,N(INDEX('CURVA PREVISION'!$A$1:$KZ$3000,$C49,11+3*MIN(X$3,$D$2-1)))))</f>
        <v/>
      </c>
      <c r="Y49" s="130">
        <f>IF(OR($C49="",$B$2="",$D$2=0),0,IF(Y$3&lt;0,0,N(INDEX('CURVA PREVISION'!$A$1:$KZ$3000,$C49,11+3*MIN(Y$3,$D$2-1)))))</f>
        <v/>
      </c>
      <c r="Z49" s="130">
        <f>IF(OR($C49="",$B$2="",$D$2=0),0,IF(Z$3&lt;0,0,N(INDEX('CURVA PREVISION'!$A$1:$KZ$3000,$C49,11+3*MIN(Z$3,$D$2-1)))))</f>
        <v/>
      </c>
      <c r="AA49" s="130">
        <f>IF(OR($C49="",$B$2="",$D$2=0),0,IF(AA$3&lt;0,0,N(INDEX('CURVA PREVISION'!$A$1:$KZ$3000,$C49,11+3*MIN(AA$3,$D$2-1)))))</f>
        <v/>
      </c>
      <c r="AB49" s="130">
        <f>IF(OR($C49="",$B$2="",$D$2=0),0,IF(AB$3&lt;0,0,N(INDEX('CURVA PREVISION'!$A$1:$KZ$3000,$C49,11+3*MIN(AB$3,$D$2-1)))))</f>
        <v/>
      </c>
      <c r="AC49" s="130">
        <f>IF(OR($C49="",$B$2="",$D$2=0),0,IF(AC$3&lt;0,0,N(INDEX('CURVA PREVISION'!$A$1:$KZ$3000,$C49,11+3*MIN(AC$3,$D$2-1)))))</f>
        <v/>
      </c>
      <c r="AD49" s="130">
        <f>IF(OR($C49="",$B$2="",$D$2=0),0,IF(AD$3&lt;0,0,N(INDEX('CURVA PREVISION'!$A$1:$KZ$3000,$C49,11+3*MIN(AD$3,$D$2-1)))))</f>
        <v/>
      </c>
      <c r="AE49" s="130">
        <f>IF(OR($C49="",$B$2="",$D$2=0),0,IF(AE$3&lt;0,0,N(INDEX('CURVA PREVISION'!$A$1:$KZ$3000,$C49,11+3*MIN(AE$3,$D$2-1)))))</f>
        <v/>
      </c>
      <c r="AF49" s="130">
        <f>IF(OR($C49="",$B$2="",$D$2=0),0,IF(AF$3&lt;0,0,N(INDEX('CURVA PREVISION'!$A$1:$KZ$3000,$C49,11+3*MIN(AF$3,$D$2-1)))))</f>
        <v/>
      </c>
      <c r="AG49" s="130">
        <f>IF(OR($C49="",$B$2="",$D$2=0),0,IF(AG$3&lt;0,0,N(INDEX('CURVA PREVISION'!$A$1:$KZ$3000,$C49,11+3*MIN(AG$3,$D$2-1)))))</f>
        <v/>
      </c>
      <c r="AH49" s="130">
        <f>IF(OR($C49="",$B$2="",$D$2=0),0,IF(AH$3&lt;0,0,N(INDEX('CURVA PREVISION'!$A$1:$KZ$3000,$C49,11+3*MIN(AH$3,$D$2-1)))))</f>
        <v/>
      </c>
      <c r="AI49" s="130">
        <f>IF(OR($C49="",$B$2="",$D$2=0),0,IF(AI$3&lt;0,0,N(INDEX('CURVA PREVISION'!$A$1:$KZ$3000,$C49,11+3*MIN(AI$3,$D$2-1)))))</f>
        <v/>
      </c>
      <c r="AJ49" s="130">
        <f>IF(OR($C49="",$B$2="",$D$2=0),0,IF(AJ$3&lt;0,0,N(INDEX('CURVA PREVISION'!$A$1:$KZ$3000,$C49,11+3*MIN(AJ$3,$D$2-1)))))</f>
        <v/>
      </c>
      <c r="AK49" s="130">
        <f>IF(OR($C49="",$B$2="",$D$2=0),0,IF(AK$3&lt;0,0,N(INDEX('CURVA PREVISION'!$A$1:$KZ$3000,$C49,11+3*MIN(AK$3,$D$2-1)))))</f>
        <v/>
      </c>
      <c r="AL49" s="130">
        <f>IF(OR($C49="",$B$2="",$D$2=0),0,IF(AL$3&lt;0,0,N(INDEX('CURVA PREVISION'!$A$1:$KZ$3000,$C49,11+3*MIN(AL$3,$D$2-1)))))</f>
        <v/>
      </c>
      <c r="AM49" s="130">
        <f>IF(OR($C49="",$B$2="",$D$2=0),0,IF(AM$3&lt;0,0,N(INDEX('CURVA PREVISION'!$A$1:$KZ$3000,$C49,11+3*MIN(AM$3,$D$2-1)))))</f>
        <v/>
      </c>
      <c r="AN49" s="130">
        <f>IF(OR($C49="",$B$2="",$D$2=0),0,IF(AN$3&lt;0,0,N(INDEX('CURVA PREVISION'!$A$1:$KZ$3000,$C49,11+3*MIN(AN$3,$D$2-1)))))</f>
        <v/>
      </c>
      <c r="AO49" s="130">
        <f>IF(OR($C49="",$B$2="",$D$2=0),0,IF(AO$3&lt;0,0,N(INDEX('CURVA PREVISION'!$A$1:$KZ$3000,$C49,11+3*MIN(AO$3,$D$2-1)))))</f>
        <v/>
      </c>
      <c r="AP49" s="130">
        <f>IF(OR($C49="",$B$2="",$D$2=0),0,IF(AP$3&lt;0,0,N(INDEX('CURVA PREVISION'!$A$1:$KZ$3000,$C49,11+3*MIN(AP$3,$D$2-1)))))</f>
        <v/>
      </c>
      <c r="AQ49" s="130">
        <f>IF(OR($C49="",$B$2="",$D$2=0),0,IF(AQ$3&lt;0,0,N(INDEX('CURVA PREVISION'!$A$1:$KZ$3000,$C49,11+3*MIN(AQ$3,$D$2-1)))))</f>
        <v/>
      </c>
      <c r="AR49" s="130">
        <f>IF(OR($C49="",$B$2="",$D$2=0),0,IF(AR$3&lt;0,0,N(INDEX('CURVA PREVISION'!$A$1:$KZ$3000,$C49,11+3*MIN(AR$3,$D$2-1)))))</f>
        <v/>
      </c>
      <c r="AS49" s="130">
        <f>IF(OR($C49="",$B$2="",$D$2=0),0,IF(AS$3&lt;0,0,N(INDEX('CURVA PREVISION'!$A$1:$KZ$3000,$C49,11+3*MIN(AS$3,$D$2-1)))))</f>
        <v/>
      </c>
      <c r="AT49" s="130">
        <f>IF(OR($C49="",$B$2="",$D$2=0),0,IF(AT$3&lt;0,0,N(INDEX('CURVA PREVISION'!$A$1:$KZ$3000,$C49,11+3*MIN(AT$3,$D$2-1)))))</f>
        <v/>
      </c>
      <c r="AU49" s="130">
        <f>IF(OR($C49="",$B$2="",$D$2=0),0,IF(AU$3&lt;0,0,N(INDEX('CURVA PREVISION'!$A$1:$KZ$3000,$C49,11+3*MIN(AU$3,$D$2-1)))))</f>
        <v/>
      </c>
      <c r="AV49" s="130">
        <f>IF(OR($C49="",$B$2="",$D$2=0),0,IF(AV$3&lt;0,0,N(INDEX('CURVA PREVISION'!$A$1:$KZ$3000,$C49,11+3*MIN(AV$3,$D$2-1)))))</f>
        <v/>
      </c>
      <c r="AW49" s="130">
        <f>IF(OR($C49="",$B$2="",$D$2=0),0,IF(AW$3&lt;0,0,N(INDEX('CURVA PREVISION'!$A$1:$KZ$3000,$C49,11+3*MIN(AW$3,$D$2-1)))))</f>
        <v/>
      </c>
      <c r="AX49" s="130">
        <f>IF(OR($C49="",$B$2="",$D$2=0),0,IF(AX$3&lt;0,0,N(INDEX('CURVA PREVISION'!$A$1:$KZ$3000,$C49,11+3*MIN(AX$3,$D$2-1)))))</f>
        <v/>
      </c>
      <c r="AY49" s="130">
        <f>IF(OR($C49="",$B$2="",$D$2=0),0,IF(AY$3&lt;0,0,N(INDEX('CURVA PREVISION'!$A$1:$KZ$3000,$C49,11+3*MIN(AY$3,$D$2-1)))))</f>
        <v/>
      </c>
      <c r="AZ49" s="130">
        <f>IF(OR($C49="",$B$2="",$D$2=0),0,IF(AZ$3&lt;0,0,N(INDEX('CURVA PREVISION'!$A$1:$KZ$3000,$C49,11+3*MIN(AZ$3,$D$2-1)))))</f>
        <v/>
      </c>
      <c r="BA49" s="130">
        <f>IF(OR($C49="",$B$2="",$D$2=0),0,IF(BA$3&lt;0,0,N(INDEX('CURVA PREVISION'!$A$1:$KZ$3000,$C49,11+3*MIN(BA$3,$D$2-1)))))</f>
        <v/>
      </c>
      <c r="BB49" s="130">
        <f>IF(OR($C49="",$B$2="",$D$2=0),0,IF(BB$3&lt;0,0,N(INDEX('CURVA PREVISION'!$A$1:$KZ$3000,$C49,11+3*MIN(BB$3,$D$2-1)))))</f>
        <v/>
      </c>
      <c r="BC49" s="130">
        <f>IF(OR($C49="",$B$2="",$D$2=0),0,IF(BC$3&lt;0,0,N(INDEX('CURVA PREVISION'!$A$1:$KZ$3000,$C49,11+3*MIN(BC$3,$D$2-1)))))</f>
        <v/>
      </c>
      <c r="BD49" s="130">
        <f>IF(OR($C49="",$B$2="",$D$2=0),0,IF(BD$3&lt;0,0,N(INDEX('CURVA PREVISION'!$A$1:$KZ$3000,$C49,11+3*MIN(BD$3,$D$2-1)))))</f>
        <v/>
      </c>
      <c r="BE49" s="130">
        <f>IF(OR($C49="",$B$2="",$D$2=0),0,IF(BE$3&lt;0,0,N(INDEX('CURVA PREVISION'!$A$1:$KZ$3000,$C49,11+3*MIN(BE$3,$D$2-1)))))</f>
        <v/>
      </c>
      <c r="BF49" s="130">
        <f>IF(OR($C49="",$B$2="",$D$2=0),0,IF(BF$3&lt;0,0,N(INDEX('CURVA PREVISION'!$A$1:$KZ$3000,$C49,11+3*MIN(BF$3,$D$2-1)))))</f>
        <v/>
      </c>
      <c r="BG49" s="130">
        <f>IF(OR($C49="",$B$2="",$D$2=0),0,IF(BG$3&lt;0,0,N(INDEX('CURVA PREVISION'!$A$1:$KZ$3000,$C49,11+3*MIN(BG$3,$D$2-1)))))</f>
        <v/>
      </c>
      <c r="BH49" s="130">
        <f>IF(OR($C49="",$B$2="",$D$2=0),0,IF(BH$3&lt;0,0,N(INDEX('CURVA PREVISION'!$A$1:$KZ$3000,$C49,11+3*MIN(BH$3,$D$2-1)))))</f>
        <v/>
      </c>
      <c r="BI49" s="130">
        <f>IF(OR($C49="",$B$2="",$D$2=0),0,IF(BI$3&lt;0,0,N(INDEX('CURVA PREVISION'!$A$1:$KZ$3000,$C49,11+3*MIN(BI$3,$D$2-1)))))</f>
        <v/>
      </c>
      <c r="BJ49" s="130">
        <f>IF(OR($C49="",$B$2="",$D$2=0),0,IF(BJ$3&lt;0,0,N(INDEX('CURVA PREVISION'!$A$1:$KZ$3000,$C49,11+3*MIN(BJ$3,$D$2-1)))))</f>
        <v/>
      </c>
      <c r="BK49" s="130">
        <f>IF(OR($C49="",$B$2="",$D$2=0),0,IF(BK$3&lt;0,0,N(INDEX('CURVA PREVISION'!$A$1:$KZ$3000,$C49,11+3*MIN(BK$3,$D$2-1)))))</f>
        <v/>
      </c>
      <c r="BL49" s="130">
        <f>IF(OR($C49="",$B$2="",$D$2=0),0,IF(BL$3&lt;0,0,N(INDEX('CURVA PREVISION'!$A$1:$KZ$3000,$C49,11+3*MIN(BL$3,$D$2-1)))))</f>
        <v/>
      </c>
      <c r="BM49" s="130">
        <f>IF(OR($C49="",$B$2="",$D$2=0),0,IF(BM$3&lt;0,0,N(INDEX('CURVA PREVISION'!$A$1:$KZ$3000,$C49,11+3*MIN(BM$3,$D$2-1)))))</f>
        <v/>
      </c>
      <c r="BN49" s="130">
        <f>IF(OR($C49="",$B$2="",$D$2=0),0,IF(BN$3&lt;0,0,N(INDEX('CURVA PREVISION'!$A$1:$KZ$3000,$C49,11+3*MIN(BN$3,$D$2-1)))))</f>
        <v/>
      </c>
      <c r="BO49" s="130">
        <f>IF(OR($C49="",$B$2="",$D$2=0),0,IF(BO$3&lt;0,0,N(INDEX('CURVA PREVISION'!$A$1:$KZ$3000,$C49,11+3*MIN(BO$3,$D$2-1)))))</f>
        <v/>
      </c>
      <c r="BP49" s="130">
        <f>IF(OR($C49="",$B$2="",$D$2=0),0,IF(BP$3&lt;0,0,N(INDEX('CURVA PREVISION'!$A$1:$KZ$3000,$C49,11+3*MIN(BP$3,$D$2-1)))))</f>
        <v/>
      </c>
      <c r="BQ49" s="130">
        <f>IF(OR($C49="",$B$2="",$D$2=0),0,IF(BQ$3&lt;0,0,N(INDEX('CURVA PREVISION'!$A$1:$KZ$3000,$C49,11+3*MIN(BQ$3,$D$2-1)))))</f>
        <v/>
      </c>
      <c r="BR49" s="130">
        <f>IF(OR($C49="",$B$2="",$D$2=0),0,IF(BR$3&lt;0,0,N(INDEX('CURVA PREVISION'!$A$1:$KZ$3000,$C49,11+3*MIN(BR$3,$D$2-1)))))</f>
        <v/>
      </c>
      <c r="BS49" s="130">
        <f>IF(OR($C49="",$B$2="",$D$2=0),0,IF(BS$3&lt;0,0,N(INDEX('CURVA PREVISION'!$A$1:$KZ$3000,$C49,11+3*MIN(BS$3,$D$2-1)))))</f>
        <v/>
      </c>
      <c r="BT49" s="130">
        <f>IF(OR($C49="",$B$2="",$D$2=0),0,IF(BT$3&lt;0,0,N(INDEX('CURVA PREVISION'!$A$1:$KZ$3000,$C49,11+3*MIN(BT$3,$D$2-1)))))</f>
        <v/>
      </c>
      <c r="BU49" s="130">
        <f>IF(OR($C49="",$B$2="",$D$2=0),0,IF(BU$3&lt;0,0,N(INDEX('CURVA PREVISION'!$A$1:$KZ$3000,$C49,11+3*MIN(BU$3,$D$2-1)))))</f>
        <v/>
      </c>
      <c r="BV49" s="130">
        <f>IF(OR($C49="",$B$2="",$D$2=0),0,IF(BV$3&lt;0,0,N(INDEX('CURVA PREVISION'!$A$1:$KZ$3000,$C49,11+3*MIN(BV$3,$D$2-1)))))</f>
        <v/>
      </c>
      <c r="BW49" s="130">
        <f>IF(OR($C49="",$B$2="",$D$2=0),0,IF(BW$3&lt;0,0,N(INDEX('CURVA PREVISION'!$A$1:$KZ$3000,$C49,11+3*MIN(BW$3,$D$2-1)))))</f>
        <v/>
      </c>
    </row>
    <row r="50">
      <c r="A50" s="61">
        <f>IF('VALOR POR PL'!Q14="",'VALOR POR PL'!C14,'VALOR POR PL'!Q14)</f>
        <v/>
      </c>
      <c r="B50" s="51">
        <f>B8</f>
        <v/>
      </c>
      <c r="C50" s="70">
        <f>IFERROR(MATCH(A50,'CURVA PREVISION'!$B$1:$B$3000,0),"")</f>
        <v/>
      </c>
      <c r="D50" s="130">
        <f>IF(OR($C50="",$B$2="",$D$2=0),0,IF(D$3&lt;0,0,N(INDEX('CURVA PREVISION'!$A$1:$KZ$3000,$C50,11+3*MIN(D$3,$D$2-1)))))</f>
        <v/>
      </c>
      <c r="E50" s="130">
        <f>IF(OR($C50="",$B$2="",$D$2=0),0,IF(E$3&lt;0,0,N(INDEX('CURVA PREVISION'!$A$1:$KZ$3000,$C50,11+3*MIN(E$3,$D$2-1)))))</f>
        <v/>
      </c>
      <c r="F50" s="130">
        <f>IF(OR($C50="",$B$2="",$D$2=0),0,IF(F$3&lt;0,0,N(INDEX('CURVA PREVISION'!$A$1:$KZ$3000,$C50,11+3*MIN(F$3,$D$2-1)))))</f>
        <v/>
      </c>
      <c r="G50" s="130">
        <f>IF(OR($C50="",$B$2="",$D$2=0),0,IF(G$3&lt;0,0,N(INDEX('CURVA PREVISION'!$A$1:$KZ$3000,$C50,11+3*MIN(G$3,$D$2-1)))))</f>
        <v/>
      </c>
      <c r="H50" s="130">
        <f>IF(OR($C50="",$B$2="",$D$2=0),0,IF(H$3&lt;0,0,N(INDEX('CURVA PREVISION'!$A$1:$KZ$3000,$C50,11+3*MIN(H$3,$D$2-1)))))</f>
        <v/>
      </c>
      <c r="I50" s="130">
        <f>IF(OR($C50="",$B$2="",$D$2=0),0,IF(I$3&lt;0,0,N(INDEX('CURVA PREVISION'!$A$1:$KZ$3000,$C50,11+3*MIN(I$3,$D$2-1)))))</f>
        <v/>
      </c>
      <c r="J50" s="130">
        <f>IF(OR($C50="",$B$2="",$D$2=0),0,IF(J$3&lt;0,0,N(INDEX('CURVA PREVISION'!$A$1:$KZ$3000,$C50,11+3*MIN(J$3,$D$2-1)))))</f>
        <v/>
      </c>
      <c r="K50" s="130">
        <f>IF(OR($C50="",$B$2="",$D$2=0),0,IF(K$3&lt;0,0,N(INDEX('CURVA PREVISION'!$A$1:$KZ$3000,$C50,11+3*MIN(K$3,$D$2-1)))))</f>
        <v/>
      </c>
      <c r="L50" s="130">
        <f>IF(OR($C50="",$B$2="",$D$2=0),0,IF(L$3&lt;0,0,N(INDEX('CURVA PREVISION'!$A$1:$KZ$3000,$C50,11+3*MIN(L$3,$D$2-1)))))</f>
        <v/>
      </c>
      <c r="M50" s="130">
        <f>IF(OR($C50="",$B$2="",$D$2=0),0,IF(M$3&lt;0,0,N(INDEX('CURVA PREVISION'!$A$1:$KZ$3000,$C50,11+3*MIN(M$3,$D$2-1)))))</f>
        <v/>
      </c>
      <c r="N50" s="130">
        <f>IF(OR($C50="",$B$2="",$D$2=0),0,IF(N$3&lt;0,0,N(INDEX('CURVA PREVISION'!$A$1:$KZ$3000,$C50,11+3*MIN(N$3,$D$2-1)))))</f>
        <v/>
      </c>
      <c r="O50" s="130">
        <f>IF(OR($C50="",$B$2="",$D$2=0),0,IF(O$3&lt;0,0,N(INDEX('CURVA PREVISION'!$A$1:$KZ$3000,$C50,11+3*MIN(O$3,$D$2-1)))))</f>
        <v/>
      </c>
      <c r="P50" s="130">
        <f>IF(OR($C50="",$B$2="",$D$2=0),0,IF(P$3&lt;0,0,N(INDEX('CURVA PREVISION'!$A$1:$KZ$3000,$C50,11+3*MIN(P$3,$D$2-1)))))</f>
        <v/>
      </c>
      <c r="Q50" s="130">
        <f>IF(OR($C50="",$B$2="",$D$2=0),0,IF(Q$3&lt;0,0,N(INDEX('CURVA PREVISION'!$A$1:$KZ$3000,$C50,11+3*MIN(Q$3,$D$2-1)))))</f>
        <v/>
      </c>
      <c r="R50" s="130">
        <f>IF(OR($C50="",$B$2="",$D$2=0),0,IF(R$3&lt;0,0,N(INDEX('CURVA PREVISION'!$A$1:$KZ$3000,$C50,11+3*MIN(R$3,$D$2-1)))))</f>
        <v/>
      </c>
      <c r="S50" s="130">
        <f>IF(OR($C50="",$B$2="",$D$2=0),0,IF(S$3&lt;0,0,N(INDEX('CURVA PREVISION'!$A$1:$KZ$3000,$C50,11+3*MIN(S$3,$D$2-1)))))</f>
        <v/>
      </c>
      <c r="T50" s="130">
        <f>IF(OR($C50="",$B$2="",$D$2=0),0,IF(T$3&lt;0,0,N(INDEX('CURVA PREVISION'!$A$1:$KZ$3000,$C50,11+3*MIN(T$3,$D$2-1)))))</f>
        <v/>
      </c>
      <c r="U50" s="130">
        <f>IF(OR($C50="",$B$2="",$D$2=0),0,IF(U$3&lt;0,0,N(INDEX('CURVA PREVISION'!$A$1:$KZ$3000,$C50,11+3*MIN(U$3,$D$2-1)))))</f>
        <v/>
      </c>
      <c r="V50" s="130">
        <f>IF(OR($C50="",$B$2="",$D$2=0),0,IF(V$3&lt;0,0,N(INDEX('CURVA PREVISION'!$A$1:$KZ$3000,$C50,11+3*MIN(V$3,$D$2-1)))))</f>
        <v/>
      </c>
      <c r="W50" s="130">
        <f>IF(OR($C50="",$B$2="",$D$2=0),0,IF(W$3&lt;0,0,N(INDEX('CURVA PREVISION'!$A$1:$KZ$3000,$C50,11+3*MIN(W$3,$D$2-1)))))</f>
        <v/>
      </c>
      <c r="X50" s="130">
        <f>IF(OR($C50="",$B$2="",$D$2=0),0,IF(X$3&lt;0,0,N(INDEX('CURVA PREVISION'!$A$1:$KZ$3000,$C50,11+3*MIN(X$3,$D$2-1)))))</f>
        <v/>
      </c>
      <c r="Y50" s="130">
        <f>IF(OR($C50="",$B$2="",$D$2=0),0,IF(Y$3&lt;0,0,N(INDEX('CURVA PREVISION'!$A$1:$KZ$3000,$C50,11+3*MIN(Y$3,$D$2-1)))))</f>
        <v/>
      </c>
      <c r="Z50" s="130">
        <f>IF(OR($C50="",$B$2="",$D$2=0),0,IF(Z$3&lt;0,0,N(INDEX('CURVA PREVISION'!$A$1:$KZ$3000,$C50,11+3*MIN(Z$3,$D$2-1)))))</f>
        <v/>
      </c>
      <c r="AA50" s="130">
        <f>IF(OR($C50="",$B$2="",$D$2=0),0,IF(AA$3&lt;0,0,N(INDEX('CURVA PREVISION'!$A$1:$KZ$3000,$C50,11+3*MIN(AA$3,$D$2-1)))))</f>
        <v/>
      </c>
      <c r="AB50" s="130">
        <f>IF(OR($C50="",$B$2="",$D$2=0),0,IF(AB$3&lt;0,0,N(INDEX('CURVA PREVISION'!$A$1:$KZ$3000,$C50,11+3*MIN(AB$3,$D$2-1)))))</f>
        <v/>
      </c>
      <c r="AC50" s="130">
        <f>IF(OR($C50="",$B$2="",$D$2=0),0,IF(AC$3&lt;0,0,N(INDEX('CURVA PREVISION'!$A$1:$KZ$3000,$C50,11+3*MIN(AC$3,$D$2-1)))))</f>
        <v/>
      </c>
      <c r="AD50" s="130">
        <f>IF(OR($C50="",$B$2="",$D$2=0),0,IF(AD$3&lt;0,0,N(INDEX('CURVA PREVISION'!$A$1:$KZ$3000,$C50,11+3*MIN(AD$3,$D$2-1)))))</f>
        <v/>
      </c>
      <c r="AE50" s="130">
        <f>IF(OR($C50="",$B$2="",$D$2=0),0,IF(AE$3&lt;0,0,N(INDEX('CURVA PREVISION'!$A$1:$KZ$3000,$C50,11+3*MIN(AE$3,$D$2-1)))))</f>
        <v/>
      </c>
      <c r="AF50" s="130">
        <f>IF(OR($C50="",$B$2="",$D$2=0),0,IF(AF$3&lt;0,0,N(INDEX('CURVA PREVISION'!$A$1:$KZ$3000,$C50,11+3*MIN(AF$3,$D$2-1)))))</f>
        <v/>
      </c>
      <c r="AG50" s="130">
        <f>IF(OR($C50="",$B$2="",$D$2=0),0,IF(AG$3&lt;0,0,N(INDEX('CURVA PREVISION'!$A$1:$KZ$3000,$C50,11+3*MIN(AG$3,$D$2-1)))))</f>
        <v/>
      </c>
      <c r="AH50" s="130">
        <f>IF(OR($C50="",$B$2="",$D$2=0),0,IF(AH$3&lt;0,0,N(INDEX('CURVA PREVISION'!$A$1:$KZ$3000,$C50,11+3*MIN(AH$3,$D$2-1)))))</f>
        <v/>
      </c>
      <c r="AI50" s="130">
        <f>IF(OR($C50="",$B$2="",$D$2=0),0,IF(AI$3&lt;0,0,N(INDEX('CURVA PREVISION'!$A$1:$KZ$3000,$C50,11+3*MIN(AI$3,$D$2-1)))))</f>
        <v/>
      </c>
      <c r="AJ50" s="130">
        <f>IF(OR($C50="",$B$2="",$D$2=0),0,IF(AJ$3&lt;0,0,N(INDEX('CURVA PREVISION'!$A$1:$KZ$3000,$C50,11+3*MIN(AJ$3,$D$2-1)))))</f>
        <v/>
      </c>
      <c r="AK50" s="130">
        <f>IF(OR($C50="",$B$2="",$D$2=0),0,IF(AK$3&lt;0,0,N(INDEX('CURVA PREVISION'!$A$1:$KZ$3000,$C50,11+3*MIN(AK$3,$D$2-1)))))</f>
        <v/>
      </c>
      <c r="AL50" s="130">
        <f>IF(OR($C50="",$B$2="",$D$2=0),0,IF(AL$3&lt;0,0,N(INDEX('CURVA PREVISION'!$A$1:$KZ$3000,$C50,11+3*MIN(AL$3,$D$2-1)))))</f>
        <v/>
      </c>
      <c r="AM50" s="130">
        <f>IF(OR($C50="",$B$2="",$D$2=0),0,IF(AM$3&lt;0,0,N(INDEX('CURVA PREVISION'!$A$1:$KZ$3000,$C50,11+3*MIN(AM$3,$D$2-1)))))</f>
        <v/>
      </c>
      <c r="AN50" s="130">
        <f>IF(OR($C50="",$B$2="",$D$2=0),0,IF(AN$3&lt;0,0,N(INDEX('CURVA PREVISION'!$A$1:$KZ$3000,$C50,11+3*MIN(AN$3,$D$2-1)))))</f>
        <v/>
      </c>
      <c r="AO50" s="130">
        <f>IF(OR($C50="",$B$2="",$D$2=0),0,IF(AO$3&lt;0,0,N(INDEX('CURVA PREVISION'!$A$1:$KZ$3000,$C50,11+3*MIN(AO$3,$D$2-1)))))</f>
        <v/>
      </c>
      <c r="AP50" s="130">
        <f>IF(OR($C50="",$B$2="",$D$2=0),0,IF(AP$3&lt;0,0,N(INDEX('CURVA PREVISION'!$A$1:$KZ$3000,$C50,11+3*MIN(AP$3,$D$2-1)))))</f>
        <v/>
      </c>
      <c r="AQ50" s="130">
        <f>IF(OR($C50="",$B$2="",$D$2=0),0,IF(AQ$3&lt;0,0,N(INDEX('CURVA PREVISION'!$A$1:$KZ$3000,$C50,11+3*MIN(AQ$3,$D$2-1)))))</f>
        <v/>
      </c>
      <c r="AR50" s="130">
        <f>IF(OR($C50="",$B$2="",$D$2=0),0,IF(AR$3&lt;0,0,N(INDEX('CURVA PREVISION'!$A$1:$KZ$3000,$C50,11+3*MIN(AR$3,$D$2-1)))))</f>
        <v/>
      </c>
      <c r="AS50" s="130">
        <f>IF(OR($C50="",$B$2="",$D$2=0),0,IF(AS$3&lt;0,0,N(INDEX('CURVA PREVISION'!$A$1:$KZ$3000,$C50,11+3*MIN(AS$3,$D$2-1)))))</f>
        <v/>
      </c>
      <c r="AT50" s="130">
        <f>IF(OR($C50="",$B$2="",$D$2=0),0,IF(AT$3&lt;0,0,N(INDEX('CURVA PREVISION'!$A$1:$KZ$3000,$C50,11+3*MIN(AT$3,$D$2-1)))))</f>
        <v/>
      </c>
      <c r="AU50" s="130">
        <f>IF(OR($C50="",$B$2="",$D$2=0),0,IF(AU$3&lt;0,0,N(INDEX('CURVA PREVISION'!$A$1:$KZ$3000,$C50,11+3*MIN(AU$3,$D$2-1)))))</f>
        <v/>
      </c>
      <c r="AV50" s="130">
        <f>IF(OR($C50="",$B$2="",$D$2=0),0,IF(AV$3&lt;0,0,N(INDEX('CURVA PREVISION'!$A$1:$KZ$3000,$C50,11+3*MIN(AV$3,$D$2-1)))))</f>
        <v/>
      </c>
      <c r="AW50" s="130">
        <f>IF(OR($C50="",$B$2="",$D$2=0),0,IF(AW$3&lt;0,0,N(INDEX('CURVA PREVISION'!$A$1:$KZ$3000,$C50,11+3*MIN(AW$3,$D$2-1)))))</f>
        <v/>
      </c>
      <c r="AX50" s="130">
        <f>IF(OR($C50="",$B$2="",$D$2=0),0,IF(AX$3&lt;0,0,N(INDEX('CURVA PREVISION'!$A$1:$KZ$3000,$C50,11+3*MIN(AX$3,$D$2-1)))))</f>
        <v/>
      </c>
      <c r="AY50" s="130">
        <f>IF(OR($C50="",$B$2="",$D$2=0),0,IF(AY$3&lt;0,0,N(INDEX('CURVA PREVISION'!$A$1:$KZ$3000,$C50,11+3*MIN(AY$3,$D$2-1)))))</f>
        <v/>
      </c>
      <c r="AZ50" s="130">
        <f>IF(OR($C50="",$B$2="",$D$2=0),0,IF(AZ$3&lt;0,0,N(INDEX('CURVA PREVISION'!$A$1:$KZ$3000,$C50,11+3*MIN(AZ$3,$D$2-1)))))</f>
        <v/>
      </c>
      <c r="BA50" s="130">
        <f>IF(OR($C50="",$B$2="",$D$2=0),0,IF(BA$3&lt;0,0,N(INDEX('CURVA PREVISION'!$A$1:$KZ$3000,$C50,11+3*MIN(BA$3,$D$2-1)))))</f>
        <v/>
      </c>
      <c r="BB50" s="130">
        <f>IF(OR($C50="",$B$2="",$D$2=0),0,IF(BB$3&lt;0,0,N(INDEX('CURVA PREVISION'!$A$1:$KZ$3000,$C50,11+3*MIN(BB$3,$D$2-1)))))</f>
        <v/>
      </c>
      <c r="BC50" s="130">
        <f>IF(OR($C50="",$B$2="",$D$2=0),0,IF(BC$3&lt;0,0,N(INDEX('CURVA PREVISION'!$A$1:$KZ$3000,$C50,11+3*MIN(BC$3,$D$2-1)))))</f>
        <v/>
      </c>
      <c r="BD50" s="130">
        <f>IF(OR($C50="",$B$2="",$D$2=0),0,IF(BD$3&lt;0,0,N(INDEX('CURVA PREVISION'!$A$1:$KZ$3000,$C50,11+3*MIN(BD$3,$D$2-1)))))</f>
        <v/>
      </c>
      <c r="BE50" s="130">
        <f>IF(OR($C50="",$B$2="",$D$2=0),0,IF(BE$3&lt;0,0,N(INDEX('CURVA PREVISION'!$A$1:$KZ$3000,$C50,11+3*MIN(BE$3,$D$2-1)))))</f>
        <v/>
      </c>
      <c r="BF50" s="130">
        <f>IF(OR($C50="",$B$2="",$D$2=0),0,IF(BF$3&lt;0,0,N(INDEX('CURVA PREVISION'!$A$1:$KZ$3000,$C50,11+3*MIN(BF$3,$D$2-1)))))</f>
        <v/>
      </c>
      <c r="BG50" s="130">
        <f>IF(OR($C50="",$B$2="",$D$2=0),0,IF(BG$3&lt;0,0,N(INDEX('CURVA PREVISION'!$A$1:$KZ$3000,$C50,11+3*MIN(BG$3,$D$2-1)))))</f>
        <v/>
      </c>
      <c r="BH50" s="130">
        <f>IF(OR($C50="",$B$2="",$D$2=0),0,IF(BH$3&lt;0,0,N(INDEX('CURVA PREVISION'!$A$1:$KZ$3000,$C50,11+3*MIN(BH$3,$D$2-1)))))</f>
        <v/>
      </c>
      <c r="BI50" s="130">
        <f>IF(OR($C50="",$B$2="",$D$2=0),0,IF(BI$3&lt;0,0,N(INDEX('CURVA PREVISION'!$A$1:$KZ$3000,$C50,11+3*MIN(BI$3,$D$2-1)))))</f>
        <v/>
      </c>
      <c r="BJ50" s="130">
        <f>IF(OR($C50="",$B$2="",$D$2=0),0,IF(BJ$3&lt;0,0,N(INDEX('CURVA PREVISION'!$A$1:$KZ$3000,$C50,11+3*MIN(BJ$3,$D$2-1)))))</f>
        <v/>
      </c>
      <c r="BK50" s="130">
        <f>IF(OR($C50="",$B$2="",$D$2=0),0,IF(BK$3&lt;0,0,N(INDEX('CURVA PREVISION'!$A$1:$KZ$3000,$C50,11+3*MIN(BK$3,$D$2-1)))))</f>
        <v/>
      </c>
      <c r="BL50" s="130">
        <f>IF(OR($C50="",$B$2="",$D$2=0),0,IF(BL$3&lt;0,0,N(INDEX('CURVA PREVISION'!$A$1:$KZ$3000,$C50,11+3*MIN(BL$3,$D$2-1)))))</f>
        <v/>
      </c>
      <c r="BM50" s="130">
        <f>IF(OR($C50="",$B$2="",$D$2=0),0,IF(BM$3&lt;0,0,N(INDEX('CURVA PREVISION'!$A$1:$KZ$3000,$C50,11+3*MIN(BM$3,$D$2-1)))))</f>
        <v/>
      </c>
      <c r="BN50" s="130">
        <f>IF(OR($C50="",$B$2="",$D$2=0),0,IF(BN$3&lt;0,0,N(INDEX('CURVA PREVISION'!$A$1:$KZ$3000,$C50,11+3*MIN(BN$3,$D$2-1)))))</f>
        <v/>
      </c>
      <c r="BO50" s="130">
        <f>IF(OR($C50="",$B$2="",$D$2=0),0,IF(BO$3&lt;0,0,N(INDEX('CURVA PREVISION'!$A$1:$KZ$3000,$C50,11+3*MIN(BO$3,$D$2-1)))))</f>
        <v/>
      </c>
      <c r="BP50" s="130">
        <f>IF(OR($C50="",$B$2="",$D$2=0),0,IF(BP$3&lt;0,0,N(INDEX('CURVA PREVISION'!$A$1:$KZ$3000,$C50,11+3*MIN(BP$3,$D$2-1)))))</f>
        <v/>
      </c>
      <c r="BQ50" s="130">
        <f>IF(OR($C50="",$B$2="",$D$2=0),0,IF(BQ$3&lt;0,0,N(INDEX('CURVA PREVISION'!$A$1:$KZ$3000,$C50,11+3*MIN(BQ$3,$D$2-1)))))</f>
        <v/>
      </c>
      <c r="BR50" s="130">
        <f>IF(OR($C50="",$B$2="",$D$2=0),0,IF(BR$3&lt;0,0,N(INDEX('CURVA PREVISION'!$A$1:$KZ$3000,$C50,11+3*MIN(BR$3,$D$2-1)))))</f>
        <v/>
      </c>
      <c r="BS50" s="130">
        <f>IF(OR($C50="",$B$2="",$D$2=0),0,IF(BS$3&lt;0,0,N(INDEX('CURVA PREVISION'!$A$1:$KZ$3000,$C50,11+3*MIN(BS$3,$D$2-1)))))</f>
        <v/>
      </c>
      <c r="BT50" s="130">
        <f>IF(OR($C50="",$B$2="",$D$2=0),0,IF(BT$3&lt;0,0,N(INDEX('CURVA PREVISION'!$A$1:$KZ$3000,$C50,11+3*MIN(BT$3,$D$2-1)))))</f>
        <v/>
      </c>
      <c r="BU50" s="130">
        <f>IF(OR($C50="",$B$2="",$D$2=0),0,IF(BU$3&lt;0,0,N(INDEX('CURVA PREVISION'!$A$1:$KZ$3000,$C50,11+3*MIN(BU$3,$D$2-1)))))</f>
        <v/>
      </c>
      <c r="BV50" s="130">
        <f>IF(OR($C50="",$B$2="",$D$2=0),0,IF(BV$3&lt;0,0,N(INDEX('CURVA PREVISION'!$A$1:$KZ$3000,$C50,11+3*MIN(BV$3,$D$2-1)))))</f>
        <v/>
      </c>
      <c r="BW50" s="130">
        <f>IF(OR($C50="",$B$2="",$D$2=0),0,IF(BW$3&lt;0,0,N(INDEX('CURVA PREVISION'!$A$1:$KZ$3000,$C50,11+3*MIN(BW$3,$D$2-1)))))</f>
        <v/>
      </c>
    </row>
    <row r="51">
      <c r="A51" s="61">
        <f>IF('VALOR POR PL'!Q15="",'VALOR POR PL'!C15,'VALOR POR PL'!Q15)</f>
        <v/>
      </c>
      <c r="B51" s="51">
        <f>B9</f>
        <v/>
      </c>
      <c r="C51" s="70">
        <f>IFERROR(MATCH(A51,'CURVA PREVISION'!$B$1:$B$3000,0),"")</f>
        <v/>
      </c>
      <c r="D51" s="130">
        <f>IF(OR($C51="",$B$2="",$D$2=0),0,IF(D$3&lt;0,0,N(INDEX('CURVA PREVISION'!$A$1:$KZ$3000,$C51,11+3*MIN(D$3,$D$2-1)))))</f>
        <v/>
      </c>
      <c r="E51" s="130">
        <f>IF(OR($C51="",$B$2="",$D$2=0),0,IF(E$3&lt;0,0,N(INDEX('CURVA PREVISION'!$A$1:$KZ$3000,$C51,11+3*MIN(E$3,$D$2-1)))))</f>
        <v/>
      </c>
      <c r="F51" s="130">
        <f>IF(OR($C51="",$B$2="",$D$2=0),0,IF(F$3&lt;0,0,N(INDEX('CURVA PREVISION'!$A$1:$KZ$3000,$C51,11+3*MIN(F$3,$D$2-1)))))</f>
        <v/>
      </c>
      <c r="G51" s="130">
        <f>IF(OR($C51="",$B$2="",$D$2=0),0,IF(G$3&lt;0,0,N(INDEX('CURVA PREVISION'!$A$1:$KZ$3000,$C51,11+3*MIN(G$3,$D$2-1)))))</f>
        <v/>
      </c>
      <c r="H51" s="130">
        <f>IF(OR($C51="",$B$2="",$D$2=0),0,IF(H$3&lt;0,0,N(INDEX('CURVA PREVISION'!$A$1:$KZ$3000,$C51,11+3*MIN(H$3,$D$2-1)))))</f>
        <v/>
      </c>
      <c r="I51" s="130">
        <f>IF(OR($C51="",$B$2="",$D$2=0),0,IF(I$3&lt;0,0,N(INDEX('CURVA PREVISION'!$A$1:$KZ$3000,$C51,11+3*MIN(I$3,$D$2-1)))))</f>
        <v/>
      </c>
      <c r="J51" s="130">
        <f>IF(OR($C51="",$B$2="",$D$2=0),0,IF(J$3&lt;0,0,N(INDEX('CURVA PREVISION'!$A$1:$KZ$3000,$C51,11+3*MIN(J$3,$D$2-1)))))</f>
        <v/>
      </c>
      <c r="K51" s="130">
        <f>IF(OR($C51="",$B$2="",$D$2=0),0,IF(K$3&lt;0,0,N(INDEX('CURVA PREVISION'!$A$1:$KZ$3000,$C51,11+3*MIN(K$3,$D$2-1)))))</f>
        <v/>
      </c>
      <c r="L51" s="130">
        <f>IF(OR($C51="",$B$2="",$D$2=0),0,IF(L$3&lt;0,0,N(INDEX('CURVA PREVISION'!$A$1:$KZ$3000,$C51,11+3*MIN(L$3,$D$2-1)))))</f>
        <v/>
      </c>
      <c r="M51" s="130">
        <f>IF(OR($C51="",$B$2="",$D$2=0),0,IF(M$3&lt;0,0,N(INDEX('CURVA PREVISION'!$A$1:$KZ$3000,$C51,11+3*MIN(M$3,$D$2-1)))))</f>
        <v/>
      </c>
      <c r="N51" s="130">
        <f>IF(OR($C51="",$B$2="",$D$2=0),0,IF(N$3&lt;0,0,N(INDEX('CURVA PREVISION'!$A$1:$KZ$3000,$C51,11+3*MIN(N$3,$D$2-1)))))</f>
        <v/>
      </c>
      <c r="O51" s="130">
        <f>IF(OR($C51="",$B$2="",$D$2=0),0,IF(O$3&lt;0,0,N(INDEX('CURVA PREVISION'!$A$1:$KZ$3000,$C51,11+3*MIN(O$3,$D$2-1)))))</f>
        <v/>
      </c>
      <c r="P51" s="130">
        <f>IF(OR($C51="",$B$2="",$D$2=0),0,IF(P$3&lt;0,0,N(INDEX('CURVA PREVISION'!$A$1:$KZ$3000,$C51,11+3*MIN(P$3,$D$2-1)))))</f>
        <v/>
      </c>
      <c r="Q51" s="130">
        <f>IF(OR($C51="",$B$2="",$D$2=0),0,IF(Q$3&lt;0,0,N(INDEX('CURVA PREVISION'!$A$1:$KZ$3000,$C51,11+3*MIN(Q$3,$D$2-1)))))</f>
        <v/>
      </c>
      <c r="R51" s="130">
        <f>IF(OR($C51="",$B$2="",$D$2=0),0,IF(R$3&lt;0,0,N(INDEX('CURVA PREVISION'!$A$1:$KZ$3000,$C51,11+3*MIN(R$3,$D$2-1)))))</f>
        <v/>
      </c>
      <c r="S51" s="130">
        <f>IF(OR($C51="",$B$2="",$D$2=0),0,IF(S$3&lt;0,0,N(INDEX('CURVA PREVISION'!$A$1:$KZ$3000,$C51,11+3*MIN(S$3,$D$2-1)))))</f>
        <v/>
      </c>
      <c r="T51" s="130">
        <f>IF(OR($C51="",$B$2="",$D$2=0),0,IF(T$3&lt;0,0,N(INDEX('CURVA PREVISION'!$A$1:$KZ$3000,$C51,11+3*MIN(T$3,$D$2-1)))))</f>
        <v/>
      </c>
      <c r="U51" s="130">
        <f>IF(OR($C51="",$B$2="",$D$2=0),0,IF(U$3&lt;0,0,N(INDEX('CURVA PREVISION'!$A$1:$KZ$3000,$C51,11+3*MIN(U$3,$D$2-1)))))</f>
        <v/>
      </c>
      <c r="V51" s="130">
        <f>IF(OR($C51="",$B$2="",$D$2=0),0,IF(V$3&lt;0,0,N(INDEX('CURVA PREVISION'!$A$1:$KZ$3000,$C51,11+3*MIN(V$3,$D$2-1)))))</f>
        <v/>
      </c>
      <c r="W51" s="130">
        <f>IF(OR($C51="",$B$2="",$D$2=0),0,IF(W$3&lt;0,0,N(INDEX('CURVA PREVISION'!$A$1:$KZ$3000,$C51,11+3*MIN(W$3,$D$2-1)))))</f>
        <v/>
      </c>
      <c r="X51" s="130">
        <f>IF(OR($C51="",$B$2="",$D$2=0),0,IF(X$3&lt;0,0,N(INDEX('CURVA PREVISION'!$A$1:$KZ$3000,$C51,11+3*MIN(X$3,$D$2-1)))))</f>
        <v/>
      </c>
      <c r="Y51" s="130">
        <f>IF(OR($C51="",$B$2="",$D$2=0),0,IF(Y$3&lt;0,0,N(INDEX('CURVA PREVISION'!$A$1:$KZ$3000,$C51,11+3*MIN(Y$3,$D$2-1)))))</f>
        <v/>
      </c>
      <c r="Z51" s="130">
        <f>IF(OR($C51="",$B$2="",$D$2=0),0,IF(Z$3&lt;0,0,N(INDEX('CURVA PREVISION'!$A$1:$KZ$3000,$C51,11+3*MIN(Z$3,$D$2-1)))))</f>
        <v/>
      </c>
      <c r="AA51" s="130">
        <f>IF(OR($C51="",$B$2="",$D$2=0),0,IF(AA$3&lt;0,0,N(INDEX('CURVA PREVISION'!$A$1:$KZ$3000,$C51,11+3*MIN(AA$3,$D$2-1)))))</f>
        <v/>
      </c>
      <c r="AB51" s="130">
        <f>IF(OR($C51="",$B$2="",$D$2=0),0,IF(AB$3&lt;0,0,N(INDEX('CURVA PREVISION'!$A$1:$KZ$3000,$C51,11+3*MIN(AB$3,$D$2-1)))))</f>
        <v/>
      </c>
      <c r="AC51" s="130">
        <f>IF(OR($C51="",$B$2="",$D$2=0),0,IF(AC$3&lt;0,0,N(INDEX('CURVA PREVISION'!$A$1:$KZ$3000,$C51,11+3*MIN(AC$3,$D$2-1)))))</f>
        <v/>
      </c>
      <c r="AD51" s="130">
        <f>IF(OR($C51="",$B$2="",$D$2=0),0,IF(AD$3&lt;0,0,N(INDEX('CURVA PREVISION'!$A$1:$KZ$3000,$C51,11+3*MIN(AD$3,$D$2-1)))))</f>
        <v/>
      </c>
      <c r="AE51" s="130">
        <f>IF(OR($C51="",$B$2="",$D$2=0),0,IF(AE$3&lt;0,0,N(INDEX('CURVA PREVISION'!$A$1:$KZ$3000,$C51,11+3*MIN(AE$3,$D$2-1)))))</f>
        <v/>
      </c>
      <c r="AF51" s="130">
        <f>IF(OR($C51="",$B$2="",$D$2=0),0,IF(AF$3&lt;0,0,N(INDEX('CURVA PREVISION'!$A$1:$KZ$3000,$C51,11+3*MIN(AF$3,$D$2-1)))))</f>
        <v/>
      </c>
      <c r="AG51" s="130">
        <f>IF(OR($C51="",$B$2="",$D$2=0),0,IF(AG$3&lt;0,0,N(INDEX('CURVA PREVISION'!$A$1:$KZ$3000,$C51,11+3*MIN(AG$3,$D$2-1)))))</f>
        <v/>
      </c>
      <c r="AH51" s="130">
        <f>IF(OR($C51="",$B$2="",$D$2=0),0,IF(AH$3&lt;0,0,N(INDEX('CURVA PREVISION'!$A$1:$KZ$3000,$C51,11+3*MIN(AH$3,$D$2-1)))))</f>
        <v/>
      </c>
      <c r="AI51" s="130">
        <f>IF(OR($C51="",$B$2="",$D$2=0),0,IF(AI$3&lt;0,0,N(INDEX('CURVA PREVISION'!$A$1:$KZ$3000,$C51,11+3*MIN(AI$3,$D$2-1)))))</f>
        <v/>
      </c>
      <c r="AJ51" s="130">
        <f>IF(OR($C51="",$B$2="",$D$2=0),0,IF(AJ$3&lt;0,0,N(INDEX('CURVA PREVISION'!$A$1:$KZ$3000,$C51,11+3*MIN(AJ$3,$D$2-1)))))</f>
        <v/>
      </c>
      <c r="AK51" s="130">
        <f>IF(OR($C51="",$B$2="",$D$2=0),0,IF(AK$3&lt;0,0,N(INDEX('CURVA PREVISION'!$A$1:$KZ$3000,$C51,11+3*MIN(AK$3,$D$2-1)))))</f>
        <v/>
      </c>
      <c r="AL51" s="130">
        <f>IF(OR($C51="",$B$2="",$D$2=0),0,IF(AL$3&lt;0,0,N(INDEX('CURVA PREVISION'!$A$1:$KZ$3000,$C51,11+3*MIN(AL$3,$D$2-1)))))</f>
        <v/>
      </c>
      <c r="AM51" s="130">
        <f>IF(OR($C51="",$B$2="",$D$2=0),0,IF(AM$3&lt;0,0,N(INDEX('CURVA PREVISION'!$A$1:$KZ$3000,$C51,11+3*MIN(AM$3,$D$2-1)))))</f>
        <v/>
      </c>
      <c r="AN51" s="130">
        <f>IF(OR($C51="",$B$2="",$D$2=0),0,IF(AN$3&lt;0,0,N(INDEX('CURVA PREVISION'!$A$1:$KZ$3000,$C51,11+3*MIN(AN$3,$D$2-1)))))</f>
        <v/>
      </c>
      <c r="AO51" s="130">
        <f>IF(OR($C51="",$B$2="",$D$2=0),0,IF(AO$3&lt;0,0,N(INDEX('CURVA PREVISION'!$A$1:$KZ$3000,$C51,11+3*MIN(AO$3,$D$2-1)))))</f>
        <v/>
      </c>
      <c r="AP51" s="130">
        <f>IF(OR($C51="",$B$2="",$D$2=0),0,IF(AP$3&lt;0,0,N(INDEX('CURVA PREVISION'!$A$1:$KZ$3000,$C51,11+3*MIN(AP$3,$D$2-1)))))</f>
        <v/>
      </c>
      <c r="AQ51" s="130">
        <f>IF(OR($C51="",$B$2="",$D$2=0),0,IF(AQ$3&lt;0,0,N(INDEX('CURVA PREVISION'!$A$1:$KZ$3000,$C51,11+3*MIN(AQ$3,$D$2-1)))))</f>
        <v/>
      </c>
      <c r="AR51" s="130">
        <f>IF(OR($C51="",$B$2="",$D$2=0),0,IF(AR$3&lt;0,0,N(INDEX('CURVA PREVISION'!$A$1:$KZ$3000,$C51,11+3*MIN(AR$3,$D$2-1)))))</f>
        <v/>
      </c>
      <c r="AS51" s="130">
        <f>IF(OR($C51="",$B$2="",$D$2=0),0,IF(AS$3&lt;0,0,N(INDEX('CURVA PREVISION'!$A$1:$KZ$3000,$C51,11+3*MIN(AS$3,$D$2-1)))))</f>
        <v/>
      </c>
      <c r="AT51" s="130">
        <f>IF(OR($C51="",$B$2="",$D$2=0),0,IF(AT$3&lt;0,0,N(INDEX('CURVA PREVISION'!$A$1:$KZ$3000,$C51,11+3*MIN(AT$3,$D$2-1)))))</f>
        <v/>
      </c>
      <c r="AU51" s="130">
        <f>IF(OR($C51="",$B$2="",$D$2=0),0,IF(AU$3&lt;0,0,N(INDEX('CURVA PREVISION'!$A$1:$KZ$3000,$C51,11+3*MIN(AU$3,$D$2-1)))))</f>
        <v/>
      </c>
      <c r="AV51" s="130">
        <f>IF(OR($C51="",$B$2="",$D$2=0),0,IF(AV$3&lt;0,0,N(INDEX('CURVA PREVISION'!$A$1:$KZ$3000,$C51,11+3*MIN(AV$3,$D$2-1)))))</f>
        <v/>
      </c>
      <c r="AW51" s="130">
        <f>IF(OR($C51="",$B$2="",$D$2=0),0,IF(AW$3&lt;0,0,N(INDEX('CURVA PREVISION'!$A$1:$KZ$3000,$C51,11+3*MIN(AW$3,$D$2-1)))))</f>
        <v/>
      </c>
      <c r="AX51" s="130">
        <f>IF(OR($C51="",$B$2="",$D$2=0),0,IF(AX$3&lt;0,0,N(INDEX('CURVA PREVISION'!$A$1:$KZ$3000,$C51,11+3*MIN(AX$3,$D$2-1)))))</f>
        <v/>
      </c>
      <c r="AY51" s="130">
        <f>IF(OR($C51="",$B$2="",$D$2=0),0,IF(AY$3&lt;0,0,N(INDEX('CURVA PREVISION'!$A$1:$KZ$3000,$C51,11+3*MIN(AY$3,$D$2-1)))))</f>
        <v/>
      </c>
      <c r="AZ51" s="130">
        <f>IF(OR($C51="",$B$2="",$D$2=0),0,IF(AZ$3&lt;0,0,N(INDEX('CURVA PREVISION'!$A$1:$KZ$3000,$C51,11+3*MIN(AZ$3,$D$2-1)))))</f>
        <v/>
      </c>
      <c r="BA51" s="130">
        <f>IF(OR($C51="",$B$2="",$D$2=0),0,IF(BA$3&lt;0,0,N(INDEX('CURVA PREVISION'!$A$1:$KZ$3000,$C51,11+3*MIN(BA$3,$D$2-1)))))</f>
        <v/>
      </c>
      <c r="BB51" s="130">
        <f>IF(OR($C51="",$B$2="",$D$2=0),0,IF(BB$3&lt;0,0,N(INDEX('CURVA PREVISION'!$A$1:$KZ$3000,$C51,11+3*MIN(BB$3,$D$2-1)))))</f>
        <v/>
      </c>
      <c r="BC51" s="130">
        <f>IF(OR($C51="",$B$2="",$D$2=0),0,IF(BC$3&lt;0,0,N(INDEX('CURVA PREVISION'!$A$1:$KZ$3000,$C51,11+3*MIN(BC$3,$D$2-1)))))</f>
        <v/>
      </c>
      <c r="BD51" s="130">
        <f>IF(OR($C51="",$B$2="",$D$2=0),0,IF(BD$3&lt;0,0,N(INDEX('CURVA PREVISION'!$A$1:$KZ$3000,$C51,11+3*MIN(BD$3,$D$2-1)))))</f>
        <v/>
      </c>
      <c r="BE51" s="130">
        <f>IF(OR($C51="",$B$2="",$D$2=0),0,IF(BE$3&lt;0,0,N(INDEX('CURVA PREVISION'!$A$1:$KZ$3000,$C51,11+3*MIN(BE$3,$D$2-1)))))</f>
        <v/>
      </c>
      <c r="BF51" s="130">
        <f>IF(OR($C51="",$B$2="",$D$2=0),0,IF(BF$3&lt;0,0,N(INDEX('CURVA PREVISION'!$A$1:$KZ$3000,$C51,11+3*MIN(BF$3,$D$2-1)))))</f>
        <v/>
      </c>
      <c r="BG51" s="130">
        <f>IF(OR($C51="",$B$2="",$D$2=0),0,IF(BG$3&lt;0,0,N(INDEX('CURVA PREVISION'!$A$1:$KZ$3000,$C51,11+3*MIN(BG$3,$D$2-1)))))</f>
        <v/>
      </c>
      <c r="BH51" s="130">
        <f>IF(OR($C51="",$B$2="",$D$2=0),0,IF(BH$3&lt;0,0,N(INDEX('CURVA PREVISION'!$A$1:$KZ$3000,$C51,11+3*MIN(BH$3,$D$2-1)))))</f>
        <v/>
      </c>
      <c r="BI51" s="130">
        <f>IF(OR($C51="",$B$2="",$D$2=0),0,IF(BI$3&lt;0,0,N(INDEX('CURVA PREVISION'!$A$1:$KZ$3000,$C51,11+3*MIN(BI$3,$D$2-1)))))</f>
        <v/>
      </c>
      <c r="BJ51" s="130">
        <f>IF(OR($C51="",$B$2="",$D$2=0),0,IF(BJ$3&lt;0,0,N(INDEX('CURVA PREVISION'!$A$1:$KZ$3000,$C51,11+3*MIN(BJ$3,$D$2-1)))))</f>
        <v/>
      </c>
      <c r="BK51" s="130">
        <f>IF(OR($C51="",$B$2="",$D$2=0),0,IF(BK$3&lt;0,0,N(INDEX('CURVA PREVISION'!$A$1:$KZ$3000,$C51,11+3*MIN(BK$3,$D$2-1)))))</f>
        <v/>
      </c>
      <c r="BL51" s="130">
        <f>IF(OR($C51="",$B$2="",$D$2=0),0,IF(BL$3&lt;0,0,N(INDEX('CURVA PREVISION'!$A$1:$KZ$3000,$C51,11+3*MIN(BL$3,$D$2-1)))))</f>
        <v/>
      </c>
      <c r="BM51" s="130">
        <f>IF(OR($C51="",$B$2="",$D$2=0),0,IF(BM$3&lt;0,0,N(INDEX('CURVA PREVISION'!$A$1:$KZ$3000,$C51,11+3*MIN(BM$3,$D$2-1)))))</f>
        <v/>
      </c>
      <c r="BN51" s="130">
        <f>IF(OR($C51="",$B$2="",$D$2=0),0,IF(BN$3&lt;0,0,N(INDEX('CURVA PREVISION'!$A$1:$KZ$3000,$C51,11+3*MIN(BN$3,$D$2-1)))))</f>
        <v/>
      </c>
      <c r="BO51" s="130">
        <f>IF(OR($C51="",$B$2="",$D$2=0),0,IF(BO$3&lt;0,0,N(INDEX('CURVA PREVISION'!$A$1:$KZ$3000,$C51,11+3*MIN(BO$3,$D$2-1)))))</f>
        <v/>
      </c>
      <c r="BP51" s="130">
        <f>IF(OR($C51="",$B$2="",$D$2=0),0,IF(BP$3&lt;0,0,N(INDEX('CURVA PREVISION'!$A$1:$KZ$3000,$C51,11+3*MIN(BP$3,$D$2-1)))))</f>
        <v/>
      </c>
      <c r="BQ51" s="130">
        <f>IF(OR($C51="",$B$2="",$D$2=0),0,IF(BQ$3&lt;0,0,N(INDEX('CURVA PREVISION'!$A$1:$KZ$3000,$C51,11+3*MIN(BQ$3,$D$2-1)))))</f>
        <v/>
      </c>
      <c r="BR51" s="130">
        <f>IF(OR($C51="",$B$2="",$D$2=0),0,IF(BR$3&lt;0,0,N(INDEX('CURVA PREVISION'!$A$1:$KZ$3000,$C51,11+3*MIN(BR$3,$D$2-1)))))</f>
        <v/>
      </c>
      <c r="BS51" s="130">
        <f>IF(OR($C51="",$B$2="",$D$2=0),0,IF(BS$3&lt;0,0,N(INDEX('CURVA PREVISION'!$A$1:$KZ$3000,$C51,11+3*MIN(BS$3,$D$2-1)))))</f>
        <v/>
      </c>
      <c r="BT51" s="130">
        <f>IF(OR($C51="",$B$2="",$D$2=0),0,IF(BT$3&lt;0,0,N(INDEX('CURVA PREVISION'!$A$1:$KZ$3000,$C51,11+3*MIN(BT$3,$D$2-1)))))</f>
        <v/>
      </c>
      <c r="BU51" s="130">
        <f>IF(OR($C51="",$B$2="",$D$2=0),0,IF(BU$3&lt;0,0,N(INDEX('CURVA PREVISION'!$A$1:$KZ$3000,$C51,11+3*MIN(BU$3,$D$2-1)))))</f>
        <v/>
      </c>
      <c r="BV51" s="130">
        <f>IF(OR($C51="",$B$2="",$D$2=0),0,IF(BV$3&lt;0,0,N(INDEX('CURVA PREVISION'!$A$1:$KZ$3000,$C51,11+3*MIN(BV$3,$D$2-1)))))</f>
        <v/>
      </c>
      <c r="BW51" s="130">
        <f>IF(OR($C51="",$B$2="",$D$2=0),0,IF(BW$3&lt;0,0,N(INDEX('CURVA PREVISION'!$A$1:$KZ$3000,$C51,11+3*MIN(BW$3,$D$2-1)))))</f>
        <v/>
      </c>
    </row>
    <row r="52">
      <c r="A52" s="61">
        <f>IF('VALOR POR PL'!Q16="",'VALOR POR PL'!C16,'VALOR POR PL'!Q16)</f>
        <v/>
      </c>
      <c r="B52" s="51">
        <f>B10</f>
        <v/>
      </c>
      <c r="C52" s="70">
        <f>IFERROR(MATCH(A52,'CURVA PREVISION'!$B$1:$B$3000,0),"")</f>
        <v/>
      </c>
      <c r="D52" s="130">
        <f>IF(OR($C52="",$B$2="",$D$2=0),0,IF(D$3&lt;0,0,N(INDEX('CURVA PREVISION'!$A$1:$KZ$3000,$C52,11+3*MIN(D$3,$D$2-1)))))</f>
        <v/>
      </c>
      <c r="E52" s="130">
        <f>IF(OR($C52="",$B$2="",$D$2=0),0,IF(E$3&lt;0,0,N(INDEX('CURVA PREVISION'!$A$1:$KZ$3000,$C52,11+3*MIN(E$3,$D$2-1)))))</f>
        <v/>
      </c>
      <c r="F52" s="130">
        <f>IF(OR($C52="",$B$2="",$D$2=0),0,IF(F$3&lt;0,0,N(INDEX('CURVA PREVISION'!$A$1:$KZ$3000,$C52,11+3*MIN(F$3,$D$2-1)))))</f>
        <v/>
      </c>
      <c r="G52" s="130">
        <f>IF(OR($C52="",$B$2="",$D$2=0),0,IF(G$3&lt;0,0,N(INDEX('CURVA PREVISION'!$A$1:$KZ$3000,$C52,11+3*MIN(G$3,$D$2-1)))))</f>
        <v/>
      </c>
      <c r="H52" s="130">
        <f>IF(OR($C52="",$B$2="",$D$2=0),0,IF(H$3&lt;0,0,N(INDEX('CURVA PREVISION'!$A$1:$KZ$3000,$C52,11+3*MIN(H$3,$D$2-1)))))</f>
        <v/>
      </c>
      <c r="I52" s="130">
        <f>IF(OR($C52="",$B$2="",$D$2=0),0,IF(I$3&lt;0,0,N(INDEX('CURVA PREVISION'!$A$1:$KZ$3000,$C52,11+3*MIN(I$3,$D$2-1)))))</f>
        <v/>
      </c>
      <c r="J52" s="130">
        <f>IF(OR($C52="",$B$2="",$D$2=0),0,IF(J$3&lt;0,0,N(INDEX('CURVA PREVISION'!$A$1:$KZ$3000,$C52,11+3*MIN(J$3,$D$2-1)))))</f>
        <v/>
      </c>
      <c r="K52" s="130">
        <f>IF(OR($C52="",$B$2="",$D$2=0),0,IF(K$3&lt;0,0,N(INDEX('CURVA PREVISION'!$A$1:$KZ$3000,$C52,11+3*MIN(K$3,$D$2-1)))))</f>
        <v/>
      </c>
      <c r="L52" s="130">
        <f>IF(OR($C52="",$B$2="",$D$2=0),0,IF(L$3&lt;0,0,N(INDEX('CURVA PREVISION'!$A$1:$KZ$3000,$C52,11+3*MIN(L$3,$D$2-1)))))</f>
        <v/>
      </c>
      <c r="M52" s="130">
        <f>IF(OR($C52="",$B$2="",$D$2=0),0,IF(M$3&lt;0,0,N(INDEX('CURVA PREVISION'!$A$1:$KZ$3000,$C52,11+3*MIN(M$3,$D$2-1)))))</f>
        <v/>
      </c>
      <c r="N52" s="130">
        <f>IF(OR($C52="",$B$2="",$D$2=0),0,IF(N$3&lt;0,0,N(INDEX('CURVA PREVISION'!$A$1:$KZ$3000,$C52,11+3*MIN(N$3,$D$2-1)))))</f>
        <v/>
      </c>
      <c r="O52" s="130">
        <f>IF(OR($C52="",$B$2="",$D$2=0),0,IF(O$3&lt;0,0,N(INDEX('CURVA PREVISION'!$A$1:$KZ$3000,$C52,11+3*MIN(O$3,$D$2-1)))))</f>
        <v/>
      </c>
      <c r="P52" s="130">
        <f>IF(OR($C52="",$B$2="",$D$2=0),0,IF(P$3&lt;0,0,N(INDEX('CURVA PREVISION'!$A$1:$KZ$3000,$C52,11+3*MIN(P$3,$D$2-1)))))</f>
        <v/>
      </c>
      <c r="Q52" s="130">
        <f>IF(OR($C52="",$B$2="",$D$2=0),0,IF(Q$3&lt;0,0,N(INDEX('CURVA PREVISION'!$A$1:$KZ$3000,$C52,11+3*MIN(Q$3,$D$2-1)))))</f>
        <v/>
      </c>
      <c r="R52" s="130">
        <f>IF(OR($C52="",$B$2="",$D$2=0),0,IF(R$3&lt;0,0,N(INDEX('CURVA PREVISION'!$A$1:$KZ$3000,$C52,11+3*MIN(R$3,$D$2-1)))))</f>
        <v/>
      </c>
      <c r="S52" s="130">
        <f>IF(OR($C52="",$B$2="",$D$2=0),0,IF(S$3&lt;0,0,N(INDEX('CURVA PREVISION'!$A$1:$KZ$3000,$C52,11+3*MIN(S$3,$D$2-1)))))</f>
        <v/>
      </c>
      <c r="T52" s="130">
        <f>IF(OR($C52="",$B$2="",$D$2=0),0,IF(T$3&lt;0,0,N(INDEX('CURVA PREVISION'!$A$1:$KZ$3000,$C52,11+3*MIN(T$3,$D$2-1)))))</f>
        <v/>
      </c>
      <c r="U52" s="130">
        <f>IF(OR($C52="",$B$2="",$D$2=0),0,IF(U$3&lt;0,0,N(INDEX('CURVA PREVISION'!$A$1:$KZ$3000,$C52,11+3*MIN(U$3,$D$2-1)))))</f>
        <v/>
      </c>
      <c r="V52" s="130">
        <f>IF(OR($C52="",$B$2="",$D$2=0),0,IF(V$3&lt;0,0,N(INDEX('CURVA PREVISION'!$A$1:$KZ$3000,$C52,11+3*MIN(V$3,$D$2-1)))))</f>
        <v/>
      </c>
      <c r="W52" s="130">
        <f>IF(OR($C52="",$B$2="",$D$2=0),0,IF(W$3&lt;0,0,N(INDEX('CURVA PREVISION'!$A$1:$KZ$3000,$C52,11+3*MIN(W$3,$D$2-1)))))</f>
        <v/>
      </c>
      <c r="X52" s="130">
        <f>IF(OR($C52="",$B$2="",$D$2=0),0,IF(X$3&lt;0,0,N(INDEX('CURVA PREVISION'!$A$1:$KZ$3000,$C52,11+3*MIN(X$3,$D$2-1)))))</f>
        <v/>
      </c>
      <c r="Y52" s="130">
        <f>IF(OR($C52="",$B$2="",$D$2=0),0,IF(Y$3&lt;0,0,N(INDEX('CURVA PREVISION'!$A$1:$KZ$3000,$C52,11+3*MIN(Y$3,$D$2-1)))))</f>
        <v/>
      </c>
      <c r="Z52" s="130">
        <f>IF(OR($C52="",$B$2="",$D$2=0),0,IF(Z$3&lt;0,0,N(INDEX('CURVA PREVISION'!$A$1:$KZ$3000,$C52,11+3*MIN(Z$3,$D$2-1)))))</f>
        <v/>
      </c>
      <c r="AA52" s="130">
        <f>IF(OR($C52="",$B$2="",$D$2=0),0,IF(AA$3&lt;0,0,N(INDEX('CURVA PREVISION'!$A$1:$KZ$3000,$C52,11+3*MIN(AA$3,$D$2-1)))))</f>
        <v/>
      </c>
      <c r="AB52" s="130">
        <f>IF(OR($C52="",$B$2="",$D$2=0),0,IF(AB$3&lt;0,0,N(INDEX('CURVA PREVISION'!$A$1:$KZ$3000,$C52,11+3*MIN(AB$3,$D$2-1)))))</f>
        <v/>
      </c>
      <c r="AC52" s="130">
        <f>IF(OR($C52="",$B$2="",$D$2=0),0,IF(AC$3&lt;0,0,N(INDEX('CURVA PREVISION'!$A$1:$KZ$3000,$C52,11+3*MIN(AC$3,$D$2-1)))))</f>
        <v/>
      </c>
      <c r="AD52" s="130">
        <f>IF(OR($C52="",$B$2="",$D$2=0),0,IF(AD$3&lt;0,0,N(INDEX('CURVA PREVISION'!$A$1:$KZ$3000,$C52,11+3*MIN(AD$3,$D$2-1)))))</f>
        <v/>
      </c>
      <c r="AE52" s="130">
        <f>IF(OR($C52="",$B$2="",$D$2=0),0,IF(AE$3&lt;0,0,N(INDEX('CURVA PREVISION'!$A$1:$KZ$3000,$C52,11+3*MIN(AE$3,$D$2-1)))))</f>
        <v/>
      </c>
      <c r="AF52" s="130">
        <f>IF(OR($C52="",$B$2="",$D$2=0),0,IF(AF$3&lt;0,0,N(INDEX('CURVA PREVISION'!$A$1:$KZ$3000,$C52,11+3*MIN(AF$3,$D$2-1)))))</f>
        <v/>
      </c>
      <c r="AG52" s="130">
        <f>IF(OR($C52="",$B$2="",$D$2=0),0,IF(AG$3&lt;0,0,N(INDEX('CURVA PREVISION'!$A$1:$KZ$3000,$C52,11+3*MIN(AG$3,$D$2-1)))))</f>
        <v/>
      </c>
      <c r="AH52" s="130">
        <f>IF(OR($C52="",$B$2="",$D$2=0),0,IF(AH$3&lt;0,0,N(INDEX('CURVA PREVISION'!$A$1:$KZ$3000,$C52,11+3*MIN(AH$3,$D$2-1)))))</f>
        <v/>
      </c>
      <c r="AI52" s="130">
        <f>IF(OR($C52="",$B$2="",$D$2=0),0,IF(AI$3&lt;0,0,N(INDEX('CURVA PREVISION'!$A$1:$KZ$3000,$C52,11+3*MIN(AI$3,$D$2-1)))))</f>
        <v/>
      </c>
      <c r="AJ52" s="130">
        <f>IF(OR($C52="",$B$2="",$D$2=0),0,IF(AJ$3&lt;0,0,N(INDEX('CURVA PREVISION'!$A$1:$KZ$3000,$C52,11+3*MIN(AJ$3,$D$2-1)))))</f>
        <v/>
      </c>
      <c r="AK52" s="130">
        <f>IF(OR($C52="",$B$2="",$D$2=0),0,IF(AK$3&lt;0,0,N(INDEX('CURVA PREVISION'!$A$1:$KZ$3000,$C52,11+3*MIN(AK$3,$D$2-1)))))</f>
        <v/>
      </c>
      <c r="AL52" s="130">
        <f>IF(OR($C52="",$B$2="",$D$2=0),0,IF(AL$3&lt;0,0,N(INDEX('CURVA PREVISION'!$A$1:$KZ$3000,$C52,11+3*MIN(AL$3,$D$2-1)))))</f>
        <v/>
      </c>
      <c r="AM52" s="130">
        <f>IF(OR($C52="",$B$2="",$D$2=0),0,IF(AM$3&lt;0,0,N(INDEX('CURVA PREVISION'!$A$1:$KZ$3000,$C52,11+3*MIN(AM$3,$D$2-1)))))</f>
        <v/>
      </c>
      <c r="AN52" s="130">
        <f>IF(OR($C52="",$B$2="",$D$2=0),0,IF(AN$3&lt;0,0,N(INDEX('CURVA PREVISION'!$A$1:$KZ$3000,$C52,11+3*MIN(AN$3,$D$2-1)))))</f>
        <v/>
      </c>
      <c r="AO52" s="130">
        <f>IF(OR($C52="",$B$2="",$D$2=0),0,IF(AO$3&lt;0,0,N(INDEX('CURVA PREVISION'!$A$1:$KZ$3000,$C52,11+3*MIN(AO$3,$D$2-1)))))</f>
        <v/>
      </c>
      <c r="AP52" s="130">
        <f>IF(OR($C52="",$B$2="",$D$2=0),0,IF(AP$3&lt;0,0,N(INDEX('CURVA PREVISION'!$A$1:$KZ$3000,$C52,11+3*MIN(AP$3,$D$2-1)))))</f>
        <v/>
      </c>
      <c r="AQ52" s="130">
        <f>IF(OR($C52="",$B$2="",$D$2=0),0,IF(AQ$3&lt;0,0,N(INDEX('CURVA PREVISION'!$A$1:$KZ$3000,$C52,11+3*MIN(AQ$3,$D$2-1)))))</f>
        <v/>
      </c>
      <c r="AR52" s="130">
        <f>IF(OR($C52="",$B$2="",$D$2=0),0,IF(AR$3&lt;0,0,N(INDEX('CURVA PREVISION'!$A$1:$KZ$3000,$C52,11+3*MIN(AR$3,$D$2-1)))))</f>
        <v/>
      </c>
      <c r="AS52" s="130">
        <f>IF(OR($C52="",$B$2="",$D$2=0),0,IF(AS$3&lt;0,0,N(INDEX('CURVA PREVISION'!$A$1:$KZ$3000,$C52,11+3*MIN(AS$3,$D$2-1)))))</f>
        <v/>
      </c>
      <c r="AT52" s="130">
        <f>IF(OR($C52="",$B$2="",$D$2=0),0,IF(AT$3&lt;0,0,N(INDEX('CURVA PREVISION'!$A$1:$KZ$3000,$C52,11+3*MIN(AT$3,$D$2-1)))))</f>
        <v/>
      </c>
      <c r="AU52" s="130">
        <f>IF(OR($C52="",$B$2="",$D$2=0),0,IF(AU$3&lt;0,0,N(INDEX('CURVA PREVISION'!$A$1:$KZ$3000,$C52,11+3*MIN(AU$3,$D$2-1)))))</f>
        <v/>
      </c>
      <c r="AV52" s="130">
        <f>IF(OR($C52="",$B$2="",$D$2=0),0,IF(AV$3&lt;0,0,N(INDEX('CURVA PREVISION'!$A$1:$KZ$3000,$C52,11+3*MIN(AV$3,$D$2-1)))))</f>
        <v/>
      </c>
      <c r="AW52" s="130">
        <f>IF(OR($C52="",$B$2="",$D$2=0),0,IF(AW$3&lt;0,0,N(INDEX('CURVA PREVISION'!$A$1:$KZ$3000,$C52,11+3*MIN(AW$3,$D$2-1)))))</f>
        <v/>
      </c>
      <c r="AX52" s="130">
        <f>IF(OR($C52="",$B$2="",$D$2=0),0,IF(AX$3&lt;0,0,N(INDEX('CURVA PREVISION'!$A$1:$KZ$3000,$C52,11+3*MIN(AX$3,$D$2-1)))))</f>
        <v/>
      </c>
      <c r="AY52" s="130">
        <f>IF(OR($C52="",$B$2="",$D$2=0),0,IF(AY$3&lt;0,0,N(INDEX('CURVA PREVISION'!$A$1:$KZ$3000,$C52,11+3*MIN(AY$3,$D$2-1)))))</f>
        <v/>
      </c>
      <c r="AZ52" s="130">
        <f>IF(OR($C52="",$B$2="",$D$2=0),0,IF(AZ$3&lt;0,0,N(INDEX('CURVA PREVISION'!$A$1:$KZ$3000,$C52,11+3*MIN(AZ$3,$D$2-1)))))</f>
        <v/>
      </c>
      <c r="BA52" s="130">
        <f>IF(OR($C52="",$B$2="",$D$2=0),0,IF(BA$3&lt;0,0,N(INDEX('CURVA PREVISION'!$A$1:$KZ$3000,$C52,11+3*MIN(BA$3,$D$2-1)))))</f>
        <v/>
      </c>
      <c r="BB52" s="130">
        <f>IF(OR($C52="",$B$2="",$D$2=0),0,IF(BB$3&lt;0,0,N(INDEX('CURVA PREVISION'!$A$1:$KZ$3000,$C52,11+3*MIN(BB$3,$D$2-1)))))</f>
        <v/>
      </c>
      <c r="BC52" s="130">
        <f>IF(OR($C52="",$B$2="",$D$2=0),0,IF(BC$3&lt;0,0,N(INDEX('CURVA PREVISION'!$A$1:$KZ$3000,$C52,11+3*MIN(BC$3,$D$2-1)))))</f>
        <v/>
      </c>
      <c r="BD52" s="130">
        <f>IF(OR($C52="",$B$2="",$D$2=0),0,IF(BD$3&lt;0,0,N(INDEX('CURVA PREVISION'!$A$1:$KZ$3000,$C52,11+3*MIN(BD$3,$D$2-1)))))</f>
        <v/>
      </c>
      <c r="BE52" s="130">
        <f>IF(OR($C52="",$B$2="",$D$2=0),0,IF(BE$3&lt;0,0,N(INDEX('CURVA PREVISION'!$A$1:$KZ$3000,$C52,11+3*MIN(BE$3,$D$2-1)))))</f>
        <v/>
      </c>
      <c r="BF52" s="130">
        <f>IF(OR($C52="",$B$2="",$D$2=0),0,IF(BF$3&lt;0,0,N(INDEX('CURVA PREVISION'!$A$1:$KZ$3000,$C52,11+3*MIN(BF$3,$D$2-1)))))</f>
        <v/>
      </c>
      <c r="BG52" s="130">
        <f>IF(OR($C52="",$B$2="",$D$2=0),0,IF(BG$3&lt;0,0,N(INDEX('CURVA PREVISION'!$A$1:$KZ$3000,$C52,11+3*MIN(BG$3,$D$2-1)))))</f>
        <v/>
      </c>
      <c r="BH52" s="130">
        <f>IF(OR($C52="",$B$2="",$D$2=0),0,IF(BH$3&lt;0,0,N(INDEX('CURVA PREVISION'!$A$1:$KZ$3000,$C52,11+3*MIN(BH$3,$D$2-1)))))</f>
        <v/>
      </c>
      <c r="BI52" s="130">
        <f>IF(OR($C52="",$B$2="",$D$2=0),0,IF(BI$3&lt;0,0,N(INDEX('CURVA PREVISION'!$A$1:$KZ$3000,$C52,11+3*MIN(BI$3,$D$2-1)))))</f>
        <v/>
      </c>
      <c r="BJ52" s="130">
        <f>IF(OR($C52="",$B$2="",$D$2=0),0,IF(BJ$3&lt;0,0,N(INDEX('CURVA PREVISION'!$A$1:$KZ$3000,$C52,11+3*MIN(BJ$3,$D$2-1)))))</f>
        <v/>
      </c>
      <c r="BK52" s="130">
        <f>IF(OR($C52="",$B$2="",$D$2=0),0,IF(BK$3&lt;0,0,N(INDEX('CURVA PREVISION'!$A$1:$KZ$3000,$C52,11+3*MIN(BK$3,$D$2-1)))))</f>
        <v/>
      </c>
      <c r="BL52" s="130">
        <f>IF(OR($C52="",$B$2="",$D$2=0),0,IF(BL$3&lt;0,0,N(INDEX('CURVA PREVISION'!$A$1:$KZ$3000,$C52,11+3*MIN(BL$3,$D$2-1)))))</f>
        <v/>
      </c>
      <c r="BM52" s="130">
        <f>IF(OR($C52="",$B$2="",$D$2=0),0,IF(BM$3&lt;0,0,N(INDEX('CURVA PREVISION'!$A$1:$KZ$3000,$C52,11+3*MIN(BM$3,$D$2-1)))))</f>
        <v/>
      </c>
      <c r="BN52" s="130">
        <f>IF(OR($C52="",$B$2="",$D$2=0),0,IF(BN$3&lt;0,0,N(INDEX('CURVA PREVISION'!$A$1:$KZ$3000,$C52,11+3*MIN(BN$3,$D$2-1)))))</f>
        <v/>
      </c>
      <c r="BO52" s="130">
        <f>IF(OR($C52="",$B$2="",$D$2=0),0,IF(BO$3&lt;0,0,N(INDEX('CURVA PREVISION'!$A$1:$KZ$3000,$C52,11+3*MIN(BO$3,$D$2-1)))))</f>
        <v/>
      </c>
      <c r="BP52" s="130">
        <f>IF(OR($C52="",$B$2="",$D$2=0),0,IF(BP$3&lt;0,0,N(INDEX('CURVA PREVISION'!$A$1:$KZ$3000,$C52,11+3*MIN(BP$3,$D$2-1)))))</f>
        <v/>
      </c>
      <c r="BQ52" s="130">
        <f>IF(OR($C52="",$B$2="",$D$2=0),0,IF(BQ$3&lt;0,0,N(INDEX('CURVA PREVISION'!$A$1:$KZ$3000,$C52,11+3*MIN(BQ$3,$D$2-1)))))</f>
        <v/>
      </c>
      <c r="BR52" s="130">
        <f>IF(OR($C52="",$B$2="",$D$2=0),0,IF(BR$3&lt;0,0,N(INDEX('CURVA PREVISION'!$A$1:$KZ$3000,$C52,11+3*MIN(BR$3,$D$2-1)))))</f>
        <v/>
      </c>
      <c r="BS52" s="130">
        <f>IF(OR($C52="",$B$2="",$D$2=0),0,IF(BS$3&lt;0,0,N(INDEX('CURVA PREVISION'!$A$1:$KZ$3000,$C52,11+3*MIN(BS$3,$D$2-1)))))</f>
        <v/>
      </c>
      <c r="BT52" s="130">
        <f>IF(OR($C52="",$B$2="",$D$2=0),0,IF(BT$3&lt;0,0,N(INDEX('CURVA PREVISION'!$A$1:$KZ$3000,$C52,11+3*MIN(BT$3,$D$2-1)))))</f>
        <v/>
      </c>
      <c r="BU52" s="130">
        <f>IF(OR($C52="",$B$2="",$D$2=0),0,IF(BU$3&lt;0,0,N(INDEX('CURVA PREVISION'!$A$1:$KZ$3000,$C52,11+3*MIN(BU$3,$D$2-1)))))</f>
        <v/>
      </c>
      <c r="BV52" s="130">
        <f>IF(OR($C52="",$B$2="",$D$2=0),0,IF(BV$3&lt;0,0,N(INDEX('CURVA PREVISION'!$A$1:$KZ$3000,$C52,11+3*MIN(BV$3,$D$2-1)))))</f>
        <v/>
      </c>
      <c r="BW52" s="130">
        <f>IF(OR($C52="",$B$2="",$D$2=0),0,IF(BW$3&lt;0,0,N(INDEX('CURVA PREVISION'!$A$1:$KZ$3000,$C52,11+3*MIN(BW$3,$D$2-1)))))</f>
        <v/>
      </c>
    </row>
    <row r="53">
      <c r="A53" s="61">
        <f>IF('VALOR POR PL'!Q17="",'VALOR POR PL'!C17,'VALOR POR PL'!Q17)</f>
        <v/>
      </c>
      <c r="B53" s="51">
        <f>B11</f>
        <v/>
      </c>
      <c r="C53" s="70">
        <f>IFERROR(MATCH(A53,'CURVA PREVISION'!$B$1:$B$3000,0),"")</f>
        <v/>
      </c>
      <c r="D53" s="130">
        <f>IF(OR($C53="",$B$2="",$D$2=0),0,IF(D$3&lt;0,0,N(INDEX('CURVA PREVISION'!$A$1:$KZ$3000,$C53,11+3*MIN(D$3,$D$2-1)))))</f>
        <v/>
      </c>
      <c r="E53" s="130">
        <f>IF(OR($C53="",$B$2="",$D$2=0),0,IF(E$3&lt;0,0,N(INDEX('CURVA PREVISION'!$A$1:$KZ$3000,$C53,11+3*MIN(E$3,$D$2-1)))))</f>
        <v/>
      </c>
      <c r="F53" s="130">
        <f>IF(OR($C53="",$B$2="",$D$2=0),0,IF(F$3&lt;0,0,N(INDEX('CURVA PREVISION'!$A$1:$KZ$3000,$C53,11+3*MIN(F$3,$D$2-1)))))</f>
        <v/>
      </c>
      <c r="G53" s="130">
        <f>IF(OR($C53="",$B$2="",$D$2=0),0,IF(G$3&lt;0,0,N(INDEX('CURVA PREVISION'!$A$1:$KZ$3000,$C53,11+3*MIN(G$3,$D$2-1)))))</f>
        <v/>
      </c>
      <c r="H53" s="130">
        <f>IF(OR($C53="",$B$2="",$D$2=0),0,IF(H$3&lt;0,0,N(INDEX('CURVA PREVISION'!$A$1:$KZ$3000,$C53,11+3*MIN(H$3,$D$2-1)))))</f>
        <v/>
      </c>
      <c r="I53" s="130">
        <f>IF(OR($C53="",$B$2="",$D$2=0),0,IF(I$3&lt;0,0,N(INDEX('CURVA PREVISION'!$A$1:$KZ$3000,$C53,11+3*MIN(I$3,$D$2-1)))))</f>
        <v/>
      </c>
      <c r="J53" s="130">
        <f>IF(OR($C53="",$B$2="",$D$2=0),0,IF(J$3&lt;0,0,N(INDEX('CURVA PREVISION'!$A$1:$KZ$3000,$C53,11+3*MIN(J$3,$D$2-1)))))</f>
        <v/>
      </c>
      <c r="K53" s="130">
        <f>IF(OR($C53="",$B$2="",$D$2=0),0,IF(K$3&lt;0,0,N(INDEX('CURVA PREVISION'!$A$1:$KZ$3000,$C53,11+3*MIN(K$3,$D$2-1)))))</f>
        <v/>
      </c>
      <c r="L53" s="130">
        <f>IF(OR($C53="",$B$2="",$D$2=0),0,IF(L$3&lt;0,0,N(INDEX('CURVA PREVISION'!$A$1:$KZ$3000,$C53,11+3*MIN(L$3,$D$2-1)))))</f>
        <v/>
      </c>
      <c r="M53" s="130">
        <f>IF(OR($C53="",$B$2="",$D$2=0),0,IF(M$3&lt;0,0,N(INDEX('CURVA PREVISION'!$A$1:$KZ$3000,$C53,11+3*MIN(M$3,$D$2-1)))))</f>
        <v/>
      </c>
      <c r="N53" s="130">
        <f>IF(OR($C53="",$B$2="",$D$2=0),0,IF(N$3&lt;0,0,N(INDEX('CURVA PREVISION'!$A$1:$KZ$3000,$C53,11+3*MIN(N$3,$D$2-1)))))</f>
        <v/>
      </c>
      <c r="O53" s="130">
        <f>IF(OR($C53="",$B$2="",$D$2=0),0,IF(O$3&lt;0,0,N(INDEX('CURVA PREVISION'!$A$1:$KZ$3000,$C53,11+3*MIN(O$3,$D$2-1)))))</f>
        <v/>
      </c>
      <c r="P53" s="130">
        <f>IF(OR($C53="",$B$2="",$D$2=0),0,IF(P$3&lt;0,0,N(INDEX('CURVA PREVISION'!$A$1:$KZ$3000,$C53,11+3*MIN(P$3,$D$2-1)))))</f>
        <v/>
      </c>
      <c r="Q53" s="130">
        <f>IF(OR($C53="",$B$2="",$D$2=0),0,IF(Q$3&lt;0,0,N(INDEX('CURVA PREVISION'!$A$1:$KZ$3000,$C53,11+3*MIN(Q$3,$D$2-1)))))</f>
        <v/>
      </c>
      <c r="R53" s="130">
        <f>IF(OR($C53="",$B$2="",$D$2=0),0,IF(R$3&lt;0,0,N(INDEX('CURVA PREVISION'!$A$1:$KZ$3000,$C53,11+3*MIN(R$3,$D$2-1)))))</f>
        <v/>
      </c>
      <c r="S53" s="130">
        <f>IF(OR($C53="",$B$2="",$D$2=0),0,IF(S$3&lt;0,0,N(INDEX('CURVA PREVISION'!$A$1:$KZ$3000,$C53,11+3*MIN(S$3,$D$2-1)))))</f>
        <v/>
      </c>
      <c r="T53" s="130">
        <f>IF(OR($C53="",$B$2="",$D$2=0),0,IF(T$3&lt;0,0,N(INDEX('CURVA PREVISION'!$A$1:$KZ$3000,$C53,11+3*MIN(T$3,$D$2-1)))))</f>
        <v/>
      </c>
      <c r="U53" s="130">
        <f>IF(OR($C53="",$B$2="",$D$2=0),0,IF(U$3&lt;0,0,N(INDEX('CURVA PREVISION'!$A$1:$KZ$3000,$C53,11+3*MIN(U$3,$D$2-1)))))</f>
        <v/>
      </c>
      <c r="V53" s="130">
        <f>IF(OR($C53="",$B$2="",$D$2=0),0,IF(V$3&lt;0,0,N(INDEX('CURVA PREVISION'!$A$1:$KZ$3000,$C53,11+3*MIN(V$3,$D$2-1)))))</f>
        <v/>
      </c>
      <c r="W53" s="130">
        <f>IF(OR($C53="",$B$2="",$D$2=0),0,IF(W$3&lt;0,0,N(INDEX('CURVA PREVISION'!$A$1:$KZ$3000,$C53,11+3*MIN(W$3,$D$2-1)))))</f>
        <v/>
      </c>
      <c r="X53" s="130">
        <f>IF(OR($C53="",$B$2="",$D$2=0),0,IF(X$3&lt;0,0,N(INDEX('CURVA PREVISION'!$A$1:$KZ$3000,$C53,11+3*MIN(X$3,$D$2-1)))))</f>
        <v/>
      </c>
      <c r="Y53" s="130">
        <f>IF(OR($C53="",$B$2="",$D$2=0),0,IF(Y$3&lt;0,0,N(INDEX('CURVA PREVISION'!$A$1:$KZ$3000,$C53,11+3*MIN(Y$3,$D$2-1)))))</f>
        <v/>
      </c>
      <c r="Z53" s="130">
        <f>IF(OR($C53="",$B$2="",$D$2=0),0,IF(Z$3&lt;0,0,N(INDEX('CURVA PREVISION'!$A$1:$KZ$3000,$C53,11+3*MIN(Z$3,$D$2-1)))))</f>
        <v/>
      </c>
      <c r="AA53" s="130">
        <f>IF(OR($C53="",$B$2="",$D$2=0),0,IF(AA$3&lt;0,0,N(INDEX('CURVA PREVISION'!$A$1:$KZ$3000,$C53,11+3*MIN(AA$3,$D$2-1)))))</f>
        <v/>
      </c>
      <c r="AB53" s="130">
        <f>IF(OR($C53="",$B$2="",$D$2=0),0,IF(AB$3&lt;0,0,N(INDEX('CURVA PREVISION'!$A$1:$KZ$3000,$C53,11+3*MIN(AB$3,$D$2-1)))))</f>
        <v/>
      </c>
      <c r="AC53" s="130">
        <f>IF(OR($C53="",$B$2="",$D$2=0),0,IF(AC$3&lt;0,0,N(INDEX('CURVA PREVISION'!$A$1:$KZ$3000,$C53,11+3*MIN(AC$3,$D$2-1)))))</f>
        <v/>
      </c>
      <c r="AD53" s="130">
        <f>IF(OR($C53="",$B$2="",$D$2=0),0,IF(AD$3&lt;0,0,N(INDEX('CURVA PREVISION'!$A$1:$KZ$3000,$C53,11+3*MIN(AD$3,$D$2-1)))))</f>
        <v/>
      </c>
      <c r="AE53" s="130">
        <f>IF(OR($C53="",$B$2="",$D$2=0),0,IF(AE$3&lt;0,0,N(INDEX('CURVA PREVISION'!$A$1:$KZ$3000,$C53,11+3*MIN(AE$3,$D$2-1)))))</f>
        <v/>
      </c>
      <c r="AF53" s="130">
        <f>IF(OR($C53="",$B$2="",$D$2=0),0,IF(AF$3&lt;0,0,N(INDEX('CURVA PREVISION'!$A$1:$KZ$3000,$C53,11+3*MIN(AF$3,$D$2-1)))))</f>
        <v/>
      </c>
      <c r="AG53" s="130">
        <f>IF(OR($C53="",$B$2="",$D$2=0),0,IF(AG$3&lt;0,0,N(INDEX('CURVA PREVISION'!$A$1:$KZ$3000,$C53,11+3*MIN(AG$3,$D$2-1)))))</f>
        <v/>
      </c>
      <c r="AH53" s="130">
        <f>IF(OR($C53="",$B$2="",$D$2=0),0,IF(AH$3&lt;0,0,N(INDEX('CURVA PREVISION'!$A$1:$KZ$3000,$C53,11+3*MIN(AH$3,$D$2-1)))))</f>
        <v/>
      </c>
      <c r="AI53" s="130">
        <f>IF(OR($C53="",$B$2="",$D$2=0),0,IF(AI$3&lt;0,0,N(INDEX('CURVA PREVISION'!$A$1:$KZ$3000,$C53,11+3*MIN(AI$3,$D$2-1)))))</f>
        <v/>
      </c>
      <c r="AJ53" s="130">
        <f>IF(OR($C53="",$B$2="",$D$2=0),0,IF(AJ$3&lt;0,0,N(INDEX('CURVA PREVISION'!$A$1:$KZ$3000,$C53,11+3*MIN(AJ$3,$D$2-1)))))</f>
        <v/>
      </c>
      <c r="AK53" s="130">
        <f>IF(OR($C53="",$B$2="",$D$2=0),0,IF(AK$3&lt;0,0,N(INDEX('CURVA PREVISION'!$A$1:$KZ$3000,$C53,11+3*MIN(AK$3,$D$2-1)))))</f>
        <v/>
      </c>
      <c r="AL53" s="130">
        <f>IF(OR($C53="",$B$2="",$D$2=0),0,IF(AL$3&lt;0,0,N(INDEX('CURVA PREVISION'!$A$1:$KZ$3000,$C53,11+3*MIN(AL$3,$D$2-1)))))</f>
        <v/>
      </c>
      <c r="AM53" s="130">
        <f>IF(OR($C53="",$B$2="",$D$2=0),0,IF(AM$3&lt;0,0,N(INDEX('CURVA PREVISION'!$A$1:$KZ$3000,$C53,11+3*MIN(AM$3,$D$2-1)))))</f>
        <v/>
      </c>
      <c r="AN53" s="130">
        <f>IF(OR($C53="",$B$2="",$D$2=0),0,IF(AN$3&lt;0,0,N(INDEX('CURVA PREVISION'!$A$1:$KZ$3000,$C53,11+3*MIN(AN$3,$D$2-1)))))</f>
        <v/>
      </c>
      <c r="AO53" s="130">
        <f>IF(OR($C53="",$B$2="",$D$2=0),0,IF(AO$3&lt;0,0,N(INDEX('CURVA PREVISION'!$A$1:$KZ$3000,$C53,11+3*MIN(AO$3,$D$2-1)))))</f>
        <v/>
      </c>
      <c r="AP53" s="130">
        <f>IF(OR($C53="",$B$2="",$D$2=0),0,IF(AP$3&lt;0,0,N(INDEX('CURVA PREVISION'!$A$1:$KZ$3000,$C53,11+3*MIN(AP$3,$D$2-1)))))</f>
        <v/>
      </c>
      <c r="AQ53" s="130">
        <f>IF(OR($C53="",$B$2="",$D$2=0),0,IF(AQ$3&lt;0,0,N(INDEX('CURVA PREVISION'!$A$1:$KZ$3000,$C53,11+3*MIN(AQ$3,$D$2-1)))))</f>
        <v/>
      </c>
      <c r="AR53" s="130">
        <f>IF(OR($C53="",$B$2="",$D$2=0),0,IF(AR$3&lt;0,0,N(INDEX('CURVA PREVISION'!$A$1:$KZ$3000,$C53,11+3*MIN(AR$3,$D$2-1)))))</f>
        <v/>
      </c>
      <c r="AS53" s="130">
        <f>IF(OR($C53="",$B$2="",$D$2=0),0,IF(AS$3&lt;0,0,N(INDEX('CURVA PREVISION'!$A$1:$KZ$3000,$C53,11+3*MIN(AS$3,$D$2-1)))))</f>
        <v/>
      </c>
      <c r="AT53" s="130">
        <f>IF(OR($C53="",$B$2="",$D$2=0),0,IF(AT$3&lt;0,0,N(INDEX('CURVA PREVISION'!$A$1:$KZ$3000,$C53,11+3*MIN(AT$3,$D$2-1)))))</f>
        <v/>
      </c>
      <c r="AU53" s="130">
        <f>IF(OR($C53="",$B$2="",$D$2=0),0,IF(AU$3&lt;0,0,N(INDEX('CURVA PREVISION'!$A$1:$KZ$3000,$C53,11+3*MIN(AU$3,$D$2-1)))))</f>
        <v/>
      </c>
      <c r="AV53" s="130">
        <f>IF(OR($C53="",$B$2="",$D$2=0),0,IF(AV$3&lt;0,0,N(INDEX('CURVA PREVISION'!$A$1:$KZ$3000,$C53,11+3*MIN(AV$3,$D$2-1)))))</f>
        <v/>
      </c>
      <c r="AW53" s="130">
        <f>IF(OR($C53="",$B$2="",$D$2=0),0,IF(AW$3&lt;0,0,N(INDEX('CURVA PREVISION'!$A$1:$KZ$3000,$C53,11+3*MIN(AW$3,$D$2-1)))))</f>
        <v/>
      </c>
      <c r="AX53" s="130">
        <f>IF(OR($C53="",$B$2="",$D$2=0),0,IF(AX$3&lt;0,0,N(INDEX('CURVA PREVISION'!$A$1:$KZ$3000,$C53,11+3*MIN(AX$3,$D$2-1)))))</f>
        <v/>
      </c>
      <c r="AY53" s="130">
        <f>IF(OR($C53="",$B$2="",$D$2=0),0,IF(AY$3&lt;0,0,N(INDEX('CURVA PREVISION'!$A$1:$KZ$3000,$C53,11+3*MIN(AY$3,$D$2-1)))))</f>
        <v/>
      </c>
      <c r="AZ53" s="130">
        <f>IF(OR($C53="",$B$2="",$D$2=0),0,IF(AZ$3&lt;0,0,N(INDEX('CURVA PREVISION'!$A$1:$KZ$3000,$C53,11+3*MIN(AZ$3,$D$2-1)))))</f>
        <v/>
      </c>
      <c r="BA53" s="130">
        <f>IF(OR($C53="",$B$2="",$D$2=0),0,IF(BA$3&lt;0,0,N(INDEX('CURVA PREVISION'!$A$1:$KZ$3000,$C53,11+3*MIN(BA$3,$D$2-1)))))</f>
        <v/>
      </c>
      <c r="BB53" s="130">
        <f>IF(OR($C53="",$B$2="",$D$2=0),0,IF(BB$3&lt;0,0,N(INDEX('CURVA PREVISION'!$A$1:$KZ$3000,$C53,11+3*MIN(BB$3,$D$2-1)))))</f>
        <v/>
      </c>
      <c r="BC53" s="130">
        <f>IF(OR($C53="",$B$2="",$D$2=0),0,IF(BC$3&lt;0,0,N(INDEX('CURVA PREVISION'!$A$1:$KZ$3000,$C53,11+3*MIN(BC$3,$D$2-1)))))</f>
        <v/>
      </c>
      <c r="BD53" s="130">
        <f>IF(OR($C53="",$B$2="",$D$2=0),0,IF(BD$3&lt;0,0,N(INDEX('CURVA PREVISION'!$A$1:$KZ$3000,$C53,11+3*MIN(BD$3,$D$2-1)))))</f>
        <v/>
      </c>
      <c r="BE53" s="130">
        <f>IF(OR($C53="",$B$2="",$D$2=0),0,IF(BE$3&lt;0,0,N(INDEX('CURVA PREVISION'!$A$1:$KZ$3000,$C53,11+3*MIN(BE$3,$D$2-1)))))</f>
        <v/>
      </c>
      <c r="BF53" s="130">
        <f>IF(OR($C53="",$B$2="",$D$2=0),0,IF(BF$3&lt;0,0,N(INDEX('CURVA PREVISION'!$A$1:$KZ$3000,$C53,11+3*MIN(BF$3,$D$2-1)))))</f>
        <v/>
      </c>
      <c r="BG53" s="130">
        <f>IF(OR($C53="",$B$2="",$D$2=0),0,IF(BG$3&lt;0,0,N(INDEX('CURVA PREVISION'!$A$1:$KZ$3000,$C53,11+3*MIN(BG$3,$D$2-1)))))</f>
        <v/>
      </c>
      <c r="BH53" s="130">
        <f>IF(OR($C53="",$B$2="",$D$2=0),0,IF(BH$3&lt;0,0,N(INDEX('CURVA PREVISION'!$A$1:$KZ$3000,$C53,11+3*MIN(BH$3,$D$2-1)))))</f>
        <v/>
      </c>
      <c r="BI53" s="130">
        <f>IF(OR($C53="",$B$2="",$D$2=0),0,IF(BI$3&lt;0,0,N(INDEX('CURVA PREVISION'!$A$1:$KZ$3000,$C53,11+3*MIN(BI$3,$D$2-1)))))</f>
        <v/>
      </c>
      <c r="BJ53" s="130">
        <f>IF(OR($C53="",$B$2="",$D$2=0),0,IF(BJ$3&lt;0,0,N(INDEX('CURVA PREVISION'!$A$1:$KZ$3000,$C53,11+3*MIN(BJ$3,$D$2-1)))))</f>
        <v/>
      </c>
      <c r="BK53" s="130">
        <f>IF(OR($C53="",$B$2="",$D$2=0),0,IF(BK$3&lt;0,0,N(INDEX('CURVA PREVISION'!$A$1:$KZ$3000,$C53,11+3*MIN(BK$3,$D$2-1)))))</f>
        <v/>
      </c>
      <c r="BL53" s="130">
        <f>IF(OR($C53="",$B$2="",$D$2=0),0,IF(BL$3&lt;0,0,N(INDEX('CURVA PREVISION'!$A$1:$KZ$3000,$C53,11+3*MIN(BL$3,$D$2-1)))))</f>
        <v/>
      </c>
      <c r="BM53" s="130">
        <f>IF(OR($C53="",$B$2="",$D$2=0),0,IF(BM$3&lt;0,0,N(INDEX('CURVA PREVISION'!$A$1:$KZ$3000,$C53,11+3*MIN(BM$3,$D$2-1)))))</f>
        <v/>
      </c>
      <c r="BN53" s="130">
        <f>IF(OR($C53="",$B$2="",$D$2=0),0,IF(BN$3&lt;0,0,N(INDEX('CURVA PREVISION'!$A$1:$KZ$3000,$C53,11+3*MIN(BN$3,$D$2-1)))))</f>
        <v/>
      </c>
      <c r="BO53" s="130">
        <f>IF(OR($C53="",$B$2="",$D$2=0),0,IF(BO$3&lt;0,0,N(INDEX('CURVA PREVISION'!$A$1:$KZ$3000,$C53,11+3*MIN(BO$3,$D$2-1)))))</f>
        <v/>
      </c>
      <c r="BP53" s="130">
        <f>IF(OR($C53="",$B$2="",$D$2=0),0,IF(BP$3&lt;0,0,N(INDEX('CURVA PREVISION'!$A$1:$KZ$3000,$C53,11+3*MIN(BP$3,$D$2-1)))))</f>
        <v/>
      </c>
      <c r="BQ53" s="130">
        <f>IF(OR($C53="",$B$2="",$D$2=0),0,IF(BQ$3&lt;0,0,N(INDEX('CURVA PREVISION'!$A$1:$KZ$3000,$C53,11+3*MIN(BQ$3,$D$2-1)))))</f>
        <v/>
      </c>
      <c r="BR53" s="130">
        <f>IF(OR($C53="",$B$2="",$D$2=0),0,IF(BR$3&lt;0,0,N(INDEX('CURVA PREVISION'!$A$1:$KZ$3000,$C53,11+3*MIN(BR$3,$D$2-1)))))</f>
        <v/>
      </c>
      <c r="BS53" s="130">
        <f>IF(OR($C53="",$B$2="",$D$2=0),0,IF(BS$3&lt;0,0,N(INDEX('CURVA PREVISION'!$A$1:$KZ$3000,$C53,11+3*MIN(BS$3,$D$2-1)))))</f>
        <v/>
      </c>
      <c r="BT53" s="130">
        <f>IF(OR($C53="",$B$2="",$D$2=0),0,IF(BT$3&lt;0,0,N(INDEX('CURVA PREVISION'!$A$1:$KZ$3000,$C53,11+3*MIN(BT$3,$D$2-1)))))</f>
        <v/>
      </c>
      <c r="BU53" s="130">
        <f>IF(OR($C53="",$B$2="",$D$2=0),0,IF(BU$3&lt;0,0,N(INDEX('CURVA PREVISION'!$A$1:$KZ$3000,$C53,11+3*MIN(BU$3,$D$2-1)))))</f>
        <v/>
      </c>
      <c r="BV53" s="130">
        <f>IF(OR($C53="",$B$2="",$D$2=0),0,IF(BV$3&lt;0,0,N(INDEX('CURVA PREVISION'!$A$1:$KZ$3000,$C53,11+3*MIN(BV$3,$D$2-1)))))</f>
        <v/>
      </c>
      <c r="BW53" s="130">
        <f>IF(OR($C53="",$B$2="",$D$2=0),0,IF(BW$3&lt;0,0,N(INDEX('CURVA PREVISION'!$A$1:$KZ$3000,$C53,11+3*MIN(BW$3,$D$2-1)))))</f>
        <v/>
      </c>
    </row>
    <row r="54">
      <c r="A54" s="61">
        <f>IF('VALOR POR PL'!Q18="",'VALOR POR PL'!C18,'VALOR POR PL'!Q18)</f>
        <v/>
      </c>
      <c r="B54" s="51">
        <f>B12</f>
        <v/>
      </c>
      <c r="C54" s="70">
        <f>IFERROR(MATCH(A54,'CURVA PREVISION'!$B$1:$B$3000,0),"")</f>
        <v/>
      </c>
      <c r="D54" s="130">
        <f>IF(OR($C54="",$B$2="",$D$2=0),0,IF(D$3&lt;0,0,N(INDEX('CURVA PREVISION'!$A$1:$KZ$3000,$C54,11+3*MIN(D$3,$D$2-1)))))</f>
        <v/>
      </c>
      <c r="E54" s="130">
        <f>IF(OR($C54="",$B$2="",$D$2=0),0,IF(E$3&lt;0,0,N(INDEX('CURVA PREVISION'!$A$1:$KZ$3000,$C54,11+3*MIN(E$3,$D$2-1)))))</f>
        <v/>
      </c>
      <c r="F54" s="130">
        <f>IF(OR($C54="",$B$2="",$D$2=0),0,IF(F$3&lt;0,0,N(INDEX('CURVA PREVISION'!$A$1:$KZ$3000,$C54,11+3*MIN(F$3,$D$2-1)))))</f>
        <v/>
      </c>
      <c r="G54" s="130">
        <f>IF(OR($C54="",$B$2="",$D$2=0),0,IF(G$3&lt;0,0,N(INDEX('CURVA PREVISION'!$A$1:$KZ$3000,$C54,11+3*MIN(G$3,$D$2-1)))))</f>
        <v/>
      </c>
      <c r="H54" s="130">
        <f>IF(OR($C54="",$B$2="",$D$2=0),0,IF(H$3&lt;0,0,N(INDEX('CURVA PREVISION'!$A$1:$KZ$3000,$C54,11+3*MIN(H$3,$D$2-1)))))</f>
        <v/>
      </c>
      <c r="I54" s="130">
        <f>IF(OR($C54="",$B$2="",$D$2=0),0,IF(I$3&lt;0,0,N(INDEX('CURVA PREVISION'!$A$1:$KZ$3000,$C54,11+3*MIN(I$3,$D$2-1)))))</f>
        <v/>
      </c>
      <c r="J54" s="130">
        <f>IF(OR($C54="",$B$2="",$D$2=0),0,IF(J$3&lt;0,0,N(INDEX('CURVA PREVISION'!$A$1:$KZ$3000,$C54,11+3*MIN(J$3,$D$2-1)))))</f>
        <v/>
      </c>
      <c r="K54" s="130">
        <f>IF(OR($C54="",$B$2="",$D$2=0),0,IF(K$3&lt;0,0,N(INDEX('CURVA PREVISION'!$A$1:$KZ$3000,$C54,11+3*MIN(K$3,$D$2-1)))))</f>
        <v/>
      </c>
      <c r="L54" s="130">
        <f>IF(OR($C54="",$B$2="",$D$2=0),0,IF(L$3&lt;0,0,N(INDEX('CURVA PREVISION'!$A$1:$KZ$3000,$C54,11+3*MIN(L$3,$D$2-1)))))</f>
        <v/>
      </c>
      <c r="M54" s="130">
        <f>IF(OR($C54="",$B$2="",$D$2=0),0,IF(M$3&lt;0,0,N(INDEX('CURVA PREVISION'!$A$1:$KZ$3000,$C54,11+3*MIN(M$3,$D$2-1)))))</f>
        <v/>
      </c>
      <c r="N54" s="130">
        <f>IF(OR($C54="",$B$2="",$D$2=0),0,IF(N$3&lt;0,0,N(INDEX('CURVA PREVISION'!$A$1:$KZ$3000,$C54,11+3*MIN(N$3,$D$2-1)))))</f>
        <v/>
      </c>
      <c r="O54" s="130">
        <f>IF(OR($C54="",$B$2="",$D$2=0),0,IF(O$3&lt;0,0,N(INDEX('CURVA PREVISION'!$A$1:$KZ$3000,$C54,11+3*MIN(O$3,$D$2-1)))))</f>
        <v/>
      </c>
      <c r="P54" s="130">
        <f>IF(OR($C54="",$B$2="",$D$2=0),0,IF(P$3&lt;0,0,N(INDEX('CURVA PREVISION'!$A$1:$KZ$3000,$C54,11+3*MIN(P$3,$D$2-1)))))</f>
        <v/>
      </c>
      <c r="Q54" s="130">
        <f>IF(OR($C54="",$B$2="",$D$2=0),0,IF(Q$3&lt;0,0,N(INDEX('CURVA PREVISION'!$A$1:$KZ$3000,$C54,11+3*MIN(Q$3,$D$2-1)))))</f>
        <v/>
      </c>
      <c r="R54" s="130">
        <f>IF(OR($C54="",$B$2="",$D$2=0),0,IF(R$3&lt;0,0,N(INDEX('CURVA PREVISION'!$A$1:$KZ$3000,$C54,11+3*MIN(R$3,$D$2-1)))))</f>
        <v/>
      </c>
      <c r="S54" s="130">
        <f>IF(OR($C54="",$B$2="",$D$2=0),0,IF(S$3&lt;0,0,N(INDEX('CURVA PREVISION'!$A$1:$KZ$3000,$C54,11+3*MIN(S$3,$D$2-1)))))</f>
        <v/>
      </c>
      <c r="T54" s="130">
        <f>IF(OR($C54="",$B$2="",$D$2=0),0,IF(T$3&lt;0,0,N(INDEX('CURVA PREVISION'!$A$1:$KZ$3000,$C54,11+3*MIN(T$3,$D$2-1)))))</f>
        <v/>
      </c>
      <c r="U54" s="130">
        <f>IF(OR($C54="",$B$2="",$D$2=0),0,IF(U$3&lt;0,0,N(INDEX('CURVA PREVISION'!$A$1:$KZ$3000,$C54,11+3*MIN(U$3,$D$2-1)))))</f>
        <v/>
      </c>
      <c r="V54" s="130">
        <f>IF(OR($C54="",$B$2="",$D$2=0),0,IF(V$3&lt;0,0,N(INDEX('CURVA PREVISION'!$A$1:$KZ$3000,$C54,11+3*MIN(V$3,$D$2-1)))))</f>
        <v/>
      </c>
      <c r="W54" s="130">
        <f>IF(OR($C54="",$B$2="",$D$2=0),0,IF(W$3&lt;0,0,N(INDEX('CURVA PREVISION'!$A$1:$KZ$3000,$C54,11+3*MIN(W$3,$D$2-1)))))</f>
        <v/>
      </c>
      <c r="X54" s="130">
        <f>IF(OR($C54="",$B$2="",$D$2=0),0,IF(X$3&lt;0,0,N(INDEX('CURVA PREVISION'!$A$1:$KZ$3000,$C54,11+3*MIN(X$3,$D$2-1)))))</f>
        <v/>
      </c>
      <c r="Y54" s="130">
        <f>IF(OR($C54="",$B$2="",$D$2=0),0,IF(Y$3&lt;0,0,N(INDEX('CURVA PREVISION'!$A$1:$KZ$3000,$C54,11+3*MIN(Y$3,$D$2-1)))))</f>
        <v/>
      </c>
      <c r="Z54" s="130">
        <f>IF(OR($C54="",$B$2="",$D$2=0),0,IF(Z$3&lt;0,0,N(INDEX('CURVA PREVISION'!$A$1:$KZ$3000,$C54,11+3*MIN(Z$3,$D$2-1)))))</f>
        <v/>
      </c>
      <c r="AA54" s="130">
        <f>IF(OR($C54="",$B$2="",$D$2=0),0,IF(AA$3&lt;0,0,N(INDEX('CURVA PREVISION'!$A$1:$KZ$3000,$C54,11+3*MIN(AA$3,$D$2-1)))))</f>
        <v/>
      </c>
      <c r="AB54" s="130">
        <f>IF(OR($C54="",$B$2="",$D$2=0),0,IF(AB$3&lt;0,0,N(INDEX('CURVA PREVISION'!$A$1:$KZ$3000,$C54,11+3*MIN(AB$3,$D$2-1)))))</f>
        <v/>
      </c>
      <c r="AC54" s="130">
        <f>IF(OR($C54="",$B$2="",$D$2=0),0,IF(AC$3&lt;0,0,N(INDEX('CURVA PREVISION'!$A$1:$KZ$3000,$C54,11+3*MIN(AC$3,$D$2-1)))))</f>
        <v/>
      </c>
      <c r="AD54" s="130">
        <f>IF(OR($C54="",$B$2="",$D$2=0),0,IF(AD$3&lt;0,0,N(INDEX('CURVA PREVISION'!$A$1:$KZ$3000,$C54,11+3*MIN(AD$3,$D$2-1)))))</f>
        <v/>
      </c>
      <c r="AE54" s="130">
        <f>IF(OR($C54="",$B$2="",$D$2=0),0,IF(AE$3&lt;0,0,N(INDEX('CURVA PREVISION'!$A$1:$KZ$3000,$C54,11+3*MIN(AE$3,$D$2-1)))))</f>
        <v/>
      </c>
      <c r="AF54" s="130">
        <f>IF(OR($C54="",$B$2="",$D$2=0),0,IF(AF$3&lt;0,0,N(INDEX('CURVA PREVISION'!$A$1:$KZ$3000,$C54,11+3*MIN(AF$3,$D$2-1)))))</f>
        <v/>
      </c>
      <c r="AG54" s="130">
        <f>IF(OR($C54="",$B$2="",$D$2=0),0,IF(AG$3&lt;0,0,N(INDEX('CURVA PREVISION'!$A$1:$KZ$3000,$C54,11+3*MIN(AG$3,$D$2-1)))))</f>
        <v/>
      </c>
      <c r="AH54" s="130">
        <f>IF(OR($C54="",$B$2="",$D$2=0),0,IF(AH$3&lt;0,0,N(INDEX('CURVA PREVISION'!$A$1:$KZ$3000,$C54,11+3*MIN(AH$3,$D$2-1)))))</f>
        <v/>
      </c>
      <c r="AI54" s="130">
        <f>IF(OR($C54="",$B$2="",$D$2=0),0,IF(AI$3&lt;0,0,N(INDEX('CURVA PREVISION'!$A$1:$KZ$3000,$C54,11+3*MIN(AI$3,$D$2-1)))))</f>
        <v/>
      </c>
      <c r="AJ54" s="130">
        <f>IF(OR($C54="",$B$2="",$D$2=0),0,IF(AJ$3&lt;0,0,N(INDEX('CURVA PREVISION'!$A$1:$KZ$3000,$C54,11+3*MIN(AJ$3,$D$2-1)))))</f>
        <v/>
      </c>
      <c r="AK54" s="130">
        <f>IF(OR($C54="",$B$2="",$D$2=0),0,IF(AK$3&lt;0,0,N(INDEX('CURVA PREVISION'!$A$1:$KZ$3000,$C54,11+3*MIN(AK$3,$D$2-1)))))</f>
        <v/>
      </c>
      <c r="AL54" s="130">
        <f>IF(OR($C54="",$B$2="",$D$2=0),0,IF(AL$3&lt;0,0,N(INDEX('CURVA PREVISION'!$A$1:$KZ$3000,$C54,11+3*MIN(AL$3,$D$2-1)))))</f>
        <v/>
      </c>
      <c r="AM54" s="130">
        <f>IF(OR($C54="",$B$2="",$D$2=0),0,IF(AM$3&lt;0,0,N(INDEX('CURVA PREVISION'!$A$1:$KZ$3000,$C54,11+3*MIN(AM$3,$D$2-1)))))</f>
        <v/>
      </c>
      <c r="AN54" s="130">
        <f>IF(OR($C54="",$B$2="",$D$2=0),0,IF(AN$3&lt;0,0,N(INDEX('CURVA PREVISION'!$A$1:$KZ$3000,$C54,11+3*MIN(AN$3,$D$2-1)))))</f>
        <v/>
      </c>
      <c r="AO54" s="130">
        <f>IF(OR($C54="",$B$2="",$D$2=0),0,IF(AO$3&lt;0,0,N(INDEX('CURVA PREVISION'!$A$1:$KZ$3000,$C54,11+3*MIN(AO$3,$D$2-1)))))</f>
        <v/>
      </c>
      <c r="AP54" s="130">
        <f>IF(OR($C54="",$B$2="",$D$2=0),0,IF(AP$3&lt;0,0,N(INDEX('CURVA PREVISION'!$A$1:$KZ$3000,$C54,11+3*MIN(AP$3,$D$2-1)))))</f>
        <v/>
      </c>
      <c r="AQ54" s="130">
        <f>IF(OR($C54="",$B$2="",$D$2=0),0,IF(AQ$3&lt;0,0,N(INDEX('CURVA PREVISION'!$A$1:$KZ$3000,$C54,11+3*MIN(AQ$3,$D$2-1)))))</f>
        <v/>
      </c>
      <c r="AR54" s="130">
        <f>IF(OR($C54="",$B$2="",$D$2=0),0,IF(AR$3&lt;0,0,N(INDEX('CURVA PREVISION'!$A$1:$KZ$3000,$C54,11+3*MIN(AR$3,$D$2-1)))))</f>
        <v/>
      </c>
      <c r="AS54" s="130">
        <f>IF(OR($C54="",$B$2="",$D$2=0),0,IF(AS$3&lt;0,0,N(INDEX('CURVA PREVISION'!$A$1:$KZ$3000,$C54,11+3*MIN(AS$3,$D$2-1)))))</f>
        <v/>
      </c>
      <c r="AT54" s="130">
        <f>IF(OR($C54="",$B$2="",$D$2=0),0,IF(AT$3&lt;0,0,N(INDEX('CURVA PREVISION'!$A$1:$KZ$3000,$C54,11+3*MIN(AT$3,$D$2-1)))))</f>
        <v/>
      </c>
      <c r="AU54" s="130">
        <f>IF(OR($C54="",$B$2="",$D$2=0),0,IF(AU$3&lt;0,0,N(INDEX('CURVA PREVISION'!$A$1:$KZ$3000,$C54,11+3*MIN(AU$3,$D$2-1)))))</f>
        <v/>
      </c>
      <c r="AV54" s="130">
        <f>IF(OR($C54="",$B$2="",$D$2=0),0,IF(AV$3&lt;0,0,N(INDEX('CURVA PREVISION'!$A$1:$KZ$3000,$C54,11+3*MIN(AV$3,$D$2-1)))))</f>
        <v/>
      </c>
      <c r="AW54" s="130">
        <f>IF(OR($C54="",$B$2="",$D$2=0),0,IF(AW$3&lt;0,0,N(INDEX('CURVA PREVISION'!$A$1:$KZ$3000,$C54,11+3*MIN(AW$3,$D$2-1)))))</f>
        <v/>
      </c>
      <c r="AX54" s="130">
        <f>IF(OR($C54="",$B$2="",$D$2=0),0,IF(AX$3&lt;0,0,N(INDEX('CURVA PREVISION'!$A$1:$KZ$3000,$C54,11+3*MIN(AX$3,$D$2-1)))))</f>
        <v/>
      </c>
      <c r="AY54" s="130">
        <f>IF(OR($C54="",$B$2="",$D$2=0),0,IF(AY$3&lt;0,0,N(INDEX('CURVA PREVISION'!$A$1:$KZ$3000,$C54,11+3*MIN(AY$3,$D$2-1)))))</f>
        <v/>
      </c>
      <c r="AZ54" s="130">
        <f>IF(OR($C54="",$B$2="",$D$2=0),0,IF(AZ$3&lt;0,0,N(INDEX('CURVA PREVISION'!$A$1:$KZ$3000,$C54,11+3*MIN(AZ$3,$D$2-1)))))</f>
        <v/>
      </c>
      <c r="BA54" s="130">
        <f>IF(OR($C54="",$B$2="",$D$2=0),0,IF(BA$3&lt;0,0,N(INDEX('CURVA PREVISION'!$A$1:$KZ$3000,$C54,11+3*MIN(BA$3,$D$2-1)))))</f>
        <v/>
      </c>
      <c r="BB54" s="130">
        <f>IF(OR($C54="",$B$2="",$D$2=0),0,IF(BB$3&lt;0,0,N(INDEX('CURVA PREVISION'!$A$1:$KZ$3000,$C54,11+3*MIN(BB$3,$D$2-1)))))</f>
        <v/>
      </c>
      <c r="BC54" s="130">
        <f>IF(OR($C54="",$B$2="",$D$2=0),0,IF(BC$3&lt;0,0,N(INDEX('CURVA PREVISION'!$A$1:$KZ$3000,$C54,11+3*MIN(BC$3,$D$2-1)))))</f>
        <v/>
      </c>
      <c r="BD54" s="130">
        <f>IF(OR($C54="",$B$2="",$D$2=0),0,IF(BD$3&lt;0,0,N(INDEX('CURVA PREVISION'!$A$1:$KZ$3000,$C54,11+3*MIN(BD$3,$D$2-1)))))</f>
        <v/>
      </c>
      <c r="BE54" s="130">
        <f>IF(OR($C54="",$B$2="",$D$2=0),0,IF(BE$3&lt;0,0,N(INDEX('CURVA PREVISION'!$A$1:$KZ$3000,$C54,11+3*MIN(BE$3,$D$2-1)))))</f>
        <v/>
      </c>
      <c r="BF54" s="130">
        <f>IF(OR($C54="",$B$2="",$D$2=0),0,IF(BF$3&lt;0,0,N(INDEX('CURVA PREVISION'!$A$1:$KZ$3000,$C54,11+3*MIN(BF$3,$D$2-1)))))</f>
        <v/>
      </c>
      <c r="BG54" s="130">
        <f>IF(OR($C54="",$B$2="",$D$2=0),0,IF(BG$3&lt;0,0,N(INDEX('CURVA PREVISION'!$A$1:$KZ$3000,$C54,11+3*MIN(BG$3,$D$2-1)))))</f>
        <v/>
      </c>
      <c r="BH54" s="130">
        <f>IF(OR($C54="",$B$2="",$D$2=0),0,IF(BH$3&lt;0,0,N(INDEX('CURVA PREVISION'!$A$1:$KZ$3000,$C54,11+3*MIN(BH$3,$D$2-1)))))</f>
        <v/>
      </c>
      <c r="BI54" s="130">
        <f>IF(OR($C54="",$B$2="",$D$2=0),0,IF(BI$3&lt;0,0,N(INDEX('CURVA PREVISION'!$A$1:$KZ$3000,$C54,11+3*MIN(BI$3,$D$2-1)))))</f>
        <v/>
      </c>
      <c r="BJ54" s="130">
        <f>IF(OR($C54="",$B$2="",$D$2=0),0,IF(BJ$3&lt;0,0,N(INDEX('CURVA PREVISION'!$A$1:$KZ$3000,$C54,11+3*MIN(BJ$3,$D$2-1)))))</f>
        <v/>
      </c>
      <c r="BK54" s="130">
        <f>IF(OR($C54="",$B$2="",$D$2=0),0,IF(BK$3&lt;0,0,N(INDEX('CURVA PREVISION'!$A$1:$KZ$3000,$C54,11+3*MIN(BK$3,$D$2-1)))))</f>
        <v/>
      </c>
      <c r="BL54" s="130">
        <f>IF(OR($C54="",$B$2="",$D$2=0),0,IF(BL$3&lt;0,0,N(INDEX('CURVA PREVISION'!$A$1:$KZ$3000,$C54,11+3*MIN(BL$3,$D$2-1)))))</f>
        <v/>
      </c>
      <c r="BM54" s="130">
        <f>IF(OR($C54="",$B$2="",$D$2=0),0,IF(BM$3&lt;0,0,N(INDEX('CURVA PREVISION'!$A$1:$KZ$3000,$C54,11+3*MIN(BM$3,$D$2-1)))))</f>
        <v/>
      </c>
      <c r="BN54" s="130">
        <f>IF(OR($C54="",$B$2="",$D$2=0),0,IF(BN$3&lt;0,0,N(INDEX('CURVA PREVISION'!$A$1:$KZ$3000,$C54,11+3*MIN(BN$3,$D$2-1)))))</f>
        <v/>
      </c>
      <c r="BO54" s="130">
        <f>IF(OR($C54="",$B$2="",$D$2=0),0,IF(BO$3&lt;0,0,N(INDEX('CURVA PREVISION'!$A$1:$KZ$3000,$C54,11+3*MIN(BO$3,$D$2-1)))))</f>
        <v/>
      </c>
      <c r="BP54" s="130">
        <f>IF(OR($C54="",$B$2="",$D$2=0),0,IF(BP$3&lt;0,0,N(INDEX('CURVA PREVISION'!$A$1:$KZ$3000,$C54,11+3*MIN(BP$3,$D$2-1)))))</f>
        <v/>
      </c>
      <c r="BQ54" s="130">
        <f>IF(OR($C54="",$B$2="",$D$2=0),0,IF(BQ$3&lt;0,0,N(INDEX('CURVA PREVISION'!$A$1:$KZ$3000,$C54,11+3*MIN(BQ$3,$D$2-1)))))</f>
        <v/>
      </c>
      <c r="BR54" s="130">
        <f>IF(OR($C54="",$B$2="",$D$2=0),0,IF(BR$3&lt;0,0,N(INDEX('CURVA PREVISION'!$A$1:$KZ$3000,$C54,11+3*MIN(BR$3,$D$2-1)))))</f>
        <v/>
      </c>
      <c r="BS54" s="130">
        <f>IF(OR($C54="",$B$2="",$D$2=0),0,IF(BS$3&lt;0,0,N(INDEX('CURVA PREVISION'!$A$1:$KZ$3000,$C54,11+3*MIN(BS$3,$D$2-1)))))</f>
        <v/>
      </c>
      <c r="BT54" s="130">
        <f>IF(OR($C54="",$B$2="",$D$2=0),0,IF(BT$3&lt;0,0,N(INDEX('CURVA PREVISION'!$A$1:$KZ$3000,$C54,11+3*MIN(BT$3,$D$2-1)))))</f>
        <v/>
      </c>
      <c r="BU54" s="130">
        <f>IF(OR($C54="",$B$2="",$D$2=0),0,IF(BU$3&lt;0,0,N(INDEX('CURVA PREVISION'!$A$1:$KZ$3000,$C54,11+3*MIN(BU$3,$D$2-1)))))</f>
        <v/>
      </c>
      <c r="BV54" s="130">
        <f>IF(OR($C54="",$B$2="",$D$2=0),0,IF(BV$3&lt;0,0,N(INDEX('CURVA PREVISION'!$A$1:$KZ$3000,$C54,11+3*MIN(BV$3,$D$2-1)))))</f>
        <v/>
      </c>
      <c r="BW54" s="130">
        <f>IF(OR($C54="",$B$2="",$D$2=0),0,IF(BW$3&lt;0,0,N(INDEX('CURVA PREVISION'!$A$1:$KZ$3000,$C54,11+3*MIN(BW$3,$D$2-1)))))</f>
        <v/>
      </c>
    </row>
    <row r="55">
      <c r="A55" s="61">
        <f>IF('VALOR POR PL'!Q19="",'VALOR POR PL'!C19,'VALOR POR PL'!Q19)</f>
        <v/>
      </c>
      <c r="B55" s="51">
        <f>B13</f>
        <v/>
      </c>
      <c r="C55" s="70">
        <f>IFERROR(MATCH(A55,'CURVA PREVISION'!$B$1:$B$3000,0),"")</f>
        <v/>
      </c>
      <c r="D55" s="130">
        <f>IF(OR($C55="",$B$2="",$D$2=0),0,IF(D$3&lt;0,0,N(INDEX('CURVA PREVISION'!$A$1:$KZ$3000,$C55,11+3*MIN(D$3,$D$2-1)))))</f>
        <v/>
      </c>
      <c r="E55" s="130">
        <f>IF(OR($C55="",$B$2="",$D$2=0),0,IF(E$3&lt;0,0,N(INDEX('CURVA PREVISION'!$A$1:$KZ$3000,$C55,11+3*MIN(E$3,$D$2-1)))))</f>
        <v/>
      </c>
      <c r="F55" s="130">
        <f>IF(OR($C55="",$B$2="",$D$2=0),0,IF(F$3&lt;0,0,N(INDEX('CURVA PREVISION'!$A$1:$KZ$3000,$C55,11+3*MIN(F$3,$D$2-1)))))</f>
        <v/>
      </c>
      <c r="G55" s="130">
        <f>IF(OR($C55="",$B$2="",$D$2=0),0,IF(G$3&lt;0,0,N(INDEX('CURVA PREVISION'!$A$1:$KZ$3000,$C55,11+3*MIN(G$3,$D$2-1)))))</f>
        <v/>
      </c>
      <c r="H55" s="130">
        <f>IF(OR($C55="",$B$2="",$D$2=0),0,IF(H$3&lt;0,0,N(INDEX('CURVA PREVISION'!$A$1:$KZ$3000,$C55,11+3*MIN(H$3,$D$2-1)))))</f>
        <v/>
      </c>
      <c r="I55" s="130">
        <f>IF(OR($C55="",$B$2="",$D$2=0),0,IF(I$3&lt;0,0,N(INDEX('CURVA PREVISION'!$A$1:$KZ$3000,$C55,11+3*MIN(I$3,$D$2-1)))))</f>
        <v/>
      </c>
      <c r="J55" s="130">
        <f>IF(OR($C55="",$B$2="",$D$2=0),0,IF(J$3&lt;0,0,N(INDEX('CURVA PREVISION'!$A$1:$KZ$3000,$C55,11+3*MIN(J$3,$D$2-1)))))</f>
        <v/>
      </c>
      <c r="K55" s="130">
        <f>IF(OR($C55="",$B$2="",$D$2=0),0,IF(K$3&lt;0,0,N(INDEX('CURVA PREVISION'!$A$1:$KZ$3000,$C55,11+3*MIN(K$3,$D$2-1)))))</f>
        <v/>
      </c>
      <c r="L55" s="130">
        <f>IF(OR($C55="",$B$2="",$D$2=0),0,IF(L$3&lt;0,0,N(INDEX('CURVA PREVISION'!$A$1:$KZ$3000,$C55,11+3*MIN(L$3,$D$2-1)))))</f>
        <v/>
      </c>
      <c r="M55" s="130">
        <f>IF(OR($C55="",$B$2="",$D$2=0),0,IF(M$3&lt;0,0,N(INDEX('CURVA PREVISION'!$A$1:$KZ$3000,$C55,11+3*MIN(M$3,$D$2-1)))))</f>
        <v/>
      </c>
      <c r="N55" s="130">
        <f>IF(OR($C55="",$B$2="",$D$2=0),0,IF(N$3&lt;0,0,N(INDEX('CURVA PREVISION'!$A$1:$KZ$3000,$C55,11+3*MIN(N$3,$D$2-1)))))</f>
        <v/>
      </c>
      <c r="O55" s="130">
        <f>IF(OR($C55="",$B$2="",$D$2=0),0,IF(O$3&lt;0,0,N(INDEX('CURVA PREVISION'!$A$1:$KZ$3000,$C55,11+3*MIN(O$3,$D$2-1)))))</f>
        <v/>
      </c>
      <c r="P55" s="130">
        <f>IF(OR($C55="",$B$2="",$D$2=0),0,IF(P$3&lt;0,0,N(INDEX('CURVA PREVISION'!$A$1:$KZ$3000,$C55,11+3*MIN(P$3,$D$2-1)))))</f>
        <v/>
      </c>
      <c r="Q55" s="130">
        <f>IF(OR($C55="",$B$2="",$D$2=0),0,IF(Q$3&lt;0,0,N(INDEX('CURVA PREVISION'!$A$1:$KZ$3000,$C55,11+3*MIN(Q$3,$D$2-1)))))</f>
        <v/>
      </c>
      <c r="R55" s="130">
        <f>IF(OR($C55="",$B$2="",$D$2=0),0,IF(R$3&lt;0,0,N(INDEX('CURVA PREVISION'!$A$1:$KZ$3000,$C55,11+3*MIN(R$3,$D$2-1)))))</f>
        <v/>
      </c>
      <c r="S55" s="130">
        <f>IF(OR($C55="",$B$2="",$D$2=0),0,IF(S$3&lt;0,0,N(INDEX('CURVA PREVISION'!$A$1:$KZ$3000,$C55,11+3*MIN(S$3,$D$2-1)))))</f>
        <v/>
      </c>
      <c r="T55" s="130">
        <f>IF(OR($C55="",$B$2="",$D$2=0),0,IF(T$3&lt;0,0,N(INDEX('CURVA PREVISION'!$A$1:$KZ$3000,$C55,11+3*MIN(T$3,$D$2-1)))))</f>
        <v/>
      </c>
      <c r="U55" s="130">
        <f>IF(OR($C55="",$B$2="",$D$2=0),0,IF(U$3&lt;0,0,N(INDEX('CURVA PREVISION'!$A$1:$KZ$3000,$C55,11+3*MIN(U$3,$D$2-1)))))</f>
        <v/>
      </c>
      <c r="V55" s="130">
        <f>IF(OR($C55="",$B$2="",$D$2=0),0,IF(V$3&lt;0,0,N(INDEX('CURVA PREVISION'!$A$1:$KZ$3000,$C55,11+3*MIN(V$3,$D$2-1)))))</f>
        <v/>
      </c>
      <c r="W55" s="130">
        <f>IF(OR($C55="",$B$2="",$D$2=0),0,IF(W$3&lt;0,0,N(INDEX('CURVA PREVISION'!$A$1:$KZ$3000,$C55,11+3*MIN(W$3,$D$2-1)))))</f>
        <v/>
      </c>
      <c r="X55" s="130">
        <f>IF(OR($C55="",$B$2="",$D$2=0),0,IF(X$3&lt;0,0,N(INDEX('CURVA PREVISION'!$A$1:$KZ$3000,$C55,11+3*MIN(X$3,$D$2-1)))))</f>
        <v/>
      </c>
      <c r="Y55" s="130">
        <f>IF(OR($C55="",$B$2="",$D$2=0),0,IF(Y$3&lt;0,0,N(INDEX('CURVA PREVISION'!$A$1:$KZ$3000,$C55,11+3*MIN(Y$3,$D$2-1)))))</f>
        <v/>
      </c>
      <c r="Z55" s="130">
        <f>IF(OR($C55="",$B$2="",$D$2=0),0,IF(Z$3&lt;0,0,N(INDEX('CURVA PREVISION'!$A$1:$KZ$3000,$C55,11+3*MIN(Z$3,$D$2-1)))))</f>
        <v/>
      </c>
      <c r="AA55" s="130">
        <f>IF(OR($C55="",$B$2="",$D$2=0),0,IF(AA$3&lt;0,0,N(INDEX('CURVA PREVISION'!$A$1:$KZ$3000,$C55,11+3*MIN(AA$3,$D$2-1)))))</f>
        <v/>
      </c>
      <c r="AB55" s="130">
        <f>IF(OR($C55="",$B$2="",$D$2=0),0,IF(AB$3&lt;0,0,N(INDEX('CURVA PREVISION'!$A$1:$KZ$3000,$C55,11+3*MIN(AB$3,$D$2-1)))))</f>
        <v/>
      </c>
      <c r="AC55" s="130">
        <f>IF(OR($C55="",$B$2="",$D$2=0),0,IF(AC$3&lt;0,0,N(INDEX('CURVA PREVISION'!$A$1:$KZ$3000,$C55,11+3*MIN(AC$3,$D$2-1)))))</f>
        <v/>
      </c>
      <c r="AD55" s="130">
        <f>IF(OR($C55="",$B$2="",$D$2=0),0,IF(AD$3&lt;0,0,N(INDEX('CURVA PREVISION'!$A$1:$KZ$3000,$C55,11+3*MIN(AD$3,$D$2-1)))))</f>
        <v/>
      </c>
      <c r="AE55" s="130">
        <f>IF(OR($C55="",$B$2="",$D$2=0),0,IF(AE$3&lt;0,0,N(INDEX('CURVA PREVISION'!$A$1:$KZ$3000,$C55,11+3*MIN(AE$3,$D$2-1)))))</f>
        <v/>
      </c>
      <c r="AF55" s="130">
        <f>IF(OR($C55="",$B$2="",$D$2=0),0,IF(AF$3&lt;0,0,N(INDEX('CURVA PREVISION'!$A$1:$KZ$3000,$C55,11+3*MIN(AF$3,$D$2-1)))))</f>
        <v/>
      </c>
      <c r="AG55" s="130">
        <f>IF(OR($C55="",$B$2="",$D$2=0),0,IF(AG$3&lt;0,0,N(INDEX('CURVA PREVISION'!$A$1:$KZ$3000,$C55,11+3*MIN(AG$3,$D$2-1)))))</f>
        <v/>
      </c>
      <c r="AH55" s="130">
        <f>IF(OR($C55="",$B$2="",$D$2=0),0,IF(AH$3&lt;0,0,N(INDEX('CURVA PREVISION'!$A$1:$KZ$3000,$C55,11+3*MIN(AH$3,$D$2-1)))))</f>
        <v/>
      </c>
      <c r="AI55" s="130">
        <f>IF(OR($C55="",$B$2="",$D$2=0),0,IF(AI$3&lt;0,0,N(INDEX('CURVA PREVISION'!$A$1:$KZ$3000,$C55,11+3*MIN(AI$3,$D$2-1)))))</f>
        <v/>
      </c>
      <c r="AJ55" s="130">
        <f>IF(OR($C55="",$B$2="",$D$2=0),0,IF(AJ$3&lt;0,0,N(INDEX('CURVA PREVISION'!$A$1:$KZ$3000,$C55,11+3*MIN(AJ$3,$D$2-1)))))</f>
        <v/>
      </c>
      <c r="AK55" s="130">
        <f>IF(OR($C55="",$B$2="",$D$2=0),0,IF(AK$3&lt;0,0,N(INDEX('CURVA PREVISION'!$A$1:$KZ$3000,$C55,11+3*MIN(AK$3,$D$2-1)))))</f>
        <v/>
      </c>
      <c r="AL55" s="130">
        <f>IF(OR($C55="",$B$2="",$D$2=0),0,IF(AL$3&lt;0,0,N(INDEX('CURVA PREVISION'!$A$1:$KZ$3000,$C55,11+3*MIN(AL$3,$D$2-1)))))</f>
        <v/>
      </c>
      <c r="AM55" s="130">
        <f>IF(OR($C55="",$B$2="",$D$2=0),0,IF(AM$3&lt;0,0,N(INDEX('CURVA PREVISION'!$A$1:$KZ$3000,$C55,11+3*MIN(AM$3,$D$2-1)))))</f>
        <v/>
      </c>
      <c r="AN55" s="130">
        <f>IF(OR($C55="",$B$2="",$D$2=0),0,IF(AN$3&lt;0,0,N(INDEX('CURVA PREVISION'!$A$1:$KZ$3000,$C55,11+3*MIN(AN$3,$D$2-1)))))</f>
        <v/>
      </c>
      <c r="AO55" s="130">
        <f>IF(OR($C55="",$B$2="",$D$2=0),0,IF(AO$3&lt;0,0,N(INDEX('CURVA PREVISION'!$A$1:$KZ$3000,$C55,11+3*MIN(AO$3,$D$2-1)))))</f>
        <v/>
      </c>
      <c r="AP55" s="130">
        <f>IF(OR($C55="",$B$2="",$D$2=0),0,IF(AP$3&lt;0,0,N(INDEX('CURVA PREVISION'!$A$1:$KZ$3000,$C55,11+3*MIN(AP$3,$D$2-1)))))</f>
        <v/>
      </c>
      <c r="AQ55" s="130">
        <f>IF(OR($C55="",$B$2="",$D$2=0),0,IF(AQ$3&lt;0,0,N(INDEX('CURVA PREVISION'!$A$1:$KZ$3000,$C55,11+3*MIN(AQ$3,$D$2-1)))))</f>
        <v/>
      </c>
      <c r="AR55" s="130">
        <f>IF(OR($C55="",$B$2="",$D$2=0),0,IF(AR$3&lt;0,0,N(INDEX('CURVA PREVISION'!$A$1:$KZ$3000,$C55,11+3*MIN(AR$3,$D$2-1)))))</f>
        <v/>
      </c>
      <c r="AS55" s="130">
        <f>IF(OR($C55="",$B$2="",$D$2=0),0,IF(AS$3&lt;0,0,N(INDEX('CURVA PREVISION'!$A$1:$KZ$3000,$C55,11+3*MIN(AS$3,$D$2-1)))))</f>
        <v/>
      </c>
      <c r="AT55" s="130">
        <f>IF(OR($C55="",$B$2="",$D$2=0),0,IF(AT$3&lt;0,0,N(INDEX('CURVA PREVISION'!$A$1:$KZ$3000,$C55,11+3*MIN(AT$3,$D$2-1)))))</f>
        <v/>
      </c>
      <c r="AU55" s="130">
        <f>IF(OR($C55="",$B$2="",$D$2=0),0,IF(AU$3&lt;0,0,N(INDEX('CURVA PREVISION'!$A$1:$KZ$3000,$C55,11+3*MIN(AU$3,$D$2-1)))))</f>
        <v/>
      </c>
      <c r="AV55" s="130">
        <f>IF(OR($C55="",$B$2="",$D$2=0),0,IF(AV$3&lt;0,0,N(INDEX('CURVA PREVISION'!$A$1:$KZ$3000,$C55,11+3*MIN(AV$3,$D$2-1)))))</f>
        <v/>
      </c>
      <c r="AW55" s="130">
        <f>IF(OR($C55="",$B$2="",$D$2=0),0,IF(AW$3&lt;0,0,N(INDEX('CURVA PREVISION'!$A$1:$KZ$3000,$C55,11+3*MIN(AW$3,$D$2-1)))))</f>
        <v/>
      </c>
      <c r="AX55" s="130">
        <f>IF(OR($C55="",$B$2="",$D$2=0),0,IF(AX$3&lt;0,0,N(INDEX('CURVA PREVISION'!$A$1:$KZ$3000,$C55,11+3*MIN(AX$3,$D$2-1)))))</f>
        <v/>
      </c>
      <c r="AY55" s="130">
        <f>IF(OR($C55="",$B$2="",$D$2=0),0,IF(AY$3&lt;0,0,N(INDEX('CURVA PREVISION'!$A$1:$KZ$3000,$C55,11+3*MIN(AY$3,$D$2-1)))))</f>
        <v/>
      </c>
      <c r="AZ55" s="130">
        <f>IF(OR($C55="",$B$2="",$D$2=0),0,IF(AZ$3&lt;0,0,N(INDEX('CURVA PREVISION'!$A$1:$KZ$3000,$C55,11+3*MIN(AZ$3,$D$2-1)))))</f>
        <v/>
      </c>
      <c r="BA55" s="130">
        <f>IF(OR($C55="",$B$2="",$D$2=0),0,IF(BA$3&lt;0,0,N(INDEX('CURVA PREVISION'!$A$1:$KZ$3000,$C55,11+3*MIN(BA$3,$D$2-1)))))</f>
        <v/>
      </c>
      <c r="BB55" s="130">
        <f>IF(OR($C55="",$B$2="",$D$2=0),0,IF(BB$3&lt;0,0,N(INDEX('CURVA PREVISION'!$A$1:$KZ$3000,$C55,11+3*MIN(BB$3,$D$2-1)))))</f>
        <v/>
      </c>
      <c r="BC55" s="130">
        <f>IF(OR($C55="",$B$2="",$D$2=0),0,IF(BC$3&lt;0,0,N(INDEX('CURVA PREVISION'!$A$1:$KZ$3000,$C55,11+3*MIN(BC$3,$D$2-1)))))</f>
        <v/>
      </c>
      <c r="BD55" s="130">
        <f>IF(OR($C55="",$B$2="",$D$2=0),0,IF(BD$3&lt;0,0,N(INDEX('CURVA PREVISION'!$A$1:$KZ$3000,$C55,11+3*MIN(BD$3,$D$2-1)))))</f>
        <v/>
      </c>
      <c r="BE55" s="130">
        <f>IF(OR($C55="",$B$2="",$D$2=0),0,IF(BE$3&lt;0,0,N(INDEX('CURVA PREVISION'!$A$1:$KZ$3000,$C55,11+3*MIN(BE$3,$D$2-1)))))</f>
        <v/>
      </c>
      <c r="BF55" s="130">
        <f>IF(OR($C55="",$B$2="",$D$2=0),0,IF(BF$3&lt;0,0,N(INDEX('CURVA PREVISION'!$A$1:$KZ$3000,$C55,11+3*MIN(BF$3,$D$2-1)))))</f>
        <v/>
      </c>
      <c r="BG55" s="130">
        <f>IF(OR($C55="",$B$2="",$D$2=0),0,IF(BG$3&lt;0,0,N(INDEX('CURVA PREVISION'!$A$1:$KZ$3000,$C55,11+3*MIN(BG$3,$D$2-1)))))</f>
        <v/>
      </c>
      <c r="BH55" s="130">
        <f>IF(OR($C55="",$B$2="",$D$2=0),0,IF(BH$3&lt;0,0,N(INDEX('CURVA PREVISION'!$A$1:$KZ$3000,$C55,11+3*MIN(BH$3,$D$2-1)))))</f>
        <v/>
      </c>
      <c r="BI55" s="130">
        <f>IF(OR($C55="",$B$2="",$D$2=0),0,IF(BI$3&lt;0,0,N(INDEX('CURVA PREVISION'!$A$1:$KZ$3000,$C55,11+3*MIN(BI$3,$D$2-1)))))</f>
        <v/>
      </c>
      <c r="BJ55" s="130">
        <f>IF(OR($C55="",$B$2="",$D$2=0),0,IF(BJ$3&lt;0,0,N(INDEX('CURVA PREVISION'!$A$1:$KZ$3000,$C55,11+3*MIN(BJ$3,$D$2-1)))))</f>
        <v/>
      </c>
      <c r="BK55" s="130">
        <f>IF(OR($C55="",$B$2="",$D$2=0),0,IF(BK$3&lt;0,0,N(INDEX('CURVA PREVISION'!$A$1:$KZ$3000,$C55,11+3*MIN(BK$3,$D$2-1)))))</f>
        <v/>
      </c>
      <c r="BL55" s="130">
        <f>IF(OR($C55="",$B$2="",$D$2=0),0,IF(BL$3&lt;0,0,N(INDEX('CURVA PREVISION'!$A$1:$KZ$3000,$C55,11+3*MIN(BL$3,$D$2-1)))))</f>
        <v/>
      </c>
      <c r="BM55" s="130">
        <f>IF(OR($C55="",$B$2="",$D$2=0),0,IF(BM$3&lt;0,0,N(INDEX('CURVA PREVISION'!$A$1:$KZ$3000,$C55,11+3*MIN(BM$3,$D$2-1)))))</f>
        <v/>
      </c>
      <c r="BN55" s="130">
        <f>IF(OR($C55="",$B$2="",$D$2=0),0,IF(BN$3&lt;0,0,N(INDEX('CURVA PREVISION'!$A$1:$KZ$3000,$C55,11+3*MIN(BN$3,$D$2-1)))))</f>
        <v/>
      </c>
      <c r="BO55" s="130">
        <f>IF(OR($C55="",$B$2="",$D$2=0),0,IF(BO$3&lt;0,0,N(INDEX('CURVA PREVISION'!$A$1:$KZ$3000,$C55,11+3*MIN(BO$3,$D$2-1)))))</f>
        <v/>
      </c>
      <c r="BP55" s="130">
        <f>IF(OR($C55="",$B$2="",$D$2=0),0,IF(BP$3&lt;0,0,N(INDEX('CURVA PREVISION'!$A$1:$KZ$3000,$C55,11+3*MIN(BP$3,$D$2-1)))))</f>
        <v/>
      </c>
      <c r="BQ55" s="130">
        <f>IF(OR($C55="",$B$2="",$D$2=0),0,IF(BQ$3&lt;0,0,N(INDEX('CURVA PREVISION'!$A$1:$KZ$3000,$C55,11+3*MIN(BQ$3,$D$2-1)))))</f>
        <v/>
      </c>
      <c r="BR55" s="130">
        <f>IF(OR($C55="",$B$2="",$D$2=0),0,IF(BR$3&lt;0,0,N(INDEX('CURVA PREVISION'!$A$1:$KZ$3000,$C55,11+3*MIN(BR$3,$D$2-1)))))</f>
        <v/>
      </c>
      <c r="BS55" s="130">
        <f>IF(OR($C55="",$B$2="",$D$2=0),0,IF(BS$3&lt;0,0,N(INDEX('CURVA PREVISION'!$A$1:$KZ$3000,$C55,11+3*MIN(BS$3,$D$2-1)))))</f>
        <v/>
      </c>
      <c r="BT55" s="130">
        <f>IF(OR($C55="",$B$2="",$D$2=0),0,IF(BT$3&lt;0,0,N(INDEX('CURVA PREVISION'!$A$1:$KZ$3000,$C55,11+3*MIN(BT$3,$D$2-1)))))</f>
        <v/>
      </c>
      <c r="BU55" s="130">
        <f>IF(OR($C55="",$B$2="",$D$2=0),0,IF(BU$3&lt;0,0,N(INDEX('CURVA PREVISION'!$A$1:$KZ$3000,$C55,11+3*MIN(BU$3,$D$2-1)))))</f>
        <v/>
      </c>
      <c r="BV55" s="130">
        <f>IF(OR($C55="",$B$2="",$D$2=0),0,IF(BV$3&lt;0,0,N(INDEX('CURVA PREVISION'!$A$1:$KZ$3000,$C55,11+3*MIN(BV$3,$D$2-1)))))</f>
        <v/>
      </c>
      <c r="BW55" s="130">
        <f>IF(OR($C55="",$B$2="",$D$2=0),0,IF(BW$3&lt;0,0,N(INDEX('CURVA PREVISION'!$A$1:$KZ$3000,$C55,11+3*MIN(BW$3,$D$2-1)))))</f>
        <v/>
      </c>
    </row>
    <row r="56">
      <c r="A56" s="61">
        <f>IF('VALOR POR PL'!Q20="",'VALOR POR PL'!C20,'VALOR POR PL'!Q20)</f>
        <v/>
      </c>
      <c r="B56" s="51">
        <f>B14</f>
        <v/>
      </c>
      <c r="C56" s="70">
        <f>IFERROR(MATCH(A56,'CURVA PREVISION'!$B$1:$B$3000,0),"")</f>
        <v/>
      </c>
      <c r="D56" s="130">
        <f>IF(OR($C56="",$B$2="",$D$2=0),0,IF(D$3&lt;0,0,N(INDEX('CURVA PREVISION'!$A$1:$KZ$3000,$C56,11+3*MIN(D$3,$D$2-1)))))</f>
        <v/>
      </c>
      <c r="E56" s="130">
        <f>IF(OR($C56="",$B$2="",$D$2=0),0,IF(E$3&lt;0,0,N(INDEX('CURVA PREVISION'!$A$1:$KZ$3000,$C56,11+3*MIN(E$3,$D$2-1)))))</f>
        <v/>
      </c>
      <c r="F56" s="130">
        <f>IF(OR($C56="",$B$2="",$D$2=0),0,IF(F$3&lt;0,0,N(INDEX('CURVA PREVISION'!$A$1:$KZ$3000,$C56,11+3*MIN(F$3,$D$2-1)))))</f>
        <v/>
      </c>
      <c r="G56" s="130">
        <f>IF(OR($C56="",$B$2="",$D$2=0),0,IF(G$3&lt;0,0,N(INDEX('CURVA PREVISION'!$A$1:$KZ$3000,$C56,11+3*MIN(G$3,$D$2-1)))))</f>
        <v/>
      </c>
      <c r="H56" s="130">
        <f>IF(OR($C56="",$B$2="",$D$2=0),0,IF(H$3&lt;0,0,N(INDEX('CURVA PREVISION'!$A$1:$KZ$3000,$C56,11+3*MIN(H$3,$D$2-1)))))</f>
        <v/>
      </c>
      <c r="I56" s="130">
        <f>IF(OR($C56="",$B$2="",$D$2=0),0,IF(I$3&lt;0,0,N(INDEX('CURVA PREVISION'!$A$1:$KZ$3000,$C56,11+3*MIN(I$3,$D$2-1)))))</f>
        <v/>
      </c>
      <c r="J56" s="130">
        <f>IF(OR($C56="",$B$2="",$D$2=0),0,IF(J$3&lt;0,0,N(INDEX('CURVA PREVISION'!$A$1:$KZ$3000,$C56,11+3*MIN(J$3,$D$2-1)))))</f>
        <v/>
      </c>
      <c r="K56" s="130">
        <f>IF(OR($C56="",$B$2="",$D$2=0),0,IF(K$3&lt;0,0,N(INDEX('CURVA PREVISION'!$A$1:$KZ$3000,$C56,11+3*MIN(K$3,$D$2-1)))))</f>
        <v/>
      </c>
      <c r="L56" s="130">
        <f>IF(OR($C56="",$B$2="",$D$2=0),0,IF(L$3&lt;0,0,N(INDEX('CURVA PREVISION'!$A$1:$KZ$3000,$C56,11+3*MIN(L$3,$D$2-1)))))</f>
        <v/>
      </c>
      <c r="M56" s="130">
        <f>IF(OR($C56="",$B$2="",$D$2=0),0,IF(M$3&lt;0,0,N(INDEX('CURVA PREVISION'!$A$1:$KZ$3000,$C56,11+3*MIN(M$3,$D$2-1)))))</f>
        <v/>
      </c>
      <c r="N56" s="130">
        <f>IF(OR($C56="",$B$2="",$D$2=0),0,IF(N$3&lt;0,0,N(INDEX('CURVA PREVISION'!$A$1:$KZ$3000,$C56,11+3*MIN(N$3,$D$2-1)))))</f>
        <v/>
      </c>
      <c r="O56" s="130">
        <f>IF(OR($C56="",$B$2="",$D$2=0),0,IF(O$3&lt;0,0,N(INDEX('CURVA PREVISION'!$A$1:$KZ$3000,$C56,11+3*MIN(O$3,$D$2-1)))))</f>
        <v/>
      </c>
      <c r="P56" s="130">
        <f>IF(OR($C56="",$B$2="",$D$2=0),0,IF(P$3&lt;0,0,N(INDEX('CURVA PREVISION'!$A$1:$KZ$3000,$C56,11+3*MIN(P$3,$D$2-1)))))</f>
        <v/>
      </c>
      <c r="Q56" s="130">
        <f>IF(OR($C56="",$B$2="",$D$2=0),0,IF(Q$3&lt;0,0,N(INDEX('CURVA PREVISION'!$A$1:$KZ$3000,$C56,11+3*MIN(Q$3,$D$2-1)))))</f>
        <v/>
      </c>
      <c r="R56" s="130">
        <f>IF(OR($C56="",$B$2="",$D$2=0),0,IF(R$3&lt;0,0,N(INDEX('CURVA PREVISION'!$A$1:$KZ$3000,$C56,11+3*MIN(R$3,$D$2-1)))))</f>
        <v/>
      </c>
      <c r="S56" s="130">
        <f>IF(OR($C56="",$B$2="",$D$2=0),0,IF(S$3&lt;0,0,N(INDEX('CURVA PREVISION'!$A$1:$KZ$3000,$C56,11+3*MIN(S$3,$D$2-1)))))</f>
        <v/>
      </c>
      <c r="T56" s="130">
        <f>IF(OR($C56="",$B$2="",$D$2=0),0,IF(T$3&lt;0,0,N(INDEX('CURVA PREVISION'!$A$1:$KZ$3000,$C56,11+3*MIN(T$3,$D$2-1)))))</f>
        <v/>
      </c>
      <c r="U56" s="130">
        <f>IF(OR($C56="",$B$2="",$D$2=0),0,IF(U$3&lt;0,0,N(INDEX('CURVA PREVISION'!$A$1:$KZ$3000,$C56,11+3*MIN(U$3,$D$2-1)))))</f>
        <v/>
      </c>
      <c r="V56" s="130">
        <f>IF(OR($C56="",$B$2="",$D$2=0),0,IF(V$3&lt;0,0,N(INDEX('CURVA PREVISION'!$A$1:$KZ$3000,$C56,11+3*MIN(V$3,$D$2-1)))))</f>
        <v/>
      </c>
      <c r="W56" s="130">
        <f>IF(OR($C56="",$B$2="",$D$2=0),0,IF(W$3&lt;0,0,N(INDEX('CURVA PREVISION'!$A$1:$KZ$3000,$C56,11+3*MIN(W$3,$D$2-1)))))</f>
        <v/>
      </c>
      <c r="X56" s="130">
        <f>IF(OR($C56="",$B$2="",$D$2=0),0,IF(X$3&lt;0,0,N(INDEX('CURVA PREVISION'!$A$1:$KZ$3000,$C56,11+3*MIN(X$3,$D$2-1)))))</f>
        <v/>
      </c>
      <c r="Y56" s="130">
        <f>IF(OR($C56="",$B$2="",$D$2=0),0,IF(Y$3&lt;0,0,N(INDEX('CURVA PREVISION'!$A$1:$KZ$3000,$C56,11+3*MIN(Y$3,$D$2-1)))))</f>
        <v/>
      </c>
      <c r="Z56" s="130">
        <f>IF(OR($C56="",$B$2="",$D$2=0),0,IF(Z$3&lt;0,0,N(INDEX('CURVA PREVISION'!$A$1:$KZ$3000,$C56,11+3*MIN(Z$3,$D$2-1)))))</f>
        <v/>
      </c>
      <c r="AA56" s="130">
        <f>IF(OR($C56="",$B$2="",$D$2=0),0,IF(AA$3&lt;0,0,N(INDEX('CURVA PREVISION'!$A$1:$KZ$3000,$C56,11+3*MIN(AA$3,$D$2-1)))))</f>
        <v/>
      </c>
      <c r="AB56" s="130">
        <f>IF(OR($C56="",$B$2="",$D$2=0),0,IF(AB$3&lt;0,0,N(INDEX('CURVA PREVISION'!$A$1:$KZ$3000,$C56,11+3*MIN(AB$3,$D$2-1)))))</f>
        <v/>
      </c>
      <c r="AC56" s="130">
        <f>IF(OR($C56="",$B$2="",$D$2=0),0,IF(AC$3&lt;0,0,N(INDEX('CURVA PREVISION'!$A$1:$KZ$3000,$C56,11+3*MIN(AC$3,$D$2-1)))))</f>
        <v/>
      </c>
      <c r="AD56" s="130">
        <f>IF(OR($C56="",$B$2="",$D$2=0),0,IF(AD$3&lt;0,0,N(INDEX('CURVA PREVISION'!$A$1:$KZ$3000,$C56,11+3*MIN(AD$3,$D$2-1)))))</f>
        <v/>
      </c>
      <c r="AE56" s="130">
        <f>IF(OR($C56="",$B$2="",$D$2=0),0,IF(AE$3&lt;0,0,N(INDEX('CURVA PREVISION'!$A$1:$KZ$3000,$C56,11+3*MIN(AE$3,$D$2-1)))))</f>
        <v/>
      </c>
      <c r="AF56" s="130">
        <f>IF(OR($C56="",$B$2="",$D$2=0),0,IF(AF$3&lt;0,0,N(INDEX('CURVA PREVISION'!$A$1:$KZ$3000,$C56,11+3*MIN(AF$3,$D$2-1)))))</f>
        <v/>
      </c>
      <c r="AG56" s="130">
        <f>IF(OR($C56="",$B$2="",$D$2=0),0,IF(AG$3&lt;0,0,N(INDEX('CURVA PREVISION'!$A$1:$KZ$3000,$C56,11+3*MIN(AG$3,$D$2-1)))))</f>
        <v/>
      </c>
      <c r="AH56" s="130">
        <f>IF(OR($C56="",$B$2="",$D$2=0),0,IF(AH$3&lt;0,0,N(INDEX('CURVA PREVISION'!$A$1:$KZ$3000,$C56,11+3*MIN(AH$3,$D$2-1)))))</f>
        <v/>
      </c>
      <c r="AI56" s="130">
        <f>IF(OR($C56="",$B$2="",$D$2=0),0,IF(AI$3&lt;0,0,N(INDEX('CURVA PREVISION'!$A$1:$KZ$3000,$C56,11+3*MIN(AI$3,$D$2-1)))))</f>
        <v/>
      </c>
      <c r="AJ56" s="130">
        <f>IF(OR($C56="",$B$2="",$D$2=0),0,IF(AJ$3&lt;0,0,N(INDEX('CURVA PREVISION'!$A$1:$KZ$3000,$C56,11+3*MIN(AJ$3,$D$2-1)))))</f>
        <v/>
      </c>
      <c r="AK56" s="130">
        <f>IF(OR($C56="",$B$2="",$D$2=0),0,IF(AK$3&lt;0,0,N(INDEX('CURVA PREVISION'!$A$1:$KZ$3000,$C56,11+3*MIN(AK$3,$D$2-1)))))</f>
        <v/>
      </c>
      <c r="AL56" s="130">
        <f>IF(OR($C56="",$B$2="",$D$2=0),0,IF(AL$3&lt;0,0,N(INDEX('CURVA PREVISION'!$A$1:$KZ$3000,$C56,11+3*MIN(AL$3,$D$2-1)))))</f>
        <v/>
      </c>
      <c r="AM56" s="130">
        <f>IF(OR($C56="",$B$2="",$D$2=0),0,IF(AM$3&lt;0,0,N(INDEX('CURVA PREVISION'!$A$1:$KZ$3000,$C56,11+3*MIN(AM$3,$D$2-1)))))</f>
        <v/>
      </c>
      <c r="AN56" s="130">
        <f>IF(OR($C56="",$B$2="",$D$2=0),0,IF(AN$3&lt;0,0,N(INDEX('CURVA PREVISION'!$A$1:$KZ$3000,$C56,11+3*MIN(AN$3,$D$2-1)))))</f>
        <v/>
      </c>
      <c r="AO56" s="130">
        <f>IF(OR($C56="",$B$2="",$D$2=0),0,IF(AO$3&lt;0,0,N(INDEX('CURVA PREVISION'!$A$1:$KZ$3000,$C56,11+3*MIN(AO$3,$D$2-1)))))</f>
        <v/>
      </c>
      <c r="AP56" s="130">
        <f>IF(OR($C56="",$B$2="",$D$2=0),0,IF(AP$3&lt;0,0,N(INDEX('CURVA PREVISION'!$A$1:$KZ$3000,$C56,11+3*MIN(AP$3,$D$2-1)))))</f>
        <v/>
      </c>
      <c r="AQ56" s="130">
        <f>IF(OR($C56="",$B$2="",$D$2=0),0,IF(AQ$3&lt;0,0,N(INDEX('CURVA PREVISION'!$A$1:$KZ$3000,$C56,11+3*MIN(AQ$3,$D$2-1)))))</f>
        <v/>
      </c>
      <c r="AR56" s="130">
        <f>IF(OR($C56="",$B$2="",$D$2=0),0,IF(AR$3&lt;0,0,N(INDEX('CURVA PREVISION'!$A$1:$KZ$3000,$C56,11+3*MIN(AR$3,$D$2-1)))))</f>
        <v/>
      </c>
      <c r="AS56" s="130">
        <f>IF(OR($C56="",$B$2="",$D$2=0),0,IF(AS$3&lt;0,0,N(INDEX('CURVA PREVISION'!$A$1:$KZ$3000,$C56,11+3*MIN(AS$3,$D$2-1)))))</f>
        <v/>
      </c>
      <c r="AT56" s="130">
        <f>IF(OR($C56="",$B$2="",$D$2=0),0,IF(AT$3&lt;0,0,N(INDEX('CURVA PREVISION'!$A$1:$KZ$3000,$C56,11+3*MIN(AT$3,$D$2-1)))))</f>
        <v/>
      </c>
      <c r="AU56" s="130">
        <f>IF(OR($C56="",$B$2="",$D$2=0),0,IF(AU$3&lt;0,0,N(INDEX('CURVA PREVISION'!$A$1:$KZ$3000,$C56,11+3*MIN(AU$3,$D$2-1)))))</f>
        <v/>
      </c>
      <c r="AV56" s="130">
        <f>IF(OR($C56="",$B$2="",$D$2=0),0,IF(AV$3&lt;0,0,N(INDEX('CURVA PREVISION'!$A$1:$KZ$3000,$C56,11+3*MIN(AV$3,$D$2-1)))))</f>
        <v/>
      </c>
      <c r="AW56" s="130">
        <f>IF(OR($C56="",$B$2="",$D$2=0),0,IF(AW$3&lt;0,0,N(INDEX('CURVA PREVISION'!$A$1:$KZ$3000,$C56,11+3*MIN(AW$3,$D$2-1)))))</f>
        <v/>
      </c>
      <c r="AX56" s="130">
        <f>IF(OR($C56="",$B$2="",$D$2=0),0,IF(AX$3&lt;0,0,N(INDEX('CURVA PREVISION'!$A$1:$KZ$3000,$C56,11+3*MIN(AX$3,$D$2-1)))))</f>
        <v/>
      </c>
      <c r="AY56" s="130">
        <f>IF(OR($C56="",$B$2="",$D$2=0),0,IF(AY$3&lt;0,0,N(INDEX('CURVA PREVISION'!$A$1:$KZ$3000,$C56,11+3*MIN(AY$3,$D$2-1)))))</f>
        <v/>
      </c>
      <c r="AZ56" s="130">
        <f>IF(OR($C56="",$B$2="",$D$2=0),0,IF(AZ$3&lt;0,0,N(INDEX('CURVA PREVISION'!$A$1:$KZ$3000,$C56,11+3*MIN(AZ$3,$D$2-1)))))</f>
        <v/>
      </c>
      <c r="BA56" s="130">
        <f>IF(OR($C56="",$B$2="",$D$2=0),0,IF(BA$3&lt;0,0,N(INDEX('CURVA PREVISION'!$A$1:$KZ$3000,$C56,11+3*MIN(BA$3,$D$2-1)))))</f>
        <v/>
      </c>
      <c r="BB56" s="130">
        <f>IF(OR($C56="",$B$2="",$D$2=0),0,IF(BB$3&lt;0,0,N(INDEX('CURVA PREVISION'!$A$1:$KZ$3000,$C56,11+3*MIN(BB$3,$D$2-1)))))</f>
        <v/>
      </c>
      <c r="BC56" s="130">
        <f>IF(OR($C56="",$B$2="",$D$2=0),0,IF(BC$3&lt;0,0,N(INDEX('CURVA PREVISION'!$A$1:$KZ$3000,$C56,11+3*MIN(BC$3,$D$2-1)))))</f>
        <v/>
      </c>
      <c r="BD56" s="130">
        <f>IF(OR($C56="",$B$2="",$D$2=0),0,IF(BD$3&lt;0,0,N(INDEX('CURVA PREVISION'!$A$1:$KZ$3000,$C56,11+3*MIN(BD$3,$D$2-1)))))</f>
        <v/>
      </c>
      <c r="BE56" s="130">
        <f>IF(OR($C56="",$B$2="",$D$2=0),0,IF(BE$3&lt;0,0,N(INDEX('CURVA PREVISION'!$A$1:$KZ$3000,$C56,11+3*MIN(BE$3,$D$2-1)))))</f>
        <v/>
      </c>
      <c r="BF56" s="130">
        <f>IF(OR($C56="",$B$2="",$D$2=0),0,IF(BF$3&lt;0,0,N(INDEX('CURVA PREVISION'!$A$1:$KZ$3000,$C56,11+3*MIN(BF$3,$D$2-1)))))</f>
        <v/>
      </c>
      <c r="BG56" s="130">
        <f>IF(OR($C56="",$B$2="",$D$2=0),0,IF(BG$3&lt;0,0,N(INDEX('CURVA PREVISION'!$A$1:$KZ$3000,$C56,11+3*MIN(BG$3,$D$2-1)))))</f>
        <v/>
      </c>
      <c r="BH56" s="130">
        <f>IF(OR($C56="",$B$2="",$D$2=0),0,IF(BH$3&lt;0,0,N(INDEX('CURVA PREVISION'!$A$1:$KZ$3000,$C56,11+3*MIN(BH$3,$D$2-1)))))</f>
        <v/>
      </c>
      <c r="BI56" s="130">
        <f>IF(OR($C56="",$B$2="",$D$2=0),0,IF(BI$3&lt;0,0,N(INDEX('CURVA PREVISION'!$A$1:$KZ$3000,$C56,11+3*MIN(BI$3,$D$2-1)))))</f>
        <v/>
      </c>
      <c r="BJ56" s="130">
        <f>IF(OR($C56="",$B$2="",$D$2=0),0,IF(BJ$3&lt;0,0,N(INDEX('CURVA PREVISION'!$A$1:$KZ$3000,$C56,11+3*MIN(BJ$3,$D$2-1)))))</f>
        <v/>
      </c>
      <c r="BK56" s="130">
        <f>IF(OR($C56="",$B$2="",$D$2=0),0,IF(BK$3&lt;0,0,N(INDEX('CURVA PREVISION'!$A$1:$KZ$3000,$C56,11+3*MIN(BK$3,$D$2-1)))))</f>
        <v/>
      </c>
      <c r="BL56" s="130">
        <f>IF(OR($C56="",$B$2="",$D$2=0),0,IF(BL$3&lt;0,0,N(INDEX('CURVA PREVISION'!$A$1:$KZ$3000,$C56,11+3*MIN(BL$3,$D$2-1)))))</f>
        <v/>
      </c>
      <c r="BM56" s="130">
        <f>IF(OR($C56="",$B$2="",$D$2=0),0,IF(BM$3&lt;0,0,N(INDEX('CURVA PREVISION'!$A$1:$KZ$3000,$C56,11+3*MIN(BM$3,$D$2-1)))))</f>
        <v/>
      </c>
      <c r="BN56" s="130">
        <f>IF(OR($C56="",$B$2="",$D$2=0),0,IF(BN$3&lt;0,0,N(INDEX('CURVA PREVISION'!$A$1:$KZ$3000,$C56,11+3*MIN(BN$3,$D$2-1)))))</f>
        <v/>
      </c>
      <c r="BO56" s="130">
        <f>IF(OR($C56="",$B$2="",$D$2=0),0,IF(BO$3&lt;0,0,N(INDEX('CURVA PREVISION'!$A$1:$KZ$3000,$C56,11+3*MIN(BO$3,$D$2-1)))))</f>
        <v/>
      </c>
      <c r="BP56" s="130">
        <f>IF(OR($C56="",$B$2="",$D$2=0),0,IF(BP$3&lt;0,0,N(INDEX('CURVA PREVISION'!$A$1:$KZ$3000,$C56,11+3*MIN(BP$3,$D$2-1)))))</f>
        <v/>
      </c>
      <c r="BQ56" s="130">
        <f>IF(OR($C56="",$B$2="",$D$2=0),0,IF(BQ$3&lt;0,0,N(INDEX('CURVA PREVISION'!$A$1:$KZ$3000,$C56,11+3*MIN(BQ$3,$D$2-1)))))</f>
        <v/>
      </c>
      <c r="BR56" s="130">
        <f>IF(OR($C56="",$B$2="",$D$2=0),0,IF(BR$3&lt;0,0,N(INDEX('CURVA PREVISION'!$A$1:$KZ$3000,$C56,11+3*MIN(BR$3,$D$2-1)))))</f>
        <v/>
      </c>
      <c r="BS56" s="130">
        <f>IF(OR($C56="",$B$2="",$D$2=0),0,IF(BS$3&lt;0,0,N(INDEX('CURVA PREVISION'!$A$1:$KZ$3000,$C56,11+3*MIN(BS$3,$D$2-1)))))</f>
        <v/>
      </c>
      <c r="BT56" s="130">
        <f>IF(OR($C56="",$B$2="",$D$2=0),0,IF(BT$3&lt;0,0,N(INDEX('CURVA PREVISION'!$A$1:$KZ$3000,$C56,11+3*MIN(BT$3,$D$2-1)))))</f>
        <v/>
      </c>
      <c r="BU56" s="130">
        <f>IF(OR($C56="",$B$2="",$D$2=0),0,IF(BU$3&lt;0,0,N(INDEX('CURVA PREVISION'!$A$1:$KZ$3000,$C56,11+3*MIN(BU$3,$D$2-1)))))</f>
        <v/>
      </c>
      <c r="BV56" s="130">
        <f>IF(OR($C56="",$B$2="",$D$2=0),0,IF(BV$3&lt;0,0,N(INDEX('CURVA PREVISION'!$A$1:$KZ$3000,$C56,11+3*MIN(BV$3,$D$2-1)))))</f>
        <v/>
      </c>
      <c r="BW56" s="130">
        <f>IF(OR($C56="",$B$2="",$D$2=0),0,IF(BW$3&lt;0,0,N(INDEX('CURVA PREVISION'!$A$1:$KZ$3000,$C56,11+3*MIN(BW$3,$D$2-1)))))</f>
        <v/>
      </c>
    </row>
    <row r="57">
      <c r="A57" s="61">
        <f>IF('VALOR POR PL'!Q21="",'VALOR POR PL'!C21,'VALOR POR PL'!Q21)</f>
        <v/>
      </c>
      <c r="B57" s="51">
        <f>B15</f>
        <v/>
      </c>
      <c r="C57" s="70">
        <f>IFERROR(MATCH(A57,'CURVA PREVISION'!$B$1:$B$3000,0),"")</f>
        <v/>
      </c>
      <c r="D57" s="130">
        <f>IF(OR($C57="",$B$2="",$D$2=0),0,IF(D$3&lt;0,0,N(INDEX('CURVA PREVISION'!$A$1:$KZ$3000,$C57,11+3*MIN(D$3,$D$2-1)))))</f>
        <v/>
      </c>
      <c r="E57" s="130">
        <f>IF(OR($C57="",$B$2="",$D$2=0),0,IF(E$3&lt;0,0,N(INDEX('CURVA PREVISION'!$A$1:$KZ$3000,$C57,11+3*MIN(E$3,$D$2-1)))))</f>
        <v/>
      </c>
      <c r="F57" s="130">
        <f>IF(OR($C57="",$B$2="",$D$2=0),0,IF(F$3&lt;0,0,N(INDEX('CURVA PREVISION'!$A$1:$KZ$3000,$C57,11+3*MIN(F$3,$D$2-1)))))</f>
        <v/>
      </c>
      <c r="G57" s="130">
        <f>IF(OR($C57="",$B$2="",$D$2=0),0,IF(G$3&lt;0,0,N(INDEX('CURVA PREVISION'!$A$1:$KZ$3000,$C57,11+3*MIN(G$3,$D$2-1)))))</f>
        <v/>
      </c>
      <c r="H57" s="130">
        <f>IF(OR($C57="",$B$2="",$D$2=0),0,IF(H$3&lt;0,0,N(INDEX('CURVA PREVISION'!$A$1:$KZ$3000,$C57,11+3*MIN(H$3,$D$2-1)))))</f>
        <v/>
      </c>
      <c r="I57" s="130">
        <f>IF(OR($C57="",$B$2="",$D$2=0),0,IF(I$3&lt;0,0,N(INDEX('CURVA PREVISION'!$A$1:$KZ$3000,$C57,11+3*MIN(I$3,$D$2-1)))))</f>
        <v/>
      </c>
      <c r="J57" s="130">
        <f>IF(OR($C57="",$B$2="",$D$2=0),0,IF(J$3&lt;0,0,N(INDEX('CURVA PREVISION'!$A$1:$KZ$3000,$C57,11+3*MIN(J$3,$D$2-1)))))</f>
        <v/>
      </c>
      <c r="K57" s="130">
        <f>IF(OR($C57="",$B$2="",$D$2=0),0,IF(K$3&lt;0,0,N(INDEX('CURVA PREVISION'!$A$1:$KZ$3000,$C57,11+3*MIN(K$3,$D$2-1)))))</f>
        <v/>
      </c>
      <c r="L57" s="130">
        <f>IF(OR($C57="",$B$2="",$D$2=0),0,IF(L$3&lt;0,0,N(INDEX('CURVA PREVISION'!$A$1:$KZ$3000,$C57,11+3*MIN(L$3,$D$2-1)))))</f>
        <v/>
      </c>
      <c r="M57" s="130">
        <f>IF(OR($C57="",$B$2="",$D$2=0),0,IF(M$3&lt;0,0,N(INDEX('CURVA PREVISION'!$A$1:$KZ$3000,$C57,11+3*MIN(M$3,$D$2-1)))))</f>
        <v/>
      </c>
      <c r="N57" s="130">
        <f>IF(OR($C57="",$B$2="",$D$2=0),0,IF(N$3&lt;0,0,N(INDEX('CURVA PREVISION'!$A$1:$KZ$3000,$C57,11+3*MIN(N$3,$D$2-1)))))</f>
        <v/>
      </c>
      <c r="O57" s="130">
        <f>IF(OR($C57="",$B$2="",$D$2=0),0,IF(O$3&lt;0,0,N(INDEX('CURVA PREVISION'!$A$1:$KZ$3000,$C57,11+3*MIN(O$3,$D$2-1)))))</f>
        <v/>
      </c>
      <c r="P57" s="130">
        <f>IF(OR($C57="",$B$2="",$D$2=0),0,IF(P$3&lt;0,0,N(INDEX('CURVA PREVISION'!$A$1:$KZ$3000,$C57,11+3*MIN(P$3,$D$2-1)))))</f>
        <v/>
      </c>
      <c r="Q57" s="130">
        <f>IF(OR($C57="",$B$2="",$D$2=0),0,IF(Q$3&lt;0,0,N(INDEX('CURVA PREVISION'!$A$1:$KZ$3000,$C57,11+3*MIN(Q$3,$D$2-1)))))</f>
        <v/>
      </c>
      <c r="R57" s="130">
        <f>IF(OR($C57="",$B$2="",$D$2=0),0,IF(R$3&lt;0,0,N(INDEX('CURVA PREVISION'!$A$1:$KZ$3000,$C57,11+3*MIN(R$3,$D$2-1)))))</f>
        <v/>
      </c>
      <c r="S57" s="130">
        <f>IF(OR($C57="",$B$2="",$D$2=0),0,IF(S$3&lt;0,0,N(INDEX('CURVA PREVISION'!$A$1:$KZ$3000,$C57,11+3*MIN(S$3,$D$2-1)))))</f>
        <v/>
      </c>
      <c r="T57" s="130">
        <f>IF(OR($C57="",$B$2="",$D$2=0),0,IF(T$3&lt;0,0,N(INDEX('CURVA PREVISION'!$A$1:$KZ$3000,$C57,11+3*MIN(T$3,$D$2-1)))))</f>
        <v/>
      </c>
      <c r="U57" s="130">
        <f>IF(OR($C57="",$B$2="",$D$2=0),0,IF(U$3&lt;0,0,N(INDEX('CURVA PREVISION'!$A$1:$KZ$3000,$C57,11+3*MIN(U$3,$D$2-1)))))</f>
        <v/>
      </c>
      <c r="V57" s="130">
        <f>IF(OR($C57="",$B$2="",$D$2=0),0,IF(V$3&lt;0,0,N(INDEX('CURVA PREVISION'!$A$1:$KZ$3000,$C57,11+3*MIN(V$3,$D$2-1)))))</f>
        <v/>
      </c>
      <c r="W57" s="130">
        <f>IF(OR($C57="",$B$2="",$D$2=0),0,IF(W$3&lt;0,0,N(INDEX('CURVA PREVISION'!$A$1:$KZ$3000,$C57,11+3*MIN(W$3,$D$2-1)))))</f>
        <v/>
      </c>
      <c r="X57" s="130">
        <f>IF(OR($C57="",$B$2="",$D$2=0),0,IF(X$3&lt;0,0,N(INDEX('CURVA PREVISION'!$A$1:$KZ$3000,$C57,11+3*MIN(X$3,$D$2-1)))))</f>
        <v/>
      </c>
      <c r="Y57" s="130">
        <f>IF(OR($C57="",$B$2="",$D$2=0),0,IF(Y$3&lt;0,0,N(INDEX('CURVA PREVISION'!$A$1:$KZ$3000,$C57,11+3*MIN(Y$3,$D$2-1)))))</f>
        <v/>
      </c>
      <c r="Z57" s="130">
        <f>IF(OR($C57="",$B$2="",$D$2=0),0,IF(Z$3&lt;0,0,N(INDEX('CURVA PREVISION'!$A$1:$KZ$3000,$C57,11+3*MIN(Z$3,$D$2-1)))))</f>
        <v/>
      </c>
      <c r="AA57" s="130">
        <f>IF(OR($C57="",$B$2="",$D$2=0),0,IF(AA$3&lt;0,0,N(INDEX('CURVA PREVISION'!$A$1:$KZ$3000,$C57,11+3*MIN(AA$3,$D$2-1)))))</f>
        <v/>
      </c>
      <c r="AB57" s="130">
        <f>IF(OR($C57="",$B$2="",$D$2=0),0,IF(AB$3&lt;0,0,N(INDEX('CURVA PREVISION'!$A$1:$KZ$3000,$C57,11+3*MIN(AB$3,$D$2-1)))))</f>
        <v/>
      </c>
      <c r="AC57" s="130">
        <f>IF(OR($C57="",$B$2="",$D$2=0),0,IF(AC$3&lt;0,0,N(INDEX('CURVA PREVISION'!$A$1:$KZ$3000,$C57,11+3*MIN(AC$3,$D$2-1)))))</f>
        <v/>
      </c>
      <c r="AD57" s="130">
        <f>IF(OR($C57="",$B$2="",$D$2=0),0,IF(AD$3&lt;0,0,N(INDEX('CURVA PREVISION'!$A$1:$KZ$3000,$C57,11+3*MIN(AD$3,$D$2-1)))))</f>
        <v/>
      </c>
      <c r="AE57" s="130">
        <f>IF(OR($C57="",$B$2="",$D$2=0),0,IF(AE$3&lt;0,0,N(INDEX('CURVA PREVISION'!$A$1:$KZ$3000,$C57,11+3*MIN(AE$3,$D$2-1)))))</f>
        <v/>
      </c>
      <c r="AF57" s="130">
        <f>IF(OR($C57="",$B$2="",$D$2=0),0,IF(AF$3&lt;0,0,N(INDEX('CURVA PREVISION'!$A$1:$KZ$3000,$C57,11+3*MIN(AF$3,$D$2-1)))))</f>
        <v/>
      </c>
      <c r="AG57" s="130">
        <f>IF(OR($C57="",$B$2="",$D$2=0),0,IF(AG$3&lt;0,0,N(INDEX('CURVA PREVISION'!$A$1:$KZ$3000,$C57,11+3*MIN(AG$3,$D$2-1)))))</f>
        <v/>
      </c>
      <c r="AH57" s="130">
        <f>IF(OR($C57="",$B$2="",$D$2=0),0,IF(AH$3&lt;0,0,N(INDEX('CURVA PREVISION'!$A$1:$KZ$3000,$C57,11+3*MIN(AH$3,$D$2-1)))))</f>
        <v/>
      </c>
      <c r="AI57" s="130">
        <f>IF(OR($C57="",$B$2="",$D$2=0),0,IF(AI$3&lt;0,0,N(INDEX('CURVA PREVISION'!$A$1:$KZ$3000,$C57,11+3*MIN(AI$3,$D$2-1)))))</f>
        <v/>
      </c>
      <c r="AJ57" s="130">
        <f>IF(OR($C57="",$B$2="",$D$2=0),0,IF(AJ$3&lt;0,0,N(INDEX('CURVA PREVISION'!$A$1:$KZ$3000,$C57,11+3*MIN(AJ$3,$D$2-1)))))</f>
        <v/>
      </c>
      <c r="AK57" s="130">
        <f>IF(OR($C57="",$B$2="",$D$2=0),0,IF(AK$3&lt;0,0,N(INDEX('CURVA PREVISION'!$A$1:$KZ$3000,$C57,11+3*MIN(AK$3,$D$2-1)))))</f>
        <v/>
      </c>
      <c r="AL57" s="130">
        <f>IF(OR($C57="",$B$2="",$D$2=0),0,IF(AL$3&lt;0,0,N(INDEX('CURVA PREVISION'!$A$1:$KZ$3000,$C57,11+3*MIN(AL$3,$D$2-1)))))</f>
        <v/>
      </c>
      <c r="AM57" s="130">
        <f>IF(OR($C57="",$B$2="",$D$2=0),0,IF(AM$3&lt;0,0,N(INDEX('CURVA PREVISION'!$A$1:$KZ$3000,$C57,11+3*MIN(AM$3,$D$2-1)))))</f>
        <v/>
      </c>
      <c r="AN57" s="130">
        <f>IF(OR($C57="",$B$2="",$D$2=0),0,IF(AN$3&lt;0,0,N(INDEX('CURVA PREVISION'!$A$1:$KZ$3000,$C57,11+3*MIN(AN$3,$D$2-1)))))</f>
        <v/>
      </c>
      <c r="AO57" s="130">
        <f>IF(OR($C57="",$B$2="",$D$2=0),0,IF(AO$3&lt;0,0,N(INDEX('CURVA PREVISION'!$A$1:$KZ$3000,$C57,11+3*MIN(AO$3,$D$2-1)))))</f>
        <v/>
      </c>
      <c r="AP57" s="130">
        <f>IF(OR($C57="",$B$2="",$D$2=0),0,IF(AP$3&lt;0,0,N(INDEX('CURVA PREVISION'!$A$1:$KZ$3000,$C57,11+3*MIN(AP$3,$D$2-1)))))</f>
        <v/>
      </c>
      <c r="AQ57" s="130">
        <f>IF(OR($C57="",$B$2="",$D$2=0),0,IF(AQ$3&lt;0,0,N(INDEX('CURVA PREVISION'!$A$1:$KZ$3000,$C57,11+3*MIN(AQ$3,$D$2-1)))))</f>
        <v/>
      </c>
      <c r="AR57" s="130">
        <f>IF(OR($C57="",$B$2="",$D$2=0),0,IF(AR$3&lt;0,0,N(INDEX('CURVA PREVISION'!$A$1:$KZ$3000,$C57,11+3*MIN(AR$3,$D$2-1)))))</f>
        <v/>
      </c>
      <c r="AS57" s="130">
        <f>IF(OR($C57="",$B$2="",$D$2=0),0,IF(AS$3&lt;0,0,N(INDEX('CURVA PREVISION'!$A$1:$KZ$3000,$C57,11+3*MIN(AS$3,$D$2-1)))))</f>
        <v/>
      </c>
      <c r="AT57" s="130">
        <f>IF(OR($C57="",$B$2="",$D$2=0),0,IF(AT$3&lt;0,0,N(INDEX('CURVA PREVISION'!$A$1:$KZ$3000,$C57,11+3*MIN(AT$3,$D$2-1)))))</f>
        <v/>
      </c>
      <c r="AU57" s="130">
        <f>IF(OR($C57="",$B$2="",$D$2=0),0,IF(AU$3&lt;0,0,N(INDEX('CURVA PREVISION'!$A$1:$KZ$3000,$C57,11+3*MIN(AU$3,$D$2-1)))))</f>
        <v/>
      </c>
      <c r="AV57" s="130">
        <f>IF(OR($C57="",$B$2="",$D$2=0),0,IF(AV$3&lt;0,0,N(INDEX('CURVA PREVISION'!$A$1:$KZ$3000,$C57,11+3*MIN(AV$3,$D$2-1)))))</f>
        <v/>
      </c>
      <c r="AW57" s="130">
        <f>IF(OR($C57="",$B$2="",$D$2=0),0,IF(AW$3&lt;0,0,N(INDEX('CURVA PREVISION'!$A$1:$KZ$3000,$C57,11+3*MIN(AW$3,$D$2-1)))))</f>
        <v/>
      </c>
      <c r="AX57" s="130">
        <f>IF(OR($C57="",$B$2="",$D$2=0),0,IF(AX$3&lt;0,0,N(INDEX('CURVA PREVISION'!$A$1:$KZ$3000,$C57,11+3*MIN(AX$3,$D$2-1)))))</f>
        <v/>
      </c>
      <c r="AY57" s="130">
        <f>IF(OR($C57="",$B$2="",$D$2=0),0,IF(AY$3&lt;0,0,N(INDEX('CURVA PREVISION'!$A$1:$KZ$3000,$C57,11+3*MIN(AY$3,$D$2-1)))))</f>
        <v/>
      </c>
      <c r="AZ57" s="130">
        <f>IF(OR($C57="",$B$2="",$D$2=0),0,IF(AZ$3&lt;0,0,N(INDEX('CURVA PREVISION'!$A$1:$KZ$3000,$C57,11+3*MIN(AZ$3,$D$2-1)))))</f>
        <v/>
      </c>
      <c r="BA57" s="130">
        <f>IF(OR($C57="",$B$2="",$D$2=0),0,IF(BA$3&lt;0,0,N(INDEX('CURVA PREVISION'!$A$1:$KZ$3000,$C57,11+3*MIN(BA$3,$D$2-1)))))</f>
        <v/>
      </c>
      <c r="BB57" s="130">
        <f>IF(OR($C57="",$B$2="",$D$2=0),0,IF(BB$3&lt;0,0,N(INDEX('CURVA PREVISION'!$A$1:$KZ$3000,$C57,11+3*MIN(BB$3,$D$2-1)))))</f>
        <v/>
      </c>
      <c r="BC57" s="130">
        <f>IF(OR($C57="",$B$2="",$D$2=0),0,IF(BC$3&lt;0,0,N(INDEX('CURVA PREVISION'!$A$1:$KZ$3000,$C57,11+3*MIN(BC$3,$D$2-1)))))</f>
        <v/>
      </c>
      <c r="BD57" s="130">
        <f>IF(OR($C57="",$B$2="",$D$2=0),0,IF(BD$3&lt;0,0,N(INDEX('CURVA PREVISION'!$A$1:$KZ$3000,$C57,11+3*MIN(BD$3,$D$2-1)))))</f>
        <v/>
      </c>
      <c r="BE57" s="130">
        <f>IF(OR($C57="",$B$2="",$D$2=0),0,IF(BE$3&lt;0,0,N(INDEX('CURVA PREVISION'!$A$1:$KZ$3000,$C57,11+3*MIN(BE$3,$D$2-1)))))</f>
        <v/>
      </c>
      <c r="BF57" s="130">
        <f>IF(OR($C57="",$B$2="",$D$2=0),0,IF(BF$3&lt;0,0,N(INDEX('CURVA PREVISION'!$A$1:$KZ$3000,$C57,11+3*MIN(BF$3,$D$2-1)))))</f>
        <v/>
      </c>
      <c r="BG57" s="130">
        <f>IF(OR($C57="",$B$2="",$D$2=0),0,IF(BG$3&lt;0,0,N(INDEX('CURVA PREVISION'!$A$1:$KZ$3000,$C57,11+3*MIN(BG$3,$D$2-1)))))</f>
        <v/>
      </c>
      <c r="BH57" s="130">
        <f>IF(OR($C57="",$B$2="",$D$2=0),0,IF(BH$3&lt;0,0,N(INDEX('CURVA PREVISION'!$A$1:$KZ$3000,$C57,11+3*MIN(BH$3,$D$2-1)))))</f>
        <v/>
      </c>
      <c r="BI57" s="130">
        <f>IF(OR($C57="",$B$2="",$D$2=0),0,IF(BI$3&lt;0,0,N(INDEX('CURVA PREVISION'!$A$1:$KZ$3000,$C57,11+3*MIN(BI$3,$D$2-1)))))</f>
        <v/>
      </c>
      <c r="BJ57" s="130">
        <f>IF(OR($C57="",$B$2="",$D$2=0),0,IF(BJ$3&lt;0,0,N(INDEX('CURVA PREVISION'!$A$1:$KZ$3000,$C57,11+3*MIN(BJ$3,$D$2-1)))))</f>
        <v/>
      </c>
      <c r="BK57" s="130">
        <f>IF(OR($C57="",$B$2="",$D$2=0),0,IF(BK$3&lt;0,0,N(INDEX('CURVA PREVISION'!$A$1:$KZ$3000,$C57,11+3*MIN(BK$3,$D$2-1)))))</f>
        <v/>
      </c>
      <c r="BL57" s="130">
        <f>IF(OR($C57="",$B$2="",$D$2=0),0,IF(BL$3&lt;0,0,N(INDEX('CURVA PREVISION'!$A$1:$KZ$3000,$C57,11+3*MIN(BL$3,$D$2-1)))))</f>
        <v/>
      </c>
      <c r="BM57" s="130">
        <f>IF(OR($C57="",$B$2="",$D$2=0),0,IF(BM$3&lt;0,0,N(INDEX('CURVA PREVISION'!$A$1:$KZ$3000,$C57,11+3*MIN(BM$3,$D$2-1)))))</f>
        <v/>
      </c>
      <c r="BN57" s="130">
        <f>IF(OR($C57="",$B$2="",$D$2=0),0,IF(BN$3&lt;0,0,N(INDEX('CURVA PREVISION'!$A$1:$KZ$3000,$C57,11+3*MIN(BN$3,$D$2-1)))))</f>
        <v/>
      </c>
      <c r="BO57" s="130">
        <f>IF(OR($C57="",$B$2="",$D$2=0),0,IF(BO$3&lt;0,0,N(INDEX('CURVA PREVISION'!$A$1:$KZ$3000,$C57,11+3*MIN(BO$3,$D$2-1)))))</f>
        <v/>
      </c>
      <c r="BP57" s="130">
        <f>IF(OR($C57="",$B$2="",$D$2=0),0,IF(BP$3&lt;0,0,N(INDEX('CURVA PREVISION'!$A$1:$KZ$3000,$C57,11+3*MIN(BP$3,$D$2-1)))))</f>
        <v/>
      </c>
      <c r="BQ57" s="130">
        <f>IF(OR($C57="",$B$2="",$D$2=0),0,IF(BQ$3&lt;0,0,N(INDEX('CURVA PREVISION'!$A$1:$KZ$3000,$C57,11+3*MIN(BQ$3,$D$2-1)))))</f>
        <v/>
      </c>
      <c r="BR57" s="130">
        <f>IF(OR($C57="",$B$2="",$D$2=0),0,IF(BR$3&lt;0,0,N(INDEX('CURVA PREVISION'!$A$1:$KZ$3000,$C57,11+3*MIN(BR$3,$D$2-1)))))</f>
        <v/>
      </c>
      <c r="BS57" s="130">
        <f>IF(OR($C57="",$B$2="",$D$2=0),0,IF(BS$3&lt;0,0,N(INDEX('CURVA PREVISION'!$A$1:$KZ$3000,$C57,11+3*MIN(BS$3,$D$2-1)))))</f>
        <v/>
      </c>
      <c r="BT57" s="130">
        <f>IF(OR($C57="",$B$2="",$D$2=0),0,IF(BT$3&lt;0,0,N(INDEX('CURVA PREVISION'!$A$1:$KZ$3000,$C57,11+3*MIN(BT$3,$D$2-1)))))</f>
        <v/>
      </c>
      <c r="BU57" s="130">
        <f>IF(OR($C57="",$B$2="",$D$2=0),0,IF(BU$3&lt;0,0,N(INDEX('CURVA PREVISION'!$A$1:$KZ$3000,$C57,11+3*MIN(BU$3,$D$2-1)))))</f>
        <v/>
      </c>
      <c r="BV57" s="130">
        <f>IF(OR($C57="",$B$2="",$D$2=0),0,IF(BV$3&lt;0,0,N(INDEX('CURVA PREVISION'!$A$1:$KZ$3000,$C57,11+3*MIN(BV$3,$D$2-1)))))</f>
        <v/>
      </c>
      <c r="BW57" s="130">
        <f>IF(OR($C57="",$B$2="",$D$2=0),0,IF(BW$3&lt;0,0,N(INDEX('CURVA PREVISION'!$A$1:$KZ$3000,$C57,11+3*MIN(BW$3,$D$2-1)))))</f>
        <v/>
      </c>
    </row>
    <row r="58">
      <c r="A58" s="61">
        <f>IF('VALOR POR PL'!Q22="",'VALOR POR PL'!C22,'VALOR POR PL'!Q22)</f>
        <v/>
      </c>
      <c r="B58" s="51">
        <f>B16</f>
        <v/>
      </c>
      <c r="C58" s="70">
        <f>IFERROR(MATCH(A58,'CURVA PREVISION'!$B$1:$B$3000,0),"")</f>
        <v/>
      </c>
      <c r="D58" s="130">
        <f>IF(OR($C58="",$B$2="",$D$2=0),0,IF(D$3&lt;0,0,N(INDEX('CURVA PREVISION'!$A$1:$KZ$3000,$C58,11+3*MIN(D$3,$D$2-1)))))</f>
        <v/>
      </c>
      <c r="E58" s="130">
        <f>IF(OR($C58="",$B$2="",$D$2=0),0,IF(E$3&lt;0,0,N(INDEX('CURVA PREVISION'!$A$1:$KZ$3000,$C58,11+3*MIN(E$3,$D$2-1)))))</f>
        <v/>
      </c>
      <c r="F58" s="130">
        <f>IF(OR($C58="",$B$2="",$D$2=0),0,IF(F$3&lt;0,0,N(INDEX('CURVA PREVISION'!$A$1:$KZ$3000,$C58,11+3*MIN(F$3,$D$2-1)))))</f>
        <v/>
      </c>
      <c r="G58" s="130">
        <f>IF(OR($C58="",$B$2="",$D$2=0),0,IF(G$3&lt;0,0,N(INDEX('CURVA PREVISION'!$A$1:$KZ$3000,$C58,11+3*MIN(G$3,$D$2-1)))))</f>
        <v/>
      </c>
      <c r="H58" s="130">
        <f>IF(OR($C58="",$B$2="",$D$2=0),0,IF(H$3&lt;0,0,N(INDEX('CURVA PREVISION'!$A$1:$KZ$3000,$C58,11+3*MIN(H$3,$D$2-1)))))</f>
        <v/>
      </c>
      <c r="I58" s="130">
        <f>IF(OR($C58="",$B$2="",$D$2=0),0,IF(I$3&lt;0,0,N(INDEX('CURVA PREVISION'!$A$1:$KZ$3000,$C58,11+3*MIN(I$3,$D$2-1)))))</f>
        <v/>
      </c>
      <c r="J58" s="130">
        <f>IF(OR($C58="",$B$2="",$D$2=0),0,IF(J$3&lt;0,0,N(INDEX('CURVA PREVISION'!$A$1:$KZ$3000,$C58,11+3*MIN(J$3,$D$2-1)))))</f>
        <v/>
      </c>
      <c r="K58" s="130">
        <f>IF(OR($C58="",$B$2="",$D$2=0),0,IF(K$3&lt;0,0,N(INDEX('CURVA PREVISION'!$A$1:$KZ$3000,$C58,11+3*MIN(K$3,$D$2-1)))))</f>
        <v/>
      </c>
      <c r="L58" s="130">
        <f>IF(OR($C58="",$B$2="",$D$2=0),0,IF(L$3&lt;0,0,N(INDEX('CURVA PREVISION'!$A$1:$KZ$3000,$C58,11+3*MIN(L$3,$D$2-1)))))</f>
        <v/>
      </c>
      <c r="M58" s="130">
        <f>IF(OR($C58="",$B$2="",$D$2=0),0,IF(M$3&lt;0,0,N(INDEX('CURVA PREVISION'!$A$1:$KZ$3000,$C58,11+3*MIN(M$3,$D$2-1)))))</f>
        <v/>
      </c>
      <c r="N58" s="130">
        <f>IF(OR($C58="",$B$2="",$D$2=0),0,IF(N$3&lt;0,0,N(INDEX('CURVA PREVISION'!$A$1:$KZ$3000,$C58,11+3*MIN(N$3,$D$2-1)))))</f>
        <v/>
      </c>
      <c r="O58" s="130">
        <f>IF(OR($C58="",$B$2="",$D$2=0),0,IF(O$3&lt;0,0,N(INDEX('CURVA PREVISION'!$A$1:$KZ$3000,$C58,11+3*MIN(O$3,$D$2-1)))))</f>
        <v/>
      </c>
      <c r="P58" s="130">
        <f>IF(OR($C58="",$B$2="",$D$2=0),0,IF(P$3&lt;0,0,N(INDEX('CURVA PREVISION'!$A$1:$KZ$3000,$C58,11+3*MIN(P$3,$D$2-1)))))</f>
        <v/>
      </c>
      <c r="Q58" s="130">
        <f>IF(OR($C58="",$B$2="",$D$2=0),0,IF(Q$3&lt;0,0,N(INDEX('CURVA PREVISION'!$A$1:$KZ$3000,$C58,11+3*MIN(Q$3,$D$2-1)))))</f>
        <v/>
      </c>
      <c r="R58" s="130">
        <f>IF(OR($C58="",$B$2="",$D$2=0),0,IF(R$3&lt;0,0,N(INDEX('CURVA PREVISION'!$A$1:$KZ$3000,$C58,11+3*MIN(R$3,$D$2-1)))))</f>
        <v/>
      </c>
      <c r="S58" s="130">
        <f>IF(OR($C58="",$B$2="",$D$2=0),0,IF(S$3&lt;0,0,N(INDEX('CURVA PREVISION'!$A$1:$KZ$3000,$C58,11+3*MIN(S$3,$D$2-1)))))</f>
        <v/>
      </c>
      <c r="T58" s="130">
        <f>IF(OR($C58="",$B$2="",$D$2=0),0,IF(T$3&lt;0,0,N(INDEX('CURVA PREVISION'!$A$1:$KZ$3000,$C58,11+3*MIN(T$3,$D$2-1)))))</f>
        <v/>
      </c>
      <c r="U58" s="130">
        <f>IF(OR($C58="",$B$2="",$D$2=0),0,IF(U$3&lt;0,0,N(INDEX('CURVA PREVISION'!$A$1:$KZ$3000,$C58,11+3*MIN(U$3,$D$2-1)))))</f>
        <v/>
      </c>
      <c r="V58" s="130">
        <f>IF(OR($C58="",$B$2="",$D$2=0),0,IF(V$3&lt;0,0,N(INDEX('CURVA PREVISION'!$A$1:$KZ$3000,$C58,11+3*MIN(V$3,$D$2-1)))))</f>
        <v/>
      </c>
      <c r="W58" s="130">
        <f>IF(OR($C58="",$B$2="",$D$2=0),0,IF(W$3&lt;0,0,N(INDEX('CURVA PREVISION'!$A$1:$KZ$3000,$C58,11+3*MIN(W$3,$D$2-1)))))</f>
        <v/>
      </c>
      <c r="X58" s="130">
        <f>IF(OR($C58="",$B$2="",$D$2=0),0,IF(X$3&lt;0,0,N(INDEX('CURVA PREVISION'!$A$1:$KZ$3000,$C58,11+3*MIN(X$3,$D$2-1)))))</f>
        <v/>
      </c>
      <c r="Y58" s="130">
        <f>IF(OR($C58="",$B$2="",$D$2=0),0,IF(Y$3&lt;0,0,N(INDEX('CURVA PREVISION'!$A$1:$KZ$3000,$C58,11+3*MIN(Y$3,$D$2-1)))))</f>
        <v/>
      </c>
      <c r="Z58" s="130">
        <f>IF(OR($C58="",$B$2="",$D$2=0),0,IF(Z$3&lt;0,0,N(INDEX('CURVA PREVISION'!$A$1:$KZ$3000,$C58,11+3*MIN(Z$3,$D$2-1)))))</f>
        <v/>
      </c>
      <c r="AA58" s="130">
        <f>IF(OR($C58="",$B$2="",$D$2=0),0,IF(AA$3&lt;0,0,N(INDEX('CURVA PREVISION'!$A$1:$KZ$3000,$C58,11+3*MIN(AA$3,$D$2-1)))))</f>
        <v/>
      </c>
      <c r="AB58" s="130">
        <f>IF(OR($C58="",$B$2="",$D$2=0),0,IF(AB$3&lt;0,0,N(INDEX('CURVA PREVISION'!$A$1:$KZ$3000,$C58,11+3*MIN(AB$3,$D$2-1)))))</f>
        <v/>
      </c>
      <c r="AC58" s="130">
        <f>IF(OR($C58="",$B$2="",$D$2=0),0,IF(AC$3&lt;0,0,N(INDEX('CURVA PREVISION'!$A$1:$KZ$3000,$C58,11+3*MIN(AC$3,$D$2-1)))))</f>
        <v/>
      </c>
      <c r="AD58" s="130">
        <f>IF(OR($C58="",$B$2="",$D$2=0),0,IF(AD$3&lt;0,0,N(INDEX('CURVA PREVISION'!$A$1:$KZ$3000,$C58,11+3*MIN(AD$3,$D$2-1)))))</f>
        <v/>
      </c>
      <c r="AE58" s="130">
        <f>IF(OR($C58="",$B$2="",$D$2=0),0,IF(AE$3&lt;0,0,N(INDEX('CURVA PREVISION'!$A$1:$KZ$3000,$C58,11+3*MIN(AE$3,$D$2-1)))))</f>
        <v/>
      </c>
      <c r="AF58" s="130">
        <f>IF(OR($C58="",$B$2="",$D$2=0),0,IF(AF$3&lt;0,0,N(INDEX('CURVA PREVISION'!$A$1:$KZ$3000,$C58,11+3*MIN(AF$3,$D$2-1)))))</f>
        <v/>
      </c>
      <c r="AG58" s="130">
        <f>IF(OR($C58="",$B$2="",$D$2=0),0,IF(AG$3&lt;0,0,N(INDEX('CURVA PREVISION'!$A$1:$KZ$3000,$C58,11+3*MIN(AG$3,$D$2-1)))))</f>
        <v/>
      </c>
      <c r="AH58" s="130">
        <f>IF(OR($C58="",$B$2="",$D$2=0),0,IF(AH$3&lt;0,0,N(INDEX('CURVA PREVISION'!$A$1:$KZ$3000,$C58,11+3*MIN(AH$3,$D$2-1)))))</f>
        <v/>
      </c>
      <c r="AI58" s="130">
        <f>IF(OR($C58="",$B$2="",$D$2=0),0,IF(AI$3&lt;0,0,N(INDEX('CURVA PREVISION'!$A$1:$KZ$3000,$C58,11+3*MIN(AI$3,$D$2-1)))))</f>
        <v/>
      </c>
      <c r="AJ58" s="130">
        <f>IF(OR($C58="",$B$2="",$D$2=0),0,IF(AJ$3&lt;0,0,N(INDEX('CURVA PREVISION'!$A$1:$KZ$3000,$C58,11+3*MIN(AJ$3,$D$2-1)))))</f>
        <v/>
      </c>
      <c r="AK58" s="130">
        <f>IF(OR($C58="",$B$2="",$D$2=0),0,IF(AK$3&lt;0,0,N(INDEX('CURVA PREVISION'!$A$1:$KZ$3000,$C58,11+3*MIN(AK$3,$D$2-1)))))</f>
        <v/>
      </c>
      <c r="AL58" s="130">
        <f>IF(OR($C58="",$B$2="",$D$2=0),0,IF(AL$3&lt;0,0,N(INDEX('CURVA PREVISION'!$A$1:$KZ$3000,$C58,11+3*MIN(AL$3,$D$2-1)))))</f>
        <v/>
      </c>
      <c r="AM58" s="130">
        <f>IF(OR($C58="",$B$2="",$D$2=0),0,IF(AM$3&lt;0,0,N(INDEX('CURVA PREVISION'!$A$1:$KZ$3000,$C58,11+3*MIN(AM$3,$D$2-1)))))</f>
        <v/>
      </c>
      <c r="AN58" s="130">
        <f>IF(OR($C58="",$B$2="",$D$2=0),0,IF(AN$3&lt;0,0,N(INDEX('CURVA PREVISION'!$A$1:$KZ$3000,$C58,11+3*MIN(AN$3,$D$2-1)))))</f>
        <v/>
      </c>
      <c r="AO58" s="130">
        <f>IF(OR($C58="",$B$2="",$D$2=0),0,IF(AO$3&lt;0,0,N(INDEX('CURVA PREVISION'!$A$1:$KZ$3000,$C58,11+3*MIN(AO$3,$D$2-1)))))</f>
        <v/>
      </c>
      <c r="AP58" s="130">
        <f>IF(OR($C58="",$B$2="",$D$2=0),0,IF(AP$3&lt;0,0,N(INDEX('CURVA PREVISION'!$A$1:$KZ$3000,$C58,11+3*MIN(AP$3,$D$2-1)))))</f>
        <v/>
      </c>
      <c r="AQ58" s="130">
        <f>IF(OR($C58="",$B$2="",$D$2=0),0,IF(AQ$3&lt;0,0,N(INDEX('CURVA PREVISION'!$A$1:$KZ$3000,$C58,11+3*MIN(AQ$3,$D$2-1)))))</f>
        <v/>
      </c>
      <c r="AR58" s="130">
        <f>IF(OR($C58="",$B$2="",$D$2=0),0,IF(AR$3&lt;0,0,N(INDEX('CURVA PREVISION'!$A$1:$KZ$3000,$C58,11+3*MIN(AR$3,$D$2-1)))))</f>
        <v/>
      </c>
      <c r="AS58" s="130">
        <f>IF(OR($C58="",$B$2="",$D$2=0),0,IF(AS$3&lt;0,0,N(INDEX('CURVA PREVISION'!$A$1:$KZ$3000,$C58,11+3*MIN(AS$3,$D$2-1)))))</f>
        <v/>
      </c>
      <c r="AT58" s="130">
        <f>IF(OR($C58="",$B$2="",$D$2=0),0,IF(AT$3&lt;0,0,N(INDEX('CURVA PREVISION'!$A$1:$KZ$3000,$C58,11+3*MIN(AT$3,$D$2-1)))))</f>
        <v/>
      </c>
      <c r="AU58" s="130">
        <f>IF(OR($C58="",$B$2="",$D$2=0),0,IF(AU$3&lt;0,0,N(INDEX('CURVA PREVISION'!$A$1:$KZ$3000,$C58,11+3*MIN(AU$3,$D$2-1)))))</f>
        <v/>
      </c>
      <c r="AV58" s="130">
        <f>IF(OR($C58="",$B$2="",$D$2=0),0,IF(AV$3&lt;0,0,N(INDEX('CURVA PREVISION'!$A$1:$KZ$3000,$C58,11+3*MIN(AV$3,$D$2-1)))))</f>
        <v/>
      </c>
      <c r="AW58" s="130">
        <f>IF(OR($C58="",$B$2="",$D$2=0),0,IF(AW$3&lt;0,0,N(INDEX('CURVA PREVISION'!$A$1:$KZ$3000,$C58,11+3*MIN(AW$3,$D$2-1)))))</f>
        <v/>
      </c>
      <c r="AX58" s="130">
        <f>IF(OR($C58="",$B$2="",$D$2=0),0,IF(AX$3&lt;0,0,N(INDEX('CURVA PREVISION'!$A$1:$KZ$3000,$C58,11+3*MIN(AX$3,$D$2-1)))))</f>
        <v/>
      </c>
      <c r="AY58" s="130">
        <f>IF(OR($C58="",$B$2="",$D$2=0),0,IF(AY$3&lt;0,0,N(INDEX('CURVA PREVISION'!$A$1:$KZ$3000,$C58,11+3*MIN(AY$3,$D$2-1)))))</f>
        <v/>
      </c>
      <c r="AZ58" s="130">
        <f>IF(OR($C58="",$B$2="",$D$2=0),0,IF(AZ$3&lt;0,0,N(INDEX('CURVA PREVISION'!$A$1:$KZ$3000,$C58,11+3*MIN(AZ$3,$D$2-1)))))</f>
        <v/>
      </c>
      <c r="BA58" s="130">
        <f>IF(OR($C58="",$B$2="",$D$2=0),0,IF(BA$3&lt;0,0,N(INDEX('CURVA PREVISION'!$A$1:$KZ$3000,$C58,11+3*MIN(BA$3,$D$2-1)))))</f>
        <v/>
      </c>
      <c r="BB58" s="130">
        <f>IF(OR($C58="",$B$2="",$D$2=0),0,IF(BB$3&lt;0,0,N(INDEX('CURVA PREVISION'!$A$1:$KZ$3000,$C58,11+3*MIN(BB$3,$D$2-1)))))</f>
        <v/>
      </c>
      <c r="BC58" s="130">
        <f>IF(OR($C58="",$B$2="",$D$2=0),0,IF(BC$3&lt;0,0,N(INDEX('CURVA PREVISION'!$A$1:$KZ$3000,$C58,11+3*MIN(BC$3,$D$2-1)))))</f>
        <v/>
      </c>
      <c r="BD58" s="130">
        <f>IF(OR($C58="",$B$2="",$D$2=0),0,IF(BD$3&lt;0,0,N(INDEX('CURVA PREVISION'!$A$1:$KZ$3000,$C58,11+3*MIN(BD$3,$D$2-1)))))</f>
        <v/>
      </c>
      <c r="BE58" s="130">
        <f>IF(OR($C58="",$B$2="",$D$2=0),0,IF(BE$3&lt;0,0,N(INDEX('CURVA PREVISION'!$A$1:$KZ$3000,$C58,11+3*MIN(BE$3,$D$2-1)))))</f>
        <v/>
      </c>
      <c r="BF58" s="130">
        <f>IF(OR($C58="",$B$2="",$D$2=0),0,IF(BF$3&lt;0,0,N(INDEX('CURVA PREVISION'!$A$1:$KZ$3000,$C58,11+3*MIN(BF$3,$D$2-1)))))</f>
        <v/>
      </c>
      <c r="BG58" s="130">
        <f>IF(OR($C58="",$B$2="",$D$2=0),0,IF(BG$3&lt;0,0,N(INDEX('CURVA PREVISION'!$A$1:$KZ$3000,$C58,11+3*MIN(BG$3,$D$2-1)))))</f>
        <v/>
      </c>
      <c r="BH58" s="130">
        <f>IF(OR($C58="",$B$2="",$D$2=0),0,IF(BH$3&lt;0,0,N(INDEX('CURVA PREVISION'!$A$1:$KZ$3000,$C58,11+3*MIN(BH$3,$D$2-1)))))</f>
        <v/>
      </c>
      <c r="BI58" s="130">
        <f>IF(OR($C58="",$B$2="",$D$2=0),0,IF(BI$3&lt;0,0,N(INDEX('CURVA PREVISION'!$A$1:$KZ$3000,$C58,11+3*MIN(BI$3,$D$2-1)))))</f>
        <v/>
      </c>
      <c r="BJ58" s="130">
        <f>IF(OR($C58="",$B$2="",$D$2=0),0,IF(BJ$3&lt;0,0,N(INDEX('CURVA PREVISION'!$A$1:$KZ$3000,$C58,11+3*MIN(BJ$3,$D$2-1)))))</f>
        <v/>
      </c>
      <c r="BK58" s="130">
        <f>IF(OR($C58="",$B$2="",$D$2=0),0,IF(BK$3&lt;0,0,N(INDEX('CURVA PREVISION'!$A$1:$KZ$3000,$C58,11+3*MIN(BK$3,$D$2-1)))))</f>
        <v/>
      </c>
      <c r="BL58" s="130">
        <f>IF(OR($C58="",$B$2="",$D$2=0),0,IF(BL$3&lt;0,0,N(INDEX('CURVA PREVISION'!$A$1:$KZ$3000,$C58,11+3*MIN(BL$3,$D$2-1)))))</f>
        <v/>
      </c>
      <c r="BM58" s="130">
        <f>IF(OR($C58="",$B$2="",$D$2=0),0,IF(BM$3&lt;0,0,N(INDEX('CURVA PREVISION'!$A$1:$KZ$3000,$C58,11+3*MIN(BM$3,$D$2-1)))))</f>
        <v/>
      </c>
      <c r="BN58" s="130">
        <f>IF(OR($C58="",$B$2="",$D$2=0),0,IF(BN$3&lt;0,0,N(INDEX('CURVA PREVISION'!$A$1:$KZ$3000,$C58,11+3*MIN(BN$3,$D$2-1)))))</f>
        <v/>
      </c>
      <c r="BO58" s="130">
        <f>IF(OR($C58="",$B$2="",$D$2=0),0,IF(BO$3&lt;0,0,N(INDEX('CURVA PREVISION'!$A$1:$KZ$3000,$C58,11+3*MIN(BO$3,$D$2-1)))))</f>
        <v/>
      </c>
      <c r="BP58" s="130">
        <f>IF(OR($C58="",$B$2="",$D$2=0),0,IF(BP$3&lt;0,0,N(INDEX('CURVA PREVISION'!$A$1:$KZ$3000,$C58,11+3*MIN(BP$3,$D$2-1)))))</f>
        <v/>
      </c>
      <c r="BQ58" s="130">
        <f>IF(OR($C58="",$B$2="",$D$2=0),0,IF(BQ$3&lt;0,0,N(INDEX('CURVA PREVISION'!$A$1:$KZ$3000,$C58,11+3*MIN(BQ$3,$D$2-1)))))</f>
        <v/>
      </c>
      <c r="BR58" s="130">
        <f>IF(OR($C58="",$B$2="",$D$2=0),0,IF(BR$3&lt;0,0,N(INDEX('CURVA PREVISION'!$A$1:$KZ$3000,$C58,11+3*MIN(BR$3,$D$2-1)))))</f>
        <v/>
      </c>
      <c r="BS58" s="130">
        <f>IF(OR($C58="",$B$2="",$D$2=0),0,IF(BS$3&lt;0,0,N(INDEX('CURVA PREVISION'!$A$1:$KZ$3000,$C58,11+3*MIN(BS$3,$D$2-1)))))</f>
        <v/>
      </c>
      <c r="BT58" s="130">
        <f>IF(OR($C58="",$B$2="",$D$2=0),0,IF(BT$3&lt;0,0,N(INDEX('CURVA PREVISION'!$A$1:$KZ$3000,$C58,11+3*MIN(BT$3,$D$2-1)))))</f>
        <v/>
      </c>
      <c r="BU58" s="130">
        <f>IF(OR($C58="",$B$2="",$D$2=0),0,IF(BU$3&lt;0,0,N(INDEX('CURVA PREVISION'!$A$1:$KZ$3000,$C58,11+3*MIN(BU$3,$D$2-1)))))</f>
        <v/>
      </c>
      <c r="BV58" s="130">
        <f>IF(OR($C58="",$B$2="",$D$2=0),0,IF(BV$3&lt;0,0,N(INDEX('CURVA PREVISION'!$A$1:$KZ$3000,$C58,11+3*MIN(BV$3,$D$2-1)))))</f>
        <v/>
      </c>
      <c r="BW58" s="130">
        <f>IF(OR($C58="",$B$2="",$D$2=0),0,IF(BW$3&lt;0,0,N(INDEX('CURVA PREVISION'!$A$1:$KZ$3000,$C58,11+3*MIN(BW$3,$D$2-1)))))</f>
        <v/>
      </c>
    </row>
    <row r="59">
      <c r="A59" s="61">
        <f>IF('VALOR POR PL'!Q23="",'VALOR POR PL'!C23,'VALOR POR PL'!Q23)</f>
        <v/>
      </c>
      <c r="B59" s="51">
        <f>B17</f>
        <v/>
      </c>
      <c r="C59" s="70">
        <f>IFERROR(MATCH(A59,'CURVA PREVISION'!$B$1:$B$3000,0),"")</f>
        <v/>
      </c>
      <c r="D59" s="130">
        <f>IF(OR($C59="",$B$2="",$D$2=0),0,IF(D$3&lt;0,0,N(INDEX('CURVA PREVISION'!$A$1:$KZ$3000,$C59,11+3*MIN(D$3,$D$2-1)))))</f>
        <v/>
      </c>
      <c r="E59" s="130">
        <f>IF(OR($C59="",$B$2="",$D$2=0),0,IF(E$3&lt;0,0,N(INDEX('CURVA PREVISION'!$A$1:$KZ$3000,$C59,11+3*MIN(E$3,$D$2-1)))))</f>
        <v/>
      </c>
      <c r="F59" s="130">
        <f>IF(OR($C59="",$B$2="",$D$2=0),0,IF(F$3&lt;0,0,N(INDEX('CURVA PREVISION'!$A$1:$KZ$3000,$C59,11+3*MIN(F$3,$D$2-1)))))</f>
        <v/>
      </c>
      <c r="G59" s="130">
        <f>IF(OR($C59="",$B$2="",$D$2=0),0,IF(G$3&lt;0,0,N(INDEX('CURVA PREVISION'!$A$1:$KZ$3000,$C59,11+3*MIN(G$3,$D$2-1)))))</f>
        <v/>
      </c>
      <c r="H59" s="130">
        <f>IF(OR($C59="",$B$2="",$D$2=0),0,IF(H$3&lt;0,0,N(INDEX('CURVA PREVISION'!$A$1:$KZ$3000,$C59,11+3*MIN(H$3,$D$2-1)))))</f>
        <v/>
      </c>
      <c r="I59" s="130">
        <f>IF(OR($C59="",$B$2="",$D$2=0),0,IF(I$3&lt;0,0,N(INDEX('CURVA PREVISION'!$A$1:$KZ$3000,$C59,11+3*MIN(I$3,$D$2-1)))))</f>
        <v/>
      </c>
      <c r="J59" s="130">
        <f>IF(OR($C59="",$B$2="",$D$2=0),0,IF(J$3&lt;0,0,N(INDEX('CURVA PREVISION'!$A$1:$KZ$3000,$C59,11+3*MIN(J$3,$D$2-1)))))</f>
        <v/>
      </c>
      <c r="K59" s="130">
        <f>IF(OR($C59="",$B$2="",$D$2=0),0,IF(K$3&lt;0,0,N(INDEX('CURVA PREVISION'!$A$1:$KZ$3000,$C59,11+3*MIN(K$3,$D$2-1)))))</f>
        <v/>
      </c>
      <c r="L59" s="130">
        <f>IF(OR($C59="",$B$2="",$D$2=0),0,IF(L$3&lt;0,0,N(INDEX('CURVA PREVISION'!$A$1:$KZ$3000,$C59,11+3*MIN(L$3,$D$2-1)))))</f>
        <v/>
      </c>
      <c r="M59" s="130">
        <f>IF(OR($C59="",$B$2="",$D$2=0),0,IF(M$3&lt;0,0,N(INDEX('CURVA PREVISION'!$A$1:$KZ$3000,$C59,11+3*MIN(M$3,$D$2-1)))))</f>
        <v/>
      </c>
      <c r="N59" s="130">
        <f>IF(OR($C59="",$B$2="",$D$2=0),0,IF(N$3&lt;0,0,N(INDEX('CURVA PREVISION'!$A$1:$KZ$3000,$C59,11+3*MIN(N$3,$D$2-1)))))</f>
        <v/>
      </c>
      <c r="O59" s="130">
        <f>IF(OR($C59="",$B$2="",$D$2=0),0,IF(O$3&lt;0,0,N(INDEX('CURVA PREVISION'!$A$1:$KZ$3000,$C59,11+3*MIN(O$3,$D$2-1)))))</f>
        <v/>
      </c>
      <c r="P59" s="130">
        <f>IF(OR($C59="",$B$2="",$D$2=0),0,IF(P$3&lt;0,0,N(INDEX('CURVA PREVISION'!$A$1:$KZ$3000,$C59,11+3*MIN(P$3,$D$2-1)))))</f>
        <v/>
      </c>
      <c r="Q59" s="130">
        <f>IF(OR($C59="",$B$2="",$D$2=0),0,IF(Q$3&lt;0,0,N(INDEX('CURVA PREVISION'!$A$1:$KZ$3000,$C59,11+3*MIN(Q$3,$D$2-1)))))</f>
        <v/>
      </c>
      <c r="R59" s="130">
        <f>IF(OR($C59="",$B$2="",$D$2=0),0,IF(R$3&lt;0,0,N(INDEX('CURVA PREVISION'!$A$1:$KZ$3000,$C59,11+3*MIN(R$3,$D$2-1)))))</f>
        <v/>
      </c>
      <c r="S59" s="130">
        <f>IF(OR($C59="",$B$2="",$D$2=0),0,IF(S$3&lt;0,0,N(INDEX('CURVA PREVISION'!$A$1:$KZ$3000,$C59,11+3*MIN(S$3,$D$2-1)))))</f>
        <v/>
      </c>
      <c r="T59" s="130">
        <f>IF(OR($C59="",$B$2="",$D$2=0),0,IF(T$3&lt;0,0,N(INDEX('CURVA PREVISION'!$A$1:$KZ$3000,$C59,11+3*MIN(T$3,$D$2-1)))))</f>
        <v/>
      </c>
      <c r="U59" s="130">
        <f>IF(OR($C59="",$B$2="",$D$2=0),0,IF(U$3&lt;0,0,N(INDEX('CURVA PREVISION'!$A$1:$KZ$3000,$C59,11+3*MIN(U$3,$D$2-1)))))</f>
        <v/>
      </c>
      <c r="V59" s="130">
        <f>IF(OR($C59="",$B$2="",$D$2=0),0,IF(V$3&lt;0,0,N(INDEX('CURVA PREVISION'!$A$1:$KZ$3000,$C59,11+3*MIN(V$3,$D$2-1)))))</f>
        <v/>
      </c>
      <c r="W59" s="130">
        <f>IF(OR($C59="",$B$2="",$D$2=0),0,IF(W$3&lt;0,0,N(INDEX('CURVA PREVISION'!$A$1:$KZ$3000,$C59,11+3*MIN(W$3,$D$2-1)))))</f>
        <v/>
      </c>
      <c r="X59" s="130">
        <f>IF(OR($C59="",$B$2="",$D$2=0),0,IF(X$3&lt;0,0,N(INDEX('CURVA PREVISION'!$A$1:$KZ$3000,$C59,11+3*MIN(X$3,$D$2-1)))))</f>
        <v/>
      </c>
      <c r="Y59" s="130">
        <f>IF(OR($C59="",$B$2="",$D$2=0),0,IF(Y$3&lt;0,0,N(INDEX('CURVA PREVISION'!$A$1:$KZ$3000,$C59,11+3*MIN(Y$3,$D$2-1)))))</f>
        <v/>
      </c>
      <c r="Z59" s="130">
        <f>IF(OR($C59="",$B$2="",$D$2=0),0,IF(Z$3&lt;0,0,N(INDEX('CURVA PREVISION'!$A$1:$KZ$3000,$C59,11+3*MIN(Z$3,$D$2-1)))))</f>
        <v/>
      </c>
      <c r="AA59" s="130">
        <f>IF(OR($C59="",$B$2="",$D$2=0),0,IF(AA$3&lt;0,0,N(INDEX('CURVA PREVISION'!$A$1:$KZ$3000,$C59,11+3*MIN(AA$3,$D$2-1)))))</f>
        <v/>
      </c>
      <c r="AB59" s="130">
        <f>IF(OR($C59="",$B$2="",$D$2=0),0,IF(AB$3&lt;0,0,N(INDEX('CURVA PREVISION'!$A$1:$KZ$3000,$C59,11+3*MIN(AB$3,$D$2-1)))))</f>
        <v/>
      </c>
      <c r="AC59" s="130">
        <f>IF(OR($C59="",$B$2="",$D$2=0),0,IF(AC$3&lt;0,0,N(INDEX('CURVA PREVISION'!$A$1:$KZ$3000,$C59,11+3*MIN(AC$3,$D$2-1)))))</f>
        <v/>
      </c>
      <c r="AD59" s="130">
        <f>IF(OR($C59="",$B$2="",$D$2=0),0,IF(AD$3&lt;0,0,N(INDEX('CURVA PREVISION'!$A$1:$KZ$3000,$C59,11+3*MIN(AD$3,$D$2-1)))))</f>
        <v/>
      </c>
      <c r="AE59" s="130">
        <f>IF(OR($C59="",$B$2="",$D$2=0),0,IF(AE$3&lt;0,0,N(INDEX('CURVA PREVISION'!$A$1:$KZ$3000,$C59,11+3*MIN(AE$3,$D$2-1)))))</f>
        <v/>
      </c>
      <c r="AF59" s="130">
        <f>IF(OR($C59="",$B$2="",$D$2=0),0,IF(AF$3&lt;0,0,N(INDEX('CURVA PREVISION'!$A$1:$KZ$3000,$C59,11+3*MIN(AF$3,$D$2-1)))))</f>
        <v/>
      </c>
      <c r="AG59" s="130">
        <f>IF(OR($C59="",$B$2="",$D$2=0),0,IF(AG$3&lt;0,0,N(INDEX('CURVA PREVISION'!$A$1:$KZ$3000,$C59,11+3*MIN(AG$3,$D$2-1)))))</f>
        <v/>
      </c>
      <c r="AH59" s="130">
        <f>IF(OR($C59="",$B$2="",$D$2=0),0,IF(AH$3&lt;0,0,N(INDEX('CURVA PREVISION'!$A$1:$KZ$3000,$C59,11+3*MIN(AH$3,$D$2-1)))))</f>
        <v/>
      </c>
      <c r="AI59" s="130">
        <f>IF(OR($C59="",$B$2="",$D$2=0),0,IF(AI$3&lt;0,0,N(INDEX('CURVA PREVISION'!$A$1:$KZ$3000,$C59,11+3*MIN(AI$3,$D$2-1)))))</f>
        <v/>
      </c>
      <c r="AJ59" s="130">
        <f>IF(OR($C59="",$B$2="",$D$2=0),0,IF(AJ$3&lt;0,0,N(INDEX('CURVA PREVISION'!$A$1:$KZ$3000,$C59,11+3*MIN(AJ$3,$D$2-1)))))</f>
        <v/>
      </c>
      <c r="AK59" s="130">
        <f>IF(OR($C59="",$B$2="",$D$2=0),0,IF(AK$3&lt;0,0,N(INDEX('CURVA PREVISION'!$A$1:$KZ$3000,$C59,11+3*MIN(AK$3,$D$2-1)))))</f>
        <v/>
      </c>
      <c r="AL59" s="130">
        <f>IF(OR($C59="",$B$2="",$D$2=0),0,IF(AL$3&lt;0,0,N(INDEX('CURVA PREVISION'!$A$1:$KZ$3000,$C59,11+3*MIN(AL$3,$D$2-1)))))</f>
        <v/>
      </c>
      <c r="AM59" s="130">
        <f>IF(OR($C59="",$B$2="",$D$2=0),0,IF(AM$3&lt;0,0,N(INDEX('CURVA PREVISION'!$A$1:$KZ$3000,$C59,11+3*MIN(AM$3,$D$2-1)))))</f>
        <v/>
      </c>
      <c r="AN59" s="130">
        <f>IF(OR($C59="",$B$2="",$D$2=0),0,IF(AN$3&lt;0,0,N(INDEX('CURVA PREVISION'!$A$1:$KZ$3000,$C59,11+3*MIN(AN$3,$D$2-1)))))</f>
        <v/>
      </c>
      <c r="AO59" s="130">
        <f>IF(OR($C59="",$B$2="",$D$2=0),0,IF(AO$3&lt;0,0,N(INDEX('CURVA PREVISION'!$A$1:$KZ$3000,$C59,11+3*MIN(AO$3,$D$2-1)))))</f>
        <v/>
      </c>
      <c r="AP59" s="130">
        <f>IF(OR($C59="",$B$2="",$D$2=0),0,IF(AP$3&lt;0,0,N(INDEX('CURVA PREVISION'!$A$1:$KZ$3000,$C59,11+3*MIN(AP$3,$D$2-1)))))</f>
        <v/>
      </c>
      <c r="AQ59" s="130">
        <f>IF(OR($C59="",$B$2="",$D$2=0),0,IF(AQ$3&lt;0,0,N(INDEX('CURVA PREVISION'!$A$1:$KZ$3000,$C59,11+3*MIN(AQ$3,$D$2-1)))))</f>
        <v/>
      </c>
      <c r="AR59" s="130">
        <f>IF(OR($C59="",$B$2="",$D$2=0),0,IF(AR$3&lt;0,0,N(INDEX('CURVA PREVISION'!$A$1:$KZ$3000,$C59,11+3*MIN(AR$3,$D$2-1)))))</f>
        <v/>
      </c>
      <c r="AS59" s="130">
        <f>IF(OR($C59="",$B$2="",$D$2=0),0,IF(AS$3&lt;0,0,N(INDEX('CURVA PREVISION'!$A$1:$KZ$3000,$C59,11+3*MIN(AS$3,$D$2-1)))))</f>
        <v/>
      </c>
      <c r="AT59" s="130">
        <f>IF(OR($C59="",$B$2="",$D$2=0),0,IF(AT$3&lt;0,0,N(INDEX('CURVA PREVISION'!$A$1:$KZ$3000,$C59,11+3*MIN(AT$3,$D$2-1)))))</f>
        <v/>
      </c>
      <c r="AU59" s="130">
        <f>IF(OR($C59="",$B$2="",$D$2=0),0,IF(AU$3&lt;0,0,N(INDEX('CURVA PREVISION'!$A$1:$KZ$3000,$C59,11+3*MIN(AU$3,$D$2-1)))))</f>
        <v/>
      </c>
      <c r="AV59" s="130">
        <f>IF(OR($C59="",$B$2="",$D$2=0),0,IF(AV$3&lt;0,0,N(INDEX('CURVA PREVISION'!$A$1:$KZ$3000,$C59,11+3*MIN(AV$3,$D$2-1)))))</f>
        <v/>
      </c>
      <c r="AW59" s="130">
        <f>IF(OR($C59="",$B$2="",$D$2=0),0,IF(AW$3&lt;0,0,N(INDEX('CURVA PREVISION'!$A$1:$KZ$3000,$C59,11+3*MIN(AW$3,$D$2-1)))))</f>
        <v/>
      </c>
      <c r="AX59" s="130">
        <f>IF(OR($C59="",$B$2="",$D$2=0),0,IF(AX$3&lt;0,0,N(INDEX('CURVA PREVISION'!$A$1:$KZ$3000,$C59,11+3*MIN(AX$3,$D$2-1)))))</f>
        <v/>
      </c>
      <c r="AY59" s="130">
        <f>IF(OR($C59="",$B$2="",$D$2=0),0,IF(AY$3&lt;0,0,N(INDEX('CURVA PREVISION'!$A$1:$KZ$3000,$C59,11+3*MIN(AY$3,$D$2-1)))))</f>
        <v/>
      </c>
      <c r="AZ59" s="130">
        <f>IF(OR($C59="",$B$2="",$D$2=0),0,IF(AZ$3&lt;0,0,N(INDEX('CURVA PREVISION'!$A$1:$KZ$3000,$C59,11+3*MIN(AZ$3,$D$2-1)))))</f>
        <v/>
      </c>
      <c r="BA59" s="130">
        <f>IF(OR($C59="",$B$2="",$D$2=0),0,IF(BA$3&lt;0,0,N(INDEX('CURVA PREVISION'!$A$1:$KZ$3000,$C59,11+3*MIN(BA$3,$D$2-1)))))</f>
        <v/>
      </c>
      <c r="BB59" s="130">
        <f>IF(OR($C59="",$B$2="",$D$2=0),0,IF(BB$3&lt;0,0,N(INDEX('CURVA PREVISION'!$A$1:$KZ$3000,$C59,11+3*MIN(BB$3,$D$2-1)))))</f>
        <v/>
      </c>
      <c r="BC59" s="130">
        <f>IF(OR($C59="",$B$2="",$D$2=0),0,IF(BC$3&lt;0,0,N(INDEX('CURVA PREVISION'!$A$1:$KZ$3000,$C59,11+3*MIN(BC$3,$D$2-1)))))</f>
        <v/>
      </c>
      <c r="BD59" s="130">
        <f>IF(OR($C59="",$B$2="",$D$2=0),0,IF(BD$3&lt;0,0,N(INDEX('CURVA PREVISION'!$A$1:$KZ$3000,$C59,11+3*MIN(BD$3,$D$2-1)))))</f>
        <v/>
      </c>
      <c r="BE59" s="130">
        <f>IF(OR($C59="",$B$2="",$D$2=0),0,IF(BE$3&lt;0,0,N(INDEX('CURVA PREVISION'!$A$1:$KZ$3000,$C59,11+3*MIN(BE$3,$D$2-1)))))</f>
        <v/>
      </c>
      <c r="BF59" s="130">
        <f>IF(OR($C59="",$B$2="",$D$2=0),0,IF(BF$3&lt;0,0,N(INDEX('CURVA PREVISION'!$A$1:$KZ$3000,$C59,11+3*MIN(BF$3,$D$2-1)))))</f>
        <v/>
      </c>
      <c r="BG59" s="130">
        <f>IF(OR($C59="",$B$2="",$D$2=0),0,IF(BG$3&lt;0,0,N(INDEX('CURVA PREVISION'!$A$1:$KZ$3000,$C59,11+3*MIN(BG$3,$D$2-1)))))</f>
        <v/>
      </c>
      <c r="BH59" s="130">
        <f>IF(OR($C59="",$B$2="",$D$2=0),0,IF(BH$3&lt;0,0,N(INDEX('CURVA PREVISION'!$A$1:$KZ$3000,$C59,11+3*MIN(BH$3,$D$2-1)))))</f>
        <v/>
      </c>
      <c r="BI59" s="130">
        <f>IF(OR($C59="",$B$2="",$D$2=0),0,IF(BI$3&lt;0,0,N(INDEX('CURVA PREVISION'!$A$1:$KZ$3000,$C59,11+3*MIN(BI$3,$D$2-1)))))</f>
        <v/>
      </c>
      <c r="BJ59" s="130">
        <f>IF(OR($C59="",$B$2="",$D$2=0),0,IF(BJ$3&lt;0,0,N(INDEX('CURVA PREVISION'!$A$1:$KZ$3000,$C59,11+3*MIN(BJ$3,$D$2-1)))))</f>
        <v/>
      </c>
      <c r="BK59" s="130">
        <f>IF(OR($C59="",$B$2="",$D$2=0),0,IF(BK$3&lt;0,0,N(INDEX('CURVA PREVISION'!$A$1:$KZ$3000,$C59,11+3*MIN(BK$3,$D$2-1)))))</f>
        <v/>
      </c>
      <c r="BL59" s="130">
        <f>IF(OR($C59="",$B$2="",$D$2=0),0,IF(BL$3&lt;0,0,N(INDEX('CURVA PREVISION'!$A$1:$KZ$3000,$C59,11+3*MIN(BL$3,$D$2-1)))))</f>
        <v/>
      </c>
      <c r="BM59" s="130">
        <f>IF(OR($C59="",$B$2="",$D$2=0),0,IF(BM$3&lt;0,0,N(INDEX('CURVA PREVISION'!$A$1:$KZ$3000,$C59,11+3*MIN(BM$3,$D$2-1)))))</f>
        <v/>
      </c>
      <c r="BN59" s="130">
        <f>IF(OR($C59="",$B$2="",$D$2=0),0,IF(BN$3&lt;0,0,N(INDEX('CURVA PREVISION'!$A$1:$KZ$3000,$C59,11+3*MIN(BN$3,$D$2-1)))))</f>
        <v/>
      </c>
      <c r="BO59" s="130">
        <f>IF(OR($C59="",$B$2="",$D$2=0),0,IF(BO$3&lt;0,0,N(INDEX('CURVA PREVISION'!$A$1:$KZ$3000,$C59,11+3*MIN(BO$3,$D$2-1)))))</f>
        <v/>
      </c>
      <c r="BP59" s="130">
        <f>IF(OR($C59="",$B$2="",$D$2=0),0,IF(BP$3&lt;0,0,N(INDEX('CURVA PREVISION'!$A$1:$KZ$3000,$C59,11+3*MIN(BP$3,$D$2-1)))))</f>
        <v/>
      </c>
      <c r="BQ59" s="130">
        <f>IF(OR($C59="",$B$2="",$D$2=0),0,IF(BQ$3&lt;0,0,N(INDEX('CURVA PREVISION'!$A$1:$KZ$3000,$C59,11+3*MIN(BQ$3,$D$2-1)))))</f>
        <v/>
      </c>
      <c r="BR59" s="130">
        <f>IF(OR($C59="",$B$2="",$D$2=0),0,IF(BR$3&lt;0,0,N(INDEX('CURVA PREVISION'!$A$1:$KZ$3000,$C59,11+3*MIN(BR$3,$D$2-1)))))</f>
        <v/>
      </c>
      <c r="BS59" s="130">
        <f>IF(OR($C59="",$B$2="",$D$2=0),0,IF(BS$3&lt;0,0,N(INDEX('CURVA PREVISION'!$A$1:$KZ$3000,$C59,11+3*MIN(BS$3,$D$2-1)))))</f>
        <v/>
      </c>
      <c r="BT59" s="130">
        <f>IF(OR($C59="",$B$2="",$D$2=0),0,IF(BT$3&lt;0,0,N(INDEX('CURVA PREVISION'!$A$1:$KZ$3000,$C59,11+3*MIN(BT$3,$D$2-1)))))</f>
        <v/>
      </c>
      <c r="BU59" s="130">
        <f>IF(OR($C59="",$B$2="",$D$2=0),0,IF(BU$3&lt;0,0,N(INDEX('CURVA PREVISION'!$A$1:$KZ$3000,$C59,11+3*MIN(BU$3,$D$2-1)))))</f>
        <v/>
      </c>
      <c r="BV59" s="130">
        <f>IF(OR($C59="",$B$2="",$D$2=0),0,IF(BV$3&lt;0,0,N(INDEX('CURVA PREVISION'!$A$1:$KZ$3000,$C59,11+3*MIN(BV$3,$D$2-1)))))</f>
        <v/>
      </c>
      <c r="BW59" s="130">
        <f>IF(OR($C59="",$B$2="",$D$2=0),0,IF(BW$3&lt;0,0,N(INDEX('CURVA PREVISION'!$A$1:$KZ$3000,$C59,11+3*MIN(BW$3,$D$2-1)))))</f>
        <v/>
      </c>
    </row>
    <row r="60">
      <c r="A60" s="61">
        <f>IF('VALOR POR PL'!Q24="",'VALOR POR PL'!C24,'VALOR POR PL'!Q24)</f>
        <v/>
      </c>
      <c r="B60" s="51">
        <f>B18</f>
        <v/>
      </c>
      <c r="C60" s="70">
        <f>IFERROR(MATCH(A60,'CURVA PREVISION'!$B$1:$B$3000,0),"")</f>
        <v/>
      </c>
      <c r="D60" s="130">
        <f>IF(OR($C60="",$B$2="",$D$2=0),0,IF(D$3&lt;0,0,N(INDEX('CURVA PREVISION'!$A$1:$KZ$3000,$C60,11+3*MIN(D$3,$D$2-1)))))</f>
        <v/>
      </c>
      <c r="E60" s="130">
        <f>IF(OR($C60="",$B$2="",$D$2=0),0,IF(E$3&lt;0,0,N(INDEX('CURVA PREVISION'!$A$1:$KZ$3000,$C60,11+3*MIN(E$3,$D$2-1)))))</f>
        <v/>
      </c>
      <c r="F60" s="130">
        <f>IF(OR($C60="",$B$2="",$D$2=0),0,IF(F$3&lt;0,0,N(INDEX('CURVA PREVISION'!$A$1:$KZ$3000,$C60,11+3*MIN(F$3,$D$2-1)))))</f>
        <v/>
      </c>
      <c r="G60" s="130">
        <f>IF(OR($C60="",$B$2="",$D$2=0),0,IF(G$3&lt;0,0,N(INDEX('CURVA PREVISION'!$A$1:$KZ$3000,$C60,11+3*MIN(G$3,$D$2-1)))))</f>
        <v/>
      </c>
      <c r="H60" s="130">
        <f>IF(OR($C60="",$B$2="",$D$2=0),0,IF(H$3&lt;0,0,N(INDEX('CURVA PREVISION'!$A$1:$KZ$3000,$C60,11+3*MIN(H$3,$D$2-1)))))</f>
        <v/>
      </c>
      <c r="I60" s="130">
        <f>IF(OR($C60="",$B$2="",$D$2=0),0,IF(I$3&lt;0,0,N(INDEX('CURVA PREVISION'!$A$1:$KZ$3000,$C60,11+3*MIN(I$3,$D$2-1)))))</f>
        <v/>
      </c>
      <c r="J60" s="130">
        <f>IF(OR($C60="",$B$2="",$D$2=0),0,IF(J$3&lt;0,0,N(INDEX('CURVA PREVISION'!$A$1:$KZ$3000,$C60,11+3*MIN(J$3,$D$2-1)))))</f>
        <v/>
      </c>
      <c r="K60" s="130">
        <f>IF(OR($C60="",$B$2="",$D$2=0),0,IF(K$3&lt;0,0,N(INDEX('CURVA PREVISION'!$A$1:$KZ$3000,$C60,11+3*MIN(K$3,$D$2-1)))))</f>
        <v/>
      </c>
      <c r="L60" s="130">
        <f>IF(OR($C60="",$B$2="",$D$2=0),0,IF(L$3&lt;0,0,N(INDEX('CURVA PREVISION'!$A$1:$KZ$3000,$C60,11+3*MIN(L$3,$D$2-1)))))</f>
        <v/>
      </c>
      <c r="M60" s="130">
        <f>IF(OR($C60="",$B$2="",$D$2=0),0,IF(M$3&lt;0,0,N(INDEX('CURVA PREVISION'!$A$1:$KZ$3000,$C60,11+3*MIN(M$3,$D$2-1)))))</f>
        <v/>
      </c>
      <c r="N60" s="130">
        <f>IF(OR($C60="",$B$2="",$D$2=0),0,IF(N$3&lt;0,0,N(INDEX('CURVA PREVISION'!$A$1:$KZ$3000,$C60,11+3*MIN(N$3,$D$2-1)))))</f>
        <v/>
      </c>
      <c r="O60" s="130">
        <f>IF(OR($C60="",$B$2="",$D$2=0),0,IF(O$3&lt;0,0,N(INDEX('CURVA PREVISION'!$A$1:$KZ$3000,$C60,11+3*MIN(O$3,$D$2-1)))))</f>
        <v/>
      </c>
      <c r="P60" s="130">
        <f>IF(OR($C60="",$B$2="",$D$2=0),0,IF(P$3&lt;0,0,N(INDEX('CURVA PREVISION'!$A$1:$KZ$3000,$C60,11+3*MIN(P$3,$D$2-1)))))</f>
        <v/>
      </c>
      <c r="Q60" s="130">
        <f>IF(OR($C60="",$B$2="",$D$2=0),0,IF(Q$3&lt;0,0,N(INDEX('CURVA PREVISION'!$A$1:$KZ$3000,$C60,11+3*MIN(Q$3,$D$2-1)))))</f>
        <v/>
      </c>
      <c r="R60" s="130">
        <f>IF(OR($C60="",$B$2="",$D$2=0),0,IF(R$3&lt;0,0,N(INDEX('CURVA PREVISION'!$A$1:$KZ$3000,$C60,11+3*MIN(R$3,$D$2-1)))))</f>
        <v/>
      </c>
      <c r="S60" s="130">
        <f>IF(OR($C60="",$B$2="",$D$2=0),0,IF(S$3&lt;0,0,N(INDEX('CURVA PREVISION'!$A$1:$KZ$3000,$C60,11+3*MIN(S$3,$D$2-1)))))</f>
        <v/>
      </c>
      <c r="T60" s="130">
        <f>IF(OR($C60="",$B$2="",$D$2=0),0,IF(T$3&lt;0,0,N(INDEX('CURVA PREVISION'!$A$1:$KZ$3000,$C60,11+3*MIN(T$3,$D$2-1)))))</f>
        <v/>
      </c>
      <c r="U60" s="130">
        <f>IF(OR($C60="",$B$2="",$D$2=0),0,IF(U$3&lt;0,0,N(INDEX('CURVA PREVISION'!$A$1:$KZ$3000,$C60,11+3*MIN(U$3,$D$2-1)))))</f>
        <v/>
      </c>
      <c r="V60" s="130">
        <f>IF(OR($C60="",$B$2="",$D$2=0),0,IF(V$3&lt;0,0,N(INDEX('CURVA PREVISION'!$A$1:$KZ$3000,$C60,11+3*MIN(V$3,$D$2-1)))))</f>
        <v/>
      </c>
      <c r="W60" s="130">
        <f>IF(OR($C60="",$B$2="",$D$2=0),0,IF(W$3&lt;0,0,N(INDEX('CURVA PREVISION'!$A$1:$KZ$3000,$C60,11+3*MIN(W$3,$D$2-1)))))</f>
        <v/>
      </c>
      <c r="X60" s="130">
        <f>IF(OR($C60="",$B$2="",$D$2=0),0,IF(X$3&lt;0,0,N(INDEX('CURVA PREVISION'!$A$1:$KZ$3000,$C60,11+3*MIN(X$3,$D$2-1)))))</f>
        <v/>
      </c>
      <c r="Y60" s="130">
        <f>IF(OR($C60="",$B$2="",$D$2=0),0,IF(Y$3&lt;0,0,N(INDEX('CURVA PREVISION'!$A$1:$KZ$3000,$C60,11+3*MIN(Y$3,$D$2-1)))))</f>
        <v/>
      </c>
      <c r="Z60" s="130">
        <f>IF(OR($C60="",$B$2="",$D$2=0),0,IF(Z$3&lt;0,0,N(INDEX('CURVA PREVISION'!$A$1:$KZ$3000,$C60,11+3*MIN(Z$3,$D$2-1)))))</f>
        <v/>
      </c>
      <c r="AA60" s="130">
        <f>IF(OR($C60="",$B$2="",$D$2=0),0,IF(AA$3&lt;0,0,N(INDEX('CURVA PREVISION'!$A$1:$KZ$3000,$C60,11+3*MIN(AA$3,$D$2-1)))))</f>
        <v/>
      </c>
      <c r="AB60" s="130">
        <f>IF(OR($C60="",$B$2="",$D$2=0),0,IF(AB$3&lt;0,0,N(INDEX('CURVA PREVISION'!$A$1:$KZ$3000,$C60,11+3*MIN(AB$3,$D$2-1)))))</f>
        <v/>
      </c>
      <c r="AC60" s="130">
        <f>IF(OR($C60="",$B$2="",$D$2=0),0,IF(AC$3&lt;0,0,N(INDEX('CURVA PREVISION'!$A$1:$KZ$3000,$C60,11+3*MIN(AC$3,$D$2-1)))))</f>
        <v/>
      </c>
      <c r="AD60" s="130">
        <f>IF(OR($C60="",$B$2="",$D$2=0),0,IF(AD$3&lt;0,0,N(INDEX('CURVA PREVISION'!$A$1:$KZ$3000,$C60,11+3*MIN(AD$3,$D$2-1)))))</f>
        <v/>
      </c>
      <c r="AE60" s="130">
        <f>IF(OR($C60="",$B$2="",$D$2=0),0,IF(AE$3&lt;0,0,N(INDEX('CURVA PREVISION'!$A$1:$KZ$3000,$C60,11+3*MIN(AE$3,$D$2-1)))))</f>
        <v/>
      </c>
      <c r="AF60" s="130">
        <f>IF(OR($C60="",$B$2="",$D$2=0),0,IF(AF$3&lt;0,0,N(INDEX('CURVA PREVISION'!$A$1:$KZ$3000,$C60,11+3*MIN(AF$3,$D$2-1)))))</f>
        <v/>
      </c>
      <c r="AG60" s="130">
        <f>IF(OR($C60="",$B$2="",$D$2=0),0,IF(AG$3&lt;0,0,N(INDEX('CURVA PREVISION'!$A$1:$KZ$3000,$C60,11+3*MIN(AG$3,$D$2-1)))))</f>
        <v/>
      </c>
      <c r="AH60" s="130">
        <f>IF(OR($C60="",$B$2="",$D$2=0),0,IF(AH$3&lt;0,0,N(INDEX('CURVA PREVISION'!$A$1:$KZ$3000,$C60,11+3*MIN(AH$3,$D$2-1)))))</f>
        <v/>
      </c>
      <c r="AI60" s="130">
        <f>IF(OR($C60="",$B$2="",$D$2=0),0,IF(AI$3&lt;0,0,N(INDEX('CURVA PREVISION'!$A$1:$KZ$3000,$C60,11+3*MIN(AI$3,$D$2-1)))))</f>
        <v/>
      </c>
      <c r="AJ60" s="130">
        <f>IF(OR($C60="",$B$2="",$D$2=0),0,IF(AJ$3&lt;0,0,N(INDEX('CURVA PREVISION'!$A$1:$KZ$3000,$C60,11+3*MIN(AJ$3,$D$2-1)))))</f>
        <v/>
      </c>
      <c r="AK60" s="130">
        <f>IF(OR($C60="",$B$2="",$D$2=0),0,IF(AK$3&lt;0,0,N(INDEX('CURVA PREVISION'!$A$1:$KZ$3000,$C60,11+3*MIN(AK$3,$D$2-1)))))</f>
        <v/>
      </c>
      <c r="AL60" s="130">
        <f>IF(OR($C60="",$B$2="",$D$2=0),0,IF(AL$3&lt;0,0,N(INDEX('CURVA PREVISION'!$A$1:$KZ$3000,$C60,11+3*MIN(AL$3,$D$2-1)))))</f>
        <v/>
      </c>
      <c r="AM60" s="130">
        <f>IF(OR($C60="",$B$2="",$D$2=0),0,IF(AM$3&lt;0,0,N(INDEX('CURVA PREVISION'!$A$1:$KZ$3000,$C60,11+3*MIN(AM$3,$D$2-1)))))</f>
        <v/>
      </c>
      <c r="AN60" s="130">
        <f>IF(OR($C60="",$B$2="",$D$2=0),0,IF(AN$3&lt;0,0,N(INDEX('CURVA PREVISION'!$A$1:$KZ$3000,$C60,11+3*MIN(AN$3,$D$2-1)))))</f>
        <v/>
      </c>
      <c r="AO60" s="130">
        <f>IF(OR($C60="",$B$2="",$D$2=0),0,IF(AO$3&lt;0,0,N(INDEX('CURVA PREVISION'!$A$1:$KZ$3000,$C60,11+3*MIN(AO$3,$D$2-1)))))</f>
        <v/>
      </c>
      <c r="AP60" s="130">
        <f>IF(OR($C60="",$B$2="",$D$2=0),0,IF(AP$3&lt;0,0,N(INDEX('CURVA PREVISION'!$A$1:$KZ$3000,$C60,11+3*MIN(AP$3,$D$2-1)))))</f>
        <v/>
      </c>
      <c r="AQ60" s="130">
        <f>IF(OR($C60="",$B$2="",$D$2=0),0,IF(AQ$3&lt;0,0,N(INDEX('CURVA PREVISION'!$A$1:$KZ$3000,$C60,11+3*MIN(AQ$3,$D$2-1)))))</f>
        <v/>
      </c>
      <c r="AR60" s="130">
        <f>IF(OR($C60="",$B$2="",$D$2=0),0,IF(AR$3&lt;0,0,N(INDEX('CURVA PREVISION'!$A$1:$KZ$3000,$C60,11+3*MIN(AR$3,$D$2-1)))))</f>
        <v/>
      </c>
      <c r="AS60" s="130">
        <f>IF(OR($C60="",$B$2="",$D$2=0),0,IF(AS$3&lt;0,0,N(INDEX('CURVA PREVISION'!$A$1:$KZ$3000,$C60,11+3*MIN(AS$3,$D$2-1)))))</f>
        <v/>
      </c>
      <c r="AT60" s="130">
        <f>IF(OR($C60="",$B$2="",$D$2=0),0,IF(AT$3&lt;0,0,N(INDEX('CURVA PREVISION'!$A$1:$KZ$3000,$C60,11+3*MIN(AT$3,$D$2-1)))))</f>
        <v/>
      </c>
      <c r="AU60" s="130">
        <f>IF(OR($C60="",$B$2="",$D$2=0),0,IF(AU$3&lt;0,0,N(INDEX('CURVA PREVISION'!$A$1:$KZ$3000,$C60,11+3*MIN(AU$3,$D$2-1)))))</f>
        <v/>
      </c>
      <c r="AV60" s="130">
        <f>IF(OR($C60="",$B$2="",$D$2=0),0,IF(AV$3&lt;0,0,N(INDEX('CURVA PREVISION'!$A$1:$KZ$3000,$C60,11+3*MIN(AV$3,$D$2-1)))))</f>
        <v/>
      </c>
      <c r="AW60" s="130">
        <f>IF(OR($C60="",$B$2="",$D$2=0),0,IF(AW$3&lt;0,0,N(INDEX('CURVA PREVISION'!$A$1:$KZ$3000,$C60,11+3*MIN(AW$3,$D$2-1)))))</f>
        <v/>
      </c>
      <c r="AX60" s="130">
        <f>IF(OR($C60="",$B$2="",$D$2=0),0,IF(AX$3&lt;0,0,N(INDEX('CURVA PREVISION'!$A$1:$KZ$3000,$C60,11+3*MIN(AX$3,$D$2-1)))))</f>
        <v/>
      </c>
      <c r="AY60" s="130">
        <f>IF(OR($C60="",$B$2="",$D$2=0),0,IF(AY$3&lt;0,0,N(INDEX('CURVA PREVISION'!$A$1:$KZ$3000,$C60,11+3*MIN(AY$3,$D$2-1)))))</f>
        <v/>
      </c>
      <c r="AZ60" s="130">
        <f>IF(OR($C60="",$B$2="",$D$2=0),0,IF(AZ$3&lt;0,0,N(INDEX('CURVA PREVISION'!$A$1:$KZ$3000,$C60,11+3*MIN(AZ$3,$D$2-1)))))</f>
        <v/>
      </c>
      <c r="BA60" s="130">
        <f>IF(OR($C60="",$B$2="",$D$2=0),0,IF(BA$3&lt;0,0,N(INDEX('CURVA PREVISION'!$A$1:$KZ$3000,$C60,11+3*MIN(BA$3,$D$2-1)))))</f>
        <v/>
      </c>
      <c r="BB60" s="130">
        <f>IF(OR($C60="",$B$2="",$D$2=0),0,IF(BB$3&lt;0,0,N(INDEX('CURVA PREVISION'!$A$1:$KZ$3000,$C60,11+3*MIN(BB$3,$D$2-1)))))</f>
        <v/>
      </c>
      <c r="BC60" s="130">
        <f>IF(OR($C60="",$B$2="",$D$2=0),0,IF(BC$3&lt;0,0,N(INDEX('CURVA PREVISION'!$A$1:$KZ$3000,$C60,11+3*MIN(BC$3,$D$2-1)))))</f>
        <v/>
      </c>
      <c r="BD60" s="130">
        <f>IF(OR($C60="",$B$2="",$D$2=0),0,IF(BD$3&lt;0,0,N(INDEX('CURVA PREVISION'!$A$1:$KZ$3000,$C60,11+3*MIN(BD$3,$D$2-1)))))</f>
        <v/>
      </c>
      <c r="BE60" s="130">
        <f>IF(OR($C60="",$B$2="",$D$2=0),0,IF(BE$3&lt;0,0,N(INDEX('CURVA PREVISION'!$A$1:$KZ$3000,$C60,11+3*MIN(BE$3,$D$2-1)))))</f>
        <v/>
      </c>
      <c r="BF60" s="130">
        <f>IF(OR($C60="",$B$2="",$D$2=0),0,IF(BF$3&lt;0,0,N(INDEX('CURVA PREVISION'!$A$1:$KZ$3000,$C60,11+3*MIN(BF$3,$D$2-1)))))</f>
        <v/>
      </c>
      <c r="BG60" s="130">
        <f>IF(OR($C60="",$B$2="",$D$2=0),0,IF(BG$3&lt;0,0,N(INDEX('CURVA PREVISION'!$A$1:$KZ$3000,$C60,11+3*MIN(BG$3,$D$2-1)))))</f>
        <v/>
      </c>
      <c r="BH60" s="130">
        <f>IF(OR($C60="",$B$2="",$D$2=0),0,IF(BH$3&lt;0,0,N(INDEX('CURVA PREVISION'!$A$1:$KZ$3000,$C60,11+3*MIN(BH$3,$D$2-1)))))</f>
        <v/>
      </c>
      <c r="BI60" s="130">
        <f>IF(OR($C60="",$B$2="",$D$2=0),0,IF(BI$3&lt;0,0,N(INDEX('CURVA PREVISION'!$A$1:$KZ$3000,$C60,11+3*MIN(BI$3,$D$2-1)))))</f>
        <v/>
      </c>
      <c r="BJ60" s="130">
        <f>IF(OR($C60="",$B$2="",$D$2=0),0,IF(BJ$3&lt;0,0,N(INDEX('CURVA PREVISION'!$A$1:$KZ$3000,$C60,11+3*MIN(BJ$3,$D$2-1)))))</f>
        <v/>
      </c>
      <c r="BK60" s="130">
        <f>IF(OR($C60="",$B$2="",$D$2=0),0,IF(BK$3&lt;0,0,N(INDEX('CURVA PREVISION'!$A$1:$KZ$3000,$C60,11+3*MIN(BK$3,$D$2-1)))))</f>
        <v/>
      </c>
      <c r="BL60" s="130">
        <f>IF(OR($C60="",$B$2="",$D$2=0),0,IF(BL$3&lt;0,0,N(INDEX('CURVA PREVISION'!$A$1:$KZ$3000,$C60,11+3*MIN(BL$3,$D$2-1)))))</f>
        <v/>
      </c>
      <c r="BM60" s="130">
        <f>IF(OR($C60="",$B$2="",$D$2=0),0,IF(BM$3&lt;0,0,N(INDEX('CURVA PREVISION'!$A$1:$KZ$3000,$C60,11+3*MIN(BM$3,$D$2-1)))))</f>
        <v/>
      </c>
      <c r="BN60" s="130">
        <f>IF(OR($C60="",$B$2="",$D$2=0),0,IF(BN$3&lt;0,0,N(INDEX('CURVA PREVISION'!$A$1:$KZ$3000,$C60,11+3*MIN(BN$3,$D$2-1)))))</f>
        <v/>
      </c>
      <c r="BO60" s="130">
        <f>IF(OR($C60="",$B$2="",$D$2=0),0,IF(BO$3&lt;0,0,N(INDEX('CURVA PREVISION'!$A$1:$KZ$3000,$C60,11+3*MIN(BO$3,$D$2-1)))))</f>
        <v/>
      </c>
      <c r="BP60" s="130">
        <f>IF(OR($C60="",$B$2="",$D$2=0),0,IF(BP$3&lt;0,0,N(INDEX('CURVA PREVISION'!$A$1:$KZ$3000,$C60,11+3*MIN(BP$3,$D$2-1)))))</f>
        <v/>
      </c>
      <c r="BQ60" s="130">
        <f>IF(OR($C60="",$B$2="",$D$2=0),0,IF(BQ$3&lt;0,0,N(INDEX('CURVA PREVISION'!$A$1:$KZ$3000,$C60,11+3*MIN(BQ$3,$D$2-1)))))</f>
        <v/>
      </c>
      <c r="BR60" s="130">
        <f>IF(OR($C60="",$B$2="",$D$2=0),0,IF(BR$3&lt;0,0,N(INDEX('CURVA PREVISION'!$A$1:$KZ$3000,$C60,11+3*MIN(BR$3,$D$2-1)))))</f>
        <v/>
      </c>
      <c r="BS60" s="130">
        <f>IF(OR($C60="",$B$2="",$D$2=0),0,IF(BS$3&lt;0,0,N(INDEX('CURVA PREVISION'!$A$1:$KZ$3000,$C60,11+3*MIN(BS$3,$D$2-1)))))</f>
        <v/>
      </c>
      <c r="BT60" s="130">
        <f>IF(OR($C60="",$B$2="",$D$2=0),0,IF(BT$3&lt;0,0,N(INDEX('CURVA PREVISION'!$A$1:$KZ$3000,$C60,11+3*MIN(BT$3,$D$2-1)))))</f>
        <v/>
      </c>
      <c r="BU60" s="130">
        <f>IF(OR($C60="",$B$2="",$D$2=0),0,IF(BU$3&lt;0,0,N(INDEX('CURVA PREVISION'!$A$1:$KZ$3000,$C60,11+3*MIN(BU$3,$D$2-1)))))</f>
        <v/>
      </c>
      <c r="BV60" s="130">
        <f>IF(OR($C60="",$B$2="",$D$2=0),0,IF(BV$3&lt;0,0,N(INDEX('CURVA PREVISION'!$A$1:$KZ$3000,$C60,11+3*MIN(BV$3,$D$2-1)))))</f>
        <v/>
      </c>
      <c r="BW60" s="130">
        <f>IF(OR($C60="",$B$2="",$D$2=0),0,IF(BW$3&lt;0,0,N(INDEX('CURVA PREVISION'!$A$1:$KZ$3000,$C60,11+3*MIN(BW$3,$D$2-1)))))</f>
        <v/>
      </c>
    </row>
    <row r="61">
      <c r="A61" s="61">
        <f>IF('VALOR POR PL'!Q25="",'VALOR POR PL'!C25,'VALOR POR PL'!Q25)</f>
        <v/>
      </c>
      <c r="B61" s="51">
        <f>B19</f>
        <v/>
      </c>
      <c r="C61" s="70">
        <f>IFERROR(MATCH(A61,'CURVA PREVISION'!$B$1:$B$3000,0),"")</f>
        <v/>
      </c>
      <c r="D61" s="130">
        <f>IF(OR($C61="",$B$2="",$D$2=0),0,IF(D$3&lt;0,0,N(INDEX('CURVA PREVISION'!$A$1:$KZ$3000,$C61,11+3*MIN(D$3,$D$2-1)))))</f>
        <v/>
      </c>
      <c r="E61" s="130">
        <f>IF(OR($C61="",$B$2="",$D$2=0),0,IF(E$3&lt;0,0,N(INDEX('CURVA PREVISION'!$A$1:$KZ$3000,$C61,11+3*MIN(E$3,$D$2-1)))))</f>
        <v/>
      </c>
      <c r="F61" s="130">
        <f>IF(OR($C61="",$B$2="",$D$2=0),0,IF(F$3&lt;0,0,N(INDEX('CURVA PREVISION'!$A$1:$KZ$3000,$C61,11+3*MIN(F$3,$D$2-1)))))</f>
        <v/>
      </c>
      <c r="G61" s="130">
        <f>IF(OR($C61="",$B$2="",$D$2=0),0,IF(G$3&lt;0,0,N(INDEX('CURVA PREVISION'!$A$1:$KZ$3000,$C61,11+3*MIN(G$3,$D$2-1)))))</f>
        <v/>
      </c>
      <c r="H61" s="130">
        <f>IF(OR($C61="",$B$2="",$D$2=0),0,IF(H$3&lt;0,0,N(INDEX('CURVA PREVISION'!$A$1:$KZ$3000,$C61,11+3*MIN(H$3,$D$2-1)))))</f>
        <v/>
      </c>
      <c r="I61" s="130">
        <f>IF(OR($C61="",$B$2="",$D$2=0),0,IF(I$3&lt;0,0,N(INDEX('CURVA PREVISION'!$A$1:$KZ$3000,$C61,11+3*MIN(I$3,$D$2-1)))))</f>
        <v/>
      </c>
      <c r="J61" s="130">
        <f>IF(OR($C61="",$B$2="",$D$2=0),0,IF(J$3&lt;0,0,N(INDEX('CURVA PREVISION'!$A$1:$KZ$3000,$C61,11+3*MIN(J$3,$D$2-1)))))</f>
        <v/>
      </c>
      <c r="K61" s="130">
        <f>IF(OR($C61="",$B$2="",$D$2=0),0,IF(K$3&lt;0,0,N(INDEX('CURVA PREVISION'!$A$1:$KZ$3000,$C61,11+3*MIN(K$3,$D$2-1)))))</f>
        <v/>
      </c>
      <c r="L61" s="130">
        <f>IF(OR($C61="",$B$2="",$D$2=0),0,IF(L$3&lt;0,0,N(INDEX('CURVA PREVISION'!$A$1:$KZ$3000,$C61,11+3*MIN(L$3,$D$2-1)))))</f>
        <v/>
      </c>
      <c r="M61" s="130">
        <f>IF(OR($C61="",$B$2="",$D$2=0),0,IF(M$3&lt;0,0,N(INDEX('CURVA PREVISION'!$A$1:$KZ$3000,$C61,11+3*MIN(M$3,$D$2-1)))))</f>
        <v/>
      </c>
      <c r="N61" s="130">
        <f>IF(OR($C61="",$B$2="",$D$2=0),0,IF(N$3&lt;0,0,N(INDEX('CURVA PREVISION'!$A$1:$KZ$3000,$C61,11+3*MIN(N$3,$D$2-1)))))</f>
        <v/>
      </c>
      <c r="O61" s="130">
        <f>IF(OR($C61="",$B$2="",$D$2=0),0,IF(O$3&lt;0,0,N(INDEX('CURVA PREVISION'!$A$1:$KZ$3000,$C61,11+3*MIN(O$3,$D$2-1)))))</f>
        <v/>
      </c>
      <c r="P61" s="130">
        <f>IF(OR($C61="",$B$2="",$D$2=0),0,IF(P$3&lt;0,0,N(INDEX('CURVA PREVISION'!$A$1:$KZ$3000,$C61,11+3*MIN(P$3,$D$2-1)))))</f>
        <v/>
      </c>
      <c r="Q61" s="130">
        <f>IF(OR($C61="",$B$2="",$D$2=0),0,IF(Q$3&lt;0,0,N(INDEX('CURVA PREVISION'!$A$1:$KZ$3000,$C61,11+3*MIN(Q$3,$D$2-1)))))</f>
        <v/>
      </c>
      <c r="R61" s="130">
        <f>IF(OR($C61="",$B$2="",$D$2=0),0,IF(R$3&lt;0,0,N(INDEX('CURVA PREVISION'!$A$1:$KZ$3000,$C61,11+3*MIN(R$3,$D$2-1)))))</f>
        <v/>
      </c>
      <c r="S61" s="130">
        <f>IF(OR($C61="",$B$2="",$D$2=0),0,IF(S$3&lt;0,0,N(INDEX('CURVA PREVISION'!$A$1:$KZ$3000,$C61,11+3*MIN(S$3,$D$2-1)))))</f>
        <v/>
      </c>
      <c r="T61" s="130">
        <f>IF(OR($C61="",$B$2="",$D$2=0),0,IF(T$3&lt;0,0,N(INDEX('CURVA PREVISION'!$A$1:$KZ$3000,$C61,11+3*MIN(T$3,$D$2-1)))))</f>
        <v/>
      </c>
      <c r="U61" s="130">
        <f>IF(OR($C61="",$B$2="",$D$2=0),0,IF(U$3&lt;0,0,N(INDEX('CURVA PREVISION'!$A$1:$KZ$3000,$C61,11+3*MIN(U$3,$D$2-1)))))</f>
        <v/>
      </c>
      <c r="V61" s="130">
        <f>IF(OR($C61="",$B$2="",$D$2=0),0,IF(V$3&lt;0,0,N(INDEX('CURVA PREVISION'!$A$1:$KZ$3000,$C61,11+3*MIN(V$3,$D$2-1)))))</f>
        <v/>
      </c>
      <c r="W61" s="130">
        <f>IF(OR($C61="",$B$2="",$D$2=0),0,IF(W$3&lt;0,0,N(INDEX('CURVA PREVISION'!$A$1:$KZ$3000,$C61,11+3*MIN(W$3,$D$2-1)))))</f>
        <v/>
      </c>
      <c r="X61" s="130">
        <f>IF(OR($C61="",$B$2="",$D$2=0),0,IF(X$3&lt;0,0,N(INDEX('CURVA PREVISION'!$A$1:$KZ$3000,$C61,11+3*MIN(X$3,$D$2-1)))))</f>
        <v/>
      </c>
      <c r="Y61" s="130">
        <f>IF(OR($C61="",$B$2="",$D$2=0),0,IF(Y$3&lt;0,0,N(INDEX('CURVA PREVISION'!$A$1:$KZ$3000,$C61,11+3*MIN(Y$3,$D$2-1)))))</f>
        <v/>
      </c>
      <c r="Z61" s="130">
        <f>IF(OR($C61="",$B$2="",$D$2=0),0,IF(Z$3&lt;0,0,N(INDEX('CURVA PREVISION'!$A$1:$KZ$3000,$C61,11+3*MIN(Z$3,$D$2-1)))))</f>
        <v/>
      </c>
      <c r="AA61" s="130">
        <f>IF(OR($C61="",$B$2="",$D$2=0),0,IF(AA$3&lt;0,0,N(INDEX('CURVA PREVISION'!$A$1:$KZ$3000,$C61,11+3*MIN(AA$3,$D$2-1)))))</f>
        <v/>
      </c>
      <c r="AB61" s="130">
        <f>IF(OR($C61="",$B$2="",$D$2=0),0,IF(AB$3&lt;0,0,N(INDEX('CURVA PREVISION'!$A$1:$KZ$3000,$C61,11+3*MIN(AB$3,$D$2-1)))))</f>
        <v/>
      </c>
      <c r="AC61" s="130">
        <f>IF(OR($C61="",$B$2="",$D$2=0),0,IF(AC$3&lt;0,0,N(INDEX('CURVA PREVISION'!$A$1:$KZ$3000,$C61,11+3*MIN(AC$3,$D$2-1)))))</f>
        <v/>
      </c>
      <c r="AD61" s="130">
        <f>IF(OR($C61="",$B$2="",$D$2=0),0,IF(AD$3&lt;0,0,N(INDEX('CURVA PREVISION'!$A$1:$KZ$3000,$C61,11+3*MIN(AD$3,$D$2-1)))))</f>
        <v/>
      </c>
      <c r="AE61" s="130">
        <f>IF(OR($C61="",$B$2="",$D$2=0),0,IF(AE$3&lt;0,0,N(INDEX('CURVA PREVISION'!$A$1:$KZ$3000,$C61,11+3*MIN(AE$3,$D$2-1)))))</f>
        <v/>
      </c>
      <c r="AF61" s="130">
        <f>IF(OR($C61="",$B$2="",$D$2=0),0,IF(AF$3&lt;0,0,N(INDEX('CURVA PREVISION'!$A$1:$KZ$3000,$C61,11+3*MIN(AF$3,$D$2-1)))))</f>
        <v/>
      </c>
      <c r="AG61" s="130">
        <f>IF(OR($C61="",$B$2="",$D$2=0),0,IF(AG$3&lt;0,0,N(INDEX('CURVA PREVISION'!$A$1:$KZ$3000,$C61,11+3*MIN(AG$3,$D$2-1)))))</f>
        <v/>
      </c>
      <c r="AH61" s="130">
        <f>IF(OR($C61="",$B$2="",$D$2=0),0,IF(AH$3&lt;0,0,N(INDEX('CURVA PREVISION'!$A$1:$KZ$3000,$C61,11+3*MIN(AH$3,$D$2-1)))))</f>
        <v/>
      </c>
      <c r="AI61" s="130">
        <f>IF(OR($C61="",$B$2="",$D$2=0),0,IF(AI$3&lt;0,0,N(INDEX('CURVA PREVISION'!$A$1:$KZ$3000,$C61,11+3*MIN(AI$3,$D$2-1)))))</f>
        <v/>
      </c>
      <c r="AJ61" s="130">
        <f>IF(OR($C61="",$B$2="",$D$2=0),0,IF(AJ$3&lt;0,0,N(INDEX('CURVA PREVISION'!$A$1:$KZ$3000,$C61,11+3*MIN(AJ$3,$D$2-1)))))</f>
        <v/>
      </c>
      <c r="AK61" s="130">
        <f>IF(OR($C61="",$B$2="",$D$2=0),0,IF(AK$3&lt;0,0,N(INDEX('CURVA PREVISION'!$A$1:$KZ$3000,$C61,11+3*MIN(AK$3,$D$2-1)))))</f>
        <v/>
      </c>
      <c r="AL61" s="130">
        <f>IF(OR($C61="",$B$2="",$D$2=0),0,IF(AL$3&lt;0,0,N(INDEX('CURVA PREVISION'!$A$1:$KZ$3000,$C61,11+3*MIN(AL$3,$D$2-1)))))</f>
        <v/>
      </c>
      <c r="AM61" s="130">
        <f>IF(OR($C61="",$B$2="",$D$2=0),0,IF(AM$3&lt;0,0,N(INDEX('CURVA PREVISION'!$A$1:$KZ$3000,$C61,11+3*MIN(AM$3,$D$2-1)))))</f>
        <v/>
      </c>
      <c r="AN61" s="130">
        <f>IF(OR($C61="",$B$2="",$D$2=0),0,IF(AN$3&lt;0,0,N(INDEX('CURVA PREVISION'!$A$1:$KZ$3000,$C61,11+3*MIN(AN$3,$D$2-1)))))</f>
        <v/>
      </c>
      <c r="AO61" s="130">
        <f>IF(OR($C61="",$B$2="",$D$2=0),0,IF(AO$3&lt;0,0,N(INDEX('CURVA PREVISION'!$A$1:$KZ$3000,$C61,11+3*MIN(AO$3,$D$2-1)))))</f>
        <v/>
      </c>
      <c r="AP61" s="130">
        <f>IF(OR($C61="",$B$2="",$D$2=0),0,IF(AP$3&lt;0,0,N(INDEX('CURVA PREVISION'!$A$1:$KZ$3000,$C61,11+3*MIN(AP$3,$D$2-1)))))</f>
        <v/>
      </c>
      <c r="AQ61" s="130">
        <f>IF(OR($C61="",$B$2="",$D$2=0),0,IF(AQ$3&lt;0,0,N(INDEX('CURVA PREVISION'!$A$1:$KZ$3000,$C61,11+3*MIN(AQ$3,$D$2-1)))))</f>
        <v/>
      </c>
      <c r="AR61" s="130">
        <f>IF(OR($C61="",$B$2="",$D$2=0),0,IF(AR$3&lt;0,0,N(INDEX('CURVA PREVISION'!$A$1:$KZ$3000,$C61,11+3*MIN(AR$3,$D$2-1)))))</f>
        <v/>
      </c>
      <c r="AS61" s="130">
        <f>IF(OR($C61="",$B$2="",$D$2=0),0,IF(AS$3&lt;0,0,N(INDEX('CURVA PREVISION'!$A$1:$KZ$3000,$C61,11+3*MIN(AS$3,$D$2-1)))))</f>
        <v/>
      </c>
      <c r="AT61" s="130">
        <f>IF(OR($C61="",$B$2="",$D$2=0),0,IF(AT$3&lt;0,0,N(INDEX('CURVA PREVISION'!$A$1:$KZ$3000,$C61,11+3*MIN(AT$3,$D$2-1)))))</f>
        <v/>
      </c>
      <c r="AU61" s="130">
        <f>IF(OR($C61="",$B$2="",$D$2=0),0,IF(AU$3&lt;0,0,N(INDEX('CURVA PREVISION'!$A$1:$KZ$3000,$C61,11+3*MIN(AU$3,$D$2-1)))))</f>
        <v/>
      </c>
      <c r="AV61" s="130">
        <f>IF(OR($C61="",$B$2="",$D$2=0),0,IF(AV$3&lt;0,0,N(INDEX('CURVA PREVISION'!$A$1:$KZ$3000,$C61,11+3*MIN(AV$3,$D$2-1)))))</f>
        <v/>
      </c>
      <c r="AW61" s="130">
        <f>IF(OR($C61="",$B$2="",$D$2=0),0,IF(AW$3&lt;0,0,N(INDEX('CURVA PREVISION'!$A$1:$KZ$3000,$C61,11+3*MIN(AW$3,$D$2-1)))))</f>
        <v/>
      </c>
      <c r="AX61" s="130">
        <f>IF(OR($C61="",$B$2="",$D$2=0),0,IF(AX$3&lt;0,0,N(INDEX('CURVA PREVISION'!$A$1:$KZ$3000,$C61,11+3*MIN(AX$3,$D$2-1)))))</f>
        <v/>
      </c>
      <c r="AY61" s="130">
        <f>IF(OR($C61="",$B$2="",$D$2=0),0,IF(AY$3&lt;0,0,N(INDEX('CURVA PREVISION'!$A$1:$KZ$3000,$C61,11+3*MIN(AY$3,$D$2-1)))))</f>
        <v/>
      </c>
      <c r="AZ61" s="130">
        <f>IF(OR($C61="",$B$2="",$D$2=0),0,IF(AZ$3&lt;0,0,N(INDEX('CURVA PREVISION'!$A$1:$KZ$3000,$C61,11+3*MIN(AZ$3,$D$2-1)))))</f>
        <v/>
      </c>
      <c r="BA61" s="130">
        <f>IF(OR($C61="",$B$2="",$D$2=0),0,IF(BA$3&lt;0,0,N(INDEX('CURVA PREVISION'!$A$1:$KZ$3000,$C61,11+3*MIN(BA$3,$D$2-1)))))</f>
        <v/>
      </c>
      <c r="BB61" s="130">
        <f>IF(OR($C61="",$B$2="",$D$2=0),0,IF(BB$3&lt;0,0,N(INDEX('CURVA PREVISION'!$A$1:$KZ$3000,$C61,11+3*MIN(BB$3,$D$2-1)))))</f>
        <v/>
      </c>
      <c r="BC61" s="130">
        <f>IF(OR($C61="",$B$2="",$D$2=0),0,IF(BC$3&lt;0,0,N(INDEX('CURVA PREVISION'!$A$1:$KZ$3000,$C61,11+3*MIN(BC$3,$D$2-1)))))</f>
        <v/>
      </c>
      <c r="BD61" s="130">
        <f>IF(OR($C61="",$B$2="",$D$2=0),0,IF(BD$3&lt;0,0,N(INDEX('CURVA PREVISION'!$A$1:$KZ$3000,$C61,11+3*MIN(BD$3,$D$2-1)))))</f>
        <v/>
      </c>
      <c r="BE61" s="130">
        <f>IF(OR($C61="",$B$2="",$D$2=0),0,IF(BE$3&lt;0,0,N(INDEX('CURVA PREVISION'!$A$1:$KZ$3000,$C61,11+3*MIN(BE$3,$D$2-1)))))</f>
        <v/>
      </c>
      <c r="BF61" s="130">
        <f>IF(OR($C61="",$B$2="",$D$2=0),0,IF(BF$3&lt;0,0,N(INDEX('CURVA PREVISION'!$A$1:$KZ$3000,$C61,11+3*MIN(BF$3,$D$2-1)))))</f>
        <v/>
      </c>
      <c r="BG61" s="130">
        <f>IF(OR($C61="",$B$2="",$D$2=0),0,IF(BG$3&lt;0,0,N(INDEX('CURVA PREVISION'!$A$1:$KZ$3000,$C61,11+3*MIN(BG$3,$D$2-1)))))</f>
        <v/>
      </c>
      <c r="BH61" s="130">
        <f>IF(OR($C61="",$B$2="",$D$2=0),0,IF(BH$3&lt;0,0,N(INDEX('CURVA PREVISION'!$A$1:$KZ$3000,$C61,11+3*MIN(BH$3,$D$2-1)))))</f>
        <v/>
      </c>
      <c r="BI61" s="130">
        <f>IF(OR($C61="",$B$2="",$D$2=0),0,IF(BI$3&lt;0,0,N(INDEX('CURVA PREVISION'!$A$1:$KZ$3000,$C61,11+3*MIN(BI$3,$D$2-1)))))</f>
        <v/>
      </c>
      <c r="BJ61" s="130">
        <f>IF(OR($C61="",$B$2="",$D$2=0),0,IF(BJ$3&lt;0,0,N(INDEX('CURVA PREVISION'!$A$1:$KZ$3000,$C61,11+3*MIN(BJ$3,$D$2-1)))))</f>
        <v/>
      </c>
      <c r="BK61" s="130">
        <f>IF(OR($C61="",$B$2="",$D$2=0),0,IF(BK$3&lt;0,0,N(INDEX('CURVA PREVISION'!$A$1:$KZ$3000,$C61,11+3*MIN(BK$3,$D$2-1)))))</f>
        <v/>
      </c>
      <c r="BL61" s="130">
        <f>IF(OR($C61="",$B$2="",$D$2=0),0,IF(BL$3&lt;0,0,N(INDEX('CURVA PREVISION'!$A$1:$KZ$3000,$C61,11+3*MIN(BL$3,$D$2-1)))))</f>
        <v/>
      </c>
      <c r="BM61" s="130">
        <f>IF(OR($C61="",$B$2="",$D$2=0),0,IF(BM$3&lt;0,0,N(INDEX('CURVA PREVISION'!$A$1:$KZ$3000,$C61,11+3*MIN(BM$3,$D$2-1)))))</f>
        <v/>
      </c>
      <c r="BN61" s="130">
        <f>IF(OR($C61="",$B$2="",$D$2=0),0,IF(BN$3&lt;0,0,N(INDEX('CURVA PREVISION'!$A$1:$KZ$3000,$C61,11+3*MIN(BN$3,$D$2-1)))))</f>
        <v/>
      </c>
      <c r="BO61" s="130">
        <f>IF(OR($C61="",$B$2="",$D$2=0),0,IF(BO$3&lt;0,0,N(INDEX('CURVA PREVISION'!$A$1:$KZ$3000,$C61,11+3*MIN(BO$3,$D$2-1)))))</f>
        <v/>
      </c>
      <c r="BP61" s="130">
        <f>IF(OR($C61="",$B$2="",$D$2=0),0,IF(BP$3&lt;0,0,N(INDEX('CURVA PREVISION'!$A$1:$KZ$3000,$C61,11+3*MIN(BP$3,$D$2-1)))))</f>
        <v/>
      </c>
      <c r="BQ61" s="130">
        <f>IF(OR($C61="",$B$2="",$D$2=0),0,IF(BQ$3&lt;0,0,N(INDEX('CURVA PREVISION'!$A$1:$KZ$3000,$C61,11+3*MIN(BQ$3,$D$2-1)))))</f>
        <v/>
      </c>
      <c r="BR61" s="130">
        <f>IF(OR($C61="",$B$2="",$D$2=0),0,IF(BR$3&lt;0,0,N(INDEX('CURVA PREVISION'!$A$1:$KZ$3000,$C61,11+3*MIN(BR$3,$D$2-1)))))</f>
        <v/>
      </c>
      <c r="BS61" s="130">
        <f>IF(OR($C61="",$B$2="",$D$2=0),0,IF(BS$3&lt;0,0,N(INDEX('CURVA PREVISION'!$A$1:$KZ$3000,$C61,11+3*MIN(BS$3,$D$2-1)))))</f>
        <v/>
      </c>
      <c r="BT61" s="130">
        <f>IF(OR($C61="",$B$2="",$D$2=0),0,IF(BT$3&lt;0,0,N(INDEX('CURVA PREVISION'!$A$1:$KZ$3000,$C61,11+3*MIN(BT$3,$D$2-1)))))</f>
        <v/>
      </c>
      <c r="BU61" s="130">
        <f>IF(OR($C61="",$B$2="",$D$2=0),0,IF(BU$3&lt;0,0,N(INDEX('CURVA PREVISION'!$A$1:$KZ$3000,$C61,11+3*MIN(BU$3,$D$2-1)))))</f>
        <v/>
      </c>
      <c r="BV61" s="130">
        <f>IF(OR($C61="",$B$2="",$D$2=0),0,IF(BV$3&lt;0,0,N(INDEX('CURVA PREVISION'!$A$1:$KZ$3000,$C61,11+3*MIN(BV$3,$D$2-1)))))</f>
        <v/>
      </c>
      <c r="BW61" s="130">
        <f>IF(OR($C61="",$B$2="",$D$2=0),0,IF(BW$3&lt;0,0,N(INDEX('CURVA PREVISION'!$A$1:$KZ$3000,$C61,11+3*MIN(BW$3,$D$2-1)))))</f>
        <v/>
      </c>
    </row>
    <row r="62">
      <c r="A62" s="61">
        <f>IF('VALOR POR PL'!Q26="",'VALOR POR PL'!C26,'VALOR POR PL'!Q26)</f>
        <v/>
      </c>
      <c r="B62" s="51">
        <f>B20</f>
        <v/>
      </c>
      <c r="C62" s="70">
        <f>IFERROR(MATCH(A62,'CURVA PREVISION'!$B$1:$B$3000,0),"")</f>
        <v/>
      </c>
      <c r="D62" s="130">
        <f>IF(OR($C62="",$B$2="",$D$2=0),0,IF(D$3&lt;0,0,N(INDEX('CURVA PREVISION'!$A$1:$KZ$3000,$C62,11+3*MIN(D$3,$D$2-1)))))</f>
        <v/>
      </c>
      <c r="E62" s="130">
        <f>IF(OR($C62="",$B$2="",$D$2=0),0,IF(E$3&lt;0,0,N(INDEX('CURVA PREVISION'!$A$1:$KZ$3000,$C62,11+3*MIN(E$3,$D$2-1)))))</f>
        <v/>
      </c>
      <c r="F62" s="130">
        <f>IF(OR($C62="",$B$2="",$D$2=0),0,IF(F$3&lt;0,0,N(INDEX('CURVA PREVISION'!$A$1:$KZ$3000,$C62,11+3*MIN(F$3,$D$2-1)))))</f>
        <v/>
      </c>
      <c r="G62" s="130">
        <f>IF(OR($C62="",$B$2="",$D$2=0),0,IF(G$3&lt;0,0,N(INDEX('CURVA PREVISION'!$A$1:$KZ$3000,$C62,11+3*MIN(G$3,$D$2-1)))))</f>
        <v/>
      </c>
      <c r="H62" s="130">
        <f>IF(OR($C62="",$B$2="",$D$2=0),0,IF(H$3&lt;0,0,N(INDEX('CURVA PREVISION'!$A$1:$KZ$3000,$C62,11+3*MIN(H$3,$D$2-1)))))</f>
        <v/>
      </c>
      <c r="I62" s="130">
        <f>IF(OR($C62="",$B$2="",$D$2=0),0,IF(I$3&lt;0,0,N(INDEX('CURVA PREVISION'!$A$1:$KZ$3000,$C62,11+3*MIN(I$3,$D$2-1)))))</f>
        <v/>
      </c>
      <c r="J62" s="130">
        <f>IF(OR($C62="",$B$2="",$D$2=0),0,IF(J$3&lt;0,0,N(INDEX('CURVA PREVISION'!$A$1:$KZ$3000,$C62,11+3*MIN(J$3,$D$2-1)))))</f>
        <v/>
      </c>
      <c r="K62" s="130">
        <f>IF(OR($C62="",$B$2="",$D$2=0),0,IF(K$3&lt;0,0,N(INDEX('CURVA PREVISION'!$A$1:$KZ$3000,$C62,11+3*MIN(K$3,$D$2-1)))))</f>
        <v/>
      </c>
      <c r="L62" s="130">
        <f>IF(OR($C62="",$B$2="",$D$2=0),0,IF(L$3&lt;0,0,N(INDEX('CURVA PREVISION'!$A$1:$KZ$3000,$C62,11+3*MIN(L$3,$D$2-1)))))</f>
        <v/>
      </c>
      <c r="M62" s="130">
        <f>IF(OR($C62="",$B$2="",$D$2=0),0,IF(M$3&lt;0,0,N(INDEX('CURVA PREVISION'!$A$1:$KZ$3000,$C62,11+3*MIN(M$3,$D$2-1)))))</f>
        <v/>
      </c>
      <c r="N62" s="130">
        <f>IF(OR($C62="",$B$2="",$D$2=0),0,IF(N$3&lt;0,0,N(INDEX('CURVA PREVISION'!$A$1:$KZ$3000,$C62,11+3*MIN(N$3,$D$2-1)))))</f>
        <v/>
      </c>
      <c r="O62" s="130">
        <f>IF(OR($C62="",$B$2="",$D$2=0),0,IF(O$3&lt;0,0,N(INDEX('CURVA PREVISION'!$A$1:$KZ$3000,$C62,11+3*MIN(O$3,$D$2-1)))))</f>
        <v/>
      </c>
      <c r="P62" s="130">
        <f>IF(OR($C62="",$B$2="",$D$2=0),0,IF(P$3&lt;0,0,N(INDEX('CURVA PREVISION'!$A$1:$KZ$3000,$C62,11+3*MIN(P$3,$D$2-1)))))</f>
        <v/>
      </c>
      <c r="Q62" s="130">
        <f>IF(OR($C62="",$B$2="",$D$2=0),0,IF(Q$3&lt;0,0,N(INDEX('CURVA PREVISION'!$A$1:$KZ$3000,$C62,11+3*MIN(Q$3,$D$2-1)))))</f>
        <v/>
      </c>
      <c r="R62" s="130">
        <f>IF(OR($C62="",$B$2="",$D$2=0),0,IF(R$3&lt;0,0,N(INDEX('CURVA PREVISION'!$A$1:$KZ$3000,$C62,11+3*MIN(R$3,$D$2-1)))))</f>
        <v/>
      </c>
      <c r="S62" s="130">
        <f>IF(OR($C62="",$B$2="",$D$2=0),0,IF(S$3&lt;0,0,N(INDEX('CURVA PREVISION'!$A$1:$KZ$3000,$C62,11+3*MIN(S$3,$D$2-1)))))</f>
        <v/>
      </c>
      <c r="T62" s="130">
        <f>IF(OR($C62="",$B$2="",$D$2=0),0,IF(T$3&lt;0,0,N(INDEX('CURVA PREVISION'!$A$1:$KZ$3000,$C62,11+3*MIN(T$3,$D$2-1)))))</f>
        <v/>
      </c>
      <c r="U62" s="130">
        <f>IF(OR($C62="",$B$2="",$D$2=0),0,IF(U$3&lt;0,0,N(INDEX('CURVA PREVISION'!$A$1:$KZ$3000,$C62,11+3*MIN(U$3,$D$2-1)))))</f>
        <v/>
      </c>
      <c r="V62" s="130">
        <f>IF(OR($C62="",$B$2="",$D$2=0),0,IF(V$3&lt;0,0,N(INDEX('CURVA PREVISION'!$A$1:$KZ$3000,$C62,11+3*MIN(V$3,$D$2-1)))))</f>
        <v/>
      </c>
      <c r="W62" s="130">
        <f>IF(OR($C62="",$B$2="",$D$2=0),0,IF(W$3&lt;0,0,N(INDEX('CURVA PREVISION'!$A$1:$KZ$3000,$C62,11+3*MIN(W$3,$D$2-1)))))</f>
        <v/>
      </c>
      <c r="X62" s="130">
        <f>IF(OR($C62="",$B$2="",$D$2=0),0,IF(X$3&lt;0,0,N(INDEX('CURVA PREVISION'!$A$1:$KZ$3000,$C62,11+3*MIN(X$3,$D$2-1)))))</f>
        <v/>
      </c>
      <c r="Y62" s="130">
        <f>IF(OR($C62="",$B$2="",$D$2=0),0,IF(Y$3&lt;0,0,N(INDEX('CURVA PREVISION'!$A$1:$KZ$3000,$C62,11+3*MIN(Y$3,$D$2-1)))))</f>
        <v/>
      </c>
      <c r="Z62" s="130">
        <f>IF(OR($C62="",$B$2="",$D$2=0),0,IF(Z$3&lt;0,0,N(INDEX('CURVA PREVISION'!$A$1:$KZ$3000,$C62,11+3*MIN(Z$3,$D$2-1)))))</f>
        <v/>
      </c>
      <c r="AA62" s="130">
        <f>IF(OR($C62="",$B$2="",$D$2=0),0,IF(AA$3&lt;0,0,N(INDEX('CURVA PREVISION'!$A$1:$KZ$3000,$C62,11+3*MIN(AA$3,$D$2-1)))))</f>
        <v/>
      </c>
      <c r="AB62" s="130">
        <f>IF(OR($C62="",$B$2="",$D$2=0),0,IF(AB$3&lt;0,0,N(INDEX('CURVA PREVISION'!$A$1:$KZ$3000,$C62,11+3*MIN(AB$3,$D$2-1)))))</f>
        <v/>
      </c>
      <c r="AC62" s="130">
        <f>IF(OR($C62="",$B$2="",$D$2=0),0,IF(AC$3&lt;0,0,N(INDEX('CURVA PREVISION'!$A$1:$KZ$3000,$C62,11+3*MIN(AC$3,$D$2-1)))))</f>
        <v/>
      </c>
      <c r="AD62" s="130">
        <f>IF(OR($C62="",$B$2="",$D$2=0),0,IF(AD$3&lt;0,0,N(INDEX('CURVA PREVISION'!$A$1:$KZ$3000,$C62,11+3*MIN(AD$3,$D$2-1)))))</f>
        <v/>
      </c>
      <c r="AE62" s="130">
        <f>IF(OR($C62="",$B$2="",$D$2=0),0,IF(AE$3&lt;0,0,N(INDEX('CURVA PREVISION'!$A$1:$KZ$3000,$C62,11+3*MIN(AE$3,$D$2-1)))))</f>
        <v/>
      </c>
      <c r="AF62" s="130">
        <f>IF(OR($C62="",$B$2="",$D$2=0),0,IF(AF$3&lt;0,0,N(INDEX('CURVA PREVISION'!$A$1:$KZ$3000,$C62,11+3*MIN(AF$3,$D$2-1)))))</f>
        <v/>
      </c>
      <c r="AG62" s="130">
        <f>IF(OR($C62="",$B$2="",$D$2=0),0,IF(AG$3&lt;0,0,N(INDEX('CURVA PREVISION'!$A$1:$KZ$3000,$C62,11+3*MIN(AG$3,$D$2-1)))))</f>
        <v/>
      </c>
      <c r="AH62" s="130">
        <f>IF(OR($C62="",$B$2="",$D$2=0),0,IF(AH$3&lt;0,0,N(INDEX('CURVA PREVISION'!$A$1:$KZ$3000,$C62,11+3*MIN(AH$3,$D$2-1)))))</f>
        <v/>
      </c>
      <c r="AI62" s="130">
        <f>IF(OR($C62="",$B$2="",$D$2=0),0,IF(AI$3&lt;0,0,N(INDEX('CURVA PREVISION'!$A$1:$KZ$3000,$C62,11+3*MIN(AI$3,$D$2-1)))))</f>
        <v/>
      </c>
      <c r="AJ62" s="130">
        <f>IF(OR($C62="",$B$2="",$D$2=0),0,IF(AJ$3&lt;0,0,N(INDEX('CURVA PREVISION'!$A$1:$KZ$3000,$C62,11+3*MIN(AJ$3,$D$2-1)))))</f>
        <v/>
      </c>
      <c r="AK62" s="130">
        <f>IF(OR($C62="",$B$2="",$D$2=0),0,IF(AK$3&lt;0,0,N(INDEX('CURVA PREVISION'!$A$1:$KZ$3000,$C62,11+3*MIN(AK$3,$D$2-1)))))</f>
        <v/>
      </c>
      <c r="AL62" s="130">
        <f>IF(OR($C62="",$B$2="",$D$2=0),0,IF(AL$3&lt;0,0,N(INDEX('CURVA PREVISION'!$A$1:$KZ$3000,$C62,11+3*MIN(AL$3,$D$2-1)))))</f>
        <v/>
      </c>
      <c r="AM62" s="130">
        <f>IF(OR($C62="",$B$2="",$D$2=0),0,IF(AM$3&lt;0,0,N(INDEX('CURVA PREVISION'!$A$1:$KZ$3000,$C62,11+3*MIN(AM$3,$D$2-1)))))</f>
        <v/>
      </c>
      <c r="AN62" s="130">
        <f>IF(OR($C62="",$B$2="",$D$2=0),0,IF(AN$3&lt;0,0,N(INDEX('CURVA PREVISION'!$A$1:$KZ$3000,$C62,11+3*MIN(AN$3,$D$2-1)))))</f>
        <v/>
      </c>
      <c r="AO62" s="130">
        <f>IF(OR($C62="",$B$2="",$D$2=0),0,IF(AO$3&lt;0,0,N(INDEX('CURVA PREVISION'!$A$1:$KZ$3000,$C62,11+3*MIN(AO$3,$D$2-1)))))</f>
        <v/>
      </c>
      <c r="AP62" s="130">
        <f>IF(OR($C62="",$B$2="",$D$2=0),0,IF(AP$3&lt;0,0,N(INDEX('CURVA PREVISION'!$A$1:$KZ$3000,$C62,11+3*MIN(AP$3,$D$2-1)))))</f>
        <v/>
      </c>
      <c r="AQ62" s="130">
        <f>IF(OR($C62="",$B$2="",$D$2=0),0,IF(AQ$3&lt;0,0,N(INDEX('CURVA PREVISION'!$A$1:$KZ$3000,$C62,11+3*MIN(AQ$3,$D$2-1)))))</f>
        <v/>
      </c>
      <c r="AR62" s="130">
        <f>IF(OR($C62="",$B$2="",$D$2=0),0,IF(AR$3&lt;0,0,N(INDEX('CURVA PREVISION'!$A$1:$KZ$3000,$C62,11+3*MIN(AR$3,$D$2-1)))))</f>
        <v/>
      </c>
      <c r="AS62" s="130">
        <f>IF(OR($C62="",$B$2="",$D$2=0),0,IF(AS$3&lt;0,0,N(INDEX('CURVA PREVISION'!$A$1:$KZ$3000,$C62,11+3*MIN(AS$3,$D$2-1)))))</f>
        <v/>
      </c>
      <c r="AT62" s="130">
        <f>IF(OR($C62="",$B$2="",$D$2=0),0,IF(AT$3&lt;0,0,N(INDEX('CURVA PREVISION'!$A$1:$KZ$3000,$C62,11+3*MIN(AT$3,$D$2-1)))))</f>
        <v/>
      </c>
      <c r="AU62" s="130">
        <f>IF(OR($C62="",$B$2="",$D$2=0),0,IF(AU$3&lt;0,0,N(INDEX('CURVA PREVISION'!$A$1:$KZ$3000,$C62,11+3*MIN(AU$3,$D$2-1)))))</f>
        <v/>
      </c>
      <c r="AV62" s="130">
        <f>IF(OR($C62="",$B$2="",$D$2=0),0,IF(AV$3&lt;0,0,N(INDEX('CURVA PREVISION'!$A$1:$KZ$3000,$C62,11+3*MIN(AV$3,$D$2-1)))))</f>
        <v/>
      </c>
      <c r="AW62" s="130">
        <f>IF(OR($C62="",$B$2="",$D$2=0),0,IF(AW$3&lt;0,0,N(INDEX('CURVA PREVISION'!$A$1:$KZ$3000,$C62,11+3*MIN(AW$3,$D$2-1)))))</f>
        <v/>
      </c>
      <c r="AX62" s="130">
        <f>IF(OR($C62="",$B$2="",$D$2=0),0,IF(AX$3&lt;0,0,N(INDEX('CURVA PREVISION'!$A$1:$KZ$3000,$C62,11+3*MIN(AX$3,$D$2-1)))))</f>
        <v/>
      </c>
      <c r="AY62" s="130">
        <f>IF(OR($C62="",$B$2="",$D$2=0),0,IF(AY$3&lt;0,0,N(INDEX('CURVA PREVISION'!$A$1:$KZ$3000,$C62,11+3*MIN(AY$3,$D$2-1)))))</f>
        <v/>
      </c>
      <c r="AZ62" s="130">
        <f>IF(OR($C62="",$B$2="",$D$2=0),0,IF(AZ$3&lt;0,0,N(INDEX('CURVA PREVISION'!$A$1:$KZ$3000,$C62,11+3*MIN(AZ$3,$D$2-1)))))</f>
        <v/>
      </c>
      <c r="BA62" s="130">
        <f>IF(OR($C62="",$B$2="",$D$2=0),0,IF(BA$3&lt;0,0,N(INDEX('CURVA PREVISION'!$A$1:$KZ$3000,$C62,11+3*MIN(BA$3,$D$2-1)))))</f>
        <v/>
      </c>
      <c r="BB62" s="130">
        <f>IF(OR($C62="",$B$2="",$D$2=0),0,IF(BB$3&lt;0,0,N(INDEX('CURVA PREVISION'!$A$1:$KZ$3000,$C62,11+3*MIN(BB$3,$D$2-1)))))</f>
        <v/>
      </c>
      <c r="BC62" s="130">
        <f>IF(OR($C62="",$B$2="",$D$2=0),0,IF(BC$3&lt;0,0,N(INDEX('CURVA PREVISION'!$A$1:$KZ$3000,$C62,11+3*MIN(BC$3,$D$2-1)))))</f>
        <v/>
      </c>
      <c r="BD62" s="130">
        <f>IF(OR($C62="",$B$2="",$D$2=0),0,IF(BD$3&lt;0,0,N(INDEX('CURVA PREVISION'!$A$1:$KZ$3000,$C62,11+3*MIN(BD$3,$D$2-1)))))</f>
        <v/>
      </c>
      <c r="BE62" s="130">
        <f>IF(OR($C62="",$B$2="",$D$2=0),0,IF(BE$3&lt;0,0,N(INDEX('CURVA PREVISION'!$A$1:$KZ$3000,$C62,11+3*MIN(BE$3,$D$2-1)))))</f>
        <v/>
      </c>
      <c r="BF62" s="130">
        <f>IF(OR($C62="",$B$2="",$D$2=0),0,IF(BF$3&lt;0,0,N(INDEX('CURVA PREVISION'!$A$1:$KZ$3000,$C62,11+3*MIN(BF$3,$D$2-1)))))</f>
        <v/>
      </c>
      <c r="BG62" s="130">
        <f>IF(OR($C62="",$B$2="",$D$2=0),0,IF(BG$3&lt;0,0,N(INDEX('CURVA PREVISION'!$A$1:$KZ$3000,$C62,11+3*MIN(BG$3,$D$2-1)))))</f>
        <v/>
      </c>
      <c r="BH62" s="130">
        <f>IF(OR($C62="",$B$2="",$D$2=0),0,IF(BH$3&lt;0,0,N(INDEX('CURVA PREVISION'!$A$1:$KZ$3000,$C62,11+3*MIN(BH$3,$D$2-1)))))</f>
        <v/>
      </c>
      <c r="BI62" s="130">
        <f>IF(OR($C62="",$B$2="",$D$2=0),0,IF(BI$3&lt;0,0,N(INDEX('CURVA PREVISION'!$A$1:$KZ$3000,$C62,11+3*MIN(BI$3,$D$2-1)))))</f>
        <v/>
      </c>
      <c r="BJ62" s="130">
        <f>IF(OR($C62="",$B$2="",$D$2=0),0,IF(BJ$3&lt;0,0,N(INDEX('CURVA PREVISION'!$A$1:$KZ$3000,$C62,11+3*MIN(BJ$3,$D$2-1)))))</f>
        <v/>
      </c>
      <c r="BK62" s="130">
        <f>IF(OR($C62="",$B$2="",$D$2=0),0,IF(BK$3&lt;0,0,N(INDEX('CURVA PREVISION'!$A$1:$KZ$3000,$C62,11+3*MIN(BK$3,$D$2-1)))))</f>
        <v/>
      </c>
      <c r="BL62" s="130">
        <f>IF(OR($C62="",$B$2="",$D$2=0),0,IF(BL$3&lt;0,0,N(INDEX('CURVA PREVISION'!$A$1:$KZ$3000,$C62,11+3*MIN(BL$3,$D$2-1)))))</f>
        <v/>
      </c>
      <c r="BM62" s="130">
        <f>IF(OR($C62="",$B$2="",$D$2=0),0,IF(BM$3&lt;0,0,N(INDEX('CURVA PREVISION'!$A$1:$KZ$3000,$C62,11+3*MIN(BM$3,$D$2-1)))))</f>
        <v/>
      </c>
      <c r="BN62" s="130">
        <f>IF(OR($C62="",$B$2="",$D$2=0),0,IF(BN$3&lt;0,0,N(INDEX('CURVA PREVISION'!$A$1:$KZ$3000,$C62,11+3*MIN(BN$3,$D$2-1)))))</f>
        <v/>
      </c>
      <c r="BO62" s="130">
        <f>IF(OR($C62="",$B$2="",$D$2=0),0,IF(BO$3&lt;0,0,N(INDEX('CURVA PREVISION'!$A$1:$KZ$3000,$C62,11+3*MIN(BO$3,$D$2-1)))))</f>
        <v/>
      </c>
      <c r="BP62" s="130">
        <f>IF(OR($C62="",$B$2="",$D$2=0),0,IF(BP$3&lt;0,0,N(INDEX('CURVA PREVISION'!$A$1:$KZ$3000,$C62,11+3*MIN(BP$3,$D$2-1)))))</f>
        <v/>
      </c>
      <c r="BQ62" s="130">
        <f>IF(OR($C62="",$B$2="",$D$2=0),0,IF(BQ$3&lt;0,0,N(INDEX('CURVA PREVISION'!$A$1:$KZ$3000,$C62,11+3*MIN(BQ$3,$D$2-1)))))</f>
        <v/>
      </c>
      <c r="BR62" s="130">
        <f>IF(OR($C62="",$B$2="",$D$2=0),0,IF(BR$3&lt;0,0,N(INDEX('CURVA PREVISION'!$A$1:$KZ$3000,$C62,11+3*MIN(BR$3,$D$2-1)))))</f>
        <v/>
      </c>
      <c r="BS62" s="130">
        <f>IF(OR($C62="",$B$2="",$D$2=0),0,IF(BS$3&lt;0,0,N(INDEX('CURVA PREVISION'!$A$1:$KZ$3000,$C62,11+3*MIN(BS$3,$D$2-1)))))</f>
        <v/>
      </c>
      <c r="BT62" s="130">
        <f>IF(OR($C62="",$B$2="",$D$2=0),0,IF(BT$3&lt;0,0,N(INDEX('CURVA PREVISION'!$A$1:$KZ$3000,$C62,11+3*MIN(BT$3,$D$2-1)))))</f>
        <v/>
      </c>
      <c r="BU62" s="130">
        <f>IF(OR($C62="",$B$2="",$D$2=0),0,IF(BU$3&lt;0,0,N(INDEX('CURVA PREVISION'!$A$1:$KZ$3000,$C62,11+3*MIN(BU$3,$D$2-1)))))</f>
        <v/>
      </c>
      <c r="BV62" s="130">
        <f>IF(OR($C62="",$B$2="",$D$2=0),0,IF(BV$3&lt;0,0,N(INDEX('CURVA PREVISION'!$A$1:$KZ$3000,$C62,11+3*MIN(BV$3,$D$2-1)))))</f>
        <v/>
      </c>
      <c r="BW62" s="130">
        <f>IF(OR($C62="",$B$2="",$D$2=0),0,IF(BW$3&lt;0,0,N(INDEX('CURVA PREVISION'!$A$1:$KZ$3000,$C62,11+3*MIN(BW$3,$D$2-1)))))</f>
        <v/>
      </c>
    </row>
    <row r="63">
      <c r="A63" s="61">
        <f>IF('VALOR POR PL'!Q27="",'VALOR POR PL'!C27,'VALOR POR PL'!Q27)</f>
        <v/>
      </c>
      <c r="B63" s="51">
        <f>B21</f>
        <v/>
      </c>
      <c r="C63" s="70">
        <f>IFERROR(MATCH(A63,'CURVA PREVISION'!$B$1:$B$3000,0),"")</f>
        <v/>
      </c>
      <c r="D63" s="130">
        <f>IF(OR($C63="",$B$2="",$D$2=0),0,IF(D$3&lt;0,0,N(INDEX('CURVA PREVISION'!$A$1:$KZ$3000,$C63,11+3*MIN(D$3,$D$2-1)))))</f>
        <v/>
      </c>
      <c r="E63" s="130">
        <f>IF(OR($C63="",$B$2="",$D$2=0),0,IF(E$3&lt;0,0,N(INDEX('CURVA PREVISION'!$A$1:$KZ$3000,$C63,11+3*MIN(E$3,$D$2-1)))))</f>
        <v/>
      </c>
      <c r="F63" s="130">
        <f>IF(OR($C63="",$B$2="",$D$2=0),0,IF(F$3&lt;0,0,N(INDEX('CURVA PREVISION'!$A$1:$KZ$3000,$C63,11+3*MIN(F$3,$D$2-1)))))</f>
        <v/>
      </c>
      <c r="G63" s="130">
        <f>IF(OR($C63="",$B$2="",$D$2=0),0,IF(G$3&lt;0,0,N(INDEX('CURVA PREVISION'!$A$1:$KZ$3000,$C63,11+3*MIN(G$3,$D$2-1)))))</f>
        <v/>
      </c>
      <c r="H63" s="130">
        <f>IF(OR($C63="",$B$2="",$D$2=0),0,IF(H$3&lt;0,0,N(INDEX('CURVA PREVISION'!$A$1:$KZ$3000,$C63,11+3*MIN(H$3,$D$2-1)))))</f>
        <v/>
      </c>
      <c r="I63" s="130">
        <f>IF(OR($C63="",$B$2="",$D$2=0),0,IF(I$3&lt;0,0,N(INDEX('CURVA PREVISION'!$A$1:$KZ$3000,$C63,11+3*MIN(I$3,$D$2-1)))))</f>
        <v/>
      </c>
      <c r="J63" s="130">
        <f>IF(OR($C63="",$B$2="",$D$2=0),0,IF(J$3&lt;0,0,N(INDEX('CURVA PREVISION'!$A$1:$KZ$3000,$C63,11+3*MIN(J$3,$D$2-1)))))</f>
        <v/>
      </c>
      <c r="K63" s="130">
        <f>IF(OR($C63="",$B$2="",$D$2=0),0,IF(K$3&lt;0,0,N(INDEX('CURVA PREVISION'!$A$1:$KZ$3000,$C63,11+3*MIN(K$3,$D$2-1)))))</f>
        <v/>
      </c>
      <c r="L63" s="130">
        <f>IF(OR($C63="",$B$2="",$D$2=0),0,IF(L$3&lt;0,0,N(INDEX('CURVA PREVISION'!$A$1:$KZ$3000,$C63,11+3*MIN(L$3,$D$2-1)))))</f>
        <v/>
      </c>
      <c r="M63" s="130">
        <f>IF(OR($C63="",$B$2="",$D$2=0),0,IF(M$3&lt;0,0,N(INDEX('CURVA PREVISION'!$A$1:$KZ$3000,$C63,11+3*MIN(M$3,$D$2-1)))))</f>
        <v/>
      </c>
      <c r="N63" s="130">
        <f>IF(OR($C63="",$B$2="",$D$2=0),0,IF(N$3&lt;0,0,N(INDEX('CURVA PREVISION'!$A$1:$KZ$3000,$C63,11+3*MIN(N$3,$D$2-1)))))</f>
        <v/>
      </c>
      <c r="O63" s="130">
        <f>IF(OR($C63="",$B$2="",$D$2=0),0,IF(O$3&lt;0,0,N(INDEX('CURVA PREVISION'!$A$1:$KZ$3000,$C63,11+3*MIN(O$3,$D$2-1)))))</f>
        <v/>
      </c>
      <c r="P63" s="130">
        <f>IF(OR($C63="",$B$2="",$D$2=0),0,IF(P$3&lt;0,0,N(INDEX('CURVA PREVISION'!$A$1:$KZ$3000,$C63,11+3*MIN(P$3,$D$2-1)))))</f>
        <v/>
      </c>
      <c r="Q63" s="130">
        <f>IF(OR($C63="",$B$2="",$D$2=0),0,IF(Q$3&lt;0,0,N(INDEX('CURVA PREVISION'!$A$1:$KZ$3000,$C63,11+3*MIN(Q$3,$D$2-1)))))</f>
        <v/>
      </c>
      <c r="R63" s="130">
        <f>IF(OR($C63="",$B$2="",$D$2=0),0,IF(R$3&lt;0,0,N(INDEX('CURVA PREVISION'!$A$1:$KZ$3000,$C63,11+3*MIN(R$3,$D$2-1)))))</f>
        <v/>
      </c>
      <c r="S63" s="130">
        <f>IF(OR($C63="",$B$2="",$D$2=0),0,IF(S$3&lt;0,0,N(INDEX('CURVA PREVISION'!$A$1:$KZ$3000,$C63,11+3*MIN(S$3,$D$2-1)))))</f>
        <v/>
      </c>
      <c r="T63" s="130">
        <f>IF(OR($C63="",$B$2="",$D$2=0),0,IF(T$3&lt;0,0,N(INDEX('CURVA PREVISION'!$A$1:$KZ$3000,$C63,11+3*MIN(T$3,$D$2-1)))))</f>
        <v/>
      </c>
      <c r="U63" s="130">
        <f>IF(OR($C63="",$B$2="",$D$2=0),0,IF(U$3&lt;0,0,N(INDEX('CURVA PREVISION'!$A$1:$KZ$3000,$C63,11+3*MIN(U$3,$D$2-1)))))</f>
        <v/>
      </c>
      <c r="V63" s="130">
        <f>IF(OR($C63="",$B$2="",$D$2=0),0,IF(V$3&lt;0,0,N(INDEX('CURVA PREVISION'!$A$1:$KZ$3000,$C63,11+3*MIN(V$3,$D$2-1)))))</f>
        <v/>
      </c>
      <c r="W63" s="130">
        <f>IF(OR($C63="",$B$2="",$D$2=0),0,IF(W$3&lt;0,0,N(INDEX('CURVA PREVISION'!$A$1:$KZ$3000,$C63,11+3*MIN(W$3,$D$2-1)))))</f>
        <v/>
      </c>
      <c r="X63" s="130">
        <f>IF(OR($C63="",$B$2="",$D$2=0),0,IF(X$3&lt;0,0,N(INDEX('CURVA PREVISION'!$A$1:$KZ$3000,$C63,11+3*MIN(X$3,$D$2-1)))))</f>
        <v/>
      </c>
      <c r="Y63" s="130">
        <f>IF(OR($C63="",$B$2="",$D$2=0),0,IF(Y$3&lt;0,0,N(INDEX('CURVA PREVISION'!$A$1:$KZ$3000,$C63,11+3*MIN(Y$3,$D$2-1)))))</f>
        <v/>
      </c>
      <c r="Z63" s="130">
        <f>IF(OR($C63="",$B$2="",$D$2=0),0,IF(Z$3&lt;0,0,N(INDEX('CURVA PREVISION'!$A$1:$KZ$3000,$C63,11+3*MIN(Z$3,$D$2-1)))))</f>
        <v/>
      </c>
      <c r="AA63" s="130">
        <f>IF(OR($C63="",$B$2="",$D$2=0),0,IF(AA$3&lt;0,0,N(INDEX('CURVA PREVISION'!$A$1:$KZ$3000,$C63,11+3*MIN(AA$3,$D$2-1)))))</f>
        <v/>
      </c>
      <c r="AB63" s="130">
        <f>IF(OR($C63="",$B$2="",$D$2=0),0,IF(AB$3&lt;0,0,N(INDEX('CURVA PREVISION'!$A$1:$KZ$3000,$C63,11+3*MIN(AB$3,$D$2-1)))))</f>
        <v/>
      </c>
      <c r="AC63" s="130">
        <f>IF(OR($C63="",$B$2="",$D$2=0),0,IF(AC$3&lt;0,0,N(INDEX('CURVA PREVISION'!$A$1:$KZ$3000,$C63,11+3*MIN(AC$3,$D$2-1)))))</f>
        <v/>
      </c>
      <c r="AD63" s="130">
        <f>IF(OR($C63="",$B$2="",$D$2=0),0,IF(AD$3&lt;0,0,N(INDEX('CURVA PREVISION'!$A$1:$KZ$3000,$C63,11+3*MIN(AD$3,$D$2-1)))))</f>
        <v/>
      </c>
      <c r="AE63" s="130">
        <f>IF(OR($C63="",$B$2="",$D$2=0),0,IF(AE$3&lt;0,0,N(INDEX('CURVA PREVISION'!$A$1:$KZ$3000,$C63,11+3*MIN(AE$3,$D$2-1)))))</f>
        <v/>
      </c>
      <c r="AF63" s="130">
        <f>IF(OR($C63="",$B$2="",$D$2=0),0,IF(AF$3&lt;0,0,N(INDEX('CURVA PREVISION'!$A$1:$KZ$3000,$C63,11+3*MIN(AF$3,$D$2-1)))))</f>
        <v/>
      </c>
      <c r="AG63" s="130">
        <f>IF(OR($C63="",$B$2="",$D$2=0),0,IF(AG$3&lt;0,0,N(INDEX('CURVA PREVISION'!$A$1:$KZ$3000,$C63,11+3*MIN(AG$3,$D$2-1)))))</f>
        <v/>
      </c>
      <c r="AH63" s="130">
        <f>IF(OR($C63="",$B$2="",$D$2=0),0,IF(AH$3&lt;0,0,N(INDEX('CURVA PREVISION'!$A$1:$KZ$3000,$C63,11+3*MIN(AH$3,$D$2-1)))))</f>
        <v/>
      </c>
      <c r="AI63" s="130">
        <f>IF(OR($C63="",$B$2="",$D$2=0),0,IF(AI$3&lt;0,0,N(INDEX('CURVA PREVISION'!$A$1:$KZ$3000,$C63,11+3*MIN(AI$3,$D$2-1)))))</f>
        <v/>
      </c>
      <c r="AJ63" s="130">
        <f>IF(OR($C63="",$B$2="",$D$2=0),0,IF(AJ$3&lt;0,0,N(INDEX('CURVA PREVISION'!$A$1:$KZ$3000,$C63,11+3*MIN(AJ$3,$D$2-1)))))</f>
        <v/>
      </c>
      <c r="AK63" s="130">
        <f>IF(OR($C63="",$B$2="",$D$2=0),0,IF(AK$3&lt;0,0,N(INDEX('CURVA PREVISION'!$A$1:$KZ$3000,$C63,11+3*MIN(AK$3,$D$2-1)))))</f>
        <v/>
      </c>
      <c r="AL63" s="130">
        <f>IF(OR($C63="",$B$2="",$D$2=0),0,IF(AL$3&lt;0,0,N(INDEX('CURVA PREVISION'!$A$1:$KZ$3000,$C63,11+3*MIN(AL$3,$D$2-1)))))</f>
        <v/>
      </c>
      <c r="AM63" s="130">
        <f>IF(OR($C63="",$B$2="",$D$2=0),0,IF(AM$3&lt;0,0,N(INDEX('CURVA PREVISION'!$A$1:$KZ$3000,$C63,11+3*MIN(AM$3,$D$2-1)))))</f>
        <v/>
      </c>
      <c r="AN63" s="130">
        <f>IF(OR($C63="",$B$2="",$D$2=0),0,IF(AN$3&lt;0,0,N(INDEX('CURVA PREVISION'!$A$1:$KZ$3000,$C63,11+3*MIN(AN$3,$D$2-1)))))</f>
        <v/>
      </c>
      <c r="AO63" s="130">
        <f>IF(OR($C63="",$B$2="",$D$2=0),0,IF(AO$3&lt;0,0,N(INDEX('CURVA PREVISION'!$A$1:$KZ$3000,$C63,11+3*MIN(AO$3,$D$2-1)))))</f>
        <v/>
      </c>
      <c r="AP63" s="130">
        <f>IF(OR($C63="",$B$2="",$D$2=0),0,IF(AP$3&lt;0,0,N(INDEX('CURVA PREVISION'!$A$1:$KZ$3000,$C63,11+3*MIN(AP$3,$D$2-1)))))</f>
        <v/>
      </c>
      <c r="AQ63" s="130">
        <f>IF(OR($C63="",$B$2="",$D$2=0),0,IF(AQ$3&lt;0,0,N(INDEX('CURVA PREVISION'!$A$1:$KZ$3000,$C63,11+3*MIN(AQ$3,$D$2-1)))))</f>
        <v/>
      </c>
      <c r="AR63" s="130">
        <f>IF(OR($C63="",$B$2="",$D$2=0),0,IF(AR$3&lt;0,0,N(INDEX('CURVA PREVISION'!$A$1:$KZ$3000,$C63,11+3*MIN(AR$3,$D$2-1)))))</f>
        <v/>
      </c>
      <c r="AS63" s="130">
        <f>IF(OR($C63="",$B$2="",$D$2=0),0,IF(AS$3&lt;0,0,N(INDEX('CURVA PREVISION'!$A$1:$KZ$3000,$C63,11+3*MIN(AS$3,$D$2-1)))))</f>
        <v/>
      </c>
      <c r="AT63" s="130">
        <f>IF(OR($C63="",$B$2="",$D$2=0),0,IF(AT$3&lt;0,0,N(INDEX('CURVA PREVISION'!$A$1:$KZ$3000,$C63,11+3*MIN(AT$3,$D$2-1)))))</f>
        <v/>
      </c>
      <c r="AU63" s="130">
        <f>IF(OR($C63="",$B$2="",$D$2=0),0,IF(AU$3&lt;0,0,N(INDEX('CURVA PREVISION'!$A$1:$KZ$3000,$C63,11+3*MIN(AU$3,$D$2-1)))))</f>
        <v/>
      </c>
      <c r="AV63" s="130">
        <f>IF(OR($C63="",$B$2="",$D$2=0),0,IF(AV$3&lt;0,0,N(INDEX('CURVA PREVISION'!$A$1:$KZ$3000,$C63,11+3*MIN(AV$3,$D$2-1)))))</f>
        <v/>
      </c>
      <c r="AW63" s="130">
        <f>IF(OR($C63="",$B$2="",$D$2=0),0,IF(AW$3&lt;0,0,N(INDEX('CURVA PREVISION'!$A$1:$KZ$3000,$C63,11+3*MIN(AW$3,$D$2-1)))))</f>
        <v/>
      </c>
      <c r="AX63" s="130">
        <f>IF(OR($C63="",$B$2="",$D$2=0),0,IF(AX$3&lt;0,0,N(INDEX('CURVA PREVISION'!$A$1:$KZ$3000,$C63,11+3*MIN(AX$3,$D$2-1)))))</f>
        <v/>
      </c>
      <c r="AY63" s="130">
        <f>IF(OR($C63="",$B$2="",$D$2=0),0,IF(AY$3&lt;0,0,N(INDEX('CURVA PREVISION'!$A$1:$KZ$3000,$C63,11+3*MIN(AY$3,$D$2-1)))))</f>
        <v/>
      </c>
      <c r="AZ63" s="130">
        <f>IF(OR($C63="",$B$2="",$D$2=0),0,IF(AZ$3&lt;0,0,N(INDEX('CURVA PREVISION'!$A$1:$KZ$3000,$C63,11+3*MIN(AZ$3,$D$2-1)))))</f>
        <v/>
      </c>
      <c r="BA63" s="130">
        <f>IF(OR($C63="",$B$2="",$D$2=0),0,IF(BA$3&lt;0,0,N(INDEX('CURVA PREVISION'!$A$1:$KZ$3000,$C63,11+3*MIN(BA$3,$D$2-1)))))</f>
        <v/>
      </c>
      <c r="BB63" s="130">
        <f>IF(OR($C63="",$B$2="",$D$2=0),0,IF(BB$3&lt;0,0,N(INDEX('CURVA PREVISION'!$A$1:$KZ$3000,$C63,11+3*MIN(BB$3,$D$2-1)))))</f>
        <v/>
      </c>
      <c r="BC63" s="130">
        <f>IF(OR($C63="",$B$2="",$D$2=0),0,IF(BC$3&lt;0,0,N(INDEX('CURVA PREVISION'!$A$1:$KZ$3000,$C63,11+3*MIN(BC$3,$D$2-1)))))</f>
        <v/>
      </c>
      <c r="BD63" s="130">
        <f>IF(OR($C63="",$B$2="",$D$2=0),0,IF(BD$3&lt;0,0,N(INDEX('CURVA PREVISION'!$A$1:$KZ$3000,$C63,11+3*MIN(BD$3,$D$2-1)))))</f>
        <v/>
      </c>
      <c r="BE63" s="130">
        <f>IF(OR($C63="",$B$2="",$D$2=0),0,IF(BE$3&lt;0,0,N(INDEX('CURVA PREVISION'!$A$1:$KZ$3000,$C63,11+3*MIN(BE$3,$D$2-1)))))</f>
        <v/>
      </c>
      <c r="BF63" s="130">
        <f>IF(OR($C63="",$B$2="",$D$2=0),0,IF(BF$3&lt;0,0,N(INDEX('CURVA PREVISION'!$A$1:$KZ$3000,$C63,11+3*MIN(BF$3,$D$2-1)))))</f>
        <v/>
      </c>
      <c r="BG63" s="130">
        <f>IF(OR($C63="",$B$2="",$D$2=0),0,IF(BG$3&lt;0,0,N(INDEX('CURVA PREVISION'!$A$1:$KZ$3000,$C63,11+3*MIN(BG$3,$D$2-1)))))</f>
        <v/>
      </c>
      <c r="BH63" s="130">
        <f>IF(OR($C63="",$B$2="",$D$2=0),0,IF(BH$3&lt;0,0,N(INDEX('CURVA PREVISION'!$A$1:$KZ$3000,$C63,11+3*MIN(BH$3,$D$2-1)))))</f>
        <v/>
      </c>
      <c r="BI63" s="130">
        <f>IF(OR($C63="",$B$2="",$D$2=0),0,IF(BI$3&lt;0,0,N(INDEX('CURVA PREVISION'!$A$1:$KZ$3000,$C63,11+3*MIN(BI$3,$D$2-1)))))</f>
        <v/>
      </c>
      <c r="BJ63" s="130">
        <f>IF(OR($C63="",$B$2="",$D$2=0),0,IF(BJ$3&lt;0,0,N(INDEX('CURVA PREVISION'!$A$1:$KZ$3000,$C63,11+3*MIN(BJ$3,$D$2-1)))))</f>
        <v/>
      </c>
      <c r="BK63" s="130">
        <f>IF(OR($C63="",$B$2="",$D$2=0),0,IF(BK$3&lt;0,0,N(INDEX('CURVA PREVISION'!$A$1:$KZ$3000,$C63,11+3*MIN(BK$3,$D$2-1)))))</f>
        <v/>
      </c>
      <c r="BL63" s="130">
        <f>IF(OR($C63="",$B$2="",$D$2=0),0,IF(BL$3&lt;0,0,N(INDEX('CURVA PREVISION'!$A$1:$KZ$3000,$C63,11+3*MIN(BL$3,$D$2-1)))))</f>
        <v/>
      </c>
      <c r="BM63" s="130">
        <f>IF(OR($C63="",$B$2="",$D$2=0),0,IF(BM$3&lt;0,0,N(INDEX('CURVA PREVISION'!$A$1:$KZ$3000,$C63,11+3*MIN(BM$3,$D$2-1)))))</f>
        <v/>
      </c>
      <c r="BN63" s="130">
        <f>IF(OR($C63="",$B$2="",$D$2=0),0,IF(BN$3&lt;0,0,N(INDEX('CURVA PREVISION'!$A$1:$KZ$3000,$C63,11+3*MIN(BN$3,$D$2-1)))))</f>
        <v/>
      </c>
      <c r="BO63" s="130">
        <f>IF(OR($C63="",$B$2="",$D$2=0),0,IF(BO$3&lt;0,0,N(INDEX('CURVA PREVISION'!$A$1:$KZ$3000,$C63,11+3*MIN(BO$3,$D$2-1)))))</f>
        <v/>
      </c>
      <c r="BP63" s="130">
        <f>IF(OR($C63="",$B$2="",$D$2=0),0,IF(BP$3&lt;0,0,N(INDEX('CURVA PREVISION'!$A$1:$KZ$3000,$C63,11+3*MIN(BP$3,$D$2-1)))))</f>
        <v/>
      </c>
      <c r="BQ63" s="130">
        <f>IF(OR($C63="",$B$2="",$D$2=0),0,IF(BQ$3&lt;0,0,N(INDEX('CURVA PREVISION'!$A$1:$KZ$3000,$C63,11+3*MIN(BQ$3,$D$2-1)))))</f>
        <v/>
      </c>
      <c r="BR63" s="130">
        <f>IF(OR($C63="",$B$2="",$D$2=0),0,IF(BR$3&lt;0,0,N(INDEX('CURVA PREVISION'!$A$1:$KZ$3000,$C63,11+3*MIN(BR$3,$D$2-1)))))</f>
        <v/>
      </c>
      <c r="BS63" s="130">
        <f>IF(OR($C63="",$B$2="",$D$2=0),0,IF(BS$3&lt;0,0,N(INDEX('CURVA PREVISION'!$A$1:$KZ$3000,$C63,11+3*MIN(BS$3,$D$2-1)))))</f>
        <v/>
      </c>
      <c r="BT63" s="130">
        <f>IF(OR($C63="",$B$2="",$D$2=0),0,IF(BT$3&lt;0,0,N(INDEX('CURVA PREVISION'!$A$1:$KZ$3000,$C63,11+3*MIN(BT$3,$D$2-1)))))</f>
        <v/>
      </c>
      <c r="BU63" s="130">
        <f>IF(OR($C63="",$B$2="",$D$2=0),0,IF(BU$3&lt;0,0,N(INDEX('CURVA PREVISION'!$A$1:$KZ$3000,$C63,11+3*MIN(BU$3,$D$2-1)))))</f>
        <v/>
      </c>
      <c r="BV63" s="130">
        <f>IF(OR($C63="",$B$2="",$D$2=0),0,IF(BV$3&lt;0,0,N(INDEX('CURVA PREVISION'!$A$1:$KZ$3000,$C63,11+3*MIN(BV$3,$D$2-1)))))</f>
        <v/>
      </c>
      <c r="BW63" s="130">
        <f>IF(OR($C63="",$B$2="",$D$2=0),0,IF(BW$3&lt;0,0,N(INDEX('CURVA PREVISION'!$A$1:$KZ$3000,$C63,11+3*MIN(BW$3,$D$2-1)))))</f>
        <v/>
      </c>
    </row>
    <row r="64">
      <c r="A64" s="61">
        <f>IF('VALOR POR PL'!Q28="",'VALOR POR PL'!C28,'VALOR POR PL'!Q28)</f>
        <v/>
      </c>
      <c r="B64" s="51">
        <f>B22</f>
        <v/>
      </c>
      <c r="C64" s="70">
        <f>IFERROR(MATCH(A64,'CURVA PREVISION'!$B$1:$B$3000,0),"")</f>
        <v/>
      </c>
      <c r="D64" s="130">
        <f>IF(OR($C64="",$B$2="",$D$2=0),0,IF(D$3&lt;0,0,N(INDEX('CURVA PREVISION'!$A$1:$KZ$3000,$C64,11+3*MIN(D$3,$D$2-1)))))</f>
        <v/>
      </c>
      <c r="E64" s="130">
        <f>IF(OR($C64="",$B$2="",$D$2=0),0,IF(E$3&lt;0,0,N(INDEX('CURVA PREVISION'!$A$1:$KZ$3000,$C64,11+3*MIN(E$3,$D$2-1)))))</f>
        <v/>
      </c>
      <c r="F64" s="130">
        <f>IF(OR($C64="",$B$2="",$D$2=0),0,IF(F$3&lt;0,0,N(INDEX('CURVA PREVISION'!$A$1:$KZ$3000,$C64,11+3*MIN(F$3,$D$2-1)))))</f>
        <v/>
      </c>
      <c r="G64" s="130">
        <f>IF(OR($C64="",$B$2="",$D$2=0),0,IF(G$3&lt;0,0,N(INDEX('CURVA PREVISION'!$A$1:$KZ$3000,$C64,11+3*MIN(G$3,$D$2-1)))))</f>
        <v/>
      </c>
      <c r="H64" s="130">
        <f>IF(OR($C64="",$B$2="",$D$2=0),0,IF(H$3&lt;0,0,N(INDEX('CURVA PREVISION'!$A$1:$KZ$3000,$C64,11+3*MIN(H$3,$D$2-1)))))</f>
        <v/>
      </c>
      <c r="I64" s="130">
        <f>IF(OR($C64="",$B$2="",$D$2=0),0,IF(I$3&lt;0,0,N(INDEX('CURVA PREVISION'!$A$1:$KZ$3000,$C64,11+3*MIN(I$3,$D$2-1)))))</f>
        <v/>
      </c>
      <c r="J64" s="130">
        <f>IF(OR($C64="",$B$2="",$D$2=0),0,IF(J$3&lt;0,0,N(INDEX('CURVA PREVISION'!$A$1:$KZ$3000,$C64,11+3*MIN(J$3,$D$2-1)))))</f>
        <v/>
      </c>
      <c r="K64" s="130">
        <f>IF(OR($C64="",$B$2="",$D$2=0),0,IF(K$3&lt;0,0,N(INDEX('CURVA PREVISION'!$A$1:$KZ$3000,$C64,11+3*MIN(K$3,$D$2-1)))))</f>
        <v/>
      </c>
      <c r="L64" s="130">
        <f>IF(OR($C64="",$B$2="",$D$2=0),0,IF(L$3&lt;0,0,N(INDEX('CURVA PREVISION'!$A$1:$KZ$3000,$C64,11+3*MIN(L$3,$D$2-1)))))</f>
        <v/>
      </c>
      <c r="M64" s="130">
        <f>IF(OR($C64="",$B$2="",$D$2=0),0,IF(M$3&lt;0,0,N(INDEX('CURVA PREVISION'!$A$1:$KZ$3000,$C64,11+3*MIN(M$3,$D$2-1)))))</f>
        <v/>
      </c>
      <c r="N64" s="130">
        <f>IF(OR($C64="",$B$2="",$D$2=0),0,IF(N$3&lt;0,0,N(INDEX('CURVA PREVISION'!$A$1:$KZ$3000,$C64,11+3*MIN(N$3,$D$2-1)))))</f>
        <v/>
      </c>
      <c r="O64" s="130">
        <f>IF(OR($C64="",$B$2="",$D$2=0),0,IF(O$3&lt;0,0,N(INDEX('CURVA PREVISION'!$A$1:$KZ$3000,$C64,11+3*MIN(O$3,$D$2-1)))))</f>
        <v/>
      </c>
      <c r="P64" s="130">
        <f>IF(OR($C64="",$B$2="",$D$2=0),0,IF(P$3&lt;0,0,N(INDEX('CURVA PREVISION'!$A$1:$KZ$3000,$C64,11+3*MIN(P$3,$D$2-1)))))</f>
        <v/>
      </c>
      <c r="Q64" s="130">
        <f>IF(OR($C64="",$B$2="",$D$2=0),0,IF(Q$3&lt;0,0,N(INDEX('CURVA PREVISION'!$A$1:$KZ$3000,$C64,11+3*MIN(Q$3,$D$2-1)))))</f>
        <v/>
      </c>
      <c r="R64" s="130">
        <f>IF(OR($C64="",$B$2="",$D$2=0),0,IF(R$3&lt;0,0,N(INDEX('CURVA PREVISION'!$A$1:$KZ$3000,$C64,11+3*MIN(R$3,$D$2-1)))))</f>
        <v/>
      </c>
      <c r="S64" s="130">
        <f>IF(OR($C64="",$B$2="",$D$2=0),0,IF(S$3&lt;0,0,N(INDEX('CURVA PREVISION'!$A$1:$KZ$3000,$C64,11+3*MIN(S$3,$D$2-1)))))</f>
        <v/>
      </c>
      <c r="T64" s="130">
        <f>IF(OR($C64="",$B$2="",$D$2=0),0,IF(T$3&lt;0,0,N(INDEX('CURVA PREVISION'!$A$1:$KZ$3000,$C64,11+3*MIN(T$3,$D$2-1)))))</f>
        <v/>
      </c>
      <c r="U64" s="130">
        <f>IF(OR($C64="",$B$2="",$D$2=0),0,IF(U$3&lt;0,0,N(INDEX('CURVA PREVISION'!$A$1:$KZ$3000,$C64,11+3*MIN(U$3,$D$2-1)))))</f>
        <v/>
      </c>
      <c r="V64" s="130">
        <f>IF(OR($C64="",$B$2="",$D$2=0),0,IF(V$3&lt;0,0,N(INDEX('CURVA PREVISION'!$A$1:$KZ$3000,$C64,11+3*MIN(V$3,$D$2-1)))))</f>
        <v/>
      </c>
      <c r="W64" s="130">
        <f>IF(OR($C64="",$B$2="",$D$2=0),0,IF(W$3&lt;0,0,N(INDEX('CURVA PREVISION'!$A$1:$KZ$3000,$C64,11+3*MIN(W$3,$D$2-1)))))</f>
        <v/>
      </c>
      <c r="X64" s="130">
        <f>IF(OR($C64="",$B$2="",$D$2=0),0,IF(X$3&lt;0,0,N(INDEX('CURVA PREVISION'!$A$1:$KZ$3000,$C64,11+3*MIN(X$3,$D$2-1)))))</f>
        <v/>
      </c>
      <c r="Y64" s="130">
        <f>IF(OR($C64="",$B$2="",$D$2=0),0,IF(Y$3&lt;0,0,N(INDEX('CURVA PREVISION'!$A$1:$KZ$3000,$C64,11+3*MIN(Y$3,$D$2-1)))))</f>
        <v/>
      </c>
      <c r="Z64" s="130">
        <f>IF(OR($C64="",$B$2="",$D$2=0),0,IF(Z$3&lt;0,0,N(INDEX('CURVA PREVISION'!$A$1:$KZ$3000,$C64,11+3*MIN(Z$3,$D$2-1)))))</f>
        <v/>
      </c>
      <c r="AA64" s="130">
        <f>IF(OR($C64="",$B$2="",$D$2=0),0,IF(AA$3&lt;0,0,N(INDEX('CURVA PREVISION'!$A$1:$KZ$3000,$C64,11+3*MIN(AA$3,$D$2-1)))))</f>
        <v/>
      </c>
      <c r="AB64" s="130">
        <f>IF(OR($C64="",$B$2="",$D$2=0),0,IF(AB$3&lt;0,0,N(INDEX('CURVA PREVISION'!$A$1:$KZ$3000,$C64,11+3*MIN(AB$3,$D$2-1)))))</f>
        <v/>
      </c>
      <c r="AC64" s="130">
        <f>IF(OR($C64="",$B$2="",$D$2=0),0,IF(AC$3&lt;0,0,N(INDEX('CURVA PREVISION'!$A$1:$KZ$3000,$C64,11+3*MIN(AC$3,$D$2-1)))))</f>
        <v/>
      </c>
      <c r="AD64" s="130">
        <f>IF(OR($C64="",$B$2="",$D$2=0),0,IF(AD$3&lt;0,0,N(INDEX('CURVA PREVISION'!$A$1:$KZ$3000,$C64,11+3*MIN(AD$3,$D$2-1)))))</f>
        <v/>
      </c>
      <c r="AE64" s="130">
        <f>IF(OR($C64="",$B$2="",$D$2=0),0,IF(AE$3&lt;0,0,N(INDEX('CURVA PREVISION'!$A$1:$KZ$3000,$C64,11+3*MIN(AE$3,$D$2-1)))))</f>
        <v/>
      </c>
      <c r="AF64" s="130">
        <f>IF(OR($C64="",$B$2="",$D$2=0),0,IF(AF$3&lt;0,0,N(INDEX('CURVA PREVISION'!$A$1:$KZ$3000,$C64,11+3*MIN(AF$3,$D$2-1)))))</f>
        <v/>
      </c>
      <c r="AG64" s="130">
        <f>IF(OR($C64="",$B$2="",$D$2=0),0,IF(AG$3&lt;0,0,N(INDEX('CURVA PREVISION'!$A$1:$KZ$3000,$C64,11+3*MIN(AG$3,$D$2-1)))))</f>
        <v/>
      </c>
      <c r="AH64" s="130">
        <f>IF(OR($C64="",$B$2="",$D$2=0),0,IF(AH$3&lt;0,0,N(INDEX('CURVA PREVISION'!$A$1:$KZ$3000,$C64,11+3*MIN(AH$3,$D$2-1)))))</f>
        <v/>
      </c>
      <c r="AI64" s="130">
        <f>IF(OR($C64="",$B$2="",$D$2=0),0,IF(AI$3&lt;0,0,N(INDEX('CURVA PREVISION'!$A$1:$KZ$3000,$C64,11+3*MIN(AI$3,$D$2-1)))))</f>
        <v/>
      </c>
      <c r="AJ64" s="130">
        <f>IF(OR($C64="",$B$2="",$D$2=0),0,IF(AJ$3&lt;0,0,N(INDEX('CURVA PREVISION'!$A$1:$KZ$3000,$C64,11+3*MIN(AJ$3,$D$2-1)))))</f>
        <v/>
      </c>
      <c r="AK64" s="130">
        <f>IF(OR($C64="",$B$2="",$D$2=0),0,IF(AK$3&lt;0,0,N(INDEX('CURVA PREVISION'!$A$1:$KZ$3000,$C64,11+3*MIN(AK$3,$D$2-1)))))</f>
        <v/>
      </c>
      <c r="AL64" s="130">
        <f>IF(OR($C64="",$B$2="",$D$2=0),0,IF(AL$3&lt;0,0,N(INDEX('CURVA PREVISION'!$A$1:$KZ$3000,$C64,11+3*MIN(AL$3,$D$2-1)))))</f>
        <v/>
      </c>
      <c r="AM64" s="130">
        <f>IF(OR($C64="",$B$2="",$D$2=0),0,IF(AM$3&lt;0,0,N(INDEX('CURVA PREVISION'!$A$1:$KZ$3000,$C64,11+3*MIN(AM$3,$D$2-1)))))</f>
        <v/>
      </c>
      <c r="AN64" s="130">
        <f>IF(OR($C64="",$B$2="",$D$2=0),0,IF(AN$3&lt;0,0,N(INDEX('CURVA PREVISION'!$A$1:$KZ$3000,$C64,11+3*MIN(AN$3,$D$2-1)))))</f>
        <v/>
      </c>
      <c r="AO64" s="130">
        <f>IF(OR($C64="",$B$2="",$D$2=0),0,IF(AO$3&lt;0,0,N(INDEX('CURVA PREVISION'!$A$1:$KZ$3000,$C64,11+3*MIN(AO$3,$D$2-1)))))</f>
        <v/>
      </c>
      <c r="AP64" s="130">
        <f>IF(OR($C64="",$B$2="",$D$2=0),0,IF(AP$3&lt;0,0,N(INDEX('CURVA PREVISION'!$A$1:$KZ$3000,$C64,11+3*MIN(AP$3,$D$2-1)))))</f>
        <v/>
      </c>
      <c r="AQ64" s="130">
        <f>IF(OR($C64="",$B$2="",$D$2=0),0,IF(AQ$3&lt;0,0,N(INDEX('CURVA PREVISION'!$A$1:$KZ$3000,$C64,11+3*MIN(AQ$3,$D$2-1)))))</f>
        <v/>
      </c>
      <c r="AR64" s="130">
        <f>IF(OR($C64="",$B$2="",$D$2=0),0,IF(AR$3&lt;0,0,N(INDEX('CURVA PREVISION'!$A$1:$KZ$3000,$C64,11+3*MIN(AR$3,$D$2-1)))))</f>
        <v/>
      </c>
      <c r="AS64" s="130">
        <f>IF(OR($C64="",$B$2="",$D$2=0),0,IF(AS$3&lt;0,0,N(INDEX('CURVA PREVISION'!$A$1:$KZ$3000,$C64,11+3*MIN(AS$3,$D$2-1)))))</f>
        <v/>
      </c>
      <c r="AT64" s="130">
        <f>IF(OR($C64="",$B$2="",$D$2=0),0,IF(AT$3&lt;0,0,N(INDEX('CURVA PREVISION'!$A$1:$KZ$3000,$C64,11+3*MIN(AT$3,$D$2-1)))))</f>
        <v/>
      </c>
      <c r="AU64" s="130">
        <f>IF(OR($C64="",$B$2="",$D$2=0),0,IF(AU$3&lt;0,0,N(INDEX('CURVA PREVISION'!$A$1:$KZ$3000,$C64,11+3*MIN(AU$3,$D$2-1)))))</f>
        <v/>
      </c>
      <c r="AV64" s="130">
        <f>IF(OR($C64="",$B$2="",$D$2=0),0,IF(AV$3&lt;0,0,N(INDEX('CURVA PREVISION'!$A$1:$KZ$3000,$C64,11+3*MIN(AV$3,$D$2-1)))))</f>
        <v/>
      </c>
      <c r="AW64" s="130">
        <f>IF(OR($C64="",$B$2="",$D$2=0),0,IF(AW$3&lt;0,0,N(INDEX('CURVA PREVISION'!$A$1:$KZ$3000,$C64,11+3*MIN(AW$3,$D$2-1)))))</f>
        <v/>
      </c>
      <c r="AX64" s="130">
        <f>IF(OR($C64="",$B$2="",$D$2=0),0,IF(AX$3&lt;0,0,N(INDEX('CURVA PREVISION'!$A$1:$KZ$3000,$C64,11+3*MIN(AX$3,$D$2-1)))))</f>
        <v/>
      </c>
      <c r="AY64" s="130">
        <f>IF(OR($C64="",$B$2="",$D$2=0),0,IF(AY$3&lt;0,0,N(INDEX('CURVA PREVISION'!$A$1:$KZ$3000,$C64,11+3*MIN(AY$3,$D$2-1)))))</f>
        <v/>
      </c>
      <c r="AZ64" s="130">
        <f>IF(OR($C64="",$B$2="",$D$2=0),0,IF(AZ$3&lt;0,0,N(INDEX('CURVA PREVISION'!$A$1:$KZ$3000,$C64,11+3*MIN(AZ$3,$D$2-1)))))</f>
        <v/>
      </c>
      <c r="BA64" s="130">
        <f>IF(OR($C64="",$B$2="",$D$2=0),0,IF(BA$3&lt;0,0,N(INDEX('CURVA PREVISION'!$A$1:$KZ$3000,$C64,11+3*MIN(BA$3,$D$2-1)))))</f>
        <v/>
      </c>
      <c r="BB64" s="130">
        <f>IF(OR($C64="",$B$2="",$D$2=0),0,IF(BB$3&lt;0,0,N(INDEX('CURVA PREVISION'!$A$1:$KZ$3000,$C64,11+3*MIN(BB$3,$D$2-1)))))</f>
        <v/>
      </c>
      <c r="BC64" s="130">
        <f>IF(OR($C64="",$B$2="",$D$2=0),0,IF(BC$3&lt;0,0,N(INDEX('CURVA PREVISION'!$A$1:$KZ$3000,$C64,11+3*MIN(BC$3,$D$2-1)))))</f>
        <v/>
      </c>
      <c r="BD64" s="130">
        <f>IF(OR($C64="",$B$2="",$D$2=0),0,IF(BD$3&lt;0,0,N(INDEX('CURVA PREVISION'!$A$1:$KZ$3000,$C64,11+3*MIN(BD$3,$D$2-1)))))</f>
        <v/>
      </c>
      <c r="BE64" s="130">
        <f>IF(OR($C64="",$B$2="",$D$2=0),0,IF(BE$3&lt;0,0,N(INDEX('CURVA PREVISION'!$A$1:$KZ$3000,$C64,11+3*MIN(BE$3,$D$2-1)))))</f>
        <v/>
      </c>
      <c r="BF64" s="130">
        <f>IF(OR($C64="",$B$2="",$D$2=0),0,IF(BF$3&lt;0,0,N(INDEX('CURVA PREVISION'!$A$1:$KZ$3000,$C64,11+3*MIN(BF$3,$D$2-1)))))</f>
        <v/>
      </c>
      <c r="BG64" s="130">
        <f>IF(OR($C64="",$B$2="",$D$2=0),0,IF(BG$3&lt;0,0,N(INDEX('CURVA PREVISION'!$A$1:$KZ$3000,$C64,11+3*MIN(BG$3,$D$2-1)))))</f>
        <v/>
      </c>
      <c r="BH64" s="130">
        <f>IF(OR($C64="",$B$2="",$D$2=0),0,IF(BH$3&lt;0,0,N(INDEX('CURVA PREVISION'!$A$1:$KZ$3000,$C64,11+3*MIN(BH$3,$D$2-1)))))</f>
        <v/>
      </c>
      <c r="BI64" s="130">
        <f>IF(OR($C64="",$B$2="",$D$2=0),0,IF(BI$3&lt;0,0,N(INDEX('CURVA PREVISION'!$A$1:$KZ$3000,$C64,11+3*MIN(BI$3,$D$2-1)))))</f>
        <v/>
      </c>
      <c r="BJ64" s="130">
        <f>IF(OR($C64="",$B$2="",$D$2=0),0,IF(BJ$3&lt;0,0,N(INDEX('CURVA PREVISION'!$A$1:$KZ$3000,$C64,11+3*MIN(BJ$3,$D$2-1)))))</f>
        <v/>
      </c>
      <c r="BK64" s="130">
        <f>IF(OR($C64="",$B$2="",$D$2=0),0,IF(BK$3&lt;0,0,N(INDEX('CURVA PREVISION'!$A$1:$KZ$3000,$C64,11+3*MIN(BK$3,$D$2-1)))))</f>
        <v/>
      </c>
      <c r="BL64" s="130">
        <f>IF(OR($C64="",$B$2="",$D$2=0),0,IF(BL$3&lt;0,0,N(INDEX('CURVA PREVISION'!$A$1:$KZ$3000,$C64,11+3*MIN(BL$3,$D$2-1)))))</f>
        <v/>
      </c>
      <c r="BM64" s="130">
        <f>IF(OR($C64="",$B$2="",$D$2=0),0,IF(BM$3&lt;0,0,N(INDEX('CURVA PREVISION'!$A$1:$KZ$3000,$C64,11+3*MIN(BM$3,$D$2-1)))))</f>
        <v/>
      </c>
      <c r="BN64" s="130">
        <f>IF(OR($C64="",$B$2="",$D$2=0),0,IF(BN$3&lt;0,0,N(INDEX('CURVA PREVISION'!$A$1:$KZ$3000,$C64,11+3*MIN(BN$3,$D$2-1)))))</f>
        <v/>
      </c>
      <c r="BO64" s="130">
        <f>IF(OR($C64="",$B$2="",$D$2=0),0,IF(BO$3&lt;0,0,N(INDEX('CURVA PREVISION'!$A$1:$KZ$3000,$C64,11+3*MIN(BO$3,$D$2-1)))))</f>
        <v/>
      </c>
      <c r="BP64" s="130">
        <f>IF(OR($C64="",$B$2="",$D$2=0),0,IF(BP$3&lt;0,0,N(INDEX('CURVA PREVISION'!$A$1:$KZ$3000,$C64,11+3*MIN(BP$3,$D$2-1)))))</f>
        <v/>
      </c>
      <c r="BQ64" s="130">
        <f>IF(OR($C64="",$B$2="",$D$2=0),0,IF(BQ$3&lt;0,0,N(INDEX('CURVA PREVISION'!$A$1:$KZ$3000,$C64,11+3*MIN(BQ$3,$D$2-1)))))</f>
        <v/>
      </c>
      <c r="BR64" s="130">
        <f>IF(OR($C64="",$B$2="",$D$2=0),0,IF(BR$3&lt;0,0,N(INDEX('CURVA PREVISION'!$A$1:$KZ$3000,$C64,11+3*MIN(BR$3,$D$2-1)))))</f>
        <v/>
      </c>
      <c r="BS64" s="130">
        <f>IF(OR($C64="",$B$2="",$D$2=0),0,IF(BS$3&lt;0,0,N(INDEX('CURVA PREVISION'!$A$1:$KZ$3000,$C64,11+3*MIN(BS$3,$D$2-1)))))</f>
        <v/>
      </c>
      <c r="BT64" s="130">
        <f>IF(OR($C64="",$B$2="",$D$2=0),0,IF(BT$3&lt;0,0,N(INDEX('CURVA PREVISION'!$A$1:$KZ$3000,$C64,11+3*MIN(BT$3,$D$2-1)))))</f>
        <v/>
      </c>
      <c r="BU64" s="130">
        <f>IF(OR($C64="",$B$2="",$D$2=0),0,IF(BU$3&lt;0,0,N(INDEX('CURVA PREVISION'!$A$1:$KZ$3000,$C64,11+3*MIN(BU$3,$D$2-1)))))</f>
        <v/>
      </c>
      <c r="BV64" s="130">
        <f>IF(OR($C64="",$B$2="",$D$2=0),0,IF(BV$3&lt;0,0,N(INDEX('CURVA PREVISION'!$A$1:$KZ$3000,$C64,11+3*MIN(BV$3,$D$2-1)))))</f>
        <v/>
      </c>
      <c r="BW64" s="130">
        <f>IF(OR($C64="",$B$2="",$D$2=0),0,IF(BW$3&lt;0,0,N(INDEX('CURVA PREVISION'!$A$1:$KZ$3000,$C64,11+3*MIN(BW$3,$D$2-1)))))</f>
        <v/>
      </c>
    </row>
    <row r="65">
      <c r="A65" s="61">
        <f>IF('VALOR POR PL'!Q29="",'VALOR POR PL'!C29,'VALOR POR PL'!Q29)</f>
        <v/>
      </c>
      <c r="B65" s="51">
        <f>B23</f>
        <v/>
      </c>
      <c r="C65" s="70">
        <f>IFERROR(MATCH(A65,'CURVA PREVISION'!$B$1:$B$3000,0),"")</f>
        <v/>
      </c>
      <c r="D65" s="130">
        <f>IF(OR($C65="",$B$2="",$D$2=0),0,IF(D$3&lt;0,0,N(INDEX('CURVA PREVISION'!$A$1:$KZ$3000,$C65,11+3*MIN(D$3,$D$2-1)))))</f>
        <v/>
      </c>
      <c r="E65" s="130">
        <f>IF(OR($C65="",$B$2="",$D$2=0),0,IF(E$3&lt;0,0,N(INDEX('CURVA PREVISION'!$A$1:$KZ$3000,$C65,11+3*MIN(E$3,$D$2-1)))))</f>
        <v/>
      </c>
      <c r="F65" s="130">
        <f>IF(OR($C65="",$B$2="",$D$2=0),0,IF(F$3&lt;0,0,N(INDEX('CURVA PREVISION'!$A$1:$KZ$3000,$C65,11+3*MIN(F$3,$D$2-1)))))</f>
        <v/>
      </c>
      <c r="G65" s="130">
        <f>IF(OR($C65="",$B$2="",$D$2=0),0,IF(G$3&lt;0,0,N(INDEX('CURVA PREVISION'!$A$1:$KZ$3000,$C65,11+3*MIN(G$3,$D$2-1)))))</f>
        <v/>
      </c>
      <c r="H65" s="130">
        <f>IF(OR($C65="",$B$2="",$D$2=0),0,IF(H$3&lt;0,0,N(INDEX('CURVA PREVISION'!$A$1:$KZ$3000,$C65,11+3*MIN(H$3,$D$2-1)))))</f>
        <v/>
      </c>
      <c r="I65" s="130">
        <f>IF(OR($C65="",$B$2="",$D$2=0),0,IF(I$3&lt;0,0,N(INDEX('CURVA PREVISION'!$A$1:$KZ$3000,$C65,11+3*MIN(I$3,$D$2-1)))))</f>
        <v/>
      </c>
      <c r="J65" s="130">
        <f>IF(OR($C65="",$B$2="",$D$2=0),0,IF(J$3&lt;0,0,N(INDEX('CURVA PREVISION'!$A$1:$KZ$3000,$C65,11+3*MIN(J$3,$D$2-1)))))</f>
        <v/>
      </c>
      <c r="K65" s="130">
        <f>IF(OR($C65="",$B$2="",$D$2=0),0,IF(K$3&lt;0,0,N(INDEX('CURVA PREVISION'!$A$1:$KZ$3000,$C65,11+3*MIN(K$3,$D$2-1)))))</f>
        <v/>
      </c>
      <c r="L65" s="130">
        <f>IF(OR($C65="",$B$2="",$D$2=0),0,IF(L$3&lt;0,0,N(INDEX('CURVA PREVISION'!$A$1:$KZ$3000,$C65,11+3*MIN(L$3,$D$2-1)))))</f>
        <v/>
      </c>
      <c r="M65" s="130">
        <f>IF(OR($C65="",$B$2="",$D$2=0),0,IF(M$3&lt;0,0,N(INDEX('CURVA PREVISION'!$A$1:$KZ$3000,$C65,11+3*MIN(M$3,$D$2-1)))))</f>
        <v/>
      </c>
      <c r="N65" s="130">
        <f>IF(OR($C65="",$B$2="",$D$2=0),0,IF(N$3&lt;0,0,N(INDEX('CURVA PREVISION'!$A$1:$KZ$3000,$C65,11+3*MIN(N$3,$D$2-1)))))</f>
        <v/>
      </c>
      <c r="O65" s="130">
        <f>IF(OR($C65="",$B$2="",$D$2=0),0,IF(O$3&lt;0,0,N(INDEX('CURVA PREVISION'!$A$1:$KZ$3000,$C65,11+3*MIN(O$3,$D$2-1)))))</f>
        <v/>
      </c>
      <c r="P65" s="130">
        <f>IF(OR($C65="",$B$2="",$D$2=0),0,IF(P$3&lt;0,0,N(INDEX('CURVA PREVISION'!$A$1:$KZ$3000,$C65,11+3*MIN(P$3,$D$2-1)))))</f>
        <v/>
      </c>
      <c r="Q65" s="130">
        <f>IF(OR($C65="",$B$2="",$D$2=0),0,IF(Q$3&lt;0,0,N(INDEX('CURVA PREVISION'!$A$1:$KZ$3000,$C65,11+3*MIN(Q$3,$D$2-1)))))</f>
        <v/>
      </c>
      <c r="R65" s="130">
        <f>IF(OR($C65="",$B$2="",$D$2=0),0,IF(R$3&lt;0,0,N(INDEX('CURVA PREVISION'!$A$1:$KZ$3000,$C65,11+3*MIN(R$3,$D$2-1)))))</f>
        <v/>
      </c>
      <c r="S65" s="130">
        <f>IF(OR($C65="",$B$2="",$D$2=0),0,IF(S$3&lt;0,0,N(INDEX('CURVA PREVISION'!$A$1:$KZ$3000,$C65,11+3*MIN(S$3,$D$2-1)))))</f>
        <v/>
      </c>
      <c r="T65" s="130">
        <f>IF(OR($C65="",$B$2="",$D$2=0),0,IF(T$3&lt;0,0,N(INDEX('CURVA PREVISION'!$A$1:$KZ$3000,$C65,11+3*MIN(T$3,$D$2-1)))))</f>
        <v/>
      </c>
      <c r="U65" s="130">
        <f>IF(OR($C65="",$B$2="",$D$2=0),0,IF(U$3&lt;0,0,N(INDEX('CURVA PREVISION'!$A$1:$KZ$3000,$C65,11+3*MIN(U$3,$D$2-1)))))</f>
        <v/>
      </c>
      <c r="V65" s="130">
        <f>IF(OR($C65="",$B$2="",$D$2=0),0,IF(V$3&lt;0,0,N(INDEX('CURVA PREVISION'!$A$1:$KZ$3000,$C65,11+3*MIN(V$3,$D$2-1)))))</f>
        <v/>
      </c>
      <c r="W65" s="130">
        <f>IF(OR($C65="",$B$2="",$D$2=0),0,IF(W$3&lt;0,0,N(INDEX('CURVA PREVISION'!$A$1:$KZ$3000,$C65,11+3*MIN(W$3,$D$2-1)))))</f>
        <v/>
      </c>
      <c r="X65" s="130">
        <f>IF(OR($C65="",$B$2="",$D$2=0),0,IF(X$3&lt;0,0,N(INDEX('CURVA PREVISION'!$A$1:$KZ$3000,$C65,11+3*MIN(X$3,$D$2-1)))))</f>
        <v/>
      </c>
      <c r="Y65" s="130">
        <f>IF(OR($C65="",$B$2="",$D$2=0),0,IF(Y$3&lt;0,0,N(INDEX('CURVA PREVISION'!$A$1:$KZ$3000,$C65,11+3*MIN(Y$3,$D$2-1)))))</f>
        <v/>
      </c>
      <c r="Z65" s="130">
        <f>IF(OR($C65="",$B$2="",$D$2=0),0,IF(Z$3&lt;0,0,N(INDEX('CURVA PREVISION'!$A$1:$KZ$3000,$C65,11+3*MIN(Z$3,$D$2-1)))))</f>
        <v/>
      </c>
      <c r="AA65" s="130">
        <f>IF(OR($C65="",$B$2="",$D$2=0),0,IF(AA$3&lt;0,0,N(INDEX('CURVA PREVISION'!$A$1:$KZ$3000,$C65,11+3*MIN(AA$3,$D$2-1)))))</f>
        <v/>
      </c>
      <c r="AB65" s="130">
        <f>IF(OR($C65="",$B$2="",$D$2=0),0,IF(AB$3&lt;0,0,N(INDEX('CURVA PREVISION'!$A$1:$KZ$3000,$C65,11+3*MIN(AB$3,$D$2-1)))))</f>
        <v/>
      </c>
      <c r="AC65" s="130">
        <f>IF(OR($C65="",$B$2="",$D$2=0),0,IF(AC$3&lt;0,0,N(INDEX('CURVA PREVISION'!$A$1:$KZ$3000,$C65,11+3*MIN(AC$3,$D$2-1)))))</f>
        <v/>
      </c>
      <c r="AD65" s="130">
        <f>IF(OR($C65="",$B$2="",$D$2=0),0,IF(AD$3&lt;0,0,N(INDEX('CURVA PREVISION'!$A$1:$KZ$3000,$C65,11+3*MIN(AD$3,$D$2-1)))))</f>
        <v/>
      </c>
      <c r="AE65" s="130">
        <f>IF(OR($C65="",$B$2="",$D$2=0),0,IF(AE$3&lt;0,0,N(INDEX('CURVA PREVISION'!$A$1:$KZ$3000,$C65,11+3*MIN(AE$3,$D$2-1)))))</f>
        <v/>
      </c>
      <c r="AF65" s="130">
        <f>IF(OR($C65="",$B$2="",$D$2=0),0,IF(AF$3&lt;0,0,N(INDEX('CURVA PREVISION'!$A$1:$KZ$3000,$C65,11+3*MIN(AF$3,$D$2-1)))))</f>
        <v/>
      </c>
      <c r="AG65" s="130">
        <f>IF(OR($C65="",$B$2="",$D$2=0),0,IF(AG$3&lt;0,0,N(INDEX('CURVA PREVISION'!$A$1:$KZ$3000,$C65,11+3*MIN(AG$3,$D$2-1)))))</f>
        <v/>
      </c>
      <c r="AH65" s="130">
        <f>IF(OR($C65="",$B$2="",$D$2=0),0,IF(AH$3&lt;0,0,N(INDEX('CURVA PREVISION'!$A$1:$KZ$3000,$C65,11+3*MIN(AH$3,$D$2-1)))))</f>
        <v/>
      </c>
      <c r="AI65" s="130">
        <f>IF(OR($C65="",$B$2="",$D$2=0),0,IF(AI$3&lt;0,0,N(INDEX('CURVA PREVISION'!$A$1:$KZ$3000,$C65,11+3*MIN(AI$3,$D$2-1)))))</f>
        <v/>
      </c>
      <c r="AJ65" s="130">
        <f>IF(OR($C65="",$B$2="",$D$2=0),0,IF(AJ$3&lt;0,0,N(INDEX('CURVA PREVISION'!$A$1:$KZ$3000,$C65,11+3*MIN(AJ$3,$D$2-1)))))</f>
        <v/>
      </c>
      <c r="AK65" s="130">
        <f>IF(OR($C65="",$B$2="",$D$2=0),0,IF(AK$3&lt;0,0,N(INDEX('CURVA PREVISION'!$A$1:$KZ$3000,$C65,11+3*MIN(AK$3,$D$2-1)))))</f>
        <v/>
      </c>
      <c r="AL65" s="130">
        <f>IF(OR($C65="",$B$2="",$D$2=0),0,IF(AL$3&lt;0,0,N(INDEX('CURVA PREVISION'!$A$1:$KZ$3000,$C65,11+3*MIN(AL$3,$D$2-1)))))</f>
        <v/>
      </c>
      <c r="AM65" s="130">
        <f>IF(OR($C65="",$B$2="",$D$2=0),0,IF(AM$3&lt;0,0,N(INDEX('CURVA PREVISION'!$A$1:$KZ$3000,$C65,11+3*MIN(AM$3,$D$2-1)))))</f>
        <v/>
      </c>
      <c r="AN65" s="130">
        <f>IF(OR($C65="",$B$2="",$D$2=0),0,IF(AN$3&lt;0,0,N(INDEX('CURVA PREVISION'!$A$1:$KZ$3000,$C65,11+3*MIN(AN$3,$D$2-1)))))</f>
        <v/>
      </c>
      <c r="AO65" s="130">
        <f>IF(OR($C65="",$B$2="",$D$2=0),0,IF(AO$3&lt;0,0,N(INDEX('CURVA PREVISION'!$A$1:$KZ$3000,$C65,11+3*MIN(AO$3,$D$2-1)))))</f>
        <v/>
      </c>
      <c r="AP65" s="130">
        <f>IF(OR($C65="",$B$2="",$D$2=0),0,IF(AP$3&lt;0,0,N(INDEX('CURVA PREVISION'!$A$1:$KZ$3000,$C65,11+3*MIN(AP$3,$D$2-1)))))</f>
        <v/>
      </c>
      <c r="AQ65" s="130">
        <f>IF(OR($C65="",$B$2="",$D$2=0),0,IF(AQ$3&lt;0,0,N(INDEX('CURVA PREVISION'!$A$1:$KZ$3000,$C65,11+3*MIN(AQ$3,$D$2-1)))))</f>
        <v/>
      </c>
      <c r="AR65" s="130">
        <f>IF(OR($C65="",$B$2="",$D$2=0),0,IF(AR$3&lt;0,0,N(INDEX('CURVA PREVISION'!$A$1:$KZ$3000,$C65,11+3*MIN(AR$3,$D$2-1)))))</f>
        <v/>
      </c>
      <c r="AS65" s="130">
        <f>IF(OR($C65="",$B$2="",$D$2=0),0,IF(AS$3&lt;0,0,N(INDEX('CURVA PREVISION'!$A$1:$KZ$3000,$C65,11+3*MIN(AS$3,$D$2-1)))))</f>
        <v/>
      </c>
      <c r="AT65" s="130">
        <f>IF(OR($C65="",$B$2="",$D$2=0),0,IF(AT$3&lt;0,0,N(INDEX('CURVA PREVISION'!$A$1:$KZ$3000,$C65,11+3*MIN(AT$3,$D$2-1)))))</f>
        <v/>
      </c>
      <c r="AU65" s="130">
        <f>IF(OR($C65="",$B$2="",$D$2=0),0,IF(AU$3&lt;0,0,N(INDEX('CURVA PREVISION'!$A$1:$KZ$3000,$C65,11+3*MIN(AU$3,$D$2-1)))))</f>
        <v/>
      </c>
      <c r="AV65" s="130">
        <f>IF(OR($C65="",$B$2="",$D$2=0),0,IF(AV$3&lt;0,0,N(INDEX('CURVA PREVISION'!$A$1:$KZ$3000,$C65,11+3*MIN(AV$3,$D$2-1)))))</f>
        <v/>
      </c>
      <c r="AW65" s="130">
        <f>IF(OR($C65="",$B$2="",$D$2=0),0,IF(AW$3&lt;0,0,N(INDEX('CURVA PREVISION'!$A$1:$KZ$3000,$C65,11+3*MIN(AW$3,$D$2-1)))))</f>
        <v/>
      </c>
      <c r="AX65" s="130">
        <f>IF(OR($C65="",$B$2="",$D$2=0),0,IF(AX$3&lt;0,0,N(INDEX('CURVA PREVISION'!$A$1:$KZ$3000,$C65,11+3*MIN(AX$3,$D$2-1)))))</f>
        <v/>
      </c>
      <c r="AY65" s="130">
        <f>IF(OR($C65="",$B$2="",$D$2=0),0,IF(AY$3&lt;0,0,N(INDEX('CURVA PREVISION'!$A$1:$KZ$3000,$C65,11+3*MIN(AY$3,$D$2-1)))))</f>
        <v/>
      </c>
      <c r="AZ65" s="130">
        <f>IF(OR($C65="",$B$2="",$D$2=0),0,IF(AZ$3&lt;0,0,N(INDEX('CURVA PREVISION'!$A$1:$KZ$3000,$C65,11+3*MIN(AZ$3,$D$2-1)))))</f>
        <v/>
      </c>
      <c r="BA65" s="130">
        <f>IF(OR($C65="",$B$2="",$D$2=0),0,IF(BA$3&lt;0,0,N(INDEX('CURVA PREVISION'!$A$1:$KZ$3000,$C65,11+3*MIN(BA$3,$D$2-1)))))</f>
        <v/>
      </c>
      <c r="BB65" s="130">
        <f>IF(OR($C65="",$B$2="",$D$2=0),0,IF(BB$3&lt;0,0,N(INDEX('CURVA PREVISION'!$A$1:$KZ$3000,$C65,11+3*MIN(BB$3,$D$2-1)))))</f>
        <v/>
      </c>
      <c r="BC65" s="130">
        <f>IF(OR($C65="",$B$2="",$D$2=0),0,IF(BC$3&lt;0,0,N(INDEX('CURVA PREVISION'!$A$1:$KZ$3000,$C65,11+3*MIN(BC$3,$D$2-1)))))</f>
        <v/>
      </c>
      <c r="BD65" s="130">
        <f>IF(OR($C65="",$B$2="",$D$2=0),0,IF(BD$3&lt;0,0,N(INDEX('CURVA PREVISION'!$A$1:$KZ$3000,$C65,11+3*MIN(BD$3,$D$2-1)))))</f>
        <v/>
      </c>
      <c r="BE65" s="130">
        <f>IF(OR($C65="",$B$2="",$D$2=0),0,IF(BE$3&lt;0,0,N(INDEX('CURVA PREVISION'!$A$1:$KZ$3000,$C65,11+3*MIN(BE$3,$D$2-1)))))</f>
        <v/>
      </c>
      <c r="BF65" s="130">
        <f>IF(OR($C65="",$B$2="",$D$2=0),0,IF(BF$3&lt;0,0,N(INDEX('CURVA PREVISION'!$A$1:$KZ$3000,$C65,11+3*MIN(BF$3,$D$2-1)))))</f>
        <v/>
      </c>
      <c r="BG65" s="130">
        <f>IF(OR($C65="",$B$2="",$D$2=0),0,IF(BG$3&lt;0,0,N(INDEX('CURVA PREVISION'!$A$1:$KZ$3000,$C65,11+3*MIN(BG$3,$D$2-1)))))</f>
        <v/>
      </c>
      <c r="BH65" s="130">
        <f>IF(OR($C65="",$B$2="",$D$2=0),0,IF(BH$3&lt;0,0,N(INDEX('CURVA PREVISION'!$A$1:$KZ$3000,$C65,11+3*MIN(BH$3,$D$2-1)))))</f>
        <v/>
      </c>
      <c r="BI65" s="130">
        <f>IF(OR($C65="",$B$2="",$D$2=0),0,IF(BI$3&lt;0,0,N(INDEX('CURVA PREVISION'!$A$1:$KZ$3000,$C65,11+3*MIN(BI$3,$D$2-1)))))</f>
        <v/>
      </c>
      <c r="BJ65" s="130">
        <f>IF(OR($C65="",$B$2="",$D$2=0),0,IF(BJ$3&lt;0,0,N(INDEX('CURVA PREVISION'!$A$1:$KZ$3000,$C65,11+3*MIN(BJ$3,$D$2-1)))))</f>
        <v/>
      </c>
      <c r="BK65" s="130">
        <f>IF(OR($C65="",$B$2="",$D$2=0),0,IF(BK$3&lt;0,0,N(INDEX('CURVA PREVISION'!$A$1:$KZ$3000,$C65,11+3*MIN(BK$3,$D$2-1)))))</f>
        <v/>
      </c>
      <c r="BL65" s="130">
        <f>IF(OR($C65="",$B$2="",$D$2=0),0,IF(BL$3&lt;0,0,N(INDEX('CURVA PREVISION'!$A$1:$KZ$3000,$C65,11+3*MIN(BL$3,$D$2-1)))))</f>
        <v/>
      </c>
      <c r="BM65" s="130">
        <f>IF(OR($C65="",$B$2="",$D$2=0),0,IF(BM$3&lt;0,0,N(INDEX('CURVA PREVISION'!$A$1:$KZ$3000,$C65,11+3*MIN(BM$3,$D$2-1)))))</f>
        <v/>
      </c>
      <c r="BN65" s="130">
        <f>IF(OR($C65="",$B$2="",$D$2=0),0,IF(BN$3&lt;0,0,N(INDEX('CURVA PREVISION'!$A$1:$KZ$3000,$C65,11+3*MIN(BN$3,$D$2-1)))))</f>
        <v/>
      </c>
      <c r="BO65" s="130">
        <f>IF(OR($C65="",$B$2="",$D$2=0),0,IF(BO$3&lt;0,0,N(INDEX('CURVA PREVISION'!$A$1:$KZ$3000,$C65,11+3*MIN(BO$3,$D$2-1)))))</f>
        <v/>
      </c>
      <c r="BP65" s="130">
        <f>IF(OR($C65="",$B$2="",$D$2=0),0,IF(BP$3&lt;0,0,N(INDEX('CURVA PREVISION'!$A$1:$KZ$3000,$C65,11+3*MIN(BP$3,$D$2-1)))))</f>
        <v/>
      </c>
      <c r="BQ65" s="130">
        <f>IF(OR($C65="",$B$2="",$D$2=0),0,IF(BQ$3&lt;0,0,N(INDEX('CURVA PREVISION'!$A$1:$KZ$3000,$C65,11+3*MIN(BQ$3,$D$2-1)))))</f>
        <v/>
      </c>
      <c r="BR65" s="130">
        <f>IF(OR($C65="",$B$2="",$D$2=0),0,IF(BR$3&lt;0,0,N(INDEX('CURVA PREVISION'!$A$1:$KZ$3000,$C65,11+3*MIN(BR$3,$D$2-1)))))</f>
        <v/>
      </c>
      <c r="BS65" s="130">
        <f>IF(OR($C65="",$B$2="",$D$2=0),0,IF(BS$3&lt;0,0,N(INDEX('CURVA PREVISION'!$A$1:$KZ$3000,$C65,11+3*MIN(BS$3,$D$2-1)))))</f>
        <v/>
      </c>
      <c r="BT65" s="130">
        <f>IF(OR($C65="",$B$2="",$D$2=0),0,IF(BT$3&lt;0,0,N(INDEX('CURVA PREVISION'!$A$1:$KZ$3000,$C65,11+3*MIN(BT$3,$D$2-1)))))</f>
        <v/>
      </c>
      <c r="BU65" s="130">
        <f>IF(OR($C65="",$B$2="",$D$2=0),0,IF(BU$3&lt;0,0,N(INDEX('CURVA PREVISION'!$A$1:$KZ$3000,$C65,11+3*MIN(BU$3,$D$2-1)))))</f>
        <v/>
      </c>
      <c r="BV65" s="130">
        <f>IF(OR($C65="",$B$2="",$D$2=0),0,IF(BV$3&lt;0,0,N(INDEX('CURVA PREVISION'!$A$1:$KZ$3000,$C65,11+3*MIN(BV$3,$D$2-1)))))</f>
        <v/>
      </c>
      <c r="BW65" s="130">
        <f>IF(OR($C65="",$B$2="",$D$2=0),0,IF(BW$3&lt;0,0,N(INDEX('CURVA PREVISION'!$A$1:$KZ$3000,$C65,11+3*MIN(BW$3,$D$2-1)))))</f>
        <v/>
      </c>
    </row>
    <row r="66">
      <c r="A66" s="61">
        <f>IF('VALOR POR PL'!Q30="",'VALOR POR PL'!C30,'VALOR POR PL'!Q30)</f>
        <v/>
      </c>
      <c r="B66" s="51">
        <f>B24</f>
        <v/>
      </c>
      <c r="C66" s="70">
        <f>IFERROR(MATCH(A66,'CURVA PREVISION'!$B$1:$B$3000,0),"")</f>
        <v/>
      </c>
      <c r="D66" s="130">
        <f>IF(OR($C66="",$B$2="",$D$2=0),0,IF(D$3&lt;0,0,N(INDEX('CURVA PREVISION'!$A$1:$KZ$3000,$C66,11+3*MIN(D$3,$D$2-1)))))</f>
        <v/>
      </c>
      <c r="E66" s="130">
        <f>IF(OR($C66="",$B$2="",$D$2=0),0,IF(E$3&lt;0,0,N(INDEX('CURVA PREVISION'!$A$1:$KZ$3000,$C66,11+3*MIN(E$3,$D$2-1)))))</f>
        <v/>
      </c>
      <c r="F66" s="130">
        <f>IF(OR($C66="",$B$2="",$D$2=0),0,IF(F$3&lt;0,0,N(INDEX('CURVA PREVISION'!$A$1:$KZ$3000,$C66,11+3*MIN(F$3,$D$2-1)))))</f>
        <v/>
      </c>
      <c r="G66" s="130">
        <f>IF(OR($C66="",$B$2="",$D$2=0),0,IF(G$3&lt;0,0,N(INDEX('CURVA PREVISION'!$A$1:$KZ$3000,$C66,11+3*MIN(G$3,$D$2-1)))))</f>
        <v/>
      </c>
      <c r="H66" s="130">
        <f>IF(OR($C66="",$B$2="",$D$2=0),0,IF(H$3&lt;0,0,N(INDEX('CURVA PREVISION'!$A$1:$KZ$3000,$C66,11+3*MIN(H$3,$D$2-1)))))</f>
        <v/>
      </c>
      <c r="I66" s="130">
        <f>IF(OR($C66="",$B$2="",$D$2=0),0,IF(I$3&lt;0,0,N(INDEX('CURVA PREVISION'!$A$1:$KZ$3000,$C66,11+3*MIN(I$3,$D$2-1)))))</f>
        <v/>
      </c>
      <c r="J66" s="130">
        <f>IF(OR($C66="",$B$2="",$D$2=0),0,IF(J$3&lt;0,0,N(INDEX('CURVA PREVISION'!$A$1:$KZ$3000,$C66,11+3*MIN(J$3,$D$2-1)))))</f>
        <v/>
      </c>
      <c r="K66" s="130">
        <f>IF(OR($C66="",$B$2="",$D$2=0),0,IF(K$3&lt;0,0,N(INDEX('CURVA PREVISION'!$A$1:$KZ$3000,$C66,11+3*MIN(K$3,$D$2-1)))))</f>
        <v/>
      </c>
      <c r="L66" s="130">
        <f>IF(OR($C66="",$B$2="",$D$2=0),0,IF(L$3&lt;0,0,N(INDEX('CURVA PREVISION'!$A$1:$KZ$3000,$C66,11+3*MIN(L$3,$D$2-1)))))</f>
        <v/>
      </c>
      <c r="M66" s="130">
        <f>IF(OR($C66="",$B$2="",$D$2=0),0,IF(M$3&lt;0,0,N(INDEX('CURVA PREVISION'!$A$1:$KZ$3000,$C66,11+3*MIN(M$3,$D$2-1)))))</f>
        <v/>
      </c>
      <c r="N66" s="130">
        <f>IF(OR($C66="",$B$2="",$D$2=0),0,IF(N$3&lt;0,0,N(INDEX('CURVA PREVISION'!$A$1:$KZ$3000,$C66,11+3*MIN(N$3,$D$2-1)))))</f>
        <v/>
      </c>
      <c r="O66" s="130">
        <f>IF(OR($C66="",$B$2="",$D$2=0),0,IF(O$3&lt;0,0,N(INDEX('CURVA PREVISION'!$A$1:$KZ$3000,$C66,11+3*MIN(O$3,$D$2-1)))))</f>
        <v/>
      </c>
      <c r="P66" s="130">
        <f>IF(OR($C66="",$B$2="",$D$2=0),0,IF(P$3&lt;0,0,N(INDEX('CURVA PREVISION'!$A$1:$KZ$3000,$C66,11+3*MIN(P$3,$D$2-1)))))</f>
        <v/>
      </c>
      <c r="Q66" s="130">
        <f>IF(OR($C66="",$B$2="",$D$2=0),0,IF(Q$3&lt;0,0,N(INDEX('CURVA PREVISION'!$A$1:$KZ$3000,$C66,11+3*MIN(Q$3,$D$2-1)))))</f>
        <v/>
      </c>
      <c r="R66" s="130">
        <f>IF(OR($C66="",$B$2="",$D$2=0),0,IF(R$3&lt;0,0,N(INDEX('CURVA PREVISION'!$A$1:$KZ$3000,$C66,11+3*MIN(R$3,$D$2-1)))))</f>
        <v/>
      </c>
      <c r="S66" s="130">
        <f>IF(OR($C66="",$B$2="",$D$2=0),0,IF(S$3&lt;0,0,N(INDEX('CURVA PREVISION'!$A$1:$KZ$3000,$C66,11+3*MIN(S$3,$D$2-1)))))</f>
        <v/>
      </c>
      <c r="T66" s="130">
        <f>IF(OR($C66="",$B$2="",$D$2=0),0,IF(T$3&lt;0,0,N(INDEX('CURVA PREVISION'!$A$1:$KZ$3000,$C66,11+3*MIN(T$3,$D$2-1)))))</f>
        <v/>
      </c>
      <c r="U66" s="130">
        <f>IF(OR($C66="",$B$2="",$D$2=0),0,IF(U$3&lt;0,0,N(INDEX('CURVA PREVISION'!$A$1:$KZ$3000,$C66,11+3*MIN(U$3,$D$2-1)))))</f>
        <v/>
      </c>
      <c r="V66" s="130">
        <f>IF(OR($C66="",$B$2="",$D$2=0),0,IF(V$3&lt;0,0,N(INDEX('CURVA PREVISION'!$A$1:$KZ$3000,$C66,11+3*MIN(V$3,$D$2-1)))))</f>
        <v/>
      </c>
      <c r="W66" s="130">
        <f>IF(OR($C66="",$B$2="",$D$2=0),0,IF(W$3&lt;0,0,N(INDEX('CURVA PREVISION'!$A$1:$KZ$3000,$C66,11+3*MIN(W$3,$D$2-1)))))</f>
        <v/>
      </c>
      <c r="X66" s="130">
        <f>IF(OR($C66="",$B$2="",$D$2=0),0,IF(X$3&lt;0,0,N(INDEX('CURVA PREVISION'!$A$1:$KZ$3000,$C66,11+3*MIN(X$3,$D$2-1)))))</f>
        <v/>
      </c>
      <c r="Y66" s="130">
        <f>IF(OR($C66="",$B$2="",$D$2=0),0,IF(Y$3&lt;0,0,N(INDEX('CURVA PREVISION'!$A$1:$KZ$3000,$C66,11+3*MIN(Y$3,$D$2-1)))))</f>
        <v/>
      </c>
      <c r="Z66" s="130">
        <f>IF(OR($C66="",$B$2="",$D$2=0),0,IF(Z$3&lt;0,0,N(INDEX('CURVA PREVISION'!$A$1:$KZ$3000,$C66,11+3*MIN(Z$3,$D$2-1)))))</f>
        <v/>
      </c>
      <c r="AA66" s="130">
        <f>IF(OR($C66="",$B$2="",$D$2=0),0,IF(AA$3&lt;0,0,N(INDEX('CURVA PREVISION'!$A$1:$KZ$3000,$C66,11+3*MIN(AA$3,$D$2-1)))))</f>
        <v/>
      </c>
      <c r="AB66" s="130">
        <f>IF(OR($C66="",$B$2="",$D$2=0),0,IF(AB$3&lt;0,0,N(INDEX('CURVA PREVISION'!$A$1:$KZ$3000,$C66,11+3*MIN(AB$3,$D$2-1)))))</f>
        <v/>
      </c>
      <c r="AC66" s="130">
        <f>IF(OR($C66="",$B$2="",$D$2=0),0,IF(AC$3&lt;0,0,N(INDEX('CURVA PREVISION'!$A$1:$KZ$3000,$C66,11+3*MIN(AC$3,$D$2-1)))))</f>
        <v/>
      </c>
      <c r="AD66" s="130">
        <f>IF(OR($C66="",$B$2="",$D$2=0),0,IF(AD$3&lt;0,0,N(INDEX('CURVA PREVISION'!$A$1:$KZ$3000,$C66,11+3*MIN(AD$3,$D$2-1)))))</f>
        <v/>
      </c>
      <c r="AE66" s="130">
        <f>IF(OR($C66="",$B$2="",$D$2=0),0,IF(AE$3&lt;0,0,N(INDEX('CURVA PREVISION'!$A$1:$KZ$3000,$C66,11+3*MIN(AE$3,$D$2-1)))))</f>
        <v/>
      </c>
      <c r="AF66" s="130">
        <f>IF(OR($C66="",$B$2="",$D$2=0),0,IF(AF$3&lt;0,0,N(INDEX('CURVA PREVISION'!$A$1:$KZ$3000,$C66,11+3*MIN(AF$3,$D$2-1)))))</f>
        <v/>
      </c>
      <c r="AG66" s="130">
        <f>IF(OR($C66="",$B$2="",$D$2=0),0,IF(AG$3&lt;0,0,N(INDEX('CURVA PREVISION'!$A$1:$KZ$3000,$C66,11+3*MIN(AG$3,$D$2-1)))))</f>
        <v/>
      </c>
      <c r="AH66" s="130">
        <f>IF(OR($C66="",$B$2="",$D$2=0),0,IF(AH$3&lt;0,0,N(INDEX('CURVA PREVISION'!$A$1:$KZ$3000,$C66,11+3*MIN(AH$3,$D$2-1)))))</f>
        <v/>
      </c>
      <c r="AI66" s="130">
        <f>IF(OR($C66="",$B$2="",$D$2=0),0,IF(AI$3&lt;0,0,N(INDEX('CURVA PREVISION'!$A$1:$KZ$3000,$C66,11+3*MIN(AI$3,$D$2-1)))))</f>
        <v/>
      </c>
      <c r="AJ66" s="130">
        <f>IF(OR($C66="",$B$2="",$D$2=0),0,IF(AJ$3&lt;0,0,N(INDEX('CURVA PREVISION'!$A$1:$KZ$3000,$C66,11+3*MIN(AJ$3,$D$2-1)))))</f>
        <v/>
      </c>
      <c r="AK66" s="130">
        <f>IF(OR($C66="",$B$2="",$D$2=0),0,IF(AK$3&lt;0,0,N(INDEX('CURVA PREVISION'!$A$1:$KZ$3000,$C66,11+3*MIN(AK$3,$D$2-1)))))</f>
        <v/>
      </c>
      <c r="AL66" s="130">
        <f>IF(OR($C66="",$B$2="",$D$2=0),0,IF(AL$3&lt;0,0,N(INDEX('CURVA PREVISION'!$A$1:$KZ$3000,$C66,11+3*MIN(AL$3,$D$2-1)))))</f>
        <v/>
      </c>
      <c r="AM66" s="130">
        <f>IF(OR($C66="",$B$2="",$D$2=0),0,IF(AM$3&lt;0,0,N(INDEX('CURVA PREVISION'!$A$1:$KZ$3000,$C66,11+3*MIN(AM$3,$D$2-1)))))</f>
        <v/>
      </c>
      <c r="AN66" s="130">
        <f>IF(OR($C66="",$B$2="",$D$2=0),0,IF(AN$3&lt;0,0,N(INDEX('CURVA PREVISION'!$A$1:$KZ$3000,$C66,11+3*MIN(AN$3,$D$2-1)))))</f>
        <v/>
      </c>
      <c r="AO66" s="130">
        <f>IF(OR($C66="",$B$2="",$D$2=0),0,IF(AO$3&lt;0,0,N(INDEX('CURVA PREVISION'!$A$1:$KZ$3000,$C66,11+3*MIN(AO$3,$D$2-1)))))</f>
        <v/>
      </c>
      <c r="AP66" s="130">
        <f>IF(OR($C66="",$B$2="",$D$2=0),0,IF(AP$3&lt;0,0,N(INDEX('CURVA PREVISION'!$A$1:$KZ$3000,$C66,11+3*MIN(AP$3,$D$2-1)))))</f>
        <v/>
      </c>
      <c r="AQ66" s="130">
        <f>IF(OR($C66="",$B$2="",$D$2=0),0,IF(AQ$3&lt;0,0,N(INDEX('CURVA PREVISION'!$A$1:$KZ$3000,$C66,11+3*MIN(AQ$3,$D$2-1)))))</f>
        <v/>
      </c>
      <c r="AR66" s="130">
        <f>IF(OR($C66="",$B$2="",$D$2=0),0,IF(AR$3&lt;0,0,N(INDEX('CURVA PREVISION'!$A$1:$KZ$3000,$C66,11+3*MIN(AR$3,$D$2-1)))))</f>
        <v/>
      </c>
      <c r="AS66" s="130">
        <f>IF(OR($C66="",$B$2="",$D$2=0),0,IF(AS$3&lt;0,0,N(INDEX('CURVA PREVISION'!$A$1:$KZ$3000,$C66,11+3*MIN(AS$3,$D$2-1)))))</f>
        <v/>
      </c>
      <c r="AT66" s="130">
        <f>IF(OR($C66="",$B$2="",$D$2=0),0,IF(AT$3&lt;0,0,N(INDEX('CURVA PREVISION'!$A$1:$KZ$3000,$C66,11+3*MIN(AT$3,$D$2-1)))))</f>
        <v/>
      </c>
      <c r="AU66" s="130">
        <f>IF(OR($C66="",$B$2="",$D$2=0),0,IF(AU$3&lt;0,0,N(INDEX('CURVA PREVISION'!$A$1:$KZ$3000,$C66,11+3*MIN(AU$3,$D$2-1)))))</f>
        <v/>
      </c>
      <c r="AV66" s="130">
        <f>IF(OR($C66="",$B$2="",$D$2=0),0,IF(AV$3&lt;0,0,N(INDEX('CURVA PREVISION'!$A$1:$KZ$3000,$C66,11+3*MIN(AV$3,$D$2-1)))))</f>
        <v/>
      </c>
      <c r="AW66" s="130">
        <f>IF(OR($C66="",$B$2="",$D$2=0),0,IF(AW$3&lt;0,0,N(INDEX('CURVA PREVISION'!$A$1:$KZ$3000,$C66,11+3*MIN(AW$3,$D$2-1)))))</f>
        <v/>
      </c>
      <c r="AX66" s="130">
        <f>IF(OR($C66="",$B$2="",$D$2=0),0,IF(AX$3&lt;0,0,N(INDEX('CURVA PREVISION'!$A$1:$KZ$3000,$C66,11+3*MIN(AX$3,$D$2-1)))))</f>
        <v/>
      </c>
      <c r="AY66" s="130">
        <f>IF(OR($C66="",$B$2="",$D$2=0),0,IF(AY$3&lt;0,0,N(INDEX('CURVA PREVISION'!$A$1:$KZ$3000,$C66,11+3*MIN(AY$3,$D$2-1)))))</f>
        <v/>
      </c>
      <c r="AZ66" s="130">
        <f>IF(OR($C66="",$B$2="",$D$2=0),0,IF(AZ$3&lt;0,0,N(INDEX('CURVA PREVISION'!$A$1:$KZ$3000,$C66,11+3*MIN(AZ$3,$D$2-1)))))</f>
        <v/>
      </c>
      <c r="BA66" s="130">
        <f>IF(OR($C66="",$B$2="",$D$2=0),0,IF(BA$3&lt;0,0,N(INDEX('CURVA PREVISION'!$A$1:$KZ$3000,$C66,11+3*MIN(BA$3,$D$2-1)))))</f>
        <v/>
      </c>
      <c r="BB66" s="130">
        <f>IF(OR($C66="",$B$2="",$D$2=0),0,IF(BB$3&lt;0,0,N(INDEX('CURVA PREVISION'!$A$1:$KZ$3000,$C66,11+3*MIN(BB$3,$D$2-1)))))</f>
        <v/>
      </c>
      <c r="BC66" s="130">
        <f>IF(OR($C66="",$B$2="",$D$2=0),0,IF(BC$3&lt;0,0,N(INDEX('CURVA PREVISION'!$A$1:$KZ$3000,$C66,11+3*MIN(BC$3,$D$2-1)))))</f>
        <v/>
      </c>
      <c r="BD66" s="130">
        <f>IF(OR($C66="",$B$2="",$D$2=0),0,IF(BD$3&lt;0,0,N(INDEX('CURVA PREVISION'!$A$1:$KZ$3000,$C66,11+3*MIN(BD$3,$D$2-1)))))</f>
        <v/>
      </c>
      <c r="BE66" s="130">
        <f>IF(OR($C66="",$B$2="",$D$2=0),0,IF(BE$3&lt;0,0,N(INDEX('CURVA PREVISION'!$A$1:$KZ$3000,$C66,11+3*MIN(BE$3,$D$2-1)))))</f>
        <v/>
      </c>
      <c r="BF66" s="130">
        <f>IF(OR($C66="",$B$2="",$D$2=0),0,IF(BF$3&lt;0,0,N(INDEX('CURVA PREVISION'!$A$1:$KZ$3000,$C66,11+3*MIN(BF$3,$D$2-1)))))</f>
        <v/>
      </c>
      <c r="BG66" s="130">
        <f>IF(OR($C66="",$B$2="",$D$2=0),0,IF(BG$3&lt;0,0,N(INDEX('CURVA PREVISION'!$A$1:$KZ$3000,$C66,11+3*MIN(BG$3,$D$2-1)))))</f>
        <v/>
      </c>
      <c r="BH66" s="130">
        <f>IF(OR($C66="",$B$2="",$D$2=0),0,IF(BH$3&lt;0,0,N(INDEX('CURVA PREVISION'!$A$1:$KZ$3000,$C66,11+3*MIN(BH$3,$D$2-1)))))</f>
        <v/>
      </c>
      <c r="BI66" s="130">
        <f>IF(OR($C66="",$B$2="",$D$2=0),0,IF(BI$3&lt;0,0,N(INDEX('CURVA PREVISION'!$A$1:$KZ$3000,$C66,11+3*MIN(BI$3,$D$2-1)))))</f>
        <v/>
      </c>
      <c r="BJ66" s="130">
        <f>IF(OR($C66="",$B$2="",$D$2=0),0,IF(BJ$3&lt;0,0,N(INDEX('CURVA PREVISION'!$A$1:$KZ$3000,$C66,11+3*MIN(BJ$3,$D$2-1)))))</f>
        <v/>
      </c>
      <c r="BK66" s="130">
        <f>IF(OR($C66="",$B$2="",$D$2=0),0,IF(BK$3&lt;0,0,N(INDEX('CURVA PREVISION'!$A$1:$KZ$3000,$C66,11+3*MIN(BK$3,$D$2-1)))))</f>
        <v/>
      </c>
      <c r="BL66" s="130">
        <f>IF(OR($C66="",$B$2="",$D$2=0),0,IF(BL$3&lt;0,0,N(INDEX('CURVA PREVISION'!$A$1:$KZ$3000,$C66,11+3*MIN(BL$3,$D$2-1)))))</f>
        <v/>
      </c>
      <c r="BM66" s="130">
        <f>IF(OR($C66="",$B$2="",$D$2=0),0,IF(BM$3&lt;0,0,N(INDEX('CURVA PREVISION'!$A$1:$KZ$3000,$C66,11+3*MIN(BM$3,$D$2-1)))))</f>
        <v/>
      </c>
      <c r="BN66" s="130">
        <f>IF(OR($C66="",$B$2="",$D$2=0),0,IF(BN$3&lt;0,0,N(INDEX('CURVA PREVISION'!$A$1:$KZ$3000,$C66,11+3*MIN(BN$3,$D$2-1)))))</f>
        <v/>
      </c>
      <c r="BO66" s="130">
        <f>IF(OR($C66="",$B$2="",$D$2=0),0,IF(BO$3&lt;0,0,N(INDEX('CURVA PREVISION'!$A$1:$KZ$3000,$C66,11+3*MIN(BO$3,$D$2-1)))))</f>
        <v/>
      </c>
      <c r="BP66" s="130">
        <f>IF(OR($C66="",$B$2="",$D$2=0),0,IF(BP$3&lt;0,0,N(INDEX('CURVA PREVISION'!$A$1:$KZ$3000,$C66,11+3*MIN(BP$3,$D$2-1)))))</f>
        <v/>
      </c>
      <c r="BQ66" s="130">
        <f>IF(OR($C66="",$B$2="",$D$2=0),0,IF(BQ$3&lt;0,0,N(INDEX('CURVA PREVISION'!$A$1:$KZ$3000,$C66,11+3*MIN(BQ$3,$D$2-1)))))</f>
        <v/>
      </c>
      <c r="BR66" s="130">
        <f>IF(OR($C66="",$B$2="",$D$2=0),0,IF(BR$3&lt;0,0,N(INDEX('CURVA PREVISION'!$A$1:$KZ$3000,$C66,11+3*MIN(BR$3,$D$2-1)))))</f>
        <v/>
      </c>
      <c r="BS66" s="130">
        <f>IF(OR($C66="",$B$2="",$D$2=0),0,IF(BS$3&lt;0,0,N(INDEX('CURVA PREVISION'!$A$1:$KZ$3000,$C66,11+3*MIN(BS$3,$D$2-1)))))</f>
        <v/>
      </c>
      <c r="BT66" s="130">
        <f>IF(OR($C66="",$B$2="",$D$2=0),0,IF(BT$3&lt;0,0,N(INDEX('CURVA PREVISION'!$A$1:$KZ$3000,$C66,11+3*MIN(BT$3,$D$2-1)))))</f>
        <v/>
      </c>
      <c r="BU66" s="130">
        <f>IF(OR($C66="",$B$2="",$D$2=0),0,IF(BU$3&lt;0,0,N(INDEX('CURVA PREVISION'!$A$1:$KZ$3000,$C66,11+3*MIN(BU$3,$D$2-1)))))</f>
        <v/>
      </c>
      <c r="BV66" s="130">
        <f>IF(OR($C66="",$B$2="",$D$2=0),0,IF(BV$3&lt;0,0,N(INDEX('CURVA PREVISION'!$A$1:$KZ$3000,$C66,11+3*MIN(BV$3,$D$2-1)))))</f>
        <v/>
      </c>
      <c r="BW66" s="130">
        <f>IF(OR($C66="",$B$2="",$D$2=0),0,IF(BW$3&lt;0,0,N(INDEX('CURVA PREVISION'!$A$1:$KZ$3000,$C66,11+3*MIN(BW$3,$D$2-1)))))</f>
        <v/>
      </c>
    </row>
    <row r="67">
      <c r="A67" s="61">
        <f>IF('VALOR POR PL'!Q31="",'VALOR POR PL'!C31,'VALOR POR PL'!Q31)</f>
        <v/>
      </c>
      <c r="B67" s="51">
        <f>B25</f>
        <v/>
      </c>
      <c r="C67" s="70">
        <f>IFERROR(MATCH(A67,'CURVA PREVISION'!$B$1:$B$3000,0),"")</f>
        <v/>
      </c>
      <c r="D67" s="130">
        <f>IF(OR($C67="",$B$2="",$D$2=0),0,IF(D$3&lt;0,0,N(INDEX('CURVA PREVISION'!$A$1:$KZ$3000,$C67,11+3*MIN(D$3,$D$2-1)))))</f>
        <v/>
      </c>
      <c r="E67" s="130">
        <f>IF(OR($C67="",$B$2="",$D$2=0),0,IF(E$3&lt;0,0,N(INDEX('CURVA PREVISION'!$A$1:$KZ$3000,$C67,11+3*MIN(E$3,$D$2-1)))))</f>
        <v/>
      </c>
      <c r="F67" s="130">
        <f>IF(OR($C67="",$B$2="",$D$2=0),0,IF(F$3&lt;0,0,N(INDEX('CURVA PREVISION'!$A$1:$KZ$3000,$C67,11+3*MIN(F$3,$D$2-1)))))</f>
        <v/>
      </c>
      <c r="G67" s="130">
        <f>IF(OR($C67="",$B$2="",$D$2=0),0,IF(G$3&lt;0,0,N(INDEX('CURVA PREVISION'!$A$1:$KZ$3000,$C67,11+3*MIN(G$3,$D$2-1)))))</f>
        <v/>
      </c>
      <c r="H67" s="130">
        <f>IF(OR($C67="",$B$2="",$D$2=0),0,IF(H$3&lt;0,0,N(INDEX('CURVA PREVISION'!$A$1:$KZ$3000,$C67,11+3*MIN(H$3,$D$2-1)))))</f>
        <v/>
      </c>
      <c r="I67" s="130">
        <f>IF(OR($C67="",$B$2="",$D$2=0),0,IF(I$3&lt;0,0,N(INDEX('CURVA PREVISION'!$A$1:$KZ$3000,$C67,11+3*MIN(I$3,$D$2-1)))))</f>
        <v/>
      </c>
      <c r="J67" s="130">
        <f>IF(OR($C67="",$B$2="",$D$2=0),0,IF(J$3&lt;0,0,N(INDEX('CURVA PREVISION'!$A$1:$KZ$3000,$C67,11+3*MIN(J$3,$D$2-1)))))</f>
        <v/>
      </c>
      <c r="K67" s="130">
        <f>IF(OR($C67="",$B$2="",$D$2=0),0,IF(K$3&lt;0,0,N(INDEX('CURVA PREVISION'!$A$1:$KZ$3000,$C67,11+3*MIN(K$3,$D$2-1)))))</f>
        <v/>
      </c>
      <c r="L67" s="130">
        <f>IF(OR($C67="",$B$2="",$D$2=0),0,IF(L$3&lt;0,0,N(INDEX('CURVA PREVISION'!$A$1:$KZ$3000,$C67,11+3*MIN(L$3,$D$2-1)))))</f>
        <v/>
      </c>
      <c r="M67" s="130">
        <f>IF(OR($C67="",$B$2="",$D$2=0),0,IF(M$3&lt;0,0,N(INDEX('CURVA PREVISION'!$A$1:$KZ$3000,$C67,11+3*MIN(M$3,$D$2-1)))))</f>
        <v/>
      </c>
      <c r="N67" s="130">
        <f>IF(OR($C67="",$B$2="",$D$2=0),0,IF(N$3&lt;0,0,N(INDEX('CURVA PREVISION'!$A$1:$KZ$3000,$C67,11+3*MIN(N$3,$D$2-1)))))</f>
        <v/>
      </c>
      <c r="O67" s="130">
        <f>IF(OR($C67="",$B$2="",$D$2=0),0,IF(O$3&lt;0,0,N(INDEX('CURVA PREVISION'!$A$1:$KZ$3000,$C67,11+3*MIN(O$3,$D$2-1)))))</f>
        <v/>
      </c>
      <c r="P67" s="130">
        <f>IF(OR($C67="",$B$2="",$D$2=0),0,IF(P$3&lt;0,0,N(INDEX('CURVA PREVISION'!$A$1:$KZ$3000,$C67,11+3*MIN(P$3,$D$2-1)))))</f>
        <v/>
      </c>
      <c r="Q67" s="130">
        <f>IF(OR($C67="",$B$2="",$D$2=0),0,IF(Q$3&lt;0,0,N(INDEX('CURVA PREVISION'!$A$1:$KZ$3000,$C67,11+3*MIN(Q$3,$D$2-1)))))</f>
        <v/>
      </c>
      <c r="R67" s="130">
        <f>IF(OR($C67="",$B$2="",$D$2=0),0,IF(R$3&lt;0,0,N(INDEX('CURVA PREVISION'!$A$1:$KZ$3000,$C67,11+3*MIN(R$3,$D$2-1)))))</f>
        <v/>
      </c>
      <c r="S67" s="130">
        <f>IF(OR($C67="",$B$2="",$D$2=0),0,IF(S$3&lt;0,0,N(INDEX('CURVA PREVISION'!$A$1:$KZ$3000,$C67,11+3*MIN(S$3,$D$2-1)))))</f>
        <v/>
      </c>
      <c r="T67" s="130">
        <f>IF(OR($C67="",$B$2="",$D$2=0),0,IF(T$3&lt;0,0,N(INDEX('CURVA PREVISION'!$A$1:$KZ$3000,$C67,11+3*MIN(T$3,$D$2-1)))))</f>
        <v/>
      </c>
      <c r="U67" s="130">
        <f>IF(OR($C67="",$B$2="",$D$2=0),0,IF(U$3&lt;0,0,N(INDEX('CURVA PREVISION'!$A$1:$KZ$3000,$C67,11+3*MIN(U$3,$D$2-1)))))</f>
        <v/>
      </c>
      <c r="V67" s="130">
        <f>IF(OR($C67="",$B$2="",$D$2=0),0,IF(V$3&lt;0,0,N(INDEX('CURVA PREVISION'!$A$1:$KZ$3000,$C67,11+3*MIN(V$3,$D$2-1)))))</f>
        <v/>
      </c>
      <c r="W67" s="130">
        <f>IF(OR($C67="",$B$2="",$D$2=0),0,IF(W$3&lt;0,0,N(INDEX('CURVA PREVISION'!$A$1:$KZ$3000,$C67,11+3*MIN(W$3,$D$2-1)))))</f>
        <v/>
      </c>
      <c r="X67" s="130">
        <f>IF(OR($C67="",$B$2="",$D$2=0),0,IF(X$3&lt;0,0,N(INDEX('CURVA PREVISION'!$A$1:$KZ$3000,$C67,11+3*MIN(X$3,$D$2-1)))))</f>
        <v/>
      </c>
      <c r="Y67" s="130">
        <f>IF(OR($C67="",$B$2="",$D$2=0),0,IF(Y$3&lt;0,0,N(INDEX('CURVA PREVISION'!$A$1:$KZ$3000,$C67,11+3*MIN(Y$3,$D$2-1)))))</f>
        <v/>
      </c>
      <c r="Z67" s="130">
        <f>IF(OR($C67="",$B$2="",$D$2=0),0,IF(Z$3&lt;0,0,N(INDEX('CURVA PREVISION'!$A$1:$KZ$3000,$C67,11+3*MIN(Z$3,$D$2-1)))))</f>
        <v/>
      </c>
      <c r="AA67" s="130">
        <f>IF(OR($C67="",$B$2="",$D$2=0),0,IF(AA$3&lt;0,0,N(INDEX('CURVA PREVISION'!$A$1:$KZ$3000,$C67,11+3*MIN(AA$3,$D$2-1)))))</f>
        <v/>
      </c>
      <c r="AB67" s="130">
        <f>IF(OR($C67="",$B$2="",$D$2=0),0,IF(AB$3&lt;0,0,N(INDEX('CURVA PREVISION'!$A$1:$KZ$3000,$C67,11+3*MIN(AB$3,$D$2-1)))))</f>
        <v/>
      </c>
      <c r="AC67" s="130">
        <f>IF(OR($C67="",$B$2="",$D$2=0),0,IF(AC$3&lt;0,0,N(INDEX('CURVA PREVISION'!$A$1:$KZ$3000,$C67,11+3*MIN(AC$3,$D$2-1)))))</f>
        <v/>
      </c>
      <c r="AD67" s="130">
        <f>IF(OR($C67="",$B$2="",$D$2=0),0,IF(AD$3&lt;0,0,N(INDEX('CURVA PREVISION'!$A$1:$KZ$3000,$C67,11+3*MIN(AD$3,$D$2-1)))))</f>
        <v/>
      </c>
      <c r="AE67" s="130">
        <f>IF(OR($C67="",$B$2="",$D$2=0),0,IF(AE$3&lt;0,0,N(INDEX('CURVA PREVISION'!$A$1:$KZ$3000,$C67,11+3*MIN(AE$3,$D$2-1)))))</f>
        <v/>
      </c>
      <c r="AF67" s="130">
        <f>IF(OR($C67="",$B$2="",$D$2=0),0,IF(AF$3&lt;0,0,N(INDEX('CURVA PREVISION'!$A$1:$KZ$3000,$C67,11+3*MIN(AF$3,$D$2-1)))))</f>
        <v/>
      </c>
      <c r="AG67" s="130">
        <f>IF(OR($C67="",$B$2="",$D$2=0),0,IF(AG$3&lt;0,0,N(INDEX('CURVA PREVISION'!$A$1:$KZ$3000,$C67,11+3*MIN(AG$3,$D$2-1)))))</f>
        <v/>
      </c>
      <c r="AH67" s="130">
        <f>IF(OR($C67="",$B$2="",$D$2=0),0,IF(AH$3&lt;0,0,N(INDEX('CURVA PREVISION'!$A$1:$KZ$3000,$C67,11+3*MIN(AH$3,$D$2-1)))))</f>
        <v/>
      </c>
      <c r="AI67" s="130">
        <f>IF(OR($C67="",$B$2="",$D$2=0),0,IF(AI$3&lt;0,0,N(INDEX('CURVA PREVISION'!$A$1:$KZ$3000,$C67,11+3*MIN(AI$3,$D$2-1)))))</f>
        <v/>
      </c>
      <c r="AJ67" s="130">
        <f>IF(OR($C67="",$B$2="",$D$2=0),0,IF(AJ$3&lt;0,0,N(INDEX('CURVA PREVISION'!$A$1:$KZ$3000,$C67,11+3*MIN(AJ$3,$D$2-1)))))</f>
        <v/>
      </c>
      <c r="AK67" s="130">
        <f>IF(OR($C67="",$B$2="",$D$2=0),0,IF(AK$3&lt;0,0,N(INDEX('CURVA PREVISION'!$A$1:$KZ$3000,$C67,11+3*MIN(AK$3,$D$2-1)))))</f>
        <v/>
      </c>
      <c r="AL67" s="130">
        <f>IF(OR($C67="",$B$2="",$D$2=0),0,IF(AL$3&lt;0,0,N(INDEX('CURVA PREVISION'!$A$1:$KZ$3000,$C67,11+3*MIN(AL$3,$D$2-1)))))</f>
        <v/>
      </c>
      <c r="AM67" s="130">
        <f>IF(OR($C67="",$B$2="",$D$2=0),0,IF(AM$3&lt;0,0,N(INDEX('CURVA PREVISION'!$A$1:$KZ$3000,$C67,11+3*MIN(AM$3,$D$2-1)))))</f>
        <v/>
      </c>
      <c r="AN67" s="130">
        <f>IF(OR($C67="",$B$2="",$D$2=0),0,IF(AN$3&lt;0,0,N(INDEX('CURVA PREVISION'!$A$1:$KZ$3000,$C67,11+3*MIN(AN$3,$D$2-1)))))</f>
        <v/>
      </c>
      <c r="AO67" s="130">
        <f>IF(OR($C67="",$B$2="",$D$2=0),0,IF(AO$3&lt;0,0,N(INDEX('CURVA PREVISION'!$A$1:$KZ$3000,$C67,11+3*MIN(AO$3,$D$2-1)))))</f>
        <v/>
      </c>
      <c r="AP67" s="130">
        <f>IF(OR($C67="",$B$2="",$D$2=0),0,IF(AP$3&lt;0,0,N(INDEX('CURVA PREVISION'!$A$1:$KZ$3000,$C67,11+3*MIN(AP$3,$D$2-1)))))</f>
        <v/>
      </c>
      <c r="AQ67" s="130">
        <f>IF(OR($C67="",$B$2="",$D$2=0),0,IF(AQ$3&lt;0,0,N(INDEX('CURVA PREVISION'!$A$1:$KZ$3000,$C67,11+3*MIN(AQ$3,$D$2-1)))))</f>
        <v/>
      </c>
      <c r="AR67" s="130">
        <f>IF(OR($C67="",$B$2="",$D$2=0),0,IF(AR$3&lt;0,0,N(INDEX('CURVA PREVISION'!$A$1:$KZ$3000,$C67,11+3*MIN(AR$3,$D$2-1)))))</f>
        <v/>
      </c>
      <c r="AS67" s="130">
        <f>IF(OR($C67="",$B$2="",$D$2=0),0,IF(AS$3&lt;0,0,N(INDEX('CURVA PREVISION'!$A$1:$KZ$3000,$C67,11+3*MIN(AS$3,$D$2-1)))))</f>
        <v/>
      </c>
      <c r="AT67" s="130">
        <f>IF(OR($C67="",$B$2="",$D$2=0),0,IF(AT$3&lt;0,0,N(INDEX('CURVA PREVISION'!$A$1:$KZ$3000,$C67,11+3*MIN(AT$3,$D$2-1)))))</f>
        <v/>
      </c>
      <c r="AU67" s="130">
        <f>IF(OR($C67="",$B$2="",$D$2=0),0,IF(AU$3&lt;0,0,N(INDEX('CURVA PREVISION'!$A$1:$KZ$3000,$C67,11+3*MIN(AU$3,$D$2-1)))))</f>
        <v/>
      </c>
      <c r="AV67" s="130">
        <f>IF(OR($C67="",$B$2="",$D$2=0),0,IF(AV$3&lt;0,0,N(INDEX('CURVA PREVISION'!$A$1:$KZ$3000,$C67,11+3*MIN(AV$3,$D$2-1)))))</f>
        <v/>
      </c>
      <c r="AW67" s="130">
        <f>IF(OR($C67="",$B$2="",$D$2=0),0,IF(AW$3&lt;0,0,N(INDEX('CURVA PREVISION'!$A$1:$KZ$3000,$C67,11+3*MIN(AW$3,$D$2-1)))))</f>
        <v/>
      </c>
      <c r="AX67" s="130">
        <f>IF(OR($C67="",$B$2="",$D$2=0),0,IF(AX$3&lt;0,0,N(INDEX('CURVA PREVISION'!$A$1:$KZ$3000,$C67,11+3*MIN(AX$3,$D$2-1)))))</f>
        <v/>
      </c>
      <c r="AY67" s="130">
        <f>IF(OR($C67="",$B$2="",$D$2=0),0,IF(AY$3&lt;0,0,N(INDEX('CURVA PREVISION'!$A$1:$KZ$3000,$C67,11+3*MIN(AY$3,$D$2-1)))))</f>
        <v/>
      </c>
      <c r="AZ67" s="130">
        <f>IF(OR($C67="",$B$2="",$D$2=0),0,IF(AZ$3&lt;0,0,N(INDEX('CURVA PREVISION'!$A$1:$KZ$3000,$C67,11+3*MIN(AZ$3,$D$2-1)))))</f>
        <v/>
      </c>
      <c r="BA67" s="130">
        <f>IF(OR($C67="",$B$2="",$D$2=0),0,IF(BA$3&lt;0,0,N(INDEX('CURVA PREVISION'!$A$1:$KZ$3000,$C67,11+3*MIN(BA$3,$D$2-1)))))</f>
        <v/>
      </c>
      <c r="BB67" s="130">
        <f>IF(OR($C67="",$B$2="",$D$2=0),0,IF(BB$3&lt;0,0,N(INDEX('CURVA PREVISION'!$A$1:$KZ$3000,$C67,11+3*MIN(BB$3,$D$2-1)))))</f>
        <v/>
      </c>
      <c r="BC67" s="130">
        <f>IF(OR($C67="",$B$2="",$D$2=0),0,IF(BC$3&lt;0,0,N(INDEX('CURVA PREVISION'!$A$1:$KZ$3000,$C67,11+3*MIN(BC$3,$D$2-1)))))</f>
        <v/>
      </c>
      <c r="BD67" s="130">
        <f>IF(OR($C67="",$B$2="",$D$2=0),0,IF(BD$3&lt;0,0,N(INDEX('CURVA PREVISION'!$A$1:$KZ$3000,$C67,11+3*MIN(BD$3,$D$2-1)))))</f>
        <v/>
      </c>
      <c r="BE67" s="130">
        <f>IF(OR($C67="",$B$2="",$D$2=0),0,IF(BE$3&lt;0,0,N(INDEX('CURVA PREVISION'!$A$1:$KZ$3000,$C67,11+3*MIN(BE$3,$D$2-1)))))</f>
        <v/>
      </c>
      <c r="BF67" s="130">
        <f>IF(OR($C67="",$B$2="",$D$2=0),0,IF(BF$3&lt;0,0,N(INDEX('CURVA PREVISION'!$A$1:$KZ$3000,$C67,11+3*MIN(BF$3,$D$2-1)))))</f>
        <v/>
      </c>
      <c r="BG67" s="130">
        <f>IF(OR($C67="",$B$2="",$D$2=0),0,IF(BG$3&lt;0,0,N(INDEX('CURVA PREVISION'!$A$1:$KZ$3000,$C67,11+3*MIN(BG$3,$D$2-1)))))</f>
        <v/>
      </c>
      <c r="BH67" s="130">
        <f>IF(OR($C67="",$B$2="",$D$2=0),0,IF(BH$3&lt;0,0,N(INDEX('CURVA PREVISION'!$A$1:$KZ$3000,$C67,11+3*MIN(BH$3,$D$2-1)))))</f>
        <v/>
      </c>
      <c r="BI67" s="130">
        <f>IF(OR($C67="",$B$2="",$D$2=0),0,IF(BI$3&lt;0,0,N(INDEX('CURVA PREVISION'!$A$1:$KZ$3000,$C67,11+3*MIN(BI$3,$D$2-1)))))</f>
        <v/>
      </c>
      <c r="BJ67" s="130">
        <f>IF(OR($C67="",$B$2="",$D$2=0),0,IF(BJ$3&lt;0,0,N(INDEX('CURVA PREVISION'!$A$1:$KZ$3000,$C67,11+3*MIN(BJ$3,$D$2-1)))))</f>
        <v/>
      </c>
      <c r="BK67" s="130">
        <f>IF(OR($C67="",$B$2="",$D$2=0),0,IF(BK$3&lt;0,0,N(INDEX('CURVA PREVISION'!$A$1:$KZ$3000,$C67,11+3*MIN(BK$3,$D$2-1)))))</f>
        <v/>
      </c>
      <c r="BL67" s="130">
        <f>IF(OR($C67="",$B$2="",$D$2=0),0,IF(BL$3&lt;0,0,N(INDEX('CURVA PREVISION'!$A$1:$KZ$3000,$C67,11+3*MIN(BL$3,$D$2-1)))))</f>
        <v/>
      </c>
      <c r="BM67" s="130">
        <f>IF(OR($C67="",$B$2="",$D$2=0),0,IF(BM$3&lt;0,0,N(INDEX('CURVA PREVISION'!$A$1:$KZ$3000,$C67,11+3*MIN(BM$3,$D$2-1)))))</f>
        <v/>
      </c>
      <c r="BN67" s="130">
        <f>IF(OR($C67="",$B$2="",$D$2=0),0,IF(BN$3&lt;0,0,N(INDEX('CURVA PREVISION'!$A$1:$KZ$3000,$C67,11+3*MIN(BN$3,$D$2-1)))))</f>
        <v/>
      </c>
      <c r="BO67" s="130">
        <f>IF(OR($C67="",$B$2="",$D$2=0),0,IF(BO$3&lt;0,0,N(INDEX('CURVA PREVISION'!$A$1:$KZ$3000,$C67,11+3*MIN(BO$3,$D$2-1)))))</f>
        <v/>
      </c>
      <c r="BP67" s="130">
        <f>IF(OR($C67="",$B$2="",$D$2=0),0,IF(BP$3&lt;0,0,N(INDEX('CURVA PREVISION'!$A$1:$KZ$3000,$C67,11+3*MIN(BP$3,$D$2-1)))))</f>
        <v/>
      </c>
      <c r="BQ67" s="130">
        <f>IF(OR($C67="",$B$2="",$D$2=0),0,IF(BQ$3&lt;0,0,N(INDEX('CURVA PREVISION'!$A$1:$KZ$3000,$C67,11+3*MIN(BQ$3,$D$2-1)))))</f>
        <v/>
      </c>
      <c r="BR67" s="130">
        <f>IF(OR($C67="",$B$2="",$D$2=0),0,IF(BR$3&lt;0,0,N(INDEX('CURVA PREVISION'!$A$1:$KZ$3000,$C67,11+3*MIN(BR$3,$D$2-1)))))</f>
        <v/>
      </c>
      <c r="BS67" s="130">
        <f>IF(OR($C67="",$B$2="",$D$2=0),0,IF(BS$3&lt;0,0,N(INDEX('CURVA PREVISION'!$A$1:$KZ$3000,$C67,11+3*MIN(BS$3,$D$2-1)))))</f>
        <v/>
      </c>
      <c r="BT67" s="130">
        <f>IF(OR($C67="",$B$2="",$D$2=0),0,IF(BT$3&lt;0,0,N(INDEX('CURVA PREVISION'!$A$1:$KZ$3000,$C67,11+3*MIN(BT$3,$D$2-1)))))</f>
        <v/>
      </c>
      <c r="BU67" s="130">
        <f>IF(OR($C67="",$B$2="",$D$2=0),0,IF(BU$3&lt;0,0,N(INDEX('CURVA PREVISION'!$A$1:$KZ$3000,$C67,11+3*MIN(BU$3,$D$2-1)))))</f>
        <v/>
      </c>
      <c r="BV67" s="130">
        <f>IF(OR($C67="",$B$2="",$D$2=0),0,IF(BV$3&lt;0,0,N(INDEX('CURVA PREVISION'!$A$1:$KZ$3000,$C67,11+3*MIN(BV$3,$D$2-1)))))</f>
        <v/>
      </c>
      <c r="BW67" s="130">
        <f>IF(OR($C67="",$B$2="",$D$2=0),0,IF(BW$3&lt;0,0,N(INDEX('CURVA PREVISION'!$A$1:$KZ$3000,$C67,11+3*MIN(BW$3,$D$2-1)))))</f>
        <v/>
      </c>
    </row>
    <row r="68">
      <c r="A68" s="61">
        <f>IF('VALOR POR PL'!Q32="",'VALOR POR PL'!C32,'VALOR POR PL'!Q32)</f>
        <v/>
      </c>
      <c r="B68" s="51">
        <f>B26</f>
        <v/>
      </c>
      <c r="C68" s="70">
        <f>IFERROR(MATCH(A68,'CURVA PREVISION'!$B$1:$B$3000,0),"")</f>
        <v/>
      </c>
      <c r="D68" s="130">
        <f>IF(OR($C68="",$B$2="",$D$2=0),0,IF(D$3&lt;0,0,N(INDEX('CURVA PREVISION'!$A$1:$KZ$3000,$C68,11+3*MIN(D$3,$D$2-1)))))</f>
        <v/>
      </c>
      <c r="E68" s="130">
        <f>IF(OR($C68="",$B$2="",$D$2=0),0,IF(E$3&lt;0,0,N(INDEX('CURVA PREVISION'!$A$1:$KZ$3000,$C68,11+3*MIN(E$3,$D$2-1)))))</f>
        <v/>
      </c>
      <c r="F68" s="130">
        <f>IF(OR($C68="",$B$2="",$D$2=0),0,IF(F$3&lt;0,0,N(INDEX('CURVA PREVISION'!$A$1:$KZ$3000,$C68,11+3*MIN(F$3,$D$2-1)))))</f>
        <v/>
      </c>
      <c r="G68" s="130">
        <f>IF(OR($C68="",$B$2="",$D$2=0),0,IF(G$3&lt;0,0,N(INDEX('CURVA PREVISION'!$A$1:$KZ$3000,$C68,11+3*MIN(G$3,$D$2-1)))))</f>
        <v/>
      </c>
      <c r="H68" s="130">
        <f>IF(OR($C68="",$B$2="",$D$2=0),0,IF(H$3&lt;0,0,N(INDEX('CURVA PREVISION'!$A$1:$KZ$3000,$C68,11+3*MIN(H$3,$D$2-1)))))</f>
        <v/>
      </c>
      <c r="I68" s="130">
        <f>IF(OR($C68="",$B$2="",$D$2=0),0,IF(I$3&lt;0,0,N(INDEX('CURVA PREVISION'!$A$1:$KZ$3000,$C68,11+3*MIN(I$3,$D$2-1)))))</f>
        <v/>
      </c>
      <c r="J68" s="130">
        <f>IF(OR($C68="",$B$2="",$D$2=0),0,IF(J$3&lt;0,0,N(INDEX('CURVA PREVISION'!$A$1:$KZ$3000,$C68,11+3*MIN(J$3,$D$2-1)))))</f>
        <v/>
      </c>
      <c r="K68" s="130">
        <f>IF(OR($C68="",$B$2="",$D$2=0),0,IF(K$3&lt;0,0,N(INDEX('CURVA PREVISION'!$A$1:$KZ$3000,$C68,11+3*MIN(K$3,$D$2-1)))))</f>
        <v/>
      </c>
      <c r="L68" s="130">
        <f>IF(OR($C68="",$B$2="",$D$2=0),0,IF(L$3&lt;0,0,N(INDEX('CURVA PREVISION'!$A$1:$KZ$3000,$C68,11+3*MIN(L$3,$D$2-1)))))</f>
        <v/>
      </c>
      <c r="M68" s="130">
        <f>IF(OR($C68="",$B$2="",$D$2=0),0,IF(M$3&lt;0,0,N(INDEX('CURVA PREVISION'!$A$1:$KZ$3000,$C68,11+3*MIN(M$3,$D$2-1)))))</f>
        <v/>
      </c>
      <c r="N68" s="130">
        <f>IF(OR($C68="",$B$2="",$D$2=0),0,IF(N$3&lt;0,0,N(INDEX('CURVA PREVISION'!$A$1:$KZ$3000,$C68,11+3*MIN(N$3,$D$2-1)))))</f>
        <v/>
      </c>
      <c r="O68" s="130">
        <f>IF(OR($C68="",$B$2="",$D$2=0),0,IF(O$3&lt;0,0,N(INDEX('CURVA PREVISION'!$A$1:$KZ$3000,$C68,11+3*MIN(O$3,$D$2-1)))))</f>
        <v/>
      </c>
      <c r="P68" s="130">
        <f>IF(OR($C68="",$B$2="",$D$2=0),0,IF(P$3&lt;0,0,N(INDEX('CURVA PREVISION'!$A$1:$KZ$3000,$C68,11+3*MIN(P$3,$D$2-1)))))</f>
        <v/>
      </c>
      <c r="Q68" s="130">
        <f>IF(OR($C68="",$B$2="",$D$2=0),0,IF(Q$3&lt;0,0,N(INDEX('CURVA PREVISION'!$A$1:$KZ$3000,$C68,11+3*MIN(Q$3,$D$2-1)))))</f>
        <v/>
      </c>
      <c r="R68" s="130">
        <f>IF(OR($C68="",$B$2="",$D$2=0),0,IF(R$3&lt;0,0,N(INDEX('CURVA PREVISION'!$A$1:$KZ$3000,$C68,11+3*MIN(R$3,$D$2-1)))))</f>
        <v/>
      </c>
      <c r="S68" s="130">
        <f>IF(OR($C68="",$B$2="",$D$2=0),0,IF(S$3&lt;0,0,N(INDEX('CURVA PREVISION'!$A$1:$KZ$3000,$C68,11+3*MIN(S$3,$D$2-1)))))</f>
        <v/>
      </c>
      <c r="T68" s="130">
        <f>IF(OR($C68="",$B$2="",$D$2=0),0,IF(T$3&lt;0,0,N(INDEX('CURVA PREVISION'!$A$1:$KZ$3000,$C68,11+3*MIN(T$3,$D$2-1)))))</f>
        <v/>
      </c>
      <c r="U68" s="130">
        <f>IF(OR($C68="",$B$2="",$D$2=0),0,IF(U$3&lt;0,0,N(INDEX('CURVA PREVISION'!$A$1:$KZ$3000,$C68,11+3*MIN(U$3,$D$2-1)))))</f>
        <v/>
      </c>
      <c r="V68" s="130">
        <f>IF(OR($C68="",$B$2="",$D$2=0),0,IF(V$3&lt;0,0,N(INDEX('CURVA PREVISION'!$A$1:$KZ$3000,$C68,11+3*MIN(V$3,$D$2-1)))))</f>
        <v/>
      </c>
      <c r="W68" s="130">
        <f>IF(OR($C68="",$B$2="",$D$2=0),0,IF(W$3&lt;0,0,N(INDEX('CURVA PREVISION'!$A$1:$KZ$3000,$C68,11+3*MIN(W$3,$D$2-1)))))</f>
        <v/>
      </c>
      <c r="X68" s="130">
        <f>IF(OR($C68="",$B$2="",$D$2=0),0,IF(X$3&lt;0,0,N(INDEX('CURVA PREVISION'!$A$1:$KZ$3000,$C68,11+3*MIN(X$3,$D$2-1)))))</f>
        <v/>
      </c>
      <c r="Y68" s="130">
        <f>IF(OR($C68="",$B$2="",$D$2=0),0,IF(Y$3&lt;0,0,N(INDEX('CURVA PREVISION'!$A$1:$KZ$3000,$C68,11+3*MIN(Y$3,$D$2-1)))))</f>
        <v/>
      </c>
      <c r="Z68" s="130">
        <f>IF(OR($C68="",$B$2="",$D$2=0),0,IF(Z$3&lt;0,0,N(INDEX('CURVA PREVISION'!$A$1:$KZ$3000,$C68,11+3*MIN(Z$3,$D$2-1)))))</f>
        <v/>
      </c>
      <c r="AA68" s="130">
        <f>IF(OR($C68="",$B$2="",$D$2=0),0,IF(AA$3&lt;0,0,N(INDEX('CURVA PREVISION'!$A$1:$KZ$3000,$C68,11+3*MIN(AA$3,$D$2-1)))))</f>
        <v/>
      </c>
      <c r="AB68" s="130">
        <f>IF(OR($C68="",$B$2="",$D$2=0),0,IF(AB$3&lt;0,0,N(INDEX('CURVA PREVISION'!$A$1:$KZ$3000,$C68,11+3*MIN(AB$3,$D$2-1)))))</f>
        <v/>
      </c>
      <c r="AC68" s="130">
        <f>IF(OR($C68="",$B$2="",$D$2=0),0,IF(AC$3&lt;0,0,N(INDEX('CURVA PREVISION'!$A$1:$KZ$3000,$C68,11+3*MIN(AC$3,$D$2-1)))))</f>
        <v/>
      </c>
      <c r="AD68" s="130">
        <f>IF(OR($C68="",$B$2="",$D$2=0),0,IF(AD$3&lt;0,0,N(INDEX('CURVA PREVISION'!$A$1:$KZ$3000,$C68,11+3*MIN(AD$3,$D$2-1)))))</f>
        <v/>
      </c>
      <c r="AE68" s="130">
        <f>IF(OR($C68="",$B$2="",$D$2=0),0,IF(AE$3&lt;0,0,N(INDEX('CURVA PREVISION'!$A$1:$KZ$3000,$C68,11+3*MIN(AE$3,$D$2-1)))))</f>
        <v/>
      </c>
      <c r="AF68" s="130">
        <f>IF(OR($C68="",$B$2="",$D$2=0),0,IF(AF$3&lt;0,0,N(INDEX('CURVA PREVISION'!$A$1:$KZ$3000,$C68,11+3*MIN(AF$3,$D$2-1)))))</f>
        <v/>
      </c>
      <c r="AG68" s="130">
        <f>IF(OR($C68="",$B$2="",$D$2=0),0,IF(AG$3&lt;0,0,N(INDEX('CURVA PREVISION'!$A$1:$KZ$3000,$C68,11+3*MIN(AG$3,$D$2-1)))))</f>
        <v/>
      </c>
      <c r="AH68" s="130">
        <f>IF(OR($C68="",$B$2="",$D$2=0),0,IF(AH$3&lt;0,0,N(INDEX('CURVA PREVISION'!$A$1:$KZ$3000,$C68,11+3*MIN(AH$3,$D$2-1)))))</f>
        <v/>
      </c>
      <c r="AI68" s="130">
        <f>IF(OR($C68="",$B$2="",$D$2=0),0,IF(AI$3&lt;0,0,N(INDEX('CURVA PREVISION'!$A$1:$KZ$3000,$C68,11+3*MIN(AI$3,$D$2-1)))))</f>
        <v/>
      </c>
      <c r="AJ68" s="130">
        <f>IF(OR($C68="",$B$2="",$D$2=0),0,IF(AJ$3&lt;0,0,N(INDEX('CURVA PREVISION'!$A$1:$KZ$3000,$C68,11+3*MIN(AJ$3,$D$2-1)))))</f>
        <v/>
      </c>
      <c r="AK68" s="130">
        <f>IF(OR($C68="",$B$2="",$D$2=0),0,IF(AK$3&lt;0,0,N(INDEX('CURVA PREVISION'!$A$1:$KZ$3000,$C68,11+3*MIN(AK$3,$D$2-1)))))</f>
        <v/>
      </c>
      <c r="AL68" s="130">
        <f>IF(OR($C68="",$B$2="",$D$2=0),0,IF(AL$3&lt;0,0,N(INDEX('CURVA PREVISION'!$A$1:$KZ$3000,$C68,11+3*MIN(AL$3,$D$2-1)))))</f>
        <v/>
      </c>
      <c r="AM68" s="130">
        <f>IF(OR($C68="",$B$2="",$D$2=0),0,IF(AM$3&lt;0,0,N(INDEX('CURVA PREVISION'!$A$1:$KZ$3000,$C68,11+3*MIN(AM$3,$D$2-1)))))</f>
        <v/>
      </c>
      <c r="AN68" s="130">
        <f>IF(OR($C68="",$B$2="",$D$2=0),0,IF(AN$3&lt;0,0,N(INDEX('CURVA PREVISION'!$A$1:$KZ$3000,$C68,11+3*MIN(AN$3,$D$2-1)))))</f>
        <v/>
      </c>
      <c r="AO68" s="130">
        <f>IF(OR($C68="",$B$2="",$D$2=0),0,IF(AO$3&lt;0,0,N(INDEX('CURVA PREVISION'!$A$1:$KZ$3000,$C68,11+3*MIN(AO$3,$D$2-1)))))</f>
        <v/>
      </c>
      <c r="AP68" s="130">
        <f>IF(OR($C68="",$B$2="",$D$2=0),0,IF(AP$3&lt;0,0,N(INDEX('CURVA PREVISION'!$A$1:$KZ$3000,$C68,11+3*MIN(AP$3,$D$2-1)))))</f>
        <v/>
      </c>
      <c r="AQ68" s="130">
        <f>IF(OR($C68="",$B$2="",$D$2=0),0,IF(AQ$3&lt;0,0,N(INDEX('CURVA PREVISION'!$A$1:$KZ$3000,$C68,11+3*MIN(AQ$3,$D$2-1)))))</f>
        <v/>
      </c>
      <c r="AR68" s="130">
        <f>IF(OR($C68="",$B$2="",$D$2=0),0,IF(AR$3&lt;0,0,N(INDEX('CURVA PREVISION'!$A$1:$KZ$3000,$C68,11+3*MIN(AR$3,$D$2-1)))))</f>
        <v/>
      </c>
      <c r="AS68" s="130">
        <f>IF(OR($C68="",$B$2="",$D$2=0),0,IF(AS$3&lt;0,0,N(INDEX('CURVA PREVISION'!$A$1:$KZ$3000,$C68,11+3*MIN(AS$3,$D$2-1)))))</f>
        <v/>
      </c>
      <c r="AT68" s="130">
        <f>IF(OR($C68="",$B$2="",$D$2=0),0,IF(AT$3&lt;0,0,N(INDEX('CURVA PREVISION'!$A$1:$KZ$3000,$C68,11+3*MIN(AT$3,$D$2-1)))))</f>
        <v/>
      </c>
      <c r="AU68" s="130">
        <f>IF(OR($C68="",$B$2="",$D$2=0),0,IF(AU$3&lt;0,0,N(INDEX('CURVA PREVISION'!$A$1:$KZ$3000,$C68,11+3*MIN(AU$3,$D$2-1)))))</f>
        <v/>
      </c>
      <c r="AV68" s="130">
        <f>IF(OR($C68="",$B$2="",$D$2=0),0,IF(AV$3&lt;0,0,N(INDEX('CURVA PREVISION'!$A$1:$KZ$3000,$C68,11+3*MIN(AV$3,$D$2-1)))))</f>
        <v/>
      </c>
      <c r="AW68" s="130">
        <f>IF(OR($C68="",$B$2="",$D$2=0),0,IF(AW$3&lt;0,0,N(INDEX('CURVA PREVISION'!$A$1:$KZ$3000,$C68,11+3*MIN(AW$3,$D$2-1)))))</f>
        <v/>
      </c>
      <c r="AX68" s="130">
        <f>IF(OR($C68="",$B$2="",$D$2=0),0,IF(AX$3&lt;0,0,N(INDEX('CURVA PREVISION'!$A$1:$KZ$3000,$C68,11+3*MIN(AX$3,$D$2-1)))))</f>
        <v/>
      </c>
      <c r="AY68" s="130">
        <f>IF(OR($C68="",$B$2="",$D$2=0),0,IF(AY$3&lt;0,0,N(INDEX('CURVA PREVISION'!$A$1:$KZ$3000,$C68,11+3*MIN(AY$3,$D$2-1)))))</f>
        <v/>
      </c>
      <c r="AZ68" s="130">
        <f>IF(OR($C68="",$B$2="",$D$2=0),0,IF(AZ$3&lt;0,0,N(INDEX('CURVA PREVISION'!$A$1:$KZ$3000,$C68,11+3*MIN(AZ$3,$D$2-1)))))</f>
        <v/>
      </c>
      <c r="BA68" s="130">
        <f>IF(OR($C68="",$B$2="",$D$2=0),0,IF(BA$3&lt;0,0,N(INDEX('CURVA PREVISION'!$A$1:$KZ$3000,$C68,11+3*MIN(BA$3,$D$2-1)))))</f>
        <v/>
      </c>
      <c r="BB68" s="130">
        <f>IF(OR($C68="",$B$2="",$D$2=0),0,IF(BB$3&lt;0,0,N(INDEX('CURVA PREVISION'!$A$1:$KZ$3000,$C68,11+3*MIN(BB$3,$D$2-1)))))</f>
        <v/>
      </c>
      <c r="BC68" s="130">
        <f>IF(OR($C68="",$B$2="",$D$2=0),0,IF(BC$3&lt;0,0,N(INDEX('CURVA PREVISION'!$A$1:$KZ$3000,$C68,11+3*MIN(BC$3,$D$2-1)))))</f>
        <v/>
      </c>
      <c r="BD68" s="130">
        <f>IF(OR($C68="",$B$2="",$D$2=0),0,IF(BD$3&lt;0,0,N(INDEX('CURVA PREVISION'!$A$1:$KZ$3000,$C68,11+3*MIN(BD$3,$D$2-1)))))</f>
        <v/>
      </c>
      <c r="BE68" s="130">
        <f>IF(OR($C68="",$B$2="",$D$2=0),0,IF(BE$3&lt;0,0,N(INDEX('CURVA PREVISION'!$A$1:$KZ$3000,$C68,11+3*MIN(BE$3,$D$2-1)))))</f>
        <v/>
      </c>
      <c r="BF68" s="130">
        <f>IF(OR($C68="",$B$2="",$D$2=0),0,IF(BF$3&lt;0,0,N(INDEX('CURVA PREVISION'!$A$1:$KZ$3000,$C68,11+3*MIN(BF$3,$D$2-1)))))</f>
        <v/>
      </c>
      <c r="BG68" s="130">
        <f>IF(OR($C68="",$B$2="",$D$2=0),0,IF(BG$3&lt;0,0,N(INDEX('CURVA PREVISION'!$A$1:$KZ$3000,$C68,11+3*MIN(BG$3,$D$2-1)))))</f>
        <v/>
      </c>
      <c r="BH68" s="130">
        <f>IF(OR($C68="",$B$2="",$D$2=0),0,IF(BH$3&lt;0,0,N(INDEX('CURVA PREVISION'!$A$1:$KZ$3000,$C68,11+3*MIN(BH$3,$D$2-1)))))</f>
        <v/>
      </c>
      <c r="BI68" s="130">
        <f>IF(OR($C68="",$B$2="",$D$2=0),0,IF(BI$3&lt;0,0,N(INDEX('CURVA PREVISION'!$A$1:$KZ$3000,$C68,11+3*MIN(BI$3,$D$2-1)))))</f>
        <v/>
      </c>
      <c r="BJ68" s="130">
        <f>IF(OR($C68="",$B$2="",$D$2=0),0,IF(BJ$3&lt;0,0,N(INDEX('CURVA PREVISION'!$A$1:$KZ$3000,$C68,11+3*MIN(BJ$3,$D$2-1)))))</f>
        <v/>
      </c>
      <c r="BK68" s="130">
        <f>IF(OR($C68="",$B$2="",$D$2=0),0,IF(BK$3&lt;0,0,N(INDEX('CURVA PREVISION'!$A$1:$KZ$3000,$C68,11+3*MIN(BK$3,$D$2-1)))))</f>
        <v/>
      </c>
      <c r="BL68" s="130">
        <f>IF(OR($C68="",$B$2="",$D$2=0),0,IF(BL$3&lt;0,0,N(INDEX('CURVA PREVISION'!$A$1:$KZ$3000,$C68,11+3*MIN(BL$3,$D$2-1)))))</f>
        <v/>
      </c>
      <c r="BM68" s="130">
        <f>IF(OR($C68="",$B$2="",$D$2=0),0,IF(BM$3&lt;0,0,N(INDEX('CURVA PREVISION'!$A$1:$KZ$3000,$C68,11+3*MIN(BM$3,$D$2-1)))))</f>
        <v/>
      </c>
      <c r="BN68" s="130">
        <f>IF(OR($C68="",$B$2="",$D$2=0),0,IF(BN$3&lt;0,0,N(INDEX('CURVA PREVISION'!$A$1:$KZ$3000,$C68,11+3*MIN(BN$3,$D$2-1)))))</f>
        <v/>
      </c>
      <c r="BO68" s="130">
        <f>IF(OR($C68="",$B$2="",$D$2=0),0,IF(BO$3&lt;0,0,N(INDEX('CURVA PREVISION'!$A$1:$KZ$3000,$C68,11+3*MIN(BO$3,$D$2-1)))))</f>
        <v/>
      </c>
      <c r="BP68" s="130">
        <f>IF(OR($C68="",$B$2="",$D$2=0),0,IF(BP$3&lt;0,0,N(INDEX('CURVA PREVISION'!$A$1:$KZ$3000,$C68,11+3*MIN(BP$3,$D$2-1)))))</f>
        <v/>
      </c>
      <c r="BQ68" s="130">
        <f>IF(OR($C68="",$B$2="",$D$2=0),0,IF(BQ$3&lt;0,0,N(INDEX('CURVA PREVISION'!$A$1:$KZ$3000,$C68,11+3*MIN(BQ$3,$D$2-1)))))</f>
        <v/>
      </c>
      <c r="BR68" s="130">
        <f>IF(OR($C68="",$B$2="",$D$2=0),0,IF(BR$3&lt;0,0,N(INDEX('CURVA PREVISION'!$A$1:$KZ$3000,$C68,11+3*MIN(BR$3,$D$2-1)))))</f>
        <v/>
      </c>
      <c r="BS68" s="130">
        <f>IF(OR($C68="",$B$2="",$D$2=0),0,IF(BS$3&lt;0,0,N(INDEX('CURVA PREVISION'!$A$1:$KZ$3000,$C68,11+3*MIN(BS$3,$D$2-1)))))</f>
        <v/>
      </c>
      <c r="BT68" s="130">
        <f>IF(OR($C68="",$B$2="",$D$2=0),0,IF(BT$3&lt;0,0,N(INDEX('CURVA PREVISION'!$A$1:$KZ$3000,$C68,11+3*MIN(BT$3,$D$2-1)))))</f>
        <v/>
      </c>
      <c r="BU68" s="130">
        <f>IF(OR($C68="",$B$2="",$D$2=0),0,IF(BU$3&lt;0,0,N(INDEX('CURVA PREVISION'!$A$1:$KZ$3000,$C68,11+3*MIN(BU$3,$D$2-1)))))</f>
        <v/>
      </c>
      <c r="BV68" s="130">
        <f>IF(OR($C68="",$B$2="",$D$2=0),0,IF(BV$3&lt;0,0,N(INDEX('CURVA PREVISION'!$A$1:$KZ$3000,$C68,11+3*MIN(BV$3,$D$2-1)))))</f>
        <v/>
      </c>
      <c r="BW68" s="130">
        <f>IF(OR($C68="",$B$2="",$D$2=0),0,IF(BW$3&lt;0,0,N(INDEX('CURVA PREVISION'!$A$1:$KZ$3000,$C68,11+3*MIN(BW$3,$D$2-1)))))</f>
        <v/>
      </c>
    </row>
    <row r="69">
      <c r="A69" s="61">
        <f>IF('VALOR POR PL'!Q33="",'VALOR POR PL'!C33,'VALOR POR PL'!Q33)</f>
        <v/>
      </c>
      <c r="B69" s="51">
        <f>B27</f>
        <v/>
      </c>
      <c r="C69" s="70">
        <f>IFERROR(MATCH(A69,'CURVA PREVISION'!$B$1:$B$3000,0),"")</f>
        <v/>
      </c>
      <c r="D69" s="130">
        <f>IF(OR($C69="",$B$2="",$D$2=0),0,IF(D$3&lt;0,0,N(INDEX('CURVA PREVISION'!$A$1:$KZ$3000,$C69,11+3*MIN(D$3,$D$2-1)))))</f>
        <v/>
      </c>
      <c r="E69" s="130">
        <f>IF(OR($C69="",$B$2="",$D$2=0),0,IF(E$3&lt;0,0,N(INDEX('CURVA PREVISION'!$A$1:$KZ$3000,$C69,11+3*MIN(E$3,$D$2-1)))))</f>
        <v/>
      </c>
      <c r="F69" s="130">
        <f>IF(OR($C69="",$B$2="",$D$2=0),0,IF(F$3&lt;0,0,N(INDEX('CURVA PREVISION'!$A$1:$KZ$3000,$C69,11+3*MIN(F$3,$D$2-1)))))</f>
        <v/>
      </c>
      <c r="G69" s="130">
        <f>IF(OR($C69="",$B$2="",$D$2=0),0,IF(G$3&lt;0,0,N(INDEX('CURVA PREVISION'!$A$1:$KZ$3000,$C69,11+3*MIN(G$3,$D$2-1)))))</f>
        <v/>
      </c>
      <c r="H69" s="130">
        <f>IF(OR($C69="",$B$2="",$D$2=0),0,IF(H$3&lt;0,0,N(INDEX('CURVA PREVISION'!$A$1:$KZ$3000,$C69,11+3*MIN(H$3,$D$2-1)))))</f>
        <v/>
      </c>
      <c r="I69" s="130">
        <f>IF(OR($C69="",$B$2="",$D$2=0),0,IF(I$3&lt;0,0,N(INDEX('CURVA PREVISION'!$A$1:$KZ$3000,$C69,11+3*MIN(I$3,$D$2-1)))))</f>
        <v/>
      </c>
      <c r="J69" s="130">
        <f>IF(OR($C69="",$B$2="",$D$2=0),0,IF(J$3&lt;0,0,N(INDEX('CURVA PREVISION'!$A$1:$KZ$3000,$C69,11+3*MIN(J$3,$D$2-1)))))</f>
        <v/>
      </c>
      <c r="K69" s="130">
        <f>IF(OR($C69="",$B$2="",$D$2=0),0,IF(K$3&lt;0,0,N(INDEX('CURVA PREVISION'!$A$1:$KZ$3000,$C69,11+3*MIN(K$3,$D$2-1)))))</f>
        <v/>
      </c>
      <c r="L69" s="130">
        <f>IF(OR($C69="",$B$2="",$D$2=0),0,IF(L$3&lt;0,0,N(INDEX('CURVA PREVISION'!$A$1:$KZ$3000,$C69,11+3*MIN(L$3,$D$2-1)))))</f>
        <v/>
      </c>
      <c r="M69" s="130">
        <f>IF(OR($C69="",$B$2="",$D$2=0),0,IF(M$3&lt;0,0,N(INDEX('CURVA PREVISION'!$A$1:$KZ$3000,$C69,11+3*MIN(M$3,$D$2-1)))))</f>
        <v/>
      </c>
      <c r="N69" s="130">
        <f>IF(OR($C69="",$B$2="",$D$2=0),0,IF(N$3&lt;0,0,N(INDEX('CURVA PREVISION'!$A$1:$KZ$3000,$C69,11+3*MIN(N$3,$D$2-1)))))</f>
        <v/>
      </c>
      <c r="O69" s="130">
        <f>IF(OR($C69="",$B$2="",$D$2=0),0,IF(O$3&lt;0,0,N(INDEX('CURVA PREVISION'!$A$1:$KZ$3000,$C69,11+3*MIN(O$3,$D$2-1)))))</f>
        <v/>
      </c>
      <c r="P69" s="130">
        <f>IF(OR($C69="",$B$2="",$D$2=0),0,IF(P$3&lt;0,0,N(INDEX('CURVA PREVISION'!$A$1:$KZ$3000,$C69,11+3*MIN(P$3,$D$2-1)))))</f>
        <v/>
      </c>
      <c r="Q69" s="130">
        <f>IF(OR($C69="",$B$2="",$D$2=0),0,IF(Q$3&lt;0,0,N(INDEX('CURVA PREVISION'!$A$1:$KZ$3000,$C69,11+3*MIN(Q$3,$D$2-1)))))</f>
        <v/>
      </c>
      <c r="R69" s="130">
        <f>IF(OR($C69="",$B$2="",$D$2=0),0,IF(R$3&lt;0,0,N(INDEX('CURVA PREVISION'!$A$1:$KZ$3000,$C69,11+3*MIN(R$3,$D$2-1)))))</f>
        <v/>
      </c>
      <c r="S69" s="130">
        <f>IF(OR($C69="",$B$2="",$D$2=0),0,IF(S$3&lt;0,0,N(INDEX('CURVA PREVISION'!$A$1:$KZ$3000,$C69,11+3*MIN(S$3,$D$2-1)))))</f>
        <v/>
      </c>
      <c r="T69" s="130">
        <f>IF(OR($C69="",$B$2="",$D$2=0),0,IF(T$3&lt;0,0,N(INDEX('CURVA PREVISION'!$A$1:$KZ$3000,$C69,11+3*MIN(T$3,$D$2-1)))))</f>
        <v/>
      </c>
      <c r="U69" s="130">
        <f>IF(OR($C69="",$B$2="",$D$2=0),0,IF(U$3&lt;0,0,N(INDEX('CURVA PREVISION'!$A$1:$KZ$3000,$C69,11+3*MIN(U$3,$D$2-1)))))</f>
        <v/>
      </c>
      <c r="V69" s="130">
        <f>IF(OR($C69="",$B$2="",$D$2=0),0,IF(V$3&lt;0,0,N(INDEX('CURVA PREVISION'!$A$1:$KZ$3000,$C69,11+3*MIN(V$3,$D$2-1)))))</f>
        <v/>
      </c>
      <c r="W69" s="130">
        <f>IF(OR($C69="",$B$2="",$D$2=0),0,IF(W$3&lt;0,0,N(INDEX('CURVA PREVISION'!$A$1:$KZ$3000,$C69,11+3*MIN(W$3,$D$2-1)))))</f>
        <v/>
      </c>
      <c r="X69" s="130">
        <f>IF(OR($C69="",$B$2="",$D$2=0),0,IF(X$3&lt;0,0,N(INDEX('CURVA PREVISION'!$A$1:$KZ$3000,$C69,11+3*MIN(X$3,$D$2-1)))))</f>
        <v/>
      </c>
      <c r="Y69" s="130">
        <f>IF(OR($C69="",$B$2="",$D$2=0),0,IF(Y$3&lt;0,0,N(INDEX('CURVA PREVISION'!$A$1:$KZ$3000,$C69,11+3*MIN(Y$3,$D$2-1)))))</f>
        <v/>
      </c>
      <c r="Z69" s="130">
        <f>IF(OR($C69="",$B$2="",$D$2=0),0,IF(Z$3&lt;0,0,N(INDEX('CURVA PREVISION'!$A$1:$KZ$3000,$C69,11+3*MIN(Z$3,$D$2-1)))))</f>
        <v/>
      </c>
      <c r="AA69" s="130">
        <f>IF(OR($C69="",$B$2="",$D$2=0),0,IF(AA$3&lt;0,0,N(INDEX('CURVA PREVISION'!$A$1:$KZ$3000,$C69,11+3*MIN(AA$3,$D$2-1)))))</f>
        <v/>
      </c>
      <c r="AB69" s="130">
        <f>IF(OR($C69="",$B$2="",$D$2=0),0,IF(AB$3&lt;0,0,N(INDEX('CURVA PREVISION'!$A$1:$KZ$3000,$C69,11+3*MIN(AB$3,$D$2-1)))))</f>
        <v/>
      </c>
      <c r="AC69" s="130">
        <f>IF(OR($C69="",$B$2="",$D$2=0),0,IF(AC$3&lt;0,0,N(INDEX('CURVA PREVISION'!$A$1:$KZ$3000,$C69,11+3*MIN(AC$3,$D$2-1)))))</f>
        <v/>
      </c>
      <c r="AD69" s="130">
        <f>IF(OR($C69="",$B$2="",$D$2=0),0,IF(AD$3&lt;0,0,N(INDEX('CURVA PREVISION'!$A$1:$KZ$3000,$C69,11+3*MIN(AD$3,$D$2-1)))))</f>
        <v/>
      </c>
      <c r="AE69" s="130">
        <f>IF(OR($C69="",$B$2="",$D$2=0),0,IF(AE$3&lt;0,0,N(INDEX('CURVA PREVISION'!$A$1:$KZ$3000,$C69,11+3*MIN(AE$3,$D$2-1)))))</f>
        <v/>
      </c>
      <c r="AF69" s="130">
        <f>IF(OR($C69="",$B$2="",$D$2=0),0,IF(AF$3&lt;0,0,N(INDEX('CURVA PREVISION'!$A$1:$KZ$3000,$C69,11+3*MIN(AF$3,$D$2-1)))))</f>
        <v/>
      </c>
      <c r="AG69" s="130">
        <f>IF(OR($C69="",$B$2="",$D$2=0),0,IF(AG$3&lt;0,0,N(INDEX('CURVA PREVISION'!$A$1:$KZ$3000,$C69,11+3*MIN(AG$3,$D$2-1)))))</f>
        <v/>
      </c>
      <c r="AH69" s="130">
        <f>IF(OR($C69="",$B$2="",$D$2=0),0,IF(AH$3&lt;0,0,N(INDEX('CURVA PREVISION'!$A$1:$KZ$3000,$C69,11+3*MIN(AH$3,$D$2-1)))))</f>
        <v/>
      </c>
      <c r="AI69" s="130">
        <f>IF(OR($C69="",$B$2="",$D$2=0),0,IF(AI$3&lt;0,0,N(INDEX('CURVA PREVISION'!$A$1:$KZ$3000,$C69,11+3*MIN(AI$3,$D$2-1)))))</f>
        <v/>
      </c>
      <c r="AJ69" s="130">
        <f>IF(OR($C69="",$B$2="",$D$2=0),0,IF(AJ$3&lt;0,0,N(INDEX('CURVA PREVISION'!$A$1:$KZ$3000,$C69,11+3*MIN(AJ$3,$D$2-1)))))</f>
        <v/>
      </c>
      <c r="AK69" s="130">
        <f>IF(OR($C69="",$B$2="",$D$2=0),0,IF(AK$3&lt;0,0,N(INDEX('CURVA PREVISION'!$A$1:$KZ$3000,$C69,11+3*MIN(AK$3,$D$2-1)))))</f>
        <v/>
      </c>
      <c r="AL69" s="130">
        <f>IF(OR($C69="",$B$2="",$D$2=0),0,IF(AL$3&lt;0,0,N(INDEX('CURVA PREVISION'!$A$1:$KZ$3000,$C69,11+3*MIN(AL$3,$D$2-1)))))</f>
        <v/>
      </c>
      <c r="AM69" s="130">
        <f>IF(OR($C69="",$B$2="",$D$2=0),0,IF(AM$3&lt;0,0,N(INDEX('CURVA PREVISION'!$A$1:$KZ$3000,$C69,11+3*MIN(AM$3,$D$2-1)))))</f>
        <v/>
      </c>
      <c r="AN69" s="130">
        <f>IF(OR($C69="",$B$2="",$D$2=0),0,IF(AN$3&lt;0,0,N(INDEX('CURVA PREVISION'!$A$1:$KZ$3000,$C69,11+3*MIN(AN$3,$D$2-1)))))</f>
        <v/>
      </c>
      <c r="AO69" s="130">
        <f>IF(OR($C69="",$B$2="",$D$2=0),0,IF(AO$3&lt;0,0,N(INDEX('CURVA PREVISION'!$A$1:$KZ$3000,$C69,11+3*MIN(AO$3,$D$2-1)))))</f>
        <v/>
      </c>
      <c r="AP69" s="130">
        <f>IF(OR($C69="",$B$2="",$D$2=0),0,IF(AP$3&lt;0,0,N(INDEX('CURVA PREVISION'!$A$1:$KZ$3000,$C69,11+3*MIN(AP$3,$D$2-1)))))</f>
        <v/>
      </c>
      <c r="AQ69" s="130">
        <f>IF(OR($C69="",$B$2="",$D$2=0),0,IF(AQ$3&lt;0,0,N(INDEX('CURVA PREVISION'!$A$1:$KZ$3000,$C69,11+3*MIN(AQ$3,$D$2-1)))))</f>
        <v/>
      </c>
      <c r="AR69" s="130">
        <f>IF(OR($C69="",$B$2="",$D$2=0),0,IF(AR$3&lt;0,0,N(INDEX('CURVA PREVISION'!$A$1:$KZ$3000,$C69,11+3*MIN(AR$3,$D$2-1)))))</f>
        <v/>
      </c>
      <c r="AS69" s="130">
        <f>IF(OR($C69="",$B$2="",$D$2=0),0,IF(AS$3&lt;0,0,N(INDEX('CURVA PREVISION'!$A$1:$KZ$3000,$C69,11+3*MIN(AS$3,$D$2-1)))))</f>
        <v/>
      </c>
      <c r="AT69" s="130">
        <f>IF(OR($C69="",$B$2="",$D$2=0),0,IF(AT$3&lt;0,0,N(INDEX('CURVA PREVISION'!$A$1:$KZ$3000,$C69,11+3*MIN(AT$3,$D$2-1)))))</f>
        <v/>
      </c>
      <c r="AU69" s="130">
        <f>IF(OR($C69="",$B$2="",$D$2=0),0,IF(AU$3&lt;0,0,N(INDEX('CURVA PREVISION'!$A$1:$KZ$3000,$C69,11+3*MIN(AU$3,$D$2-1)))))</f>
        <v/>
      </c>
      <c r="AV69" s="130">
        <f>IF(OR($C69="",$B$2="",$D$2=0),0,IF(AV$3&lt;0,0,N(INDEX('CURVA PREVISION'!$A$1:$KZ$3000,$C69,11+3*MIN(AV$3,$D$2-1)))))</f>
        <v/>
      </c>
      <c r="AW69" s="130">
        <f>IF(OR($C69="",$B$2="",$D$2=0),0,IF(AW$3&lt;0,0,N(INDEX('CURVA PREVISION'!$A$1:$KZ$3000,$C69,11+3*MIN(AW$3,$D$2-1)))))</f>
        <v/>
      </c>
      <c r="AX69" s="130">
        <f>IF(OR($C69="",$B$2="",$D$2=0),0,IF(AX$3&lt;0,0,N(INDEX('CURVA PREVISION'!$A$1:$KZ$3000,$C69,11+3*MIN(AX$3,$D$2-1)))))</f>
        <v/>
      </c>
      <c r="AY69" s="130">
        <f>IF(OR($C69="",$B$2="",$D$2=0),0,IF(AY$3&lt;0,0,N(INDEX('CURVA PREVISION'!$A$1:$KZ$3000,$C69,11+3*MIN(AY$3,$D$2-1)))))</f>
        <v/>
      </c>
      <c r="AZ69" s="130">
        <f>IF(OR($C69="",$B$2="",$D$2=0),0,IF(AZ$3&lt;0,0,N(INDEX('CURVA PREVISION'!$A$1:$KZ$3000,$C69,11+3*MIN(AZ$3,$D$2-1)))))</f>
        <v/>
      </c>
      <c r="BA69" s="130">
        <f>IF(OR($C69="",$B$2="",$D$2=0),0,IF(BA$3&lt;0,0,N(INDEX('CURVA PREVISION'!$A$1:$KZ$3000,$C69,11+3*MIN(BA$3,$D$2-1)))))</f>
        <v/>
      </c>
      <c r="BB69" s="130">
        <f>IF(OR($C69="",$B$2="",$D$2=0),0,IF(BB$3&lt;0,0,N(INDEX('CURVA PREVISION'!$A$1:$KZ$3000,$C69,11+3*MIN(BB$3,$D$2-1)))))</f>
        <v/>
      </c>
      <c r="BC69" s="130">
        <f>IF(OR($C69="",$B$2="",$D$2=0),0,IF(BC$3&lt;0,0,N(INDEX('CURVA PREVISION'!$A$1:$KZ$3000,$C69,11+3*MIN(BC$3,$D$2-1)))))</f>
        <v/>
      </c>
      <c r="BD69" s="130">
        <f>IF(OR($C69="",$B$2="",$D$2=0),0,IF(BD$3&lt;0,0,N(INDEX('CURVA PREVISION'!$A$1:$KZ$3000,$C69,11+3*MIN(BD$3,$D$2-1)))))</f>
        <v/>
      </c>
      <c r="BE69" s="130">
        <f>IF(OR($C69="",$B$2="",$D$2=0),0,IF(BE$3&lt;0,0,N(INDEX('CURVA PREVISION'!$A$1:$KZ$3000,$C69,11+3*MIN(BE$3,$D$2-1)))))</f>
        <v/>
      </c>
      <c r="BF69" s="130">
        <f>IF(OR($C69="",$B$2="",$D$2=0),0,IF(BF$3&lt;0,0,N(INDEX('CURVA PREVISION'!$A$1:$KZ$3000,$C69,11+3*MIN(BF$3,$D$2-1)))))</f>
        <v/>
      </c>
      <c r="BG69" s="130">
        <f>IF(OR($C69="",$B$2="",$D$2=0),0,IF(BG$3&lt;0,0,N(INDEX('CURVA PREVISION'!$A$1:$KZ$3000,$C69,11+3*MIN(BG$3,$D$2-1)))))</f>
        <v/>
      </c>
      <c r="BH69" s="130">
        <f>IF(OR($C69="",$B$2="",$D$2=0),0,IF(BH$3&lt;0,0,N(INDEX('CURVA PREVISION'!$A$1:$KZ$3000,$C69,11+3*MIN(BH$3,$D$2-1)))))</f>
        <v/>
      </c>
      <c r="BI69" s="130">
        <f>IF(OR($C69="",$B$2="",$D$2=0),0,IF(BI$3&lt;0,0,N(INDEX('CURVA PREVISION'!$A$1:$KZ$3000,$C69,11+3*MIN(BI$3,$D$2-1)))))</f>
        <v/>
      </c>
      <c r="BJ69" s="130">
        <f>IF(OR($C69="",$B$2="",$D$2=0),0,IF(BJ$3&lt;0,0,N(INDEX('CURVA PREVISION'!$A$1:$KZ$3000,$C69,11+3*MIN(BJ$3,$D$2-1)))))</f>
        <v/>
      </c>
      <c r="BK69" s="130">
        <f>IF(OR($C69="",$B$2="",$D$2=0),0,IF(BK$3&lt;0,0,N(INDEX('CURVA PREVISION'!$A$1:$KZ$3000,$C69,11+3*MIN(BK$3,$D$2-1)))))</f>
        <v/>
      </c>
      <c r="BL69" s="130">
        <f>IF(OR($C69="",$B$2="",$D$2=0),0,IF(BL$3&lt;0,0,N(INDEX('CURVA PREVISION'!$A$1:$KZ$3000,$C69,11+3*MIN(BL$3,$D$2-1)))))</f>
        <v/>
      </c>
      <c r="BM69" s="130">
        <f>IF(OR($C69="",$B$2="",$D$2=0),0,IF(BM$3&lt;0,0,N(INDEX('CURVA PREVISION'!$A$1:$KZ$3000,$C69,11+3*MIN(BM$3,$D$2-1)))))</f>
        <v/>
      </c>
      <c r="BN69" s="130">
        <f>IF(OR($C69="",$B$2="",$D$2=0),0,IF(BN$3&lt;0,0,N(INDEX('CURVA PREVISION'!$A$1:$KZ$3000,$C69,11+3*MIN(BN$3,$D$2-1)))))</f>
        <v/>
      </c>
      <c r="BO69" s="130">
        <f>IF(OR($C69="",$B$2="",$D$2=0),0,IF(BO$3&lt;0,0,N(INDEX('CURVA PREVISION'!$A$1:$KZ$3000,$C69,11+3*MIN(BO$3,$D$2-1)))))</f>
        <v/>
      </c>
      <c r="BP69" s="130">
        <f>IF(OR($C69="",$B$2="",$D$2=0),0,IF(BP$3&lt;0,0,N(INDEX('CURVA PREVISION'!$A$1:$KZ$3000,$C69,11+3*MIN(BP$3,$D$2-1)))))</f>
        <v/>
      </c>
      <c r="BQ69" s="130">
        <f>IF(OR($C69="",$B$2="",$D$2=0),0,IF(BQ$3&lt;0,0,N(INDEX('CURVA PREVISION'!$A$1:$KZ$3000,$C69,11+3*MIN(BQ$3,$D$2-1)))))</f>
        <v/>
      </c>
      <c r="BR69" s="130">
        <f>IF(OR($C69="",$B$2="",$D$2=0),0,IF(BR$3&lt;0,0,N(INDEX('CURVA PREVISION'!$A$1:$KZ$3000,$C69,11+3*MIN(BR$3,$D$2-1)))))</f>
        <v/>
      </c>
      <c r="BS69" s="130">
        <f>IF(OR($C69="",$B$2="",$D$2=0),0,IF(BS$3&lt;0,0,N(INDEX('CURVA PREVISION'!$A$1:$KZ$3000,$C69,11+3*MIN(BS$3,$D$2-1)))))</f>
        <v/>
      </c>
      <c r="BT69" s="130">
        <f>IF(OR($C69="",$B$2="",$D$2=0),0,IF(BT$3&lt;0,0,N(INDEX('CURVA PREVISION'!$A$1:$KZ$3000,$C69,11+3*MIN(BT$3,$D$2-1)))))</f>
        <v/>
      </c>
      <c r="BU69" s="130">
        <f>IF(OR($C69="",$B$2="",$D$2=0),0,IF(BU$3&lt;0,0,N(INDEX('CURVA PREVISION'!$A$1:$KZ$3000,$C69,11+3*MIN(BU$3,$D$2-1)))))</f>
        <v/>
      </c>
      <c r="BV69" s="130">
        <f>IF(OR($C69="",$B$2="",$D$2=0),0,IF(BV$3&lt;0,0,N(INDEX('CURVA PREVISION'!$A$1:$KZ$3000,$C69,11+3*MIN(BV$3,$D$2-1)))))</f>
        <v/>
      </c>
      <c r="BW69" s="130">
        <f>IF(OR($C69="",$B$2="",$D$2=0),0,IF(BW$3&lt;0,0,N(INDEX('CURVA PREVISION'!$A$1:$KZ$3000,$C69,11+3*MIN(BW$3,$D$2-1)))))</f>
        <v/>
      </c>
    </row>
    <row r="70">
      <c r="A70" s="61">
        <f>IF('VALOR POR PL'!Q34="",'VALOR POR PL'!C34,'VALOR POR PL'!Q34)</f>
        <v/>
      </c>
      <c r="B70" s="51">
        <f>B28</f>
        <v/>
      </c>
      <c r="C70" s="70">
        <f>IFERROR(MATCH(A70,'CURVA PREVISION'!$B$1:$B$3000,0),"")</f>
        <v/>
      </c>
      <c r="D70" s="130">
        <f>IF(OR($C70="",$B$2="",$D$2=0),0,IF(D$3&lt;0,0,N(INDEX('CURVA PREVISION'!$A$1:$KZ$3000,$C70,11+3*MIN(D$3,$D$2-1)))))</f>
        <v/>
      </c>
      <c r="E70" s="130">
        <f>IF(OR($C70="",$B$2="",$D$2=0),0,IF(E$3&lt;0,0,N(INDEX('CURVA PREVISION'!$A$1:$KZ$3000,$C70,11+3*MIN(E$3,$D$2-1)))))</f>
        <v/>
      </c>
      <c r="F70" s="130">
        <f>IF(OR($C70="",$B$2="",$D$2=0),0,IF(F$3&lt;0,0,N(INDEX('CURVA PREVISION'!$A$1:$KZ$3000,$C70,11+3*MIN(F$3,$D$2-1)))))</f>
        <v/>
      </c>
      <c r="G70" s="130">
        <f>IF(OR($C70="",$B$2="",$D$2=0),0,IF(G$3&lt;0,0,N(INDEX('CURVA PREVISION'!$A$1:$KZ$3000,$C70,11+3*MIN(G$3,$D$2-1)))))</f>
        <v/>
      </c>
      <c r="H70" s="130">
        <f>IF(OR($C70="",$B$2="",$D$2=0),0,IF(H$3&lt;0,0,N(INDEX('CURVA PREVISION'!$A$1:$KZ$3000,$C70,11+3*MIN(H$3,$D$2-1)))))</f>
        <v/>
      </c>
      <c r="I70" s="130">
        <f>IF(OR($C70="",$B$2="",$D$2=0),0,IF(I$3&lt;0,0,N(INDEX('CURVA PREVISION'!$A$1:$KZ$3000,$C70,11+3*MIN(I$3,$D$2-1)))))</f>
        <v/>
      </c>
      <c r="J70" s="130">
        <f>IF(OR($C70="",$B$2="",$D$2=0),0,IF(J$3&lt;0,0,N(INDEX('CURVA PREVISION'!$A$1:$KZ$3000,$C70,11+3*MIN(J$3,$D$2-1)))))</f>
        <v/>
      </c>
      <c r="K70" s="130">
        <f>IF(OR($C70="",$B$2="",$D$2=0),0,IF(K$3&lt;0,0,N(INDEX('CURVA PREVISION'!$A$1:$KZ$3000,$C70,11+3*MIN(K$3,$D$2-1)))))</f>
        <v/>
      </c>
      <c r="L70" s="130">
        <f>IF(OR($C70="",$B$2="",$D$2=0),0,IF(L$3&lt;0,0,N(INDEX('CURVA PREVISION'!$A$1:$KZ$3000,$C70,11+3*MIN(L$3,$D$2-1)))))</f>
        <v/>
      </c>
      <c r="M70" s="130">
        <f>IF(OR($C70="",$B$2="",$D$2=0),0,IF(M$3&lt;0,0,N(INDEX('CURVA PREVISION'!$A$1:$KZ$3000,$C70,11+3*MIN(M$3,$D$2-1)))))</f>
        <v/>
      </c>
      <c r="N70" s="130">
        <f>IF(OR($C70="",$B$2="",$D$2=0),0,IF(N$3&lt;0,0,N(INDEX('CURVA PREVISION'!$A$1:$KZ$3000,$C70,11+3*MIN(N$3,$D$2-1)))))</f>
        <v/>
      </c>
      <c r="O70" s="130">
        <f>IF(OR($C70="",$B$2="",$D$2=0),0,IF(O$3&lt;0,0,N(INDEX('CURVA PREVISION'!$A$1:$KZ$3000,$C70,11+3*MIN(O$3,$D$2-1)))))</f>
        <v/>
      </c>
      <c r="P70" s="130">
        <f>IF(OR($C70="",$B$2="",$D$2=0),0,IF(P$3&lt;0,0,N(INDEX('CURVA PREVISION'!$A$1:$KZ$3000,$C70,11+3*MIN(P$3,$D$2-1)))))</f>
        <v/>
      </c>
      <c r="Q70" s="130">
        <f>IF(OR($C70="",$B$2="",$D$2=0),0,IF(Q$3&lt;0,0,N(INDEX('CURVA PREVISION'!$A$1:$KZ$3000,$C70,11+3*MIN(Q$3,$D$2-1)))))</f>
        <v/>
      </c>
      <c r="R70" s="130">
        <f>IF(OR($C70="",$B$2="",$D$2=0),0,IF(R$3&lt;0,0,N(INDEX('CURVA PREVISION'!$A$1:$KZ$3000,$C70,11+3*MIN(R$3,$D$2-1)))))</f>
        <v/>
      </c>
      <c r="S70" s="130">
        <f>IF(OR($C70="",$B$2="",$D$2=0),0,IF(S$3&lt;0,0,N(INDEX('CURVA PREVISION'!$A$1:$KZ$3000,$C70,11+3*MIN(S$3,$D$2-1)))))</f>
        <v/>
      </c>
      <c r="T70" s="130">
        <f>IF(OR($C70="",$B$2="",$D$2=0),0,IF(T$3&lt;0,0,N(INDEX('CURVA PREVISION'!$A$1:$KZ$3000,$C70,11+3*MIN(T$3,$D$2-1)))))</f>
        <v/>
      </c>
      <c r="U70" s="130">
        <f>IF(OR($C70="",$B$2="",$D$2=0),0,IF(U$3&lt;0,0,N(INDEX('CURVA PREVISION'!$A$1:$KZ$3000,$C70,11+3*MIN(U$3,$D$2-1)))))</f>
        <v/>
      </c>
      <c r="V70" s="130">
        <f>IF(OR($C70="",$B$2="",$D$2=0),0,IF(V$3&lt;0,0,N(INDEX('CURVA PREVISION'!$A$1:$KZ$3000,$C70,11+3*MIN(V$3,$D$2-1)))))</f>
        <v/>
      </c>
      <c r="W70" s="130">
        <f>IF(OR($C70="",$B$2="",$D$2=0),0,IF(W$3&lt;0,0,N(INDEX('CURVA PREVISION'!$A$1:$KZ$3000,$C70,11+3*MIN(W$3,$D$2-1)))))</f>
        <v/>
      </c>
      <c r="X70" s="130">
        <f>IF(OR($C70="",$B$2="",$D$2=0),0,IF(X$3&lt;0,0,N(INDEX('CURVA PREVISION'!$A$1:$KZ$3000,$C70,11+3*MIN(X$3,$D$2-1)))))</f>
        <v/>
      </c>
      <c r="Y70" s="130">
        <f>IF(OR($C70="",$B$2="",$D$2=0),0,IF(Y$3&lt;0,0,N(INDEX('CURVA PREVISION'!$A$1:$KZ$3000,$C70,11+3*MIN(Y$3,$D$2-1)))))</f>
        <v/>
      </c>
      <c r="Z70" s="130">
        <f>IF(OR($C70="",$B$2="",$D$2=0),0,IF(Z$3&lt;0,0,N(INDEX('CURVA PREVISION'!$A$1:$KZ$3000,$C70,11+3*MIN(Z$3,$D$2-1)))))</f>
        <v/>
      </c>
      <c r="AA70" s="130">
        <f>IF(OR($C70="",$B$2="",$D$2=0),0,IF(AA$3&lt;0,0,N(INDEX('CURVA PREVISION'!$A$1:$KZ$3000,$C70,11+3*MIN(AA$3,$D$2-1)))))</f>
        <v/>
      </c>
      <c r="AB70" s="130">
        <f>IF(OR($C70="",$B$2="",$D$2=0),0,IF(AB$3&lt;0,0,N(INDEX('CURVA PREVISION'!$A$1:$KZ$3000,$C70,11+3*MIN(AB$3,$D$2-1)))))</f>
        <v/>
      </c>
      <c r="AC70" s="130">
        <f>IF(OR($C70="",$B$2="",$D$2=0),0,IF(AC$3&lt;0,0,N(INDEX('CURVA PREVISION'!$A$1:$KZ$3000,$C70,11+3*MIN(AC$3,$D$2-1)))))</f>
        <v/>
      </c>
      <c r="AD70" s="130">
        <f>IF(OR($C70="",$B$2="",$D$2=0),0,IF(AD$3&lt;0,0,N(INDEX('CURVA PREVISION'!$A$1:$KZ$3000,$C70,11+3*MIN(AD$3,$D$2-1)))))</f>
        <v/>
      </c>
      <c r="AE70" s="130">
        <f>IF(OR($C70="",$B$2="",$D$2=0),0,IF(AE$3&lt;0,0,N(INDEX('CURVA PREVISION'!$A$1:$KZ$3000,$C70,11+3*MIN(AE$3,$D$2-1)))))</f>
        <v/>
      </c>
      <c r="AF70" s="130">
        <f>IF(OR($C70="",$B$2="",$D$2=0),0,IF(AF$3&lt;0,0,N(INDEX('CURVA PREVISION'!$A$1:$KZ$3000,$C70,11+3*MIN(AF$3,$D$2-1)))))</f>
        <v/>
      </c>
      <c r="AG70" s="130">
        <f>IF(OR($C70="",$B$2="",$D$2=0),0,IF(AG$3&lt;0,0,N(INDEX('CURVA PREVISION'!$A$1:$KZ$3000,$C70,11+3*MIN(AG$3,$D$2-1)))))</f>
        <v/>
      </c>
      <c r="AH70" s="130">
        <f>IF(OR($C70="",$B$2="",$D$2=0),0,IF(AH$3&lt;0,0,N(INDEX('CURVA PREVISION'!$A$1:$KZ$3000,$C70,11+3*MIN(AH$3,$D$2-1)))))</f>
        <v/>
      </c>
      <c r="AI70" s="130">
        <f>IF(OR($C70="",$B$2="",$D$2=0),0,IF(AI$3&lt;0,0,N(INDEX('CURVA PREVISION'!$A$1:$KZ$3000,$C70,11+3*MIN(AI$3,$D$2-1)))))</f>
        <v/>
      </c>
      <c r="AJ70" s="130">
        <f>IF(OR($C70="",$B$2="",$D$2=0),0,IF(AJ$3&lt;0,0,N(INDEX('CURVA PREVISION'!$A$1:$KZ$3000,$C70,11+3*MIN(AJ$3,$D$2-1)))))</f>
        <v/>
      </c>
      <c r="AK70" s="130">
        <f>IF(OR($C70="",$B$2="",$D$2=0),0,IF(AK$3&lt;0,0,N(INDEX('CURVA PREVISION'!$A$1:$KZ$3000,$C70,11+3*MIN(AK$3,$D$2-1)))))</f>
        <v/>
      </c>
      <c r="AL70" s="130">
        <f>IF(OR($C70="",$B$2="",$D$2=0),0,IF(AL$3&lt;0,0,N(INDEX('CURVA PREVISION'!$A$1:$KZ$3000,$C70,11+3*MIN(AL$3,$D$2-1)))))</f>
        <v/>
      </c>
      <c r="AM70" s="130">
        <f>IF(OR($C70="",$B$2="",$D$2=0),0,IF(AM$3&lt;0,0,N(INDEX('CURVA PREVISION'!$A$1:$KZ$3000,$C70,11+3*MIN(AM$3,$D$2-1)))))</f>
        <v/>
      </c>
      <c r="AN70" s="130">
        <f>IF(OR($C70="",$B$2="",$D$2=0),0,IF(AN$3&lt;0,0,N(INDEX('CURVA PREVISION'!$A$1:$KZ$3000,$C70,11+3*MIN(AN$3,$D$2-1)))))</f>
        <v/>
      </c>
      <c r="AO70" s="130">
        <f>IF(OR($C70="",$B$2="",$D$2=0),0,IF(AO$3&lt;0,0,N(INDEX('CURVA PREVISION'!$A$1:$KZ$3000,$C70,11+3*MIN(AO$3,$D$2-1)))))</f>
        <v/>
      </c>
      <c r="AP70" s="130">
        <f>IF(OR($C70="",$B$2="",$D$2=0),0,IF(AP$3&lt;0,0,N(INDEX('CURVA PREVISION'!$A$1:$KZ$3000,$C70,11+3*MIN(AP$3,$D$2-1)))))</f>
        <v/>
      </c>
      <c r="AQ70" s="130">
        <f>IF(OR($C70="",$B$2="",$D$2=0),0,IF(AQ$3&lt;0,0,N(INDEX('CURVA PREVISION'!$A$1:$KZ$3000,$C70,11+3*MIN(AQ$3,$D$2-1)))))</f>
        <v/>
      </c>
      <c r="AR70" s="130">
        <f>IF(OR($C70="",$B$2="",$D$2=0),0,IF(AR$3&lt;0,0,N(INDEX('CURVA PREVISION'!$A$1:$KZ$3000,$C70,11+3*MIN(AR$3,$D$2-1)))))</f>
        <v/>
      </c>
      <c r="AS70" s="130">
        <f>IF(OR($C70="",$B$2="",$D$2=0),0,IF(AS$3&lt;0,0,N(INDEX('CURVA PREVISION'!$A$1:$KZ$3000,$C70,11+3*MIN(AS$3,$D$2-1)))))</f>
        <v/>
      </c>
      <c r="AT70" s="130">
        <f>IF(OR($C70="",$B$2="",$D$2=0),0,IF(AT$3&lt;0,0,N(INDEX('CURVA PREVISION'!$A$1:$KZ$3000,$C70,11+3*MIN(AT$3,$D$2-1)))))</f>
        <v/>
      </c>
      <c r="AU70" s="130">
        <f>IF(OR($C70="",$B$2="",$D$2=0),0,IF(AU$3&lt;0,0,N(INDEX('CURVA PREVISION'!$A$1:$KZ$3000,$C70,11+3*MIN(AU$3,$D$2-1)))))</f>
        <v/>
      </c>
      <c r="AV70" s="130">
        <f>IF(OR($C70="",$B$2="",$D$2=0),0,IF(AV$3&lt;0,0,N(INDEX('CURVA PREVISION'!$A$1:$KZ$3000,$C70,11+3*MIN(AV$3,$D$2-1)))))</f>
        <v/>
      </c>
      <c r="AW70" s="130">
        <f>IF(OR($C70="",$B$2="",$D$2=0),0,IF(AW$3&lt;0,0,N(INDEX('CURVA PREVISION'!$A$1:$KZ$3000,$C70,11+3*MIN(AW$3,$D$2-1)))))</f>
        <v/>
      </c>
      <c r="AX70" s="130">
        <f>IF(OR($C70="",$B$2="",$D$2=0),0,IF(AX$3&lt;0,0,N(INDEX('CURVA PREVISION'!$A$1:$KZ$3000,$C70,11+3*MIN(AX$3,$D$2-1)))))</f>
        <v/>
      </c>
      <c r="AY70" s="130">
        <f>IF(OR($C70="",$B$2="",$D$2=0),0,IF(AY$3&lt;0,0,N(INDEX('CURVA PREVISION'!$A$1:$KZ$3000,$C70,11+3*MIN(AY$3,$D$2-1)))))</f>
        <v/>
      </c>
      <c r="AZ70" s="130">
        <f>IF(OR($C70="",$B$2="",$D$2=0),0,IF(AZ$3&lt;0,0,N(INDEX('CURVA PREVISION'!$A$1:$KZ$3000,$C70,11+3*MIN(AZ$3,$D$2-1)))))</f>
        <v/>
      </c>
      <c r="BA70" s="130">
        <f>IF(OR($C70="",$B$2="",$D$2=0),0,IF(BA$3&lt;0,0,N(INDEX('CURVA PREVISION'!$A$1:$KZ$3000,$C70,11+3*MIN(BA$3,$D$2-1)))))</f>
        <v/>
      </c>
      <c r="BB70" s="130">
        <f>IF(OR($C70="",$B$2="",$D$2=0),0,IF(BB$3&lt;0,0,N(INDEX('CURVA PREVISION'!$A$1:$KZ$3000,$C70,11+3*MIN(BB$3,$D$2-1)))))</f>
        <v/>
      </c>
      <c r="BC70" s="130">
        <f>IF(OR($C70="",$B$2="",$D$2=0),0,IF(BC$3&lt;0,0,N(INDEX('CURVA PREVISION'!$A$1:$KZ$3000,$C70,11+3*MIN(BC$3,$D$2-1)))))</f>
        <v/>
      </c>
      <c r="BD70" s="130">
        <f>IF(OR($C70="",$B$2="",$D$2=0),0,IF(BD$3&lt;0,0,N(INDEX('CURVA PREVISION'!$A$1:$KZ$3000,$C70,11+3*MIN(BD$3,$D$2-1)))))</f>
        <v/>
      </c>
      <c r="BE70" s="130">
        <f>IF(OR($C70="",$B$2="",$D$2=0),0,IF(BE$3&lt;0,0,N(INDEX('CURVA PREVISION'!$A$1:$KZ$3000,$C70,11+3*MIN(BE$3,$D$2-1)))))</f>
        <v/>
      </c>
      <c r="BF70" s="130">
        <f>IF(OR($C70="",$B$2="",$D$2=0),0,IF(BF$3&lt;0,0,N(INDEX('CURVA PREVISION'!$A$1:$KZ$3000,$C70,11+3*MIN(BF$3,$D$2-1)))))</f>
        <v/>
      </c>
      <c r="BG70" s="130">
        <f>IF(OR($C70="",$B$2="",$D$2=0),0,IF(BG$3&lt;0,0,N(INDEX('CURVA PREVISION'!$A$1:$KZ$3000,$C70,11+3*MIN(BG$3,$D$2-1)))))</f>
        <v/>
      </c>
      <c r="BH70" s="130">
        <f>IF(OR($C70="",$B$2="",$D$2=0),0,IF(BH$3&lt;0,0,N(INDEX('CURVA PREVISION'!$A$1:$KZ$3000,$C70,11+3*MIN(BH$3,$D$2-1)))))</f>
        <v/>
      </c>
      <c r="BI70" s="130">
        <f>IF(OR($C70="",$B$2="",$D$2=0),0,IF(BI$3&lt;0,0,N(INDEX('CURVA PREVISION'!$A$1:$KZ$3000,$C70,11+3*MIN(BI$3,$D$2-1)))))</f>
        <v/>
      </c>
      <c r="BJ70" s="130">
        <f>IF(OR($C70="",$B$2="",$D$2=0),0,IF(BJ$3&lt;0,0,N(INDEX('CURVA PREVISION'!$A$1:$KZ$3000,$C70,11+3*MIN(BJ$3,$D$2-1)))))</f>
        <v/>
      </c>
      <c r="BK70" s="130">
        <f>IF(OR($C70="",$B$2="",$D$2=0),0,IF(BK$3&lt;0,0,N(INDEX('CURVA PREVISION'!$A$1:$KZ$3000,$C70,11+3*MIN(BK$3,$D$2-1)))))</f>
        <v/>
      </c>
      <c r="BL70" s="130">
        <f>IF(OR($C70="",$B$2="",$D$2=0),0,IF(BL$3&lt;0,0,N(INDEX('CURVA PREVISION'!$A$1:$KZ$3000,$C70,11+3*MIN(BL$3,$D$2-1)))))</f>
        <v/>
      </c>
      <c r="BM70" s="130">
        <f>IF(OR($C70="",$B$2="",$D$2=0),0,IF(BM$3&lt;0,0,N(INDEX('CURVA PREVISION'!$A$1:$KZ$3000,$C70,11+3*MIN(BM$3,$D$2-1)))))</f>
        <v/>
      </c>
      <c r="BN70" s="130">
        <f>IF(OR($C70="",$B$2="",$D$2=0),0,IF(BN$3&lt;0,0,N(INDEX('CURVA PREVISION'!$A$1:$KZ$3000,$C70,11+3*MIN(BN$3,$D$2-1)))))</f>
        <v/>
      </c>
      <c r="BO70" s="130">
        <f>IF(OR($C70="",$B$2="",$D$2=0),0,IF(BO$3&lt;0,0,N(INDEX('CURVA PREVISION'!$A$1:$KZ$3000,$C70,11+3*MIN(BO$3,$D$2-1)))))</f>
        <v/>
      </c>
      <c r="BP70" s="130">
        <f>IF(OR($C70="",$B$2="",$D$2=0),0,IF(BP$3&lt;0,0,N(INDEX('CURVA PREVISION'!$A$1:$KZ$3000,$C70,11+3*MIN(BP$3,$D$2-1)))))</f>
        <v/>
      </c>
      <c r="BQ70" s="130">
        <f>IF(OR($C70="",$B$2="",$D$2=0),0,IF(BQ$3&lt;0,0,N(INDEX('CURVA PREVISION'!$A$1:$KZ$3000,$C70,11+3*MIN(BQ$3,$D$2-1)))))</f>
        <v/>
      </c>
      <c r="BR70" s="130">
        <f>IF(OR($C70="",$B$2="",$D$2=0),0,IF(BR$3&lt;0,0,N(INDEX('CURVA PREVISION'!$A$1:$KZ$3000,$C70,11+3*MIN(BR$3,$D$2-1)))))</f>
        <v/>
      </c>
      <c r="BS70" s="130">
        <f>IF(OR($C70="",$B$2="",$D$2=0),0,IF(BS$3&lt;0,0,N(INDEX('CURVA PREVISION'!$A$1:$KZ$3000,$C70,11+3*MIN(BS$3,$D$2-1)))))</f>
        <v/>
      </c>
      <c r="BT70" s="130">
        <f>IF(OR($C70="",$B$2="",$D$2=0),0,IF(BT$3&lt;0,0,N(INDEX('CURVA PREVISION'!$A$1:$KZ$3000,$C70,11+3*MIN(BT$3,$D$2-1)))))</f>
        <v/>
      </c>
      <c r="BU70" s="130">
        <f>IF(OR($C70="",$B$2="",$D$2=0),0,IF(BU$3&lt;0,0,N(INDEX('CURVA PREVISION'!$A$1:$KZ$3000,$C70,11+3*MIN(BU$3,$D$2-1)))))</f>
        <v/>
      </c>
      <c r="BV70" s="130">
        <f>IF(OR($C70="",$B$2="",$D$2=0),0,IF(BV$3&lt;0,0,N(INDEX('CURVA PREVISION'!$A$1:$KZ$3000,$C70,11+3*MIN(BV$3,$D$2-1)))))</f>
        <v/>
      </c>
      <c r="BW70" s="130">
        <f>IF(OR($C70="",$B$2="",$D$2=0),0,IF(BW$3&lt;0,0,N(INDEX('CURVA PREVISION'!$A$1:$KZ$3000,$C70,11+3*MIN(BW$3,$D$2-1)))))</f>
        <v/>
      </c>
    </row>
    <row r="71">
      <c r="A71" s="61">
        <f>IF('VALOR POR PL'!Q35="",'VALOR POR PL'!C35,'VALOR POR PL'!Q35)</f>
        <v/>
      </c>
      <c r="B71" s="51">
        <f>B29</f>
        <v/>
      </c>
      <c r="C71" s="70">
        <f>IFERROR(MATCH(A71,'CURVA PREVISION'!$B$1:$B$3000,0),"")</f>
        <v/>
      </c>
      <c r="D71" s="130">
        <f>IF(OR($C71="",$B$2="",$D$2=0),0,IF(D$3&lt;0,0,N(INDEX('CURVA PREVISION'!$A$1:$KZ$3000,$C71,11+3*MIN(D$3,$D$2-1)))))</f>
        <v/>
      </c>
      <c r="E71" s="130">
        <f>IF(OR($C71="",$B$2="",$D$2=0),0,IF(E$3&lt;0,0,N(INDEX('CURVA PREVISION'!$A$1:$KZ$3000,$C71,11+3*MIN(E$3,$D$2-1)))))</f>
        <v/>
      </c>
      <c r="F71" s="130">
        <f>IF(OR($C71="",$B$2="",$D$2=0),0,IF(F$3&lt;0,0,N(INDEX('CURVA PREVISION'!$A$1:$KZ$3000,$C71,11+3*MIN(F$3,$D$2-1)))))</f>
        <v/>
      </c>
      <c r="G71" s="130">
        <f>IF(OR($C71="",$B$2="",$D$2=0),0,IF(G$3&lt;0,0,N(INDEX('CURVA PREVISION'!$A$1:$KZ$3000,$C71,11+3*MIN(G$3,$D$2-1)))))</f>
        <v/>
      </c>
      <c r="H71" s="130">
        <f>IF(OR($C71="",$B$2="",$D$2=0),0,IF(H$3&lt;0,0,N(INDEX('CURVA PREVISION'!$A$1:$KZ$3000,$C71,11+3*MIN(H$3,$D$2-1)))))</f>
        <v/>
      </c>
      <c r="I71" s="130">
        <f>IF(OR($C71="",$B$2="",$D$2=0),0,IF(I$3&lt;0,0,N(INDEX('CURVA PREVISION'!$A$1:$KZ$3000,$C71,11+3*MIN(I$3,$D$2-1)))))</f>
        <v/>
      </c>
      <c r="J71" s="130">
        <f>IF(OR($C71="",$B$2="",$D$2=0),0,IF(J$3&lt;0,0,N(INDEX('CURVA PREVISION'!$A$1:$KZ$3000,$C71,11+3*MIN(J$3,$D$2-1)))))</f>
        <v/>
      </c>
      <c r="K71" s="130">
        <f>IF(OR($C71="",$B$2="",$D$2=0),0,IF(K$3&lt;0,0,N(INDEX('CURVA PREVISION'!$A$1:$KZ$3000,$C71,11+3*MIN(K$3,$D$2-1)))))</f>
        <v/>
      </c>
      <c r="L71" s="130">
        <f>IF(OR($C71="",$B$2="",$D$2=0),0,IF(L$3&lt;0,0,N(INDEX('CURVA PREVISION'!$A$1:$KZ$3000,$C71,11+3*MIN(L$3,$D$2-1)))))</f>
        <v/>
      </c>
      <c r="M71" s="130">
        <f>IF(OR($C71="",$B$2="",$D$2=0),0,IF(M$3&lt;0,0,N(INDEX('CURVA PREVISION'!$A$1:$KZ$3000,$C71,11+3*MIN(M$3,$D$2-1)))))</f>
        <v/>
      </c>
      <c r="N71" s="130">
        <f>IF(OR($C71="",$B$2="",$D$2=0),0,IF(N$3&lt;0,0,N(INDEX('CURVA PREVISION'!$A$1:$KZ$3000,$C71,11+3*MIN(N$3,$D$2-1)))))</f>
        <v/>
      </c>
      <c r="O71" s="130">
        <f>IF(OR($C71="",$B$2="",$D$2=0),0,IF(O$3&lt;0,0,N(INDEX('CURVA PREVISION'!$A$1:$KZ$3000,$C71,11+3*MIN(O$3,$D$2-1)))))</f>
        <v/>
      </c>
      <c r="P71" s="130">
        <f>IF(OR($C71="",$B$2="",$D$2=0),0,IF(P$3&lt;0,0,N(INDEX('CURVA PREVISION'!$A$1:$KZ$3000,$C71,11+3*MIN(P$3,$D$2-1)))))</f>
        <v/>
      </c>
      <c r="Q71" s="130">
        <f>IF(OR($C71="",$B$2="",$D$2=0),0,IF(Q$3&lt;0,0,N(INDEX('CURVA PREVISION'!$A$1:$KZ$3000,$C71,11+3*MIN(Q$3,$D$2-1)))))</f>
        <v/>
      </c>
      <c r="R71" s="130">
        <f>IF(OR($C71="",$B$2="",$D$2=0),0,IF(R$3&lt;0,0,N(INDEX('CURVA PREVISION'!$A$1:$KZ$3000,$C71,11+3*MIN(R$3,$D$2-1)))))</f>
        <v/>
      </c>
      <c r="S71" s="130">
        <f>IF(OR($C71="",$B$2="",$D$2=0),0,IF(S$3&lt;0,0,N(INDEX('CURVA PREVISION'!$A$1:$KZ$3000,$C71,11+3*MIN(S$3,$D$2-1)))))</f>
        <v/>
      </c>
      <c r="T71" s="130">
        <f>IF(OR($C71="",$B$2="",$D$2=0),0,IF(T$3&lt;0,0,N(INDEX('CURVA PREVISION'!$A$1:$KZ$3000,$C71,11+3*MIN(T$3,$D$2-1)))))</f>
        <v/>
      </c>
      <c r="U71" s="130">
        <f>IF(OR($C71="",$B$2="",$D$2=0),0,IF(U$3&lt;0,0,N(INDEX('CURVA PREVISION'!$A$1:$KZ$3000,$C71,11+3*MIN(U$3,$D$2-1)))))</f>
        <v/>
      </c>
      <c r="V71" s="130">
        <f>IF(OR($C71="",$B$2="",$D$2=0),0,IF(V$3&lt;0,0,N(INDEX('CURVA PREVISION'!$A$1:$KZ$3000,$C71,11+3*MIN(V$3,$D$2-1)))))</f>
        <v/>
      </c>
      <c r="W71" s="130">
        <f>IF(OR($C71="",$B$2="",$D$2=0),0,IF(W$3&lt;0,0,N(INDEX('CURVA PREVISION'!$A$1:$KZ$3000,$C71,11+3*MIN(W$3,$D$2-1)))))</f>
        <v/>
      </c>
      <c r="X71" s="130">
        <f>IF(OR($C71="",$B$2="",$D$2=0),0,IF(X$3&lt;0,0,N(INDEX('CURVA PREVISION'!$A$1:$KZ$3000,$C71,11+3*MIN(X$3,$D$2-1)))))</f>
        <v/>
      </c>
      <c r="Y71" s="130">
        <f>IF(OR($C71="",$B$2="",$D$2=0),0,IF(Y$3&lt;0,0,N(INDEX('CURVA PREVISION'!$A$1:$KZ$3000,$C71,11+3*MIN(Y$3,$D$2-1)))))</f>
        <v/>
      </c>
      <c r="Z71" s="130">
        <f>IF(OR($C71="",$B$2="",$D$2=0),0,IF(Z$3&lt;0,0,N(INDEX('CURVA PREVISION'!$A$1:$KZ$3000,$C71,11+3*MIN(Z$3,$D$2-1)))))</f>
        <v/>
      </c>
      <c r="AA71" s="130">
        <f>IF(OR($C71="",$B$2="",$D$2=0),0,IF(AA$3&lt;0,0,N(INDEX('CURVA PREVISION'!$A$1:$KZ$3000,$C71,11+3*MIN(AA$3,$D$2-1)))))</f>
        <v/>
      </c>
      <c r="AB71" s="130">
        <f>IF(OR($C71="",$B$2="",$D$2=0),0,IF(AB$3&lt;0,0,N(INDEX('CURVA PREVISION'!$A$1:$KZ$3000,$C71,11+3*MIN(AB$3,$D$2-1)))))</f>
        <v/>
      </c>
      <c r="AC71" s="130">
        <f>IF(OR($C71="",$B$2="",$D$2=0),0,IF(AC$3&lt;0,0,N(INDEX('CURVA PREVISION'!$A$1:$KZ$3000,$C71,11+3*MIN(AC$3,$D$2-1)))))</f>
        <v/>
      </c>
      <c r="AD71" s="130">
        <f>IF(OR($C71="",$B$2="",$D$2=0),0,IF(AD$3&lt;0,0,N(INDEX('CURVA PREVISION'!$A$1:$KZ$3000,$C71,11+3*MIN(AD$3,$D$2-1)))))</f>
        <v/>
      </c>
      <c r="AE71" s="130">
        <f>IF(OR($C71="",$B$2="",$D$2=0),0,IF(AE$3&lt;0,0,N(INDEX('CURVA PREVISION'!$A$1:$KZ$3000,$C71,11+3*MIN(AE$3,$D$2-1)))))</f>
        <v/>
      </c>
      <c r="AF71" s="130">
        <f>IF(OR($C71="",$B$2="",$D$2=0),0,IF(AF$3&lt;0,0,N(INDEX('CURVA PREVISION'!$A$1:$KZ$3000,$C71,11+3*MIN(AF$3,$D$2-1)))))</f>
        <v/>
      </c>
      <c r="AG71" s="130">
        <f>IF(OR($C71="",$B$2="",$D$2=0),0,IF(AG$3&lt;0,0,N(INDEX('CURVA PREVISION'!$A$1:$KZ$3000,$C71,11+3*MIN(AG$3,$D$2-1)))))</f>
        <v/>
      </c>
      <c r="AH71" s="130">
        <f>IF(OR($C71="",$B$2="",$D$2=0),0,IF(AH$3&lt;0,0,N(INDEX('CURVA PREVISION'!$A$1:$KZ$3000,$C71,11+3*MIN(AH$3,$D$2-1)))))</f>
        <v/>
      </c>
      <c r="AI71" s="130">
        <f>IF(OR($C71="",$B$2="",$D$2=0),0,IF(AI$3&lt;0,0,N(INDEX('CURVA PREVISION'!$A$1:$KZ$3000,$C71,11+3*MIN(AI$3,$D$2-1)))))</f>
        <v/>
      </c>
      <c r="AJ71" s="130">
        <f>IF(OR($C71="",$B$2="",$D$2=0),0,IF(AJ$3&lt;0,0,N(INDEX('CURVA PREVISION'!$A$1:$KZ$3000,$C71,11+3*MIN(AJ$3,$D$2-1)))))</f>
        <v/>
      </c>
      <c r="AK71" s="130">
        <f>IF(OR($C71="",$B$2="",$D$2=0),0,IF(AK$3&lt;0,0,N(INDEX('CURVA PREVISION'!$A$1:$KZ$3000,$C71,11+3*MIN(AK$3,$D$2-1)))))</f>
        <v/>
      </c>
      <c r="AL71" s="130">
        <f>IF(OR($C71="",$B$2="",$D$2=0),0,IF(AL$3&lt;0,0,N(INDEX('CURVA PREVISION'!$A$1:$KZ$3000,$C71,11+3*MIN(AL$3,$D$2-1)))))</f>
        <v/>
      </c>
      <c r="AM71" s="130">
        <f>IF(OR($C71="",$B$2="",$D$2=0),0,IF(AM$3&lt;0,0,N(INDEX('CURVA PREVISION'!$A$1:$KZ$3000,$C71,11+3*MIN(AM$3,$D$2-1)))))</f>
        <v/>
      </c>
      <c r="AN71" s="130">
        <f>IF(OR($C71="",$B$2="",$D$2=0),0,IF(AN$3&lt;0,0,N(INDEX('CURVA PREVISION'!$A$1:$KZ$3000,$C71,11+3*MIN(AN$3,$D$2-1)))))</f>
        <v/>
      </c>
      <c r="AO71" s="130">
        <f>IF(OR($C71="",$B$2="",$D$2=0),0,IF(AO$3&lt;0,0,N(INDEX('CURVA PREVISION'!$A$1:$KZ$3000,$C71,11+3*MIN(AO$3,$D$2-1)))))</f>
        <v/>
      </c>
      <c r="AP71" s="130">
        <f>IF(OR($C71="",$B$2="",$D$2=0),0,IF(AP$3&lt;0,0,N(INDEX('CURVA PREVISION'!$A$1:$KZ$3000,$C71,11+3*MIN(AP$3,$D$2-1)))))</f>
        <v/>
      </c>
      <c r="AQ71" s="130">
        <f>IF(OR($C71="",$B$2="",$D$2=0),0,IF(AQ$3&lt;0,0,N(INDEX('CURVA PREVISION'!$A$1:$KZ$3000,$C71,11+3*MIN(AQ$3,$D$2-1)))))</f>
        <v/>
      </c>
      <c r="AR71" s="130">
        <f>IF(OR($C71="",$B$2="",$D$2=0),0,IF(AR$3&lt;0,0,N(INDEX('CURVA PREVISION'!$A$1:$KZ$3000,$C71,11+3*MIN(AR$3,$D$2-1)))))</f>
        <v/>
      </c>
      <c r="AS71" s="130">
        <f>IF(OR($C71="",$B$2="",$D$2=0),0,IF(AS$3&lt;0,0,N(INDEX('CURVA PREVISION'!$A$1:$KZ$3000,$C71,11+3*MIN(AS$3,$D$2-1)))))</f>
        <v/>
      </c>
      <c r="AT71" s="130">
        <f>IF(OR($C71="",$B$2="",$D$2=0),0,IF(AT$3&lt;0,0,N(INDEX('CURVA PREVISION'!$A$1:$KZ$3000,$C71,11+3*MIN(AT$3,$D$2-1)))))</f>
        <v/>
      </c>
      <c r="AU71" s="130">
        <f>IF(OR($C71="",$B$2="",$D$2=0),0,IF(AU$3&lt;0,0,N(INDEX('CURVA PREVISION'!$A$1:$KZ$3000,$C71,11+3*MIN(AU$3,$D$2-1)))))</f>
        <v/>
      </c>
      <c r="AV71" s="130">
        <f>IF(OR($C71="",$B$2="",$D$2=0),0,IF(AV$3&lt;0,0,N(INDEX('CURVA PREVISION'!$A$1:$KZ$3000,$C71,11+3*MIN(AV$3,$D$2-1)))))</f>
        <v/>
      </c>
      <c r="AW71" s="130">
        <f>IF(OR($C71="",$B$2="",$D$2=0),0,IF(AW$3&lt;0,0,N(INDEX('CURVA PREVISION'!$A$1:$KZ$3000,$C71,11+3*MIN(AW$3,$D$2-1)))))</f>
        <v/>
      </c>
      <c r="AX71" s="130">
        <f>IF(OR($C71="",$B$2="",$D$2=0),0,IF(AX$3&lt;0,0,N(INDEX('CURVA PREVISION'!$A$1:$KZ$3000,$C71,11+3*MIN(AX$3,$D$2-1)))))</f>
        <v/>
      </c>
      <c r="AY71" s="130">
        <f>IF(OR($C71="",$B$2="",$D$2=0),0,IF(AY$3&lt;0,0,N(INDEX('CURVA PREVISION'!$A$1:$KZ$3000,$C71,11+3*MIN(AY$3,$D$2-1)))))</f>
        <v/>
      </c>
      <c r="AZ71" s="130">
        <f>IF(OR($C71="",$B$2="",$D$2=0),0,IF(AZ$3&lt;0,0,N(INDEX('CURVA PREVISION'!$A$1:$KZ$3000,$C71,11+3*MIN(AZ$3,$D$2-1)))))</f>
        <v/>
      </c>
      <c r="BA71" s="130">
        <f>IF(OR($C71="",$B$2="",$D$2=0),0,IF(BA$3&lt;0,0,N(INDEX('CURVA PREVISION'!$A$1:$KZ$3000,$C71,11+3*MIN(BA$3,$D$2-1)))))</f>
        <v/>
      </c>
      <c r="BB71" s="130">
        <f>IF(OR($C71="",$B$2="",$D$2=0),0,IF(BB$3&lt;0,0,N(INDEX('CURVA PREVISION'!$A$1:$KZ$3000,$C71,11+3*MIN(BB$3,$D$2-1)))))</f>
        <v/>
      </c>
      <c r="BC71" s="130">
        <f>IF(OR($C71="",$B$2="",$D$2=0),0,IF(BC$3&lt;0,0,N(INDEX('CURVA PREVISION'!$A$1:$KZ$3000,$C71,11+3*MIN(BC$3,$D$2-1)))))</f>
        <v/>
      </c>
      <c r="BD71" s="130">
        <f>IF(OR($C71="",$B$2="",$D$2=0),0,IF(BD$3&lt;0,0,N(INDEX('CURVA PREVISION'!$A$1:$KZ$3000,$C71,11+3*MIN(BD$3,$D$2-1)))))</f>
        <v/>
      </c>
      <c r="BE71" s="130">
        <f>IF(OR($C71="",$B$2="",$D$2=0),0,IF(BE$3&lt;0,0,N(INDEX('CURVA PREVISION'!$A$1:$KZ$3000,$C71,11+3*MIN(BE$3,$D$2-1)))))</f>
        <v/>
      </c>
      <c r="BF71" s="130">
        <f>IF(OR($C71="",$B$2="",$D$2=0),0,IF(BF$3&lt;0,0,N(INDEX('CURVA PREVISION'!$A$1:$KZ$3000,$C71,11+3*MIN(BF$3,$D$2-1)))))</f>
        <v/>
      </c>
      <c r="BG71" s="130">
        <f>IF(OR($C71="",$B$2="",$D$2=0),0,IF(BG$3&lt;0,0,N(INDEX('CURVA PREVISION'!$A$1:$KZ$3000,$C71,11+3*MIN(BG$3,$D$2-1)))))</f>
        <v/>
      </c>
      <c r="BH71" s="130">
        <f>IF(OR($C71="",$B$2="",$D$2=0),0,IF(BH$3&lt;0,0,N(INDEX('CURVA PREVISION'!$A$1:$KZ$3000,$C71,11+3*MIN(BH$3,$D$2-1)))))</f>
        <v/>
      </c>
      <c r="BI71" s="130">
        <f>IF(OR($C71="",$B$2="",$D$2=0),0,IF(BI$3&lt;0,0,N(INDEX('CURVA PREVISION'!$A$1:$KZ$3000,$C71,11+3*MIN(BI$3,$D$2-1)))))</f>
        <v/>
      </c>
      <c r="BJ71" s="130">
        <f>IF(OR($C71="",$B$2="",$D$2=0),0,IF(BJ$3&lt;0,0,N(INDEX('CURVA PREVISION'!$A$1:$KZ$3000,$C71,11+3*MIN(BJ$3,$D$2-1)))))</f>
        <v/>
      </c>
      <c r="BK71" s="130">
        <f>IF(OR($C71="",$B$2="",$D$2=0),0,IF(BK$3&lt;0,0,N(INDEX('CURVA PREVISION'!$A$1:$KZ$3000,$C71,11+3*MIN(BK$3,$D$2-1)))))</f>
        <v/>
      </c>
      <c r="BL71" s="130">
        <f>IF(OR($C71="",$B$2="",$D$2=0),0,IF(BL$3&lt;0,0,N(INDEX('CURVA PREVISION'!$A$1:$KZ$3000,$C71,11+3*MIN(BL$3,$D$2-1)))))</f>
        <v/>
      </c>
      <c r="BM71" s="130">
        <f>IF(OR($C71="",$B$2="",$D$2=0),0,IF(BM$3&lt;0,0,N(INDEX('CURVA PREVISION'!$A$1:$KZ$3000,$C71,11+3*MIN(BM$3,$D$2-1)))))</f>
        <v/>
      </c>
      <c r="BN71" s="130">
        <f>IF(OR($C71="",$B$2="",$D$2=0),0,IF(BN$3&lt;0,0,N(INDEX('CURVA PREVISION'!$A$1:$KZ$3000,$C71,11+3*MIN(BN$3,$D$2-1)))))</f>
        <v/>
      </c>
      <c r="BO71" s="130">
        <f>IF(OR($C71="",$B$2="",$D$2=0),0,IF(BO$3&lt;0,0,N(INDEX('CURVA PREVISION'!$A$1:$KZ$3000,$C71,11+3*MIN(BO$3,$D$2-1)))))</f>
        <v/>
      </c>
      <c r="BP71" s="130">
        <f>IF(OR($C71="",$B$2="",$D$2=0),0,IF(BP$3&lt;0,0,N(INDEX('CURVA PREVISION'!$A$1:$KZ$3000,$C71,11+3*MIN(BP$3,$D$2-1)))))</f>
        <v/>
      </c>
      <c r="BQ71" s="130">
        <f>IF(OR($C71="",$B$2="",$D$2=0),0,IF(BQ$3&lt;0,0,N(INDEX('CURVA PREVISION'!$A$1:$KZ$3000,$C71,11+3*MIN(BQ$3,$D$2-1)))))</f>
        <v/>
      </c>
      <c r="BR71" s="130">
        <f>IF(OR($C71="",$B$2="",$D$2=0),0,IF(BR$3&lt;0,0,N(INDEX('CURVA PREVISION'!$A$1:$KZ$3000,$C71,11+3*MIN(BR$3,$D$2-1)))))</f>
        <v/>
      </c>
      <c r="BS71" s="130">
        <f>IF(OR($C71="",$B$2="",$D$2=0),0,IF(BS$3&lt;0,0,N(INDEX('CURVA PREVISION'!$A$1:$KZ$3000,$C71,11+3*MIN(BS$3,$D$2-1)))))</f>
        <v/>
      </c>
      <c r="BT71" s="130">
        <f>IF(OR($C71="",$B$2="",$D$2=0),0,IF(BT$3&lt;0,0,N(INDEX('CURVA PREVISION'!$A$1:$KZ$3000,$C71,11+3*MIN(BT$3,$D$2-1)))))</f>
        <v/>
      </c>
      <c r="BU71" s="130">
        <f>IF(OR($C71="",$B$2="",$D$2=0),0,IF(BU$3&lt;0,0,N(INDEX('CURVA PREVISION'!$A$1:$KZ$3000,$C71,11+3*MIN(BU$3,$D$2-1)))))</f>
        <v/>
      </c>
      <c r="BV71" s="130">
        <f>IF(OR($C71="",$B$2="",$D$2=0),0,IF(BV$3&lt;0,0,N(INDEX('CURVA PREVISION'!$A$1:$KZ$3000,$C71,11+3*MIN(BV$3,$D$2-1)))))</f>
        <v/>
      </c>
      <c r="BW71" s="130">
        <f>IF(OR($C71="",$B$2="",$D$2=0),0,IF(BW$3&lt;0,0,N(INDEX('CURVA PREVISION'!$A$1:$KZ$3000,$C71,11+3*MIN(BW$3,$D$2-1)))))</f>
        <v/>
      </c>
    </row>
    <row r="72">
      <c r="A72" s="61">
        <f>IF('VALOR POR PL'!Q36="",'VALOR POR PL'!C36,'VALOR POR PL'!Q36)</f>
        <v/>
      </c>
      <c r="B72" s="51">
        <f>B30</f>
        <v/>
      </c>
      <c r="C72" s="70">
        <f>IFERROR(MATCH(A72,'CURVA PREVISION'!$B$1:$B$3000,0),"")</f>
        <v/>
      </c>
      <c r="D72" s="130">
        <f>IF(OR($C72="",$B$2="",$D$2=0),0,IF(D$3&lt;0,0,N(INDEX('CURVA PREVISION'!$A$1:$KZ$3000,$C72,11+3*MIN(D$3,$D$2-1)))))</f>
        <v/>
      </c>
      <c r="E72" s="130">
        <f>IF(OR($C72="",$B$2="",$D$2=0),0,IF(E$3&lt;0,0,N(INDEX('CURVA PREVISION'!$A$1:$KZ$3000,$C72,11+3*MIN(E$3,$D$2-1)))))</f>
        <v/>
      </c>
      <c r="F72" s="130">
        <f>IF(OR($C72="",$B$2="",$D$2=0),0,IF(F$3&lt;0,0,N(INDEX('CURVA PREVISION'!$A$1:$KZ$3000,$C72,11+3*MIN(F$3,$D$2-1)))))</f>
        <v/>
      </c>
      <c r="G72" s="130">
        <f>IF(OR($C72="",$B$2="",$D$2=0),0,IF(G$3&lt;0,0,N(INDEX('CURVA PREVISION'!$A$1:$KZ$3000,$C72,11+3*MIN(G$3,$D$2-1)))))</f>
        <v/>
      </c>
      <c r="H72" s="130">
        <f>IF(OR($C72="",$B$2="",$D$2=0),0,IF(H$3&lt;0,0,N(INDEX('CURVA PREVISION'!$A$1:$KZ$3000,$C72,11+3*MIN(H$3,$D$2-1)))))</f>
        <v/>
      </c>
      <c r="I72" s="130">
        <f>IF(OR($C72="",$B$2="",$D$2=0),0,IF(I$3&lt;0,0,N(INDEX('CURVA PREVISION'!$A$1:$KZ$3000,$C72,11+3*MIN(I$3,$D$2-1)))))</f>
        <v/>
      </c>
      <c r="J72" s="130">
        <f>IF(OR($C72="",$B$2="",$D$2=0),0,IF(J$3&lt;0,0,N(INDEX('CURVA PREVISION'!$A$1:$KZ$3000,$C72,11+3*MIN(J$3,$D$2-1)))))</f>
        <v/>
      </c>
      <c r="K72" s="130">
        <f>IF(OR($C72="",$B$2="",$D$2=0),0,IF(K$3&lt;0,0,N(INDEX('CURVA PREVISION'!$A$1:$KZ$3000,$C72,11+3*MIN(K$3,$D$2-1)))))</f>
        <v/>
      </c>
      <c r="L72" s="130">
        <f>IF(OR($C72="",$B$2="",$D$2=0),0,IF(L$3&lt;0,0,N(INDEX('CURVA PREVISION'!$A$1:$KZ$3000,$C72,11+3*MIN(L$3,$D$2-1)))))</f>
        <v/>
      </c>
      <c r="M72" s="130">
        <f>IF(OR($C72="",$B$2="",$D$2=0),0,IF(M$3&lt;0,0,N(INDEX('CURVA PREVISION'!$A$1:$KZ$3000,$C72,11+3*MIN(M$3,$D$2-1)))))</f>
        <v/>
      </c>
      <c r="N72" s="130">
        <f>IF(OR($C72="",$B$2="",$D$2=0),0,IF(N$3&lt;0,0,N(INDEX('CURVA PREVISION'!$A$1:$KZ$3000,$C72,11+3*MIN(N$3,$D$2-1)))))</f>
        <v/>
      </c>
      <c r="O72" s="130">
        <f>IF(OR($C72="",$B$2="",$D$2=0),0,IF(O$3&lt;0,0,N(INDEX('CURVA PREVISION'!$A$1:$KZ$3000,$C72,11+3*MIN(O$3,$D$2-1)))))</f>
        <v/>
      </c>
      <c r="P72" s="130">
        <f>IF(OR($C72="",$B$2="",$D$2=0),0,IF(P$3&lt;0,0,N(INDEX('CURVA PREVISION'!$A$1:$KZ$3000,$C72,11+3*MIN(P$3,$D$2-1)))))</f>
        <v/>
      </c>
      <c r="Q72" s="130">
        <f>IF(OR($C72="",$B$2="",$D$2=0),0,IF(Q$3&lt;0,0,N(INDEX('CURVA PREVISION'!$A$1:$KZ$3000,$C72,11+3*MIN(Q$3,$D$2-1)))))</f>
        <v/>
      </c>
      <c r="R72" s="130">
        <f>IF(OR($C72="",$B$2="",$D$2=0),0,IF(R$3&lt;0,0,N(INDEX('CURVA PREVISION'!$A$1:$KZ$3000,$C72,11+3*MIN(R$3,$D$2-1)))))</f>
        <v/>
      </c>
      <c r="S72" s="130">
        <f>IF(OR($C72="",$B$2="",$D$2=0),0,IF(S$3&lt;0,0,N(INDEX('CURVA PREVISION'!$A$1:$KZ$3000,$C72,11+3*MIN(S$3,$D$2-1)))))</f>
        <v/>
      </c>
      <c r="T72" s="130">
        <f>IF(OR($C72="",$B$2="",$D$2=0),0,IF(T$3&lt;0,0,N(INDEX('CURVA PREVISION'!$A$1:$KZ$3000,$C72,11+3*MIN(T$3,$D$2-1)))))</f>
        <v/>
      </c>
      <c r="U72" s="130">
        <f>IF(OR($C72="",$B$2="",$D$2=0),0,IF(U$3&lt;0,0,N(INDEX('CURVA PREVISION'!$A$1:$KZ$3000,$C72,11+3*MIN(U$3,$D$2-1)))))</f>
        <v/>
      </c>
      <c r="V72" s="130">
        <f>IF(OR($C72="",$B$2="",$D$2=0),0,IF(V$3&lt;0,0,N(INDEX('CURVA PREVISION'!$A$1:$KZ$3000,$C72,11+3*MIN(V$3,$D$2-1)))))</f>
        <v/>
      </c>
      <c r="W72" s="130">
        <f>IF(OR($C72="",$B$2="",$D$2=0),0,IF(W$3&lt;0,0,N(INDEX('CURVA PREVISION'!$A$1:$KZ$3000,$C72,11+3*MIN(W$3,$D$2-1)))))</f>
        <v/>
      </c>
      <c r="X72" s="130">
        <f>IF(OR($C72="",$B$2="",$D$2=0),0,IF(X$3&lt;0,0,N(INDEX('CURVA PREVISION'!$A$1:$KZ$3000,$C72,11+3*MIN(X$3,$D$2-1)))))</f>
        <v/>
      </c>
      <c r="Y72" s="130">
        <f>IF(OR($C72="",$B$2="",$D$2=0),0,IF(Y$3&lt;0,0,N(INDEX('CURVA PREVISION'!$A$1:$KZ$3000,$C72,11+3*MIN(Y$3,$D$2-1)))))</f>
        <v/>
      </c>
      <c r="Z72" s="130">
        <f>IF(OR($C72="",$B$2="",$D$2=0),0,IF(Z$3&lt;0,0,N(INDEX('CURVA PREVISION'!$A$1:$KZ$3000,$C72,11+3*MIN(Z$3,$D$2-1)))))</f>
        <v/>
      </c>
      <c r="AA72" s="130">
        <f>IF(OR($C72="",$B$2="",$D$2=0),0,IF(AA$3&lt;0,0,N(INDEX('CURVA PREVISION'!$A$1:$KZ$3000,$C72,11+3*MIN(AA$3,$D$2-1)))))</f>
        <v/>
      </c>
      <c r="AB72" s="130">
        <f>IF(OR($C72="",$B$2="",$D$2=0),0,IF(AB$3&lt;0,0,N(INDEX('CURVA PREVISION'!$A$1:$KZ$3000,$C72,11+3*MIN(AB$3,$D$2-1)))))</f>
        <v/>
      </c>
      <c r="AC72" s="130">
        <f>IF(OR($C72="",$B$2="",$D$2=0),0,IF(AC$3&lt;0,0,N(INDEX('CURVA PREVISION'!$A$1:$KZ$3000,$C72,11+3*MIN(AC$3,$D$2-1)))))</f>
        <v/>
      </c>
      <c r="AD72" s="130">
        <f>IF(OR($C72="",$B$2="",$D$2=0),0,IF(AD$3&lt;0,0,N(INDEX('CURVA PREVISION'!$A$1:$KZ$3000,$C72,11+3*MIN(AD$3,$D$2-1)))))</f>
        <v/>
      </c>
      <c r="AE72" s="130">
        <f>IF(OR($C72="",$B$2="",$D$2=0),0,IF(AE$3&lt;0,0,N(INDEX('CURVA PREVISION'!$A$1:$KZ$3000,$C72,11+3*MIN(AE$3,$D$2-1)))))</f>
        <v/>
      </c>
      <c r="AF72" s="130">
        <f>IF(OR($C72="",$B$2="",$D$2=0),0,IF(AF$3&lt;0,0,N(INDEX('CURVA PREVISION'!$A$1:$KZ$3000,$C72,11+3*MIN(AF$3,$D$2-1)))))</f>
        <v/>
      </c>
      <c r="AG72" s="130">
        <f>IF(OR($C72="",$B$2="",$D$2=0),0,IF(AG$3&lt;0,0,N(INDEX('CURVA PREVISION'!$A$1:$KZ$3000,$C72,11+3*MIN(AG$3,$D$2-1)))))</f>
        <v/>
      </c>
      <c r="AH72" s="130">
        <f>IF(OR($C72="",$B$2="",$D$2=0),0,IF(AH$3&lt;0,0,N(INDEX('CURVA PREVISION'!$A$1:$KZ$3000,$C72,11+3*MIN(AH$3,$D$2-1)))))</f>
        <v/>
      </c>
      <c r="AI72" s="130">
        <f>IF(OR($C72="",$B$2="",$D$2=0),0,IF(AI$3&lt;0,0,N(INDEX('CURVA PREVISION'!$A$1:$KZ$3000,$C72,11+3*MIN(AI$3,$D$2-1)))))</f>
        <v/>
      </c>
      <c r="AJ72" s="130">
        <f>IF(OR($C72="",$B$2="",$D$2=0),0,IF(AJ$3&lt;0,0,N(INDEX('CURVA PREVISION'!$A$1:$KZ$3000,$C72,11+3*MIN(AJ$3,$D$2-1)))))</f>
        <v/>
      </c>
      <c r="AK72" s="130">
        <f>IF(OR($C72="",$B$2="",$D$2=0),0,IF(AK$3&lt;0,0,N(INDEX('CURVA PREVISION'!$A$1:$KZ$3000,$C72,11+3*MIN(AK$3,$D$2-1)))))</f>
        <v/>
      </c>
      <c r="AL72" s="130">
        <f>IF(OR($C72="",$B$2="",$D$2=0),0,IF(AL$3&lt;0,0,N(INDEX('CURVA PREVISION'!$A$1:$KZ$3000,$C72,11+3*MIN(AL$3,$D$2-1)))))</f>
        <v/>
      </c>
      <c r="AM72" s="130">
        <f>IF(OR($C72="",$B$2="",$D$2=0),0,IF(AM$3&lt;0,0,N(INDEX('CURVA PREVISION'!$A$1:$KZ$3000,$C72,11+3*MIN(AM$3,$D$2-1)))))</f>
        <v/>
      </c>
      <c r="AN72" s="130">
        <f>IF(OR($C72="",$B$2="",$D$2=0),0,IF(AN$3&lt;0,0,N(INDEX('CURVA PREVISION'!$A$1:$KZ$3000,$C72,11+3*MIN(AN$3,$D$2-1)))))</f>
        <v/>
      </c>
      <c r="AO72" s="130">
        <f>IF(OR($C72="",$B$2="",$D$2=0),0,IF(AO$3&lt;0,0,N(INDEX('CURVA PREVISION'!$A$1:$KZ$3000,$C72,11+3*MIN(AO$3,$D$2-1)))))</f>
        <v/>
      </c>
      <c r="AP72" s="130">
        <f>IF(OR($C72="",$B$2="",$D$2=0),0,IF(AP$3&lt;0,0,N(INDEX('CURVA PREVISION'!$A$1:$KZ$3000,$C72,11+3*MIN(AP$3,$D$2-1)))))</f>
        <v/>
      </c>
      <c r="AQ72" s="130">
        <f>IF(OR($C72="",$B$2="",$D$2=0),0,IF(AQ$3&lt;0,0,N(INDEX('CURVA PREVISION'!$A$1:$KZ$3000,$C72,11+3*MIN(AQ$3,$D$2-1)))))</f>
        <v/>
      </c>
      <c r="AR72" s="130">
        <f>IF(OR($C72="",$B$2="",$D$2=0),0,IF(AR$3&lt;0,0,N(INDEX('CURVA PREVISION'!$A$1:$KZ$3000,$C72,11+3*MIN(AR$3,$D$2-1)))))</f>
        <v/>
      </c>
      <c r="AS72" s="130">
        <f>IF(OR($C72="",$B$2="",$D$2=0),0,IF(AS$3&lt;0,0,N(INDEX('CURVA PREVISION'!$A$1:$KZ$3000,$C72,11+3*MIN(AS$3,$D$2-1)))))</f>
        <v/>
      </c>
      <c r="AT72" s="130">
        <f>IF(OR($C72="",$B$2="",$D$2=0),0,IF(AT$3&lt;0,0,N(INDEX('CURVA PREVISION'!$A$1:$KZ$3000,$C72,11+3*MIN(AT$3,$D$2-1)))))</f>
        <v/>
      </c>
      <c r="AU72" s="130">
        <f>IF(OR($C72="",$B$2="",$D$2=0),0,IF(AU$3&lt;0,0,N(INDEX('CURVA PREVISION'!$A$1:$KZ$3000,$C72,11+3*MIN(AU$3,$D$2-1)))))</f>
        <v/>
      </c>
      <c r="AV72" s="130">
        <f>IF(OR($C72="",$B$2="",$D$2=0),0,IF(AV$3&lt;0,0,N(INDEX('CURVA PREVISION'!$A$1:$KZ$3000,$C72,11+3*MIN(AV$3,$D$2-1)))))</f>
        <v/>
      </c>
      <c r="AW72" s="130">
        <f>IF(OR($C72="",$B$2="",$D$2=0),0,IF(AW$3&lt;0,0,N(INDEX('CURVA PREVISION'!$A$1:$KZ$3000,$C72,11+3*MIN(AW$3,$D$2-1)))))</f>
        <v/>
      </c>
      <c r="AX72" s="130">
        <f>IF(OR($C72="",$B$2="",$D$2=0),0,IF(AX$3&lt;0,0,N(INDEX('CURVA PREVISION'!$A$1:$KZ$3000,$C72,11+3*MIN(AX$3,$D$2-1)))))</f>
        <v/>
      </c>
      <c r="AY72" s="130">
        <f>IF(OR($C72="",$B$2="",$D$2=0),0,IF(AY$3&lt;0,0,N(INDEX('CURVA PREVISION'!$A$1:$KZ$3000,$C72,11+3*MIN(AY$3,$D$2-1)))))</f>
        <v/>
      </c>
      <c r="AZ72" s="130">
        <f>IF(OR($C72="",$B$2="",$D$2=0),0,IF(AZ$3&lt;0,0,N(INDEX('CURVA PREVISION'!$A$1:$KZ$3000,$C72,11+3*MIN(AZ$3,$D$2-1)))))</f>
        <v/>
      </c>
      <c r="BA72" s="130">
        <f>IF(OR($C72="",$B$2="",$D$2=0),0,IF(BA$3&lt;0,0,N(INDEX('CURVA PREVISION'!$A$1:$KZ$3000,$C72,11+3*MIN(BA$3,$D$2-1)))))</f>
        <v/>
      </c>
      <c r="BB72" s="130">
        <f>IF(OR($C72="",$B$2="",$D$2=0),0,IF(BB$3&lt;0,0,N(INDEX('CURVA PREVISION'!$A$1:$KZ$3000,$C72,11+3*MIN(BB$3,$D$2-1)))))</f>
        <v/>
      </c>
      <c r="BC72" s="130">
        <f>IF(OR($C72="",$B$2="",$D$2=0),0,IF(BC$3&lt;0,0,N(INDEX('CURVA PREVISION'!$A$1:$KZ$3000,$C72,11+3*MIN(BC$3,$D$2-1)))))</f>
        <v/>
      </c>
      <c r="BD72" s="130">
        <f>IF(OR($C72="",$B$2="",$D$2=0),0,IF(BD$3&lt;0,0,N(INDEX('CURVA PREVISION'!$A$1:$KZ$3000,$C72,11+3*MIN(BD$3,$D$2-1)))))</f>
        <v/>
      </c>
      <c r="BE72" s="130">
        <f>IF(OR($C72="",$B$2="",$D$2=0),0,IF(BE$3&lt;0,0,N(INDEX('CURVA PREVISION'!$A$1:$KZ$3000,$C72,11+3*MIN(BE$3,$D$2-1)))))</f>
        <v/>
      </c>
      <c r="BF72" s="130">
        <f>IF(OR($C72="",$B$2="",$D$2=0),0,IF(BF$3&lt;0,0,N(INDEX('CURVA PREVISION'!$A$1:$KZ$3000,$C72,11+3*MIN(BF$3,$D$2-1)))))</f>
        <v/>
      </c>
      <c r="BG72" s="130">
        <f>IF(OR($C72="",$B$2="",$D$2=0),0,IF(BG$3&lt;0,0,N(INDEX('CURVA PREVISION'!$A$1:$KZ$3000,$C72,11+3*MIN(BG$3,$D$2-1)))))</f>
        <v/>
      </c>
      <c r="BH72" s="130">
        <f>IF(OR($C72="",$B$2="",$D$2=0),0,IF(BH$3&lt;0,0,N(INDEX('CURVA PREVISION'!$A$1:$KZ$3000,$C72,11+3*MIN(BH$3,$D$2-1)))))</f>
        <v/>
      </c>
      <c r="BI72" s="130">
        <f>IF(OR($C72="",$B$2="",$D$2=0),0,IF(BI$3&lt;0,0,N(INDEX('CURVA PREVISION'!$A$1:$KZ$3000,$C72,11+3*MIN(BI$3,$D$2-1)))))</f>
        <v/>
      </c>
      <c r="BJ72" s="130">
        <f>IF(OR($C72="",$B$2="",$D$2=0),0,IF(BJ$3&lt;0,0,N(INDEX('CURVA PREVISION'!$A$1:$KZ$3000,$C72,11+3*MIN(BJ$3,$D$2-1)))))</f>
        <v/>
      </c>
      <c r="BK72" s="130">
        <f>IF(OR($C72="",$B$2="",$D$2=0),0,IF(BK$3&lt;0,0,N(INDEX('CURVA PREVISION'!$A$1:$KZ$3000,$C72,11+3*MIN(BK$3,$D$2-1)))))</f>
        <v/>
      </c>
      <c r="BL72" s="130">
        <f>IF(OR($C72="",$B$2="",$D$2=0),0,IF(BL$3&lt;0,0,N(INDEX('CURVA PREVISION'!$A$1:$KZ$3000,$C72,11+3*MIN(BL$3,$D$2-1)))))</f>
        <v/>
      </c>
      <c r="BM72" s="130">
        <f>IF(OR($C72="",$B$2="",$D$2=0),0,IF(BM$3&lt;0,0,N(INDEX('CURVA PREVISION'!$A$1:$KZ$3000,$C72,11+3*MIN(BM$3,$D$2-1)))))</f>
        <v/>
      </c>
      <c r="BN72" s="130">
        <f>IF(OR($C72="",$B$2="",$D$2=0),0,IF(BN$3&lt;0,0,N(INDEX('CURVA PREVISION'!$A$1:$KZ$3000,$C72,11+3*MIN(BN$3,$D$2-1)))))</f>
        <v/>
      </c>
      <c r="BO72" s="130">
        <f>IF(OR($C72="",$B$2="",$D$2=0),0,IF(BO$3&lt;0,0,N(INDEX('CURVA PREVISION'!$A$1:$KZ$3000,$C72,11+3*MIN(BO$3,$D$2-1)))))</f>
        <v/>
      </c>
      <c r="BP72" s="130">
        <f>IF(OR($C72="",$B$2="",$D$2=0),0,IF(BP$3&lt;0,0,N(INDEX('CURVA PREVISION'!$A$1:$KZ$3000,$C72,11+3*MIN(BP$3,$D$2-1)))))</f>
        <v/>
      </c>
      <c r="BQ72" s="130">
        <f>IF(OR($C72="",$B$2="",$D$2=0),0,IF(BQ$3&lt;0,0,N(INDEX('CURVA PREVISION'!$A$1:$KZ$3000,$C72,11+3*MIN(BQ$3,$D$2-1)))))</f>
        <v/>
      </c>
      <c r="BR72" s="130">
        <f>IF(OR($C72="",$B$2="",$D$2=0),0,IF(BR$3&lt;0,0,N(INDEX('CURVA PREVISION'!$A$1:$KZ$3000,$C72,11+3*MIN(BR$3,$D$2-1)))))</f>
        <v/>
      </c>
      <c r="BS72" s="130">
        <f>IF(OR($C72="",$B$2="",$D$2=0),0,IF(BS$3&lt;0,0,N(INDEX('CURVA PREVISION'!$A$1:$KZ$3000,$C72,11+3*MIN(BS$3,$D$2-1)))))</f>
        <v/>
      </c>
      <c r="BT72" s="130">
        <f>IF(OR($C72="",$B$2="",$D$2=0),0,IF(BT$3&lt;0,0,N(INDEX('CURVA PREVISION'!$A$1:$KZ$3000,$C72,11+3*MIN(BT$3,$D$2-1)))))</f>
        <v/>
      </c>
      <c r="BU72" s="130">
        <f>IF(OR($C72="",$B$2="",$D$2=0),0,IF(BU$3&lt;0,0,N(INDEX('CURVA PREVISION'!$A$1:$KZ$3000,$C72,11+3*MIN(BU$3,$D$2-1)))))</f>
        <v/>
      </c>
      <c r="BV72" s="130">
        <f>IF(OR($C72="",$B$2="",$D$2=0),0,IF(BV$3&lt;0,0,N(INDEX('CURVA PREVISION'!$A$1:$KZ$3000,$C72,11+3*MIN(BV$3,$D$2-1)))))</f>
        <v/>
      </c>
      <c r="BW72" s="130">
        <f>IF(OR($C72="",$B$2="",$D$2=0),0,IF(BW$3&lt;0,0,N(INDEX('CURVA PREVISION'!$A$1:$KZ$3000,$C72,11+3*MIN(BW$3,$D$2-1)))))</f>
        <v/>
      </c>
    </row>
    <row r="73">
      <c r="A73" s="61">
        <f>IF('VALOR POR PL'!Q37="",'VALOR POR PL'!C37,'VALOR POR PL'!Q37)</f>
        <v/>
      </c>
      <c r="B73" s="51">
        <f>B31</f>
        <v/>
      </c>
      <c r="C73" s="70">
        <f>IFERROR(MATCH(A73,'CURVA PREVISION'!$B$1:$B$3000,0),"")</f>
        <v/>
      </c>
      <c r="D73" s="130">
        <f>IF(OR($C73="",$B$2="",$D$2=0),0,IF(D$3&lt;0,0,N(INDEX('CURVA PREVISION'!$A$1:$KZ$3000,$C73,11+3*MIN(D$3,$D$2-1)))))</f>
        <v/>
      </c>
      <c r="E73" s="130">
        <f>IF(OR($C73="",$B$2="",$D$2=0),0,IF(E$3&lt;0,0,N(INDEX('CURVA PREVISION'!$A$1:$KZ$3000,$C73,11+3*MIN(E$3,$D$2-1)))))</f>
        <v/>
      </c>
      <c r="F73" s="130">
        <f>IF(OR($C73="",$B$2="",$D$2=0),0,IF(F$3&lt;0,0,N(INDEX('CURVA PREVISION'!$A$1:$KZ$3000,$C73,11+3*MIN(F$3,$D$2-1)))))</f>
        <v/>
      </c>
      <c r="G73" s="130">
        <f>IF(OR($C73="",$B$2="",$D$2=0),0,IF(G$3&lt;0,0,N(INDEX('CURVA PREVISION'!$A$1:$KZ$3000,$C73,11+3*MIN(G$3,$D$2-1)))))</f>
        <v/>
      </c>
      <c r="H73" s="130">
        <f>IF(OR($C73="",$B$2="",$D$2=0),0,IF(H$3&lt;0,0,N(INDEX('CURVA PREVISION'!$A$1:$KZ$3000,$C73,11+3*MIN(H$3,$D$2-1)))))</f>
        <v/>
      </c>
      <c r="I73" s="130">
        <f>IF(OR($C73="",$B$2="",$D$2=0),0,IF(I$3&lt;0,0,N(INDEX('CURVA PREVISION'!$A$1:$KZ$3000,$C73,11+3*MIN(I$3,$D$2-1)))))</f>
        <v/>
      </c>
      <c r="J73" s="130">
        <f>IF(OR($C73="",$B$2="",$D$2=0),0,IF(J$3&lt;0,0,N(INDEX('CURVA PREVISION'!$A$1:$KZ$3000,$C73,11+3*MIN(J$3,$D$2-1)))))</f>
        <v/>
      </c>
      <c r="K73" s="130">
        <f>IF(OR($C73="",$B$2="",$D$2=0),0,IF(K$3&lt;0,0,N(INDEX('CURVA PREVISION'!$A$1:$KZ$3000,$C73,11+3*MIN(K$3,$D$2-1)))))</f>
        <v/>
      </c>
      <c r="L73" s="130">
        <f>IF(OR($C73="",$B$2="",$D$2=0),0,IF(L$3&lt;0,0,N(INDEX('CURVA PREVISION'!$A$1:$KZ$3000,$C73,11+3*MIN(L$3,$D$2-1)))))</f>
        <v/>
      </c>
      <c r="M73" s="130">
        <f>IF(OR($C73="",$B$2="",$D$2=0),0,IF(M$3&lt;0,0,N(INDEX('CURVA PREVISION'!$A$1:$KZ$3000,$C73,11+3*MIN(M$3,$D$2-1)))))</f>
        <v/>
      </c>
      <c r="N73" s="130">
        <f>IF(OR($C73="",$B$2="",$D$2=0),0,IF(N$3&lt;0,0,N(INDEX('CURVA PREVISION'!$A$1:$KZ$3000,$C73,11+3*MIN(N$3,$D$2-1)))))</f>
        <v/>
      </c>
      <c r="O73" s="130">
        <f>IF(OR($C73="",$B$2="",$D$2=0),0,IF(O$3&lt;0,0,N(INDEX('CURVA PREVISION'!$A$1:$KZ$3000,$C73,11+3*MIN(O$3,$D$2-1)))))</f>
        <v/>
      </c>
      <c r="P73" s="130">
        <f>IF(OR($C73="",$B$2="",$D$2=0),0,IF(P$3&lt;0,0,N(INDEX('CURVA PREVISION'!$A$1:$KZ$3000,$C73,11+3*MIN(P$3,$D$2-1)))))</f>
        <v/>
      </c>
      <c r="Q73" s="130">
        <f>IF(OR($C73="",$B$2="",$D$2=0),0,IF(Q$3&lt;0,0,N(INDEX('CURVA PREVISION'!$A$1:$KZ$3000,$C73,11+3*MIN(Q$3,$D$2-1)))))</f>
        <v/>
      </c>
      <c r="R73" s="130">
        <f>IF(OR($C73="",$B$2="",$D$2=0),0,IF(R$3&lt;0,0,N(INDEX('CURVA PREVISION'!$A$1:$KZ$3000,$C73,11+3*MIN(R$3,$D$2-1)))))</f>
        <v/>
      </c>
      <c r="S73" s="130">
        <f>IF(OR($C73="",$B$2="",$D$2=0),0,IF(S$3&lt;0,0,N(INDEX('CURVA PREVISION'!$A$1:$KZ$3000,$C73,11+3*MIN(S$3,$D$2-1)))))</f>
        <v/>
      </c>
      <c r="T73" s="130">
        <f>IF(OR($C73="",$B$2="",$D$2=0),0,IF(T$3&lt;0,0,N(INDEX('CURVA PREVISION'!$A$1:$KZ$3000,$C73,11+3*MIN(T$3,$D$2-1)))))</f>
        <v/>
      </c>
      <c r="U73" s="130">
        <f>IF(OR($C73="",$B$2="",$D$2=0),0,IF(U$3&lt;0,0,N(INDEX('CURVA PREVISION'!$A$1:$KZ$3000,$C73,11+3*MIN(U$3,$D$2-1)))))</f>
        <v/>
      </c>
      <c r="V73" s="130">
        <f>IF(OR($C73="",$B$2="",$D$2=0),0,IF(V$3&lt;0,0,N(INDEX('CURVA PREVISION'!$A$1:$KZ$3000,$C73,11+3*MIN(V$3,$D$2-1)))))</f>
        <v/>
      </c>
      <c r="W73" s="130">
        <f>IF(OR($C73="",$B$2="",$D$2=0),0,IF(W$3&lt;0,0,N(INDEX('CURVA PREVISION'!$A$1:$KZ$3000,$C73,11+3*MIN(W$3,$D$2-1)))))</f>
        <v/>
      </c>
      <c r="X73" s="130">
        <f>IF(OR($C73="",$B$2="",$D$2=0),0,IF(X$3&lt;0,0,N(INDEX('CURVA PREVISION'!$A$1:$KZ$3000,$C73,11+3*MIN(X$3,$D$2-1)))))</f>
        <v/>
      </c>
      <c r="Y73" s="130">
        <f>IF(OR($C73="",$B$2="",$D$2=0),0,IF(Y$3&lt;0,0,N(INDEX('CURVA PREVISION'!$A$1:$KZ$3000,$C73,11+3*MIN(Y$3,$D$2-1)))))</f>
        <v/>
      </c>
      <c r="Z73" s="130">
        <f>IF(OR($C73="",$B$2="",$D$2=0),0,IF(Z$3&lt;0,0,N(INDEX('CURVA PREVISION'!$A$1:$KZ$3000,$C73,11+3*MIN(Z$3,$D$2-1)))))</f>
        <v/>
      </c>
      <c r="AA73" s="130">
        <f>IF(OR($C73="",$B$2="",$D$2=0),0,IF(AA$3&lt;0,0,N(INDEX('CURVA PREVISION'!$A$1:$KZ$3000,$C73,11+3*MIN(AA$3,$D$2-1)))))</f>
        <v/>
      </c>
      <c r="AB73" s="130">
        <f>IF(OR($C73="",$B$2="",$D$2=0),0,IF(AB$3&lt;0,0,N(INDEX('CURVA PREVISION'!$A$1:$KZ$3000,$C73,11+3*MIN(AB$3,$D$2-1)))))</f>
        <v/>
      </c>
      <c r="AC73" s="130">
        <f>IF(OR($C73="",$B$2="",$D$2=0),0,IF(AC$3&lt;0,0,N(INDEX('CURVA PREVISION'!$A$1:$KZ$3000,$C73,11+3*MIN(AC$3,$D$2-1)))))</f>
        <v/>
      </c>
      <c r="AD73" s="130">
        <f>IF(OR($C73="",$B$2="",$D$2=0),0,IF(AD$3&lt;0,0,N(INDEX('CURVA PREVISION'!$A$1:$KZ$3000,$C73,11+3*MIN(AD$3,$D$2-1)))))</f>
        <v/>
      </c>
      <c r="AE73" s="130">
        <f>IF(OR($C73="",$B$2="",$D$2=0),0,IF(AE$3&lt;0,0,N(INDEX('CURVA PREVISION'!$A$1:$KZ$3000,$C73,11+3*MIN(AE$3,$D$2-1)))))</f>
        <v/>
      </c>
      <c r="AF73" s="130">
        <f>IF(OR($C73="",$B$2="",$D$2=0),0,IF(AF$3&lt;0,0,N(INDEX('CURVA PREVISION'!$A$1:$KZ$3000,$C73,11+3*MIN(AF$3,$D$2-1)))))</f>
        <v/>
      </c>
      <c r="AG73" s="130">
        <f>IF(OR($C73="",$B$2="",$D$2=0),0,IF(AG$3&lt;0,0,N(INDEX('CURVA PREVISION'!$A$1:$KZ$3000,$C73,11+3*MIN(AG$3,$D$2-1)))))</f>
        <v/>
      </c>
      <c r="AH73" s="130">
        <f>IF(OR($C73="",$B$2="",$D$2=0),0,IF(AH$3&lt;0,0,N(INDEX('CURVA PREVISION'!$A$1:$KZ$3000,$C73,11+3*MIN(AH$3,$D$2-1)))))</f>
        <v/>
      </c>
      <c r="AI73" s="130">
        <f>IF(OR($C73="",$B$2="",$D$2=0),0,IF(AI$3&lt;0,0,N(INDEX('CURVA PREVISION'!$A$1:$KZ$3000,$C73,11+3*MIN(AI$3,$D$2-1)))))</f>
        <v/>
      </c>
      <c r="AJ73" s="130">
        <f>IF(OR($C73="",$B$2="",$D$2=0),0,IF(AJ$3&lt;0,0,N(INDEX('CURVA PREVISION'!$A$1:$KZ$3000,$C73,11+3*MIN(AJ$3,$D$2-1)))))</f>
        <v/>
      </c>
      <c r="AK73" s="130">
        <f>IF(OR($C73="",$B$2="",$D$2=0),0,IF(AK$3&lt;0,0,N(INDEX('CURVA PREVISION'!$A$1:$KZ$3000,$C73,11+3*MIN(AK$3,$D$2-1)))))</f>
        <v/>
      </c>
      <c r="AL73" s="130">
        <f>IF(OR($C73="",$B$2="",$D$2=0),0,IF(AL$3&lt;0,0,N(INDEX('CURVA PREVISION'!$A$1:$KZ$3000,$C73,11+3*MIN(AL$3,$D$2-1)))))</f>
        <v/>
      </c>
      <c r="AM73" s="130">
        <f>IF(OR($C73="",$B$2="",$D$2=0),0,IF(AM$3&lt;0,0,N(INDEX('CURVA PREVISION'!$A$1:$KZ$3000,$C73,11+3*MIN(AM$3,$D$2-1)))))</f>
        <v/>
      </c>
      <c r="AN73" s="130">
        <f>IF(OR($C73="",$B$2="",$D$2=0),0,IF(AN$3&lt;0,0,N(INDEX('CURVA PREVISION'!$A$1:$KZ$3000,$C73,11+3*MIN(AN$3,$D$2-1)))))</f>
        <v/>
      </c>
      <c r="AO73" s="130">
        <f>IF(OR($C73="",$B$2="",$D$2=0),0,IF(AO$3&lt;0,0,N(INDEX('CURVA PREVISION'!$A$1:$KZ$3000,$C73,11+3*MIN(AO$3,$D$2-1)))))</f>
        <v/>
      </c>
      <c r="AP73" s="130">
        <f>IF(OR($C73="",$B$2="",$D$2=0),0,IF(AP$3&lt;0,0,N(INDEX('CURVA PREVISION'!$A$1:$KZ$3000,$C73,11+3*MIN(AP$3,$D$2-1)))))</f>
        <v/>
      </c>
      <c r="AQ73" s="130">
        <f>IF(OR($C73="",$B$2="",$D$2=0),0,IF(AQ$3&lt;0,0,N(INDEX('CURVA PREVISION'!$A$1:$KZ$3000,$C73,11+3*MIN(AQ$3,$D$2-1)))))</f>
        <v/>
      </c>
      <c r="AR73" s="130">
        <f>IF(OR($C73="",$B$2="",$D$2=0),0,IF(AR$3&lt;0,0,N(INDEX('CURVA PREVISION'!$A$1:$KZ$3000,$C73,11+3*MIN(AR$3,$D$2-1)))))</f>
        <v/>
      </c>
      <c r="AS73" s="130">
        <f>IF(OR($C73="",$B$2="",$D$2=0),0,IF(AS$3&lt;0,0,N(INDEX('CURVA PREVISION'!$A$1:$KZ$3000,$C73,11+3*MIN(AS$3,$D$2-1)))))</f>
        <v/>
      </c>
      <c r="AT73" s="130">
        <f>IF(OR($C73="",$B$2="",$D$2=0),0,IF(AT$3&lt;0,0,N(INDEX('CURVA PREVISION'!$A$1:$KZ$3000,$C73,11+3*MIN(AT$3,$D$2-1)))))</f>
        <v/>
      </c>
      <c r="AU73" s="130">
        <f>IF(OR($C73="",$B$2="",$D$2=0),0,IF(AU$3&lt;0,0,N(INDEX('CURVA PREVISION'!$A$1:$KZ$3000,$C73,11+3*MIN(AU$3,$D$2-1)))))</f>
        <v/>
      </c>
      <c r="AV73" s="130">
        <f>IF(OR($C73="",$B$2="",$D$2=0),0,IF(AV$3&lt;0,0,N(INDEX('CURVA PREVISION'!$A$1:$KZ$3000,$C73,11+3*MIN(AV$3,$D$2-1)))))</f>
        <v/>
      </c>
      <c r="AW73" s="130">
        <f>IF(OR($C73="",$B$2="",$D$2=0),0,IF(AW$3&lt;0,0,N(INDEX('CURVA PREVISION'!$A$1:$KZ$3000,$C73,11+3*MIN(AW$3,$D$2-1)))))</f>
        <v/>
      </c>
      <c r="AX73" s="130">
        <f>IF(OR($C73="",$B$2="",$D$2=0),0,IF(AX$3&lt;0,0,N(INDEX('CURVA PREVISION'!$A$1:$KZ$3000,$C73,11+3*MIN(AX$3,$D$2-1)))))</f>
        <v/>
      </c>
      <c r="AY73" s="130">
        <f>IF(OR($C73="",$B$2="",$D$2=0),0,IF(AY$3&lt;0,0,N(INDEX('CURVA PREVISION'!$A$1:$KZ$3000,$C73,11+3*MIN(AY$3,$D$2-1)))))</f>
        <v/>
      </c>
      <c r="AZ73" s="130">
        <f>IF(OR($C73="",$B$2="",$D$2=0),0,IF(AZ$3&lt;0,0,N(INDEX('CURVA PREVISION'!$A$1:$KZ$3000,$C73,11+3*MIN(AZ$3,$D$2-1)))))</f>
        <v/>
      </c>
      <c r="BA73" s="130">
        <f>IF(OR($C73="",$B$2="",$D$2=0),0,IF(BA$3&lt;0,0,N(INDEX('CURVA PREVISION'!$A$1:$KZ$3000,$C73,11+3*MIN(BA$3,$D$2-1)))))</f>
        <v/>
      </c>
      <c r="BB73" s="130">
        <f>IF(OR($C73="",$B$2="",$D$2=0),0,IF(BB$3&lt;0,0,N(INDEX('CURVA PREVISION'!$A$1:$KZ$3000,$C73,11+3*MIN(BB$3,$D$2-1)))))</f>
        <v/>
      </c>
      <c r="BC73" s="130">
        <f>IF(OR($C73="",$B$2="",$D$2=0),0,IF(BC$3&lt;0,0,N(INDEX('CURVA PREVISION'!$A$1:$KZ$3000,$C73,11+3*MIN(BC$3,$D$2-1)))))</f>
        <v/>
      </c>
      <c r="BD73" s="130">
        <f>IF(OR($C73="",$B$2="",$D$2=0),0,IF(BD$3&lt;0,0,N(INDEX('CURVA PREVISION'!$A$1:$KZ$3000,$C73,11+3*MIN(BD$3,$D$2-1)))))</f>
        <v/>
      </c>
      <c r="BE73" s="130">
        <f>IF(OR($C73="",$B$2="",$D$2=0),0,IF(BE$3&lt;0,0,N(INDEX('CURVA PREVISION'!$A$1:$KZ$3000,$C73,11+3*MIN(BE$3,$D$2-1)))))</f>
        <v/>
      </c>
      <c r="BF73" s="130">
        <f>IF(OR($C73="",$B$2="",$D$2=0),0,IF(BF$3&lt;0,0,N(INDEX('CURVA PREVISION'!$A$1:$KZ$3000,$C73,11+3*MIN(BF$3,$D$2-1)))))</f>
        <v/>
      </c>
      <c r="BG73" s="130">
        <f>IF(OR($C73="",$B$2="",$D$2=0),0,IF(BG$3&lt;0,0,N(INDEX('CURVA PREVISION'!$A$1:$KZ$3000,$C73,11+3*MIN(BG$3,$D$2-1)))))</f>
        <v/>
      </c>
      <c r="BH73" s="130">
        <f>IF(OR($C73="",$B$2="",$D$2=0),0,IF(BH$3&lt;0,0,N(INDEX('CURVA PREVISION'!$A$1:$KZ$3000,$C73,11+3*MIN(BH$3,$D$2-1)))))</f>
        <v/>
      </c>
      <c r="BI73" s="130">
        <f>IF(OR($C73="",$B$2="",$D$2=0),0,IF(BI$3&lt;0,0,N(INDEX('CURVA PREVISION'!$A$1:$KZ$3000,$C73,11+3*MIN(BI$3,$D$2-1)))))</f>
        <v/>
      </c>
      <c r="BJ73" s="130">
        <f>IF(OR($C73="",$B$2="",$D$2=0),0,IF(BJ$3&lt;0,0,N(INDEX('CURVA PREVISION'!$A$1:$KZ$3000,$C73,11+3*MIN(BJ$3,$D$2-1)))))</f>
        <v/>
      </c>
      <c r="BK73" s="130">
        <f>IF(OR($C73="",$B$2="",$D$2=0),0,IF(BK$3&lt;0,0,N(INDEX('CURVA PREVISION'!$A$1:$KZ$3000,$C73,11+3*MIN(BK$3,$D$2-1)))))</f>
        <v/>
      </c>
      <c r="BL73" s="130">
        <f>IF(OR($C73="",$B$2="",$D$2=0),0,IF(BL$3&lt;0,0,N(INDEX('CURVA PREVISION'!$A$1:$KZ$3000,$C73,11+3*MIN(BL$3,$D$2-1)))))</f>
        <v/>
      </c>
      <c r="BM73" s="130">
        <f>IF(OR($C73="",$B$2="",$D$2=0),0,IF(BM$3&lt;0,0,N(INDEX('CURVA PREVISION'!$A$1:$KZ$3000,$C73,11+3*MIN(BM$3,$D$2-1)))))</f>
        <v/>
      </c>
      <c r="BN73" s="130">
        <f>IF(OR($C73="",$B$2="",$D$2=0),0,IF(BN$3&lt;0,0,N(INDEX('CURVA PREVISION'!$A$1:$KZ$3000,$C73,11+3*MIN(BN$3,$D$2-1)))))</f>
        <v/>
      </c>
      <c r="BO73" s="130">
        <f>IF(OR($C73="",$B$2="",$D$2=0),0,IF(BO$3&lt;0,0,N(INDEX('CURVA PREVISION'!$A$1:$KZ$3000,$C73,11+3*MIN(BO$3,$D$2-1)))))</f>
        <v/>
      </c>
      <c r="BP73" s="130">
        <f>IF(OR($C73="",$B$2="",$D$2=0),0,IF(BP$3&lt;0,0,N(INDEX('CURVA PREVISION'!$A$1:$KZ$3000,$C73,11+3*MIN(BP$3,$D$2-1)))))</f>
        <v/>
      </c>
      <c r="BQ73" s="130">
        <f>IF(OR($C73="",$B$2="",$D$2=0),0,IF(BQ$3&lt;0,0,N(INDEX('CURVA PREVISION'!$A$1:$KZ$3000,$C73,11+3*MIN(BQ$3,$D$2-1)))))</f>
        <v/>
      </c>
      <c r="BR73" s="130">
        <f>IF(OR($C73="",$B$2="",$D$2=0),0,IF(BR$3&lt;0,0,N(INDEX('CURVA PREVISION'!$A$1:$KZ$3000,$C73,11+3*MIN(BR$3,$D$2-1)))))</f>
        <v/>
      </c>
      <c r="BS73" s="130">
        <f>IF(OR($C73="",$B$2="",$D$2=0),0,IF(BS$3&lt;0,0,N(INDEX('CURVA PREVISION'!$A$1:$KZ$3000,$C73,11+3*MIN(BS$3,$D$2-1)))))</f>
        <v/>
      </c>
      <c r="BT73" s="130">
        <f>IF(OR($C73="",$B$2="",$D$2=0),0,IF(BT$3&lt;0,0,N(INDEX('CURVA PREVISION'!$A$1:$KZ$3000,$C73,11+3*MIN(BT$3,$D$2-1)))))</f>
        <v/>
      </c>
      <c r="BU73" s="130">
        <f>IF(OR($C73="",$B$2="",$D$2=0),0,IF(BU$3&lt;0,0,N(INDEX('CURVA PREVISION'!$A$1:$KZ$3000,$C73,11+3*MIN(BU$3,$D$2-1)))))</f>
        <v/>
      </c>
      <c r="BV73" s="130">
        <f>IF(OR($C73="",$B$2="",$D$2=0),0,IF(BV$3&lt;0,0,N(INDEX('CURVA PREVISION'!$A$1:$KZ$3000,$C73,11+3*MIN(BV$3,$D$2-1)))))</f>
        <v/>
      </c>
      <c r="BW73" s="130">
        <f>IF(OR($C73="",$B$2="",$D$2=0),0,IF(BW$3&lt;0,0,N(INDEX('CURVA PREVISION'!$A$1:$KZ$3000,$C73,11+3*MIN(BW$3,$D$2-1)))))</f>
        <v/>
      </c>
    </row>
    <row r="74">
      <c r="A74" s="61">
        <f>IF('VALOR POR PL'!Q38="",'VALOR POR PL'!C38,'VALOR POR PL'!Q38)</f>
        <v/>
      </c>
      <c r="B74" s="51">
        <f>B32</f>
        <v/>
      </c>
      <c r="C74" s="70">
        <f>IFERROR(MATCH(A74,'CURVA PREVISION'!$B$1:$B$3000,0),"")</f>
        <v/>
      </c>
      <c r="D74" s="130">
        <f>IF(OR($C74="",$B$2="",$D$2=0),0,IF(D$3&lt;0,0,N(INDEX('CURVA PREVISION'!$A$1:$KZ$3000,$C74,11+3*MIN(D$3,$D$2-1)))))</f>
        <v/>
      </c>
      <c r="E74" s="130">
        <f>IF(OR($C74="",$B$2="",$D$2=0),0,IF(E$3&lt;0,0,N(INDEX('CURVA PREVISION'!$A$1:$KZ$3000,$C74,11+3*MIN(E$3,$D$2-1)))))</f>
        <v/>
      </c>
      <c r="F74" s="130">
        <f>IF(OR($C74="",$B$2="",$D$2=0),0,IF(F$3&lt;0,0,N(INDEX('CURVA PREVISION'!$A$1:$KZ$3000,$C74,11+3*MIN(F$3,$D$2-1)))))</f>
        <v/>
      </c>
      <c r="G74" s="130">
        <f>IF(OR($C74="",$B$2="",$D$2=0),0,IF(G$3&lt;0,0,N(INDEX('CURVA PREVISION'!$A$1:$KZ$3000,$C74,11+3*MIN(G$3,$D$2-1)))))</f>
        <v/>
      </c>
      <c r="H74" s="130">
        <f>IF(OR($C74="",$B$2="",$D$2=0),0,IF(H$3&lt;0,0,N(INDEX('CURVA PREVISION'!$A$1:$KZ$3000,$C74,11+3*MIN(H$3,$D$2-1)))))</f>
        <v/>
      </c>
      <c r="I74" s="130">
        <f>IF(OR($C74="",$B$2="",$D$2=0),0,IF(I$3&lt;0,0,N(INDEX('CURVA PREVISION'!$A$1:$KZ$3000,$C74,11+3*MIN(I$3,$D$2-1)))))</f>
        <v/>
      </c>
      <c r="J74" s="130">
        <f>IF(OR($C74="",$B$2="",$D$2=0),0,IF(J$3&lt;0,0,N(INDEX('CURVA PREVISION'!$A$1:$KZ$3000,$C74,11+3*MIN(J$3,$D$2-1)))))</f>
        <v/>
      </c>
      <c r="K74" s="130">
        <f>IF(OR($C74="",$B$2="",$D$2=0),0,IF(K$3&lt;0,0,N(INDEX('CURVA PREVISION'!$A$1:$KZ$3000,$C74,11+3*MIN(K$3,$D$2-1)))))</f>
        <v/>
      </c>
      <c r="L74" s="130">
        <f>IF(OR($C74="",$B$2="",$D$2=0),0,IF(L$3&lt;0,0,N(INDEX('CURVA PREVISION'!$A$1:$KZ$3000,$C74,11+3*MIN(L$3,$D$2-1)))))</f>
        <v/>
      </c>
      <c r="M74" s="130">
        <f>IF(OR($C74="",$B$2="",$D$2=0),0,IF(M$3&lt;0,0,N(INDEX('CURVA PREVISION'!$A$1:$KZ$3000,$C74,11+3*MIN(M$3,$D$2-1)))))</f>
        <v/>
      </c>
      <c r="N74" s="130">
        <f>IF(OR($C74="",$B$2="",$D$2=0),0,IF(N$3&lt;0,0,N(INDEX('CURVA PREVISION'!$A$1:$KZ$3000,$C74,11+3*MIN(N$3,$D$2-1)))))</f>
        <v/>
      </c>
      <c r="O74" s="130">
        <f>IF(OR($C74="",$B$2="",$D$2=0),0,IF(O$3&lt;0,0,N(INDEX('CURVA PREVISION'!$A$1:$KZ$3000,$C74,11+3*MIN(O$3,$D$2-1)))))</f>
        <v/>
      </c>
      <c r="P74" s="130">
        <f>IF(OR($C74="",$B$2="",$D$2=0),0,IF(P$3&lt;0,0,N(INDEX('CURVA PREVISION'!$A$1:$KZ$3000,$C74,11+3*MIN(P$3,$D$2-1)))))</f>
        <v/>
      </c>
      <c r="Q74" s="130">
        <f>IF(OR($C74="",$B$2="",$D$2=0),0,IF(Q$3&lt;0,0,N(INDEX('CURVA PREVISION'!$A$1:$KZ$3000,$C74,11+3*MIN(Q$3,$D$2-1)))))</f>
        <v/>
      </c>
      <c r="R74" s="130">
        <f>IF(OR($C74="",$B$2="",$D$2=0),0,IF(R$3&lt;0,0,N(INDEX('CURVA PREVISION'!$A$1:$KZ$3000,$C74,11+3*MIN(R$3,$D$2-1)))))</f>
        <v/>
      </c>
      <c r="S74" s="130">
        <f>IF(OR($C74="",$B$2="",$D$2=0),0,IF(S$3&lt;0,0,N(INDEX('CURVA PREVISION'!$A$1:$KZ$3000,$C74,11+3*MIN(S$3,$D$2-1)))))</f>
        <v/>
      </c>
      <c r="T74" s="130">
        <f>IF(OR($C74="",$B$2="",$D$2=0),0,IF(T$3&lt;0,0,N(INDEX('CURVA PREVISION'!$A$1:$KZ$3000,$C74,11+3*MIN(T$3,$D$2-1)))))</f>
        <v/>
      </c>
      <c r="U74" s="130">
        <f>IF(OR($C74="",$B$2="",$D$2=0),0,IF(U$3&lt;0,0,N(INDEX('CURVA PREVISION'!$A$1:$KZ$3000,$C74,11+3*MIN(U$3,$D$2-1)))))</f>
        <v/>
      </c>
      <c r="V74" s="130">
        <f>IF(OR($C74="",$B$2="",$D$2=0),0,IF(V$3&lt;0,0,N(INDEX('CURVA PREVISION'!$A$1:$KZ$3000,$C74,11+3*MIN(V$3,$D$2-1)))))</f>
        <v/>
      </c>
      <c r="W74" s="130">
        <f>IF(OR($C74="",$B$2="",$D$2=0),0,IF(W$3&lt;0,0,N(INDEX('CURVA PREVISION'!$A$1:$KZ$3000,$C74,11+3*MIN(W$3,$D$2-1)))))</f>
        <v/>
      </c>
      <c r="X74" s="130">
        <f>IF(OR($C74="",$B$2="",$D$2=0),0,IF(X$3&lt;0,0,N(INDEX('CURVA PREVISION'!$A$1:$KZ$3000,$C74,11+3*MIN(X$3,$D$2-1)))))</f>
        <v/>
      </c>
      <c r="Y74" s="130">
        <f>IF(OR($C74="",$B$2="",$D$2=0),0,IF(Y$3&lt;0,0,N(INDEX('CURVA PREVISION'!$A$1:$KZ$3000,$C74,11+3*MIN(Y$3,$D$2-1)))))</f>
        <v/>
      </c>
      <c r="Z74" s="130">
        <f>IF(OR($C74="",$B$2="",$D$2=0),0,IF(Z$3&lt;0,0,N(INDEX('CURVA PREVISION'!$A$1:$KZ$3000,$C74,11+3*MIN(Z$3,$D$2-1)))))</f>
        <v/>
      </c>
      <c r="AA74" s="130">
        <f>IF(OR($C74="",$B$2="",$D$2=0),0,IF(AA$3&lt;0,0,N(INDEX('CURVA PREVISION'!$A$1:$KZ$3000,$C74,11+3*MIN(AA$3,$D$2-1)))))</f>
        <v/>
      </c>
      <c r="AB74" s="130">
        <f>IF(OR($C74="",$B$2="",$D$2=0),0,IF(AB$3&lt;0,0,N(INDEX('CURVA PREVISION'!$A$1:$KZ$3000,$C74,11+3*MIN(AB$3,$D$2-1)))))</f>
        <v/>
      </c>
      <c r="AC74" s="130">
        <f>IF(OR($C74="",$B$2="",$D$2=0),0,IF(AC$3&lt;0,0,N(INDEX('CURVA PREVISION'!$A$1:$KZ$3000,$C74,11+3*MIN(AC$3,$D$2-1)))))</f>
        <v/>
      </c>
      <c r="AD74" s="130">
        <f>IF(OR($C74="",$B$2="",$D$2=0),0,IF(AD$3&lt;0,0,N(INDEX('CURVA PREVISION'!$A$1:$KZ$3000,$C74,11+3*MIN(AD$3,$D$2-1)))))</f>
        <v/>
      </c>
      <c r="AE74" s="130">
        <f>IF(OR($C74="",$B$2="",$D$2=0),0,IF(AE$3&lt;0,0,N(INDEX('CURVA PREVISION'!$A$1:$KZ$3000,$C74,11+3*MIN(AE$3,$D$2-1)))))</f>
        <v/>
      </c>
      <c r="AF74" s="130">
        <f>IF(OR($C74="",$B$2="",$D$2=0),0,IF(AF$3&lt;0,0,N(INDEX('CURVA PREVISION'!$A$1:$KZ$3000,$C74,11+3*MIN(AF$3,$D$2-1)))))</f>
        <v/>
      </c>
      <c r="AG74" s="130">
        <f>IF(OR($C74="",$B$2="",$D$2=0),0,IF(AG$3&lt;0,0,N(INDEX('CURVA PREVISION'!$A$1:$KZ$3000,$C74,11+3*MIN(AG$3,$D$2-1)))))</f>
        <v/>
      </c>
      <c r="AH74" s="130">
        <f>IF(OR($C74="",$B$2="",$D$2=0),0,IF(AH$3&lt;0,0,N(INDEX('CURVA PREVISION'!$A$1:$KZ$3000,$C74,11+3*MIN(AH$3,$D$2-1)))))</f>
        <v/>
      </c>
      <c r="AI74" s="130">
        <f>IF(OR($C74="",$B$2="",$D$2=0),0,IF(AI$3&lt;0,0,N(INDEX('CURVA PREVISION'!$A$1:$KZ$3000,$C74,11+3*MIN(AI$3,$D$2-1)))))</f>
        <v/>
      </c>
      <c r="AJ74" s="130">
        <f>IF(OR($C74="",$B$2="",$D$2=0),0,IF(AJ$3&lt;0,0,N(INDEX('CURVA PREVISION'!$A$1:$KZ$3000,$C74,11+3*MIN(AJ$3,$D$2-1)))))</f>
        <v/>
      </c>
      <c r="AK74" s="130">
        <f>IF(OR($C74="",$B$2="",$D$2=0),0,IF(AK$3&lt;0,0,N(INDEX('CURVA PREVISION'!$A$1:$KZ$3000,$C74,11+3*MIN(AK$3,$D$2-1)))))</f>
        <v/>
      </c>
      <c r="AL74" s="130">
        <f>IF(OR($C74="",$B$2="",$D$2=0),0,IF(AL$3&lt;0,0,N(INDEX('CURVA PREVISION'!$A$1:$KZ$3000,$C74,11+3*MIN(AL$3,$D$2-1)))))</f>
        <v/>
      </c>
      <c r="AM74" s="130">
        <f>IF(OR($C74="",$B$2="",$D$2=0),0,IF(AM$3&lt;0,0,N(INDEX('CURVA PREVISION'!$A$1:$KZ$3000,$C74,11+3*MIN(AM$3,$D$2-1)))))</f>
        <v/>
      </c>
      <c r="AN74" s="130">
        <f>IF(OR($C74="",$B$2="",$D$2=0),0,IF(AN$3&lt;0,0,N(INDEX('CURVA PREVISION'!$A$1:$KZ$3000,$C74,11+3*MIN(AN$3,$D$2-1)))))</f>
        <v/>
      </c>
      <c r="AO74" s="130">
        <f>IF(OR($C74="",$B$2="",$D$2=0),0,IF(AO$3&lt;0,0,N(INDEX('CURVA PREVISION'!$A$1:$KZ$3000,$C74,11+3*MIN(AO$3,$D$2-1)))))</f>
        <v/>
      </c>
      <c r="AP74" s="130">
        <f>IF(OR($C74="",$B$2="",$D$2=0),0,IF(AP$3&lt;0,0,N(INDEX('CURVA PREVISION'!$A$1:$KZ$3000,$C74,11+3*MIN(AP$3,$D$2-1)))))</f>
        <v/>
      </c>
      <c r="AQ74" s="130">
        <f>IF(OR($C74="",$B$2="",$D$2=0),0,IF(AQ$3&lt;0,0,N(INDEX('CURVA PREVISION'!$A$1:$KZ$3000,$C74,11+3*MIN(AQ$3,$D$2-1)))))</f>
        <v/>
      </c>
      <c r="AR74" s="130">
        <f>IF(OR($C74="",$B$2="",$D$2=0),0,IF(AR$3&lt;0,0,N(INDEX('CURVA PREVISION'!$A$1:$KZ$3000,$C74,11+3*MIN(AR$3,$D$2-1)))))</f>
        <v/>
      </c>
      <c r="AS74" s="130">
        <f>IF(OR($C74="",$B$2="",$D$2=0),0,IF(AS$3&lt;0,0,N(INDEX('CURVA PREVISION'!$A$1:$KZ$3000,$C74,11+3*MIN(AS$3,$D$2-1)))))</f>
        <v/>
      </c>
      <c r="AT74" s="130">
        <f>IF(OR($C74="",$B$2="",$D$2=0),0,IF(AT$3&lt;0,0,N(INDEX('CURVA PREVISION'!$A$1:$KZ$3000,$C74,11+3*MIN(AT$3,$D$2-1)))))</f>
        <v/>
      </c>
      <c r="AU74" s="130">
        <f>IF(OR($C74="",$B$2="",$D$2=0),0,IF(AU$3&lt;0,0,N(INDEX('CURVA PREVISION'!$A$1:$KZ$3000,$C74,11+3*MIN(AU$3,$D$2-1)))))</f>
        <v/>
      </c>
      <c r="AV74" s="130">
        <f>IF(OR($C74="",$B$2="",$D$2=0),0,IF(AV$3&lt;0,0,N(INDEX('CURVA PREVISION'!$A$1:$KZ$3000,$C74,11+3*MIN(AV$3,$D$2-1)))))</f>
        <v/>
      </c>
      <c r="AW74" s="130">
        <f>IF(OR($C74="",$B$2="",$D$2=0),0,IF(AW$3&lt;0,0,N(INDEX('CURVA PREVISION'!$A$1:$KZ$3000,$C74,11+3*MIN(AW$3,$D$2-1)))))</f>
        <v/>
      </c>
      <c r="AX74" s="130">
        <f>IF(OR($C74="",$B$2="",$D$2=0),0,IF(AX$3&lt;0,0,N(INDEX('CURVA PREVISION'!$A$1:$KZ$3000,$C74,11+3*MIN(AX$3,$D$2-1)))))</f>
        <v/>
      </c>
      <c r="AY74" s="130">
        <f>IF(OR($C74="",$B$2="",$D$2=0),0,IF(AY$3&lt;0,0,N(INDEX('CURVA PREVISION'!$A$1:$KZ$3000,$C74,11+3*MIN(AY$3,$D$2-1)))))</f>
        <v/>
      </c>
      <c r="AZ74" s="130">
        <f>IF(OR($C74="",$B$2="",$D$2=0),0,IF(AZ$3&lt;0,0,N(INDEX('CURVA PREVISION'!$A$1:$KZ$3000,$C74,11+3*MIN(AZ$3,$D$2-1)))))</f>
        <v/>
      </c>
      <c r="BA74" s="130">
        <f>IF(OR($C74="",$B$2="",$D$2=0),0,IF(BA$3&lt;0,0,N(INDEX('CURVA PREVISION'!$A$1:$KZ$3000,$C74,11+3*MIN(BA$3,$D$2-1)))))</f>
        <v/>
      </c>
      <c r="BB74" s="130">
        <f>IF(OR($C74="",$B$2="",$D$2=0),0,IF(BB$3&lt;0,0,N(INDEX('CURVA PREVISION'!$A$1:$KZ$3000,$C74,11+3*MIN(BB$3,$D$2-1)))))</f>
        <v/>
      </c>
      <c r="BC74" s="130">
        <f>IF(OR($C74="",$B$2="",$D$2=0),0,IF(BC$3&lt;0,0,N(INDEX('CURVA PREVISION'!$A$1:$KZ$3000,$C74,11+3*MIN(BC$3,$D$2-1)))))</f>
        <v/>
      </c>
      <c r="BD74" s="130">
        <f>IF(OR($C74="",$B$2="",$D$2=0),0,IF(BD$3&lt;0,0,N(INDEX('CURVA PREVISION'!$A$1:$KZ$3000,$C74,11+3*MIN(BD$3,$D$2-1)))))</f>
        <v/>
      </c>
      <c r="BE74" s="130">
        <f>IF(OR($C74="",$B$2="",$D$2=0),0,IF(BE$3&lt;0,0,N(INDEX('CURVA PREVISION'!$A$1:$KZ$3000,$C74,11+3*MIN(BE$3,$D$2-1)))))</f>
        <v/>
      </c>
      <c r="BF74" s="130">
        <f>IF(OR($C74="",$B$2="",$D$2=0),0,IF(BF$3&lt;0,0,N(INDEX('CURVA PREVISION'!$A$1:$KZ$3000,$C74,11+3*MIN(BF$3,$D$2-1)))))</f>
        <v/>
      </c>
      <c r="BG74" s="130">
        <f>IF(OR($C74="",$B$2="",$D$2=0),0,IF(BG$3&lt;0,0,N(INDEX('CURVA PREVISION'!$A$1:$KZ$3000,$C74,11+3*MIN(BG$3,$D$2-1)))))</f>
        <v/>
      </c>
      <c r="BH74" s="130">
        <f>IF(OR($C74="",$B$2="",$D$2=0),0,IF(BH$3&lt;0,0,N(INDEX('CURVA PREVISION'!$A$1:$KZ$3000,$C74,11+3*MIN(BH$3,$D$2-1)))))</f>
        <v/>
      </c>
      <c r="BI74" s="130">
        <f>IF(OR($C74="",$B$2="",$D$2=0),0,IF(BI$3&lt;0,0,N(INDEX('CURVA PREVISION'!$A$1:$KZ$3000,$C74,11+3*MIN(BI$3,$D$2-1)))))</f>
        <v/>
      </c>
      <c r="BJ74" s="130">
        <f>IF(OR($C74="",$B$2="",$D$2=0),0,IF(BJ$3&lt;0,0,N(INDEX('CURVA PREVISION'!$A$1:$KZ$3000,$C74,11+3*MIN(BJ$3,$D$2-1)))))</f>
        <v/>
      </c>
      <c r="BK74" s="130">
        <f>IF(OR($C74="",$B$2="",$D$2=0),0,IF(BK$3&lt;0,0,N(INDEX('CURVA PREVISION'!$A$1:$KZ$3000,$C74,11+3*MIN(BK$3,$D$2-1)))))</f>
        <v/>
      </c>
      <c r="BL74" s="130">
        <f>IF(OR($C74="",$B$2="",$D$2=0),0,IF(BL$3&lt;0,0,N(INDEX('CURVA PREVISION'!$A$1:$KZ$3000,$C74,11+3*MIN(BL$3,$D$2-1)))))</f>
        <v/>
      </c>
      <c r="BM74" s="130">
        <f>IF(OR($C74="",$B$2="",$D$2=0),0,IF(BM$3&lt;0,0,N(INDEX('CURVA PREVISION'!$A$1:$KZ$3000,$C74,11+3*MIN(BM$3,$D$2-1)))))</f>
        <v/>
      </c>
      <c r="BN74" s="130">
        <f>IF(OR($C74="",$B$2="",$D$2=0),0,IF(BN$3&lt;0,0,N(INDEX('CURVA PREVISION'!$A$1:$KZ$3000,$C74,11+3*MIN(BN$3,$D$2-1)))))</f>
        <v/>
      </c>
      <c r="BO74" s="130">
        <f>IF(OR($C74="",$B$2="",$D$2=0),0,IF(BO$3&lt;0,0,N(INDEX('CURVA PREVISION'!$A$1:$KZ$3000,$C74,11+3*MIN(BO$3,$D$2-1)))))</f>
        <v/>
      </c>
      <c r="BP74" s="130">
        <f>IF(OR($C74="",$B$2="",$D$2=0),0,IF(BP$3&lt;0,0,N(INDEX('CURVA PREVISION'!$A$1:$KZ$3000,$C74,11+3*MIN(BP$3,$D$2-1)))))</f>
        <v/>
      </c>
      <c r="BQ74" s="130">
        <f>IF(OR($C74="",$B$2="",$D$2=0),0,IF(BQ$3&lt;0,0,N(INDEX('CURVA PREVISION'!$A$1:$KZ$3000,$C74,11+3*MIN(BQ$3,$D$2-1)))))</f>
        <v/>
      </c>
      <c r="BR74" s="130">
        <f>IF(OR($C74="",$B$2="",$D$2=0),0,IF(BR$3&lt;0,0,N(INDEX('CURVA PREVISION'!$A$1:$KZ$3000,$C74,11+3*MIN(BR$3,$D$2-1)))))</f>
        <v/>
      </c>
      <c r="BS74" s="130">
        <f>IF(OR($C74="",$B$2="",$D$2=0),0,IF(BS$3&lt;0,0,N(INDEX('CURVA PREVISION'!$A$1:$KZ$3000,$C74,11+3*MIN(BS$3,$D$2-1)))))</f>
        <v/>
      </c>
      <c r="BT74" s="130">
        <f>IF(OR($C74="",$B$2="",$D$2=0),0,IF(BT$3&lt;0,0,N(INDEX('CURVA PREVISION'!$A$1:$KZ$3000,$C74,11+3*MIN(BT$3,$D$2-1)))))</f>
        <v/>
      </c>
      <c r="BU74" s="130">
        <f>IF(OR($C74="",$B$2="",$D$2=0),0,IF(BU$3&lt;0,0,N(INDEX('CURVA PREVISION'!$A$1:$KZ$3000,$C74,11+3*MIN(BU$3,$D$2-1)))))</f>
        <v/>
      </c>
      <c r="BV74" s="130">
        <f>IF(OR($C74="",$B$2="",$D$2=0),0,IF(BV$3&lt;0,0,N(INDEX('CURVA PREVISION'!$A$1:$KZ$3000,$C74,11+3*MIN(BV$3,$D$2-1)))))</f>
        <v/>
      </c>
      <c r="BW74" s="130">
        <f>IF(OR($C74="",$B$2="",$D$2=0),0,IF(BW$3&lt;0,0,N(INDEX('CURVA PREVISION'!$A$1:$KZ$3000,$C74,11+3*MIN(BW$3,$D$2-1)))))</f>
        <v/>
      </c>
    </row>
    <row r="75">
      <c r="A75" s="61">
        <f>IF('VALOR POR PL'!Q39="",'VALOR POR PL'!C39,'VALOR POR PL'!Q39)</f>
        <v/>
      </c>
      <c r="B75" s="51">
        <f>B33</f>
        <v/>
      </c>
      <c r="C75" s="70">
        <f>IFERROR(MATCH(A75,'CURVA PREVISION'!$B$1:$B$3000,0),"")</f>
        <v/>
      </c>
      <c r="D75" s="130">
        <f>IF(OR($C75="",$B$2="",$D$2=0),0,IF(D$3&lt;0,0,N(INDEX('CURVA PREVISION'!$A$1:$KZ$3000,$C75,11+3*MIN(D$3,$D$2-1)))))</f>
        <v/>
      </c>
      <c r="E75" s="130">
        <f>IF(OR($C75="",$B$2="",$D$2=0),0,IF(E$3&lt;0,0,N(INDEX('CURVA PREVISION'!$A$1:$KZ$3000,$C75,11+3*MIN(E$3,$D$2-1)))))</f>
        <v/>
      </c>
      <c r="F75" s="130">
        <f>IF(OR($C75="",$B$2="",$D$2=0),0,IF(F$3&lt;0,0,N(INDEX('CURVA PREVISION'!$A$1:$KZ$3000,$C75,11+3*MIN(F$3,$D$2-1)))))</f>
        <v/>
      </c>
      <c r="G75" s="130">
        <f>IF(OR($C75="",$B$2="",$D$2=0),0,IF(G$3&lt;0,0,N(INDEX('CURVA PREVISION'!$A$1:$KZ$3000,$C75,11+3*MIN(G$3,$D$2-1)))))</f>
        <v/>
      </c>
      <c r="H75" s="130">
        <f>IF(OR($C75="",$B$2="",$D$2=0),0,IF(H$3&lt;0,0,N(INDEX('CURVA PREVISION'!$A$1:$KZ$3000,$C75,11+3*MIN(H$3,$D$2-1)))))</f>
        <v/>
      </c>
      <c r="I75" s="130">
        <f>IF(OR($C75="",$B$2="",$D$2=0),0,IF(I$3&lt;0,0,N(INDEX('CURVA PREVISION'!$A$1:$KZ$3000,$C75,11+3*MIN(I$3,$D$2-1)))))</f>
        <v/>
      </c>
      <c r="J75" s="130">
        <f>IF(OR($C75="",$B$2="",$D$2=0),0,IF(J$3&lt;0,0,N(INDEX('CURVA PREVISION'!$A$1:$KZ$3000,$C75,11+3*MIN(J$3,$D$2-1)))))</f>
        <v/>
      </c>
      <c r="K75" s="130">
        <f>IF(OR($C75="",$B$2="",$D$2=0),0,IF(K$3&lt;0,0,N(INDEX('CURVA PREVISION'!$A$1:$KZ$3000,$C75,11+3*MIN(K$3,$D$2-1)))))</f>
        <v/>
      </c>
      <c r="L75" s="130">
        <f>IF(OR($C75="",$B$2="",$D$2=0),0,IF(L$3&lt;0,0,N(INDEX('CURVA PREVISION'!$A$1:$KZ$3000,$C75,11+3*MIN(L$3,$D$2-1)))))</f>
        <v/>
      </c>
      <c r="M75" s="130">
        <f>IF(OR($C75="",$B$2="",$D$2=0),0,IF(M$3&lt;0,0,N(INDEX('CURVA PREVISION'!$A$1:$KZ$3000,$C75,11+3*MIN(M$3,$D$2-1)))))</f>
        <v/>
      </c>
      <c r="N75" s="130">
        <f>IF(OR($C75="",$B$2="",$D$2=0),0,IF(N$3&lt;0,0,N(INDEX('CURVA PREVISION'!$A$1:$KZ$3000,$C75,11+3*MIN(N$3,$D$2-1)))))</f>
        <v/>
      </c>
      <c r="O75" s="130">
        <f>IF(OR($C75="",$B$2="",$D$2=0),0,IF(O$3&lt;0,0,N(INDEX('CURVA PREVISION'!$A$1:$KZ$3000,$C75,11+3*MIN(O$3,$D$2-1)))))</f>
        <v/>
      </c>
      <c r="P75" s="130">
        <f>IF(OR($C75="",$B$2="",$D$2=0),0,IF(P$3&lt;0,0,N(INDEX('CURVA PREVISION'!$A$1:$KZ$3000,$C75,11+3*MIN(P$3,$D$2-1)))))</f>
        <v/>
      </c>
      <c r="Q75" s="130">
        <f>IF(OR($C75="",$B$2="",$D$2=0),0,IF(Q$3&lt;0,0,N(INDEX('CURVA PREVISION'!$A$1:$KZ$3000,$C75,11+3*MIN(Q$3,$D$2-1)))))</f>
        <v/>
      </c>
      <c r="R75" s="130">
        <f>IF(OR($C75="",$B$2="",$D$2=0),0,IF(R$3&lt;0,0,N(INDEX('CURVA PREVISION'!$A$1:$KZ$3000,$C75,11+3*MIN(R$3,$D$2-1)))))</f>
        <v/>
      </c>
      <c r="S75" s="130">
        <f>IF(OR($C75="",$B$2="",$D$2=0),0,IF(S$3&lt;0,0,N(INDEX('CURVA PREVISION'!$A$1:$KZ$3000,$C75,11+3*MIN(S$3,$D$2-1)))))</f>
        <v/>
      </c>
      <c r="T75" s="130">
        <f>IF(OR($C75="",$B$2="",$D$2=0),0,IF(T$3&lt;0,0,N(INDEX('CURVA PREVISION'!$A$1:$KZ$3000,$C75,11+3*MIN(T$3,$D$2-1)))))</f>
        <v/>
      </c>
      <c r="U75" s="130">
        <f>IF(OR($C75="",$B$2="",$D$2=0),0,IF(U$3&lt;0,0,N(INDEX('CURVA PREVISION'!$A$1:$KZ$3000,$C75,11+3*MIN(U$3,$D$2-1)))))</f>
        <v/>
      </c>
      <c r="V75" s="130">
        <f>IF(OR($C75="",$B$2="",$D$2=0),0,IF(V$3&lt;0,0,N(INDEX('CURVA PREVISION'!$A$1:$KZ$3000,$C75,11+3*MIN(V$3,$D$2-1)))))</f>
        <v/>
      </c>
      <c r="W75" s="130">
        <f>IF(OR($C75="",$B$2="",$D$2=0),0,IF(W$3&lt;0,0,N(INDEX('CURVA PREVISION'!$A$1:$KZ$3000,$C75,11+3*MIN(W$3,$D$2-1)))))</f>
        <v/>
      </c>
      <c r="X75" s="130">
        <f>IF(OR($C75="",$B$2="",$D$2=0),0,IF(X$3&lt;0,0,N(INDEX('CURVA PREVISION'!$A$1:$KZ$3000,$C75,11+3*MIN(X$3,$D$2-1)))))</f>
        <v/>
      </c>
      <c r="Y75" s="130">
        <f>IF(OR($C75="",$B$2="",$D$2=0),0,IF(Y$3&lt;0,0,N(INDEX('CURVA PREVISION'!$A$1:$KZ$3000,$C75,11+3*MIN(Y$3,$D$2-1)))))</f>
        <v/>
      </c>
      <c r="Z75" s="130">
        <f>IF(OR($C75="",$B$2="",$D$2=0),0,IF(Z$3&lt;0,0,N(INDEX('CURVA PREVISION'!$A$1:$KZ$3000,$C75,11+3*MIN(Z$3,$D$2-1)))))</f>
        <v/>
      </c>
      <c r="AA75" s="130">
        <f>IF(OR($C75="",$B$2="",$D$2=0),0,IF(AA$3&lt;0,0,N(INDEX('CURVA PREVISION'!$A$1:$KZ$3000,$C75,11+3*MIN(AA$3,$D$2-1)))))</f>
        <v/>
      </c>
      <c r="AB75" s="130">
        <f>IF(OR($C75="",$B$2="",$D$2=0),0,IF(AB$3&lt;0,0,N(INDEX('CURVA PREVISION'!$A$1:$KZ$3000,$C75,11+3*MIN(AB$3,$D$2-1)))))</f>
        <v/>
      </c>
      <c r="AC75" s="130">
        <f>IF(OR($C75="",$B$2="",$D$2=0),0,IF(AC$3&lt;0,0,N(INDEX('CURVA PREVISION'!$A$1:$KZ$3000,$C75,11+3*MIN(AC$3,$D$2-1)))))</f>
        <v/>
      </c>
      <c r="AD75" s="130">
        <f>IF(OR($C75="",$B$2="",$D$2=0),0,IF(AD$3&lt;0,0,N(INDEX('CURVA PREVISION'!$A$1:$KZ$3000,$C75,11+3*MIN(AD$3,$D$2-1)))))</f>
        <v/>
      </c>
      <c r="AE75" s="130">
        <f>IF(OR($C75="",$B$2="",$D$2=0),0,IF(AE$3&lt;0,0,N(INDEX('CURVA PREVISION'!$A$1:$KZ$3000,$C75,11+3*MIN(AE$3,$D$2-1)))))</f>
        <v/>
      </c>
      <c r="AF75" s="130">
        <f>IF(OR($C75="",$B$2="",$D$2=0),0,IF(AF$3&lt;0,0,N(INDEX('CURVA PREVISION'!$A$1:$KZ$3000,$C75,11+3*MIN(AF$3,$D$2-1)))))</f>
        <v/>
      </c>
      <c r="AG75" s="130">
        <f>IF(OR($C75="",$B$2="",$D$2=0),0,IF(AG$3&lt;0,0,N(INDEX('CURVA PREVISION'!$A$1:$KZ$3000,$C75,11+3*MIN(AG$3,$D$2-1)))))</f>
        <v/>
      </c>
      <c r="AH75" s="130">
        <f>IF(OR($C75="",$B$2="",$D$2=0),0,IF(AH$3&lt;0,0,N(INDEX('CURVA PREVISION'!$A$1:$KZ$3000,$C75,11+3*MIN(AH$3,$D$2-1)))))</f>
        <v/>
      </c>
      <c r="AI75" s="130">
        <f>IF(OR($C75="",$B$2="",$D$2=0),0,IF(AI$3&lt;0,0,N(INDEX('CURVA PREVISION'!$A$1:$KZ$3000,$C75,11+3*MIN(AI$3,$D$2-1)))))</f>
        <v/>
      </c>
      <c r="AJ75" s="130">
        <f>IF(OR($C75="",$B$2="",$D$2=0),0,IF(AJ$3&lt;0,0,N(INDEX('CURVA PREVISION'!$A$1:$KZ$3000,$C75,11+3*MIN(AJ$3,$D$2-1)))))</f>
        <v/>
      </c>
      <c r="AK75" s="130">
        <f>IF(OR($C75="",$B$2="",$D$2=0),0,IF(AK$3&lt;0,0,N(INDEX('CURVA PREVISION'!$A$1:$KZ$3000,$C75,11+3*MIN(AK$3,$D$2-1)))))</f>
        <v/>
      </c>
      <c r="AL75" s="130">
        <f>IF(OR($C75="",$B$2="",$D$2=0),0,IF(AL$3&lt;0,0,N(INDEX('CURVA PREVISION'!$A$1:$KZ$3000,$C75,11+3*MIN(AL$3,$D$2-1)))))</f>
        <v/>
      </c>
      <c r="AM75" s="130">
        <f>IF(OR($C75="",$B$2="",$D$2=0),0,IF(AM$3&lt;0,0,N(INDEX('CURVA PREVISION'!$A$1:$KZ$3000,$C75,11+3*MIN(AM$3,$D$2-1)))))</f>
        <v/>
      </c>
      <c r="AN75" s="130">
        <f>IF(OR($C75="",$B$2="",$D$2=0),0,IF(AN$3&lt;0,0,N(INDEX('CURVA PREVISION'!$A$1:$KZ$3000,$C75,11+3*MIN(AN$3,$D$2-1)))))</f>
        <v/>
      </c>
      <c r="AO75" s="130">
        <f>IF(OR($C75="",$B$2="",$D$2=0),0,IF(AO$3&lt;0,0,N(INDEX('CURVA PREVISION'!$A$1:$KZ$3000,$C75,11+3*MIN(AO$3,$D$2-1)))))</f>
        <v/>
      </c>
      <c r="AP75" s="130">
        <f>IF(OR($C75="",$B$2="",$D$2=0),0,IF(AP$3&lt;0,0,N(INDEX('CURVA PREVISION'!$A$1:$KZ$3000,$C75,11+3*MIN(AP$3,$D$2-1)))))</f>
        <v/>
      </c>
      <c r="AQ75" s="130">
        <f>IF(OR($C75="",$B$2="",$D$2=0),0,IF(AQ$3&lt;0,0,N(INDEX('CURVA PREVISION'!$A$1:$KZ$3000,$C75,11+3*MIN(AQ$3,$D$2-1)))))</f>
        <v/>
      </c>
      <c r="AR75" s="130">
        <f>IF(OR($C75="",$B$2="",$D$2=0),0,IF(AR$3&lt;0,0,N(INDEX('CURVA PREVISION'!$A$1:$KZ$3000,$C75,11+3*MIN(AR$3,$D$2-1)))))</f>
        <v/>
      </c>
      <c r="AS75" s="130">
        <f>IF(OR($C75="",$B$2="",$D$2=0),0,IF(AS$3&lt;0,0,N(INDEX('CURVA PREVISION'!$A$1:$KZ$3000,$C75,11+3*MIN(AS$3,$D$2-1)))))</f>
        <v/>
      </c>
      <c r="AT75" s="130">
        <f>IF(OR($C75="",$B$2="",$D$2=0),0,IF(AT$3&lt;0,0,N(INDEX('CURVA PREVISION'!$A$1:$KZ$3000,$C75,11+3*MIN(AT$3,$D$2-1)))))</f>
        <v/>
      </c>
      <c r="AU75" s="130">
        <f>IF(OR($C75="",$B$2="",$D$2=0),0,IF(AU$3&lt;0,0,N(INDEX('CURVA PREVISION'!$A$1:$KZ$3000,$C75,11+3*MIN(AU$3,$D$2-1)))))</f>
        <v/>
      </c>
      <c r="AV75" s="130">
        <f>IF(OR($C75="",$B$2="",$D$2=0),0,IF(AV$3&lt;0,0,N(INDEX('CURVA PREVISION'!$A$1:$KZ$3000,$C75,11+3*MIN(AV$3,$D$2-1)))))</f>
        <v/>
      </c>
      <c r="AW75" s="130">
        <f>IF(OR($C75="",$B$2="",$D$2=0),0,IF(AW$3&lt;0,0,N(INDEX('CURVA PREVISION'!$A$1:$KZ$3000,$C75,11+3*MIN(AW$3,$D$2-1)))))</f>
        <v/>
      </c>
      <c r="AX75" s="130">
        <f>IF(OR($C75="",$B$2="",$D$2=0),0,IF(AX$3&lt;0,0,N(INDEX('CURVA PREVISION'!$A$1:$KZ$3000,$C75,11+3*MIN(AX$3,$D$2-1)))))</f>
        <v/>
      </c>
      <c r="AY75" s="130">
        <f>IF(OR($C75="",$B$2="",$D$2=0),0,IF(AY$3&lt;0,0,N(INDEX('CURVA PREVISION'!$A$1:$KZ$3000,$C75,11+3*MIN(AY$3,$D$2-1)))))</f>
        <v/>
      </c>
      <c r="AZ75" s="130">
        <f>IF(OR($C75="",$B$2="",$D$2=0),0,IF(AZ$3&lt;0,0,N(INDEX('CURVA PREVISION'!$A$1:$KZ$3000,$C75,11+3*MIN(AZ$3,$D$2-1)))))</f>
        <v/>
      </c>
      <c r="BA75" s="130">
        <f>IF(OR($C75="",$B$2="",$D$2=0),0,IF(BA$3&lt;0,0,N(INDEX('CURVA PREVISION'!$A$1:$KZ$3000,$C75,11+3*MIN(BA$3,$D$2-1)))))</f>
        <v/>
      </c>
      <c r="BB75" s="130">
        <f>IF(OR($C75="",$B$2="",$D$2=0),0,IF(BB$3&lt;0,0,N(INDEX('CURVA PREVISION'!$A$1:$KZ$3000,$C75,11+3*MIN(BB$3,$D$2-1)))))</f>
        <v/>
      </c>
      <c r="BC75" s="130">
        <f>IF(OR($C75="",$B$2="",$D$2=0),0,IF(BC$3&lt;0,0,N(INDEX('CURVA PREVISION'!$A$1:$KZ$3000,$C75,11+3*MIN(BC$3,$D$2-1)))))</f>
        <v/>
      </c>
      <c r="BD75" s="130">
        <f>IF(OR($C75="",$B$2="",$D$2=0),0,IF(BD$3&lt;0,0,N(INDEX('CURVA PREVISION'!$A$1:$KZ$3000,$C75,11+3*MIN(BD$3,$D$2-1)))))</f>
        <v/>
      </c>
      <c r="BE75" s="130">
        <f>IF(OR($C75="",$B$2="",$D$2=0),0,IF(BE$3&lt;0,0,N(INDEX('CURVA PREVISION'!$A$1:$KZ$3000,$C75,11+3*MIN(BE$3,$D$2-1)))))</f>
        <v/>
      </c>
      <c r="BF75" s="130">
        <f>IF(OR($C75="",$B$2="",$D$2=0),0,IF(BF$3&lt;0,0,N(INDEX('CURVA PREVISION'!$A$1:$KZ$3000,$C75,11+3*MIN(BF$3,$D$2-1)))))</f>
        <v/>
      </c>
      <c r="BG75" s="130">
        <f>IF(OR($C75="",$B$2="",$D$2=0),0,IF(BG$3&lt;0,0,N(INDEX('CURVA PREVISION'!$A$1:$KZ$3000,$C75,11+3*MIN(BG$3,$D$2-1)))))</f>
        <v/>
      </c>
      <c r="BH75" s="130">
        <f>IF(OR($C75="",$B$2="",$D$2=0),0,IF(BH$3&lt;0,0,N(INDEX('CURVA PREVISION'!$A$1:$KZ$3000,$C75,11+3*MIN(BH$3,$D$2-1)))))</f>
        <v/>
      </c>
      <c r="BI75" s="130">
        <f>IF(OR($C75="",$B$2="",$D$2=0),0,IF(BI$3&lt;0,0,N(INDEX('CURVA PREVISION'!$A$1:$KZ$3000,$C75,11+3*MIN(BI$3,$D$2-1)))))</f>
        <v/>
      </c>
      <c r="BJ75" s="130">
        <f>IF(OR($C75="",$B$2="",$D$2=0),0,IF(BJ$3&lt;0,0,N(INDEX('CURVA PREVISION'!$A$1:$KZ$3000,$C75,11+3*MIN(BJ$3,$D$2-1)))))</f>
        <v/>
      </c>
      <c r="BK75" s="130">
        <f>IF(OR($C75="",$B$2="",$D$2=0),0,IF(BK$3&lt;0,0,N(INDEX('CURVA PREVISION'!$A$1:$KZ$3000,$C75,11+3*MIN(BK$3,$D$2-1)))))</f>
        <v/>
      </c>
      <c r="BL75" s="130">
        <f>IF(OR($C75="",$B$2="",$D$2=0),0,IF(BL$3&lt;0,0,N(INDEX('CURVA PREVISION'!$A$1:$KZ$3000,$C75,11+3*MIN(BL$3,$D$2-1)))))</f>
        <v/>
      </c>
      <c r="BM75" s="130">
        <f>IF(OR($C75="",$B$2="",$D$2=0),0,IF(BM$3&lt;0,0,N(INDEX('CURVA PREVISION'!$A$1:$KZ$3000,$C75,11+3*MIN(BM$3,$D$2-1)))))</f>
        <v/>
      </c>
      <c r="BN75" s="130">
        <f>IF(OR($C75="",$B$2="",$D$2=0),0,IF(BN$3&lt;0,0,N(INDEX('CURVA PREVISION'!$A$1:$KZ$3000,$C75,11+3*MIN(BN$3,$D$2-1)))))</f>
        <v/>
      </c>
      <c r="BO75" s="130">
        <f>IF(OR($C75="",$B$2="",$D$2=0),0,IF(BO$3&lt;0,0,N(INDEX('CURVA PREVISION'!$A$1:$KZ$3000,$C75,11+3*MIN(BO$3,$D$2-1)))))</f>
        <v/>
      </c>
      <c r="BP75" s="130">
        <f>IF(OR($C75="",$B$2="",$D$2=0),0,IF(BP$3&lt;0,0,N(INDEX('CURVA PREVISION'!$A$1:$KZ$3000,$C75,11+3*MIN(BP$3,$D$2-1)))))</f>
        <v/>
      </c>
      <c r="BQ75" s="130">
        <f>IF(OR($C75="",$B$2="",$D$2=0),0,IF(BQ$3&lt;0,0,N(INDEX('CURVA PREVISION'!$A$1:$KZ$3000,$C75,11+3*MIN(BQ$3,$D$2-1)))))</f>
        <v/>
      </c>
      <c r="BR75" s="130">
        <f>IF(OR($C75="",$B$2="",$D$2=0),0,IF(BR$3&lt;0,0,N(INDEX('CURVA PREVISION'!$A$1:$KZ$3000,$C75,11+3*MIN(BR$3,$D$2-1)))))</f>
        <v/>
      </c>
      <c r="BS75" s="130">
        <f>IF(OR($C75="",$B$2="",$D$2=0),0,IF(BS$3&lt;0,0,N(INDEX('CURVA PREVISION'!$A$1:$KZ$3000,$C75,11+3*MIN(BS$3,$D$2-1)))))</f>
        <v/>
      </c>
      <c r="BT75" s="130">
        <f>IF(OR($C75="",$B$2="",$D$2=0),0,IF(BT$3&lt;0,0,N(INDEX('CURVA PREVISION'!$A$1:$KZ$3000,$C75,11+3*MIN(BT$3,$D$2-1)))))</f>
        <v/>
      </c>
      <c r="BU75" s="130">
        <f>IF(OR($C75="",$B$2="",$D$2=0),0,IF(BU$3&lt;0,0,N(INDEX('CURVA PREVISION'!$A$1:$KZ$3000,$C75,11+3*MIN(BU$3,$D$2-1)))))</f>
        <v/>
      </c>
      <c r="BV75" s="130">
        <f>IF(OR($C75="",$B$2="",$D$2=0),0,IF(BV$3&lt;0,0,N(INDEX('CURVA PREVISION'!$A$1:$KZ$3000,$C75,11+3*MIN(BV$3,$D$2-1)))))</f>
        <v/>
      </c>
      <c r="BW75" s="130">
        <f>IF(OR($C75="",$B$2="",$D$2=0),0,IF(BW$3&lt;0,0,N(INDEX('CURVA PREVISION'!$A$1:$KZ$3000,$C75,11+3*MIN(BW$3,$D$2-1)))))</f>
        <v/>
      </c>
    </row>
    <row r="76">
      <c r="A76" s="61">
        <f>IF('VALOR POR PL'!Q40="",'VALOR POR PL'!C40,'VALOR POR PL'!Q40)</f>
        <v/>
      </c>
      <c r="B76" s="51">
        <f>B34</f>
        <v/>
      </c>
      <c r="C76" s="70">
        <f>IFERROR(MATCH(A76,'CURVA PREVISION'!$B$1:$B$3000,0),"")</f>
        <v/>
      </c>
      <c r="D76" s="130">
        <f>IF(OR($C76="",$B$2="",$D$2=0),0,IF(D$3&lt;0,0,N(INDEX('CURVA PREVISION'!$A$1:$KZ$3000,$C76,11+3*MIN(D$3,$D$2-1)))))</f>
        <v/>
      </c>
      <c r="E76" s="130">
        <f>IF(OR($C76="",$B$2="",$D$2=0),0,IF(E$3&lt;0,0,N(INDEX('CURVA PREVISION'!$A$1:$KZ$3000,$C76,11+3*MIN(E$3,$D$2-1)))))</f>
        <v/>
      </c>
      <c r="F76" s="130">
        <f>IF(OR($C76="",$B$2="",$D$2=0),0,IF(F$3&lt;0,0,N(INDEX('CURVA PREVISION'!$A$1:$KZ$3000,$C76,11+3*MIN(F$3,$D$2-1)))))</f>
        <v/>
      </c>
      <c r="G76" s="130">
        <f>IF(OR($C76="",$B$2="",$D$2=0),0,IF(G$3&lt;0,0,N(INDEX('CURVA PREVISION'!$A$1:$KZ$3000,$C76,11+3*MIN(G$3,$D$2-1)))))</f>
        <v/>
      </c>
      <c r="H76" s="130">
        <f>IF(OR($C76="",$B$2="",$D$2=0),0,IF(H$3&lt;0,0,N(INDEX('CURVA PREVISION'!$A$1:$KZ$3000,$C76,11+3*MIN(H$3,$D$2-1)))))</f>
        <v/>
      </c>
      <c r="I76" s="130">
        <f>IF(OR($C76="",$B$2="",$D$2=0),0,IF(I$3&lt;0,0,N(INDEX('CURVA PREVISION'!$A$1:$KZ$3000,$C76,11+3*MIN(I$3,$D$2-1)))))</f>
        <v/>
      </c>
      <c r="J76" s="130">
        <f>IF(OR($C76="",$B$2="",$D$2=0),0,IF(J$3&lt;0,0,N(INDEX('CURVA PREVISION'!$A$1:$KZ$3000,$C76,11+3*MIN(J$3,$D$2-1)))))</f>
        <v/>
      </c>
      <c r="K76" s="130">
        <f>IF(OR($C76="",$B$2="",$D$2=0),0,IF(K$3&lt;0,0,N(INDEX('CURVA PREVISION'!$A$1:$KZ$3000,$C76,11+3*MIN(K$3,$D$2-1)))))</f>
        <v/>
      </c>
      <c r="L76" s="130">
        <f>IF(OR($C76="",$B$2="",$D$2=0),0,IF(L$3&lt;0,0,N(INDEX('CURVA PREVISION'!$A$1:$KZ$3000,$C76,11+3*MIN(L$3,$D$2-1)))))</f>
        <v/>
      </c>
      <c r="M76" s="130">
        <f>IF(OR($C76="",$B$2="",$D$2=0),0,IF(M$3&lt;0,0,N(INDEX('CURVA PREVISION'!$A$1:$KZ$3000,$C76,11+3*MIN(M$3,$D$2-1)))))</f>
        <v/>
      </c>
      <c r="N76" s="130">
        <f>IF(OR($C76="",$B$2="",$D$2=0),0,IF(N$3&lt;0,0,N(INDEX('CURVA PREVISION'!$A$1:$KZ$3000,$C76,11+3*MIN(N$3,$D$2-1)))))</f>
        <v/>
      </c>
      <c r="O76" s="130">
        <f>IF(OR($C76="",$B$2="",$D$2=0),0,IF(O$3&lt;0,0,N(INDEX('CURVA PREVISION'!$A$1:$KZ$3000,$C76,11+3*MIN(O$3,$D$2-1)))))</f>
        <v/>
      </c>
      <c r="P76" s="130">
        <f>IF(OR($C76="",$B$2="",$D$2=0),0,IF(P$3&lt;0,0,N(INDEX('CURVA PREVISION'!$A$1:$KZ$3000,$C76,11+3*MIN(P$3,$D$2-1)))))</f>
        <v/>
      </c>
      <c r="Q76" s="130">
        <f>IF(OR($C76="",$B$2="",$D$2=0),0,IF(Q$3&lt;0,0,N(INDEX('CURVA PREVISION'!$A$1:$KZ$3000,$C76,11+3*MIN(Q$3,$D$2-1)))))</f>
        <v/>
      </c>
      <c r="R76" s="130">
        <f>IF(OR($C76="",$B$2="",$D$2=0),0,IF(R$3&lt;0,0,N(INDEX('CURVA PREVISION'!$A$1:$KZ$3000,$C76,11+3*MIN(R$3,$D$2-1)))))</f>
        <v/>
      </c>
      <c r="S76" s="130">
        <f>IF(OR($C76="",$B$2="",$D$2=0),0,IF(S$3&lt;0,0,N(INDEX('CURVA PREVISION'!$A$1:$KZ$3000,$C76,11+3*MIN(S$3,$D$2-1)))))</f>
        <v/>
      </c>
      <c r="T76" s="130">
        <f>IF(OR($C76="",$B$2="",$D$2=0),0,IF(T$3&lt;0,0,N(INDEX('CURVA PREVISION'!$A$1:$KZ$3000,$C76,11+3*MIN(T$3,$D$2-1)))))</f>
        <v/>
      </c>
      <c r="U76" s="130">
        <f>IF(OR($C76="",$B$2="",$D$2=0),0,IF(U$3&lt;0,0,N(INDEX('CURVA PREVISION'!$A$1:$KZ$3000,$C76,11+3*MIN(U$3,$D$2-1)))))</f>
        <v/>
      </c>
      <c r="V76" s="130">
        <f>IF(OR($C76="",$B$2="",$D$2=0),0,IF(V$3&lt;0,0,N(INDEX('CURVA PREVISION'!$A$1:$KZ$3000,$C76,11+3*MIN(V$3,$D$2-1)))))</f>
        <v/>
      </c>
      <c r="W76" s="130">
        <f>IF(OR($C76="",$B$2="",$D$2=0),0,IF(W$3&lt;0,0,N(INDEX('CURVA PREVISION'!$A$1:$KZ$3000,$C76,11+3*MIN(W$3,$D$2-1)))))</f>
        <v/>
      </c>
      <c r="X76" s="130">
        <f>IF(OR($C76="",$B$2="",$D$2=0),0,IF(X$3&lt;0,0,N(INDEX('CURVA PREVISION'!$A$1:$KZ$3000,$C76,11+3*MIN(X$3,$D$2-1)))))</f>
        <v/>
      </c>
      <c r="Y76" s="130">
        <f>IF(OR($C76="",$B$2="",$D$2=0),0,IF(Y$3&lt;0,0,N(INDEX('CURVA PREVISION'!$A$1:$KZ$3000,$C76,11+3*MIN(Y$3,$D$2-1)))))</f>
        <v/>
      </c>
      <c r="Z76" s="130">
        <f>IF(OR($C76="",$B$2="",$D$2=0),0,IF(Z$3&lt;0,0,N(INDEX('CURVA PREVISION'!$A$1:$KZ$3000,$C76,11+3*MIN(Z$3,$D$2-1)))))</f>
        <v/>
      </c>
      <c r="AA76" s="130">
        <f>IF(OR($C76="",$B$2="",$D$2=0),0,IF(AA$3&lt;0,0,N(INDEX('CURVA PREVISION'!$A$1:$KZ$3000,$C76,11+3*MIN(AA$3,$D$2-1)))))</f>
        <v/>
      </c>
      <c r="AB76" s="130">
        <f>IF(OR($C76="",$B$2="",$D$2=0),0,IF(AB$3&lt;0,0,N(INDEX('CURVA PREVISION'!$A$1:$KZ$3000,$C76,11+3*MIN(AB$3,$D$2-1)))))</f>
        <v/>
      </c>
      <c r="AC76" s="130">
        <f>IF(OR($C76="",$B$2="",$D$2=0),0,IF(AC$3&lt;0,0,N(INDEX('CURVA PREVISION'!$A$1:$KZ$3000,$C76,11+3*MIN(AC$3,$D$2-1)))))</f>
        <v/>
      </c>
      <c r="AD76" s="130">
        <f>IF(OR($C76="",$B$2="",$D$2=0),0,IF(AD$3&lt;0,0,N(INDEX('CURVA PREVISION'!$A$1:$KZ$3000,$C76,11+3*MIN(AD$3,$D$2-1)))))</f>
        <v/>
      </c>
      <c r="AE76" s="130">
        <f>IF(OR($C76="",$B$2="",$D$2=0),0,IF(AE$3&lt;0,0,N(INDEX('CURVA PREVISION'!$A$1:$KZ$3000,$C76,11+3*MIN(AE$3,$D$2-1)))))</f>
        <v/>
      </c>
      <c r="AF76" s="130">
        <f>IF(OR($C76="",$B$2="",$D$2=0),0,IF(AF$3&lt;0,0,N(INDEX('CURVA PREVISION'!$A$1:$KZ$3000,$C76,11+3*MIN(AF$3,$D$2-1)))))</f>
        <v/>
      </c>
      <c r="AG76" s="130">
        <f>IF(OR($C76="",$B$2="",$D$2=0),0,IF(AG$3&lt;0,0,N(INDEX('CURVA PREVISION'!$A$1:$KZ$3000,$C76,11+3*MIN(AG$3,$D$2-1)))))</f>
        <v/>
      </c>
      <c r="AH76" s="130">
        <f>IF(OR($C76="",$B$2="",$D$2=0),0,IF(AH$3&lt;0,0,N(INDEX('CURVA PREVISION'!$A$1:$KZ$3000,$C76,11+3*MIN(AH$3,$D$2-1)))))</f>
        <v/>
      </c>
      <c r="AI76" s="130">
        <f>IF(OR($C76="",$B$2="",$D$2=0),0,IF(AI$3&lt;0,0,N(INDEX('CURVA PREVISION'!$A$1:$KZ$3000,$C76,11+3*MIN(AI$3,$D$2-1)))))</f>
        <v/>
      </c>
      <c r="AJ76" s="130">
        <f>IF(OR($C76="",$B$2="",$D$2=0),0,IF(AJ$3&lt;0,0,N(INDEX('CURVA PREVISION'!$A$1:$KZ$3000,$C76,11+3*MIN(AJ$3,$D$2-1)))))</f>
        <v/>
      </c>
      <c r="AK76" s="130">
        <f>IF(OR($C76="",$B$2="",$D$2=0),0,IF(AK$3&lt;0,0,N(INDEX('CURVA PREVISION'!$A$1:$KZ$3000,$C76,11+3*MIN(AK$3,$D$2-1)))))</f>
        <v/>
      </c>
      <c r="AL76" s="130">
        <f>IF(OR($C76="",$B$2="",$D$2=0),0,IF(AL$3&lt;0,0,N(INDEX('CURVA PREVISION'!$A$1:$KZ$3000,$C76,11+3*MIN(AL$3,$D$2-1)))))</f>
        <v/>
      </c>
      <c r="AM76" s="130">
        <f>IF(OR($C76="",$B$2="",$D$2=0),0,IF(AM$3&lt;0,0,N(INDEX('CURVA PREVISION'!$A$1:$KZ$3000,$C76,11+3*MIN(AM$3,$D$2-1)))))</f>
        <v/>
      </c>
      <c r="AN76" s="130">
        <f>IF(OR($C76="",$B$2="",$D$2=0),0,IF(AN$3&lt;0,0,N(INDEX('CURVA PREVISION'!$A$1:$KZ$3000,$C76,11+3*MIN(AN$3,$D$2-1)))))</f>
        <v/>
      </c>
      <c r="AO76" s="130">
        <f>IF(OR($C76="",$B$2="",$D$2=0),0,IF(AO$3&lt;0,0,N(INDEX('CURVA PREVISION'!$A$1:$KZ$3000,$C76,11+3*MIN(AO$3,$D$2-1)))))</f>
        <v/>
      </c>
      <c r="AP76" s="130">
        <f>IF(OR($C76="",$B$2="",$D$2=0),0,IF(AP$3&lt;0,0,N(INDEX('CURVA PREVISION'!$A$1:$KZ$3000,$C76,11+3*MIN(AP$3,$D$2-1)))))</f>
        <v/>
      </c>
      <c r="AQ76" s="130">
        <f>IF(OR($C76="",$B$2="",$D$2=0),0,IF(AQ$3&lt;0,0,N(INDEX('CURVA PREVISION'!$A$1:$KZ$3000,$C76,11+3*MIN(AQ$3,$D$2-1)))))</f>
        <v/>
      </c>
      <c r="AR76" s="130">
        <f>IF(OR($C76="",$B$2="",$D$2=0),0,IF(AR$3&lt;0,0,N(INDEX('CURVA PREVISION'!$A$1:$KZ$3000,$C76,11+3*MIN(AR$3,$D$2-1)))))</f>
        <v/>
      </c>
      <c r="AS76" s="130">
        <f>IF(OR($C76="",$B$2="",$D$2=0),0,IF(AS$3&lt;0,0,N(INDEX('CURVA PREVISION'!$A$1:$KZ$3000,$C76,11+3*MIN(AS$3,$D$2-1)))))</f>
        <v/>
      </c>
      <c r="AT76" s="130">
        <f>IF(OR($C76="",$B$2="",$D$2=0),0,IF(AT$3&lt;0,0,N(INDEX('CURVA PREVISION'!$A$1:$KZ$3000,$C76,11+3*MIN(AT$3,$D$2-1)))))</f>
        <v/>
      </c>
      <c r="AU76" s="130">
        <f>IF(OR($C76="",$B$2="",$D$2=0),0,IF(AU$3&lt;0,0,N(INDEX('CURVA PREVISION'!$A$1:$KZ$3000,$C76,11+3*MIN(AU$3,$D$2-1)))))</f>
        <v/>
      </c>
      <c r="AV76" s="130">
        <f>IF(OR($C76="",$B$2="",$D$2=0),0,IF(AV$3&lt;0,0,N(INDEX('CURVA PREVISION'!$A$1:$KZ$3000,$C76,11+3*MIN(AV$3,$D$2-1)))))</f>
        <v/>
      </c>
      <c r="AW76" s="130">
        <f>IF(OR($C76="",$B$2="",$D$2=0),0,IF(AW$3&lt;0,0,N(INDEX('CURVA PREVISION'!$A$1:$KZ$3000,$C76,11+3*MIN(AW$3,$D$2-1)))))</f>
        <v/>
      </c>
      <c r="AX76" s="130">
        <f>IF(OR($C76="",$B$2="",$D$2=0),0,IF(AX$3&lt;0,0,N(INDEX('CURVA PREVISION'!$A$1:$KZ$3000,$C76,11+3*MIN(AX$3,$D$2-1)))))</f>
        <v/>
      </c>
      <c r="AY76" s="130">
        <f>IF(OR($C76="",$B$2="",$D$2=0),0,IF(AY$3&lt;0,0,N(INDEX('CURVA PREVISION'!$A$1:$KZ$3000,$C76,11+3*MIN(AY$3,$D$2-1)))))</f>
        <v/>
      </c>
      <c r="AZ76" s="130">
        <f>IF(OR($C76="",$B$2="",$D$2=0),0,IF(AZ$3&lt;0,0,N(INDEX('CURVA PREVISION'!$A$1:$KZ$3000,$C76,11+3*MIN(AZ$3,$D$2-1)))))</f>
        <v/>
      </c>
      <c r="BA76" s="130">
        <f>IF(OR($C76="",$B$2="",$D$2=0),0,IF(BA$3&lt;0,0,N(INDEX('CURVA PREVISION'!$A$1:$KZ$3000,$C76,11+3*MIN(BA$3,$D$2-1)))))</f>
        <v/>
      </c>
      <c r="BB76" s="130">
        <f>IF(OR($C76="",$B$2="",$D$2=0),0,IF(BB$3&lt;0,0,N(INDEX('CURVA PREVISION'!$A$1:$KZ$3000,$C76,11+3*MIN(BB$3,$D$2-1)))))</f>
        <v/>
      </c>
      <c r="BC76" s="130">
        <f>IF(OR($C76="",$B$2="",$D$2=0),0,IF(BC$3&lt;0,0,N(INDEX('CURVA PREVISION'!$A$1:$KZ$3000,$C76,11+3*MIN(BC$3,$D$2-1)))))</f>
        <v/>
      </c>
      <c r="BD76" s="130">
        <f>IF(OR($C76="",$B$2="",$D$2=0),0,IF(BD$3&lt;0,0,N(INDEX('CURVA PREVISION'!$A$1:$KZ$3000,$C76,11+3*MIN(BD$3,$D$2-1)))))</f>
        <v/>
      </c>
      <c r="BE76" s="130">
        <f>IF(OR($C76="",$B$2="",$D$2=0),0,IF(BE$3&lt;0,0,N(INDEX('CURVA PREVISION'!$A$1:$KZ$3000,$C76,11+3*MIN(BE$3,$D$2-1)))))</f>
        <v/>
      </c>
      <c r="BF76" s="130">
        <f>IF(OR($C76="",$B$2="",$D$2=0),0,IF(BF$3&lt;0,0,N(INDEX('CURVA PREVISION'!$A$1:$KZ$3000,$C76,11+3*MIN(BF$3,$D$2-1)))))</f>
        <v/>
      </c>
      <c r="BG76" s="130">
        <f>IF(OR($C76="",$B$2="",$D$2=0),0,IF(BG$3&lt;0,0,N(INDEX('CURVA PREVISION'!$A$1:$KZ$3000,$C76,11+3*MIN(BG$3,$D$2-1)))))</f>
        <v/>
      </c>
      <c r="BH76" s="130">
        <f>IF(OR($C76="",$B$2="",$D$2=0),0,IF(BH$3&lt;0,0,N(INDEX('CURVA PREVISION'!$A$1:$KZ$3000,$C76,11+3*MIN(BH$3,$D$2-1)))))</f>
        <v/>
      </c>
      <c r="BI76" s="130">
        <f>IF(OR($C76="",$B$2="",$D$2=0),0,IF(BI$3&lt;0,0,N(INDEX('CURVA PREVISION'!$A$1:$KZ$3000,$C76,11+3*MIN(BI$3,$D$2-1)))))</f>
        <v/>
      </c>
      <c r="BJ76" s="130">
        <f>IF(OR($C76="",$B$2="",$D$2=0),0,IF(BJ$3&lt;0,0,N(INDEX('CURVA PREVISION'!$A$1:$KZ$3000,$C76,11+3*MIN(BJ$3,$D$2-1)))))</f>
        <v/>
      </c>
      <c r="BK76" s="130">
        <f>IF(OR($C76="",$B$2="",$D$2=0),0,IF(BK$3&lt;0,0,N(INDEX('CURVA PREVISION'!$A$1:$KZ$3000,$C76,11+3*MIN(BK$3,$D$2-1)))))</f>
        <v/>
      </c>
      <c r="BL76" s="130">
        <f>IF(OR($C76="",$B$2="",$D$2=0),0,IF(BL$3&lt;0,0,N(INDEX('CURVA PREVISION'!$A$1:$KZ$3000,$C76,11+3*MIN(BL$3,$D$2-1)))))</f>
        <v/>
      </c>
      <c r="BM76" s="130">
        <f>IF(OR($C76="",$B$2="",$D$2=0),0,IF(BM$3&lt;0,0,N(INDEX('CURVA PREVISION'!$A$1:$KZ$3000,$C76,11+3*MIN(BM$3,$D$2-1)))))</f>
        <v/>
      </c>
      <c r="BN76" s="130">
        <f>IF(OR($C76="",$B$2="",$D$2=0),0,IF(BN$3&lt;0,0,N(INDEX('CURVA PREVISION'!$A$1:$KZ$3000,$C76,11+3*MIN(BN$3,$D$2-1)))))</f>
        <v/>
      </c>
      <c r="BO76" s="130">
        <f>IF(OR($C76="",$B$2="",$D$2=0),0,IF(BO$3&lt;0,0,N(INDEX('CURVA PREVISION'!$A$1:$KZ$3000,$C76,11+3*MIN(BO$3,$D$2-1)))))</f>
        <v/>
      </c>
      <c r="BP76" s="130">
        <f>IF(OR($C76="",$B$2="",$D$2=0),0,IF(BP$3&lt;0,0,N(INDEX('CURVA PREVISION'!$A$1:$KZ$3000,$C76,11+3*MIN(BP$3,$D$2-1)))))</f>
        <v/>
      </c>
      <c r="BQ76" s="130">
        <f>IF(OR($C76="",$B$2="",$D$2=0),0,IF(BQ$3&lt;0,0,N(INDEX('CURVA PREVISION'!$A$1:$KZ$3000,$C76,11+3*MIN(BQ$3,$D$2-1)))))</f>
        <v/>
      </c>
      <c r="BR76" s="130">
        <f>IF(OR($C76="",$B$2="",$D$2=0),0,IF(BR$3&lt;0,0,N(INDEX('CURVA PREVISION'!$A$1:$KZ$3000,$C76,11+3*MIN(BR$3,$D$2-1)))))</f>
        <v/>
      </c>
      <c r="BS76" s="130">
        <f>IF(OR($C76="",$B$2="",$D$2=0),0,IF(BS$3&lt;0,0,N(INDEX('CURVA PREVISION'!$A$1:$KZ$3000,$C76,11+3*MIN(BS$3,$D$2-1)))))</f>
        <v/>
      </c>
      <c r="BT76" s="130">
        <f>IF(OR($C76="",$B$2="",$D$2=0),0,IF(BT$3&lt;0,0,N(INDEX('CURVA PREVISION'!$A$1:$KZ$3000,$C76,11+3*MIN(BT$3,$D$2-1)))))</f>
        <v/>
      </c>
      <c r="BU76" s="130">
        <f>IF(OR($C76="",$B$2="",$D$2=0),0,IF(BU$3&lt;0,0,N(INDEX('CURVA PREVISION'!$A$1:$KZ$3000,$C76,11+3*MIN(BU$3,$D$2-1)))))</f>
        <v/>
      </c>
      <c r="BV76" s="130">
        <f>IF(OR($C76="",$B$2="",$D$2=0),0,IF(BV$3&lt;0,0,N(INDEX('CURVA PREVISION'!$A$1:$KZ$3000,$C76,11+3*MIN(BV$3,$D$2-1)))))</f>
        <v/>
      </c>
      <c r="BW76" s="130">
        <f>IF(OR($C76="",$B$2="",$D$2=0),0,IF(BW$3&lt;0,0,N(INDEX('CURVA PREVISION'!$A$1:$KZ$3000,$C76,11+3*MIN(BW$3,$D$2-1)))))</f>
        <v/>
      </c>
    </row>
    <row r="77">
      <c r="A77" s="61">
        <f>IF('VALOR POR PL'!Q41="",'VALOR POR PL'!C41,'VALOR POR PL'!Q41)</f>
        <v/>
      </c>
      <c r="B77" s="51">
        <f>B35</f>
        <v/>
      </c>
      <c r="C77" s="70">
        <f>IFERROR(MATCH(A77,'CURVA PREVISION'!$B$1:$B$3000,0),"")</f>
        <v/>
      </c>
      <c r="D77" s="130">
        <f>IF(OR($C77="",$B$2="",$D$2=0),0,IF(D$3&lt;0,0,N(INDEX('CURVA PREVISION'!$A$1:$KZ$3000,$C77,11+3*MIN(D$3,$D$2-1)))))</f>
        <v/>
      </c>
      <c r="E77" s="130">
        <f>IF(OR($C77="",$B$2="",$D$2=0),0,IF(E$3&lt;0,0,N(INDEX('CURVA PREVISION'!$A$1:$KZ$3000,$C77,11+3*MIN(E$3,$D$2-1)))))</f>
        <v/>
      </c>
      <c r="F77" s="130">
        <f>IF(OR($C77="",$B$2="",$D$2=0),0,IF(F$3&lt;0,0,N(INDEX('CURVA PREVISION'!$A$1:$KZ$3000,$C77,11+3*MIN(F$3,$D$2-1)))))</f>
        <v/>
      </c>
      <c r="G77" s="130">
        <f>IF(OR($C77="",$B$2="",$D$2=0),0,IF(G$3&lt;0,0,N(INDEX('CURVA PREVISION'!$A$1:$KZ$3000,$C77,11+3*MIN(G$3,$D$2-1)))))</f>
        <v/>
      </c>
      <c r="H77" s="130">
        <f>IF(OR($C77="",$B$2="",$D$2=0),0,IF(H$3&lt;0,0,N(INDEX('CURVA PREVISION'!$A$1:$KZ$3000,$C77,11+3*MIN(H$3,$D$2-1)))))</f>
        <v/>
      </c>
      <c r="I77" s="130">
        <f>IF(OR($C77="",$B$2="",$D$2=0),0,IF(I$3&lt;0,0,N(INDEX('CURVA PREVISION'!$A$1:$KZ$3000,$C77,11+3*MIN(I$3,$D$2-1)))))</f>
        <v/>
      </c>
      <c r="J77" s="130">
        <f>IF(OR($C77="",$B$2="",$D$2=0),0,IF(J$3&lt;0,0,N(INDEX('CURVA PREVISION'!$A$1:$KZ$3000,$C77,11+3*MIN(J$3,$D$2-1)))))</f>
        <v/>
      </c>
      <c r="K77" s="130">
        <f>IF(OR($C77="",$B$2="",$D$2=0),0,IF(K$3&lt;0,0,N(INDEX('CURVA PREVISION'!$A$1:$KZ$3000,$C77,11+3*MIN(K$3,$D$2-1)))))</f>
        <v/>
      </c>
      <c r="L77" s="130">
        <f>IF(OR($C77="",$B$2="",$D$2=0),0,IF(L$3&lt;0,0,N(INDEX('CURVA PREVISION'!$A$1:$KZ$3000,$C77,11+3*MIN(L$3,$D$2-1)))))</f>
        <v/>
      </c>
      <c r="M77" s="130">
        <f>IF(OR($C77="",$B$2="",$D$2=0),0,IF(M$3&lt;0,0,N(INDEX('CURVA PREVISION'!$A$1:$KZ$3000,$C77,11+3*MIN(M$3,$D$2-1)))))</f>
        <v/>
      </c>
      <c r="N77" s="130">
        <f>IF(OR($C77="",$B$2="",$D$2=0),0,IF(N$3&lt;0,0,N(INDEX('CURVA PREVISION'!$A$1:$KZ$3000,$C77,11+3*MIN(N$3,$D$2-1)))))</f>
        <v/>
      </c>
      <c r="O77" s="130">
        <f>IF(OR($C77="",$B$2="",$D$2=0),0,IF(O$3&lt;0,0,N(INDEX('CURVA PREVISION'!$A$1:$KZ$3000,$C77,11+3*MIN(O$3,$D$2-1)))))</f>
        <v/>
      </c>
      <c r="P77" s="130">
        <f>IF(OR($C77="",$B$2="",$D$2=0),0,IF(P$3&lt;0,0,N(INDEX('CURVA PREVISION'!$A$1:$KZ$3000,$C77,11+3*MIN(P$3,$D$2-1)))))</f>
        <v/>
      </c>
      <c r="Q77" s="130">
        <f>IF(OR($C77="",$B$2="",$D$2=0),0,IF(Q$3&lt;0,0,N(INDEX('CURVA PREVISION'!$A$1:$KZ$3000,$C77,11+3*MIN(Q$3,$D$2-1)))))</f>
        <v/>
      </c>
      <c r="R77" s="130">
        <f>IF(OR($C77="",$B$2="",$D$2=0),0,IF(R$3&lt;0,0,N(INDEX('CURVA PREVISION'!$A$1:$KZ$3000,$C77,11+3*MIN(R$3,$D$2-1)))))</f>
        <v/>
      </c>
      <c r="S77" s="130">
        <f>IF(OR($C77="",$B$2="",$D$2=0),0,IF(S$3&lt;0,0,N(INDEX('CURVA PREVISION'!$A$1:$KZ$3000,$C77,11+3*MIN(S$3,$D$2-1)))))</f>
        <v/>
      </c>
      <c r="T77" s="130">
        <f>IF(OR($C77="",$B$2="",$D$2=0),0,IF(T$3&lt;0,0,N(INDEX('CURVA PREVISION'!$A$1:$KZ$3000,$C77,11+3*MIN(T$3,$D$2-1)))))</f>
        <v/>
      </c>
      <c r="U77" s="130">
        <f>IF(OR($C77="",$B$2="",$D$2=0),0,IF(U$3&lt;0,0,N(INDEX('CURVA PREVISION'!$A$1:$KZ$3000,$C77,11+3*MIN(U$3,$D$2-1)))))</f>
        <v/>
      </c>
      <c r="V77" s="130">
        <f>IF(OR($C77="",$B$2="",$D$2=0),0,IF(V$3&lt;0,0,N(INDEX('CURVA PREVISION'!$A$1:$KZ$3000,$C77,11+3*MIN(V$3,$D$2-1)))))</f>
        <v/>
      </c>
      <c r="W77" s="130">
        <f>IF(OR($C77="",$B$2="",$D$2=0),0,IF(W$3&lt;0,0,N(INDEX('CURVA PREVISION'!$A$1:$KZ$3000,$C77,11+3*MIN(W$3,$D$2-1)))))</f>
        <v/>
      </c>
      <c r="X77" s="130">
        <f>IF(OR($C77="",$B$2="",$D$2=0),0,IF(X$3&lt;0,0,N(INDEX('CURVA PREVISION'!$A$1:$KZ$3000,$C77,11+3*MIN(X$3,$D$2-1)))))</f>
        <v/>
      </c>
      <c r="Y77" s="130">
        <f>IF(OR($C77="",$B$2="",$D$2=0),0,IF(Y$3&lt;0,0,N(INDEX('CURVA PREVISION'!$A$1:$KZ$3000,$C77,11+3*MIN(Y$3,$D$2-1)))))</f>
        <v/>
      </c>
      <c r="Z77" s="130">
        <f>IF(OR($C77="",$B$2="",$D$2=0),0,IF(Z$3&lt;0,0,N(INDEX('CURVA PREVISION'!$A$1:$KZ$3000,$C77,11+3*MIN(Z$3,$D$2-1)))))</f>
        <v/>
      </c>
      <c r="AA77" s="130">
        <f>IF(OR($C77="",$B$2="",$D$2=0),0,IF(AA$3&lt;0,0,N(INDEX('CURVA PREVISION'!$A$1:$KZ$3000,$C77,11+3*MIN(AA$3,$D$2-1)))))</f>
        <v/>
      </c>
      <c r="AB77" s="130">
        <f>IF(OR($C77="",$B$2="",$D$2=0),0,IF(AB$3&lt;0,0,N(INDEX('CURVA PREVISION'!$A$1:$KZ$3000,$C77,11+3*MIN(AB$3,$D$2-1)))))</f>
        <v/>
      </c>
      <c r="AC77" s="130">
        <f>IF(OR($C77="",$B$2="",$D$2=0),0,IF(AC$3&lt;0,0,N(INDEX('CURVA PREVISION'!$A$1:$KZ$3000,$C77,11+3*MIN(AC$3,$D$2-1)))))</f>
        <v/>
      </c>
      <c r="AD77" s="130">
        <f>IF(OR($C77="",$B$2="",$D$2=0),0,IF(AD$3&lt;0,0,N(INDEX('CURVA PREVISION'!$A$1:$KZ$3000,$C77,11+3*MIN(AD$3,$D$2-1)))))</f>
        <v/>
      </c>
      <c r="AE77" s="130">
        <f>IF(OR($C77="",$B$2="",$D$2=0),0,IF(AE$3&lt;0,0,N(INDEX('CURVA PREVISION'!$A$1:$KZ$3000,$C77,11+3*MIN(AE$3,$D$2-1)))))</f>
        <v/>
      </c>
      <c r="AF77" s="130">
        <f>IF(OR($C77="",$B$2="",$D$2=0),0,IF(AF$3&lt;0,0,N(INDEX('CURVA PREVISION'!$A$1:$KZ$3000,$C77,11+3*MIN(AF$3,$D$2-1)))))</f>
        <v/>
      </c>
      <c r="AG77" s="130">
        <f>IF(OR($C77="",$B$2="",$D$2=0),0,IF(AG$3&lt;0,0,N(INDEX('CURVA PREVISION'!$A$1:$KZ$3000,$C77,11+3*MIN(AG$3,$D$2-1)))))</f>
        <v/>
      </c>
      <c r="AH77" s="130">
        <f>IF(OR($C77="",$B$2="",$D$2=0),0,IF(AH$3&lt;0,0,N(INDEX('CURVA PREVISION'!$A$1:$KZ$3000,$C77,11+3*MIN(AH$3,$D$2-1)))))</f>
        <v/>
      </c>
      <c r="AI77" s="130">
        <f>IF(OR($C77="",$B$2="",$D$2=0),0,IF(AI$3&lt;0,0,N(INDEX('CURVA PREVISION'!$A$1:$KZ$3000,$C77,11+3*MIN(AI$3,$D$2-1)))))</f>
        <v/>
      </c>
      <c r="AJ77" s="130">
        <f>IF(OR($C77="",$B$2="",$D$2=0),0,IF(AJ$3&lt;0,0,N(INDEX('CURVA PREVISION'!$A$1:$KZ$3000,$C77,11+3*MIN(AJ$3,$D$2-1)))))</f>
        <v/>
      </c>
      <c r="AK77" s="130">
        <f>IF(OR($C77="",$B$2="",$D$2=0),0,IF(AK$3&lt;0,0,N(INDEX('CURVA PREVISION'!$A$1:$KZ$3000,$C77,11+3*MIN(AK$3,$D$2-1)))))</f>
        <v/>
      </c>
      <c r="AL77" s="130">
        <f>IF(OR($C77="",$B$2="",$D$2=0),0,IF(AL$3&lt;0,0,N(INDEX('CURVA PREVISION'!$A$1:$KZ$3000,$C77,11+3*MIN(AL$3,$D$2-1)))))</f>
        <v/>
      </c>
      <c r="AM77" s="130">
        <f>IF(OR($C77="",$B$2="",$D$2=0),0,IF(AM$3&lt;0,0,N(INDEX('CURVA PREVISION'!$A$1:$KZ$3000,$C77,11+3*MIN(AM$3,$D$2-1)))))</f>
        <v/>
      </c>
      <c r="AN77" s="130">
        <f>IF(OR($C77="",$B$2="",$D$2=0),0,IF(AN$3&lt;0,0,N(INDEX('CURVA PREVISION'!$A$1:$KZ$3000,$C77,11+3*MIN(AN$3,$D$2-1)))))</f>
        <v/>
      </c>
      <c r="AO77" s="130">
        <f>IF(OR($C77="",$B$2="",$D$2=0),0,IF(AO$3&lt;0,0,N(INDEX('CURVA PREVISION'!$A$1:$KZ$3000,$C77,11+3*MIN(AO$3,$D$2-1)))))</f>
        <v/>
      </c>
      <c r="AP77" s="130">
        <f>IF(OR($C77="",$B$2="",$D$2=0),0,IF(AP$3&lt;0,0,N(INDEX('CURVA PREVISION'!$A$1:$KZ$3000,$C77,11+3*MIN(AP$3,$D$2-1)))))</f>
        <v/>
      </c>
      <c r="AQ77" s="130">
        <f>IF(OR($C77="",$B$2="",$D$2=0),0,IF(AQ$3&lt;0,0,N(INDEX('CURVA PREVISION'!$A$1:$KZ$3000,$C77,11+3*MIN(AQ$3,$D$2-1)))))</f>
        <v/>
      </c>
      <c r="AR77" s="130">
        <f>IF(OR($C77="",$B$2="",$D$2=0),0,IF(AR$3&lt;0,0,N(INDEX('CURVA PREVISION'!$A$1:$KZ$3000,$C77,11+3*MIN(AR$3,$D$2-1)))))</f>
        <v/>
      </c>
      <c r="AS77" s="130">
        <f>IF(OR($C77="",$B$2="",$D$2=0),0,IF(AS$3&lt;0,0,N(INDEX('CURVA PREVISION'!$A$1:$KZ$3000,$C77,11+3*MIN(AS$3,$D$2-1)))))</f>
        <v/>
      </c>
      <c r="AT77" s="130">
        <f>IF(OR($C77="",$B$2="",$D$2=0),0,IF(AT$3&lt;0,0,N(INDEX('CURVA PREVISION'!$A$1:$KZ$3000,$C77,11+3*MIN(AT$3,$D$2-1)))))</f>
        <v/>
      </c>
      <c r="AU77" s="130">
        <f>IF(OR($C77="",$B$2="",$D$2=0),0,IF(AU$3&lt;0,0,N(INDEX('CURVA PREVISION'!$A$1:$KZ$3000,$C77,11+3*MIN(AU$3,$D$2-1)))))</f>
        <v/>
      </c>
      <c r="AV77" s="130">
        <f>IF(OR($C77="",$B$2="",$D$2=0),0,IF(AV$3&lt;0,0,N(INDEX('CURVA PREVISION'!$A$1:$KZ$3000,$C77,11+3*MIN(AV$3,$D$2-1)))))</f>
        <v/>
      </c>
      <c r="AW77" s="130">
        <f>IF(OR($C77="",$B$2="",$D$2=0),0,IF(AW$3&lt;0,0,N(INDEX('CURVA PREVISION'!$A$1:$KZ$3000,$C77,11+3*MIN(AW$3,$D$2-1)))))</f>
        <v/>
      </c>
      <c r="AX77" s="130">
        <f>IF(OR($C77="",$B$2="",$D$2=0),0,IF(AX$3&lt;0,0,N(INDEX('CURVA PREVISION'!$A$1:$KZ$3000,$C77,11+3*MIN(AX$3,$D$2-1)))))</f>
        <v/>
      </c>
      <c r="AY77" s="130">
        <f>IF(OR($C77="",$B$2="",$D$2=0),0,IF(AY$3&lt;0,0,N(INDEX('CURVA PREVISION'!$A$1:$KZ$3000,$C77,11+3*MIN(AY$3,$D$2-1)))))</f>
        <v/>
      </c>
      <c r="AZ77" s="130">
        <f>IF(OR($C77="",$B$2="",$D$2=0),0,IF(AZ$3&lt;0,0,N(INDEX('CURVA PREVISION'!$A$1:$KZ$3000,$C77,11+3*MIN(AZ$3,$D$2-1)))))</f>
        <v/>
      </c>
      <c r="BA77" s="130">
        <f>IF(OR($C77="",$B$2="",$D$2=0),0,IF(BA$3&lt;0,0,N(INDEX('CURVA PREVISION'!$A$1:$KZ$3000,$C77,11+3*MIN(BA$3,$D$2-1)))))</f>
        <v/>
      </c>
      <c r="BB77" s="130">
        <f>IF(OR($C77="",$B$2="",$D$2=0),0,IF(BB$3&lt;0,0,N(INDEX('CURVA PREVISION'!$A$1:$KZ$3000,$C77,11+3*MIN(BB$3,$D$2-1)))))</f>
        <v/>
      </c>
      <c r="BC77" s="130">
        <f>IF(OR($C77="",$B$2="",$D$2=0),0,IF(BC$3&lt;0,0,N(INDEX('CURVA PREVISION'!$A$1:$KZ$3000,$C77,11+3*MIN(BC$3,$D$2-1)))))</f>
        <v/>
      </c>
      <c r="BD77" s="130">
        <f>IF(OR($C77="",$B$2="",$D$2=0),0,IF(BD$3&lt;0,0,N(INDEX('CURVA PREVISION'!$A$1:$KZ$3000,$C77,11+3*MIN(BD$3,$D$2-1)))))</f>
        <v/>
      </c>
      <c r="BE77" s="130">
        <f>IF(OR($C77="",$B$2="",$D$2=0),0,IF(BE$3&lt;0,0,N(INDEX('CURVA PREVISION'!$A$1:$KZ$3000,$C77,11+3*MIN(BE$3,$D$2-1)))))</f>
        <v/>
      </c>
      <c r="BF77" s="130">
        <f>IF(OR($C77="",$B$2="",$D$2=0),0,IF(BF$3&lt;0,0,N(INDEX('CURVA PREVISION'!$A$1:$KZ$3000,$C77,11+3*MIN(BF$3,$D$2-1)))))</f>
        <v/>
      </c>
      <c r="BG77" s="130">
        <f>IF(OR($C77="",$B$2="",$D$2=0),0,IF(BG$3&lt;0,0,N(INDEX('CURVA PREVISION'!$A$1:$KZ$3000,$C77,11+3*MIN(BG$3,$D$2-1)))))</f>
        <v/>
      </c>
      <c r="BH77" s="130">
        <f>IF(OR($C77="",$B$2="",$D$2=0),0,IF(BH$3&lt;0,0,N(INDEX('CURVA PREVISION'!$A$1:$KZ$3000,$C77,11+3*MIN(BH$3,$D$2-1)))))</f>
        <v/>
      </c>
      <c r="BI77" s="130">
        <f>IF(OR($C77="",$B$2="",$D$2=0),0,IF(BI$3&lt;0,0,N(INDEX('CURVA PREVISION'!$A$1:$KZ$3000,$C77,11+3*MIN(BI$3,$D$2-1)))))</f>
        <v/>
      </c>
      <c r="BJ77" s="130">
        <f>IF(OR($C77="",$B$2="",$D$2=0),0,IF(BJ$3&lt;0,0,N(INDEX('CURVA PREVISION'!$A$1:$KZ$3000,$C77,11+3*MIN(BJ$3,$D$2-1)))))</f>
        <v/>
      </c>
      <c r="BK77" s="130">
        <f>IF(OR($C77="",$B$2="",$D$2=0),0,IF(BK$3&lt;0,0,N(INDEX('CURVA PREVISION'!$A$1:$KZ$3000,$C77,11+3*MIN(BK$3,$D$2-1)))))</f>
        <v/>
      </c>
      <c r="BL77" s="130">
        <f>IF(OR($C77="",$B$2="",$D$2=0),0,IF(BL$3&lt;0,0,N(INDEX('CURVA PREVISION'!$A$1:$KZ$3000,$C77,11+3*MIN(BL$3,$D$2-1)))))</f>
        <v/>
      </c>
      <c r="BM77" s="130">
        <f>IF(OR($C77="",$B$2="",$D$2=0),0,IF(BM$3&lt;0,0,N(INDEX('CURVA PREVISION'!$A$1:$KZ$3000,$C77,11+3*MIN(BM$3,$D$2-1)))))</f>
        <v/>
      </c>
      <c r="BN77" s="130">
        <f>IF(OR($C77="",$B$2="",$D$2=0),0,IF(BN$3&lt;0,0,N(INDEX('CURVA PREVISION'!$A$1:$KZ$3000,$C77,11+3*MIN(BN$3,$D$2-1)))))</f>
        <v/>
      </c>
      <c r="BO77" s="130">
        <f>IF(OR($C77="",$B$2="",$D$2=0),0,IF(BO$3&lt;0,0,N(INDEX('CURVA PREVISION'!$A$1:$KZ$3000,$C77,11+3*MIN(BO$3,$D$2-1)))))</f>
        <v/>
      </c>
      <c r="BP77" s="130">
        <f>IF(OR($C77="",$B$2="",$D$2=0),0,IF(BP$3&lt;0,0,N(INDEX('CURVA PREVISION'!$A$1:$KZ$3000,$C77,11+3*MIN(BP$3,$D$2-1)))))</f>
        <v/>
      </c>
      <c r="BQ77" s="130">
        <f>IF(OR($C77="",$B$2="",$D$2=0),0,IF(BQ$3&lt;0,0,N(INDEX('CURVA PREVISION'!$A$1:$KZ$3000,$C77,11+3*MIN(BQ$3,$D$2-1)))))</f>
        <v/>
      </c>
      <c r="BR77" s="130">
        <f>IF(OR($C77="",$B$2="",$D$2=0),0,IF(BR$3&lt;0,0,N(INDEX('CURVA PREVISION'!$A$1:$KZ$3000,$C77,11+3*MIN(BR$3,$D$2-1)))))</f>
        <v/>
      </c>
      <c r="BS77" s="130">
        <f>IF(OR($C77="",$B$2="",$D$2=0),0,IF(BS$3&lt;0,0,N(INDEX('CURVA PREVISION'!$A$1:$KZ$3000,$C77,11+3*MIN(BS$3,$D$2-1)))))</f>
        <v/>
      </c>
      <c r="BT77" s="130">
        <f>IF(OR($C77="",$B$2="",$D$2=0),0,IF(BT$3&lt;0,0,N(INDEX('CURVA PREVISION'!$A$1:$KZ$3000,$C77,11+3*MIN(BT$3,$D$2-1)))))</f>
        <v/>
      </c>
      <c r="BU77" s="130">
        <f>IF(OR($C77="",$B$2="",$D$2=0),0,IF(BU$3&lt;0,0,N(INDEX('CURVA PREVISION'!$A$1:$KZ$3000,$C77,11+3*MIN(BU$3,$D$2-1)))))</f>
        <v/>
      </c>
      <c r="BV77" s="130">
        <f>IF(OR($C77="",$B$2="",$D$2=0),0,IF(BV$3&lt;0,0,N(INDEX('CURVA PREVISION'!$A$1:$KZ$3000,$C77,11+3*MIN(BV$3,$D$2-1)))))</f>
        <v/>
      </c>
      <c r="BW77" s="130">
        <f>IF(OR($C77="",$B$2="",$D$2=0),0,IF(BW$3&lt;0,0,N(INDEX('CURVA PREVISION'!$A$1:$KZ$3000,$C77,11+3*MIN(BW$3,$D$2-1)))))</f>
        <v/>
      </c>
    </row>
    <row r="78">
      <c r="A78" s="61">
        <f>IF('VALOR POR PL'!Q42="",'VALOR POR PL'!C42,'VALOR POR PL'!Q42)</f>
        <v/>
      </c>
      <c r="B78" s="51">
        <f>B36</f>
        <v/>
      </c>
      <c r="C78" s="70">
        <f>IFERROR(MATCH(A78,'CURVA PREVISION'!$B$1:$B$3000,0),"")</f>
        <v/>
      </c>
      <c r="D78" s="130">
        <f>IF(OR($C78="",$B$2="",$D$2=0),0,IF(D$3&lt;0,0,N(INDEX('CURVA PREVISION'!$A$1:$KZ$3000,$C78,11+3*MIN(D$3,$D$2-1)))))</f>
        <v/>
      </c>
      <c r="E78" s="130">
        <f>IF(OR($C78="",$B$2="",$D$2=0),0,IF(E$3&lt;0,0,N(INDEX('CURVA PREVISION'!$A$1:$KZ$3000,$C78,11+3*MIN(E$3,$D$2-1)))))</f>
        <v/>
      </c>
      <c r="F78" s="130">
        <f>IF(OR($C78="",$B$2="",$D$2=0),0,IF(F$3&lt;0,0,N(INDEX('CURVA PREVISION'!$A$1:$KZ$3000,$C78,11+3*MIN(F$3,$D$2-1)))))</f>
        <v/>
      </c>
      <c r="G78" s="130">
        <f>IF(OR($C78="",$B$2="",$D$2=0),0,IF(G$3&lt;0,0,N(INDEX('CURVA PREVISION'!$A$1:$KZ$3000,$C78,11+3*MIN(G$3,$D$2-1)))))</f>
        <v/>
      </c>
      <c r="H78" s="130">
        <f>IF(OR($C78="",$B$2="",$D$2=0),0,IF(H$3&lt;0,0,N(INDEX('CURVA PREVISION'!$A$1:$KZ$3000,$C78,11+3*MIN(H$3,$D$2-1)))))</f>
        <v/>
      </c>
      <c r="I78" s="130">
        <f>IF(OR($C78="",$B$2="",$D$2=0),0,IF(I$3&lt;0,0,N(INDEX('CURVA PREVISION'!$A$1:$KZ$3000,$C78,11+3*MIN(I$3,$D$2-1)))))</f>
        <v/>
      </c>
      <c r="J78" s="130">
        <f>IF(OR($C78="",$B$2="",$D$2=0),0,IF(J$3&lt;0,0,N(INDEX('CURVA PREVISION'!$A$1:$KZ$3000,$C78,11+3*MIN(J$3,$D$2-1)))))</f>
        <v/>
      </c>
      <c r="K78" s="130">
        <f>IF(OR($C78="",$B$2="",$D$2=0),0,IF(K$3&lt;0,0,N(INDEX('CURVA PREVISION'!$A$1:$KZ$3000,$C78,11+3*MIN(K$3,$D$2-1)))))</f>
        <v/>
      </c>
      <c r="L78" s="130">
        <f>IF(OR($C78="",$B$2="",$D$2=0),0,IF(L$3&lt;0,0,N(INDEX('CURVA PREVISION'!$A$1:$KZ$3000,$C78,11+3*MIN(L$3,$D$2-1)))))</f>
        <v/>
      </c>
      <c r="M78" s="130">
        <f>IF(OR($C78="",$B$2="",$D$2=0),0,IF(M$3&lt;0,0,N(INDEX('CURVA PREVISION'!$A$1:$KZ$3000,$C78,11+3*MIN(M$3,$D$2-1)))))</f>
        <v/>
      </c>
      <c r="N78" s="130">
        <f>IF(OR($C78="",$B$2="",$D$2=0),0,IF(N$3&lt;0,0,N(INDEX('CURVA PREVISION'!$A$1:$KZ$3000,$C78,11+3*MIN(N$3,$D$2-1)))))</f>
        <v/>
      </c>
      <c r="O78" s="130">
        <f>IF(OR($C78="",$B$2="",$D$2=0),0,IF(O$3&lt;0,0,N(INDEX('CURVA PREVISION'!$A$1:$KZ$3000,$C78,11+3*MIN(O$3,$D$2-1)))))</f>
        <v/>
      </c>
      <c r="P78" s="130">
        <f>IF(OR($C78="",$B$2="",$D$2=0),0,IF(P$3&lt;0,0,N(INDEX('CURVA PREVISION'!$A$1:$KZ$3000,$C78,11+3*MIN(P$3,$D$2-1)))))</f>
        <v/>
      </c>
      <c r="Q78" s="130">
        <f>IF(OR($C78="",$B$2="",$D$2=0),0,IF(Q$3&lt;0,0,N(INDEX('CURVA PREVISION'!$A$1:$KZ$3000,$C78,11+3*MIN(Q$3,$D$2-1)))))</f>
        <v/>
      </c>
      <c r="R78" s="130">
        <f>IF(OR($C78="",$B$2="",$D$2=0),0,IF(R$3&lt;0,0,N(INDEX('CURVA PREVISION'!$A$1:$KZ$3000,$C78,11+3*MIN(R$3,$D$2-1)))))</f>
        <v/>
      </c>
      <c r="S78" s="130">
        <f>IF(OR($C78="",$B$2="",$D$2=0),0,IF(S$3&lt;0,0,N(INDEX('CURVA PREVISION'!$A$1:$KZ$3000,$C78,11+3*MIN(S$3,$D$2-1)))))</f>
        <v/>
      </c>
      <c r="T78" s="130">
        <f>IF(OR($C78="",$B$2="",$D$2=0),0,IF(T$3&lt;0,0,N(INDEX('CURVA PREVISION'!$A$1:$KZ$3000,$C78,11+3*MIN(T$3,$D$2-1)))))</f>
        <v/>
      </c>
      <c r="U78" s="130">
        <f>IF(OR($C78="",$B$2="",$D$2=0),0,IF(U$3&lt;0,0,N(INDEX('CURVA PREVISION'!$A$1:$KZ$3000,$C78,11+3*MIN(U$3,$D$2-1)))))</f>
        <v/>
      </c>
      <c r="V78" s="130">
        <f>IF(OR($C78="",$B$2="",$D$2=0),0,IF(V$3&lt;0,0,N(INDEX('CURVA PREVISION'!$A$1:$KZ$3000,$C78,11+3*MIN(V$3,$D$2-1)))))</f>
        <v/>
      </c>
      <c r="W78" s="130">
        <f>IF(OR($C78="",$B$2="",$D$2=0),0,IF(W$3&lt;0,0,N(INDEX('CURVA PREVISION'!$A$1:$KZ$3000,$C78,11+3*MIN(W$3,$D$2-1)))))</f>
        <v/>
      </c>
      <c r="X78" s="130">
        <f>IF(OR($C78="",$B$2="",$D$2=0),0,IF(X$3&lt;0,0,N(INDEX('CURVA PREVISION'!$A$1:$KZ$3000,$C78,11+3*MIN(X$3,$D$2-1)))))</f>
        <v/>
      </c>
      <c r="Y78" s="130">
        <f>IF(OR($C78="",$B$2="",$D$2=0),0,IF(Y$3&lt;0,0,N(INDEX('CURVA PREVISION'!$A$1:$KZ$3000,$C78,11+3*MIN(Y$3,$D$2-1)))))</f>
        <v/>
      </c>
      <c r="Z78" s="130">
        <f>IF(OR($C78="",$B$2="",$D$2=0),0,IF(Z$3&lt;0,0,N(INDEX('CURVA PREVISION'!$A$1:$KZ$3000,$C78,11+3*MIN(Z$3,$D$2-1)))))</f>
        <v/>
      </c>
      <c r="AA78" s="130">
        <f>IF(OR($C78="",$B$2="",$D$2=0),0,IF(AA$3&lt;0,0,N(INDEX('CURVA PREVISION'!$A$1:$KZ$3000,$C78,11+3*MIN(AA$3,$D$2-1)))))</f>
        <v/>
      </c>
      <c r="AB78" s="130">
        <f>IF(OR($C78="",$B$2="",$D$2=0),0,IF(AB$3&lt;0,0,N(INDEX('CURVA PREVISION'!$A$1:$KZ$3000,$C78,11+3*MIN(AB$3,$D$2-1)))))</f>
        <v/>
      </c>
      <c r="AC78" s="130">
        <f>IF(OR($C78="",$B$2="",$D$2=0),0,IF(AC$3&lt;0,0,N(INDEX('CURVA PREVISION'!$A$1:$KZ$3000,$C78,11+3*MIN(AC$3,$D$2-1)))))</f>
        <v/>
      </c>
      <c r="AD78" s="130">
        <f>IF(OR($C78="",$B$2="",$D$2=0),0,IF(AD$3&lt;0,0,N(INDEX('CURVA PREVISION'!$A$1:$KZ$3000,$C78,11+3*MIN(AD$3,$D$2-1)))))</f>
        <v/>
      </c>
      <c r="AE78" s="130">
        <f>IF(OR($C78="",$B$2="",$D$2=0),0,IF(AE$3&lt;0,0,N(INDEX('CURVA PREVISION'!$A$1:$KZ$3000,$C78,11+3*MIN(AE$3,$D$2-1)))))</f>
        <v/>
      </c>
      <c r="AF78" s="130">
        <f>IF(OR($C78="",$B$2="",$D$2=0),0,IF(AF$3&lt;0,0,N(INDEX('CURVA PREVISION'!$A$1:$KZ$3000,$C78,11+3*MIN(AF$3,$D$2-1)))))</f>
        <v/>
      </c>
      <c r="AG78" s="130">
        <f>IF(OR($C78="",$B$2="",$D$2=0),0,IF(AG$3&lt;0,0,N(INDEX('CURVA PREVISION'!$A$1:$KZ$3000,$C78,11+3*MIN(AG$3,$D$2-1)))))</f>
        <v/>
      </c>
      <c r="AH78" s="130">
        <f>IF(OR($C78="",$B$2="",$D$2=0),0,IF(AH$3&lt;0,0,N(INDEX('CURVA PREVISION'!$A$1:$KZ$3000,$C78,11+3*MIN(AH$3,$D$2-1)))))</f>
        <v/>
      </c>
      <c r="AI78" s="130">
        <f>IF(OR($C78="",$B$2="",$D$2=0),0,IF(AI$3&lt;0,0,N(INDEX('CURVA PREVISION'!$A$1:$KZ$3000,$C78,11+3*MIN(AI$3,$D$2-1)))))</f>
        <v/>
      </c>
      <c r="AJ78" s="130">
        <f>IF(OR($C78="",$B$2="",$D$2=0),0,IF(AJ$3&lt;0,0,N(INDEX('CURVA PREVISION'!$A$1:$KZ$3000,$C78,11+3*MIN(AJ$3,$D$2-1)))))</f>
        <v/>
      </c>
      <c r="AK78" s="130">
        <f>IF(OR($C78="",$B$2="",$D$2=0),0,IF(AK$3&lt;0,0,N(INDEX('CURVA PREVISION'!$A$1:$KZ$3000,$C78,11+3*MIN(AK$3,$D$2-1)))))</f>
        <v/>
      </c>
      <c r="AL78" s="130">
        <f>IF(OR($C78="",$B$2="",$D$2=0),0,IF(AL$3&lt;0,0,N(INDEX('CURVA PREVISION'!$A$1:$KZ$3000,$C78,11+3*MIN(AL$3,$D$2-1)))))</f>
        <v/>
      </c>
      <c r="AM78" s="130">
        <f>IF(OR($C78="",$B$2="",$D$2=0),0,IF(AM$3&lt;0,0,N(INDEX('CURVA PREVISION'!$A$1:$KZ$3000,$C78,11+3*MIN(AM$3,$D$2-1)))))</f>
        <v/>
      </c>
      <c r="AN78" s="130">
        <f>IF(OR($C78="",$B$2="",$D$2=0),0,IF(AN$3&lt;0,0,N(INDEX('CURVA PREVISION'!$A$1:$KZ$3000,$C78,11+3*MIN(AN$3,$D$2-1)))))</f>
        <v/>
      </c>
      <c r="AO78" s="130">
        <f>IF(OR($C78="",$B$2="",$D$2=0),0,IF(AO$3&lt;0,0,N(INDEX('CURVA PREVISION'!$A$1:$KZ$3000,$C78,11+3*MIN(AO$3,$D$2-1)))))</f>
        <v/>
      </c>
      <c r="AP78" s="130">
        <f>IF(OR($C78="",$B$2="",$D$2=0),0,IF(AP$3&lt;0,0,N(INDEX('CURVA PREVISION'!$A$1:$KZ$3000,$C78,11+3*MIN(AP$3,$D$2-1)))))</f>
        <v/>
      </c>
      <c r="AQ78" s="130">
        <f>IF(OR($C78="",$B$2="",$D$2=0),0,IF(AQ$3&lt;0,0,N(INDEX('CURVA PREVISION'!$A$1:$KZ$3000,$C78,11+3*MIN(AQ$3,$D$2-1)))))</f>
        <v/>
      </c>
      <c r="AR78" s="130">
        <f>IF(OR($C78="",$B$2="",$D$2=0),0,IF(AR$3&lt;0,0,N(INDEX('CURVA PREVISION'!$A$1:$KZ$3000,$C78,11+3*MIN(AR$3,$D$2-1)))))</f>
        <v/>
      </c>
      <c r="AS78" s="130">
        <f>IF(OR($C78="",$B$2="",$D$2=0),0,IF(AS$3&lt;0,0,N(INDEX('CURVA PREVISION'!$A$1:$KZ$3000,$C78,11+3*MIN(AS$3,$D$2-1)))))</f>
        <v/>
      </c>
      <c r="AT78" s="130">
        <f>IF(OR($C78="",$B$2="",$D$2=0),0,IF(AT$3&lt;0,0,N(INDEX('CURVA PREVISION'!$A$1:$KZ$3000,$C78,11+3*MIN(AT$3,$D$2-1)))))</f>
        <v/>
      </c>
      <c r="AU78" s="130">
        <f>IF(OR($C78="",$B$2="",$D$2=0),0,IF(AU$3&lt;0,0,N(INDEX('CURVA PREVISION'!$A$1:$KZ$3000,$C78,11+3*MIN(AU$3,$D$2-1)))))</f>
        <v/>
      </c>
      <c r="AV78" s="130">
        <f>IF(OR($C78="",$B$2="",$D$2=0),0,IF(AV$3&lt;0,0,N(INDEX('CURVA PREVISION'!$A$1:$KZ$3000,$C78,11+3*MIN(AV$3,$D$2-1)))))</f>
        <v/>
      </c>
      <c r="AW78" s="130">
        <f>IF(OR($C78="",$B$2="",$D$2=0),0,IF(AW$3&lt;0,0,N(INDEX('CURVA PREVISION'!$A$1:$KZ$3000,$C78,11+3*MIN(AW$3,$D$2-1)))))</f>
        <v/>
      </c>
      <c r="AX78" s="130">
        <f>IF(OR($C78="",$B$2="",$D$2=0),0,IF(AX$3&lt;0,0,N(INDEX('CURVA PREVISION'!$A$1:$KZ$3000,$C78,11+3*MIN(AX$3,$D$2-1)))))</f>
        <v/>
      </c>
      <c r="AY78" s="130">
        <f>IF(OR($C78="",$B$2="",$D$2=0),0,IF(AY$3&lt;0,0,N(INDEX('CURVA PREVISION'!$A$1:$KZ$3000,$C78,11+3*MIN(AY$3,$D$2-1)))))</f>
        <v/>
      </c>
      <c r="AZ78" s="130">
        <f>IF(OR($C78="",$B$2="",$D$2=0),0,IF(AZ$3&lt;0,0,N(INDEX('CURVA PREVISION'!$A$1:$KZ$3000,$C78,11+3*MIN(AZ$3,$D$2-1)))))</f>
        <v/>
      </c>
      <c r="BA78" s="130">
        <f>IF(OR($C78="",$B$2="",$D$2=0),0,IF(BA$3&lt;0,0,N(INDEX('CURVA PREVISION'!$A$1:$KZ$3000,$C78,11+3*MIN(BA$3,$D$2-1)))))</f>
        <v/>
      </c>
      <c r="BB78" s="130">
        <f>IF(OR($C78="",$B$2="",$D$2=0),0,IF(BB$3&lt;0,0,N(INDEX('CURVA PREVISION'!$A$1:$KZ$3000,$C78,11+3*MIN(BB$3,$D$2-1)))))</f>
        <v/>
      </c>
      <c r="BC78" s="130">
        <f>IF(OR($C78="",$B$2="",$D$2=0),0,IF(BC$3&lt;0,0,N(INDEX('CURVA PREVISION'!$A$1:$KZ$3000,$C78,11+3*MIN(BC$3,$D$2-1)))))</f>
        <v/>
      </c>
      <c r="BD78" s="130">
        <f>IF(OR($C78="",$B$2="",$D$2=0),0,IF(BD$3&lt;0,0,N(INDEX('CURVA PREVISION'!$A$1:$KZ$3000,$C78,11+3*MIN(BD$3,$D$2-1)))))</f>
        <v/>
      </c>
      <c r="BE78" s="130">
        <f>IF(OR($C78="",$B$2="",$D$2=0),0,IF(BE$3&lt;0,0,N(INDEX('CURVA PREVISION'!$A$1:$KZ$3000,$C78,11+3*MIN(BE$3,$D$2-1)))))</f>
        <v/>
      </c>
      <c r="BF78" s="130">
        <f>IF(OR($C78="",$B$2="",$D$2=0),0,IF(BF$3&lt;0,0,N(INDEX('CURVA PREVISION'!$A$1:$KZ$3000,$C78,11+3*MIN(BF$3,$D$2-1)))))</f>
        <v/>
      </c>
      <c r="BG78" s="130">
        <f>IF(OR($C78="",$B$2="",$D$2=0),0,IF(BG$3&lt;0,0,N(INDEX('CURVA PREVISION'!$A$1:$KZ$3000,$C78,11+3*MIN(BG$3,$D$2-1)))))</f>
        <v/>
      </c>
      <c r="BH78" s="130">
        <f>IF(OR($C78="",$B$2="",$D$2=0),0,IF(BH$3&lt;0,0,N(INDEX('CURVA PREVISION'!$A$1:$KZ$3000,$C78,11+3*MIN(BH$3,$D$2-1)))))</f>
        <v/>
      </c>
      <c r="BI78" s="130">
        <f>IF(OR($C78="",$B$2="",$D$2=0),0,IF(BI$3&lt;0,0,N(INDEX('CURVA PREVISION'!$A$1:$KZ$3000,$C78,11+3*MIN(BI$3,$D$2-1)))))</f>
        <v/>
      </c>
      <c r="BJ78" s="130">
        <f>IF(OR($C78="",$B$2="",$D$2=0),0,IF(BJ$3&lt;0,0,N(INDEX('CURVA PREVISION'!$A$1:$KZ$3000,$C78,11+3*MIN(BJ$3,$D$2-1)))))</f>
        <v/>
      </c>
      <c r="BK78" s="130">
        <f>IF(OR($C78="",$B$2="",$D$2=0),0,IF(BK$3&lt;0,0,N(INDEX('CURVA PREVISION'!$A$1:$KZ$3000,$C78,11+3*MIN(BK$3,$D$2-1)))))</f>
        <v/>
      </c>
      <c r="BL78" s="130">
        <f>IF(OR($C78="",$B$2="",$D$2=0),0,IF(BL$3&lt;0,0,N(INDEX('CURVA PREVISION'!$A$1:$KZ$3000,$C78,11+3*MIN(BL$3,$D$2-1)))))</f>
        <v/>
      </c>
      <c r="BM78" s="130">
        <f>IF(OR($C78="",$B$2="",$D$2=0),0,IF(BM$3&lt;0,0,N(INDEX('CURVA PREVISION'!$A$1:$KZ$3000,$C78,11+3*MIN(BM$3,$D$2-1)))))</f>
        <v/>
      </c>
      <c r="BN78" s="130">
        <f>IF(OR($C78="",$B$2="",$D$2=0),0,IF(BN$3&lt;0,0,N(INDEX('CURVA PREVISION'!$A$1:$KZ$3000,$C78,11+3*MIN(BN$3,$D$2-1)))))</f>
        <v/>
      </c>
      <c r="BO78" s="130">
        <f>IF(OR($C78="",$B$2="",$D$2=0),0,IF(BO$3&lt;0,0,N(INDEX('CURVA PREVISION'!$A$1:$KZ$3000,$C78,11+3*MIN(BO$3,$D$2-1)))))</f>
        <v/>
      </c>
      <c r="BP78" s="130">
        <f>IF(OR($C78="",$B$2="",$D$2=0),0,IF(BP$3&lt;0,0,N(INDEX('CURVA PREVISION'!$A$1:$KZ$3000,$C78,11+3*MIN(BP$3,$D$2-1)))))</f>
        <v/>
      </c>
      <c r="BQ78" s="130">
        <f>IF(OR($C78="",$B$2="",$D$2=0),0,IF(BQ$3&lt;0,0,N(INDEX('CURVA PREVISION'!$A$1:$KZ$3000,$C78,11+3*MIN(BQ$3,$D$2-1)))))</f>
        <v/>
      </c>
      <c r="BR78" s="130">
        <f>IF(OR($C78="",$B$2="",$D$2=0),0,IF(BR$3&lt;0,0,N(INDEX('CURVA PREVISION'!$A$1:$KZ$3000,$C78,11+3*MIN(BR$3,$D$2-1)))))</f>
        <v/>
      </c>
      <c r="BS78" s="130">
        <f>IF(OR($C78="",$B$2="",$D$2=0),0,IF(BS$3&lt;0,0,N(INDEX('CURVA PREVISION'!$A$1:$KZ$3000,$C78,11+3*MIN(BS$3,$D$2-1)))))</f>
        <v/>
      </c>
      <c r="BT78" s="130">
        <f>IF(OR($C78="",$B$2="",$D$2=0),0,IF(BT$3&lt;0,0,N(INDEX('CURVA PREVISION'!$A$1:$KZ$3000,$C78,11+3*MIN(BT$3,$D$2-1)))))</f>
        <v/>
      </c>
      <c r="BU78" s="130">
        <f>IF(OR($C78="",$B$2="",$D$2=0),0,IF(BU$3&lt;0,0,N(INDEX('CURVA PREVISION'!$A$1:$KZ$3000,$C78,11+3*MIN(BU$3,$D$2-1)))))</f>
        <v/>
      </c>
      <c r="BV78" s="130">
        <f>IF(OR($C78="",$B$2="",$D$2=0),0,IF(BV$3&lt;0,0,N(INDEX('CURVA PREVISION'!$A$1:$KZ$3000,$C78,11+3*MIN(BV$3,$D$2-1)))))</f>
        <v/>
      </c>
      <c r="BW78" s="130">
        <f>IF(OR($C78="",$B$2="",$D$2=0),0,IF(BW$3&lt;0,0,N(INDEX('CURVA PREVISION'!$A$1:$KZ$3000,$C78,11+3*MIN(BW$3,$D$2-1)))))</f>
        <v/>
      </c>
    </row>
    <row r="79">
      <c r="A79" s="61">
        <f>IF('VALOR POR PL'!Q43="",'VALOR POR PL'!C43,'VALOR POR PL'!Q43)</f>
        <v/>
      </c>
      <c r="B79" s="51">
        <f>B37</f>
        <v/>
      </c>
      <c r="C79" s="70">
        <f>IFERROR(MATCH(A79,'CURVA PREVISION'!$B$1:$B$3000,0),"")</f>
        <v/>
      </c>
      <c r="D79" s="130">
        <f>IF(OR($C79="",$B$2="",$D$2=0),0,IF(D$3&lt;0,0,N(INDEX('CURVA PREVISION'!$A$1:$KZ$3000,$C79,11+3*MIN(D$3,$D$2-1)))))</f>
        <v/>
      </c>
      <c r="E79" s="130">
        <f>IF(OR($C79="",$B$2="",$D$2=0),0,IF(E$3&lt;0,0,N(INDEX('CURVA PREVISION'!$A$1:$KZ$3000,$C79,11+3*MIN(E$3,$D$2-1)))))</f>
        <v/>
      </c>
      <c r="F79" s="130">
        <f>IF(OR($C79="",$B$2="",$D$2=0),0,IF(F$3&lt;0,0,N(INDEX('CURVA PREVISION'!$A$1:$KZ$3000,$C79,11+3*MIN(F$3,$D$2-1)))))</f>
        <v/>
      </c>
      <c r="G79" s="130">
        <f>IF(OR($C79="",$B$2="",$D$2=0),0,IF(G$3&lt;0,0,N(INDEX('CURVA PREVISION'!$A$1:$KZ$3000,$C79,11+3*MIN(G$3,$D$2-1)))))</f>
        <v/>
      </c>
      <c r="H79" s="130">
        <f>IF(OR($C79="",$B$2="",$D$2=0),0,IF(H$3&lt;0,0,N(INDEX('CURVA PREVISION'!$A$1:$KZ$3000,$C79,11+3*MIN(H$3,$D$2-1)))))</f>
        <v/>
      </c>
      <c r="I79" s="130">
        <f>IF(OR($C79="",$B$2="",$D$2=0),0,IF(I$3&lt;0,0,N(INDEX('CURVA PREVISION'!$A$1:$KZ$3000,$C79,11+3*MIN(I$3,$D$2-1)))))</f>
        <v/>
      </c>
      <c r="J79" s="130">
        <f>IF(OR($C79="",$B$2="",$D$2=0),0,IF(J$3&lt;0,0,N(INDEX('CURVA PREVISION'!$A$1:$KZ$3000,$C79,11+3*MIN(J$3,$D$2-1)))))</f>
        <v/>
      </c>
      <c r="K79" s="130">
        <f>IF(OR($C79="",$B$2="",$D$2=0),0,IF(K$3&lt;0,0,N(INDEX('CURVA PREVISION'!$A$1:$KZ$3000,$C79,11+3*MIN(K$3,$D$2-1)))))</f>
        <v/>
      </c>
      <c r="L79" s="130">
        <f>IF(OR($C79="",$B$2="",$D$2=0),0,IF(L$3&lt;0,0,N(INDEX('CURVA PREVISION'!$A$1:$KZ$3000,$C79,11+3*MIN(L$3,$D$2-1)))))</f>
        <v/>
      </c>
      <c r="M79" s="130">
        <f>IF(OR($C79="",$B$2="",$D$2=0),0,IF(M$3&lt;0,0,N(INDEX('CURVA PREVISION'!$A$1:$KZ$3000,$C79,11+3*MIN(M$3,$D$2-1)))))</f>
        <v/>
      </c>
      <c r="N79" s="130">
        <f>IF(OR($C79="",$B$2="",$D$2=0),0,IF(N$3&lt;0,0,N(INDEX('CURVA PREVISION'!$A$1:$KZ$3000,$C79,11+3*MIN(N$3,$D$2-1)))))</f>
        <v/>
      </c>
      <c r="O79" s="130">
        <f>IF(OR($C79="",$B$2="",$D$2=0),0,IF(O$3&lt;0,0,N(INDEX('CURVA PREVISION'!$A$1:$KZ$3000,$C79,11+3*MIN(O$3,$D$2-1)))))</f>
        <v/>
      </c>
      <c r="P79" s="130">
        <f>IF(OR($C79="",$B$2="",$D$2=0),0,IF(P$3&lt;0,0,N(INDEX('CURVA PREVISION'!$A$1:$KZ$3000,$C79,11+3*MIN(P$3,$D$2-1)))))</f>
        <v/>
      </c>
      <c r="Q79" s="130">
        <f>IF(OR($C79="",$B$2="",$D$2=0),0,IF(Q$3&lt;0,0,N(INDEX('CURVA PREVISION'!$A$1:$KZ$3000,$C79,11+3*MIN(Q$3,$D$2-1)))))</f>
        <v/>
      </c>
      <c r="R79" s="130">
        <f>IF(OR($C79="",$B$2="",$D$2=0),0,IF(R$3&lt;0,0,N(INDEX('CURVA PREVISION'!$A$1:$KZ$3000,$C79,11+3*MIN(R$3,$D$2-1)))))</f>
        <v/>
      </c>
      <c r="S79" s="130">
        <f>IF(OR($C79="",$B$2="",$D$2=0),0,IF(S$3&lt;0,0,N(INDEX('CURVA PREVISION'!$A$1:$KZ$3000,$C79,11+3*MIN(S$3,$D$2-1)))))</f>
        <v/>
      </c>
      <c r="T79" s="130">
        <f>IF(OR($C79="",$B$2="",$D$2=0),0,IF(T$3&lt;0,0,N(INDEX('CURVA PREVISION'!$A$1:$KZ$3000,$C79,11+3*MIN(T$3,$D$2-1)))))</f>
        <v/>
      </c>
      <c r="U79" s="130">
        <f>IF(OR($C79="",$B$2="",$D$2=0),0,IF(U$3&lt;0,0,N(INDEX('CURVA PREVISION'!$A$1:$KZ$3000,$C79,11+3*MIN(U$3,$D$2-1)))))</f>
        <v/>
      </c>
      <c r="V79" s="130">
        <f>IF(OR($C79="",$B$2="",$D$2=0),0,IF(V$3&lt;0,0,N(INDEX('CURVA PREVISION'!$A$1:$KZ$3000,$C79,11+3*MIN(V$3,$D$2-1)))))</f>
        <v/>
      </c>
      <c r="W79" s="130">
        <f>IF(OR($C79="",$B$2="",$D$2=0),0,IF(W$3&lt;0,0,N(INDEX('CURVA PREVISION'!$A$1:$KZ$3000,$C79,11+3*MIN(W$3,$D$2-1)))))</f>
        <v/>
      </c>
      <c r="X79" s="130">
        <f>IF(OR($C79="",$B$2="",$D$2=0),0,IF(X$3&lt;0,0,N(INDEX('CURVA PREVISION'!$A$1:$KZ$3000,$C79,11+3*MIN(X$3,$D$2-1)))))</f>
        <v/>
      </c>
      <c r="Y79" s="130">
        <f>IF(OR($C79="",$B$2="",$D$2=0),0,IF(Y$3&lt;0,0,N(INDEX('CURVA PREVISION'!$A$1:$KZ$3000,$C79,11+3*MIN(Y$3,$D$2-1)))))</f>
        <v/>
      </c>
      <c r="Z79" s="130">
        <f>IF(OR($C79="",$B$2="",$D$2=0),0,IF(Z$3&lt;0,0,N(INDEX('CURVA PREVISION'!$A$1:$KZ$3000,$C79,11+3*MIN(Z$3,$D$2-1)))))</f>
        <v/>
      </c>
      <c r="AA79" s="130">
        <f>IF(OR($C79="",$B$2="",$D$2=0),0,IF(AA$3&lt;0,0,N(INDEX('CURVA PREVISION'!$A$1:$KZ$3000,$C79,11+3*MIN(AA$3,$D$2-1)))))</f>
        <v/>
      </c>
      <c r="AB79" s="130">
        <f>IF(OR($C79="",$B$2="",$D$2=0),0,IF(AB$3&lt;0,0,N(INDEX('CURVA PREVISION'!$A$1:$KZ$3000,$C79,11+3*MIN(AB$3,$D$2-1)))))</f>
        <v/>
      </c>
      <c r="AC79" s="130">
        <f>IF(OR($C79="",$B$2="",$D$2=0),0,IF(AC$3&lt;0,0,N(INDEX('CURVA PREVISION'!$A$1:$KZ$3000,$C79,11+3*MIN(AC$3,$D$2-1)))))</f>
        <v/>
      </c>
      <c r="AD79" s="130">
        <f>IF(OR($C79="",$B$2="",$D$2=0),0,IF(AD$3&lt;0,0,N(INDEX('CURVA PREVISION'!$A$1:$KZ$3000,$C79,11+3*MIN(AD$3,$D$2-1)))))</f>
        <v/>
      </c>
      <c r="AE79" s="130">
        <f>IF(OR($C79="",$B$2="",$D$2=0),0,IF(AE$3&lt;0,0,N(INDEX('CURVA PREVISION'!$A$1:$KZ$3000,$C79,11+3*MIN(AE$3,$D$2-1)))))</f>
        <v/>
      </c>
      <c r="AF79" s="130">
        <f>IF(OR($C79="",$B$2="",$D$2=0),0,IF(AF$3&lt;0,0,N(INDEX('CURVA PREVISION'!$A$1:$KZ$3000,$C79,11+3*MIN(AF$3,$D$2-1)))))</f>
        <v/>
      </c>
      <c r="AG79" s="130">
        <f>IF(OR($C79="",$B$2="",$D$2=0),0,IF(AG$3&lt;0,0,N(INDEX('CURVA PREVISION'!$A$1:$KZ$3000,$C79,11+3*MIN(AG$3,$D$2-1)))))</f>
        <v/>
      </c>
      <c r="AH79" s="130">
        <f>IF(OR($C79="",$B$2="",$D$2=0),0,IF(AH$3&lt;0,0,N(INDEX('CURVA PREVISION'!$A$1:$KZ$3000,$C79,11+3*MIN(AH$3,$D$2-1)))))</f>
        <v/>
      </c>
      <c r="AI79" s="130">
        <f>IF(OR($C79="",$B$2="",$D$2=0),0,IF(AI$3&lt;0,0,N(INDEX('CURVA PREVISION'!$A$1:$KZ$3000,$C79,11+3*MIN(AI$3,$D$2-1)))))</f>
        <v/>
      </c>
      <c r="AJ79" s="130">
        <f>IF(OR($C79="",$B$2="",$D$2=0),0,IF(AJ$3&lt;0,0,N(INDEX('CURVA PREVISION'!$A$1:$KZ$3000,$C79,11+3*MIN(AJ$3,$D$2-1)))))</f>
        <v/>
      </c>
      <c r="AK79" s="130">
        <f>IF(OR($C79="",$B$2="",$D$2=0),0,IF(AK$3&lt;0,0,N(INDEX('CURVA PREVISION'!$A$1:$KZ$3000,$C79,11+3*MIN(AK$3,$D$2-1)))))</f>
        <v/>
      </c>
      <c r="AL79" s="130">
        <f>IF(OR($C79="",$B$2="",$D$2=0),0,IF(AL$3&lt;0,0,N(INDEX('CURVA PREVISION'!$A$1:$KZ$3000,$C79,11+3*MIN(AL$3,$D$2-1)))))</f>
        <v/>
      </c>
      <c r="AM79" s="130">
        <f>IF(OR($C79="",$B$2="",$D$2=0),0,IF(AM$3&lt;0,0,N(INDEX('CURVA PREVISION'!$A$1:$KZ$3000,$C79,11+3*MIN(AM$3,$D$2-1)))))</f>
        <v/>
      </c>
      <c r="AN79" s="130">
        <f>IF(OR($C79="",$B$2="",$D$2=0),0,IF(AN$3&lt;0,0,N(INDEX('CURVA PREVISION'!$A$1:$KZ$3000,$C79,11+3*MIN(AN$3,$D$2-1)))))</f>
        <v/>
      </c>
      <c r="AO79" s="130">
        <f>IF(OR($C79="",$B$2="",$D$2=0),0,IF(AO$3&lt;0,0,N(INDEX('CURVA PREVISION'!$A$1:$KZ$3000,$C79,11+3*MIN(AO$3,$D$2-1)))))</f>
        <v/>
      </c>
      <c r="AP79" s="130">
        <f>IF(OR($C79="",$B$2="",$D$2=0),0,IF(AP$3&lt;0,0,N(INDEX('CURVA PREVISION'!$A$1:$KZ$3000,$C79,11+3*MIN(AP$3,$D$2-1)))))</f>
        <v/>
      </c>
      <c r="AQ79" s="130">
        <f>IF(OR($C79="",$B$2="",$D$2=0),0,IF(AQ$3&lt;0,0,N(INDEX('CURVA PREVISION'!$A$1:$KZ$3000,$C79,11+3*MIN(AQ$3,$D$2-1)))))</f>
        <v/>
      </c>
      <c r="AR79" s="130">
        <f>IF(OR($C79="",$B$2="",$D$2=0),0,IF(AR$3&lt;0,0,N(INDEX('CURVA PREVISION'!$A$1:$KZ$3000,$C79,11+3*MIN(AR$3,$D$2-1)))))</f>
        <v/>
      </c>
      <c r="AS79" s="130">
        <f>IF(OR($C79="",$B$2="",$D$2=0),0,IF(AS$3&lt;0,0,N(INDEX('CURVA PREVISION'!$A$1:$KZ$3000,$C79,11+3*MIN(AS$3,$D$2-1)))))</f>
        <v/>
      </c>
      <c r="AT79" s="130">
        <f>IF(OR($C79="",$B$2="",$D$2=0),0,IF(AT$3&lt;0,0,N(INDEX('CURVA PREVISION'!$A$1:$KZ$3000,$C79,11+3*MIN(AT$3,$D$2-1)))))</f>
        <v/>
      </c>
      <c r="AU79" s="130">
        <f>IF(OR($C79="",$B$2="",$D$2=0),0,IF(AU$3&lt;0,0,N(INDEX('CURVA PREVISION'!$A$1:$KZ$3000,$C79,11+3*MIN(AU$3,$D$2-1)))))</f>
        <v/>
      </c>
      <c r="AV79" s="130">
        <f>IF(OR($C79="",$B$2="",$D$2=0),0,IF(AV$3&lt;0,0,N(INDEX('CURVA PREVISION'!$A$1:$KZ$3000,$C79,11+3*MIN(AV$3,$D$2-1)))))</f>
        <v/>
      </c>
      <c r="AW79" s="130">
        <f>IF(OR($C79="",$B$2="",$D$2=0),0,IF(AW$3&lt;0,0,N(INDEX('CURVA PREVISION'!$A$1:$KZ$3000,$C79,11+3*MIN(AW$3,$D$2-1)))))</f>
        <v/>
      </c>
      <c r="AX79" s="130">
        <f>IF(OR($C79="",$B$2="",$D$2=0),0,IF(AX$3&lt;0,0,N(INDEX('CURVA PREVISION'!$A$1:$KZ$3000,$C79,11+3*MIN(AX$3,$D$2-1)))))</f>
        <v/>
      </c>
      <c r="AY79" s="130">
        <f>IF(OR($C79="",$B$2="",$D$2=0),0,IF(AY$3&lt;0,0,N(INDEX('CURVA PREVISION'!$A$1:$KZ$3000,$C79,11+3*MIN(AY$3,$D$2-1)))))</f>
        <v/>
      </c>
      <c r="AZ79" s="130">
        <f>IF(OR($C79="",$B$2="",$D$2=0),0,IF(AZ$3&lt;0,0,N(INDEX('CURVA PREVISION'!$A$1:$KZ$3000,$C79,11+3*MIN(AZ$3,$D$2-1)))))</f>
        <v/>
      </c>
      <c r="BA79" s="130">
        <f>IF(OR($C79="",$B$2="",$D$2=0),0,IF(BA$3&lt;0,0,N(INDEX('CURVA PREVISION'!$A$1:$KZ$3000,$C79,11+3*MIN(BA$3,$D$2-1)))))</f>
        <v/>
      </c>
      <c r="BB79" s="130">
        <f>IF(OR($C79="",$B$2="",$D$2=0),0,IF(BB$3&lt;0,0,N(INDEX('CURVA PREVISION'!$A$1:$KZ$3000,$C79,11+3*MIN(BB$3,$D$2-1)))))</f>
        <v/>
      </c>
      <c r="BC79" s="130">
        <f>IF(OR($C79="",$B$2="",$D$2=0),0,IF(BC$3&lt;0,0,N(INDEX('CURVA PREVISION'!$A$1:$KZ$3000,$C79,11+3*MIN(BC$3,$D$2-1)))))</f>
        <v/>
      </c>
      <c r="BD79" s="130">
        <f>IF(OR($C79="",$B$2="",$D$2=0),0,IF(BD$3&lt;0,0,N(INDEX('CURVA PREVISION'!$A$1:$KZ$3000,$C79,11+3*MIN(BD$3,$D$2-1)))))</f>
        <v/>
      </c>
      <c r="BE79" s="130">
        <f>IF(OR($C79="",$B$2="",$D$2=0),0,IF(BE$3&lt;0,0,N(INDEX('CURVA PREVISION'!$A$1:$KZ$3000,$C79,11+3*MIN(BE$3,$D$2-1)))))</f>
        <v/>
      </c>
      <c r="BF79" s="130">
        <f>IF(OR($C79="",$B$2="",$D$2=0),0,IF(BF$3&lt;0,0,N(INDEX('CURVA PREVISION'!$A$1:$KZ$3000,$C79,11+3*MIN(BF$3,$D$2-1)))))</f>
        <v/>
      </c>
      <c r="BG79" s="130">
        <f>IF(OR($C79="",$B$2="",$D$2=0),0,IF(BG$3&lt;0,0,N(INDEX('CURVA PREVISION'!$A$1:$KZ$3000,$C79,11+3*MIN(BG$3,$D$2-1)))))</f>
        <v/>
      </c>
      <c r="BH79" s="130">
        <f>IF(OR($C79="",$B$2="",$D$2=0),0,IF(BH$3&lt;0,0,N(INDEX('CURVA PREVISION'!$A$1:$KZ$3000,$C79,11+3*MIN(BH$3,$D$2-1)))))</f>
        <v/>
      </c>
      <c r="BI79" s="130">
        <f>IF(OR($C79="",$B$2="",$D$2=0),0,IF(BI$3&lt;0,0,N(INDEX('CURVA PREVISION'!$A$1:$KZ$3000,$C79,11+3*MIN(BI$3,$D$2-1)))))</f>
        <v/>
      </c>
      <c r="BJ79" s="130">
        <f>IF(OR($C79="",$B$2="",$D$2=0),0,IF(BJ$3&lt;0,0,N(INDEX('CURVA PREVISION'!$A$1:$KZ$3000,$C79,11+3*MIN(BJ$3,$D$2-1)))))</f>
        <v/>
      </c>
      <c r="BK79" s="130">
        <f>IF(OR($C79="",$B$2="",$D$2=0),0,IF(BK$3&lt;0,0,N(INDEX('CURVA PREVISION'!$A$1:$KZ$3000,$C79,11+3*MIN(BK$3,$D$2-1)))))</f>
        <v/>
      </c>
      <c r="BL79" s="130">
        <f>IF(OR($C79="",$B$2="",$D$2=0),0,IF(BL$3&lt;0,0,N(INDEX('CURVA PREVISION'!$A$1:$KZ$3000,$C79,11+3*MIN(BL$3,$D$2-1)))))</f>
        <v/>
      </c>
      <c r="BM79" s="130">
        <f>IF(OR($C79="",$B$2="",$D$2=0),0,IF(BM$3&lt;0,0,N(INDEX('CURVA PREVISION'!$A$1:$KZ$3000,$C79,11+3*MIN(BM$3,$D$2-1)))))</f>
        <v/>
      </c>
      <c r="BN79" s="130">
        <f>IF(OR($C79="",$B$2="",$D$2=0),0,IF(BN$3&lt;0,0,N(INDEX('CURVA PREVISION'!$A$1:$KZ$3000,$C79,11+3*MIN(BN$3,$D$2-1)))))</f>
        <v/>
      </c>
      <c r="BO79" s="130">
        <f>IF(OR($C79="",$B$2="",$D$2=0),0,IF(BO$3&lt;0,0,N(INDEX('CURVA PREVISION'!$A$1:$KZ$3000,$C79,11+3*MIN(BO$3,$D$2-1)))))</f>
        <v/>
      </c>
      <c r="BP79" s="130">
        <f>IF(OR($C79="",$B$2="",$D$2=0),0,IF(BP$3&lt;0,0,N(INDEX('CURVA PREVISION'!$A$1:$KZ$3000,$C79,11+3*MIN(BP$3,$D$2-1)))))</f>
        <v/>
      </c>
      <c r="BQ79" s="130">
        <f>IF(OR($C79="",$B$2="",$D$2=0),0,IF(BQ$3&lt;0,0,N(INDEX('CURVA PREVISION'!$A$1:$KZ$3000,$C79,11+3*MIN(BQ$3,$D$2-1)))))</f>
        <v/>
      </c>
      <c r="BR79" s="130">
        <f>IF(OR($C79="",$B$2="",$D$2=0),0,IF(BR$3&lt;0,0,N(INDEX('CURVA PREVISION'!$A$1:$KZ$3000,$C79,11+3*MIN(BR$3,$D$2-1)))))</f>
        <v/>
      </c>
      <c r="BS79" s="130">
        <f>IF(OR($C79="",$B$2="",$D$2=0),0,IF(BS$3&lt;0,0,N(INDEX('CURVA PREVISION'!$A$1:$KZ$3000,$C79,11+3*MIN(BS$3,$D$2-1)))))</f>
        <v/>
      </c>
      <c r="BT79" s="130">
        <f>IF(OR($C79="",$B$2="",$D$2=0),0,IF(BT$3&lt;0,0,N(INDEX('CURVA PREVISION'!$A$1:$KZ$3000,$C79,11+3*MIN(BT$3,$D$2-1)))))</f>
        <v/>
      </c>
      <c r="BU79" s="130">
        <f>IF(OR($C79="",$B$2="",$D$2=0),0,IF(BU$3&lt;0,0,N(INDEX('CURVA PREVISION'!$A$1:$KZ$3000,$C79,11+3*MIN(BU$3,$D$2-1)))))</f>
        <v/>
      </c>
      <c r="BV79" s="130">
        <f>IF(OR($C79="",$B$2="",$D$2=0),0,IF(BV$3&lt;0,0,N(INDEX('CURVA PREVISION'!$A$1:$KZ$3000,$C79,11+3*MIN(BV$3,$D$2-1)))))</f>
        <v/>
      </c>
      <c r="BW79" s="130">
        <f>IF(OR($C79="",$B$2="",$D$2=0),0,IF(BW$3&lt;0,0,N(INDEX('CURVA PREVISION'!$A$1:$KZ$3000,$C79,11+3*MIN(BW$3,$D$2-1)))))</f>
        <v/>
      </c>
    </row>
    <row r="80">
      <c r="A80" s="61">
        <f>IF('VALOR POR PL'!Q44="",'VALOR POR PL'!C44,'VALOR POR PL'!Q44)</f>
        <v/>
      </c>
      <c r="B80" s="51">
        <f>B38</f>
        <v/>
      </c>
      <c r="C80" s="70">
        <f>IFERROR(MATCH(A80,'CURVA PREVISION'!$B$1:$B$3000,0),"")</f>
        <v/>
      </c>
      <c r="D80" s="130">
        <f>IF(OR($C80="",$B$2="",$D$2=0),0,IF(D$3&lt;0,0,N(INDEX('CURVA PREVISION'!$A$1:$KZ$3000,$C80,11+3*MIN(D$3,$D$2-1)))))</f>
        <v/>
      </c>
      <c r="E80" s="130">
        <f>IF(OR($C80="",$B$2="",$D$2=0),0,IF(E$3&lt;0,0,N(INDEX('CURVA PREVISION'!$A$1:$KZ$3000,$C80,11+3*MIN(E$3,$D$2-1)))))</f>
        <v/>
      </c>
      <c r="F80" s="130">
        <f>IF(OR($C80="",$B$2="",$D$2=0),0,IF(F$3&lt;0,0,N(INDEX('CURVA PREVISION'!$A$1:$KZ$3000,$C80,11+3*MIN(F$3,$D$2-1)))))</f>
        <v/>
      </c>
      <c r="G80" s="130">
        <f>IF(OR($C80="",$B$2="",$D$2=0),0,IF(G$3&lt;0,0,N(INDEX('CURVA PREVISION'!$A$1:$KZ$3000,$C80,11+3*MIN(G$3,$D$2-1)))))</f>
        <v/>
      </c>
      <c r="H80" s="130">
        <f>IF(OR($C80="",$B$2="",$D$2=0),0,IF(H$3&lt;0,0,N(INDEX('CURVA PREVISION'!$A$1:$KZ$3000,$C80,11+3*MIN(H$3,$D$2-1)))))</f>
        <v/>
      </c>
      <c r="I80" s="130">
        <f>IF(OR($C80="",$B$2="",$D$2=0),0,IF(I$3&lt;0,0,N(INDEX('CURVA PREVISION'!$A$1:$KZ$3000,$C80,11+3*MIN(I$3,$D$2-1)))))</f>
        <v/>
      </c>
      <c r="J80" s="130">
        <f>IF(OR($C80="",$B$2="",$D$2=0),0,IF(J$3&lt;0,0,N(INDEX('CURVA PREVISION'!$A$1:$KZ$3000,$C80,11+3*MIN(J$3,$D$2-1)))))</f>
        <v/>
      </c>
      <c r="K80" s="130">
        <f>IF(OR($C80="",$B$2="",$D$2=0),0,IF(K$3&lt;0,0,N(INDEX('CURVA PREVISION'!$A$1:$KZ$3000,$C80,11+3*MIN(K$3,$D$2-1)))))</f>
        <v/>
      </c>
      <c r="L80" s="130">
        <f>IF(OR($C80="",$B$2="",$D$2=0),0,IF(L$3&lt;0,0,N(INDEX('CURVA PREVISION'!$A$1:$KZ$3000,$C80,11+3*MIN(L$3,$D$2-1)))))</f>
        <v/>
      </c>
      <c r="M80" s="130">
        <f>IF(OR($C80="",$B$2="",$D$2=0),0,IF(M$3&lt;0,0,N(INDEX('CURVA PREVISION'!$A$1:$KZ$3000,$C80,11+3*MIN(M$3,$D$2-1)))))</f>
        <v/>
      </c>
      <c r="N80" s="130">
        <f>IF(OR($C80="",$B$2="",$D$2=0),0,IF(N$3&lt;0,0,N(INDEX('CURVA PREVISION'!$A$1:$KZ$3000,$C80,11+3*MIN(N$3,$D$2-1)))))</f>
        <v/>
      </c>
      <c r="O80" s="130">
        <f>IF(OR($C80="",$B$2="",$D$2=0),0,IF(O$3&lt;0,0,N(INDEX('CURVA PREVISION'!$A$1:$KZ$3000,$C80,11+3*MIN(O$3,$D$2-1)))))</f>
        <v/>
      </c>
      <c r="P80" s="130">
        <f>IF(OR($C80="",$B$2="",$D$2=0),0,IF(P$3&lt;0,0,N(INDEX('CURVA PREVISION'!$A$1:$KZ$3000,$C80,11+3*MIN(P$3,$D$2-1)))))</f>
        <v/>
      </c>
      <c r="Q80" s="130">
        <f>IF(OR($C80="",$B$2="",$D$2=0),0,IF(Q$3&lt;0,0,N(INDEX('CURVA PREVISION'!$A$1:$KZ$3000,$C80,11+3*MIN(Q$3,$D$2-1)))))</f>
        <v/>
      </c>
      <c r="R80" s="130">
        <f>IF(OR($C80="",$B$2="",$D$2=0),0,IF(R$3&lt;0,0,N(INDEX('CURVA PREVISION'!$A$1:$KZ$3000,$C80,11+3*MIN(R$3,$D$2-1)))))</f>
        <v/>
      </c>
      <c r="S80" s="130">
        <f>IF(OR($C80="",$B$2="",$D$2=0),0,IF(S$3&lt;0,0,N(INDEX('CURVA PREVISION'!$A$1:$KZ$3000,$C80,11+3*MIN(S$3,$D$2-1)))))</f>
        <v/>
      </c>
      <c r="T80" s="130">
        <f>IF(OR($C80="",$B$2="",$D$2=0),0,IF(T$3&lt;0,0,N(INDEX('CURVA PREVISION'!$A$1:$KZ$3000,$C80,11+3*MIN(T$3,$D$2-1)))))</f>
        <v/>
      </c>
      <c r="U80" s="130">
        <f>IF(OR($C80="",$B$2="",$D$2=0),0,IF(U$3&lt;0,0,N(INDEX('CURVA PREVISION'!$A$1:$KZ$3000,$C80,11+3*MIN(U$3,$D$2-1)))))</f>
        <v/>
      </c>
      <c r="V80" s="130">
        <f>IF(OR($C80="",$B$2="",$D$2=0),0,IF(V$3&lt;0,0,N(INDEX('CURVA PREVISION'!$A$1:$KZ$3000,$C80,11+3*MIN(V$3,$D$2-1)))))</f>
        <v/>
      </c>
      <c r="W80" s="130">
        <f>IF(OR($C80="",$B$2="",$D$2=0),0,IF(W$3&lt;0,0,N(INDEX('CURVA PREVISION'!$A$1:$KZ$3000,$C80,11+3*MIN(W$3,$D$2-1)))))</f>
        <v/>
      </c>
      <c r="X80" s="130">
        <f>IF(OR($C80="",$B$2="",$D$2=0),0,IF(X$3&lt;0,0,N(INDEX('CURVA PREVISION'!$A$1:$KZ$3000,$C80,11+3*MIN(X$3,$D$2-1)))))</f>
        <v/>
      </c>
      <c r="Y80" s="130">
        <f>IF(OR($C80="",$B$2="",$D$2=0),0,IF(Y$3&lt;0,0,N(INDEX('CURVA PREVISION'!$A$1:$KZ$3000,$C80,11+3*MIN(Y$3,$D$2-1)))))</f>
        <v/>
      </c>
      <c r="Z80" s="130">
        <f>IF(OR($C80="",$B$2="",$D$2=0),0,IF(Z$3&lt;0,0,N(INDEX('CURVA PREVISION'!$A$1:$KZ$3000,$C80,11+3*MIN(Z$3,$D$2-1)))))</f>
        <v/>
      </c>
      <c r="AA80" s="130">
        <f>IF(OR($C80="",$B$2="",$D$2=0),0,IF(AA$3&lt;0,0,N(INDEX('CURVA PREVISION'!$A$1:$KZ$3000,$C80,11+3*MIN(AA$3,$D$2-1)))))</f>
        <v/>
      </c>
      <c r="AB80" s="130">
        <f>IF(OR($C80="",$B$2="",$D$2=0),0,IF(AB$3&lt;0,0,N(INDEX('CURVA PREVISION'!$A$1:$KZ$3000,$C80,11+3*MIN(AB$3,$D$2-1)))))</f>
        <v/>
      </c>
      <c r="AC80" s="130">
        <f>IF(OR($C80="",$B$2="",$D$2=0),0,IF(AC$3&lt;0,0,N(INDEX('CURVA PREVISION'!$A$1:$KZ$3000,$C80,11+3*MIN(AC$3,$D$2-1)))))</f>
        <v/>
      </c>
      <c r="AD80" s="130">
        <f>IF(OR($C80="",$B$2="",$D$2=0),0,IF(AD$3&lt;0,0,N(INDEX('CURVA PREVISION'!$A$1:$KZ$3000,$C80,11+3*MIN(AD$3,$D$2-1)))))</f>
        <v/>
      </c>
      <c r="AE80" s="130">
        <f>IF(OR($C80="",$B$2="",$D$2=0),0,IF(AE$3&lt;0,0,N(INDEX('CURVA PREVISION'!$A$1:$KZ$3000,$C80,11+3*MIN(AE$3,$D$2-1)))))</f>
        <v/>
      </c>
      <c r="AF80" s="130">
        <f>IF(OR($C80="",$B$2="",$D$2=0),0,IF(AF$3&lt;0,0,N(INDEX('CURVA PREVISION'!$A$1:$KZ$3000,$C80,11+3*MIN(AF$3,$D$2-1)))))</f>
        <v/>
      </c>
      <c r="AG80" s="130">
        <f>IF(OR($C80="",$B$2="",$D$2=0),0,IF(AG$3&lt;0,0,N(INDEX('CURVA PREVISION'!$A$1:$KZ$3000,$C80,11+3*MIN(AG$3,$D$2-1)))))</f>
        <v/>
      </c>
      <c r="AH80" s="130">
        <f>IF(OR($C80="",$B$2="",$D$2=0),0,IF(AH$3&lt;0,0,N(INDEX('CURVA PREVISION'!$A$1:$KZ$3000,$C80,11+3*MIN(AH$3,$D$2-1)))))</f>
        <v/>
      </c>
      <c r="AI80" s="130">
        <f>IF(OR($C80="",$B$2="",$D$2=0),0,IF(AI$3&lt;0,0,N(INDEX('CURVA PREVISION'!$A$1:$KZ$3000,$C80,11+3*MIN(AI$3,$D$2-1)))))</f>
        <v/>
      </c>
      <c r="AJ80" s="130">
        <f>IF(OR($C80="",$B$2="",$D$2=0),0,IF(AJ$3&lt;0,0,N(INDEX('CURVA PREVISION'!$A$1:$KZ$3000,$C80,11+3*MIN(AJ$3,$D$2-1)))))</f>
        <v/>
      </c>
      <c r="AK80" s="130">
        <f>IF(OR($C80="",$B$2="",$D$2=0),0,IF(AK$3&lt;0,0,N(INDEX('CURVA PREVISION'!$A$1:$KZ$3000,$C80,11+3*MIN(AK$3,$D$2-1)))))</f>
        <v/>
      </c>
      <c r="AL80" s="130">
        <f>IF(OR($C80="",$B$2="",$D$2=0),0,IF(AL$3&lt;0,0,N(INDEX('CURVA PREVISION'!$A$1:$KZ$3000,$C80,11+3*MIN(AL$3,$D$2-1)))))</f>
        <v/>
      </c>
      <c r="AM80" s="130">
        <f>IF(OR($C80="",$B$2="",$D$2=0),0,IF(AM$3&lt;0,0,N(INDEX('CURVA PREVISION'!$A$1:$KZ$3000,$C80,11+3*MIN(AM$3,$D$2-1)))))</f>
        <v/>
      </c>
      <c r="AN80" s="130">
        <f>IF(OR($C80="",$B$2="",$D$2=0),0,IF(AN$3&lt;0,0,N(INDEX('CURVA PREVISION'!$A$1:$KZ$3000,$C80,11+3*MIN(AN$3,$D$2-1)))))</f>
        <v/>
      </c>
      <c r="AO80" s="130">
        <f>IF(OR($C80="",$B$2="",$D$2=0),0,IF(AO$3&lt;0,0,N(INDEX('CURVA PREVISION'!$A$1:$KZ$3000,$C80,11+3*MIN(AO$3,$D$2-1)))))</f>
        <v/>
      </c>
      <c r="AP80" s="130">
        <f>IF(OR($C80="",$B$2="",$D$2=0),0,IF(AP$3&lt;0,0,N(INDEX('CURVA PREVISION'!$A$1:$KZ$3000,$C80,11+3*MIN(AP$3,$D$2-1)))))</f>
        <v/>
      </c>
      <c r="AQ80" s="130">
        <f>IF(OR($C80="",$B$2="",$D$2=0),0,IF(AQ$3&lt;0,0,N(INDEX('CURVA PREVISION'!$A$1:$KZ$3000,$C80,11+3*MIN(AQ$3,$D$2-1)))))</f>
        <v/>
      </c>
      <c r="AR80" s="130">
        <f>IF(OR($C80="",$B$2="",$D$2=0),0,IF(AR$3&lt;0,0,N(INDEX('CURVA PREVISION'!$A$1:$KZ$3000,$C80,11+3*MIN(AR$3,$D$2-1)))))</f>
        <v/>
      </c>
      <c r="AS80" s="130">
        <f>IF(OR($C80="",$B$2="",$D$2=0),0,IF(AS$3&lt;0,0,N(INDEX('CURVA PREVISION'!$A$1:$KZ$3000,$C80,11+3*MIN(AS$3,$D$2-1)))))</f>
        <v/>
      </c>
      <c r="AT80" s="130">
        <f>IF(OR($C80="",$B$2="",$D$2=0),0,IF(AT$3&lt;0,0,N(INDEX('CURVA PREVISION'!$A$1:$KZ$3000,$C80,11+3*MIN(AT$3,$D$2-1)))))</f>
        <v/>
      </c>
      <c r="AU80" s="130">
        <f>IF(OR($C80="",$B$2="",$D$2=0),0,IF(AU$3&lt;0,0,N(INDEX('CURVA PREVISION'!$A$1:$KZ$3000,$C80,11+3*MIN(AU$3,$D$2-1)))))</f>
        <v/>
      </c>
      <c r="AV80" s="130">
        <f>IF(OR($C80="",$B$2="",$D$2=0),0,IF(AV$3&lt;0,0,N(INDEX('CURVA PREVISION'!$A$1:$KZ$3000,$C80,11+3*MIN(AV$3,$D$2-1)))))</f>
        <v/>
      </c>
      <c r="AW80" s="130">
        <f>IF(OR($C80="",$B$2="",$D$2=0),0,IF(AW$3&lt;0,0,N(INDEX('CURVA PREVISION'!$A$1:$KZ$3000,$C80,11+3*MIN(AW$3,$D$2-1)))))</f>
        <v/>
      </c>
      <c r="AX80" s="130">
        <f>IF(OR($C80="",$B$2="",$D$2=0),0,IF(AX$3&lt;0,0,N(INDEX('CURVA PREVISION'!$A$1:$KZ$3000,$C80,11+3*MIN(AX$3,$D$2-1)))))</f>
        <v/>
      </c>
      <c r="AY80" s="130">
        <f>IF(OR($C80="",$B$2="",$D$2=0),0,IF(AY$3&lt;0,0,N(INDEX('CURVA PREVISION'!$A$1:$KZ$3000,$C80,11+3*MIN(AY$3,$D$2-1)))))</f>
        <v/>
      </c>
      <c r="AZ80" s="130">
        <f>IF(OR($C80="",$B$2="",$D$2=0),0,IF(AZ$3&lt;0,0,N(INDEX('CURVA PREVISION'!$A$1:$KZ$3000,$C80,11+3*MIN(AZ$3,$D$2-1)))))</f>
        <v/>
      </c>
      <c r="BA80" s="130">
        <f>IF(OR($C80="",$B$2="",$D$2=0),0,IF(BA$3&lt;0,0,N(INDEX('CURVA PREVISION'!$A$1:$KZ$3000,$C80,11+3*MIN(BA$3,$D$2-1)))))</f>
        <v/>
      </c>
      <c r="BB80" s="130">
        <f>IF(OR($C80="",$B$2="",$D$2=0),0,IF(BB$3&lt;0,0,N(INDEX('CURVA PREVISION'!$A$1:$KZ$3000,$C80,11+3*MIN(BB$3,$D$2-1)))))</f>
        <v/>
      </c>
      <c r="BC80" s="130">
        <f>IF(OR($C80="",$B$2="",$D$2=0),0,IF(BC$3&lt;0,0,N(INDEX('CURVA PREVISION'!$A$1:$KZ$3000,$C80,11+3*MIN(BC$3,$D$2-1)))))</f>
        <v/>
      </c>
      <c r="BD80" s="130">
        <f>IF(OR($C80="",$B$2="",$D$2=0),0,IF(BD$3&lt;0,0,N(INDEX('CURVA PREVISION'!$A$1:$KZ$3000,$C80,11+3*MIN(BD$3,$D$2-1)))))</f>
        <v/>
      </c>
      <c r="BE80" s="130">
        <f>IF(OR($C80="",$B$2="",$D$2=0),0,IF(BE$3&lt;0,0,N(INDEX('CURVA PREVISION'!$A$1:$KZ$3000,$C80,11+3*MIN(BE$3,$D$2-1)))))</f>
        <v/>
      </c>
      <c r="BF80" s="130">
        <f>IF(OR($C80="",$B$2="",$D$2=0),0,IF(BF$3&lt;0,0,N(INDEX('CURVA PREVISION'!$A$1:$KZ$3000,$C80,11+3*MIN(BF$3,$D$2-1)))))</f>
        <v/>
      </c>
      <c r="BG80" s="130">
        <f>IF(OR($C80="",$B$2="",$D$2=0),0,IF(BG$3&lt;0,0,N(INDEX('CURVA PREVISION'!$A$1:$KZ$3000,$C80,11+3*MIN(BG$3,$D$2-1)))))</f>
        <v/>
      </c>
      <c r="BH80" s="130">
        <f>IF(OR($C80="",$B$2="",$D$2=0),0,IF(BH$3&lt;0,0,N(INDEX('CURVA PREVISION'!$A$1:$KZ$3000,$C80,11+3*MIN(BH$3,$D$2-1)))))</f>
        <v/>
      </c>
      <c r="BI80" s="130">
        <f>IF(OR($C80="",$B$2="",$D$2=0),0,IF(BI$3&lt;0,0,N(INDEX('CURVA PREVISION'!$A$1:$KZ$3000,$C80,11+3*MIN(BI$3,$D$2-1)))))</f>
        <v/>
      </c>
      <c r="BJ80" s="130">
        <f>IF(OR($C80="",$B$2="",$D$2=0),0,IF(BJ$3&lt;0,0,N(INDEX('CURVA PREVISION'!$A$1:$KZ$3000,$C80,11+3*MIN(BJ$3,$D$2-1)))))</f>
        <v/>
      </c>
      <c r="BK80" s="130">
        <f>IF(OR($C80="",$B$2="",$D$2=0),0,IF(BK$3&lt;0,0,N(INDEX('CURVA PREVISION'!$A$1:$KZ$3000,$C80,11+3*MIN(BK$3,$D$2-1)))))</f>
        <v/>
      </c>
      <c r="BL80" s="130">
        <f>IF(OR($C80="",$B$2="",$D$2=0),0,IF(BL$3&lt;0,0,N(INDEX('CURVA PREVISION'!$A$1:$KZ$3000,$C80,11+3*MIN(BL$3,$D$2-1)))))</f>
        <v/>
      </c>
      <c r="BM80" s="130">
        <f>IF(OR($C80="",$B$2="",$D$2=0),0,IF(BM$3&lt;0,0,N(INDEX('CURVA PREVISION'!$A$1:$KZ$3000,$C80,11+3*MIN(BM$3,$D$2-1)))))</f>
        <v/>
      </c>
      <c r="BN80" s="130">
        <f>IF(OR($C80="",$B$2="",$D$2=0),0,IF(BN$3&lt;0,0,N(INDEX('CURVA PREVISION'!$A$1:$KZ$3000,$C80,11+3*MIN(BN$3,$D$2-1)))))</f>
        <v/>
      </c>
      <c r="BO80" s="130">
        <f>IF(OR($C80="",$B$2="",$D$2=0),0,IF(BO$3&lt;0,0,N(INDEX('CURVA PREVISION'!$A$1:$KZ$3000,$C80,11+3*MIN(BO$3,$D$2-1)))))</f>
        <v/>
      </c>
      <c r="BP80" s="130">
        <f>IF(OR($C80="",$B$2="",$D$2=0),0,IF(BP$3&lt;0,0,N(INDEX('CURVA PREVISION'!$A$1:$KZ$3000,$C80,11+3*MIN(BP$3,$D$2-1)))))</f>
        <v/>
      </c>
      <c r="BQ80" s="130">
        <f>IF(OR($C80="",$B$2="",$D$2=0),0,IF(BQ$3&lt;0,0,N(INDEX('CURVA PREVISION'!$A$1:$KZ$3000,$C80,11+3*MIN(BQ$3,$D$2-1)))))</f>
        <v/>
      </c>
      <c r="BR80" s="130">
        <f>IF(OR($C80="",$B$2="",$D$2=0),0,IF(BR$3&lt;0,0,N(INDEX('CURVA PREVISION'!$A$1:$KZ$3000,$C80,11+3*MIN(BR$3,$D$2-1)))))</f>
        <v/>
      </c>
      <c r="BS80" s="130">
        <f>IF(OR($C80="",$B$2="",$D$2=0),0,IF(BS$3&lt;0,0,N(INDEX('CURVA PREVISION'!$A$1:$KZ$3000,$C80,11+3*MIN(BS$3,$D$2-1)))))</f>
        <v/>
      </c>
      <c r="BT80" s="130">
        <f>IF(OR($C80="",$B$2="",$D$2=0),0,IF(BT$3&lt;0,0,N(INDEX('CURVA PREVISION'!$A$1:$KZ$3000,$C80,11+3*MIN(BT$3,$D$2-1)))))</f>
        <v/>
      </c>
      <c r="BU80" s="130">
        <f>IF(OR($C80="",$B$2="",$D$2=0),0,IF(BU$3&lt;0,0,N(INDEX('CURVA PREVISION'!$A$1:$KZ$3000,$C80,11+3*MIN(BU$3,$D$2-1)))))</f>
        <v/>
      </c>
      <c r="BV80" s="130">
        <f>IF(OR($C80="",$B$2="",$D$2=0),0,IF(BV$3&lt;0,0,N(INDEX('CURVA PREVISION'!$A$1:$KZ$3000,$C80,11+3*MIN(BV$3,$D$2-1)))))</f>
        <v/>
      </c>
      <c r="BW80" s="130">
        <f>IF(OR($C80="",$B$2="",$D$2=0),0,IF(BW$3&lt;0,0,N(INDEX('CURVA PREVISION'!$A$1:$KZ$3000,$C80,11+3*MIN(BW$3,$D$2-1)))))</f>
        <v/>
      </c>
    </row>
    <row r="81">
      <c r="A81" s="61">
        <f>IF('VALOR POR PL'!Q45="",'VALOR POR PL'!C45,'VALOR POR PL'!Q45)</f>
        <v/>
      </c>
      <c r="B81" s="51">
        <f>B39</f>
        <v/>
      </c>
      <c r="C81" s="70">
        <f>IFERROR(MATCH(A81,'CURVA PREVISION'!$B$1:$B$3000,0),"")</f>
        <v/>
      </c>
      <c r="D81" s="130">
        <f>IF(OR($C81="",$B$2="",$D$2=0),0,IF(D$3&lt;0,0,N(INDEX('CURVA PREVISION'!$A$1:$KZ$3000,$C81,11+3*MIN(D$3,$D$2-1)))))</f>
        <v/>
      </c>
      <c r="E81" s="130">
        <f>IF(OR($C81="",$B$2="",$D$2=0),0,IF(E$3&lt;0,0,N(INDEX('CURVA PREVISION'!$A$1:$KZ$3000,$C81,11+3*MIN(E$3,$D$2-1)))))</f>
        <v/>
      </c>
      <c r="F81" s="130">
        <f>IF(OR($C81="",$B$2="",$D$2=0),0,IF(F$3&lt;0,0,N(INDEX('CURVA PREVISION'!$A$1:$KZ$3000,$C81,11+3*MIN(F$3,$D$2-1)))))</f>
        <v/>
      </c>
      <c r="G81" s="130">
        <f>IF(OR($C81="",$B$2="",$D$2=0),0,IF(G$3&lt;0,0,N(INDEX('CURVA PREVISION'!$A$1:$KZ$3000,$C81,11+3*MIN(G$3,$D$2-1)))))</f>
        <v/>
      </c>
      <c r="H81" s="130">
        <f>IF(OR($C81="",$B$2="",$D$2=0),0,IF(H$3&lt;0,0,N(INDEX('CURVA PREVISION'!$A$1:$KZ$3000,$C81,11+3*MIN(H$3,$D$2-1)))))</f>
        <v/>
      </c>
      <c r="I81" s="130">
        <f>IF(OR($C81="",$B$2="",$D$2=0),0,IF(I$3&lt;0,0,N(INDEX('CURVA PREVISION'!$A$1:$KZ$3000,$C81,11+3*MIN(I$3,$D$2-1)))))</f>
        <v/>
      </c>
      <c r="J81" s="130">
        <f>IF(OR($C81="",$B$2="",$D$2=0),0,IF(J$3&lt;0,0,N(INDEX('CURVA PREVISION'!$A$1:$KZ$3000,$C81,11+3*MIN(J$3,$D$2-1)))))</f>
        <v/>
      </c>
      <c r="K81" s="130">
        <f>IF(OR($C81="",$B$2="",$D$2=0),0,IF(K$3&lt;0,0,N(INDEX('CURVA PREVISION'!$A$1:$KZ$3000,$C81,11+3*MIN(K$3,$D$2-1)))))</f>
        <v/>
      </c>
      <c r="L81" s="130">
        <f>IF(OR($C81="",$B$2="",$D$2=0),0,IF(L$3&lt;0,0,N(INDEX('CURVA PREVISION'!$A$1:$KZ$3000,$C81,11+3*MIN(L$3,$D$2-1)))))</f>
        <v/>
      </c>
      <c r="M81" s="130">
        <f>IF(OR($C81="",$B$2="",$D$2=0),0,IF(M$3&lt;0,0,N(INDEX('CURVA PREVISION'!$A$1:$KZ$3000,$C81,11+3*MIN(M$3,$D$2-1)))))</f>
        <v/>
      </c>
      <c r="N81" s="130">
        <f>IF(OR($C81="",$B$2="",$D$2=0),0,IF(N$3&lt;0,0,N(INDEX('CURVA PREVISION'!$A$1:$KZ$3000,$C81,11+3*MIN(N$3,$D$2-1)))))</f>
        <v/>
      </c>
      <c r="O81" s="130">
        <f>IF(OR($C81="",$B$2="",$D$2=0),0,IF(O$3&lt;0,0,N(INDEX('CURVA PREVISION'!$A$1:$KZ$3000,$C81,11+3*MIN(O$3,$D$2-1)))))</f>
        <v/>
      </c>
      <c r="P81" s="130">
        <f>IF(OR($C81="",$B$2="",$D$2=0),0,IF(P$3&lt;0,0,N(INDEX('CURVA PREVISION'!$A$1:$KZ$3000,$C81,11+3*MIN(P$3,$D$2-1)))))</f>
        <v/>
      </c>
      <c r="Q81" s="130">
        <f>IF(OR($C81="",$B$2="",$D$2=0),0,IF(Q$3&lt;0,0,N(INDEX('CURVA PREVISION'!$A$1:$KZ$3000,$C81,11+3*MIN(Q$3,$D$2-1)))))</f>
        <v/>
      </c>
      <c r="R81" s="130">
        <f>IF(OR($C81="",$B$2="",$D$2=0),0,IF(R$3&lt;0,0,N(INDEX('CURVA PREVISION'!$A$1:$KZ$3000,$C81,11+3*MIN(R$3,$D$2-1)))))</f>
        <v/>
      </c>
      <c r="S81" s="130">
        <f>IF(OR($C81="",$B$2="",$D$2=0),0,IF(S$3&lt;0,0,N(INDEX('CURVA PREVISION'!$A$1:$KZ$3000,$C81,11+3*MIN(S$3,$D$2-1)))))</f>
        <v/>
      </c>
      <c r="T81" s="130">
        <f>IF(OR($C81="",$B$2="",$D$2=0),0,IF(T$3&lt;0,0,N(INDEX('CURVA PREVISION'!$A$1:$KZ$3000,$C81,11+3*MIN(T$3,$D$2-1)))))</f>
        <v/>
      </c>
      <c r="U81" s="130">
        <f>IF(OR($C81="",$B$2="",$D$2=0),0,IF(U$3&lt;0,0,N(INDEX('CURVA PREVISION'!$A$1:$KZ$3000,$C81,11+3*MIN(U$3,$D$2-1)))))</f>
        <v/>
      </c>
      <c r="V81" s="130">
        <f>IF(OR($C81="",$B$2="",$D$2=0),0,IF(V$3&lt;0,0,N(INDEX('CURVA PREVISION'!$A$1:$KZ$3000,$C81,11+3*MIN(V$3,$D$2-1)))))</f>
        <v/>
      </c>
      <c r="W81" s="130">
        <f>IF(OR($C81="",$B$2="",$D$2=0),0,IF(W$3&lt;0,0,N(INDEX('CURVA PREVISION'!$A$1:$KZ$3000,$C81,11+3*MIN(W$3,$D$2-1)))))</f>
        <v/>
      </c>
      <c r="X81" s="130">
        <f>IF(OR($C81="",$B$2="",$D$2=0),0,IF(X$3&lt;0,0,N(INDEX('CURVA PREVISION'!$A$1:$KZ$3000,$C81,11+3*MIN(X$3,$D$2-1)))))</f>
        <v/>
      </c>
      <c r="Y81" s="130">
        <f>IF(OR($C81="",$B$2="",$D$2=0),0,IF(Y$3&lt;0,0,N(INDEX('CURVA PREVISION'!$A$1:$KZ$3000,$C81,11+3*MIN(Y$3,$D$2-1)))))</f>
        <v/>
      </c>
      <c r="Z81" s="130">
        <f>IF(OR($C81="",$B$2="",$D$2=0),0,IF(Z$3&lt;0,0,N(INDEX('CURVA PREVISION'!$A$1:$KZ$3000,$C81,11+3*MIN(Z$3,$D$2-1)))))</f>
        <v/>
      </c>
      <c r="AA81" s="130">
        <f>IF(OR($C81="",$B$2="",$D$2=0),0,IF(AA$3&lt;0,0,N(INDEX('CURVA PREVISION'!$A$1:$KZ$3000,$C81,11+3*MIN(AA$3,$D$2-1)))))</f>
        <v/>
      </c>
      <c r="AB81" s="130">
        <f>IF(OR($C81="",$B$2="",$D$2=0),0,IF(AB$3&lt;0,0,N(INDEX('CURVA PREVISION'!$A$1:$KZ$3000,$C81,11+3*MIN(AB$3,$D$2-1)))))</f>
        <v/>
      </c>
      <c r="AC81" s="130">
        <f>IF(OR($C81="",$B$2="",$D$2=0),0,IF(AC$3&lt;0,0,N(INDEX('CURVA PREVISION'!$A$1:$KZ$3000,$C81,11+3*MIN(AC$3,$D$2-1)))))</f>
        <v/>
      </c>
      <c r="AD81" s="130">
        <f>IF(OR($C81="",$B$2="",$D$2=0),0,IF(AD$3&lt;0,0,N(INDEX('CURVA PREVISION'!$A$1:$KZ$3000,$C81,11+3*MIN(AD$3,$D$2-1)))))</f>
        <v/>
      </c>
      <c r="AE81" s="130">
        <f>IF(OR($C81="",$B$2="",$D$2=0),0,IF(AE$3&lt;0,0,N(INDEX('CURVA PREVISION'!$A$1:$KZ$3000,$C81,11+3*MIN(AE$3,$D$2-1)))))</f>
        <v/>
      </c>
      <c r="AF81" s="130">
        <f>IF(OR($C81="",$B$2="",$D$2=0),0,IF(AF$3&lt;0,0,N(INDEX('CURVA PREVISION'!$A$1:$KZ$3000,$C81,11+3*MIN(AF$3,$D$2-1)))))</f>
        <v/>
      </c>
      <c r="AG81" s="130">
        <f>IF(OR($C81="",$B$2="",$D$2=0),0,IF(AG$3&lt;0,0,N(INDEX('CURVA PREVISION'!$A$1:$KZ$3000,$C81,11+3*MIN(AG$3,$D$2-1)))))</f>
        <v/>
      </c>
      <c r="AH81" s="130">
        <f>IF(OR($C81="",$B$2="",$D$2=0),0,IF(AH$3&lt;0,0,N(INDEX('CURVA PREVISION'!$A$1:$KZ$3000,$C81,11+3*MIN(AH$3,$D$2-1)))))</f>
        <v/>
      </c>
      <c r="AI81" s="130">
        <f>IF(OR($C81="",$B$2="",$D$2=0),0,IF(AI$3&lt;0,0,N(INDEX('CURVA PREVISION'!$A$1:$KZ$3000,$C81,11+3*MIN(AI$3,$D$2-1)))))</f>
        <v/>
      </c>
      <c r="AJ81" s="130">
        <f>IF(OR($C81="",$B$2="",$D$2=0),0,IF(AJ$3&lt;0,0,N(INDEX('CURVA PREVISION'!$A$1:$KZ$3000,$C81,11+3*MIN(AJ$3,$D$2-1)))))</f>
        <v/>
      </c>
      <c r="AK81" s="130">
        <f>IF(OR($C81="",$B$2="",$D$2=0),0,IF(AK$3&lt;0,0,N(INDEX('CURVA PREVISION'!$A$1:$KZ$3000,$C81,11+3*MIN(AK$3,$D$2-1)))))</f>
        <v/>
      </c>
      <c r="AL81" s="130">
        <f>IF(OR($C81="",$B$2="",$D$2=0),0,IF(AL$3&lt;0,0,N(INDEX('CURVA PREVISION'!$A$1:$KZ$3000,$C81,11+3*MIN(AL$3,$D$2-1)))))</f>
        <v/>
      </c>
      <c r="AM81" s="130">
        <f>IF(OR($C81="",$B$2="",$D$2=0),0,IF(AM$3&lt;0,0,N(INDEX('CURVA PREVISION'!$A$1:$KZ$3000,$C81,11+3*MIN(AM$3,$D$2-1)))))</f>
        <v/>
      </c>
      <c r="AN81" s="130">
        <f>IF(OR($C81="",$B$2="",$D$2=0),0,IF(AN$3&lt;0,0,N(INDEX('CURVA PREVISION'!$A$1:$KZ$3000,$C81,11+3*MIN(AN$3,$D$2-1)))))</f>
        <v/>
      </c>
      <c r="AO81" s="130">
        <f>IF(OR($C81="",$B$2="",$D$2=0),0,IF(AO$3&lt;0,0,N(INDEX('CURVA PREVISION'!$A$1:$KZ$3000,$C81,11+3*MIN(AO$3,$D$2-1)))))</f>
        <v/>
      </c>
      <c r="AP81" s="130">
        <f>IF(OR($C81="",$B$2="",$D$2=0),0,IF(AP$3&lt;0,0,N(INDEX('CURVA PREVISION'!$A$1:$KZ$3000,$C81,11+3*MIN(AP$3,$D$2-1)))))</f>
        <v/>
      </c>
      <c r="AQ81" s="130">
        <f>IF(OR($C81="",$B$2="",$D$2=0),0,IF(AQ$3&lt;0,0,N(INDEX('CURVA PREVISION'!$A$1:$KZ$3000,$C81,11+3*MIN(AQ$3,$D$2-1)))))</f>
        <v/>
      </c>
      <c r="AR81" s="130">
        <f>IF(OR($C81="",$B$2="",$D$2=0),0,IF(AR$3&lt;0,0,N(INDEX('CURVA PREVISION'!$A$1:$KZ$3000,$C81,11+3*MIN(AR$3,$D$2-1)))))</f>
        <v/>
      </c>
      <c r="AS81" s="130">
        <f>IF(OR($C81="",$B$2="",$D$2=0),0,IF(AS$3&lt;0,0,N(INDEX('CURVA PREVISION'!$A$1:$KZ$3000,$C81,11+3*MIN(AS$3,$D$2-1)))))</f>
        <v/>
      </c>
      <c r="AT81" s="130">
        <f>IF(OR($C81="",$B$2="",$D$2=0),0,IF(AT$3&lt;0,0,N(INDEX('CURVA PREVISION'!$A$1:$KZ$3000,$C81,11+3*MIN(AT$3,$D$2-1)))))</f>
        <v/>
      </c>
      <c r="AU81" s="130">
        <f>IF(OR($C81="",$B$2="",$D$2=0),0,IF(AU$3&lt;0,0,N(INDEX('CURVA PREVISION'!$A$1:$KZ$3000,$C81,11+3*MIN(AU$3,$D$2-1)))))</f>
        <v/>
      </c>
      <c r="AV81" s="130">
        <f>IF(OR($C81="",$B$2="",$D$2=0),0,IF(AV$3&lt;0,0,N(INDEX('CURVA PREVISION'!$A$1:$KZ$3000,$C81,11+3*MIN(AV$3,$D$2-1)))))</f>
        <v/>
      </c>
      <c r="AW81" s="130">
        <f>IF(OR($C81="",$B$2="",$D$2=0),0,IF(AW$3&lt;0,0,N(INDEX('CURVA PREVISION'!$A$1:$KZ$3000,$C81,11+3*MIN(AW$3,$D$2-1)))))</f>
        <v/>
      </c>
      <c r="AX81" s="130">
        <f>IF(OR($C81="",$B$2="",$D$2=0),0,IF(AX$3&lt;0,0,N(INDEX('CURVA PREVISION'!$A$1:$KZ$3000,$C81,11+3*MIN(AX$3,$D$2-1)))))</f>
        <v/>
      </c>
      <c r="AY81" s="130">
        <f>IF(OR($C81="",$B$2="",$D$2=0),0,IF(AY$3&lt;0,0,N(INDEX('CURVA PREVISION'!$A$1:$KZ$3000,$C81,11+3*MIN(AY$3,$D$2-1)))))</f>
        <v/>
      </c>
      <c r="AZ81" s="130">
        <f>IF(OR($C81="",$B$2="",$D$2=0),0,IF(AZ$3&lt;0,0,N(INDEX('CURVA PREVISION'!$A$1:$KZ$3000,$C81,11+3*MIN(AZ$3,$D$2-1)))))</f>
        <v/>
      </c>
      <c r="BA81" s="130">
        <f>IF(OR($C81="",$B$2="",$D$2=0),0,IF(BA$3&lt;0,0,N(INDEX('CURVA PREVISION'!$A$1:$KZ$3000,$C81,11+3*MIN(BA$3,$D$2-1)))))</f>
        <v/>
      </c>
      <c r="BB81" s="130">
        <f>IF(OR($C81="",$B$2="",$D$2=0),0,IF(BB$3&lt;0,0,N(INDEX('CURVA PREVISION'!$A$1:$KZ$3000,$C81,11+3*MIN(BB$3,$D$2-1)))))</f>
        <v/>
      </c>
      <c r="BC81" s="130">
        <f>IF(OR($C81="",$B$2="",$D$2=0),0,IF(BC$3&lt;0,0,N(INDEX('CURVA PREVISION'!$A$1:$KZ$3000,$C81,11+3*MIN(BC$3,$D$2-1)))))</f>
        <v/>
      </c>
      <c r="BD81" s="130">
        <f>IF(OR($C81="",$B$2="",$D$2=0),0,IF(BD$3&lt;0,0,N(INDEX('CURVA PREVISION'!$A$1:$KZ$3000,$C81,11+3*MIN(BD$3,$D$2-1)))))</f>
        <v/>
      </c>
      <c r="BE81" s="130">
        <f>IF(OR($C81="",$B$2="",$D$2=0),0,IF(BE$3&lt;0,0,N(INDEX('CURVA PREVISION'!$A$1:$KZ$3000,$C81,11+3*MIN(BE$3,$D$2-1)))))</f>
        <v/>
      </c>
      <c r="BF81" s="130">
        <f>IF(OR($C81="",$B$2="",$D$2=0),0,IF(BF$3&lt;0,0,N(INDEX('CURVA PREVISION'!$A$1:$KZ$3000,$C81,11+3*MIN(BF$3,$D$2-1)))))</f>
        <v/>
      </c>
      <c r="BG81" s="130">
        <f>IF(OR($C81="",$B$2="",$D$2=0),0,IF(BG$3&lt;0,0,N(INDEX('CURVA PREVISION'!$A$1:$KZ$3000,$C81,11+3*MIN(BG$3,$D$2-1)))))</f>
        <v/>
      </c>
      <c r="BH81" s="130">
        <f>IF(OR($C81="",$B$2="",$D$2=0),0,IF(BH$3&lt;0,0,N(INDEX('CURVA PREVISION'!$A$1:$KZ$3000,$C81,11+3*MIN(BH$3,$D$2-1)))))</f>
        <v/>
      </c>
      <c r="BI81" s="130">
        <f>IF(OR($C81="",$B$2="",$D$2=0),0,IF(BI$3&lt;0,0,N(INDEX('CURVA PREVISION'!$A$1:$KZ$3000,$C81,11+3*MIN(BI$3,$D$2-1)))))</f>
        <v/>
      </c>
      <c r="BJ81" s="130">
        <f>IF(OR($C81="",$B$2="",$D$2=0),0,IF(BJ$3&lt;0,0,N(INDEX('CURVA PREVISION'!$A$1:$KZ$3000,$C81,11+3*MIN(BJ$3,$D$2-1)))))</f>
        <v/>
      </c>
      <c r="BK81" s="130">
        <f>IF(OR($C81="",$B$2="",$D$2=0),0,IF(BK$3&lt;0,0,N(INDEX('CURVA PREVISION'!$A$1:$KZ$3000,$C81,11+3*MIN(BK$3,$D$2-1)))))</f>
        <v/>
      </c>
      <c r="BL81" s="130">
        <f>IF(OR($C81="",$B$2="",$D$2=0),0,IF(BL$3&lt;0,0,N(INDEX('CURVA PREVISION'!$A$1:$KZ$3000,$C81,11+3*MIN(BL$3,$D$2-1)))))</f>
        <v/>
      </c>
      <c r="BM81" s="130">
        <f>IF(OR($C81="",$B$2="",$D$2=0),0,IF(BM$3&lt;0,0,N(INDEX('CURVA PREVISION'!$A$1:$KZ$3000,$C81,11+3*MIN(BM$3,$D$2-1)))))</f>
        <v/>
      </c>
      <c r="BN81" s="130">
        <f>IF(OR($C81="",$B$2="",$D$2=0),0,IF(BN$3&lt;0,0,N(INDEX('CURVA PREVISION'!$A$1:$KZ$3000,$C81,11+3*MIN(BN$3,$D$2-1)))))</f>
        <v/>
      </c>
      <c r="BO81" s="130">
        <f>IF(OR($C81="",$B$2="",$D$2=0),0,IF(BO$3&lt;0,0,N(INDEX('CURVA PREVISION'!$A$1:$KZ$3000,$C81,11+3*MIN(BO$3,$D$2-1)))))</f>
        <v/>
      </c>
      <c r="BP81" s="130">
        <f>IF(OR($C81="",$B$2="",$D$2=0),0,IF(BP$3&lt;0,0,N(INDEX('CURVA PREVISION'!$A$1:$KZ$3000,$C81,11+3*MIN(BP$3,$D$2-1)))))</f>
        <v/>
      </c>
      <c r="BQ81" s="130">
        <f>IF(OR($C81="",$B$2="",$D$2=0),0,IF(BQ$3&lt;0,0,N(INDEX('CURVA PREVISION'!$A$1:$KZ$3000,$C81,11+3*MIN(BQ$3,$D$2-1)))))</f>
        <v/>
      </c>
      <c r="BR81" s="130">
        <f>IF(OR($C81="",$B$2="",$D$2=0),0,IF(BR$3&lt;0,0,N(INDEX('CURVA PREVISION'!$A$1:$KZ$3000,$C81,11+3*MIN(BR$3,$D$2-1)))))</f>
        <v/>
      </c>
      <c r="BS81" s="130">
        <f>IF(OR($C81="",$B$2="",$D$2=0),0,IF(BS$3&lt;0,0,N(INDEX('CURVA PREVISION'!$A$1:$KZ$3000,$C81,11+3*MIN(BS$3,$D$2-1)))))</f>
        <v/>
      </c>
      <c r="BT81" s="130">
        <f>IF(OR($C81="",$B$2="",$D$2=0),0,IF(BT$3&lt;0,0,N(INDEX('CURVA PREVISION'!$A$1:$KZ$3000,$C81,11+3*MIN(BT$3,$D$2-1)))))</f>
        <v/>
      </c>
      <c r="BU81" s="130">
        <f>IF(OR($C81="",$B$2="",$D$2=0),0,IF(BU$3&lt;0,0,N(INDEX('CURVA PREVISION'!$A$1:$KZ$3000,$C81,11+3*MIN(BU$3,$D$2-1)))))</f>
        <v/>
      </c>
      <c r="BV81" s="130">
        <f>IF(OR($C81="",$B$2="",$D$2=0),0,IF(BV$3&lt;0,0,N(INDEX('CURVA PREVISION'!$A$1:$KZ$3000,$C81,11+3*MIN(BV$3,$D$2-1)))))</f>
        <v/>
      </c>
      <c r="BW81" s="130">
        <f>IF(OR($C81="",$B$2="",$D$2=0),0,IF(BW$3&lt;0,0,N(INDEX('CURVA PREVISION'!$A$1:$KZ$3000,$C81,11+3*MIN(BW$3,$D$2-1)))))</f>
        <v/>
      </c>
    </row>
    <row r="82">
      <c r="A82" s="61">
        <f>IF('VALOR POR PL'!Q46="",'VALOR POR PL'!C46,'VALOR POR PL'!Q46)</f>
        <v/>
      </c>
      <c r="B82" s="51">
        <f>B40</f>
        <v/>
      </c>
      <c r="C82" s="70">
        <f>IFERROR(MATCH(A82,'CURVA PREVISION'!$B$1:$B$3000,0),"")</f>
        <v/>
      </c>
      <c r="D82" s="130">
        <f>IF(OR($C82="",$B$2="",$D$2=0),0,IF(D$3&lt;0,0,N(INDEX('CURVA PREVISION'!$A$1:$KZ$3000,$C82,11+3*MIN(D$3,$D$2-1)))))</f>
        <v/>
      </c>
      <c r="E82" s="130">
        <f>IF(OR($C82="",$B$2="",$D$2=0),0,IF(E$3&lt;0,0,N(INDEX('CURVA PREVISION'!$A$1:$KZ$3000,$C82,11+3*MIN(E$3,$D$2-1)))))</f>
        <v/>
      </c>
      <c r="F82" s="130">
        <f>IF(OR($C82="",$B$2="",$D$2=0),0,IF(F$3&lt;0,0,N(INDEX('CURVA PREVISION'!$A$1:$KZ$3000,$C82,11+3*MIN(F$3,$D$2-1)))))</f>
        <v/>
      </c>
      <c r="G82" s="130">
        <f>IF(OR($C82="",$B$2="",$D$2=0),0,IF(G$3&lt;0,0,N(INDEX('CURVA PREVISION'!$A$1:$KZ$3000,$C82,11+3*MIN(G$3,$D$2-1)))))</f>
        <v/>
      </c>
      <c r="H82" s="130">
        <f>IF(OR($C82="",$B$2="",$D$2=0),0,IF(H$3&lt;0,0,N(INDEX('CURVA PREVISION'!$A$1:$KZ$3000,$C82,11+3*MIN(H$3,$D$2-1)))))</f>
        <v/>
      </c>
      <c r="I82" s="130">
        <f>IF(OR($C82="",$B$2="",$D$2=0),0,IF(I$3&lt;0,0,N(INDEX('CURVA PREVISION'!$A$1:$KZ$3000,$C82,11+3*MIN(I$3,$D$2-1)))))</f>
        <v/>
      </c>
      <c r="J82" s="130">
        <f>IF(OR($C82="",$B$2="",$D$2=0),0,IF(J$3&lt;0,0,N(INDEX('CURVA PREVISION'!$A$1:$KZ$3000,$C82,11+3*MIN(J$3,$D$2-1)))))</f>
        <v/>
      </c>
      <c r="K82" s="130">
        <f>IF(OR($C82="",$B$2="",$D$2=0),0,IF(K$3&lt;0,0,N(INDEX('CURVA PREVISION'!$A$1:$KZ$3000,$C82,11+3*MIN(K$3,$D$2-1)))))</f>
        <v/>
      </c>
      <c r="L82" s="130">
        <f>IF(OR($C82="",$B$2="",$D$2=0),0,IF(L$3&lt;0,0,N(INDEX('CURVA PREVISION'!$A$1:$KZ$3000,$C82,11+3*MIN(L$3,$D$2-1)))))</f>
        <v/>
      </c>
      <c r="M82" s="130">
        <f>IF(OR($C82="",$B$2="",$D$2=0),0,IF(M$3&lt;0,0,N(INDEX('CURVA PREVISION'!$A$1:$KZ$3000,$C82,11+3*MIN(M$3,$D$2-1)))))</f>
        <v/>
      </c>
      <c r="N82" s="130">
        <f>IF(OR($C82="",$B$2="",$D$2=0),0,IF(N$3&lt;0,0,N(INDEX('CURVA PREVISION'!$A$1:$KZ$3000,$C82,11+3*MIN(N$3,$D$2-1)))))</f>
        <v/>
      </c>
      <c r="O82" s="130">
        <f>IF(OR($C82="",$B$2="",$D$2=0),0,IF(O$3&lt;0,0,N(INDEX('CURVA PREVISION'!$A$1:$KZ$3000,$C82,11+3*MIN(O$3,$D$2-1)))))</f>
        <v/>
      </c>
      <c r="P82" s="130">
        <f>IF(OR($C82="",$B$2="",$D$2=0),0,IF(P$3&lt;0,0,N(INDEX('CURVA PREVISION'!$A$1:$KZ$3000,$C82,11+3*MIN(P$3,$D$2-1)))))</f>
        <v/>
      </c>
      <c r="Q82" s="130">
        <f>IF(OR($C82="",$B$2="",$D$2=0),0,IF(Q$3&lt;0,0,N(INDEX('CURVA PREVISION'!$A$1:$KZ$3000,$C82,11+3*MIN(Q$3,$D$2-1)))))</f>
        <v/>
      </c>
      <c r="R82" s="130">
        <f>IF(OR($C82="",$B$2="",$D$2=0),0,IF(R$3&lt;0,0,N(INDEX('CURVA PREVISION'!$A$1:$KZ$3000,$C82,11+3*MIN(R$3,$D$2-1)))))</f>
        <v/>
      </c>
      <c r="S82" s="130">
        <f>IF(OR($C82="",$B$2="",$D$2=0),0,IF(S$3&lt;0,0,N(INDEX('CURVA PREVISION'!$A$1:$KZ$3000,$C82,11+3*MIN(S$3,$D$2-1)))))</f>
        <v/>
      </c>
      <c r="T82" s="130">
        <f>IF(OR($C82="",$B$2="",$D$2=0),0,IF(T$3&lt;0,0,N(INDEX('CURVA PREVISION'!$A$1:$KZ$3000,$C82,11+3*MIN(T$3,$D$2-1)))))</f>
        <v/>
      </c>
      <c r="U82" s="130">
        <f>IF(OR($C82="",$B$2="",$D$2=0),0,IF(U$3&lt;0,0,N(INDEX('CURVA PREVISION'!$A$1:$KZ$3000,$C82,11+3*MIN(U$3,$D$2-1)))))</f>
        <v/>
      </c>
      <c r="V82" s="130">
        <f>IF(OR($C82="",$B$2="",$D$2=0),0,IF(V$3&lt;0,0,N(INDEX('CURVA PREVISION'!$A$1:$KZ$3000,$C82,11+3*MIN(V$3,$D$2-1)))))</f>
        <v/>
      </c>
      <c r="W82" s="130">
        <f>IF(OR($C82="",$B$2="",$D$2=0),0,IF(W$3&lt;0,0,N(INDEX('CURVA PREVISION'!$A$1:$KZ$3000,$C82,11+3*MIN(W$3,$D$2-1)))))</f>
        <v/>
      </c>
      <c r="X82" s="130">
        <f>IF(OR($C82="",$B$2="",$D$2=0),0,IF(X$3&lt;0,0,N(INDEX('CURVA PREVISION'!$A$1:$KZ$3000,$C82,11+3*MIN(X$3,$D$2-1)))))</f>
        <v/>
      </c>
      <c r="Y82" s="130">
        <f>IF(OR($C82="",$B$2="",$D$2=0),0,IF(Y$3&lt;0,0,N(INDEX('CURVA PREVISION'!$A$1:$KZ$3000,$C82,11+3*MIN(Y$3,$D$2-1)))))</f>
        <v/>
      </c>
      <c r="Z82" s="130">
        <f>IF(OR($C82="",$B$2="",$D$2=0),0,IF(Z$3&lt;0,0,N(INDEX('CURVA PREVISION'!$A$1:$KZ$3000,$C82,11+3*MIN(Z$3,$D$2-1)))))</f>
        <v/>
      </c>
      <c r="AA82" s="130">
        <f>IF(OR($C82="",$B$2="",$D$2=0),0,IF(AA$3&lt;0,0,N(INDEX('CURVA PREVISION'!$A$1:$KZ$3000,$C82,11+3*MIN(AA$3,$D$2-1)))))</f>
        <v/>
      </c>
      <c r="AB82" s="130">
        <f>IF(OR($C82="",$B$2="",$D$2=0),0,IF(AB$3&lt;0,0,N(INDEX('CURVA PREVISION'!$A$1:$KZ$3000,$C82,11+3*MIN(AB$3,$D$2-1)))))</f>
        <v/>
      </c>
      <c r="AC82" s="130">
        <f>IF(OR($C82="",$B$2="",$D$2=0),0,IF(AC$3&lt;0,0,N(INDEX('CURVA PREVISION'!$A$1:$KZ$3000,$C82,11+3*MIN(AC$3,$D$2-1)))))</f>
        <v/>
      </c>
      <c r="AD82" s="130">
        <f>IF(OR($C82="",$B$2="",$D$2=0),0,IF(AD$3&lt;0,0,N(INDEX('CURVA PREVISION'!$A$1:$KZ$3000,$C82,11+3*MIN(AD$3,$D$2-1)))))</f>
        <v/>
      </c>
      <c r="AE82" s="130">
        <f>IF(OR($C82="",$B$2="",$D$2=0),0,IF(AE$3&lt;0,0,N(INDEX('CURVA PREVISION'!$A$1:$KZ$3000,$C82,11+3*MIN(AE$3,$D$2-1)))))</f>
        <v/>
      </c>
      <c r="AF82" s="130">
        <f>IF(OR($C82="",$B$2="",$D$2=0),0,IF(AF$3&lt;0,0,N(INDEX('CURVA PREVISION'!$A$1:$KZ$3000,$C82,11+3*MIN(AF$3,$D$2-1)))))</f>
        <v/>
      </c>
      <c r="AG82" s="130">
        <f>IF(OR($C82="",$B$2="",$D$2=0),0,IF(AG$3&lt;0,0,N(INDEX('CURVA PREVISION'!$A$1:$KZ$3000,$C82,11+3*MIN(AG$3,$D$2-1)))))</f>
        <v/>
      </c>
      <c r="AH82" s="130">
        <f>IF(OR($C82="",$B$2="",$D$2=0),0,IF(AH$3&lt;0,0,N(INDEX('CURVA PREVISION'!$A$1:$KZ$3000,$C82,11+3*MIN(AH$3,$D$2-1)))))</f>
        <v/>
      </c>
      <c r="AI82" s="130">
        <f>IF(OR($C82="",$B$2="",$D$2=0),0,IF(AI$3&lt;0,0,N(INDEX('CURVA PREVISION'!$A$1:$KZ$3000,$C82,11+3*MIN(AI$3,$D$2-1)))))</f>
        <v/>
      </c>
      <c r="AJ82" s="130">
        <f>IF(OR($C82="",$B$2="",$D$2=0),0,IF(AJ$3&lt;0,0,N(INDEX('CURVA PREVISION'!$A$1:$KZ$3000,$C82,11+3*MIN(AJ$3,$D$2-1)))))</f>
        <v/>
      </c>
      <c r="AK82" s="130">
        <f>IF(OR($C82="",$B$2="",$D$2=0),0,IF(AK$3&lt;0,0,N(INDEX('CURVA PREVISION'!$A$1:$KZ$3000,$C82,11+3*MIN(AK$3,$D$2-1)))))</f>
        <v/>
      </c>
      <c r="AL82" s="130">
        <f>IF(OR($C82="",$B$2="",$D$2=0),0,IF(AL$3&lt;0,0,N(INDEX('CURVA PREVISION'!$A$1:$KZ$3000,$C82,11+3*MIN(AL$3,$D$2-1)))))</f>
        <v/>
      </c>
      <c r="AM82" s="130">
        <f>IF(OR($C82="",$B$2="",$D$2=0),0,IF(AM$3&lt;0,0,N(INDEX('CURVA PREVISION'!$A$1:$KZ$3000,$C82,11+3*MIN(AM$3,$D$2-1)))))</f>
        <v/>
      </c>
      <c r="AN82" s="130">
        <f>IF(OR($C82="",$B$2="",$D$2=0),0,IF(AN$3&lt;0,0,N(INDEX('CURVA PREVISION'!$A$1:$KZ$3000,$C82,11+3*MIN(AN$3,$D$2-1)))))</f>
        <v/>
      </c>
      <c r="AO82" s="130">
        <f>IF(OR($C82="",$B$2="",$D$2=0),0,IF(AO$3&lt;0,0,N(INDEX('CURVA PREVISION'!$A$1:$KZ$3000,$C82,11+3*MIN(AO$3,$D$2-1)))))</f>
        <v/>
      </c>
      <c r="AP82" s="130">
        <f>IF(OR($C82="",$B$2="",$D$2=0),0,IF(AP$3&lt;0,0,N(INDEX('CURVA PREVISION'!$A$1:$KZ$3000,$C82,11+3*MIN(AP$3,$D$2-1)))))</f>
        <v/>
      </c>
      <c r="AQ82" s="130">
        <f>IF(OR($C82="",$B$2="",$D$2=0),0,IF(AQ$3&lt;0,0,N(INDEX('CURVA PREVISION'!$A$1:$KZ$3000,$C82,11+3*MIN(AQ$3,$D$2-1)))))</f>
        <v/>
      </c>
      <c r="AR82" s="130">
        <f>IF(OR($C82="",$B$2="",$D$2=0),0,IF(AR$3&lt;0,0,N(INDEX('CURVA PREVISION'!$A$1:$KZ$3000,$C82,11+3*MIN(AR$3,$D$2-1)))))</f>
        <v/>
      </c>
      <c r="AS82" s="130">
        <f>IF(OR($C82="",$B$2="",$D$2=0),0,IF(AS$3&lt;0,0,N(INDEX('CURVA PREVISION'!$A$1:$KZ$3000,$C82,11+3*MIN(AS$3,$D$2-1)))))</f>
        <v/>
      </c>
      <c r="AT82" s="130">
        <f>IF(OR($C82="",$B$2="",$D$2=0),0,IF(AT$3&lt;0,0,N(INDEX('CURVA PREVISION'!$A$1:$KZ$3000,$C82,11+3*MIN(AT$3,$D$2-1)))))</f>
        <v/>
      </c>
      <c r="AU82" s="130">
        <f>IF(OR($C82="",$B$2="",$D$2=0),0,IF(AU$3&lt;0,0,N(INDEX('CURVA PREVISION'!$A$1:$KZ$3000,$C82,11+3*MIN(AU$3,$D$2-1)))))</f>
        <v/>
      </c>
      <c r="AV82" s="130">
        <f>IF(OR($C82="",$B$2="",$D$2=0),0,IF(AV$3&lt;0,0,N(INDEX('CURVA PREVISION'!$A$1:$KZ$3000,$C82,11+3*MIN(AV$3,$D$2-1)))))</f>
        <v/>
      </c>
      <c r="AW82" s="130">
        <f>IF(OR($C82="",$B$2="",$D$2=0),0,IF(AW$3&lt;0,0,N(INDEX('CURVA PREVISION'!$A$1:$KZ$3000,$C82,11+3*MIN(AW$3,$D$2-1)))))</f>
        <v/>
      </c>
      <c r="AX82" s="130">
        <f>IF(OR($C82="",$B$2="",$D$2=0),0,IF(AX$3&lt;0,0,N(INDEX('CURVA PREVISION'!$A$1:$KZ$3000,$C82,11+3*MIN(AX$3,$D$2-1)))))</f>
        <v/>
      </c>
      <c r="AY82" s="130">
        <f>IF(OR($C82="",$B$2="",$D$2=0),0,IF(AY$3&lt;0,0,N(INDEX('CURVA PREVISION'!$A$1:$KZ$3000,$C82,11+3*MIN(AY$3,$D$2-1)))))</f>
        <v/>
      </c>
      <c r="AZ82" s="130">
        <f>IF(OR($C82="",$B$2="",$D$2=0),0,IF(AZ$3&lt;0,0,N(INDEX('CURVA PREVISION'!$A$1:$KZ$3000,$C82,11+3*MIN(AZ$3,$D$2-1)))))</f>
        <v/>
      </c>
      <c r="BA82" s="130">
        <f>IF(OR($C82="",$B$2="",$D$2=0),0,IF(BA$3&lt;0,0,N(INDEX('CURVA PREVISION'!$A$1:$KZ$3000,$C82,11+3*MIN(BA$3,$D$2-1)))))</f>
        <v/>
      </c>
      <c r="BB82" s="130">
        <f>IF(OR($C82="",$B$2="",$D$2=0),0,IF(BB$3&lt;0,0,N(INDEX('CURVA PREVISION'!$A$1:$KZ$3000,$C82,11+3*MIN(BB$3,$D$2-1)))))</f>
        <v/>
      </c>
      <c r="BC82" s="130">
        <f>IF(OR($C82="",$B$2="",$D$2=0),0,IF(BC$3&lt;0,0,N(INDEX('CURVA PREVISION'!$A$1:$KZ$3000,$C82,11+3*MIN(BC$3,$D$2-1)))))</f>
        <v/>
      </c>
      <c r="BD82" s="130">
        <f>IF(OR($C82="",$B$2="",$D$2=0),0,IF(BD$3&lt;0,0,N(INDEX('CURVA PREVISION'!$A$1:$KZ$3000,$C82,11+3*MIN(BD$3,$D$2-1)))))</f>
        <v/>
      </c>
      <c r="BE82" s="130">
        <f>IF(OR($C82="",$B$2="",$D$2=0),0,IF(BE$3&lt;0,0,N(INDEX('CURVA PREVISION'!$A$1:$KZ$3000,$C82,11+3*MIN(BE$3,$D$2-1)))))</f>
        <v/>
      </c>
      <c r="BF82" s="130">
        <f>IF(OR($C82="",$B$2="",$D$2=0),0,IF(BF$3&lt;0,0,N(INDEX('CURVA PREVISION'!$A$1:$KZ$3000,$C82,11+3*MIN(BF$3,$D$2-1)))))</f>
        <v/>
      </c>
      <c r="BG82" s="130">
        <f>IF(OR($C82="",$B$2="",$D$2=0),0,IF(BG$3&lt;0,0,N(INDEX('CURVA PREVISION'!$A$1:$KZ$3000,$C82,11+3*MIN(BG$3,$D$2-1)))))</f>
        <v/>
      </c>
      <c r="BH82" s="130">
        <f>IF(OR($C82="",$B$2="",$D$2=0),0,IF(BH$3&lt;0,0,N(INDEX('CURVA PREVISION'!$A$1:$KZ$3000,$C82,11+3*MIN(BH$3,$D$2-1)))))</f>
        <v/>
      </c>
      <c r="BI82" s="130">
        <f>IF(OR($C82="",$B$2="",$D$2=0),0,IF(BI$3&lt;0,0,N(INDEX('CURVA PREVISION'!$A$1:$KZ$3000,$C82,11+3*MIN(BI$3,$D$2-1)))))</f>
        <v/>
      </c>
      <c r="BJ82" s="130">
        <f>IF(OR($C82="",$B$2="",$D$2=0),0,IF(BJ$3&lt;0,0,N(INDEX('CURVA PREVISION'!$A$1:$KZ$3000,$C82,11+3*MIN(BJ$3,$D$2-1)))))</f>
        <v/>
      </c>
      <c r="BK82" s="130">
        <f>IF(OR($C82="",$B$2="",$D$2=0),0,IF(BK$3&lt;0,0,N(INDEX('CURVA PREVISION'!$A$1:$KZ$3000,$C82,11+3*MIN(BK$3,$D$2-1)))))</f>
        <v/>
      </c>
      <c r="BL82" s="130">
        <f>IF(OR($C82="",$B$2="",$D$2=0),0,IF(BL$3&lt;0,0,N(INDEX('CURVA PREVISION'!$A$1:$KZ$3000,$C82,11+3*MIN(BL$3,$D$2-1)))))</f>
        <v/>
      </c>
      <c r="BM82" s="130">
        <f>IF(OR($C82="",$B$2="",$D$2=0),0,IF(BM$3&lt;0,0,N(INDEX('CURVA PREVISION'!$A$1:$KZ$3000,$C82,11+3*MIN(BM$3,$D$2-1)))))</f>
        <v/>
      </c>
      <c r="BN82" s="130">
        <f>IF(OR($C82="",$B$2="",$D$2=0),0,IF(BN$3&lt;0,0,N(INDEX('CURVA PREVISION'!$A$1:$KZ$3000,$C82,11+3*MIN(BN$3,$D$2-1)))))</f>
        <v/>
      </c>
      <c r="BO82" s="130">
        <f>IF(OR($C82="",$B$2="",$D$2=0),0,IF(BO$3&lt;0,0,N(INDEX('CURVA PREVISION'!$A$1:$KZ$3000,$C82,11+3*MIN(BO$3,$D$2-1)))))</f>
        <v/>
      </c>
      <c r="BP82" s="130">
        <f>IF(OR($C82="",$B$2="",$D$2=0),0,IF(BP$3&lt;0,0,N(INDEX('CURVA PREVISION'!$A$1:$KZ$3000,$C82,11+3*MIN(BP$3,$D$2-1)))))</f>
        <v/>
      </c>
      <c r="BQ82" s="130">
        <f>IF(OR($C82="",$B$2="",$D$2=0),0,IF(BQ$3&lt;0,0,N(INDEX('CURVA PREVISION'!$A$1:$KZ$3000,$C82,11+3*MIN(BQ$3,$D$2-1)))))</f>
        <v/>
      </c>
      <c r="BR82" s="130">
        <f>IF(OR($C82="",$B$2="",$D$2=0),0,IF(BR$3&lt;0,0,N(INDEX('CURVA PREVISION'!$A$1:$KZ$3000,$C82,11+3*MIN(BR$3,$D$2-1)))))</f>
        <v/>
      </c>
      <c r="BS82" s="130">
        <f>IF(OR($C82="",$B$2="",$D$2=0),0,IF(BS$3&lt;0,0,N(INDEX('CURVA PREVISION'!$A$1:$KZ$3000,$C82,11+3*MIN(BS$3,$D$2-1)))))</f>
        <v/>
      </c>
      <c r="BT82" s="130">
        <f>IF(OR($C82="",$B$2="",$D$2=0),0,IF(BT$3&lt;0,0,N(INDEX('CURVA PREVISION'!$A$1:$KZ$3000,$C82,11+3*MIN(BT$3,$D$2-1)))))</f>
        <v/>
      </c>
      <c r="BU82" s="130">
        <f>IF(OR($C82="",$B$2="",$D$2=0),0,IF(BU$3&lt;0,0,N(INDEX('CURVA PREVISION'!$A$1:$KZ$3000,$C82,11+3*MIN(BU$3,$D$2-1)))))</f>
        <v/>
      </c>
      <c r="BV82" s="130">
        <f>IF(OR($C82="",$B$2="",$D$2=0),0,IF(BV$3&lt;0,0,N(INDEX('CURVA PREVISION'!$A$1:$KZ$3000,$C82,11+3*MIN(BV$3,$D$2-1)))))</f>
        <v/>
      </c>
      <c r="BW82" s="130">
        <f>IF(OR($C82="",$B$2="",$D$2=0),0,IF(BW$3&lt;0,0,N(INDEX('CURVA PREVISION'!$A$1:$KZ$3000,$C82,11+3*MIN(BW$3,$D$2-1)))))</f>
        <v/>
      </c>
    </row>
    <row r="83">
      <c r="A83" s="61">
        <f>IF('VALOR POR PL'!Q47="",'VALOR POR PL'!C47,'VALOR POR PL'!Q47)</f>
        <v/>
      </c>
      <c r="B83" s="51">
        <f>B41</f>
        <v/>
      </c>
      <c r="C83" s="70">
        <f>IFERROR(MATCH(A83,'CURVA PREVISION'!$B$1:$B$3000,0),"")</f>
        <v/>
      </c>
      <c r="D83" s="130">
        <f>IF(OR($C83="",$B$2="",$D$2=0),0,IF(D$3&lt;0,0,N(INDEX('CURVA PREVISION'!$A$1:$KZ$3000,$C83,11+3*MIN(D$3,$D$2-1)))))</f>
        <v/>
      </c>
      <c r="E83" s="130">
        <f>IF(OR($C83="",$B$2="",$D$2=0),0,IF(E$3&lt;0,0,N(INDEX('CURVA PREVISION'!$A$1:$KZ$3000,$C83,11+3*MIN(E$3,$D$2-1)))))</f>
        <v/>
      </c>
      <c r="F83" s="130">
        <f>IF(OR($C83="",$B$2="",$D$2=0),0,IF(F$3&lt;0,0,N(INDEX('CURVA PREVISION'!$A$1:$KZ$3000,$C83,11+3*MIN(F$3,$D$2-1)))))</f>
        <v/>
      </c>
      <c r="G83" s="130">
        <f>IF(OR($C83="",$B$2="",$D$2=0),0,IF(G$3&lt;0,0,N(INDEX('CURVA PREVISION'!$A$1:$KZ$3000,$C83,11+3*MIN(G$3,$D$2-1)))))</f>
        <v/>
      </c>
      <c r="H83" s="130">
        <f>IF(OR($C83="",$B$2="",$D$2=0),0,IF(H$3&lt;0,0,N(INDEX('CURVA PREVISION'!$A$1:$KZ$3000,$C83,11+3*MIN(H$3,$D$2-1)))))</f>
        <v/>
      </c>
      <c r="I83" s="130">
        <f>IF(OR($C83="",$B$2="",$D$2=0),0,IF(I$3&lt;0,0,N(INDEX('CURVA PREVISION'!$A$1:$KZ$3000,$C83,11+3*MIN(I$3,$D$2-1)))))</f>
        <v/>
      </c>
      <c r="J83" s="130">
        <f>IF(OR($C83="",$B$2="",$D$2=0),0,IF(J$3&lt;0,0,N(INDEX('CURVA PREVISION'!$A$1:$KZ$3000,$C83,11+3*MIN(J$3,$D$2-1)))))</f>
        <v/>
      </c>
      <c r="K83" s="130">
        <f>IF(OR($C83="",$B$2="",$D$2=0),0,IF(K$3&lt;0,0,N(INDEX('CURVA PREVISION'!$A$1:$KZ$3000,$C83,11+3*MIN(K$3,$D$2-1)))))</f>
        <v/>
      </c>
      <c r="L83" s="130">
        <f>IF(OR($C83="",$B$2="",$D$2=0),0,IF(L$3&lt;0,0,N(INDEX('CURVA PREVISION'!$A$1:$KZ$3000,$C83,11+3*MIN(L$3,$D$2-1)))))</f>
        <v/>
      </c>
      <c r="M83" s="130">
        <f>IF(OR($C83="",$B$2="",$D$2=0),0,IF(M$3&lt;0,0,N(INDEX('CURVA PREVISION'!$A$1:$KZ$3000,$C83,11+3*MIN(M$3,$D$2-1)))))</f>
        <v/>
      </c>
      <c r="N83" s="130">
        <f>IF(OR($C83="",$B$2="",$D$2=0),0,IF(N$3&lt;0,0,N(INDEX('CURVA PREVISION'!$A$1:$KZ$3000,$C83,11+3*MIN(N$3,$D$2-1)))))</f>
        <v/>
      </c>
      <c r="O83" s="130">
        <f>IF(OR($C83="",$B$2="",$D$2=0),0,IF(O$3&lt;0,0,N(INDEX('CURVA PREVISION'!$A$1:$KZ$3000,$C83,11+3*MIN(O$3,$D$2-1)))))</f>
        <v/>
      </c>
      <c r="P83" s="130">
        <f>IF(OR($C83="",$B$2="",$D$2=0),0,IF(P$3&lt;0,0,N(INDEX('CURVA PREVISION'!$A$1:$KZ$3000,$C83,11+3*MIN(P$3,$D$2-1)))))</f>
        <v/>
      </c>
      <c r="Q83" s="130">
        <f>IF(OR($C83="",$B$2="",$D$2=0),0,IF(Q$3&lt;0,0,N(INDEX('CURVA PREVISION'!$A$1:$KZ$3000,$C83,11+3*MIN(Q$3,$D$2-1)))))</f>
        <v/>
      </c>
      <c r="R83" s="130">
        <f>IF(OR($C83="",$B$2="",$D$2=0),0,IF(R$3&lt;0,0,N(INDEX('CURVA PREVISION'!$A$1:$KZ$3000,$C83,11+3*MIN(R$3,$D$2-1)))))</f>
        <v/>
      </c>
      <c r="S83" s="130">
        <f>IF(OR($C83="",$B$2="",$D$2=0),0,IF(S$3&lt;0,0,N(INDEX('CURVA PREVISION'!$A$1:$KZ$3000,$C83,11+3*MIN(S$3,$D$2-1)))))</f>
        <v/>
      </c>
      <c r="T83" s="130">
        <f>IF(OR($C83="",$B$2="",$D$2=0),0,IF(T$3&lt;0,0,N(INDEX('CURVA PREVISION'!$A$1:$KZ$3000,$C83,11+3*MIN(T$3,$D$2-1)))))</f>
        <v/>
      </c>
      <c r="U83" s="130">
        <f>IF(OR($C83="",$B$2="",$D$2=0),0,IF(U$3&lt;0,0,N(INDEX('CURVA PREVISION'!$A$1:$KZ$3000,$C83,11+3*MIN(U$3,$D$2-1)))))</f>
        <v/>
      </c>
      <c r="V83" s="130">
        <f>IF(OR($C83="",$B$2="",$D$2=0),0,IF(V$3&lt;0,0,N(INDEX('CURVA PREVISION'!$A$1:$KZ$3000,$C83,11+3*MIN(V$3,$D$2-1)))))</f>
        <v/>
      </c>
      <c r="W83" s="130">
        <f>IF(OR($C83="",$B$2="",$D$2=0),0,IF(W$3&lt;0,0,N(INDEX('CURVA PREVISION'!$A$1:$KZ$3000,$C83,11+3*MIN(W$3,$D$2-1)))))</f>
        <v/>
      </c>
      <c r="X83" s="130">
        <f>IF(OR($C83="",$B$2="",$D$2=0),0,IF(X$3&lt;0,0,N(INDEX('CURVA PREVISION'!$A$1:$KZ$3000,$C83,11+3*MIN(X$3,$D$2-1)))))</f>
        <v/>
      </c>
      <c r="Y83" s="130">
        <f>IF(OR($C83="",$B$2="",$D$2=0),0,IF(Y$3&lt;0,0,N(INDEX('CURVA PREVISION'!$A$1:$KZ$3000,$C83,11+3*MIN(Y$3,$D$2-1)))))</f>
        <v/>
      </c>
      <c r="Z83" s="130">
        <f>IF(OR($C83="",$B$2="",$D$2=0),0,IF(Z$3&lt;0,0,N(INDEX('CURVA PREVISION'!$A$1:$KZ$3000,$C83,11+3*MIN(Z$3,$D$2-1)))))</f>
        <v/>
      </c>
      <c r="AA83" s="130">
        <f>IF(OR($C83="",$B$2="",$D$2=0),0,IF(AA$3&lt;0,0,N(INDEX('CURVA PREVISION'!$A$1:$KZ$3000,$C83,11+3*MIN(AA$3,$D$2-1)))))</f>
        <v/>
      </c>
      <c r="AB83" s="130">
        <f>IF(OR($C83="",$B$2="",$D$2=0),0,IF(AB$3&lt;0,0,N(INDEX('CURVA PREVISION'!$A$1:$KZ$3000,$C83,11+3*MIN(AB$3,$D$2-1)))))</f>
        <v/>
      </c>
      <c r="AC83" s="130">
        <f>IF(OR($C83="",$B$2="",$D$2=0),0,IF(AC$3&lt;0,0,N(INDEX('CURVA PREVISION'!$A$1:$KZ$3000,$C83,11+3*MIN(AC$3,$D$2-1)))))</f>
        <v/>
      </c>
      <c r="AD83" s="130">
        <f>IF(OR($C83="",$B$2="",$D$2=0),0,IF(AD$3&lt;0,0,N(INDEX('CURVA PREVISION'!$A$1:$KZ$3000,$C83,11+3*MIN(AD$3,$D$2-1)))))</f>
        <v/>
      </c>
      <c r="AE83" s="130">
        <f>IF(OR($C83="",$B$2="",$D$2=0),0,IF(AE$3&lt;0,0,N(INDEX('CURVA PREVISION'!$A$1:$KZ$3000,$C83,11+3*MIN(AE$3,$D$2-1)))))</f>
        <v/>
      </c>
      <c r="AF83" s="130">
        <f>IF(OR($C83="",$B$2="",$D$2=0),0,IF(AF$3&lt;0,0,N(INDEX('CURVA PREVISION'!$A$1:$KZ$3000,$C83,11+3*MIN(AF$3,$D$2-1)))))</f>
        <v/>
      </c>
      <c r="AG83" s="130">
        <f>IF(OR($C83="",$B$2="",$D$2=0),0,IF(AG$3&lt;0,0,N(INDEX('CURVA PREVISION'!$A$1:$KZ$3000,$C83,11+3*MIN(AG$3,$D$2-1)))))</f>
        <v/>
      </c>
      <c r="AH83" s="130">
        <f>IF(OR($C83="",$B$2="",$D$2=0),0,IF(AH$3&lt;0,0,N(INDEX('CURVA PREVISION'!$A$1:$KZ$3000,$C83,11+3*MIN(AH$3,$D$2-1)))))</f>
        <v/>
      </c>
      <c r="AI83" s="130">
        <f>IF(OR($C83="",$B$2="",$D$2=0),0,IF(AI$3&lt;0,0,N(INDEX('CURVA PREVISION'!$A$1:$KZ$3000,$C83,11+3*MIN(AI$3,$D$2-1)))))</f>
        <v/>
      </c>
      <c r="AJ83" s="130">
        <f>IF(OR($C83="",$B$2="",$D$2=0),0,IF(AJ$3&lt;0,0,N(INDEX('CURVA PREVISION'!$A$1:$KZ$3000,$C83,11+3*MIN(AJ$3,$D$2-1)))))</f>
        <v/>
      </c>
      <c r="AK83" s="130">
        <f>IF(OR($C83="",$B$2="",$D$2=0),0,IF(AK$3&lt;0,0,N(INDEX('CURVA PREVISION'!$A$1:$KZ$3000,$C83,11+3*MIN(AK$3,$D$2-1)))))</f>
        <v/>
      </c>
      <c r="AL83" s="130">
        <f>IF(OR($C83="",$B$2="",$D$2=0),0,IF(AL$3&lt;0,0,N(INDEX('CURVA PREVISION'!$A$1:$KZ$3000,$C83,11+3*MIN(AL$3,$D$2-1)))))</f>
        <v/>
      </c>
      <c r="AM83" s="130">
        <f>IF(OR($C83="",$B$2="",$D$2=0),0,IF(AM$3&lt;0,0,N(INDEX('CURVA PREVISION'!$A$1:$KZ$3000,$C83,11+3*MIN(AM$3,$D$2-1)))))</f>
        <v/>
      </c>
      <c r="AN83" s="130">
        <f>IF(OR($C83="",$B$2="",$D$2=0),0,IF(AN$3&lt;0,0,N(INDEX('CURVA PREVISION'!$A$1:$KZ$3000,$C83,11+3*MIN(AN$3,$D$2-1)))))</f>
        <v/>
      </c>
      <c r="AO83" s="130">
        <f>IF(OR($C83="",$B$2="",$D$2=0),0,IF(AO$3&lt;0,0,N(INDEX('CURVA PREVISION'!$A$1:$KZ$3000,$C83,11+3*MIN(AO$3,$D$2-1)))))</f>
        <v/>
      </c>
      <c r="AP83" s="130">
        <f>IF(OR($C83="",$B$2="",$D$2=0),0,IF(AP$3&lt;0,0,N(INDEX('CURVA PREVISION'!$A$1:$KZ$3000,$C83,11+3*MIN(AP$3,$D$2-1)))))</f>
        <v/>
      </c>
      <c r="AQ83" s="130">
        <f>IF(OR($C83="",$B$2="",$D$2=0),0,IF(AQ$3&lt;0,0,N(INDEX('CURVA PREVISION'!$A$1:$KZ$3000,$C83,11+3*MIN(AQ$3,$D$2-1)))))</f>
        <v/>
      </c>
      <c r="AR83" s="130">
        <f>IF(OR($C83="",$B$2="",$D$2=0),0,IF(AR$3&lt;0,0,N(INDEX('CURVA PREVISION'!$A$1:$KZ$3000,$C83,11+3*MIN(AR$3,$D$2-1)))))</f>
        <v/>
      </c>
      <c r="AS83" s="130">
        <f>IF(OR($C83="",$B$2="",$D$2=0),0,IF(AS$3&lt;0,0,N(INDEX('CURVA PREVISION'!$A$1:$KZ$3000,$C83,11+3*MIN(AS$3,$D$2-1)))))</f>
        <v/>
      </c>
      <c r="AT83" s="130">
        <f>IF(OR($C83="",$B$2="",$D$2=0),0,IF(AT$3&lt;0,0,N(INDEX('CURVA PREVISION'!$A$1:$KZ$3000,$C83,11+3*MIN(AT$3,$D$2-1)))))</f>
        <v/>
      </c>
      <c r="AU83" s="130">
        <f>IF(OR($C83="",$B$2="",$D$2=0),0,IF(AU$3&lt;0,0,N(INDEX('CURVA PREVISION'!$A$1:$KZ$3000,$C83,11+3*MIN(AU$3,$D$2-1)))))</f>
        <v/>
      </c>
      <c r="AV83" s="130">
        <f>IF(OR($C83="",$B$2="",$D$2=0),0,IF(AV$3&lt;0,0,N(INDEX('CURVA PREVISION'!$A$1:$KZ$3000,$C83,11+3*MIN(AV$3,$D$2-1)))))</f>
        <v/>
      </c>
      <c r="AW83" s="130">
        <f>IF(OR($C83="",$B$2="",$D$2=0),0,IF(AW$3&lt;0,0,N(INDEX('CURVA PREVISION'!$A$1:$KZ$3000,$C83,11+3*MIN(AW$3,$D$2-1)))))</f>
        <v/>
      </c>
      <c r="AX83" s="130">
        <f>IF(OR($C83="",$B$2="",$D$2=0),0,IF(AX$3&lt;0,0,N(INDEX('CURVA PREVISION'!$A$1:$KZ$3000,$C83,11+3*MIN(AX$3,$D$2-1)))))</f>
        <v/>
      </c>
      <c r="AY83" s="130">
        <f>IF(OR($C83="",$B$2="",$D$2=0),0,IF(AY$3&lt;0,0,N(INDEX('CURVA PREVISION'!$A$1:$KZ$3000,$C83,11+3*MIN(AY$3,$D$2-1)))))</f>
        <v/>
      </c>
      <c r="AZ83" s="130">
        <f>IF(OR($C83="",$B$2="",$D$2=0),0,IF(AZ$3&lt;0,0,N(INDEX('CURVA PREVISION'!$A$1:$KZ$3000,$C83,11+3*MIN(AZ$3,$D$2-1)))))</f>
        <v/>
      </c>
      <c r="BA83" s="130">
        <f>IF(OR($C83="",$B$2="",$D$2=0),0,IF(BA$3&lt;0,0,N(INDEX('CURVA PREVISION'!$A$1:$KZ$3000,$C83,11+3*MIN(BA$3,$D$2-1)))))</f>
        <v/>
      </c>
      <c r="BB83" s="130">
        <f>IF(OR($C83="",$B$2="",$D$2=0),0,IF(BB$3&lt;0,0,N(INDEX('CURVA PREVISION'!$A$1:$KZ$3000,$C83,11+3*MIN(BB$3,$D$2-1)))))</f>
        <v/>
      </c>
      <c r="BC83" s="130">
        <f>IF(OR($C83="",$B$2="",$D$2=0),0,IF(BC$3&lt;0,0,N(INDEX('CURVA PREVISION'!$A$1:$KZ$3000,$C83,11+3*MIN(BC$3,$D$2-1)))))</f>
        <v/>
      </c>
      <c r="BD83" s="130">
        <f>IF(OR($C83="",$B$2="",$D$2=0),0,IF(BD$3&lt;0,0,N(INDEX('CURVA PREVISION'!$A$1:$KZ$3000,$C83,11+3*MIN(BD$3,$D$2-1)))))</f>
        <v/>
      </c>
      <c r="BE83" s="130">
        <f>IF(OR($C83="",$B$2="",$D$2=0),0,IF(BE$3&lt;0,0,N(INDEX('CURVA PREVISION'!$A$1:$KZ$3000,$C83,11+3*MIN(BE$3,$D$2-1)))))</f>
        <v/>
      </c>
      <c r="BF83" s="130">
        <f>IF(OR($C83="",$B$2="",$D$2=0),0,IF(BF$3&lt;0,0,N(INDEX('CURVA PREVISION'!$A$1:$KZ$3000,$C83,11+3*MIN(BF$3,$D$2-1)))))</f>
        <v/>
      </c>
      <c r="BG83" s="130">
        <f>IF(OR($C83="",$B$2="",$D$2=0),0,IF(BG$3&lt;0,0,N(INDEX('CURVA PREVISION'!$A$1:$KZ$3000,$C83,11+3*MIN(BG$3,$D$2-1)))))</f>
        <v/>
      </c>
      <c r="BH83" s="130">
        <f>IF(OR($C83="",$B$2="",$D$2=0),0,IF(BH$3&lt;0,0,N(INDEX('CURVA PREVISION'!$A$1:$KZ$3000,$C83,11+3*MIN(BH$3,$D$2-1)))))</f>
        <v/>
      </c>
      <c r="BI83" s="130">
        <f>IF(OR($C83="",$B$2="",$D$2=0),0,IF(BI$3&lt;0,0,N(INDEX('CURVA PREVISION'!$A$1:$KZ$3000,$C83,11+3*MIN(BI$3,$D$2-1)))))</f>
        <v/>
      </c>
      <c r="BJ83" s="130">
        <f>IF(OR($C83="",$B$2="",$D$2=0),0,IF(BJ$3&lt;0,0,N(INDEX('CURVA PREVISION'!$A$1:$KZ$3000,$C83,11+3*MIN(BJ$3,$D$2-1)))))</f>
        <v/>
      </c>
      <c r="BK83" s="130">
        <f>IF(OR($C83="",$B$2="",$D$2=0),0,IF(BK$3&lt;0,0,N(INDEX('CURVA PREVISION'!$A$1:$KZ$3000,$C83,11+3*MIN(BK$3,$D$2-1)))))</f>
        <v/>
      </c>
      <c r="BL83" s="130">
        <f>IF(OR($C83="",$B$2="",$D$2=0),0,IF(BL$3&lt;0,0,N(INDEX('CURVA PREVISION'!$A$1:$KZ$3000,$C83,11+3*MIN(BL$3,$D$2-1)))))</f>
        <v/>
      </c>
      <c r="BM83" s="130">
        <f>IF(OR($C83="",$B$2="",$D$2=0),0,IF(BM$3&lt;0,0,N(INDEX('CURVA PREVISION'!$A$1:$KZ$3000,$C83,11+3*MIN(BM$3,$D$2-1)))))</f>
        <v/>
      </c>
      <c r="BN83" s="130">
        <f>IF(OR($C83="",$B$2="",$D$2=0),0,IF(BN$3&lt;0,0,N(INDEX('CURVA PREVISION'!$A$1:$KZ$3000,$C83,11+3*MIN(BN$3,$D$2-1)))))</f>
        <v/>
      </c>
      <c r="BO83" s="130">
        <f>IF(OR($C83="",$B$2="",$D$2=0),0,IF(BO$3&lt;0,0,N(INDEX('CURVA PREVISION'!$A$1:$KZ$3000,$C83,11+3*MIN(BO$3,$D$2-1)))))</f>
        <v/>
      </c>
      <c r="BP83" s="130">
        <f>IF(OR($C83="",$B$2="",$D$2=0),0,IF(BP$3&lt;0,0,N(INDEX('CURVA PREVISION'!$A$1:$KZ$3000,$C83,11+3*MIN(BP$3,$D$2-1)))))</f>
        <v/>
      </c>
      <c r="BQ83" s="130">
        <f>IF(OR($C83="",$B$2="",$D$2=0),0,IF(BQ$3&lt;0,0,N(INDEX('CURVA PREVISION'!$A$1:$KZ$3000,$C83,11+3*MIN(BQ$3,$D$2-1)))))</f>
        <v/>
      </c>
      <c r="BR83" s="130">
        <f>IF(OR($C83="",$B$2="",$D$2=0),0,IF(BR$3&lt;0,0,N(INDEX('CURVA PREVISION'!$A$1:$KZ$3000,$C83,11+3*MIN(BR$3,$D$2-1)))))</f>
        <v/>
      </c>
      <c r="BS83" s="130">
        <f>IF(OR($C83="",$B$2="",$D$2=0),0,IF(BS$3&lt;0,0,N(INDEX('CURVA PREVISION'!$A$1:$KZ$3000,$C83,11+3*MIN(BS$3,$D$2-1)))))</f>
        <v/>
      </c>
      <c r="BT83" s="130">
        <f>IF(OR($C83="",$B$2="",$D$2=0),0,IF(BT$3&lt;0,0,N(INDEX('CURVA PREVISION'!$A$1:$KZ$3000,$C83,11+3*MIN(BT$3,$D$2-1)))))</f>
        <v/>
      </c>
      <c r="BU83" s="130">
        <f>IF(OR($C83="",$B$2="",$D$2=0),0,IF(BU$3&lt;0,0,N(INDEX('CURVA PREVISION'!$A$1:$KZ$3000,$C83,11+3*MIN(BU$3,$D$2-1)))))</f>
        <v/>
      </c>
      <c r="BV83" s="130">
        <f>IF(OR($C83="",$B$2="",$D$2=0),0,IF(BV$3&lt;0,0,N(INDEX('CURVA PREVISION'!$A$1:$KZ$3000,$C83,11+3*MIN(BV$3,$D$2-1)))))</f>
        <v/>
      </c>
      <c r="BW83" s="130">
        <f>IF(OR($C83="",$B$2="",$D$2=0),0,IF(BW$3&lt;0,0,N(INDEX('CURVA PREVISION'!$A$1:$KZ$3000,$C83,11+3*MIN(BW$3,$D$2-1)))))</f>
        <v/>
      </c>
    </row>
    <row r="84">
      <c r="A84" s="61">
        <f>IF('VALOR POR PL'!Q48="",'VALOR POR PL'!C48,'VALOR POR PL'!Q48)</f>
        <v/>
      </c>
      <c r="B84" s="51">
        <f>B42</f>
        <v/>
      </c>
      <c r="C84" s="70">
        <f>IFERROR(MATCH(A84,'CURVA PREVISION'!$B$1:$B$3000,0),"")</f>
        <v/>
      </c>
      <c r="D84" s="130">
        <f>IF(OR($C84="",$B$2="",$D$2=0),0,IF(D$3&lt;0,0,N(INDEX('CURVA PREVISION'!$A$1:$KZ$3000,$C84,11+3*MIN(D$3,$D$2-1)))))</f>
        <v/>
      </c>
      <c r="E84" s="130">
        <f>IF(OR($C84="",$B$2="",$D$2=0),0,IF(E$3&lt;0,0,N(INDEX('CURVA PREVISION'!$A$1:$KZ$3000,$C84,11+3*MIN(E$3,$D$2-1)))))</f>
        <v/>
      </c>
      <c r="F84" s="130">
        <f>IF(OR($C84="",$B$2="",$D$2=0),0,IF(F$3&lt;0,0,N(INDEX('CURVA PREVISION'!$A$1:$KZ$3000,$C84,11+3*MIN(F$3,$D$2-1)))))</f>
        <v/>
      </c>
      <c r="G84" s="130">
        <f>IF(OR($C84="",$B$2="",$D$2=0),0,IF(G$3&lt;0,0,N(INDEX('CURVA PREVISION'!$A$1:$KZ$3000,$C84,11+3*MIN(G$3,$D$2-1)))))</f>
        <v/>
      </c>
      <c r="H84" s="130">
        <f>IF(OR($C84="",$B$2="",$D$2=0),0,IF(H$3&lt;0,0,N(INDEX('CURVA PREVISION'!$A$1:$KZ$3000,$C84,11+3*MIN(H$3,$D$2-1)))))</f>
        <v/>
      </c>
      <c r="I84" s="130">
        <f>IF(OR($C84="",$B$2="",$D$2=0),0,IF(I$3&lt;0,0,N(INDEX('CURVA PREVISION'!$A$1:$KZ$3000,$C84,11+3*MIN(I$3,$D$2-1)))))</f>
        <v/>
      </c>
      <c r="J84" s="130">
        <f>IF(OR($C84="",$B$2="",$D$2=0),0,IF(J$3&lt;0,0,N(INDEX('CURVA PREVISION'!$A$1:$KZ$3000,$C84,11+3*MIN(J$3,$D$2-1)))))</f>
        <v/>
      </c>
      <c r="K84" s="130">
        <f>IF(OR($C84="",$B$2="",$D$2=0),0,IF(K$3&lt;0,0,N(INDEX('CURVA PREVISION'!$A$1:$KZ$3000,$C84,11+3*MIN(K$3,$D$2-1)))))</f>
        <v/>
      </c>
      <c r="L84" s="130">
        <f>IF(OR($C84="",$B$2="",$D$2=0),0,IF(L$3&lt;0,0,N(INDEX('CURVA PREVISION'!$A$1:$KZ$3000,$C84,11+3*MIN(L$3,$D$2-1)))))</f>
        <v/>
      </c>
      <c r="M84" s="130">
        <f>IF(OR($C84="",$B$2="",$D$2=0),0,IF(M$3&lt;0,0,N(INDEX('CURVA PREVISION'!$A$1:$KZ$3000,$C84,11+3*MIN(M$3,$D$2-1)))))</f>
        <v/>
      </c>
      <c r="N84" s="130">
        <f>IF(OR($C84="",$B$2="",$D$2=0),0,IF(N$3&lt;0,0,N(INDEX('CURVA PREVISION'!$A$1:$KZ$3000,$C84,11+3*MIN(N$3,$D$2-1)))))</f>
        <v/>
      </c>
      <c r="O84" s="130">
        <f>IF(OR($C84="",$B$2="",$D$2=0),0,IF(O$3&lt;0,0,N(INDEX('CURVA PREVISION'!$A$1:$KZ$3000,$C84,11+3*MIN(O$3,$D$2-1)))))</f>
        <v/>
      </c>
      <c r="P84" s="130">
        <f>IF(OR($C84="",$B$2="",$D$2=0),0,IF(P$3&lt;0,0,N(INDEX('CURVA PREVISION'!$A$1:$KZ$3000,$C84,11+3*MIN(P$3,$D$2-1)))))</f>
        <v/>
      </c>
      <c r="Q84" s="130">
        <f>IF(OR($C84="",$B$2="",$D$2=0),0,IF(Q$3&lt;0,0,N(INDEX('CURVA PREVISION'!$A$1:$KZ$3000,$C84,11+3*MIN(Q$3,$D$2-1)))))</f>
        <v/>
      </c>
      <c r="R84" s="130">
        <f>IF(OR($C84="",$B$2="",$D$2=0),0,IF(R$3&lt;0,0,N(INDEX('CURVA PREVISION'!$A$1:$KZ$3000,$C84,11+3*MIN(R$3,$D$2-1)))))</f>
        <v/>
      </c>
      <c r="S84" s="130">
        <f>IF(OR($C84="",$B$2="",$D$2=0),0,IF(S$3&lt;0,0,N(INDEX('CURVA PREVISION'!$A$1:$KZ$3000,$C84,11+3*MIN(S$3,$D$2-1)))))</f>
        <v/>
      </c>
      <c r="T84" s="130">
        <f>IF(OR($C84="",$B$2="",$D$2=0),0,IF(T$3&lt;0,0,N(INDEX('CURVA PREVISION'!$A$1:$KZ$3000,$C84,11+3*MIN(T$3,$D$2-1)))))</f>
        <v/>
      </c>
      <c r="U84" s="130">
        <f>IF(OR($C84="",$B$2="",$D$2=0),0,IF(U$3&lt;0,0,N(INDEX('CURVA PREVISION'!$A$1:$KZ$3000,$C84,11+3*MIN(U$3,$D$2-1)))))</f>
        <v/>
      </c>
      <c r="V84" s="130">
        <f>IF(OR($C84="",$B$2="",$D$2=0),0,IF(V$3&lt;0,0,N(INDEX('CURVA PREVISION'!$A$1:$KZ$3000,$C84,11+3*MIN(V$3,$D$2-1)))))</f>
        <v/>
      </c>
      <c r="W84" s="130">
        <f>IF(OR($C84="",$B$2="",$D$2=0),0,IF(W$3&lt;0,0,N(INDEX('CURVA PREVISION'!$A$1:$KZ$3000,$C84,11+3*MIN(W$3,$D$2-1)))))</f>
        <v/>
      </c>
      <c r="X84" s="130">
        <f>IF(OR($C84="",$B$2="",$D$2=0),0,IF(X$3&lt;0,0,N(INDEX('CURVA PREVISION'!$A$1:$KZ$3000,$C84,11+3*MIN(X$3,$D$2-1)))))</f>
        <v/>
      </c>
      <c r="Y84" s="130">
        <f>IF(OR($C84="",$B$2="",$D$2=0),0,IF(Y$3&lt;0,0,N(INDEX('CURVA PREVISION'!$A$1:$KZ$3000,$C84,11+3*MIN(Y$3,$D$2-1)))))</f>
        <v/>
      </c>
      <c r="Z84" s="130">
        <f>IF(OR($C84="",$B$2="",$D$2=0),0,IF(Z$3&lt;0,0,N(INDEX('CURVA PREVISION'!$A$1:$KZ$3000,$C84,11+3*MIN(Z$3,$D$2-1)))))</f>
        <v/>
      </c>
      <c r="AA84" s="130">
        <f>IF(OR($C84="",$B$2="",$D$2=0),0,IF(AA$3&lt;0,0,N(INDEX('CURVA PREVISION'!$A$1:$KZ$3000,$C84,11+3*MIN(AA$3,$D$2-1)))))</f>
        <v/>
      </c>
      <c r="AB84" s="130">
        <f>IF(OR($C84="",$B$2="",$D$2=0),0,IF(AB$3&lt;0,0,N(INDEX('CURVA PREVISION'!$A$1:$KZ$3000,$C84,11+3*MIN(AB$3,$D$2-1)))))</f>
        <v/>
      </c>
      <c r="AC84" s="130">
        <f>IF(OR($C84="",$B$2="",$D$2=0),0,IF(AC$3&lt;0,0,N(INDEX('CURVA PREVISION'!$A$1:$KZ$3000,$C84,11+3*MIN(AC$3,$D$2-1)))))</f>
        <v/>
      </c>
      <c r="AD84" s="130">
        <f>IF(OR($C84="",$B$2="",$D$2=0),0,IF(AD$3&lt;0,0,N(INDEX('CURVA PREVISION'!$A$1:$KZ$3000,$C84,11+3*MIN(AD$3,$D$2-1)))))</f>
        <v/>
      </c>
      <c r="AE84" s="130">
        <f>IF(OR($C84="",$B$2="",$D$2=0),0,IF(AE$3&lt;0,0,N(INDEX('CURVA PREVISION'!$A$1:$KZ$3000,$C84,11+3*MIN(AE$3,$D$2-1)))))</f>
        <v/>
      </c>
      <c r="AF84" s="130">
        <f>IF(OR($C84="",$B$2="",$D$2=0),0,IF(AF$3&lt;0,0,N(INDEX('CURVA PREVISION'!$A$1:$KZ$3000,$C84,11+3*MIN(AF$3,$D$2-1)))))</f>
        <v/>
      </c>
      <c r="AG84" s="130">
        <f>IF(OR($C84="",$B$2="",$D$2=0),0,IF(AG$3&lt;0,0,N(INDEX('CURVA PREVISION'!$A$1:$KZ$3000,$C84,11+3*MIN(AG$3,$D$2-1)))))</f>
        <v/>
      </c>
      <c r="AH84" s="130">
        <f>IF(OR($C84="",$B$2="",$D$2=0),0,IF(AH$3&lt;0,0,N(INDEX('CURVA PREVISION'!$A$1:$KZ$3000,$C84,11+3*MIN(AH$3,$D$2-1)))))</f>
        <v/>
      </c>
      <c r="AI84" s="130">
        <f>IF(OR($C84="",$B$2="",$D$2=0),0,IF(AI$3&lt;0,0,N(INDEX('CURVA PREVISION'!$A$1:$KZ$3000,$C84,11+3*MIN(AI$3,$D$2-1)))))</f>
        <v/>
      </c>
      <c r="AJ84" s="130">
        <f>IF(OR($C84="",$B$2="",$D$2=0),0,IF(AJ$3&lt;0,0,N(INDEX('CURVA PREVISION'!$A$1:$KZ$3000,$C84,11+3*MIN(AJ$3,$D$2-1)))))</f>
        <v/>
      </c>
      <c r="AK84" s="130">
        <f>IF(OR($C84="",$B$2="",$D$2=0),0,IF(AK$3&lt;0,0,N(INDEX('CURVA PREVISION'!$A$1:$KZ$3000,$C84,11+3*MIN(AK$3,$D$2-1)))))</f>
        <v/>
      </c>
      <c r="AL84" s="130">
        <f>IF(OR($C84="",$B$2="",$D$2=0),0,IF(AL$3&lt;0,0,N(INDEX('CURVA PREVISION'!$A$1:$KZ$3000,$C84,11+3*MIN(AL$3,$D$2-1)))))</f>
        <v/>
      </c>
      <c r="AM84" s="130">
        <f>IF(OR($C84="",$B$2="",$D$2=0),0,IF(AM$3&lt;0,0,N(INDEX('CURVA PREVISION'!$A$1:$KZ$3000,$C84,11+3*MIN(AM$3,$D$2-1)))))</f>
        <v/>
      </c>
      <c r="AN84" s="130">
        <f>IF(OR($C84="",$B$2="",$D$2=0),0,IF(AN$3&lt;0,0,N(INDEX('CURVA PREVISION'!$A$1:$KZ$3000,$C84,11+3*MIN(AN$3,$D$2-1)))))</f>
        <v/>
      </c>
      <c r="AO84" s="130">
        <f>IF(OR($C84="",$B$2="",$D$2=0),0,IF(AO$3&lt;0,0,N(INDEX('CURVA PREVISION'!$A$1:$KZ$3000,$C84,11+3*MIN(AO$3,$D$2-1)))))</f>
        <v/>
      </c>
      <c r="AP84" s="130">
        <f>IF(OR($C84="",$B$2="",$D$2=0),0,IF(AP$3&lt;0,0,N(INDEX('CURVA PREVISION'!$A$1:$KZ$3000,$C84,11+3*MIN(AP$3,$D$2-1)))))</f>
        <v/>
      </c>
      <c r="AQ84" s="130">
        <f>IF(OR($C84="",$B$2="",$D$2=0),0,IF(AQ$3&lt;0,0,N(INDEX('CURVA PREVISION'!$A$1:$KZ$3000,$C84,11+3*MIN(AQ$3,$D$2-1)))))</f>
        <v/>
      </c>
      <c r="AR84" s="130">
        <f>IF(OR($C84="",$B$2="",$D$2=0),0,IF(AR$3&lt;0,0,N(INDEX('CURVA PREVISION'!$A$1:$KZ$3000,$C84,11+3*MIN(AR$3,$D$2-1)))))</f>
        <v/>
      </c>
      <c r="AS84" s="130">
        <f>IF(OR($C84="",$B$2="",$D$2=0),0,IF(AS$3&lt;0,0,N(INDEX('CURVA PREVISION'!$A$1:$KZ$3000,$C84,11+3*MIN(AS$3,$D$2-1)))))</f>
        <v/>
      </c>
      <c r="AT84" s="130">
        <f>IF(OR($C84="",$B$2="",$D$2=0),0,IF(AT$3&lt;0,0,N(INDEX('CURVA PREVISION'!$A$1:$KZ$3000,$C84,11+3*MIN(AT$3,$D$2-1)))))</f>
        <v/>
      </c>
      <c r="AU84" s="130">
        <f>IF(OR($C84="",$B$2="",$D$2=0),0,IF(AU$3&lt;0,0,N(INDEX('CURVA PREVISION'!$A$1:$KZ$3000,$C84,11+3*MIN(AU$3,$D$2-1)))))</f>
        <v/>
      </c>
      <c r="AV84" s="130">
        <f>IF(OR($C84="",$B$2="",$D$2=0),0,IF(AV$3&lt;0,0,N(INDEX('CURVA PREVISION'!$A$1:$KZ$3000,$C84,11+3*MIN(AV$3,$D$2-1)))))</f>
        <v/>
      </c>
      <c r="AW84" s="130">
        <f>IF(OR($C84="",$B$2="",$D$2=0),0,IF(AW$3&lt;0,0,N(INDEX('CURVA PREVISION'!$A$1:$KZ$3000,$C84,11+3*MIN(AW$3,$D$2-1)))))</f>
        <v/>
      </c>
      <c r="AX84" s="130">
        <f>IF(OR($C84="",$B$2="",$D$2=0),0,IF(AX$3&lt;0,0,N(INDEX('CURVA PREVISION'!$A$1:$KZ$3000,$C84,11+3*MIN(AX$3,$D$2-1)))))</f>
        <v/>
      </c>
      <c r="AY84" s="130">
        <f>IF(OR($C84="",$B$2="",$D$2=0),0,IF(AY$3&lt;0,0,N(INDEX('CURVA PREVISION'!$A$1:$KZ$3000,$C84,11+3*MIN(AY$3,$D$2-1)))))</f>
        <v/>
      </c>
      <c r="AZ84" s="130">
        <f>IF(OR($C84="",$B$2="",$D$2=0),0,IF(AZ$3&lt;0,0,N(INDEX('CURVA PREVISION'!$A$1:$KZ$3000,$C84,11+3*MIN(AZ$3,$D$2-1)))))</f>
        <v/>
      </c>
      <c r="BA84" s="130">
        <f>IF(OR($C84="",$B$2="",$D$2=0),0,IF(BA$3&lt;0,0,N(INDEX('CURVA PREVISION'!$A$1:$KZ$3000,$C84,11+3*MIN(BA$3,$D$2-1)))))</f>
        <v/>
      </c>
      <c r="BB84" s="130">
        <f>IF(OR($C84="",$B$2="",$D$2=0),0,IF(BB$3&lt;0,0,N(INDEX('CURVA PREVISION'!$A$1:$KZ$3000,$C84,11+3*MIN(BB$3,$D$2-1)))))</f>
        <v/>
      </c>
      <c r="BC84" s="130">
        <f>IF(OR($C84="",$B$2="",$D$2=0),0,IF(BC$3&lt;0,0,N(INDEX('CURVA PREVISION'!$A$1:$KZ$3000,$C84,11+3*MIN(BC$3,$D$2-1)))))</f>
        <v/>
      </c>
      <c r="BD84" s="130">
        <f>IF(OR($C84="",$B$2="",$D$2=0),0,IF(BD$3&lt;0,0,N(INDEX('CURVA PREVISION'!$A$1:$KZ$3000,$C84,11+3*MIN(BD$3,$D$2-1)))))</f>
        <v/>
      </c>
      <c r="BE84" s="130">
        <f>IF(OR($C84="",$B$2="",$D$2=0),0,IF(BE$3&lt;0,0,N(INDEX('CURVA PREVISION'!$A$1:$KZ$3000,$C84,11+3*MIN(BE$3,$D$2-1)))))</f>
        <v/>
      </c>
      <c r="BF84" s="130">
        <f>IF(OR($C84="",$B$2="",$D$2=0),0,IF(BF$3&lt;0,0,N(INDEX('CURVA PREVISION'!$A$1:$KZ$3000,$C84,11+3*MIN(BF$3,$D$2-1)))))</f>
        <v/>
      </c>
      <c r="BG84" s="130">
        <f>IF(OR($C84="",$B$2="",$D$2=0),0,IF(BG$3&lt;0,0,N(INDEX('CURVA PREVISION'!$A$1:$KZ$3000,$C84,11+3*MIN(BG$3,$D$2-1)))))</f>
        <v/>
      </c>
      <c r="BH84" s="130">
        <f>IF(OR($C84="",$B$2="",$D$2=0),0,IF(BH$3&lt;0,0,N(INDEX('CURVA PREVISION'!$A$1:$KZ$3000,$C84,11+3*MIN(BH$3,$D$2-1)))))</f>
        <v/>
      </c>
      <c r="BI84" s="130">
        <f>IF(OR($C84="",$B$2="",$D$2=0),0,IF(BI$3&lt;0,0,N(INDEX('CURVA PREVISION'!$A$1:$KZ$3000,$C84,11+3*MIN(BI$3,$D$2-1)))))</f>
        <v/>
      </c>
      <c r="BJ84" s="130">
        <f>IF(OR($C84="",$B$2="",$D$2=0),0,IF(BJ$3&lt;0,0,N(INDEX('CURVA PREVISION'!$A$1:$KZ$3000,$C84,11+3*MIN(BJ$3,$D$2-1)))))</f>
        <v/>
      </c>
      <c r="BK84" s="130">
        <f>IF(OR($C84="",$B$2="",$D$2=0),0,IF(BK$3&lt;0,0,N(INDEX('CURVA PREVISION'!$A$1:$KZ$3000,$C84,11+3*MIN(BK$3,$D$2-1)))))</f>
        <v/>
      </c>
      <c r="BL84" s="130">
        <f>IF(OR($C84="",$B$2="",$D$2=0),0,IF(BL$3&lt;0,0,N(INDEX('CURVA PREVISION'!$A$1:$KZ$3000,$C84,11+3*MIN(BL$3,$D$2-1)))))</f>
        <v/>
      </c>
      <c r="BM84" s="130">
        <f>IF(OR($C84="",$B$2="",$D$2=0),0,IF(BM$3&lt;0,0,N(INDEX('CURVA PREVISION'!$A$1:$KZ$3000,$C84,11+3*MIN(BM$3,$D$2-1)))))</f>
        <v/>
      </c>
      <c r="BN84" s="130">
        <f>IF(OR($C84="",$B$2="",$D$2=0),0,IF(BN$3&lt;0,0,N(INDEX('CURVA PREVISION'!$A$1:$KZ$3000,$C84,11+3*MIN(BN$3,$D$2-1)))))</f>
        <v/>
      </c>
      <c r="BO84" s="130">
        <f>IF(OR($C84="",$B$2="",$D$2=0),0,IF(BO$3&lt;0,0,N(INDEX('CURVA PREVISION'!$A$1:$KZ$3000,$C84,11+3*MIN(BO$3,$D$2-1)))))</f>
        <v/>
      </c>
      <c r="BP84" s="130">
        <f>IF(OR($C84="",$B$2="",$D$2=0),0,IF(BP$3&lt;0,0,N(INDEX('CURVA PREVISION'!$A$1:$KZ$3000,$C84,11+3*MIN(BP$3,$D$2-1)))))</f>
        <v/>
      </c>
      <c r="BQ84" s="130">
        <f>IF(OR($C84="",$B$2="",$D$2=0),0,IF(BQ$3&lt;0,0,N(INDEX('CURVA PREVISION'!$A$1:$KZ$3000,$C84,11+3*MIN(BQ$3,$D$2-1)))))</f>
        <v/>
      </c>
      <c r="BR84" s="130">
        <f>IF(OR($C84="",$B$2="",$D$2=0),0,IF(BR$3&lt;0,0,N(INDEX('CURVA PREVISION'!$A$1:$KZ$3000,$C84,11+3*MIN(BR$3,$D$2-1)))))</f>
        <v/>
      </c>
      <c r="BS84" s="130">
        <f>IF(OR($C84="",$B$2="",$D$2=0),0,IF(BS$3&lt;0,0,N(INDEX('CURVA PREVISION'!$A$1:$KZ$3000,$C84,11+3*MIN(BS$3,$D$2-1)))))</f>
        <v/>
      </c>
      <c r="BT84" s="130">
        <f>IF(OR($C84="",$B$2="",$D$2=0),0,IF(BT$3&lt;0,0,N(INDEX('CURVA PREVISION'!$A$1:$KZ$3000,$C84,11+3*MIN(BT$3,$D$2-1)))))</f>
        <v/>
      </c>
      <c r="BU84" s="130">
        <f>IF(OR($C84="",$B$2="",$D$2=0),0,IF(BU$3&lt;0,0,N(INDEX('CURVA PREVISION'!$A$1:$KZ$3000,$C84,11+3*MIN(BU$3,$D$2-1)))))</f>
        <v/>
      </c>
      <c r="BV84" s="130">
        <f>IF(OR($C84="",$B$2="",$D$2=0),0,IF(BV$3&lt;0,0,N(INDEX('CURVA PREVISION'!$A$1:$KZ$3000,$C84,11+3*MIN(BV$3,$D$2-1)))))</f>
        <v/>
      </c>
      <c r="BW84" s="130">
        <f>IF(OR($C84="",$B$2="",$D$2=0),0,IF(BW$3&lt;0,0,N(INDEX('CURVA PREVISION'!$A$1:$KZ$3000,$C84,11+3*MIN(BW$3,$D$2-1)))))</f>
        <v/>
      </c>
    </row>
  </sheetData>
  <conditionalFormatting sqref="D47:BW84">
    <cfRule type="expression" priority="1" dxfId="8">
      <formula>D$4&gt;'VALOR POR PL'!$P$5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1:JS69"/>
  <sheetViews>
    <sheetView tabSelected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4" customWidth="1" min="78" max="78"/>
    <col hidden="1" outlineLevel="1" width="13" customWidth="1" min="80" max="80"/>
    <col hidden="1" outlineLevel="1" width="13" customWidth="1" min="81" max="81"/>
    <col hidden="1" outlineLevel="1" width="13" customWidth="1" min="82" max="82"/>
    <col hidden="1" outlineLevel="1" width="13" customWidth="1" min="83" max="83"/>
    <col hidden="1" outlineLevel="1" width="13" customWidth="1" min="84" max="84"/>
    <col hidden="1" outlineLevel="1" width="13" customWidth="1" min="85" max="85"/>
    <col hidden="1" outlineLevel="1" width="13" customWidth="1" min="86" max="86"/>
    <col hidden="1" outlineLevel="1" width="13" customWidth="1" min="87" max="87"/>
    <col hidden="1" outlineLevel="1" width="13" customWidth="1" min="88" max="88"/>
    <col hidden="1" outlineLevel="1" width="13" customWidth="1" min="89" max="89"/>
    <col hidden="1" outlineLevel="1" width="13" customWidth="1" min="90" max="90"/>
    <col hidden="1" outlineLevel="1" width="13" customWidth="1" min="91" max="91"/>
    <col hidden="1" outlineLevel="1" width="13" customWidth="1" min="92" max="92"/>
    <col hidden="1" outlineLevel="1" width="13" customWidth="1" min="93" max="93"/>
    <col hidden="1" outlineLevel="1" width="13" customWidth="1" min="94" max="94"/>
    <col hidden="1" outlineLevel="1" width="13" customWidth="1" min="95" max="95"/>
    <col hidden="1" outlineLevel="1" width="13" customWidth="1" min="96" max="96"/>
    <col hidden="1" outlineLevel="1" width="13" customWidth="1" min="97" max="97"/>
    <col hidden="1" outlineLevel="1" width="13" customWidth="1" min="98" max="98"/>
    <col hidden="1" outlineLevel="1" width="13" customWidth="1" min="99" max="99"/>
    <col hidden="1" outlineLevel="1" width="13" customWidth="1" min="100" max="100"/>
    <col hidden="1" outlineLevel="1" width="13" customWidth="1" min="101" max="101"/>
    <col hidden="1" outlineLevel="1" width="13" customWidth="1" min="102" max="102"/>
    <col hidden="1" outlineLevel="1" width="13" customWidth="1" min="103" max="103"/>
    <col hidden="1" outlineLevel="1" width="13" customWidth="1" min="104" max="104"/>
    <col hidden="1" outlineLevel="1" width="13" customWidth="1" min="105" max="105"/>
    <col hidden="1" outlineLevel="1" width="13" customWidth="1" min="106" max="106"/>
    <col hidden="1" outlineLevel="1" width="13" customWidth="1" min="107" max="107"/>
    <col hidden="1" outlineLevel="1" width="13" customWidth="1" min="108" max="108"/>
    <col hidden="1" outlineLevel="1" width="13" customWidth="1" min="109" max="109"/>
    <col hidden="1" outlineLevel="1" width="13" customWidth="1" min="110" max="110"/>
    <col hidden="1" outlineLevel="1" width="13" customWidth="1" min="111" max="111"/>
    <col hidden="1" outlineLevel="1" width="13" customWidth="1" min="112" max="112"/>
    <col hidden="1" outlineLevel="1" width="13" customWidth="1" min="113" max="113"/>
    <col hidden="1" outlineLevel="1" width="13" customWidth="1" min="114" max="114"/>
    <col hidden="1" outlineLevel="1" width="13" customWidth="1" min="115" max="115"/>
    <col hidden="1" outlineLevel="1" width="13" customWidth="1" min="116" max="116"/>
    <col hidden="1" outlineLevel="1" width="13" customWidth="1" min="117" max="117"/>
    <col hidden="1" outlineLevel="1" width="13" customWidth="1" min="118" max="118"/>
    <col hidden="1" outlineLevel="1" width="13" customWidth="1" min="119" max="119"/>
    <col hidden="1" outlineLevel="1" width="13" customWidth="1" min="120" max="120"/>
    <col hidden="1" outlineLevel="1" width="13" customWidth="1" min="121" max="121"/>
    <col hidden="1" outlineLevel="1" width="13" customWidth="1" min="122" max="122"/>
    <col hidden="1" outlineLevel="1" width="13" customWidth="1" min="123" max="123"/>
    <col hidden="1" outlineLevel="1" width="13" customWidth="1" min="124" max="124"/>
    <col hidden="1" outlineLevel="1" width="13" customWidth="1" min="125" max="125"/>
    <col hidden="1" outlineLevel="1" width="13" customWidth="1" min="126" max="126"/>
    <col hidden="1" outlineLevel="1" width="13" customWidth="1" min="127" max="127"/>
    <col hidden="1" outlineLevel="1" width="13" customWidth="1" min="128" max="128"/>
    <col hidden="1" outlineLevel="1" width="13" customWidth="1" min="129" max="129"/>
    <col hidden="1" outlineLevel="1" width="13" customWidth="1" min="130" max="130"/>
    <col hidden="1" outlineLevel="1" width="13" customWidth="1" min="131" max="131"/>
    <col hidden="1" outlineLevel="1" width="13" customWidth="1" min="132" max="132"/>
    <col hidden="1" outlineLevel="1" width="13" customWidth="1" min="133" max="133"/>
    <col hidden="1" outlineLevel="1" width="13" customWidth="1" min="134" max="134"/>
    <col hidden="1" outlineLevel="1" width="13" customWidth="1" min="135" max="135"/>
    <col hidden="1" outlineLevel="1" width="13" customWidth="1" min="136" max="136"/>
    <col hidden="1" outlineLevel="1" width="13" customWidth="1" min="137" max="137"/>
    <col hidden="1" outlineLevel="1" width="13" customWidth="1" min="138" max="138"/>
    <col hidden="1" outlineLevel="1" width="13" customWidth="1" min="139" max="139"/>
    <col hidden="1" outlineLevel="1" width="13" customWidth="1" min="140" max="140"/>
    <col hidden="1" outlineLevel="1" width="13" customWidth="1" min="141" max="141"/>
    <col hidden="1" outlineLevel="1" width="13" customWidth="1" min="142" max="142"/>
    <col hidden="1" outlineLevel="1" width="13" customWidth="1" min="143" max="143"/>
    <col hidden="1" outlineLevel="1" width="13" customWidth="1" min="144" max="144"/>
    <col hidden="1" outlineLevel="1" width="13" customWidth="1" min="145" max="145"/>
    <col hidden="1" outlineLevel="1" width="13" customWidth="1" min="146" max="146"/>
    <col hidden="1" outlineLevel="1" width="13" customWidth="1" min="147" max="147"/>
    <col hidden="1" outlineLevel="1" width="13" customWidth="1" min="148" max="148"/>
    <col hidden="1" outlineLevel="1" width="13" customWidth="1" min="149" max="149"/>
    <col hidden="1" outlineLevel="1" width="13" customWidth="1" min="150" max="150"/>
    <col hidden="1" outlineLevel="1" width="13" customWidth="1" min="151" max="151"/>
    <col hidden="1" outlineLevel="1" width="13" customWidth="1" min="152" max="152"/>
    <col hidden="1" outlineLevel="1" width="13" customWidth="1" min="153" max="153"/>
    <col hidden="1" outlineLevel="1" width="13" customWidth="1" min="154" max="154"/>
    <col hidden="1" outlineLevel="1" width="13" customWidth="1" min="155" max="155"/>
    <col hidden="1" outlineLevel="1" width="13" customWidth="1" min="156" max="156"/>
    <col hidden="1" outlineLevel="1" width="13" customWidth="1" min="157" max="157"/>
    <col hidden="1" outlineLevel="1" width="13" customWidth="1" min="158" max="158"/>
    <col hidden="1" outlineLevel="1" width="13" customWidth="1" min="159" max="159"/>
    <col hidden="1" outlineLevel="1" width="13" customWidth="1" min="160" max="160"/>
    <col hidden="1" outlineLevel="1" width="13" customWidth="1" min="161" max="161"/>
    <col hidden="1" outlineLevel="1" width="13" customWidth="1" min="162" max="162"/>
    <col hidden="1" outlineLevel="1" width="13" customWidth="1" min="163" max="163"/>
    <col hidden="1" outlineLevel="1" width="13" customWidth="1" min="164" max="164"/>
    <col hidden="1" outlineLevel="1" width="13" customWidth="1" min="165" max="165"/>
    <col hidden="1" outlineLevel="1" width="13" customWidth="1" min="166" max="166"/>
    <col hidden="1" outlineLevel="1" width="13" customWidth="1" min="167" max="167"/>
    <col hidden="1" outlineLevel="1" width="13" customWidth="1" min="168" max="168"/>
    <col hidden="1" outlineLevel="1" width="13" customWidth="1" min="169" max="169"/>
    <col hidden="1" outlineLevel="1" width="13" customWidth="1" min="170" max="170"/>
    <col hidden="1" outlineLevel="1" width="13" customWidth="1" min="171" max="171"/>
    <col hidden="1" outlineLevel="1" width="13" customWidth="1" min="172" max="172"/>
    <col hidden="1" outlineLevel="1" width="13" customWidth="1" min="173" max="173"/>
    <col hidden="1" outlineLevel="1" width="13" customWidth="1" min="174" max="174"/>
    <col hidden="1" outlineLevel="1" width="13" customWidth="1" min="175" max="175"/>
    <col hidden="1" outlineLevel="1" width="13" customWidth="1" min="176" max="176"/>
    <col hidden="1" outlineLevel="1" width="13" customWidth="1" min="177" max="177"/>
    <col hidden="1" outlineLevel="1" width="13" customWidth="1" min="178" max="178"/>
    <col hidden="1" outlineLevel="1" width="13" customWidth="1" min="179" max="179"/>
    <col hidden="1" outlineLevel="1" width="13" customWidth="1" min="180" max="180"/>
    <col hidden="1" outlineLevel="1" width="13" customWidth="1" min="181" max="181"/>
    <col hidden="1" outlineLevel="1" width="13" customWidth="1" min="182" max="182"/>
    <col hidden="1" outlineLevel="1" width="13" customWidth="1" min="183" max="183"/>
    <col hidden="1" outlineLevel="1" width="13" customWidth="1" min="184" max="184"/>
    <col hidden="1" outlineLevel="1" width="13" customWidth="1" min="185" max="185"/>
    <col hidden="1" outlineLevel="1" width="13" customWidth="1" min="186" max="186"/>
    <col hidden="1" outlineLevel="1" width="13" customWidth="1" min="187" max="187"/>
    <col hidden="1" outlineLevel="1" width="13" customWidth="1" min="188" max="188"/>
    <col hidden="1" outlineLevel="1" width="13" customWidth="1" min="189" max="189"/>
    <col hidden="1" outlineLevel="1" width="13" customWidth="1" min="190" max="190"/>
    <col hidden="1" outlineLevel="1" width="13" customWidth="1" min="191" max="191"/>
    <col hidden="1" outlineLevel="1" width="13" customWidth="1" min="192" max="192"/>
    <col hidden="1" outlineLevel="1" width="13" customWidth="1" min="193" max="193"/>
    <col hidden="1" outlineLevel="1" width="13" customWidth="1" min="194" max="194"/>
    <col hidden="1" outlineLevel="1" width="13" customWidth="1" min="195" max="195"/>
    <col hidden="1" outlineLevel="1" width="13" customWidth="1" min="196" max="196"/>
    <col hidden="1" outlineLevel="1" width="13" customWidth="1" min="197" max="197"/>
    <col hidden="1" outlineLevel="1" width="13" customWidth="1" min="198" max="198"/>
    <col hidden="1" outlineLevel="1" width="13" customWidth="1" min="199" max="199"/>
    <col hidden="1" outlineLevel="1" width="13" customWidth="1" min="200" max="200"/>
    <col hidden="1" outlineLevel="1" width="13" customWidth="1" min="201" max="201"/>
    <col hidden="1" outlineLevel="1" width="13" customWidth="1" min="202" max="202"/>
    <col hidden="1" outlineLevel="1" width="13" customWidth="1" min="203" max="203"/>
    <col hidden="1" outlineLevel="1" width="13" customWidth="1" min="204" max="204"/>
    <col hidden="1" outlineLevel="1" width="13" customWidth="1" min="205" max="205"/>
    <col hidden="1" outlineLevel="1" width="13" customWidth="1" min="206" max="206"/>
    <col hidden="1" outlineLevel="1" width="13" customWidth="1" min="207" max="207"/>
    <col hidden="1" outlineLevel="1" width="13" customWidth="1" min="208" max="208"/>
    <col hidden="1" outlineLevel="1" width="13" customWidth="1" min="209" max="209"/>
    <col hidden="1" outlineLevel="1" width="13" customWidth="1" min="210" max="210"/>
    <col hidden="1" outlineLevel="1" width="13" customWidth="1" min="211" max="211"/>
    <col hidden="1" outlineLevel="1" width="13" customWidth="1" min="212" max="212"/>
    <col hidden="1" outlineLevel="1" width="13" customWidth="1" min="213" max="213"/>
    <col hidden="1" outlineLevel="1" width="13" customWidth="1" min="214" max="214"/>
    <col hidden="1" outlineLevel="1" width="13" customWidth="1" min="215" max="215"/>
    <col hidden="1" outlineLevel="1" width="13" customWidth="1" min="216" max="216"/>
    <col hidden="1" outlineLevel="1" width="13" customWidth="1" min="217" max="217"/>
    <col hidden="1" outlineLevel="1" width="13" customWidth="1" min="218" max="218"/>
    <col hidden="1" outlineLevel="1" width="13" customWidth="1" min="219" max="219"/>
    <col hidden="1" outlineLevel="1" width="13" customWidth="1" min="220" max="220"/>
    <col hidden="1" outlineLevel="1" width="13" customWidth="1" min="221" max="221"/>
    <col hidden="1" outlineLevel="1" width="13" customWidth="1" min="222" max="222"/>
    <col hidden="1" outlineLevel="1" width="13" customWidth="1" min="223" max="223"/>
    <col hidden="1" outlineLevel="1" width="13" customWidth="1" min="224" max="224"/>
    <col hidden="1" outlineLevel="1" width="13" customWidth="1" min="225" max="225"/>
    <col hidden="1" outlineLevel="1" width="13" customWidth="1" min="226" max="226"/>
    <col hidden="1" outlineLevel="1" width="13" customWidth="1" min="227" max="227"/>
    <col hidden="1" outlineLevel="1" width="13" customWidth="1" min="228" max="228"/>
    <col hidden="1" outlineLevel="1" width="13" customWidth="1" min="229" max="229"/>
    <col hidden="1" outlineLevel="1" width="13" customWidth="1" min="230" max="230"/>
    <col hidden="1" outlineLevel="1" width="13" customWidth="1" min="231" max="231"/>
    <col hidden="1" outlineLevel="1" width="13" customWidth="1" min="232" max="232"/>
    <col hidden="1" outlineLevel="1" width="13" customWidth="1" min="233" max="233"/>
    <col hidden="1" outlineLevel="1" width="13" customWidth="1" min="234" max="234"/>
    <col hidden="1" outlineLevel="1" width="13" customWidth="1" min="235" max="235"/>
    <col hidden="1" outlineLevel="1" width="13" customWidth="1" min="236" max="236"/>
    <col hidden="1" outlineLevel="1" width="13" customWidth="1" min="237" max="237"/>
    <col hidden="1" outlineLevel="1" width="13" customWidth="1" min="238" max="238"/>
    <col hidden="1" outlineLevel="1" width="13" customWidth="1" min="239" max="239"/>
    <col hidden="1" outlineLevel="1" width="13" customWidth="1" min="240" max="240"/>
    <col hidden="1" outlineLevel="1" width="13" customWidth="1" min="241" max="241"/>
    <col hidden="1" outlineLevel="1" width="13" customWidth="1" min="242" max="242"/>
    <col hidden="1" outlineLevel="1" width="13" customWidth="1" min="243" max="243"/>
    <col hidden="1" outlineLevel="1" width="13" customWidth="1" min="244" max="244"/>
    <col hidden="1" outlineLevel="1" width="13" customWidth="1" min="245" max="245"/>
    <col hidden="1" outlineLevel="1" width="13" customWidth="1" min="246" max="246"/>
    <col hidden="1" outlineLevel="1" width="13" customWidth="1" min="247" max="247"/>
    <col hidden="1" outlineLevel="1" width="13" customWidth="1" min="248" max="248"/>
    <col hidden="1" outlineLevel="1" width="13" customWidth="1" min="249" max="249"/>
    <col hidden="1" outlineLevel="1" width="13" customWidth="1" min="250" max="250"/>
    <col hidden="1" outlineLevel="1" width="13" customWidth="1" min="251" max="251"/>
    <col hidden="1" outlineLevel="1" width="13" customWidth="1" min="252" max="252"/>
    <col hidden="1" outlineLevel="1" width="13" customWidth="1" min="253" max="253"/>
    <col hidden="1" outlineLevel="1" width="13" customWidth="1" min="254" max="254"/>
    <col hidden="1" outlineLevel="1" width="13" customWidth="1" min="255" max="255"/>
    <col hidden="1" outlineLevel="1" width="13" customWidth="1" min="256" max="256"/>
    <col hidden="1" outlineLevel="1" width="13" customWidth="1" min="257" max="257"/>
    <col hidden="1" outlineLevel="1" width="13" customWidth="1" min="258" max="258"/>
    <col hidden="1" outlineLevel="1" width="13" customWidth="1" min="259" max="259"/>
    <col hidden="1" outlineLevel="1" width="13" customWidth="1" min="260" max="260"/>
    <col hidden="1" outlineLevel="1" width="13" customWidth="1" min="261" max="261"/>
    <col hidden="1" outlineLevel="1" width="13" customWidth="1" min="262" max="262"/>
    <col hidden="1" outlineLevel="1" width="13" customWidth="1" min="263" max="263"/>
    <col hidden="1" outlineLevel="1" width="13" customWidth="1" min="264" max="264"/>
    <col hidden="1" outlineLevel="1" width="13" customWidth="1" min="265" max="265"/>
    <col hidden="1" outlineLevel="1" width="13" customWidth="1" min="266" max="266"/>
    <col hidden="1" outlineLevel="1" width="13" customWidth="1" min="267" max="267"/>
    <col hidden="1" outlineLevel="1" width="13" customWidth="1" min="268" max="268"/>
    <col hidden="1" outlineLevel="1" width="13" customWidth="1" min="269" max="269"/>
    <col hidden="1" outlineLevel="1" width="13" customWidth="1" min="270" max="270"/>
    <col hidden="1" outlineLevel="1" width="13" customWidth="1" min="271" max="271"/>
    <col hidden="1" outlineLevel="1" width="13" customWidth="1" min="272" max="272"/>
    <col hidden="1" outlineLevel="1" width="13" customWidth="1" min="273" max="273"/>
    <col hidden="1" outlineLevel="1" width="13" customWidth="1" min="274" max="274"/>
    <col hidden="1" outlineLevel="1" width="13" customWidth="1" min="275" max="275"/>
    <col hidden="1" outlineLevel="1" width="13" customWidth="1" min="276" max="276"/>
    <col hidden="1" outlineLevel="1" width="13" customWidth="1" min="277" max="277"/>
    <col hidden="1" outlineLevel="1" width="13" customWidth="1" min="278" max="278"/>
    <col hidden="1" outlineLevel="1" width="13" customWidth="1" min="279" max="279"/>
  </cols>
  <sheetData>
    <row r="1">
      <c r="A1" s="3" t="inlineStr">
        <is>
          <t>INCORRIDO POR DISCIPLINA E MÊS (R$) — lido da aba DADOS BRUTOS pelo NOME do grupo e pela DATA do mês</t>
        </is>
      </c>
      <c r="CB1" s="131">
        <f>IF(CB$4="",0,IFERROR(1/INDEX('"INCC-FGV"'!$B$2:$B$800,MATCH(CB$4,'"INCC-FGV"'!$A$2:$A$800,0)),0))</f>
        <v/>
      </c>
      <c r="CC1" s="131">
        <f>IF(CC$4="",0,IFERROR(1/INDEX('"INCC-FGV"'!$B$2:$B$800,MATCH(CC$4,'"INCC-FGV"'!$A$2:$A$800,0)),0))</f>
        <v/>
      </c>
      <c r="CD1" s="131">
        <f>IF(CD$4="",0,IFERROR(1/INDEX('"INCC-FGV"'!$B$2:$B$800,MATCH(CD$4,'"INCC-FGV"'!$A$2:$A$800,0)),0))</f>
        <v/>
      </c>
      <c r="CE1" s="131">
        <f>IF(CE$4="",0,IFERROR(1/INDEX('"INCC-FGV"'!$B$2:$B$800,MATCH(CE$4,'"INCC-FGV"'!$A$2:$A$800,0)),0))</f>
        <v/>
      </c>
      <c r="CF1" s="131">
        <f>IF(CF$4="",0,IFERROR(1/INDEX('"INCC-FGV"'!$B$2:$B$800,MATCH(CF$4,'"INCC-FGV"'!$A$2:$A$800,0)),0))</f>
        <v/>
      </c>
      <c r="CG1" s="131">
        <f>IF(CG$4="",0,IFERROR(1/INDEX('"INCC-FGV"'!$B$2:$B$800,MATCH(CG$4,'"INCC-FGV"'!$A$2:$A$800,0)),0))</f>
        <v/>
      </c>
      <c r="CH1" s="131">
        <f>IF(CH$4="",0,IFERROR(1/INDEX('"INCC-FGV"'!$B$2:$B$800,MATCH(CH$4,'"INCC-FGV"'!$A$2:$A$800,0)),0))</f>
        <v/>
      </c>
      <c r="CI1" s="131">
        <f>IF(CI$4="",0,IFERROR(1/INDEX('"INCC-FGV"'!$B$2:$B$800,MATCH(CI$4,'"INCC-FGV"'!$A$2:$A$800,0)),0))</f>
        <v/>
      </c>
      <c r="CJ1" s="131">
        <f>IF(CJ$4="",0,IFERROR(1/INDEX('"INCC-FGV"'!$B$2:$B$800,MATCH(CJ$4,'"INCC-FGV"'!$A$2:$A$800,0)),0))</f>
        <v/>
      </c>
      <c r="CK1" s="131">
        <f>IF(CK$4="",0,IFERROR(1/INDEX('"INCC-FGV"'!$B$2:$B$800,MATCH(CK$4,'"INCC-FGV"'!$A$2:$A$800,0)),0))</f>
        <v/>
      </c>
      <c r="CL1" s="131">
        <f>IF(CL$4="",0,IFERROR(1/INDEX('"INCC-FGV"'!$B$2:$B$800,MATCH(CL$4,'"INCC-FGV"'!$A$2:$A$800,0)),0))</f>
        <v/>
      </c>
      <c r="CM1" s="131">
        <f>IF(CM$4="",0,IFERROR(1/INDEX('"INCC-FGV"'!$B$2:$B$800,MATCH(CM$4,'"INCC-FGV"'!$A$2:$A$800,0)),0))</f>
        <v/>
      </c>
      <c r="CN1" s="131">
        <f>IF(CN$4="",0,IFERROR(1/INDEX('"INCC-FGV"'!$B$2:$B$800,MATCH(CN$4,'"INCC-FGV"'!$A$2:$A$800,0)),0))</f>
        <v/>
      </c>
      <c r="CO1" s="131">
        <f>IF(CO$4="",0,IFERROR(1/INDEX('"INCC-FGV"'!$B$2:$B$800,MATCH(CO$4,'"INCC-FGV"'!$A$2:$A$800,0)),0))</f>
        <v/>
      </c>
      <c r="CP1" s="131">
        <f>IF(CP$4="",0,IFERROR(1/INDEX('"INCC-FGV"'!$B$2:$B$800,MATCH(CP$4,'"INCC-FGV"'!$A$2:$A$800,0)),0))</f>
        <v/>
      </c>
      <c r="CQ1" s="131">
        <f>IF(CQ$4="",0,IFERROR(1/INDEX('"INCC-FGV"'!$B$2:$B$800,MATCH(CQ$4,'"INCC-FGV"'!$A$2:$A$800,0)),0))</f>
        <v/>
      </c>
      <c r="CR1" s="131">
        <f>IF(CR$4="",0,IFERROR(1/INDEX('"INCC-FGV"'!$B$2:$B$800,MATCH(CR$4,'"INCC-FGV"'!$A$2:$A$800,0)),0))</f>
        <v/>
      </c>
      <c r="CS1" s="131">
        <f>IF(CS$4="",0,IFERROR(1/INDEX('"INCC-FGV"'!$B$2:$B$800,MATCH(CS$4,'"INCC-FGV"'!$A$2:$A$800,0)),0))</f>
        <v/>
      </c>
      <c r="CT1" s="131">
        <f>IF(CT$4="",0,IFERROR(1/INDEX('"INCC-FGV"'!$B$2:$B$800,MATCH(CT$4,'"INCC-FGV"'!$A$2:$A$800,0)),0))</f>
        <v/>
      </c>
      <c r="CU1" s="131">
        <f>IF(CU$4="",0,IFERROR(1/INDEX('"INCC-FGV"'!$B$2:$B$800,MATCH(CU$4,'"INCC-FGV"'!$A$2:$A$800,0)),0))</f>
        <v/>
      </c>
      <c r="CV1" s="131">
        <f>IF(CV$4="",0,IFERROR(1/INDEX('"INCC-FGV"'!$B$2:$B$800,MATCH(CV$4,'"INCC-FGV"'!$A$2:$A$800,0)),0))</f>
        <v/>
      </c>
      <c r="CW1" s="131">
        <f>IF(CW$4="",0,IFERROR(1/INDEX('"INCC-FGV"'!$B$2:$B$800,MATCH(CW$4,'"INCC-FGV"'!$A$2:$A$800,0)),0))</f>
        <v/>
      </c>
      <c r="CX1" s="131">
        <f>IF(CX$4="",0,IFERROR(1/INDEX('"INCC-FGV"'!$B$2:$B$800,MATCH(CX$4,'"INCC-FGV"'!$A$2:$A$800,0)),0))</f>
        <v/>
      </c>
      <c r="CY1" s="131">
        <f>IF(CY$4="",0,IFERROR(1/INDEX('"INCC-FGV"'!$B$2:$B$800,MATCH(CY$4,'"INCC-FGV"'!$A$2:$A$800,0)),0))</f>
        <v/>
      </c>
      <c r="CZ1" s="131">
        <f>IF(CZ$4="",0,IFERROR(1/INDEX('"INCC-FGV"'!$B$2:$B$800,MATCH(CZ$4,'"INCC-FGV"'!$A$2:$A$800,0)),0))</f>
        <v/>
      </c>
      <c r="DA1" s="131">
        <f>IF(DA$4="",0,IFERROR(1/INDEX('"INCC-FGV"'!$B$2:$B$800,MATCH(DA$4,'"INCC-FGV"'!$A$2:$A$800,0)),0))</f>
        <v/>
      </c>
      <c r="DB1" s="131">
        <f>IF(DB$4="",0,IFERROR(1/INDEX('"INCC-FGV"'!$B$2:$B$800,MATCH(DB$4,'"INCC-FGV"'!$A$2:$A$800,0)),0))</f>
        <v/>
      </c>
      <c r="DC1" s="131">
        <f>IF(DC$4="",0,IFERROR(1/INDEX('"INCC-FGV"'!$B$2:$B$800,MATCH(DC$4,'"INCC-FGV"'!$A$2:$A$800,0)),0))</f>
        <v/>
      </c>
      <c r="DD1" s="131">
        <f>IF(DD$4="",0,IFERROR(1/INDEX('"INCC-FGV"'!$B$2:$B$800,MATCH(DD$4,'"INCC-FGV"'!$A$2:$A$800,0)),0))</f>
        <v/>
      </c>
      <c r="DE1" s="131">
        <f>IF(DE$4="",0,IFERROR(1/INDEX('"INCC-FGV"'!$B$2:$B$800,MATCH(DE$4,'"INCC-FGV"'!$A$2:$A$800,0)),0))</f>
        <v/>
      </c>
      <c r="DF1" s="131">
        <f>IF(DF$4="",0,IFERROR(1/INDEX('"INCC-FGV"'!$B$2:$B$800,MATCH(DF$4,'"INCC-FGV"'!$A$2:$A$800,0)),0))</f>
        <v/>
      </c>
      <c r="DG1" s="131">
        <f>IF(DG$4="",0,IFERROR(1/INDEX('"INCC-FGV"'!$B$2:$B$800,MATCH(DG$4,'"INCC-FGV"'!$A$2:$A$800,0)),0))</f>
        <v/>
      </c>
      <c r="DH1" s="131">
        <f>IF(DH$4="",0,IFERROR(1/INDEX('"INCC-FGV"'!$B$2:$B$800,MATCH(DH$4,'"INCC-FGV"'!$A$2:$A$800,0)),0))</f>
        <v/>
      </c>
      <c r="DI1" s="131">
        <f>IF(DI$4="",0,IFERROR(1/INDEX('"INCC-FGV"'!$B$2:$B$800,MATCH(DI$4,'"INCC-FGV"'!$A$2:$A$800,0)),0))</f>
        <v/>
      </c>
      <c r="DJ1" s="131">
        <f>IF(DJ$4="",0,IFERROR(1/INDEX('"INCC-FGV"'!$B$2:$B$800,MATCH(DJ$4,'"INCC-FGV"'!$A$2:$A$800,0)),0))</f>
        <v/>
      </c>
      <c r="DK1" s="131">
        <f>IF(DK$4="",0,IFERROR(1/INDEX('"INCC-FGV"'!$B$2:$B$800,MATCH(DK$4,'"INCC-FGV"'!$A$2:$A$800,0)),0))</f>
        <v/>
      </c>
      <c r="DL1" s="131">
        <f>IF(DL$4="",0,IFERROR(1/INDEX('"INCC-FGV"'!$B$2:$B$800,MATCH(DL$4,'"INCC-FGV"'!$A$2:$A$800,0)),0))</f>
        <v/>
      </c>
      <c r="DM1" s="131">
        <f>IF(DM$4="",0,IFERROR(1/INDEX('"INCC-FGV"'!$B$2:$B$800,MATCH(DM$4,'"INCC-FGV"'!$A$2:$A$800,0)),0))</f>
        <v/>
      </c>
      <c r="DN1" s="131">
        <f>IF(DN$4="",0,IFERROR(1/INDEX('"INCC-FGV"'!$B$2:$B$800,MATCH(DN$4,'"INCC-FGV"'!$A$2:$A$800,0)),0))</f>
        <v/>
      </c>
      <c r="DO1" s="131">
        <f>IF(DO$4="",0,IFERROR(1/INDEX('"INCC-FGV"'!$B$2:$B$800,MATCH(DO$4,'"INCC-FGV"'!$A$2:$A$800,0)),0))</f>
        <v/>
      </c>
      <c r="DP1" s="131">
        <f>IF(DP$4="",0,IFERROR(1/INDEX('"INCC-FGV"'!$B$2:$B$800,MATCH(DP$4,'"INCC-FGV"'!$A$2:$A$800,0)),0))</f>
        <v/>
      </c>
      <c r="DQ1" s="131">
        <f>IF(DQ$4="",0,IFERROR(1/INDEX('"INCC-FGV"'!$B$2:$B$800,MATCH(DQ$4,'"INCC-FGV"'!$A$2:$A$800,0)),0))</f>
        <v/>
      </c>
      <c r="DR1" s="131">
        <f>IF(DR$4="",0,IFERROR(1/INDEX('"INCC-FGV"'!$B$2:$B$800,MATCH(DR$4,'"INCC-FGV"'!$A$2:$A$800,0)),0))</f>
        <v/>
      </c>
      <c r="DS1" s="131">
        <f>IF(DS$4="",0,IFERROR(1/INDEX('"INCC-FGV"'!$B$2:$B$800,MATCH(DS$4,'"INCC-FGV"'!$A$2:$A$800,0)),0))</f>
        <v/>
      </c>
      <c r="DT1" s="131">
        <f>IF(DT$4="",0,IFERROR(1/INDEX('"INCC-FGV"'!$B$2:$B$800,MATCH(DT$4,'"INCC-FGV"'!$A$2:$A$800,0)),0))</f>
        <v/>
      </c>
      <c r="DU1" s="131">
        <f>IF(DU$4="",0,IFERROR(1/INDEX('"INCC-FGV"'!$B$2:$B$800,MATCH(DU$4,'"INCC-FGV"'!$A$2:$A$800,0)),0))</f>
        <v/>
      </c>
      <c r="DV1" s="131">
        <f>IF(DV$4="",0,IFERROR(1/INDEX('"INCC-FGV"'!$B$2:$B$800,MATCH(DV$4,'"INCC-FGV"'!$A$2:$A$800,0)),0))</f>
        <v/>
      </c>
      <c r="DW1" s="131">
        <f>IF(DW$4="",0,IFERROR(1/INDEX('"INCC-FGV"'!$B$2:$B$800,MATCH(DW$4,'"INCC-FGV"'!$A$2:$A$800,0)),0))</f>
        <v/>
      </c>
      <c r="DX1" s="131">
        <f>IF(DX$4="",0,IFERROR(1/INDEX('"INCC-FGV"'!$B$2:$B$800,MATCH(DX$4,'"INCC-FGV"'!$A$2:$A$800,0)),0))</f>
        <v/>
      </c>
      <c r="DY1" s="131">
        <f>IF(DY$4="",0,IFERROR(1/INDEX('"INCC-FGV"'!$B$2:$B$800,MATCH(DY$4,'"INCC-FGV"'!$A$2:$A$800,0)),0))</f>
        <v/>
      </c>
      <c r="DZ1" s="131">
        <f>IF(DZ$4="",0,IFERROR(1/INDEX('"INCC-FGV"'!$B$2:$B$800,MATCH(DZ$4,'"INCC-FGV"'!$A$2:$A$800,0)),0))</f>
        <v/>
      </c>
      <c r="EA1" s="131">
        <f>IF(EA$4="",0,IFERROR(1/INDEX('"INCC-FGV"'!$B$2:$B$800,MATCH(EA$4,'"INCC-FGV"'!$A$2:$A$800,0)),0))</f>
        <v/>
      </c>
      <c r="EB1" s="131">
        <f>IF(EB$4="",0,IFERROR(1/INDEX('"INCC-FGV"'!$B$2:$B$800,MATCH(EB$4,'"INCC-FGV"'!$A$2:$A$800,0)),0))</f>
        <v/>
      </c>
      <c r="EC1" s="131">
        <f>IF(EC$4="",0,IFERROR(1/INDEX('"INCC-FGV"'!$B$2:$B$800,MATCH(EC$4,'"INCC-FGV"'!$A$2:$A$800,0)),0))</f>
        <v/>
      </c>
      <c r="ED1" s="131">
        <f>IF(ED$4="",0,IFERROR(1/INDEX('"INCC-FGV"'!$B$2:$B$800,MATCH(ED$4,'"INCC-FGV"'!$A$2:$A$800,0)),0))</f>
        <v/>
      </c>
      <c r="EE1" s="131">
        <f>IF(EE$4="",0,IFERROR(1/INDEX('"INCC-FGV"'!$B$2:$B$800,MATCH(EE$4,'"INCC-FGV"'!$A$2:$A$800,0)),0))</f>
        <v/>
      </c>
      <c r="EF1" s="131">
        <f>IF(EF$4="",0,IFERROR(1/INDEX('"INCC-FGV"'!$B$2:$B$800,MATCH(EF$4,'"INCC-FGV"'!$A$2:$A$800,0)),0))</f>
        <v/>
      </c>
      <c r="EG1" s="131">
        <f>IF(EG$4="",0,IFERROR(1/INDEX('"INCC-FGV"'!$B$2:$B$800,MATCH(EG$4,'"INCC-FGV"'!$A$2:$A$800,0)),0))</f>
        <v/>
      </c>
      <c r="EH1" s="131">
        <f>IF(EH$4="",0,IFERROR(1/INDEX('"INCC-FGV"'!$B$2:$B$800,MATCH(EH$4,'"INCC-FGV"'!$A$2:$A$800,0)),0))</f>
        <v/>
      </c>
      <c r="EI1" s="131">
        <f>IF(EI$4="",0,IFERROR(1/INDEX('"INCC-FGV"'!$B$2:$B$800,MATCH(EI$4,'"INCC-FGV"'!$A$2:$A$800,0)),0))</f>
        <v/>
      </c>
      <c r="EJ1" s="131">
        <f>IF(EJ$4="",0,IFERROR(1/INDEX('"INCC-FGV"'!$B$2:$B$800,MATCH(EJ$4,'"INCC-FGV"'!$A$2:$A$800,0)),0))</f>
        <v/>
      </c>
      <c r="EK1" s="131">
        <f>IF(EK$4="",0,IFERROR(1/INDEX('"INCC-FGV"'!$B$2:$B$800,MATCH(EK$4,'"INCC-FGV"'!$A$2:$A$800,0)),0))</f>
        <v/>
      </c>
      <c r="EL1" s="131">
        <f>IF(EL$4="",0,IFERROR(1/INDEX('"INCC-FGV"'!$B$2:$B$800,MATCH(EL$4,'"INCC-FGV"'!$A$2:$A$800,0)),0))</f>
        <v/>
      </c>
      <c r="EM1" s="131">
        <f>IF(EM$4="",0,IFERROR(1/INDEX('"INCC-FGV"'!$B$2:$B$800,MATCH(EM$4,'"INCC-FGV"'!$A$2:$A$800,0)),0))</f>
        <v/>
      </c>
      <c r="EN1" s="131">
        <f>IF(EN$4="",0,IFERROR(1/INDEX('"INCC-FGV"'!$B$2:$B$800,MATCH(EN$4,'"INCC-FGV"'!$A$2:$A$800,0)),0))</f>
        <v/>
      </c>
      <c r="EO1" s="131">
        <f>IF(EO$4="",0,IFERROR(1/INDEX('"INCC-FGV"'!$B$2:$B$800,MATCH(EO$4,'"INCC-FGV"'!$A$2:$A$800,0)),0))</f>
        <v/>
      </c>
      <c r="EP1" s="131">
        <f>IF(EP$4="",0,IFERROR(1/INDEX('"INCC-FGV"'!$B$2:$B$800,MATCH(EP$4,'"INCC-FGV"'!$A$2:$A$800,0)),0))</f>
        <v/>
      </c>
      <c r="EQ1" s="131">
        <f>IF(EQ$4="",0,IFERROR(1/INDEX('"INCC-FGV"'!$B$2:$B$800,MATCH(EQ$4,'"INCC-FGV"'!$A$2:$A$800,0)),0))</f>
        <v/>
      </c>
      <c r="ER1" s="131">
        <f>IF(ER$4="",0,IFERROR(1/INDEX('"INCC-FGV"'!$B$2:$B$800,MATCH(ER$4,'"INCC-FGV"'!$A$2:$A$800,0)),0))</f>
        <v/>
      </c>
      <c r="ES1" s="131">
        <f>IF(ES$4="",0,IFERROR(1/INDEX('"INCC-FGV"'!$B$2:$B$800,MATCH(ES$4,'"INCC-FGV"'!$A$2:$A$800,0)),0))</f>
        <v/>
      </c>
      <c r="ET1" s="131">
        <f>IF(ET$4="",0,IFERROR(1/INDEX('"INCC-FGV"'!$B$2:$B$800,MATCH(ET$4,'"INCC-FGV"'!$A$2:$A$800,0)),0))</f>
        <v/>
      </c>
      <c r="EU1" s="131">
        <f>IF(EU$4="",0,IFERROR(1/INDEX('"INCC-FGV"'!$B$2:$B$800,MATCH(EU$4,'"INCC-FGV"'!$A$2:$A$800,0)),0))</f>
        <v/>
      </c>
      <c r="EV1" s="131">
        <f>IF(EV$4="",0,IFERROR(1/INDEX('"INCC-FGV"'!$B$2:$B$800,MATCH(EV$4,'"INCC-FGV"'!$A$2:$A$800,0)),0))</f>
        <v/>
      </c>
      <c r="EW1" s="131">
        <f>IF(EW$4="",0,IFERROR(1/INDEX('"INCC-FGV"'!$B$2:$B$800,MATCH(EW$4,'"INCC-FGV"'!$A$2:$A$800,0)),0))</f>
        <v/>
      </c>
      <c r="EX1" s="131">
        <f>IF(EX$4="",0,IFERROR(1/INDEX('"INCC-FGV"'!$B$2:$B$800,MATCH(EX$4,'"INCC-FGV"'!$A$2:$A$800,0)),0))</f>
        <v/>
      </c>
      <c r="EY1" s="131">
        <f>IF(EY$4="",0,IFERROR(1/INDEX('"INCC-FGV"'!$B$2:$B$800,MATCH(EY$4,'"INCC-FGV"'!$A$2:$A$800,0)),0))</f>
        <v/>
      </c>
      <c r="EZ1" s="131">
        <f>IF(EZ$4="",0,IFERROR(1/INDEX('"INCC-FGV"'!$B$2:$B$800,MATCH(EZ$4,'"INCC-FGV"'!$A$2:$A$800,0)),0))</f>
        <v/>
      </c>
      <c r="FA1" s="131">
        <f>IF(FA$4="",0,IFERROR(1/INDEX('"INCC-FGV"'!$B$2:$B$800,MATCH(FA$4,'"INCC-FGV"'!$A$2:$A$800,0)),0))</f>
        <v/>
      </c>
      <c r="FB1" s="131">
        <f>IF(FB$4="",0,IFERROR(1/INDEX('"INCC-FGV"'!$B$2:$B$800,MATCH(FB$4,'"INCC-FGV"'!$A$2:$A$800,0)),0))</f>
        <v/>
      </c>
      <c r="FC1" s="131">
        <f>IF(FC$4="",0,IFERROR(1/INDEX('"INCC-FGV"'!$B$2:$B$800,MATCH(FC$4,'"INCC-FGV"'!$A$2:$A$800,0)),0))</f>
        <v/>
      </c>
      <c r="FD1" s="131">
        <f>IF(FD$4="",0,IFERROR(1/INDEX('"INCC-FGV"'!$B$2:$B$800,MATCH(FD$4,'"INCC-FGV"'!$A$2:$A$800,0)),0))</f>
        <v/>
      </c>
      <c r="FE1" s="131">
        <f>IF(FE$4="",0,IFERROR(1/INDEX('"INCC-FGV"'!$B$2:$B$800,MATCH(FE$4,'"INCC-FGV"'!$A$2:$A$800,0)),0))</f>
        <v/>
      </c>
      <c r="FF1" s="131">
        <f>IF(FF$4="",0,IFERROR(1/INDEX('"INCC-FGV"'!$B$2:$B$800,MATCH(FF$4,'"INCC-FGV"'!$A$2:$A$800,0)),0))</f>
        <v/>
      </c>
      <c r="FG1" s="131">
        <f>IF(FG$4="",0,IFERROR(1/INDEX('"INCC-FGV"'!$B$2:$B$800,MATCH(FG$4,'"INCC-FGV"'!$A$2:$A$800,0)),0))</f>
        <v/>
      </c>
      <c r="FH1" s="131">
        <f>IF(FH$4="",0,IFERROR(1/INDEX('"INCC-FGV"'!$B$2:$B$800,MATCH(FH$4,'"INCC-FGV"'!$A$2:$A$800,0)),0))</f>
        <v/>
      </c>
      <c r="FI1" s="131">
        <f>IF(FI$4="",0,IFERROR(1/INDEX('"INCC-FGV"'!$B$2:$B$800,MATCH(FI$4,'"INCC-FGV"'!$A$2:$A$800,0)),0))</f>
        <v/>
      </c>
      <c r="FJ1" s="131">
        <f>IF(FJ$4="",0,IFERROR(1/INDEX('"INCC-FGV"'!$B$2:$B$800,MATCH(FJ$4,'"INCC-FGV"'!$A$2:$A$800,0)),0))</f>
        <v/>
      </c>
      <c r="FK1" s="131">
        <f>IF(FK$4="",0,IFERROR(1/INDEX('"INCC-FGV"'!$B$2:$B$800,MATCH(FK$4,'"INCC-FGV"'!$A$2:$A$800,0)),0))</f>
        <v/>
      </c>
      <c r="FL1" s="131">
        <f>IF(FL$4="",0,IFERROR(1/INDEX('"INCC-FGV"'!$B$2:$B$800,MATCH(FL$4,'"INCC-FGV"'!$A$2:$A$800,0)),0))</f>
        <v/>
      </c>
      <c r="FM1" s="131">
        <f>IF(FM$4="",0,IFERROR(1/INDEX('"INCC-FGV"'!$B$2:$B$800,MATCH(FM$4,'"INCC-FGV"'!$A$2:$A$800,0)),0))</f>
        <v/>
      </c>
      <c r="FN1" s="131">
        <f>IF(FN$4="",0,IFERROR(1/INDEX('"INCC-FGV"'!$B$2:$B$800,MATCH(FN$4,'"INCC-FGV"'!$A$2:$A$800,0)),0))</f>
        <v/>
      </c>
      <c r="FO1" s="131">
        <f>IF(FO$4="",0,IFERROR(1/INDEX('"INCC-FGV"'!$B$2:$B$800,MATCH(FO$4,'"INCC-FGV"'!$A$2:$A$800,0)),0))</f>
        <v/>
      </c>
      <c r="FP1" s="131">
        <f>IF(FP$4="",0,IFERROR(1/INDEX('"INCC-FGV"'!$B$2:$B$800,MATCH(FP$4,'"INCC-FGV"'!$A$2:$A$800,0)),0))</f>
        <v/>
      </c>
      <c r="FQ1" s="131">
        <f>IF(FQ$4="",0,IFERROR(1/INDEX('"INCC-FGV"'!$B$2:$B$800,MATCH(FQ$4,'"INCC-FGV"'!$A$2:$A$800,0)),0))</f>
        <v/>
      </c>
      <c r="FR1" s="131">
        <f>IF(FR$4="",0,IFERROR(1/INDEX('"INCC-FGV"'!$B$2:$B$800,MATCH(FR$4,'"INCC-FGV"'!$A$2:$A$800,0)),0))</f>
        <v/>
      </c>
      <c r="FS1" s="131">
        <f>IF(FS$4="",0,IFERROR(1/INDEX('"INCC-FGV"'!$B$2:$B$800,MATCH(FS$4,'"INCC-FGV"'!$A$2:$A$800,0)),0))</f>
        <v/>
      </c>
      <c r="FT1" s="131">
        <f>IF(FT$4="",0,IFERROR(1/INDEX('"INCC-FGV"'!$B$2:$B$800,MATCH(FT$4,'"INCC-FGV"'!$A$2:$A$800,0)),0))</f>
        <v/>
      </c>
      <c r="FU1" s="131">
        <f>IF(FU$4="",0,IFERROR(1/INDEX('"INCC-FGV"'!$B$2:$B$800,MATCH(FU$4,'"INCC-FGV"'!$A$2:$A$800,0)),0))</f>
        <v/>
      </c>
      <c r="FV1" s="131">
        <f>IF(FV$4="",0,IFERROR(1/INDEX('"INCC-FGV"'!$B$2:$B$800,MATCH(FV$4,'"INCC-FGV"'!$A$2:$A$800,0)),0))</f>
        <v/>
      </c>
      <c r="FW1" s="131">
        <f>IF(FW$4="",0,IFERROR(1/INDEX('"INCC-FGV"'!$B$2:$B$800,MATCH(FW$4,'"INCC-FGV"'!$A$2:$A$800,0)),0))</f>
        <v/>
      </c>
      <c r="FX1" s="131">
        <f>IF(FX$4="",0,IFERROR(1/INDEX('"INCC-FGV"'!$B$2:$B$800,MATCH(FX$4,'"INCC-FGV"'!$A$2:$A$800,0)),0))</f>
        <v/>
      </c>
      <c r="FY1" s="131">
        <f>IF(FY$4="",0,IFERROR(1/INDEX('"INCC-FGV"'!$B$2:$B$800,MATCH(FY$4,'"INCC-FGV"'!$A$2:$A$800,0)),0))</f>
        <v/>
      </c>
      <c r="FZ1" s="131">
        <f>IF(FZ$4="",0,IFERROR(1/INDEX('"INCC-FGV"'!$B$2:$B$800,MATCH(FZ$4,'"INCC-FGV"'!$A$2:$A$800,0)),0))</f>
        <v/>
      </c>
      <c r="GA1" s="131">
        <f>IF(GA$4="",0,IFERROR(1/INDEX('"INCC-FGV"'!$B$2:$B$800,MATCH(GA$4,'"INCC-FGV"'!$A$2:$A$800,0)),0))</f>
        <v/>
      </c>
      <c r="GB1" s="131">
        <f>IF(GB$4="",0,IFERROR(1/INDEX('"INCC-FGV"'!$B$2:$B$800,MATCH(GB$4,'"INCC-FGV"'!$A$2:$A$800,0)),0))</f>
        <v/>
      </c>
      <c r="GC1" s="131">
        <f>IF(GC$4="",0,IFERROR(1/INDEX('"INCC-FGV"'!$B$2:$B$800,MATCH(GC$4,'"INCC-FGV"'!$A$2:$A$800,0)),0))</f>
        <v/>
      </c>
      <c r="GD1" s="131">
        <f>IF(GD$4="",0,IFERROR(1/INDEX('"INCC-FGV"'!$B$2:$B$800,MATCH(GD$4,'"INCC-FGV"'!$A$2:$A$800,0)),0))</f>
        <v/>
      </c>
      <c r="GE1" s="131">
        <f>IF(GE$4="",0,IFERROR(1/INDEX('"INCC-FGV"'!$B$2:$B$800,MATCH(GE$4,'"INCC-FGV"'!$A$2:$A$800,0)),0))</f>
        <v/>
      </c>
      <c r="GF1" s="131">
        <f>IF(GF$4="",0,IFERROR(1/INDEX('"INCC-FGV"'!$B$2:$B$800,MATCH(GF$4,'"INCC-FGV"'!$A$2:$A$800,0)),0))</f>
        <v/>
      </c>
      <c r="GG1" s="131">
        <f>IF(GG$4="",0,IFERROR(1/INDEX('"INCC-FGV"'!$B$2:$B$800,MATCH(GG$4,'"INCC-FGV"'!$A$2:$A$800,0)),0))</f>
        <v/>
      </c>
      <c r="GH1" s="131">
        <f>IF(GH$4="",0,IFERROR(1/INDEX('"INCC-FGV"'!$B$2:$B$800,MATCH(GH$4,'"INCC-FGV"'!$A$2:$A$800,0)),0))</f>
        <v/>
      </c>
      <c r="GI1" s="131">
        <f>IF(GI$4="",0,IFERROR(1/INDEX('"INCC-FGV"'!$B$2:$B$800,MATCH(GI$4,'"INCC-FGV"'!$A$2:$A$800,0)),0))</f>
        <v/>
      </c>
      <c r="GJ1" s="131">
        <f>IF(GJ$4="",0,IFERROR(1/INDEX('"INCC-FGV"'!$B$2:$B$800,MATCH(GJ$4,'"INCC-FGV"'!$A$2:$A$800,0)),0))</f>
        <v/>
      </c>
      <c r="GK1" s="131">
        <f>IF(GK$4="",0,IFERROR(1/INDEX('"INCC-FGV"'!$B$2:$B$800,MATCH(GK$4,'"INCC-FGV"'!$A$2:$A$800,0)),0))</f>
        <v/>
      </c>
      <c r="GL1" s="131">
        <f>IF(GL$4="",0,IFERROR(1/INDEX('"INCC-FGV"'!$B$2:$B$800,MATCH(GL$4,'"INCC-FGV"'!$A$2:$A$800,0)),0))</f>
        <v/>
      </c>
      <c r="GM1" s="131">
        <f>IF(GM$4="",0,IFERROR(1/INDEX('"INCC-FGV"'!$B$2:$B$800,MATCH(GM$4,'"INCC-FGV"'!$A$2:$A$800,0)),0))</f>
        <v/>
      </c>
      <c r="GN1" s="131">
        <f>IF(GN$4="",0,IFERROR(1/INDEX('"INCC-FGV"'!$B$2:$B$800,MATCH(GN$4,'"INCC-FGV"'!$A$2:$A$800,0)),0))</f>
        <v/>
      </c>
      <c r="GO1" s="131">
        <f>IF(GO$4="",0,IFERROR(1/INDEX('"INCC-FGV"'!$B$2:$B$800,MATCH(GO$4,'"INCC-FGV"'!$A$2:$A$800,0)),0))</f>
        <v/>
      </c>
      <c r="GP1" s="131">
        <f>IF(GP$4="",0,IFERROR(1/INDEX('"INCC-FGV"'!$B$2:$B$800,MATCH(GP$4,'"INCC-FGV"'!$A$2:$A$800,0)),0))</f>
        <v/>
      </c>
      <c r="GQ1" s="131">
        <f>IF(GQ$4="",0,IFERROR(1/INDEX('"INCC-FGV"'!$B$2:$B$800,MATCH(GQ$4,'"INCC-FGV"'!$A$2:$A$800,0)),0))</f>
        <v/>
      </c>
      <c r="GR1" s="131">
        <f>IF(GR$4="",0,IFERROR(1/INDEX('"INCC-FGV"'!$B$2:$B$800,MATCH(GR$4,'"INCC-FGV"'!$A$2:$A$800,0)),0))</f>
        <v/>
      </c>
      <c r="GS1" s="131">
        <f>IF(GS$4="",0,IFERROR(1/INDEX('"INCC-FGV"'!$B$2:$B$800,MATCH(GS$4,'"INCC-FGV"'!$A$2:$A$800,0)),0))</f>
        <v/>
      </c>
      <c r="GT1" s="131">
        <f>IF(GT$4="",0,IFERROR(1/INDEX('"INCC-FGV"'!$B$2:$B$800,MATCH(GT$4,'"INCC-FGV"'!$A$2:$A$800,0)),0))</f>
        <v/>
      </c>
      <c r="GU1" s="131">
        <f>IF(GU$4="",0,IFERROR(1/INDEX('"INCC-FGV"'!$B$2:$B$800,MATCH(GU$4,'"INCC-FGV"'!$A$2:$A$800,0)),0))</f>
        <v/>
      </c>
      <c r="GV1" s="131">
        <f>IF(GV$4="",0,IFERROR(1/INDEX('"INCC-FGV"'!$B$2:$B$800,MATCH(GV$4,'"INCC-FGV"'!$A$2:$A$800,0)),0))</f>
        <v/>
      </c>
      <c r="GW1" s="131">
        <f>IF(GW$4="",0,IFERROR(1/INDEX('"INCC-FGV"'!$B$2:$B$800,MATCH(GW$4,'"INCC-FGV"'!$A$2:$A$800,0)),0))</f>
        <v/>
      </c>
      <c r="GX1" s="131">
        <f>IF(GX$4="",0,IFERROR(1/INDEX('"INCC-FGV"'!$B$2:$B$800,MATCH(GX$4,'"INCC-FGV"'!$A$2:$A$800,0)),0))</f>
        <v/>
      </c>
      <c r="GY1" s="131">
        <f>IF(GY$4="",0,IFERROR(1/INDEX('"INCC-FGV"'!$B$2:$B$800,MATCH(GY$4,'"INCC-FGV"'!$A$2:$A$800,0)),0))</f>
        <v/>
      </c>
      <c r="GZ1" s="131">
        <f>IF(GZ$4="",0,IFERROR(1/INDEX('"INCC-FGV"'!$B$2:$B$800,MATCH(GZ$4,'"INCC-FGV"'!$A$2:$A$800,0)),0))</f>
        <v/>
      </c>
      <c r="HA1" s="131">
        <f>IF(HA$4="",0,IFERROR(1/INDEX('"INCC-FGV"'!$B$2:$B$800,MATCH(HA$4,'"INCC-FGV"'!$A$2:$A$800,0)),0))</f>
        <v/>
      </c>
      <c r="HB1" s="131">
        <f>IF(HB$4="",0,IFERROR(1/INDEX('"INCC-FGV"'!$B$2:$B$800,MATCH(HB$4,'"INCC-FGV"'!$A$2:$A$800,0)),0))</f>
        <v/>
      </c>
      <c r="HC1" s="131">
        <f>IF(HC$4="",0,IFERROR(1/INDEX('"INCC-FGV"'!$B$2:$B$800,MATCH(HC$4,'"INCC-FGV"'!$A$2:$A$800,0)),0))</f>
        <v/>
      </c>
      <c r="HD1" s="131">
        <f>IF(HD$4="",0,IFERROR(1/INDEX('"INCC-FGV"'!$B$2:$B$800,MATCH(HD$4,'"INCC-FGV"'!$A$2:$A$800,0)),0))</f>
        <v/>
      </c>
      <c r="HE1" s="131">
        <f>IF(HE$4="",0,IFERROR(1/INDEX('"INCC-FGV"'!$B$2:$B$800,MATCH(HE$4,'"INCC-FGV"'!$A$2:$A$800,0)),0))</f>
        <v/>
      </c>
      <c r="HF1" s="131">
        <f>IF(HF$4="",0,IFERROR(1/INDEX('"INCC-FGV"'!$B$2:$B$800,MATCH(HF$4,'"INCC-FGV"'!$A$2:$A$800,0)),0))</f>
        <v/>
      </c>
      <c r="HG1" s="131">
        <f>IF(HG$4="",0,IFERROR(1/INDEX('"INCC-FGV"'!$B$2:$B$800,MATCH(HG$4,'"INCC-FGV"'!$A$2:$A$800,0)),0))</f>
        <v/>
      </c>
      <c r="HH1" s="131">
        <f>IF(HH$4="",0,IFERROR(1/INDEX('"INCC-FGV"'!$B$2:$B$800,MATCH(HH$4,'"INCC-FGV"'!$A$2:$A$800,0)),0))</f>
        <v/>
      </c>
      <c r="HI1" s="131">
        <f>IF(HI$4="",0,IFERROR(1/INDEX('"INCC-FGV"'!$B$2:$B$800,MATCH(HI$4,'"INCC-FGV"'!$A$2:$A$800,0)),0))</f>
        <v/>
      </c>
      <c r="HJ1" s="131">
        <f>IF(HJ$4="",0,IFERROR(1/INDEX('"INCC-FGV"'!$B$2:$B$800,MATCH(HJ$4,'"INCC-FGV"'!$A$2:$A$800,0)),0))</f>
        <v/>
      </c>
      <c r="HK1" s="131">
        <f>IF(HK$4="",0,IFERROR(1/INDEX('"INCC-FGV"'!$B$2:$B$800,MATCH(HK$4,'"INCC-FGV"'!$A$2:$A$800,0)),0))</f>
        <v/>
      </c>
      <c r="HL1" s="131">
        <f>IF(HL$4="",0,IFERROR(1/INDEX('"INCC-FGV"'!$B$2:$B$800,MATCH(HL$4,'"INCC-FGV"'!$A$2:$A$800,0)),0))</f>
        <v/>
      </c>
      <c r="HM1" s="131">
        <f>IF(HM$4="",0,IFERROR(1/INDEX('"INCC-FGV"'!$B$2:$B$800,MATCH(HM$4,'"INCC-FGV"'!$A$2:$A$800,0)),0))</f>
        <v/>
      </c>
      <c r="HN1" s="131">
        <f>IF(HN$4="",0,IFERROR(1/INDEX('"INCC-FGV"'!$B$2:$B$800,MATCH(HN$4,'"INCC-FGV"'!$A$2:$A$800,0)),0))</f>
        <v/>
      </c>
      <c r="HO1" s="131">
        <f>IF(HO$4="",0,IFERROR(1/INDEX('"INCC-FGV"'!$B$2:$B$800,MATCH(HO$4,'"INCC-FGV"'!$A$2:$A$800,0)),0))</f>
        <v/>
      </c>
      <c r="HP1" s="131">
        <f>IF(HP$4="",0,IFERROR(1/INDEX('"INCC-FGV"'!$B$2:$B$800,MATCH(HP$4,'"INCC-FGV"'!$A$2:$A$800,0)),0))</f>
        <v/>
      </c>
      <c r="HQ1" s="131">
        <f>IF(HQ$4="",0,IFERROR(1/INDEX('"INCC-FGV"'!$B$2:$B$800,MATCH(HQ$4,'"INCC-FGV"'!$A$2:$A$800,0)),0))</f>
        <v/>
      </c>
      <c r="HR1" s="131">
        <f>IF(HR$4="",0,IFERROR(1/INDEX('"INCC-FGV"'!$B$2:$B$800,MATCH(HR$4,'"INCC-FGV"'!$A$2:$A$800,0)),0))</f>
        <v/>
      </c>
      <c r="HS1" s="131">
        <f>IF(HS$4="",0,IFERROR(1/INDEX('"INCC-FGV"'!$B$2:$B$800,MATCH(HS$4,'"INCC-FGV"'!$A$2:$A$800,0)),0))</f>
        <v/>
      </c>
      <c r="HT1" s="131">
        <f>IF(HT$4="",0,IFERROR(1/INDEX('"INCC-FGV"'!$B$2:$B$800,MATCH(HT$4,'"INCC-FGV"'!$A$2:$A$800,0)),0))</f>
        <v/>
      </c>
      <c r="HU1" s="131">
        <f>IF(HU$4="",0,IFERROR(1/INDEX('"INCC-FGV"'!$B$2:$B$800,MATCH(HU$4,'"INCC-FGV"'!$A$2:$A$800,0)),0))</f>
        <v/>
      </c>
      <c r="HV1" s="131">
        <f>IF(HV$4="",0,IFERROR(1/INDEX('"INCC-FGV"'!$B$2:$B$800,MATCH(HV$4,'"INCC-FGV"'!$A$2:$A$800,0)),0))</f>
        <v/>
      </c>
      <c r="HW1" s="131">
        <f>IF(HW$4="",0,IFERROR(1/INDEX('"INCC-FGV"'!$B$2:$B$800,MATCH(HW$4,'"INCC-FGV"'!$A$2:$A$800,0)),0))</f>
        <v/>
      </c>
      <c r="HX1" s="131">
        <f>IF(HX$4="",0,IFERROR(1/INDEX('"INCC-FGV"'!$B$2:$B$800,MATCH(HX$4,'"INCC-FGV"'!$A$2:$A$800,0)),0))</f>
        <v/>
      </c>
      <c r="HY1" s="131">
        <f>IF(HY$4="",0,IFERROR(1/INDEX('"INCC-FGV"'!$B$2:$B$800,MATCH(HY$4,'"INCC-FGV"'!$A$2:$A$800,0)),0))</f>
        <v/>
      </c>
      <c r="HZ1" s="131">
        <f>IF(HZ$4="",0,IFERROR(1/INDEX('"INCC-FGV"'!$B$2:$B$800,MATCH(HZ$4,'"INCC-FGV"'!$A$2:$A$800,0)),0))</f>
        <v/>
      </c>
      <c r="IA1" s="131">
        <f>IF(IA$4="",0,IFERROR(1/INDEX('"INCC-FGV"'!$B$2:$B$800,MATCH(IA$4,'"INCC-FGV"'!$A$2:$A$800,0)),0))</f>
        <v/>
      </c>
      <c r="IB1" s="131">
        <f>IF(IB$4="",0,IFERROR(1/INDEX('"INCC-FGV"'!$B$2:$B$800,MATCH(IB$4,'"INCC-FGV"'!$A$2:$A$800,0)),0))</f>
        <v/>
      </c>
      <c r="IC1" s="131">
        <f>IF(IC$4="",0,IFERROR(1/INDEX('"INCC-FGV"'!$B$2:$B$800,MATCH(IC$4,'"INCC-FGV"'!$A$2:$A$800,0)),0))</f>
        <v/>
      </c>
      <c r="ID1" s="131">
        <f>IF(ID$4="",0,IFERROR(1/INDEX('"INCC-FGV"'!$B$2:$B$800,MATCH(ID$4,'"INCC-FGV"'!$A$2:$A$800,0)),0))</f>
        <v/>
      </c>
      <c r="IE1" s="131">
        <f>IF(IE$4="",0,IFERROR(1/INDEX('"INCC-FGV"'!$B$2:$B$800,MATCH(IE$4,'"INCC-FGV"'!$A$2:$A$800,0)),0))</f>
        <v/>
      </c>
      <c r="IF1" s="131">
        <f>IF(IF$4="",0,IFERROR(1/INDEX('"INCC-FGV"'!$B$2:$B$800,MATCH(IF$4,'"INCC-FGV"'!$A$2:$A$800,0)),0))</f>
        <v/>
      </c>
      <c r="IG1" s="131">
        <f>IF(IG$4="",0,IFERROR(1/INDEX('"INCC-FGV"'!$B$2:$B$800,MATCH(IG$4,'"INCC-FGV"'!$A$2:$A$800,0)),0))</f>
        <v/>
      </c>
      <c r="IH1" s="131">
        <f>IF(IH$4="",0,IFERROR(1/INDEX('"INCC-FGV"'!$B$2:$B$800,MATCH(IH$4,'"INCC-FGV"'!$A$2:$A$800,0)),0))</f>
        <v/>
      </c>
      <c r="II1" s="131">
        <f>IF(II$4="",0,IFERROR(1/INDEX('"INCC-FGV"'!$B$2:$B$800,MATCH(II$4,'"INCC-FGV"'!$A$2:$A$800,0)),0))</f>
        <v/>
      </c>
      <c r="IJ1" s="131">
        <f>IF(IJ$4="",0,IFERROR(1/INDEX('"INCC-FGV"'!$B$2:$B$800,MATCH(IJ$4,'"INCC-FGV"'!$A$2:$A$800,0)),0))</f>
        <v/>
      </c>
      <c r="IK1" s="131">
        <f>IF(IK$4="",0,IFERROR(1/INDEX('"INCC-FGV"'!$B$2:$B$800,MATCH(IK$4,'"INCC-FGV"'!$A$2:$A$800,0)),0))</f>
        <v/>
      </c>
      <c r="IL1" s="131">
        <f>IF(IL$4="",0,IFERROR(1/INDEX('"INCC-FGV"'!$B$2:$B$800,MATCH(IL$4,'"INCC-FGV"'!$A$2:$A$800,0)),0))</f>
        <v/>
      </c>
      <c r="IM1" s="131">
        <f>IF(IM$4="",0,IFERROR(1/INDEX('"INCC-FGV"'!$B$2:$B$800,MATCH(IM$4,'"INCC-FGV"'!$A$2:$A$800,0)),0))</f>
        <v/>
      </c>
      <c r="IN1" s="131">
        <f>IF(IN$4="",0,IFERROR(1/INDEX('"INCC-FGV"'!$B$2:$B$800,MATCH(IN$4,'"INCC-FGV"'!$A$2:$A$800,0)),0))</f>
        <v/>
      </c>
      <c r="IO1" s="131">
        <f>IF(IO$4="",0,IFERROR(1/INDEX('"INCC-FGV"'!$B$2:$B$800,MATCH(IO$4,'"INCC-FGV"'!$A$2:$A$800,0)),0))</f>
        <v/>
      </c>
      <c r="IP1" s="131">
        <f>IF(IP$4="",0,IFERROR(1/INDEX('"INCC-FGV"'!$B$2:$B$800,MATCH(IP$4,'"INCC-FGV"'!$A$2:$A$800,0)),0))</f>
        <v/>
      </c>
      <c r="IQ1" s="131">
        <f>IF(IQ$4="",0,IFERROR(1/INDEX('"INCC-FGV"'!$B$2:$B$800,MATCH(IQ$4,'"INCC-FGV"'!$A$2:$A$800,0)),0))</f>
        <v/>
      </c>
      <c r="IR1" s="131">
        <f>IF(IR$4="",0,IFERROR(1/INDEX('"INCC-FGV"'!$B$2:$B$800,MATCH(IR$4,'"INCC-FGV"'!$A$2:$A$800,0)),0))</f>
        <v/>
      </c>
      <c r="IS1" s="131">
        <f>IF(IS$4="",0,IFERROR(1/INDEX('"INCC-FGV"'!$B$2:$B$800,MATCH(IS$4,'"INCC-FGV"'!$A$2:$A$800,0)),0))</f>
        <v/>
      </c>
      <c r="IT1" s="131">
        <f>IF(IT$4="",0,IFERROR(1/INDEX('"INCC-FGV"'!$B$2:$B$800,MATCH(IT$4,'"INCC-FGV"'!$A$2:$A$800,0)),0))</f>
        <v/>
      </c>
      <c r="IU1" s="131">
        <f>IF(IU$4="",0,IFERROR(1/INDEX('"INCC-FGV"'!$B$2:$B$800,MATCH(IU$4,'"INCC-FGV"'!$A$2:$A$800,0)),0))</f>
        <v/>
      </c>
      <c r="IV1" s="131">
        <f>IF(IV$4="",0,IFERROR(1/INDEX('"INCC-FGV"'!$B$2:$B$800,MATCH(IV$4,'"INCC-FGV"'!$A$2:$A$800,0)),0))</f>
        <v/>
      </c>
      <c r="IW1" s="131">
        <f>IF(IW$4="",0,IFERROR(1/INDEX('"INCC-FGV"'!$B$2:$B$800,MATCH(IW$4,'"INCC-FGV"'!$A$2:$A$800,0)),0))</f>
        <v/>
      </c>
      <c r="IX1" s="131">
        <f>IF(IX$4="",0,IFERROR(1/INDEX('"INCC-FGV"'!$B$2:$B$800,MATCH(IX$4,'"INCC-FGV"'!$A$2:$A$800,0)),0))</f>
        <v/>
      </c>
      <c r="IY1" s="131">
        <f>IF(IY$4="",0,IFERROR(1/INDEX('"INCC-FGV"'!$B$2:$B$800,MATCH(IY$4,'"INCC-FGV"'!$A$2:$A$800,0)),0))</f>
        <v/>
      </c>
      <c r="IZ1" s="131">
        <f>IF(IZ$4="",0,IFERROR(1/INDEX('"INCC-FGV"'!$B$2:$B$800,MATCH(IZ$4,'"INCC-FGV"'!$A$2:$A$800,0)),0))</f>
        <v/>
      </c>
      <c r="JA1" s="131">
        <f>IF(JA$4="",0,IFERROR(1/INDEX('"INCC-FGV"'!$B$2:$B$800,MATCH(JA$4,'"INCC-FGV"'!$A$2:$A$800,0)),0))</f>
        <v/>
      </c>
      <c r="JB1" s="131">
        <f>IF(JB$4="",0,IFERROR(1/INDEX('"INCC-FGV"'!$B$2:$B$800,MATCH(JB$4,'"INCC-FGV"'!$A$2:$A$800,0)),0))</f>
        <v/>
      </c>
      <c r="JC1" s="131">
        <f>IF(JC$4="",0,IFERROR(1/INDEX('"INCC-FGV"'!$B$2:$B$800,MATCH(JC$4,'"INCC-FGV"'!$A$2:$A$800,0)),0))</f>
        <v/>
      </c>
      <c r="JD1" s="131">
        <f>IF(JD$4="",0,IFERROR(1/INDEX('"INCC-FGV"'!$B$2:$B$800,MATCH(JD$4,'"INCC-FGV"'!$A$2:$A$800,0)),0))</f>
        <v/>
      </c>
      <c r="JE1" s="131">
        <f>IF(JE$4="",0,IFERROR(1/INDEX('"INCC-FGV"'!$B$2:$B$800,MATCH(JE$4,'"INCC-FGV"'!$A$2:$A$800,0)),0))</f>
        <v/>
      </c>
      <c r="JF1" s="131">
        <f>IF(JF$4="",0,IFERROR(1/INDEX('"INCC-FGV"'!$B$2:$B$800,MATCH(JF$4,'"INCC-FGV"'!$A$2:$A$800,0)),0))</f>
        <v/>
      </c>
      <c r="JG1" s="131">
        <f>IF(JG$4="",0,IFERROR(1/INDEX('"INCC-FGV"'!$B$2:$B$800,MATCH(JG$4,'"INCC-FGV"'!$A$2:$A$800,0)),0))</f>
        <v/>
      </c>
      <c r="JH1" s="131">
        <f>IF(JH$4="",0,IFERROR(1/INDEX('"INCC-FGV"'!$B$2:$B$800,MATCH(JH$4,'"INCC-FGV"'!$A$2:$A$800,0)),0))</f>
        <v/>
      </c>
      <c r="JI1" s="131">
        <f>IF(JI$4="",0,IFERROR(1/INDEX('"INCC-FGV"'!$B$2:$B$800,MATCH(JI$4,'"INCC-FGV"'!$A$2:$A$800,0)),0))</f>
        <v/>
      </c>
      <c r="JJ1" s="131">
        <f>IF(JJ$4="",0,IFERROR(1/INDEX('"INCC-FGV"'!$B$2:$B$800,MATCH(JJ$4,'"INCC-FGV"'!$A$2:$A$800,0)),0))</f>
        <v/>
      </c>
      <c r="JK1" s="131">
        <f>IF(JK$4="",0,IFERROR(1/INDEX('"INCC-FGV"'!$B$2:$B$800,MATCH(JK$4,'"INCC-FGV"'!$A$2:$A$800,0)),0))</f>
        <v/>
      </c>
      <c r="JL1" s="131">
        <f>IF(JL$4="",0,IFERROR(1/INDEX('"INCC-FGV"'!$B$2:$B$800,MATCH(JL$4,'"INCC-FGV"'!$A$2:$A$800,0)),0))</f>
        <v/>
      </c>
      <c r="JM1" s="131">
        <f>IF(JM$4="",0,IFERROR(1/INDEX('"INCC-FGV"'!$B$2:$B$800,MATCH(JM$4,'"INCC-FGV"'!$A$2:$A$800,0)),0))</f>
        <v/>
      </c>
      <c r="JN1" s="131">
        <f>IF(JN$4="",0,IFERROR(1/INDEX('"INCC-FGV"'!$B$2:$B$800,MATCH(JN$4,'"INCC-FGV"'!$A$2:$A$800,0)),0))</f>
        <v/>
      </c>
      <c r="JO1" s="131">
        <f>IF(JO$4="",0,IFERROR(1/INDEX('"INCC-FGV"'!$B$2:$B$800,MATCH(JO$4,'"INCC-FGV"'!$A$2:$A$800,0)),0))</f>
        <v/>
      </c>
      <c r="JP1" s="131">
        <f>IF(JP$4="",0,IFERROR(1/INDEX('"INCC-FGV"'!$B$2:$B$800,MATCH(JP$4,'"INCC-FGV"'!$A$2:$A$800,0)),0))</f>
        <v/>
      </c>
      <c r="JQ1" s="131">
        <f>IF(JQ$4="",0,IFERROR(1/INDEX('"INCC-FGV"'!$B$2:$B$800,MATCH(JQ$4,'"INCC-FGV"'!$A$2:$A$800,0)),0))</f>
        <v/>
      </c>
      <c r="JR1" s="131">
        <f>IF(JR$4="",0,IFERROR(1/INDEX('"INCC-FGV"'!$B$2:$B$800,MATCH(JR$4,'"INCC-FGV"'!$A$2:$A$800,0)),0))</f>
        <v/>
      </c>
      <c r="JS1" s="131">
        <f>IF(JS$4="",0,IFERROR(1/INDEX('"INCC-FGV"'!$B$2:$B$800,MATCH(JS$4,'"INCC-FGV"'!$A$2:$A$800,0)),0))</f>
        <v/>
      </c>
    </row>
    <row r="2">
      <c r="A2" s="2" t="inlineStr">
        <is>
          <t>Grupos do ERP sem correspondência →</t>
        </is>
      </c>
      <c r="C2" s="69">
        <f>SUMPRODUCT(('DADOS BRUTOS'!$A$3:$A$500&lt;&gt;"")*(COUNTIF($B$5:$C$42,'DADOS BRUTOS'!$A$3:$A$500)=0)*(COUNTIF($A$50:$A$69,'DADOS BRUTOS'!$A$3:$A$500)=0))</f>
        <v/>
      </c>
      <c r="CB2" s="123" t="inlineStr">
        <is>
          <t>CÁLCULO AUXILIAR — soma por coluna da aba DADOS BRUTOS (não editar)</t>
        </is>
      </c>
    </row>
    <row r="3">
      <c r="D3" s="123" t="inlineStr">
        <is>
          <t>Acu até →</t>
        </is>
      </c>
      <c r="CB3" s="123">
        <f>"B"</f>
        <v/>
      </c>
      <c r="CC3" s="123">
        <f>"C"</f>
        <v/>
      </c>
      <c r="CD3" s="123">
        <f>"D"</f>
        <v/>
      </c>
      <c r="CE3" s="123">
        <f>"E"</f>
        <v/>
      </c>
      <c r="CF3" s="123">
        <f>"F"</f>
        <v/>
      </c>
      <c r="CG3" s="123">
        <f>"G"</f>
        <v/>
      </c>
      <c r="CH3" s="123">
        <f>"H"</f>
        <v/>
      </c>
      <c r="CI3" s="123">
        <f>"I"</f>
        <v/>
      </c>
      <c r="CJ3" s="123">
        <f>"J"</f>
        <v/>
      </c>
      <c r="CK3" s="123">
        <f>"K"</f>
        <v/>
      </c>
      <c r="CL3" s="123">
        <f>"L"</f>
        <v/>
      </c>
      <c r="CM3" s="123">
        <f>"M"</f>
        <v/>
      </c>
      <c r="CN3" s="123">
        <f>"N"</f>
        <v/>
      </c>
      <c r="CO3" s="123">
        <f>"O"</f>
        <v/>
      </c>
      <c r="CP3" s="123">
        <f>"P"</f>
        <v/>
      </c>
      <c r="CQ3" s="123">
        <f>"Q"</f>
        <v/>
      </c>
      <c r="CR3" s="123">
        <f>"R"</f>
        <v/>
      </c>
      <c r="CS3" s="123">
        <f>"S"</f>
        <v/>
      </c>
      <c r="CT3" s="123">
        <f>"T"</f>
        <v/>
      </c>
      <c r="CU3" s="123">
        <f>"U"</f>
        <v/>
      </c>
      <c r="CV3" s="123">
        <f>"V"</f>
        <v/>
      </c>
      <c r="CW3" s="123">
        <f>"W"</f>
        <v/>
      </c>
      <c r="CX3" s="123">
        <f>"X"</f>
        <v/>
      </c>
      <c r="CY3" s="123">
        <f>"Y"</f>
        <v/>
      </c>
      <c r="CZ3" s="123">
        <f>"Z"</f>
        <v/>
      </c>
      <c r="DA3" s="123">
        <f>"AA"</f>
        <v/>
      </c>
      <c r="DB3" s="123">
        <f>"AB"</f>
        <v/>
      </c>
      <c r="DC3" s="123">
        <f>"AC"</f>
        <v/>
      </c>
      <c r="DD3" s="123">
        <f>"AD"</f>
        <v/>
      </c>
      <c r="DE3" s="123">
        <f>"AE"</f>
        <v/>
      </c>
      <c r="DF3" s="123">
        <f>"AF"</f>
        <v/>
      </c>
      <c r="DG3" s="123">
        <f>"AG"</f>
        <v/>
      </c>
      <c r="DH3" s="123">
        <f>"AH"</f>
        <v/>
      </c>
      <c r="DI3" s="123">
        <f>"AI"</f>
        <v/>
      </c>
      <c r="DJ3" s="123">
        <f>"AJ"</f>
        <v/>
      </c>
      <c r="DK3" s="123">
        <f>"AK"</f>
        <v/>
      </c>
      <c r="DL3" s="123">
        <f>"AL"</f>
        <v/>
      </c>
      <c r="DM3" s="123">
        <f>"AM"</f>
        <v/>
      </c>
      <c r="DN3" s="123">
        <f>"AN"</f>
        <v/>
      </c>
      <c r="DO3" s="123">
        <f>"AO"</f>
        <v/>
      </c>
      <c r="DP3" s="123">
        <f>"AP"</f>
        <v/>
      </c>
      <c r="DQ3" s="123">
        <f>"AQ"</f>
        <v/>
      </c>
      <c r="DR3" s="123">
        <f>"AR"</f>
        <v/>
      </c>
      <c r="DS3" s="123">
        <f>"AS"</f>
        <v/>
      </c>
      <c r="DT3" s="123">
        <f>"AT"</f>
        <v/>
      </c>
      <c r="DU3" s="123">
        <f>"AU"</f>
        <v/>
      </c>
      <c r="DV3" s="123">
        <f>"AV"</f>
        <v/>
      </c>
      <c r="DW3" s="123">
        <f>"AW"</f>
        <v/>
      </c>
      <c r="DX3" s="123">
        <f>"AX"</f>
        <v/>
      </c>
      <c r="DY3" s="123">
        <f>"AY"</f>
        <v/>
      </c>
      <c r="DZ3" s="123">
        <f>"AZ"</f>
        <v/>
      </c>
      <c r="EA3" s="123">
        <f>"BA"</f>
        <v/>
      </c>
      <c r="EB3" s="123">
        <f>"BB"</f>
        <v/>
      </c>
      <c r="EC3" s="123">
        <f>"BC"</f>
        <v/>
      </c>
      <c r="ED3" s="123">
        <f>"BD"</f>
        <v/>
      </c>
      <c r="EE3" s="123">
        <f>"BE"</f>
        <v/>
      </c>
      <c r="EF3" s="123">
        <f>"BF"</f>
        <v/>
      </c>
      <c r="EG3" s="123">
        <f>"BG"</f>
        <v/>
      </c>
      <c r="EH3" s="123">
        <f>"BH"</f>
        <v/>
      </c>
      <c r="EI3" s="123">
        <f>"BI"</f>
        <v/>
      </c>
      <c r="EJ3" s="123">
        <f>"BJ"</f>
        <v/>
      </c>
      <c r="EK3" s="123">
        <f>"BK"</f>
        <v/>
      </c>
      <c r="EL3" s="123">
        <f>"BL"</f>
        <v/>
      </c>
      <c r="EM3" s="123">
        <f>"BM"</f>
        <v/>
      </c>
      <c r="EN3" s="123">
        <f>"BN"</f>
        <v/>
      </c>
      <c r="EO3" s="123">
        <f>"BO"</f>
        <v/>
      </c>
      <c r="EP3" s="123">
        <f>"BP"</f>
        <v/>
      </c>
      <c r="EQ3" s="123">
        <f>"BQ"</f>
        <v/>
      </c>
      <c r="ER3" s="123">
        <f>"BR"</f>
        <v/>
      </c>
      <c r="ES3" s="123">
        <f>"BS"</f>
        <v/>
      </c>
      <c r="ET3" s="123">
        <f>"BT"</f>
        <v/>
      </c>
      <c r="EU3" s="123">
        <f>"BU"</f>
        <v/>
      </c>
      <c r="EV3" s="123">
        <f>"BV"</f>
        <v/>
      </c>
      <c r="EW3" s="123">
        <f>"BW"</f>
        <v/>
      </c>
      <c r="EX3" s="123">
        <f>"BX"</f>
        <v/>
      </c>
      <c r="EY3" s="123">
        <f>"BY"</f>
        <v/>
      </c>
      <c r="EZ3" s="123">
        <f>"BZ"</f>
        <v/>
      </c>
      <c r="FA3" s="123">
        <f>"CA"</f>
        <v/>
      </c>
      <c r="FB3" s="123">
        <f>"CB"</f>
        <v/>
      </c>
      <c r="FC3" s="123">
        <f>"CC"</f>
        <v/>
      </c>
      <c r="FD3" s="123">
        <f>"CD"</f>
        <v/>
      </c>
      <c r="FE3" s="123">
        <f>"CE"</f>
        <v/>
      </c>
      <c r="FF3" s="123">
        <f>"CF"</f>
        <v/>
      </c>
      <c r="FG3" s="123">
        <f>"CG"</f>
        <v/>
      </c>
      <c r="FH3" s="123">
        <f>"CH"</f>
        <v/>
      </c>
      <c r="FI3" s="123">
        <f>"CI"</f>
        <v/>
      </c>
      <c r="FJ3" s="123">
        <f>"CJ"</f>
        <v/>
      </c>
      <c r="FK3" s="123">
        <f>"CK"</f>
        <v/>
      </c>
      <c r="FL3" s="123">
        <f>"CL"</f>
        <v/>
      </c>
      <c r="FM3" s="123">
        <f>"CM"</f>
        <v/>
      </c>
      <c r="FN3" s="123">
        <f>"CN"</f>
        <v/>
      </c>
      <c r="FO3" s="123">
        <f>"CO"</f>
        <v/>
      </c>
      <c r="FP3" s="123">
        <f>"CP"</f>
        <v/>
      </c>
      <c r="FQ3" s="123">
        <f>"CQ"</f>
        <v/>
      </c>
      <c r="FR3" s="123">
        <f>"CR"</f>
        <v/>
      </c>
      <c r="FS3" s="123">
        <f>"CS"</f>
        <v/>
      </c>
      <c r="FT3" s="123">
        <f>"CT"</f>
        <v/>
      </c>
      <c r="FU3" s="123">
        <f>"CU"</f>
        <v/>
      </c>
      <c r="FV3" s="123">
        <f>"CV"</f>
        <v/>
      </c>
      <c r="FW3" s="123">
        <f>"CW"</f>
        <v/>
      </c>
      <c r="FX3" s="123">
        <f>"CX"</f>
        <v/>
      </c>
      <c r="FY3" s="123">
        <f>"CY"</f>
        <v/>
      </c>
      <c r="FZ3" s="123">
        <f>"CZ"</f>
        <v/>
      </c>
      <c r="GA3" s="123">
        <f>"DA"</f>
        <v/>
      </c>
      <c r="GB3" s="123">
        <f>"DB"</f>
        <v/>
      </c>
      <c r="GC3" s="123">
        <f>"DC"</f>
        <v/>
      </c>
      <c r="GD3" s="123">
        <f>"DD"</f>
        <v/>
      </c>
      <c r="GE3" s="123">
        <f>"DE"</f>
        <v/>
      </c>
      <c r="GF3" s="123">
        <f>"DF"</f>
        <v/>
      </c>
      <c r="GG3" s="123">
        <f>"DG"</f>
        <v/>
      </c>
      <c r="GH3" s="123">
        <f>"DH"</f>
        <v/>
      </c>
      <c r="GI3" s="123">
        <f>"DI"</f>
        <v/>
      </c>
      <c r="GJ3" s="123">
        <f>"DJ"</f>
        <v/>
      </c>
      <c r="GK3" s="123">
        <f>"DK"</f>
        <v/>
      </c>
      <c r="GL3" s="123">
        <f>"DL"</f>
        <v/>
      </c>
      <c r="GM3" s="123">
        <f>"DM"</f>
        <v/>
      </c>
      <c r="GN3" s="123">
        <f>"DN"</f>
        <v/>
      </c>
      <c r="GO3" s="123">
        <f>"DO"</f>
        <v/>
      </c>
      <c r="GP3" s="123">
        <f>"DP"</f>
        <v/>
      </c>
      <c r="GQ3" s="123">
        <f>"DQ"</f>
        <v/>
      </c>
      <c r="GR3" s="123">
        <f>"DR"</f>
        <v/>
      </c>
      <c r="GS3" s="123">
        <f>"DS"</f>
        <v/>
      </c>
      <c r="GT3" s="123">
        <f>"DT"</f>
        <v/>
      </c>
      <c r="GU3" s="123">
        <f>"DU"</f>
        <v/>
      </c>
      <c r="GV3" s="123">
        <f>"DV"</f>
        <v/>
      </c>
      <c r="GW3" s="123">
        <f>"DW"</f>
        <v/>
      </c>
      <c r="GX3" s="123">
        <f>"DX"</f>
        <v/>
      </c>
      <c r="GY3" s="123">
        <f>"DY"</f>
        <v/>
      </c>
      <c r="GZ3" s="123">
        <f>"DZ"</f>
        <v/>
      </c>
      <c r="HA3" s="123">
        <f>"EA"</f>
        <v/>
      </c>
      <c r="HB3" s="123">
        <f>"EB"</f>
        <v/>
      </c>
      <c r="HC3" s="123">
        <f>"EC"</f>
        <v/>
      </c>
      <c r="HD3" s="123">
        <f>"ED"</f>
        <v/>
      </c>
      <c r="HE3" s="123">
        <f>"EE"</f>
        <v/>
      </c>
      <c r="HF3" s="123">
        <f>"EF"</f>
        <v/>
      </c>
      <c r="HG3" s="123">
        <f>"EG"</f>
        <v/>
      </c>
      <c r="HH3" s="123">
        <f>"EH"</f>
        <v/>
      </c>
      <c r="HI3" s="123">
        <f>"EI"</f>
        <v/>
      </c>
      <c r="HJ3" s="123">
        <f>"EJ"</f>
        <v/>
      </c>
      <c r="HK3" s="123">
        <f>"EK"</f>
        <v/>
      </c>
      <c r="HL3" s="123">
        <f>"EL"</f>
        <v/>
      </c>
      <c r="HM3" s="123">
        <f>"EM"</f>
        <v/>
      </c>
      <c r="HN3" s="123">
        <f>"EN"</f>
        <v/>
      </c>
      <c r="HO3" s="123">
        <f>"EO"</f>
        <v/>
      </c>
      <c r="HP3" s="123">
        <f>"EP"</f>
        <v/>
      </c>
      <c r="HQ3" s="123">
        <f>"EQ"</f>
        <v/>
      </c>
      <c r="HR3" s="123">
        <f>"ER"</f>
        <v/>
      </c>
      <c r="HS3" s="123">
        <f>"ES"</f>
        <v/>
      </c>
      <c r="HT3" s="123">
        <f>"ET"</f>
        <v/>
      </c>
      <c r="HU3" s="123">
        <f>"EU"</f>
        <v/>
      </c>
      <c r="HV3" s="123">
        <f>"EV"</f>
        <v/>
      </c>
      <c r="HW3" s="123">
        <f>"EW"</f>
        <v/>
      </c>
      <c r="HX3" s="123">
        <f>"EX"</f>
        <v/>
      </c>
      <c r="HY3" s="123">
        <f>"EY"</f>
        <v/>
      </c>
      <c r="HZ3" s="123">
        <f>"EZ"</f>
        <v/>
      </c>
      <c r="IA3" s="123">
        <f>"FA"</f>
        <v/>
      </c>
      <c r="IB3" s="123">
        <f>"FB"</f>
        <v/>
      </c>
      <c r="IC3" s="123">
        <f>"FC"</f>
        <v/>
      </c>
      <c r="ID3" s="123">
        <f>"FD"</f>
        <v/>
      </c>
      <c r="IE3" s="123">
        <f>"FE"</f>
        <v/>
      </c>
      <c r="IF3" s="123">
        <f>"FF"</f>
        <v/>
      </c>
      <c r="IG3" s="123">
        <f>"FG"</f>
        <v/>
      </c>
      <c r="IH3" s="123">
        <f>"FH"</f>
        <v/>
      </c>
      <c r="II3" s="123">
        <f>"FI"</f>
        <v/>
      </c>
      <c r="IJ3" s="123">
        <f>"FJ"</f>
        <v/>
      </c>
      <c r="IK3" s="123">
        <f>"FK"</f>
        <v/>
      </c>
      <c r="IL3" s="123">
        <f>"FL"</f>
        <v/>
      </c>
      <c r="IM3" s="123">
        <f>"FM"</f>
        <v/>
      </c>
      <c r="IN3" s="123">
        <f>"FN"</f>
        <v/>
      </c>
      <c r="IO3" s="123">
        <f>"FO"</f>
        <v/>
      </c>
      <c r="IP3" s="123">
        <f>"FP"</f>
        <v/>
      </c>
      <c r="IQ3" s="123">
        <f>"FQ"</f>
        <v/>
      </c>
      <c r="IR3" s="123">
        <f>"FR"</f>
        <v/>
      </c>
      <c r="IS3" s="123">
        <f>"FS"</f>
        <v/>
      </c>
      <c r="IT3" s="123">
        <f>"FT"</f>
        <v/>
      </c>
      <c r="IU3" s="123">
        <f>"FU"</f>
        <v/>
      </c>
      <c r="IV3" s="123">
        <f>"FV"</f>
        <v/>
      </c>
      <c r="IW3" s="123">
        <f>"FW"</f>
        <v/>
      </c>
      <c r="IX3" s="123">
        <f>"FX"</f>
        <v/>
      </c>
      <c r="IY3" s="123">
        <f>"FY"</f>
        <v/>
      </c>
      <c r="IZ3" s="123">
        <f>"FZ"</f>
        <v/>
      </c>
      <c r="JA3" s="123">
        <f>"GA"</f>
        <v/>
      </c>
      <c r="JB3" s="123">
        <f>"GB"</f>
        <v/>
      </c>
      <c r="JC3" s="123">
        <f>"GC"</f>
        <v/>
      </c>
      <c r="JD3" s="123">
        <f>"GD"</f>
        <v/>
      </c>
      <c r="JE3" s="123">
        <f>"GE"</f>
        <v/>
      </c>
      <c r="JF3" s="123">
        <f>"GF"</f>
        <v/>
      </c>
      <c r="JG3" s="123">
        <f>"GG"</f>
        <v/>
      </c>
      <c r="JH3" s="123">
        <f>"GH"</f>
        <v/>
      </c>
      <c r="JI3" s="123">
        <f>"GI"</f>
        <v/>
      </c>
      <c r="JJ3" s="123">
        <f>"GJ"</f>
        <v/>
      </c>
      <c r="JK3" s="123">
        <f>"GK"</f>
        <v/>
      </c>
      <c r="JL3" s="123">
        <f>"GL"</f>
        <v/>
      </c>
      <c r="JM3" s="123">
        <f>"GM"</f>
        <v/>
      </c>
      <c r="JN3" s="123">
        <f>"GN"</f>
        <v/>
      </c>
      <c r="JO3" s="123">
        <f>"GO"</f>
        <v/>
      </c>
      <c r="JP3" s="123">
        <f>"GP"</f>
        <v/>
      </c>
      <c r="JQ3" s="123">
        <f>"GQ"</f>
        <v/>
      </c>
      <c r="JR3" s="123">
        <f>"GR"</f>
        <v/>
      </c>
      <c r="JS3" s="123">
        <f>"GS"</f>
        <v/>
      </c>
    </row>
    <row r="4">
      <c r="A4" s="58" t="inlineStr">
        <is>
          <t>ITEM</t>
        </is>
      </c>
      <c r="B4" s="58" t="inlineStr">
        <is>
          <t>NOME NO ERP (1)</t>
        </is>
      </c>
      <c r="C4" s="58" t="inlineStr">
        <is>
          <t>NOME NO ERP (2)</t>
        </is>
      </c>
      <c r="D4" s="129">
        <f>'MODELO PARA BI'!H1</f>
        <v/>
      </c>
      <c r="E4" s="129">
        <f>'MODELO PARA BI'!I1</f>
        <v/>
      </c>
      <c r="F4" s="129">
        <f>'MODELO PARA BI'!J1</f>
        <v/>
      </c>
      <c r="G4" s="129">
        <f>'MODELO PARA BI'!K1</f>
        <v/>
      </c>
      <c r="H4" s="129">
        <f>'MODELO PARA BI'!L1</f>
        <v/>
      </c>
      <c r="I4" s="129">
        <f>'MODELO PARA BI'!M1</f>
        <v/>
      </c>
      <c r="J4" s="129">
        <f>'MODELO PARA BI'!N1</f>
        <v/>
      </c>
      <c r="K4" s="129">
        <f>'MODELO PARA BI'!O1</f>
        <v/>
      </c>
      <c r="L4" s="129">
        <f>'MODELO PARA BI'!P1</f>
        <v/>
      </c>
      <c r="M4" s="129">
        <f>'MODELO PARA BI'!Q1</f>
        <v/>
      </c>
      <c r="N4" s="129">
        <f>'MODELO PARA BI'!R1</f>
        <v/>
      </c>
      <c r="O4" s="129">
        <f>'MODELO PARA BI'!S1</f>
        <v/>
      </c>
      <c r="P4" s="129">
        <f>'MODELO PARA BI'!T1</f>
        <v/>
      </c>
      <c r="Q4" s="129">
        <f>'MODELO PARA BI'!U1</f>
        <v/>
      </c>
      <c r="R4" s="129">
        <f>'MODELO PARA BI'!V1</f>
        <v/>
      </c>
      <c r="S4" s="129">
        <f>'MODELO PARA BI'!W1</f>
        <v/>
      </c>
      <c r="T4" s="129">
        <f>'MODELO PARA BI'!X1</f>
        <v/>
      </c>
      <c r="U4" s="129">
        <f>'MODELO PARA BI'!Y1</f>
        <v/>
      </c>
      <c r="V4" s="129">
        <f>'MODELO PARA BI'!Z1</f>
        <v/>
      </c>
      <c r="W4" s="129">
        <f>'MODELO PARA BI'!AA1</f>
        <v/>
      </c>
      <c r="X4" s="129">
        <f>'MODELO PARA BI'!AB1</f>
        <v/>
      </c>
      <c r="Y4" s="129">
        <f>'MODELO PARA BI'!AC1</f>
        <v/>
      </c>
      <c r="Z4" s="129">
        <f>'MODELO PARA BI'!AD1</f>
        <v/>
      </c>
      <c r="AA4" s="129">
        <f>'MODELO PARA BI'!AE1</f>
        <v/>
      </c>
      <c r="AB4" s="129">
        <f>'MODELO PARA BI'!AF1</f>
        <v/>
      </c>
      <c r="AC4" s="129">
        <f>'MODELO PARA BI'!AG1</f>
        <v/>
      </c>
      <c r="AD4" s="129">
        <f>'MODELO PARA BI'!AH1</f>
        <v/>
      </c>
      <c r="AE4" s="129">
        <f>'MODELO PARA BI'!AI1</f>
        <v/>
      </c>
      <c r="AF4" s="129">
        <f>'MODELO PARA BI'!AJ1</f>
        <v/>
      </c>
      <c r="AG4" s="129">
        <f>'MODELO PARA BI'!AK1</f>
        <v/>
      </c>
      <c r="AH4" s="129">
        <f>'MODELO PARA BI'!AL1</f>
        <v/>
      </c>
      <c r="AI4" s="129">
        <f>'MODELO PARA BI'!AM1</f>
        <v/>
      </c>
      <c r="AJ4" s="129">
        <f>'MODELO PARA BI'!AN1</f>
        <v/>
      </c>
      <c r="AK4" s="129">
        <f>'MODELO PARA BI'!AO1</f>
        <v/>
      </c>
      <c r="AL4" s="129">
        <f>'MODELO PARA BI'!AP1</f>
        <v/>
      </c>
      <c r="AM4" s="129">
        <f>'MODELO PARA BI'!AQ1</f>
        <v/>
      </c>
      <c r="AN4" s="129">
        <f>'MODELO PARA BI'!AR1</f>
        <v/>
      </c>
      <c r="AO4" s="129">
        <f>'MODELO PARA BI'!AS1</f>
        <v/>
      </c>
      <c r="AP4" s="129">
        <f>'MODELO PARA BI'!AT1</f>
        <v/>
      </c>
      <c r="AQ4" s="129">
        <f>'MODELO PARA BI'!AU1</f>
        <v/>
      </c>
      <c r="AR4" s="129">
        <f>'MODELO PARA BI'!AV1</f>
        <v/>
      </c>
      <c r="AS4" s="129">
        <f>'MODELO PARA BI'!AW1</f>
        <v/>
      </c>
      <c r="AT4" s="129">
        <f>'MODELO PARA BI'!AX1</f>
        <v/>
      </c>
      <c r="AU4" s="129">
        <f>'MODELO PARA BI'!AY1</f>
        <v/>
      </c>
      <c r="AV4" s="129">
        <f>'MODELO PARA BI'!AZ1</f>
        <v/>
      </c>
      <c r="AW4" s="129">
        <f>'MODELO PARA BI'!BA1</f>
        <v/>
      </c>
      <c r="AX4" s="129">
        <f>'MODELO PARA BI'!BB1</f>
        <v/>
      </c>
      <c r="AY4" s="129">
        <f>'MODELO PARA BI'!BC1</f>
        <v/>
      </c>
      <c r="AZ4" s="129">
        <f>'MODELO PARA BI'!BD1</f>
        <v/>
      </c>
      <c r="BA4" s="129">
        <f>'MODELO PARA BI'!BE1</f>
        <v/>
      </c>
      <c r="BB4" s="129">
        <f>'MODELO PARA BI'!BF1</f>
        <v/>
      </c>
      <c r="BC4" s="129">
        <f>'MODELO PARA BI'!BG1</f>
        <v/>
      </c>
      <c r="BD4" s="129">
        <f>'MODELO PARA BI'!BH1</f>
        <v/>
      </c>
      <c r="BE4" s="129">
        <f>'MODELO PARA BI'!BI1</f>
        <v/>
      </c>
      <c r="BF4" s="129">
        <f>'MODELO PARA BI'!BJ1</f>
        <v/>
      </c>
      <c r="BG4" s="129">
        <f>'MODELO PARA BI'!BK1</f>
        <v/>
      </c>
      <c r="BH4" s="129">
        <f>'MODELO PARA BI'!BL1</f>
        <v/>
      </c>
      <c r="BI4" s="129">
        <f>'MODELO PARA BI'!BM1</f>
        <v/>
      </c>
      <c r="BJ4" s="129">
        <f>'MODELO PARA BI'!BN1</f>
        <v/>
      </c>
      <c r="BK4" s="129">
        <f>'MODELO PARA BI'!BO1</f>
        <v/>
      </c>
      <c r="BL4" s="129">
        <f>'MODELO PARA BI'!BP1</f>
        <v/>
      </c>
      <c r="BM4" s="129">
        <f>'MODELO PARA BI'!BQ1</f>
        <v/>
      </c>
      <c r="BN4" s="129">
        <f>'MODELO PARA BI'!BR1</f>
        <v/>
      </c>
      <c r="BO4" s="129">
        <f>'MODELO PARA BI'!BS1</f>
        <v/>
      </c>
      <c r="BP4" s="129">
        <f>'MODELO PARA BI'!BT1</f>
        <v/>
      </c>
      <c r="BQ4" s="129">
        <f>'MODELO PARA BI'!BU1</f>
        <v/>
      </c>
      <c r="BR4" s="129">
        <f>'MODELO PARA BI'!BV1</f>
        <v/>
      </c>
      <c r="BS4" s="129">
        <f>'MODELO PARA BI'!BW1</f>
        <v/>
      </c>
      <c r="BT4" s="129">
        <f>'MODELO PARA BI'!BX1</f>
        <v/>
      </c>
      <c r="BU4" s="129">
        <f>'MODELO PARA BI'!BY1</f>
        <v/>
      </c>
      <c r="BV4" s="129">
        <f>'MODELO PARA BI'!BZ1</f>
        <v/>
      </c>
      <c r="BW4" s="129">
        <f>'MODELO PARA BI'!CA1</f>
        <v/>
      </c>
      <c r="BX4" s="58" t="inlineStr">
        <is>
          <t>FORA DO
HORIZONTE</t>
        </is>
      </c>
      <c r="BY4" s="58" t="inlineStr">
        <is>
          <t>TOTAL NO ERP</t>
        </is>
      </c>
      <c r="BZ4" s="58" t="inlineStr">
        <is>
          <t>INCC DO
ACUMULADO
(mês a mês)</t>
        </is>
      </c>
      <c r="CB4" s="119">
        <f>IF(ISNUMBER('DADOS BRUTOS'!B$2),DATE(YEAR('DADOS BRUTOS'!B$2),MONTH('DADOS BRUTOS'!B$2),1),"")</f>
        <v/>
      </c>
      <c r="CC4" s="119">
        <f>IF(ISNUMBER('DADOS BRUTOS'!C$2),DATE(YEAR('DADOS BRUTOS'!C$2),MONTH('DADOS BRUTOS'!C$2),1),"")</f>
        <v/>
      </c>
      <c r="CD4" s="119">
        <f>IF(ISNUMBER('DADOS BRUTOS'!D$2),DATE(YEAR('DADOS BRUTOS'!D$2),MONTH('DADOS BRUTOS'!D$2),1),"")</f>
        <v/>
      </c>
      <c r="CE4" s="119">
        <f>IF(ISNUMBER('DADOS BRUTOS'!E$2),DATE(YEAR('DADOS BRUTOS'!E$2),MONTH('DADOS BRUTOS'!E$2),1),"")</f>
        <v/>
      </c>
      <c r="CF4" s="119">
        <f>IF(ISNUMBER('DADOS BRUTOS'!F$2),DATE(YEAR('DADOS BRUTOS'!F$2),MONTH('DADOS BRUTOS'!F$2),1),"")</f>
        <v/>
      </c>
      <c r="CG4" s="119">
        <f>IF(ISNUMBER('DADOS BRUTOS'!G$2),DATE(YEAR('DADOS BRUTOS'!G$2),MONTH('DADOS BRUTOS'!G$2),1),"")</f>
        <v/>
      </c>
      <c r="CH4" s="119">
        <f>IF(ISNUMBER('DADOS BRUTOS'!H$2),DATE(YEAR('DADOS BRUTOS'!H$2),MONTH('DADOS BRUTOS'!H$2),1),"")</f>
        <v/>
      </c>
      <c r="CI4" s="119">
        <f>IF(ISNUMBER('DADOS BRUTOS'!I$2),DATE(YEAR('DADOS BRUTOS'!I$2),MONTH('DADOS BRUTOS'!I$2),1),"")</f>
        <v/>
      </c>
      <c r="CJ4" s="119">
        <f>IF(ISNUMBER('DADOS BRUTOS'!J$2),DATE(YEAR('DADOS BRUTOS'!J$2),MONTH('DADOS BRUTOS'!J$2),1),"")</f>
        <v/>
      </c>
      <c r="CK4" s="119">
        <f>IF(ISNUMBER('DADOS BRUTOS'!K$2),DATE(YEAR('DADOS BRUTOS'!K$2),MONTH('DADOS BRUTOS'!K$2),1),"")</f>
        <v/>
      </c>
      <c r="CL4" s="119">
        <f>IF(ISNUMBER('DADOS BRUTOS'!L$2),DATE(YEAR('DADOS BRUTOS'!L$2),MONTH('DADOS BRUTOS'!L$2),1),"")</f>
        <v/>
      </c>
      <c r="CM4" s="119">
        <f>IF(ISNUMBER('DADOS BRUTOS'!M$2),DATE(YEAR('DADOS BRUTOS'!M$2),MONTH('DADOS BRUTOS'!M$2),1),"")</f>
        <v/>
      </c>
      <c r="CN4" s="119">
        <f>IF(ISNUMBER('DADOS BRUTOS'!N$2),DATE(YEAR('DADOS BRUTOS'!N$2),MONTH('DADOS BRUTOS'!N$2),1),"")</f>
        <v/>
      </c>
      <c r="CO4" s="119">
        <f>IF(ISNUMBER('DADOS BRUTOS'!O$2),DATE(YEAR('DADOS BRUTOS'!O$2),MONTH('DADOS BRUTOS'!O$2),1),"")</f>
        <v/>
      </c>
      <c r="CP4" s="119">
        <f>IF(ISNUMBER('DADOS BRUTOS'!P$2),DATE(YEAR('DADOS BRUTOS'!P$2),MONTH('DADOS BRUTOS'!P$2),1),"")</f>
        <v/>
      </c>
      <c r="CQ4" s="119">
        <f>IF(ISNUMBER('DADOS BRUTOS'!Q$2),DATE(YEAR('DADOS BRUTOS'!Q$2),MONTH('DADOS BRUTOS'!Q$2),1),"")</f>
        <v/>
      </c>
      <c r="CR4" s="119">
        <f>IF(ISNUMBER('DADOS BRUTOS'!R$2),DATE(YEAR('DADOS BRUTOS'!R$2),MONTH('DADOS BRUTOS'!R$2),1),"")</f>
        <v/>
      </c>
      <c r="CS4" s="119">
        <f>IF(ISNUMBER('DADOS BRUTOS'!S$2),DATE(YEAR('DADOS BRUTOS'!S$2),MONTH('DADOS BRUTOS'!S$2),1),"")</f>
        <v/>
      </c>
      <c r="CT4" s="119">
        <f>IF(ISNUMBER('DADOS BRUTOS'!T$2),DATE(YEAR('DADOS BRUTOS'!T$2),MONTH('DADOS BRUTOS'!T$2),1),"")</f>
        <v/>
      </c>
      <c r="CU4" s="119">
        <f>IF(ISNUMBER('DADOS BRUTOS'!U$2),DATE(YEAR('DADOS BRUTOS'!U$2),MONTH('DADOS BRUTOS'!U$2),1),"")</f>
        <v/>
      </c>
      <c r="CV4" s="119">
        <f>IF(ISNUMBER('DADOS BRUTOS'!V$2),DATE(YEAR('DADOS BRUTOS'!V$2),MONTH('DADOS BRUTOS'!V$2),1),"")</f>
        <v/>
      </c>
      <c r="CW4" s="119">
        <f>IF(ISNUMBER('DADOS BRUTOS'!W$2),DATE(YEAR('DADOS BRUTOS'!W$2),MONTH('DADOS BRUTOS'!W$2),1),"")</f>
        <v/>
      </c>
      <c r="CX4" s="119">
        <f>IF(ISNUMBER('DADOS BRUTOS'!X$2),DATE(YEAR('DADOS BRUTOS'!X$2),MONTH('DADOS BRUTOS'!X$2),1),"")</f>
        <v/>
      </c>
      <c r="CY4" s="119">
        <f>IF(ISNUMBER('DADOS BRUTOS'!Y$2),DATE(YEAR('DADOS BRUTOS'!Y$2),MONTH('DADOS BRUTOS'!Y$2),1),"")</f>
        <v/>
      </c>
      <c r="CZ4" s="119">
        <f>IF(ISNUMBER('DADOS BRUTOS'!Z$2),DATE(YEAR('DADOS BRUTOS'!Z$2),MONTH('DADOS BRUTOS'!Z$2),1),"")</f>
        <v/>
      </c>
      <c r="DA4" s="119">
        <f>IF(ISNUMBER('DADOS BRUTOS'!AA$2),DATE(YEAR('DADOS BRUTOS'!AA$2),MONTH('DADOS BRUTOS'!AA$2),1),"")</f>
        <v/>
      </c>
      <c r="DB4" s="119">
        <f>IF(ISNUMBER('DADOS BRUTOS'!AB$2),DATE(YEAR('DADOS BRUTOS'!AB$2),MONTH('DADOS BRUTOS'!AB$2),1),"")</f>
        <v/>
      </c>
      <c r="DC4" s="119">
        <f>IF(ISNUMBER('DADOS BRUTOS'!AC$2),DATE(YEAR('DADOS BRUTOS'!AC$2),MONTH('DADOS BRUTOS'!AC$2),1),"")</f>
        <v/>
      </c>
      <c r="DD4" s="119">
        <f>IF(ISNUMBER('DADOS BRUTOS'!AD$2),DATE(YEAR('DADOS BRUTOS'!AD$2),MONTH('DADOS BRUTOS'!AD$2),1),"")</f>
        <v/>
      </c>
      <c r="DE4" s="119">
        <f>IF(ISNUMBER('DADOS BRUTOS'!AE$2),DATE(YEAR('DADOS BRUTOS'!AE$2),MONTH('DADOS BRUTOS'!AE$2),1),"")</f>
        <v/>
      </c>
      <c r="DF4" s="119">
        <f>IF(ISNUMBER('DADOS BRUTOS'!AF$2),DATE(YEAR('DADOS BRUTOS'!AF$2),MONTH('DADOS BRUTOS'!AF$2),1),"")</f>
        <v/>
      </c>
      <c r="DG4" s="119">
        <f>IF(ISNUMBER('DADOS BRUTOS'!AG$2),DATE(YEAR('DADOS BRUTOS'!AG$2),MONTH('DADOS BRUTOS'!AG$2),1),"")</f>
        <v/>
      </c>
      <c r="DH4" s="119">
        <f>IF(ISNUMBER('DADOS BRUTOS'!AH$2),DATE(YEAR('DADOS BRUTOS'!AH$2),MONTH('DADOS BRUTOS'!AH$2),1),"")</f>
        <v/>
      </c>
      <c r="DI4" s="119">
        <f>IF(ISNUMBER('DADOS BRUTOS'!AI$2),DATE(YEAR('DADOS BRUTOS'!AI$2),MONTH('DADOS BRUTOS'!AI$2),1),"")</f>
        <v/>
      </c>
      <c r="DJ4" s="119">
        <f>IF(ISNUMBER('DADOS BRUTOS'!AJ$2),DATE(YEAR('DADOS BRUTOS'!AJ$2),MONTH('DADOS BRUTOS'!AJ$2),1),"")</f>
        <v/>
      </c>
      <c r="DK4" s="119">
        <f>IF(ISNUMBER('DADOS BRUTOS'!AK$2),DATE(YEAR('DADOS BRUTOS'!AK$2),MONTH('DADOS BRUTOS'!AK$2),1),"")</f>
        <v/>
      </c>
      <c r="DL4" s="119">
        <f>IF(ISNUMBER('DADOS BRUTOS'!AL$2),DATE(YEAR('DADOS BRUTOS'!AL$2),MONTH('DADOS BRUTOS'!AL$2),1),"")</f>
        <v/>
      </c>
      <c r="DM4" s="119">
        <f>IF(ISNUMBER('DADOS BRUTOS'!AM$2),DATE(YEAR('DADOS BRUTOS'!AM$2),MONTH('DADOS BRUTOS'!AM$2),1),"")</f>
        <v/>
      </c>
      <c r="DN4" s="119">
        <f>IF(ISNUMBER('DADOS BRUTOS'!AN$2),DATE(YEAR('DADOS BRUTOS'!AN$2),MONTH('DADOS BRUTOS'!AN$2),1),"")</f>
        <v/>
      </c>
      <c r="DO4" s="119">
        <f>IF(ISNUMBER('DADOS BRUTOS'!AO$2),DATE(YEAR('DADOS BRUTOS'!AO$2),MONTH('DADOS BRUTOS'!AO$2),1),"")</f>
        <v/>
      </c>
      <c r="DP4" s="119">
        <f>IF(ISNUMBER('DADOS BRUTOS'!AP$2),DATE(YEAR('DADOS BRUTOS'!AP$2),MONTH('DADOS BRUTOS'!AP$2),1),"")</f>
        <v/>
      </c>
      <c r="DQ4" s="119">
        <f>IF(ISNUMBER('DADOS BRUTOS'!AQ$2),DATE(YEAR('DADOS BRUTOS'!AQ$2),MONTH('DADOS BRUTOS'!AQ$2),1),"")</f>
        <v/>
      </c>
      <c r="DR4" s="119">
        <f>IF(ISNUMBER('DADOS BRUTOS'!AR$2),DATE(YEAR('DADOS BRUTOS'!AR$2),MONTH('DADOS BRUTOS'!AR$2),1),"")</f>
        <v/>
      </c>
      <c r="DS4" s="119">
        <f>IF(ISNUMBER('DADOS BRUTOS'!AS$2),DATE(YEAR('DADOS BRUTOS'!AS$2),MONTH('DADOS BRUTOS'!AS$2),1),"")</f>
        <v/>
      </c>
      <c r="DT4" s="119">
        <f>IF(ISNUMBER('DADOS BRUTOS'!AT$2),DATE(YEAR('DADOS BRUTOS'!AT$2),MONTH('DADOS BRUTOS'!AT$2),1),"")</f>
        <v/>
      </c>
      <c r="DU4" s="119">
        <f>IF(ISNUMBER('DADOS BRUTOS'!AU$2),DATE(YEAR('DADOS BRUTOS'!AU$2),MONTH('DADOS BRUTOS'!AU$2),1),"")</f>
        <v/>
      </c>
      <c r="DV4" s="119">
        <f>IF(ISNUMBER('DADOS BRUTOS'!AV$2),DATE(YEAR('DADOS BRUTOS'!AV$2),MONTH('DADOS BRUTOS'!AV$2),1),"")</f>
        <v/>
      </c>
      <c r="DW4" s="119">
        <f>IF(ISNUMBER('DADOS BRUTOS'!AW$2),DATE(YEAR('DADOS BRUTOS'!AW$2),MONTH('DADOS BRUTOS'!AW$2),1),"")</f>
        <v/>
      </c>
      <c r="DX4" s="119">
        <f>IF(ISNUMBER('DADOS BRUTOS'!AX$2),DATE(YEAR('DADOS BRUTOS'!AX$2),MONTH('DADOS BRUTOS'!AX$2),1),"")</f>
        <v/>
      </c>
      <c r="DY4" s="119">
        <f>IF(ISNUMBER('DADOS BRUTOS'!AY$2),DATE(YEAR('DADOS BRUTOS'!AY$2),MONTH('DADOS BRUTOS'!AY$2),1),"")</f>
        <v/>
      </c>
      <c r="DZ4" s="119">
        <f>IF(ISNUMBER('DADOS BRUTOS'!AZ$2),DATE(YEAR('DADOS BRUTOS'!AZ$2),MONTH('DADOS BRUTOS'!AZ$2),1),"")</f>
        <v/>
      </c>
      <c r="EA4" s="119">
        <f>IF(ISNUMBER('DADOS BRUTOS'!BA$2),DATE(YEAR('DADOS BRUTOS'!BA$2),MONTH('DADOS BRUTOS'!BA$2),1),"")</f>
        <v/>
      </c>
      <c r="EB4" s="119">
        <f>IF(ISNUMBER('DADOS BRUTOS'!BB$2),DATE(YEAR('DADOS BRUTOS'!BB$2),MONTH('DADOS BRUTOS'!BB$2),1),"")</f>
        <v/>
      </c>
      <c r="EC4" s="119">
        <f>IF(ISNUMBER('DADOS BRUTOS'!BC$2),DATE(YEAR('DADOS BRUTOS'!BC$2),MONTH('DADOS BRUTOS'!BC$2),1),"")</f>
        <v/>
      </c>
      <c r="ED4" s="119">
        <f>IF(ISNUMBER('DADOS BRUTOS'!BD$2),DATE(YEAR('DADOS BRUTOS'!BD$2),MONTH('DADOS BRUTOS'!BD$2),1),"")</f>
        <v/>
      </c>
      <c r="EE4" s="119">
        <f>IF(ISNUMBER('DADOS BRUTOS'!BE$2),DATE(YEAR('DADOS BRUTOS'!BE$2),MONTH('DADOS BRUTOS'!BE$2),1),"")</f>
        <v/>
      </c>
      <c r="EF4" s="119">
        <f>IF(ISNUMBER('DADOS BRUTOS'!BF$2),DATE(YEAR('DADOS BRUTOS'!BF$2),MONTH('DADOS BRUTOS'!BF$2),1),"")</f>
        <v/>
      </c>
      <c r="EG4" s="119">
        <f>IF(ISNUMBER('DADOS BRUTOS'!BG$2),DATE(YEAR('DADOS BRUTOS'!BG$2),MONTH('DADOS BRUTOS'!BG$2),1),"")</f>
        <v/>
      </c>
      <c r="EH4" s="119">
        <f>IF(ISNUMBER('DADOS BRUTOS'!BH$2),DATE(YEAR('DADOS BRUTOS'!BH$2),MONTH('DADOS BRUTOS'!BH$2),1),"")</f>
        <v/>
      </c>
      <c r="EI4" s="119">
        <f>IF(ISNUMBER('DADOS BRUTOS'!BI$2),DATE(YEAR('DADOS BRUTOS'!BI$2),MONTH('DADOS BRUTOS'!BI$2),1),"")</f>
        <v/>
      </c>
      <c r="EJ4" s="119">
        <f>IF(ISNUMBER('DADOS BRUTOS'!BJ$2),DATE(YEAR('DADOS BRUTOS'!BJ$2),MONTH('DADOS BRUTOS'!BJ$2),1),"")</f>
        <v/>
      </c>
      <c r="EK4" s="119">
        <f>IF(ISNUMBER('DADOS BRUTOS'!BK$2),DATE(YEAR('DADOS BRUTOS'!BK$2),MONTH('DADOS BRUTOS'!BK$2),1),"")</f>
        <v/>
      </c>
      <c r="EL4" s="119">
        <f>IF(ISNUMBER('DADOS BRUTOS'!BL$2),DATE(YEAR('DADOS BRUTOS'!BL$2),MONTH('DADOS BRUTOS'!BL$2),1),"")</f>
        <v/>
      </c>
      <c r="EM4" s="119">
        <f>IF(ISNUMBER('DADOS BRUTOS'!BM$2),DATE(YEAR('DADOS BRUTOS'!BM$2),MONTH('DADOS BRUTOS'!BM$2),1),"")</f>
        <v/>
      </c>
      <c r="EN4" s="119">
        <f>IF(ISNUMBER('DADOS BRUTOS'!BN$2),DATE(YEAR('DADOS BRUTOS'!BN$2),MONTH('DADOS BRUTOS'!BN$2),1),"")</f>
        <v/>
      </c>
      <c r="EO4" s="119">
        <f>IF(ISNUMBER('DADOS BRUTOS'!BO$2),DATE(YEAR('DADOS BRUTOS'!BO$2),MONTH('DADOS BRUTOS'!BO$2),1),"")</f>
        <v/>
      </c>
      <c r="EP4" s="119">
        <f>IF(ISNUMBER('DADOS BRUTOS'!BP$2),DATE(YEAR('DADOS BRUTOS'!BP$2),MONTH('DADOS BRUTOS'!BP$2),1),"")</f>
        <v/>
      </c>
      <c r="EQ4" s="119">
        <f>IF(ISNUMBER('DADOS BRUTOS'!BQ$2),DATE(YEAR('DADOS BRUTOS'!BQ$2),MONTH('DADOS BRUTOS'!BQ$2),1),"")</f>
        <v/>
      </c>
      <c r="ER4" s="119">
        <f>IF(ISNUMBER('DADOS BRUTOS'!BR$2),DATE(YEAR('DADOS BRUTOS'!BR$2),MONTH('DADOS BRUTOS'!BR$2),1),"")</f>
        <v/>
      </c>
      <c r="ES4" s="119">
        <f>IF(ISNUMBER('DADOS BRUTOS'!BS$2),DATE(YEAR('DADOS BRUTOS'!BS$2),MONTH('DADOS BRUTOS'!BS$2),1),"")</f>
        <v/>
      </c>
      <c r="ET4" s="119">
        <f>IF(ISNUMBER('DADOS BRUTOS'!BT$2),DATE(YEAR('DADOS BRUTOS'!BT$2),MONTH('DADOS BRUTOS'!BT$2),1),"")</f>
        <v/>
      </c>
      <c r="EU4" s="119">
        <f>IF(ISNUMBER('DADOS BRUTOS'!BU$2),DATE(YEAR('DADOS BRUTOS'!BU$2),MONTH('DADOS BRUTOS'!BU$2),1),"")</f>
        <v/>
      </c>
      <c r="EV4" s="119">
        <f>IF(ISNUMBER('DADOS BRUTOS'!BV$2),DATE(YEAR('DADOS BRUTOS'!BV$2),MONTH('DADOS BRUTOS'!BV$2),1),"")</f>
        <v/>
      </c>
      <c r="EW4" s="119">
        <f>IF(ISNUMBER('DADOS BRUTOS'!BW$2),DATE(YEAR('DADOS BRUTOS'!BW$2),MONTH('DADOS BRUTOS'!BW$2),1),"")</f>
        <v/>
      </c>
      <c r="EX4" s="119">
        <f>IF(ISNUMBER('DADOS BRUTOS'!BX$2),DATE(YEAR('DADOS BRUTOS'!BX$2),MONTH('DADOS BRUTOS'!BX$2),1),"")</f>
        <v/>
      </c>
      <c r="EY4" s="119">
        <f>IF(ISNUMBER('DADOS BRUTOS'!BY$2),DATE(YEAR('DADOS BRUTOS'!BY$2),MONTH('DADOS BRUTOS'!BY$2),1),"")</f>
        <v/>
      </c>
      <c r="EZ4" s="119">
        <f>IF(ISNUMBER('DADOS BRUTOS'!BZ$2),DATE(YEAR('DADOS BRUTOS'!BZ$2),MONTH('DADOS BRUTOS'!BZ$2),1),"")</f>
        <v/>
      </c>
      <c r="FA4" s="119">
        <f>IF(ISNUMBER('DADOS BRUTOS'!CA$2),DATE(YEAR('DADOS BRUTOS'!CA$2),MONTH('DADOS BRUTOS'!CA$2),1),"")</f>
        <v/>
      </c>
      <c r="FB4" s="119">
        <f>IF(ISNUMBER('DADOS BRUTOS'!CB$2),DATE(YEAR('DADOS BRUTOS'!CB$2),MONTH('DADOS BRUTOS'!CB$2),1),"")</f>
        <v/>
      </c>
      <c r="FC4" s="119">
        <f>IF(ISNUMBER('DADOS BRUTOS'!CC$2),DATE(YEAR('DADOS BRUTOS'!CC$2),MONTH('DADOS BRUTOS'!CC$2),1),"")</f>
        <v/>
      </c>
      <c r="FD4" s="119">
        <f>IF(ISNUMBER('DADOS BRUTOS'!CD$2),DATE(YEAR('DADOS BRUTOS'!CD$2),MONTH('DADOS BRUTOS'!CD$2),1),"")</f>
        <v/>
      </c>
      <c r="FE4" s="119">
        <f>IF(ISNUMBER('DADOS BRUTOS'!CE$2),DATE(YEAR('DADOS BRUTOS'!CE$2),MONTH('DADOS BRUTOS'!CE$2),1),"")</f>
        <v/>
      </c>
      <c r="FF4" s="119">
        <f>IF(ISNUMBER('DADOS BRUTOS'!CF$2),DATE(YEAR('DADOS BRUTOS'!CF$2),MONTH('DADOS BRUTOS'!CF$2),1),"")</f>
        <v/>
      </c>
      <c r="FG4" s="119">
        <f>IF(ISNUMBER('DADOS BRUTOS'!CG$2),DATE(YEAR('DADOS BRUTOS'!CG$2),MONTH('DADOS BRUTOS'!CG$2),1),"")</f>
        <v/>
      </c>
      <c r="FH4" s="119">
        <f>IF(ISNUMBER('DADOS BRUTOS'!CH$2),DATE(YEAR('DADOS BRUTOS'!CH$2),MONTH('DADOS BRUTOS'!CH$2),1),"")</f>
        <v/>
      </c>
      <c r="FI4" s="119">
        <f>IF(ISNUMBER('DADOS BRUTOS'!CI$2),DATE(YEAR('DADOS BRUTOS'!CI$2),MONTH('DADOS BRUTOS'!CI$2),1),"")</f>
        <v/>
      </c>
      <c r="FJ4" s="119">
        <f>IF(ISNUMBER('DADOS BRUTOS'!CJ$2),DATE(YEAR('DADOS BRUTOS'!CJ$2),MONTH('DADOS BRUTOS'!CJ$2),1),"")</f>
        <v/>
      </c>
      <c r="FK4" s="119">
        <f>IF(ISNUMBER('DADOS BRUTOS'!CK$2),DATE(YEAR('DADOS BRUTOS'!CK$2),MONTH('DADOS BRUTOS'!CK$2),1),"")</f>
        <v/>
      </c>
      <c r="FL4" s="119">
        <f>IF(ISNUMBER('DADOS BRUTOS'!CL$2),DATE(YEAR('DADOS BRUTOS'!CL$2),MONTH('DADOS BRUTOS'!CL$2),1),"")</f>
        <v/>
      </c>
      <c r="FM4" s="119">
        <f>IF(ISNUMBER('DADOS BRUTOS'!CM$2),DATE(YEAR('DADOS BRUTOS'!CM$2),MONTH('DADOS BRUTOS'!CM$2),1),"")</f>
        <v/>
      </c>
      <c r="FN4" s="119">
        <f>IF(ISNUMBER('DADOS BRUTOS'!CN$2),DATE(YEAR('DADOS BRUTOS'!CN$2),MONTH('DADOS BRUTOS'!CN$2),1),"")</f>
        <v/>
      </c>
      <c r="FO4" s="119">
        <f>IF(ISNUMBER('DADOS BRUTOS'!CO$2),DATE(YEAR('DADOS BRUTOS'!CO$2),MONTH('DADOS BRUTOS'!CO$2),1),"")</f>
        <v/>
      </c>
      <c r="FP4" s="119">
        <f>IF(ISNUMBER('DADOS BRUTOS'!CP$2),DATE(YEAR('DADOS BRUTOS'!CP$2),MONTH('DADOS BRUTOS'!CP$2),1),"")</f>
        <v/>
      </c>
      <c r="FQ4" s="119">
        <f>IF(ISNUMBER('DADOS BRUTOS'!CQ$2),DATE(YEAR('DADOS BRUTOS'!CQ$2),MONTH('DADOS BRUTOS'!CQ$2),1),"")</f>
        <v/>
      </c>
      <c r="FR4" s="119">
        <f>IF(ISNUMBER('DADOS BRUTOS'!CR$2),DATE(YEAR('DADOS BRUTOS'!CR$2),MONTH('DADOS BRUTOS'!CR$2),1),"")</f>
        <v/>
      </c>
      <c r="FS4" s="119">
        <f>IF(ISNUMBER('DADOS BRUTOS'!CS$2),DATE(YEAR('DADOS BRUTOS'!CS$2),MONTH('DADOS BRUTOS'!CS$2),1),"")</f>
        <v/>
      </c>
      <c r="FT4" s="119">
        <f>IF(ISNUMBER('DADOS BRUTOS'!CT$2),DATE(YEAR('DADOS BRUTOS'!CT$2),MONTH('DADOS BRUTOS'!CT$2),1),"")</f>
        <v/>
      </c>
      <c r="FU4" s="119">
        <f>IF(ISNUMBER('DADOS BRUTOS'!CU$2),DATE(YEAR('DADOS BRUTOS'!CU$2),MONTH('DADOS BRUTOS'!CU$2),1),"")</f>
        <v/>
      </c>
      <c r="FV4" s="119">
        <f>IF(ISNUMBER('DADOS BRUTOS'!CV$2),DATE(YEAR('DADOS BRUTOS'!CV$2),MONTH('DADOS BRUTOS'!CV$2),1),"")</f>
        <v/>
      </c>
      <c r="FW4" s="119">
        <f>IF(ISNUMBER('DADOS BRUTOS'!CW$2),DATE(YEAR('DADOS BRUTOS'!CW$2),MONTH('DADOS BRUTOS'!CW$2),1),"")</f>
        <v/>
      </c>
      <c r="FX4" s="119">
        <f>IF(ISNUMBER('DADOS BRUTOS'!CX$2),DATE(YEAR('DADOS BRUTOS'!CX$2),MONTH('DADOS BRUTOS'!CX$2),1),"")</f>
        <v/>
      </c>
      <c r="FY4" s="119">
        <f>IF(ISNUMBER('DADOS BRUTOS'!CY$2),DATE(YEAR('DADOS BRUTOS'!CY$2),MONTH('DADOS BRUTOS'!CY$2),1),"")</f>
        <v/>
      </c>
      <c r="FZ4" s="119">
        <f>IF(ISNUMBER('DADOS BRUTOS'!CZ$2),DATE(YEAR('DADOS BRUTOS'!CZ$2),MONTH('DADOS BRUTOS'!CZ$2),1),"")</f>
        <v/>
      </c>
      <c r="GA4" s="119">
        <f>IF(ISNUMBER('DADOS BRUTOS'!DA$2),DATE(YEAR('DADOS BRUTOS'!DA$2),MONTH('DADOS BRUTOS'!DA$2),1),"")</f>
        <v/>
      </c>
      <c r="GB4" s="119">
        <f>IF(ISNUMBER('DADOS BRUTOS'!DB$2),DATE(YEAR('DADOS BRUTOS'!DB$2),MONTH('DADOS BRUTOS'!DB$2),1),"")</f>
        <v/>
      </c>
      <c r="GC4" s="119">
        <f>IF(ISNUMBER('DADOS BRUTOS'!DC$2),DATE(YEAR('DADOS BRUTOS'!DC$2),MONTH('DADOS BRUTOS'!DC$2),1),"")</f>
        <v/>
      </c>
      <c r="GD4" s="119">
        <f>IF(ISNUMBER('DADOS BRUTOS'!DD$2),DATE(YEAR('DADOS BRUTOS'!DD$2),MONTH('DADOS BRUTOS'!DD$2),1),"")</f>
        <v/>
      </c>
      <c r="GE4" s="119">
        <f>IF(ISNUMBER('DADOS BRUTOS'!DE$2),DATE(YEAR('DADOS BRUTOS'!DE$2),MONTH('DADOS BRUTOS'!DE$2),1),"")</f>
        <v/>
      </c>
      <c r="GF4" s="119">
        <f>IF(ISNUMBER('DADOS BRUTOS'!DF$2),DATE(YEAR('DADOS BRUTOS'!DF$2),MONTH('DADOS BRUTOS'!DF$2),1),"")</f>
        <v/>
      </c>
      <c r="GG4" s="119">
        <f>IF(ISNUMBER('DADOS BRUTOS'!DG$2),DATE(YEAR('DADOS BRUTOS'!DG$2),MONTH('DADOS BRUTOS'!DG$2),1),"")</f>
        <v/>
      </c>
      <c r="GH4" s="119">
        <f>IF(ISNUMBER('DADOS BRUTOS'!DH$2),DATE(YEAR('DADOS BRUTOS'!DH$2),MONTH('DADOS BRUTOS'!DH$2),1),"")</f>
        <v/>
      </c>
      <c r="GI4" s="119">
        <f>IF(ISNUMBER('DADOS BRUTOS'!DI$2),DATE(YEAR('DADOS BRUTOS'!DI$2),MONTH('DADOS BRUTOS'!DI$2),1),"")</f>
        <v/>
      </c>
      <c r="GJ4" s="119">
        <f>IF(ISNUMBER('DADOS BRUTOS'!DJ$2),DATE(YEAR('DADOS BRUTOS'!DJ$2),MONTH('DADOS BRUTOS'!DJ$2),1),"")</f>
        <v/>
      </c>
      <c r="GK4" s="119">
        <f>IF(ISNUMBER('DADOS BRUTOS'!DK$2),DATE(YEAR('DADOS BRUTOS'!DK$2),MONTH('DADOS BRUTOS'!DK$2),1),"")</f>
        <v/>
      </c>
      <c r="GL4" s="119">
        <f>IF(ISNUMBER('DADOS BRUTOS'!DL$2),DATE(YEAR('DADOS BRUTOS'!DL$2),MONTH('DADOS BRUTOS'!DL$2),1),"")</f>
        <v/>
      </c>
      <c r="GM4" s="119">
        <f>IF(ISNUMBER('DADOS BRUTOS'!DM$2),DATE(YEAR('DADOS BRUTOS'!DM$2),MONTH('DADOS BRUTOS'!DM$2),1),"")</f>
        <v/>
      </c>
      <c r="GN4" s="119">
        <f>IF(ISNUMBER('DADOS BRUTOS'!DN$2),DATE(YEAR('DADOS BRUTOS'!DN$2),MONTH('DADOS BRUTOS'!DN$2),1),"")</f>
        <v/>
      </c>
      <c r="GO4" s="119">
        <f>IF(ISNUMBER('DADOS BRUTOS'!DO$2),DATE(YEAR('DADOS BRUTOS'!DO$2),MONTH('DADOS BRUTOS'!DO$2),1),"")</f>
        <v/>
      </c>
      <c r="GP4" s="119">
        <f>IF(ISNUMBER('DADOS BRUTOS'!DP$2),DATE(YEAR('DADOS BRUTOS'!DP$2),MONTH('DADOS BRUTOS'!DP$2),1),"")</f>
        <v/>
      </c>
      <c r="GQ4" s="119">
        <f>IF(ISNUMBER('DADOS BRUTOS'!DQ$2),DATE(YEAR('DADOS BRUTOS'!DQ$2),MONTH('DADOS BRUTOS'!DQ$2),1),"")</f>
        <v/>
      </c>
      <c r="GR4" s="119">
        <f>IF(ISNUMBER('DADOS BRUTOS'!DR$2),DATE(YEAR('DADOS BRUTOS'!DR$2),MONTH('DADOS BRUTOS'!DR$2),1),"")</f>
        <v/>
      </c>
      <c r="GS4" s="119">
        <f>IF(ISNUMBER('DADOS BRUTOS'!DS$2),DATE(YEAR('DADOS BRUTOS'!DS$2),MONTH('DADOS BRUTOS'!DS$2),1),"")</f>
        <v/>
      </c>
      <c r="GT4" s="119">
        <f>IF(ISNUMBER('DADOS BRUTOS'!DT$2),DATE(YEAR('DADOS BRUTOS'!DT$2),MONTH('DADOS BRUTOS'!DT$2),1),"")</f>
        <v/>
      </c>
      <c r="GU4" s="119">
        <f>IF(ISNUMBER('DADOS BRUTOS'!DU$2),DATE(YEAR('DADOS BRUTOS'!DU$2),MONTH('DADOS BRUTOS'!DU$2),1),"")</f>
        <v/>
      </c>
      <c r="GV4" s="119">
        <f>IF(ISNUMBER('DADOS BRUTOS'!DV$2),DATE(YEAR('DADOS BRUTOS'!DV$2),MONTH('DADOS BRUTOS'!DV$2),1),"")</f>
        <v/>
      </c>
      <c r="GW4" s="119">
        <f>IF(ISNUMBER('DADOS BRUTOS'!DW$2),DATE(YEAR('DADOS BRUTOS'!DW$2),MONTH('DADOS BRUTOS'!DW$2),1),"")</f>
        <v/>
      </c>
      <c r="GX4" s="119">
        <f>IF(ISNUMBER('DADOS BRUTOS'!DX$2),DATE(YEAR('DADOS BRUTOS'!DX$2),MONTH('DADOS BRUTOS'!DX$2),1),"")</f>
        <v/>
      </c>
      <c r="GY4" s="119">
        <f>IF(ISNUMBER('DADOS BRUTOS'!DY$2),DATE(YEAR('DADOS BRUTOS'!DY$2),MONTH('DADOS BRUTOS'!DY$2),1),"")</f>
        <v/>
      </c>
      <c r="GZ4" s="119">
        <f>IF(ISNUMBER('DADOS BRUTOS'!DZ$2),DATE(YEAR('DADOS BRUTOS'!DZ$2),MONTH('DADOS BRUTOS'!DZ$2),1),"")</f>
        <v/>
      </c>
      <c r="HA4" s="119">
        <f>IF(ISNUMBER('DADOS BRUTOS'!EA$2),DATE(YEAR('DADOS BRUTOS'!EA$2),MONTH('DADOS BRUTOS'!EA$2),1),"")</f>
        <v/>
      </c>
      <c r="HB4" s="119">
        <f>IF(ISNUMBER('DADOS BRUTOS'!EB$2),DATE(YEAR('DADOS BRUTOS'!EB$2),MONTH('DADOS BRUTOS'!EB$2),1),"")</f>
        <v/>
      </c>
      <c r="HC4" s="119">
        <f>IF(ISNUMBER('DADOS BRUTOS'!EC$2),DATE(YEAR('DADOS BRUTOS'!EC$2),MONTH('DADOS BRUTOS'!EC$2),1),"")</f>
        <v/>
      </c>
      <c r="HD4" s="119">
        <f>IF(ISNUMBER('DADOS BRUTOS'!ED$2),DATE(YEAR('DADOS BRUTOS'!ED$2),MONTH('DADOS BRUTOS'!ED$2),1),"")</f>
        <v/>
      </c>
      <c r="HE4" s="119">
        <f>IF(ISNUMBER('DADOS BRUTOS'!EE$2),DATE(YEAR('DADOS BRUTOS'!EE$2),MONTH('DADOS BRUTOS'!EE$2),1),"")</f>
        <v/>
      </c>
      <c r="HF4" s="119">
        <f>IF(ISNUMBER('DADOS BRUTOS'!EF$2),DATE(YEAR('DADOS BRUTOS'!EF$2),MONTH('DADOS BRUTOS'!EF$2),1),"")</f>
        <v/>
      </c>
      <c r="HG4" s="119">
        <f>IF(ISNUMBER('DADOS BRUTOS'!EG$2),DATE(YEAR('DADOS BRUTOS'!EG$2),MONTH('DADOS BRUTOS'!EG$2),1),"")</f>
        <v/>
      </c>
      <c r="HH4" s="119">
        <f>IF(ISNUMBER('DADOS BRUTOS'!EH$2),DATE(YEAR('DADOS BRUTOS'!EH$2),MONTH('DADOS BRUTOS'!EH$2),1),"")</f>
        <v/>
      </c>
      <c r="HI4" s="119">
        <f>IF(ISNUMBER('DADOS BRUTOS'!EI$2),DATE(YEAR('DADOS BRUTOS'!EI$2),MONTH('DADOS BRUTOS'!EI$2),1),"")</f>
        <v/>
      </c>
      <c r="HJ4" s="119">
        <f>IF(ISNUMBER('DADOS BRUTOS'!EJ$2),DATE(YEAR('DADOS BRUTOS'!EJ$2),MONTH('DADOS BRUTOS'!EJ$2),1),"")</f>
        <v/>
      </c>
      <c r="HK4" s="119">
        <f>IF(ISNUMBER('DADOS BRUTOS'!EK$2),DATE(YEAR('DADOS BRUTOS'!EK$2),MONTH('DADOS BRUTOS'!EK$2),1),"")</f>
        <v/>
      </c>
      <c r="HL4" s="119">
        <f>IF(ISNUMBER('DADOS BRUTOS'!EL$2),DATE(YEAR('DADOS BRUTOS'!EL$2),MONTH('DADOS BRUTOS'!EL$2),1),"")</f>
        <v/>
      </c>
      <c r="HM4" s="119">
        <f>IF(ISNUMBER('DADOS BRUTOS'!EM$2),DATE(YEAR('DADOS BRUTOS'!EM$2),MONTH('DADOS BRUTOS'!EM$2),1),"")</f>
        <v/>
      </c>
      <c r="HN4" s="119">
        <f>IF(ISNUMBER('DADOS BRUTOS'!EN$2),DATE(YEAR('DADOS BRUTOS'!EN$2),MONTH('DADOS BRUTOS'!EN$2),1),"")</f>
        <v/>
      </c>
      <c r="HO4" s="119">
        <f>IF(ISNUMBER('DADOS BRUTOS'!EO$2),DATE(YEAR('DADOS BRUTOS'!EO$2),MONTH('DADOS BRUTOS'!EO$2),1),"")</f>
        <v/>
      </c>
      <c r="HP4" s="119">
        <f>IF(ISNUMBER('DADOS BRUTOS'!EP$2),DATE(YEAR('DADOS BRUTOS'!EP$2),MONTH('DADOS BRUTOS'!EP$2),1),"")</f>
        <v/>
      </c>
      <c r="HQ4" s="119">
        <f>IF(ISNUMBER('DADOS BRUTOS'!EQ$2),DATE(YEAR('DADOS BRUTOS'!EQ$2),MONTH('DADOS BRUTOS'!EQ$2),1),"")</f>
        <v/>
      </c>
      <c r="HR4" s="119">
        <f>IF(ISNUMBER('DADOS BRUTOS'!ER$2),DATE(YEAR('DADOS BRUTOS'!ER$2),MONTH('DADOS BRUTOS'!ER$2),1),"")</f>
        <v/>
      </c>
      <c r="HS4" s="119">
        <f>IF(ISNUMBER('DADOS BRUTOS'!ES$2),DATE(YEAR('DADOS BRUTOS'!ES$2),MONTH('DADOS BRUTOS'!ES$2),1),"")</f>
        <v/>
      </c>
      <c r="HT4" s="119">
        <f>IF(ISNUMBER('DADOS BRUTOS'!ET$2),DATE(YEAR('DADOS BRUTOS'!ET$2),MONTH('DADOS BRUTOS'!ET$2),1),"")</f>
        <v/>
      </c>
      <c r="HU4" s="119">
        <f>IF(ISNUMBER('DADOS BRUTOS'!EU$2),DATE(YEAR('DADOS BRUTOS'!EU$2),MONTH('DADOS BRUTOS'!EU$2),1),"")</f>
        <v/>
      </c>
      <c r="HV4" s="119">
        <f>IF(ISNUMBER('DADOS BRUTOS'!EV$2),DATE(YEAR('DADOS BRUTOS'!EV$2),MONTH('DADOS BRUTOS'!EV$2),1),"")</f>
        <v/>
      </c>
      <c r="HW4" s="119">
        <f>IF(ISNUMBER('DADOS BRUTOS'!EW$2),DATE(YEAR('DADOS BRUTOS'!EW$2),MONTH('DADOS BRUTOS'!EW$2),1),"")</f>
        <v/>
      </c>
      <c r="HX4" s="119">
        <f>IF(ISNUMBER('DADOS BRUTOS'!EX$2),DATE(YEAR('DADOS BRUTOS'!EX$2),MONTH('DADOS BRUTOS'!EX$2),1),"")</f>
        <v/>
      </c>
      <c r="HY4" s="119">
        <f>IF(ISNUMBER('DADOS BRUTOS'!EY$2),DATE(YEAR('DADOS BRUTOS'!EY$2),MONTH('DADOS BRUTOS'!EY$2),1),"")</f>
        <v/>
      </c>
      <c r="HZ4" s="119">
        <f>IF(ISNUMBER('DADOS BRUTOS'!EZ$2),DATE(YEAR('DADOS BRUTOS'!EZ$2),MONTH('DADOS BRUTOS'!EZ$2),1),"")</f>
        <v/>
      </c>
      <c r="IA4" s="119">
        <f>IF(ISNUMBER('DADOS BRUTOS'!FA$2),DATE(YEAR('DADOS BRUTOS'!FA$2),MONTH('DADOS BRUTOS'!FA$2),1),"")</f>
        <v/>
      </c>
      <c r="IB4" s="119">
        <f>IF(ISNUMBER('DADOS BRUTOS'!FB$2),DATE(YEAR('DADOS BRUTOS'!FB$2),MONTH('DADOS BRUTOS'!FB$2),1),"")</f>
        <v/>
      </c>
      <c r="IC4" s="119">
        <f>IF(ISNUMBER('DADOS BRUTOS'!FC$2),DATE(YEAR('DADOS BRUTOS'!FC$2),MONTH('DADOS BRUTOS'!FC$2),1),"")</f>
        <v/>
      </c>
      <c r="ID4" s="119">
        <f>IF(ISNUMBER('DADOS BRUTOS'!FD$2),DATE(YEAR('DADOS BRUTOS'!FD$2),MONTH('DADOS BRUTOS'!FD$2),1),"")</f>
        <v/>
      </c>
      <c r="IE4" s="119">
        <f>IF(ISNUMBER('DADOS BRUTOS'!FE$2),DATE(YEAR('DADOS BRUTOS'!FE$2),MONTH('DADOS BRUTOS'!FE$2),1),"")</f>
        <v/>
      </c>
      <c r="IF4" s="119">
        <f>IF(ISNUMBER('DADOS BRUTOS'!FF$2),DATE(YEAR('DADOS BRUTOS'!FF$2),MONTH('DADOS BRUTOS'!FF$2),1),"")</f>
        <v/>
      </c>
      <c r="IG4" s="119">
        <f>IF(ISNUMBER('DADOS BRUTOS'!FG$2),DATE(YEAR('DADOS BRUTOS'!FG$2),MONTH('DADOS BRUTOS'!FG$2),1),"")</f>
        <v/>
      </c>
      <c r="IH4" s="119">
        <f>IF(ISNUMBER('DADOS BRUTOS'!FH$2),DATE(YEAR('DADOS BRUTOS'!FH$2),MONTH('DADOS BRUTOS'!FH$2),1),"")</f>
        <v/>
      </c>
      <c r="II4" s="119">
        <f>IF(ISNUMBER('DADOS BRUTOS'!FI$2),DATE(YEAR('DADOS BRUTOS'!FI$2),MONTH('DADOS BRUTOS'!FI$2),1),"")</f>
        <v/>
      </c>
      <c r="IJ4" s="119">
        <f>IF(ISNUMBER('DADOS BRUTOS'!FJ$2),DATE(YEAR('DADOS BRUTOS'!FJ$2),MONTH('DADOS BRUTOS'!FJ$2),1),"")</f>
        <v/>
      </c>
      <c r="IK4" s="119">
        <f>IF(ISNUMBER('DADOS BRUTOS'!FK$2),DATE(YEAR('DADOS BRUTOS'!FK$2),MONTH('DADOS BRUTOS'!FK$2),1),"")</f>
        <v/>
      </c>
      <c r="IL4" s="119">
        <f>IF(ISNUMBER('DADOS BRUTOS'!FL$2),DATE(YEAR('DADOS BRUTOS'!FL$2),MONTH('DADOS BRUTOS'!FL$2),1),"")</f>
        <v/>
      </c>
      <c r="IM4" s="119">
        <f>IF(ISNUMBER('DADOS BRUTOS'!FM$2),DATE(YEAR('DADOS BRUTOS'!FM$2),MONTH('DADOS BRUTOS'!FM$2),1),"")</f>
        <v/>
      </c>
      <c r="IN4" s="119">
        <f>IF(ISNUMBER('DADOS BRUTOS'!FN$2),DATE(YEAR('DADOS BRUTOS'!FN$2),MONTH('DADOS BRUTOS'!FN$2),1),"")</f>
        <v/>
      </c>
      <c r="IO4" s="119">
        <f>IF(ISNUMBER('DADOS BRUTOS'!FO$2),DATE(YEAR('DADOS BRUTOS'!FO$2),MONTH('DADOS BRUTOS'!FO$2),1),"")</f>
        <v/>
      </c>
      <c r="IP4" s="119">
        <f>IF(ISNUMBER('DADOS BRUTOS'!FP$2),DATE(YEAR('DADOS BRUTOS'!FP$2),MONTH('DADOS BRUTOS'!FP$2),1),"")</f>
        <v/>
      </c>
      <c r="IQ4" s="119">
        <f>IF(ISNUMBER('DADOS BRUTOS'!FQ$2),DATE(YEAR('DADOS BRUTOS'!FQ$2),MONTH('DADOS BRUTOS'!FQ$2),1),"")</f>
        <v/>
      </c>
      <c r="IR4" s="119">
        <f>IF(ISNUMBER('DADOS BRUTOS'!FR$2),DATE(YEAR('DADOS BRUTOS'!FR$2),MONTH('DADOS BRUTOS'!FR$2),1),"")</f>
        <v/>
      </c>
      <c r="IS4" s="119">
        <f>IF(ISNUMBER('DADOS BRUTOS'!FS$2),DATE(YEAR('DADOS BRUTOS'!FS$2),MONTH('DADOS BRUTOS'!FS$2),1),"")</f>
        <v/>
      </c>
      <c r="IT4" s="119">
        <f>IF(ISNUMBER('DADOS BRUTOS'!FT$2),DATE(YEAR('DADOS BRUTOS'!FT$2),MONTH('DADOS BRUTOS'!FT$2),1),"")</f>
        <v/>
      </c>
      <c r="IU4" s="119">
        <f>IF(ISNUMBER('DADOS BRUTOS'!FU$2),DATE(YEAR('DADOS BRUTOS'!FU$2),MONTH('DADOS BRUTOS'!FU$2),1),"")</f>
        <v/>
      </c>
      <c r="IV4" s="119">
        <f>IF(ISNUMBER('DADOS BRUTOS'!FV$2),DATE(YEAR('DADOS BRUTOS'!FV$2),MONTH('DADOS BRUTOS'!FV$2),1),"")</f>
        <v/>
      </c>
      <c r="IW4" s="119">
        <f>IF(ISNUMBER('DADOS BRUTOS'!FW$2),DATE(YEAR('DADOS BRUTOS'!FW$2),MONTH('DADOS BRUTOS'!FW$2),1),"")</f>
        <v/>
      </c>
      <c r="IX4" s="119">
        <f>IF(ISNUMBER('DADOS BRUTOS'!FX$2),DATE(YEAR('DADOS BRUTOS'!FX$2),MONTH('DADOS BRUTOS'!FX$2),1),"")</f>
        <v/>
      </c>
      <c r="IY4" s="119">
        <f>IF(ISNUMBER('DADOS BRUTOS'!FY$2),DATE(YEAR('DADOS BRUTOS'!FY$2),MONTH('DADOS BRUTOS'!FY$2),1),"")</f>
        <v/>
      </c>
      <c r="IZ4" s="119">
        <f>IF(ISNUMBER('DADOS BRUTOS'!FZ$2),DATE(YEAR('DADOS BRUTOS'!FZ$2),MONTH('DADOS BRUTOS'!FZ$2),1),"")</f>
        <v/>
      </c>
      <c r="JA4" s="119">
        <f>IF(ISNUMBER('DADOS BRUTOS'!GA$2),DATE(YEAR('DADOS BRUTOS'!GA$2),MONTH('DADOS BRUTOS'!GA$2),1),"")</f>
        <v/>
      </c>
      <c r="JB4" s="119">
        <f>IF(ISNUMBER('DADOS BRUTOS'!GB$2),DATE(YEAR('DADOS BRUTOS'!GB$2),MONTH('DADOS BRUTOS'!GB$2),1),"")</f>
        <v/>
      </c>
      <c r="JC4" s="119">
        <f>IF(ISNUMBER('DADOS BRUTOS'!GC$2),DATE(YEAR('DADOS BRUTOS'!GC$2),MONTH('DADOS BRUTOS'!GC$2),1),"")</f>
        <v/>
      </c>
      <c r="JD4" s="119">
        <f>IF(ISNUMBER('DADOS BRUTOS'!GD$2),DATE(YEAR('DADOS BRUTOS'!GD$2),MONTH('DADOS BRUTOS'!GD$2),1),"")</f>
        <v/>
      </c>
      <c r="JE4" s="119">
        <f>IF(ISNUMBER('DADOS BRUTOS'!GE$2),DATE(YEAR('DADOS BRUTOS'!GE$2),MONTH('DADOS BRUTOS'!GE$2),1),"")</f>
        <v/>
      </c>
      <c r="JF4" s="119">
        <f>IF(ISNUMBER('DADOS BRUTOS'!GF$2),DATE(YEAR('DADOS BRUTOS'!GF$2),MONTH('DADOS BRUTOS'!GF$2),1),"")</f>
        <v/>
      </c>
      <c r="JG4" s="119">
        <f>IF(ISNUMBER('DADOS BRUTOS'!GG$2),DATE(YEAR('DADOS BRUTOS'!GG$2),MONTH('DADOS BRUTOS'!GG$2),1),"")</f>
        <v/>
      </c>
      <c r="JH4" s="119">
        <f>IF(ISNUMBER('DADOS BRUTOS'!GH$2),DATE(YEAR('DADOS BRUTOS'!GH$2),MONTH('DADOS BRUTOS'!GH$2),1),"")</f>
        <v/>
      </c>
      <c r="JI4" s="119">
        <f>IF(ISNUMBER('DADOS BRUTOS'!GI$2),DATE(YEAR('DADOS BRUTOS'!GI$2),MONTH('DADOS BRUTOS'!GI$2),1),"")</f>
        <v/>
      </c>
      <c r="JJ4" s="119">
        <f>IF(ISNUMBER('DADOS BRUTOS'!GJ$2),DATE(YEAR('DADOS BRUTOS'!GJ$2),MONTH('DADOS BRUTOS'!GJ$2),1),"")</f>
        <v/>
      </c>
      <c r="JK4" s="119">
        <f>IF(ISNUMBER('DADOS BRUTOS'!GK$2),DATE(YEAR('DADOS BRUTOS'!GK$2),MONTH('DADOS BRUTOS'!GK$2),1),"")</f>
        <v/>
      </c>
      <c r="JL4" s="119">
        <f>IF(ISNUMBER('DADOS BRUTOS'!GL$2),DATE(YEAR('DADOS BRUTOS'!GL$2),MONTH('DADOS BRUTOS'!GL$2),1),"")</f>
        <v/>
      </c>
      <c r="JM4" s="119">
        <f>IF(ISNUMBER('DADOS BRUTOS'!GM$2),DATE(YEAR('DADOS BRUTOS'!GM$2),MONTH('DADOS BRUTOS'!GM$2),1),"")</f>
        <v/>
      </c>
      <c r="JN4" s="119">
        <f>IF(ISNUMBER('DADOS BRUTOS'!GN$2),DATE(YEAR('DADOS BRUTOS'!GN$2),MONTH('DADOS BRUTOS'!GN$2),1),"")</f>
        <v/>
      </c>
      <c r="JO4" s="119">
        <f>IF(ISNUMBER('DADOS BRUTOS'!GO$2),DATE(YEAR('DADOS BRUTOS'!GO$2),MONTH('DADOS BRUTOS'!GO$2),1),"")</f>
        <v/>
      </c>
      <c r="JP4" s="119">
        <f>IF(ISNUMBER('DADOS BRUTOS'!GP$2),DATE(YEAR('DADOS BRUTOS'!GP$2),MONTH('DADOS BRUTOS'!GP$2),1),"")</f>
        <v/>
      </c>
      <c r="JQ4" s="119">
        <f>IF(ISNUMBER('DADOS BRUTOS'!GQ$2),DATE(YEAR('DADOS BRUTOS'!GQ$2),MONTH('DADOS BRUTOS'!GQ$2),1),"")</f>
        <v/>
      </c>
      <c r="JR4" s="119">
        <f>IF(ISNUMBER('DADOS BRUTOS'!GR$2),DATE(YEAR('DADOS BRUTOS'!GR$2),MONTH('DADOS BRUTOS'!GR$2),1),"")</f>
        <v/>
      </c>
      <c r="JS4" s="119">
        <f>IF(ISNUMBER('DADOS BRUTOS'!GS$2),DATE(YEAR('DADOS BRUTOS'!GS$2),MONTH('DADOS BRUTOS'!GS$2),1),"")</f>
        <v/>
      </c>
    </row>
    <row r="5">
      <c r="A5" s="61">
        <f>'VALOR POR PL'!D11</f>
        <v/>
      </c>
      <c r="B5" s="59" t="inlineStr">
        <is>
          <t>PROJETOS</t>
        </is>
      </c>
      <c r="C5" s="59" t="n"/>
      <c r="D5" s="54">
        <f>SUMIF($CB$4:$JS$4,"&lt;="&amp;D$4,$CB5:$JS5)</f>
        <v/>
      </c>
      <c r="E5" s="54">
        <f>SUMIF($CB$4:$JS$4,E$4,$CB5:$JS5)</f>
        <v/>
      </c>
      <c r="F5" s="54">
        <f>SUMIF($CB$4:$JS$4,F$4,$CB5:$JS5)</f>
        <v/>
      </c>
      <c r="G5" s="54">
        <f>SUMIF($CB$4:$JS$4,G$4,$CB5:$JS5)</f>
        <v/>
      </c>
      <c r="H5" s="54">
        <f>SUMIF($CB$4:$JS$4,H$4,$CB5:$JS5)</f>
        <v/>
      </c>
      <c r="I5" s="54">
        <f>SUMIF($CB$4:$JS$4,I$4,$CB5:$JS5)</f>
        <v/>
      </c>
      <c r="J5" s="54">
        <f>SUMIF($CB$4:$JS$4,J$4,$CB5:$JS5)</f>
        <v/>
      </c>
      <c r="K5" s="54">
        <f>SUMIF($CB$4:$JS$4,K$4,$CB5:$JS5)</f>
        <v/>
      </c>
      <c r="L5" s="54">
        <f>SUMIF($CB$4:$JS$4,L$4,$CB5:$JS5)</f>
        <v/>
      </c>
      <c r="M5" s="54">
        <f>SUMIF($CB$4:$JS$4,M$4,$CB5:$JS5)</f>
        <v/>
      </c>
      <c r="N5" s="54">
        <f>SUMIF($CB$4:$JS$4,N$4,$CB5:$JS5)</f>
        <v/>
      </c>
      <c r="O5" s="54">
        <f>SUMIF($CB$4:$JS$4,O$4,$CB5:$JS5)</f>
        <v/>
      </c>
      <c r="P5" s="54">
        <f>SUMIF($CB$4:$JS$4,P$4,$CB5:$JS5)</f>
        <v/>
      </c>
      <c r="Q5" s="54">
        <f>SUMIF($CB$4:$JS$4,Q$4,$CB5:$JS5)</f>
        <v/>
      </c>
      <c r="R5" s="54">
        <f>SUMIF($CB$4:$JS$4,R$4,$CB5:$JS5)</f>
        <v/>
      </c>
      <c r="S5" s="54">
        <f>SUMIF($CB$4:$JS$4,S$4,$CB5:$JS5)</f>
        <v/>
      </c>
      <c r="T5" s="54">
        <f>SUMIF($CB$4:$JS$4,T$4,$CB5:$JS5)</f>
        <v/>
      </c>
      <c r="U5" s="54">
        <f>SUMIF($CB$4:$JS$4,U$4,$CB5:$JS5)</f>
        <v/>
      </c>
      <c r="V5" s="54">
        <f>SUMIF($CB$4:$JS$4,V$4,$CB5:$JS5)</f>
        <v/>
      </c>
      <c r="W5" s="54">
        <f>SUMIF($CB$4:$JS$4,W$4,$CB5:$JS5)</f>
        <v/>
      </c>
      <c r="X5" s="54">
        <f>SUMIF($CB$4:$JS$4,X$4,$CB5:$JS5)</f>
        <v/>
      </c>
      <c r="Y5" s="54">
        <f>SUMIF($CB$4:$JS$4,Y$4,$CB5:$JS5)</f>
        <v/>
      </c>
      <c r="Z5" s="54">
        <f>SUMIF($CB$4:$JS$4,Z$4,$CB5:$JS5)</f>
        <v/>
      </c>
      <c r="AA5" s="54">
        <f>SUMIF($CB$4:$JS$4,AA$4,$CB5:$JS5)</f>
        <v/>
      </c>
      <c r="AB5" s="54">
        <f>SUMIF($CB$4:$JS$4,AB$4,$CB5:$JS5)</f>
        <v/>
      </c>
      <c r="AC5" s="54">
        <f>SUMIF($CB$4:$JS$4,AC$4,$CB5:$JS5)</f>
        <v/>
      </c>
      <c r="AD5" s="54">
        <f>SUMIF($CB$4:$JS$4,AD$4,$CB5:$JS5)</f>
        <v/>
      </c>
      <c r="AE5" s="54">
        <f>SUMIF($CB$4:$JS$4,AE$4,$CB5:$JS5)</f>
        <v/>
      </c>
      <c r="AF5" s="54">
        <f>SUMIF($CB$4:$JS$4,AF$4,$CB5:$JS5)</f>
        <v/>
      </c>
      <c r="AG5" s="54">
        <f>SUMIF($CB$4:$JS$4,AG$4,$CB5:$JS5)</f>
        <v/>
      </c>
      <c r="AH5" s="54">
        <f>SUMIF($CB$4:$JS$4,AH$4,$CB5:$JS5)</f>
        <v/>
      </c>
      <c r="AI5" s="54">
        <f>SUMIF($CB$4:$JS$4,AI$4,$CB5:$JS5)</f>
        <v/>
      </c>
      <c r="AJ5" s="54">
        <f>SUMIF($CB$4:$JS$4,AJ$4,$CB5:$JS5)</f>
        <v/>
      </c>
      <c r="AK5" s="54">
        <f>SUMIF($CB$4:$JS$4,AK$4,$CB5:$JS5)</f>
        <v/>
      </c>
      <c r="AL5" s="54">
        <f>SUMIF($CB$4:$JS$4,AL$4,$CB5:$JS5)</f>
        <v/>
      </c>
      <c r="AM5" s="54">
        <f>SUMIF($CB$4:$JS$4,AM$4,$CB5:$JS5)</f>
        <v/>
      </c>
      <c r="AN5" s="54">
        <f>SUMIF($CB$4:$JS$4,AN$4,$CB5:$JS5)</f>
        <v/>
      </c>
      <c r="AO5" s="54">
        <f>SUMIF($CB$4:$JS$4,AO$4,$CB5:$JS5)</f>
        <v/>
      </c>
      <c r="AP5" s="54">
        <f>SUMIF($CB$4:$JS$4,AP$4,$CB5:$JS5)</f>
        <v/>
      </c>
      <c r="AQ5" s="54">
        <f>SUMIF($CB$4:$JS$4,AQ$4,$CB5:$JS5)</f>
        <v/>
      </c>
      <c r="AR5" s="54">
        <f>SUMIF($CB$4:$JS$4,AR$4,$CB5:$JS5)</f>
        <v/>
      </c>
      <c r="AS5" s="54">
        <f>SUMIF($CB$4:$JS$4,AS$4,$CB5:$JS5)</f>
        <v/>
      </c>
      <c r="AT5" s="54">
        <f>SUMIF($CB$4:$JS$4,AT$4,$CB5:$JS5)</f>
        <v/>
      </c>
      <c r="AU5" s="54">
        <f>SUMIF($CB$4:$JS$4,AU$4,$CB5:$JS5)</f>
        <v/>
      </c>
      <c r="AV5" s="54">
        <f>SUMIF($CB$4:$JS$4,AV$4,$CB5:$JS5)</f>
        <v/>
      </c>
      <c r="AW5" s="54">
        <f>SUMIF($CB$4:$JS$4,AW$4,$CB5:$JS5)</f>
        <v/>
      </c>
      <c r="AX5" s="54">
        <f>SUMIF($CB$4:$JS$4,AX$4,$CB5:$JS5)</f>
        <v/>
      </c>
      <c r="AY5" s="54">
        <f>SUMIF($CB$4:$JS$4,AY$4,$CB5:$JS5)</f>
        <v/>
      </c>
      <c r="AZ5" s="54">
        <f>SUMIF($CB$4:$JS$4,AZ$4,$CB5:$JS5)</f>
        <v/>
      </c>
      <c r="BA5" s="54">
        <f>SUMIF($CB$4:$JS$4,BA$4,$CB5:$JS5)</f>
        <v/>
      </c>
      <c r="BB5" s="54">
        <f>SUMIF($CB$4:$JS$4,BB$4,$CB5:$JS5)</f>
        <v/>
      </c>
      <c r="BC5" s="54">
        <f>SUMIF($CB$4:$JS$4,BC$4,$CB5:$JS5)</f>
        <v/>
      </c>
      <c r="BD5" s="54">
        <f>SUMIF($CB$4:$JS$4,BD$4,$CB5:$JS5)</f>
        <v/>
      </c>
      <c r="BE5" s="54">
        <f>SUMIF($CB$4:$JS$4,BE$4,$CB5:$JS5)</f>
        <v/>
      </c>
      <c r="BF5" s="54">
        <f>SUMIF($CB$4:$JS$4,BF$4,$CB5:$JS5)</f>
        <v/>
      </c>
      <c r="BG5" s="54">
        <f>SUMIF($CB$4:$JS$4,BG$4,$CB5:$JS5)</f>
        <v/>
      </c>
      <c r="BH5" s="54">
        <f>SUMIF($CB$4:$JS$4,BH$4,$CB5:$JS5)</f>
        <v/>
      </c>
      <c r="BI5" s="54">
        <f>SUMIF($CB$4:$JS$4,BI$4,$CB5:$JS5)</f>
        <v/>
      </c>
      <c r="BJ5" s="54">
        <f>SUMIF($CB$4:$JS$4,BJ$4,$CB5:$JS5)</f>
        <v/>
      </c>
      <c r="BK5" s="54">
        <f>SUMIF($CB$4:$JS$4,BK$4,$CB5:$JS5)</f>
        <v/>
      </c>
      <c r="BL5" s="54">
        <f>SUMIF($CB$4:$JS$4,BL$4,$CB5:$JS5)</f>
        <v/>
      </c>
      <c r="BM5" s="54">
        <f>SUMIF($CB$4:$JS$4,BM$4,$CB5:$JS5)</f>
        <v/>
      </c>
      <c r="BN5" s="54">
        <f>SUMIF($CB$4:$JS$4,BN$4,$CB5:$JS5)</f>
        <v/>
      </c>
      <c r="BO5" s="54">
        <f>SUMIF($CB$4:$JS$4,BO$4,$CB5:$JS5)</f>
        <v/>
      </c>
      <c r="BP5" s="54">
        <f>SUMIF($CB$4:$JS$4,BP$4,$CB5:$JS5)</f>
        <v/>
      </c>
      <c r="BQ5" s="54">
        <f>SUMIF($CB$4:$JS$4,BQ$4,$CB5:$JS5)</f>
        <v/>
      </c>
      <c r="BR5" s="54">
        <f>SUMIF($CB$4:$JS$4,BR$4,$CB5:$JS5)</f>
        <v/>
      </c>
      <c r="BS5" s="54">
        <f>SUMIF($CB$4:$JS$4,BS$4,$CB5:$JS5)</f>
        <v/>
      </c>
      <c r="BT5" s="54">
        <f>SUMIF($CB$4:$JS$4,BT$4,$CB5:$JS5)</f>
        <v/>
      </c>
      <c r="BU5" s="54">
        <f>SUMIF($CB$4:$JS$4,BU$4,$CB5:$JS5)</f>
        <v/>
      </c>
      <c r="BV5" s="54">
        <f>SUMIF($CB$4:$JS$4,BV$4,$CB5:$JS5)</f>
        <v/>
      </c>
      <c r="BW5" s="54">
        <f>SUMIF($CB$4:$JS$4,BW$4,$CB5:$JS5)</f>
        <v/>
      </c>
      <c r="BX5" s="54">
        <f>SUMIF($CB$4:$JS$4,"&gt;"&amp;'VALOR POR PL'!$P$8,$CB5:$JS5)</f>
        <v/>
      </c>
      <c r="BY5" s="54">
        <f>SUM($CB5:$JS5)</f>
        <v/>
      </c>
      <c r="BZ5" s="49">
        <f>SUMPRODUCT(($CB$4:$JS$4&lt;&gt;"")*($CB$4:$JS$4&lt;=$D$4),$CB5:$JS5,$CB$1:$JS$1)</f>
        <v/>
      </c>
      <c r="CB5" s="132">
        <f>IF(OR(CB$4="",$B5=""),0,SUMIF('DADOS BRUTOS'!$A$3:$A$500,$B5,'DADOS BRUTOS'!B$3:B$500)+IF($C5="",0,SUMIF('DADOS BRUTOS'!$A$3:$A$500,$C5,'DADOS BRUTOS'!B$3:B$500)))</f>
        <v/>
      </c>
      <c r="CC5" s="132">
        <f>IF(OR(CC$4="",$B5=""),0,SUMIF('DADOS BRUTOS'!$A$3:$A$500,$B5,'DADOS BRUTOS'!C$3:C$500)+IF($C5="",0,SUMIF('DADOS BRUTOS'!$A$3:$A$500,$C5,'DADOS BRUTOS'!C$3:C$500)))</f>
        <v/>
      </c>
      <c r="CD5" s="132">
        <f>IF(OR(CD$4="",$B5=""),0,SUMIF('DADOS BRUTOS'!$A$3:$A$500,$B5,'DADOS BRUTOS'!D$3:D$500)+IF($C5="",0,SUMIF('DADOS BRUTOS'!$A$3:$A$500,$C5,'DADOS BRUTOS'!D$3:D$500)))</f>
        <v/>
      </c>
      <c r="CE5" s="132">
        <f>IF(OR(CE$4="",$B5=""),0,SUMIF('DADOS BRUTOS'!$A$3:$A$500,$B5,'DADOS BRUTOS'!E$3:E$500)+IF($C5="",0,SUMIF('DADOS BRUTOS'!$A$3:$A$500,$C5,'DADOS BRUTOS'!E$3:E$500)))</f>
        <v/>
      </c>
      <c r="CF5" s="132">
        <f>IF(OR(CF$4="",$B5=""),0,SUMIF('DADOS BRUTOS'!$A$3:$A$500,$B5,'DADOS BRUTOS'!F$3:F$500)+IF($C5="",0,SUMIF('DADOS BRUTOS'!$A$3:$A$500,$C5,'DADOS BRUTOS'!F$3:F$500)))</f>
        <v/>
      </c>
      <c r="CG5" s="132">
        <f>IF(OR(CG$4="",$B5=""),0,SUMIF('DADOS BRUTOS'!$A$3:$A$500,$B5,'DADOS BRUTOS'!G$3:G$500)+IF($C5="",0,SUMIF('DADOS BRUTOS'!$A$3:$A$500,$C5,'DADOS BRUTOS'!G$3:G$500)))</f>
        <v/>
      </c>
      <c r="CH5" s="132">
        <f>IF(OR(CH$4="",$B5=""),0,SUMIF('DADOS BRUTOS'!$A$3:$A$500,$B5,'DADOS BRUTOS'!H$3:H$500)+IF($C5="",0,SUMIF('DADOS BRUTOS'!$A$3:$A$500,$C5,'DADOS BRUTOS'!H$3:H$500)))</f>
        <v/>
      </c>
      <c r="CI5" s="132">
        <f>IF(OR(CI$4="",$B5=""),0,SUMIF('DADOS BRUTOS'!$A$3:$A$500,$B5,'DADOS BRUTOS'!I$3:I$500)+IF($C5="",0,SUMIF('DADOS BRUTOS'!$A$3:$A$500,$C5,'DADOS BRUTOS'!I$3:I$500)))</f>
        <v/>
      </c>
      <c r="CJ5" s="132">
        <f>IF(OR(CJ$4="",$B5=""),0,SUMIF('DADOS BRUTOS'!$A$3:$A$500,$B5,'DADOS BRUTOS'!J$3:J$500)+IF($C5="",0,SUMIF('DADOS BRUTOS'!$A$3:$A$500,$C5,'DADOS BRUTOS'!J$3:J$500)))</f>
        <v/>
      </c>
      <c r="CK5" s="132">
        <f>IF(OR(CK$4="",$B5=""),0,SUMIF('DADOS BRUTOS'!$A$3:$A$500,$B5,'DADOS BRUTOS'!K$3:K$500)+IF($C5="",0,SUMIF('DADOS BRUTOS'!$A$3:$A$500,$C5,'DADOS BRUTOS'!K$3:K$500)))</f>
        <v/>
      </c>
      <c r="CL5" s="132">
        <f>IF(OR(CL$4="",$B5=""),0,SUMIF('DADOS BRUTOS'!$A$3:$A$500,$B5,'DADOS BRUTOS'!L$3:L$500)+IF($C5="",0,SUMIF('DADOS BRUTOS'!$A$3:$A$500,$C5,'DADOS BRUTOS'!L$3:L$500)))</f>
        <v/>
      </c>
      <c r="CM5" s="132">
        <f>IF(OR(CM$4="",$B5=""),0,SUMIF('DADOS BRUTOS'!$A$3:$A$500,$B5,'DADOS BRUTOS'!M$3:M$500)+IF($C5="",0,SUMIF('DADOS BRUTOS'!$A$3:$A$500,$C5,'DADOS BRUTOS'!M$3:M$500)))</f>
        <v/>
      </c>
      <c r="CN5" s="132">
        <f>IF(OR(CN$4="",$B5=""),0,SUMIF('DADOS BRUTOS'!$A$3:$A$500,$B5,'DADOS BRUTOS'!N$3:N$500)+IF($C5="",0,SUMIF('DADOS BRUTOS'!$A$3:$A$500,$C5,'DADOS BRUTOS'!N$3:N$500)))</f>
        <v/>
      </c>
      <c r="CO5" s="132">
        <f>IF(OR(CO$4="",$B5=""),0,SUMIF('DADOS BRUTOS'!$A$3:$A$500,$B5,'DADOS BRUTOS'!O$3:O$500)+IF($C5="",0,SUMIF('DADOS BRUTOS'!$A$3:$A$500,$C5,'DADOS BRUTOS'!O$3:O$500)))</f>
        <v/>
      </c>
      <c r="CP5" s="132">
        <f>IF(OR(CP$4="",$B5=""),0,SUMIF('DADOS BRUTOS'!$A$3:$A$500,$B5,'DADOS BRUTOS'!P$3:P$500)+IF($C5="",0,SUMIF('DADOS BRUTOS'!$A$3:$A$500,$C5,'DADOS BRUTOS'!P$3:P$500)))</f>
        <v/>
      </c>
      <c r="CQ5" s="132">
        <f>IF(OR(CQ$4="",$B5=""),0,SUMIF('DADOS BRUTOS'!$A$3:$A$500,$B5,'DADOS BRUTOS'!Q$3:Q$500)+IF($C5="",0,SUMIF('DADOS BRUTOS'!$A$3:$A$500,$C5,'DADOS BRUTOS'!Q$3:Q$500)))</f>
        <v/>
      </c>
      <c r="CR5" s="132">
        <f>IF(OR(CR$4="",$B5=""),0,SUMIF('DADOS BRUTOS'!$A$3:$A$500,$B5,'DADOS BRUTOS'!R$3:R$500)+IF($C5="",0,SUMIF('DADOS BRUTOS'!$A$3:$A$500,$C5,'DADOS BRUTOS'!R$3:R$500)))</f>
        <v/>
      </c>
      <c r="CS5" s="132">
        <f>IF(OR(CS$4="",$B5=""),0,SUMIF('DADOS BRUTOS'!$A$3:$A$500,$B5,'DADOS BRUTOS'!S$3:S$500)+IF($C5="",0,SUMIF('DADOS BRUTOS'!$A$3:$A$500,$C5,'DADOS BRUTOS'!S$3:S$500)))</f>
        <v/>
      </c>
      <c r="CT5" s="132">
        <f>IF(OR(CT$4="",$B5=""),0,SUMIF('DADOS BRUTOS'!$A$3:$A$500,$B5,'DADOS BRUTOS'!T$3:T$500)+IF($C5="",0,SUMIF('DADOS BRUTOS'!$A$3:$A$500,$C5,'DADOS BRUTOS'!T$3:T$500)))</f>
        <v/>
      </c>
      <c r="CU5" s="132">
        <f>IF(OR(CU$4="",$B5=""),0,SUMIF('DADOS BRUTOS'!$A$3:$A$500,$B5,'DADOS BRUTOS'!U$3:U$500)+IF($C5="",0,SUMIF('DADOS BRUTOS'!$A$3:$A$500,$C5,'DADOS BRUTOS'!U$3:U$500)))</f>
        <v/>
      </c>
      <c r="CV5" s="132">
        <f>IF(OR(CV$4="",$B5=""),0,SUMIF('DADOS BRUTOS'!$A$3:$A$500,$B5,'DADOS BRUTOS'!V$3:V$500)+IF($C5="",0,SUMIF('DADOS BRUTOS'!$A$3:$A$500,$C5,'DADOS BRUTOS'!V$3:V$500)))</f>
        <v/>
      </c>
      <c r="CW5" s="132">
        <f>IF(OR(CW$4="",$B5=""),0,SUMIF('DADOS BRUTOS'!$A$3:$A$500,$B5,'DADOS BRUTOS'!W$3:W$500)+IF($C5="",0,SUMIF('DADOS BRUTOS'!$A$3:$A$500,$C5,'DADOS BRUTOS'!W$3:W$500)))</f>
        <v/>
      </c>
      <c r="CX5" s="132">
        <f>IF(OR(CX$4="",$B5=""),0,SUMIF('DADOS BRUTOS'!$A$3:$A$500,$B5,'DADOS BRUTOS'!X$3:X$500)+IF($C5="",0,SUMIF('DADOS BRUTOS'!$A$3:$A$500,$C5,'DADOS BRUTOS'!X$3:X$500)))</f>
        <v/>
      </c>
      <c r="CY5" s="132">
        <f>IF(OR(CY$4="",$B5=""),0,SUMIF('DADOS BRUTOS'!$A$3:$A$500,$B5,'DADOS BRUTOS'!Y$3:Y$500)+IF($C5="",0,SUMIF('DADOS BRUTOS'!$A$3:$A$500,$C5,'DADOS BRUTOS'!Y$3:Y$500)))</f>
        <v/>
      </c>
      <c r="CZ5" s="132">
        <f>IF(OR(CZ$4="",$B5=""),0,SUMIF('DADOS BRUTOS'!$A$3:$A$500,$B5,'DADOS BRUTOS'!Z$3:Z$500)+IF($C5="",0,SUMIF('DADOS BRUTOS'!$A$3:$A$500,$C5,'DADOS BRUTOS'!Z$3:Z$500)))</f>
        <v/>
      </c>
      <c r="DA5" s="132">
        <f>IF(OR(DA$4="",$B5=""),0,SUMIF('DADOS BRUTOS'!$A$3:$A$500,$B5,'DADOS BRUTOS'!AA$3:AA$500)+IF($C5="",0,SUMIF('DADOS BRUTOS'!$A$3:$A$500,$C5,'DADOS BRUTOS'!AA$3:AA$500)))</f>
        <v/>
      </c>
      <c r="DB5" s="132">
        <f>IF(OR(DB$4="",$B5=""),0,SUMIF('DADOS BRUTOS'!$A$3:$A$500,$B5,'DADOS BRUTOS'!AB$3:AB$500)+IF($C5="",0,SUMIF('DADOS BRUTOS'!$A$3:$A$500,$C5,'DADOS BRUTOS'!AB$3:AB$500)))</f>
        <v/>
      </c>
      <c r="DC5" s="132">
        <f>IF(OR(DC$4="",$B5=""),0,SUMIF('DADOS BRUTOS'!$A$3:$A$500,$B5,'DADOS BRUTOS'!AC$3:AC$500)+IF($C5="",0,SUMIF('DADOS BRUTOS'!$A$3:$A$500,$C5,'DADOS BRUTOS'!AC$3:AC$500)))</f>
        <v/>
      </c>
      <c r="DD5" s="132">
        <f>IF(OR(DD$4="",$B5=""),0,SUMIF('DADOS BRUTOS'!$A$3:$A$500,$B5,'DADOS BRUTOS'!AD$3:AD$500)+IF($C5="",0,SUMIF('DADOS BRUTOS'!$A$3:$A$500,$C5,'DADOS BRUTOS'!AD$3:AD$500)))</f>
        <v/>
      </c>
      <c r="DE5" s="132">
        <f>IF(OR(DE$4="",$B5=""),0,SUMIF('DADOS BRUTOS'!$A$3:$A$500,$B5,'DADOS BRUTOS'!AE$3:AE$500)+IF($C5="",0,SUMIF('DADOS BRUTOS'!$A$3:$A$500,$C5,'DADOS BRUTOS'!AE$3:AE$500)))</f>
        <v/>
      </c>
      <c r="DF5" s="132">
        <f>IF(OR(DF$4="",$B5=""),0,SUMIF('DADOS BRUTOS'!$A$3:$A$500,$B5,'DADOS BRUTOS'!AF$3:AF$500)+IF($C5="",0,SUMIF('DADOS BRUTOS'!$A$3:$A$500,$C5,'DADOS BRUTOS'!AF$3:AF$500)))</f>
        <v/>
      </c>
      <c r="DG5" s="132">
        <f>IF(OR(DG$4="",$B5=""),0,SUMIF('DADOS BRUTOS'!$A$3:$A$500,$B5,'DADOS BRUTOS'!AG$3:AG$500)+IF($C5="",0,SUMIF('DADOS BRUTOS'!$A$3:$A$500,$C5,'DADOS BRUTOS'!AG$3:AG$500)))</f>
        <v/>
      </c>
      <c r="DH5" s="132">
        <f>IF(OR(DH$4="",$B5=""),0,SUMIF('DADOS BRUTOS'!$A$3:$A$500,$B5,'DADOS BRUTOS'!AH$3:AH$500)+IF($C5="",0,SUMIF('DADOS BRUTOS'!$A$3:$A$500,$C5,'DADOS BRUTOS'!AH$3:AH$500)))</f>
        <v/>
      </c>
      <c r="DI5" s="132">
        <f>IF(OR(DI$4="",$B5=""),0,SUMIF('DADOS BRUTOS'!$A$3:$A$500,$B5,'DADOS BRUTOS'!AI$3:AI$500)+IF($C5="",0,SUMIF('DADOS BRUTOS'!$A$3:$A$500,$C5,'DADOS BRUTOS'!AI$3:AI$500)))</f>
        <v/>
      </c>
      <c r="DJ5" s="132">
        <f>IF(OR(DJ$4="",$B5=""),0,SUMIF('DADOS BRUTOS'!$A$3:$A$500,$B5,'DADOS BRUTOS'!AJ$3:AJ$500)+IF($C5="",0,SUMIF('DADOS BRUTOS'!$A$3:$A$500,$C5,'DADOS BRUTOS'!AJ$3:AJ$500)))</f>
        <v/>
      </c>
      <c r="DK5" s="132">
        <f>IF(OR(DK$4="",$B5=""),0,SUMIF('DADOS BRUTOS'!$A$3:$A$500,$B5,'DADOS BRUTOS'!AK$3:AK$500)+IF($C5="",0,SUMIF('DADOS BRUTOS'!$A$3:$A$500,$C5,'DADOS BRUTOS'!AK$3:AK$500)))</f>
        <v/>
      </c>
      <c r="DL5" s="132">
        <f>IF(OR(DL$4="",$B5=""),0,SUMIF('DADOS BRUTOS'!$A$3:$A$500,$B5,'DADOS BRUTOS'!AL$3:AL$500)+IF($C5="",0,SUMIF('DADOS BRUTOS'!$A$3:$A$500,$C5,'DADOS BRUTOS'!AL$3:AL$500)))</f>
        <v/>
      </c>
      <c r="DM5" s="132">
        <f>IF(OR(DM$4="",$B5=""),0,SUMIF('DADOS BRUTOS'!$A$3:$A$500,$B5,'DADOS BRUTOS'!AM$3:AM$500)+IF($C5="",0,SUMIF('DADOS BRUTOS'!$A$3:$A$500,$C5,'DADOS BRUTOS'!AM$3:AM$500)))</f>
        <v/>
      </c>
      <c r="DN5" s="132">
        <f>IF(OR(DN$4="",$B5=""),0,SUMIF('DADOS BRUTOS'!$A$3:$A$500,$B5,'DADOS BRUTOS'!AN$3:AN$500)+IF($C5="",0,SUMIF('DADOS BRUTOS'!$A$3:$A$500,$C5,'DADOS BRUTOS'!AN$3:AN$500)))</f>
        <v/>
      </c>
      <c r="DO5" s="132">
        <f>IF(OR(DO$4="",$B5=""),0,SUMIF('DADOS BRUTOS'!$A$3:$A$500,$B5,'DADOS BRUTOS'!AO$3:AO$500)+IF($C5="",0,SUMIF('DADOS BRUTOS'!$A$3:$A$500,$C5,'DADOS BRUTOS'!AO$3:AO$500)))</f>
        <v/>
      </c>
      <c r="DP5" s="132">
        <f>IF(OR(DP$4="",$B5=""),0,SUMIF('DADOS BRUTOS'!$A$3:$A$500,$B5,'DADOS BRUTOS'!AP$3:AP$500)+IF($C5="",0,SUMIF('DADOS BRUTOS'!$A$3:$A$500,$C5,'DADOS BRUTOS'!AP$3:AP$500)))</f>
        <v/>
      </c>
      <c r="DQ5" s="132">
        <f>IF(OR(DQ$4="",$B5=""),0,SUMIF('DADOS BRUTOS'!$A$3:$A$500,$B5,'DADOS BRUTOS'!AQ$3:AQ$500)+IF($C5="",0,SUMIF('DADOS BRUTOS'!$A$3:$A$500,$C5,'DADOS BRUTOS'!AQ$3:AQ$500)))</f>
        <v/>
      </c>
      <c r="DR5" s="132">
        <f>IF(OR(DR$4="",$B5=""),0,SUMIF('DADOS BRUTOS'!$A$3:$A$500,$B5,'DADOS BRUTOS'!AR$3:AR$500)+IF($C5="",0,SUMIF('DADOS BRUTOS'!$A$3:$A$500,$C5,'DADOS BRUTOS'!AR$3:AR$500)))</f>
        <v/>
      </c>
      <c r="DS5" s="132">
        <f>IF(OR(DS$4="",$B5=""),0,SUMIF('DADOS BRUTOS'!$A$3:$A$500,$B5,'DADOS BRUTOS'!AS$3:AS$500)+IF($C5="",0,SUMIF('DADOS BRUTOS'!$A$3:$A$500,$C5,'DADOS BRUTOS'!AS$3:AS$500)))</f>
        <v/>
      </c>
      <c r="DT5" s="132">
        <f>IF(OR(DT$4="",$B5=""),0,SUMIF('DADOS BRUTOS'!$A$3:$A$500,$B5,'DADOS BRUTOS'!AT$3:AT$500)+IF($C5="",0,SUMIF('DADOS BRUTOS'!$A$3:$A$500,$C5,'DADOS BRUTOS'!AT$3:AT$500)))</f>
        <v/>
      </c>
      <c r="DU5" s="132">
        <f>IF(OR(DU$4="",$B5=""),0,SUMIF('DADOS BRUTOS'!$A$3:$A$500,$B5,'DADOS BRUTOS'!AU$3:AU$500)+IF($C5="",0,SUMIF('DADOS BRUTOS'!$A$3:$A$500,$C5,'DADOS BRUTOS'!AU$3:AU$500)))</f>
        <v/>
      </c>
      <c r="DV5" s="132">
        <f>IF(OR(DV$4="",$B5=""),0,SUMIF('DADOS BRUTOS'!$A$3:$A$500,$B5,'DADOS BRUTOS'!AV$3:AV$500)+IF($C5="",0,SUMIF('DADOS BRUTOS'!$A$3:$A$500,$C5,'DADOS BRUTOS'!AV$3:AV$500)))</f>
        <v/>
      </c>
      <c r="DW5" s="132">
        <f>IF(OR(DW$4="",$B5=""),0,SUMIF('DADOS BRUTOS'!$A$3:$A$500,$B5,'DADOS BRUTOS'!AW$3:AW$500)+IF($C5="",0,SUMIF('DADOS BRUTOS'!$A$3:$A$500,$C5,'DADOS BRUTOS'!AW$3:AW$500)))</f>
        <v/>
      </c>
      <c r="DX5" s="132">
        <f>IF(OR(DX$4="",$B5=""),0,SUMIF('DADOS BRUTOS'!$A$3:$A$500,$B5,'DADOS BRUTOS'!AX$3:AX$500)+IF($C5="",0,SUMIF('DADOS BRUTOS'!$A$3:$A$500,$C5,'DADOS BRUTOS'!AX$3:AX$500)))</f>
        <v/>
      </c>
      <c r="DY5" s="132">
        <f>IF(OR(DY$4="",$B5=""),0,SUMIF('DADOS BRUTOS'!$A$3:$A$500,$B5,'DADOS BRUTOS'!AY$3:AY$500)+IF($C5="",0,SUMIF('DADOS BRUTOS'!$A$3:$A$500,$C5,'DADOS BRUTOS'!AY$3:AY$500)))</f>
        <v/>
      </c>
      <c r="DZ5" s="132">
        <f>IF(OR(DZ$4="",$B5=""),0,SUMIF('DADOS BRUTOS'!$A$3:$A$500,$B5,'DADOS BRUTOS'!AZ$3:AZ$500)+IF($C5="",0,SUMIF('DADOS BRUTOS'!$A$3:$A$500,$C5,'DADOS BRUTOS'!AZ$3:AZ$500)))</f>
        <v/>
      </c>
      <c r="EA5" s="132">
        <f>IF(OR(EA$4="",$B5=""),0,SUMIF('DADOS BRUTOS'!$A$3:$A$500,$B5,'DADOS BRUTOS'!BA$3:BA$500)+IF($C5="",0,SUMIF('DADOS BRUTOS'!$A$3:$A$500,$C5,'DADOS BRUTOS'!BA$3:BA$500)))</f>
        <v/>
      </c>
      <c r="EB5" s="132">
        <f>IF(OR(EB$4="",$B5=""),0,SUMIF('DADOS BRUTOS'!$A$3:$A$500,$B5,'DADOS BRUTOS'!BB$3:BB$500)+IF($C5="",0,SUMIF('DADOS BRUTOS'!$A$3:$A$500,$C5,'DADOS BRUTOS'!BB$3:BB$500)))</f>
        <v/>
      </c>
      <c r="EC5" s="132">
        <f>IF(OR(EC$4="",$B5=""),0,SUMIF('DADOS BRUTOS'!$A$3:$A$500,$B5,'DADOS BRUTOS'!BC$3:BC$500)+IF($C5="",0,SUMIF('DADOS BRUTOS'!$A$3:$A$500,$C5,'DADOS BRUTOS'!BC$3:BC$500)))</f>
        <v/>
      </c>
      <c r="ED5" s="132">
        <f>IF(OR(ED$4="",$B5=""),0,SUMIF('DADOS BRUTOS'!$A$3:$A$500,$B5,'DADOS BRUTOS'!BD$3:BD$500)+IF($C5="",0,SUMIF('DADOS BRUTOS'!$A$3:$A$500,$C5,'DADOS BRUTOS'!BD$3:BD$500)))</f>
        <v/>
      </c>
      <c r="EE5" s="132">
        <f>IF(OR(EE$4="",$B5=""),0,SUMIF('DADOS BRUTOS'!$A$3:$A$500,$B5,'DADOS BRUTOS'!BE$3:BE$500)+IF($C5="",0,SUMIF('DADOS BRUTOS'!$A$3:$A$500,$C5,'DADOS BRUTOS'!BE$3:BE$500)))</f>
        <v/>
      </c>
      <c r="EF5" s="132">
        <f>IF(OR(EF$4="",$B5=""),0,SUMIF('DADOS BRUTOS'!$A$3:$A$500,$B5,'DADOS BRUTOS'!BF$3:BF$500)+IF($C5="",0,SUMIF('DADOS BRUTOS'!$A$3:$A$500,$C5,'DADOS BRUTOS'!BF$3:BF$500)))</f>
        <v/>
      </c>
      <c r="EG5" s="132">
        <f>IF(OR(EG$4="",$B5=""),0,SUMIF('DADOS BRUTOS'!$A$3:$A$500,$B5,'DADOS BRUTOS'!BG$3:BG$500)+IF($C5="",0,SUMIF('DADOS BRUTOS'!$A$3:$A$500,$C5,'DADOS BRUTOS'!BG$3:BG$500)))</f>
        <v/>
      </c>
      <c r="EH5" s="132">
        <f>IF(OR(EH$4="",$B5=""),0,SUMIF('DADOS BRUTOS'!$A$3:$A$500,$B5,'DADOS BRUTOS'!BH$3:BH$500)+IF($C5="",0,SUMIF('DADOS BRUTOS'!$A$3:$A$500,$C5,'DADOS BRUTOS'!BH$3:BH$500)))</f>
        <v/>
      </c>
      <c r="EI5" s="132">
        <f>IF(OR(EI$4="",$B5=""),0,SUMIF('DADOS BRUTOS'!$A$3:$A$500,$B5,'DADOS BRUTOS'!BI$3:BI$500)+IF($C5="",0,SUMIF('DADOS BRUTOS'!$A$3:$A$500,$C5,'DADOS BRUTOS'!BI$3:BI$500)))</f>
        <v/>
      </c>
      <c r="EJ5" s="132">
        <f>IF(OR(EJ$4="",$B5=""),0,SUMIF('DADOS BRUTOS'!$A$3:$A$500,$B5,'DADOS BRUTOS'!BJ$3:BJ$500)+IF($C5="",0,SUMIF('DADOS BRUTOS'!$A$3:$A$500,$C5,'DADOS BRUTOS'!BJ$3:BJ$500)))</f>
        <v/>
      </c>
      <c r="EK5" s="132">
        <f>IF(OR(EK$4="",$B5=""),0,SUMIF('DADOS BRUTOS'!$A$3:$A$500,$B5,'DADOS BRUTOS'!BK$3:BK$500)+IF($C5="",0,SUMIF('DADOS BRUTOS'!$A$3:$A$500,$C5,'DADOS BRUTOS'!BK$3:BK$500)))</f>
        <v/>
      </c>
      <c r="EL5" s="132">
        <f>IF(OR(EL$4="",$B5=""),0,SUMIF('DADOS BRUTOS'!$A$3:$A$500,$B5,'DADOS BRUTOS'!BL$3:BL$500)+IF($C5="",0,SUMIF('DADOS BRUTOS'!$A$3:$A$500,$C5,'DADOS BRUTOS'!BL$3:BL$500)))</f>
        <v/>
      </c>
      <c r="EM5" s="132">
        <f>IF(OR(EM$4="",$B5=""),0,SUMIF('DADOS BRUTOS'!$A$3:$A$500,$B5,'DADOS BRUTOS'!BM$3:BM$500)+IF($C5="",0,SUMIF('DADOS BRUTOS'!$A$3:$A$500,$C5,'DADOS BRUTOS'!BM$3:BM$500)))</f>
        <v/>
      </c>
      <c r="EN5" s="132">
        <f>IF(OR(EN$4="",$B5=""),0,SUMIF('DADOS BRUTOS'!$A$3:$A$500,$B5,'DADOS BRUTOS'!BN$3:BN$500)+IF($C5="",0,SUMIF('DADOS BRUTOS'!$A$3:$A$500,$C5,'DADOS BRUTOS'!BN$3:BN$500)))</f>
        <v/>
      </c>
      <c r="EO5" s="132">
        <f>IF(OR(EO$4="",$B5=""),0,SUMIF('DADOS BRUTOS'!$A$3:$A$500,$B5,'DADOS BRUTOS'!BO$3:BO$500)+IF($C5="",0,SUMIF('DADOS BRUTOS'!$A$3:$A$500,$C5,'DADOS BRUTOS'!BO$3:BO$500)))</f>
        <v/>
      </c>
      <c r="EP5" s="132">
        <f>IF(OR(EP$4="",$B5=""),0,SUMIF('DADOS BRUTOS'!$A$3:$A$500,$B5,'DADOS BRUTOS'!BP$3:BP$500)+IF($C5="",0,SUMIF('DADOS BRUTOS'!$A$3:$A$500,$C5,'DADOS BRUTOS'!BP$3:BP$500)))</f>
        <v/>
      </c>
      <c r="EQ5" s="132">
        <f>IF(OR(EQ$4="",$B5=""),0,SUMIF('DADOS BRUTOS'!$A$3:$A$500,$B5,'DADOS BRUTOS'!BQ$3:BQ$500)+IF($C5="",0,SUMIF('DADOS BRUTOS'!$A$3:$A$500,$C5,'DADOS BRUTOS'!BQ$3:BQ$500)))</f>
        <v/>
      </c>
      <c r="ER5" s="132">
        <f>IF(OR(ER$4="",$B5=""),0,SUMIF('DADOS BRUTOS'!$A$3:$A$500,$B5,'DADOS BRUTOS'!BR$3:BR$500)+IF($C5="",0,SUMIF('DADOS BRUTOS'!$A$3:$A$500,$C5,'DADOS BRUTOS'!BR$3:BR$500)))</f>
        <v/>
      </c>
      <c r="ES5" s="132">
        <f>IF(OR(ES$4="",$B5=""),0,SUMIF('DADOS BRUTOS'!$A$3:$A$500,$B5,'DADOS BRUTOS'!BS$3:BS$500)+IF($C5="",0,SUMIF('DADOS BRUTOS'!$A$3:$A$500,$C5,'DADOS BRUTOS'!BS$3:BS$500)))</f>
        <v/>
      </c>
      <c r="ET5" s="132">
        <f>IF(OR(ET$4="",$B5=""),0,SUMIF('DADOS BRUTOS'!$A$3:$A$500,$B5,'DADOS BRUTOS'!BT$3:BT$500)+IF($C5="",0,SUMIF('DADOS BRUTOS'!$A$3:$A$500,$C5,'DADOS BRUTOS'!BT$3:BT$500)))</f>
        <v/>
      </c>
      <c r="EU5" s="132">
        <f>IF(OR(EU$4="",$B5=""),0,SUMIF('DADOS BRUTOS'!$A$3:$A$500,$B5,'DADOS BRUTOS'!BU$3:BU$500)+IF($C5="",0,SUMIF('DADOS BRUTOS'!$A$3:$A$500,$C5,'DADOS BRUTOS'!BU$3:BU$500)))</f>
        <v/>
      </c>
      <c r="EV5" s="132">
        <f>IF(OR(EV$4="",$B5=""),0,SUMIF('DADOS BRUTOS'!$A$3:$A$500,$B5,'DADOS BRUTOS'!BV$3:BV$500)+IF($C5="",0,SUMIF('DADOS BRUTOS'!$A$3:$A$500,$C5,'DADOS BRUTOS'!BV$3:BV$500)))</f>
        <v/>
      </c>
      <c r="EW5" s="132">
        <f>IF(OR(EW$4="",$B5=""),0,SUMIF('DADOS BRUTOS'!$A$3:$A$500,$B5,'DADOS BRUTOS'!BW$3:BW$500)+IF($C5="",0,SUMIF('DADOS BRUTOS'!$A$3:$A$500,$C5,'DADOS BRUTOS'!BW$3:BW$500)))</f>
        <v/>
      </c>
      <c r="EX5" s="132">
        <f>IF(OR(EX$4="",$B5=""),0,SUMIF('DADOS BRUTOS'!$A$3:$A$500,$B5,'DADOS BRUTOS'!BX$3:BX$500)+IF($C5="",0,SUMIF('DADOS BRUTOS'!$A$3:$A$500,$C5,'DADOS BRUTOS'!BX$3:BX$500)))</f>
        <v/>
      </c>
      <c r="EY5" s="132">
        <f>IF(OR(EY$4="",$B5=""),0,SUMIF('DADOS BRUTOS'!$A$3:$A$500,$B5,'DADOS BRUTOS'!BY$3:BY$500)+IF($C5="",0,SUMIF('DADOS BRUTOS'!$A$3:$A$500,$C5,'DADOS BRUTOS'!BY$3:BY$500)))</f>
        <v/>
      </c>
      <c r="EZ5" s="132">
        <f>IF(OR(EZ$4="",$B5=""),0,SUMIF('DADOS BRUTOS'!$A$3:$A$500,$B5,'DADOS BRUTOS'!BZ$3:BZ$500)+IF($C5="",0,SUMIF('DADOS BRUTOS'!$A$3:$A$500,$C5,'DADOS BRUTOS'!BZ$3:BZ$500)))</f>
        <v/>
      </c>
      <c r="FA5" s="132">
        <f>IF(OR(FA$4="",$B5=""),0,SUMIF('DADOS BRUTOS'!$A$3:$A$500,$B5,'DADOS BRUTOS'!CA$3:CA$500)+IF($C5="",0,SUMIF('DADOS BRUTOS'!$A$3:$A$500,$C5,'DADOS BRUTOS'!CA$3:CA$500)))</f>
        <v/>
      </c>
      <c r="FB5" s="132">
        <f>IF(OR(FB$4="",$B5=""),0,SUMIF('DADOS BRUTOS'!$A$3:$A$500,$B5,'DADOS BRUTOS'!CB$3:CB$500)+IF($C5="",0,SUMIF('DADOS BRUTOS'!$A$3:$A$500,$C5,'DADOS BRUTOS'!CB$3:CB$500)))</f>
        <v/>
      </c>
      <c r="FC5" s="132">
        <f>IF(OR(FC$4="",$B5=""),0,SUMIF('DADOS BRUTOS'!$A$3:$A$500,$B5,'DADOS BRUTOS'!CC$3:CC$500)+IF($C5="",0,SUMIF('DADOS BRUTOS'!$A$3:$A$500,$C5,'DADOS BRUTOS'!CC$3:CC$500)))</f>
        <v/>
      </c>
      <c r="FD5" s="132">
        <f>IF(OR(FD$4="",$B5=""),0,SUMIF('DADOS BRUTOS'!$A$3:$A$500,$B5,'DADOS BRUTOS'!CD$3:CD$500)+IF($C5="",0,SUMIF('DADOS BRUTOS'!$A$3:$A$500,$C5,'DADOS BRUTOS'!CD$3:CD$500)))</f>
        <v/>
      </c>
      <c r="FE5" s="132">
        <f>IF(OR(FE$4="",$B5=""),0,SUMIF('DADOS BRUTOS'!$A$3:$A$500,$B5,'DADOS BRUTOS'!CE$3:CE$500)+IF($C5="",0,SUMIF('DADOS BRUTOS'!$A$3:$A$500,$C5,'DADOS BRUTOS'!CE$3:CE$500)))</f>
        <v/>
      </c>
      <c r="FF5" s="132">
        <f>IF(OR(FF$4="",$B5=""),0,SUMIF('DADOS BRUTOS'!$A$3:$A$500,$B5,'DADOS BRUTOS'!CF$3:CF$500)+IF($C5="",0,SUMIF('DADOS BRUTOS'!$A$3:$A$500,$C5,'DADOS BRUTOS'!CF$3:CF$500)))</f>
        <v/>
      </c>
      <c r="FG5" s="132">
        <f>IF(OR(FG$4="",$B5=""),0,SUMIF('DADOS BRUTOS'!$A$3:$A$500,$B5,'DADOS BRUTOS'!CG$3:CG$500)+IF($C5="",0,SUMIF('DADOS BRUTOS'!$A$3:$A$500,$C5,'DADOS BRUTOS'!CG$3:CG$500)))</f>
        <v/>
      </c>
      <c r="FH5" s="132">
        <f>IF(OR(FH$4="",$B5=""),0,SUMIF('DADOS BRUTOS'!$A$3:$A$500,$B5,'DADOS BRUTOS'!CH$3:CH$500)+IF($C5="",0,SUMIF('DADOS BRUTOS'!$A$3:$A$500,$C5,'DADOS BRUTOS'!CH$3:CH$500)))</f>
        <v/>
      </c>
      <c r="FI5" s="132">
        <f>IF(OR(FI$4="",$B5=""),0,SUMIF('DADOS BRUTOS'!$A$3:$A$500,$B5,'DADOS BRUTOS'!CI$3:CI$500)+IF($C5="",0,SUMIF('DADOS BRUTOS'!$A$3:$A$500,$C5,'DADOS BRUTOS'!CI$3:CI$500)))</f>
        <v/>
      </c>
      <c r="FJ5" s="132">
        <f>IF(OR(FJ$4="",$B5=""),0,SUMIF('DADOS BRUTOS'!$A$3:$A$500,$B5,'DADOS BRUTOS'!CJ$3:CJ$500)+IF($C5="",0,SUMIF('DADOS BRUTOS'!$A$3:$A$500,$C5,'DADOS BRUTOS'!CJ$3:CJ$500)))</f>
        <v/>
      </c>
      <c r="FK5" s="132">
        <f>IF(OR(FK$4="",$B5=""),0,SUMIF('DADOS BRUTOS'!$A$3:$A$500,$B5,'DADOS BRUTOS'!CK$3:CK$500)+IF($C5="",0,SUMIF('DADOS BRUTOS'!$A$3:$A$500,$C5,'DADOS BRUTOS'!CK$3:CK$500)))</f>
        <v/>
      </c>
      <c r="FL5" s="132">
        <f>IF(OR(FL$4="",$B5=""),0,SUMIF('DADOS BRUTOS'!$A$3:$A$500,$B5,'DADOS BRUTOS'!CL$3:CL$500)+IF($C5="",0,SUMIF('DADOS BRUTOS'!$A$3:$A$500,$C5,'DADOS BRUTOS'!CL$3:CL$500)))</f>
        <v/>
      </c>
      <c r="FM5" s="132">
        <f>IF(OR(FM$4="",$B5=""),0,SUMIF('DADOS BRUTOS'!$A$3:$A$500,$B5,'DADOS BRUTOS'!CM$3:CM$500)+IF($C5="",0,SUMIF('DADOS BRUTOS'!$A$3:$A$500,$C5,'DADOS BRUTOS'!CM$3:CM$500)))</f>
        <v/>
      </c>
      <c r="FN5" s="132">
        <f>IF(OR(FN$4="",$B5=""),0,SUMIF('DADOS BRUTOS'!$A$3:$A$500,$B5,'DADOS BRUTOS'!CN$3:CN$500)+IF($C5="",0,SUMIF('DADOS BRUTOS'!$A$3:$A$500,$C5,'DADOS BRUTOS'!CN$3:CN$500)))</f>
        <v/>
      </c>
      <c r="FO5" s="132">
        <f>IF(OR(FO$4="",$B5=""),0,SUMIF('DADOS BRUTOS'!$A$3:$A$500,$B5,'DADOS BRUTOS'!CO$3:CO$500)+IF($C5="",0,SUMIF('DADOS BRUTOS'!$A$3:$A$500,$C5,'DADOS BRUTOS'!CO$3:CO$500)))</f>
        <v/>
      </c>
      <c r="FP5" s="132">
        <f>IF(OR(FP$4="",$B5=""),0,SUMIF('DADOS BRUTOS'!$A$3:$A$500,$B5,'DADOS BRUTOS'!CP$3:CP$500)+IF($C5="",0,SUMIF('DADOS BRUTOS'!$A$3:$A$500,$C5,'DADOS BRUTOS'!CP$3:CP$500)))</f>
        <v/>
      </c>
      <c r="FQ5" s="132">
        <f>IF(OR(FQ$4="",$B5=""),0,SUMIF('DADOS BRUTOS'!$A$3:$A$500,$B5,'DADOS BRUTOS'!CQ$3:CQ$500)+IF($C5="",0,SUMIF('DADOS BRUTOS'!$A$3:$A$500,$C5,'DADOS BRUTOS'!CQ$3:CQ$500)))</f>
        <v/>
      </c>
      <c r="FR5" s="132">
        <f>IF(OR(FR$4="",$B5=""),0,SUMIF('DADOS BRUTOS'!$A$3:$A$500,$B5,'DADOS BRUTOS'!CR$3:CR$500)+IF($C5="",0,SUMIF('DADOS BRUTOS'!$A$3:$A$500,$C5,'DADOS BRUTOS'!CR$3:CR$500)))</f>
        <v/>
      </c>
      <c r="FS5" s="132">
        <f>IF(OR(FS$4="",$B5=""),0,SUMIF('DADOS BRUTOS'!$A$3:$A$500,$B5,'DADOS BRUTOS'!CS$3:CS$500)+IF($C5="",0,SUMIF('DADOS BRUTOS'!$A$3:$A$500,$C5,'DADOS BRUTOS'!CS$3:CS$500)))</f>
        <v/>
      </c>
      <c r="FT5" s="132">
        <f>IF(OR(FT$4="",$B5=""),0,SUMIF('DADOS BRUTOS'!$A$3:$A$500,$B5,'DADOS BRUTOS'!CT$3:CT$500)+IF($C5="",0,SUMIF('DADOS BRUTOS'!$A$3:$A$500,$C5,'DADOS BRUTOS'!CT$3:CT$500)))</f>
        <v/>
      </c>
      <c r="FU5" s="132">
        <f>IF(OR(FU$4="",$B5=""),0,SUMIF('DADOS BRUTOS'!$A$3:$A$500,$B5,'DADOS BRUTOS'!CU$3:CU$500)+IF($C5="",0,SUMIF('DADOS BRUTOS'!$A$3:$A$500,$C5,'DADOS BRUTOS'!CU$3:CU$500)))</f>
        <v/>
      </c>
      <c r="FV5" s="132">
        <f>IF(OR(FV$4="",$B5=""),0,SUMIF('DADOS BRUTOS'!$A$3:$A$500,$B5,'DADOS BRUTOS'!CV$3:CV$500)+IF($C5="",0,SUMIF('DADOS BRUTOS'!$A$3:$A$500,$C5,'DADOS BRUTOS'!CV$3:CV$500)))</f>
        <v/>
      </c>
      <c r="FW5" s="132">
        <f>IF(OR(FW$4="",$B5=""),0,SUMIF('DADOS BRUTOS'!$A$3:$A$500,$B5,'DADOS BRUTOS'!CW$3:CW$500)+IF($C5="",0,SUMIF('DADOS BRUTOS'!$A$3:$A$500,$C5,'DADOS BRUTOS'!CW$3:CW$500)))</f>
        <v/>
      </c>
      <c r="FX5" s="132">
        <f>IF(OR(FX$4="",$B5=""),0,SUMIF('DADOS BRUTOS'!$A$3:$A$500,$B5,'DADOS BRUTOS'!CX$3:CX$500)+IF($C5="",0,SUMIF('DADOS BRUTOS'!$A$3:$A$500,$C5,'DADOS BRUTOS'!CX$3:CX$500)))</f>
        <v/>
      </c>
      <c r="FY5" s="132">
        <f>IF(OR(FY$4="",$B5=""),0,SUMIF('DADOS BRUTOS'!$A$3:$A$500,$B5,'DADOS BRUTOS'!CY$3:CY$500)+IF($C5="",0,SUMIF('DADOS BRUTOS'!$A$3:$A$500,$C5,'DADOS BRUTOS'!CY$3:CY$500)))</f>
        <v/>
      </c>
      <c r="FZ5" s="132">
        <f>IF(OR(FZ$4="",$B5=""),0,SUMIF('DADOS BRUTOS'!$A$3:$A$500,$B5,'DADOS BRUTOS'!CZ$3:CZ$500)+IF($C5="",0,SUMIF('DADOS BRUTOS'!$A$3:$A$500,$C5,'DADOS BRUTOS'!CZ$3:CZ$500)))</f>
        <v/>
      </c>
      <c r="GA5" s="132">
        <f>IF(OR(GA$4="",$B5=""),0,SUMIF('DADOS BRUTOS'!$A$3:$A$500,$B5,'DADOS BRUTOS'!DA$3:DA$500)+IF($C5="",0,SUMIF('DADOS BRUTOS'!$A$3:$A$500,$C5,'DADOS BRUTOS'!DA$3:DA$500)))</f>
        <v/>
      </c>
      <c r="GB5" s="132">
        <f>IF(OR(GB$4="",$B5=""),0,SUMIF('DADOS BRUTOS'!$A$3:$A$500,$B5,'DADOS BRUTOS'!DB$3:DB$500)+IF($C5="",0,SUMIF('DADOS BRUTOS'!$A$3:$A$500,$C5,'DADOS BRUTOS'!DB$3:DB$500)))</f>
        <v/>
      </c>
      <c r="GC5" s="132">
        <f>IF(OR(GC$4="",$B5=""),0,SUMIF('DADOS BRUTOS'!$A$3:$A$500,$B5,'DADOS BRUTOS'!DC$3:DC$500)+IF($C5="",0,SUMIF('DADOS BRUTOS'!$A$3:$A$500,$C5,'DADOS BRUTOS'!DC$3:DC$500)))</f>
        <v/>
      </c>
      <c r="GD5" s="132">
        <f>IF(OR(GD$4="",$B5=""),0,SUMIF('DADOS BRUTOS'!$A$3:$A$500,$B5,'DADOS BRUTOS'!DD$3:DD$500)+IF($C5="",0,SUMIF('DADOS BRUTOS'!$A$3:$A$500,$C5,'DADOS BRUTOS'!DD$3:DD$500)))</f>
        <v/>
      </c>
      <c r="GE5" s="132">
        <f>IF(OR(GE$4="",$B5=""),0,SUMIF('DADOS BRUTOS'!$A$3:$A$500,$B5,'DADOS BRUTOS'!DE$3:DE$500)+IF($C5="",0,SUMIF('DADOS BRUTOS'!$A$3:$A$500,$C5,'DADOS BRUTOS'!DE$3:DE$500)))</f>
        <v/>
      </c>
      <c r="GF5" s="132">
        <f>IF(OR(GF$4="",$B5=""),0,SUMIF('DADOS BRUTOS'!$A$3:$A$500,$B5,'DADOS BRUTOS'!DF$3:DF$500)+IF($C5="",0,SUMIF('DADOS BRUTOS'!$A$3:$A$500,$C5,'DADOS BRUTOS'!DF$3:DF$500)))</f>
        <v/>
      </c>
      <c r="GG5" s="132">
        <f>IF(OR(GG$4="",$B5=""),0,SUMIF('DADOS BRUTOS'!$A$3:$A$500,$B5,'DADOS BRUTOS'!DG$3:DG$500)+IF($C5="",0,SUMIF('DADOS BRUTOS'!$A$3:$A$500,$C5,'DADOS BRUTOS'!DG$3:DG$500)))</f>
        <v/>
      </c>
      <c r="GH5" s="132">
        <f>IF(OR(GH$4="",$B5=""),0,SUMIF('DADOS BRUTOS'!$A$3:$A$500,$B5,'DADOS BRUTOS'!DH$3:DH$500)+IF($C5="",0,SUMIF('DADOS BRUTOS'!$A$3:$A$500,$C5,'DADOS BRUTOS'!DH$3:DH$500)))</f>
        <v/>
      </c>
      <c r="GI5" s="132">
        <f>IF(OR(GI$4="",$B5=""),0,SUMIF('DADOS BRUTOS'!$A$3:$A$500,$B5,'DADOS BRUTOS'!DI$3:DI$500)+IF($C5="",0,SUMIF('DADOS BRUTOS'!$A$3:$A$500,$C5,'DADOS BRUTOS'!DI$3:DI$500)))</f>
        <v/>
      </c>
      <c r="GJ5" s="132">
        <f>IF(OR(GJ$4="",$B5=""),0,SUMIF('DADOS BRUTOS'!$A$3:$A$500,$B5,'DADOS BRUTOS'!DJ$3:DJ$500)+IF($C5="",0,SUMIF('DADOS BRUTOS'!$A$3:$A$500,$C5,'DADOS BRUTOS'!DJ$3:DJ$500)))</f>
        <v/>
      </c>
      <c r="GK5" s="132">
        <f>IF(OR(GK$4="",$B5=""),0,SUMIF('DADOS BRUTOS'!$A$3:$A$500,$B5,'DADOS BRUTOS'!DK$3:DK$500)+IF($C5="",0,SUMIF('DADOS BRUTOS'!$A$3:$A$500,$C5,'DADOS BRUTOS'!DK$3:DK$500)))</f>
        <v/>
      </c>
      <c r="GL5" s="132">
        <f>IF(OR(GL$4="",$B5=""),0,SUMIF('DADOS BRUTOS'!$A$3:$A$500,$B5,'DADOS BRUTOS'!DL$3:DL$500)+IF($C5="",0,SUMIF('DADOS BRUTOS'!$A$3:$A$500,$C5,'DADOS BRUTOS'!DL$3:DL$500)))</f>
        <v/>
      </c>
      <c r="GM5" s="132">
        <f>IF(OR(GM$4="",$B5=""),0,SUMIF('DADOS BRUTOS'!$A$3:$A$500,$B5,'DADOS BRUTOS'!DM$3:DM$500)+IF($C5="",0,SUMIF('DADOS BRUTOS'!$A$3:$A$500,$C5,'DADOS BRUTOS'!DM$3:DM$500)))</f>
        <v/>
      </c>
      <c r="GN5" s="132">
        <f>IF(OR(GN$4="",$B5=""),0,SUMIF('DADOS BRUTOS'!$A$3:$A$500,$B5,'DADOS BRUTOS'!DN$3:DN$500)+IF($C5="",0,SUMIF('DADOS BRUTOS'!$A$3:$A$500,$C5,'DADOS BRUTOS'!DN$3:DN$500)))</f>
        <v/>
      </c>
      <c r="GO5" s="132">
        <f>IF(OR(GO$4="",$B5=""),0,SUMIF('DADOS BRUTOS'!$A$3:$A$500,$B5,'DADOS BRUTOS'!DO$3:DO$500)+IF($C5="",0,SUMIF('DADOS BRUTOS'!$A$3:$A$500,$C5,'DADOS BRUTOS'!DO$3:DO$500)))</f>
        <v/>
      </c>
      <c r="GP5" s="132">
        <f>IF(OR(GP$4="",$B5=""),0,SUMIF('DADOS BRUTOS'!$A$3:$A$500,$B5,'DADOS BRUTOS'!DP$3:DP$500)+IF($C5="",0,SUMIF('DADOS BRUTOS'!$A$3:$A$500,$C5,'DADOS BRUTOS'!DP$3:DP$500)))</f>
        <v/>
      </c>
      <c r="GQ5" s="132">
        <f>IF(OR(GQ$4="",$B5=""),0,SUMIF('DADOS BRUTOS'!$A$3:$A$500,$B5,'DADOS BRUTOS'!DQ$3:DQ$500)+IF($C5="",0,SUMIF('DADOS BRUTOS'!$A$3:$A$500,$C5,'DADOS BRUTOS'!DQ$3:DQ$500)))</f>
        <v/>
      </c>
      <c r="GR5" s="132">
        <f>IF(OR(GR$4="",$B5=""),0,SUMIF('DADOS BRUTOS'!$A$3:$A$500,$B5,'DADOS BRUTOS'!DR$3:DR$500)+IF($C5="",0,SUMIF('DADOS BRUTOS'!$A$3:$A$500,$C5,'DADOS BRUTOS'!DR$3:DR$500)))</f>
        <v/>
      </c>
      <c r="GS5" s="132">
        <f>IF(OR(GS$4="",$B5=""),0,SUMIF('DADOS BRUTOS'!$A$3:$A$500,$B5,'DADOS BRUTOS'!DS$3:DS$500)+IF($C5="",0,SUMIF('DADOS BRUTOS'!$A$3:$A$500,$C5,'DADOS BRUTOS'!DS$3:DS$500)))</f>
        <v/>
      </c>
      <c r="GT5" s="132">
        <f>IF(OR(GT$4="",$B5=""),0,SUMIF('DADOS BRUTOS'!$A$3:$A$500,$B5,'DADOS BRUTOS'!DT$3:DT$500)+IF($C5="",0,SUMIF('DADOS BRUTOS'!$A$3:$A$500,$C5,'DADOS BRUTOS'!DT$3:DT$500)))</f>
        <v/>
      </c>
      <c r="GU5" s="132">
        <f>IF(OR(GU$4="",$B5=""),0,SUMIF('DADOS BRUTOS'!$A$3:$A$500,$B5,'DADOS BRUTOS'!DU$3:DU$500)+IF($C5="",0,SUMIF('DADOS BRUTOS'!$A$3:$A$500,$C5,'DADOS BRUTOS'!DU$3:DU$500)))</f>
        <v/>
      </c>
      <c r="GV5" s="132">
        <f>IF(OR(GV$4="",$B5=""),0,SUMIF('DADOS BRUTOS'!$A$3:$A$500,$B5,'DADOS BRUTOS'!DV$3:DV$500)+IF($C5="",0,SUMIF('DADOS BRUTOS'!$A$3:$A$500,$C5,'DADOS BRUTOS'!DV$3:DV$500)))</f>
        <v/>
      </c>
      <c r="GW5" s="132">
        <f>IF(OR(GW$4="",$B5=""),0,SUMIF('DADOS BRUTOS'!$A$3:$A$500,$B5,'DADOS BRUTOS'!DW$3:DW$500)+IF($C5="",0,SUMIF('DADOS BRUTOS'!$A$3:$A$500,$C5,'DADOS BRUTOS'!DW$3:DW$500)))</f>
        <v/>
      </c>
      <c r="GX5" s="132">
        <f>IF(OR(GX$4="",$B5=""),0,SUMIF('DADOS BRUTOS'!$A$3:$A$500,$B5,'DADOS BRUTOS'!DX$3:DX$500)+IF($C5="",0,SUMIF('DADOS BRUTOS'!$A$3:$A$500,$C5,'DADOS BRUTOS'!DX$3:DX$500)))</f>
        <v/>
      </c>
      <c r="GY5" s="132">
        <f>IF(OR(GY$4="",$B5=""),0,SUMIF('DADOS BRUTOS'!$A$3:$A$500,$B5,'DADOS BRUTOS'!DY$3:DY$500)+IF($C5="",0,SUMIF('DADOS BRUTOS'!$A$3:$A$500,$C5,'DADOS BRUTOS'!DY$3:DY$500)))</f>
        <v/>
      </c>
      <c r="GZ5" s="132">
        <f>IF(OR(GZ$4="",$B5=""),0,SUMIF('DADOS BRUTOS'!$A$3:$A$500,$B5,'DADOS BRUTOS'!DZ$3:DZ$500)+IF($C5="",0,SUMIF('DADOS BRUTOS'!$A$3:$A$500,$C5,'DADOS BRUTOS'!DZ$3:DZ$500)))</f>
        <v/>
      </c>
      <c r="HA5" s="132">
        <f>IF(OR(HA$4="",$B5=""),0,SUMIF('DADOS BRUTOS'!$A$3:$A$500,$B5,'DADOS BRUTOS'!EA$3:EA$500)+IF($C5="",0,SUMIF('DADOS BRUTOS'!$A$3:$A$500,$C5,'DADOS BRUTOS'!EA$3:EA$500)))</f>
        <v/>
      </c>
      <c r="HB5" s="132">
        <f>IF(OR(HB$4="",$B5=""),0,SUMIF('DADOS BRUTOS'!$A$3:$A$500,$B5,'DADOS BRUTOS'!EB$3:EB$500)+IF($C5="",0,SUMIF('DADOS BRUTOS'!$A$3:$A$500,$C5,'DADOS BRUTOS'!EB$3:EB$500)))</f>
        <v/>
      </c>
      <c r="HC5" s="132">
        <f>IF(OR(HC$4="",$B5=""),0,SUMIF('DADOS BRUTOS'!$A$3:$A$500,$B5,'DADOS BRUTOS'!EC$3:EC$500)+IF($C5="",0,SUMIF('DADOS BRUTOS'!$A$3:$A$500,$C5,'DADOS BRUTOS'!EC$3:EC$500)))</f>
        <v/>
      </c>
      <c r="HD5" s="132">
        <f>IF(OR(HD$4="",$B5=""),0,SUMIF('DADOS BRUTOS'!$A$3:$A$500,$B5,'DADOS BRUTOS'!ED$3:ED$500)+IF($C5="",0,SUMIF('DADOS BRUTOS'!$A$3:$A$500,$C5,'DADOS BRUTOS'!ED$3:ED$500)))</f>
        <v/>
      </c>
      <c r="HE5" s="132">
        <f>IF(OR(HE$4="",$B5=""),0,SUMIF('DADOS BRUTOS'!$A$3:$A$500,$B5,'DADOS BRUTOS'!EE$3:EE$500)+IF($C5="",0,SUMIF('DADOS BRUTOS'!$A$3:$A$500,$C5,'DADOS BRUTOS'!EE$3:EE$500)))</f>
        <v/>
      </c>
      <c r="HF5" s="132">
        <f>IF(OR(HF$4="",$B5=""),0,SUMIF('DADOS BRUTOS'!$A$3:$A$500,$B5,'DADOS BRUTOS'!EF$3:EF$500)+IF($C5="",0,SUMIF('DADOS BRUTOS'!$A$3:$A$500,$C5,'DADOS BRUTOS'!EF$3:EF$500)))</f>
        <v/>
      </c>
      <c r="HG5" s="132">
        <f>IF(OR(HG$4="",$B5=""),0,SUMIF('DADOS BRUTOS'!$A$3:$A$500,$B5,'DADOS BRUTOS'!EG$3:EG$500)+IF($C5="",0,SUMIF('DADOS BRUTOS'!$A$3:$A$500,$C5,'DADOS BRUTOS'!EG$3:EG$500)))</f>
        <v/>
      </c>
      <c r="HH5" s="132">
        <f>IF(OR(HH$4="",$B5=""),0,SUMIF('DADOS BRUTOS'!$A$3:$A$500,$B5,'DADOS BRUTOS'!EH$3:EH$500)+IF($C5="",0,SUMIF('DADOS BRUTOS'!$A$3:$A$500,$C5,'DADOS BRUTOS'!EH$3:EH$500)))</f>
        <v/>
      </c>
      <c r="HI5" s="132">
        <f>IF(OR(HI$4="",$B5=""),0,SUMIF('DADOS BRUTOS'!$A$3:$A$500,$B5,'DADOS BRUTOS'!EI$3:EI$500)+IF($C5="",0,SUMIF('DADOS BRUTOS'!$A$3:$A$500,$C5,'DADOS BRUTOS'!EI$3:EI$500)))</f>
        <v/>
      </c>
      <c r="HJ5" s="132">
        <f>IF(OR(HJ$4="",$B5=""),0,SUMIF('DADOS BRUTOS'!$A$3:$A$500,$B5,'DADOS BRUTOS'!EJ$3:EJ$500)+IF($C5="",0,SUMIF('DADOS BRUTOS'!$A$3:$A$500,$C5,'DADOS BRUTOS'!EJ$3:EJ$500)))</f>
        <v/>
      </c>
      <c r="HK5" s="132">
        <f>IF(OR(HK$4="",$B5=""),0,SUMIF('DADOS BRUTOS'!$A$3:$A$500,$B5,'DADOS BRUTOS'!EK$3:EK$500)+IF($C5="",0,SUMIF('DADOS BRUTOS'!$A$3:$A$500,$C5,'DADOS BRUTOS'!EK$3:EK$500)))</f>
        <v/>
      </c>
      <c r="HL5" s="132">
        <f>IF(OR(HL$4="",$B5=""),0,SUMIF('DADOS BRUTOS'!$A$3:$A$500,$B5,'DADOS BRUTOS'!EL$3:EL$500)+IF($C5="",0,SUMIF('DADOS BRUTOS'!$A$3:$A$500,$C5,'DADOS BRUTOS'!EL$3:EL$500)))</f>
        <v/>
      </c>
      <c r="HM5" s="132">
        <f>IF(OR(HM$4="",$B5=""),0,SUMIF('DADOS BRUTOS'!$A$3:$A$500,$B5,'DADOS BRUTOS'!EM$3:EM$500)+IF($C5="",0,SUMIF('DADOS BRUTOS'!$A$3:$A$500,$C5,'DADOS BRUTOS'!EM$3:EM$500)))</f>
        <v/>
      </c>
      <c r="HN5" s="132">
        <f>IF(OR(HN$4="",$B5=""),0,SUMIF('DADOS BRUTOS'!$A$3:$A$500,$B5,'DADOS BRUTOS'!EN$3:EN$500)+IF($C5="",0,SUMIF('DADOS BRUTOS'!$A$3:$A$500,$C5,'DADOS BRUTOS'!EN$3:EN$500)))</f>
        <v/>
      </c>
      <c r="HO5" s="132">
        <f>IF(OR(HO$4="",$B5=""),0,SUMIF('DADOS BRUTOS'!$A$3:$A$500,$B5,'DADOS BRUTOS'!EO$3:EO$500)+IF($C5="",0,SUMIF('DADOS BRUTOS'!$A$3:$A$500,$C5,'DADOS BRUTOS'!EO$3:EO$500)))</f>
        <v/>
      </c>
      <c r="HP5" s="132">
        <f>IF(OR(HP$4="",$B5=""),0,SUMIF('DADOS BRUTOS'!$A$3:$A$500,$B5,'DADOS BRUTOS'!EP$3:EP$500)+IF($C5="",0,SUMIF('DADOS BRUTOS'!$A$3:$A$500,$C5,'DADOS BRUTOS'!EP$3:EP$500)))</f>
        <v/>
      </c>
      <c r="HQ5" s="132">
        <f>IF(OR(HQ$4="",$B5=""),0,SUMIF('DADOS BRUTOS'!$A$3:$A$500,$B5,'DADOS BRUTOS'!EQ$3:EQ$500)+IF($C5="",0,SUMIF('DADOS BRUTOS'!$A$3:$A$500,$C5,'DADOS BRUTOS'!EQ$3:EQ$500)))</f>
        <v/>
      </c>
      <c r="HR5" s="132">
        <f>IF(OR(HR$4="",$B5=""),0,SUMIF('DADOS BRUTOS'!$A$3:$A$500,$B5,'DADOS BRUTOS'!ER$3:ER$500)+IF($C5="",0,SUMIF('DADOS BRUTOS'!$A$3:$A$500,$C5,'DADOS BRUTOS'!ER$3:ER$500)))</f>
        <v/>
      </c>
      <c r="HS5" s="132">
        <f>IF(OR(HS$4="",$B5=""),0,SUMIF('DADOS BRUTOS'!$A$3:$A$500,$B5,'DADOS BRUTOS'!ES$3:ES$500)+IF($C5="",0,SUMIF('DADOS BRUTOS'!$A$3:$A$500,$C5,'DADOS BRUTOS'!ES$3:ES$500)))</f>
        <v/>
      </c>
      <c r="HT5" s="132">
        <f>IF(OR(HT$4="",$B5=""),0,SUMIF('DADOS BRUTOS'!$A$3:$A$500,$B5,'DADOS BRUTOS'!ET$3:ET$500)+IF($C5="",0,SUMIF('DADOS BRUTOS'!$A$3:$A$500,$C5,'DADOS BRUTOS'!ET$3:ET$500)))</f>
        <v/>
      </c>
      <c r="HU5" s="132">
        <f>IF(OR(HU$4="",$B5=""),0,SUMIF('DADOS BRUTOS'!$A$3:$A$500,$B5,'DADOS BRUTOS'!EU$3:EU$500)+IF($C5="",0,SUMIF('DADOS BRUTOS'!$A$3:$A$500,$C5,'DADOS BRUTOS'!EU$3:EU$500)))</f>
        <v/>
      </c>
      <c r="HV5" s="132">
        <f>IF(OR(HV$4="",$B5=""),0,SUMIF('DADOS BRUTOS'!$A$3:$A$500,$B5,'DADOS BRUTOS'!EV$3:EV$500)+IF($C5="",0,SUMIF('DADOS BRUTOS'!$A$3:$A$500,$C5,'DADOS BRUTOS'!EV$3:EV$500)))</f>
        <v/>
      </c>
      <c r="HW5" s="132">
        <f>IF(OR(HW$4="",$B5=""),0,SUMIF('DADOS BRUTOS'!$A$3:$A$500,$B5,'DADOS BRUTOS'!EW$3:EW$500)+IF($C5="",0,SUMIF('DADOS BRUTOS'!$A$3:$A$500,$C5,'DADOS BRUTOS'!EW$3:EW$500)))</f>
        <v/>
      </c>
      <c r="HX5" s="132">
        <f>IF(OR(HX$4="",$B5=""),0,SUMIF('DADOS BRUTOS'!$A$3:$A$500,$B5,'DADOS BRUTOS'!EX$3:EX$500)+IF($C5="",0,SUMIF('DADOS BRUTOS'!$A$3:$A$500,$C5,'DADOS BRUTOS'!EX$3:EX$500)))</f>
        <v/>
      </c>
      <c r="HY5" s="132">
        <f>IF(OR(HY$4="",$B5=""),0,SUMIF('DADOS BRUTOS'!$A$3:$A$500,$B5,'DADOS BRUTOS'!EY$3:EY$500)+IF($C5="",0,SUMIF('DADOS BRUTOS'!$A$3:$A$500,$C5,'DADOS BRUTOS'!EY$3:EY$500)))</f>
        <v/>
      </c>
      <c r="HZ5" s="132">
        <f>IF(OR(HZ$4="",$B5=""),0,SUMIF('DADOS BRUTOS'!$A$3:$A$500,$B5,'DADOS BRUTOS'!EZ$3:EZ$500)+IF($C5="",0,SUMIF('DADOS BRUTOS'!$A$3:$A$500,$C5,'DADOS BRUTOS'!EZ$3:EZ$500)))</f>
        <v/>
      </c>
      <c r="IA5" s="132">
        <f>IF(OR(IA$4="",$B5=""),0,SUMIF('DADOS BRUTOS'!$A$3:$A$500,$B5,'DADOS BRUTOS'!FA$3:FA$500)+IF($C5="",0,SUMIF('DADOS BRUTOS'!$A$3:$A$500,$C5,'DADOS BRUTOS'!FA$3:FA$500)))</f>
        <v/>
      </c>
      <c r="IB5" s="132">
        <f>IF(OR(IB$4="",$B5=""),0,SUMIF('DADOS BRUTOS'!$A$3:$A$500,$B5,'DADOS BRUTOS'!FB$3:FB$500)+IF($C5="",0,SUMIF('DADOS BRUTOS'!$A$3:$A$500,$C5,'DADOS BRUTOS'!FB$3:FB$500)))</f>
        <v/>
      </c>
      <c r="IC5" s="132">
        <f>IF(OR(IC$4="",$B5=""),0,SUMIF('DADOS BRUTOS'!$A$3:$A$500,$B5,'DADOS BRUTOS'!FC$3:FC$500)+IF($C5="",0,SUMIF('DADOS BRUTOS'!$A$3:$A$500,$C5,'DADOS BRUTOS'!FC$3:FC$500)))</f>
        <v/>
      </c>
      <c r="ID5" s="132">
        <f>IF(OR(ID$4="",$B5=""),0,SUMIF('DADOS BRUTOS'!$A$3:$A$500,$B5,'DADOS BRUTOS'!FD$3:FD$500)+IF($C5="",0,SUMIF('DADOS BRUTOS'!$A$3:$A$500,$C5,'DADOS BRUTOS'!FD$3:FD$500)))</f>
        <v/>
      </c>
      <c r="IE5" s="132">
        <f>IF(OR(IE$4="",$B5=""),0,SUMIF('DADOS BRUTOS'!$A$3:$A$500,$B5,'DADOS BRUTOS'!FE$3:FE$500)+IF($C5="",0,SUMIF('DADOS BRUTOS'!$A$3:$A$500,$C5,'DADOS BRUTOS'!FE$3:FE$500)))</f>
        <v/>
      </c>
      <c r="IF5" s="132">
        <f>IF(OR(IF$4="",$B5=""),0,SUMIF('DADOS BRUTOS'!$A$3:$A$500,$B5,'DADOS BRUTOS'!FF$3:FF$500)+IF($C5="",0,SUMIF('DADOS BRUTOS'!$A$3:$A$500,$C5,'DADOS BRUTOS'!FF$3:FF$500)))</f>
        <v/>
      </c>
      <c r="IG5" s="132">
        <f>IF(OR(IG$4="",$B5=""),0,SUMIF('DADOS BRUTOS'!$A$3:$A$500,$B5,'DADOS BRUTOS'!FG$3:FG$500)+IF($C5="",0,SUMIF('DADOS BRUTOS'!$A$3:$A$500,$C5,'DADOS BRUTOS'!FG$3:FG$500)))</f>
        <v/>
      </c>
      <c r="IH5" s="132">
        <f>IF(OR(IH$4="",$B5=""),0,SUMIF('DADOS BRUTOS'!$A$3:$A$500,$B5,'DADOS BRUTOS'!FH$3:FH$500)+IF($C5="",0,SUMIF('DADOS BRUTOS'!$A$3:$A$500,$C5,'DADOS BRUTOS'!FH$3:FH$500)))</f>
        <v/>
      </c>
      <c r="II5" s="132">
        <f>IF(OR(II$4="",$B5=""),0,SUMIF('DADOS BRUTOS'!$A$3:$A$500,$B5,'DADOS BRUTOS'!FI$3:FI$500)+IF($C5="",0,SUMIF('DADOS BRUTOS'!$A$3:$A$500,$C5,'DADOS BRUTOS'!FI$3:FI$500)))</f>
        <v/>
      </c>
      <c r="IJ5" s="132">
        <f>IF(OR(IJ$4="",$B5=""),0,SUMIF('DADOS BRUTOS'!$A$3:$A$500,$B5,'DADOS BRUTOS'!FJ$3:FJ$500)+IF($C5="",0,SUMIF('DADOS BRUTOS'!$A$3:$A$500,$C5,'DADOS BRUTOS'!FJ$3:FJ$500)))</f>
        <v/>
      </c>
      <c r="IK5" s="132">
        <f>IF(OR(IK$4="",$B5=""),0,SUMIF('DADOS BRUTOS'!$A$3:$A$500,$B5,'DADOS BRUTOS'!FK$3:FK$500)+IF($C5="",0,SUMIF('DADOS BRUTOS'!$A$3:$A$500,$C5,'DADOS BRUTOS'!FK$3:FK$500)))</f>
        <v/>
      </c>
      <c r="IL5" s="132">
        <f>IF(OR(IL$4="",$B5=""),0,SUMIF('DADOS BRUTOS'!$A$3:$A$500,$B5,'DADOS BRUTOS'!FL$3:FL$500)+IF($C5="",0,SUMIF('DADOS BRUTOS'!$A$3:$A$500,$C5,'DADOS BRUTOS'!FL$3:FL$500)))</f>
        <v/>
      </c>
      <c r="IM5" s="132">
        <f>IF(OR(IM$4="",$B5=""),0,SUMIF('DADOS BRUTOS'!$A$3:$A$500,$B5,'DADOS BRUTOS'!FM$3:FM$500)+IF($C5="",0,SUMIF('DADOS BRUTOS'!$A$3:$A$500,$C5,'DADOS BRUTOS'!FM$3:FM$500)))</f>
        <v/>
      </c>
      <c r="IN5" s="132">
        <f>IF(OR(IN$4="",$B5=""),0,SUMIF('DADOS BRUTOS'!$A$3:$A$500,$B5,'DADOS BRUTOS'!FN$3:FN$500)+IF($C5="",0,SUMIF('DADOS BRUTOS'!$A$3:$A$500,$C5,'DADOS BRUTOS'!FN$3:FN$500)))</f>
        <v/>
      </c>
      <c r="IO5" s="132">
        <f>IF(OR(IO$4="",$B5=""),0,SUMIF('DADOS BRUTOS'!$A$3:$A$500,$B5,'DADOS BRUTOS'!FO$3:FO$500)+IF($C5="",0,SUMIF('DADOS BRUTOS'!$A$3:$A$500,$C5,'DADOS BRUTOS'!FO$3:FO$500)))</f>
        <v/>
      </c>
      <c r="IP5" s="132">
        <f>IF(OR(IP$4="",$B5=""),0,SUMIF('DADOS BRUTOS'!$A$3:$A$500,$B5,'DADOS BRUTOS'!FP$3:FP$500)+IF($C5="",0,SUMIF('DADOS BRUTOS'!$A$3:$A$500,$C5,'DADOS BRUTOS'!FP$3:FP$500)))</f>
        <v/>
      </c>
      <c r="IQ5" s="132">
        <f>IF(OR(IQ$4="",$B5=""),0,SUMIF('DADOS BRUTOS'!$A$3:$A$500,$B5,'DADOS BRUTOS'!FQ$3:FQ$500)+IF($C5="",0,SUMIF('DADOS BRUTOS'!$A$3:$A$500,$C5,'DADOS BRUTOS'!FQ$3:FQ$500)))</f>
        <v/>
      </c>
      <c r="IR5" s="132">
        <f>IF(OR(IR$4="",$B5=""),0,SUMIF('DADOS BRUTOS'!$A$3:$A$500,$B5,'DADOS BRUTOS'!FR$3:FR$500)+IF($C5="",0,SUMIF('DADOS BRUTOS'!$A$3:$A$500,$C5,'DADOS BRUTOS'!FR$3:FR$500)))</f>
        <v/>
      </c>
      <c r="IS5" s="132">
        <f>IF(OR(IS$4="",$B5=""),0,SUMIF('DADOS BRUTOS'!$A$3:$A$500,$B5,'DADOS BRUTOS'!FS$3:FS$500)+IF($C5="",0,SUMIF('DADOS BRUTOS'!$A$3:$A$500,$C5,'DADOS BRUTOS'!FS$3:FS$500)))</f>
        <v/>
      </c>
      <c r="IT5" s="132">
        <f>IF(OR(IT$4="",$B5=""),0,SUMIF('DADOS BRUTOS'!$A$3:$A$500,$B5,'DADOS BRUTOS'!FT$3:FT$500)+IF($C5="",0,SUMIF('DADOS BRUTOS'!$A$3:$A$500,$C5,'DADOS BRUTOS'!FT$3:FT$500)))</f>
        <v/>
      </c>
      <c r="IU5" s="132">
        <f>IF(OR(IU$4="",$B5=""),0,SUMIF('DADOS BRUTOS'!$A$3:$A$500,$B5,'DADOS BRUTOS'!FU$3:FU$500)+IF($C5="",0,SUMIF('DADOS BRUTOS'!$A$3:$A$500,$C5,'DADOS BRUTOS'!FU$3:FU$500)))</f>
        <v/>
      </c>
      <c r="IV5" s="132">
        <f>IF(OR(IV$4="",$B5=""),0,SUMIF('DADOS BRUTOS'!$A$3:$A$500,$B5,'DADOS BRUTOS'!FV$3:FV$500)+IF($C5="",0,SUMIF('DADOS BRUTOS'!$A$3:$A$500,$C5,'DADOS BRUTOS'!FV$3:FV$500)))</f>
        <v/>
      </c>
      <c r="IW5" s="132">
        <f>IF(OR(IW$4="",$B5=""),0,SUMIF('DADOS BRUTOS'!$A$3:$A$500,$B5,'DADOS BRUTOS'!FW$3:FW$500)+IF($C5="",0,SUMIF('DADOS BRUTOS'!$A$3:$A$500,$C5,'DADOS BRUTOS'!FW$3:FW$500)))</f>
        <v/>
      </c>
      <c r="IX5" s="132">
        <f>IF(OR(IX$4="",$B5=""),0,SUMIF('DADOS BRUTOS'!$A$3:$A$500,$B5,'DADOS BRUTOS'!FX$3:FX$500)+IF($C5="",0,SUMIF('DADOS BRUTOS'!$A$3:$A$500,$C5,'DADOS BRUTOS'!FX$3:FX$500)))</f>
        <v/>
      </c>
      <c r="IY5" s="132">
        <f>IF(OR(IY$4="",$B5=""),0,SUMIF('DADOS BRUTOS'!$A$3:$A$500,$B5,'DADOS BRUTOS'!FY$3:FY$500)+IF($C5="",0,SUMIF('DADOS BRUTOS'!$A$3:$A$500,$C5,'DADOS BRUTOS'!FY$3:FY$500)))</f>
        <v/>
      </c>
      <c r="IZ5" s="132">
        <f>IF(OR(IZ$4="",$B5=""),0,SUMIF('DADOS BRUTOS'!$A$3:$A$500,$B5,'DADOS BRUTOS'!FZ$3:FZ$500)+IF($C5="",0,SUMIF('DADOS BRUTOS'!$A$3:$A$500,$C5,'DADOS BRUTOS'!FZ$3:FZ$500)))</f>
        <v/>
      </c>
      <c r="JA5" s="132">
        <f>IF(OR(JA$4="",$B5=""),0,SUMIF('DADOS BRUTOS'!$A$3:$A$500,$B5,'DADOS BRUTOS'!GA$3:GA$500)+IF($C5="",0,SUMIF('DADOS BRUTOS'!$A$3:$A$500,$C5,'DADOS BRUTOS'!GA$3:GA$500)))</f>
        <v/>
      </c>
      <c r="JB5" s="132">
        <f>IF(OR(JB$4="",$B5=""),0,SUMIF('DADOS BRUTOS'!$A$3:$A$500,$B5,'DADOS BRUTOS'!GB$3:GB$500)+IF($C5="",0,SUMIF('DADOS BRUTOS'!$A$3:$A$500,$C5,'DADOS BRUTOS'!GB$3:GB$500)))</f>
        <v/>
      </c>
      <c r="JC5" s="132">
        <f>IF(OR(JC$4="",$B5=""),0,SUMIF('DADOS BRUTOS'!$A$3:$A$500,$B5,'DADOS BRUTOS'!GC$3:GC$500)+IF($C5="",0,SUMIF('DADOS BRUTOS'!$A$3:$A$500,$C5,'DADOS BRUTOS'!GC$3:GC$500)))</f>
        <v/>
      </c>
      <c r="JD5" s="132">
        <f>IF(OR(JD$4="",$B5=""),0,SUMIF('DADOS BRUTOS'!$A$3:$A$500,$B5,'DADOS BRUTOS'!GD$3:GD$500)+IF($C5="",0,SUMIF('DADOS BRUTOS'!$A$3:$A$500,$C5,'DADOS BRUTOS'!GD$3:GD$500)))</f>
        <v/>
      </c>
      <c r="JE5" s="132">
        <f>IF(OR(JE$4="",$B5=""),0,SUMIF('DADOS BRUTOS'!$A$3:$A$500,$B5,'DADOS BRUTOS'!GE$3:GE$500)+IF($C5="",0,SUMIF('DADOS BRUTOS'!$A$3:$A$500,$C5,'DADOS BRUTOS'!GE$3:GE$500)))</f>
        <v/>
      </c>
      <c r="JF5" s="132">
        <f>IF(OR(JF$4="",$B5=""),0,SUMIF('DADOS BRUTOS'!$A$3:$A$500,$B5,'DADOS BRUTOS'!GF$3:GF$500)+IF($C5="",0,SUMIF('DADOS BRUTOS'!$A$3:$A$500,$C5,'DADOS BRUTOS'!GF$3:GF$500)))</f>
        <v/>
      </c>
      <c r="JG5" s="132">
        <f>IF(OR(JG$4="",$B5=""),0,SUMIF('DADOS BRUTOS'!$A$3:$A$500,$B5,'DADOS BRUTOS'!GG$3:GG$500)+IF($C5="",0,SUMIF('DADOS BRUTOS'!$A$3:$A$500,$C5,'DADOS BRUTOS'!GG$3:GG$500)))</f>
        <v/>
      </c>
      <c r="JH5" s="132">
        <f>IF(OR(JH$4="",$B5=""),0,SUMIF('DADOS BRUTOS'!$A$3:$A$500,$B5,'DADOS BRUTOS'!GH$3:GH$500)+IF($C5="",0,SUMIF('DADOS BRUTOS'!$A$3:$A$500,$C5,'DADOS BRUTOS'!GH$3:GH$500)))</f>
        <v/>
      </c>
      <c r="JI5" s="132">
        <f>IF(OR(JI$4="",$B5=""),0,SUMIF('DADOS BRUTOS'!$A$3:$A$500,$B5,'DADOS BRUTOS'!GI$3:GI$500)+IF($C5="",0,SUMIF('DADOS BRUTOS'!$A$3:$A$500,$C5,'DADOS BRUTOS'!GI$3:GI$500)))</f>
        <v/>
      </c>
      <c r="JJ5" s="132">
        <f>IF(OR(JJ$4="",$B5=""),0,SUMIF('DADOS BRUTOS'!$A$3:$A$500,$B5,'DADOS BRUTOS'!GJ$3:GJ$500)+IF($C5="",0,SUMIF('DADOS BRUTOS'!$A$3:$A$500,$C5,'DADOS BRUTOS'!GJ$3:GJ$500)))</f>
        <v/>
      </c>
      <c r="JK5" s="132">
        <f>IF(OR(JK$4="",$B5=""),0,SUMIF('DADOS BRUTOS'!$A$3:$A$500,$B5,'DADOS BRUTOS'!GK$3:GK$500)+IF($C5="",0,SUMIF('DADOS BRUTOS'!$A$3:$A$500,$C5,'DADOS BRUTOS'!GK$3:GK$500)))</f>
        <v/>
      </c>
      <c r="JL5" s="132">
        <f>IF(OR(JL$4="",$B5=""),0,SUMIF('DADOS BRUTOS'!$A$3:$A$500,$B5,'DADOS BRUTOS'!GL$3:GL$500)+IF($C5="",0,SUMIF('DADOS BRUTOS'!$A$3:$A$500,$C5,'DADOS BRUTOS'!GL$3:GL$500)))</f>
        <v/>
      </c>
      <c r="JM5" s="132">
        <f>IF(OR(JM$4="",$B5=""),0,SUMIF('DADOS BRUTOS'!$A$3:$A$500,$B5,'DADOS BRUTOS'!GM$3:GM$500)+IF($C5="",0,SUMIF('DADOS BRUTOS'!$A$3:$A$500,$C5,'DADOS BRUTOS'!GM$3:GM$500)))</f>
        <v/>
      </c>
      <c r="JN5" s="132">
        <f>IF(OR(JN$4="",$B5=""),0,SUMIF('DADOS BRUTOS'!$A$3:$A$500,$B5,'DADOS BRUTOS'!GN$3:GN$500)+IF($C5="",0,SUMIF('DADOS BRUTOS'!$A$3:$A$500,$C5,'DADOS BRUTOS'!GN$3:GN$500)))</f>
        <v/>
      </c>
      <c r="JO5" s="132">
        <f>IF(OR(JO$4="",$B5=""),0,SUMIF('DADOS BRUTOS'!$A$3:$A$500,$B5,'DADOS BRUTOS'!GO$3:GO$500)+IF($C5="",0,SUMIF('DADOS BRUTOS'!$A$3:$A$500,$C5,'DADOS BRUTOS'!GO$3:GO$500)))</f>
        <v/>
      </c>
      <c r="JP5" s="132">
        <f>IF(OR(JP$4="",$B5=""),0,SUMIF('DADOS BRUTOS'!$A$3:$A$500,$B5,'DADOS BRUTOS'!GP$3:GP$500)+IF($C5="",0,SUMIF('DADOS BRUTOS'!$A$3:$A$500,$C5,'DADOS BRUTOS'!GP$3:GP$500)))</f>
        <v/>
      </c>
      <c r="JQ5" s="132">
        <f>IF(OR(JQ$4="",$B5=""),0,SUMIF('DADOS BRUTOS'!$A$3:$A$500,$B5,'DADOS BRUTOS'!GQ$3:GQ$500)+IF($C5="",0,SUMIF('DADOS BRUTOS'!$A$3:$A$500,$C5,'DADOS BRUTOS'!GQ$3:GQ$500)))</f>
        <v/>
      </c>
      <c r="JR5" s="132">
        <f>IF(OR(JR$4="",$B5=""),0,SUMIF('DADOS BRUTOS'!$A$3:$A$500,$B5,'DADOS BRUTOS'!GR$3:GR$500)+IF($C5="",0,SUMIF('DADOS BRUTOS'!$A$3:$A$500,$C5,'DADOS BRUTOS'!GR$3:GR$500)))</f>
        <v/>
      </c>
      <c r="JS5" s="132">
        <f>IF(OR(JS$4="",$B5=""),0,SUMIF('DADOS BRUTOS'!$A$3:$A$500,$B5,'DADOS BRUTOS'!GS$3:GS$500)+IF($C5="",0,SUMIF('DADOS BRUTOS'!$A$3:$A$500,$C5,'DADOS BRUTOS'!GS$3:GS$500)))</f>
        <v/>
      </c>
    </row>
    <row r="6">
      <c r="A6" s="61">
        <f>'VALOR POR PL'!D12</f>
        <v/>
      </c>
      <c r="B6" s="59" t="inlineStr">
        <is>
          <t>SEGUROS</t>
        </is>
      </c>
      <c r="C6" s="59" t="n"/>
      <c r="D6" s="54">
        <f>SUMIF($CB$4:$JS$4,"&lt;="&amp;D$4,$CB6:$JS6)</f>
        <v/>
      </c>
      <c r="E6" s="54">
        <f>SUMIF($CB$4:$JS$4,E$4,$CB6:$JS6)</f>
        <v/>
      </c>
      <c r="F6" s="54">
        <f>SUMIF($CB$4:$JS$4,F$4,$CB6:$JS6)</f>
        <v/>
      </c>
      <c r="G6" s="54">
        <f>SUMIF($CB$4:$JS$4,G$4,$CB6:$JS6)</f>
        <v/>
      </c>
      <c r="H6" s="54">
        <f>SUMIF($CB$4:$JS$4,H$4,$CB6:$JS6)</f>
        <v/>
      </c>
      <c r="I6" s="54">
        <f>SUMIF($CB$4:$JS$4,I$4,$CB6:$JS6)</f>
        <v/>
      </c>
      <c r="J6" s="54">
        <f>SUMIF($CB$4:$JS$4,J$4,$CB6:$JS6)</f>
        <v/>
      </c>
      <c r="K6" s="54">
        <f>SUMIF($CB$4:$JS$4,K$4,$CB6:$JS6)</f>
        <v/>
      </c>
      <c r="L6" s="54">
        <f>SUMIF($CB$4:$JS$4,L$4,$CB6:$JS6)</f>
        <v/>
      </c>
      <c r="M6" s="54">
        <f>SUMIF($CB$4:$JS$4,M$4,$CB6:$JS6)</f>
        <v/>
      </c>
      <c r="N6" s="54">
        <f>SUMIF($CB$4:$JS$4,N$4,$CB6:$JS6)</f>
        <v/>
      </c>
      <c r="O6" s="54">
        <f>SUMIF($CB$4:$JS$4,O$4,$CB6:$JS6)</f>
        <v/>
      </c>
      <c r="P6" s="54">
        <f>SUMIF($CB$4:$JS$4,P$4,$CB6:$JS6)</f>
        <v/>
      </c>
      <c r="Q6" s="54">
        <f>SUMIF($CB$4:$JS$4,Q$4,$CB6:$JS6)</f>
        <v/>
      </c>
      <c r="R6" s="54">
        <f>SUMIF($CB$4:$JS$4,R$4,$CB6:$JS6)</f>
        <v/>
      </c>
      <c r="S6" s="54">
        <f>SUMIF($CB$4:$JS$4,S$4,$CB6:$JS6)</f>
        <v/>
      </c>
      <c r="T6" s="54">
        <f>SUMIF($CB$4:$JS$4,T$4,$CB6:$JS6)</f>
        <v/>
      </c>
      <c r="U6" s="54">
        <f>SUMIF($CB$4:$JS$4,U$4,$CB6:$JS6)</f>
        <v/>
      </c>
      <c r="V6" s="54">
        <f>SUMIF($CB$4:$JS$4,V$4,$CB6:$JS6)</f>
        <v/>
      </c>
      <c r="W6" s="54">
        <f>SUMIF($CB$4:$JS$4,W$4,$CB6:$JS6)</f>
        <v/>
      </c>
      <c r="X6" s="54">
        <f>SUMIF($CB$4:$JS$4,X$4,$CB6:$JS6)</f>
        <v/>
      </c>
      <c r="Y6" s="54">
        <f>SUMIF($CB$4:$JS$4,Y$4,$CB6:$JS6)</f>
        <v/>
      </c>
      <c r="Z6" s="54">
        <f>SUMIF($CB$4:$JS$4,Z$4,$CB6:$JS6)</f>
        <v/>
      </c>
      <c r="AA6" s="54">
        <f>SUMIF($CB$4:$JS$4,AA$4,$CB6:$JS6)</f>
        <v/>
      </c>
      <c r="AB6" s="54">
        <f>SUMIF($CB$4:$JS$4,AB$4,$CB6:$JS6)</f>
        <v/>
      </c>
      <c r="AC6" s="54">
        <f>SUMIF($CB$4:$JS$4,AC$4,$CB6:$JS6)</f>
        <v/>
      </c>
      <c r="AD6" s="54">
        <f>SUMIF($CB$4:$JS$4,AD$4,$CB6:$JS6)</f>
        <v/>
      </c>
      <c r="AE6" s="54">
        <f>SUMIF($CB$4:$JS$4,AE$4,$CB6:$JS6)</f>
        <v/>
      </c>
      <c r="AF6" s="54">
        <f>SUMIF($CB$4:$JS$4,AF$4,$CB6:$JS6)</f>
        <v/>
      </c>
      <c r="AG6" s="54">
        <f>SUMIF($CB$4:$JS$4,AG$4,$CB6:$JS6)</f>
        <v/>
      </c>
      <c r="AH6" s="54">
        <f>SUMIF($CB$4:$JS$4,AH$4,$CB6:$JS6)</f>
        <v/>
      </c>
      <c r="AI6" s="54">
        <f>SUMIF($CB$4:$JS$4,AI$4,$CB6:$JS6)</f>
        <v/>
      </c>
      <c r="AJ6" s="54">
        <f>SUMIF($CB$4:$JS$4,AJ$4,$CB6:$JS6)</f>
        <v/>
      </c>
      <c r="AK6" s="54">
        <f>SUMIF($CB$4:$JS$4,AK$4,$CB6:$JS6)</f>
        <v/>
      </c>
      <c r="AL6" s="54">
        <f>SUMIF($CB$4:$JS$4,AL$4,$CB6:$JS6)</f>
        <v/>
      </c>
      <c r="AM6" s="54">
        <f>SUMIF($CB$4:$JS$4,AM$4,$CB6:$JS6)</f>
        <v/>
      </c>
      <c r="AN6" s="54">
        <f>SUMIF($CB$4:$JS$4,AN$4,$CB6:$JS6)</f>
        <v/>
      </c>
      <c r="AO6" s="54">
        <f>SUMIF($CB$4:$JS$4,AO$4,$CB6:$JS6)</f>
        <v/>
      </c>
      <c r="AP6" s="54">
        <f>SUMIF($CB$4:$JS$4,AP$4,$CB6:$JS6)</f>
        <v/>
      </c>
      <c r="AQ6" s="54">
        <f>SUMIF($CB$4:$JS$4,AQ$4,$CB6:$JS6)</f>
        <v/>
      </c>
      <c r="AR6" s="54">
        <f>SUMIF($CB$4:$JS$4,AR$4,$CB6:$JS6)</f>
        <v/>
      </c>
      <c r="AS6" s="54">
        <f>SUMIF($CB$4:$JS$4,AS$4,$CB6:$JS6)</f>
        <v/>
      </c>
      <c r="AT6" s="54">
        <f>SUMIF($CB$4:$JS$4,AT$4,$CB6:$JS6)</f>
        <v/>
      </c>
      <c r="AU6" s="54">
        <f>SUMIF($CB$4:$JS$4,AU$4,$CB6:$JS6)</f>
        <v/>
      </c>
      <c r="AV6" s="54">
        <f>SUMIF($CB$4:$JS$4,AV$4,$CB6:$JS6)</f>
        <v/>
      </c>
      <c r="AW6" s="54">
        <f>SUMIF($CB$4:$JS$4,AW$4,$CB6:$JS6)</f>
        <v/>
      </c>
      <c r="AX6" s="54">
        <f>SUMIF($CB$4:$JS$4,AX$4,$CB6:$JS6)</f>
        <v/>
      </c>
      <c r="AY6" s="54">
        <f>SUMIF($CB$4:$JS$4,AY$4,$CB6:$JS6)</f>
        <v/>
      </c>
      <c r="AZ6" s="54">
        <f>SUMIF($CB$4:$JS$4,AZ$4,$CB6:$JS6)</f>
        <v/>
      </c>
      <c r="BA6" s="54">
        <f>SUMIF($CB$4:$JS$4,BA$4,$CB6:$JS6)</f>
        <v/>
      </c>
      <c r="BB6" s="54">
        <f>SUMIF($CB$4:$JS$4,BB$4,$CB6:$JS6)</f>
        <v/>
      </c>
      <c r="BC6" s="54">
        <f>SUMIF($CB$4:$JS$4,BC$4,$CB6:$JS6)</f>
        <v/>
      </c>
      <c r="BD6" s="54">
        <f>SUMIF($CB$4:$JS$4,BD$4,$CB6:$JS6)</f>
        <v/>
      </c>
      <c r="BE6" s="54">
        <f>SUMIF($CB$4:$JS$4,BE$4,$CB6:$JS6)</f>
        <v/>
      </c>
      <c r="BF6" s="54">
        <f>SUMIF($CB$4:$JS$4,BF$4,$CB6:$JS6)</f>
        <v/>
      </c>
      <c r="BG6" s="54">
        <f>SUMIF($CB$4:$JS$4,BG$4,$CB6:$JS6)</f>
        <v/>
      </c>
      <c r="BH6" s="54">
        <f>SUMIF($CB$4:$JS$4,BH$4,$CB6:$JS6)</f>
        <v/>
      </c>
      <c r="BI6" s="54">
        <f>SUMIF($CB$4:$JS$4,BI$4,$CB6:$JS6)</f>
        <v/>
      </c>
      <c r="BJ6" s="54">
        <f>SUMIF($CB$4:$JS$4,BJ$4,$CB6:$JS6)</f>
        <v/>
      </c>
      <c r="BK6" s="54">
        <f>SUMIF($CB$4:$JS$4,BK$4,$CB6:$JS6)</f>
        <v/>
      </c>
      <c r="BL6" s="54">
        <f>SUMIF($CB$4:$JS$4,BL$4,$CB6:$JS6)</f>
        <v/>
      </c>
      <c r="BM6" s="54">
        <f>SUMIF($CB$4:$JS$4,BM$4,$CB6:$JS6)</f>
        <v/>
      </c>
      <c r="BN6" s="54">
        <f>SUMIF($CB$4:$JS$4,BN$4,$CB6:$JS6)</f>
        <v/>
      </c>
      <c r="BO6" s="54">
        <f>SUMIF($CB$4:$JS$4,BO$4,$CB6:$JS6)</f>
        <v/>
      </c>
      <c r="BP6" s="54">
        <f>SUMIF($CB$4:$JS$4,BP$4,$CB6:$JS6)</f>
        <v/>
      </c>
      <c r="BQ6" s="54">
        <f>SUMIF($CB$4:$JS$4,BQ$4,$CB6:$JS6)</f>
        <v/>
      </c>
      <c r="BR6" s="54">
        <f>SUMIF($CB$4:$JS$4,BR$4,$CB6:$JS6)</f>
        <v/>
      </c>
      <c r="BS6" s="54">
        <f>SUMIF($CB$4:$JS$4,BS$4,$CB6:$JS6)</f>
        <v/>
      </c>
      <c r="BT6" s="54">
        <f>SUMIF($CB$4:$JS$4,BT$4,$CB6:$JS6)</f>
        <v/>
      </c>
      <c r="BU6" s="54">
        <f>SUMIF($CB$4:$JS$4,BU$4,$CB6:$JS6)</f>
        <v/>
      </c>
      <c r="BV6" s="54">
        <f>SUMIF($CB$4:$JS$4,BV$4,$CB6:$JS6)</f>
        <v/>
      </c>
      <c r="BW6" s="54">
        <f>SUMIF($CB$4:$JS$4,BW$4,$CB6:$JS6)</f>
        <v/>
      </c>
      <c r="BX6" s="54">
        <f>SUMIF($CB$4:$JS$4,"&gt;"&amp;'VALOR POR PL'!$P$8,$CB6:$JS6)</f>
        <v/>
      </c>
      <c r="BY6" s="54">
        <f>SUM($CB6:$JS6)</f>
        <v/>
      </c>
      <c r="BZ6" s="49">
        <f>SUMPRODUCT(($CB$4:$JS$4&lt;&gt;"")*($CB$4:$JS$4&lt;=$D$4),$CB6:$JS6,$CB$1:$JS$1)</f>
        <v/>
      </c>
      <c r="CB6" s="132">
        <f>IF(OR(CB$4="",$B6=""),0,SUMIF('DADOS BRUTOS'!$A$3:$A$500,$B6,'DADOS BRUTOS'!B$3:B$500)+IF($C6="",0,SUMIF('DADOS BRUTOS'!$A$3:$A$500,$C6,'DADOS BRUTOS'!B$3:B$500)))</f>
        <v/>
      </c>
      <c r="CC6" s="132">
        <f>IF(OR(CC$4="",$B6=""),0,SUMIF('DADOS BRUTOS'!$A$3:$A$500,$B6,'DADOS BRUTOS'!C$3:C$500)+IF($C6="",0,SUMIF('DADOS BRUTOS'!$A$3:$A$500,$C6,'DADOS BRUTOS'!C$3:C$500)))</f>
        <v/>
      </c>
      <c r="CD6" s="132">
        <f>IF(OR(CD$4="",$B6=""),0,SUMIF('DADOS BRUTOS'!$A$3:$A$500,$B6,'DADOS BRUTOS'!D$3:D$500)+IF($C6="",0,SUMIF('DADOS BRUTOS'!$A$3:$A$500,$C6,'DADOS BRUTOS'!D$3:D$500)))</f>
        <v/>
      </c>
      <c r="CE6" s="132">
        <f>IF(OR(CE$4="",$B6=""),0,SUMIF('DADOS BRUTOS'!$A$3:$A$500,$B6,'DADOS BRUTOS'!E$3:E$500)+IF($C6="",0,SUMIF('DADOS BRUTOS'!$A$3:$A$500,$C6,'DADOS BRUTOS'!E$3:E$500)))</f>
        <v/>
      </c>
      <c r="CF6" s="132">
        <f>IF(OR(CF$4="",$B6=""),0,SUMIF('DADOS BRUTOS'!$A$3:$A$500,$B6,'DADOS BRUTOS'!F$3:F$500)+IF($C6="",0,SUMIF('DADOS BRUTOS'!$A$3:$A$500,$C6,'DADOS BRUTOS'!F$3:F$500)))</f>
        <v/>
      </c>
      <c r="CG6" s="132">
        <f>IF(OR(CG$4="",$B6=""),0,SUMIF('DADOS BRUTOS'!$A$3:$A$500,$B6,'DADOS BRUTOS'!G$3:G$500)+IF($C6="",0,SUMIF('DADOS BRUTOS'!$A$3:$A$500,$C6,'DADOS BRUTOS'!G$3:G$500)))</f>
        <v/>
      </c>
      <c r="CH6" s="132">
        <f>IF(OR(CH$4="",$B6=""),0,SUMIF('DADOS BRUTOS'!$A$3:$A$500,$B6,'DADOS BRUTOS'!H$3:H$500)+IF($C6="",0,SUMIF('DADOS BRUTOS'!$A$3:$A$500,$C6,'DADOS BRUTOS'!H$3:H$500)))</f>
        <v/>
      </c>
      <c r="CI6" s="132">
        <f>IF(OR(CI$4="",$B6=""),0,SUMIF('DADOS BRUTOS'!$A$3:$A$500,$B6,'DADOS BRUTOS'!I$3:I$500)+IF($C6="",0,SUMIF('DADOS BRUTOS'!$A$3:$A$500,$C6,'DADOS BRUTOS'!I$3:I$500)))</f>
        <v/>
      </c>
      <c r="CJ6" s="132">
        <f>IF(OR(CJ$4="",$B6=""),0,SUMIF('DADOS BRUTOS'!$A$3:$A$500,$B6,'DADOS BRUTOS'!J$3:J$500)+IF($C6="",0,SUMIF('DADOS BRUTOS'!$A$3:$A$500,$C6,'DADOS BRUTOS'!J$3:J$500)))</f>
        <v/>
      </c>
      <c r="CK6" s="132">
        <f>IF(OR(CK$4="",$B6=""),0,SUMIF('DADOS BRUTOS'!$A$3:$A$500,$B6,'DADOS BRUTOS'!K$3:K$500)+IF($C6="",0,SUMIF('DADOS BRUTOS'!$A$3:$A$500,$C6,'DADOS BRUTOS'!K$3:K$500)))</f>
        <v/>
      </c>
      <c r="CL6" s="132">
        <f>IF(OR(CL$4="",$B6=""),0,SUMIF('DADOS BRUTOS'!$A$3:$A$500,$B6,'DADOS BRUTOS'!L$3:L$500)+IF($C6="",0,SUMIF('DADOS BRUTOS'!$A$3:$A$500,$C6,'DADOS BRUTOS'!L$3:L$500)))</f>
        <v/>
      </c>
      <c r="CM6" s="132">
        <f>IF(OR(CM$4="",$B6=""),0,SUMIF('DADOS BRUTOS'!$A$3:$A$500,$B6,'DADOS BRUTOS'!M$3:M$500)+IF($C6="",0,SUMIF('DADOS BRUTOS'!$A$3:$A$500,$C6,'DADOS BRUTOS'!M$3:M$500)))</f>
        <v/>
      </c>
      <c r="CN6" s="132">
        <f>IF(OR(CN$4="",$B6=""),0,SUMIF('DADOS BRUTOS'!$A$3:$A$500,$B6,'DADOS BRUTOS'!N$3:N$500)+IF($C6="",0,SUMIF('DADOS BRUTOS'!$A$3:$A$500,$C6,'DADOS BRUTOS'!N$3:N$500)))</f>
        <v/>
      </c>
      <c r="CO6" s="132">
        <f>IF(OR(CO$4="",$B6=""),0,SUMIF('DADOS BRUTOS'!$A$3:$A$500,$B6,'DADOS BRUTOS'!O$3:O$500)+IF($C6="",0,SUMIF('DADOS BRUTOS'!$A$3:$A$500,$C6,'DADOS BRUTOS'!O$3:O$500)))</f>
        <v/>
      </c>
      <c r="CP6" s="132">
        <f>IF(OR(CP$4="",$B6=""),0,SUMIF('DADOS BRUTOS'!$A$3:$A$500,$B6,'DADOS BRUTOS'!P$3:P$500)+IF($C6="",0,SUMIF('DADOS BRUTOS'!$A$3:$A$500,$C6,'DADOS BRUTOS'!P$3:P$500)))</f>
        <v/>
      </c>
      <c r="CQ6" s="132">
        <f>IF(OR(CQ$4="",$B6=""),0,SUMIF('DADOS BRUTOS'!$A$3:$A$500,$B6,'DADOS BRUTOS'!Q$3:Q$500)+IF($C6="",0,SUMIF('DADOS BRUTOS'!$A$3:$A$500,$C6,'DADOS BRUTOS'!Q$3:Q$500)))</f>
        <v/>
      </c>
      <c r="CR6" s="132">
        <f>IF(OR(CR$4="",$B6=""),0,SUMIF('DADOS BRUTOS'!$A$3:$A$500,$B6,'DADOS BRUTOS'!R$3:R$500)+IF($C6="",0,SUMIF('DADOS BRUTOS'!$A$3:$A$500,$C6,'DADOS BRUTOS'!R$3:R$500)))</f>
        <v/>
      </c>
      <c r="CS6" s="132">
        <f>IF(OR(CS$4="",$B6=""),0,SUMIF('DADOS BRUTOS'!$A$3:$A$500,$B6,'DADOS BRUTOS'!S$3:S$500)+IF($C6="",0,SUMIF('DADOS BRUTOS'!$A$3:$A$500,$C6,'DADOS BRUTOS'!S$3:S$500)))</f>
        <v/>
      </c>
      <c r="CT6" s="132">
        <f>IF(OR(CT$4="",$B6=""),0,SUMIF('DADOS BRUTOS'!$A$3:$A$500,$B6,'DADOS BRUTOS'!T$3:T$500)+IF($C6="",0,SUMIF('DADOS BRUTOS'!$A$3:$A$500,$C6,'DADOS BRUTOS'!T$3:T$500)))</f>
        <v/>
      </c>
      <c r="CU6" s="132">
        <f>IF(OR(CU$4="",$B6=""),0,SUMIF('DADOS BRUTOS'!$A$3:$A$500,$B6,'DADOS BRUTOS'!U$3:U$500)+IF($C6="",0,SUMIF('DADOS BRUTOS'!$A$3:$A$500,$C6,'DADOS BRUTOS'!U$3:U$500)))</f>
        <v/>
      </c>
      <c r="CV6" s="132">
        <f>IF(OR(CV$4="",$B6=""),0,SUMIF('DADOS BRUTOS'!$A$3:$A$500,$B6,'DADOS BRUTOS'!V$3:V$500)+IF($C6="",0,SUMIF('DADOS BRUTOS'!$A$3:$A$500,$C6,'DADOS BRUTOS'!V$3:V$500)))</f>
        <v/>
      </c>
      <c r="CW6" s="132">
        <f>IF(OR(CW$4="",$B6=""),0,SUMIF('DADOS BRUTOS'!$A$3:$A$500,$B6,'DADOS BRUTOS'!W$3:W$500)+IF($C6="",0,SUMIF('DADOS BRUTOS'!$A$3:$A$500,$C6,'DADOS BRUTOS'!W$3:W$500)))</f>
        <v/>
      </c>
      <c r="CX6" s="132">
        <f>IF(OR(CX$4="",$B6=""),0,SUMIF('DADOS BRUTOS'!$A$3:$A$500,$B6,'DADOS BRUTOS'!X$3:X$500)+IF($C6="",0,SUMIF('DADOS BRUTOS'!$A$3:$A$500,$C6,'DADOS BRUTOS'!X$3:X$500)))</f>
        <v/>
      </c>
      <c r="CY6" s="132">
        <f>IF(OR(CY$4="",$B6=""),0,SUMIF('DADOS BRUTOS'!$A$3:$A$500,$B6,'DADOS BRUTOS'!Y$3:Y$500)+IF($C6="",0,SUMIF('DADOS BRUTOS'!$A$3:$A$500,$C6,'DADOS BRUTOS'!Y$3:Y$500)))</f>
        <v/>
      </c>
      <c r="CZ6" s="132">
        <f>IF(OR(CZ$4="",$B6=""),0,SUMIF('DADOS BRUTOS'!$A$3:$A$500,$B6,'DADOS BRUTOS'!Z$3:Z$500)+IF($C6="",0,SUMIF('DADOS BRUTOS'!$A$3:$A$500,$C6,'DADOS BRUTOS'!Z$3:Z$500)))</f>
        <v/>
      </c>
      <c r="DA6" s="132">
        <f>IF(OR(DA$4="",$B6=""),0,SUMIF('DADOS BRUTOS'!$A$3:$A$500,$B6,'DADOS BRUTOS'!AA$3:AA$500)+IF($C6="",0,SUMIF('DADOS BRUTOS'!$A$3:$A$500,$C6,'DADOS BRUTOS'!AA$3:AA$500)))</f>
        <v/>
      </c>
      <c r="DB6" s="132">
        <f>IF(OR(DB$4="",$B6=""),0,SUMIF('DADOS BRUTOS'!$A$3:$A$500,$B6,'DADOS BRUTOS'!AB$3:AB$500)+IF($C6="",0,SUMIF('DADOS BRUTOS'!$A$3:$A$500,$C6,'DADOS BRUTOS'!AB$3:AB$500)))</f>
        <v/>
      </c>
      <c r="DC6" s="132">
        <f>IF(OR(DC$4="",$B6=""),0,SUMIF('DADOS BRUTOS'!$A$3:$A$500,$B6,'DADOS BRUTOS'!AC$3:AC$500)+IF($C6="",0,SUMIF('DADOS BRUTOS'!$A$3:$A$500,$C6,'DADOS BRUTOS'!AC$3:AC$500)))</f>
        <v/>
      </c>
      <c r="DD6" s="132">
        <f>IF(OR(DD$4="",$B6=""),0,SUMIF('DADOS BRUTOS'!$A$3:$A$500,$B6,'DADOS BRUTOS'!AD$3:AD$500)+IF($C6="",0,SUMIF('DADOS BRUTOS'!$A$3:$A$500,$C6,'DADOS BRUTOS'!AD$3:AD$500)))</f>
        <v/>
      </c>
      <c r="DE6" s="132">
        <f>IF(OR(DE$4="",$B6=""),0,SUMIF('DADOS BRUTOS'!$A$3:$A$500,$B6,'DADOS BRUTOS'!AE$3:AE$500)+IF($C6="",0,SUMIF('DADOS BRUTOS'!$A$3:$A$500,$C6,'DADOS BRUTOS'!AE$3:AE$500)))</f>
        <v/>
      </c>
      <c r="DF6" s="132">
        <f>IF(OR(DF$4="",$B6=""),0,SUMIF('DADOS BRUTOS'!$A$3:$A$500,$B6,'DADOS BRUTOS'!AF$3:AF$500)+IF($C6="",0,SUMIF('DADOS BRUTOS'!$A$3:$A$500,$C6,'DADOS BRUTOS'!AF$3:AF$500)))</f>
        <v/>
      </c>
      <c r="DG6" s="132">
        <f>IF(OR(DG$4="",$B6=""),0,SUMIF('DADOS BRUTOS'!$A$3:$A$500,$B6,'DADOS BRUTOS'!AG$3:AG$500)+IF($C6="",0,SUMIF('DADOS BRUTOS'!$A$3:$A$500,$C6,'DADOS BRUTOS'!AG$3:AG$500)))</f>
        <v/>
      </c>
      <c r="DH6" s="132">
        <f>IF(OR(DH$4="",$B6=""),0,SUMIF('DADOS BRUTOS'!$A$3:$A$500,$B6,'DADOS BRUTOS'!AH$3:AH$500)+IF($C6="",0,SUMIF('DADOS BRUTOS'!$A$3:$A$500,$C6,'DADOS BRUTOS'!AH$3:AH$500)))</f>
        <v/>
      </c>
      <c r="DI6" s="132">
        <f>IF(OR(DI$4="",$B6=""),0,SUMIF('DADOS BRUTOS'!$A$3:$A$500,$B6,'DADOS BRUTOS'!AI$3:AI$500)+IF($C6="",0,SUMIF('DADOS BRUTOS'!$A$3:$A$500,$C6,'DADOS BRUTOS'!AI$3:AI$500)))</f>
        <v/>
      </c>
      <c r="DJ6" s="132">
        <f>IF(OR(DJ$4="",$B6=""),0,SUMIF('DADOS BRUTOS'!$A$3:$A$500,$B6,'DADOS BRUTOS'!AJ$3:AJ$500)+IF($C6="",0,SUMIF('DADOS BRUTOS'!$A$3:$A$500,$C6,'DADOS BRUTOS'!AJ$3:AJ$500)))</f>
        <v/>
      </c>
      <c r="DK6" s="132">
        <f>IF(OR(DK$4="",$B6=""),0,SUMIF('DADOS BRUTOS'!$A$3:$A$500,$B6,'DADOS BRUTOS'!AK$3:AK$500)+IF($C6="",0,SUMIF('DADOS BRUTOS'!$A$3:$A$500,$C6,'DADOS BRUTOS'!AK$3:AK$500)))</f>
        <v/>
      </c>
      <c r="DL6" s="132">
        <f>IF(OR(DL$4="",$B6=""),0,SUMIF('DADOS BRUTOS'!$A$3:$A$500,$B6,'DADOS BRUTOS'!AL$3:AL$500)+IF($C6="",0,SUMIF('DADOS BRUTOS'!$A$3:$A$500,$C6,'DADOS BRUTOS'!AL$3:AL$500)))</f>
        <v/>
      </c>
      <c r="DM6" s="132">
        <f>IF(OR(DM$4="",$B6=""),0,SUMIF('DADOS BRUTOS'!$A$3:$A$500,$B6,'DADOS BRUTOS'!AM$3:AM$500)+IF($C6="",0,SUMIF('DADOS BRUTOS'!$A$3:$A$500,$C6,'DADOS BRUTOS'!AM$3:AM$500)))</f>
        <v/>
      </c>
      <c r="DN6" s="132">
        <f>IF(OR(DN$4="",$B6=""),0,SUMIF('DADOS BRUTOS'!$A$3:$A$500,$B6,'DADOS BRUTOS'!AN$3:AN$500)+IF($C6="",0,SUMIF('DADOS BRUTOS'!$A$3:$A$500,$C6,'DADOS BRUTOS'!AN$3:AN$500)))</f>
        <v/>
      </c>
      <c r="DO6" s="132">
        <f>IF(OR(DO$4="",$B6=""),0,SUMIF('DADOS BRUTOS'!$A$3:$A$500,$B6,'DADOS BRUTOS'!AO$3:AO$500)+IF($C6="",0,SUMIF('DADOS BRUTOS'!$A$3:$A$500,$C6,'DADOS BRUTOS'!AO$3:AO$500)))</f>
        <v/>
      </c>
      <c r="DP6" s="132">
        <f>IF(OR(DP$4="",$B6=""),0,SUMIF('DADOS BRUTOS'!$A$3:$A$500,$B6,'DADOS BRUTOS'!AP$3:AP$500)+IF($C6="",0,SUMIF('DADOS BRUTOS'!$A$3:$A$500,$C6,'DADOS BRUTOS'!AP$3:AP$500)))</f>
        <v/>
      </c>
      <c r="DQ6" s="132">
        <f>IF(OR(DQ$4="",$B6=""),0,SUMIF('DADOS BRUTOS'!$A$3:$A$500,$B6,'DADOS BRUTOS'!AQ$3:AQ$500)+IF($C6="",0,SUMIF('DADOS BRUTOS'!$A$3:$A$500,$C6,'DADOS BRUTOS'!AQ$3:AQ$500)))</f>
        <v/>
      </c>
      <c r="DR6" s="132">
        <f>IF(OR(DR$4="",$B6=""),0,SUMIF('DADOS BRUTOS'!$A$3:$A$500,$B6,'DADOS BRUTOS'!AR$3:AR$500)+IF($C6="",0,SUMIF('DADOS BRUTOS'!$A$3:$A$500,$C6,'DADOS BRUTOS'!AR$3:AR$500)))</f>
        <v/>
      </c>
      <c r="DS6" s="132">
        <f>IF(OR(DS$4="",$B6=""),0,SUMIF('DADOS BRUTOS'!$A$3:$A$500,$B6,'DADOS BRUTOS'!AS$3:AS$500)+IF($C6="",0,SUMIF('DADOS BRUTOS'!$A$3:$A$500,$C6,'DADOS BRUTOS'!AS$3:AS$500)))</f>
        <v/>
      </c>
      <c r="DT6" s="132">
        <f>IF(OR(DT$4="",$B6=""),0,SUMIF('DADOS BRUTOS'!$A$3:$A$500,$B6,'DADOS BRUTOS'!AT$3:AT$500)+IF($C6="",0,SUMIF('DADOS BRUTOS'!$A$3:$A$500,$C6,'DADOS BRUTOS'!AT$3:AT$500)))</f>
        <v/>
      </c>
      <c r="DU6" s="132">
        <f>IF(OR(DU$4="",$B6=""),0,SUMIF('DADOS BRUTOS'!$A$3:$A$500,$B6,'DADOS BRUTOS'!AU$3:AU$500)+IF($C6="",0,SUMIF('DADOS BRUTOS'!$A$3:$A$500,$C6,'DADOS BRUTOS'!AU$3:AU$500)))</f>
        <v/>
      </c>
      <c r="DV6" s="132">
        <f>IF(OR(DV$4="",$B6=""),0,SUMIF('DADOS BRUTOS'!$A$3:$A$500,$B6,'DADOS BRUTOS'!AV$3:AV$500)+IF($C6="",0,SUMIF('DADOS BRUTOS'!$A$3:$A$500,$C6,'DADOS BRUTOS'!AV$3:AV$500)))</f>
        <v/>
      </c>
      <c r="DW6" s="132">
        <f>IF(OR(DW$4="",$B6=""),0,SUMIF('DADOS BRUTOS'!$A$3:$A$500,$B6,'DADOS BRUTOS'!AW$3:AW$500)+IF($C6="",0,SUMIF('DADOS BRUTOS'!$A$3:$A$500,$C6,'DADOS BRUTOS'!AW$3:AW$500)))</f>
        <v/>
      </c>
      <c r="DX6" s="132">
        <f>IF(OR(DX$4="",$B6=""),0,SUMIF('DADOS BRUTOS'!$A$3:$A$500,$B6,'DADOS BRUTOS'!AX$3:AX$500)+IF($C6="",0,SUMIF('DADOS BRUTOS'!$A$3:$A$500,$C6,'DADOS BRUTOS'!AX$3:AX$500)))</f>
        <v/>
      </c>
      <c r="DY6" s="132">
        <f>IF(OR(DY$4="",$B6=""),0,SUMIF('DADOS BRUTOS'!$A$3:$A$500,$B6,'DADOS BRUTOS'!AY$3:AY$500)+IF($C6="",0,SUMIF('DADOS BRUTOS'!$A$3:$A$500,$C6,'DADOS BRUTOS'!AY$3:AY$500)))</f>
        <v/>
      </c>
      <c r="DZ6" s="132">
        <f>IF(OR(DZ$4="",$B6=""),0,SUMIF('DADOS BRUTOS'!$A$3:$A$500,$B6,'DADOS BRUTOS'!AZ$3:AZ$500)+IF($C6="",0,SUMIF('DADOS BRUTOS'!$A$3:$A$500,$C6,'DADOS BRUTOS'!AZ$3:AZ$500)))</f>
        <v/>
      </c>
      <c r="EA6" s="132">
        <f>IF(OR(EA$4="",$B6=""),0,SUMIF('DADOS BRUTOS'!$A$3:$A$500,$B6,'DADOS BRUTOS'!BA$3:BA$500)+IF($C6="",0,SUMIF('DADOS BRUTOS'!$A$3:$A$500,$C6,'DADOS BRUTOS'!BA$3:BA$500)))</f>
        <v/>
      </c>
      <c r="EB6" s="132">
        <f>IF(OR(EB$4="",$B6=""),0,SUMIF('DADOS BRUTOS'!$A$3:$A$500,$B6,'DADOS BRUTOS'!BB$3:BB$500)+IF($C6="",0,SUMIF('DADOS BRUTOS'!$A$3:$A$500,$C6,'DADOS BRUTOS'!BB$3:BB$500)))</f>
        <v/>
      </c>
      <c r="EC6" s="132">
        <f>IF(OR(EC$4="",$B6=""),0,SUMIF('DADOS BRUTOS'!$A$3:$A$500,$B6,'DADOS BRUTOS'!BC$3:BC$500)+IF($C6="",0,SUMIF('DADOS BRUTOS'!$A$3:$A$500,$C6,'DADOS BRUTOS'!BC$3:BC$500)))</f>
        <v/>
      </c>
      <c r="ED6" s="132">
        <f>IF(OR(ED$4="",$B6=""),0,SUMIF('DADOS BRUTOS'!$A$3:$A$500,$B6,'DADOS BRUTOS'!BD$3:BD$500)+IF($C6="",0,SUMIF('DADOS BRUTOS'!$A$3:$A$500,$C6,'DADOS BRUTOS'!BD$3:BD$500)))</f>
        <v/>
      </c>
      <c r="EE6" s="132">
        <f>IF(OR(EE$4="",$B6=""),0,SUMIF('DADOS BRUTOS'!$A$3:$A$500,$B6,'DADOS BRUTOS'!BE$3:BE$500)+IF($C6="",0,SUMIF('DADOS BRUTOS'!$A$3:$A$500,$C6,'DADOS BRUTOS'!BE$3:BE$500)))</f>
        <v/>
      </c>
      <c r="EF6" s="132">
        <f>IF(OR(EF$4="",$B6=""),0,SUMIF('DADOS BRUTOS'!$A$3:$A$500,$B6,'DADOS BRUTOS'!BF$3:BF$500)+IF($C6="",0,SUMIF('DADOS BRUTOS'!$A$3:$A$500,$C6,'DADOS BRUTOS'!BF$3:BF$500)))</f>
        <v/>
      </c>
      <c r="EG6" s="132">
        <f>IF(OR(EG$4="",$B6=""),0,SUMIF('DADOS BRUTOS'!$A$3:$A$500,$B6,'DADOS BRUTOS'!BG$3:BG$500)+IF($C6="",0,SUMIF('DADOS BRUTOS'!$A$3:$A$500,$C6,'DADOS BRUTOS'!BG$3:BG$500)))</f>
        <v/>
      </c>
      <c r="EH6" s="132">
        <f>IF(OR(EH$4="",$B6=""),0,SUMIF('DADOS BRUTOS'!$A$3:$A$500,$B6,'DADOS BRUTOS'!BH$3:BH$500)+IF($C6="",0,SUMIF('DADOS BRUTOS'!$A$3:$A$500,$C6,'DADOS BRUTOS'!BH$3:BH$500)))</f>
        <v/>
      </c>
      <c r="EI6" s="132">
        <f>IF(OR(EI$4="",$B6=""),0,SUMIF('DADOS BRUTOS'!$A$3:$A$500,$B6,'DADOS BRUTOS'!BI$3:BI$500)+IF($C6="",0,SUMIF('DADOS BRUTOS'!$A$3:$A$500,$C6,'DADOS BRUTOS'!BI$3:BI$500)))</f>
        <v/>
      </c>
      <c r="EJ6" s="132">
        <f>IF(OR(EJ$4="",$B6=""),0,SUMIF('DADOS BRUTOS'!$A$3:$A$500,$B6,'DADOS BRUTOS'!BJ$3:BJ$500)+IF($C6="",0,SUMIF('DADOS BRUTOS'!$A$3:$A$500,$C6,'DADOS BRUTOS'!BJ$3:BJ$500)))</f>
        <v/>
      </c>
      <c r="EK6" s="132">
        <f>IF(OR(EK$4="",$B6=""),0,SUMIF('DADOS BRUTOS'!$A$3:$A$500,$B6,'DADOS BRUTOS'!BK$3:BK$500)+IF($C6="",0,SUMIF('DADOS BRUTOS'!$A$3:$A$500,$C6,'DADOS BRUTOS'!BK$3:BK$500)))</f>
        <v/>
      </c>
      <c r="EL6" s="132">
        <f>IF(OR(EL$4="",$B6=""),0,SUMIF('DADOS BRUTOS'!$A$3:$A$500,$B6,'DADOS BRUTOS'!BL$3:BL$500)+IF($C6="",0,SUMIF('DADOS BRUTOS'!$A$3:$A$500,$C6,'DADOS BRUTOS'!BL$3:BL$500)))</f>
        <v/>
      </c>
      <c r="EM6" s="132">
        <f>IF(OR(EM$4="",$B6=""),0,SUMIF('DADOS BRUTOS'!$A$3:$A$500,$B6,'DADOS BRUTOS'!BM$3:BM$500)+IF($C6="",0,SUMIF('DADOS BRUTOS'!$A$3:$A$500,$C6,'DADOS BRUTOS'!BM$3:BM$500)))</f>
        <v/>
      </c>
      <c r="EN6" s="132">
        <f>IF(OR(EN$4="",$B6=""),0,SUMIF('DADOS BRUTOS'!$A$3:$A$500,$B6,'DADOS BRUTOS'!BN$3:BN$500)+IF($C6="",0,SUMIF('DADOS BRUTOS'!$A$3:$A$500,$C6,'DADOS BRUTOS'!BN$3:BN$500)))</f>
        <v/>
      </c>
      <c r="EO6" s="132">
        <f>IF(OR(EO$4="",$B6=""),0,SUMIF('DADOS BRUTOS'!$A$3:$A$500,$B6,'DADOS BRUTOS'!BO$3:BO$500)+IF($C6="",0,SUMIF('DADOS BRUTOS'!$A$3:$A$500,$C6,'DADOS BRUTOS'!BO$3:BO$500)))</f>
        <v/>
      </c>
      <c r="EP6" s="132">
        <f>IF(OR(EP$4="",$B6=""),0,SUMIF('DADOS BRUTOS'!$A$3:$A$500,$B6,'DADOS BRUTOS'!BP$3:BP$500)+IF($C6="",0,SUMIF('DADOS BRUTOS'!$A$3:$A$500,$C6,'DADOS BRUTOS'!BP$3:BP$500)))</f>
        <v/>
      </c>
      <c r="EQ6" s="132">
        <f>IF(OR(EQ$4="",$B6=""),0,SUMIF('DADOS BRUTOS'!$A$3:$A$500,$B6,'DADOS BRUTOS'!BQ$3:BQ$500)+IF($C6="",0,SUMIF('DADOS BRUTOS'!$A$3:$A$500,$C6,'DADOS BRUTOS'!BQ$3:BQ$500)))</f>
        <v/>
      </c>
      <c r="ER6" s="132">
        <f>IF(OR(ER$4="",$B6=""),0,SUMIF('DADOS BRUTOS'!$A$3:$A$500,$B6,'DADOS BRUTOS'!BR$3:BR$500)+IF($C6="",0,SUMIF('DADOS BRUTOS'!$A$3:$A$500,$C6,'DADOS BRUTOS'!BR$3:BR$500)))</f>
        <v/>
      </c>
      <c r="ES6" s="132">
        <f>IF(OR(ES$4="",$B6=""),0,SUMIF('DADOS BRUTOS'!$A$3:$A$500,$B6,'DADOS BRUTOS'!BS$3:BS$500)+IF($C6="",0,SUMIF('DADOS BRUTOS'!$A$3:$A$500,$C6,'DADOS BRUTOS'!BS$3:BS$500)))</f>
        <v/>
      </c>
      <c r="ET6" s="132">
        <f>IF(OR(ET$4="",$B6=""),0,SUMIF('DADOS BRUTOS'!$A$3:$A$500,$B6,'DADOS BRUTOS'!BT$3:BT$500)+IF($C6="",0,SUMIF('DADOS BRUTOS'!$A$3:$A$500,$C6,'DADOS BRUTOS'!BT$3:BT$500)))</f>
        <v/>
      </c>
      <c r="EU6" s="132">
        <f>IF(OR(EU$4="",$B6=""),0,SUMIF('DADOS BRUTOS'!$A$3:$A$500,$B6,'DADOS BRUTOS'!BU$3:BU$500)+IF($C6="",0,SUMIF('DADOS BRUTOS'!$A$3:$A$500,$C6,'DADOS BRUTOS'!BU$3:BU$500)))</f>
        <v/>
      </c>
      <c r="EV6" s="132">
        <f>IF(OR(EV$4="",$B6=""),0,SUMIF('DADOS BRUTOS'!$A$3:$A$500,$B6,'DADOS BRUTOS'!BV$3:BV$500)+IF($C6="",0,SUMIF('DADOS BRUTOS'!$A$3:$A$500,$C6,'DADOS BRUTOS'!BV$3:BV$500)))</f>
        <v/>
      </c>
      <c r="EW6" s="132">
        <f>IF(OR(EW$4="",$B6=""),0,SUMIF('DADOS BRUTOS'!$A$3:$A$500,$B6,'DADOS BRUTOS'!BW$3:BW$500)+IF($C6="",0,SUMIF('DADOS BRUTOS'!$A$3:$A$500,$C6,'DADOS BRUTOS'!BW$3:BW$500)))</f>
        <v/>
      </c>
      <c r="EX6" s="132">
        <f>IF(OR(EX$4="",$B6=""),0,SUMIF('DADOS BRUTOS'!$A$3:$A$500,$B6,'DADOS BRUTOS'!BX$3:BX$500)+IF($C6="",0,SUMIF('DADOS BRUTOS'!$A$3:$A$500,$C6,'DADOS BRUTOS'!BX$3:BX$500)))</f>
        <v/>
      </c>
      <c r="EY6" s="132">
        <f>IF(OR(EY$4="",$B6=""),0,SUMIF('DADOS BRUTOS'!$A$3:$A$500,$B6,'DADOS BRUTOS'!BY$3:BY$500)+IF($C6="",0,SUMIF('DADOS BRUTOS'!$A$3:$A$500,$C6,'DADOS BRUTOS'!BY$3:BY$500)))</f>
        <v/>
      </c>
      <c r="EZ6" s="132">
        <f>IF(OR(EZ$4="",$B6=""),0,SUMIF('DADOS BRUTOS'!$A$3:$A$500,$B6,'DADOS BRUTOS'!BZ$3:BZ$500)+IF($C6="",0,SUMIF('DADOS BRUTOS'!$A$3:$A$500,$C6,'DADOS BRUTOS'!BZ$3:BZ$500)))</f>
        <v/>
      </c>
      <c r="FA6" s="132">
        <f>IF(OR(FA$4="",$B6=""),0,SUMIF('DADOS BRUTOS'!$A$3:$A$500,$B6,'DADOS BRUTOS'!CA$3:CA$500)+IF($C6="",0,SUMIF('DADOS BRUTOS'!$A$3:$A$500,$C6,'DADOS BRUTOS'!CA$3:CA$500)))</f>
        <v/>
      </c>
      <c r="FB6" s="132">
        <f>IF(OR(FB$4="",$B6=""),0,SUMIF('DADOS BRUTOS'!$A$3:$A$500,$B6,'DADOS BRUTOS'!CB$3:CB$500)+IF($C6="",0,SUMIF('DADOS BRUTOS'!$A$3:$A$500,$C6,'DADOS BRUTOS'!CB$3:CB$500)))</f>
        <v/>
      </c>
      <c r="FC6" s="132">
        <f>IF(OR(FC$4="",$B6=""),0,SUMIF('DADOS BRUTOS'!$A$3:$A$500,$B6,'DADOS BRUTOS'!CC$3:CC$500)+IF($C6="",0,SUMIF('DADOS BRUTOS'!$A$3:$A$500,$C6,'DADOS BRUTOS'!CC$3:CC$500)))</f>
        <v/>
      </c>
      <c r="FD6" s="132">
        <f>IF(OR(FD$4="",$B6=""),0,SUMIF('DADOS BRUTOS'!$A$3:$A$500,$B6,'DADOS BRUTOS'!CD$3:CD$500)+IF($C6="",0,SUMIF('DADOS BRUTOS'!$A$3:$A$500,$C6,'DADOS BRUTOS'!CD$3:CD$500)))</f>
        <v/>
      </c>
      <c r="FE6" s="132">
        <f>IF(OR(FE$4="",$B6=""),0,SUMIF('DADOS BRUTOS'!$A$3:$A$500,$B6,'DADOS BRUTOS'!CE$3:CE$500)+IF($C6="",0,SUMIF('DADOS BRUTOS'!$A$3:$A$500,$C6,'DADOS BRUTOS'!CE$3:CE$500)))</f>
        <v/>
      </c>
      <c r="FF6" s="132">
        <f>IF(OR(FF$4="",$B6=""),0,SUMIF('DADOS BRUTOS'!$A$3:$A$500,$B6,'DADOS BRUTOS'!CF$3:CF$500)+IF($C6="",0,SUMIF('DADOS BRUTOS'!$A$3:$A$500,$C6,'DADOS BRUTOS'!CF$3:CF$500)))</f>
        <v/>
      </c>
      <c r="FG6" s="132">
        <f>IF(OR(FG$4="",$B6=""),0,SUMIF('DADOS BRUTOS'!$A$3:$A$500,$B6,'DADOS BRUTOS'!CG$3:CG$500)+IF($C6="",0,SUMIF('DADOS BRUTOS'!$A$3:$A$500,$C6,'DADOS BRUTOS'!CG$3:CG$500)))</f>
        <v/>
      </c>
      <c r="FH6" s="132">
        <f>IF(OR(FH$4="",$B6=""),0,SUMIF('DADOS BRUTOS'!$A$3:$A$500,$B6,'DADOS BRUTOS'!CH$3:CH$500)+IF($C6="",0,SUMIF('DADOS BRUTOS'!$A$3:$A$500,$C6,'DADOS BRUTOS'!CH$3:CH$500)))</f>
        <v/>
      </c>
      <c r="FI6" s="132">
        <f>IF(OR(FI$4="",$B6=""),0,SUMIF('DADOS BRUTOS'!$A$3:$A$500,$B6,'DADOS BRUTOS'!CI$3:CI$500)+IF($C6="",0,SUMIF('DADOS BRUTOS'!$A$3:$A$500,$C6,'DADOS BRUTOS'!CI$3:CI$500)))</f>
        <v/>
      </c>
      <c r="FJ6" s="132">
        <f>IF(OR(FJ$4="",$B6=""),0,SUMIF('DADOS BRUTOS'!$A$3:$A$500,$B6,'DADOS BRUTOS'!CJ$3:CJ$500)+IF($C6="",0,SUMIF('DADOS BRUTOS'!$A$3:$A$500,$C6,'DADOS BRUTOS'!CJ$3:CJ$500)))</f>
        <v/>
      </c>
      <c r="FK6" s="132">
        <f>IF(OR(FK$4="",$B6=""),0,SUMIF('DADOS BRUTOS'!$A$3:$A$500,$B6,'DADOS BRUTOS'!CK$3:CK$500)+IF($C6="",0,SUMIF('DADOS BRUTOS'!$A$3:$A$500,$C6,'DADOS BRUTOS'!CK$3:CK$500)))</f>
        <v/>
      </c>
      <c r="FL6" s="132">
        <f>IF(OR(FL$4="",$B6=""),0,SUMIF('DADOS BRUTOS'!$A$3:$A$500,$B6,'DADOS BRUTOS'!CL$3:CL$500)+IF($C6="",0,SUMIF('DADOS BRUTOS'!$A$3:$A$500,$C6,'DADOS BRUTOS'!CL$3:CL$500)))</f>
        <v/>
      </c>
      <c r="FM6" s="132">
        <f>IF(OR(FM$4="",$B6=""),0,SUMIF('DADOS BRUTOS'!$A$3:$A$500,$B6,'DADOS BRUTOS'!CM$3:CM$500)+IF($C6="",0,SUMIF('DADOS BRUTOS'!$A$3:$A$500,$C6,'DADOS BRUTOS'!CM$3:CM$500)))</f>
        <v/>
      </c>
      <c r="FN6" s="132">
        <f>IF(OR(FN$4="",$B6=""),0,SUMIF('DADOS BRUTOS'!$A$3:$A$500,$B6,'DADOS BRUTOS'!CN$3:CN$500)+IF($C6="",0,SUMIF('DADOS BRUTOS'!$A$3:$A$500,$C6,'DADOS BRUTOS'!CN$3:CN$500)))</f>
        <v/>
      </c>
      <c r="FO6" s="132">
        <f>IF(OR(FO$4="",$B6=""),0,SUMIF('DADOS BRUTOS'!$A$3:$A$500,$B6,'DADOS BRUTOS'!CO$3:CO$500)+IF($C6="",0,SUMIF('DADOS BRUTOS'!$A$3:$A$500,$C6,'DADOS BRUTOS'!CO$3:CO$500)))</f>
        <v/>
      </c>
      <c r="FP6" s="132">
        <f>IF(OR(FP$4="",$B6=""),0,SUMIF('DADOS BRUTOS'!$A$3:$A$500,$B6,'DADOS BRUTOS'!CP$3:CP$500)+IF($C6="",0,SUMIF('DADOS BRUTOS'!$A$3:$A$500,$C6,'DADOS BRUTOS'!CP$3:CP$500)))</f>
        <v/>
      </c>
      <c r="FQ6" s="132">
        <f>IF(OR(FQ$4="",$B6=""),0,SUMIF('DADOS BRUTOS'!$A$3:$A$500,$B6,'DADOS BRUTOS'!CQ$3:CQ$500)+IF($C6="",0,SUMIF('DADOS BRUTOS'!$A$3:$A$500,$C6,'DADOS BRUTOS'!CQ$3:CQ$500)))</f>
        <v/>
      </c>
      <c r="FR6" s="132">
        <f>IF(OR(FR$4="",$B6=""),0,SUMIF('DADOS BRUTOS'!$A$3:$A$500,$B6,'DADOS BRUTOS'!CR$3:CR$500)+IF($C6="",0,SUMIF('DADOS BRUTOS'!$A$3:$A$500,$C6,'DADOS BRUTOS'!CR$3:CR$500)))</f>
        <v/>
      </c>
      <c r="FS6" s="132">
        <f>IF(OR(FS$4="",$B6=""),0,SUMIF('DADOS BRUTOS'!$A$3:$A$500,$B6,'DADOS BRUTOS'!CS$3:CS$500)+IF($C6="",0,SUMIF('DADOS BRUTOS'!$A$3:$A$500,$C6,'DADOS BRUTOS'!CS$3:CS$500)))</f>
        <v/>
      </c>
      <c r="FT6" s="132">
        <f>IF(OR(FT$4="",$B6=""),0,SUMIF('DADOS BRUTOS'!$A$3:$A$500,$B6,'DADOS BRUTOS'!CT$3:CT$500)+IF($C6="",0,SUMIF('DADOS BRUTOS'!$A$3:$A$500,$C6,'DADOS BRUTOS'!CT$3:CT$500)))</f>
        <v/>
      </c>
      <c r="FU6" s="132">
        <f>IF(OR(FU$4="",$B6=""),0,SUMIF('DADOS BRUTOS'!$A$3:$A$500,$B6,'DADOS BRUTOS'!CU$3:CU$500)+IF($C6="",0,SUMIF('DADOS BRUTOS'!$A$3:$A$500,$C6,'DADOS BRUTOS'!CU$3:CU$500)))</f>
        <v/>
      </c>
      <c r="FV6" s="132">
        <f>IF(OR(FV$4="",$B6=""),0,SUMIF('DADOS BRUTOS'!$A$3:$A$500,$B6,'DADOS BRUTOS'!CV$3:CV$500)+IF($C6="",0,SUMIF('DADOS BRUTOS'!$A$3:$A$500,$C6,'DADOS BRUTOS'!CV$3:CV$500)))</f>
        <v/>
      </c>
      <c r="FW6" s="132">
        <f>IF(OR(FW$4="",$B6=""),0,SUMIF('DADOS BRUTOS'!$A$3:$A$500,$B6,'DADOS BRUTOS'!CW$3:CW$500)+IF($C6="",0,SUMIF('DADOS BRUTOS'!$A$3:$A$500,$C6,'DADOS BRUTOS'!CW$3:CW$500)))</f>
        <v/>
      </c>
      <c r="FX6" s="132">
        <f>IF(OR(FX$4="",$B6=""),0,SUMIF('DADOS BRUTOS'!$A$3:$A$500,$B6,'DADOS BRUTOS'!CX$3:CX$500)+IF($C6="",0,SUMIF('DADOS BRUTOS'!$A$3:$A$500,$C6,'DADOS BRUTOS'!CX$3:CX$500)))</f>
        <v/>
      </c>
      <c r="FY6" s="132">
        <f>IF(OR(FY$4="",$B6=""),0,SUMIF('DADOS BRUTOS'!$A$3:$A$500,$B6,'DADOS BRUTOS'!CY$3:CY$500)+IF($C6="",0,SUMIF('DADOS BRUTOS'!$A$3:$A$500,$C6,'DADOS BRUTOS'!CY$3:CY$500)))</f>
        <v/>
      </c>
      <c r="FZ6" s="132">
        <f>IF(OR(FZ$4="",$B6=""),0,SUMIF('DADOS BRUTOS'!$A$3:$A$500,$B6,'DADOS BRUTOS'!CZ$3:CZ$500)+IF($C6="",0,SUMIF('DADOS BRUTOS'!$A$3:$A$500,$C6,'DADOS BRUTOS'!CZ$3:CZ$500)))</f>
        <v/>
      </c>
      <c r="GA6" s="132">
        <f>IF(OR(GA$4="",$B6=""),0,SUMIF('DADOS BRUTOS'!$A$3:$A$500,$B6,'DADOS BRUTOS'!DA$3:DA$500)+IF($C6="",0,SUMIF('DADOS BRUTOS'!$A$3:$A$500,$C6,'DADOS BRUTOS'!DA$3:DA$500)))</f>
        <v/>
      </c>
      <c r="GB6" s="132">
        <f>IF(OR(GB$4="",$B6=""),0,SUMIF('DADOS BRUTOS'!$A$3:$A$500,$B6,'DADOS BRUTOS'!DB$3:DB$500)+IF($C6="",0,SUMIF('DADOS BRUTOS'!$A$3:$A$500,$C6,'DADOS BRUTOS'!DB$3:DB$500)))</f>
        <v/>
      </c>
      <c r="GC6" s="132">
        <f>IF(OR(GC$4="",$B6=""),0,SUMIF('DADOS BRUTOS'!$A$3:$A$500,$B6,'DADOS BRUTOS'!DC$3:DC$500)+IF($C6="",0,SUMIF('DADOS BRUTOS'!$A$3:$A$500,$C6,'DADOS BRUTOS'!DC$3:DC$500)))</f>
        <v/>
      </c>
      <c r="GD6" s="132">
        <f>IF(OR(GD$4="",$B6=""),0,SUMIF('DADOS BRUTOS'!$A$3:$A$500,$B6,'DADOS BRUTOS'!DD$3:DD$500)+IF($C6="",0,SUMIF('DADOS BRUTOS'!$A$3:$A$500,$C6,'DADOS BRUTOS'!DD$3:DD$500)))</f>
        <v/>
      </c>
      <c r="GE6" s="132">
        <f>IF(OR(GE$4="",$B6=""),0,SUMIF('DADOS BRUTOS'!$A$3:$A$500,$B6,'DADOS BRUTOS'!DE$3:DE$500)+IF($C6="",0,SUMIF('DADOS BRUTOS'!$A$3:$A$500,$C6,'DADOS BRUTOS'!DE$3:DE$500)))</f>
        <v/>
      </c>
      <c r="GF6" s="132">
        <f>IF(OR(GF$4="",$B6=""),0,SUMIF('DADOS BRUTOS'!$A$3:$A$500,$B6,'DADOS BRUTOS'!DF$3:DF$500)+IF($C6="",0,SUMIF('DADOS BRUTOS'!$A$3:$A$500,$C6,'DADOS BRUTOS'!DF$3:DF$500)))</f>
        <v/>
      </c>
      <c r="GG6" s="132">
        <f>IF(OR(GG$4="",$B6=""),0,SUMIF('DADOS BRUTOS'!$A$3:$A$500,$B6,'DADOS BRUTOS'!DG$3:DG$500)+IF($C6="",0,SUMIF('DADOS BRUTOS'!$A$3:$A$500,$C6,'DADOS BRUTOS'!DG$3:DG$500)))</f>
        <v/>
      </c>
      <c r="GH6" s="132">
        <f>IF(OR(GH$4="",$B6=""),0,SUMIF('DADOS BRUTOS'!$A$3:$A$500,$B6,'DADOS BRUTOS'!DH$3:DH$500)+IF($C6="",0,SUMIF('DADOS BRUTOS'!$A$3:$A$500,$C6,'DADOS BRUTOS'!DH$3:DH$500)))</f>
        <v/>
      </c>
      <c r="GI6" s="132">
        <f>IF(OR(GI$4="",$B6=""),0,SUMIF('DADOS BRUTOS'!$A$3:$A$500,$B6,'DADOS BRUTOS'!DI$3:DI$500)+IF($C6="",0,SUMIF('DADOS BRUTOS'!$A$3:$A$500,$C6,'DADOS BRUTOS'!DI$3:DI$500)))</f>
        <v/>
      </c>
      <c r="GJ6" s="132">
        <f>IF(OR(GJ$4="",$B6=""),0,SUMIF('DADOS BRUTOS'!$A$3:$A$500,$B6,'DADOS BRUTOS'!DJ$3:DJ$500)+IF($C6="",0,SUMIF('DADOS BRUTOS'!$A$3:$A$500,$C6,'DADOS BRUTOS'!DJ$3:DJ$500)))</f>
        <v/>
      </c>
      <c r="GK6" s="132">
        <f>IF(OR(GK$4="",$B6=""),0,SUMIF('DADOS BRUTOS'!$A$3:$A$500,$B6,'DADOS BRUTOS'!DK$3:DK$500)+IF($C6="",0,SUMIF('DADOS BRUTOS'!$A$3:$A$500,$C6,'DADOS BRUTOS'!DK$3:DK$500)))</f>
        <v/>
      </c>
      <c r="GL6" s="132">
        <f>IF(OR(GL$4="",$B6=""),0,SUMIF('DADOS BRUTOS'!$A$3:$A$500,$B6,'DADOS BRUTOS'!DL$3:DL$500)+IF($C6="",0,SUMIF('DADOS BRUTOS'!$A$3:$A$500,$C6,'DADOS BRUTOS'!DL$3:DL$500)))</f>
        <v/>
      </c>
      <c r="GM6" s="132">
        <f>IF(OR(GM$4="",$B6=""),0,SUMIF('DADOS BRUTOS'!$A$3:$A$500,$B6,'DADOS BRUTOS'!DM$3:DM$500)+IF($C6="",0,SUMIF('DADOS BRUTOS'!$A$3:$A$500,$C6,'DADOS BRUTOS'!DM$3:DM$500)))</f>
        <v/>
      </c>
      <c r="GN6" s="132">
        <f>IF(OR(GN$4="",$B6=""),0,SUMIF('DADOS BRUTOS'!$A$3:$A$500,$B6,'DADOS BRUTOS'!DN$3:DN$500)+IF($C6="",0,SUMIF('DADOS BRUTOS'!$A$3:$A$500,$C6,'DADOS BRUTOS'!DN$3:DN$500)))</f>
        <v/>
      </c>
      <c r="GO6" s="132">
        <f>IF(OR(GO$4="",$B6=""),0,SUMIF('DADOS BRUTOS'!$A$3:$A$500,$B6,'DADOS BRUTOS'!DO$3:DO$500)+IF($C6="",0,SUMIF('DADOS BRUTOS'!$A$3:$A$500,$C6,'DADOS BRUTOS'!DO$3:DO$500)))</f>
        <v/>
      </c>
      <c r="GP6" s="132">
        <f>IF(OR(GP$4="",$B6=""),0,SUMIF('DADOS BRUTOS'!$A$3:$A$500,$B6,'DADOS BRUTOS'!DP$3:DP$500)+IF($C6="",0,SUMIF('DADOS BRUTOS'!$A$3:$A$500,$C6,'DADOS BRUTOS'!DP$3:DP$500)))</f>
        <v/>
      </c>
      <c r="GQ6" s="132">
        <f>IF(OR(GQ$4="",$B6=""),0,SUMIF('DADOS BRUTOS'!$A$3:$A$500,$B6,'DADOS BRUTOS'!DQ$3:DQ$500)+IF($C6="",0,SUMIF('DADOS BRUTOS'!$A$3:$A$500,$C6,'DADOS BRUTOS'!DQ$3:DQ$500)))</f>
        <v/>
      </c>
      <c r="GR6" s="132">
        <f>IF(OR(GR$4="",$B6=""),0,SUMIF('DADOS BRUTOS'!$A$3:$A$500,$B6,'DADOS BRUTOS'!DR$3:DR$500)+IF($C6="",0,SUMIF('DADOS BRUTOS'!$A$3:$A$500,$C6,'DADOS BRUTOS'!DR$3:DR$500)))</f>
        <v/>
      </c>
      <c r="GS6" s="132">
        <f>IF(OR(GS$4="",$B6=""),0,SUMIF('DADOS BRUTOS'!$A$3:$A$500,$B6,'DADOS BRUTOS'!DS$3:DS$500)+IF($C6="",0,SUMIF('DADOS BRUTOS'!$A$3:$A$500,$C6,'DADOS BRUTOS'!DS$3:DS$500)))</f>
        <v/>
      </c>
      <c r="GT6" s="132">
        <f>IF(OR(GT$4="",$B6=""),0,SUMIF('DADOS BRUTOS'!$A$3:$A$500,$B6,'DADOS BRUTOS'!DT$3:DT$500)+IF($C6="",0,SUMIF('DADOS BRUTOS'!$A$3:$A$500,$C6,'DADOS BRUTOS'!DT$3:DT$500)))</f>
        <v/>
      </c>
      <c r="GU6" s="132">
        <f>IF(OR(GU$4="",$B6=""),0,SUMIF('DADOS BRUTOS'!$A$3:$A$500,$B6,'DADOS BRUTOS'!DU$3:DU$500)+IF($C6="",0,SUMIF('DADOS BRUTOS'!$A$3:$A$500,$C6,'DADOS BRUTOS'!DU$3:DU$500)))</f>
        <v/>
      </c>
      <c r="GV6" s="132">
        <f>IF(OR(GV$4="",$B6=""),0,SUMIF('DADOS BRUTOS'!$A$3:$A$500,$B6,'DADOS BRUTOS'!DV$3:DV$500)+IF($C6="",0,SUMIF('DADOS BRUTOS'!$A$3:$A$500,$C6,'DADOS BRUTOS'!DV$3:DV$500)))</f>
        <v/>
      </c>
      <c r="GW6" s="132">
        <f>IF(OR(GW$4="",$B6=""),0,SUMIF('DADOS BRUTOS'!$A$3:$A$500,$B6,'DADOS BRUTOS'!DW$3:DW$500)+IF($C6="",0,SUMIF('DADOS BRUTOS'!$A$3:$A$500,$C6,'DADOS BRUTOS'!DW$3:DW$500)))</f>
        <v/>
      </c>
      <c r="GX6" s="132">
        <f>IF(OR(GX$4="",$B6=""),0,SUMIF('DADOS BRUTOS'!$A$3:$A$500,$B6,'DADOS BRUTOS'!DX$3:DX$500)+IF($C6="",0,SUMIF('DADOS BRUTOS'!$A$3:$A$500,$C6,'DADOS BRUTOS'!DX$3:DX$500)))</f>
        <v/>
      </c>
      <c r="GY6" s="132">
        <f>IF(OR(GY$4="",$B6=""),0,SUMIF('DADOS BRUTOS'!$A$3:$A$500,$B6,'DADOS BRUTOS'!DY$3:DY$500)+IF($C6="",0,SUMIF('DADOS BRUTOS'!$A$3:$A$500,$C6,'DADOS BRUTOS'!DY$3:DY$500)))</f>
        <v/>
      </c>
      <c r="GZ6" s="132">
        <f>IF(OR(GZ$4="",$B6=""),0,SUMIF('DADOS BRUTOS'!$A$3:$A$500,$B6,'DADOS BRUTOS'!DZ$3:DZ$500)+IF($C6="",0,SUMIF('DADOS BRUTOS'!$A$3:$A$500,$C6,'DADOS BRUTOS'!DZ$3:DZ$500)))</f>
        <v/>
      </c>
      <c r="HA6" s="132">
        <f>IF(OR(HA$4="",$B6=""),0,SUMIF('DADOS BRUTOS'!$A$3:$A$500,$B6,'DADOS BRUTOS'!EA$3:EA$500)+IF($C6="",0,SUMIF('DADOS BRUTOS'!$A$3:$A$500,$C6,'DADOS BRUTOS'!EA$3:EA$500)))</f>
        <v/>
      </c>
      <c r="HB6" s="132">
        <f>IF(OR(HB$4="",$B6=""),0,SUMIF('DADOS BRUTOS'!$A$3:$A$500,$B6,'DADOS BRUTOS'!EB$3:EB$500)+IF($C6="",0,SUMIF('DADOS BRUTOS'!$A$3:$A$500,$C6,'DADOS BRUTOS'!EB$3:EB$500)))</f>
        <v/>
      </c>
      <c r="HC6" s="132">
        <f>IF(OR(HC$4="",$B6=""),0,SUMIF('DADOS BRUTOS'!$A$3:$A$500,$B6,'DADOS BRUTOS'!EC$3:EC$500)+IF($C6="",0,SUMIF('DADOS BRUTOS'!$A$3:$A$500,$C6,'DADOS BRUTOS'!EC$3:EC$500)))</f>
        <v/>
      </c>
      <c r="HD6" s="132">
        <f>IF(OR(HD$4="",$B6=""),0,SUMIF('DADOS BRUTOS'!$A$3:$A$500,$B6,'DADOS BRUTOS'!ED$3:ED$500)+IF($C6="",0,SUMIF('DADOS BRUTOS'!$A$3:$A$500,$C6,'DADOS BRUTOS'!ED$3:ED$500)))</f>
        <v/>
      </c>
      <c r="HE6" s="132">
        <f>IF(OR(HE$4="",$B6=""),0,SUMIF('DADOS BRUTOS'!$A$3:$A$500,$B6,'DADOS BRUTOS'!EE$3:EE$500)+IF($C6="",0,SUMIF('DADOS BRUTOS'!$A$3:$A$500,$C6,'DADOS BRUTOS'!EE$3:EE$500)))</f>
        <v/>
      </c>
      <c r="HF6" s="132">
        <f>IF(OR(HF$4="",$B6=""),0,SUMIF('DADOS BRUTOS'!$A$3:$A$500,$B6,'DADOS BRUTOS'!EF$3:EF$500)+IF($C6="",0,SUMIF('DADOS BRUTOS'!$A$3:$A$500,$C6,'DADOS BRUTOS'!EF$3:EF$500)))</f>
        <v/>
      </c>
      <c r="HG6" s="132">
        <f>IF(OR(HG$4="",$B6=""),0,SUMIF('DADOS BRUTOS'!$A$3:$A$500,$B6,'DADOS BRUTOS'!EG$3:EG$500)+IF($C6="",0,SUMIF('DADOS BRUTOS'!$A$3:$A$500,$C6,'DADOS BRUTOS'!EG$3:EG$500)))</f>
        <v/>
      </c>
      <c r="HH6" s="132">
        <f>IF(OR(HH$4="",$B6=""),0,SUMIF('DADOS BRUTOS'!$A$3:$A$500,$B6,'DADOS BRUTOS'!EH$3:EH$500)+IF($C6="",0,SUMIF('DADOS BRUTOS'!$A$3:$A$500,$C6,'DADOS BRUTOS'!EH$3:EH$500)))</f>
        <v/>
      </c>
      <c r="HI6" s="132">
        <f>IF(OR(HI$4="",$B6=""),0,SUMIF('DADOS BRUTOS'!$A$3:$A$500,$B6,'DADOS BRUTOS'!EI$3:EI$500)+IF($C6="",0,SUMIF('DADOS BRUTOS'!$A$3:$A$500,$C6,'DADOS BRUTOS'!EI$3:EI$500)))</f>
        <v/>
      </c>
      <c r="HJ6" s="132">
        <f>IF(OR(HJ$4="",$B6=""),0,SUMIF('DADOS BRUTOS'!$A$3:$A$500,$B6,'DADOS BRUTOS'!EJ$3:EJ$500)+IF($C6="",0,SUMIF('DADOS BRUTOS'!$A$3:$A$500,$C6,'DADOS BRUTOS'!EJ$3:EJ$500)))</f>
        <v/>
      </c>
      <c r="HK6" s="132">
        <f>IF(OR(HK$4="",$B6=""),0,SUMIF('DADOS BRUTOS'!$A$3:$A$500,$B6,'DADOS BRUTOS'!EK$3:EK$500)+IF($C6="",0,SUMIF('DADOS BRUTOS'!$A$3:$A$500,$C6,'DADOS BRUTOS'!EK$3:EK$500)))</f>
        <v/>
      </c>
      <c r="HL6" s="132">
        <f>IF(OR(HL$4="",$B6=""),0,SUMIF('DADOS BRUTOS'!$A$3:$A$500,$B6,'DADOS BRUTOS'!EL$3:EL$500)+IF($C6="",0,SUMIF('DADOS BRUTOS'!$A$3:$A$500,$C6,'DADOS BRUTOS'!EL$3:EL$500)))</f>
        <v/>
      </c>
      <c r="HM6" s="132">
        <f>IF(OR(HM$4="",$B6=""),0,SUMIF('DADOS BRUTOS'!$A$3:$A$500,$B6,'DADOS BRUTOS'!EM$3:EM$500)+IF($C6="",0,SUMIF('DADOS BRUTOS'!$A$3:$A$500,$C6,'DADOS BRUTOS'!EM$3:EM$500)))</f>
        <v/>
      </c>
      <c r="HN6" s="132">
        <f>IF(OR(HN$4="",$B6=""),0,SUMIF('DADOS BRUTOS'!$A$3:$A$500,$B6,'DADOS BRUTOS'!EN$3:EN$500)+IF($C6="",0,SUMIF('DADOS BRUTOS'!$A$3:$A$500,$C6,'DADOS BRUTOS'!EN$3:EN$500)))</f>
        <v/>
      </c>
      <c r="HO6" s="132">
        <f>IF(OR(HO$4="",$B6=""),0,SUMIF('DADOS BRUTOS'!$A$3:$A$500,$B6,'DADOS BRUTOS'!EO$3:EO$500)+IF($C6="",0,SUMIF('DADOS BRUTOS'!$A$3:$A$500,$C6,'DADOS BRUTOS'!EO$3:EO$500)))</f>
        <v/>
      </c>
      <c r="HP6" s="132">
        <f>IF(OR(HP$4="",$B6=""),0,SUMIF('DADOS BRUTOS'!$A$3:$A$500,$B6,'DADOS BRUTOS'!EP$3:EP$500)+IF($C6="",0,SUMIF('DADOS BRUTOS'!$A$3:$A$500,$C6,'DADOS BRUTOS'!EP$3:EP$500)))</f>
        <v/>
      </c>
      <c r="HQ6" s="132">
        <f>IF(OR(HQ$4="",$B6=""),0,SUMIF('DADOS BRUTOS'!$A$3:$A$500,$B6,'DADOS BRUTOS'!EQ$3:EQ$500)+IF($C6="",0,SUMIF('DADOS BRUTOS'!$A$3:$A$500,$C6,'DADOS BRUTOS'!EQ$3:EQ$500)))</f>
        <v/>
      </c>
      <c r="HR6" s="132">
        <f>IF(OR(HR$4="",$B6=""),0,SUMIF('DADOS BRUTOS'!$A$3:$A$500,$B6,'DADOS BRUTOS'!ER$3:ER$500)+IF($C6="",0,SUMIF('DADOS BRUTOS'!$A$3:$A$500,$C6,'DADOS BRUTOS'!ER$3:ER$500)))</f>
        <v/>
      </c>
      <c r="HS6" s="132">
        <f>IF(OR(HS$4="",$B6=""),0,SUMIF('DADOS BRUTOS'!$A$3:$A$500,$B6,'DADOS BRUTOS'!ES$3:ES$500)+IF($C6="",0,SUMIF('DADOS BRUTOS'!$A$3:$A$500,$C6,'DADOS BRUTOS'!ES$3:ES$500)))</f>
        <v/>
      </c>
      <c r="HT6" s="132">
        <f>IF(OR(HT$4="",$B6=""),0,SUMIF('DADOS BRUTOS'!$A$3:$A$500,$B6,'DADOS BRUTOS'!ET$3:ET$500)+IF($C6="",0,SUMIF('DADOS BRUTOS'!$A$3:$A$500,$C6,'DADOS BRUTOS'!ET$3:ET$500)))</f>
        <v/>
      </c>
      <c r="HU6" s="132">
        <f>IF(OR(HU$4="",$B6=""),0,SUMIF('DADOS BRUTOS'!$A$3:$A$500,$B6,'DADOS BRUTOS'!EU$3:EU$500)+IF($C6="",0,SUMIF('DADOS BRUTOS'!$A$3:$A$500,$C6,'DADOS BRUTOS'!EU$3:EU$500)))</f>
        <v/>
      </c>
      <c r="HV6" s="132">
        <f>IF(OR(HV$4="",$B6=""),0,SUMIF('DADOS BRUTOS'!$A$3:$A$500,$B6,'DADOS BRUTOS'!EV$3:EV$500)+IF($C6="",0,SUMIF('DADOS BRUTOS'!$A$3:$A$500,$C6,'DADOS BRUTOS'!EV$3:EV$500)))</f>
        <v/>
      </c>
      <c r="HW6" s="132">
        <f>IF(OR(HW$4="",$B6=""),0,SUMIF('DADOS BRUTOS'!$A$3:$A$500,$B6,'DADOS BRUTOS'!EW$3:EW$500)+IF($C6="",0,SUMIF('DADOS BRUTOS'!$A$3:$A$500,$C6,'DADOS BRUTOS'!EW$3:EW$500)))</f>
        <v/>
      </c>
      <c r="HX6" s="132">
        <f>IF(OR(HX$4="",$B6=""),0,SUMIF('DADOS BRUTOS'!$A$3:$A$500,$B6,'DADOS BRUTOS'!EX$3:EX$500)+IF($C6="",0,SUMIF('DADOS BRUTOS'!$A$3:$A$500,$C6,'DADOS BRUTOS'!EX$3:EX$500)))</f>
        <v/>
      </c>
      <c r="HY6" s="132">
        <f>IF(OR(HY$4="",$B6=""),0,SUMIF('DADOS BRUTOS'!$A$3:$A$500,$B6,'DADOS BRUTOS'!EY$3:EY$500)+IF($C6="",0,SUMIF('DADOS BRUTOS'!$A$3:$A$500,$C6,'DADOS BRUTOS'!EY$3:EY$500)))</f>
        <v/>
      </c>
      <c r="HZ6" s="132">
        <f>IF(OR(HZ$4="",$B6=""),0,SUMIF('DADOS BRUTOS'!$A$3:$A$500,$B6,'DADOS BRUTOS'!EZ$3:EZ$500)+IF($C6="",0,SUMIF('DADOS BRUTOS'!$A$3:$A$500,$C6,'DADOS BRUTOS'!EZ$3:EZ$500)))</f>
        <v/>
      </c>
      <c r="IA6" s="132">
        <f>IF(OR(IA$4="",$B6=""),0,SUMIF('DADOS BRUTOS'!$A$3:$A$500,$B6,'DADOS BRUTOS'!FA$3:FA$500)+IF($C6="",0,SUMIF('DADOS BRUTOS'!$A$3:$A$500,$C6,'DADOS BRUTOS'!FA$3:FA$500)))</f>
        <v/>
      </c>
      <c r="IB6" s="132">
        <f>IF(OR(IB$4="",$B6=""),0,SUMIF('DADOS BRUTOS'!$A$3:$A$500,$B6,'DADOS BRUTOS'!FB$3:FB$500)+IF($C6="",0,SUMIF('DADOS BRUTOS'!$A$3:$A$500,$C6,'DADOS BRUTOS'!FB$3:FB$500)))</f>
        <v/>
      </c>
      <c r="IC6" s="132">
        <f>IF(OR(IC$4="",$B6=""),0,SUMIF('DADOS BRUTOS'!$A$3:$A$500,$B6,'DADOS BRUTOS'!FC$3:FC$500)+IF($C6="",0,SUMIF('DADOS BRUTOS'!$A$3:$A$500,$C6,'DADOS BRUTOS'!FC$3:FC$500)))</f>
        <v/>
      </c>
      <c r="ID6" s="132">
        <f>IF(OR(ID$4="",$B6=""),0,SUMIF('DADOS BRUTOS'!$A$3:$A$500,$B6,'DADOS BRUTOS'!FD$3:FD$500)+IF($C6="",0,SUMIF('DADOS BRUTOS'!$A$3:$A$500,$C6,'DADOS BRUTOS'!FD$3:FD$500)))</f>
        <v/>
      </c>
      <c r="IE6" s="132">
        <f>IF(OR(IE$4="",$B6=""),0,SUMIF('DADOS BRUTOS'!$A$3:$A$500,$B6,'DADOS BRUTOS'!FE$3:FE$500)+IF($C6="",0,SUMIF('DADOS BRUTOS'!$A$3:$A$500,$C6,'DADOS BRUTOS'!FE$3:FE$500)))</f>
        <v/>
      </c>
      <c r="IF6" s="132">
        <f>IF(OR(IF$4="",$B6=""),0,SUMIF('DADOS BRUTOS'!$A$3:$A$500,$B6,'DADOS BRUTOS'!FF$3:FF$500)+IF($C6="",0,SUMIF('DADOS BRUTOS'!$A$3:$A$500,$C6,'DADOS BRUTOS'!FF$3:FF$500)))</f>
        <v/>
      </c>
      <c r="IG6" s="132">
        <f>IF(OR(IG$4="",$B6=""),0,SUMIF('DADOS BRUTOS'!$A$3:$A$500,$B6,'DADOS BRUTOS'!FG$3:FG$500)+IF($C6="",0,SUMIF('DADOS BRUTOS'!$A$3:$A$500,$C6,'DADOS BRUTOS'!FG$3:FG$500)))</f>
        <v/>
      </c>
      <c r="IH6" s="132">
        <f>IF(OR(IH$4="",$B6=""),0,SUMIF('DADOS BRUTOS'!$A$3:$A$500,$B6,'DADOS BRUTOS'!FH$3:FH$500)+IF($C6="",0,SUMIF('DADOS BRUTOS'!$A$3:$A$500,$C6,'DADOS BRUTOS'!FH$3:FH$500)))</f>
        <v/>
      </c>
      <c r="II6" s="132">
        <f>IF(OR(II$4="",$B6=""),0,SUMIF('DADOS BRUTOS'!$A$3:$A$500,$B6,'DADOS BRUTOS'!FI$3:FI$500)+IF($C6="",0,SUMIF('DADOS BRUTOS'!$A$3:$A$500,$C6,'DADOS BRUTOS'!FI$3:FI$500)))</f>
        <v/>
      </c>
      <c r="IJ6" s="132">
        <f>IF(OR(IJ$4="",$B6=""),0,SUMIF('DADOS BRUTOS'!$A$3:$A$500,$B6,'DADOS BRUTOS'!FJ$3:FJ$500)+IF($C6="",0,SUMIF('DADOS BRUTOS'!$A$3:$A$500,$C6,'DADOS BRUTOS'!FJ$3:FJ$500)))</f>
        <v/>
      </c>
      <c r="IK6" s="132">
        <f>IF(OR(IK$4="",$B6=""),0,SUMIF('DADOS BRUTOS'!$A$3:$A$500,$B6,'DADOS BRUTOS'!FK$3:FK$500)+IF($C6="",0,SUMIF('DADOS BRUTOS'!$A$3:$A$500,$C6,'DADOS BRUTOS'!FK$3:FK$500)))</f>
        <v/>
      </c>
      <c r="IL6" s="132">
        <f>IF(OR(IL$4="",$B6=""),0,SUMIF('DADOS BRUTOS'!$A$3:$A$500,$B6,'DADOS BRUTOS'!FL$3:FL$500)+IF($C6="",0,SUMIF('DADOS BRUTOS'!$A$3:$A$500,$C6,'DADOS BRUTOS'!FL$3:FL$500)))</f>
        <v/>
      </c>
      <c r="IM6" s="132">
        <f>IF(OR(IM$4="",$B6=""),0,SUMIF('DADOS BRUTOS'!$A$3:$A$500,$B6,'DADOS BRUTOS'!FM$3:FM$500)+IF($C6="",0,SUMIF('DADOS BRUTOS'!$A$3:$A$500,$C6,'DADOS BRUTOS'!FM$3:FM$500)))</f>
        <v/>
      </c>
      <c r="IN6" s="132">
        <f>IF(OR(IN$4="",$B6=""),0,SUMIF('DADOS BRUTOS'!$A$3:$A$500,$B6,'DADOS BRUTOS'!FN$3:FN$500)+IF($C6="",0,SUMIF('DADOS BRUTOS'!$A$3:$A$500,$C6,'DADOS BRUTOS'!FN$3:FN$500)))</f>
        <v/>
      </c>
      <c r="IO6" s="132">
        <f>IF(OR(IO$4="",$B6=""),0,SUMIF('DADOS BRUTOS'!$A$3:$A$500,$B6,'DADOS BRUTOS'!FO$3:FO$500)+IF($C6="",0,SUMIF('DADOS BRUTOS'!$A$3:$A$500,$C6,'DADOS BRUTOS'!FO$3:FO$500)))</f>
        <v/>
      </c>
      <c r="IP6" s="132">
        <f>IF(OR(IP$4="",$B6=""),0,SUMIF('DADOS BRUTOS'!$A$3:$A$500,$B6,'DADOS BRUTOS'!FP$3:FP$500)+IF($C6="",0,SUMIF('DADOS BRUTOS'!$A$3:$A$500,$C6,'DADOS BRUTOS'!FP$3:FP$500)))</f>
        <v/>
      </c>
      <c r="IQ6" s="132">
        <f>IF(OR(IQ$4="",$B6=""),0,SUMIF('DADOS BRUTOS'!$A$3:$A$500,$B6,'DADOS BRUTOS'!FQ$3:FQ$500)+IF($C6="",0,SUMIF('DADOS BRUTOS'!$A$3:$A$500,$C6,'DADOS BRUTOS'!FQ$3:FQ$500)))</f>
        <v/>
      </c>
      <c r="IR6" s="132">
        <f>IF(OR(IR$4="",$B6=""),0,SUMIF('DADOS BRUTOS'!$A$3:$A$500,$B6,'DADOS BRUTOS'!FR$3:FR$500)+IF($C6="",0,SUMIF('DADOS BRUTOS'!$A$3:$A$500,$C6,'DADOS BRUTOS'!FR$3:FR$500)))</f>
        <v/>
      </c>
      <c r="IS6" s="132">
        <f>IF(OR(IS$4="",$B6=""),0,SUMIF('DADOS BRUTOS'!$A$3:$A$500,$B6,'DADOS BRUTOS'!FS$3:FS$500)+IF($C6="",0,SUMIF('DADOS BRUTOS'!$A$3:$A$500,$C6,'DADOS BRUTOS'!FS$3:FS$500)))</f>
        <v/>
      </c>
      <c r="IT6" s="132">
        <f>IF(OR(IT$4="",$B6=""),0,SUMIF('DADOS BRUTOS'!$A$3:$A$500,$B6,'DADOS BRUTOS'!FT$3:FT$500)+IF($C6="",0,SUMIF('DADOS BRUTOS'!$A$3:$A$500,$C6,'DADOS BRUTOS'!FT$3:FT$500)))</f>
        <v/>
      </c>
      <c r="IU6" s="132">
        <f>IF(OR(IU$4="",$B6=""),0,SUMIF('DADOS BRUTOS'!$A$3:$A$500,$B6,'DADOS BRUTOS'!FU$3:FU$500)+IF($C6="",0,SUMIF('DADOS BRUTOS'!$A$3:$A$500,$C6,'DADOS BRUTOS'!FU$3:FU$500)))</f>
        <v/>
      </c>
      <c r="IV6" s="132">
        <f>IF(OR(IV$4="",$B6=""),0,SUMIF('DADOS BRUTOS'!$A$3:$A$500,$B6,'DADOS BRUTOS'!FV$3:FV$500)+IF($C6="",0,SUMIF('DADOS BRUTOS'!$A$3:$A$500,$C6,'DADOS BRUTOS'!FV$3:FV$500)))</f>
        <v/>
      </c>
      <c r="IW6" s="132">
        <f>IF(OR(IW$4="",$B6=""),0,SUMIF('DADOS BRUTOS'!$A$3:$A$500,$B6,'DADOS BRUTOS'!FW$3:FW$500)+IF($C6="",0,SUMIF('DADOS BRUTOS'!$A$3:$A$500,$C6,'DADOS BRUTOS'!FW$3:FW$500)))</f>
        <v/>
      </c>
      <c r="IX6" s="132">
        <f>IF(OR(IX$4="",$B6=""),0,SUMIF('DADOS BRUTOS'!$A$3:$A$500,$B6,'DADOS BRUTOS'!FX$3:FX$500)+IF($C6="",0,SUMIF('DADOS BRUTOS'!$A$3:$A$500,$C6,'DADOS BRUTOS'!FX$3:FX$500)))</f>
        <v/>
      </c>
      <c r="IY6" s="132">
        <f>IF(OR(IY$4="",$B6=""),0,SUMIF('DADOS BRUTOS'!$A$3:$A$500,$B6,'DADOS BRUTOS'!FY$3:FY$500)+IF($C6="",0,SUMIF('DADOS BRUTOS'!$A$3:$A$500,$C6,'DADOS BRUTOS'!FY$3:FY$500)))</f>
        <v/>
      </c>
      <c r="IZ6" s="132">
        <f>IF(OR(IZ$4="",$B6=""),0,SUMIF('DADOS BRUTOS'!$A$3:$A$500,$B6,'DADOS BRUTOS'!FZ$3:FZ$500)+IF($C6="",0,SUMIF('DADOS BRUTOS'!$A$3:$A$500,$C6,'DADOS BRUTOS'!FZ$3:FZ$500)))</f>
        <v/>
      </c>
      <c r="JA6" s="132">
        <f>IF(OR(JA$4="",$B6=""),0,SUMIF('DADOS BRUTOS'!$A$3:$A$500,$B6,'DADOS BRUTOS'!GA$3:GA$500)+IF($C6="",0,SUMIF('DADOS BRUTOS'!$A$3:$A$500,$C6,'DADOS BRUTOS'!GA$3:GA$500)))</f>
        <v/>
      </c>
      <c r="JB6" s="132">
        <f>IF(OR(JB$4="",$B6=""),0,SUMIF('DADOS BRUTOS'!$A$3:$A$500,$B6,'DADOS BRUTOS'!GB$3:GB$500)+IF($C6="",0,SUMIF('DADOS BRUTOS'!$A$3:$A$500,$C6,'DADOS BRUTOS'!GB$3:GB$500)))</f>
        <v/>
      </c>
      <c r="JC6" s="132">
        <f>IF(OR(JC$4="",$B6=""),0,SUMIF('DADOS BRUTOS'!$A$3:$A$500,$B6,'DADOS BRUTOS'!GC$3:GC$500)+IF($C6="",0,SUMIF('DADOS BRUTOS'!$A$3:$A$500,$C6,'DADOS BRUTOS'!GC$3:GC$500)))</f>
        <v/>
      </c>
      <c r="JD6" s="132">
        <f>IF(OR(JD$4="",$B6=""),0,SUMIF('DADOS BRUTOS'!$A$3:$A$500,$B6,'DADOS BRUTOS'!GD$3:GD$500)+IF($C6="",0,SUMIF('DADOS BRUTOS'!$A$3:$A$500,$C6,'DADOS BRUTOS'!GD$3:GD$500)))</f>
        <v/>
      </c>
      <c r="JE6" s="132">
        <f>IF(OR(JE$4="",$B6=""),0,SUMIF('DADOS BRUTOS'!$A$3:$A$500,$B6,'DADOS BRUTOS'!GE$3:GE$500)+IF($C6="",0,SUMIF('DADOS BRUTOS'!$A$3:$A$500,$C6,'DADOS BRUTOS'!GE$3:GE$500)))</f>
        <v/>
      </c>
      <c r="JF6" s="132">
        <f>IF(OR(JF$4="",$B6=""),0,SUMIF('DADOS BRUTOS'!$A$3:$A$500,$B6,'DADOS BRUTOS'!GF$3:GF$500)+IF($C6="",0,SUMIF('DADOS BRUTOS'!$A$3:$A$500,$C6,'DADOS BRUTOS'!GF$3:GF$500)))</f>
        <v/>
      </c>
      <c r="JG6" s="132">
        <f>IF(OR(JG$4="",$B6=""),0,SUMIF('DADOS BRUTOS'!$A$3:$A$500,$B6,'DADOS BRUTOS'!GG$3:GG$500)+IF($C6="",0,SUMIF('DADOS BRUTOS'!$A$3:$A$500,$C6,'DADOS BRUTOS'!GG$3:GG$500)))</f>
        <v/>
      </c>
      <c r="JH6" s="132">
        <f>IF(OR(JH$4="",$B6=""),0,SUMIF('DADOS BRUTOS'!$A$3:$A$500,$B6,'DADOS BRUTOS'!GH$3:GH$500)+IF($C6="",0,SUMIF('DADOS BRUTOS'!$A$3:$A$500,$C6,'DADOS BRUTOS'!GH$3:GH$500)))</f>
        <v/>
      </c>
      <c r="JI6" s="132">
        <f>IF(OR(JI$4="",$B6=""),0,SUMIF('DADOS BRUTOS'!$A$3:$A$500,$B6,'DADOS BRUTOS'!GI$3:GI$500)+IF($C6="",0,SUMIF('DADOS BRUTOS'!$A$3:$A$500,$C6,'DADOS BRUTOS'!GI$3:GI$500)))</f>
        <v/>
      </c>
      <c r="JJ6" s="132">
        <f>IF(OR(JJ$4="",$B6=""),0,SUMIF('DADOS BRUTOS'!$A$3:$A$500,$B6,'DADOS BRUTOS'!GJ$3:GJ$500)+IF($C6="",0,SUMIF('DADOS BRUTOS'!$A$3:$A$500,$C6,'DADOS BRUTOS'!GJ$3:GJ$500)))</f>
        <v/>
      </c>
      <c r="JK6" s="132">
        <f>IF(OR(JK$4="",$B6=""),0,SUMIF('DADOS BRUTOS'!$A$3:$A$500,$B6,'DADOS BRUTOS'!GK$3:GK$500)+IF($C6="",0,SUMIF('DADOS BRUTOS'!$A$3:$A$500,$C6,'DADOS BRUTOS'!GK$3:GK$500)))</f>
        <v/>
      </c>
      <c r="JL6" s="132">
        <f>IF(OR(JL$4="",$B6=""),0,SUMIF('DADOS BRUTOS'!$A$3:$A$500,$B6,'DADOS BRUTOS'!GL$3:GL$500)+IF($C6="",0,SUMIF('DADOS BRUTOS'!$A$3:$A$500,$C6,'DADOS BRUTOS'!GL$3:GL$500)))</f>
        <v/>
      </c>
      <c r="JM6" s="132">
        <f>IF(OR(JM$4="",$B6=""),0,SUMIF('DADOS BRUTOS'!$A$3:$A$500,$B6,'DADOS BRUTOS'!GM$3:GM$500)+IF($C6="",0,SUMIF('DADOS BRUTOS'!$A$3:$A$500,$C6,'DADOS BRUTOS'!GM$3:GM$500)))</f>
        <v/>
      </c>
      <c r="JN6" s="132">
        <f>IF(OR(JN$4="",$B6=""),0,SUMIF('DADOS BRUTOS'!$A$3:$A$500,$B6,'DADOS BRUTOS'!GN$3:GN$500)+IF($C6="",0,SUMIF('DADOS BRUTOS'!$A$3:$A$500,$C6,'DADOS BRUTOS'!GN$3:GN$500)))</f>
        <v/>
      </c>
      <c r="JO6" s="132">
        <f>IF(OR(JO$4="",$B6=""),0,SUMIF('DADOS BRUTOS'!$A$3:$A$500,$B6,'DADOS BRUTOS'!GO$3:GO$500)+IF($C6="",0,SUMIF('DADOS BRUTOS'!$A$3:$A$500,$C6,'DADOS BRUTOS'!GO$3:GO$500)))</f>
        <v/>
      </c>
      <c r="JP6" s="132">
        <f>IF(OR(JP$4="",$B6=""),0,SUMIF('DADOS BRUTOS'!$A$3:$A$500,$B6,'DADOS BRUTOS'!GP$3:GP$500)+IF($C6="",0,SUMIF('DADOS BRUTOS'!$A$3:$A$500,$C6,'DADOS BRUTOS'!GP$3:GP$500)))</f>
        <v/>
      </c>
      <c r="JQ6" s="132">
        <f>IF(OR(JQ$4="",$B6=""),0,SUMIF('DADOS BRUTOS'!$A$3:$A$500,$B6,'DADOS BRUTOS'!GQ$3:GQ$500)+IF($C6="",0,SUMIF('DADOS BRUTOS'!$A$3:$A$500,$C6,'DADOS BRUTOS'!GQ$3:GQ$500)))</f>
        <v/>
      </c>
      <c r="JR6" s="132">
        <f>IF(OR(JR$4="",$B6=""),0,SUMIF('DADOS BRUTOS'!$A$3:$A$500,$B6,'DADOS BRUTOS'!GR$3:GR$500)+IF($C6="",0,SUMIF('DADOS BRUTOS'!$A$3:$A$500,$C6,'DADOS BRUTOS'!GR$3:GR$500)))</f>
        <v/>
      </c>
      <c r="JS6" s="132">
        <f>IF(OR(JS$4="",$B6=""),0,SUMIF('DADOS BRUTOS'!$A$3:$A$500,$B6,'DADOS BRUTOS'!GS$3:GS$500)+IF($C6="",0,SUMIF('DADOS BRUTOS'!$A$3:$A$500,$C6,'DADOS BRUTOS'!GS$3:GS$500)))</f>
        <v/>
      </c>
    </row>
    <row r="7">
      <c r="A7" s="61">
        <f>'VALOR POR PL'!D13</f>
        <v/>
      </c>
      <c r="B7" s="59" t="inlineStr">
        <is>
          <t>TAXAS DIVERSAS</t>
        </is>
      </c>
      <c r="C7" s="59" t="n"/>
      <c r="D7" s="54">
        <f>SUMIF($CB$4:$JS$4,"&lt;="&amp;D$4,$CB7:$JS7)</f>
        <v/>
      </c>
      <c r="E7" s="54">
        <f>SUMIF($CB$4:$JS$4,E$4,$CB7:$JS7)</f>
        <v/>
      </c>
      <c r="F7" s="54">
        <f>SUMIF($CB$4:$JS$4,F$4,$CB7:$JS7)</f>
        <v/>
      </c>
      <c r="G7" s="54">
        <f>SUMIF($CB$4:$JS$4,G$4,$CB7:$JS7)</f>
        <v/>
      </c>
      <c r="H7" s="54">
        <f>SUMIF($CB$4:$JS$4,H$4,$CB7:$JS7)</f>
        <v/>
      </c>
      <c r="I7" s="54">
        <f>SUMIF($CB$4:$JS$4,I$4,$CB7:$JS7)</f>
        <v/>
      </c>
      <c r="J7" s="54">
        <f>SUMIF($CB$4:$JS$4,J$4,$CB7:$JS7)</f>
        <v/>
      </c>
      <c r="K7" s="54">
        <f>SUMIF($CB$4:$JS$4,K$4,$CB7:$JS7)</f>
        <v/>
      </c>
      <c r="L7" s="54">
        <f>SUMIF($CB$4:$JS$4,L$4,$CB7:$JS7)</f>
        <v/>
      </c>
      <c r="M7" s="54">
        <f>SUMIF($CB$4:$JS$4,M$4,$CB7:$JS7)</f>
        <v/>
      </c>
      <c r="N7" s="54">
        <f>SUMIF($CB$4:$JS$4,N$4,$CB7:$JS7)</f>
        <v/>
      </c>
      <c r="O7" s="54">
        <f>SUMIF($CB$4:$JS$4,O$4,$CB7:$JS7)</f>
        <v/>
      </c>
      <c r="P7" s="54">
        <f>SUMIF($CB$4:$JS$4,P$4,$CB7:$JS7)</f>
        <v/>
      </c>
      <c r="Q7" s="54">
        <f>SUMIF($CB$4:$JS$4,Q$4,$CB7:$JS7)</f>
        <v/>
      </c>
      <c r="R7" s="54">
        <f>SUMIF($CB$4:$JS$4,R$4,$CB7:$JS7)</f>
        <v/>
      </c>
      <c r="S7" s="54">
        <f>SUMIF($CB$4:$JS$4,S$4,$CB7:$JS7)</f>
        <v/>
      </c>
      <c r="T7" s="54">
        <f>SUMIF($CB$4:$JS$4,T$4,$CB7:$JS7)</f>
        <v/>
      </c>
      <c r="U7" s="54">
        <f>SUMIF($CB$4:$JS$4,U$4,$CB7:$JS7)</f>
        <v/>
      </c>
      <c r="V7" s="54">
        <f>SUMIF($CB$4:$JS$4,V$4,$CB7:$JS7)</f>
        <v/>
      </c>
      <c r="W7" s="54">
        <f>SUMIF($CB$4:$JS$4,W$4,$CB7:$JS7)</f>
        <v/>
      </c>
      <c r="X7" s="54">
        <f>SUMIF($CB$4:$JS$4,X$4,$CB7:$JS7)</f>
        <v/>
      </c>
      <c r="Y7" s="54">
        <f>SUMIF($CB$4:$JS$4,Y$4,$CB7:$JS7)</f>
        <v/>
      </c>
      <c r="Z7" s="54">
        <f>SUMIF($CB$4:$JS$4,Z$4,$CB7:$JS7)</f>
        <v/>
      </c>
      <c r="AA7" s="54">
        <f>SUMIF($CB$4:$JS$4,AA$4,$CB7:$JS7)</f>
        <v/>
      </c>
      <c r="AB7" s="54">
        <f>SUMIF($CB$4:$JS$4,AB$4,$CB7:$JS7)</f>
        <v/>
      </c>
      <c r="AC7" s="54">
        <f>SUMIF($CB$4:$JS$4,AC$4,$CB7:$JS7)</f>
        <v/>
      </c>
      <c r="AD7" s="54">
        <f>SUMIF($CB$4:$JS$4,AD$4,$CB7:$JS7)</f>
        <v/>
      </c>
      <c r="AE7" s="54">
        <f>SUMIF($CB$4:$JS$4,AE$4,$CB7:$JS7)</f>
        <v/>
      </c>
      <c r="AF7" s="54">
        <f>SUMIF($CB$4:$JS$4,AF$4,$CB7:$JS7)</f>
        <v/>
      </c>
      <c r="AG7" s="54">
        <f>SUMIF($CB$4:$JS$4,AG$4,$CB7:$JS7)</f>
        <v/>
      </c>
      <c r="AH7" s="54">
        <f>SUMIF($CB$4:$JS$4,AH$4,$CB7:$JS7)</f>
        <v/>
      </c>
      <c r="AI7" s="54">
        <f>SUMIF($CB$4:$JS$4,AI$4,$CB7:$JS7)</f>
        <v/>
      </c>
      <c r="AJ7" s="54">
        <f>SUMIF($CB$4:$JS$4,AJ$4,$CB7:$JS7)</f>
        <v/>
      </c>
      <c r="AK7" s="54">
        <f>SUMIF($CB$4:$JS$4,AK$4,$CB7:$JS7)</f>
        <v/>
      </c>
      <c r="AL7" s="54">
        <f>SUMIF($CB$4:$JS$4,AL$4,$CB7:$JS7)</f>
        <v/>
      </c>
      <c r="AM7" s="54">
        <f>SUMIF($CB$4:$JS$4,AM$4,$CB7:$JS7)</f>
        <v/>
      </c>
      <c r="AN7" s="54">
        <f>SUMIF($CB$4:$JS$4,AN$4,$CB7:$JS7)</f>
        <v/>
      </c>
      <c r="AO7" s="54">
        <f>SUMIF($CB$4:$JS$4,AO$4,$CB7:$JS7)</f>
        <v/>
      </c>
      <c r="AP7" s="54">
        <f>SUMIF($CB$4:$JS$4,AP$4,$CB7:$JS7)</f>
        <v/>
      </c>
      <c r="AQ7" s="54">
        <f>SUMIF($CB$4:$JS$4,AQ$4,$CB7:$JS7)</f>
        <v/>
      </c>
      <c r="AR7" s="54">
        <f>SUMIF($CB$4:$JS$4,AR$4,$CB7:$JS7)</f>
        <v/>
      </c>
      <c r="AS7" s="54">
        <f>SUMIF($CB$4:$JS$4,AS$4,$CB7:$JS7)</f>
        <v/>
      </c>
      <c r="AT7" s="54">
        <f>SUMIF($CB$4:$JS$4,AT$4,$CB7:$JS7)</f>
        <v/>
      </c>
      <c r="AU7" s="54">
        <f>SUMIF($CB$4:$JS$4,AU$4,$CB7:$JS7)</f>
        <v/>
      </c>
      <c r="AV7" s="54">
        <f>SUMIF($CB$4:$JS$4,AV$4,$CB7:$JS7)</f>
        <v/>
      </c>
      <c r="AW7" s="54">
        <f>SUMIF($CB$4:$JS$4,AW$4,$CB7:$JS7)</f>
        <v/>
      </c>
      <c r="AX7" s="54">
        <f>SUMIF($CB$4:$JS$4,AX$4,$CB7:$JS7)</f>
        <v/>
      </c>
      <c r="AY7" s="54">
        <f>SUMIF($CB$4:$JS$4,AY$4,$CB7:$JS7)</f>
        <v/>
      </c>
      <c r="AZ7" s="54">
        <f>SUMIF($CB$4:$JS$4,AZ$4,$CB7:$JS7)</f>
        <v/>
      </c>
      <c r="BA7" s="54">
        <f>SUMIF($CB$4:$JS$4,BA$4,$CB7:$JS7)</f>
        <v/>
      </c>
      <c r="BB7" s="54">
        <f>SUMIF($CB$4:$JS$4,BB$4,$CB7:$JS7)</f>
        <v/>
      </c>
      <c r="BC7" s="54">
        <f>SUMIF($CB$4:$JS$4,BC$4,$CB7:$JS7)</f>
        <v/>
      </c>
      <c r="BD7" s="54">
        <f>SUMIF($CB$4:$JS$4,BD$4,$CB7:$JS7)</f>
        <v/>
      </c>
      <c r="BE7" s="54">
        <f>SUMIF($CB$4:$JS$4,BE$4,$CB7:$JS7)</f>
        <v/>
      </c>
      <c r="BF7" s="54">
        <f>SUMIF($CB$4:$JS$4,BF$4,$CB7:$JS7)</f>
        <v/>
      </c>
      <c r="BG7" s="54">
        <f>SUMIF($CB$4:$JS$4,BG$4,$CB7:$JS7)</f>
        <v/>
      </c>
      <c r="BH7" s="54">
        <f>SUMIF($CB$4:$JS$4,BH$4,$CB7:$JS7)</f>
        <v/>
      </c>
      <c r="BI7" s="54">
        <f>SUMIF($CB$4:$JS$4,BI$4,$CB7:$JS7)</f>
        <v/>
      </c>
      <c r="BJ7" s="54">
        <f>SUMIF($CB$4:$JS$4,BJ$4,$CB7:$JS7)</f>
        <v/>
      </c>
      <c r="BK7" s="54">
        <f>SUMIF($CB$4:$JS$4,BK$4,$CB7:$JS7)</f>
        <v/>
      </c>
      <c r="BL7" s="54">
        <f>SUMIF($CB$4:$JS$4,BL$4,$CB7:$JS7)</f>
        <v/>
      </c>
      <c r="BM7" s="54">
        <f>SUMIF($CB$4:$JS$4,BM$4,$CB7:$JS7)</f>
        <v/>
      </c>
      <c r="BN7" s="54">
        <f>SUMIF($CB$4:$JS$4,BN$4,$CB7:$JS7)</f>
        <v/>
      </c>
      <c r="BO7" s="54">
        <f>SUMIF($CB$4:$JS$4,BO$4,$CB7:$JS7)</f>
        <v/>
      </c>
      <c r="BP7" s="54">
        <f>SUMIF($CB$4:$JS$4,BP$4,$CB7:$JS7)</f>
        <v/>
      </c>
      <c r="BQ7" s="54">
        <f>SUMIF($CB$4:$JS$4,BQ$4,$CB7:$JS7)</f>
        <v/>
      </c>
      <c r="BR7" s="54">
        <f>SUMIF($CB$4:$JS$4,BR$4,$CB7:$JS7)</f>
        <v/>
      </c>
      <c r="BS7" s="54">
        <f>SUMIF($CB$4:$JS$4,BS$4,$CB7:$JS7)</f>
        <v/>
      </c>
      <c r="BT7" s="54">
        <f>SUMIF($CB$4:$JS$4,BT$4,$CB7:$JS7)</f>
        <v/>
      </c>
      <c r="BU7" s="54">
        <f>SUMIF($CB$4:$JS$4,BU$4,$CB7:$JS7)</f>
        <v/>
      </c>
      <c r="BV7" s="54">
        <f>SUMIF($CB$4:$JS$4,BV$4,$CB7:$JS7)</f>
        <v/>
      </c>
      <c r="BW7" s="54">
        <f>SUMIF($CB$4:$JS$4,BW$4,$CB7:$JS7)</f>
        <v/>
      </c>
      <c r="BX7" s="54">
        <f>SUMIF($CB$4:$JS$4,"&gt;"&amp;'VALOR POR PL'!$P$8,$CB7:$JS7)</f>
        <v/>
      </c>
      <c r="BY7" s="54">
        <f>SUM($CB7:$JS7)</f>
        <v/>
      </c>
      <c r="BZ7" s="49">
        <f>SUMPRODUCT(($CB$4:$JS$4&lt;&gt;"")*($CB$4:$JS$4&lt;=$D$4),$CB7:$JS7,$CB$1:$JS$1)</f>
        <v/>
      </c>
      <c r="CB7" s="132">
        <f>IF(OR(CB$4="",$B7=""),0,SUMIF('DADOS BRUTOS'!$A$3:$A$500,$B7,'DADOS BRUTOS'!B$3:B$500)+IF($C7="",0,SUMIF('DADOS BRUTOS'!$A$3:$A$500,$C7,'DADOS BRUTOS'!B$3:B$500)))</f>
        <v/>
      </c>
      <c r="CC7" s="132">
        <f>IF(OR(CC$4="",$B7=""),0,SUMIF('DADOS BRUTOS'!$A$3:$A$500,$B7,'DADOS BRUTOS'!C$3:C$500)+IF($C7="",0,SUMIF('DADOS BRUTOS'!$A$3:$A$500,$C7,'DADOS BRUTOS'!C$3:C$500)))</f>
        <v/>
      </c>
      <c r="CD7" s="132">
        <f>IF(OR(CD$4="",$B7=""),0,SUMIF('DADOS BRUTOS'!$A$3:$A$500,$B7,'DADOS BRUTOS'!D$3:D$500)+IF($C7="",0,SUMIF('DADOS BRUTOS'!$A$3:$A$500,$C7,'DADOS BRUTOS'!D$3:D$500)))</f>
        <v/>
      </c>
      <c r="CE7" s="132">
        <f>IF(OR(CE$4="",$B7=""),0,SUMIF('DADOS BRUTOS'!$A$3:$A$500,$B7,'DADOS BRUTOS'!E$3:E$500)+IF($C7="",0,SUMIF('DADOS BRUTOS'!$A$3:$A$500,$C7,'DADOS BRUTOS'!E$3:E$500)))</f>
        <v/>
      </c>
      <c r="CF7" s="132">
        <f>IF(OR(CF$4="",$B7=""),0,SUMIF('DADOS BRUTOS'!$A$3:$A$500,$B7,'DADOS BRUTOS'!F$3:F$500)+IF($C7="",0,SUMIF('DADOS BRUTOS'!$A$3:$A$500,$C7,'DADOS BRUTOS'!F$3:F$500)))</f>
        <v/>
      </c>
      <c r="CG7" s="132">
        <f>IF(OR(CG$4="",$B7=""),0,SUMIF('DADOS BRUTOS'!$A$3:$A$500,$B7,'DADOS BRUTOS'!G$3:G$500)+IF($C7="",0,SUMIF('DADOS BRUTOS'!$A$3:$A$500,$C7,'DADOS BRUTOS'!G$3:G$500)))</f>
        <v/>
      </c>
      <c r="CH7" s="132">
        <f>IF(OR(CH$4="",$B7=""),0,SUMIF('DADOS BRUTOS'!$A$3:$A$500,$B7,'DADOS BRUTOS'!H$3:H$500)+IF($C7="",0,SUMIF('DADOS BRUTOS'!$A$3:$A$500,$C7,'DADOS BRUTOS'!H$3:H$500)))</f>
        <v/>
      </c>
      <c r="CI7" s="132">
        <f>IF(OR(CI$4="",$B7=""),0,SUMIF('DADOS BRUTOS'!$A$3:$A$500,$B7,'DADOS BRUTOS'!I$3:I$500)+IF($C7="",0,SUMIF('DADOS BRUTOS'!$A$3:$A$500,$C7,'DADOS BRUTOS'!I$3:I$500)))</f>
        <v/>
      </c>
      <c r="CJ7" s="132">
        <f>IF(OR(CJ$4="",$B7=""),0,SUMIF('DADOS BRUTOS'!$A$3:$A$500,$B7,'DADOS BRUTOS'!J$3:J$500)+IF($C7="",0,SUMIF('DADOS BRUTOS'!$A$3:$A$500,$C7,'DADOS BRUTOS'!J$3:J$500)))</f>
        <v/>
      </c>
      <c r="CK7" s="132">
        <f>IF(OR(CK$4="",$B7=""),0,SUMIF('DADOS BRUTOS'!$A$3:$A$500,$B7,'DADOS BRUTOS'!K$3:K$500)+IF($C7="",0,SUMIF('DADOS BRUTOS'!$A$3:$A$500,$C7,'DADOS BRUTOS'!K$3:K$500)))</f>
        <v/>
      </c>
      <c r="CL7" s="132">
        <f>IF(OR(CL$4="",$B7=""),0,SUMIF('DADOS BRUTOS'!$A$3:$A$500,$B7,'DADOS BRUTOS'!L$3:L$500)+IF($C7="",0,SUMIF('DADOS BRUTOS'!$A$3:$A$500,$C7,'DADOS BRUTOS'!L$3:L$500)))</f>
        <v/>
      </c>
      <c r="CM7" s="132">
        <f>IF(OR(CM$4="",$B7=""),0,SUMIF('DADOS BRUTOS'!$A$3:$A$500,$B7,'DADOS BRUTOS'!M$3:M$500)+IF($C7="",0,SUMIF('DADOS BRUTOS'!$A$3:$A$500,$C7,'DADOS BRUTOS'!M$3:M$500)))</f>
        <v/>
      </c>
      <c r="CN7" s="132">
        <f>IF(OR(CN$4="",$B7=""),0,SUMIF('DADOS BRUTOS'!$A$3:$A$500,$B7,'DADOS BRUTOS'!N$3:N$500)+IF($C7="",0,SUMIF('DADOS BRUTOS'!$A$3:$A$500,$C7,'DADOS BRUTOS'!N$3:N$500)))</f>
        <v/>
      </c>
      <c r="CO7" s="132">
        <f>IF(OR(CO$4="",$B7=""),0,SUMIF('DADOS BRUTOS'!$A$3:$A$500,$B7,'DADOS BRUTOS'!O$3:O$500)+IF($C7="",0,SUMIF('DADOS BRUTOS'!$A$3:$A$500,$C7,'DADOS BRUTOS'!O$3:O$500)))</f>
        <v/>
      </c>
      <c r="CP7" s="132">
        <f>IF(OR(CP$4="",$B7=""),0,SUMIF('DADOS BRUTOS'!$A$3:$A$500,$B7,'DADOS BRUTOS'!P$3:P$500)+IF($C7="",0,SUMIF('DADOS BRUTOS'!$A$3:$A$500,$C7,'DADOS BRUTOS'!P$3:P$500)))</f>
        <v/>
      </c>
      <c r="CQ7" s="132">
        <f>IF(OR(CQ$4="",$B7=""),0,SUMIF('DADOS BRUTOS'!$A$3:$A$500,$B7,'DADOS BRUTOS'!Q$3:Q$500)+IF($C7="",0,SUMIF('DADOS BRUTOS'!$A$3:$A$500,$C7,'DADOS BRUTOS'!Q$3:Q$500)))</f>
        <v/>
      </c>
      <c r="CR7" s="132">
        <f>IF(OR(CR$4="",$B7=""),0,SUMIF('DADOS BRUTOS'!$A$3:$A$500,$B7,'DADOS BRUTOS'!R$3:R$500)+IF($C7="",0,SUMIF('DADOS BRUTOS'!$A$3:$A$500,$C7,'DADOS BRUTOS'!R$3:R$500)))</f>
        <v/>
      </c>
      <c r="CS7" s="132">
        <f>IF(OR(CS$4="",$B7=""),0,SUMIF('DADOS BRUTOS'!$A$3:$A$500,$B7,'DADOS BRUTOS'!S$3:S$500)+IF($C7="",0,SUMIF('DADOS BRUTOS'!$A$3:$A$500,$C7,'DADOS BRUTOS'!S$3:S$500)))</f>
        <v/>
      </c>
      <c r="CT7" s="132">
        <f>IF(OR(CT$4="",$B7=""),0,SUMIF('DADOS BRUTOS'!$A$3:$A$500,$B7,'DADOS BRUTOS'!T$3:T$500)+IF($C7="",0,SUMIF('DADOS BRUTOS'!$A$3:$A$500,$C7,'DADOS BRUTOS'!T$3:T$500)))</f>
        <v/>
      </c>
      <c r="CU7" s="132">
        <f>IF(OR(CU$4="",$B7=""),0,SUMIF('DADOS BRUTOS'!$A$3:$A$500,$B7,'DADOS BRUTOS'!U$3:U$500)+IF($C7="",0,SUMIF('DADOS BRUTOS'!$A$3:$A$500,$C7,'DADOS BRUTOS'!U$3:U$500)))</f>
        <v/>
      </c>
      <c r="CV7" s="132">
        <f>IF(OR(CV$4="",$B7=""),0,SUMIF('DADOS BRUTOS'!$A$3:$A$500,$B7,'DADOS BRUTOS'!V$3:V$500)+IF($C7="",0,SUMIF('DADOS BRUTOS'!$A$3:$A$500,$C7,'DADOS BRUTOS'!V$3:V$500)))</f>
        <v/>
      </c>
      <c r="CW7" s="132">
        <f>IF(OR(CW$4="",$B7=""),0,SUMIF('DADOS BRUTOS'!$A$3:$A$500,$B7,'DADOS BRUTOS'!W$3:W$500)+IF($C7="",0,SUMIF('DADOS BRUTOS'!$A$3:$A$500,$C7,'DADOS BRUTOS'!W$3:W$500)))</f>
        <v/>
      </c>
      <c r="CX7" s="132">
        <f>IF(OR(CX$4="",$B7=""),0,SUMIF('DADOS BRUTOS'!$A$3:$A$500,$B7,'DADOS BRUTOS'!X$3:X$500)+IF($C7="",0,SUMIF('DADOS BRUTOS'!$A$3:$A$500,$C7,'DADOS BRUTOS'!X$3:X$500)))</f>
        <v/>
      </c>
      <c r="CY7" s="132">
        <f>IF(OR(CY$4="",$B7=""),0,SUMIF('DADOS BRUTOS'!$A$3:$A$500,$B7,'DADOS BRUTOS'!Y$3:Y$500)+IF($C7="",0,SUMIF('DADOS BRUTOS'!$A$3:$A$500,$C7,'DADOS BRUTOS'!Y$3:Y$500)))</f>
        <v/>
      </c>
      <c r="CZ7" s="132">
        <f>IF(OR(CZ$4="",$B7=""),0,SUMIF('DADOS BRUTOS'!$A$3:$A$500,$B7,'DADOS BRUTOS'!Z$3:Z$500)+IF($C7="",0,SUMIF('DADOS BRUTOS'!$A$3:$A$500,$C7,'DADOS BRUTOS'!Z$3:Z$500)))</f>
        <v/>
      </c>
      <c r="DA7" s="132">
        <f>IF(OR(DA$4="",$B7=""),0,SUMIF('DADOS BRUTOS'!$A$3:$A$500,$B7,'DADOS BRUTOS'!AA$3:AA$500)+IF($C7="",0,SUMIF('DADOS BRUTOS'!$A$3:$A$500,$C7,'DADOS BRUTOS'!AA$3:AA$500)))</f>
        <v/>
      </c>
      <c r="DB7" s="132">
        <f>IF(OR(DB$4="",$B7=""),0,SUMIF('DADOS BRUTOS'!$A$3:$A$500,$B7,'DADOS BRUTOS'!AB$3:AB$500)+IF($C7="",0,SUMIF('DADOS BRUTOS'!$A$3:$A$500,$C7,'DADOS BRUTOS'!AB$3:AB$500)))</f>
        <v/>
      </c>
      <c r="DC7" s="132">
        <f>IF(OR(DC$4="",$B7=""),0,SUMIF('DADOS BRUTOS'!$A$3:$A$500,$B7,'DADOS BRUTOS'!AC$3:AC$500)+IF($C7="",0,SUMIF('DADOS BRUTOS'!$A$3:$A$500,$C7,'DADOS BRUTOS'!AC$3:AC$500)))</f>
        <v/>
      </c>
      <c r="DD7" s="132">
        <f>IF(OR(DD$4="",$B7=""),0,SUMIF('DADOS BRUTOS'!$A$3:$A$500,$B7,'DADOS BRUTOS'!AD$3:AD$500)+IF($C7="",0,SUMIF('DADOS BRUTOS'!$A$3:$A$500,$C7,'DADOS BRUTOS'!AD$3:AD$500)))</f>
        <v/>
      </c>
      <c r="DE7" s="132">
        <f>IF(OR(DE$4="",$B7=""),0,SUMIF('DADOS BRUTOS'!$A$3:$A$500,$B7,'DADOS BRUTOS'!AE$3:AE$500)+IF($C7="",0,SUMIF('DADOS BRUTOS'!$A$3:$A$500,$C7,'DADOS BRUTOS'!AE$3:AE$500)))</f>
        <v/>
      </c>
      <c r="DF7" s="132">
        <f>IF(OR(DF$4="",$B7=""),0,SUMIF('DADOS BRUTOS'!$A$3:$A$500,$B7,'DADOS BRUTOS'!AF$3:AF$500)+IF($C7="",0,SUMIF('DADOS BRUTOS'!$A$3:$A$500,$C7,'DADOS BRUTOS'!AF$3:AF$500)))</f>
        <v/>
      </c>
      <c r="DG7" s="132">
        <f>IF(OR(DG$4="",$B7=""),0,SUMIF('DADOS BRUTOS'!$A$3:$A$500,$B7,'DADOS BRUTOS'!AG$3:AG$500)+IF($C7="",0,SUMIF('DADOS BRUTOS'!$A$3:$A$500,$C7,'DADOS BRUTOS'!AG$3:AG$500)))</f>
        <v/>
      </c>
      <c r="DH7" s="132">
        <f>IF(OR(DH$4="",$B7=""),0,SUMIF('DADOS BRUTOS'!$A$3:$A$500,$B7,'DADOS BRUTOS'!AH$3:AH$500)+IF($C7="",0,SUMIF('DADOS BRUTOS'!$A$3:$A$500,$C7,'DADOS BRUTOS'!AH$3:AH$500)))</f>
        <v/>
      </c>
      <c r="DI7" s="132">
        <f>IF(OR(DI$4="",$B7=""),0,SUMIF('DADOS BRUTOS'!$A$3:$A$500,$B7,'DADOS BRUTOS'!AI$3:AI$500)+IF($C7="",0,SUMIF('DADOS BRUTOS'!$A$3:$A$500,$C7,'DADOS BRUTOS'!AI$3:AI$500)))</f>
        <v/>
      </c>
      <c r="DJ7" s="132">
        <f>IF(OR(DJ$4="",$B7=""),0,SUMIF('DADOS BRUTOS'!$A$3:$A$500,$B7,'DADOS BRUTOS'!AJ$3:AJ$500)+IF($C7="",0,SUMIF('DADOS BRUTOS'!$A$3:$A$500,$C7,'DADOS BRUTOS'!AJ$3:AJ$500)))</f>
        <v/>
      </c>
      <c r="DK7" s="132">
        <f>IF(OR(DK$4="",$B7=""),0,SUMIF('DADOS BRUTOS'!$A$3:$A$500,$B7,'DADOS BRUTOS'!AK$3:AK$500)+IF($C7="",0,SUMIF('DADOS BRUTOS'!$A$3:$A$500,$C7,'DADOS BRUTOS'!AK$3:AK$500)))</f>
        <v/>
      </c>
      <c r="DL7" s="132">
        <f>IF(OR(DL$4="",$B7=""),0,SUMIF('DADOS BRUTOS'!$A$3:$A$500,$B7,'DADOS BRUTOS'!AL$3:AL$500)+IF($C7="",0,SUMIF('DADOS BRUTOS'!$A$3:$A$500,$C7,'DADOS BRUTOS'!AL$3:AL$500)))</f>
        <v/>
      </c>
      <c r="DM7" s="132">
        <f>IF(OR(DM$4="",$B7=""),0,SUMIF('DADOS BRUTOS'!$A$3:$A$500,$B7,'DADOS BRUTOS'!AM$3:AM$500)+IF($C7="",0,SUMIF('DADOS BRUTOS'!$A$3:$A$500,$C7,'DADOS BRUTOS'!AM$3:AM$500)))</f>
        <v/>
      </c>
      <c r="DN7" s="132">
        <f>IF(OR(DN$4="",$B7=""),0,SUMIF('DADOS BRUTOS'!$A$3:$A$500,$B7,'DADOS BRUTOS'!AN$3:AN$500)+IF($C7="",0,SUMIF('DADOS BRUTOS'!$A$3:$A$500,$C7,'DADOS BRUTOS'!AN$3:AN$500)))</f>
        <v/>
      </c>
      <c r="DO7" s="132">
        <f>IF(OR(DO$4="",$B7=""),0,SUMIF('DADOS BRUTOS'!$A$3:$A$500,$B7,'DADOS BRUTOS'!AO$3:AO$500)+IF($C7="",0,SUMIF('DADOS BRUTOS'!$A$3:$A$500,$C7,'DADOS BRUTOS'!AO$3:AO$500)))</f>
        <v/>
      </c>
      <c r="DP7" s="132">
        <f>IF(OR(DP$4="",$B7=""),0,SUMIF('DADOS BRUTOS'!$A$3:$A$500,$B7,'DADOS BRUTOS'!AP$3:AP$500)+IF($C7="",0,SUMIF('DADOS BRUTOS'!$A$3:$A$500,$C7,'DADOS BRUTOS'!AP$3:AP$500)))</f>
        <v/>
      </c>
      <c r="DQ7" s="132">
        <f>IF(OR(DQ$4="",$B7=""),0,SUMIF('DADOS BRUTOS'!$A$3:$A$500,$B7,'DADOS BRUTOS'!AQ$3:AQ$500)+IF($C7="",0,SUMIF('DADOS BRUTOS'!$A$3:$A$500,$C7,'DADOS BRUTOS'!AQ$3:AQ$500)))</f>
        <v/>
      </c>
      <c r="DR7" s="132">
        <f>IF(OR(DR$4="",$B7=""),0,SUMIF('DADOS BRUTOS'!$A$3:$A$500,$B7,'DADOS BRUTOS'!AR$3:AR$500)+IF($C7="",0,SUMIF('DADOS BRUTOS'!$A$3:$A$500,$C7,'DADOS BRUTOS'!AR$3:AR$500)))</f>
        <v/>
      </c>
      <c r="DS7" s="132">
        <f>IF(OR(DS$4="",$B7=""),0,SUMIF('DADOS BRUTOS'!$A$3:$A$500,$B7,'DADOS BRUTOS'!AS$3:AS$500)+IF($C7="",0,SUMIF('DADOS BRUTOS'!$A$3:$A$500,$C7,'DADOS BRUTOS'!AS$3:AS$500)))</f>
        <v/>
      </c>
      <c r="DT7" s="132">
        <f>IF(OR(DT$4="",$B7=""),0,SUMIF('DADOS BRUTOS'!$A$3:$A$500,$B7,'DADOS BRUTOS'!AT$3:AT$500)+IF($C7="",0,SUMIF('DADOS BRUTOS'!$A$3:$A$500,$C7,'DADOS BRUTOS'!AT$3:AT$500)))</f>
        <v/>
      </c>
      <c r="DU7" s="132">
        <f>IF(OR(DU$4="",$B7=""),0,SUMIF('DADOS BRUTOS'!$A$3:$A$500,$B7,'DADOS BRUTOS'!AU$3:AU$500)+IF($C7="",0,SUMIF('DADOS BRUTOS'!$A$3:$A$500,$C7,'DADOS BRUTOS'!AU$3:AU$500)))</f>
        <v/>
      </c>
      <c r="DV7" s="132">
        <f>IF(OR(DV$4="",$B7=""),0,SUMIF('DADOS BRUTOS'!$A$3:$A$500,$B7,'DADOS BRUTOS'!AV$3:AV$500)+IF($C7="",0,SUMIF('DADOS BRUTOS'!$A$3:$A$500,$C7,'DADOS BRUTOS'!AV$3:AV$500)))</f>
        <v/>
      </c>
      <c r="DW7" s="132">
        <f>IF(OR(DW$4="",$B7=""),0,SUMIF('DADOS BRUTOS'!$A$3:$A$500,$B7,'DADOS BRUTOS'!AW$3:AW$500)+IF($C7="",0,SUMIF('DADOS BRUTOS'!$A$3:$A$500,$C7,'DADOS BRUTOS'!AW$3:AW$500)))</f>
        <v/>
      </c>
      <c r="DX7" s="132">
        <f>IF(OR(DX$4="",$B7=""),0,SUMIF('DADOS BRUTOS'!$A$3:$A$500,$B7,'DADOS BRUTOS'!AX$3:AX$500)+IF($C7="",0,SUMIF('DADOS BRUTOS'!$A$3:$A$500,$C7,'DADOS BRUTOS'!AX$3:AX$500)))</f>
        <v/>
      </c>
      <c r="DY7" s="132">
        <f>IF(OR(DY$4="",$B7=""),0,SUMIF('DADOS BRUTOS'!$A$3:$A$500,$B7,'DADOS BRUTOS'!AY$3:AY$500)+IF($C7="",0,SUMIF('DADOS BRUTOS'!$A$3:$A$500,$C7,'DADOS BRUTOS'!AY$3:AY$500)))</f>
        <v/>
      </c>
      <c r="DZ7" s="132">
        <f>IF(OR(DZ$4="",$B7=""),0,SUMIF('DADOS BRUTOS'!$A$3:$A$500,$B7,'DADOS BRUTOS'!AZ$3:AZ$500)+IF($C7="",0,SUMIF('DADOS BRUTOS'!$A$3:$A$500,$C7,'DADOS BRUTOS'!AZ$3:AZ$500)))</f>
        <v/>
      </c>
      <c r="EA7" s="132">
        <f>IF(OR(EA$4="",$B7=""),0,SUMIF('DADOS BRUTOS'!$A$3:$A$500,$B7,'DADOS BRUTOS'!BA$3:BA$500)+IF($C7="",0,SUMIF('DADOS BRUTOS'!$A$3:$A$500,$C7,'DADOS BRUTOS'!BA$3:BA$500)))</f>
        <v/>
      </c>
      <c r="EB7" s="132">
        <f>IF(OR(EB$4="",$B7=""),0,SUMIF('DADOS BRUTOS'!$A$3:$A$500,$B7,'DADOS BRUTOS'!BB$3:BB$500)+IF($C7="",0,SUMIF('DADOS BRUTOS'!$A$3:$A$500,$C7,'DADOS BRUTOS'!BB$3:BB$500)))</f>
        <v/>
      </c>
      <c r="EC7" s="132">
        <f>IF(OR(EC$4="",$B7=""),0,SUMIF('DADOS BRUTOS'!$A$3:$A$500,$B7,'DADOS BRUTOS'!BC$3:BC$500)+IF($C7="",0,SUMIF('DADOS BRUTOS'!$A$3:$A$500,$C7,'DADOS BRUTOS'!BC$3:BC$500)))</f>
        <v/>
      </c>
      <c r="ED7" s="132">
        <f>IF(OR(ED$4="",$B7=""),0,SUMIF('DADOS BRUTOS'!$A$3:$A$500,$B7,'DADOS BRUTOS'!BD$3:BD$500)+IF($C7="",0,SUMIF('DADOS BRUTOS'!$A$3:$A$500,$C7,'DADOS BRUTOS'!BD$3:BD$500)))</f>
        <v/>
      </c>
      <c r="EE7" s="132">
        <f>IF(OR(EE$4="",$B7=""),0,SUMIF('DADOS BRUTOS'!$A$3:$A$500,$B7,'DADOS BRUTOS'!BE$3:BE$500)+IF($C7="",0,SUMIF('DADOS BRUTOS'!$A$3:$A$500,$C7,'DADOS BRUTOS'!BE$3:BE$500)))</f>
        <v/>
      </c>
      <c r="EF7" s="132">
        <f>IF(OR(EF$4="",$B7=""),0,SUMIF('DADOS BRUTOS'!$A$3:$A$500,$B7,'DADOS BRUTOS'!BF$3:BF$500)+IF($C7="",0,SUMIF('DADOS BRUTOS'!$A$3:$A$500,$C7,'DADOS BRUTOS'!BF$3:BF$500)))</f>
        <v/>
      </c>
      <c r="EG7" s="132">
        <f>IF(OR(EG$4="",$B7=""),0,SUMIF('DADOS BRUTOS'!$A$3:$A$500,$B7,'DADOS BRUTOS'!BG$3:BG$500)+IF($C7="",0,SUMIF('DADOS BRUTOS'!$A$3:$A$500,$C7,'DADOS BRUTOS'!BG$3:BG$500)))</f>
        <v/>
      </c>
      <c r="EH7" s="132">
        <f>IF(OR(EH$4="",$B7=""),0,SUMIF('DADOS BRUTOS'!$A$3:$A$500,$B7,'DADOS BRUTOS'!BH$3:BH$500)+IF($C7="",0,SUMIF('DADOS BRUTOS'!$A$3:$A$500,$C7,'DADOS BRUTOS'!BH$3:BH$500)))</f>
        <v/>
      </c>
      <c r="EI7" s="132">
        <f>IF(OR(EI$4="",$B7=""),0,SUMIF('DADOS BRUTOS'!$A$3:$A$500,$B7,'DADOS BRUTOS'!BI$3:BI$500)+IF($C7="",0,SUMIF('DADOS BRUTOS'!$A$3:$A$500,$C7,'DADOS BRUTOS'!BI$3:BI$500)))</f>
        <v/>
      </c>
      <c r="EJ7" s="132">
        <f>IF(OR(EJ$4="",$B7=""),0,SUMIF('DADOS BRUTOS'!$A$3:$A$500,$B7,'DADOS BRUTOS'!BJ$3:BJ$500)+IF($C7="",0,SUMIF('DADOS BRUTOS'!$A$3:$A$500,$C7,'DADOS BRUTOS'!BJ$3:BJ$500)))</f>
        <v/>
      </c>
      <c r="EK7" s="132">
        <f>IF(OR(EK$4="",$B7=""),0,SUMIF('DADOS BRUTOS'!$A$3:$A$500,$B7,'DADOS BRUTOS'!BK$3:BK$500)+IF($C7="",0,SUMIF('DADOS BRUTOS'!$A$3:$A$500,$C7,'DADOS BRUTOS'!BK$3:BK$500)))</f>
        <v/>
      </c>
      <c r="EL7" s="132">
        <f>IF(OR(EL$4="",$B7=""),0,SUMIF('DADOS BRUTOS'!$A$3:$A$500,$B7,'DADOS BRUTOS'!BL$3:BL$500)+IF($C7="",0,SUMIF('DADOS BRUTOS'!$A$3:$A$500,$C7,'DADOS BRUTOS'!BL$3:BL$500)))</f>
        <v/>
      </c>
      <c r="EM7" s="132">
        <f>IF(OR(EM$4="",$B7=""),0,SUMIF('DADOS BRUTOS'!$A$3:$A$500,$B7,'DADOS BRUTOS'!BM$3:BM$500)+IF($C7="",0,SUMIF('DADOS BRUTOS'!$A$3:$A$500,$C7,'DADOS BRUTOS'!BM$3:BM$500)))</f>
        <v/>
      </c>
      <c r="EN7" s="132">
        <f>IF(OR(EN$4="",$B7=""),0,SUMIF('DADOS BRUTOS'!$A$3:$A$500,$B7,'DADOS BRUTOS'!BN$3:BN$500)+IF($C7="",0,SUMIF('DADOS BRUTOS'!$A$3:$A$500,$C7,'DADOS BRUTOS'!BN$3:BN$500)))</f>
        <v/>
      </c>
      <c r="EO7" s="132">
        <f>IF(OR(EO$4="",$B7=""),0,SUMIF('DADOS BRUTOS'!$A$3:$A$500,$B7,'DADOS BRUTOS'!BO$3:BO$500)+IF($C7="",0,SUMIF('DADOS BRUTOS'!$A$3:$A$500,$C7,'DADOS BRUTOS'!BO$3:BO$500)))</f>
        <v/>
      </c>
      <c r="EP7" s="132">
        <f>IF(OR(EP$4="",$B7=""),0,SUMIF('DADOS BRUTOS'!$A$3:$A$500,$B7,'DADOS BRUTOS'!BP$3:BP$500)+IF($C7="",0,SUMIF('DADOS BRUTOS'!$A$3:$A$500,$C7,'DADOS BRUTOS'!BP$3:BP$500)))</f>
        <v/>
      </c>
      <c r="EQ7" s="132">
        <f>IF(OR(EQ$4="",$B7=""),0,SUMIF('DADOS BRUTOS'!$A$3:$A$500,$B7,'DADOS BRUTOS'!BQ$3:BQ$500)+IF($C7="",0,SUMIF('DADOS BRUTOS'!$A$3:$A$500,$C7,'DADOS BRUTOS'!BQ$3:BQ$500)))</f>
        <v/>
      </c>
      <c r="ER7" s="132">
        <f>IF(OR(ER$4="",$B7=""),0,SUMIF('DADOS BRUTOS'!$A$3:$A$500,$B7,'DADOS BRUTOS'!BR$3:BR$500)+IF($C7="",0,SUMIF('DADOS BRUTOS'!$A$3:$A$500,$C7,'DADOS BRUTOS'!BR$3:BR$500)))</f>
        <v/>
      </c>
      <c r="ES7" s="132">
        <f>IF(OR(ES$4="",$B7=""),0,SUMIF('DADOS BRUTOS'!$A$3:$A$500,$B7,'DADOS BRUTOS'!BS$3:BS$500)+IF($C7="",0,SUMIF('DADOS BRUTOS'!$A$3:$A$500,$C7,'DADOS BRUTOS'!BS$3:BS$500)))</f>
        <v/>
      </c>
      <c r="ET7" s="132">
        <f>IF(OR(ET$4="",$B7=""),0,SUMIF('DADOS BRUTOS'!$A$3:$A$500,$B7,'DADOS BRUTOS'!BT$3:BT$500)+IF($C7="",0,SUMIF('DADOS BRUTOS'!$A$3:$A$500,$C7,'DADOS BRUTOS'!BT$3:BT$500)))</f>
        <v/>
      </c>
      <c r="EU7" s="132">
        <f>IF(OR(EU$4="",$B7=""),0,SUMIF('DADOS BRUTOS'!$A$3:$A$500,$B7,'DADOS BRUTOS'!BU$3:BU$500)+IF($C7="",0,SUMIF('DADOS BRUTOS'!$A$3:$A$500,$C7,'DADOS BRUTOS'!BU$3:BU$500)))</f>
        <v/>
      </c>
      <c r="EV7" s="132">
        <f>IF(OR(EV$4="",$B7=""),0,SUMIF('DADOS BRUTOS'!$A$3:$A$500,$B7,'DADOS BRUTOS'!BV$3:BV$500)+IF($C7="",0,SUMIF('DADOS BRUTOS'!$A$3:$A$500,$C7,'DADOS BRUTOS'!BV$3:BV$500)))</f>
        <v/>
      </c>
      <c r="EW7" s="132">
        <f>IF(OR(EW$4="",$B7=""),0,SUMIF('DADOS BRUTOS'!$A$3:$A$500,$B7,'DADOS BRUTOS'!BW$3:BW$500)+IF($C7="",0,SUMIF('DADOS BRUTOS'!$A$3:$A$500,$C7,'DADOS BRUTOS'!BW$3:BW$500)))</f>
        <v/>
      </c>
      <c r="EX7" s="132">
        <f>IF(OR(EX$4="",$B7=""),0,SUMIF('DADOS BRUTOS'!$A$3:$A$500,$B7,'DADOS BRUTOS'!BX$3:BX$500)+IF($C7="",0,SUMIF('DADOS BRUTOS'!$A$3:$A$500,$C7,'DADOS BRUTOS'!BX$3:BX$500)))</f>
        <v/>
      </c>
      <c r="EY7" s="132">
        <f>IF(OR(EY$4="",$B7=""),0,SUMIF('DADOS BRUTOS'!$A$3:$A$500,$B7,'DADOS BRUTOS'!BY$3:BY$500)+IF($C7="",0,SUMIF('DADOS BRUTOS'!$A$3:$A$500,$C7,'DADOS BRUTOS'!BY$3:BY$500)))</f>
        <v/>
      </c>
      <c r="EZ7" s="132">
        <f>IF(OR(EZ$4="",$B7=""),0,SUMIF('DADOS BRUTOS'!$A$3:$A$500,$B7,'DADOS BRUTOS'!BZ$3:BZ$500)+IF($C7="",0,SUMIF('DADOS BRUTOS'!$A$3:$A$500,$C7,'DADOS BRUTOS'!BZ$3:BZ$500)))</f>
        <v/>
      </c>
      <c r="FA7" s="132">
        <f>IF(OR(FA$4="",$B7=""),0,SUMIF('DADOS BRUTOS'!$A$3:$A$500,$B7,'DADOS BRUTOS'!CA$3:CA$500)+IF($C7="",0,SUMIF('DADOS BRUTOS'!$A$3:$A$500,$C7,'DADOS BRUTOS'!CA$3:CA$500)))</f>
        <v/>
      </c>
      <c r="FB7" s="132">
        <f>IF(OR(FB$4="",$B7=""),0,SUMIF('DADOS BRUTOS'!$A$3:$A$500,$B7,'DADOS BRUTOS'!CB$3:CB$500)+IF($C7="",0,SUMIF('DADOS BRUTOS'!$A$3:$A$500,$C7,'DADOS BRUTOS'!CB$3:CB$500)))</f>
        <v/>
      </c>
      <c r="FC7" s="132">
        <f>IF(OR(FC$4="",$B7=""),0,SUMIF('DADOS BRUTOS'!$A$3:$A$500,$B7,'DADOS BRUTOS'!CC$3:CC$500)+IF($C7="",0,SUMIF('DADOS BRUTOS'!$A$3:$A$500,$C7,'DADOS BRUTOS'!CC$3:CC$500)))</f>
        <v/>
      </c>
      <c r="FD7" s="132">
        <f>IF(OR(FD$4="",$B7=""),0,SUMIF('DADOS BRUTOS'!$A$3:$A$500,$B7,'DADOS BRUTOS'!CD$3:CD$500)+IF($C7="",0,SUMIF('DADOS BRUTOS'!$A$3:$A$500,$C7,'DADOS BRUTOS'!CD$3:CD$500)))</f>
        <v/>
      </c>
      <c r="FE7" s="132">
        <f>IF(OR(FE$4="",$B7=""),0,SUMIF('DADOS BRUTOS'!$A$3:$A$500,$B7,'DADOS BRUTOS'!CE$3:CE$500)+IF($C7="",0,SUMIF('DADOS BRUTOS'!$A$3:$A$500,$C7,'DADOS BRUTOS'!CE$3:CE$500)))</f>
        <v/>
      </c>
      <c r="FF7" s="132">
        <f>IF(OR(FF$4="",$B7=""),0,SUMIF('DADOS BRUTOS'!$A$3:$A$500,$B7,'DADOS BRUTOS'!CF$3:CF$500)+IF($C7="",0,SUMIF('DADOS BRUTOS'!$A$3:$A$500,$C7,'DADOS BRUTOS'!CF$3:CF$500)))</f>
        <v/>
      </c>
      <c r="FG7" s="132">
        <f>IF(OR(FG$4="",$B7=""),0,SUMIF('DADOS BRUTOS'!$A$3:$A$500,$B7,'DADOS BRUTOS'!CG$3:CG$500)+IF($C7="",0,SUMIF('DADOS BRUTOS'!$A$3:$A$500,$C7,'DADOS BRUTOS'!CG$3:CG$500)))</f>
        <v/>
      </c>
      <c r="FH7" s="132">
        <f>IF(OR(FH$4="",$B7=""),0,SUMIF('DADOS BRUTOS'!$A$3:$A$500,$B7,'DADOS BRUTOS'!CH$3:CH$500)+IF($C7="",0,SUMIF('DADOS BRUTOS'!$A$3:$A$500,$C7,'DADOS BRUTOS'!CH$3:CH$500)))</f>
        <v/>
      </c>
      <c r="FI7" s="132">
        <f>IF(OR(FI$4="",$B7=""),0,SUMIF('DADOS BRUTOS'!$A$3:$A$500,$B7,'DADOS BRUTOS'!CI$3:CI$500)+IF($C7="",0,SUMIF('DADOS BRUTOS'!$A$3:$A$500,$C7,'DADOS BRUTOS'!CI$3:CI$500)))</f>
        <v/>
      </c>
      <c r="FJ7" s="132">
        <f>IF(OR(FJ$4="",$B7=""),0,SUMIF('DADOS BRUTOS'!$A$3:$A$500,$B7,'DADOS BRUTOS'!CJ$3:CJ$500)+IF($C7="",0,SUMIF('DADOS BRUTOS'!$A$3:$A$500,$C7,'DADOS BRUTOS'!CJ$3:CJ$500)))</f>
        <v/>
      </c>
      <c r="FK7" s="132">
        <f>IF(OR(FK$4="",$B7=""),0,SUMIF('DADOS BRUTOS'!$A$3:$A$500,$B7,'DADOS BRUTOS'!CK$3:CK$500)+IF($C7="",0,SUMIF('DADOS BRUTOS'!$A$3:$A$500,$C7,'DADOS BRUTOS'!CK$3:CK$500)))</f>
        <v/>
      </c>
      <c r="FL7" s="132">
        <f>IF(OR(FL$4="",$B7=""),0,SUMIF('DADOS BRUTOS'!$A$3:$A$500,$B7,'DADOS BRUTOS'!CL$3:CL$500)+IF($C7="",0,SUMIF('DADOS BRUTOS'!$A$3:$A$500,$C7,'DADOS BRUTOS'!CL$3:CL$500)))</f>
        <v/>
      </c>
      <c r="FM7" s="132">
        <f>IF(OR(FM$4="",$B7=""),0,SUMIF('DADOS BRUTOS'!$A$3:$A$500,$B7,'DADOS BRUTOS'!CM$3:CM$500)+IF($C7="",0,SUMIF('DADOS BRUTOS'!$A$3:$A$500,$C7,'DADOS BRUTOS'!CM$3:CM$500)))</f>
        <v/>
      </c>
      <c r="FN7" s="132">
        <f>IF(OR(FN$4="",$B7=""),0,SUMIF('DADOS BRUTOS'!$A$3:$A$500,$B7,'DADOS BRUTOS'!CN$3:CN$500)+IF($C7="",0,SUMIF('DADOS BRUTOS'!$A$3:$A$500,$C7,'DADOS BRUTOS'!CN$3:CN$500)))</f>
        <v/>
      </c>
      <c r="FO7" s="132">
        <f>IF(OR(FO$4="",$B7=""),0,SUMIF('DADOS BRUTOS'!$A$3:$A$500,$B7,'DADOS BRUTOS'!CO$3:CO$500)+IF($C7="",0,SUMIF('DADOS BRUTOS'!$A$3:$A$500,$C7,'DADOS BRUTOS'!CO$3:CO$500)))</f>
        <v/>
      </c>
      <c r="FP7" s="132">
        <f>IF(OR(FP$4="",$B7=""),0,SUMIF('DADOS BRUTOS'!$A$3:$A$500,$B7,'DADOS BRUTOS'!CP$3:CP$500)+IF($C7="",0,SUMIF('DADOS BRUTOS'!$A$3:$A$500,$C7,'DADOS BRUTOS'!CP$3:CP$500)))</f>
        <v/>
      </c>
      <c r="FQ7" s="132">
        <f>IF(OR(FQ$4="",$B7=""),0,SUMIF('DADOS BRUTOS'!$A$3:$A$500,$B7,'DADOS BRUTOS'!CQ$3:CQ$500)+IF($C7="",0,SUMIF('DADOS BRUTOS'!$A$3:$A$500,$C7,'DADOS BRUTOS'!CQ$3:CQ$500)))</f>
        <v/>
      </c>
      <c r="FR7" s="132">
        <f>IF(OR(FR$4="",$B7=""),0,SUMIF('DADOS BRUTOS'!$A$3:$A$500,$B7,'DADOS BRUTOS'!CR$3:CR$500)+IF($C7="",0,SUMIF('DADOS BRUTOS'!$A$3:$A$500,$C7,'DADOS BRUTOS'!CR$3:CR$500)))</f>
        <v/>
      </c>
      <c r="FS7" s="132">
        <f>IF(OR(FS$4="",$B7=""),0,SUMIF('DADOS BRUTOS'!$A$3:$A$500,$B7,'DADOS BRUTOS'!CS$3:CS$500)+IF($C7="",0,SUMIF('DADOS BRUTOS'!$A$3:$A$500,$C7,'DADOS BRUTOS'!CS$3:CS$500)))</f>
        <v/>
      </c>
      <c r="FT7" s="132">
        <f>IF(OR(FT$4="",$B7=""),0,SUMIF('DADOS BRUTOS'!$A$3:$A$500,$B7,'DADOS BRUTOS'!CT$3:CT$500)+IF($C7="",0,SUMIF('DADOS BRUTOS'!$A$3:$A$500,$C7,'DADOS BRUTOS'!CT$3:CT$500)))</f>
        <v/>
      </c>
      <c r="FU7" s="132">
        <f>IF(OR(FU$4="",$B7=""),0,SUMIF('DADOS BRUTOS'!$A$3:$A$500,$B7,'DADOS BRUTOS'!CU$3:CU$500)+IF($C7="",0,SUMIF('DADOS BRUTOS'!$A$3:$A$500,$C7,'DADOS BRUTOS'!CU$3:CU$500)))</f>
        <v/>
      </c>
      <c r="FV7" s="132">
        <f>IF(OR(FV$4="",$B7=""),0,SUMIF('DADOS BRUTOS'!$A$3:$A$500,$B7,'DADOS BRUTOS'!CV$3:CV$500)+IF($C7="",0,SUMIF('DADOS BRUTOS'!$A$3:$A$500,$C7,'DADOS BRUTOS'!CV$3:CV$500)))</f>
        <v/>
      </c>
      <c r="FW7" s="132">
        <f>IF(OR(FW$4="",$B7=""),0,SUMIF('DADOS BRUTOS'!$A$3:$A$500,$B7,'DADOS BRUTOS'!CW$3:CW$500)+IF($C7="",0,SUMIF('DADOS BRUTOS'!$A$3:$A$500,$C7,'DADOS BRUTOS'!CW$3:CW$500)))</f>
        <v/>
      </c>
      <c r="FX7" s="132">
        <f>IF(OR(FX$4="",$B7=""),0,SUMIF('DADOS BRUTOS'!$A$3:$A$500,$B7,'DADOS BRUTOS'!CX$3:CX$500)+IF($C7="",0,SUMIF('DADOS BRUTOS'!$A$3:$A$500,$C7,'DADOS BRUTOS'!CX$3:CX$500)))</f>
        <v/>
      </c>
      <c r="FY7" s="132">
        <f>IF(OR(FY$4="",$B7=""),0,SUMIF('DADOS BRUTOS'!$A$3:$A$500,$B7,'DADOS BRUTOS'!CY$3:CY$500)+IF($C7="",0,SUMIF('DADOS BRUTOS'!$A$3:$A$500,$C7,'DADOS BRUTOS'!CY$3:CY$500)))</f>
        <v/>
      </c>
      <c r="FZ7" s="132">
        <f>IF(OR(FZ$4="",$B7=""),0,SUMIF('DADOS BRUTOS'!$A$3:$A$500,$B7,'DADOS BRUTOS'!CZ$3:CZ$500)+IF($C7="",0,SUMIF('DADOS BRUTOS'!$A$3:$A$500,$C7,'DADOS BRUTOS'!CZ$3:CZ$500)))</f>
        <v/>
      </c>
      <c r="GA7" s="132">
        <f>IF(OR(GA$4="",$B7=""),0,SUMIF('DADOS BRUTOS'!$A$3:$A$500,$B7,'DADOS BRUTOS'!DA$3:DA$500)+IF($C7="",0,SUMIF('DADOS BRUTOS'!$A$3:$A$500,$C7,'DADOS BRUTOS'!DA$3:DA$500)))</f>
        <v/>
      </c>
      <c r="GB7" s="132">
        <f>IF(OR(GB$4="",$B7=""),0,SUMIF('DADOS BRUTOS'!$A$3:$A$500,$B7,'DADOS BRUTOS'!DB$3:DB$500)+IF($C7="",0,SUMIF('DADOS BRUTOS'!$A$3:$A$500,$C7,'DADOS BRUTOS'!DB$3:DB$500)))</f>
        <v/>
      </c>
      <c r="GC7" s="132">
        <f>IF(OR(GC$4="",$B7=""),0,SUMIF('DADOS BRUTOS'!$A$3:$A$500,$B7,'DADOS BRUTOS'!DC$3:DC$500)+IF($C7="",0,SUMIF('DADOS BRUTOS'!$A$3:$A$500,$C7,'DADOS BRUTOS'!DC$3:DC$500)))</f>
        <v/>
      </c>
      <c r="GD7" s="132">
        <f>IF(OR(GD$4="",$B7=""),0,SUMIF('DADOS BRUTOS'!$A$3:$A$500,$B7,'DADOS BRUTOS'!DD$3:DD$500)+IF($C7="",0,SUMIF('DADOS BRUTOS'!$A$3:$A$500,$C7,'DADOS BRUTOS'!DD$3:DD$500)))</f>
        <v/>
      </c>
      <c r="GE7" s="132">
        <f>IF(OR(GE$4="",$B7=""),0,SUMIF('DADOS BRUTOS'!$A$3:$A$500,$B7,'DADOS BRUTOS'!DE$3:DE$500)+IF($C7="",0,SUMIF('DADOS BRUTOS'!$A$3:$A$500,$C7,'DADOS BRUTOS'!DE$3:DE$500)))</f>
        <v/>
      </c>
      <c r="GF7" s="132">
        <f>IF(OR(GF$4="",$B7=""),0,SUMIF('DADOS BRUTOS'!$A$3:$A$500,$B7,'DADOS BRUTOS'!DF$3:DF$500)+IF($C7="",0,SUMIF('DADOS BRUTOS'!$A$3:$A$500,$C7,'DADOS BRUTOS'!DF$3:DF$500)))</f>
        <v/>
      </c>
      <c r="GG7" s="132">
        <f>IF(OR(GG$4="",$B7=""),0,SUMIF('DADOS BRUTOS'!$A$3:$A$500,$B7,'DADOS BRUTOS'!DG$3:DG$500)+IF($C7="",0,SUMIF('DADOS BRUTOS'!$A$3:$A$500,$C7,'DADOS BRUTOS'!DG$3:DG$500)))</f>
        <v/>
      </c>
      <c r="GH7" s="132">
        <f>IF(OR(GH$4="",$B7=""),0,SUMIF('DADOS BRUTOS'!$A$3:$A$500,$B7,'DADOS BRUTOS'!DH$3:DH$500)+IF($C7="",0,SUMIF('DADOS BRUTOS'!$A$3:$A$500,$C7,'DADOS BRUTOS'!DH$3:DH$500)))</f>
        <v/>
      </c>
      <c r="GI7" s="132">
        <f>IF(OR(GI$4="",$B7=""),0,SUMIF('DADOS BRUTOS'!$A$3:$A$500,$B7,'DADOS BRUTOS'!DI$3:DI$500)+IF($C7="",0,SUMIF('DADOS BRUTOS'!$A$3:$A$500,$C7,'DADOS BRUTOS'!DI$3:DI$500)))</f>
        <v/>
      </c>
      <c r="GJ7" s="132">
        <f>IF(OR(GJ$4="",$B7=""),0,SUMIF('DADOS BRUTOS'!$A$3:$A$500,$B7,'DADOS BRUTOS'!DJ$3:DJ$500)+IF($C7="",0,SUMIF('DADOS BRUTOS'!$A$3:$A$500,$C7,'DADOS BRUTOS'!DJ$3:DJ$500)))</f>
        <v/>
      </c>
      <c r="GK7" s="132">
        <f>IF(OR(GK$4="",$B7=""),0,SUMIF('DADOS BRUTOS'!$A$3:$A$500,$B7,'DADOS BRUTOS'!DK$3:DK$500)+IF($C7="",0,SUMIF('DADOS BRUTOS'!$A$3:$A$500,$C7,'DADOS BRUTOS'!DK$3:DK$500)))</f>
        <v/>
      </c>
      <c r="GL7" s="132">
        <f>IF(OR(GL$4="",$B7=""),0,SUMIF('DADOS BRUTOS'!$A$3:$A$500,$B7,'DADOS BRUTOS'!DL$3:DL$500)+IF($C7="",0,SUMIF('DADOS BRUTOS'!$A$3:$A$500,$C7,'DADOS BRUTOS'!DL$3:DL$500)))</f>
        <v/>
      </c>
      <c r="GM7" s="132">
        <f>IF(OR(GM$4="",$B7=""),0,SUMIF('DADOS BRUTOS'!$A$3:$A$500,$B7,'DADOS BRUTOS'!DM$3:DM$500)+IF($C7="",0,SUMIF('DADOS BRUTOS'!$A$3:$A$500,$C7,'DADOS BRUTOS'!DM$3:DM$500)))</f>
        <v/>
      </c>
      <c r="GN7" s="132">
        <f>IF(OR(GN$4="",$B7=""),0,SUMIF('DADOS BRUTOS'!$A$3:$A$500,$B7,'DADOS BRUTOS'!DN$3:DN$500)+IF($C7="",0,SUMIF('DADOS BRUTOS'!$A$3:$A$500,$C7,'DADOS BRUTOS'!DN$3:DN$500)))</f>
        <v/>
      </c>
      <c r="GO7" s="132">
        <f>IF(OR(GO$4="",$B7=""),0,SUMIF('DADOS BRUTOS'!$A$3:$A$500,$B7,'DADOS BRUTOS'!DO$3:DO$500)+IF($C7="",0,SUMIF('DADOS BRUTOS'!$A$3:$A$500,$C7,'DADOS BRUTOS'!DO$3:DO$500)))</f>
        <v/>
      </c>
      <c r="GP7" s="132">
        <f>IF(OR(GP$4="",$B7=""),0,SUMIF('DADOS BRUTOS'!$A$3:$A$500,$B7,'DADOS BRUTOS'!DP$3:DP$500)+IF($C7="",0,SUMIF('DADOS BRUTOS'!$A$3:$A$500,$C7,'DADOS BRUTOS'!DP$3:DP$500)))</f>
        <v/>
      </c>
      <c r="GQ7" s="132">
        <f>IF(OR(GQ$4="",$B7=""),0,SUMIF('DADOS BRUTOS'!$A$3:$A$500,$B7,'DADOS BRUTOS'!DQ$3:DQ$500)+IF($C7="",0,SUMIF('DADOS BRUTOS'!$A$3:$A$500,$C7,'DADOS BRUTOS'!DQ$3:DQ$500)))</f>
        <v/>
      </c>
      <c r="GR7" s="132">
        <f>IF(OR(GR$4="",$B7=""),0,SUMIF('DADOS BRUTOS'!$A$3:$A$500,$B7,'DADOS BRUTOS'!DR$3:DR$500)+IF($C7="",0,SUMIF('DADOS BRUTOS'!$A$3:$A$500,$C7,'DADOS BRUTOS'!DR$3:DR$500)))</f>
        <v/>
      </c>
      <c r="GS7" s="132">
        <f>IF(OR(GS$4="",$B7=""),0,SUMIF('DADOS BRUTOS'!$A$3:$A$500,$B7,'DADOS BRUTOS'!DS$3:DS$500)+IF($C7="",0,SUMIF('DADOS BRUTOS'!$A$3:$A$500,$C7,'DADOS BRUTOS'!DS$3:DS$500)))</f>
        <v/>
      </c>
      <c r="GT7" s="132">
        <f>IF(OR(GT$4="",$B7=""),0,SUMIF('DADOS BRUTOS'!$A$3:$A$500,$B7,'DADOS BRUTOS'!DT$3:DT$500)+IF($C7="",0,SUMIF('DADOS BRUTOS'!$A$3:$A$500,$C7,'DADOS BRUTOS'!DT$3:DT$500)))</f>
        <v/>
      </c>
      <c r="GU7" s="132">
        <f>IF(OR(GU$4="",$B7=""),0,SUMIF('DADOS BRUTOS'!$A$3:$A$500,$B7,'DADOS BRUTOS'!DU$3:DU$500)+IF($C7="",0,SUMIF('DADOS BRUTOS'!$A$3:$A$500,$C7,'DADOS BRUTOS'!DU$3:DU$500)))</f>
        <v/>
      </c>
      <c r="GV7" s="132">
        <f>IF(OR(GV$4="",$B7=""),0,SUMIF('DADOS BRUTOS'!$A$3:$A$500,$B7,'DADOS BRUTOS'!DV$3:DV$500)+IF($C7="",0,SUMIF('DADOS BRUTOS'!$A$3:$A$500,$C7,'DADOS BRUTOS'!DV$3:DV$500)))</f>
        <v/>
      </c>
      <c r="GW7" s="132">
        <f>IF(OR(GW$4="",$B7=""),0,SUMIF('DADOS BRUTOS'!$A$3:$A$500,$B7,'DADOS BRUTOS'!DW$3:DW$500)+IF($C7="",0,SUMIF('DADOS BRUTOS'!$A$3:$A$500,$C7,'DADOS BRUTOS'!DW$3:DW$500)))</f>
        <v/>
      </c>
      <c r="GX7" s="132">
        <f>IF(OR(GX$4="",$B7=""),0,SUMIF('DADOS BRUTOS'!$A$3:$A$500,$B7,'DADOS BRUTOS'!DX$3:DX$500)+IF($C7="",0,SUMIF('DADOS BRUTOS'!$A$3:$A$500,$C7,'DADOS BRUTOS'!DX$3:DX$500)))</f>
        <v/>
      </c>
      <c r="GY7" s="132">
        <f>IF(OR(GY$4="",$B7=""),0,SUMIF('DADOS BRUTOS'!$A$3:$A$500,$B7,'DADOS BRUTOS'!DY$3:DY$500)+IF($C7="",0,SUMIF('DADOS BRUTOS'!$A$3:$A$500,$C7,'DADOS BRUTOS'!DY$3:DY$500)))</f>
        <v/>
      </c>
      <c r="GZ7" s="132">
        <f>IF(OR(GZ$4="",$B7=""),0,SUMIF('DADOS BRUTOS'!$A$3:$A$500,$B7,'DADOS BRUTOS'!DZ$3:DZ$500)+IF($C7="",0,SUMIF('DADOS BRUTOS'!$A$3:$A$500,$C7,'DADOS BRUTOS'!DZ$3:DZ$500)))</f>
        <v/>
      </c>
      <c r="HA7" s="132">
        <f>IF(OR(HA$4="",$B7=""),0,SUMIF('DADOS BRUTOS'!$A$3:$A$500,$B7,'DADOS BRUTOS'!EA$3:EA$500)+IF($C7="",0,SUMIF('DADOS BRUTOS'!$A$3:$A$500,$C7,'DADOS BRUTOS'!EA$3:EA$500)))</f>
        <v/>
      </c>
      <c r="HB7" s="132">
        <f>IF(OR(HB$4="",$B7=""),0,SUMIF('DADOS BRUTOS'!$A$3:$A$500,$B7,'DADOS BRUTOS'!EB$3:EB$500)+IF($C7="",0,SUMIF('DADOS BRUTOS'!$A$3:$A$500,$C7,'DADOS BRUTOS'!EB$3:EB$500)))</f>
        <v/>
      </c>
      <c r="HC7" s="132">
        <f>IF(OR(HC$4="",$B7=""),0,SUMIF('DADOS BRUTOS'!$A$3:$A$500,$B7,'DADOS BRUTOS'!EC$3:EC$500)+IF($C7="",0,SUMIF('DADOS BRUTOS'!$A$3:$A$500,$C7,'DADOS BRUTOS'!EC$3:EC$500)))</f>
        <v/>
      </c>
      <c r="HD7" s="132">
        <f>IF(OR(HD$4="",$B7=""),0,SUMIF('DADOS BRUTOS'!$A$3:$A$500,$B7,'DADOS BRUTOS'!ED$3:ED$500)+IF($C7="",0,SUMIF('DADOS BRUTOS'!$A$3:$A$500,$C7,'DADOS BRUTOS'!ED$3:ED$500)))</f>
        <v/>
      </c>
      <c r="HE7" s="132">
        <f>IF(OR(HE$4="",$B7=""),0,SUMIF('DADOS BRUTOS'!$A$3:$A$500,$B7,'DADOS BRUTOS'!EE$3:EE$500)+IF($C7="",0,SUMIF('DADOS BRUTOS'!$A$3:$A$500,$C7,'DADOS BRUTOS'!EE$3:EE$500)))</f>
        <v/>
      </c>
      <c r="HF7" s="132">
        <f>IF(OR(HF$4="",$B7=""),0,SUMIF('DADOS BRUTOS'!$A$3:$A$500,$B7,'DADOS BRUTOS'!EF$3:EF$500)+IF($C7="",0,SUMIF('DADOS BRUTOS'!$A$3:$A$500,$C7,'DADOS BRUTOS'!EF$3:EF$500)))</f>
        <v/>
      </c>
      <c r="HG7" s="132">
        <f>IF(OR(HG$4="",$B7=""),0,SUMIF('DADOS BRUTOS'!$A$3:$A$500,$B7,'DADOS BRUTOS'!EG$3:EG$500)+IF($C7="",0,SUMIF('DADOS BRUTOS'!$A$3:$A$500,$C7,'DADOS BRUTOS'!EG$3:EG$500)))</f>
        <v/>
      </c>
      <c r="HH7" s="132">
        <f>IF(OR(HH$4="",$B7=""),0,SUMIF('DADOS BRUTOS'!$A$3:$A$500,$B7,'DADOS BRUTOS'!EH$3:EH$500)+IF($C7="",0,SUMIF('DADOS BRUTOS'!$A$3:$A$500,$C7,'DADOS BRUTOS'!EH$3:EH$500)))</f>
        <v/>
      </c>
      <c r="HI7" s="132">
        <f>IF(OR(HI$4="",$B7=""),0,SUMIF('DADOS BRUTOS'!$A$3:$A$500,$B7,'DADOS BRUTOS'!EI$3:EI$500)+IF($C7="",0,SUMIF('DADOS BRUTOS'!$A$3:$A$500,$C7,'DADOS BRUTOS'!EI$3:EI$500)))</f>
        <v/>
      </c>
      <c r="HJ7" s="132">
        <f>IF(OR(HJ$4="",$B7=""),0,SUMIF('DADOS BRUTOS'!$A$3:$A$500,$B7,'DADOS BRUTOS'!EJ$3:EJ$500)+IF($C7="",0,SUMIF('DADOS BRUTOS'!$A$3:$A$500,$C7,'DADOS BRUTOS'!EJ$3:EJ$500)))</f>
        <v/>
      </c>
      <c r="HK7" s="132">
        <f>IF(OR(HK$4="",$B7=""),0,SUMIF('DADOS BRUTOS'!$A$3:$A$500,$B7,'DADOS BRUTOS'!EK$3:EK$500)+IF($C7="",0,SUMIF('DADOS BRUTOS'!$A$3:$A$500,$C7,'DADOS BRUTOS'!EK$3:EK$500)))</f>
        <v/>
      </c>
      <c r="HL7" s="132">
        <f>IF(OR(HL$4="",$B7=""),0,SUMIF('DADOS BRUTOS'!$A$3:$A$500,$B7,'DADOS BRUTOS'!EL$3:EL$500)+IF($C7="",0,SUMIF('DADOS BRUTOS'!$A$3:$A$500,$C7,'DADOS BRUTOS'!EL$3:EL$500)))</f>
        <v/>
      </c>
      <c r="HM7" s="132">
        <f>IF(OR(HM$4="",$B7=""),0,SUMIF('DADOS BRUTOS'!$A$3:$A$500,$B7,'DADOS BRUTOS'!EM$3:EM$500)+IF($C7="",0,SUMIF('DADOS BRUTOS'!$A$3:$A$500,$C7,'DADOS BRUTOS'!EM$3:EM$500)))</f>
        <v/>
      </c>
      <c r="HN7" s="132">
        <f>IF(OR(HN$4="",$B7=""),0,SUMIF('DADOS BRUTOS'!$A$3:$A$500,$B7,'DADOS BRUTOS'!EN$3:EN$500)+IF($C7="",0,SUMIF('DADOS BRUTOS'!$A$3:$A$500,$C7,'DADOS BRUTOS'!EN$3:EN$500)))</f>
        <v/>
      </c>
      <c r="HO7" s="132">
        <f>IF(OR(HO$4="",$B7=""),0,SUMIF('DADOS BRUTOS'!$A$3:$A$500,$B7,'DADOS BRUTOS'!EO$3:EO$500)+IF($C7="",0,SUMIF('DADOS BRUTOS'!$A$3:$A$500,$C7,'DADOS BRUTOS'!EO$3:EO$500)))</f>
        <v/>
      </c>
      <c r="HP7" s="132">
        <f>IF(OR(HP$4="",$B7=""),0,SUMIF('DADOS BRUTOS'!$A$3:$A$500,$B7,'DADOS BRUTOS'!EP$3:EP$500)+IF($C7="",0,SUMIF('DADOS BRUTOS'!$A$3:$A$500,$C7,'DADOS BRUTOS'!EP$3:EP$500)))</f>
        <v/>
      </c>
      <c r="HQ7" s="132">
        <f>IF(OR(HQ$4="",$B7=""),0,SUMIF('DADOS BRUTOS'!$A$3:$A$500,$B7,'DADOS BRUTOS'!EQ$3:EQ$500)+IF($C7="",0,SUMIF('DADOS BRUTOS'!$A$3:$A$500,$C7,'DADOS BRUTOS'!EQ$3:EQ$500)))</f>
        <v/>
      </c>
      <c r="HR7" s="132">
        <f>IF(OR(HR$4="",$B7=""),0,SUMIF('DADOS BRUTOS'!$A$3:$A$500,$B7,'DADOS BRUTOS'!ER$3:ER$500)+IF($C7="",0,SUMIF('DADOS BRUTOS'!$A$3:$A$500,$C7,'DADOS BRUTOS'!ER$3:ER$500)))</f>
        <v/>
      </c>
      <c r="HS7" s="132">
        <f>IF(OR(HS$4="",$B7=""),0,SUMIF('DADOS BRUTOS'!$A$3:$A$500,$B7,'DADOS BRUTOS'!ES$3:ES$500)+IF($C7="",0,SUMIF('DADOS BRUTOS'!$A$3:$A$500,$C7,'DADOS BRUTOS'!ES$3:ES$500)))</f>
        <v/>
      </c>
      <c r="HT7" s="132">
        <f>IF(OR(HT$4="",$B7=""),0,SUMIF('DADOS BRUTOS'!$A$3:$A$500,$B7,'DADOS BRUTOS'!ET$3:ET$500)+IF($C7="",0,SUMIF('DADOS BRUTOS'!$A$3:$A$500,$C7,'DADOS BRUTOS'!ET$3:ET$500)))</f>
        <v/>
      </c>
      <c r="HU7" s="132">
        <f>IF(OR(HU$4="",$B7=""),0,SUMIF('DADOS BRUTOS'!$A$3:$A$500,$B7,'DADOS BRUTOS'!EU$3:EU$500)+IF($C7="",0,SUMIF('DADOS BRUTOS'!$A$3:$A$500,$C7,'DADOS BRUTOS'!EU$3:EU$500)))</f>
        <v/>
      </c>
      <c r="HV7" s="132">
        <f>IF(OR(HV$4="",$B7=""),0,SUMIF('DADOS BRUTOS'!$A$3:$A$500,$B7,'DADOS BRUTOS'!EV$3:EV$500)+IF($C7="",0,SUMIF('DADOS BRUTOS'!$A$3:$A$500,$C7,'DADOS BRUTOS'!EV$3:EV$500)))</f>
        <v/>
      </c>
      <c r="HW7" s="132">
        <f>IF(OR(HW$4="",$B7=""),0,SUMIF('DADOS BRUTOS'!$A$3:$A$500,$B7,'DADOS BRUTOS'!EW$3:EW$500)+IF($C7="",0,SUMIF('DADOS BRUTOS'!$A$3:$A$500,$C7,'DADOS BRUTOS'!EW$3:EW$500)))</f>
        <v/>
      </c>
      <c r="HX7" s="132">
        <f>IF(OR(HX$4="",$B7=""),0,SUMIF('DADOS BRUTOS'!$A$3:$A$500,$B7,'DADOS BRUTOS'!EX$3:EX$500)+IF($C7="",0,SUMIF('DADOS BRUTOS'!$A$3:$A$500,$C7,'DADOS BRUTOS'!EX$3:EX$500)))</f>
        <v/>
      </c>
      <c r="HY7" s="132">
        <f>IF(OR(HY$4="",$B7=""),0,SUMIF('DADOS BRUTOS'!$A$3:$A$500,$B7,'DADOS BRUTOS'!EY$3:EY$500)+IF($C7="",0,SUMIF('DADOS BRUTOS'!$A$3:$A$500,$C7,'DADOS BRUTOS'!EY$3:EY$500)))</f>
        <v/>
      </c>
      <c r="HZ7" s="132">
        <f>IF(OR(HZ$4="",$B7=""),0,SUMIF('DADOS BRUTOS'!$A$3:$A$500,$B7,'DADOS BRUTOS'!EZ$3:EZ$500)+IF($C7="",0,SUMIF('DADOS BRUTOS'!$A$3:$A$500,$C7,'DADOS BRUTOS'!EZ$3:EZ$500)))</f>
        <v/>
      </c>
      <c r="IA7" s="132">
        <f>IF(OR(IA$4="",$B7=""),0,SUMIF('DADOS BRUTOS'!$A$3:$A$500,$B7,'DADOS BRUTOS'!FA$3:FA$500)+IF($C7="",0,SUMIF('DADOS BRUTOS'!$A$3:$A$500,$C7,'DADOS BRUTOS'!FA$3:FA$500)))</f>
        <v/>
      </c>
      <c r="IB7" s="132">
        <f>IF(OR(IB$4="",$B7=""),0,SUMIF('DADOS BRUTOS'!$A$3:$A$500,$B7,'DADOS BRUTOS'!FB$3:FB$500)+IF($C7="",0,SUMIF('DADOS BRUTOS'!$A$3:$A$500,$C7,'DADOS BRUTOS'!FB$3:FB$500)))</f>
        <v/>
      </c>
      <c r="IC7" s="132">
        <f>IF(OR(IC$4="",$B7=""),0,SUMIF('DADOS BRUTOS'!$A$3:$A$500,$B7,'DADOS BRUTOS'!FC$3:FC$500)+IF($C7="",0,SUMIF('DADOS BRUTOS'!$A$3:$A$500,$C7,'DADOS BRUTOS'!FC$3:FC$500)))</f>
        <v/>
      </c>
      <c r="ID7" s="132">
        <f>IF(OR(ID$4="",$B7=""),0,SUMIF('DADOS BRUTOS'!$A$3:$A$500,$B7,'DADOS BRUTOS'!FD$3:FD$500)+IF($C7="",0,SUMIF('DADOS BRUTOS'!$A$3:$A$500,$C7,'DADOS BRUTOS'!FD$3:FD$500)))</f>
        <v/>
      </c>
      <c r="IE7" s="132">
        <f>IF(OR(IE$4="",$B7=""),0,SUMIF('DADOS BRUTOS'!$A$3:$A$500,$B7,'DADOS BRUTOS'!FE$3:FE$500)+IF($C7="",0,SUMIF('DADOS BRUTOS'!$A$3:$A$500,$C7,'DADOS BRUTOS'!FE$3:FE$500)))</f>
        <v/>
      </c>
      <c r="IF7" s="132">
        <f>IF(OR(IF$4="",$B7=""),0,SUMIF('DADOS BRUTOS'!$A$3:$A$500,$B7,'DADOS BRUTOS'!FF$3:FF$500)+IF($C7="",0,SUMIF('DADOS BRUTOS'!$A$3:$A$500,$C7,'DADOS BRUTOS'!FF$3:FF$500)))</f>
        <v/>
      </c>
      <c r="IG7" s="132">
        <f>IF(OR(IG$4="",$B7=""),0,SUMIF('DADOS BRUTOS'!$A$3:$A$500,$B7,'DADOS BRUTOS'!FG$3:FG$500)+IF($C7="",0,SUMIF('DADOS BRUTOS'!$A$3:$A$500,$C7,'DADOS BRUTOS'!FG$3:FG$500)))</f>
        <v/>
      </c>
      <c r="IH7" s="132">
        <f>IF(OR(IH$4="",$B7=""),0,SUMIF('DADOS BRUTOS'!$A$3:$A$500,$B7,'DADOS BRUTOS'!FH$3:FH$500)+IF($C7="",0,SUMIF('DADOS BRUTOS'!$A$3:$A$500,$C7,'DADOS BRUTOS'!FH$3:FH$500)))</f>
        <v/>
      </c>
      <c r="II7" s="132">
        <f>IF(OR(II$4="",$B7=""),0,SUMIF('DADOS BRUTOS'!$A$3:$A$500,$B7,'DADOS BRUTOS'!FI$3:FI$500)+IF($C7="",0,SUMIF('DADOS BRUTOS'!$A$3:$A$500,$C7,'DADOS BRUTOS'!FI$3:FI$500)))</f>
        <v/>
      </c>
      <c r="IJ7" s="132">
        <f>IF(OR(IJ$4="",$B7=""),0,SUMIF('DADOS BRUTOS'!$A$3:$A$500,$B7,'DADOS BRUTOS'!FJ$3:FJ$500)+IF($C7="",0,SUMIF('DADOS BRUTOS'!$A$3:$A$500,$C7,'DADOS BRUTOS'!FJ$3:FJ$500)))</f>
        <v/>
      </c>
      <c r="IK7" s="132">
        <f>IF(OR(IK$4="",$B7=""),0,SUMIF('DADOS BRUTOS'!$A$3:$A$500,$B7,'DADOS BRUTOS'!FK$3:FK$500)+IF($C7="",0,SUMIF('DADOS BRUTOS'!$A$3:$A$500,$C7,'DADOS BRUTOS'!FK$3:FK$500)))</f>
        <v/>
      </c>
      <c r="IL7" s="132">
        <f>IF(OR(IL$4="",$B7=""),0,SUMIF('DADOS BRUTOS'!$A$3:$A$500,$B7,'DADOS BRUTOS'!FL$3:FL$500)+IF($C7="",0,SUMIF('DADOS BRUTOS'!$A$3:$A$500,$C7,'DADOS BRUTOS'!FL$3:FL$500)))</f>
        <v/>
      </c>
      <c r="IM7" s="132">
        <f>IF(OR(IM$4="",$B7=""),0,SUMIF('DADOS BRUTOS'!$A$3:$A$500,$B7,'DADOS BRUTOS'!FM$3:FM$500)+IF($C7="",0,SUMIF('DADOS BRUTOS'!$A$3:$A$500,$C7,'DADOS BRUTOS'!FM$3:FM$500)))</f>
        <v/>
      </c>
      <c r="IN7" s="132">
        <f>IF(OR(IN$4="",$B7=""),0,SUMIF('DADOS BRUTOS'!$A$3:$A$500,$B7,'DADOS BRUTOS'!FN$3:FN$500)+IF($C7="",0,SUMIF('DADOS BRUTOS'!$A$3:$A$500,$C7,'DADOS BRUTOS'!FN$3:FN$500)))</f>
        <v/>
      </c>
      <c r="IO7" s="132">
        <f>IF(OR(IO$4="",$B7=""),0,SUMIF('DADOS BRUTOS'!$A$3:$A$500,$B7,'DADOS BRUTOS'!FO$3:FO$500)+IF($C7="",0,SUMIF('DADOS BRUTOS'!$A$3:$A$500,$C7,'DADOS BRUTOS'!FO$3:FO$500)))</f>
        <v/>
      </c>
      <c r="IP7" s="132">
        <f>IF(OR(IP$4="",$B7=""),0,SUMIF('DADOS BRUTOS'!$A$3:$A$500,$B7,'DADOS BRUTOS'!FP$3:FP$500)+IF($C7="",0,SUMIF('DADOS BRUTOS'!$A$3:$A$500,$C7,'DADOS BRUTOS'!FP$3:FP$500)))</f>
        <v/>
      </c>
      <c r="IQ7" s="132">
        <f>IF(OR(IQ$4="",$B7=""),0,SUMIF('DADOS BRUTOS'!$A$3:$A$500,$B7,'DADOS BRUTOS'!FQ$3:FQ$500)+IF($C7="",0,SUMIF('DADOS BRUTOS'!$A$3:$A$500,$C7,'DADOS BRUTOS'!FQ$3:FQ$500)))</f>
        <v/>
      </c>
      <c r="IR7" s="132">
        <f>IF(OR(IR$4="",$B7=""),0,SUMIF('DADOS BRUTOS'!$A$3:$A$500,$B7,'DADOS BRUTOS'!FR$3:FR$500)+IF($C7="",0,SUMIF('DADOS BRUTOS'!$A$3:$A$500,$C7,'DADOS BRUTOS'!FR$3:FR$500)))</f>
        <v/>
      </c>
      <c r="IS7" s="132">
        <f>IF(OR(IS$4="",$B7=""),0,SUMIF('DADOS BRUTOS'!$A$3:$A$500,$B7,'DADOS BRUTOS'!FS$3:FS$500)+IF($C7="",0,SUMIF('DADOS BRUTOS'!$A$3:$A$500,$C7,'DADOS BRUTOS'!FS$3:FS$500)))</f>
        <v/>
      </c>
      <c r="IT7" s="132">
        <f>IF(OR(IT$4="",$B7=""),0,SUMIF('DADOS BRUTOS'!$A$3:$A$500,$B7,'DADOS BRUTOS'!FT$3:FT$500)+IF($C7="",0,SUMIF('DADOS BRUTOS'!$A$3:$A$500,$C7,'DADOS BRUTOS'!FT$3:FT$500)))</f>
        <v/>
      </c>
      <c r="IU7" s="132">
        <f>IF(OR(IU$4="",$B7=""),0,SUMIF('DADOS BRUTOS'!$A$3:$A$500,$B7,'DADOS BRUTOS'!FU$3:FU$500)+IF($C7="",0,SUMIF('DADOS BRUTOS'!$A$3:$A$500,$C7,'DADOS BRUTOS'!FU$3:FU$500)))</f>
        <v/>
      </c>
      <c r="IV7" s="132">
        <f>IF(OR(IV$4="",$B7=""),0,SUMIF('DADOS BRUTOS'!$A$3:$A$500,$B7,'DADOS BRUTOS'!FV$3:FV$500)+IF($C7="",0,SUMIF('DADOS BRUTOS'!$A$3:$A$500,$C7,'DADOS BRUTOS'!FV$3:FV$500)))</f>
        <v/>
      </c>
      <c r="IW7" s="132">
        <f>IF(OR(IW$4="",$B7=""),0,SUMIF('DADOS BRUTOS'!$A$3:$A$500,$B7,'DADOS BRUTOS'!FW$3:FW$500)+IF($C7="",0,SUMIF('DADOS BRUTOS'!$A$3:$A$500,$C7,'DADOS BRUTOS'!FW$3:FW$500)))</f>
        <v/>
      </c>
      <c r="IX7" s="132">
        <f>IF(OR(IX$4="",$B7=""),0,SUMIF('DADOS BRUTOS'!$A$3:$A$500,$B7,'DADOS BRUTOS'!FX$3:FX$500)+IF($C7="",0,SUMIF('DADOS BRUTOS'!$A$3:$A$500,$C7,'DADOS BRUTOS'!FX$3:FX$500)))</f>
        <v/>
      </c>
      <c r="IY7" s="132">
        <f>IF(OR(IY$4="",$B7=""),0,SUMIF('DADOS BRUTOS'!$A$3:$A$500,$B7,'DADOS BRUTOS'!FY$3:FY$500)+IF($C7="",0,SUMIF('DADOS BRUTOS'!$A$3:$A$500,$C7,'DADOS BRUTOS'!FY$3:FY$500)))</f>
        <v/>
      </c>
      <c r="IZ7" s="132">
        <f>IF(OR(IZ$4="",$B7=""),0,SUMIF('DADOS BRUTOS'!$A$3:$A$500,$B7,'DADOS BRUTOS'!FZ$3:FZ$500)+IF($C7="",0,SUMIF('DADOS BRUTOS'!$A$3:$A$500,$C7,'DADOS BRUTOS'!FZ$3:FZ$500)))</f>
        <v/>
      </c>
      <c r="JA7" s="132">
        <f>IF(OR(JA$4="",$B7=""),0,SUMIF('DADOS BRUTOS'!$A$3:$A$500,$B7,'DADOS BRUTOS'!GA$3:GA$500)+IF($C7="",0,SUMIF('DADOS BRUTOS'!$A$3:$A$500,$C7,'DADOS BRUTOS'!GA$3:GA$500)))</f>
        <v/>
      </c>
      <c r="JB7" s="132">
        <f>IF(OR(JB$4="",$B7=""),0,SUMIF('DADOS BRUTOS'!$A$3:$A$500,$B7,'DADOS BRUTOS'!GB$3:GB$500)+IF($C7="",0,SUMIF('DADOS BRUTOS'!$A$3:$A$500,$C7,'DADOS BRUTOS'!GB$3:GB$500)))</f>
        <v/>
      </c>
      <c r="JC7" s="132">
        <f>IF(OR(JC$4="",$B7=""),0,SUMIF('DADOS BRUTOS'!$A$3:$A$500,$B7,'DADOS BRUTOS'!GC$3:GC$500)+IF($C7="",0,SUMIF('DADOS BRUTOS'!$A$3:$A$500,$C7,'DADOS BRUTOS'!GC$3:GC$500)))</f>
        <v/>
      </c>
      <c r="JD7" s="132">
        <f>IF(OR(JD$4="",$B7=""),0,SUMIF('DADOS BRUTOS'!$A$3:$A$500,$B7,'DADOS BRUTOS'!GD$3:GD$500)+IF($C7="",0,SUMIF('DADOS BRUTOS'!$A$3:$A$500,$C7,'DADOS BRUTOS'!GD$3:GD$500)))</f>
        <v/>
      </c>
      <c r="JE7" s="132">
        <f>IF(OR(JE$4="",$B7=""),0,SUMIF('DADOS BRUTOS'!$A$3:$A$500,$B7,'DADOS BRUTOS'!GE$3:GE$500)+IF($C7="",0,SUMIF('DADOS BRUTOS'!$A$3:$A$500,$C7,'DADOS BRUTOS'!GE$3:GE$500)))</f>
        <v/>
      </c>
      <c r="JF7" s="132">
        <f>IF(OR(JF$4="",$B7=""),0,SUMIF('DADOS BRUTOS'!$A$3:$A$500,$B7,'DADOS BRUTOS'!GF$3:GF$500)+IF($C7="",0,SUMIF('DADOS BRUTOS'!$A$3:$A$500,$C7,'DADOS BRUTOS'!GF$3:GF$500)))</f>
        <v/>
      </c>
      <c r="JG7" s="132">
        <f>IF(OR(JG$4="",$B7=""),0,SUMIF('DADOS BRUTOS'!$A$3:$A$500,$B7,'DADOS BRUTOS'!GG$3:GG$500)+IF($C7="",0,SUMIF('DADOS BRUTOS'!$A$3:$A$500,$C7,'DADOS BRUTOS'!GG$3:GG$500)))</f>
        <v/>
      </c>
      <c r="JH7" s="132">
        <f>IF(OR(JH$4="",$B7=""),0,SUMIF('DADOS BRUTOS'!$A$3:$A$500,$B7,'DADOS BRUTOS'!GH$3:GH$500)+IF($C7="",0,SUMIF('DADOS BRUTOS'!$A$3:$A$500,$C7,'DADOS BRUTOS'!GH$3:GH$500)))</f>
        <v/>
      </c>
      <c r="JI7" s="132">
        <f>IF(OR(JI$4="",$B7=""),0,SUMIF('DADOS BRUTOS'!$A$3:$A$500,$B7,'DADOS BRUTOS'!GI$3:GI$500)+IF($C7="",0,SUMIF('DADOS BRUTOS'!$A$3:$A$500,$C7,'DADOS BRUTOS'!GI$3:GI$500)))</f>
        <v/>
      </c>
      <c r="JJ7" s="132">
        <f>IF(OR(JJ$4="",$B7=""),0,SUMIF('DADOS BRUTOS'!$A$3:$A$500,$B7,'DADOS BRUTOS'!GJ$3:GJ$500)+IF($C7="",0,SUMIF('DADOS BRUTOS'!$A$3:$A$500,$C7,'DADOS BRUTOS'!GJ$3:GJ$500)))</f>
        <v/>
      </c>
      <c r="JK7" s="132">
        <f>IF(OR(JK$4="",$B7=""),0,SUMIF('DADOS BRUTOS'!$A$3:$A$500,$B7,'DADOS BRUTOS'!GK$3:GK$500)+IF($C7="",0,SUMIF('DADOS BRUTOS'!$A$3:$A$500,$C7,'DADOS BRUTOS'!GK$3:GK$500)))</f>
        <v/>
      </c>
      <c r="JL7" s="132">
        <f>IF(OR(JL$4="",$B7=""),0,SUMIF('DADOS BRUTOS'!$A$3:$A$500,$B7,'DADOS BRUTOS'!GL$3:GL$500)+IF($C7="",0,SUMIF('DADOS BRUTOS'!$A$3:$A$500,$C7,'DADOS BRUTOS'!GL$3:GL$500)))</f>
        <v/>
      </c>
      <c r="JM7" s="132">
        <f>IF(OR(JM$4="",$B7=""),0,SUMIF('DADOS BRUTOS'!$A$3:$A$500,$B7,'DADOS BRUTOS'!GM$3:GM$500)+IF($C7="",0,SUMIF('DADOS BRUTOS'!$A$3:$A$500,$C7,'DADOS BRUTOS'!GM$3:GM$500)))</f>
        <v/>
      </c>
      <c r="JN7" s="132">
        <f>IF(OR(JN$4="",$B7=""),0,SUMIF('DADOS BRUTOS'!$A$3:$A$500,$B7,'DADOS BRUTOS'!GN$3:GN$500)+IF($C7="",0,SUMIF('DADOS BRUTOS'!$A$3:$A$500,$C7,'DADOS BRUTOS'!GN$3:GN$500)))</f>
        <v/>
      </c>
      <c r="JO7" s="132">
        <f>IF(OR(JO$4="",$B7=""),0,SUMIF('DADOS BRUTOS'!$A$3:$A$500,$B7,'DADOS BRUTOS'!GO$3:GO$500)+IF($C7="",0,SUMIF('DADOS BRUTOS'!$A$3:$A$500,$C7,'DADOS BRUTOS'!GO$3:GO$500)))</f>
        <v/>
      </c>
      <c r="JP7" s="132">
        <f>IF(OR(JP$4="",$B7=""),0,SUMIF('DADOS BRUTOS'!$A$3:$A$500,$B7,'DADOS BRUTOS'!GP$3:GP$500)+IF($C7="",0,SUMIF('DADOS BRUTOS'!$A$3:$A$500,$C7,'DADOS BRUTOS'!GP$3:GP$500)))</f>
        <v/>
      </c>
      <c r="JQ7" s="132">
        <f>IF(OR(JQ$4="",$B7=""),0,SUMIF('DADOS BRUTOS'!$A$3:$A$500,$B7,'DADOS BRUTOS'!GQ$3:GQ$500)+IF($C7="",0,SUMIF('DADOS BRUTOS'!$A$3:$A$500,$C7,'DADOS BRUTOS'!GQ$3:GQ$500)))</f>
        <v/>
      </c>
      <c r="JR7" s="132">
        <f>IF(OR(JR$4="",$B7=""),0,SUMIF('DADOS BRUTOS'!$A$3:$A$500,$B7,'DADOS BRUTOS'!GR$3:GR$500)+IF($C7="",0,SUMIF('DADOS BRUTOS'!$A$3:$A$500,$C7,'DADOS BRUTOS'!GR$3:GR$500)))</f>
        <v/>
      </c>
      <c r="JS7" s="132">
        <f>IF(OR(JS$4="",$B7=""),0,SUMIF('DADOS BRUTOS'!$A$3:$A$500,$B7,'DADOS BRUTOS'!GS$3:GS$500)+IF($C7="",0,SUMIF('DADOS BRUTOS'!$A$3:$A$500,$C7,'DADOS BRUTOS'!GS$3:GS$500)))</f>
        <v/>
      </c>
    </row>
    <row r="8">
      <c r="A8" s="61">
        <f>'VALOR POR PL'!D14</f>
        <v/>
      </c>
      <c r="B8" s="59" t="inlineStr">
        <is>
          <t>BARRACAO DE OBRA</t>
        </is>
      </c>
      <c r="C8" s="59" t="n"/>
      <c r="D8" s="54">
        <f>SUMIF($CB$4:$JS$4,"&lt;="&amp;D$4,$CB8:$JS8)</f>
        <v/>
      </c>
      <c r="E8" s="54">
        <f>SUMIF($CB$4:$JS$4,E$4,$CB8:$JS8)</f>
        <v/>
      </c>
      <c r="F8" s="54">
        <f>SUMIF($CB$4:$JS$4,F$4,$CB8:$JS8)</f>
        <v/>
      </c>
      <c r="G8" s="54">
        <f>SUMIF($CB$4:$JS$4,G$4,$CB8:$JS8)</f>
        <v/>
      </c>
      <c r="H8" s="54">
        <f>SUMIF($CB$4:$JS$4,H$4,$CB8:$JS8)</f>
        <v/>
      </c>
      <c r="I8" s="54">
        <f>SUMIF($CB$4:$JS$4,I$4,$CB8:$JS8)</f>
        <v/>
      </c>
      <c r="J8" s="54">
        <f>SUMIF($CB$4:$JS$4,J$4,$CB8:$JS8)</f>
        <v/>
      </c>
      <c r="K8" s="54">
        <f>SUMIF($CB$4:$JS$4,K$4,$CB8:$JS8)</f>
        <v/>
      </c>
      <c r="L8" s="54">
        <f>SUMIF($CB$4:$JS$4,L$4,$CB8:$JS8)</f>
        <v/>
      </c>
      <c r="M8" s="54">
        <f>SUMIF($CB$4:$JS$4,M$4,$CB8:$JS8)</f>
        <v/>
      </c>
      <c r="N8" s="54">
        <f>SUMIF($CB$4:$JS$4,N$4,$CB8:$JS8)</f>
        <v/>
      </c>
      <c r="O8" s="54">
        <f>SUMIF($CB$4:$JS$4,O$4,$CB8:$JS8)</f>
        <v/>
      </c>
      <c r="P8" s="54">
        <f>SUMIF($CB$4:$JS$4,P$4,$CB8:$JS8)</f>
        <v/>
      </c>
      <c r="Q8" s="54">
        <f>SUMIF($CB$4:$JS$4,Q$4,$CB8:$JS8)</f>
        <v/>
      </c>
      <c r="R8" s="54">
        <f>SUMIF($CB$4:$JS$4,R$4,$CB8:$JS8)</f>
        <v/>
      </c>
      <c r="S8" s="54">
        <f>SUMIF($CB$4:$JS$4,S$4,$CB8:$JS8)</f>
        <v/>
      </c>
      <c r="T8" s="54">
        <f>SUMIF($CB$4:$JS$4,T$4,$CB8:$JS8)</f>
        <v/>
      </c>
      <c r="U8" s="54">
        <f>SUMIF($CB$4:$JS$4,U$4,$CB8:$JS8)</f>
        <v/>
      </c>
      <c r="V8" s="54">
        <f>SUMIF($CB$4:$JS$4,V$4,$CB8:$JS8)</f>
        <v/>
      </c>
      <c r="W8" s="54">
        <f>SUMIF($CB$4:$JS$4,W$4,$CB8:$JS8)</f>
        <v/>
      </c>
      <c r="X8" s="54">
        <f>SUMIF($CB$4:$JS$4,X$4,$CB8:$JS8)</f>
        <v/>
      </c>
      <c r="Y8" s="54">
        <f>SUMIF($CB$4:$JS$4,Y$4,$CB8:$JS8)</f>
        <v/>
      </c>
      <c r="Z8" s="54">
        <f>SUMIF($CB$4:$JS$4,Z$4,$CB8:$JS8)</f>
        <v/>
      </c>
      <c r="AA8" s="54">
        <f>SUMIF($CB$4:$JS$4,AA$4,$CB8:$JS8)</f>
        <v/>
      </c>
      <c r="AB8" s="54">
        <f>SUMIF($CB$4:$JS$4,AB$4,$CB8:$JS8)</f>
        <v/>
      </c>
      <c r="AC8" s="54">
        <f>SUMIF($CB$4:$JS$4,AC$4,$CB8:$JS8)</f>
        <v/>
      </c>
      <c r="AD8" s="54">
        <f>SUMIF($CB$4:$JS$4,AD$4,$CB8:$JS8)</f>
        <v/>
      </c>
      <c r="AE8" s="54">
        <f>SUMIF($CB$4:$JS$4,AE$4,$CB8:$JS8)</f>
        <v/>
      </c>
      <c r="AF8" s="54">
        <f>SUMIF($CB$4:$JS$4,AF$4,$CB8:$JS8)</f>
        <v/>
      </c>
      <c r="AG8" s="54">
        <f>SUMIF($CB$4:$JS$4,AG$4,$CB8:$JS8)</f>
        <v/>
      </c>
      <c r="AH8" s="54">
        <f>SUMIF($CB$4:$JS$4,AH$4,$CB8:$JS8)</f>
        <v/>
      </c>
      <c r="AI8" s="54">
        <f>SUMIF($CB$4:$JS$4,AI$4,$CB8:$JS8)</f>
        <v/>
      </c>
      <c r="AJ8" s="54">
        <f>SUMIF($CB$4:$JS$4,AJ$4,$CB8:$JS8)</f>
        <v/>
      </c>
      <c r="AK8" s="54">
        <f>SUMIF($CB$4:$JS$4,AK$4,$CB8:$JS8)</f>
        <v/>
      </c>
      <c r="AL8" s="54">
        <f>SUMIF($CB$4:$JS$4,AL$4,$CB8:$JS8)</f>
        <v/>
      </c>
      <c r="AM8" s="54">
        <f>SUMIF($CB$4:$JS$4,AM$4,$CB8:$JS8)</f>
        <v/>
      </c>
      <c r="AN8" s="54">
        <f>SUMIF($CB$4:$JS$4,AN$4,$CB8:$JS8)</f>
        <v/>
      </c>
      <c r="AO8" s="54">
        <f>SUMIF($CB$4:$JS$4,AO$4,$CB8:$JS8)</f>
        <v/>
      </c>
      <c r="AP8" s="54">
        <f>SUMIF($CB$4:$JS$4,AP$4,$CB8:$JS8)</f>
        <v/>
      </c>
      <c r="AQ8" s="54">
        <f>SUMIF($CB$4:$JS$4,AQ$4,$CB8:$JS8)</f>
        <v/>
      </c>
      <c r="AR8" s="54">
        <f>SUMIF($CB$4:$JS$4,AR$4,$CB8:$JS8)</f>
        <v/>
      </c>
      <c r="AS8" s="54">
        <f>SUMIF($CB$4:$JS$4,AS$4,$CB8:$JS8)</f>
        <v/>
      </c>
      <c r="AT8" s="54">
        <f>SUMIF($CB$4:$JS$4,AT$4,$CB8:$JS8)</f>
        <v/>
      </c>
      <c r="AU8" s="54">
        <f>SUMIF($CB$4:$JS$4,AU$4,$CB8:$JS8)</f>
        <v/>
      </c>
      <c r="AV8" s="54">
        <f>SUMIF($CB$4:$JS$4,AV$4,$CB8:$JS8)</f>
        <v/>
      </c>
      <c r="AW8" s="54">
        <f>SUMIF($CB$4:$JS$4,AW$4,$CB8:$JS8)</f>
        <v/>
      </c>
      <c r="AX8" s="54">
        <f>SUMIF($CB$4:$JS$4,AX$4,$CB8:$JS8)</f>
        <v/>
      </c>
      <c r="AY8" s="54">
        <f>SUMIF($CB$4:$JS$4,AY$4,$CB8:$JS8)</f>
        <v/>
      </c>
      <c r="AZ8" s="54">
        <f>SUMIF($CB$4:$JS$4,AZ$4,$CB8:$JS8)</f>
        <v/>
      </c>
      <c r="BA8" s="54">
        <f>SUMIF($CB$4:$JS$4,BA$4,$CB8:$JS8)</f>
        <v/>
      </c>
      <c r="BB8" s="54">
        <f>SUMIF($CB$4:$JS$4,BB$4,$CB8:$JS8)</f>
        <v/>
      </c>
      <c r="BC8" s="54">
        <f>SUMIF($CB$4:$JS$4,BC$4,$CB8:$JS8)</f>
        <v/>
      </c>
      <c r="BD8" s="54">
        <f>SUMIF($CB$4:$JS$4,BD$4,$CB8:$JS8)</f>
        <v/>
      </c>
      <c r="BE8" s="54">
        <f>SUMIF($CB$4:$JS$4,BE$4,$CB8:$JS8)</f>
        <v/>
      </c>
      <c r="BF8" s="54">
        <f>SUMIF($CB$4:$JS$4,BF$4,$CB8:$JS8)</f>
        <v/>
      </c>
      <c r="BG8" s="54">
        <f>SUMIF($CB$4:$JS$4,BG$4,$CB8:$JS8)</f>
        <v/>
      </c>
      <c r="BH8" s="54">
        <f>SUMIF($CB$4:$JS$4,BH$4,$CB8:$JS8)</f>
        <v/>
      </c>
      <c r="BI8" s="54">
        <f>SUMIF($CB$4:$JS$4,BI$4,$CB8:$JS8)</f>
        <v/>
      </c>
      <c r="BJ8" s="54">
        <f>SUMIF($CB$4:$JS$4,BJ$4,$CB8:$JS8)</f>
        <v/>
      </c>
      <c r="BK8" s="54">
        <f>SUMIF($CB$4:$JS$4,BK$4,$CB8:$JS8)</f>
        <v/>
      </c>
      <c r="BL8" s="54">
        <f>SUMIF($CB$4:$JS$4,BL$4,$CB8:$JS8)</f>
        <v/>
      </c>
      <c r="BM8" s="54">
        <f>SUMIF($CB$4:$JS$4,BM$4,$CB8:$JS8)</f>
        <v/>
      </c>
      <c r="BN8" s="54">
        <f>SUMIF($CB$4:$JS$4,BN$4,$CB8:$JS8)</f>
        <v/>
      </c>
      <c r="BO8" s="54">
        <f>SUMIF($CB$4:$JS$4,BO$4,$CB8:$JS8)</f>
        <v/>
      </c>
      <c r="BP8" s="54">
        <f>SUMIF($CB$4:$JS$4,BP$4,$CB8:$JS8)</f>
        <v/>
      </c>
      <c r="BQ8" s="54">
        <f>SUMIF($CB$4:$JS$4,BQ$4,$CB8:$JS8)</f>
        <v/>
      </c>
      <c r="BR8" s="54">
        <f>SUMIF($CB$4:$JS$4,BR$4,$CB8:$JS8)</f>
        <v/>
      </c>
      <c r="BS8" s="54">
        <f>SUMIF($CB$4:$JS$4,BS$4,$CB8:$JS8)</f>
        <v/>
      </c>
      <c r="BT8" s="54">
        <f>SUMIF($CB$4:$JS$4,BT$4,$CB8:$JS8)</f>
        <v/>
      </c>
      <c r="BU8" s="54">
        <f>SUMIF($CB$4:$JS$4,BU$4,$CB8:$JS8)</f>
        <v/>
      </c>
      <c r="BV8" s="54">
        <f>SUMIF($CB$4:$JS$4,BV$4,$CB8:$JS8)</f>
        <v/>
      </c>
      <c r="BW8" s="54">
        <f>SUMIF($CB$4:$JS$4,BW$4,$CB8:$JS8)</f>
        <v/>
      </c>
      <c r="BX8" s="54">
        <f>SUMIF($CB$4:$JS$4,"&gt;"&amp;'VALOR POR PL'!$P$8,$CB8:$JS8)</f>
        <v/>
      </c>
      <c r="BY8" s="54">
        <f>SUM($CB8:$JS8)</f>
        <v/>
      </c>
      <c r="BZ8" s="49">
        <f>SUMPRODUCT(($CB$4:$JS$4&lt;&gt;"")*($CB$4:$JS$4&lt;=$D$4),$CB8:$JS8,$CB$1:$JS$1)</f>
        <v/>
      </c>
      <c r="CB8" s="132">
        <f>IF(OR(CB$4="",$B8=""),0,SUMIF('DADOS BRUTOS'!$A$3:$A$500,$B8,'DADOS BRUTOS'!B$3:B$500)+IF($C8="",0,SUMIF('DADOS BRUTOS'!$A$3:$A$500,$C8,'DADOS BRUTOS'!B$3:B$500)))</f>
        <v/>
      </c>
      <c r="CC8" s="132">
        <f>IF(OR(CC$4="",$B8=""),0,SUMIF('DADOS BRUTOS'!$A$3:$A$500,$B8,'DADOS BRUTOS'!C$3:C$500)+IF($C8="",0,SUMIF('DADOS BRUTOS'!$A$3:$A$500,$C8,'DADOS BRUTOS'!C$3:C$500)))</f>
        <v/>
      </c>
      <c r="CD8" s="132">
        <f>IF(OR(CD$4="",$B8=""),0,SUMIF('DADOS BRUTOS'!$A$3:$A$500,$B8,'DADOS BRUTOS'!D$3:D$500)+IF($C8="",0,SUMIF('DADOS BRUTOS'!$A$3:$A$500,$C8,'DADOS BRUTOS'!D$3:D$500)))</f>
        <v/>
      </c>
      <c r="CE8" s="132">
        <f>IF(OR(CE$4="",$B8=""),0,SUMIF('DADOS BRUTOS'!$A$3:$A$500,$B8,'DADOS BRUTOS'!E$3:E$500)+IF($C8="",0,SUMIF('DADOS BRUTOS'!$A$3:$A$500,$C8,'DADOS BRUTOS'!E$3:E$500)))</f>
        <v/>
      </c>
      <c r="CF8" s="132">
        <f>IF(OR(CF$4="",$B8=""),0,SUMIF('DADOS BRUTOS'!$A$3:$A$500,$B8,'DADOS BRUTOS'!F$3:F$500)+IF($C8="",0,SUMIF('DADOS BRUTOS'!$A$3:$A$500,$C8,'DADOS BRUTOS'!F$3:F$500)))</f>
        <v/>
      </c>
      <c r="CG8" s="132">
        <f>IF(OR(CG$4="",$B8=""),0,SUMIF('DADOS BRUTOS'!$A$3:$A$500,$B8,'DADOS BRUTOS'!G$3:G$500)+IF($C8="",0,SUMIF('DADOS BRUTOS'!$A$3:$A$500,$C8,'DADOS BRUTOS'!G$3:G$500)))</f>
        <v/>
      </c>
      <c r="CH8" s="132">
        <f>IF(OR(CH$4="",$B8=""),0,SUMIF('DADOS BRUTOS'!$A$3:$A$500,$B8,'DADOS BRUTOS'!H$3:H$500)+IF($C8="",0,SUMIF('DADOS BRUTOS'!$A$3:$A$500,$C8,'DADOS BRUTOS'!H$3:H$500)))</f>
        <v/>
      </c>
      <c r="CI8" s="132">
        <f>IF(OR(CI$4="",$B8=""),0,SUMIF('DADOS BRUTOS'!$A$3:$A$500,$B8,'DADOS BRUTOS'!I$3:I$500)+IF($C8="",0,SUMIF('DADOS BRUTOS'!$A$3:$A$500,$C8,'DADOS BRUTOS'!I$3:I$500)))</f>
        <v/>
      </c>
      <c r="CJ8" s="132">
        <f>IF(OR(CJ$4="",$B8=""),0,SUMIF('DADOS BRUTOS'!$A$3:$A$500,$B8,'DADOS BRUTOS'!J$3:J$500)+IF($C8="",0,SUMIF('DADOS BRUTOS'!$A$3:$A$500,$C8,'DADOS BRUTOS'!J$3:J$500)))</f>
        <v/>
      </c>
      <c r="CK8" s="132">
        <f>IF(OR(CK$4="",$B8=""),0,SUMIF('DADOS BRUTOS'!$A$3:$A$500,$B8,'DADOS BRUTOS'!K$3:K$500)+IF($C8="",0,SUMIF('DADOS BRUTOS'!$A$3:$A$500,$C8,'DADOS BRUTOS'!K$3:K$500)))</f>
        <v/>
      </c>
      <c r="CL8" s="132">
        <f>IF(OR(CL$4="",$B8=""),0,SUMIF('DADOS BRUTOS'!$A$3:$A$500,$B8,'DADOS BRUTOS'!L$3:L$500)+IF($C8="",0,SUMIF('DADOS BRUTOS'!$A$3:$A$500,$C8,'DADOS BRUTOS'!L$3:L$500)))</f>
        <v/>
      </c>
      <c r="CM8" s="132">
        <f>IF(OR(CM$4="",$B8=""),0,SUMIF('DADOS BRUTOS'!$A$3:$A$500,$B8,'DADOS BRUTOS'!M$3:M$500)+IF($C8="",0,SUMIF('DADOS BRUTOS'!$A$3:$A$500,$C8,'DADOS BRUTOS'!M$3:M$500)))</f>
        <v/>
      </c>
      <c r="CN8" s="132">
        <f>IF(OR(CN$4="",$B8=""),0,SUMIF('DADOS BRUTOS'!$A$3:$A$500,$B8,'DADOS BRUTOS'!N$3:N$500)+IF($C8="",0,SUMIF('DADOS BRUTOS'!$A$3:$A$500,$C8,'DADOS BRUTOS'!N$3:N$500)))</f>
        <v/>
      </c>
      <c r="CO8" s="132">
        <f>IF(OR(CO$4="",$B8=""),0,SUMIF('DADOS BRUTOS'!$A$3:$A$500,$B8,'DADOS BRUTOS'!O$3:O$500)+IF($C8="",0,SUMIF('DADOS BRUTOS'!$A$3:$A$500,$C8,'DADOS BRUTOS'!O$3:O$500)))</f>
        <v/>
      </c>
      <c r="CP8" s="132">
        <f>IF(OR(CP$4="",$B8=""),0,SUMIF('DADOS BRUTOS'!$A$3:$A$500,$B8,'DADOS BRUTOS'!P$3:P$500)+IF($C8="",0,SUMIF('DADOS BRUTOS'!$A$3:$A$500,$C8,'DADOS BRUTOS'!P$3:P$500)))</f>
        <v/>
      </c>
      <c r="CQ8" s="132">
        <f>IF(OR(CQ$4="",$B8=""),0,SUMIF('DADOS BRUTOS'!$A$3:$A$500,$B8,'DADOS BRUTOS'!Q$3:Q$500)+IF($C8="",0,SUMIF('DADOS BRUTOS'!$A$3:$A$500,$C8,'DADOS BRUTOS'!Q$3:Q$500)))</f>
        <v/>
      </c>
      <c r="CR8" s="132">
        <f>IF(OR(CR$4="",$B8=""),0,SUMIF('DADOS BRUTOS'!$A$3:$A$500,$B8,'DADOS BRUTOS'!R$3:R$500)+IF($C8="",0,SUMIF('DADOS BRUTOS'!$A$3:$A$500,$C8,'DADOS BRUTOS'!R$3:R$500)))</f>
        <v/>
      </c>
      <c r="CS8" s="132">
        <f>IF(OR(CS$4="",$B8=""),0,SUMIF('DADOS BRUTOS'!$A$3:$A$500,$B8,'DADOS BRUTOS'!S$3:S$500)+IF($C8="",0,SUMIF('DADOS BRUTOS'!$A$3:$A$500,$C8,'DADOS BRUTOS'!S$3:S$500)))</f>
        <v/>
      </c>
      <c r="CT8" s="132">
        <f>IF(OR(CT$4="",$B8=""),0,SUMIF('DADOS BRUTOS'!$A$3:$A$500,$B8,'DADOS BRUTOS'!T$3:T$500)+IF($C8="",0,SUMIF('DADOS BRUTOS'!$A$3:$A$500,$C8,'DADOS BRUTOS'!T$3:T$500)))</f>
        <v/>
      </c>
      <c r="CU8" s="132">
        <f>IF(OR(CU$4="",$B8=""),0,SUMIF('DADOS BRUTOS'!$A$3:$A$500,$B8,'DADOS BRUTOS'!U$3:U$500)+IF($C8="",0,SUMIF('DADOS BRUTOS'!$A$3:$A$500,$C8,'DADOS BRUTOS'!U$3:U$500)))</f>
        <v/>
      </c>
      <c r="CV8" s="132">
        <f>IF(OR(CV$4="",$B8=""),0,SUMIF('DADOS BRUTOS'!$A$3:$A$500,$B8,'DADOS BRUTOS'!V$3:V$500)+IF($C8="",0,SUMIF('DADOS BRUTOS'!$A$3:$A$500,$C8,'DADOS BRUTOS'!V$3:V$500)))</f>
        <v/>
      </c>
      <c r="CW8" s="132">
        <f>IF(OR(CW$4="",$B8=""),0,SUMIF('DADOS BRUTOS'!$A$3:$A$500,$B8,'DADOS BRUTOS'!W$3:W$500)+IF($C8="",0,SUMIF('DADOS BRUTOS'!$A$3:$A$500,$C8,'DADOS BRUTOS'!W$3:W$500)))</f>
        <v/>
      </c>
      <c r="CX8" s="132">
        <f>IF(OR(CX$4="",$B8=""),0,SUMIF('DADOS BRUTOS'!$A$3:$A$500,$B8,'DADOS BRUTOS'!X$3:X$500)+IF($C8="",0,SUMIF('DADOS BRUTOS'!$A$3:$A$500,$C8,'DADOS BRUTOS'!X$3:X$500)))</f>
        <v/>
      </c>
      <c r="CY8" s="132">
        <f>IF(OR(CY$4="",$B8=""),0,SUMIF('DADOS BRUTOS'!$A$3:$A$500,$B8,'DADOS BRUTOS'!Y$3:Y$500)+IF($C8="",0,SUMIF('DADOS BRUTOS'!$A$3:$A$500,$C8,'DADOS BRUTOS'!Y$3:Y$500)))</f>
        <v/>
      </c>
      <c r="CZ8" s="132">
        <f>IF(OR(CZ$4="",$B8=""),0,SUMIF('DADOS BRUTOS'!$A$3:$A$500,$B8,'DADOS BRUTOS'!Z$3:Z$500)+IF($C8="",0,SUMIF('DADOS BRUTOS'!$A$3:$A$500,$C8,'DADOS BRUTOS'!Z$3:Z$500)))</f>
        <v/>
      </c>
      <c r="DA8" s="132">
        <f>IF(OR(DA$4="",$B8=""),0,SUMIF('DADOS BRUTOS'!$A$3:$A$500,$B8,'DADOS BRUTOS'!AA$3:AA$500)+IF($C8="",0,SUMIF('DADOS BRUTOS'!$A$3:$A$500,$C8,'DADOS BRUTOS'!AA$3:AA$500)))</f>
        <v/>
      </c>
      <c r="DB8" s="132">
        <f>IF(OR(DB$4="",$B8=""),0,SUMIF('DADOS BRUTOS'!$A$3:$A$500,$B8,'DADOS BRUTOS'!AB$3:AB$500)+IF($C8="",0,SUMIF('DADOS BRUTOS'!$A$3:$A$500,$C8,'DADOS BRUTOS'!AB$3:AB$500)))</f>
        <v/>
      </c>
      <c r="DC8" s="132">
        <f>IF(OR(DC$4="",$B8=""),0,SUMIF('DADOS BRUTOS'!$A$3:$A$500,$B8,'DADOS BRUTOS'!AC$3:AC$500)+IF($C8="",0,SUMIF('DADOS BRUTOS'!$A$3:$A$500,$C8,'DADOS BRUTOS'!AC$3:AC$500)))</f>
        <v/>
      </c>
      <c r="DD8" s="132">
        <f>IF(OR(DD$4="",$B8=""),0,SUMIF('DADOS BRUTOS'!$A$3:$A$500,$B8,'DADOS BRUTOS'!AD$3:AD$500)+IF($C8="",0,SUMIF('DADOS BRUTOS'!$A$3:$A$500,$C8,'DADOS BRUTOS'!AD$3:AD$500)))</f>
        <v/>
      </c>
      <c r="DE8" s="132">
        <f>IF(OR(DE$4="",$B8=""),0,SUMIF('DADOS BRUTOS'!$A$3:$A$500,$B8,'DADOS BRUTOS'!AE$3:AE$500)+IF($C8="",0,SUMIF('DADOS BRUTOS'!$A$3:$A$500,$C8,'DADOS BRUTOS'!AE$3:AE$500)))</f>
        <v/>
      </c>
      <c r="DF8" s="132">
        <f>IF(OR(DF$4="",$B8=""),0,SUMIF('DADOS BRUTOS'!$A$3:$A$500,$B8,'DADOS BRUTOS'!AF$3:AF$500)+IF($C8="",0,SUMIF('DADOS BRUTOS'!$A$3:$A$500,$C8,'DADOS BRUTOS'!AF$3:AF$500)))</f>
        <v/>
      </c>
      <c r="DG8" s="132">
        <f>IF(OR(DG$4="",$B8=""),0,SUMIF('DADOS BRUTOS'!$A$3:$A$500,$B8,'DADOS BRUTOS'!AG$3:AG$500)+IF($C8="",0,SUMIF('DADOS BRUTOS'!$A$3:$A$500,$C8,'DADOS BRUTOS'!AG$3:AG$500)))</f>
        <v/>
      </c>
      <c r="DH8" s="132">
        <f>IF(OR(DH$4="",$B8=""),0,SUMIF('DADOS BRUTOS'!$A$3:$A$500,$B8,'DADOS BRUTOS'!AH$3:AH$500)+IF($C8="",0,SUMIF('DADOS BRUTOS'!$A$3:$A$500,$C8,'DADOS BRUTOS'!AH$3:AH$500)))</f>
        <v/>
      </c>
      <c r="DI8" s="132">
        <f>IF(OR(DI$4="",$B8=""),0,SUMIF('DADOS BRUTOS'!$A$3:$A$500,$B8,'DADOS BRUTOS'!AI$3:AI$500)+IF($C8="",0,SUMIF('DADOS BRUTOS'!$A$3:$A$500,$C8,'DADOS BRUTOS'!AI$3:AI$500)))</f>
        <v/>
      </c>
      <c r="DJ8" s="132">
        <f>IF(OR(DJ$4="",$B8=""),0,SUMIF('DADOS BRUTOS'!$A$3:$A$500,$B8,'DADOS BRUTOS'!AJ$3:AJ$500)+IF($C8="",0,SUMIF('DADOS BRUTOS'!$A$3:$A$500,$C8,'DADOS BRUTOS'!AJ$3:AJ$500)))</f>
        <v/>
      </c>
      <c r="DK8" s="132">
        <f>IF(OR(DK$4="",$B8=""),0,SUMIF('DADOS BRUTOS'!$A$3:$A$500,$B8,'DADOS BRUTOS'!AK$3:AK$500)+IF($C8="",0,SUMIF('DADOS BRUTOS'!$A$3:$A$500,$C8,'DADOS BRUTOS'!AK$3:AK$500)))</f>
        <v/>
      </c>
      <c r="DL8" s="132">
        <f>IF(OR(DL$4="",$B8=""),0,SUMIF('DADOS BRUTOS'!$A$3:$A$500,$B8,'DADOS BRUTOS'!AL$3:AL$500)+IF($C8="",0,SUMIF('DADOS BRUTOS'!$A$3:$A$500,$C8,'DADOS BRUTOS'!AL$3:AL$500)))</f>
        <v/>
      </c>
      <c r="DM8" s="132">
        <f>IF(OR(DM$4="",$B8=""),0,SUMIF('DADOS BRUTOS'!$A$3:$A$500,$B8,'DADOS BRUTOS'!AM$3:AM$500)+IF($C8="",0,SUMIF('DADOS BRUTOS'!$A$3:$A$500,$C8,'DADOS BRUTOS'!AM$3:AM$500)))</f>
        <v/>
      </c>
      <c r="DN8" s="132">
        <f>IF(OR(DN$4="",$B8=""),0,SUMIF('DADOS BRUTOS'!$A$3:$A$500,$B8,'DADOS BRUTOS'!AN$3:AN$500)+IF($C8="",0,SUMIF('DADOS BRUTOS'!$A$3:$A$500,$C8,'DADOS BRUTOS'!AN$3:AN$500)))</f>
        <v/>
      </c>
      <c r="DO8" s="132">
        <f>IF(OR(DO$4="",$B8=""),0,SUMIF('DADOS BRUTOS'!$A$3:$A$500,$B8,'DADOS BRUTOS'!AO$3:AO$500)+IF($C8="",0,SUMIF('DADOS BRUTOS'!$A$3:$A$500,$C8,'DADOS BRUTOS'!AO$3:AO$500)))</f>
        <v/>
      </c>
      <c r="DP8" s="132">
        <f>IF(OR(DP$4="",$B8=""),0,SUMIF('DADOS BRUTOS'!$A$3:$A$500,$B8,'DADOS BRUTOS'!AP$3:AP$500)+IF($C8="",0,SUMIF('DADOS BRUTOS'!$A$3:$A$500,$C8,'DADOS BRUTOS'!AP$3:AP$500)))</f>
        <v/>
      </c>
      <c r="DQ8" s="132">
        <f>IF(OR(DQ$4="",$B8=""),0,SUMIF('DADOS BRUTOS'!$A$3:$A$500,$B8,'DADOS BRUTOS'!AQ$3:AQ$500)+IF($C8="",0,SUMIF('DADOS BRUTOS'!$A$3:$A$500,$C8,'DADOS BRUTOS'!AQ$3:AQ$500)))</f>
        <v/>
      </c>
      <c r="DR8" s="132">
        <f>IF(OR(DR$4="",$B8=""),0,SUMIF('DADOS BRUTOS'!$A$3:$A$500,$B8,'DADOS BRUTOS'!AR$3:AR$500)+IF($C8="",0,SUMIF('DADOS BRUTOS'!$A$3:$A$500,$C8,'DADOS BRUTOS'!AR$3:AR$500)))</f>
        <v/>
      </c>
      <c r="DS8" s="132">
        <f>IF(OR(DS$4="",$B8=""),0,SUMIF('DADOS BRUTOS'!$A$3:$A$500,$B8,'DADOS BRUTOS'!AS$3:AS$500)+IF($C8="",0,SUMIF('DADOS BRUTOS'!$A$3:$A$500,$C8,'DADOS BRUTOS'!AS$3:AS$500)))</f>
        <v/>
      </c>
      <c r="DT8" s="132">
        <f>IF(OR(DT$4="",$B8=""),0,SUMIF('DADOS BRUTOS'!$A$3:$A$500,$B8,'DADOS BRUTOS'!AT$3:AT$500)+IF($C8="",0,SUMIF('DADOS BRUTOS'!$A$3:$A$500,$C8,'DADOS BRUTOS'!AT$3:AT$500)))</f>
        <v/>
      </c>
      <c r="DU8" s="132">
        <f>IF(OR(DU$4="",$B8=""),0,SUMIF('DADOS BRUTOS'!$A$3:$A$500,$B8,'DADOS BRUTOS'!AU$3:AU$500)+IF($C8="",0,SUMIF('DADOS BRUTOS'!$A$3:$A$500,$C8,'DADOS BRUTOS'!AU$3:AU$500)))</f>
        <v/>
      </c>
      <c r="DV8" s="132">
        <f>IF(OR(DV$4="",$B8=""),0,SUMIF('DADOS BRUTOS'!$A$3:$A$500,$B8,'DADOS BRUTOS'!AV$3:AV$500)+IF($C8="",0,SUMIF('DADOS BRUTOS'!$A$3:$A$500,$C8,'DADOS BRUTOS'!AV$3:AV$500)))</f>
        <v/>
      </c>
      <c r="DW8" s="132">
        <f>IF(OR(DW$4="",$B8=""),0,SUMIF('DADOS BRUTOS'!$A$3:$A$500,$B8,'DADOS BRUTOS'!AW$3:AW$500)+IF($C8="",0,SUMIF('DADOS BRUTOS'!$A$3:$A$500,$C8,'DADOS BRUTOS'!AW$3:AW$500)))</f>
        <v/>
      </c>
      <c r="DX8" s="132">
        <f>IF(OR(DX$4="",$B8=""),0,SUMIF('DADOS BRUTOS'!$A$3:$A$500,$B8,'DADOS BRUTOS'!AX$3:AX$500)+IF($C8="",0,SUMIF('DADOS BRUTOS'!$A$3:$A$500,$C8,'DADOS BRUTOS'!AX$3:AX$500)))</f>
        <v/>
      </c>
      <c r="DY8" s="132">
        <f>IF(OR(DY$4="",$B8=""),0,SUMIF('DADOS BRUTOS'!$A$3:$A$500,$B8,'DADOS BRUTOS'!AY$3:AY$500)+IF($C8="",0,SUMIF('DADOS BRUTOS'!$A$3:$A$500,$C8,'DADOS BRUTOS'!AY$3:AY$500)))</f>
        <v/>
      </c>
      <c r="DZ8" s="132">
        <f>IF(OR(DZ$4="",$B8=""),0,SUMIF('DADOS BRUTOS'!$A$3:$A$500,$B8,'DADOS BRUTOS'!AZ$3:AZ$500)+IF($C8="",0,SUMIF('DADOS BRUTOS'!$A$3:$A$500,$C8,'DADOS BRUTOS'!AZ$3:AZ$500)))</f>
        <v/>
      </c>
      <c r="EA8" s="132">
        <f>IF(OR(EA$4="",$B8=""),0,SUMIF('DADOS BRUTOS'!$A$3:$A$500,$B8,'DADOS BRUTOS'!BA$3:BA$500)+IF($C8="",0,SUMIF('DADOS BRUTOS'!$A$3:$A$500,$C8,'DADOS BRUTOS'!BA$3:BA$500)))</f>
        <v/>
      </c>
      <c r="EB8" s="132">
        <f>IF(OR(EB$4="",$B8=""),0,SUMIF('DADOS BRUTOS'!$A$3:$A$500,$B8,'DADOS BRUTOS'!BB$3:BB$500)+IF($C8="",0,SUMIF('DADOS BRUTOS'!$A$3:$A$500,$C8,'DADOS BRUTOS'!BB$3:BB$500)))</f>
        <v/>
      </c>
      <c r="EC8" s="132">
        <f>IF(OR(EC$4="",$B8=""),0,SUMIF('DADOS BRUTOS'!$A$3:$A$500,$B8,'DADOS BRUTOS'!BC$3:BC$500)+IF($C8="",0,SUMIF('DADOS BRUTOS'!$A$3:$A$500,$C8,'DADOS BRUTOS'!BC$3:BC$500)))</f>
        <v/>
      </c>
      <c r="ED8" s="132">
        <f>IF(OR(ED$4="",$B8=""),0,SUMIF('DADOS BRUTOS'!$A$3:$A$500,$B8,'DADOS BRUTOS'!BD$3:BD$500)+IF($C8="",0,SUMIF('DADOS BRUTOS'!$A$3:$A$500,$C8,'DADOS BRUTOS'!BD$3:BD$500)))</f>
        <v/>
      </c>
      <c r="EE8" s="132">
        <f>IF(OR(EE$4="",$B8=""),0,SUMIF('DADOS BRUTOS'!$A$3:$A$500,$B8,'DADOS BRUTOS'!BE$3:BE$500)+IF($C8="",0,SUMIF('DADOS BRUTOS'!$A$3:$A$500,$C8,'DADOS BRUTOS'!BE$3:BE$500)))</f>
        <v/>
      </c>
      <c r="EF8" s="132">
        <f>IF(OR(EF$4="",$B8=""),0,SUMIF('DADOS BRUTOS'!$A$3:$A$500,$B8,'DADOS BRUTOS'!BF$3:BF$500)+IF($C8="",0,SUMIF('DADOS BRUTOS'!$A$3:$A$500,$C8,'DADOS BRUTOS'!BF$3:BF$500)))</f>
        <v/>
      </c>
      <c r="EG8" s="132">
        <f>IF(OR(EG$4="",$B8=""),0,SUMIF('DADOS BRUTOS'!$A$3:$A$500,$B8,'DADOS BRUTOS'!BG$3:BG$500)+IF($C8="",0,SUMIF('DADOS BRUTOS'!$A$3:$A$500,$C8,'DADOS BRUTOS'!BG$3:BG$500)))</f>
        <v/>
      </c>
      <c r="EH8" s="132">
        <f>IF(OR(EH$4="",$B8=""),0,SUMIF('DADOS BRUTOS'!$A$3:$A$500,$B8,'DADOS BRUTOS'!BH$3:BH$500)+IF($C8="",0,SUMIF('DADOS BRUTOS'!$A$3:$A$500,$C8,'DADOS BRUTOS'!BH$3:BH$500)))</f>
        <v/>
      </c>
      <c r="EI8" s="132">
        <f>IF(OR(EI$4="",$B8=""),0,SUMIF('DADOS BRUTOS'!$A$3:$A$500,$B8,'DADOS BRUTOS'!BI$3:BI$500)+IF($C8="",0,SUMIF('DADOS BRUTOS'!$A$3:$A$500,$C8,'DADOS BRUTOS'!BI$3:BI$500)))</f>
        <v/>
      </c>
      <c r="EJ8" s="132">
        <f>IF(OR(EJ$4="",$B8=""),0,SUMIF('DADOS BRUTOS'!$A$3:$A$500,$B8,'DADOS BRUTOS'!BJ$3:BJ$500)+IF($C8="",0,SUMIF('DADOS BRUTOS'!$A$3:$A$500,$C8,'DADOS BRUTOS'!BJ$3:BJ$500)))</f>
        <v/>
      </c>
      <c r="EK8" s="132">
        <f>IF(OR(EK$4="",$B8=""),0,SUMIF('DADOS BRUTOS'!$A$3:$A$500,$B8,'DADOS BRUTOS'!BK$3:BK$500)+IF($C8="",0,SUMIF('DADOS BRUTOS'!$A$3:$A$500,$C8,'DADOS BRUTOS'!BK$3:BK$500)))</f>
        <v/>
      </c>
      <c r="EL8" s="132">
        <f>IF(OR(EL$4="",$B8=""),0,SUMIF('DADOS BRUTOS'!$A$3:$A$500,$B8,'DADOS BRUTOS'!BL$3:BL$500)+IF($C8="",0,SUMIF('DADOS BRUTOS'!$A$3:$A$500,$C8,'DADOS BRUTOS'!BL$3:BL$500)))</f>
        <v/>
      </c>
      <c r="EM8" s="132">
        <f>IF(OR(EM$4="",$B8=""),0,SUMIF('DADOS BRUTOS'!$A$3:$A$500,$B8,'DADOS BRUTOS'!BM$3:BM$500)+IF($C8="",0,SUMIF('DADOS BRUTOS'!$A$3:$A$500,$C8,'DADOS BRUTOS'!BM$3:BM$500)))</f>
        <v/>
      </c>
      <c r="EN8" s="132">
        <f>IF(OR(EN$4="",$B8=""),0,SUMIF('DADOS BRUTOS'!$A$3:$A$500,$B8,'DADOS BRUTOS'!BN$3:BN$500)+IF($C8="",0,SUMIF('DADOS BRUTOS'!$A$3:$A$500,$C8,'DADOS BRUTOS'!BN$3:BN$500)))</f>
        <v/>
      </c>
      <c r="EO8" s="132">
        <f>IF(OR(EO$4="",$B8=""),0,SUMIF('DADOS BRUTOS'!$A$3:$A$500,$B8,'DADOS BRUTOS'!BO$3:BO$500)+IF($C8="",0,SUMIF('DADOS BRUTOS'!$A$3:$A$500,$C8,'DADOS BRUTOS'!BO$3:BO$500)))</f>
        <v/>
      </c>
      <c r="EP8" s="132">
        <f>IF(OR(EP$4="",$B8=""),0,SUMIF('DADOS BRUTOS'!$A$3:$A$500,$B8,'DADOS BRUTOS'!BP$3:BP$500)+IF($C8="",0,SUMIF('DADOS BRUTOS'!$A$3:$A$500,$C8,'DADOS BRUTOS'!BP$3:BP$500)))</f>
        <v/>
      </c>
      <c r="EQ8" s="132">
        <f>IF(OR(EQ$4="",$B8=""),0,SUMIF('DADOS BRUTOS'!$A$3:$A$500,$B8,'DADOS BRUTOS'!BQ$3:BQ$500)+IF($C8="",0,SUMIF('DADOS BRUTOS'!$A$3:$A$500,$C8,'DADOS BRUTOS'!BQ$3:BQ$500)))</f>
        <v/>
      </c>
      <c r="ER8" s="132">
        <f>IF(OR(ER$4="",$B8=""),0,SUMIF('DADOS BRUTOS'!$A$3:$A$500,$B8,'DADOS BRUTOS'!BR$3:BR$500)+IF($C8="",0,SUMIF('DADOS BRUTOS'!$A$3:$A$500,$C8,'DADOS BRUTOS'!BR$3:BR$500)))</f>
        <v/>
      </c>
      <c r="ES8" s="132">
        <f>IF(OR(ES$4="",$B8=""),0,SUMIF('DADOS BRUTOS'!$A$3:$A$500,$B8,'DADOS BRUTOS'!BS$3:BS$500)+IF($C8="",0,SUMIF('DADOS BRUTOS'!$A$3:$A$500,$C8,'DADOS BRUTOS'!BS$3:BS$500)))</f>
        <v/>
      </c>
      <c r="ET8" s="132">
        <f>IF(OR(ET$4="",$B8=""),0,SUMIF('DADOS BRUTOS'!$A$3:$A$500,$B8,'DADOS BRUTOS'!BT$3:BT$500)+IF($C8="",0,SUMIF('DADOS BRUTOS'!$A$3:$A$500,$C8,'DADOS BRUTOS'!BT$3:BT$500)))</f>
        <v/>
      </c>
      <c r="EU8" s="132">
        <f>IF(OR(EU$4="",$B8=""),0,SUMIF('DADOS BRUTOS'!$A$3:$A$500,$B8,'DADOS BRUTOS'!BU$3:BU$500)+IF($C8="",0,SUMIF('DADOS BRUTOS'!$A$3:$A$500,$C8,'DADOS BRUTOS'!BU$3:BU$500)))</f>
        <v/>
      </c>
      <c r="EV8" s="132">
        <f>IF(OR(EV$4="",$B8=""),0,SUMIF('DADOS BRUTOS'!$A$3:$A$500,$B8,'DADOS BRUTOS'!BV$3:BV$500)+IF($C8="",0,SUMIF('DADOS BRUTOS'!$A$3:$A$500,$C8,'DADOS BRUTOS'!BV$3:BV$500)))</f>
        <v/>
      </c>
      <c r="EW8" s="132">
        <f>IF(OR(EW$4="",$B8=""),0,SUMIF('DADOS BRUTOS'!$A$3:$A$500,$B8,'DADOS BRUTOS'!BW$3:BW$500)+IF($C8="",0,SUMIF('DADOS BRUTOS'!$A$3:$A$500,$C8,'DADOS BRUTOS'!BW$3:BW$500)))</f>
        <v/>
      </c>
      <c r="EX8" s="132">
        <f>IF(OR(EX$4="",$B8=""),0,SUMIF('DADOS BRUTOS'!$A$3:$A$500,$B8,'DADOS BRUTOS'!BX$3:BX$500)+IF($C8="",0,SUMIF('DADOS BRUTOS'!$A$3:$A$500,$C8,'DADOS BRUTOS'!BX$3:BX$500)))</f>
        <v/>
      </c>
      <c r="EY8" s="132">
        <f>IF(OR(EY$4="",$B8=""),0,SUMIF('DADOS BRUTOS'!$A$3:$A$500,$B8,'DADOS BRUTOS'!BY$3:BY$500)+IF($C8="",0,SUMIF('DADOS BRUTOS'!$A$3:$A$500,$C8,'DADOS BRUTOS'!BY$3:BY$500)))</f>
        <v/>
      </c>
      <c r="EZ8" s="132">
        <f>IF(OR(EZ$4="",$B8=""),0,SUMIF('DADOS BRUTOS'!$A$3:$A$500,$B8,'DADOS BRUTOS'!BZ$3:BZ$500)+IF($C8="",0,SUMIF('DADOS BRUTOS'!$A$3:$A$500,$C8,'DADOS BRUTOS'!BZ$3:BZ$500)))</f>
        <v/>
      </c>
      <c r="FA8" s="132">
        <f>IF(OR(FA$4="",$B8=""),0,SUMIF('DADOS BRUTOS'!$A$3:$A$500,$B8,'DADOS BRUTOS'!CA$3:CA$500)+IF($C8="",0,SUMIF('DADOS BRUTOS'!$A$3:$A$500,$C8,'DADOS BRUTOS'!CA$3:CA$500)))</f>
        <v/>
      </c>
      <c r="FB8" s="132">
        <f>IF(OR(FB$4="",$B8=""),0,SUMIF('DADOS BRUTOS'!$A$3:$A$500,$B8,'DADOS BRUTOS'!CB$3:CB$500)+IF($C8="",0,SUMIF('DADOS BRUTOS'!$A$3:$A$500,$C8,'DADOS BRUTOS'!CB$3:CB$500)))</f>
        <v/>
      </c>
      <c r="FC8" s="132">
        <f>IF(OR(FC$4="",$B8=""),0,SUMIF('DADOS BRUTOS'!$A$3:$A$500,$B8,'DADOS BRUTOS'!CC$3:CC$500)+IF($C8="",0,SUMIF('DADOS BRUTOS'!$A$3:$A$500,$C8,'DADOS BRUTOS'!CC$3:CC$500)))</f>
        <v/>
      </c>
      <c r="FD8" s="132">
        <f>IF(OR(FD$4="",$B8=""),0,SUMIF('DADOS BRUTOS'!$A$3:$A$500,$B8,'DADOS BRUTOS'!CD$3:CD$500)+IF($C8="",0,SUMIF('DADOS BRUTOS'!$A$3:$A$500,$C8,'DADOS BRUTOS'!CD$3:CD$500)))</f>
        <v/>
      </c>
      <c r="FE8" s="132">
        <f>IF(OR(FE$4="",$B8=""),0,SUMIF('DADOS BRUTOS'!$A$3:$A$500,$B8,'DADOS BRUTOS'!CE$3:CE$500)+IF($C8="",0,SUMIF('DADOS BRUTOS'!$A$3:$A$500,$C8,'DADOS BRUTOS'!CE$3:CE$500)))</f>
        <v/>
      </c>
      <c r="FF8" s="132">
        <f>IF(OR(FF$4="",$B8=""),0,SUMIF('DADOS BRUTOS'!$A$3:$A$500,$B8,'DADOS BRUTOS'!CF$3:CF$500)+IF($C8="",0,SUMIF('DADOS BRUTOS'!$A$3:$A$500,$C8,'DADOS BRUTOS'!CF$3:CF$500)))</f>
        <v/>
      </c>
      <c r="FG8" s="132">
        <f>IF(OR(FG$4="",$B8=""),0,SUMIF('DADOS BRUTOS'!$A$3:$A$500,$B8,'DADOS BRUTOS'!CG$3:CG$500)+IF($C8="",0,SUMIF('DADOS BRUTOS'!$A$3:$A$500,$C8,'DADOS BRUTOS'!CG$3:CG$500)))</f>
        <v/>
      </c>
      <c r="FH8" s="132">
        <f>IF(OR(FH$4="",$B8=""),0,SUMIF('DADOS BRUTOS'!$A$3:$A$500,$B8,'DADOS BRUTOS'!CH$3:CH$500)+IF($C8="",0,SUMIF('DADOS BRUTOS'!$A$3:$A$500,$C8,'DADOS BRUTOS'!CH$3:CH$500)))</f>
        <v/>
      </c>
      <c r="FI8" s="132">
        <f>IF(OR(FI$4="",$B8=""),0,SUMIF('DADOS BRUTOS'!$A$3:$A$500,$B8,'DADOS BRUTOS'!CI$3:CI$500)+IF($C8="",0,SUMIF('DADOS BRUTOS'!$A$3:$A$500,$C8,'DADOS BRUTOS'!CI$3:CI$500)))</f>
        <v/>
      </c>
      <c r="FJ8" s="132">
        <f>IF(OR(FJ$4="",$B8=""),0,SUMIF('DADOS BRUTOS'!$A$3:$A$500,$B8,'DADOS BRUTOS'!CJ$3:CJ$500)+IF($C8="",0,SUMIF('DADOS BRUTOS'!$A$3:$A$500,$C8,'DADOS BRUTOS'!CJ$3:CJ$500)))</f>
        <v/>
      </c>
      <c r="FK8" s="132">
        <f>IF(OR(FK$4="",$B8=""),0,SUMIF('DADOS BRUTOS'!$A$3:$A$500,$B8,'DADOS BRUTOS'!CK$3:CK$500)+IF($C8="",0,SUMIF('DADOS BRUTOS'!$A$3:$A$500,$C8,'DADOS BRUTOS'!CK$3:CK$500)))</f>
        <v/>
      </c>
      <c r="FL8" s="132">
        <f>IF(OR(FL$4="",$B8=""),0,SUMIF('DADOS BRUTOS'!$A$3:$A$500,$B8,'DADOS BRUTOS'!CL$3:CL$500)+IF($C8="",0,SUMIF('DADOS BRUTOS'!$A$3:$A$500,$C8,'DADOS BRUTOS'!CL$3:CL$500)))</f>
        <v/>
      </c>
      <c r="FM8" s="132">
        <f>IF(OR(FM$4="",$B8=""),0,SUMIF('DADOS BRUTOS'!$A$3:$A$500,$B8,'DADOS BRUTOS'!CM$3:CM$500)+IF($C8="",0,SUMIF('DADOS BRUTOS'!$A$3:$A$500,$C8,'DADOS BRUTOS'!CM$3:CM$500)))</f>
        <v/>
      </c>
      <c r="FN8" s="132">
        <f>IF(OR(FN$4="",$B8=""),0,SUMIF('DADOS BRUTOS'!$A$3:$A$500,$B8,'DADOS BRUTOS'!CN$3:CN$500)+IF($C8="",0,SUMIF('DADOS BRUTOS'!$A$3:$A$500,$C8,'DADOS BRUTOS'!CN$3:CN$500)))</f>
        <v/>
      </c>
      <c r="FO8" s="132">
        <f>IF(OR(FO$4="",$B8=""),0,SUMIF('DADOS BRUTOS'!$A$3:$A$500,$B8,'DADOS BRUTOS'!CO$3:CO$500)+IF($C8="",0,SUMIF('DADOS BRUTOS'!$A$3:$A$500,$C8,'DADOS BRUTOS'!CO$3:CO$500)))</f>
        <v/>
      </c>
      <c r="FP8" s="132">
        <f>IF(OR(FP$4="",$B8=""),0,SUMIF('DADOS BRUTOS'!$A$3:$A$500,$B8,'DADOS BRUTOS'!CP$3:CP$500)+IF($C8="",0,SUMIF('DADOS BRUTOS'!$A$3:$A$500,$C8,'DADOS BRUTOS'!CP$3:CP$500)))</f>
        <v/>
      </c>
      <c r="FQ8" s="132">
        <f>IF(OR(FQ$4="",$B8=""),0,SUMIF('DADOS BRUTOS'!$A$3:$A$500,$B8,'DADOS BRUTOS'!CQ$3:CQ$500)+IF($C8="",0,SUMIF('DADOS BRUTOS'!$A$3:$A$500,$C8,'DADOS BRUTOS'!CQ$3:CQ$500)))</f>
        <v/>
      </c>
      <c r="FR8" s="132">
        <f>IF(OR(FR$4="",$B8=""),0,SUMIF('DADOS BRUTOS'!$A$3:$A$500,$B8,'DADOS BRUTOS'!CR$3:CR$500)+IF($C8="",0,SUMIF('DADOS BRUTOS'!$A$3:$A$500,$C8,'DADOS BRUTOS'!CR$3:CR$500)))</f>
        <v/>
      </c>
      <c r="FS8" s="132">
        <f>IF(OR(FS$4="",$B8=""),0,SUMIF('DADOS BRUTOS'!$A$3:$A$500,$B8,'DADOS BRUTOS'!CS$3:CS$500)+IF($C8="",0,SUMIF('DADOS BRUTOS'!$A$3:$A$500,$C8,'DADOS BRUTOS'!CS$3:CS$500)))</f>
        <v/>
      </c>
      <c r="FT8" s="132">
        <f>IF(OR(FT$4="",$B8=""),0,SUMIF('DADOS BRUTOS'!$A$3:$A$500,$B8,'DADOS BRUTOS'!CT$3:CT$500)+IF($C8="",0,SUMIF('DADOS BRUTOS'!$A$3:$A$500,$C8,'DADOS BRUTOS'!CT$3:CT$500)))</f>
        <v/>
      </c>
      <c r="FU8" s="132">
        <f>IF(OR(FU$4="",$B8=""),0,SUMIF('DADOS BRUTOS'!$A$3:$A$500,$B8,'DADOS BRUTOS'!CU$3:CU$500)+IF($C8="",0,SUMIF('DADOS BRUTOS'!$A$3:$A$500,$C8,'DADOS BRUTOS'!CU$3:CU$500)))</f>
        <v/>
      </c>
      <c r="FV8" s="132">
        <f>IF(OR(FV$4="",$B8=""),0,SUMIF('DADOS BRUTOS'!$A$3:$A$500,$B8,'DADOS BRUTOS'!CV$3:CV$500)+IF($C8="",0,SUMIF('DADOS BRUTOS'!$A$3:$A$500,$C8,'DADOS BRUTOS'!CV$3:CV$500)))</f>
        <v/>
      </c>
      <c r="FW8" s="132">
        <f>IF(OR(FW$4="",$B8=""),0,SUMIF('DADOS BRUTOS'!$A$3:$A$500,$B8,'DADOS BRUTOS'!CW$3:CW$500)+IF($C8="",0,SUMIF('DADOS BRUTOS'!$A$3:$A$500,$C8,'DADOS BRUTOS'!CW$3:CW$500)))</f>
        <v/>
      </c>
      <c r="FX8" s="132">
        <f>IF(OR(FX$4="",$B8=""),0,SUMIF('DADOS BRUTOS'!$A$3:$A$500,$B8,'DADOS BRUTOS'!CX$3:CX$500)+IF($C8="",0,SUMIF('DADOS BRUTOS'!$A$3:$A$500,$C8,'DADOS BRUTOS'!CX$3:CX$500)))</f>
        <v/>
      </c>
      <c r="FY8" s="132">
        <f>IF(OR(FY$4="",$B8=""),0,SUMIF('DADOS BRUTOS'!$A$3:$A$500,$B8,'DADOS BRUTOS'!CY$3:CY$500)+IF($C8="",0,SUMIF('DADOS BRUTOS'!$A$3:$A$500,$C8,'DADOS BRUTOS'!CY$3:CY$500)))</f>
        <v/>
      </c>
      <c r="FZ8" s="132">
        <f>IF(OR(FZ$4="",$B8=""),0,SUMIF('DADOS BRUTOS'!$A$3:$A$500,$B8,'DADOS BRUTOS'!CZ$3:CZ$500)+IF($C8="",0,SUMIF('DADOS BRUTOS'!$A$3:$A$500,$C8,'DADOS BRUTOS'!CZ$3:CZ$500)))</f>
        <v/>
      </c>
      <c r="GA8" s="132">
        <f>IF(OR(GA$4="",$B8=""),0,SUMIF('DADOS BRUTOS'!$A$3:$A$500,$B8,'DADOS BRUTOS'!DA$3:DA$500)+IF($C8="",0,SUMIF('DADOS BRUTOS'!$A$3:$A$500,$C8,'DADOS BRUTOS'!DA$3:DA$500)))</f>
        <v/>
      </c>
      <c r="GB8" s="132">
        <f>IF(OR(GB$4="",$B8=""),0,SUMIF('DADOS BRUTOS'!$A$3:$A$500,$B8,'DADOS BRUTOS'!DB$3:DB$500)+IF($C8="",0,SUMIF('DADOS BRUTOS'!$A$3:$A$500,$C8,'DADOS BRUTOS'!DB$3:DB$500)))</f>
        <v/>
      </c>
      <c r="GC8" s="132">
        <f>IF(OR(GC$4="",$B8=""),0,SUMIF('DADOS BRUTOS'!$A$3:$A$500,$B8,'DADOS BRUTOS'!DC$3:DC$500)+IF($C8="",0,SUMIF('DADOS BRUTOS'!$A$3:$A$500,$C8,'DADOS BRUTOS'!DC$3:DC$500)))</f>
        <v/>
      </c>
      <c r="GD8" s="132">
        <f>IF(OR(GD$4="",$B8=""),0,SUMIF('DADOS BRUTOS'!$A$3:$A$500,$B8,'DADOS BRUTOS'!DD$3:DD$500)+IF($C8="",0,SUMIF('DADOS BRUTOS'!$A$3:$A$500,$C8,'DADOS BRUTOS'!DD$3:DD$500)))</f>
        <v/>
      </c>
      <c r="GE8" s="132">
        <f>IF(OR(GE$4="",$B8=""),0,SUMIF('DADOS BRUTOS'!$A$3:$A$500,$B8,'DADOS BRUTOS'!DE$3:DE$500)+IF($C8="",0,SUMIF('DADOS BRUTOS'!$A$3:$A$500,$C8,'DADOS BRUTOS'!DE$3:DE$500)))</f>
        <v/>
      </c>
      <c r="GF8" s="132">
        <f>IF(OR(GF$4="",$B8=""),0,SUMIF('DADOS BRUTOS'!$A$3:$A$500,$B8,'DADOS BRUTOS'!DF$3:DF$500)+IF($C8="",0,SUMIF('DADOS BRUTOS'!$A$3:$A$500,$C8,'DADOS BRUTOS'!DF$3:DF$500)))</f>
        <v/>
      </c>
      <c r="GG8" s="132">
        <f>IF(OR(GG$4="",$B8=""),0,SUMIF('DADOS BRUTOS'!$A$3:$A$500,$B8,'DADOS BRUTOS'!DG$3:DG$500)+IF($C8="",0,SUMIF('DADOS BRUTOS'!$A$3:$A$500,$C8,'DADOS BRUTOS'!DG$3:DG$500)))</f>
        <v/>
      </c>
      <c r="GH8" s="132">
        <f>IF(OR(GH$4="",$B8=""),0,SUMIF('DADOS BRUTOS'!$A$3:$A$500,$B8,'DADOS BRUTOS'!DH$3:DH$500)+IF($C8="",0,SUMIF('DADOS BRUTOS'!$A$3:$A$500,$C8,'DADOS BRUTOS'!DH$3:DH$500)))</f>
        <v/>
      </c>
      <c r="GI8" s="132">
        <f>IF(OR(GI$4="",$B8=""),0,SUMIF('DADOS BRUTOS'!$A$3:$A$500,$B8,'DADOS BRUTOS'!DI$3:DI$500)+IF($C8="",0,SUMIF('DADOS BRUTOS'!$A$3:$A$500,$C8,'DADOS BRUTOS'!DI$3:DI$500)))</f>
        <v/>
      </c>
      <c r="GJ8" s="132">
        <f>IF(OR(GJ$4="",$B8=""),0,SUMIF('DADOS BRUTOS'!$A$3:$A$500,$B8,'DADOS BRUTOS'!DJ$3:DJ$500)+IF($C8="",0,SUMIF('DADOS BRUTOS'!$A$3:$A$500,$C8,'DADOS BRUTOS'!DJ$3:DJ$500)))</f>
        <v/>
      </c>
      <c r="GK8" s="132">
        <f>IF(OR(GK$4="",$B8=""),0,SUMIF('DADOS BRUTOS'!$A$3:$A$500,$B8,'DADOS BRUTOS'!DK$3:DK$500)+IF($C8="",0,SUMIF('DADOS BRUTOS'!$A$3:$A$500,$C8,'DADOS BRUTOS'!DK$3:DK$500)))</f>
        <v/>
      </c>
      <c r="GL8" s="132">
        <f>IF(OR(GL$4="",$B8=""),0,SUMIF('DADOS BRUTOS'!$A$3:$A$500,$B8,'DADOS BRUTOS'!DL$3:DL$500)+IF($C8="",0,SUMIF('DADOS BRUTOS'!$A$3:$A$500,$C8,'DADOS BRUTOS'!DL$3:DL$500)))</f>
        <v/>
      </c>
      <c r="GM8" s="132">
        <f>IF(OR(GM$4="",$B8=""),0,SUMIF('DADOS BRUTOS'!$A$3:$A$500,$B8,'DADOS BRUTOS'!DM$3:DM$500)+IF($C8="",0,SUMIF('DADOS BRUTOS'!$A$3:$A$500,$C8,'DADOS BRUTOS'!DM$3:DM$500)))</f>
        <v/>
      </c>
      <c r="GN8" s="132">
        <f>IF(OR(GN$4="",$B8=""),0,SUMIF('DADOS BRUTOS'!$A$3:$A$500,$B8,'DADOS BRUTOS'!DN$3:DN$500)+IF($C8="",0,SUMIF('DADOS BRUTOS'!$A$3:$A$500,$C8,'DADOS BRUTOS'!DN$3:DN$500)))</f>
        <v/>
      </c>
      <c r="GO8" s="132">
        <f>IF(OR(GO$4="",$B8=""),0,SUMIF('DADOS BRUTOS'!$A$3:$A$500,$B8,'DADOS BRUTOS'!DO$3:DO$500)+IF($C8="",0,SUMIF('DADOS BRUTOS'!$A$3:$A$500,$C8,'DADOS BRUTOS'!DO$3:DO$500)))</f>
        <v/>
      </c>
      <c r="GP8" s="132">
        <f>IF(OR(GP$4="",$B8=""),0,SUMIF('DADOS BRUTOS'!$A$3:$A$500,$B8,'DADOS BRUTOS'!DP$3:DP$500)+IF($C8="",0,SUMIF('DADOS BRUTOS'!$A$3:$A$500,$C8,'DADOS BRUTOS'!DP$3:DP$500)))</f>
        <v/>
      </c>
      <c r="GQ8" s="132">
        <f>IF(OR(GQ$4="",$B8=""),0,SUMIF('DADOS BRUTOS'!$A$3:$A$500,$B8,'DADOS BRUTOS'!DQ$3:DQ$500)+IF($C8="",0,SUMIF('DADOS BRUTOS'!$A$3:$A$500,$C8,'DADOS BRUTOS'!DQ$3:DQ$500)))</f>
        <v/>
      </c>
      <c r="GR8" s="132">
        <f>IF(OR(GR$4="",$B8=""),0,SUMIF('DADOS BRUTOS'!$A$3:$A$500,$B8,'DADOS BRUTOS'!DR$3:DR$500)+IF($C8="",0,SUMIF('DADOS BRUTOS'!$A$3:$A$500,$C8,'DADOS BRUTOS'!DR$3:DR$500)))</f>
        <v/>
      </c>
      <c r="GS8" s="132">
        <f>IF(OR(GS$4="",$B8=""),0,SUMIF('DADOS BRUTOS'!$A$3:$A$500,$B8,'DADOS BRUTOS'!DS$3:DS$500)+IF($C8="",0,SUMIF('DADOS BRUTOS'!$A$3:$A$500,$C8,'DADOS BRUTOS'!DS$3:DS$500)))</f>
        <v/>
      </c>
      <c r="GT8" s="132">
        <f>IF(OR(GT$4="",$B8=""),0,SUMIF('DADOS BRUTOS'!$A$3:$A$500,$B8,'DADOS BRUTOS'!DT$3:DT$500)+IF($C8="",0,SUMIF('DADOS BRUTOS'!$A$3:$A$500,$C8,'DADOS BRUTOS'!DT$3:DT$500)))</f>
        <v/>
      </c>
      <c r="GU8" s="132">
        <f>IF(OR(GU$4="",$B8=""),0,SUMIF('DADOS BRUTOS'!$A$3:$A$500,$B8,'DADOS BRUTOS'!DU$3:DU$500)+IF($C8="",0,SUMIF('DADOS BRUTOS'!$A$3:$A$500,$C8,'DADOS BRUTOS'!DU$3:DU$500)))</f>
        <v/>
      </c>
      <c r="GV8" s="132">
        <f>IF(OR(GV$4="",$B8=""),0,SUMIF('DADOS BRUTOS'!$A$3:$A$500,$B8,'DADOS BRUTOS'!DV$3:DV$500)+IF($C8="",0,SUMIF('DADOS BRUTOS'!$A$3:$A$500,$C8,'DADOS BRUTOS'!DV$3:DV$500)))</f>
        <v/>
      </c>
      <c r="GW8" s="132">
        <f>IF(OR(GW$4="",$B8=""),0,SUMIF('DADOS BRUTOS'!$A$3:$A$500,$B8,'DADOS BRUTOS'!DW$3:DW$500)+IF($C8="",0,SUMIF('DADOS BRUTOS'!$A$3:$A$500,$C8,'DADOS BRUTOS'!DW$3:DW$500)))</f>
        <v/>
      </c>
      <c r="GX8" s="132">
        <f>IF(OR(GX$4="",$B8=""),0,SUMIF('DADOS BRUTOS'!$A$3:$A$500,$B8,'DADOS BRUTOS'!DX$3:DX$500)+IF($C8="",0,SUMIF('DADOS BRUTOS'!$A$3:$A$500,$C8,'DADOS BRUTOS'!DX$3:DX$500)))</f>
        <v/>
      </c>
      <c r="GY8" s="132">
        <f>IF(OR(GY$4="",$B8=""),0,SUMIF('DADOS BRUTOS'!$A$3:$A$500,$B8,'DADOS BRUTOS'!DY$3:DY$500)+IF($C8="",0,SUMIF('DADOS BRUTOS'!$A$3:$A$500,$C8,'DADOS BRUTOS'!DY$3:DY$500)))</f>
        <v/>
      </c>
      <c r="GZ8" s="132">
        <f>IF(OR(GZ$4="",$B8=""),0,SUMIF('DADOS BRUTOS'!$A$3:$A$500,$B8,'DADOS BRUTOS'!DZ$3:DZ$500)+IF($C8="",0,SUMIF('DADOS BRUTOS'!$A$3:$A$500,$C8,'DADOS BRUTOS'!DZ$3:DZ$500)))</f>
        <v/>
      </c>
      <c r="HA8" s="132">
        <f>IF(OR(HA$4="",$B8=""),0,SUMIF('DADOS BRUTOS'!$A$3:$A$500,$B8,'DADOS BRUTOS'!EA$3:EA$500)+IF($C8="",0,SUMIF('DADOS BRUTOS'!$A$3:$A$500,$C8,'DADOS BRUTOS'!EA$3:EA$500)))</f>
        <v/>
      </c>
      <c r="HB8" s="132">
        <f>IF(OR(HB$4="",$B8=""),0,SUMIF('DADOS BRUTOS'!$A$3:$A$500,$B8,'DADOS BRUTOS'!EB$3:EB$500)+IF($C8="",0,SUMIF('DADOS BRUTOS'!$A$3:$A$500,$C8,'DADOS BRUTOS'!EB$3:EB$500)))</f>
        <v/>
      </c>
      <c r="HC8" s="132">
        <f>IF(OR(HC$4="",$B8=""),0,SUMIF('DADOS BRUTOS'!$A$3:$A$500,$B8,'DADOS BRUTOS'!EC$3:EC$500)+IF($C8="",0,SUMIF('DADOS BRUTOS'!$A$3:$A$500,$C8,'DADOS BRUTOS'!EC$3:EC$500)))</f>
        <v/>
      </c>
      <c r="HD8" s="132">
        <f>IF(OR(HD$4="",$B8=""),0,SUMIF('DADOS BRUTOS'!$A$3:$A$500,$B8,'DADOS BRUTOS'!ED$3:ED$500)+IF($C8="",0,SUMIF('DADOS BRUTOS'!$A$3:$A$500,$C8,'DADOS BRUTOS'!ED$3:ED$500)))</f>
        <v/>
      </c>
      <c r="HE8" s="132">
        <f>IF(OR(HE$4="",$B8=""),0,SUMIF('DADOS BRUTOS'!$A$3:$A$500,$B8,'DADOS BRUTOS'!EE$3:EE$500)+IF($C8="",0,SUMIF('DADOS BRUTOS'!$A$3:$A$500,$C8,'DADOS BRUTOS'!EE$3:EE$500)))</f>
        <v/>
      </c>
      <c r="HF8" s="132">
        <f>IF(OR(HF$4="",$B8=""),0,SUMIF('DADOS BRUTOS'!$A$3:$A$500,$B8,'DADOS BRUTOS'!EF$3:EF$500)+IF($C8="",0,SUMIF('DADOS BRUTOS'!$A$3:$A$500,$C8,'DADOS BRUTOS'!EF$3:EF$500)))</f>
        <v/>
      </c>
      <c r="HG8" s="132">
        <f>IF(OR(HG$4="",$B8=""),0,SUMIF('DADOS BRUTOS'!$A$3:$A$500,$B8,'DADOS BRUTOS'!EG$3:EG$500)+IF($C8="",0,SUMIF('DADOS BRUTOS'!$A$3:$A$500,$C8,'DADOS BRUTOS'!EG$3:EG$500)))</f>
        <v/>
      </c>
      <c r="HH8" s="132">
        <f>IF(OR(HH$4="",$B8=""),0,SUMIF('DADOS BRUTOS'!$A$3:$A$500,$B8,'DADOS BRUTOS'!EH$3:EH$500)+IF($C8="",0,SUMIF('DADOS BRUTOS'!$A$3:$A$500,$C8,'DADOS BRUTOS'!EH$3:EH$500)))</f>
        <v/>
      </c>
      <c r="HI8" s="132">
        <f>IF(OR(HI$4="",$B8=""),0,SUMIF('DADOS BRUTOS'!$A$3:$A$500,$B8,'DADOS BRUTOS'!EI$3:EI$500)+IF($C8="",0,SUMIF('DADOS BRUTOS'!$A$3:$A$500,$C8,'DADOS BRUTOS'!EI$3:EI$500)))</f>
        <v/>
      </c>
      <c r="HJ8" s="132">
        <f>IF(OR(HJ$4="",$B8=""),0,SUMIF('DADOS BRUTOS'!$A$3:$A$500,$B8,'DADOS BRUTOS'!EJ$3:EJ$500)+IF($C8="",0,SUMIF('DADOS BRUTOS'!$A$3:$A$500,$C8,'DADOS BRUTOS'!EJ$3:EJ$500)))</f>
        <v/>
      </c>
      <c r="HK8" s="132">
        <f>IF(OR(HK$4="",$B8=""),0,SUMIF('DADOS BRUTOS'!$A$3:$A$500,$B8,'DADOS BRUTOS'!EK$3:EK$500)+IF($C8="",0,SUMIF('DADOS BRUTOS'!$A$3:$A$500,$C8,'DADOS BRUTOS'!EK$3:EK$500)))</f>
        <v/>
      </c>
      <c r="HL8" s="132">
        <f>IF(OR(HL$4="",$B8=""),0,SUMIF('DADOS BRUTOS'!$A$3:$A$500,$B8,'DADOS BRUTOS'!EL$3:EL$500)+IF($C8="",0,SUMIF('DADOS BRUTOS'!$A$3:$A$500,$C8,'DADOS BRUTOS'!EL$3:EL$500)))</f>
        <v/>
      </c>
      <c r="HM8" s="132">
        <f>IF(OR(HM$4="",$B8=""),0,SUMIF('DADOS BRUTOS'!$A$3:$A$500,$B8,'DADOS BRUTOS'!EM$3:EM$500)+IF($C8="",0,SUMIF('DADOS BRUTOS'!$A$3:$A$500,$C8,'DADOS BRUTOS'!EM$3:EM$500)))</f>
        <v/>
      </c>
      <c r="HN8" s="132">
        <f>IF(OR(HN$4="",$B8=""),0,SUMIF('DADOS BRUTOS'!$A$3:$A$500,$B8,'DADOS BRUTOS'!EN$3:EN$500)+IF($C8="",0,SUMIF('DADOS BRUTOS'!$A$3:$A$500,$C8,'DADOS BRUTOS'!EN$3:EN$500)))</f>
        <v/>
      </c>
      <c r="HO8" s="132">
        <f>IF(OR(HO$4="",$B8=""),0,SUMIF('DADOS BRUTOS'!$A$3:$A$500,$B8,'DADOS BRUTOS'!EO$3:EO$500)+IF($C8="",0,SUMIF('DADOS BRUTOS'!$A$3:$A$500,$C8,'DADOS BRUTOS'!EO$3:EO$500)))</f>
        <v/>
      </c>
      <c r="HP8" s="132">
        <f>IF(OR(HP$4="",$B8=""),0,SUMIF('DADOS BRUTOS'!$A$3:$A$500,$B8,'DADOS BRUTOS'!EP$3:EP$500)+IF($C8="",0,SUMIF('DADOS BRUTOS'!$A$3:$A$500,$C8,'DADOS BRUTOS'!EP$3:EP$500)))</f>
        <v/>
      </c>
      <c r="HQ8" s="132">
        <f>IF(OR(HQ$4="",$B8=""),0,SUMIF('DADOS BRUTOS'!$A$3:$A$500,$B8,'DADOS BRUTOS'!EQ$3:EQ$500)+IF($C8="",0,SUMIF('DADOS BRUTOS'!$A$3:$A$500,$C8,'DADOS BRUTOS'!EQ$3:EQ$500)))</f>
        <v/>
      </c>
      <c r="HR8" s="132">
        <f>IF(OR(HR$4="",$B8=""),0,SUMIF('DADOS BRUTOS'!$A$3:$A$500,$B8,'DADOS BRUTOS'!ER$3:ER$500)+IF($C8="",0,SUMIF('DADOS BRUTOS'!$A$3:$A$500,$C8,'DADOS BRUTOS'!ER$3:ER$500)))</f>
        <v/>
      </c>
      <c r="HS8" s="132">
        <f>IF(OR(HS$4="",$B8=""),0,SUMIF('DADOS BRUTOS'!$A$3:$A$500,$B8,'DADOS BRUTOS'!ES$3:ES$500)+IF($C8="",0,SUMIF('DADOS BRUTOS'!$A$3:$A$500,$C8,'DADOS BRUTOS'!ES$3:ES$500)))</f>
        <v/>
      </c>
      <c r="HT8" s="132">
        <f>IF(OR(HT$4="",$B8=""),0,SUMIF('DADOS BRUTOS'!$A$3:$A$500,$B8,'DADOS BRUTOS'!ET$3:ET$500)+IF($C8="",0,SUMIF('DADOS BRUTOS'!$A$3:$A$500,$C8,'DADOS BRUTOS'!ET$3:ET$500)))</f>
        <v/>
      </c>
      <c r="HU8" s="132">
        <f>IF(OR(HU$4="",$B8=""),0,SUMIF('DADOS BRUTOS'!$A$3:$A$500,$B8,'DADOS BRUTOS'!EU$3:EU$500)+IF($C8="",0,SUMIF('DADOS BRUTOS'!$A$3:$A$500,$C8,'DADOS BRUTOS'!EU$3:EU$500)))</f>
        <v/>
      </c>
      <c r="HV8" s="132">
        <f>IF(OR(HV$4="",$B8=""),0,SUMIF('DADOS BRUTOS'!$A$3:$A$500,$B8,'DADOS BRUTOS'!EV$3:EV$500)+IF($C8="",0,SUMIF('DADOS BRUTOS'!$A$3:$A$500,$C8,'DADOS BRUTOS'!EV$3:EV$500)))</f>
        <v/>
      </c>
      <c r="HW8" s="132">
        <f>IF(OR(HW$4="",$B8=""),0,SUMIF('DADOS BRUTOS'!$A$3:$A$500,$B8,'DADOS BRUTOS'!EW$3:EW$500)+IF($C8="",0,SUMIF('DADOS BRUTOS'!$A$3:$A$500,$C8,'DADOS BRUTOS'!EW$3:EW$500)))</f>
        <v/>
      </c>
      <c r="HX8" s="132">
        <f>IF(OR(HX$4="",$B8=""),0,SUMIF('DADOS BRUTOS'!$A$3:$A$500,$B8,'DADOS BRUTOS'!EX$3:EX$500)+IF($C8="",0,SUMIF('DADOS BRUTOS'!$A$3:$A$500,$C8,'DADOS BRUTOS'!EX$3:EX$500)))</f>
        <v/>
      </c>
      <c r="HY8" s="132">
        <f>IF(OR(HY$4="",$B8=""),0,SUMIF('DADOS BRUTOS'!$A$3:$A$500,$B8,'DADOS BRUTOS'!EY$3:EY$500)+IF($C8="",0,SUMIF('DADOS BRUTOS'!$A$3:$A$500,$C8,'DADOS BRUTOS'!EY$3:EY$500)))</f>
        <v/>
      </c>
      <c r="HZ8" s="132">
        <f>IF(OR(HZ$4="",$B8=""),0,SUMIF('DADOS BRUTOS'!$A$3:$A$500,$B8,'DADOS BRUTOS'!EZ$3:EZ$500)+IF($C8="",0,SUMIF('DADOS BRUTOS'!$A$3:$A$500,$C8,'DADOS BRUTOS'!EZ$3:EZ$500)))</f>
        <v/>
      </c>
      <c r="IA8" s="132">
        <f>IF(OR(IA$4="",$B8=""),0,SUMIF('DADOS BRUTOS'!$A$3:$A$500,$B8,'DADOS BRUTOS'!FA$3:FA$500)+IF($C8="",0,SUMIF('DADOS BRUTOS'!$A$3:$A$500,$C8,'DADOS BRUTOS'!FA$3:FA$500)))</f>
        <v/>
      </c>
      <c r="IB8" s="132">
        <f>IF(OR(IB$4="",$B8=""),0,SUMIF('DADOS BRUTOS'!$A$3:$A$500,$B8,'DADOS BRUTOS'!FB$3:FB$500)+IF($C8="",0,SUMIF('DADOS BRUTOS'!$A$3:$A$500,$C8,'DADOS BRUTOS'!FB$3:FB$500)))</f>
        <v/>
      </c>
      <c r="IC8" s="132">
        <f>IF(OR(IC$4="",$B8=""),0,SUMIF('DADOS BRUTOS'!$A$3:$A$500,$B8,'DADOS BRUTOS'!FC$3:FC$500)+IF($C8="",0,SUMIF('DADOS BRUTOS'!$A$3:$A$500,$C8,'DADOS BRUTOS'!FC$3:FC$500)))</f>
        <v/>
      </c>
      <c r="ID8" s="132">
        <f>IF(OR(ID$4="",$B8=""),0,SUMIF('DADOS BRUTOS'!$A$3:$A$500,$B8,'DADOS BRUTOS'!FD$3:FD$500)+IF($C8="",0,SUMIF('DADOS BRUTOS'!$A$3:$A$500,$C8,'DADOS BRUTOS'!FD$3:FD$500)))</f>
        <v/>
      </c>
      <c r="IE8" s="132">
        <f>IF(OR(IE$4="",$B8=""),0,SUMIF('DADOS BRUTOS'!$A$3:$A$500,$B8,'DADOS BRUTOS'!FE$3:FE$500)+IF($C8="",0,SUMIF('DADOS BRUTOS'!$A$3:$A$500,$C8,'DADOS BRUTOS'!FE$3:FE$500)))</f>
        <v/>
      </c>
      <c r="IF8" s="132">
        <f>IF(OR(IF$4="",$B8=""),0,SUMIF('DADOS BRUTOS'!$A$3:$A$500,$B8,'DADOS BRUTOS'!FF$3:FF$500)+IF($C8="",0,SUMIF('DADOS BRUTOS'!$A$3:$A$500,$C8,'DADOS BRUTOS'!FF$3:FF$500)))</f>
        <v/>
      </c>
      <c r="IG8" s="132">
        <f>IF(OR(IG$4="",$B8=""),0,SUMIF('DADOS BRUTOS'!$A$3:$A$500,$B8,'DADOS BRUTOS'!FG$3:FG$500)+IF($C8="",0,SUMIF('DADOS BRUTOS'!$A$3:$A$500,$C8,'DADOS BRUTOS'!FG$3:FG$500)))</f>
        <v/>
      </c>
      <c r="IH8" s="132">
        <f>IF(OR(IH$4="",$B8=""),0,SUMIF('DADOS BRUTOS'!$A$3:$A$500,$B8,'DADOS BRUTOS'!FH$3:FH$500)+IF($C8="",0,SUMIF('DADOS BRUTOS'!$A$3:$A$500,$C8,'DADOS BRUTOS'!FH$3:FH$500)))</f>
        <v/>
      </c>
      <c r="II8" s="132">
        <f>IF(OR(II$4="",$B8=""),0,SUMIF('DADOS BRUTOS'!$A$3:$A$500,$B8,'DADOS BRUTOS'!FI$3:FI$500)+IF($C8="",0,SUMIF('DADOS BRUTOS'!$A$3:$A$500,$C8,'DADOS BRUTOS'!FI$3:FI$500)))</f>
        <v/>
      </c>
      <c r="IJ8" s="132">
        <f>IF(OR(IJ$4="",$B8=""),0,SUMIF('DADOS BRUTOS'!$A$3:$A$500,$B8,'DADOS BRUTOS'!FJ$3:FJ$500)+IF($C8="",0,SUMIF('DADOS BRUTOS'!$A$3:$A$500,$C8,'DADOS BRUTOS'!FJ$3:FJ$500)))</f>
        <v/>
      </c>
      <c r="IK8" s="132">
        <f>IF(OR(IK$4="",$B8=""),0,SUMIF('DADOS BRUTOS'!$A$3:$A$500,$B8,'DADOS BRUTOS'!FK$3:FK$500)+IF($C8="",0,SUMIF('DADOS BRUTOS'!$A$3:$A$500,$C8,'DADOS BRUTOS'!FK$3:FK$500)))</f>
        <v/>
      </c>
      <c r="IL8" s="132">
        <f>IF(OR(IL$4="",$B8=""),0,SUMIF('DADOS BRUTOS'!$A$3:$A$500,$B8,'DADOS BRUTOS'!FL$3:FL$500)+IF($C8="",0,SUMIF('DADOS BRUTOS'!$A$3:$A$500,$C8,'DADOS BRUTOS'!FL$3:FL$500)))</f>
        <v/>
      </c>
      <c r="IM8" s="132">
        <f>IF(OR(IM$4="",$B8=""),0,SUMIF('DADOS BRUTOS'!$A$3:$A$500,$B8,'DADOS BRUTOS'!FM$3:FM$500)+IF($C8="",0,SUMIF('DADOS BRUTOS'!$A$3:$A$500,$C8,'DADOS BRUTOS'!FM$3:FM$500)))</f>
        <v/>
      </c>
      <c r="IN8" s="132">
        <f>IF(OR(IN$4="",$B8=""),0,SUMIF('DADOS BRUTOS'!$A$3:$A$500,$B8,'DADOS BRUTOS'!FN$3:FN$500)+IF($C8="",0,SUMIF('DADOS BRUTOS'!$A$3:$A$500,$C8,'DADOS BRUTOS'!FN$3:FN$500)))</f>
        <v/>
      </c>
      <c r="IO8" s="132">
        <f>IF(OR(IO$4="",$B8=""),0,SUMIF('DADOS BRUTOS'!$A$3:$A$500,$B8,'DADOS BRUTOS'!FO$3:FO$500)+IF($C8="",0,SUMIF('DADOS BRUTOS'!$A$3:$A$500,$C8,'DADOS BRUTOS'!FO$3:FO$500)))</f>
        <v/>
      </c>
      <c r="IP8" s="132">
        <f>IF(OR(IP$4="",$B8=""),0,SUMIF('DADOS BRUTOS'!$A$3:$A$500,$B8,'DADOS BRUTOS'!FP$3:FP$500)+IF($C8="",0,SUMIF('DADOS BRUTOS'!$A$3:$A$500,$C8,'DADOS BRUTOS'!FP$3:FP$500)))</f>
        <v/>
      </c>
      <c r="IQ8" s="132">
        <f>IF(OR(IQ$4="",$B8=""),0,SUMIF('DADOS BRUTOS'!$A$3:$A$500,$B8,'DADOS BRUTOS'!FQ$3:FQ$500)+IF($C8="",0,SUMIF('DADOS BRUTOS'!$A$3:$A$500,$C8,'DADOS BRUTOS'!FQ$3:FQ$500)))</f>
        <v/>
      </c>
      <c r="IR8" s="132">
        <f>IF(OR(IR$4="",$B8=""),0,SUMIF('DADOS BRUTOS'!$A$3:$A$500,$B8,'DADOS BRUTOS'!FR$3:FR$500)+IF($C8="",0,SUMIF('DADOS BRUTOS'!$A$3:$A$500,$C8,'DADOS BRUTOS'!FR$3:FR$500)))</f>
        <v/>
      </c>
      <c r="IS8" s="132">
        <f>IF(OR(IS$4="",$B8=""),0,SUMIF('DADOS BRUTOS'!$A$3:$A$500,$B8,'DADOS BRUTOS'!FS$3:FS$500)+IF($C8="",0,SUMIF('DADOS BRUTOS'!$A$3:$A$500,$C8,'DADOS BRUTOS'!FS$3:FS$500)))</f>
        <v/>
      </c>
      <c r="IT8" s="132">
        <f>IF(OR(IT$4="",$B8=""),0,SUMIF('DADOS BRUTOS'!$A$3:$A$500,$B8,'DADOS BRUTOS'!FT$3:FT$500)+IF($C8="",0,SUMIF('DADOS BRUTOS'!$A$3:$A$500,$C8,'DADOS BRUTOS'!FT$3:FT$500)))</f>
        <v/>
      </c>
      <c r="IU8" s="132">
        <f>IF(OR(IU$4="",$B8=""),0,SUMIF('DADOS BRUTOS'!$A$3:$A$500,$B8,'DADOS BRUTOS'!FU$3:FU$500)+IF($C8="",0,SUMIF('DADOS BRUTOS'!$A$3:$A$500,$C8,'DADOS BRUTOS'!FU$3:FU$500)))</f>
        <v/>
      </c>
      <c r="IV8" s="132">
        <f>IF(OR(IV$4="",$B8=""),0,SUMIF('DADOS BRUTOS'!$A$3:$A$500,$B8,'DADOS BRUTOS'!FV$3:FV$500)+IF($C8="",0,SUMIF('DADOS BRUTOS'!$A$3:$A$500,$C8,'DADOS BRUTOS'!FV$3:FV$500)))</f>
        <v/>
      </c>
      <c r="IW8" s="132">
        <f>IF(OR(IW$4="",$B8=""),0,SUMIF('DADOS BRUTOS'!$A$3:$A$500,$B8,'DADOS BRUTOS'!FW$3:FW$500)+IF($C8="",0,SUMIF('DADOS BRUTOS'!$A$3:$A$500,$C8,'DADOS BRUTOS'!FW$3:FW$500)))</f>
        <v/>
      </c>
      <c r="IX8" s="132">
        <f>IF(OR(IX$4="",$B8=""),0,SUMIF('DADOS BRUTOS'!$A$3:$A$500,$B8,'DADOS BRUTOS'!FX$3:FX$500)+IF($C8="",0,SUMIF('DADOS BRUTOS'!$A$3:$A$500,$C8,'DADOS BRUTOS'!FX$3:FX$500)))</f>
        <v/>
      </c>
      <c r="IY8" s="132">
        <f>IF(OR(IY$4="",$B8=""),0,SUMIF('DADOS BRUTOS'!$A$3:$A$500,$B8,'DADOS BRUTOS'!FY$3:FY$500)+IF($C8="",0,SUMIF('DADOS BRUTOS'!$A$3:$A$500,$C8,'DADOS BRUTOS'!FY$3:FY$500)))</f>
        <v/>
      </c>
      <c r="IZ8" s="132">
        <f>IF(OR(IZ$4="",$B8=""),0,SUMIF('DADOS BRUTOS'!$A$3:$A$500,$B8,'DADOS BRUTOS'!FZ$3:FZ$500)+IF($C8="",0,SUMIF('DADOS BRUTOS'!$A$3:$A$500,$C8,'DADOS BRUTOS'!FZ$3:FZ$500)))</f>
        <v/>
      </c>
      <c r="JA8" s="132">
        <f>IF(OR(JA$4="",$B8=""),0,SUMIF('DADOS BRUTOS'!$A$3:$A$500,$B8,'DADOS BRUTOS'!GA$3:GA$500)+IF($C8="",0,SUMIF('DADOS BRUTOS'!$A$3:$A$500,$C8,'DADOS BRUTOS'!GA$3:GA$500)))</f>
        <v/>
      </c>
      <c r="JB8" s="132">
        <f>IF(OR(JB$4="",$B8=""),0,SUMIF('DADOS BRUTOS'!$A$3:$A$500,$B8,'DADOS BRUTOS'!GB$3:GB$500)+IF($C8="",0,SUMIF('DADOS BRUTOS'!$A$3:$A$500,$C8,'DADOS BRUTOS'!GB$3:GB$500)))</f>
        <v/>
      </c>
      <c r="JC8" s="132">
        <f>IF(OR(JC$4="",$B8=""),0,SUMIF('DADOS BRUTOS'!$A$3:$A$500,$B8,'DADOS BRUTOS'!GC$3:GC$500)+IF($C8="",0,SUMIF('DADOS BRUTOS'!$A$3:$A$500,$C8,'DADOS BRUTOS'!GC$3:GC$500)))</f>
        <v/>
      </c>
      <c r="JD8" s="132">
        <f>IF(OR(JD$4="",$B8=""),0,SUMIF('DADOS BRUTOS'!$A$3:$A$500,$B8,'DADOS BRUTOS'!GD$3:GD$500)+IF($C8="",0,SUMIF('DADOS BRUTOS'!$A$3:$A$500,$C8,'DADOS BRUTOS'!GD$3:GD$500)))</f>
        <v/>
      </c>
      <c r="JE8" s="132">
        <f>IF(OR(JE$4="",$B8=""),0,SUMIF('DADOS BRUTOS'!$A$3:$A$500,$B8,'DADOS BRUTOS'!GE$3:GE$500)+IF($C8="",0,SUMIF('DADOS BRUTOS'!$A$3:$A$500,$C8,'DADOS BRUTOS'!GE$3:GE$500)))</f>
        <v/>
      </c>
      <c r="JF8" s="132">
        <f>IF(OR(JF$4="",$B8=""),0,SUMIF('DADOS BRUTOS'!$A$3:$A$500,$B8,'DADOS BRUTOS'!GF$3:GF$500)+IF($C8="",0,SUMIF('DADOS BRUTOS'!$A$3:$A$500,$C8,'DADOS BRUTOS'!GF$3:GF$500)))</f>
        <v/>
      </c>
      <c r="JG8" s="132">
        <f>IF(OR(JG$4="",$B8=""),0,SUMIF('DADOS BRUTOS'!$A$3:$A$500,$B8,'DADOS BRUTOS'!GG$3:GG$500)+IF($C8="",0,SUMIF('DADOS BRUTOS'!$A$3:$A$500,$C8,'DADOS BRUTOS'!GG$3:GG$500)))</f>
        <v/>
      </c>
      <c r="JH8" s="132">
        <f>IF(OR(JH$4="",$B8=""),0,SUMIF('DADOS BRUTOS'!$A$3:$A$500,$B8,'DADOS BRUTOS'!GH$3:GH$500)+IF($C8="",0,SUMIF('DADOS BRUTOS'!$A$3:$A$500,$C8,'DADOS BRUTOS'!GH$3:GH$500)))</f>
        <v/>
      </c>
      <c r="JI8" s="132">
        <f>IF(OR(JI$4="",$B8=""),0,SUMIF('DADOS BRUTOS'!$A$3:$A$500,$B8,'DADOS BRUTOS'!GI$3:GI$500)+IF($C8="",0,SUMIF('DADOS BRUTOS'!$A$3:$A$500,$C8,'DADOS BRUTOS'!GI$3:GI$500)))</f>
        <v/>
      </c>
      <c r="JJ8" s="132">
        <f>IF(OR(JJ$4="",$B8=""),0,SUMIF('DADOS BRUTOS'!$A$3:$A$500,$B8,'DADOS BRUTOS'!GJ$3:GJ$500)+IF($C8="",0,SUMIF('DADOS BRUTOS'!$A$3:$A$500,$C8,'DADOS BRUTOS'!GJ$3:GJ$500)))</f>
        <v/>
      </c>
      <c r="JK8" s="132">
        <f>IF(OR(JK$4="",$B8=""),0,SUMIF('DADOS BRUTOS'!$A$3:$A$500,$B8,'DADOS BRUTOS'!GK$3:GK$500)+IF($C8="",0,SUMIF('DADOS BRUTOS'!$A$3:$A$500,$C8,'DADOS BRUTOS'!GK$3:GK$500)))</f>
        <v/>
      </c>
      <c r="JL8" s="132">
        <f>IF(OR(JL$4="",$B8=""),0,SUMIF('DADOS BRUTOS'!$A$3:$A$500,$B8,'DADOS BRUTOS'!GL$3:GL$500)+IF($C8="",0,SUMIF('DADOS BRUTOS'!$A$3:$A$500,$C8,'DADOS BRUTOS'!GL$3:GL$500)))</f>
        <v/>
      </c>
      <c r="JM8" s="132">
        <f>IF(OR(JM$4="",$B8=""),0,SUMIF('DADOS BRUTOS'!$A$3:$A$500,$B8,'DADOS BRUTOS'!GM$3:GM$500)+IF($C8="",0,SUMIF('DADOS BRUTOS'!$A$3:$A$500,$C8,'DADOS BRUTOS'!GM$3:GM$500)))</f>
        <v/>
      </c>
      <c r="JN8" s="132">
        <f>IF(OR(JN$4="",$B8=""),0,SUMIF('DADOS BRUTOS'!$A$3:$A$500,$B8,'DADOS BRUTOS'!GN$3:GN$500)+IF($C8="",0,SUMIF('DADOS BRUTOS'!$A$3:$A$500,$C8,'DADOS BRUTOS'!GN$3:GN$500)))</f>
        <v/>
      </c>
      <c r="JO8" s="132">
        <f>IF(OR(JO$4="",$B8=""),0,SUMIF('DADOS BRUTOS'!$A$3:$A$500,$B8,'DADOS BRUTOS'!GO$3:GO$500)+IF($C8="",0,SUMIF('DADOS BRUTOS'!$A$3:$A$500,$C8,'DADOS BRUTOS'!GO$3:GO$500)))</f>
        <v/>
      </c>
      <c r="JP8" s="132">
        <f>IF(OR(JP$4="",$B8=""),0,SUMIF('DADOS BRUTOS'!$A$3:$A$500,$B8,'DADOS BRUTOS'!GP$3:GP$500)+IF($C8="",0,SUMIF('DADOS BRUTOS'!$A$3:$A$500,$C8,'DADOS BRUTOS'!GP$3:GP$500)))</f>
        <v/>
      </c>
      <c r="JQ8" s="132">
        <f>IF(OR(JQ$4="",$B8=""),0,SUMIF('DADOS BRUTOS'!$A$3:$A$500,$B8,'DADOS BRUTOS'!GQ$3:GQ$500)+IF($C8="",0,SUMIF('DADOS BRUTOS'!$A$3:$A$500,$C8,'DADOS BRUTOS'!GQ$3:GQ$500)))</f>
        <v/>
      </c>
      <c r="JR8" s="132">
        <f>IF(OR(JR$4="",$B8=""),0,SUMIF('DADOS BRUTOS'!$A$3:$A$500,$B8,'DADOS BRUTOS'!GR$3:GR$500)+IF($C8="",0,SUMIF('DADOS BRUTOS'!$A$3:$A$500,$C8,'DADOS BRUTOS'!GR$3:GR$500)))</f>
        <v/>
      </c>
      <c r="JS8" s="132">
        <f>IF(OR(JS$4="",$B8=""),0,SUMIF('DADOS BRUTOS'!$A$3:$A$500,$B8,'DADOS BRUTOS'!GS$3:GS$500)+IF($C8="",0,SUMIF('DADOS BRUTOS'!$A$3:$A$500,$C8,'DADOS BRUTOS'!GS$3:GS$500)))</f>
        <v/>
      </c>
    </row>
    <row r="9">
      <c r="A9" s="61">
        <f>'VALOR POR PL'!D15</f>
        <v/>
      </c>
      <c r="B9" s="59" t="inlineStr">
        <is>
          <t>LIGAÇÕES PROVISÓRIAS AGUA, ENERGIA,TELEFONIA, ESGOTO</t>
        </is>
      </c>
      <c r="C9" s="59" t="n"/>
      <c r="D9" s="54">
        <f>SUMIF($CB$4:$JS$4,"&lt;="&amp;D$4,$CB9:$JS9)</f>
        <v/>
      </c>
      <c r="E9" s="54">
        <f>SUMIF($CB$4:$JS$4,E$4,$CB9:$JS9)</f>
        <v/>
      </c>
      <c r="F9" s="54">
        <f>SUMIF($CB$4:$JS$4,F$4,$CB9:$JS9)</f>
        <v/>
      </c>
      <c r="G9" s="54">
        <f>SUMIF($CB$4:$JS$4,G$4,$CB9:$JS9)</f>
        <v/>
      </c>
      <c r="H9" s="54">
        <f>SUMIF($CB$4:$JS$4,H$4,$CB9:$JS9)</f>
        <v/>
      </c>
      <c r="I9" s="54">
        <f>SUMIF($CB$4:$JS$4,I$4,$CB9:$JS9)</f>
        <v/>
      </c>
      <c r="J9" s="54">
        <f>SUMIF($CB$4:$JS$4,J$4,$CB9:$JS9)</f>
        <v/>
      </c>
      <c r="K9" s="54">
        <f>SUMIF($CB$4:$JS$4,K$4,$CB9:$JS9)</f>
        <v/>
      </c>
      <c r="L9" s="54">
        <f>SUMIF($CB$4:$JS$4,L$4,$CB9:$JS9)</f>
        <v/>
      </c>
      <c r="M9" s="54">
        <f>SUMIF($CB$4:$JS$4,M$4,$CB9:$JS9)</f>
        <v/>
      </c>
      <c r="N9" s="54">
        <f>SUMIF($CB$4:$JS$4,N$4,$CB9:$JS9)</f>
        <v/>
      </c>
      <c r="O9" s="54">
        <f>SUMIF($CB$4:$JS$4,O$4,$CB9:$JS9)</f>
        <v/>
      </c>
      <c r="P9" s="54">
        <f>SUMIF($CB$4:$JS$4,P$4,$CB9:$JS9)</f>
        <v/>
      </c>
      <c r="Q9" s="54">
        <f>SUMIF($CB$4:$JS$4,Q$4,$CB9:$JS9)</f>
        <v/>
      </c>
      <c r="R9" s="54">
        <f>SUMIF($CB$4:$JS$4,R$4,$CB9:$JS9)</f>
        <v/>
      </c>
      <c r="S9" s="54">
        <f>SUMIF($CB$4:$JS$4,S$4,$CB9:$JS9)</f>
        <v/>
      </c>
      <c r="T9" s="54">
        <f>SUMIF($CB$4:$JS$4,T$4,$CB9:$JS9)</f>
        <v/>
      </c>
      <c r="U9" s="54">
        <f>SUMIF($CB$4:$JS$4,U$4,$CB9:$JS9)</f>
        <v/>
      </c>
      <c r="V9" s="54">
        <f>SUMIF($CB$4:$JS$4,V$4,$CB9:$JS9)</f>
        <v/>
      </c>
      <c r="W9" s="54">
        <f>SUMIF($CB$4:$JS$4,W$4,$CB9:$JS9)</f>
        <v/>
      </c>
      <c r="X9" s="54">
        <f>SUMIF($CB$4:$JS$4,X$4,$CB9:$JS9)</f>
        <v/>
      </c>
      <c r="Y9" s="54">
        <f>SUMIF($CB$4:$JS$4,Y$4,$CB9:$JS9)</f>
        <v/>
      </c>
      <c r="Z9" s="54">
        <f>SUMIF($CB$4:$JS$4,Z$4,$CB9:$JS9)</f>
        <v/>
      </c>
      <c r="AA9" s="54">
        <f>SUMIF($CB$4:$JS$4,AA$4,$CB9:$JS9)</f>
        <v/>
      </c>
      <c r="AB9" s="54">
        <f>SUMIF($CB$4:$JS$4,AB$4,$CB9:$JS9)</f>
        <v/>
      </c>
      <c r="AC9" s="54">
        <f>SUMIF($CB$4:$JS$4,AC$4,$CB9:$JS9)</f>
        <v/>
      </c>
      <c r="AD9" s="54">
        <f>SUMIF($CB$4:$JS$4,AD$4,$CB9:$JS9)</f>
        <v/>
      </c>
      <c r="AE9" s="54">
        <f>SUMIF($CB$4:$JS$4,AE$4,$CB9:$JS9)</f>
        <v/>
      </c>
      <c r="AF9" s="54">
        <f>SUMIF($CB$4:$JS$4,AF$4,$CB9:$JS9)</f>
        <v/>
      </c>
      <c r="AG9" s="54">
        <f>SUMIF($CB$4:$JS$4,AG$4,$CB9:$JS9)</f>
        <v/>
      </c>
      <c r="AH9" s="54">
        <f>SUMIF($CB$4:$JS$4,AH$4,$CB9:$JS9)</f>
        <v/>
      </c>
      <c r="AI9" s="54">
        <f>SUMIF($CB$4:$JS$4,AI$4,$CB9:$JS9)</f>
        <v/>
      </c>
      <c r="AJ9" s="54">
        <f>SUMIF($CB$4:$JS$4,AJ$4,$CB9:$JS9)</f>
        <v/>
      </c>
      <c r="AK9" s="54">
        <f>SUMIF($CB$4:$JS$4,AK$4,$CB9:$JS9)</f>
        <v/>
      </c>
      <c r="AL9" s="54">
        <f>SUMIF($CB$4:$JS$4,AL$4,$CB9:$JS9)</f>
        <v/>
      </c>
      <c r="AM9" s="54">
        <f>SUMIF($CB$4:$JS$4,AM$4,$CB9:$JS9)</f>
        <v/>
      </c>
      <c r="AN9" s="54">
        <f>SUMIF($CB$4:$JS$4,AN$4,$CB9:$JS9)</f>
        <v/>
      </c>
      <c r="AO9" s="54">
        <f>SUMIF($CB$4:$JS$4,AO$4,$CB9:$JS9)</f>
        <v/>
      </c>
      <c r="AP9" s="54">
        <f>SUMIF($CB$4:$JS$4,AP$4,$CB9:$JS9)</f>
        <v/>
      </c>
      <c r="AQ9" s="54">
        <f>SUMIF($CB$4:$JS$4,AQ$4,$CB9:$JS9)</f>
        <v/>
      </c>
      <c r="AR9" s="54">
        <f>SUMIF($CB$4:$JS$4,AR$4,$CB9:$JS9)</f>
        <v/>
      </c>
      <c r="AS9" s="54">
        <f>SUMIF($CB$4:$JS$4,AS$4,$CB9:$JS9)</f>
        <v/>
      </c>
      <c r="AT9" s="54">
        <f>SUMIF($CB$4:$JS$4,AT$4,$CB9:$JS9)</f>
        <v/>
      </c>
      <c r="AU9" s="54">
        <f>SUMIF($CB$4:$JS$4,AU$4,$CB9:$JS9)</f>
        <v/>
      </c>
      <c r="AV9" s="54">
        <f>SUMIF($CB$4:$JS$4,AV$4,$CB9:$JS9)</f>
        <v/>
      </c>
      <c r="AW9" s="54">
        <f>SUMIF($CB$4:$JS$4,AW$4,$CB9:$JS9)</f>
        <v/>
      </c>
      <c r="AX9" s="54">
        <f>SUMIF($CB$4:$JS$4,AX$4,$CB9:$JS9)</f>
        <v/>
      </c>
      <c r="AY9" s="54">
        <f>SUMIF($CB$4:$JS$4,AY$4,$CB9:$JS9)</f>
        <v/>
      </c>
      <c r="AZ9" s="54">
        <f>SUMIF($CB$4:$JS$4,AZ$4,$CB9:$JS9)</f>
        <v/>
      </c>
      <c r="BA9" s="54">
        <f>SUMIF($CB$4:$JS$4,BA$4,$CB9:$JS9)</f>
        <v/>
      </c>
      <c r="BB9" s="54">
        <f>SUMIF($CB$4:$JS$4,BB$4,$CB9:$JS9)</f>
        <v/>
      </c>
      <c r="BC9" s="54">
        <f>SUMIF($CB$4:$JS$4,BC$4,$CB9:$JS9)</f>
        <v/>
      </c>
      <c r="BD9" s="54">
        <f>SUMIF($CB$4:$JS$4,BD$4,$CB9:$JS9)</f>
        <v/>
      </c>
      <c r="BE9" s="54">
        <f>SUMIF($CB$4:$JS$4,BE$4,$CB9:$JS9)</f>
        <v/>
      </c>
      <c r="BF9" s="54">
        <f>SUMIF($CB$4:$JS$4,BF$4,$CB9:$JS9)</f>
        <v/>
      </c>
      <c r="BG9" s="54">
        <f>SUMIF($CB$4:$JS$4,BG$4,$CB9:$JS9)</f>
        <v/>
      </c>
      <c r="BH9" s="54">
        <f>SUMIF($CB$4:$JS$4,BH$4,$CB9:$JS9)</f>
        <v/>
      </c>
      <c r="BI9" s="54">
        <f>SUMIF($CB$4:$JS$4,BI$4,$CB9:$JS9)</f>
        <v/>
      </c>
      <c r="BJ9" s="54">
        <f>SUMIF($CB$4:$JS$4,BJ$4,$CB9:$JS9)</f>
        <v/>
      </c>
      <c r="BK9" s="54">
        <f>SUMIF($CB$4:$JS$4,BK$4,$CB9:$JS9)</f>
        <v/>
      </c>
      <c r="BL9" s="54">
        <f>SUMIF($CB$4:$JS$4,BL$4,$CB9:$JS9)</f>
        <v/>
      </c>
      <c r="BM9" s="54">
        <f>SUMIF($CB$4:$JS$4,BM$4,$CB9:$JS9)</f>
        <v/>
      </c>
      <c r="BN9" s="54">
        <f>SUMIF($CB$4:$JS$4,BN$4,$CB9:$JS9)</f>
        <v/>
      </c>
      <c r="BO9" s="54">
        <f>SUMIF($CB$4:$JS$4,BO$4,$CB9:$JS9)</f>
        <v/>
      </c>
      <c r="BP9" s="54">
        <f>SUMIF($CB$4:$JS$4,BP$4,$CB9:$JS9)</f>
        <v/>
      </c>
      <c r="BQ9" s="54">
        <f>SUMIF($CB$4:$JS$4,BQ$4,$CB9:$JS9)</f>
        <v/>
      </c>
      <c r="BR9" s="54">
        <f>SUMIF($CB$4:$JS$4,BR$4,$CB9:$JS9)</f>
        <v/>
      </c>
      <c r="BS9" s="54">
        <f>SUMIF($CB$4:$JS$4,BS$4,$CB9:$JS9)</f>
        <v/>
      </c>
      <c r="BT9" s="54">
        <f>SUMIF($CB$4:$JS$4,BT$4,$CB9:$JS9)</f>
        <v/>
      </c>
      <c r="BU9" s="54">
        <f>SUMIF($CB$4:$JS$4,BU$4,$CB9:$JS9)</f>
        <v/>
      </c>
      <c r="BV9" s="54">
        <f>SUMIF($CB$4:$JS$4,BV$4,$CB9:$JS9)</f>
        <v/>
      </c>
      <c r="BW9" s="54">
        <f>SUMIF($CB$4:$JS$4,BW$4,$CB9:$JS9)</f>
        <v/>
      </c>
      <c r="BX9" s="54">
        <f>SUMIF($CB$4:$JS$4,"&gt;"&amp;'VALOR POR PL'!$P$8,$CB9:$JS9)</f>
        <v/>
      </c>
      <c r="BY9" s="54">
        <f>SUM($CB9:$JS9)</f>
        <v/>
      </c>
      <c r="BZ9" s="49">
        <f>SUMPRODUCT(($CB$4:$JS$4&lt;&gt;"")*($CB$4:$JS$4&lt;=$D$4),$CB9:$JS9,$CB$1:$JS$1)</f>
        <v/>
      </c>
      <c r="CB9" s="132">
        <f>IF(OR(CB$4="",$B9=""),0,SUMIF('DADOS BRUTOS'!$A$3:$A$500,$B9,'DADOS BRUTOS'!B$3:B$500)+IF($C9="",0,SUMIF('DADOS BRUTOS'!$A$3:$A$500,$C9,'DADOS BRUTOS'!B$3:B$500)))</f>
        <v/>
      </c>
      <c r="CC9" s="132">
        <f>IF(OR(CC$4="",$B9=""),0,SUMIF('DADOS BRUTOS'!$A$3:$A$500,$B9,'DADOS BRUTOS'!C$3:C$500)+IF($C9="",0,SUMIF('DADOS BRUTOS'!$A$3:$A$500,$C9,'DADOS BRUTOS'!C$3:C$500)))</f>
        <v/>
      </c>
      <c r="CD9" s="132">
        <f>IF(OR(CD$4="",$B9=""),0,SUMIF('DADOS BRUTOS'!$A$3:$A$500,$B9,'DADOS BRUTOS'!D$3:D$500)+IF($C9="",0,SUMIF('DADOS BRUTOS'!$A$3:$A$500,$C9,'DADOS BRUTOS'!D$3:D$500)))</f>
        <v/>
      </c>
      <c r="CE9" s="132">
        <f>IF(OR(CE$4="",$B9=""),0,SUMIF('DADOS BRUTOS'!$A$3:$A$500,$B9,'DADOS BRUTOS'!E$3:E$500)+IF($C9="",0,SUMIF('DADOS BRUTOS'!$A$3:$A$500,$C9,'DADOS BRUTOS'!E$3:E$500)))</f>
        <v/>
      </c>
      <c r="CF9" s="132">
        <f>IF(OR(CF$4="",$B9=""),0,SUMIF('DADOS BRUTOS'!$A$3:$A$500,$B9,'DADOS BRUTOS'!F$3:F$500)+IF($C9="",0,SUMIF('DADOS BRUTOS'!$A$3:$A$500,$C9,'DADOS BRUTOS'!F$3:F$500)))</f>
        <v/>
      </c>
      <c r="CG9" s="132">
        <f>IF(OR(CG$4="",$B9=""),0,SUMIF('DADOS BRUTOS'!$A$3:$A$500,$B9,'DADOS BRUTOS'!G$3:G$500)+IF($C9="",0,SUMIF('DADOS BRUTOS'!$A$3:$A$500,$C9,'DADOS BRUTOS'!G$3:G$500)))</f>
        <v/>
      </c>
      <c r="CH9" s="132">
        <f>IF(OR(CH$4="",$B9=""),0,SUMIF('DADOS BRUTOS'!$A$3:$A$500,$B9,'DADOS BRUTOS'!H$3:H$500)+IF($C9="",0,SUMIF('DADOS BRUTOS'!$A$3:$A$500,$C9,'DADOS BRUTOS'!H$3:H$500)))</f>
        <v/>
      </c>
      <c r="CI9" s="132">
        <f>IF(OR(CI$4="",$B9=""),0,SUMIF('DADOS BRUTOS'!$A$3:$A$500,$B9,'DADOS BRUTOS'!I$3:I$500)+IF($C9="",0,SUMIF('DADOS BRUTOS'!$A$3:$A$500,$C9,'DADOS BRUTOS'!I$3:I$500)))</f>
        <v/>
      </c>
      <c r="CJ9" s="132">
        <f>IF(OR(CJ$4="",$B9=""),0,SUMIF('DADOS BRUTOS'!$A$3:$A$500,$B9,'DADOS BRUTOS'!J$3:J$500)+IF($C9="",0,SUMIF('DADOS BRUTOS'!$A$3:$A$500,$C9,'DADOS BRUTOS'!J$3:J$500)))</f>
        <v/>
      </c>
      <c r="CK9" s="132">
        <f>IF(OR(CK$4="",$B9=""),0,SUMIF('DADOS BRUTOS'!$A$3:$A$500,$B9,'DADOS BRUTOS'!K$3:K$500)+IF($C9="",0,SUMIF('DADOS BRUTOS'!$A$3:$A$500,$C9,'DADOS BRUTOS'!K$3:K$500)))</f>
        <v/>
      </c>
      <c r="CL9" s="132">
        <f>IF(OR(CL$4="",$B9=""),0,SUMIF('DADOS BRUTOS'!$A$3:$A$500,$B9,'DADOS BRUTOS'!L$3:L$500)+IF($C9="",0,SUMIF('DADOS BRUTOS'!$A$3:$A$500,$C9,'DADOS BRUTOS'!L$3:L$500)))</f>
        <v/>
      </c>
      <c r="CM9" s="132">
        <f>IF(OR(CM$4="",$B9=""),0,SUMIF('DADOS BRUTOS'!$A$3:$A$500,$B9,'DADOS BRUTOS'!M$3:M$500)+IF($C9="",0,SUMIF('DADOS BRUTOS'!$A$3:$A$500,$C9,'DADOS BRUTOS'!M$3:M$500)))</f>
        <v/>
      </c>
      <c r="CN9" s="132">
        <f>IF(OR(CN$4="",$B9=""),0,SUMIF('DADOS BRUTOS'!$A$3:$A$500,$B9,'DADOS BRUTOS'!N$3:N$500)+IF($C9="",0,SUMIF('DADOS BRUTOS'!$A$3:$A$500,$C9,'DADOS BRUTOS'!N$3:N$500)))</f>
        <v/>
      </c>
      <c r="CO9" s="132">
        <f>IF(OR(CO$4="",$B9=""),0,SUMIF('DADOS BRUTOS'!$A$3:$A$500,$B9,'DADOS BRUTOS'!O$3:O$500)+IF($C9="",0,SUMIF('DADOS BRUTOS'!$A$3:$A$500,$C9,'DADOS BRUTOS'!O$3:O$500)))</f>
        <v/>
      </c>
      <c r="CP9" s="132">
        <f>IF(OR(CP$4="",$B9=""),0,SUMIF('DADOS BRUTOS'!$A$3:$A$500,$B9,'DADOS BRUTOS'!P$3:P$500)+IF($C9="",0,SUMIF('DADOS BRUTOS'!$A$3:$A$500,$C9,'DADOS BRUTOS'!P$3:P$500)))</f>
        <v/>
      </c>
      <c r="CQ9" s="132">
        <f>IF(OR(CQ$4="",$B9=""),0,SUMIF('DADOS BRUTOS'!$A$3:$A$500,$B9,'DADOS BRUTOS'!Q$3:Q$500)+IF($C9="",0,SUMIF('DADOS BRUTOS'!$A$3:$A$500,$C9,'DADOS BRUTOS'!Q$3:Q$500)))</f>
        <v/>
      </c>
      <c r="CR9" s="132">
        <f>IF(OR(CR$4="",$B9=""),0,SUMIF('DADOS BRUTOS'!$A$3:$A$500,$B9,'DADOS BRUTOS'!R$3:R$500)+IF($C9="",0,SUMIF('DADOS BRUTOS'!$A$3:$A$500,$C9,'DADOS BRUTOS'!R$3:R$500)))</f>
        <v/>
      </c>
      <c r="CS9" s="132">
        <f>IF(OR(CS$4="",$B9=""),0,SUMIF('DADOS BRUTOS'!$A$3:$A$500,$B9,'DADOS BRUTOS'!S$3:S$500)+IF($C9="",0,SUMIF('DADOS BRUTOS'!$A$3:$A$500,$C9,'DADOS BRUTOS'!S$3:S$500)))</f>
        <v/>
      </c>
      <c r="CT9" s="132">
        <f>IF(OR(CT$4="",$B9=""),0,SUMIF('DADOS BRUTOS'!$A$3:$A$500,$B9,'DADOS BRUTOS'!T$3:T$500)+IF($C9="",0,SUMIF('DADOS BRUTOS'!$A$3:$A$500,$C9,'DADOS BRUTOS'!T$3:T$500)))</f>
        <v/>
      </c>
      <c r="CU9" s="132">
        <f>IF(OR(CU$4="",$B9=""),0,SUMIF('DADOS BRUTOS'!$A$3:$A$500,$B9,'DADOS BRUTOS'!U$3:U$500)+IF($C9="",0,SUMIF('DADOS BRUTOS'!$A$3:$A$500,$C9,'DADOS BRUTOS'!U$3:U$500)))</f>
        <v/>
      </c>
      <c r="CV9" s="132">
        <f>IF(OR(CV$4="",$B9=""),0,SUMIF('DADOS BRUTOS'!$A$3:$A$500,$B9,'DADOS BRUTOS'!V$3:V$500)+IF($C9="",0,SUMIF('DADOS BRUTOS'!$A$3:$A$500,$C9,'DADOS BRUTOS'!V$3:V$500)))</f>
        <v/>
      </c>
      <c r="CW9" s="132">
        <f>IF(OR(CW$4="",$B9=""),0,SUMIF('DADOS BRUTOS'!$A$3:$A$500,$B9,'DADOS BRUTOS'!W$3:W$500)+IF($C9="",0,SUMIF('DADOS BRUTOS'!$A$3:$A$500,$C9,'DADOS BRUTOS'!W$3:W$500)))</f>
        <v/>
      </c>
      <c r="CX9" s="132">
        <f>IF(OR(CX$4="",$B9=""),0,SUMIF('DADOS BRUTOS'!$A$3:$A$500,$B9,'DADOS BRUTOS'!X$3:X$500)+IF($C9="",0,SUMIF('DADOS BRUTOS'!$A$3:$A$500,$C9,'DADOS BRUTOS'!X$3:X$500)))</f>
        <v/>
      </c>
      <c r="CY9" s="132">
        <f>IF(OR(CY$4="",$B9=""),0,SUMIF('DADOS BRUTOS'!$A$3:$A$500,$B9,'DADOS BRUTOS'!Y$3:Y$500)+IF($C9="",0,SUMIF('DADOS BRUTOS'!$A$3:$A$500,$C9,'DADOS BRUTOS'!Y$3:Y$500)))</f>
        <v/>
      </c>
      <c r="CZ9" s="132">
        <f>IF(OR(CZ$4="",$B9=""),0,SUMIF('DADOS BRUTOS'!$A$3:$A$500,$B9,'DADOS BRUTOS'!Z$3:Z$500)+IF($C9="",0,SUMIF('DADOS BRUTOS'!$A$3:$A$500,$C9,'DADOS BRUTOS'!Z$3:Z$500)))</f>
        <v/>
      </c>
      <c r="DA9" s="132">
        <f>IF(OR(DA$4="",$B9=""),0,SUMIF('DADOS BRUTOS'!$A$3:$A$500,$B9,'DADOS BRUTOS'!AA$3:AA$500)+IF($C9="",0,SUMIF('DADOS BRUTOS'!$A$3:$A$500,$C9,'DADOS BRUTOS'!AA$3:AA$500)))</f>
        <v/>
      </c>
      <c r="DB9" s="132">
        <f>IF(OR(DB$4="",$B9=""),0,SUMIF('DADOS BRUTOS'!$A$3:$A$500,$B9,'DADOS BRUTOS'!AB$3:AB$500)+IF($C9="",0,SUMIF('DADOS BRUTOS'!$A$3:$A$500,$C9,'DADOS BRUTOS'!AB$3:AB$500)))</f>
        <v/>
      </c>
      <c r="DC9" s="132">
        <f>IF(OR(DC$4="",$B9=""),0,SUMIF('DADOS BRUTOS'!$A$3:$A$500,$B9,'DADOS BRUTOS'!AC$3:AC$500)+IF($C9="",0,SUMIF('DADOS BRUTOS'!$A$3:$A$500,$C9,'DADOS BRUTOS'!AC$3:AC$500)))</f>
        <v/>
      </c>
      <c r="DD9" s="132">
        <f>IF(OR(DD$4="",$B9=""),0,SUMIF('DADOS BRUTOS'!$A$3:$A$500,$B9,'DADOS BRUTOS'!AD$3:AD$500)+IF($C9="",0,SUMIF('DADOS BRUTOS'!$A$3:$A$500,$C9,'DADOS BRUTOS'!AD$3:AD$500)))</f>
        <v/>
      </c>
      <c r="DE9" s="132">
        <f>IF(OR(DE$4="",$B9=""),0,SUMIF('DADOS BRUTOS'!$A$3:$A$500,$B9,'DADOS BRUTOS'!AE$3:AE$500)+IF($C9="",0,SUMIF('DADOS BRUTOS'!$A$3:$A$500,$C9,'DADOS BRUTOS'!AE$3:AE$500)))</f>
        <v/>
      </c>
      <c r="DF9" s="132">
        <f>IF(OR(DF$4="",$B9=""),0,SUMIF('DADOS BRUTOS'!$A$3:$A$500,$B9,'DADOS BRUTOS'!AF$3:AF$500)+IF($C9="",0,SUMIF('DADOS BRUTOS'!$A$3:$A$500,$C9,'DADOS BRUTOS'!AF$3:AF$500)))</f>
        <v/>
      </c>
      <c r="DG9" s="132">
        <f>IF(OR(DG$4="",$B9=""),0,SUMIF('DADOS BRUTOS'!$A$3:$A$500,$B9,'DADOS BRUTOS'!AG$3:AG$500)+IF($C9="",0,SUMIF('DADOS BRUTOS'!$A$3:$A$500,$C9,'DADOS BRUTOS'!AG$3:AG$500)))</f>
        <v/>
      </c>
      <c r="DH9" s="132">
        <f>IF(OR(DH$4="",$B9=""),0,SUMIF('DADOS BRUTOS'!$A$3:$A$500,$B9,'DADOS BRUTOS'!AH$3:AH$500)+IF($C9="",0,SUMIF('DADOS BRUTOS'!$A$3:$A$500,$C9,'DADOS BRUTOS'!AH$3:AH$500)))</f>
        <v/>
      </c>
      <c r="DI9" s="132">
        <f>IF(OR(DI$4="",$B9=""),0,SUMIF('DADOS BRUTOS'!$A$3:$A$500,$B9,'DADOS BRUTOS'!AI$3:AI$500)+IF($C9="",0,SUMIF('DADOS BRUTOS'!$A$3:$A$500,$C9,'DADOS BRUTOS'!AI$3:AI$500)))</f>
        <v/>
      </c>
      <c r="DJ9" s="132">
        <f>IF(OR(DJ$4="",$B9=""),0,SUMIF('DADOS BRUTOS'!$A$3:$A$500,$B9,'DADOS BRUTOS'!AJ$3:AJ$500)+IF($C9="",0,SUMIF('DADOS BRUTOS'!$A$3:$A$500,$C9,'DADOS BRUTOS'!AJ$3:AJ$500)))</f>
        <v/>
      </c>
      <c r="DK9" s="132">
        <f>IF(OR(DK$4="",$B9=""),0,SUMIF('DADOS BRUTOS'!$A$3:$A$500,$B9,'DADOS BRUTOS'!AK$3:AK$500)+IF($C9="",0,SUMIF('DADOS BRUTOS'!$A$3:$A$500,$C9,'DADOS BRUTOS'!AK$3:AK$500)))</f>
        <v/>
      </c>
      <c r="DL9" s="132">
        <f>IF(OR(DL$4="",$B9=""),0,SUMIF('DADOS BRUTOS'!$A$3:$A$500,$B9,'DADOS BRUTOS'!AL$3:AL$500)+IF($C9="",0,SUMIF('DADOS BRUTOS'!$A$3:$A$500,$C9,'DADOS BRUTOS'!AL$3:AL$500)))</f>
        <v/>
      </c>
      <c r="DM9" s="132">
        <f>IF(OR(DM$4="",$B9=""),0,SUMIF('DADOS BRUTOS'!$A$3:$A$500,$B9,'DADOS BRUTOS'!AM$3:AM$500)+IF($C9="",0,SUMIF('DADOS BRUTOS'!$A$3:$A$500,$C9,'DADOS BRUTOS'!AM$3:AM$500)))</f>
        <v/>
      </c>
      <c r="DN9" s="132">
        <f>IF(OR(DN$4="",$B9=""),0,SUMIF('DADOS BRUTOS'!$A$3:$A$500,$B9,'DADOS BRUTOS'!AN$3:AN$500)+IF($C9="",0,SUMIF('DADOS BRUTOS'!$A$3:$A$500,$C9,'DADOS BRUTOS'!AN$3:AN$500)))</f>
        <v/>
      </c>
      <c r="DO9" s="132">
        <f>IF(OR(DO$4="",$B9=""),0,SUMIF('DADOS BRUTOS'!$A$3:$A$500,$B9,'DADOS BRUTOS'!AO$3:AO$500)+IF($C9="",0,SUMIF('DADOS BRUTOS'!$A$3:$A$500,$C9,'DADOS BRUTOS'!AO$3:AO$500)))</f>
        <v/>
      </c>
      <c r="DP9" s="132">
        <f>IF(OR(DP$4="",$B9=""),0,SUMIF('DADOS BRUTOS'!$A$3:$A$500,$B9,'DADOS BRUTOS'!AP$3:AP$500)+IF($C9="",0,SUMIF('DADOS BRUTOS'!$A$3:$A$500,$C9,'DADOS BRUTOS'!AP$3:AP$500)))</f>
        <v/>
      </c>
      <c r="DQ9" s="132">
        <f>IF(OR(DQ$4="",$B9=""),0,SUMIF('DADOS BRUTOS'!$A$3:$A$500,$B9,'DADOS BRUTOS'!AQ$3:AQ$500)+IF($C9="",0,SUMIF('DADOS BRUTOS'!$A$3:$A$500,$C9,'DADOS BRUTOS'!AQ$3:AQ$500)))</f>
        <v/>
      </c>
      <c r="DR9" s="132">
        <f>IF(OR(DR$4="",$B9=""),0,SUMIF('DADOS BRUTOS'!$A$3:$A$500,$B9,'DADOS BRUTOS'!AR$3:AR$500)+IF($C9="",0,SUMIF('DADOS BRUTOS'!$A$3:$A$500,$C9,'DADOS BRUTOS'!AR$3:AR$500)))</f>
        <v/>
      </c>
      <c r="DS9" s="132">
        <f>IF(OR(DS$4="",$B9=""),0,SUMIF('DADOS BRUTOS'!$A$3:$A$500,$B9,'DADOS BRUTOS'!AS$3:AS$500)+IF($C9="",0,SUMIF('DADOS BRUTOS'!$A$3:$A$500,$C9,'DADOS BRUTOS'!AS$3:AS$500)))</f>
        <v/>
      </c>
      <c r="DT9" s="132">
        <f>IF(OR(DT$4="",$B9=""),0,SUMIF('DADOS BRUTOS'!$A$3:$A$500,$B9,'DADOS BRUTOS'!AT$3:AT$500)+IF($C9="",0,SUMIF('DADOS BRUTOS'!$A$3:$A$500,$C9,'DADOS BRUTOS'!AT$3:AT$500)))</f>
        <v/>
      </c>
      <c r="DU9" s="132">
        <f>IF(OR(DU$4="",$B9=""),0,SUMIF('DADOS BRUTOS'!$A$3:$A$500,$B9,'DADOS BRUTOS'!AU$3:AU$500)+IF($C9="",0,SUMIF('DADOS BRUTOS'!$A$3:$A$500,$C9,'DADOS BRUTOS'!AU$3:AU$500)))</f>
        <v/>
      </c>
      <c r="DV9" s="132">
        <f>IF(OR(DV$4="",$B9=""),0,SUMIF('DADOS BRUTOS'!$A$3:$A$500,$B9,'DADOS BRUTOS'!AV$3:AV$500)+IF($C9="",0,SUMIF('DADOS BRUTOS'!$A$3:$A$500,$C9,'DADOS BRUTOS'!AV$3:AV$500)))</f>
        <v/>
      </c>
      <c r="DW9" s="132">
        <f>IF(OR(DW$4="",$B9=""),0,SUMIF('DADOS BRUTOS'!$A$3:$A$500,$B9,'DADOS BRUTOS'!AW$3:AW$500)+IF($C9="",0,SUMIF('DADOS BRUTOS'!$A$3:$A$500,$C9,'DADOS BRUTOS'!AW$3:AW$500)))</f>
        <v/>
      </c>
      <c r="DX9" s="132">
        <f>IF(OR(DX$4="",$B9=""),0,SUMIF('DADOS BRUTOS'!$A$3:$A$500,$B9,'DADOS BRUTOS'!AX$3:AX$500)+IF($C9="",0,SUMIF('DADOS BRUTOS'!$A$3:$A$500,$C9,'DADOS BRUTOS'!AX$3:AX$500)))</f>
        <v/>
      </c>
      <c r="DY9" s="132">
        <f>IF(OR(DY$4="",$B9=""),0,SUMIF('DADOS BRUTOS'!$A$3:$A$500,$B9,'DADOS BRUTOS'!AY$3:AY$500)+IF($C9="",0,SUMIF('DADOS BRUTOS'!$A$3:$A$500,$C9,'DADOS BRUTOS'!AY$3:AY$500)))</f>
        <v/>
      </c>
      <c r="DZ9" s="132">
        <f>IF(OR(DZ$4="",$B9=""),0,SUMIF('DADOS BRUTOS'!$A$3:$A$500,$B9,'DADOS BRUTOS'!AZ$3:AZ$500)+IF($C9="",0,SUMIF('DADOS BRUTOS'!$A$3:$A$500,$C9,'DADOS BRUTOS'!AZ$3:AZ$500)))</f>
        <v/>
      </c>
      <c r="EA9" s="132">
        <f>IF(OR(EA$4="",$B9=""),0,SUMIF('DADOS BRUTOS'!$A$3:$A$500,$B9,'DADOS BRUTOS'!BA$3:BA$500)+IF($C9="",0,SUMIF('DADOS BRUTOS'!$A$3:$A$500,$C9,'DADOS BRUTOS'!BA$3:BA$500)))</f>
        <v/>
      </c>
      <c r="EB9" s="132">
        <f>IF(OR(EB$4="",$B9=""),0,SUMIF('DADOS BRUTOS'!$A$3:$A$500,$B9,'DADOS BRUTOS'!BB$3:BB$500)+IF($C9="",0,SUMIF('DADOS BRUTOS'!$A$3:$A$500,$C9,'DADOS BRUTOS'!BB$3:BB$500)))</f>
        <v/>
      </c>
      <c r="EC9" s="132">
        <f>IF(OR(EC$4="",$B9=""),0,SUMIF('DADOS BRUTOS'!$A$3:$A$500,$B9,'DADOS BRUTOS'!BC$3:BC$500)+IF($C9="",0,SUMIF('DADOS BRUTOS'!$A$3:$A$500,$C9,'DADOS BRUTOS'!BC$3:BC$500)))</f>
        <v/>
      </c>
      <c r="ED9" s="132">
        <f>IF(OR(ED$4="",$B9=""),0,SUMIF('DADOS BRUTOS'!$A$3:$A$500,$B9,'DADOS BRUTOS'!BD$3:BD$500)+IF($C9="",0,SUMIF('DADOS BRUTOS'!$A$3:$A$500,$C9,'DADOS BRUTOS'!BD$3:BD$500)))</f>
        <v/>
      </c>
      <c r="EE9" s="132">
        <f>IF(OR(EE$4="",$B9=""),0,SUMIF('DADOS BRUTOS'!$A$3:$A$500,$B9,'DADOS BRUTOS'!BE$3:BE$500)+IF($C9="",0,SUMIF('DADOS BRUTOS'!$A$3:$A$500,$C9,'DADOS BRUTOS'!BE$3:BE$500)))</f>
        <v/>
      </c>
      <c r="EF9" s="132">
        <f>IF(OR(EF$4="",$B9=""),0,SUMIF('DADOS BRUTOS'!$A$3:$A$500,$B9,'DADOS BRUTOS'!BF$3:BF$500)+IF($C9="",0,SUMIF('DADOS BRUTOS'!$A$3:$A$500,$C9,'DADOS BRUTOS'!BF$3:BF$500)))</f>
        <v/>
      </c>
      <c r="EG9" s="132">
        <f>IF(OR(EG$4="",$B9=""),0,SUMIF('DADOS BRUTOS'!$A$3:$A$500,$B9,'DADOS BRUTOS'!BG$3:BG$500)+IF($C9="",0,SUMIF('DADOS BRUTOS'!$A$3:$A$500,$C9,'DADOS BRUTOS'!BG$3:BG$500)))</f>
        <v/>
      </c>
      <c r="EH9" s="132">
        <f>IF(OR(EH$4="",$B9=""),0,SUMIF('DADOS BRUTOS'!$A$3:$A$500,$B9,'DADOS BRUTOS'!BH$3:BH$500)+IF($C9="",0,SUMIF('DADOS BRUTOS'!$A$3:$A$500,$C9,'DADOS BRUTOS'!BH$3:BH$500)))</f>
        <v/>
      </c>
      <c r="EI9" s="132">
        <f>IF(OR(EI$4="",$B9=""),0,SUMIF('DADOS BRUTOS'!$A$3:$A$500,$B9,'DADOS BRUTOS'!BI$3:BI$500)+IF($C9="",0,SUMIF('DADOS BRUTOS'!$A$3:$A$500,$C9,'DADOS BRUTOS'!BI$3:BI$500)))</f>
        <v/>
      </c>
      <c r="EJ9" s="132">
        <f>IF(OR(EJ$4="",$B9=""),0,SUMIF('DADOS BRUTOS'!$A$3:$A$500,$B9,'DADOS BRUTOS'!BJ$3:BJ$500)+IF($C9="",0,SUMIF('DADOS BRUTOS'!$A$3:$A$500,$C9,'DADOS BRUTOS'!BJ$3:BJ$500)))</f>
        <v/>
      </c>
      <c r="EK9" s="132">
        <f>IF(OR(EK$4="",$B9=""),0,SUMIF('DADOS BRUTOS'!$A$3:$A$500,$B9,'DADOS BRUTOS'!BK$3:BK$500)+IF($C9="",0,SUMIF('DADOS BRUTOS'!$A$3:$A$500,$C9,'DADOS BRUTOS'!BK$3:BK$500)))</f>
        <v/>
      </c>
      <c r="EL9" s="132">
        <f>IF(OR(EL$4="",$B9=""),0,SUMIF('DADOS BRUTOS'!$A$3:$A$500,$B9,'DADOS BRUTOS'!BL$3:BL$500)+IF($C9="",0,SUMIF('DADOS BRUTOS'!$A$3:$A$500,$C9,'DADOS BRUTOS'!BL$3:BL$500)))</f>
        <v/>
      </c>
      <c r="EM9" s="132">
        <f>IF(OR(EM$4="",$B9=""),0,SUMIF('DADOS BRUTOS'!$A$3:$A$500,$B9,'DADOS BRUTOS'!BM$3:BM$500)+IF($C9="",0,SUMIF('DADOS BRUTOS'!$A$3:$A$500,$C9,'DADOS BRUTOS'!BM$3:BM$500)))</f>
        <v/>
      </c>
      <c r="EN9" s="132">
        <f>IF(OR(EN$4="",$B9=""),0,SUMIF('DADOS BRUTOS'!$A$3:$A$500,$B9,'DADOS BRUTOS'!BN$3:BN$500)+IF($C9="",0,SUMIF('DADOS BRUTOS'!$A$3:$A$500,$C9,'DADOS BRUTOS'!BN$3:BN$500)))</f>
        <v/>
      </c>
      <c r="EO9" s="132">
        <f>IF(OR(EO$4="",$B9=""),0,SUMIF('DADOS BRUTOS'!$A$3:$A$500,$B9,'DADOS BRUTOS'!BO$3:BO$500)+IF($C9="",0,SUMIF('DADOS BRUTOS'!$A$3:$A$500,$C9,'DADOS BRUTOS'!BO$3:BO$500)))</f>
        <v/>
      </c>
      <c r="EP9" s="132">
        <f>IF(OR(EP$4="",$B9=""),0,SUMIF('DADOS BRUTOS'!$A$3:$A$500,$B9,'DADOS BRUTOS'!BP$3:BP$500)+IF($C9="",0,SUMIF('DADOS BRUTOS'!$A$3:$A$500,$C9,'DADOS BRUTOS'!BP$3:BP$500)))</f>
        <v/>
      </c>
      <c r="EQ9" s="132">
        <f>IF(OR(EQ$4="",$B9=""),0,SUMIF('DADOS BRUTOS'!$A$3:$A$500,$B9,'DADOS BRUTOS'!BQ$3:BQ$500)+IF($C9="",0,SUMIF('DADOS BRUTOS'!$A$3:$A$500,$C9,'DADOS BRUTOS'!BQ$3:BQ$500)))</f>
        <v/>
      </c>
      <c r="ER9" s="132">
        <f>IF(OR(ER$4="",$B9=""),0,SUMIF('DADOS BRUTOS'!$A$3:$A$500,$B9,'DADOS BRUTOS'!BR$3:BR$500)+IF($C9="",0,SUMIF('DADOS BRUTOS'!$A$3:$A$500,$C9,'DADOS BRUTOS'!BR$3:BR$500)))</f>
        <v/>
      </c>
      <c r="ES9" s="132">
        <f>IF(OR(ES$4="",$B9=""),0,SUMIF('DADOS BRUTOS'!$A$3:$A$500,$B9,'DADOS BRUTOS'!BS$3:BS$500)+IF($C9="",0,SUMIF('DADOS BRUTOS'!$A$3:$A$500,$C9,'DADOS BRUTOS'!BS$3:BS$500)))</f>
        <v/>
      </c>
      <c r="ET9" s="132">
        <f>IF(OR(ET$4="",$B9=""),0,SUMIF('DADOS BRUTOS'!$A$3:$A$500,$B9,'DADOS BRUTOS'!BT$3:BT$500)+IF($C9="",0,SUMIF('DADOS BRUTOS'!$A$3:$A$500,$C9,'DADOS BRUTOS'!BT$3:BT$500)))</f>
        <v/>
      </c>
      <c r="EU9" s="132">
        <f>IF(OR(EU$4="",$B9=""),0,SUMIF('DADOS BRUTOS'!$A$3:$A$500,$B9,'DADOS BRUTOS'!BU$3:BU$500)+IF($C9="",0,SUMIF('DADOS BRUTOS'!$A$3:$A$500,$C9,'DADOS BRUTOS'!BU$3:BU$500)))</f>
        <v/>
      </c>
      <c r="EV9" s="132">
        <f>IF(OR(EV$4="",$B9=""),0,SUMIF('DADOS BRUTOS'!$A$3:$A$500,$B9,'DADOS BRUTOS'!BV$3:BV$500)+IF($C9="",0,SUMIF('DADOS BRUTOS'!$A$3:$A$500,$C9,'DADOS BRUTOS'!BV$3:BV$500)))</f>
        <v/>
      </c>
      <c r="EW9" s="132">
        <f>IF(OR(EW$4="",$B9=""),0,SUMIF('DADOS BRUTOS'!$A$3:$A$500,$B9,'DADOS BRUTOS'!BW$3:BW$500)+IF($C9="",0,SUMIF('DADOS BRUTOS'!$A$3:$A$500,$C9,'DADOS BRUTOS'!BW$3:BW$500)))</f>
        <v/>
      </c>
      <c r="EX9" s="132">
        <f>IF(OR(EX$4="",$B9=""),0,SUMIF('DADOS BRUTOS'!$A$3:$A$500,$B9,'DADOS BRUTOS'!BX$3:BX$500)+IF($C9="",0,SUMIF('DADOS BRUTOS'!$A$3:$A$500,$C9,'DADOS BRUTOS'!BX$3:BX$500)))</f>
        <v/>
      </c>
      <c r="EY9" s="132">
        <f>IF(OR(EY$4="",$B9=""),0,SUMIF('DADOS BRUTOS'!$A$3:$A$500,$B9,'DADOS BRUTOS'!BY$3:BY$500)+IF($C9="",0,SUMIF('DADOS BRUTOS'!$A$3:$A$500,$C9,'DADOS BRUTOS'!BY$3:BY$500)))</f>
        <v/>
      </c>
      <c r="EZ9" s="132">
        <f>IF(OR(EZ$4="",$B9=""),0,SUMIF('DADOS BRUTOS'!$A$3:$A$500,$B9,'DADOS BRUTOS'!BZ$3:BZ$500)+IF($C9="",0,SUMIF('DADOS BRUTOS'!$A$3:$A$500,$C9,'DADOS BRUTOS'!BZ$3:BZ$500)))</f>
        <v/>
      </c>
      <c r="FA9" s="132">
        <f>IF(OR(FA$4="",$B9=""),0,SUMIF('DADOS BRUTOS'!$A$3:$A$500,$B9,'DADOS BRUTOS'!CA$3:CA$500)+IF($C9="",0,SUMIF('DADOS BRUTOS'!$A$3:$A$500,$C9,'DADOS BRUTOS'!CA$3:CA$500)))</f>
        <v/>
      </c>
      <c r="FB9" s="132">
        <f>IF(OR(FB$4="",$B9=""),0,SUMIF('DADOS BRUTOS'!$A$3:$A$500,$B9,'DADOS BRUTOS'!CB$3:CB$500)+IF($C9="",0,SUMIF('DADOS BRUTOS'!$A$3:$A$500,$C9,'DADOS BRUTOS'!CB$3:CB$500)))</f>
        <v/>
      </c>
      <c r="FC9" s="132">
        <f>IF(OR(FC$4="",$B9=""),0,SUMIF('DADOS BRUTOS'!$A$3:$A$500,$B9,'DADOS BRUTOS'!CC$3:CC$500)+IF($C9="",0,SUMIF('DADOS BRUTOS'!$A$3:$A$500,$C9,'DADOS BRUTOS'!CC$3:CC$500)))</f>
        <v/>
      </c>
      <c r="FD9" s="132">
        <f>IF(OR(FD$4="",$B9=""),0,SUMIF('DADOS BRUTOS'!$A$3:$A$500,$B9,'DADOS BRUTOS'!CD$3:CD$500)+IF($C9="",0,SUMIF('DADOS BRUTOS'!$A$3:$A$500,$C9,'DADOS BRUTOS'!CD$3:CD$500)))</f>
        <v/>
      </c>
      <c r="FE9" s="132">
        <f>IF(OR(FE$4="",$B9=""),0,SUMIF('DADOS BRUTOS'!$A$3:$A$500,$B9,'DADOS BRUTOS'!CE$3:CE$500)+IF($C9="",0,SUMIF('DADOS BRUTOS'!$A$3:$A$500,$C9,'DADOS BRUTOS'!CE$3:CE$500)))</f>
        <v/>
      </c>
      <c r="FF9" s="132">
        <f>IF(OR(FF$4="",$B9=""),0,SUMIF('DADOS BRUTOS'!$A$3:$A$500,$B9,'DADOS BRUTOS'!CF$3:CF$500)+IF($C9="",0,SUMIF('DADOS BRUTOS'!$A$3:$A$500,$C9,'DADOS BRUTOS'!CF$3:CF$500)))</f>
        <v/>
      </c>
      <c r="FG9" s="132">
        <f>IF(OR(FG$4="",$B9=""),0,SUMIF('DADOS BRUTOS'!$A$3:$A$500,$B9,'DADOS BRUTOS'!CG$3:CG$500)+IF($C9="",0,SUMIF('DADOS BRUTOS'!$A$3:$A$500,$C9,'DADOS BRUTOS'!CG$3:CG$500)))</f>
        <v/>
      </c>
      <c r="FH9" s="132">
        <f>IF(OR(FH$4="",$B9=""),0,SUMIF('DADOS BRUTOS'!$A$3:$A$500,$B9,'DADOS BRUTOS'!CH$3:CH$500)+IF($C9="",0,SUMIF('DADOS BRUTOS'!$A$3:$A$500,$C9,'DADOS BRUTOS'!CH$3:CH$500)))</f>
        <v/>
      </c>
      <c r="FI9" s="132">
        <f>IF(OR(FI$4="",$B9=""),0,SUMIF('DADOS BRUTOS'!$A$3:$A$500,$B9,'DADOS BRUTOS'!CI$3:CI$500)+IF($C9="",0,SUMIF('DADOS BRUTOS'!$A$3:$A$500,$C9,'DADOS BRUTOS'!CI$3:CI$500)))</f>
        <v/>
      </c>
      <c r="FJ9" s="132">
        <f>IF(OR(FJ$4="",$B9=""),0,SUMIF('DADOS BRUTOS'!$A$3:$A$500,$B9,'DADOS BRUTOS'!CJ$3:CJ$500)+IF($C9="",0,SUMIF('DADOS BRUTOS'!$A$3:$A$500,$C9,'DADOS BRUTOS'!CJ$3:CJ$500)))</f>
        <v/>
      </c>
      <c r="FK9" s="132">
        <f>IF(OR(FK$4="",$B9=""),0,SUMIF('DADOS BRUTOS'!$A$3:$A$500,$B9,'DADOS BRUTOS'!CK$3:CK$500)+IF($C9="",0,SUMIF('DADOS BRUTOS'!$A$3:$A$500,$C9,'DADOS BRUTOS'!CK$3:CK$500)))</f>
        <v/>
      </c>
      <c r="FL9" s="132">
        <f>IF(OR(FL$4="",$B9=""),0,SUMIF('DADOS BRUTOS'!$A$3:$A$500,$B9,'DADOS BRUTOS'!CL$3:CL$500)+IF($C9="",0,SUMIF('DADOS BRUTOS'!$A$3:$A$500,$C9,'DADOS BRUTOS'!CL$3:CL$500)))</f>
        <v/>
      </c>
      <c r="FM9" s="132">
        <f>IF(OR(FM$4="",$B9=""),0,SUMIF('DADOS BRUTOS'!$A$3:$A$500,$B9,'DADOS BRUTOS'!CM$3:CM$500)+IF($C9="",0,SUMIF('DADOS BRUTOS'!$A$3:$A$500,$C9,'DADOS BRUTOS'!CM$3:CM$500)))</f>
        <v/>
      </c>
      <c r="FN9" s="132">
        <f>IF(OR(FN$4="",$B9=""),0,SUMIF('DADOS BRUTOS'!$A$3:$A$500,$B9,'DADOS BRUTOS'!CN$3:CN$500)+IF($C9="",0,SUMIF('DADOS BRUTOS'!$A$3:$A$500,$C9,'DADOS BRUTOS'!CN$3:CN$500)))</f>
        <v/>
      </c>
      <c r="FO9" s="132">
        <f>IF(OR(FO$4="",$B9=""),0,SUMIF('DADOS BRUTOS'!$A$3:$A$500,$B9,'DADOS BRUTOS'!CO$3:CO$500)+IF($C9="",0,SUMIF('DADOS BRUTOS'!$A$3:$A$500,$C9,'DADOS BRUTOS'!CO$3:CO$500)))</f>
        <v/>
      </c>
      <c r="FP9" s="132">
        <f>IF(OR(FP$4="",$B9=""),0,SUMIF('DADOS BRUTOS'!$A$3:$A$500,$B9,'DADOS BRUTOS'!CP$3:CP$500)+IF($C9="",0,SUMIF('DADOS BRUTOS'!$A$3:$A$500,$C9,'DADOS BRUTOS'!CP$3:CP$500)))</f>
        <v/>
      </c>
      <c r="FQ9" s="132">
        <f>IF(OR(FQ$4="",$B9=""),0,SUMIF('DADOS BRUTOS'!$A$3:$A$500,$B9,'DADOS BRUTOS'!CQ$3:CQ$500)+IF($C9="",0,SUMIF('DADOS BRUTOS'!$A$3:$A$500,$C9,'DADOS BRUTOS'!CQ$3:CQ$500)))</f>
        <v/>
      </c>
      <c r="FR9" s="132">
        <f>IF(OR(FR$4="",$B9=""),0,SUMIF('DADOS BRUTOS'!$A$3:$A$500,$B9,'DADOS BRUTOS'!CR$3:CR$500)+IF($C9="",0,SUMIF('DADOS BRUTOS'!$A$3:$A$500,$C9,'DADOS BRUTOS'!CR$3:CR$500)))</f>
        <v/>
      </c>
      <c r="FS9" s="132">
        <f>IF(OR(FS$4="",$B9=""),0,SUMIF('DADOS BRUTOS'!$A$3:$A$500,$B9,'DADOS BRUTOS'!CS$3:CS$500)+IF($C9="",0,SUMIF('DADOS BRUTOS'!$A$3:$A$500,$C9,'DADOS BRUTOS'!CS$3:CS$500)))</f>
        <v/>
      </c>
      <c r="FT9" s="132">
        <f>IF(OR(FT$4="",$B9=""),0,SUMIF('DADOS BRUTOS'!$A$3:$A$500,$B9,'DADOS BRUTOS'!CT$3:CT$500)+IF($C9="",0,SUMIF('DADOS BRUTOS'!$A$3:$A$500,$C9,'DADOS BRUTOS'!CT$3:CT$500)))</f>
        <v/>
      </c>
      <c r="FU9" s="132">
        <f>IF(OR(FU$4="",$B9=""),0,SUMIF('DADOS BRUTOS'!$A$3:$A$500,$B9,'DADOS BRUTOS'!CU$3:CU$500)+IF($C9="",0,SUMIF('DADOS BRUTOS'!$A$3:$A$500,$C9,'DADOS BRUTOS'!CU$3:CU$500)))</f>
        <v/>
      </c>
      <c r="FV9" s="132">
        <f>IF(OR(FV$4="",$B9=""),0,SUMIF('DADOS BRUTOS'!$A$3:$A$500,$B9,'DADOS BRUTOS'!CV$3:CV$500)+IF($C9="",0,SUMIF('DADOS BRUTOS'!$A$3:$A$500,$C9,'DADOS BRUTOS'!CV$3:CV$500)))</f>
        <v/>
      </c>
      <c r="FW9" s="132">
        <f>IF(OR(FW$4="",$B9=""),0,SUMIF('DADOS BRUTOS'!$A$3:$A$500,$B9,'DADOS BRUTOS'!CW$3:CW$500)+IF($C9="",0,SUMIF('DADOS BRUTOS'!$A$3:$A$500,$C9,'DADOS BRUTOS'!CW$3:CW$500)))</f>
        <v/>
      </c>
      <c r="FX9" s="132">
        <f>IF(OR(FX$4="",$B9=""),0,SUMIF('DADOS BRUTOS'!$A$3:$A$500,$B9,'DADOS BRUTOS'!CX$3:CX$500)+IF($C9="",0,SUMIF('DADOS BRUTOS'!$A$3:$A$500,$C9,'DADOS BRUTOS'!CX$3:CX$500)))</f>
        <v/>
      </c>
      <c r="FY9" s="132">
        <f>IF(OR(FY$4="",$B9=""),0,SUMIF('DADOS BRUTOS'!$A$3:$A$500,$B9,'DADOS BRUTOS'!CY$3:CY$500)+IF($C9="",0,SUMIF('DADOS BRUTOS'!$A$3:$A$500,$C9,'DADOS BRUTOS'!CY$3:CY$500)))</f>
        <v/>
      </c>
      <c r="FZ9" s="132">
        <f>IF(OR(FZ$4="",$B9=""),0,SUMIF('DADOS BRUTOS'!$A$3:$A$500,$B9,'DADOS BRUTOS'!CZ$3:CZ$500)+IF($C9="",0,SUMIF('DADOS BRUTOS'!$A$3:$A$500,$C9,'DADOS BRUTOS'!CZ$3:CZ$500)))</f>
        <v/>
      </c>
      <c r="GA9" s="132">
        <f>IF(OR(GA$4="",$B9=""),0,SUMIF('DADOS BRUTOS'!$A$3:$A$500,$B9,'DADOS BRUTOS'!DA$3:DA$500)+IF($C9="",0,SUMIF('DADOS BRUTOS'!$A$3:$A$500,$C9,'DADOS BRUTOS'!DA$3:DA$500)))</f>
        <v/>
      </c>
      <c r="GB9" s="132">
        <f>IF(OR(GB$4="",$B9=""),0,SUMIF('DADOS BRUTOS'!$A$3:$A$500,$B9,'DADOS BRUTOS'!DB$3:DB$500)+IF($C9="",0,SUMIF('DADOS BRUTOS'!$A$3:$A$500,$C9,'DADOS BRUTOS'!DB$3:DB$500)))</f>
        <v/>
      </c>
      <c r="GC9" s="132">
        <f>IF(OR(GC$4="",$B9=""),0,SUMIF('DADOS BRUTOS'!$A$3:$A$500,$B9,'DADOS BRUTOS'!DC$3:DC$500)+IF($C9="",0,SUMIF('DADOS BRUTOS'!$A$3:$A$500,$C9,'DADOS BRUTOS'!DC$3:DC$500)))</f>
        <v/>
      </c>
      <c r="GD9" s="132">
        <f>IF(OR(GD$4="",$B9=""),0,SUMIF('DADOS BRUTOS'!$A$3:$A$500,$B9,'DADOS BRUTOS'!DD$3:DD$500)+IF($C9="",0,SUMIF('DADOS BRUTOS'!$A$3:$A$500,$C9,'DADOS BRUTOS'!DD$3:DD$500)))</f>
        <v/>
      </c>
      <c r="GE9" s="132">
        <f>IF(OR(GE$4="",$B9=""),0,SUMIF('DADOS BRUTOS'!$A$3:$A$500,$B9,'DADOS BRUTOS'!DE$3:DE$500)+IF($C9="",0,SUMIF('DADOS BRUTOS'!$A$3:$A$500,$C9,'DADOS BRUTOS'!DE$3:DE$500)))</f>
        <v/>
      </c>
      <c r="GF9" s="132">
        <f>IF(OR(GF$4="",$B9=""),0,SUMIF('DADOS BRUTOS'!$A$3:$A$500,$B9,'DADOS BRUTOS'!DF$3:DF$500)+IF($C9="",0,SUMIF('DADOS BRUTOS'!$A$3:$A$500,$C9,'DADOS BRUTOS'!DF$3:DF$500)))</f>
        <v/>
      </c>
      <c r="GG9" s="132">
        <f>IF(OR(GG$4="",$B9=""),0,SUMIF('DADOS BRUTOS'!$A$3:$A$500,$B9,'DADOS BRUTOS'!DG$3:DG$500)+IF($C9="",0,SUMIF('DADOS BRUTOS'!$A$3:$A$500,$C9,'DADOS BRUTOS'!DG$3:DG$500)))</f>
        <v/>
      </c>
      <c r="GH9" s="132">
        <f>IF(OR(GH$4="",$B9=""),0,SUMIF('DADOS BRUTOS'!$A$3:$A$500,$B9,'DADOS BRUTOS'!DH$3:DH$500)+IF($C9="",0,SUMIF('DADOS BRUTOS'!$A$3:$A$500,$C9,'DADOS BRUTOS'!DH$3:DH$500)))</f>
        <v/>
      </c>
      <c r="GI9" s="132">
        <f>IF(OR(GI$4="",$B9=""),0,SUMIF('DADOS BRUTOS'!$A$3:$A$500,$B9,'DADOS BRUTOS'!DI$3:DI$500)+IF($C9="",0,SUMIF('DADOS BRUTOS'!$A$3:$A$500,$C9,'DADOS BRUTOS'!DI$3:DI$500)))</f>
        <v/>
      </c>
      <c r="GJ9" s="132">
        <f>IF(OR(GJ$4="",$B9=""),0,SUMIF('DADOS BRUTOS'!$A$3:$A$500,$B9,'DADOS BRUTOS'!DJ$3:DJ$500)+IF($C9="",0,SUMIF('DADOS BRUTOS'!$A$3:$A$500,$C9,'DADOS BRUTOS'!DJ$3:DJ$500)))</f>
        <v/>
      </c>
      <c r="GK9" s="132">
        <f>IF(OR(GK$4="",$B9=""),0,SUMIF('DADOS BRUTOS'!$A$3:$A$500,$B9,'DADOS BRUTOS'!DK$3:DK$500)+IF($C9="",0,SUMIF('DADOS BRUTOS'!$A$3:$A$500,$C9,'DADOS BRUTOS'!DK$3:DK$500)))</f>
        <v/>
      </c>
      <c r="GL9" s="132">
        <f>IF(OR(GL$4="",$B9=""),0,SUMIF('DADOS BRUTOS'!$A$3:$A$500,$B9,'DADOS BRUTOS'!DL$3:DL$500)+IF($C9="",0,SUMIF('DADOS BRUTOS'!$A$3:$A$500,$C9,'DADOS BRUTOS'!DL$3:DL$500)))</f>
        <v/>
      </c>
      <c r="GM9" s="132">
        <f>IF(OR(GM$4="",$B9=""),0,SUMIF('DADOS BRUTOS'!$A$3:$A$500,$B9,'DADOS BRUTOS'!DM$3:DM$500)+IF($C9="",0,SUMIF('DADOS BRUTOS'!$A$3:$A$500,$C9,'DADOS BRUTOS'!DM$3:DM$500)))</f>
        <v/>
      </c>
      <c r="GN9" s="132">
        <f>IF(OR(GN$4="",$B9=""),0,SUMIF('DADOS BRUTOS'!$A$3:$A$500,$B9,'DADOS BRUTOS'!DN$3:DN$500)+IF($C9="",0,SUMIF('DADOS BRUTOS'!$A$3:$A$500,$C9,'DADOS BRUTOS'!DN$3:DN$500)))</f>
        <v/>
      </c>
      <c r="GO9" s="132">
        <f>IF(OR(GO$4="",$B9=""),0,SUMIF('DADOS BRUTOS'!$A$3:$A$500,$B9,'DADOS BRUTOS'!DO$3:DO$500)+IF($C9="",0,SUMIF('DADOS BRUTOS'!$A$3:$A$500,$C9,'DADOS BRUTOS'!DO$3:DO$500)))</f>
        <v/>
      </c>
      <c r="GP9" s="132">
        <f>IF(OR(GP$4="",$B9=""),0,SUMIF('DADOS BRUTOS'!$A$3:$A$500,$B9,'DADOS BRUTOS'!DP$3:DP$500)+IF($C9="",0,SUMIF('DADOS BRUTOS'!$A$3:$A$500,$C9,'DADOS BRUTOS'!DP$3:DP$500)))</f>
        <v/>
      </c>
      <c r="GQ9" s="132">
        <f>IF(OR(GQ$4="",$B9=""),0,SUMIF('DADOS BRUTOS'!$A$3:$A$500,$B9,'DADOS BRUTOS'!DQ$3:DQ$500)+IF($C9="",0,SUMIF('DADOS BRUTOS'!$A$3:$A$500,$C9,'DADOS BRUTOS'!DQ$3:DQ$500)))</f>
        <v/>
      </c>
      <c r="GR9" s="132">
        <f>IF(OR(GR$4="",$B9=""),0,SUMIF('DADOS BRUTOS'!$A$3:$A$500,$B9,'DADOS BRUTOS'!DR$3:DR$500)+IF($C9="",0,SUMIF('DADOS BRUTOS'!$A$3:$A$500,$C9,'DADOS BRUTOS'!DR$3:DR$500)))</f>
        <v/>
      </c>
      <c r="GS9" s="132">
        <f>IF(OR(GS$4="",$B9=""),0,SUMIF('DADOS BRUTOS'!$A$3:$A$500,$B9,'DADOS BRUTOS'!DS$3:DS$500)+IF($C9="",0,SUMIF('DADOS BRUTOS'!$A$3:$A$500,$C9,'DADOS BRUTOS'!DS$3:DS$500)))</f>
        <v/>
      </c>
      <c r="GT9" s="132">
        <f>IF(OR(GT$4="",$B9=""),0,SUMIF('DADOS BRUTOS'!$A$3:$A$500,$B9,'DADOS BRUTOS'!DT$3:DT$500)+IF($C9="",0,SUMIF('DADOS BRUTOS'!$A$3:$A$500,$C9,'DADOS BRUTOS'!DT$3:DT$500)))</f>
        <v/>
      </c>
      <c r="GU9" s="132">
        <f>IF(OR(GU$4="",$B9=""),0,SUMIF('DADOS BRUTOS'!$A$3:$A$500,$B9,'DADOS BRUTOS'!DU$3:DU$500)+IF($C9="",0,SUMIF('DADOS BRUTOS'!$A$3:$A$500,$C9,'DADOS BRUTOS'!DU$3:DU$500)))</f>
        <v/>
      </c>
      <c r="GV9" s="132">
        <f>IF(OR(GV$4="",$B9=""),0,SUMIF('DADOS BRUTOS'!$A$3:$A$500,$B9,'DADOS BRUTOS'!DV$3:DV$500)+IF($C9="",0,SUMIF('DADOS BRUTOS'!$A$3:$A$500,$C9,'DADOS BRUTOS'!DV$3:DV$500)))</f>
        <v/>
      </c>
      <c r="GW9" s="132">
        <f>IF(OR(GW$4="",$B9=""),0,SUMIF('DADOS BRUTOS'!$A$3:$A$500,$B9,'DADOS BRUTOS'!DW$3:DW$500)+IF($C9="",0,SUMIF('DADOS BRUTOS'!$A$3:$A$500,$C9,'DADOS BRUTOS'!DW$3:DW$500)))</f>
        <v/>
      </c>
      <c r="GX9" s="132">
        <f>IF(OR(GX$4="",$B9=""),0,SUMIF('DADOS BRUTOS'!$A$3:$A$500,$B9,'DADOS BRUTOS'!DX$3:DX$500)+IF($C9="",0,SUMIF('DADOS BRUTOS'!$A$3:$A$500,$C9,'DADOS BRUTOS'!DX$3:DX$500)))</f>
        <v/>
      </c>
      <c r="GY9" s="132">
        <f>IF(OR(GY$4="",$B9=""),0,SUMIF('DADOS BRUTOS'!$A$3:$A$500,$B9,'DADOS BRUTOS'!DY$3:DY$500)+IF($C9="",0,SUMIF('DADOS BRUTOS'!$A$3:$A$500,$C9,'DADOS BRUTOS'!DY$3:DY$500)))</f>
        <v/>
      </c>
      <c r="GZ9" s="132">
        <f>IF(OR(GZ$4="",$B9=""),0,SUMIF('DADOS BRUTOS'!$A$3:$A$500,$B9,'DADOS BRUTOS'!DZ$3:DZ$500)+IF($C9="",0,SUMIF('DADOS BRUTOS'!$A$3:$A$500,$C9,'DADOS BRUTOS'!DZ$3:DZ$500)))</f>
        <v/>
      </c>
      <c r="HA9" s="132">
        <f>IF(OR(HA$4="",$B9=""),0,SUMIF('DADOS BRUTOS'!$A$3:$A$500,$B9,'DADOS BRUTOS'!EA$3:EA$500)+IF($C9="",0,SUMIF('DADOS BRUTOS'!$A$3:$A$500,$C9,'DADOS BRUTOS'!EA$3:EA$500)))</f>
        <v/>
      </c>
      <c r="HB9" s="132">
        <f>IF(OR(HB$4="",$B9=""),0,SUMIF('DADOS BRUTOS'!$A$3:$A$500,$B9,'DADOS BRUTOS'!EB$3:EB$500)+IF($C9="",0,SUMIF('DADOS BRUTOS'!$A$3:$A$500,$C9,'DADOS BRUTOS'!EB$3:EB$500)))</f>
        <v/>
      </c>
      <c r="HC9" s="132">
        <f>IF(OR(HC$4="",$B9=""),0,SUMIF('DADOS BRUTOS'!$A$3:$A$500,$B9,'DADOS BRUTOS'!EC$3:EC$500)+IF($C9="",0,SUMIF('DADOS BRUTOS'!$A$3:$A$500,$C9,'DADOS BRUTOS'!EC$3:EC$500)))</f>
        <v/>
      </c>
      <c r="HD9" s="132">
        <f>IF(OR(HD$4="",$B9=""),0,SUMIF('DADOS BRUTOS'!$A$3:$A$500,$B9,'DADOS BRUTOS'!ED$3:ED$500)+IF($C9="",0,SUMIF('DADOS BRUTOS'!$A$3:$A$500,$C9,'DADOS BRUTOS'!ED$3:ED$500)))</f>
        <v/>
      </c>
      <c r="HE9" s="132">
        <f>IF(OR(HE$4="",$B9=""),0,SUMIF('DADOS BRUTOS'!$A$3:$A$500,$B9,'DADOS BRUTOS'!EE$3:EE$500)+IF($C9="",0,SUMIF('DADOS BRUTOS'!$A$3:$A$500,$C9,'DADOS BRUTOS'!EE$3:EE$500)))</f>
        <v/>
      </c>
      <c r="HF9" s="132">
        <f>IF(OR(HF$4="",$B9=""),0,SUMIF('DADOS BRUTOS'!$A$3:$A$500,$B9,'DADOS BRUTOS'!EF$3:EF$500)+IF($C9="",0,SUMIF('DADOS BRUTOS'!$A$3:$A$500,$C9,'DADOS BRUTOS'!EF$3:EF$500)))</f>
        <v/>
      </c>
      <c r="HG9" s="132">
        <f>IF(OR(HG$4="",$B9=""),0,SUMIF('DADOS BRUTOS'!$A$3:$A$500,$B9,'DADOS BRUTOS'!EG$3:EG$500)+IF($C9="",0,SUMIF('DADOS BRUTOS'!$A$3:$A$500,$C9,'DADOS BRUTOS'!EG$3:EG$500)))</f>
        <v/>
      </c>
      <c r="HH9" s="132">
        <f>IF(OR(HH$4="",$B9=""),0,SUMIF('DADOS BRUTOS'!$A$3:$A$500,$B9,'DADOS BRUTOS'!EH$3:EH$500)+IF($C9="",0,SUMIF('DADOS BRUTOS'!$A$3:$A$500,$C9,'DADOS BRUTOS'!EH$3:EH$500)))</f>
        <v/>
      </c>
      <c r="HI9" s="132">
        <f>IF(OR(HI$4="",$B9=""),0,SUMIF('DADOS BRUTOS'!$A$3:$A$500,$B9,'DADOS BRUTOS'!EI$3:EI$500)+IF($C9="",0,SUMIF('DADOS BRUTOS'!$A$3:$A$500,$C9,'DADOS BRUTOS'!EI$3:EI$500)))</f>
        <v/>
      </c>
      <c r="HJ9" s="132">
        <f>IF(OR(HJ$4="",$B9=""),0,SUMIF('DADOS BRUTOS'!$A$3:$A$500,$B9,'DADOS BRUTOS'!EJ$3:EJ$500)+IF($C9="",0,SUMIF('DADOS BRUTOS'!$A$3:$A$500,$C9,'DADOS BRUTOS'!EJ$3:EJ$500)))</f>
        <v/>
      </c>
      <c r="HK9" s="132">
        <f>IF(OR(HK$4="",$B9=""),0,SUMIF('DADOS BRUTOS'!$A$3:$A$500,$B9,'DADOS BRUTOS'!EK$3:EK$500)+IF($C9="",0,SUMIF('DADOS BRUTOS'!$A$3:$A$500,$C9,'DADOS BRUTOS'!EK$3:EK$500)))</f>
        <v/>
      </c>
      <c r="HL9" s="132">
        <f>IF(OR(HL$4="",$B9=""),0,SUMIF('DADOS BRUTOS'!$A$3:$A$500,$B9,'DADOS BRUTOS'!EL$3:EL$500)+IF($C9="",0,SUMIF('DADOS BRUTOS'!$A$3:$A$500,$C9,'DADOS BRUTOS'!EL$3:EL$500)))</f>
        <v/>
      </c>
      <c r="HM9" s="132">
        <f>IF(OR(HM$4="",$B9=""),0,SUMIF('DADOS BRUTOS'!$A$3:$A$500,$B9,'DADOS BRUTOS'!EM$3:EM$500)+IF($C9="",0,SUMIF('DADOS BRUTOS'!$A$3:$A$500,$C9,'DADOS BRUTOS'!EM$3:EM$500)))</f>
        <v/>
      </c>
      <c r="HN9" s="132">
        <f>IF(OR(HN$4="",$B9=""),0,SUMIF('DADOS BRUTOS'!$A$3:$A$500,$B9,'DADOS BRUTOS'!EN$3:EN$500)+IF($C9="",0,SUMIF('DADOS BRUTOS'!$A$3:$A$500,$C9,'DADOS BRUTOS'!EN$3:EN$500)))</f>
        <v/>
      </c>
      <c r="HO9" s="132">
        <f>IF(OR(HO$4="",$B9=""),0,SUMIF('DADOS BRUTOS'!$A$3:$A$500,$B9,'DADOS BRUTOS'!EO$3:EO$500)+IF($C9="",0,SUMIF('DADOS BRUTOS'!$A$3:$A$500,$C9,'DADOS BRUTOS'!EO$3:EO$500)))</f>
        <v/>
      </c>
      <c r="HP9" s="132">
        <f>IF(OR(HP$4="",$B9=""),0,SUMIF('DADOS BRUTOS'!$A$3:$A$500,$B9,'DADOS BRUTOS'!EP$3:EP$500)+IF($C9="",0,SUMIF('DADOS BRUTOS'!$A$3:$A$500,$C9,'DADOS BRUTOS'!EP$3:EP$500)))</f>
        <v/>
      </c>
      <c r="HQ9" s="132">
        <f>IF(OR(HQ$4="",$B9=""),0,SUMIF('DADOS BRUTOS'!$A$3:$A$500,$B9,'DADOS BRUTOS'!EQ$3:EQ$500)+IF($C9="",0,SUMIF('DADOS BRUTOS'!$A$3:$A$500,$C9,'DADOS BRUTOS'!EQ$3:EQ$500)))</f>
        <v/>
      </c>
      <c r="HR9" s="132">
        <f>IF(OR(HR$4="",$B9=""),0,SUMIF('DADOS BRUTOS'!$A$3:$A$500,$B9,'DADOS BRUTOS'!ER$3:ER$500)+IF($C9="",0,SUMIF('DADOS BRUTOS'!$A$3:$A$500,$C9,'DADOS BRUTOS'!ER$3:ER$500)))</f>
        <v/>
      </c>
      <c r="HS9" s="132">
        <f>IF(OR(HS$4="",$B9=""),0,SUMIF('DADOS BRUTOS'!$A$3:$A$500,$B9,'DADOS BRUTOS'!ES$3:ES$500)+IF($C9="",0,SUMIF('DADOS BRUTOS'!$A$3:$A$500,$C9,'DADOS BRUTOS'!ES$3:ES$500)))</f>
        <v/>
      </c>
      <c r="HT9" s="132">
        <f>IF(OR(HT$4="",$B9=""),0,SUMIF('DADOS BRUTOS'!$A$3:$A$500,$B9,'DADOS BRUTOS'!ET$3:ET$500)+IF($C9="",0,SUMIF('DADOS BRUTOS'!$A$3:$A$500,$C9,'DADOS BRUTOS'!ET$3:ET$500)))</f>
        <v/>
      </c>
      <c r="HU9" s="132">
        <f>IF(OR(HU$4="",$B9=""),0,SUMIF('DADOS BRUTOS'!$A$3:$A$500,$B9,'DADOS BRUTOS'!EU$3:EU$500)+IF($C9="",0,SUMIF('DADOS BRUTOS'!$A$3:$A$500,$C9,'DADOS BRUTOS'!EU$3:EU$500)))</f>
        <v/>
      </c>
      <c r="HV9" s="132">
        <f>IF(OR(HV$4="",$B9=""),0,SUMIF('DADOS BRUTOS'!$A$3:$A$500,$B9,'DADOS BRUTOS'!EV$3:EV$500)+IF($C9="",0,SUMIF('DADOS BRUTOS'!$A$3:$A$500,$C9,'DADOS BRUTOS'!EV$3:EV$500)))</f>
        <v/>
      </c>
      <c r="HW9" s="132">
        <f>IF(OR(HW$4="",$B9=""),0,SUMIF('DADOS BRUTOS'!$A$3:$A$500,$B9,'DADOS BRUTOS'!EW$3:EW$500)+IF($C9="",0,SUMIF('DADOS BRUTOS'!$A$3:$A$500,$C9,'DADOS BRUTOS'!EW$3:EW$500)))</f>
        <v/>
      </c>
      <c r="HX9" s="132">
        <f>IF(OR(HX$4="",$B9=""),0,SUMIF('DADOS BRUTOS'!$A$3:$A$500,$B9,'DADOS BRUTOS'!EX$3:EX$500)+IF($C9="",0,SUMIF('DADOS BRUTOS'!$A$3:$A$500,$C9,'DADOS BRUTOS'!EX$3:EX$500)))</f>
        <v/>
      </c>
      <c r="HY9" s="132">
        <f>IF(OR(HY$4="",$B9=""),0,SUMIF('DADOS BRUTOS'!$A$3:$A$500,$B9,'DADOS BRUTOS'!EY$3:EY$500)+IF($C9="",0,SUMIF('DADOS BRUTOS'!$A$3:$A$500,$C9,'DADOS BRUTOS'!EY$3:EY$500)))</f>
        <v/>
      </c>
      <c r="HZ9" s="132">
        <f>IF(OR(HZ$4="",$B9=""),0,SUMIF('DADOS BRUTOS'!$A$3:$A$500,$B9,'DADOS BRUTOS'!EZ$3:EZ$500)+IF($C9="",0,SUMIF('DADOS BRUTOS'!$A$3:$A$500,$C9,'DADOS BRUTOS'!EZ$3:EZ$500)))</f>
        <v/>
      </c>
      <c r="IA9" s="132">
        <f>IF(OR(IA$4="",$B9=""),0,SUMIF('DADOS BRUTOS'!$A$3:$A$500,$B9,'DADOS BRUTOS'!FA$3:FA$500)+IF($C9="",0,SUMIF('DADOS BRUTOS'!$A$3:$A$500,$C9,'DADOS BRUTOS'!FA$3:FA$500)))</f>
        <v/>
      </c>
      <c r="IB9" s="132">
        <f>IF(OR(IB$4="",$B9=""),0,SUMIF('DADOS BRUTOS'!$A$3:$A$500,$B9,'DADOS BRUTOS'!FB$3:FB$500)+IF($C9="",0,SUMIF('DADOS BRUTOS'!$A$3:$A$500,$C9,'DADOS BRUTOS'!FB$3:FB$500)))</f>
        <v/>
      </c>
      <c r="IC9" s="132">
        <f>IF(OR(IC$4="",$B9=""),0,SUMIF('DADOS BRUTOS'!$A$3:$A$500,$B9,'DADOS BRUTOS'!FC$3:FC$500)+IF($C9="",0,SUMIF('DADOS BRUTOS'!$A$3:$A$500,$C9,'DADOS BRUTOS'!FC$3:FC$500)))</f>
        <v/>
      </c>
      <c r="ID9" s="132">
        <f>IF(OR(ID$4="",$B9=""),0,SUMIF('DADOS BRUTOS'!$A$3:$A$500,$B9,'DADOS BRUTOS'!FD$3:FD$500)+IF($C9="",0,SUMIF('DADOS BRUTOS'!$A$3:$A$500,$C9,'DADOS BRUTOS'!FD$3:FD$500)))</f>
        <v/>
      </c>
      <c r="IE9" s="132">
        <f>IF(OR(IE$4="",$B9=""),0,SUMIF('DADOS BRUTOS'!$A$3:$A$500,$B9,'DADOS BRUTOS'!FE$3:FE$500)+IF($C9="",0,SUMIF('DADOS BRUTOS'!$A$3:$A$500,$C9,'DADOS BRUTOS'!FE$3:FE$500)))</f>
        <v/>
      </c>
      <c r="IF9" s="132">
        <f>IF(OR(IF$4="",$B9=""),0,SUMIF('DADOS BRUTOS'!$A$3:$A$500,$B9,'DADOS BRUTOS'!FF$3:FF$500)+IF($C9="",0,SUMIF('DADOS BRUTOS'!$A$3:$A$500,$C9,'DADOS BRUTOS'!FF$3:FF$500)))</f>
        <v/>
      </c>
      <c r="IG9" s="132">
        <f>IF(OR(IG$4="",$B9=""),0,SUMIF('DADOS BRUTOS'!$A$3:$A$500,$B9,'DADOS BRUTOS'!FG$3:FG$500)+IF($C9="",0,SUMIF('DADOS BRUTOS'!$A$3:$A$500,$C9,'DADOS BRUTOS'!FG$3:FG$500)))</f>
        <v/>
      </c>
      <c r="IH9" s="132">
        <f>IF(OR(IH$4="",$B9=""),0,SUMIF('DADOS BRUTOS'!$A$3:$A$500,$B9,'DADOS BRUTOS'!FH$3:FH$500)+IF($C9="",0,SUMIF('DADOS BRUTOS'!$A$3:$A$500,$C9,'DADOS BRUTOS'!FH$3:FH$500)))</f>
        <v/>
      </c>
      <c r="II9" s="132">
        <f>IF(OR(II$4="",$B9=""),0,SUMIF('DADOS BRUTOS'!$A$3:$A$500,$B9,'DADOS BRUTOS'!FI$3:FI$500)+IF($C9="",0,SUMIF('DADOS BRUTOS'!$A$3:$A$500,$C9,'DADOS BRUTOS'!FI$3:FI$500)))</f>
        <v/>
      </c>
      <c r="IJ9" s="132">
        <f>IF(OR(IJ$4="",$B9=""),0,SUMIF('DADOS BRUTOS'!$A$3:$A$500,$B9,'DADOS BRUTOS'!FJ$3:FJ$500)+IF($C9="",0,SUMIF('DADOS BRUTOS'!$A$3:$A$500,$C9,'DADOS BRUTOS'!FJ$3:FJ$500)))</f>
        <v/>
      </c>
      <c r="IK9" s="132">
        <f>IF(OR(IK$4="",$B9=""),0,SUMIF('DADOS BRUTOS'!$A$3:$A$500,$B9,'DADOS BRUTOS'!FK$3:FK$500)+IF($C9="",0,SUMIF('DADOS BRUTOS'!$A$3:$A$500,$C9,'DADOS BRUTOS'!FK$3:FK$500)))</f>
        <v/>
      </c>
      <c r="IL9" s="132">
        <f>IF(OR(IL$4="",$B9=""),0,SUMIF('DADOS BRUTOS'!$A$3:$A$500,$B9,'DADOS BRUTOS'!FL$3:FL$500)+IF($C9="",0,SUMIF('DADOS BRUTOS'!$A$3:$A$500,$C9,'DADOS BRUTOS'!FL$3:FL$500)))</f>
        <v/>
      </c>
      <c r="IM9" s="132">
        <f>IF(OR(IM$4="",$B9=""),0,SUMIF('DADOS BRUTOS'!$A$3:$A$500,$B9,'DADOS BRUTOS'!FM$3:FM$500)+IF($C9="",0,SUMIF('DADOS BRUTOS'!$A$3:$A$500,$C9,'DADOS BRUTOS'!FM$3:FM$500)))</f>
        <v/>
      </c>
      <c r="IN9" s="132">
        <f>IF(OR(IN$4="",$B9=""),0,SUMIF('DADOS BRUTOS'!$A$3:$A$500,$B9,'DADOS BRUTOS'!FN$3:FN$500)+IF($C9="",0,SUMIF('DADOS BRUTOS'!$A$3:$A$500,$C9,'DADOS BRUTOS'!FN$3:FN$500)))</f>
        <v/>
      </c>
      <c r="IO9" s="132">
        <f>IF(OR(IO$4="",$B9=""),0,SUMIF('DADOS BRUTOS'!$A$3:$A$500,$B9,'DADOS BRUTOS'!FO$3:FO$500)+IF($C9="",0,SUMIF('DADOS BRUTOS'!$A$3:$A$500,$C9,'DADOS BRUTOS'!FO$3:FO$500)))</f>
        <v/>
      </c>
      <c r="IP9" s="132">
        <f>IF(OR(IP$4="",$B9=""),0,SUMIF('DADOS BRUTOS'!$A$3:$A$500,$B9,'DADOS BRUTOS'!FP$3:FP$500)+IF($C9="",0,SUMIF('DADOS BRUTOS'!$A$3:$A$500,$C9,'DADOS BRUTOS'!FP$3:FP$500)))</f>
        <v/>
      </c>
      <c r="IQ9" s="132">
        <f>IF(OR(IQ$4="",$B9=""),0,SUMIF('DADOS BRUTOS'!$A$3:$A$500,$B9,'DADOS BRUTOS'!FQ$3:FQ$500)+IF($C9="",0,SUMIF('DADOS BRUTOS'!$A$3:$A$500,$C9,'DADOS BRUTOS'!FQ$3:FQ$500)))</f>
        <v/>
      </c>
      <c r="IR9" s="132">
        <f>IF(OR(IR$4="",$B9=""),0,SUMIF('DADOS BRUTOS'!$A$3:$A$500,$B9,'DADOS BRUTOS'!FR$3:FR$500)+IF($C9="",0,SUMIF('DADOS BRUTOS'!$A$3:$A$500,$C9,'DADOS BRUTOS'!FR$3:FR$500)))</f>
        <v/>
      </c>
      <c r="IS9" s="132">
        <f>IF(OR(IS$4="",$B9=""),0,SUMIF('DADOS BRUTOS'!$A$3:$A$500,$B9,'DADOS BRUTOS'!FS$3:FS$500)+IF($C9="",0,SUMIF('DADOS BRUTOS'!$A$3:$A$500,$C9,'DADOS BRUTOS'!FS$3:FS$500)))</f>
        <v/>
      </c>
      <c r="IT9" s="132">
        <f>IF(OR(IT$4="",$B9=""),0,SUMIF('DADOS BRUTOS'!$A$3:$A$500,$B9,'DADOS BRUTOS'!FT$3:FT$500)+IF($C9="",0,SUMIF('DADOS BRUTOS'!$A$3:$A$500,$C9,'DADOS BRUTOS'!FT$3:FT$500)))</f>
        <v/>
      </c>
      <c r="IU9" s="132">
        <f>IF(OR(IU$4="",$B9=""),0,SUMIF('DADOS BRUTOS'!$A$3:$A$500,$B9,'DADOS BRUTOS'!FU$3:FU$500)+IF($C9="",0,SUMIF('DADOS BRUTOS'!$A$3:$A$500,$C9,'DADOS BRUTOS'!FU$3:FU$500)))</f>
        <v/>
      </c>
      <c r="IV9" s="132">
        <f>IF(OR(IV$4="",$B9=""),0,SUMIF('DADOS BRUTOS'!$A$3:$A$500,$B9,'DADOS BRUTOS'!FV$3:FV$500)+IF($C9="",0,SUMIF('DADOS BRUTOS'!$A$3:$A$500,$C9,'DADOS BRUTOS'!FV$3:FV$500)))</f>
        <v/>
      </c>
      <c r="IW9" s="132">
        <f>IF(OR(IW$4="",$B9=""),0,SUMIF('DADOS BRUTOS'!$A$3:$A$500,$B9,'DADOS BRUTOS'!FW$3:FW$500)+IF($C9="",0,SUMIF('DADOS BRUTOS'!$A$3:$A$500,$C9,'DADOS BRUTOS'!FW$3:FW$500)))</f>
        <v/>
      </c>
      <c r="IX9" s="132">
        <f>IF(OR(IX$4="",$B9=""),0,SUMIF('DADOS BRUTOS'!$A$3:$A$500,$B9,'DADOS BRUTOS'!FX$3:FX$500)+IF($C9="",0,SUMIF('DADOS BRUTOS'!$A$3:$A$500,$C9,'DADOS BRUTOS'!FX$3:FX$500)))</f>
        <v/>
      </c>
      <c r="IY9" s="132">
        <f>IF(OR(IY$4="",$B9=""),0,SUMIF('DADOS BRUTOS'!$A$3:$A$500,$B9,'DADOS BRUTOS'!FY$3:FY$500)+IF($C9="",0,SUMIF('DADOS BRUTOS'!$A$3:$A$500,$C9,'DADOS BRUTOS'!FY$3:FY$500)))</f>
        <v/>
      </c>
      <c r="IZ9" s="132">
        <f>IF(OR(IZ$4="",$B9=""),0,SUMIF('DADOS BRUTOS'!$A$3:$A$500,$B9,'DADOS BRUTOS'!FZ$3:FZ$500)+IF($C9="",0,SUMIF('DADOS BRUTOS'!$A$3:$A$500,$C9,'DADOS BRUTOS'!FZ$3:FZ$500)))</f>
        <v/>
      </c>
      <c r="JA9" s="132">
        <f>IF(OR(JA$4="",$B9=""),0,SUMIF('DADOS BRUTOS'!$A$3:$A$500,$B9,'DADOS BRUTOS'!GA$3:GA$500)+IF($C9="",0,SUMIF('DADOS BRUTOS'!$A$3:$A$500,$C9,'DADOS BRUTOS'!GA$3:GA$500)))</f>
        <v/>
      </c>
      <c r="JB9" s="132">
        <f>IF(OR(JB$4="",$B9=""),0,SUMIF('DADOS BRUTOS'!$A$3:$A$500,$B9,'DADOS BRUTOS'!GB$3:GB$500)+IF($C9="",0,SUMIF('DADOS BRUTOS'!$A$3:$A$500,$C9,'DADOS BRUTOS'!GB$3:GB$500)))</f>
        <v/>
      </c>
      <c r="JC9" s="132">
        <f>IF(OR(JC$4="",$B9=""),0,SUMIF('DADOS BRUTOS'!$A$3:$A$500,$B9,'DADOS BRUTOS'!GC$3:GC$500)+IF($C9="",0,SUMIF('DADOS BRUTOS'!$A$3:$A$500,$C9,'DADOS BRUTOS'!GC$3:GC$500)))</f>
        <v/>
      </c>
      <c r="JD9" s="132">
        <f>IF(OR(JD$4="",$B9=""),0,SUMIF('DADOS BRUTOS'!$A$3:$A$500,$B9,'DADOS BRUTOS'!GD$3:GD$500)+IF($C9="",0,SUMIF('DADOS BRUTOS'!$A$3:$A$500,$C9,'DADOS BRUTOS'!GD$3:GD$500)))</f>
        <v/>
      </c>
      <c r="JE9" s="132">
        <f>IF(OR(JE$4="",$B9=""),0,SUMIF('DADOS BRUTOS'!$A$3:$A$500,$B9,'DADOS BRUTOS'!GE$3:GE$500)+IF($C9="",0,SUMIF('DADOS BRUTOS'!$A$3:$A$500,$C9,'DADOS BRUTOS'!GE$3:GE$500)))</f>
        <v/>
      </c>
      <c r="JF9" s="132">
        <f>IF(OR(JF$4="",$B9=""),0,SUMIF('DADOS BRUTOS'!$A$3:$A$500,$B9,'DADOS BRUTOS'!GF$3:GF$500)+IF($C9="",0,SUMIF('DADOS BRUTOS'!$A$3:$A$500,$C9,'DADOS BRUTOS'!GF$3:GF$500)))</f>
        <v/>
      </c>
      <c r="JG9" s="132">
        <f>IF(OR(JG$4="",$B9=""),0,SUMIF('DADOS BRUTOS'!$A$3:$A$500,$B9,'DADOS BRUTOS'!GG$3:GG$500)+IF($C9="",0,SUMIF('DADOS BRUTOS'!$A$3:$A$500,$C9,'DADOS BRUTOS'!GG$3:GG$500)))</f>
        <v/>
      </c>
      <c r="JH9" s="132">
        <f>IF(OR(JH$4="",$B9=""),0,SUMIF('DADOS BRUTOS'!$A$3:$A$500,$B9,'DADOS BRUTOS'!GH$3:GH$500)+IF($C9="",0,SUMIF('DADOS BRUTOS'!$A$3:$A$500,$C9,'DADOS BRUTOS'!GH$3:GH$500)))</f>
        <v/>
      </c>
      <c r="JI9" s="132">
        <f>IF(OR(JI$4="",$B9=""),0,SUMIF('DADOS BRUTOS'!$A$3:$A$500,$B9,'DADOS BRUTOS'!GI$3:GI$500)+IF($C9="",0,SUMIF('DADOS BRUTOS'!$A$3:$A$500,$C9,'DADOS BRUTOS'!GI$3:GI$500)))</f>
        <v/>
      </c>
      <c r="JJ9" s="132">
        <f>IF(OR(JJ$4="",$B9=""),0,SUMIF('DADOS BRUTOS'!$A$3:$A$500,$B9,'DADOS BRUTOS'!GJ$3:GJ$500)+IF($C9="",0,SUMIF('DADOS BRUTOS'!$A$3:$A$500,$C9,'DADOS BRUTOS'!GJ$3:GJ$500)))</f>
        <v/>
      </c>
      <c r="JK9" s="132">
        <f>IF(OR(JK$4="",$B9=""),0,SUMIF('DADOS BRUTOS'!$A$3:$A$500,$B9,'DADOS BRUTOS'!GK$3:GK$500)+IF($C9="",0,SUMIF('DADOS BRUTOS'!$A$3:$A$500,$C9,'DADOS BRUTOS'!GK$3:GK$500)))</f>
        <v/>
      </c>
      <c r="JL9" s="132">
        <f>IF(OR(JL$4="",$B9=""),0,SUMIF('DADOS BRUTOS'!$A$3:$A$500,$B9,'DADOS BRUTOS'!GL$3:GL$500)+IF($C9="",0,SUMIF('DADOS BRUTOS'!$A$3:$A$500,$C9,'DADOS BRUTOS'!GL$3:GL$500)))</f>
        <v/>
      </c>
      <c r="JM9" s="132">
        <f>IF(OR(JM$4="",$B9=""),0,SUMIF('DADOS BRUTOS'!$A$3:$A$500,$B9,'DADOS BRUTOS'!GM$3:GM$500)+IF($C9="",0,SUMIF('DADOS BRUTOS'!$A$3:$A$500,$C9,'DADOS BRUTOS'!GM$3:GM$500)))</f>
        <v/>
      </c>
      <c r="JN9" s="132">
        <f>IF(OR(JN$4="",$B9=""),0,SUMIF('DADOS BRUTOS'!$A$3:$A$500,$B9,'DADOS BRUTOS'!GN$3:GN$500)+IF($C9="",0,SUMIF('DADOS BRUTOS'!$A$3:$A$500,$C9,'DADOS BRUTOS'!GN$3:GN$500)))</f>
        <v/>
      </c>
      <c r="JO9" s="132">
        <f>IF(OR(JO$4="",$B9=""),0,SUMIF('DADOS BRUTOS'!$A$3:$A$500,$B9,'DADOS BRUTOS'!GO$3:GO$500)+IF($C9="",0,SUMIF('DADOS BRUTOS'!$A$3:$A$500,$C9,'DADOS BRUTOS'!GO$3:GO$500)))</f>
        <v/>
      </c>
      <c r="JP9" s="132">
        <f>IF(OR(JP$4="",$B9=""),0,SUMIF('DADOS BRUTOS'!$A$3:$A$500,$B9,'DADOS BRUTOS'!GP$3:GP$500)+IF($C9="",0,SUMIF('DADOS BRUTOS'!$A$3:$A$500,$C9,'DADOS BRUTOS'!GP$3:GP$500)))</f>
        <v/>
      </c>
      <c r="JQ9" s="132">
        <f>IF(OR(JQ$4="",$B9=""),0,SUMIF('DADOS BRUTOS'!$A$3:$A$500,$B9,'DADOS BRUTOS'!GQ$3:GQ$500)+IF($C9="",0,SUMIF('DADOS BRUTOS'!$A$3:$A$500,$C9,'DADOS BRUTOS'!GQ$3:GQ$500)))</f>
        <v/>
      </c>
      <c r="JR9" s="132">
        <f>IF(OR(JR$4="",$B9=""),0,SUMIF('DADOS BRUTOS'!$A$3:$A$500,$B9,'DADOS BRUTOS'!GR$3:GR$500)+IF($C9="",0,SUMIF('DADOS BRUTOS'!$A$3:$A$500,$C9,'DADOS BRUTOS'!GR$3:GR$500)))</f>
        <v/>
      </c>
      <c r="JS9" s="132">
        <f>IF(OR(JS$4="",$B9=""),0,SUMIF('DADOS BRUTOS'!$A$3:$A$500,$B9,'DADOS BRUTOS'!GS$3:GS$500)+IF($C9="",0,SUMIF('DADOS BRUTOS'!$A$3:$A$500,$C9,'DADOS BRUTOS'!GS$3:GS$500)))</f>
        <v/>
      </c>
    </row>
    <row r="10">
      <c r="A10" s="61">
        <f>'VALOR POR PL'!D16</f>
        <v/>
      </c>
      <c r="B10" s="59" t="inlineStr">
        <is>
          <t>CONSUMO DE ÁGUA, ENERGIA, ETC.</t>
        </is>
      </c>
      <c r="C10" s="59" t="n"/>
      <c r="D10" s="54">
        <f>SUMIF($CB$4:$JS$4,"&lt;="&amp;D$4,$CB10:$JS10)</f>
        <v/>
      </c>
      <c r="E10" s="54">
        <f>SUMIF($CB$4:$JS$4,E$4,$CB10:$JS10)</f>
        <v/>
      </c>
      <c r="F10" s="54">
        <f>SUMIF($CB$4:$JS$4,F$4,$CB10:$JS10)</f>
        <v/>
      </c>
      <c r="G10" s="54">
        <f>SUMIF($CB$4:$JS$4,G$4,$CB10:$JS10)</f>
        <v/>
      </c>
      <c r="H10" s="54">
        <f>SUMIF($CB$4:$JS$4,H$4,$CB10:$JS10)</f>
        <v/>
      </c>
      <c r="I10" s="54">
        <f>SUMIF($CB$4:$JS$4,I$4,$CB10:$JS10)</f>
        <v/>
      </c>
      <c r="J10" s="54">
        <f>SUMIF($CB$4:$JS$4,J$4,$CB10:$JS10)</f>
        <v/>
      </c>
      <c r="K10" s="54">
        <f>SUMIF($CB$4:$JS$4,K$4,$CB10:$JS10)</f>
        <v/>
      </c>
      <c r="L10" s="54">
        <f>SUMIF($CB$4:$JS$4,L$4,$CB10:$JS10)</f>
        <v/>
      </c>
      <c r="M10" s="54">
        <f>SUMIF($CB$4:$JS$4,M$4,$CB10:$JS10)</f>
        <v/>
      </c>
      <c r="N10" s="54">
        <f>SUMIF($CB$4:$JS$4,N$4,$CB10:$JS10)</f>
        <v/>
      </c>
      <c r="O10" s="54">
        <f>SUMIF($CB$4:$JS$4,O$4,$CB10:$JS10)</f>
        <v/>
      </c>
      <c r="P10" s="54">
        <f>SUMIF($CB$4:$JS$4,P$4,$CB10:$JS10)</f>
        <v/>
      </c>
      <c r="Q10" s="54">
        <f>SUMIF($CB$4:$JS$4,Q$4,$CB10:$JS10)</f>
        <v/>
      </c>
      <c r="R10" s="54">
        <f>SUMIF($CB$4:$JS$4,R$4,$CB10:$JS10)</f>
        <v/>
      </c>
      <c r="S10" s="54">
        <f>SUMIF($CB$4:$JS$4,S$4,$CB10:$JS10)</f>
        <v/>
      </c>
      <c r="T10" s="54">
        <f>SUMIF($CB$4:$JS$4,T$4,$CB10:$JS10)</f>
        <v/>
      </c>
      <c r="U10" s="54">
        <f>SUMIF($CB$4:$JS$4,U$4,$CB10:$JS10)</f>
        <v/>
      </c>
      <c r="V10" s="54">
        <f>SUMIF($CB$4:$JS$4,V$4,$CB10:$JS10)</f>
        <v/>
      </c>
      <c r="W10" s="54">
        <f>SUMIF($CB$4:$JS$4,W$4,$CB10:$JS10)</f>
        <v/>
      </c>
      <c r="X10" s="54">
        <f>SUMIF($CB$4:$JS$4,X$4,$CB10:$JS10)</f>
        <v/>
      </c>
      <c r="Y10" s="54">
        <f>SUMIF($CB$4:$JS$4,Y$4,$CB10:$JS10)</f>
        <v/>
      </c>
      <c r="Z10" s="54">
        <f>SUMIF($CB$4:$JS$4,Z$4,$CB10:$JS10)</f>
        <v/>
      </c>
      <c r="AA10" s="54">
        <f>SUMIF($CB$4:$JS$4,AA$4,$CB10:$JS10)</f>
        <v/>
      </c>
      <c r="AB10" s="54">
        <f>SUMIF($CB$4:$JS$4,AB$4,$CB10:$JS10)</f>
        <v/>
      </c>
      <c r="AC10" s="54">
        <f>SUMIF($CB$4:$JS$4,AC$4,$CB10:$JS10)</f>
        <v/>
      </c>
      <c r="AD10" s="54">
        <f>SUMIF($CB$4:$JS$4,AD$4,$CB10:$JS10)</f>
        <v/>
      </c>
      <c r="AE10" s="54">
        <f>SUMIF($CB$4:$JS$4,AE$4,$CB10:$JS10)</f>
        <v/>
      </c>
      <c r="AF10" s="54">
        <f>SUMIF($CB$4:$JS$4,AF$4,$CB10:$JS10)</f>
        <v/>
      </c>
      <c r="AG10" s="54">
        <f>SUMIF($CB$4:$JS$4,AG$4,$CB10:$JS10)</f>
        <v/>
      </c>
      <c r="AH10" s="54">
        <f>SUMIF($CB$4:$JS$4,AH$4,$CB10:$JS10)</f>
        <v/>
      </c>
      <c r="AI10" s="54">
        <f>SUMIF($CB$4:$JS$4,AI$4,$CB10:$JS10)</f>
        <v/>
      </c>
      <c r="AJ10" s="54">
        <f>SUMIF($CB$4:$JS$4,AJ$4,$CB10:$JS10)</f>
        <v/>
      </c>
      <c r="AK10" s="54">
        <f>SUMIF($CB$4:$JS$4,AK$4,$CB10:$JS10)</f>
        <v/>
      </c>
      <c r="AL10" s="54">
        <f>SUMIF($CB$4:$JS$4,AL$4,$CB10:$JS10)</f>
        <v/>
      </c>
      <c r="AM10" s="54">
        <f>SUMIF($CB$4:$JS$4,AM$4,$CB10:$JS10)</f>
        <v/>
      </c>
      <c r="AN10" s="54">
        <f>SUMIF($CB$4:$JS$4,AN$4,$CB10:$JS10)</f>
        <v/>
      </c>
      <c r="AO10" s="54">
        <f>SUMIF($CB$4:$JS$4,AO$4,$CB10:$JS10)</f>
        <v/>
      </c>
      <c r="AP10" s="54">
        <f>SUMIF($CB$4:$JS$4,AP$4,$CB10:$JS10)</f>
        <v/>
      </c>
      <c r="AQ10" s="54">
        <f>SUMIF($CB$4:$JS$4,AQ$4,$CB10:$JS10)</f>
        <v/>
      </c>
      <c r="AR10" s="54">
        <f>SUMIF($CB$4:$JS$4,AR$4,$CB10:$JS10)</f>
        <v/>
      </c>
      <c r="AS10" s="54">
        <f>SUMIF($CB$4:$JS$4,AS$4,$CB10:$JS10)</f>
        <v/>
      </c>
      <c r="AT10" s="54">
        <f>SUMIF($CB$4:$JS$4,AT$4,$CB10:$JS10)</f>
        <v/>
      </c>
      <c r="AU10" s="54">
        <f>SUMIF($CB$4:$JS$4,AU$4,$CB10:$JS10)</f>
        <v/>
      </c>
      <c r="AV10" s="54">
        <f>SUMIF($CB$4:$JS$4,AV$4,$CB10:$JS10)</f>
        <v/>
      </c>
      <c r="AW10" s="54">
        <f>SUMIF($CB$4:$JS$4,AW$4,$CB10:$JS10)</f>
        <v/>
      </c>
      <c r="AX10" s="54">
        <f>SUMIF($CB$4:$JS$4,AX$4,$CB10:$JS10)</f>
        <v/>
      </c>
      <c r="AY10" s="54">
        <f>SUMIF($CB$4:$JS$4,AY$4,$CB10:$JS10)</f>
        <v/>
      </c>
      <c r="AZ10" s="54">
        <f>SUMIF($CB$4:$JS$4,AZ$4,$CB10:$JS10)</f>
        <v/>
      </c>
      <c r="BA10" s="54">
        <f>SUMIF($CB$4:$JS$4,BA$4,$CB10:$JS10)</f>
        <v/>
      </c>
      <c r="BB10" s="54">
        <f>SUMIF($CB$4:$JS$4,BB$4,$CB10:$JS10)</f>
        <v/>
      </c>
      <c r="BC10" s="54">
        <f>SUMIF($CB$4:$JS$4,BC$4,$CB10:$JS10)</f>
        <v/>
      </c>
      <c r="BD10" s="54">
        <f>SUMIF($CB$4:$JS$4,BD$4,$CB10:$JS10)</f>
        <v/>
      </c>
      <c r="BE10" s="54">
        <f>SUMIF($CB$4:$JS$4,BE$4,$CB10:$JS10)</f>
        <v/>
      </c>
      <c r="BF10" s="54">
        <f>SUMIF($CB$4:$JS$4,BF$4,$CB10:$JS10)</f>
        <v/>
      </c>
      <c r="BG10" s="54">
        <f>SUMIF($CB$4:$JS$4,BG$4,$CB10:$JS10)</f>
        <v/>
      </c>
      <c r="BH10" s="54">
        <f>SUMIF($CB$4:$JS$4,BH$4,$CB10:$JS10)</f>
        <v/>
      </c>
      <c r="BI10" s="54">
        <f>SUMIF($CB$4:$JS$4,BI$4,$CB10:$JS10)</f>
        <v/>
      </c>
      <c r="BJ10" s="54">
        <f>SUMIF($CB$4:$JS$4,BJ$4,$CB10:$JS10)</f>
        <v/>
      </c>
      <c r="BK10" s="54">
        <f>SUMIF($CB$4:$JS$4,BK$4,$CB10:$JS10)</f>
        <v/>
      </c>
      <c r="BL10" s="54">
        <f>SUMIF($CB$4:$JS$4,BL$4,$CB10:$JS10)</f>
        <v/>
      </c>
      <c r="BM10" s="54">
        <f>SUMIF($CB$4:$JS$4,BM$4,$CB10:$JS10)</f>
        <v/>
      </c>
      <c r="BN10" s="54">
        <f>SUMIF($CB$4:$JS$4,BN$4,$CB10:$JS10)</f>
        <v/>
      </c>
      <c r="BO10" s="54">
        <f>SUMIF($CB$4:$JS$4,BO$4,$CB10:$JS10)</f>
        <v/>
      </c>
      <c r="BP10" s="54">
        <f>SUMIF($CB$4:$JS$4,BP$4,$CB10:$JS10)</f>
        <v/>
      </c>
      <c r="BQ10" s="54">
        <f>SUMIF($CB$4:$JS$4,BQ$4,$CB10:$JS10)</f>
        <v/>
      </c>
      <c r="BR10" s="54">
        <f>SUMIF($CB$4:$JS$4,BR$4,$CB10:$JS10)</f>
        <v/>
      </c>
      <c r="BS10" s="54">
        <f>SUMIF($CB$4:$JS$4,BS$4,$CB10:$JS10)</f>
        <v/>
      </c>
      <c r="BT10" s="54">
        <f>SUMIF($CB$4:$JS$4,BT$4,$CB10:$JS10)</f>
        <v/>
      </c>
      <c r="BU10" s="54">
        <f>SUMIF($CB$4:$JS$4,BU$4,$CB10:$JS10)</f>
        <v/>
      </c>
      <c r="BV10" s="54">
        <f>SUMIF($CB$4:$JS$4,BV$4,$CB10:$JS10)</f>
        <v/>
      </c>
      <c r="BW10" s="54">
        <f>SUMIF($CB$4:$JS$4,BW$4,$CB10:$JS10)</f>
        <v/>
      </c>
      <c r="BX10" s="54">
        <f>SUMIF($CB$4:$JS$4,"&gt;"&amp;'VALOR POR PL'!$P$8,$CB10:$JS10)</f>
        <v/>
      </c>
      <c r="BY10" s="54">
        <f>SUM($CB10:$JS10)</f>
        <v/>
      </c>
      <c r="BZ10" s="49">
        <f>SUMPRODUCT(($CB$4:$JS$4&lt;&gt;"")*($CB$4:$JS$4&lt;=$D$4),$CB10:$JS10,$CB$1:$JS$1)</f>
        <v/>
      </c>
      <c r="CB10" s="132">
        <f>IF(OR(CB$4="",$B10=""),0,SUMIF('DADOS BRUTOS'!$A$3:$A$500,$B10,'DADOS BRUTOS'!B$3:B$500)+IF($C10="",0,SUMIF('DADOS BRUTOS'!$A$3:$A$500,$C10,'DADOS BRUTOS'!B$3:B$500)))</f>
        <v/>
      </c>
      <c r="CC10" s="132">
        <f>IF(OR(CC$4="",$B10=""),0,SUMIF('DADOS BRUTOS'!$A$3:$A$500,$B10,'DADOS BRUTOS'!C$3:C$500)+IF($C10="",0,SUMIF('DADOS BRUTOS'!$A$3:$A$500,$C10,'DADOS BRUTOS'!C$3:C$500)))</f>
        <v/>
      </c>
      <c r="CD10" s="132">
        <f>IF(OR(CD$4="",$B10=""),0,SUMIF('DADOS BRUTOS'!$A$3:$A$500,$B10,'DADOS BRUTOS'!D$3:D$500)+IF($C10="",0,SUMIF('DADOS BRUTOS'!$A$3:$A$500,$C10,'DADOS BRUTOS'!D$3:D$500)))</f>
        <v/>
      </c>
      <c r="CE10" s="132">
        <f>IF(OR(CE$4="",$B10=""),0,SUMIF('DADOS BRUTOS'!$A$3:$A$500,$B10,'DADOS BRUTOS'!E$3:E$500)+IF($C10="",0,SUMIF('DADOS BRUTOS'!$A$3:$A$500,$C10,'DADOS BRUTOS'!E$3:E$500)))</f>
        <v/>
      </c>
      <c r="CF10" s="132">
        <f>IF(OR(CF$4="",$B10=""),0,SUMIF('DADOS BRUTOS'!$A$3:$A$500,$B10,'DADOS BRUTOS'!F$3:F$500)+IF($C10="",0,SUMIF('DADOS BRUTOS'!$A$3:$A$500,$C10,'DADOS BRUTOS'!F$3:F$500)))</f>
        <v/>
      </c>
      <c r="CG10" s="132">
        <f>IF(OR(CG$4="",$B10=""),0,SUMIF('DADOS BRUTOS'!$A$3:$A$500,$B10,'DADOS BRUTOS'!G$3:G$500)+IF($C10="",0,SUMIF('DADOS BRUTOS'!$A$3:$A$500,$C10,'DADOS BRUTOS'!G$3:G$500)))</f>
        <v/>
      </c>
      <c r="CH10" s="132">
        <f>IF(OR(CH$4="",$B10=""),0,SUMIF('DADOS BRUTOS'!$A$3:$A$500,$B10,'DADOS BRUTOS'!H$3:H$500)+IF($C10="",0,SUMIF('DADOS BRUTOS'!$A$3:$A$500,$C10,'DADOS BRUTOS'!H$3:H$500)))</f>
        <v/>
      </c>
      <c r="CI10" s="132">
        <f>IF(OR(CI$4="",$B10=""),0,SUMIF('DADOS BRUTOS'!$A$3:$A$500,$B10,'DADOS BRUTOS'!I$3:I$500)+IF($C10="",0,SUMIF('DADOS BRUTOS'!$A$3:$A$500,$C10,'DADOS BRUTOS'!I$3:I$500)))</f>
        <v/>
      </c>
      <c r="CJ10" s="132">
        <f>IF(OR(CJ$4="",$B10=""),0,SUMIF('DADOS BRUTOS'!$A$3:$A$500,$B10,'DADOS BRUTOS'!J$3:J$500)+IF($C10="",0,SUMIF('DADOS BRUTOS'!$A$3:$A$500,$C10,'DADOS BRUTOS'!J$3:J$500)))</f>
        <v/>
      </c>
      <c r="CK10" s="132">
        <f>IF(OR(CK$4="",$B10=""),0,SUMIF('DADOS BRUTOS'!$A$3:$A$500,$B10,'DADOS BRUTOS'!K$3:K$500)+IF($C10="",0,SUMIF('DADOS BRUTOS'!$A$3:$A$500,$C10,'DADOS BRUTOS'!K$3:K$500)))</f>
        <v/>
      </c>
      <c r="CL10" s="132">
        <f>IF(OR(CL$4="",$B10=""),0,SUMIF('DADOS BRUTOS'!$A$3:$A$500,$B10,'DADOS BRUTOS'!L$3:L$500)+IF($C10="",0,SUMIF('DADOS BRUTOS'!$A$3:$A$500,$C10,'DADOS BRUTOS'!L$3:L$500)))</f>
        <v/>
      </c>
      <c r="CM10" s="132">
        <f>IF(OR(CM$4="",$B10=""),0,SUMIF('DADOS BRUTOS'!$A$3:$A$500,$B10,'DADOS BRUTOS'!M$3:M$500)+IF($C10="",0,SUMIF('DADOS BRUTOS'!$A$3:$A$500,$C10,'DADOS BRUTOS'!M$3:M$500)))</f>
        <v/>
      </c>
      <c r="CN10" s="132">
        <f>IF(OR(CN$4="",$B10=""),0,SUMIF('DADOS BRUTOS'!$A$3:$A$500,$B10,'DADOS BRUTOS'!N$3:N$500)+IF($C10="",0,SUMIF('DADOS BRUTOS'!$A$3:$A$500,$C10,'DADOS BRUTOS'!N$3:N$500)))</f>
        <v/>
      </c>
      <c r="CO10" s="132">
        <f>IF(OR(CO$4="",$B10=""),0,SUMIF('DADOS BRUTOS'!$A$3:$A$500,$B10,'DADOS BRUTOS'!O$3:O$500)+IF($C10="",0,SUMIF('DADOS BRUTOS'!$A$3:$A$500,$C10,'DADOS BRUTOS'!O$3:O$500)))</f>
        <v/>
      </c>
      <c r="CP10" s="132">
        <f>IF(OR(CP$4="",$B10=""),0,SUMIF('DADOS BRUTOS'!$A$3:$A$500,$B10,'DADOS BRUTOS'!P$3:P$500)+IF($C10="",0,SUMIF('DADOS BRUTOS'!$A$3:$A$500,$C10,'DADOS BRUTOS'!P$3:P$500)))</f>
        <v/>
      </c>
      <c r="CQ10" s="132">
        <f>IF(OR(CQ$4="",$B10=""),0,SUMIF('DADOS BRUTOS'!$A$3:$A$500,$B10,'DADOS BRUTOS'!Q$3:Q$500)+IF($C10="",0,SUMIF('DADOS BRUTOS'!$A$3:$A$500,$C10,'DADOS BRUTOS'!Q$3:Q$500)))</f>
        <v/>
      </c>
      <c r="CR10" s="132">
        <f>IF(OR(CR$4="",$B10=""),0,SUMIF('DADOS BRUTOS'!$A$3:$A$500,$B10,'DADOS BRUTOS'!R$3:R$500)+IF($C10="",0,SUMIF('DADOS BRUTOS'!$A$3:$A$500,$C10,'DADOS BRUTOS'!R$3:R$500)))</f>
        <v/>
      </c>
      <c r="CS10" s="132">
        <f>IF(OR(CS$4="",$B10=""),0,SUMIF('DADOS BRUTOS'!$A$3:$A$500,$B10,'DADOS BRUTOS'!S$3:S$500)+IF($C10="",0,SUMIF('DADOS BRUTOS'!$A$3:$A$500,$C10,'DADOS BRUTOS'!S$3:S$500)))</f>
        <v/>
      </c>
      <c r="CT10" s="132">
        <f>IF(OR(CT$4="",$B10=""),0,SUMIF('DADOS BRUTOS'!$A$3:$A$500,$B10,'DADOS BRUTOS'!T$3:T$500)+IF($C10="",0,SUMIF('DADOS BRUTOS'!$A$3:$A$500,$C10,'DADOS BRUTOS'!T$3:T$500)))</f>
        <v/>
      </c>
      <c r="CU10" s="132">
        <f>IF(OR(CU$4="",$B10=""),0,SUMIF('DADOS BRUTOS'!$A$3:$A$500,$B10,'DADOS BRUTOS'!U$3:U$500)+IF($C10="",0,SUMIF('DADOS BRUTOS'!$A$3:$A$500,$C10,'DADOS BRUTOS'!U$3:U$500)))</f>
        <v/>
      </c>
      <c r="CV10" s="132">
        <f>IF(OR(CV$4="",$B10=""),0,SUMIF('DADOS BRUTOS'!$A$3:$A$500,$B10,'DADOS BRUTOS'!V$3:V$500)+IF($C10="",0,SUMIF('DADOS BRUTOS'!$A$3:$A$500,$C10,'DADOS BRUTOS'!V$3:V$500)))</f>
        <v/>
      </c>
      <c r="CW10" s="132">
        <f>IF(OR(CW$4="",$B10=""),0,SUMIF('DADOS BRUTOS'!$A$3:$A$500,$B10,'DADOS BRUTOS'!W$3:W$500)+IF($C10="",0,SUMIF('DADOS BRUTOS'!$A$3:$A$500,$C10,'DADOS BRUTOS'!W$3:W$500)))</f>
        <v/>
      </c>
      <c r="CX10" s="132">
        <f>IF(OR(CX$4="",$B10=""),0,SUMIF('DADOS BRUTOS'!$A$3:$A$500,$B10,'DADOS BRUTOS'!X$3:X$500)+IF($C10="",0,SUMIF('DADOS BRUTOS'!$A$3:$A$500,$C10,'DADOS BRUTOS'!X$3:X$500)))</f>
        <v/>
      </c>
      <c r="CY10" s="132">
        <f>IF(OR(CY$4="",$B10=""),0,SUMIF('DADOS BRUTOS'!$A$3:$A$500,$B10,'DADOS BRUTOS'!Y$3:Y$500)+IF($C10="",0,SUMIF('DADOS BRUTOS'!$A$3:$A$500,$C10,'DADOS BRUTOS'!Y$3:Y$500)))</f>
        <v/>
      </c>
      <c r="CZ10" s="132">
        <f>IF(OR(CZ$4="",$B10=""),0,SUMIF('DADOS BRUTOS'!$A$3:$A$500,$B10,'DADOS BRUTOS'!Z$3:Z$500)+IF($C10="",0,SUMIF('DADOS BRUTOS'!$A$3:$A$500,$C10,'DADOS BRUTOS'!Z$3:Z$500)))</f>
        <v/>
      </c>
      <c r="DA10" s="132">
        <f>IF(OR(DA$4="",$B10=""),0,SUMIF('DADOS BRUTOS'!$A$3:$A$500,$B10,'DADOS BRUTOS'!AA$3:AA$500)+IF($C10="",0,SUMIF('DADOS BRUTOS'!$A$3:$A$500,$C10,'DADOS BRUTOS'!AA$3:AA$500)))</f>
        <v/>
      </c>
      <c r="DB10" s="132">
        <f>IF(OR(DB$4="",$B10=""),0,SUMIF('DADOS BRUTOS'!$A$3:$A$500,$B10,'DADOS BRUTOS'!AB$3:AB$500)+IF($C10="",0,SUMIF('DADOS BRUTOS'!$A$3:$A$500,$C10,'DADOS BRUTOS'!AB$3:AB$500)))</f>
        <v/>
      </c>
      <c r="DC10" s="132">
        <f>IF(OR(DC$4="",$B10=""),0,SUMIF('DADOS BRUTOS'!$A$3:$A$500,$B10,'DADOS BRUTOS'!AC$3:AC$500)+IF($C10="",0,SUMIF('DADOS BRUTOS'!$A$3:$A$500,$C10,'DADOS BRUTOS'!AC$3:AC$500)))</f>
        <v/>
      </c>
      <c r="DD10" s="132">
        <f>IF(OR(DD$4="",$B10=""),0,SUMIF('DADOS BRUTOS'!$A$3:$A$500,$B10,'DADOS BRUTOS'!AD$3:AD$500)+IF($C10="",0,SUMIF('DADOS BRUTOS'!$A$3:$A$500,$C10,'DADOS BRUTOS'!AD$3:AD$500)))</f>
        <v/>
      </c>
      <c r="DE10" s="132">
        <f>IF(OR(DE$4="",$B10=""),0,SUMIF('DADOS BRUTOS'!$A$3:$A$500,$B10,'DADOS BRUTOS'!AE$3:AE$500)+IF($C10="",0,SUMIF('DADOS BRUTOS'!$A$3:$A$500,$C10,'DADOS BRUTOS'!AE$3:AE$500)))</f>
        <v/>
      </c>
      <c r="DF10" s="132">
        <f>IF(OR(DF$4="",$B10=""),0,SUMIF('DADOS BRUTOS'!$A$3:$A$500,$B10,'DADOS BRUTOS'!AF$3:AF$500)+IF($C10="",0,SUMIF('DADOS BRUTOS'!$A$3:$A$500,$C10,'DADOS BRUTOS'!AF$3:AF$500)))</f>
        <v/>
      </c>
      <c r="DG10" s="132">
        <f>IF(OR(DG$4="",$B10=""),0,SUMIF('DADOS BRUTOS'!$A$3:$A$500,$B10,'DADOS BRUTOS'!AG$3:AG$500)+IF($C10="",0,SUMIF('DADOS BRUTOS'!$A$3:$A$500,$C10,'DADOS BRUTOS'!AG$3:AG$500)))</f>
        <v/>
      </c>
      <c r="DH10" s="132">
        <f>IF(OR(DH$4="",$B10=""),0,SUMIF('DADOS BRUTOS'!$A$3:$A$500,$B10,'DADOS BRUTOS'!AH$3:AH$500)+IF($C10="",0,SUMIF('DADOS BRUTOS'!$A$3:$A$500,$C10,'DADOS BRUTOS'!AH$3:AH$500)))</f>
        <v/>
      </c>
      <c r="DI10" s="132">
        <f>IF(OR(DI$4="",$B10=""),0,SUMIF('DADOS BRUTOS'!$A$3:$A$500,$B10,'DADOS BRUTOS'!AI$3:AI$500)+IF($C10="",0,SUMIF('DADOS BRUTOS'!$A$3:$A$500,$C10,'DADOS BRUTOS'!AI$3:AI$500)))</f>
        <v/>
      </c>
      <c r="DJ10" s="132">
        <f>IF(OR(DJ$4="",$B10=""),0,SUMIF('DADOS BRUTOS'!$A$3:$A$500,$B10,'DADOS BRUTOS'!AJ$3:AJ$500)+IF($C10="",0,SUMIF('DADOS BRUTOS'!$A$3:$A$500,$C10,'DADOS BRUTOS'!AJ$3:AJ$500)))</f>
        <v/>
      </c>
      <c r="DK10" s="132">
        <f>IF(OR(DK$4="",$B10=""),0,SUMIF('DADOS BRUTOS'!$A$3:$A$500,$B10,'DADOS BRUTOS'!AK$3:AK$500)+IF($C10="",0,SUMIF('DADOS BRUTOS'!$A$3:$A$500,$C10,'DADOS BRUTOS'!AK$3:AK$500)))</f>
        <v/>
      </c>
      <c r="DL10" s="132">
        <f>IF(OR(DL$4="",$B10=""),0,SUMIF('DADOS BRUTOS'!$A$3:$A$500,$B10,'DADOS BRUTOS'!AL$3:AL$500)+IF($C10="",0,SUMIF('DADOS BRUTOS'!$A$3:$A$500,$C10,'DADOS BRUTOS'!AL$3:AL$500)))</f>
        <v/>
      </c>
      <c r="DM10" s="132">
        <f>IF(OR(DM$4="",$B10=""),0,SUMIF('DADOS BRUTOS'!$A$3:$A$500,$B10,'DADOS BRUTOS'!AM$3:AM$500)+IF($C10="",0,SUMIF('DADOS BRUTOS'!$A$3:$A$500,$C10,'DADOS BRUTOS'!AM$3:AM$500)))</f>
        <v/>
      </c>
      <c r="DN10" s="132">
        <f>IF(OR(DN$4="",$B10=""),0,SUMIF('DADOS BRUTOS'!$A$3:$A$500,$B10,'DADOS BRUTOS'!AN$3:AN$500)+IF($C10="",0,SUMIF('DADOS BRUTOS'!$A$3:$A$500,$C10,'DADOS BRUTOS'!AN$3:AN$500)))</f>
        <v/>
      </c>
      <c r="DO10" s="132">
        <f>IF(OR(DO$4="",$B10=""),0,SUMIF('DADOS BRUTOS'!$A$3:$A$500,$B10,'DADOS BRUTOS'!AO$3:AO$500)+IF($C10="",0,SUMIF('DADOS BRUTOS'!$A$3:$A$500,$C10,'DADOS BRUTOS'!AO$3:AO$500)))</f>
        <v/>
      </c>
      <c r="DP10" s="132">
        <f>IF(OR(DP$4="",$B10=""),0,SUMIF('DADOS BRUTOS'!$A$3:$A$500,$B10,'DADOS BRUTOS'!AP$3:AP$500)+IF($C10="",0,SUMIF('DADOS BRUTOS'!$A$3:$A$500,$C10,'DADOS BRUTOS'!AP$3:AP$500)))</f>
        <v/>
      </c>
      <c r="DQ10" s="132">
        <f>IF(OR(DQ$4="",$B10=""),0,SUMIF('DADOS BRUTOS'!$A$3:$A$500,$B10,'DADOS BRUTOS'!AQ$3:AQ$500)+IF($C10="",0,SUMIF('DADOS BRUTOS'!$A$3:$A$500,$C10,'DADOS BRUTOS'!AQ$3:AQ$500)))</f>
        <v/>
      </c>
      <c r="DR10" s="132">
        <f>IF(OR(DR$4="",$B10=""),0,SUMIF('DADOS BRUTOS'!$A$3:$A$500,$B10,'DADOS BRUTOS'!AR$3:AR$500)+IF($C10="",0,SUMIF('DADOS BRUTOS'!$A$3:$A$500,$C10,'DADOS BRUTOS'!AR$3:AR$500)))</f>
        <v/>
      </c>
      <c r="DS10" s="132">
        <f>IF(OR(DS$4="",$B10=""),0,SUMIF('DADOS BRUTOS'!$A$3:$A$500,$B10,'DADOS BRUTOS'!AS$3:AS$500)+IF($C10="",0,SUMIF('DADOS BRUTOS'!$A$3:$A$500,$C10,'DADOS BRUTOS'!AS$3:AS$500)))</f>
        <v/>
      </c>
      <c r="DT10" s="132">
        <f>IF(OR(DT$4="",$B10=""),0,SUMIF('DADOS BRUTOS'!$A$3:$A$500,$B10,'DADOS BRUTOS'!AT$3:AT$500)+IF($C10="",0,SUMIF('DADOS BRUTOS'!$A$3:$A$500,$C10,'DADOS BRUTOS'!AT$3:AT$500)))</f>
        <v/>
      </c>
      <c r="DU10" s="132">
        <f>IF(OR(DU$4="",$B10=""),0,SUMIF('DADOS BRUTOS'!$A$3:$A$500,$B10,'DADOS BRUTOS'!AU$3:AU$500)+IF($C10="",0,SUMIF('DADOS BRUTOS'!$A$3:$A$500,$C10,'DADOS BRUTOS'!AU$3:AU$500)))</f>
        <v/>
      </c>
      <c r="DV10" s="132">
        <f>IF(OR(DV$4="",$B10=""),0,SUMIF('DADOS BRUTOS'!$A$3:$A$500,$B10,'DADOS BRUTOS'!AV$3:AV$500)+IF($C10="",0,SUMIF('DADOS BRUTOS'!$A$3:$A$500,$C10,'DADOS BRUTOS'!AV$3:AV$500)))</f>
        <v/>
      </c>
      <c r="DW10" s="132">
        <f>IF(OR(DW$4="",$B10=""),0,SUMIF('DADOS BRUTOS'!$A$3:$A$500,$B10,'DADOS BRUTOS'!AW$3:AW$500)+IF($C10="",0,SUMIF('DADOS BRUTOS'!$A$3:$A$500,$C10,'DADOS BRUTOS'!AW$3:AW$500)))</f>
        <v/>
      </c>
      <c r="DX10" s="132">
        <f>IF(OR(DX$4="",$B10=""),0,SUMIF('DADOS BRUTOS'!$A$3:$A$500,$B10,'DADOS BRUTOS'!AX$3:AX$500)+IF($C10="",0,SUMIF('DADOS BRUTOS'!$A$3:$A$500,$C10,'DADOS BRUTOS'!AX$3:AX$500)))</f>
        <v/>
      </c>
      <c r="DY10" s="132">
        <f>IF(OR(DY$4="",$B10=""),0,SUMIF('DADOS BRUTOS'!$A$3:$A$500,$B10,'DADOS BRUTOS'!AY$3:AY$500)+IF($C10="",0,SUMIF('DADOS BRUTOS'!$A$3:$A$500,$C10,'DADOS BRUTOS'!AY$3:AY$500)))</f>
        <v/>
      </c>
      <c r="DZ10" s="132">
        <f>IF(OR(DZ$4="",$B10=""),0,SUMIF('DADOS BRUTOS'!$A$3:$A$500,$B10,'DADOS BRUTOS'!AZ$3:AZ$500)+IF($C10="",0,SUMIF('DADOS BRUTOS'!$A$3:$A$500,$C10,'DADOS BRUTOS'!AZ$3:AZ$500)))</f>
        <v/>
      </c>
      <c r="EA10" s="132">
        <f>IF(OR(EA$4="",$B10=""),0,SUMIF('DADOS BRUTOS'!$A$3:$A$500,$B10,'DADOS BRUTOS'!BA$3:BA$500)+IF($C10="",0,SUMIF('DADOS BRUTOS'!$A$3:$A$500,$C10,'DADOS BRUTOS'!BA$3:BA$500)))</f>
        <v/>
      </c>
      <c r="EB10" s="132">
        <f>IF(OR(EB$4="",$B10=""),0,SUMIF('DADOS BRUTOS'!$A$3:$A$500,$B10,'DADOS BRUTOS'!BB$3:BB$500)+IF($C10="",0,SUMIF('DADOS BRUTOS'!$A$3:$A$500,$C10,'DADOS BRUTOS'!BB$3:BB$500)))</f>
        <v/>
      </c>
      <c r="EC10" s="132">
        <f>IF(OR(EC$4="",$B10=""),0,SUMIF('DADOS BRUTOS'!$A$3:$A$500,$B10,'DADOS BRUTOS'!BC$3:BC$500)+IF($C10="",0,SUMIF('DADOS BRUTOS'!$A$3:$A$500,$C10,'DADOS BRUTOS'!BC$3:BC$500)))</f>
        <v/>
      </c>
      <c r="ED10" s="132">
        <f>IF(OR(ED$4="",$B10=""),0,SUMIF('DADOS BRUTOS'!$A$3:$A$500,$B10,'DADOS BRUTOS'!BD$3:BD$500)+IF($C10="",0,SUMIF('DADOS BRUTOS'!$A$3:$A$500,$C10,'DADOS BRUTOS'!BD$3:BD$500)))</f>
        <v/>
      </c>
      <c r="EE10" s="132">
        <f>IF(OR(EE$4="",$B10=""),0,SUMIF('DADOS BRUTOS'!$A$3:$A$500,$B10,'DADOS BRUTOS'!BE$3:BE$500)+IF($C10="",0,SUMIF('DADOS BRUTOS'!$A$3:$A$500,$C10,'DADOS BRUTOS'!BE$3:BE$500)))</f>
        <v/>
      </c>
      <c r="EF10" s="132">
        <f>IF(OR(EF$4="",$B10=""),0,SUMIF('DADOS BRUTOS'!$A$3:$A$500,$B10,'DADOS BRUTOS'!BF$3:BF$500)+IF($C10="",0,SUMIF('DADOS BRUTOS'!$A$3:$A$500,$C10,'DADOS BRUTOS'!BF$3:BF$500)))</f>
        <v/>
      </c>
      <c r="EG10" s="132">
        <f>IF(OR(EG$4="",$B10=""),0,SUMIF('DADOS BRUTOS'!$A$3:$A$500,$B10,'DADOS BRUTOS'!BG$3:BG$500)+IF($C10="",0,SUMIF('DADOS BRUTOS'!$A$3:$A$500,$C10,'DADOS BRUTOS'!BG$3:BG$500)))</f>
        <v/>
      </c>
      <c r="EH10" s="132">
        <f>IF(OR(EH$4="",$B10=""),0,SUMIF('DADOS BRUTOS'!$A$3:$A$500,$B10,'DADOS BRUTOS'!BH$3:BH$500)+IF($C10="",0,SUMIF('DADOS BRUTOS'!$A$3:$A$500,$C10,'DADOS BRUTOS'!BH$3:BH$500)))</f>
        <v/>
      </c>
      <c r="EI10" s="132">
        <f>IF(OR(EI$4="",$B10=""),0,SUMIF('DADOS BRUTOS'!$A$3:$A$500,$B10,'DADOS BRUTOS'!BI$3:BI$500)+IF($C10="",0,SUMIF('DADOS BRUTOS'!$A$3:$A$500,$C10,'DADOS BRUTOS'!BI$3:BI$500)))</f>
        <v/>
      </c>
      <c r="EJ10" s="132">
        <f>IF(OR(EJ$4="",$B10=""),0,SUMIF('DADOS BRUTOS'!$A$3:$A$500,$B10,'DADOS BRUTOS'!BJ$3:BJ$500)+IF($C10="",0,SUMIF('DADOS BRUTOS'!$A$3:$A$500,$C10,'DADOS BRUTOS'!BJ$3:BJ$500)))</f>
        <v/>
      </c>
      <c r="EK10" s="132">
        <f>IF(OR(EK$4="",$B10=""),0,SUMIF('DADOS BRUTOS'!$A$3:$A$500,$B10,'DADOS BRUTOS'!BK$3:BK$500)+IF($C10="",0,SUMIF('DADOS BRUTOS'!$A$3:$A$500,$C10,'DADOS BRUTOS'!BK$3:BK$500)))</f>
        <v/>
      </c>
      <c r="EL10" s="132">
        <f>IF(OR(EL$4="",$B10=""),0,SUMIF('DADOS BRUTOS'!$A$3:$A$500,$B10,'DADOS BRUTOS'!BL$3:BL$500)+IF($C10="",0,SUMIF('DADOS BRUTOS'!$A$3:$A$500,$C10,'DADOS BRUTOS'!BL$3:BL$500)))</f>
        <v/>
      </c>
      <c r="EM10" s="132">
        <f>IF(OR(EM$4="",$B10=""),0,SUMIF('DADOS BRUTOS'!$A$3:$A$500,$B10,'DADOS BRUTOS'!BM$3:BM$500)+IF($C10="",0,SUMIF('DADOS BRUTOS'!$A$3:$A$500,$C10,'DADOS BRUTOS'!BM$3:BM$500)))</f>
        <v/>
      </c>
      <c r="EN10" s="132">
        <f>IF(OR(EN$4="",$B10=""),0,SUMIF('DADOS BRUTOS'!$A$3:$A$500,$B10,'DADOS BRUTOS'!BN$3:BN$500)+IF($C10="",0,SUMIF('DADOS BRUTOS'!$A$3:$A$500,$C10,'DADOS BRUTOS'!BN$3:BN$500)))</f>
        <v/>
      </c>
      <c r="EO10" s="132">
        <f>IF(OR(EO$4="",$B10=""),0,SUMIF('DADOS BRUTOS'!$A$3:$A$500,$B10,'DADOS BRUTOS'!BO$3:BO$500)+IF($C10="",0,SUMIF('DADOS BRUTOS'!$A$3:$A$500,$C10,'DADOS BRUTOS'!BO$3:BO$500)))</f>
        <v/>
      </c>
      <c r="EP10" s="132">
        <f>IF(OR(EP$4="",$B10=""),0,SUMIF('DADOS BRUTOS'!$A$3:$A$500,$B10,'DADOS BRUTOS'!BP$3:BP$500)+IF($C10="",0,SUMIF('DADOS BRUTOS'!$A$3:$A$500,$C10,'DADOS BRUTOS'!BP$3:BP$500)))</f>
        <v/>
      </c>
      <c r="EQ10" s="132">
        <f>IF(OR(EQ$4="",$B10=""),0,SUMIF('DADOS BRUTOS'!$A$3:$A$500,$B10,'DADOS BRUTOS'!BQ$3:BQ$500)+IF($C10="",0,SUMIF('DADOS BRUTOS'!$A$3:$A$500,$C10,'DADOS BRUTOS'!BQ$3:BQ$500)))</f>
        <v/>
      </c>
      <c r="ER10" s="132">
        <f>IF(OR(ER$4="",$B10=""),0,SUMIF('DADOS BRUTOS'!$A$3:$A$500,$B10,'DADOS BRUTOS'!BR$3:BR$500)+IF($C10="",0,SUMIF('DADOS BRUTOS'!$A$3:$A$500,$C10,'DADOS BRUTOS'!BR$3:BR$500)))</f>
        <v/>
      </c>
      <c r="ES10" s="132">
        <f>IF(OR(ES$4="",$B10=""),0,SUMIF('DADOS BRUTOS'!$A$3:$A$500,$B10,'DADOS BRUTOS'!BS$3:BS$500)+IF($C10="",0,SUMIF('DADOS BRUTOS'!$A$3:$A$500,$C10,'DADOS BRUTOS'!BS$3:BS$500)))</f>
        <v/>
      </c>
      <c r="ET10" s="132">
        <f>IF(OR(ET$4="",$B10=""),0,SUMIF('DADOS BRUTOS'!$A$3:$A$500,$B10,'DADOS BRUTOS'!BT$3:BT$500)+IF($C10="",0,SUMIF('DADOS BRUTOS'!$A$3:$A$500,$C10,'DADOS BRUTOS'!BT$3:BT$500)))</f>
        <v/>
      </c>
      <c r="EU10" s="132">
        <f>IF(OR(EU$4="",$B10=""),0,SUMIF('DADOS BRUTOS'!$A$3:$A$500,$B10,'DADOS BRUTOS'!BU$3:BU$500)+IF($C10="",0,SUMIF('DADOS BRUTOS'!$A$3:$A$500,$C10,'DADOS BRUTOS'!BU$3:BU$500)))</f>
        <v/>
      </c>
      <c r="EV10" s="132">
        <f>IF(OR(EV$4="",$B10=""),0,SUMIF('DADOS BRUTOS'!$A$3:$A$500,$B10,'DADOS BRUTOS'!BV$3:BV$500)+IF($C10="",0,SUMIF('DADOS BRUTOS'!$A$3:$A$500,$C10,'DADOS BRUTOS'!BV$3:BV$500)))</f>
        <v/>
      </c>
      <c r="EW10" s="132">
        <f>IF(OR(EW$4="",$B10=""),0,SUMIF('DADOS BRUTOS'!$A$3:$A$500,$B10,'DADOS BRUTOS'!BW$3:BW$500)+IF($C10="",0,SUMIF('DADOS BRUTOS'!$A$3:$A$500,$C10,'DADOS BRUTOS'!BW$3:BW$500)))</f>
        <v/>
      </c>
      <c r="EX10" s="132">
        <f>IF(OR(EX$4="",$B10=""),0,SUMIF('DADOS BRUTOS'!$A$3:$A$500,$B10,'DADOS BRUTOS'!BX$3:BX$500)+IF($C10="",0,SUMIF('DADOS BRUTOS'!$A$3:$A$500,$C10,'DADOS BRUTOS'!BX$3:BX$500)))</f>
        <v/>
      </c>
      <c r="EY10" s="132">
        <f>IF(OR(EY$4="",$B10=""),0,SUMIF('DADOS BRUTOS'!$A$3:$A$500,$B10,'DADOS BRUTOS'!BY$3:BY$500)+IF($C10="",0,SUMIF('DADOS BRUTOS'!$A$3:$A$500,$C10,'DADOS BRUTOS'!BY$3:BY$500)))</f>
        <v/>
      </c>
      <c r="EZ10" s="132">
        <f>IF(OR(EZ$4="",$B10=""),0,SUMIF('DADOS BRUTOS'!$A$3:$A$500,$B10,'DADOS BRUTOS'!BZ$3:BZ$500)+IF($C10="",0,SUMIF('DADOS BRUTOS'!$A$3:$A$500,$C10,'DADOS BRUTOS'!BZ$3:BZ$500)))</f>
        <v/>
      </c>
      <c r="FA10" s="132">
        <f>IF(OR(FA$4="",$B10=""),0,SUMIF('DADOS BRUTOS'!$A$3:$A$500,$B10,'DADOS BRUTOS'!CA$3:CA$500)+IF($C10="",0,SUMIF('DADOS BRUTOS'!$A$3:$A$500,$C10,'DADOS BRUTOS'!CA$3:CA$500)))</f>
        <v/>
      </c>
      <c r="FB10" s="132">
        <f>IF(OR(FB$4="",$B10=""),0,SUMIF('DADOS BRUTOS'!$A$3:$A$500,$B10,'DADOS BRUTOS'!CB$3:CB$500)+IF($C10="",0,SUMIF('DADOS BRUTOS'!$A$3:$A$500,$C10,'DADOS BRUTOS'!CB$3:CB$500)))</f>
        <v/>
      </c>
      <c r="FC10" s="132">
        <f>IF(OR(FC$4="",$B10=""),0,SUMIF('DADOS BRUTOS'!$A$3:$A$500,$B10,'DADOS BRUTOS'!CC$3:CC$500)+IF($C10="",0,SUMIF('DADOS BRUTOS'!$A$3:$A$500,$C10,'DADOS BRUTOS'!CC$3:CC$500)))</f>
        <v/>
      </c>
      <c r="FD10" s="132">
        <f>IF(OR(FD$4="",$B10=""),0,SUMIF('DADOS BRUTOS'!$A$3:$A$500,$B10,'DADOS BRUTOS'!CD$3:CD$500)+IF($C10="",0,SUMIF('DADOS BRUTOS'!$A$3:$A$500,$C10,'DADOS BRUTOS'!CD$3:CD$500)))</f>
        <v/>
      </c>
      <c r="FE10" s="132">
        <f>IF(OR(FE$4="",$B10=""),0,SUMIF('DADOS BRUTOS'!$A$3:$A$500,$B10,'DADOS BRUTOS'!CE$3:CE$500)+IF($C10="",0,SUMIF('DADOS BRUTOS'!$A$3:$A$500,$C10,'DADOS BRUTOS'!CE$3:CE$500)))</f>
        <v/>
      </c>
      <c r="FF10" s="132">
        <f>IF(OR(FF$4="",$B10=""),0,SUMIF('DADOS BRUTOS'!$A$3:$A$500,$B10,'DADOS BRUTOS'!CF$3:CF$500)+IF($C10="",0,SUMIF('DADOS BRUTOS'!$A$3:$A$500,$C10,'DADOS BRUTOS'!CF$3:CF$500)))</f>
        <v/>
      </c>
      <c r="FG10" s="132">
        <f>IF(OR(FG$4="",$B10=""),0,SUMIF('DADOS BRUTOS'!$A$3:$A$500,$B10,'DADOS BRUTOS'!CG$3:CG$500)+IF($C10="",0,SUMIF('DADOS BRUTOS'!$A$3:$A$500,$C10,'DADOS BRUTOS'!CG$3:CG$500)))</f>
        <v/>
      </c>
      <c r="FH10" s="132">
        <f>IF(OR(FH$4="",$B10=""),0,SUMIF('DADOS BRUTOS'!$A$3:$A$500,$B10,'DADOS BRUTOS'!CH$3:CH$500)+IF($C10="",0,SUMIF('DADOS BRUTOS'!$A$3:$A$500,$C10,'DADOS BRUTOS'!CH$3:CH$500)))</f>
        <v/>
      </c>
      <c r="FI10" s="132">
        <f>IF(OR(FI$4="",$B10=""),0,SUMIF('DADOS BRUTOS'!$A$3:$A$500,$B10,'DADOS BRUTOS'!CI$3:CI$500)+IF($C10="",0,SUMIF('DADOS BRUTOS'!$A$3:$A$500,$C10,'DADOS BRUTOS'!CI$3:CI$500)))</f>
        <v/>
      </c>
      <c r="FJ10" s="132">
        <f>IF(OR(FJ$4="",$B10=""),0,SUMIF('DADOS BRUTOS'!$A$3:$A$500,$B10,'DADOS BRUTOS'!CJ$3:CJ$500)+IF($C10="",0,SUMIF('DADOS BRUTOS'!$A$3:$A$500,$C10,'DADOS BRUTOS'!CJ$3:CJ$500)))</f>
        <v/>
      </c>
      <c r="FK10" s="132">
        <f>IF(OR(FK$4="",$B10=""),0,SUMIF('DADOS BRUTOS'!$A$3:$A$500,$B10,'DADOS BRUTOS'!CK$3:CK$500)+IF($C10="",0,SUMIF('DADOS BRUTOS'!$A$3:$A$500,$C10,'DADOS BRUTOS'!CK$3:CK$500)))</f>
        <v/>
      </c>
      <c r="FL10" s="132">
        <f>IF(OR(FL$4="",$B10=""),0,SUMIF('DADOS BRUTOS'!$A$3:$A$500,$B10,'DADOS BRUTOS'!CL$3:CL$500)+IF($C10="",0,SUMIF('DADOS BRUTOS'!$A$3:$A$500,$C10,'DADOS BRUTOS'!CL$3:CL$500)))</f>
        <v/>
      </c>
      <c r="FM10" s="132">
        <f>IF(OR(FM$4="",$B10=""),0,SUMIF('DADOS BRUTOS'!$A$3:$A$500,$B10,'DADOS BRUTOS'!CM$3:CM$500)+IF($C10="",0,SUMIF('DADOS BRUTOS'!$A$3:$A$500,$C10,'DADOS BRUTOS'!CM$3:CM$500)))</f>
        <v/>
      </c>
      <c r="FN10" s="132">
        <f>IF(OR(FN$4="",$B10=""),0,SUMIF('DADOS BRUTOS'!$A$3:$A$500,$B10,'DADOS BRUTOS'!CN$3:CN$500)+IF($C10="",0,SUMIF('DADOS BRUTOS'!$A$3:$A$500,$C10,'DADOS BRUTOS'!CN$3:CN$500)))</f>
        <v/>
      </c>
      <c r="FO10" s="132">
        <f>IF(OR(FO$4="",$B10=""),0,SUMIF('DADOS BRUTOS'!$A$3:$A$500,$B10,'DADOS BRUTOS'!CO$3:CO$500)+IF($C10="",0,SUMIF('DADOS BRUTOS'!$A$3:$A$500,$C10,'DADOS BRUTOS'!CO$3:CO$500)))</f>
        <v/>
      </c>
      <c r="FP10" s="132">
        <f>IF(OR(FP$4="",$B10=""),0,SUMIF('DADOS BRUTOS'!$A$3:$A$500,$B10,'DADOS BRUTOS'!CP$3:CP$500)+IF($C10="",0,SUMIF('DADOS BRUTOS'!$A$3:$A$500,$C10,'DADOS BRUTOS'!CP$3:CP$500)))</f>
        <v/>
      </c>
      <c r="FQ10" s="132">
        <f>IF(OR(FQ$4="",$B10=""),0,SUMIF('DADOS BRUTOS'!$A$3:$A$500,$B10,'DADOS BRUTOS'!CQ$3:CQ$500)+IF($C10="",0,SUMIF('DADOS BRUTOS'!$A$3:$A$500,$C10,'DADOS BRUTOS'!CQ$3:CQ$500)))</f>
        <v/>
      </c>
      <c r="FR10" s="132">
        <f>IF(OR(FR$4="",$B10=""),0,SUMIF('DADOS BRUTOS'!$A$3:$A$500,$B10,'DADOS BRUTOS'!CR$3:CR$500)+IF($C10="",0,SUMIF('DADOS BRUTOS'!$A$3:$A$500,$C10,'DADOS BRUTOS'!CR$3:CR$500)))</f>
        <v/>
      </c>
      <c r="FS10" s="132">
        <f>IF(OR(FS$4="",$B10=""),0,SUMIF('DADOS BRUTOS'!$A$3:$A$500,$B10,'DADOS BRUTOS'!CS$3:CS$500)+IF($C10="",0,SUMIF('DADOS BRUTOS'!$A$3:$A$500,$C10,'DADOS BRUTOS'!CS$3:CS$500)))</f>
        <v/>
      </c>
      <c r="FT10" s="132">
        <f>IF(OR(FT$4="",$B10=""),0,SUMIF('DADOS BRUTOS'!$A$3:$A$500,$B10,'DADOS BRUTOS'!CT$3:CT$500)+IF($C10="",0,SUMIF('DADOS BRUTOS'!$A$3:$A$500,$C10,'DADOS BRUTOS'!CT$3:CT$500)))</f>
        <v/>
      </c>
      <c r="FU10" s="132">
        <f>IF(OR(FU$4="",$B10=""),0,SUMIF('DADOS BRUTOS'!$A$3:$A$500,$B10,'DADOS BRUTOS'!CU$3:CU$500)+IF($C10="",0,SUMIF('DADOS BRUTOS'!$A$3:$A$500,$C10,'DADOS BRUTOS'!CU$3:CU$500)))</f>
        <v/>
      </c>
      <c r="FV10" s="132">
        <f>IF(OR(FV$4="",$B10=""),0,SUMIF('DADOS BRUTOS'!$A$3:$A$500,$B10,'DADOS BRUTOS'!CV$3:CV$500)+IF($C10="",0,SUMIF('DADOS BRUTOS'!$A$3:$A$500,$C10,'DADOS BRUTOS'!CV$3:CV$500)))</f>
        <v/>
      </c>
      <c r="FW10" s="132">
        <f>IF(OR(FW$4="",$B10=""),0,SUMIF('DADOS BRUTOS'!$A$3:$A$500,$B10,'DADOS BRUTOS'!CW$3:CW$500)+IF($C10="",0,SUMIF('DADOS BRUTOS'!$A$3:$A$500,$C10,'DADOS BRUTOS'!CW$3:CW$500)))</f>
        <v/>
      </c>
      <c r="FX10" s="132">
        <f>IF(OR(FX$4="",$B10=""),0,SUMIF('DADOS BRUTOS'!$A$3:$A$500,$B10,'DADOS BRUTOS'!CX$3:CX$500)+IF($C10="",0,SUMIF('DADOS BRUTOS'!$A$3:$A$500,$C10,'DADOS BRUTOS'!CX$3:CX$500)))</f>
        <v/>
      </c>
      <c r="FY10" s="132">
        <f>IF(OR(FY$4="",$B10=""),0,SUMIF('DADOS BRUTOS'!$A$3:$A$500,$B10,'DADOS BRUTOS'!CY$3:CY$500)+IF($C10="",0,SUMIF('DADOS BRUTOS'!$A$3:$A$500,$C10,'DADOS BRUTOS'!CY$3:CY$500)))</f>
        <v/>
      </c>
      <c r="FZ10" s="132">
        <f>IF(OR(FZ$4="",$B10=""),0,SUMIF('DADOS BRUTOS'!$A$3:$A$500,$B10,'DADOS BRUTOS'!CZ$3:CZ$500)+IF($C10="",0,SUMIF('DADOS BRUTOS'!$A$3:$A$500,$C10,'DADOS BRUTOS'!CZ$3:CZ$500)))</f>
        <v/>
      </c>
      <c r="GA10" s="132">
        <f>IF(OR(GA$4="",$B10=""),0,SUMIF('DADOS BRUTOS'!$A$3:$A$500,$B10,'DADOS BRUTOS'!DA$3:DA$500)+IF($C10="",0,SUMIF('DADOS BRUTOS'!$A$3:$A$500,$C10,'DADOS BRUTOS'!DA$3:DA$500)))</f>
        <v/>
      </c>
      <c r="GB10" s="132">
        <f>IF(OR(GB$4="",$B10=""),0,SUMIF('DADOS BRUTOS'!$A$3:$A$500,$B10,'DADOS BRUTOS'!DB$3:DB$500)+IF($C10="",0,SUMIF('DADOS BRUTOS'!$A$3:$A$500,$C10,'DADOS BRUTOS'!DB$3:DB$500)))</f>
        <v/>
      </c>
      <c r="GC10" s="132">
        <f>IF(OR(GC$4="",$B10=""),0,SUMIF('DADOS BRUTOS'!$A$3:$A$500,$B10,'DADOS BRUTOS'!DC$3:DC$500)+IF($C10="",0,SUMIF('DADOS BRUTOS'!$A$3:$A$500,$C10,'DADOS BRUTOS'!DC$3:DC$500)))</f>
        <v/>
      </c>
      <c r="GD10" s="132">
        <f>IF(OR(GD$4="",$B10=""),0,SUMIF('DADOS BRUTOS'!$A$3:$A$500,$B10,'DADOS BRUTOS'!DD$3:DD$500)+IF($C10="",0,SUMIF('DADOS BRUTOS'!$A$3:$A$500,$C10,'DADOS BRUTOS'!DD$3:DD$500)))</f>
        <v/>
      </c>
      <c r="GE10" s="132">
        <f>IF(OR(GE$4="",$B10=""),0,SUMIF('DADOS BRUTOS'!$A$3:$A$500,$B10,'DADOS BRUTOS'!DE$3:DE$500)+IF($C10="",0,SUMIF('DADOS BRUTOS'!$A$3:$A$500,$C10,'DADOS BRUTOS'!DE$3:DE$500)))</f>
        <v/>
      </c>
      <c r="GF10" s="132">
        <f>IF(OR(GF$4="",$B10=""),0,SUMIF('DADOS BRUTOS'!$A$3:$A$500,$B10,'DADOS BRUTOS'!DF$3:DF$500)+IF($C10="",0,SUMIF('DADOS BRUTOS'!$A$3:$A$500,$C10,'DADOS BRUTOS'!DF$3:DF$500)))</f>
        <v/>
      </c>
      <c r="GG10" s="132">
        <f>IF(OR(GG$4="",$B10=""),0,SUMIF('DADOS BRUTOS'!$A$3:$A$500,$B10,'DADOS BRUTOS'!DG$3:DG$500)+IF($C10="",0,SUMIF('DADOS BRUTOS'!$A$3:$A$500,$C10,'DADOS BRUTOS'!DG$3:DG$500)))</f>
        <v/>
      </c>
      <c r="GH10" s="132">
        <f>IF(OR(GH$4="",$B10=""),0,SUMIF('DADOS BRUTOS'!$A$3:$A$500,$B10,'DADOS BRUTOS'!DH$3:DH$500)+IF($C10="",0,SUMIF('DADOS BRUTOS'!$A$3:$A$500,$C10,'DADOS BRUTOS'!DH$3:DH$500)))</f>
        <v/>
      </c>
      <c r="GI10" s="132">
        <f>IF(OR(GI$4="",$B10=""),0,SUMIF('DADOS BRUTOS'!$A$3:$A$500,$B10,'DADOS BRUTOS'!DI$3:DI$500)+IF($C10="",0,SUMIF('DADOS BRUTOS'!$A$3:$A$500,$C10,'DADOS BRUTOS'!DI$3:DI$500)))</f>
        <v/>
      </c>
      <c r="GJ10" s="132">
        <f>IF(OR(GJ$4="",$B10=""),0,SUMIF('DADOS BRUTOS'!$A$3:$A$500,$B10,'DADOS BRUTOS'!DJ$3:DJ$500)+IF($C10="",0,SUMIF('DADOS BRUTOS'!$A$3:$A$500,$C10,'DADOS BRUTOS'!DJ$3:DJ$500)))</f>
        <v/>
      </c>
      <c r="GK10" s="132">
        <f>IF(OR(GK$4="",$B10=""),0,SUMIF('DADOS BRUTOS'!$A$3:$A$500,$B10,'DADOS BRUTOS'!DK$3:DK$500)+IF($C10="",0,SUMIF('DADOS BRUTOS'!$A$3:$A$500,$C10,'DADOS BRUTOS'!DK$3:DK$500)))</f>
        <v/>
      </c>
      <c r="GL10" s="132">
        <f>IF(OR(GL$4="",$B10=""),0,SUMIF('DADOS BRUTOS'!$A$3:$A$500,$B10,'DADOS BRUTOS'!DL$3:DL$500)+IF($C10="",0,SUMIF('DADOS BRUTOS'!$A$3:$A$500,$C10,'DADOS BRUTOS'!DL$3:DL$500)))</f>
        <v/>
      </c>
      <c r="GM10" s="132">
        <f>IF(OR(GM$4="",$B10=""),0,SUMIF('DADOS BRUTOS'!$A$3:$A$500,$B10,'DADOS BRUTOS'!DM$3:DM$500)+IF($C10="",0,SUMIF('DADOS BRUTOS'!$A$3:$A$500,$C10,'DADOS BRUTOS'!DM$3:DM$500)))</f>
        <v/>
      </c>
      <c r="GN10" s="132">
        <f>IF(OR(GN$4="",$B10=""),0,SUMIF('DADOS BRUTOS'!$A$3:$A$500,$B10,'DADOS BRUTOS'!DN$3:DN$500)+IF($C10="",0,SUMIF('DADOS BRUTOS'!$A$3:$A$500,$C10,'DADOS BRUTOS'!DN$3:DN$500)))</f>
        <v/>
      </c>
      <c r="GO10" s="132">
        <f>IF(OR(GO$4="",$B10=""),0,SUMIF('DADOS BRUTOS'!$A$3:$A$500,$B10,'DADOS BRUTOS'!DO$3:DO$500)+IF($C10="",0,SUMIF('DADOS BRUTOS'!$A$3:$A$500,$C10,'DADOS BRUTOS'!DO$3:DO$500)))</f>
        <v/>
      </c>
      <c r="GP10" s="132">
        <f>IF(OR(GP$4="",$B10=""),0,SUMIF('DADOS BRUTOS'!$A$3:$A$500,$B10,'DADOS BRUTOS'!DP$3:DP$500)+IF($C10="",0,SUMIF('DADOS BRUTOS'!$A$3:$A$500,$C10,'DADOS BRUTOS'!DP$3:DP$500)))</f>
        <v/>
      </c>
      <c r="GQ10" s="132">
        <f>IF(OR(GQ$4="",$B10=""),0,SUMIF('DADOS BRUTOS'!$A$3:$A$500,$B10,'DADOS BRUTOS'!DQ$3:DQ$500)+IF($C10="",0,SUMIF('DADOS BRUTOS'!$A$3:$A$500,$C10,'DADOS BRUTOS'!DQ$3:DQ$500)))</f>
        <v/>
      </c>
      <c r="GR10" s="132">
        <f>IF(OR(GR$4="",$B10=""),0,SUMIF('DADOS BRUTOS'!$A$3:$A$500,$B10,'DADOS BRUTOS'!DR$3:DR$500)+IF($C10="",0,SUMIF('DADOS BRUTOS'!$A$3:$A$500,$C10,'DADOS BRUTOS'!DR$3:DR$500)))</f>
        <v/>
      </c>
      <c r="GS10" s="132">
        <f>IF(OR(GS$4="",$B10=""),0,SUMIF('DADOS BRUTOS'!$A$3:$A$500,$B10,'DADOS BRUTOS'!DS$3:DS$500)+IF($C10="",0,SUMIF('DADOS BRUTOS'!$A$3:$A$500,$C10,'DADOS BRUTOS'!DS$3:DS$500)))</f>
        <v/>
      </c>
      <c r="GT10" s="132">
        <f>IF(OR(GT$4="",$B10=""),0,SUMIF('DADOS BRUTOS'!$A$3:$A$500,$B10,'DADOS BRUTOS'!DT$3:DT$500)+IF($C10="",0,SUMIF('DADOS BRUTOS'!$A$3:$A$500,$C10,'DADOS BRUTOS'!DT$3:DT$500)))</f>
        <v/>
      </c>
      <c r="GU10" s="132">
        <f>IF(OR(GU$4="",$B10=""),0,SUMIF('DADOS BRUTOS'!$A$3:$A$500,$B10,'DADOS BRUTOS'!DU$3:DU$500)+IF($C10="",0,SUMIF('DADOS BRUTOS'!$A$3:$A$500,$C10,'DADOS BRUTOS'!DU$3:DU$500)))</f>
        <v/>
      </c>
      <c r="GV10" s="132">
        <f>IF(OR(GV$4="",$B10=""),0,SUMIF('DADOS BRUTOS'!$A$3:$A$500,$B10,'DADOS BRUTOS'!DV$3:DV$500)+IF($C10="",0,SUMIF('DADOS BRUTOS'!$A$3:$A$500,$C10,'DADOS BRUTOS'!DV$3:DV$500)))</f>
        <v/>
      </c>
      <c r="GW10" s="132">
        <f>IF(OR(GW$4="",$B10=""),0,SUMIF('DADOS BRUTOS'!$A$3:$A$500,$B10,'DADOS BRUTOS'!DW$3:DW$500)+IF($C10="",0,SUMIF('DADOS BRUTOS'!$A$3:$A$500,$C10,'DADOS BRUTOS'!DW$3:DW$500)))</f>
        <v/>
      </c>
      <c r="GX10" s="132">
        <f>IF(OR(GX$4="",$B10=""),0,SUMIF('DADOS BRUTOS'!$A$3:$A$500,$B10,'DADOS BRUTOS'!DX$3:DX$500)+IF($C10="",0,SUMIF('DADOS BRUTOS'!$A$3:$A$500,$C10,'DADOS BRUTOS'!DX$3:DX$500)))</f>
        <v/>
      </c>
      <c r="GY10" s="132">
        <f>IF(OR(GY$4="",$B10=""),0,SUMIF('DADOS BRUTOS'!$A$3:$A$500,$B10,'DADOS BRUTOS'!DY$3:DY$500)+IF($C10="",0,SUMIF('DADOS BRUTOS'!$A$3:$A$500,$C10,'DADOS BRUTOS'!DY$3:DY$500)))</f>
        <v/>
      </c>
      <c r="GZ10" s="132">
        <f>IF(OR(GZ$4="",$B10=""),0,SUMIF('DADOS BRUTOS'!$A$3:$A$500,$B10,'DADOS BRUTOS'!DZ$3:DZ$500)+IF($C10="",0,SUMIF('DADOS BRUTOS'!$A$3:$A$500,$C10,'DADOS BRUTOS'!DZ$3:DZ$500)))</f>
        <v/>
      </c>
      <c r="HA10" s="132">
        <f>IF(OR(HA$4="",$B10=""),0,SUMIF('DADOS BRUTOS'!$A$3:$A$500,$B10,'DADOS BRUTOS'!EA$3:EA$500)+IF($C10="",0,SUMIF('DADOS BRUTOS'!$A$3:$A$500,$C10,'DADOS BRUTOS'!EA$3:EA$500)))</f>
        <v/>
      </c>
      <c r="HB10" s="132">
        <f>IF(OR(HB$4="",$B10=""),0,SUMIF('DADOS BRUTOS'!$A$3:$A$500,$B10,'DADOS BRUTOS'!EB$3:EB$500)+IF($C10="",0,SUMIF('DADOS BRUTOS'!$A$3:$A$500,$C10,'DADOS BRUTOS'!EB$3:EB$500)))</f>
        <v/>
      </c>
      <c r="HC10" s="132">
        <f>IF(OR(HC$4="",$B10=""),0,SUMIF('DADOS BRUTOS'!$A$3:$A$500,$B10,'DADOS BRUTOS'!EC$3:EC$500)+IF($C10="",0,SUMIF('DADOS BRUTOS'!$A$3:$A$500,$C10,'DADOS BRUTOS'!EC$3:EC$500)))</f>
        <v/>
      </c>
      <c r="HD10" s="132">
        <f>IF(OR(HD$4="",$B10=""),0,SUMIF('DADOS BRUTOS'!$A$3:$A$500,$B10,'DADOS BRUTOS'!ED$3:ED$500)+IF($C10="",0,SUMIF('DADOS BRUTOS'!$A$3:$A$500,$C10,'DADOS BRUTOS'!ED$3:ED$500)))</f>
        <v/>
      </c>
      <c r="HE10" s="132">
        <f>IF(OR(HE$4="",$B10=""),0,SUMIF('DADOS BRUTOS'!$A$3:$A$500,$B10,'DADOS BRUTOS'!EE$3:EE$500)+IF($C10="",0,SUMIF('DADOS BRUTOS'!$A$3:$A$500,$C10,'DADOS BRUTOS'!EE$3:EE$500)))</f>
        <v/>
      </c>
      <c r="HF10" s="132">
        <f>IF(OR(HF$4="",$B10=""),0,SUMIF('DADOS BRUTOS'!$A$3:$A$500,$B10,'DADOS BRUTOS'!EF$3:EF$500)+IF($C10="",0,SUMIF('DADOS BRUTOS'!$A$3:$A$500,$C10,'DADOS BRUTOS'!EF$3:EF$500)))</f>
        <v/>
      </c>
      <c r="HG10" s="132">
        <f>IF(OR(HG$4="",$B10=""),0,SUMIF('DADOS BRUTOS'!$A$3:$A$500,$B10,'DADOS BRUTOS'!EG$3:EG$500)+IF($C10="",0,SUMIF('DADOS BRUTOS'!$A$3:$A$500,$C10,'DADOS BRUTOS'!EG$3:EG$500)))</f>
        <v/>
      </c>
      <c r="HH10" s="132">
        <f>IF(OR(HH$4="",$B10=""),0,SUMIF('DADOS BRUTOS'!$A$3:$A$500,$B10,'DADOS BRUTOS'!EH$3:EH$500)+IF($C10="",0,SUMIF('DADOS BRUTOS'!$A$3:$A$500,$C10,'DADOS BRUTOS'!EH$3:EH$500)))</f>
        <v/>
      </c>
      <c r="HI10" s="132">
        <f>IF(OR(HI$4="",$B10=""),0,SUMIF('DADOS BRUTOS'!$A$3:$A$500,$B10,'DADOS BRUTOS'!EI$3:EI$500)+IF($C10="",0,SUMIF('DADOS BRUTOS'!$A$3:$A$500,$C10,'DADOS BRUTOS'!EI$3:EI$500)))</f>
        <v/>
      </c>
      <c r="HJ10" s="132">
        <f>IF(OR(HJ$4="",$B10=""),0,SUMIF('DADOS BRUTOS'!$A$3:$A$500,$B10,'DADOS BRUTOS'!EJ$3:EJ$500)+IF($C10="",0,SUMIF('DADOS BRUTOS'!$A$3:$A$500,$C10,'DADOS BRUTOS'!EJ$3:EJ$500)))</f>
        <v/>
      </c>
      <c r="HK10" s="132">
        <f>IF(OR(HK$4="",$B10=""),0,SUMIF('DADOS BRUTOS'!$A$3:$A$500,$B10,'DADOS BRUTOS'!EK$3:EK$500)+IF($C10="",0,SUMIF('DADOS BRUTOS'!$A$3:$A$500,$C10,'DADOS BRUTOS'!EK$3:EK$500)))</f>
        <v/>
      </c>
      <c r="HL10" s="132">
        <f>IF(OR(HL$4="",$B10=""),0,SUMIF('DADOS BRUTOS'!$A$3:$A$500,$B10,'DADOS BRUTOS'!EL$3:EL$500)+IF($C10="",0,SUMIF('DADOS BRUTOS'!$A$3:$A$500,$C10,'DADOS BRUTOS'!EL$3:EL$500)))</f>
        <v/>
      </c>
      <c r="HM10" s="132">
        <f>IF(OR(HM$4="",$B10=""),0,SUMIF('DADOS BRUTOS'!$A$3:$A$500,$B10,'DADOS BRUTOS'!EM$3:EM$500)+IF($C10="",0,SUMIF('DADOS BRUTOS'!$A$3:$A$500,$C10,'DADOS BRUTOS'!EM$3:EM$500)))</f>
        <v/>
      </c>
      <c r="HN10" s="132">
        <f>IF(OR(HN$4="",$B10=""),0,SUMIF('DADOS BRUTOS'!$A$3:$A$500,$B10,'DADOS BRUTOS'!EN$3:EN$500)+IF($C10="",0,SUMIF('DADOS BRUTOS'!$A$3:$A$500,$C10,'DADOS BRUTOS'!EN$3:EN$500)))</f>
        <v/>
      </c>
      <c r="HO10" s="132">
        <f>IF(OR(HO$4="",$B10=""),0,SUMIF('DADOS BRUTOS'!$A$3:$A$500,$B10,'DADOS BRUTOS'!EO$3:EO$500)+IF($C10="",0,SUMIF('DADOS BRUTOS'!$A$3:$A$500,$C10,'DADOS BRUTOS'!EO$3:EO$500)))</f>
        <v/>
      </c>
      <c r="HP10" s="132">
        <f>IF(OR(HP$4="",$B10=""),0,SUMIF('DADOS BRUTOS'!$A$3:$A$500,$B10,'DADOS BRUTOS'!EP$3:EP$500)+IF($C10="",0,SUMIF('DADOS BRUTOS'!$A$3:$A$500,$C10,'DADOS BRUTOS'!EP$3:EP$500)))</f>
        <v/>
      </c>
      <c r="HQ10" s="132">
        <f>IF(OR(HQ$4="",$B10=""),0,SUMIF('DADOS BRUTOS'!$A$3:$A$500,$B10,'DADOS BRUTOS'!EQ$3:EQ$500)+IF($C10="",0,SUMIF('DADOS BRUTOS'!$A$3:$A$500,$C10,'DADOS BRUTOS'!EQ$3:EQ$500)))</f>
        <v/>
      </c>
      <c r="HR10" s="132">
        <f>IF(OR(HR$4="",$B10=""),0,SUMIF('DADOS BRUTOS'!$A$3:$A$500,$B10,'DADOS BRUTOS'!ER$3:ER$500)+IF($C10="",0,SUMIF('DADOS BRUTOS'!$A$3:$A$500,$C10,'DADOS BRUTOS'!ER$3:ER$500)))</f>
        <v/>
      </c>
      <c r="HS10" s="132">
        <f>IF(OR(HS$4="",$B10=""),0,SUMIF('DADOS BRUTOS'!$A$3:$A$500,$B10,'DADOS BRUTOS'!ES$3:ES$500)+IF($C10="",0,SUMIF('DADOS BRUTOS'!$A$3:$A$500,$C10,'DADOS BRUTOS'!ES$3:ES$500)))</f>
        <v/>
      </c>
      <c r="HT10" s="132">
        <f>IF(OR(HT$4="",$B10=""),0,SUMIF('DADOS BRUTOS'!$A$3:$A$500,$B10,'DADOS BRUTOS'!ET$3:ET$500)+IF($C10="",0,SUMIF('DADOS BRUTOS'!$A$3:$A$500,$C10,'DADOS BRUTOS'!ET$3:ET$500)))</f>
        <v/>
      </c>
      <c r="HU10" s="132">
        <f>IF(OR(HU$4="",$B10=""),0,SUMIF('DADOS BRUTOS'!$A$3:$A$500,$B10,'DADOS BRUTOS'!EU$3:EU$500)+IF($C10="",0,SUMIF('DADOS BRUTOS'!$A$3:$A$500,$C10,'DADOS BRUTOS'!EU$3:EU$500)))</f>
        <v/>
      </c>
      <c r="HV10" s="132">
        <f>IF(OR(HV$4="",$B10=""),0,SUMIF('DADOS BRUTOS'!$A$3:$A$500,$B10,'DADOS BRUTOS'!EV$3:EV$500)+IF($C10="",0,SUMIF('DADOS BRUTOS'!$A$3:$A$500,$C10,'DADOS BRUTOS'!EV$3:EV$500)))</f>
        <v/>
      </c>
      <c r="HW10" s="132">
        <f>IF(OR(HW$4="",$B10=""),0,SUMIF('DADOS BRUTOS'!$A$3:$A$500,$B10,'DADOS BRUTOS'!EW$3:EW$500)+IF($C10="",0,SUMIF('DADOS BRUTOS'!$A$3:$A$500,$C10,'DADOS BRUTOS'!EW$3:EW$500)))</f>
        <v/>
      </c>
      <c r="HX10" s="132">
        <f>IF(OR(HX$4="",$B10=""),0,SUMIF('DADOS BRUTOS'!$A$3:$A$500,$B10,'DADOS BRUTOS'!EX$3:EX$500)+IF($C10="",0,SUMIF('DADOS BRUTOS'!$A$3:$A$500,$C10,'DADOS BRUTOS'!EX$3:EX$500)))</f>
        <v/>
      </c>
      <c r="HY10" s="132">
        <f>IF(OR(HY$4="",$B10=""),0,SUMIF('DADOS BRUTOS'!$A$3:$A$500,$B10,'DADOS BRUTOS'!EY$3:EY$500)+IF($C10="",0,SUMIF('DADOS BRUTOS'!$A$3:$A$500,$C10,'DADOS BRUTOS'!EY$3:EY$500)))</f>
        <v/>
      </c>
      <c r="HZ10" s="132">
        <f>IF(OR(HZ$4="",$B10=""),0,SUMIF('DADOS BRUTOS'!$A$3:$A$500,$B10,'DADOS BRUTOS'!EZ$3:EZ$500)+IF($C10="",0,SUMIF('DADOS BRUTOS'!$A$3:$A$500,$C10,'DADOS BRUTOS'!EZ$3:EZ$500)))</f>
        <v/>
      </c>
      <c r="IA10" s="132">
        <f>IF(OR(IA$4="",$B10=""),0,SUMIF('DADOS BRUTOS'!$A$3:$A$500,$B10,'DADOS BRUTOS'!FA$3:FA$500)+IF($C10="",0,SUMIF('DADOS BRUTOS'!$A$3:$A$500,$C10,'DADOS BRUTOS'!FA$3:FA$500)))</f>
        <v/>
      </c>
      <c r="IB10" s="132">
        <f>IF(OR(IB$4="",$B10=""),0,SUMIF('DADOS BRUTOS'!$A$3:$A$500,$B10,'DADOS BRUTOS'!FB$3:FB$500)+IF($C10="",0,SUMIF('DADOS BRUTOS'!$A$3:$A$500,$C10,'DADOS BRUTOS'!FB$3:FB$500)))</f>
        <v/>
      </c>
      <c r="IC10" s="132">
        <f>IF(OR(IC$4="",$B10=""),0,SUMIF('DADOS BRUTOS'!$A$3:$A$500,$B10,'DADOS BRUTOS'!FC$3:FC$500)+IF($C10="",0,SUMIF('DADOS BRUTOS'!$A$3:$A$500,$C10,'DADOS BRUTOS'!FC$3:FC$500)))</f>
        <v/>
      </c>
      <c r="ID10" s="132">
        <f>IF(OR(ID$4="",$B10=""),0,SUMIF('DADOS BRUTOS'!$A$3:$A$500,$B10,'DADOS BRUTOS'!FD$3:FD$500)+IF($C10="",0,SUMIF('DADOS BRUTOS'!$A$3:$A$500,$C10,'DADOS BRUTOS'!FD$3:FD$500)))</f>
        <v/>
      </c>
      <c r="IE10" s="132">
        <f>IF(OR(IE$4="",$B10=""),0,SUMIF('DADOS BRUTOS'!$A$3:$A$500,$B10,'DADOS BRUTOS'!FE$3:FE$500)+IF($C10="",0,SUMIF('DADOS BRUTOS'!$A$3:$A$500,$C10,'DADOS BRUTOS'!FE$3:FE$500)))</f>
        <v/>
      </c>
      <c r="IF10" s="132">
        <f>IF(OR(IF$4="",$B10=""),0,SUMIF('DADOS BRUTOS'!$A$3:$A$500,$B10,'DADOS BRUTOS'!FF$3:FF$500)+IF($C10="",0,SUMIF('DADOS BRUTOS'!$A$3:$A$500,$C10,'DADOS BRUTOS'!FF$3:FF$500)))</f>
        <v/>
      </c>
      <c r="IG10" s="132">
        <f>IF(OR(IG$4="",$B10=""),0,SUMIF('DADOS BRUTOS'!$A$3:$A$500,$B10,'DADOS BRUTOS'!FG$3:FG$500)+IF($C10="",0,SUMIF('DADOS BRUTOS'!$A$3:$A$500,$C10,'DADOS BRUTOS'!FG$3:FG$500)))</f>
        <v/>
      </c>
      <c r="IH10" s="132">
        <f>IF(OR(IH$4="",$B10=""),0,SUMIF('DADOS BRUTOS'!$A$3:$A$500,$B10,'DADOS BRUTOS'!FH$3:FH$500)+IF($C10="",0,SUMIF('DADOS BRUTOS'!$A$3:$A$500,$C10,'DADOS BRUTOS'!FH$3:FH$500)))</f>
        <v/>
      </c>
      <c r="II10" s="132">
        <f>IF(OR(II$4="",$B10=""),0,SUMIF('DADOS BRUTOS'!$A$3:$A$500,$B10,'DADOS BRUTOS'!FI$3:FI$500)+IF($C10="",0,SUMIF('DADOS BRUTOS'!$A$3:$A$500,$C10,'DADOS BRUTOS'!FI$3:FI$500)))</f>
        <v/>
      </c>
      <c r="IJ10" s="132">
        <f>IF(OR(IJ$4="",$B10=""),0,SUMIF('DADOS BRUTOS'!$A$3:$A$500,$B10,'DADOS BRUTOS'!FJ$3:FJ$500)+IF($C10="",0,SUMIF('DADOS BRUTOS'!$A$3:$A$500,$C10,'DADOS BRUTOS'!FJ$3:FJ$500)))</f>
        <v/>
      </c>
      <c r="IK10" s="132">
        <f>IF(OR(IK$4="",$B10=""),0,SUMIF('DADOS BRUTOS'!$A$3:$A$500,$B10,'DADOS BRUTOS'!FK$3:FK$500)+IF($C10="",0,SUMIF('DADOS BRUTOS'!$A$3:$A$500,$C10,'DADOS BRUTOS'!FK$3:FK$500)))</f>
        <v/>
      </c>
      <c r="IL10" s="132">
        <f>IF(OR(IL$4="",$B10=""),0,SUMIF('DADOS BRUTOS'!$A$3:$A$500,$B10,'DADOS BRUTOS'!FL$3:FL$500)+IF($C10="",0,SUMIF('DADOS BRUTOS'!$A$3:$A$500,$C10,'DADOS BRUTOS'!FL$3:FL$500)))</f>
        <v/>
      </c>
      <c r="IM10" s="132">
        <f>IF(OR(IM$4="",$B10=""),0,SUMIF('DADOS BRUTOS'!$A$3:$A$500,$B10,'DADOS BRUTOS'!FM$3:FM$500)+IF($C10="",0,SUMIF('DADOS BRUTOS'!$A$3:$A$500,$C10,'DADOS BRUTOS'!FM$3:FM$500)))</f>
        <v/>
      </c>
      <c r="IN10" s="132">
        <f>IF(OR(IN$4="",$B10=""),0,SUMIF('DADOS BRUTOS'!$A$3:$A$500,$B10,'DADOS BRUTOS'!FN$3:FN$500)+IF($C10="",0,SUMIF('DADOS BRUTOS'!$A$3:$A$500,$C10,'DADOS BRUTOS'!FN$3:FN$500)))</f>
        <v/>
      </c>
      <c r="IO10" s="132">
        <f>IF(OR(IO$4="",$B10=""),0,SUMIF('DADOS BRUTOS'!$A$3:$A$500,$B10,'DADOS BRUTOS'!FO$3:FO$500)+IF($C10="",0,SUMIF('DADOS BRUTOS'!$A$3:$A$500,$C10,'DADOS BRUTOS'!FO$3:FO$500)))</f>
        <v/>
      </c>
      <c r="IP10" s="132">
        <f>IF(OR(IP$4="",$B10=""),0,SUMIF('DADOS BRUTOS'!$A$3:$A$500,$B10,'DADOS BRUTOS'!FP$3:FP$500)+IF($C10="",0,SUMIF('DADOS BRUTOS'!$A$3:$A$500,$C10,'DADOS BRUTOS'!FP$3:FP$500)))</f>
        <v/>
      </c>
      <c r="IQ10" s="132">
        <f>IF(OR(IQ$4="",$B10=""),0,SUMIF('DADOS BRUTOS'!$A$3:$A$500,$B10,'DADOS BRUTOS'!FQ$3:FQ$500)+IF($C10="",0,SUMIF('DADOS BRUTOS'!$A$3:$A$500,$C10,'DADOS BRUTOS'!FQ$3:FQ$500)))</f>
        <v/>
      </c>
      <c r="IR10" s="132">
        <f>IF(OR(IR$4="",$B10=""),0,SUMIF('DADOS BRUTOS'!$A$3:$A$500,$B10,'DADOS BRUTOS'!FR$3:FR$500)+IF($C10="",0,SUMIF('DADOS BRUTOS'!$A$3:$A$500,$C10,'DADOS BRUTOS'!FR$3:FR$500)))</f>
        <v/>
      </c>
      <c r="IS10" s="132">
        <f>IF(OR(IS$4="",$B10=""),0,SUMIF('DADOS BRUTOS'!$A$3:$A$500,$B10,'DADOS BRUTOS'!FS$3:FS$500)+IF($C10="",0,SUMIF('DADOS BRUTOS'!$A$3:$A$500,$C10,'DADOS BRUTOS'!FS$3:FS$500)))</f>
        <v/>
      </c>
      <c r="IT10" s="132">
        <f>IF(OR(IT$4="",$B10=""),0,SUMIF('DADOS BRUTOS'!$A$3:$A$500,$B10,'DADOS BRUTOS'!FT$3:FT$500)+IF($C10="",0,SUMIF('DADOS BRUTOS'!$A$3:$A$500,$C10,'DADOS BRUTOS'!FT$3:FT$500)))</f>
        <v/>
      </c>
      <c r="IU10" s="132">
        <f>IF(OR(IU$4="",$B10=""),0,SUMIF('DADOS BRUTOS'!$A$3:$A$500,$B10,'DADOS BRUTOS'!FU$3:FU$500)+IF($C10="",0,SUMIF('DADOS BRUTOS'!$A$3:$A$500,$C10,'DADOS BRUTOS'!FU$3:FU$500)))</f>
        <v/>
      </c>
      <c r="IV10" s="132">
        <f>IF(OR(IV$4="",$B10=""),0,SUMIF('DADOS BRUTOS'!$A$3:$A$500,$B10,'DADOS BRUTOS'!FV$3:FV$500)+IF($C10="",0,SUMIF('DADOS BRUTOS'!$A$3:$A$500,$C10,'DADOS BRUTOS'!FV$3:FV$500)))</f>
        <v/>
      </c>
      <c r="IW10" s="132">
        <f>IF(OR(IW$4="",$B10=""),0,SUMIF('DADOS BRUTOS'!$A$3:$A$500,$B10,'DADOS BRUTOS'!FW$3:FW$500)+IF($C10="",0,SUMIF('DADOS BRUTOS'!$A$3:$A$500,$C10,'DADOS BRUTOS'!FW$3:FW$500)))</f>
        <v/>
      </c>
      <c r="IX10" s="132">
        <f>IF(OR(IX$4="",$B10=""),0,SUMIF('DADOS BRUTOS'!$A$3:$A$500,$B10,'DADOS BRUTOS'!FX$3:FX$500)+IF($C10="",0,SUMIF('DADOS BRUTOS'!$A$3:$A$500,$C10,'DADOS BRUTOS'!FX$3:FX$500)))</f>
        <v/>
      </c>
      <c r="IY10" s="132">
        <f>IF(OR(IY$4="",$B10=""),0,SUMIF('DADOS BRUTOS'!$A$3:$A$500,$B10,'DADOS BRUTOS'!FY$3:FY$500)+IF($C10="",0,SUMIF('DADOS BRUTOS'!$A$3:$A$500,$C10,'DADOS BRUTOS'!FY$3:FY$500)))</f>
        <v/>
      </c>
      <c r="IZ10" s="132">
        <f>IF(OR(IZ$4="",$B10=""),0,SUMIF('DADOS BRUTOS'!$A$3:$A$500,$B10,'DADOS BRUTOS'!FZ$3:FZ$500)+IF($C10="",0,SUMIF('DADOS BRUTOS'!$A$3:$A$500,$C10,'DADOS BRUTOS'!FZ$3:FZ$500)))</f>
        <v/>
      </c>
      <c r="JA10" s="132">
        <f>IF(OR(JA$4="",$B10=""),0,SUMIF('DADOS BRUTOS'!$A$3:$A$500,$B10,'DADOS BRUTOS'!GA$3:GA$500)+IF($C10="",0,SUMIF('DADOS BRUTOS'!$A$3:$A$500,$C10,'DADOS BRUTOS'!GA$3:GA$500)))</f>
        <v/>
      </c>
      <c r="JB10" s="132">
        <f>IF(OR(JB$4="",$B10=""),0,SUMIF('DADOS BRUTOS'!$A$3:$A$500,$B10,'DADOS BRUTOS'!GB$3:GB$500)+IF($C10="",0,SUMIF('DADOS BRUTOS'!$A$3:$A$500,$C10,'DADOS BRUTOS'!GB$3:GB$500)))</f>
        <v/>
      </c>
      <c r="JC10" s="132">
        <f>IF(OR(JC$4="",$B10=""),0,SUMIF('DADOS BRUTOS'!$A$3:$A$500,$B10,'DADOS BRUTOS'!GC$3:GC$500)+IF($C10="",0,SUMIF('DADOS BRUTOS'!$A$3:$A$500,$C10,'DADOS BRUTOS'!GC$3:GC$500)))</f>
        <v/>
      </c>
      <c r="JD10" s="132">
        <f>IF(OR(JD$4="",$B10=""),0,SUMIF('DADOS BRUTOS'!$A$3:$A$500,$B10,'DADOS BRUTOS'!GD$3:GD$500)+IF($C10="",0,SUMIF('DADOS BRUTOS'!$A$3:$A$500,$C10,'DADOS BRUTOS'!GD$3:GD$500)))</f>
        <v/>
      </c>
      <c r="JE10" s="132">
        <f>IF(OR(JE$4="",$B10=""),0,SUMIF('DADOS BRUTOS'!$A$3:$A$500,$B10,'DADOS BRUTOS'!GE$3:GE$500)+IF($C10="",0,SUMIF('DADOS BRUTOS'!$A$3:$A$500,$C10,'DADOS BRUTOS'!GE$3:GE$500)))</f>
        <v/>
      </c>
      <c r="JF10" s="132">
        <f>IF(OR(JF$4="",$B10=""),0,SUMIF('DADOS BRUTOS'!$A$3:$A$500,$B10,'DADOS BRUTOS'!GF$3:GF$500)+IF($C10="",0,SUMIF('DADOS BRUTOS'!$A$3:$A$500,$C10,'DADOS BRUTOS'!GF$3:GF$500)))</f>
        <v/>
      </c>
      <c r="JG10" s="132">
        <f>IF(OR(JG$4="",$B10=""),0,SUMIF('DADOS BRUTOS'!$A$3:$A$500,$B10,'DADOS BRUTOS'!GG$3:GG$500)+IF($C10="",0,SUMIF('DADOS BRUTOS'!$A$3:$A$500,$C10,'DADOS BRUTOS'!GG$3:GG$500)))</f>
        <v/>
      </c>
      <c r="JH10" s="132">
        <f>IF(OR(JH$4="",$B10=""),0,SUMIF('DADOS BRUTOS'!$A$3:$A$500,$B10,'DADOS BRUTOS'!GH$3:GH$500)+IF($C10="",0,SUMIF('DADOS BRUTOS'!$A$3:$A$500,$C10,'DADOS BRUTOS'!GH$3:GH$500)))</f>
        <v/>
      </c>
      <c r="JI10" s="132">
        <f>IF(OR(JI$4="",$B10=""),0,SUMIF('DADOS BRUTOS'!$A$3:$A$500,$B10,'DADOS BRUTOS'!GI$3:GI$500)+IF($C10="",0,SUMIF('DADOS BRUTOS'!$A$3:$A$500,$C10,'DADOS BRUTOS'!GI$3:GI$500)))</f>
        <v/>
      </c>
      <c r="JJ10" s="132">
        <f>IF(OR(JJ$4="",$B10=""),0,SUMIF('DADOS BRUTOS'!$A$3:$A$500,$B10,'DADOS BRUTOS'!GJ$3:GJ$500)+IF($C10="",0,SUMIF('DADOS BRUTOS'!$A$3:$A$500,$C10,'DADOS BRUTOS'!GJ$3:GJ$500)))</f>
        <v/>
      </c>
      <c r="JK10" s="132">
        <f>IF(OR(JK$4="",$B10=""),0,SUMIF('DADOS BRUTOS'!$A$3:$A$500,$B10,'DADOS BRUTOS'!GK$3:GK$500)+IF($C10="",0,SUMIF('DADOS BRUTOS'!$A$3:$A$500,$C10,'DADOS BRUTOS'!GK$3:GK$500)))</f>
        <v/>
      </c>
      <c r="JL10" s="132">
        <f>IF(OR(JL$4="",$B10=""),0,SUMIF('DADOS BRUTOS'!$A$3:$A$500,$B10,'DADOS BRUTOS'!GL$3:GL$500)+IF($C10="",0,SUMIF('DADOS BRUTOS'!$A$3:$A$500,$C10,'DADOS BRUTOS'!GL$3:GL$500)))</f>
        <v/>
      </c>
      <c r="JM10" s="132">
        <f>IF(OR(JM$4="",$B10=""),0,SUMIF('DADOS BRUTOS'!$A$3:$A$500,$B10,'DADOS BRUTOS'!GM$3:GM$500)+IF($C10="",0,SUMIF('DADOS BRUTOS'!$A$3:$A$500,$C10,'DADOS BRUTOS'!GM$3:GM$500)))</f>
        <v/>
      </c>
      <c r="JN10" s="132">
        <f>IF(OR(JN$4="",$B10=""),0,SUMIF('DADOS BRUTOS'!$A$3:$A$500,$B10,'DADOS BRUTOS'!GN$3:GN$500)+IF($C10="",0,SUMIF('DADOS BRUTOS'!$A$3:$A$500,$C10,'DADOS BRUTOS'!GN$3:GN$500)))</f>
        <v/>
      </c>
      <c r="JO10" s="132">
        <f>IF(OR(JO$4="",$B10=""),0,SUMIF('DADOS BRUTOS'!$A$3:$A$500,$B10,'DADOS BRUTOS'!GO$3:GO$500)+IF($C10="",0,SUMIF('DADOS BRUTOS'!$A$3:$A$500,$C10,'DADOS BRUTOS'!GO$3:GO$500)))</f>
        <v/>
      </c>
      <c r="JP10" s="132">
        <f>IF(OR(JP$4="",$B10=""),0,SUMIF('DADOS BRUTOS'!$A$3:$A$500,$B10,'DADOS BRUTOS'!GP$3:GP$500)+IF($C10="",0,SUMIF('DADOS BRUTOS'!$A$3:$A$500,$C10,'DADOS BRUTOS'!GP$3:GP$500)))</f>
        <v/>
      </c>
      <c r="JQ10" s="132">
        <f>IF(OR(JQ$4="",$B10=""),0,SUMIF('DADOS BRUTOS'!$A$3:$A$500,$B10,'DADOS BRUTOS'!GQ$3:GQ$500)+IF($C10="",0,SUMIF('DADOS BRUTOS'!$A$3:$A$500,$C10,'DADOS BRUTOS'!GQ$3:GQ$500)))</f>
        <v/>
      </c>
      <c r="JR10" s="132">
        <f>IF(OR(JR$4="",$B10=""),0,SUMIF('DADOS BRUTOS'!$A$3:$A$500,$B10,'DADOS BRUTOS'!GR$3:GR$500)+IF($C10="",0,SUMIF('DADOS BRUTOS'!$A$3:$A$500,$C10,'DADOS BRUTOS'!GR$3:GR$500)))</f>
        <v/>
      </c>
      <c r="JS10" s="132">
        <f>IF(OR(JS$4="",$B10=""),0,SUMIF('DADOS BRUTOS'!$A$3:$A$500,$B10,'DADOS BRUTOS'!GS$3:GS$500)+IF($C10="",0,SUMIF('DADOS BRUTOS'!$A$3:$A$500,$C10,'DADOS BRUTOS'!GS$3:GS$500)))</f>
        <v/>
      </c>
    </row>
    <row r="11">
      <c r="A11" s="61">
        <f>'VALOR POR PL'!D17</f>
        <v/>
      </c>
      <c r="B11" s="59" t="inlineStr">
        <is>
          <t>DIVERSOS</t>
        </is>
      </c>
      <c r="C11" s="59" t="inlineStr">
        <is>
          <t>SERVIÇOS TERCEIRIZADOS</t>
        </is>
      </c>
      <c r="D11" s="54">
        <f>SUMIF($CB$4:$JS$4,"&lt;="&amp;D$4,$CB11:$JS11)</f>
        <v/>
      </c>
      <c r="E11" s="54">
        <f>SUMIF($CB$4:$JS$4,E$4,$CB11:$JS11)</f>
        <v/>
      </c>
      <c r="F11" s="54">
        <f>SUMIF($CB$4:$JS$4,F$4,$CB11:$JS11)</f>
        <v/>
      </c>
      <c r="G11" s="54">
        <f>SUMIF($CB$4:$JS$4,G$4,$CB11:$JS11)</f>
        <v/>
      </c>
      <c r="H11" s="54">
        <f>SUMIF($CB$4:$JS$4,H$4,$CB11:$JS11)</f>
        <v/>
      </c>
      <c r="I11" s="54">
        <f>SUMIF($CB$4:$JS$4,I$4,$CB11:$JS11)</f>
        <v/>
      </c>
      <c r="J11" s="54">
        <f>SUMIF($CB$4:$JS$4,J$4,$CB11:$JS11)</f>
        <v/>
      </c>
      <c r="K11" s="54">
        <f>SUMIF($CB$4:$JS$4,K$4,$CB11:$JS11)</f>
        <v/>
      </c>
      <c r="L11" s="54">
        <f>SUMIF($CB$4:$JS$4,L$4,$CB11:$JS11)</f>
        <v/>
      </c>
      <c r="M11" s="54">
        <f>SUMIF($CB$4:$JS$4,M$4,$CB11:$JS11)</f>
        <v/>
      </c>
      <c r="N11" s="54">
        <f>SUMIF($CB$4:$JS$4,N$4,$CB11:$JS11)</f>
        <v/>
      </c>
      <c r="O11" s="54">
        <f>SUMIF($CB$4:$JS$4,O$4,$CB11:$JS11)</f>
        <v/>
      </c>
      <c r="P11" s="54">
        <f>SUMIF($CB$4:$JS$4,P$4,$CB11:$JS11)</f>
        <v/>
      </c>
      <c r="Q11" s="54">
        <f>SUMIF($CB$4:$JS$4,Q$4,$CB11:$JS11)</f>
        <v/>
      </c>
      <c r="R11" s="54">
        <f>SUMIF($CB$4:$JS$4,R$4,$CB11:$JS11)</f>
        <v/>
      </c>
      <c r="S11" s="54">
        <f>SUMIF($CB$4:$JS$4,S$4,$CB11:$JS11)</f>
        <v/>
      </c>
      <c r="T11" s="54">
        <f>SUMIF($CB$4:$JS$4,T$4,$CB11:$JS11)</f>
        <v/>
      </c>
      <c r="U11" s="54">
        <f>SUMIF($CB$4:$JS$4,U$4,$CB11:$JS11)</f>
        <v/>
      </c>
      <c r="V11" s="54">
        <f>SUMIF($CB$4:$JS$4,V$4,$CB11:$JS11)</f>
        <v/>
      </c>
      <c r="W11" s="54">
        <f>SUMIF($CB$4:$JS$4,W$4,$CB11:$JS11)</f>
        <v/>
      </c>
      <c r="X11" s="54">
        <f>SUMIF($CB$4:$JS$4,X$4,$CB11:$JS11)</f>
        <v/>
      </c>
      <c r="Y11" s="54">
        <f>SUMIF($CB$4:$JS$4,Y$4,$CB11:$JS11)</f>
        <v/>
      </c>
      <c r="Z11" s="54">
        <f>SUMIF($CB$4:$JS$4,Z$4,$CB11:$JS11)</f>
        <v/>
      </c>
      <c r="AA11" s="54">
        <f>SUMIF($CB$4:$JS$4,AA$4,$CB11:$JS11)</f>
        <v/>
      </c>
      <c r="AB11" s="54">
        <f>SUMIF($CB$4:$JS$4,AB$4,$CB11:$JS11)</f>
        <v/>
      </c>
      <c r="AC11" s="54">
        <f>SUMIF($CB$4:$JS$4,AC$4,$CB11:$JS11)</f>
        <v/>
      </c>
      <c r="AD11" s="54">
        <f>SUMIF($CB$4:$JS$4,AD$4,$CB11:$JS11)</f>
        <v/>
      </c>
      <c r="AE11" s="54">
        <f>SUMIF($CB$4:$JS$4,AE$4,$CB11:$JS11)</f>
        <v/>
      </c>
      <c r="AF11" s="54">
        <f>SUMIF($CB$4:$JS$4,AF$4,$CB11:$JS11)</f>
        <v/>
      </c>
      <c r="AG11" s="54">
        <f>SUMIF($CB$4:$JS$4,AG$4,$CB11:$JS11)</f>
        <v/>
      </c>
      <c r="AH11" s="54">
        <f>SUMIF($CB$4:$JS$4,AH$4,$CB11:$JS11)</f>
        <v/>
      </c>
      <c r="AI11" s="54">
        <f>SUMIF($CB$4:$JS$4,AI$4,$CB11:$JS11)</f>
        <v/>
      </c>
      <c r="AJ11" s="54">
        <f>SUMIF($CB$4:$JS$4,AJ$4,$CB11:$JS11)</f>
        <v/>
      </c>
      <c r="AK11" s="54">
        <f>SUMIF($CB$4:$JS$4,AK$4,$CB11:$JS11)</f>
        <v/>
      </c>
      <c r="AL11" s="54">
        <f>SUMIF($CB$4:$JS$4,AL$4,$CB11:$JS11)</f>
        <v/>
      </c>
      <c r="AM11" s="54">
        <f>SUMIF($CB$4:$JS$4,AM$4,$CB11:$JS11)</f>
        <v/>
      </c>
      <c r="AN11" s="54">
        <f>SUMIF($CB$4:$JS$4,AN$4,$CB11:$JS11)</f>
        <v/>
      </c>
      <c r="AO11" s="54">
        <f>SUMIF($CB$4:$JS$4,AO$4,$CB11:$JS11)</f>
        <v/>
      </c>
      <c r="AP11" s="54">
        <f>SUMIF($CB$4:$JS$4,AP$4,$CB11:$JS11)</f>
        <v/>
      </c>
      <c r="AQ11" s="54">
        <f>SUMIF($CB$4:$JS$4,AQ$4,$CB11:$JS11)</f>
        <v/>
      </c>
      <c r="AR11" s="54">
        <f>SUMIF($CB$4:$JS$4,AR$4,$CB11:$JS11)</f>
        <v/>
      </c>
      <c r="AS11" s="54">
        <f>SUMIF($CB$4:$JS$4,AS$4,$CB11:$JS11)</f>
        <v/>
      </c>
      <c r="AT11" s="54">
        <f>SUMIF($CB$4:$JS$4,AT$4,$CB11:$JS11)</f>
        <v/>
      </c>
      <c r="AU11" s="54">
        <f>SUMIF($CB$4:$JS$4,AU$4,$CB11:$JS11)</f>
        <v/>
      </c>
      <c r="AV11" s="54">
        <f>SUMIF($CB$4:$JS$4,AV$4,$CB11:$JS11)</f>
        <v/>
      </c>
      <c r="AW11" s="54">
        <f>SUMIF($CB$4:$JS$4,AW$4,$CB11:$JS11)</f>
        <v/>
      </c>
      <c r="AX11" s="54">
        <f>SUMIF($CB$4:$JS$4,AX$4,$CB11:$JS11)</f>
        <v/>
      </c>
      <c r="AY11" s="54">
        <f>SUMIF($CB$4:$JS$4,AY$4,$CB11:$JS11)</f>
        <v/>
      </c>
      <c r="AZ11" s="54">
        <f>SUMIF($CB$4:$JS$4,AZ$4,$CB11:$JS11)</f>
        <v/>
      </c>
      <c r="BA11" s="54">
        <f>SUMIF($CB$4:$JS$4,BA$4,$CB11:$JS11)</f>
        <v/>
      </c>
      <c r="BB11" s="54">
        <f>SUMIF($CB$4:$JS$4,BB$4,$CB11:$JS11)</f>
        <v/>
      </c>
      <c r="BC11" s="54">
        <f>SUMIF($CB$4:$JS$4,BC$4,$CB11:$JS11)</f>
        <v/>
      </c>
      <c r="BD11" s="54">
        <f>SUMIF($CB$4:$JS$4,BD$4,$CB11:$JS11)</f>
        <v/>
      </c>
      <c r="BE11" s="54">
        <f>SUMIF($CB$4:$JS$4,BE$4,$CB11:$JS11)</f>
        <v/>
      </c>
      <c r="BF11" s="54">
        <f>SUMIF($CB$4:$JS$4,BF$4,$CB11:$JS11)</f>
        <v/>
      </c>
      <c r="BG11" s="54">
        <f>SUMIF($CB$4:$JS$4,BG$4,$CB11:$JS11)</f>
        <v/>
      </c>
      <c r="BH11" s="54">
        <f>SUMIF($CB$4:$JS$4,BH$4,$CB11:$JS11)</f>
        <v/>
      </c>
      <c r="BI11" s="54">
        <f>SUMIF($CB$4:$JS$4,BI$4,$CB11:$JS11)</f>
        <v/>
      </c>
      <c r="BJ11" s="54">
        <f>SUMIF($CB$4:$JS$4,BJ$4,$CB11:$JS11)</f>
        <v/>
      </c>
      <c r="BK11" s="54">
        <f>SUMIF($CB$4:$JS$4,BK$4,$CB11:$JS11)</f>
        <v/>
      </c>
      <c r="BL11" s="54">
        <f>SUMIF($CB$4:$JS$4,BL$4,$CB11:$JS11)</f>
        <v/>
      </c>
      <c r="BM11" s="54">
        <f>SUMIF($CB$4:$JS$4,BM$4,$CB11:$JS11)</f>
        <v/>
      </c>
      <c r="BN11" s="54">
        <f>SUMIF($CB$4:$JS$4,BN$4,$CB11:$JS11)</f>
        <v/>
      </c>
      <c r="BO11" s="54">
        <f>SUMIF($CB$4:$JS$4,BO$4,$CB11:$JS11)</f>
        <v/>
      </c>
      <c r="BP11" s="54">
        <f>SUMIF($CB$4:$JS$4,BP$4,$CB11:$JS11)</f>
        <v/>
      </c>
      <c r="BQ11" s="54">
        <f>SUMIF($CB$4:$JS$4,BQ$4,$CB11:$JS11)</f>
        <v/>
      </c>
      <c r="BR11" s="54">
        <f>SUMIF($CB$4:$JS$4,BR$4,$CB11:$JS11)</f>
        <v/>
      </c>
      <c r="BS11" s="54">
        <f>SUMIF($CB$4:$JS$4,BS$4,$CB11:$JS11)</f>
        <v/>
      </c>
      <c r="BT11" s="54">
        <f>SUMIF($CB$4:$JS$4,BT$4,$CB11:$JS11)</f>
        <v/>
      </c>
      <c r="BU11" s="54">
        <f>SUMIF($CB$4:$JS$4,BU$4,$CB11:$JS11)</f>
        <v/>
      </c>
      <c r="BV11" s="54">
        <f>SUMIF($CB$4:$JS$4,BV$4,$CB11:$JS11)</f>
        <v/>
      </c>
      <c r="BW11" s="54">
        <f>SUMIF($CB$4:$JS$4,BW$4,$CB11:$JS11)</f>
        <v/>
      </c>
      <c r="BX11" s="54">
        <f>SUMIF($CB$4:$JS$4,"&gt;"&amp;'VALOR POR PL'!$P$8,$CB11:$JS11)</f>
        <v/>
      </c>
      <c r="BY11" s="54">
        <f>SUM($CB11:$JS11)</f>
        <v/>
      </c>
      <c r="BZ11" s="49">
        <f>SUMPRODUCT(($CB$4:$JS$4&lt;&gt;"")*($CB$4:$JS$4&lt;=$D$4),$CB11:$JS11,$CB$1:$JS$1)</f>
        <v/>
      </c>
      <c r="CB11" s="132">
        <f>IF(OR(CB$4="",$B11=""),0,SUMIF('DADOS BRUTOS'!$A$3:$A$500,$B11,'DADOS BRUTOS'!B$3:B$500)+IF($C11="",0,SUMIF('DADOS BRUTOS'!$A$3:$A$500,$C11,'DADOS BRUTOS'!B$3:B$500)))</f>
        <v/>
      </c>
      <c r="CC11" s="132">
        <f>IF(OR(CC$4="",$B11=""),0,SUMIF('DADOS BRUTOS'!$A$3:$A$500,$B11,'DADOS BRUTOS'!C$3:C$500)+IF($C11="",0,SUMIF('DADOS BRUTOS'!$A$3:$A$500,$C11,'DADOS BRUTOS'!C$3:C$500)))</f>
        <v/>
      </c>
      <c r="CD11" s="132">
        <f>IF(OR(CD$4="",$B11=""),0,SUMIF('DADOS BRUTOS'!$A$3:$A$500,$B11,'DADOS BRUTOS'!D$3:D$500)+IF($C11="",0,SUMIF('DADOS BRUTOS'!$A$3:$A$500,$C11,'DADOS BRUTOS'!D$3:D$500)))</f>
        <v/>
      </c>
      <c r="CE11" s="132">
        <f>IF(OR(CE$4="",$B11=""),0,SUMIF('DADOS BRUTOS'!$A$3:$A$500,$B11,'DADOS BRUTOS'!E$3:E$500)+IF($C11="",0,SUMIF('DADOS BRUTOS'!$A$3:$A$500,$C11,'DADOS BRUTOS'!E$3:E$500)))</f>
        <v/>
      </c>
      <c r="CF11" s="132">
        <f>IF(OR(CF$4="",$B11=""),0,SUMIF('DADOS BRUTOS'!$A$3:$A$500,$B11,'DADOS BRUTOS'!F$3:F$500)+IF($C11="",0,SUMIF('DADOS BRUTOS'!$A$3:$A$500,$C11,'DADOS BRUTOS'!F$3:F$500)))</f>
        <v/>
      </c>
      <c r="CG11" s="132">
        <f>IF(OR(CG$4="",$B11=""),0,SUMIF('DADOS BRUTOS'!$A$3:$A$500,$B11,'DADOS BRUTOS'!G$3:G$500)+IF($C11="",0,SUMIF('DADOS BRUTOS'!$A$3:$A$500,$C11,'DADOS BRUTOS'!G$3:G$500)))</f>
        <v/>
      </c>
      <c r="CH11" s="132">
        <f>IF(OR(CH$4="",$B11=""),0,SUMIF('DADOS BRUTOS'!$A$3:$A$500,$B11,'DADOS BRUTOS'!H$3:H$500)+IF($C11="",0,SUMIF('DADOS BRUTOS'!$A$3:$A$500,$C11,'DADOS BRUTOS'!H$3:H$500)))</f>
        <v/>
      </c>
      <c r="CI11" s="132">
        <f>IF(OR(CI$4="",$B11=""),0,SUMIF('DADOS BRUTOS'!$A$3:$A$500,$B11,'DADOS BRUTOS'!I$3:I$500)+IF($C11="",0,SUMIF('DADOS BRUTOS'!$A$3:$A$500,$C11,'DADOS BRUTOS'!I$3:I$500)))</f>
        <v/>
      </c>
      <c r="CJ11" s="132">
        <f>IF(OR(CJ$4="",$B11=""),0,SUMIF('DADOS BRUTOS'!$A$3:$A$500,$B11,'DADOS BRUTOS'!J$3:J$500)+IF($C11="",0,SUMIF('DADOS BRUTOS'!$A$3:$A$500,$C11,'DADOS BRUTOS'!J$3:J$500)))</f>
        <v/>
      </c>
      <c r="CK11" s="132">
        <f>IF(OR(CK$4="",$B11=""),0,SUMIF('DADOS BRUTOS'!$A$3:$A$500,$B11,'DADOS BRUTOS'!K$3:K$500)+IF($C11="",0,SUMIF('DADOS BRUTOS'!$A$3:$A$500,$C11,'DADOS BRUTOS'!K$3:K$500)))</f>
        <v/>
      </c>
      <c r="CL11" s="132">
        <f>IF(OR(CL$4="",$B11=""),0,SUMIF('DADOS BRUTOS'!$A$3:$A$500,$B11,'DADOS BRUTOS'!L$3:L$500)+IF($C11="",0,SUMIF('DADOS BRUTOS'!$A$3:$A$500,$C11,'DADOS BRUTOS'!L$3:L$500)))</f>
        <v/>
      </c>
      <c r="CM11" s="132">
        <f>IF(OR(CM$4="",$B11=""),0,SUMIF('DADOS BRUTOS'!$A$3:$A$500,$B11,'DADOS BRUTOS'!M$3:M$500)+IF($C11="",0,SUMIF('DADOS BRUTOS'!$A$3:$A$500,$C11,'DADOS BRUTOS'!M$3:M$500)))</f>
        <v/>
      </c>
      <c r="CN11" s="132">
        <f>IF(OR(CN$4="",$B11=""),0,SUMIF('DADOS BRUTOS'!$A$3:$A$500,$B11,'DADOS BRUTOS'!N$3:N$500)+IF($C11="",0,SUMIF('DADOS BRUTOS'!$A$3:$A$500,$C11,'DADOS BRUTOS'!N$3:N$500)))</f>
        <v/>
      </c>
      <c r="CO11" s="132">
        <f>IF(OR(CO$4="",$B11=""),0,SUMIF('DADOS BRUTOS'!$A$3:$A$500,$B11,'DADOS BRUTOS'!O$3:O$500)+IF($C11="",0,SUMIF('DADOS BRUTOS'!$A$3:$A$500,$C11,'DADOS BRUTOS'!O$3:O$500)))</f>
        <v/>
      </c>
      <c r="CP11" s="132">
        <f>IF(OR(CP$4="",$B11=""),0,SUMIF('DADOS BRUTOS'!$A$3:$A$500,$B11,'DADOS BRUTOS'!P$3:P$500)+IF($C11="",0,SUMIF('DADOS BRUTOS'!$A$3:$A$500,$C11,'DADOS BRUTOS'!P$3:P$500)))</f>
        <v/>
      </c>
      <c r="CQ11" s="132">
        <f>IF(OR(CQ$4="",$B11=""),0,SUMIF('DADOS BRUTOS'!$A$3:$A$500,$B11,'DADOS BRUTOS'!Q$3:Q$500)+IF($C11="",0,SUMIF('DADOS BRUTOS'!$A$3:$A$500,$C11,'DADOS BRUTOS'!Q$3:Q$500)))</f>
        <v/>
      </c>
      <c r="CR11" s="132">
        <f>IF(OR(CR$4="",$B11=""),0,SUMIF('DADOS BRUTOS'!$A$3:$A$500,$B11,'DADOS BRUTOS'!R$3:R$500)+IF($C11="",0,SUMIF('DADOS BRUTOS'!$A$3:$A$500,$C11,'DADOS BRUTOS'!R$3:R$500)))</f>
        <v/>
      </c>
      <c r="CS11" s="132">
        <f>IF(OR(CS$4="",$B11=""),0,SUMIF('DADOS BRUTOS'!$A$3:$A$500,$B11,'DADOS BRUTOS'!S$3:S$500)+IF($C11="",0,SUMIF('DADOS BRUTOS'!$A$3:$A$500,$C11,'DADOS BRUTOS'!S$3:S$500)))</f>
        <v/>
      </c>
      <c r="CT11" s="132">
        <f>IF(OR(CT$4="",$B11=""),0,SUMIF('DADOS BRUTOS'!$A$3:$A$500,$B11,'DADOS BRUTOS'!T$3:T$500)+IF($C11="",0,SUMIF('DADOS BRUTOS'!$A$3:$A$500,$C11,'DADOS BRUTOS'!T$3:T$500)))</f>
        <v/>
      </c>
      <c r="CU11" s="132">
        <f>IF(OR(CU$4="",$B11=""),0,SUMIF('DADOS BRUTOS'!$A$3:$A$500,$B11,'DADOS BRUTOS'!U$3:U$500)+IF($C11="",0,SUMIF('DADOS BRUTOS'!$A$3:$A$500,$C11,'DADOS BRUTOS'!U$3:U$500)))</f>
        <v/>
      </c>
      <c r="CV11" s="132">
        <f>IF(OR(CV$4="",$B11=""),0,SUMIF('DADOS BRUTOS'!$A$3:$A$500,$B11,'DADOS BRUTOS'!V$3:V$500)+IF($C11="",0,SUMIF('DADOS BRUTOS'!$A$3:$A$500,$C11,'DADOS BRUTOS'!V$3:V$500)))</f>
        <v/>
      </c>
      <c r="CW11" s="132">
        <f>IF(OR(CW$4="",$B11=""),0,SUMIF('DADOS BRUTOS'!$A$3:$A$500,$B11,'DADOS BRUTOS'!W$3:W$500)+IF($C11="",0,SUMIF('DADOS BRUTOS'!$A$3:$A$500,$C11,'DADOS BRUTOS'!W$3:W$500)))</f>
        <v/>
      </c>
      <c r="CX11" s="132">
        <f>IF(OR(CX$4="",$B11=""),0,SUMIF('DADOS BRUTOS'!$A$3:$A$500,$B11,'DADOS BRUTOS'!X$3:X$500)+IF($C11="",0,SUMIF('DADOS BRUTOS'!$A$3:$A$500,$C11,'DADOS BRUTOS'!X$3:X$500)))</f>
        <v/>
      </c>
      <c r="CY11" s="132">
        <f>IF(OR(CY$4="",$B11=""),0,SUMIF('DADOS BRUTOS'!$A$3:$A$500,$B11,'DADOS BRUTOS'!Y$3:Y$500)+IF($C11="",0,SUMIF('DADOS BRUTOS'!$A$3:$A$500,$C11,'DADOS BRUTOS'!Y$3:Y$500)))</f>
        <v/>
      </c>
      <c r="CZ11" s="132">
        <f>IF(OR(CZ$4="",$B11=""),0,SUMIF('DADOS BRUTOS'!$A$3:$A$500,$B11,'DADOS BRUTOS'!Z$3:Z$500)+IF($C11="",0,SUMIF('DADOS BRUTOS'!$A$3:$A$500,$C11,'DADOS BRUTOS'!Z$3:Z$500)))</f>
        <v/>
      </c>
      <c r="DA11" s="132">
        <f>IF(OR(DA$4="",$B11=""),0,SUMIF('DADOS BRUTOS'!$A$3:$A$500,$B11,'DADOS BRUTOS'!AA$3:AA$500)+IF($C11="",0,SUMIF('DADOS BRUTOS'!$A$3:$A$500,$C11,'DADOS BRUTOS'!AA$3:AA$500)))</f>
        <v/>
      </c>
      <c r="DB11" s="132">
        <f>IF(OR(DB$4="",$B11=""),0,SUMIF('DADOS BRUTOS'!$A$3:$A$500,$B11,'DADOS BRUTOS'!AB$3:AB$500)+IF($C11="",0,SUMIF('DADOS BRUTOS'!$A$3:$A$500,$C11,'DADOS BRUTOS'!AB$3:AB$500)))</f>
        <v/>
      </c>
      <c r="DC11" s="132">
        <f>IF(OR(DC$4="",$B11=""),0,SUMIF('DADOS BRUTOS'!$A$3:$A$500,$B11,'DADOS BRUTOS'!AC$3:AC$500)+IF($C11="",0,SUMIF('DADOS BRUTOS'!$A$3:$A$500,$C11,'DADOS BRUTOS'!AC$3:AC$500)))</f>
        <v/>
      </c>
      <c r="DD11" s="132">
        <f>IF(OR(DD$4="",$B11=""),0,SUMIF('DADOS BRUTOS'!$A$3:$A$500,$B11,'DADOS BRUTOS'!AD$3:AD$500)+IF($C11="",0,SUMIF('DADOS BRUTOS'!$A$3:$A$500,$C11,'DADOS BRUTOS'!AD$3:AD$500)))</f>
        <v/>
      </c>
      <c r="DE11" s="132">
        <f>IF(OR(DE$4="",$B11=""),0,SUMIF('DADOS BRUTOS'!$A$3:$A$500,$B11,'DADOS BRUTOS'!AE$3:AE$500)+IF($C11="",0,SUMIF('DADOS BRUTOS'!$A$3:$A$500,$C11,'DADOS BRUTOS'!AE$3:AE$500)))</f>
        <v/>
      </c>
      <c r="DF11" s="132">
        <f>IF(OR(DF$4="",$B11=""),0,SUMIF('DADOS BRUTOS'!$A$3:$A$500,$B11,'DADOS BRUTOS'!AF$3:AF$500)+IF($C11="",0,SUMIF('DADOS BRUTOS'!$A$3:$A$500,$C11,'DADOS BRUTOS'!AF$3:AF$500)))</f>
        <v/>
      </c>
      <c r="DG11" s="132">
        <f>IF(OR(DG$4="",$B11=""),0,SUMIF('DADOS BRUTOS'!$A$3:$A$500,$B11,'DADOS BRUTOS'!AG$3:AG$500)+IF($C11="",0,SUMIF('DADOS BRUTOS'!$A$3:$A$500,$C11,'DADOS BRUTOS'!AG$3:AG$500)))</f>
        <v/>
      </c>
      <c r="DH11" s="132">
        <f>IF(OR(DH$4="",$B11=""),0,SUMIF('DADOS BRUTOS'!$A$3:$A$500,$B11,'DADOS BRUTOS'!AH$3:AH$500)+IF($C11="",0,SUMIF('DADOS BRUTOS'!$A$3:$A$500,$C11,'DADOS BRUTOS'!AH$3:AH$500)))</f>
        <v/>
      </c>
      <c r="DI11" s="132">
        <f>IF(OR(DI$4="",$B11=""),0,SUMIF('DADOS BRUTOS'!$A$3:$A$500,$B11,'DADOS BRUTOS'!AI$3:AI$500)+IF($C11="",0,SUMIF('DADOS BRUTOS'!$A$3:$A$500,$C11,'DADOS BRUTOS'!AI$3:AI$500)))</f>
        <v/>
      </c>
      <c r="DJ11" s="132">
        <f>IF(OR(DJ$4="",$B11=""),0,SUMIF('DADOS BRUTOS'!$A$3:$A$500,$B11,'DADOS BRUTOS'!AJ$3:AJ$500)+IF($C11="",0,SUMIF('DADOS BRUTOS'!$A$3:$A$500,$C11,'DADOS BRUTOS'!AJ$3:AJ$500)))</f>
        <v/>
      </c>
      <c r="DK11" s="132">
        <f>IF(OR(DK$4="",$B11=""),0,SUMIF('DADOS BRUTOS'!$A$3:$A$500,$B11,'DADOS BRUTOS'!AK$3:AK$500)+IF($C11="",0,SUMIF('DADOS BRUTOS'!$A$3:$A$500,$C11,'DADOS BRUTOS'!AK$3:AK$500)))</f>
        <v/>
      </c>
      <c r="DL11" s="132">
        <f>IF(OR(DL$4="",$B11=""),0,SUMIF('DADOS BRUTOS'!$A$3:$A$500,$B11,'DADOS BRUTOS'!AL$3:AL$500)+IF($C11="",0,SUMIF('DADOS BRUTOS'!$A$3:$A$500,$C11,'DADOS BRUTOS'!AL$3:AL$500)))</f>
        <v/>
      </c>
      <c r="DM11" s="132">
        <f>IF(OR(DM$4="",$B11=""),0,SUMIF('DADOS BRUTOS'!$A$3:$A$500,$B11,'DADOS BRUTOS'!AM$3:AM$500)+IF($C11="",0,SUMIF('DADOS BRUTOS'!$A$3:$A$500,$C11,'DADOS BRUTOS'!AM$3:AM$500)))</f>
        <v/>
      </c>
      <c r="DN11" s="132">
        <f>IF(OR(DN$4="",$B11=""),0,SUMIF('DADOS BRUTOS'!$A$3:$A$500,$B11,'DADOS BRUTOS'!AN$3:AN$500)+IF($C11="",0,SUMIF('DADOS BRUTOS'!$A$3:$A$500,$C11,'DADOS BRUTOS'!AN$3:AN$500)))</f>
        <v/>
      </c>
      <c r="DO11" s="132">
        <f>IF(OR(DO$4="",$B11=""),0,SUMIF('DADOS BRUTOS'!$A$3:$A$500,$B11,'DADOS BRUTOS'!AO$3:AO$500)+IF($C11="",0,SUMIF('DADOS BRUTOS'!$A$3:$A$500,$C11,'DADOS BRUTOS'!AO$3:AO$500)))</f>
        <v/>
      </c>
      <c r="DP11" s="132">
        <f>IF(OR(DP$4="",$B11=""),0,SUMIF('DADOS BRUTOS'!$A$3:$A$500,$B11,'DADOS BRUTOS'!AP$3:AP$500)+IF($C11="",0,SUMIF('DADOS BRUTOS'!$A$3:$A$500,$C11,'DADOS BRUTOS'!AP$3:AP$500)))</f>
        <v/>
      </c>
      <c r="DQ11" s="132">
        <f>IF(OR(DQ$4="",$B11=""),0,SUMIF('DADOS BRUTOS'!$A$3:$A$500,$B11,'DADOS BRUTOS'!AQ$3:AQ$500)+IF($C11="",0,SUMIF('DADOS BRUTOS'!$A$3:$A$500,$C11,'DADOS BRUTOS'!AQ$3:AQ$500)))</f>
        <v/>
      </c>
      <c r="DR11" s="132">
        <f>IF(OR(DR$4="",$B11=""),0,SUMIF('DADOS BRUTOS'!$A$3:$A$500,$B11,'DADOS BRUTOS'!AR$3:AR$500)+IF($C11="",0,SUMIF('DADOS BRUTOS'!$A$3:$A$500,$C11,'DADOS BRUTOS'!AR$3:AR$500)))</f>
        <v/>
      </c>
      <c r="DS11" s="132">
        <f>IF(OR(DS$4="",$B11=""),0,SUMIF('DADOS BRUTOS'!$A$3:$A$500,$B11,'DADOS BRUTOS'!AS$3:AS$500)+IF($C11="",0,SUMIF('DADOS BRUTOS'!$A$3:$A$500,$C11,'DADOS BRUTOS'!AS$3:AS$500)))</f>
        <v/>
      </c>
      <c r="DT11" s="132">
        <f>IF(OR(DT$4="",$B11=""),0,SUMIF('DADOS BRUTOS'!$A$3:$A$500,$B11,'DADOS BRUTOS'!AT$3:AT$500)+IF($C11="",0,SUMIF('DADOS BRUTOS'!$A$3:$A$500,$C11,'DADOS BRUTOS'!AT$3:AT$500)))</f>
        <v/>
      </c>
      <c r="DU11" s="132">
        <f>IF(OR(DU$4="",$B11=""),0,SUMIF('DADOS BRUTOS'!$A$3:$A$500,$B11,'DADOS BRUTOS'!AU$3:AU$500)+IF($C11="",0,SUMIF('DADOS BRUTOS'!$A$3:$A$500,$C11,'DADOS BRUTOS'!AU$3:AU$500)))</f>
        <v/>
      </c>
      <c r="DV11" s="132">
        <f>IF(OR(DV$4="",$B11=""),0,SUMIF('DADOS BRUTOS'!$A$3:$A$500,$B11,'DADOS BRUTOS'!AV$3:AV$500)+IF($C11="",0,SUMIF('DADOS BRUTOS'!$A$3:$A$500,$C11,'DADOS BRUTOS'!AV$3:AV$500)))</f>
        <v/>
      </c>
      <c r="DW11" s="132">
        <f>IF(OR(DW$4="",$B11=""),0,SUMIF('DADOS BRUTOS'!$A$3:$A$500,$B11,'DADOS BRUTOS'!AW$3:AW$500)+IF($C11="",0,SUMIF('DADOS BRUTOS'!$A$3:$A$500,$C11,'DADOS BRUTOS'!AW$3:AW$500)))</f>
        <v/>
      </c>
      <c r="DX11" s="132">
        <f>IF(OR(DX$4="",$B11=""),0,SUMIF('DADOS BRUTOS'!$A$3:$A$500,$B11,'DADOS BRUTOS'!AX$3:AX$500)+IF($C11="",0,SUMIF('DADOS BRUTOS'!$A$3:$A$500,$C11,'DADOS BRUTOS'!AX$3:AX$500)))</f>
        <v/>
      </c>
      <c r="DY11" s="132">
        <f>IF(OR(DY$4="",$B11=""),0,SUMIF('DADOS BRUTOS'!$A$3:$A$500,$B11,'DADOS BRUTOS'!AY$3:AY$500)+IF($C11="",0,SUMIF('DADOS BRUTOS'!$A$3:$A$500,$C11,'DADOS BRUTOS'!AY$3:AY$500)))</f>
        <v/>
      </c>
      <c r="DZ11" s="132">
        <f>IF(OR(DZ$4="",$B11=""),0,SUMIF('DADOS BRUTOS'!$A$3:$A$500,$B11,'DADOS BRUTOS'!AZ$3:AZ$500)+IF($C11="",0,SUMIF('DADOS BRUTOS'!$A$3:$A$500,$C11,'DADOS BRUTOS'!AZ$3:AZ$500)))</f>
        <v/>
      </c>
      <c r="EA11" s="132">
        <f>IF(OR(EA$4="",$B11=""),0,SUMIF('DADOS BRUTOS'!$A$3:$A$500,$B11,'DADOS BRUTOS'!BA$3:BA$500)+IF($C11="",0,SUMIF('DADOS BRUTOS'!$A$3:$A$500,$C11,'DADOS BRUTOS'!BA$3:BA$500)))</f>
        <v/>
      </c>
      <c r="EB11" s="132">
        <f>IF(OR(EB$4="",$B11=""),0,SUMIF('DADOS BRUTOS'!$A$3:$A$500,$B11,'DADOS BRUTOS'!BB$3:BB$500)+IF($C11="",0,SUMIF('DADOS BRUTOS'!$A$3:$A$500,$C11,'DADOS BRUTOS'!BB$3:BB$500)))</f>
        <v/>
      </c>
      <c r="EC11" s="132">
        <f>IF(OR(EC$4="",$B11=""),0,SUMIF('DADOS BRUTOS'!$A$3:$A$500,$B11,'DADOS BRUTOS'!BC$3:BC$500)+IF($C11="",0,SUMIF('DADOS BRUTOS'!$A$3:$A$500,$C11,'DADOS BRUTOS'!BC$3:BC$500)))</f>
        <v/>
      </c>
      <c r="ED11" s="132">
        <f>IF(OR(ED$4="",$B11=""),0,SUMIF('DADOS BRUTOS'!$A$3:$A$500,$B11,'DADOS BRUTOS'!BD$3:BD$500)+IF($C11="",0,SUMIF('DADOS BRUTOS'!$A$3:$A$500,$C11,'DADOS BRUTOS'!BD$3:BD$500)))</f>
        <v/>
      </c>
      <c r="EE11" s="132">
        <f>IF(OR(EE$4="",$B11=""),0,SUMIF('DADOS BRUTOS'!$A$3:$A$500,$B11,'DADOS BRUTOS'!BE$3:BE$500)+IF($C11="",0,SUMIF('DADOS BRUTOS'!$A$3:$A$500,$C11,'DADOS BRUTOS'!BE$3:BE$500)))</f>
        <v/>
      </c>
      <c r="EF11" s="132">
        <f>IF(OR(EF$4="",$B11=""),0,SUMIF('DADOS BRUTOS'!$A$3:$A$500,$B11,'DADOS BRUTOS'!BF$3:BF$500)+IF($C11="",0,SUMIF('DADOS BRUTOS'!$A$3:$A$500,$C11,'DADOS BRUTOS'!BF$3:BF$500)))</f>
        <v/>
      </c>
      <c r="EG11" s="132">
        <f>IF(OR(EG$4="",$B11=""),0,SUMIF('DADOS BRUTOS'!$A$3:$A$500,$B11,'DADOS BRUTOS'!BG$3:BG$500)+IF($C11="",0,SUMIF('DADOS BRUTOS'!$A$3:$A$500,$C11,'DADOS BRUTOS'!BG$3:BG$500)))</f>
        <v/>
      </c>
      <c r="EH11" s="132">
        <f>IF(OR(EH$4="",$B11=""),0,SUMIF('DADOS BRUTOS'!$A$3:$A$500,$B11,'DADOS BRUTOS'!BH$3:BH$500)+IF($C11="",0,SUMIF('DADOS BRUTOS'!$A$3:$A$500,$C11,'DADOS BRUTOS'!BH$3:BH$500)))</f>
        <v/>
      </c>
      <c r="EI11" s="132">
        <f>IF(OR(EI$4="",$B11=""),0,SUMIF('DADOS BRUTOS'!$A$3:$A$500,$B11,'DADOS BRUTOS'!BI$3:BI$500)+IF($C11="",0,SUMIF('DADOS BRUTOS'!$A$3:$A$500,$C11,'DADOS BRUTOS'!BI$3:BI$500)))</f>
        <v/>
      </c>
      <c r="EJ11" s="132">
        <f>IF(OR(EJ$4="",$B11=""),0,SUMIF('DADOS BRUTOS'!$A$3:$A$500,$B11,'DADOS BRUTOS'!BJ$3:BJ$500)+IF($C11="",0,SUMIF('DADOS BRUTOS'!$A$3:$A$500,$C11,'DADOS BRUTOS'!BJ$3:BJ$500)))</f>
        <v/>
      </c>
      <c r="EK11" s="132">
        <f>IF(OR(EK$4="",$B11=""),0,SUMIF('DADOS BRUTOS'!$A$3:$A$500,$B11,'DADOS BRUTOS'!BK$3:BK$500)+IF($C11="",0,SUMIF('DADOS BRUTOS'!$A$3:$A$500,$C11,'DADOS BRUTOS'!BK$3:BK$500)))</f>
        <v/>
      </c>
      <c r="EL11" s="132">
        <f>IF(OR(EL$4="",$B11=""),0,SUMIF('DADOS BRUTOS'!$A$3:$A$500,$B11,'DADOS BRUTOS'!BL$3:BL$500)+IF($C11="",0,SUMIF('DADOS BRUTOS'!$A$3:$A$500,$C11,'DADOS BRUTOS'!BL$3:BL$500)))</f>
        <v/>
      </c>
      <c r="EM11" s="132">
        <f>IF(OR(EM$4="",$B11=""),0,SUMIF('DADOS BRUTOS'!$A$3:$A$500,$B11,'DADOS BRUTOS'!BM$3:BM$500)+IF($C11="",0,SUMIF('DADOS BRUTOS'!$A$3:$A$500,$C11,'DADOS BRUTOS'!BM$3:BM$500)))</f>
        <v/>
      </c>
      <c r="EN11" s="132">
        <f>IF(OR(EN$4="",$B11=""),0,SUMIF('DADOS BRUTOS'!$A$3:$A$500,$B11,'DADOS BRUTOS'!BN$3:BN$500)+IF($C11="",0,SUMIF('DADOS BRUTOS'!$A$3:$A$500,$C11,'DADOS BRUTOS'!BN$3:BN$500)))</f>
        <v/>
      </c>
      <c r="EO11" s="132">
        <f>IF(OR(EO$4="",$B11=""),0,SUMIF('DADOS BRUTOS'!$A$3:$A$500,$B11,'DADOS BRUTOS'!BO$3:BO$500)+IF($C11="",0,SUMIF('DADOS BRUTOS'!$A$3:$A$500,$C11,'DADOS BRUTOS'!BO$3:BO$500)))</f>
        <v/>
      </c>
      <c r="EP11" s="132">
        <f>IF(OR(EP$4="",$B11=""),0,SUMIF('DADOS BRUTOS'!$A$3:$A$500,$B11,'DADOS BRUTOS'!BP$3:BP$500)+IF($C11="",0,SUMIF('DADOS BRUTOS'!$A$3:$A$500,$C11,'DADOS BRUTOS'!BP$3:BP$500)))</f>
        <v/>
      </c>
      <c r="EQ11" s="132">
        <f>IF(OR(EQ$4="",$B11=""),0,SUMIF('DADOS BRUTOS'!$A$3:$A$500,$B11,'DADOS BRUTOS'!BQ$3:BQ$500)+IF($C11="",0,SUMIF('DADOS BRUTOS'!$A$3:$A$500,$C11,'DADOS BRUTOS'!BQ$3:BQ$500)))</f>
        <v/>
      </c>
      <c r="ER11" s="132">
        <f>IF(OR(ER$4="",$B11=""),0,SUMIF('DADOS BRUTOS'!$A$3:$A$500,$B11,'DADOS BRUTOS'!BR$3:BR$500)+IF($C11="",0,SUMIF('DADOS BRUTOS'!$A$3:$A$500,$C11,'DADOS BRUTOS'!BR$3:BR$500)))</f>
        <v/>
      </c>
      <c r="ES11" s="132">
        <f>IF(OR(ES$4="",$B11=""),0,SUMIF('DADOS BRUTOS'!$A$3:$A$500,$B11,'DADOS BRUTOS'!BS$3:BS$500)+IF($C11="",0,SUMIF('DADOS BRUTOS'!$A$3:$A$500,$C11,'DADOS BRUTOS'!BS$3:BS$500)))</f>
        <v/>
      </c>
      <c r="ET11" s="132">
        <f>IF(OR(ET$4="",$B11=""),0,SUMIF('DADOS BRUTOS'!$A$3:$A$500,$B11,'DADOS BRUTOS'!BT$3:BT$500)+IF($C11="",0,SUMIF('DADOS BRUTOS'!$A$3:$A$500,$C11,'DADOS BRUTOS'!BT$3:BT$500)))</f>
        <v/>
      </c>
      <c r="EU11" s="132">
        <f>IF(OR(EU$4="",$B11=""),0,SUMIF('DADOS BRUTOS'!$A$3:$A$500,$B11,'DADOS BRUTOS'!BU$3:BU$500)+IF($C11="",0,SUMIF('DADOS BRUTOS'!$A$3:$A$500,$C11,'DADOS BRUTOS'!BU$3:BU$500)))</f>
        <v/>
      </c>
      <c r="EV11" s="132">
        <f>IF(OR(EV$4="",$B11=""),0,SUMIF('DADOS BRUTOS'!$A$3:$A$500,$B11,'DADOS BRUTOS'!BV$3:BV$500)+IF($C11="",0,SUMIF('DADOS BRUTOS'!$A$3:$A$500,$C11,'DADOS BRUTOS'!BV$3:BV$500)))</f>
        <v/>
      </c>
      <c r="EW11" s="132">
        <f>IF(OR(EW$4="",$B11=""),0,SUMIF('DADOS BRUTOS'!$A$3:$A$500,$B11,'DADOS BRUTOS'!BW$3:BW$500)+IF($C11="",0,SUMIF('DADOS BRUTOS'!$A$3:$A$500,$C11,'DADOS BRUTOS'!BW$3:BW$500)))</f>
        <v/>
      </c>
      <c r="EX11" s="132">
        <f>IF(OR(EX$4="",$B11=""),0,SUMIF('DADOS BRUTOS'!$A$3:$A$500,$B11,'DADOS BRUTOS'!BX$3:BX$500)+IF($C11="",0,SUMIF('DADOS BRUTOS'!$A$3:$A$500,$C11,'DADOS BRUTOS'!BX$3:BX$500)))</f>
        <v/>
      </c>
      <c r="EY11" s="132">
        <f>IF(OR(EY$4="",$B11=""),0,SUMIF('DADOS BRUTOS'!$A$3:$A$500,$B11,'DADOS BRUTOS'!BY$3:BY$500)+IF($C11="",0,SUMIF('DADOS BRUTOS'!$A$3:$A$500,$C11,'DADOS BRUTOS'!BY$3:BY$500)))</f>
        <v/>
      </c>
      <c r="EZ11" s="132">
        <f>IF(OR(EZ$4="",$B11=""),0,SUMIF('DADOS BRUTOS'!$A$3:$A$500,$B11,'DADOS BRUTOS'!BZ$3:BZ$500)+IF($C11="",0,SUMIF('DADOS BRUTOS'!$A$3:$A$500,$C11,'DADOS BRUTOS'!BZ$3:BZ$500)))</f>
        <v/>
      </c>
      <c r="FA11" s="132">
        <f>IF(OR(FA$4="",$B11=""),0,SUMIF('DADOS BRUTOS'!$A$3:$A$500,$B11,'DADOS BRUTOS'!CA$3:CA$500)+IF($C11="",0,SUMIF('DADOS BRUTOS'!$A$3:$A$500,$C11,'DADOS BRUTOS'!CA$3:CA$500)))</f>
        <v/>
      </c>
      <c r="FB11" s="132">
        <f>IF(OR(FB$4="",$B11=""),0,SUMIF('DADOS BRUTOS'!$A$3:$A$500,$B11,'DADOS BRUTOS'!CB$3:CB$500)+IF($C11="",0,SUMIF('DADOS BRUTOS'!$A$3:$A$500,$C11,'DADOS BRUTOS'!CB$3:CB$500)))</f>
        <v/>
      </c>
      <c r="FC11" s="132">
        <f>IF(OR(FC$4="",$B11=""),0,SUMIF('DADOS BRUTOS'!$A$3:$A$500,$B11,'DADOS BRUTOS'!CC$3:CC$500)+IF($C11="",0,SUMIF('DADOS BRUTOS'!$A$3:$A$500,$C11,'DADOS BRUTOS'!CC$3:CC$500)))</f>
        <v/>
      </c>
      <c r="FD11" s="132">
        <f>IF(OR(FD$4="",$B11=""),0,SUMIF('DADOS BRUTOS'!$A$3:$A$500,$B11,'DADOS BRUTOS'!CD$3:CD$500)+IF($C11="",0,SUMIF('DADOS BRUTOS'!$A$3:$A$500,$C11,'DADOS BRUTOS'!CD$3:CD$500)))</f>
        <v/>
      </c>
      <c r="FE11" s="132">
        <f>IF(OR(FE$4="",$B11=""),0,SUMIF('DADOS BRUTOS'!$A$3:$A$500,$B11,'DADOS BRUTOS'!CE$3:CE$500)+IF($C11="",0,SUMIF('DADOS BRUTOS'!$A$3:$A$500,$C11,'DADOS BRUTOS'!CE$3:CE$500)))</f>
        <v/>
      </c>
      <c r="FF11" s="132">
        <f>IF(OR(FF$4="",$B11=""),0,SUMIF('DADOS BRUTOS'!$A$3:$A$500,$B11,'DADOS BRUTOS'!CF$3:CF$500)+IF($C11="",0,SUMIF('DADOS BRUTOS'!$A$3:$A$500,$C11,'DADOS BRUTOS'!CF$3:CF$500)))</f>
        <v/>
      </c>
      <c r="FG11" s="132">
        <f>IF(OR(FG$4="",$B11=""),0,SUMIF('DADOS BRUTOS'!$A$3:$A$500,$B11,'DADOS BRUTOS'!CG$3:CG$500)+IF($C11="",0,SUMIF('DADOS BRUTOS'!$A$3:$A$500,$C11,'DADOS BRUTOS'!CG$3:CG$500)))</f>
        <v/>
      </c>
      <c r="FH11" s="132">
        <f>IF(OR(FH$4="",$B11=""),0,SUMIF('DADOS BRUTOS'!$A$3:$A$500,$B11,'DADOS BRUTOS'!CH$3:CH$500)+IF($C11="",0,SUMIF('DADOS BRUTOS'!$A$3:$A$500,$C11,'DADOS BRUTOS'!CH$3:CH$500)))</f>
        <v/>
      </c>
      <c r="FI11" s="132">
        <f>IF(OR(FI$4="",$B11=""),0,SUMIF('DADOS BRUTOS'!$A$3:$A$500,$B11,'DADOS BRUTOS'!CI$3:CI$500)+IF($C11="",0,SUMIF('DADOS BRUTOS'!$A$3:$A$500,$C11,'DADOS BRUTOS'!CI$3:CI$500)))</f>
        <v/>
      </c>
      <c r="FJ11" s="132">
        <f>IF(OR(FJ$4="",$B11=""),0,SUMIF('DADOS BRUTOS'!$A$3:$A$500,$B11,'DADOS BRUTOS'!CJ$3:CJ$500)+IF($C11="",0,SUMIF('DADOS BRUTOS'!$A$3:$A$500,$C11,'DADOS BRUTOS'!CJ$3:CJ$500)))</f>
        <v/>
      </c>
      <c r="FK11" s="132">
        <f>IF(OR(FK$4="",$B11=""),0,SUMIF('DADOS BRUTOS'!$A$3:$A$500,$B11,'DADOS BRUTOS'!CK$3:CK$500)+IF($C11="",0,SUMIF('DADOS BRUTOS'!$A$3:$A$500,$C11,'DADOS BRUTOS'!CK$3:CK$500)))</f>
        <v/>
      </c>
      <c r="FL11" s="132">
        <f>IF(OR(FL$4="",$B11=""),0,SUMIF('DADOS BRUTOS'!$A$3:$A$500,$B11,'DADOS BRUTOS'!CL$3:CL$500)+IF($C11="",0,SUMIF('DADOS BRUTOS'!$A$3:$A$500,$C11,'DADOS BRUTOS'!CL$3:CL$500)))</f>
        <v/>
      </c>
      <c r="FM11" s="132">
        <f>IF(OR(FM$4="",$B11=""),0,SUMIF('DADOS BRUTOS'!$A$3:$A$500,$B11,'DADOS BRUTOS'!CM$3:CM$500)+IF($C11="",0,SUMIF('DADOS BRUTOS'!$A$3:$A$500,$C11,'DADOS BRUTOS'!CM$3:CM$500)))</f>
        <v/>
      </c>
      <c r="FN11" s="132">
        <f>IF(OR(FN$4="",$B11=""),0,SUMIF('DADOS BRUTOS'!$A$3:$A$500,$B11,'DADOS BRUTOS'!CN$3:CN$500)+IF($C11="",0,SUMIF('DADOS BRUTOS'!$A$3:$A$500,$C11,'DADOS BRUTOS'!CN$3:CN$500)))</f>
        <v/>
      </c>
      <c r="FO11" s="132">
        <f>IF(OR(FO$4="",$B11=""),0,SUMIF('DADOS BRUTOS'!$A$3:$A$500,$B11,'DADOS BRUTOS'!CO$3:CO$500)+IF($C11="",0,SUMIF('DADOS BRUTOS'!$A$3:$A$500,$C11,'DADOS BRUTOS'!CO$3:CO$500)))</f>
        <v/>
      </c>
      <c r="FP11" s="132">
        <f>IF(OR(FP$4="",$B11=""),0,SUMIF('DADOS BRUTOS'!$A$3:$A$500,$B11,'DADOS BRUTOS'!CP$3:CP$500)+IF($C11="",0,SUMIF('DADOS BRUTOS'!$A$3:$A$500,$C11,'DADOS BRUTOS'!CP$3:CP$500)))</f>
        <v/>
      </c>
      <c r="FQ11" s="132">
        <f>IF(OR(FQ$4="",$B11=""),0,SUMIF('DADOS BRUTOS'!$A$3:$A$500,$B11,'DADOS BRUTOS'!CQ$3:CQ$500)+IF($C11="",0,SUMIF('DADOS BRUTOS'!$A$3:$A$500,$C11,'DADOS BRUTOS'!CQ$3:CQ$500)))</f>
        <v/>
      </c>
      <c r="FR11" s="132">
        <f>IF(OR(FR$4="",$B11=""),0,SUMIF('DADOS BRUTOS'!$A$3:$A$500,$B11,'DADOS BRUTOS'!CR$3:CR$500)+IF($C11="",0,SUMIF('DADOS BRUTOS'!$A$3:$A$500,$C11,'DADOS BRUTOS'!CR$3:CR$500)))</f>
        <v/>
      </c>
      <c r="FS11" s="132">
        <f>IF(OR(FS$4="",$B11=""),0,SUMIF('DADOS BRUTOS'!$A$3:$A$500,$B11,'DADOS BRUTOS'!CS$3:CS$500)+IF($C11="",0,SUMIF('DADOS BRUTOS'!$A$3:$A$500,$C11,'DADOS BRUTOS'!CS$3:CS$500)))</f>
        <v/>
      </c>
      <c r="FT11" s="132">
        <f>IF(OR(FT$4="",$B11=""),0,SUMIF('DADOS BRUTOS'!$A$3:$A$500,$B11,'DADOS BRUTOS'!CT$3:CT$500)+IF($C11="",0,SUMIF('DADOS BRUTOS'!$A$3:$A$500,$C11,'DADOS BRUTOS'!CT$3:CT$500)))</f>
        <v/>
      </c>
      <c r="FU11" s="132">
        <f>IF(OR(FU$4="",$B11=""),0,SUMIF('DADOS BRUTOS'!$A$3:$A$500,$B11,'DADOS BRUTOS'!CU$3:CU$500)+IF($C11="",0,SUMIF('DADOS BRUTOS'!$A$3:$A$500,$C11,'DADOS BRUTOS'!CU$3:CU$500)))</f>
        <v/>
      </c>
      <c r="FV11" s="132">
        <f>IF(OR(FV$4="",$B11=""),0,SUMIF('DADOS BRUTOS'!$A$3:$A$500,$B11,'DADOS BRUTOS'!CV$3:CV$500)+IF($C11="",0,SUMIF('DADOS BRUTOS'!$A$3:$A$500,$C11,'DADOS BRUTOS'!CV$3:CV$500)))</f>
        <v/>
      </c>
      <c r="FW11" s="132">
        <f>IF(OR(FW$4="",$B11=""),0,SUMIF('DADOS BRUTOS'!$A$3:$A$500,$B11,'DADOS BRUTOS'!CW$3:CW$500)+IF($C11="",0,SUMIF('DADOS BRUTOS'!$A$3:$A$500,$C11,'DADOS BRUTOS'!CW$3:CW$500)))</f>
        <v/>
      </c>
      <c r="FX11" s="132">
        <f>IF(OR(FX$4="",$B11=""),0,SUMIF('DADOS BRUTOS'!$A$3:$A$500,$B11,'DADOS BRUTOS'!CX$3:CX$500)+IF($C11="",0,SUMIF('DADOS BRUTOS'!$A$3:$A$500,$C11,'DADOS BRUTOS'!CX$3:CX$500)))</f>
        <v/>
      </c>
      <c r="FY11" s="132">
        <f>IF(OR(FY$4="",$B11=""),0,SUMIF('DADOS BRUTOS'!$A$3:$A$500,$B11,'DADOS BRUTOS'!CY$3:CY$500)+IF($C11="",0,SUMIF('DADOS BRUTOS'!$A$3:$A$500,$C11,'DADOS BRUTOS'!CY$3:CY$500)))</f>
        <v/>
      </c>
      <c r="FZ11" s="132">
        <f>IF(OR(FZ$4="",$B11=""),0,SUMIF('DADOS BRUTOS'!$A$3:$A$500,$B11,'DADOS BRUTOS'!CZ$3:CZ$500)+IF($C11="",0,SUMIF('DADOS BRUTOS'!$A$3:$A$500,$C11,'DADOS BRUTOS'!CZ$3:CZ$500)))</f>
        <v/>
      </c>
      <c r="GA11" s="132">
        <f>IF(OR(GA$4="",$B11=""),0,SUMIF('DADOS BRUTOS'!$A$3:$A$500,$B11,'DADOS BRUTOS'!DA$3:DA$500)+IF($C11="",0,SUMIF('DADOS BRUTOS'!$A$3:$A$500,$C11,'DADOS BRUTOS'!DA$3:DA$500)))</f>
        <v/>
      </c>
      <c r="GB11" s="132">
        <f>IF(OR(GB$4="",$B11=""),0,SUMIF('DADOS BRUTOS'!$A$3:$A$500,$B11,'DADOS BRUTOS'!DB$3:DB$500)+IF($C11="",0,SUMIF('DADOS BRUTOS'!$A$3:$A$500,$C11,'DADOS BRUTOS'!DB$3:DB$500)))</f>
        <v/>
      </c>
      <c r="GC11" s="132">
        <f>IF(OR(GC$4="",$B11=""),0,SUMIF('DADOS BRUTOS'!$A$3:$A$500,$B11,'DADOS BRUTOS'!DC$3:DC$500)+IF($C11="",0,SUMIF('DADOS BRUTOS'!$A$3:$A$500,$C11,'DADOS BRUTOS'!DC$3:DC$500)))</f>
        <v/>
      </c>
      <c r="GD11" s="132">
        <f>IF(OR(GD$4="",$B11=""),0,SUMIF('DADOS BRUTOS'!$A$3:$A$500,$B11,'DADOS BRUTOS'!DD$3:DD$500)+IF($C11="",0,SUMIF('DADOS BRUTOS'!$A$3:$A$500,$C11,'DADOS BRUTOS'!DD$3:DD$500)))</f>
        <v/>
      </c>
      <c r="GE11" s="132">
        <f>IF(OR(GE$4="",$B11=""),0,SUMIF('DADOS BRUTOS'!$A$3:$A$500,$B11,'DADOS BRUTOS'!DE$3:DE$500)+IF($C11="",0,SUMIF('DADOS BRUTOS'!$A$3:$A$500,$C11,'DADOS BRUTOS'!DE$3:DE$500)))</f>
        <v/>
      </c>
      <c r="GF11" s="132">
        <f>IF(OR(GF$4="",$B11=""),0,SUMIF('DADOS BRUTOS'!$A$3:$A$500,$B11,'DADOS BRUTOS'!DF$3:DF$500)+IF($C11="",0,SUMIF('DADOS BRUTOS'!$A$3:$A$500,$C11,'DADOS BRUTOS'!DF$3:DF$500)))</f>
        <v/>
      </c>
      <c r="GG11" s="132">
        <f>IF(OR(GG$4="",$B11=""),0,SUMIF('DADOS BRUTOS'!$A$3:$A$500,$B11,'DADOS BRUTOS'!DG$3:DG$500)+IF($C11="",0,SUMIF('DADOS BRUTOS'!$A$3:$A$500,$C11,'DADOS BRUTOS'!DG$3:DG$500)))</f>
        <v/>
      </c>
      <c r="GH11" s="132">
        <f>IF(OR(GH$4="",$B11=""),0,SUMIF('DADOS BRUTOS'!$A$3:$A$500,$B11,'DADOS BRUTOS'!DH$3:DH$500)+IF($C11="",0,SUMIF('DADOS BRUTOS'!$A$3:$A$500,$C11,'DADOS BRUTOS'!DH$3:DH$500)))</f>
        <v/>
      </c>
      <c r="GI11" s="132">
        <f>IF(OR(GI$4="",$B11=""),0,SUMIF('DADOS BRUTOS'!$A$3:$A$500,$B11,'DADOS BRUTOS'!DI$3:DI$500)+IF($C11="",0,SUMIF('DADOS BRUTOS'!$A$3:$A$500,$C11,'DADOS BRUTOS'!DI$3:DI$500)))</f>
        <v/>
      </c>
      <c r="GJ11" s="132">
        <f>IF(OR(GJ$4="",$B11=""),0,SUMIF('DADOS BRUTOS'!$A$3:$A$500,$B11,'DADOS BRUTOS'!DJ$3:DJ$500)+IF($C11="",0,SUMIF('DADOS BRUTOS'!$A$3:$A$500,$C11,'DADOS BRUTOS'!DJ$3:DJ$500)))</f>
        <v/>
      </c>
      <c r="GK11" s="132">
        <f>IF(OR(GK$4="",$B11=""),0,SUMIF('DADOS BRUTOS'!$A$3:$A$500,$B11,'DADOS BRUTOS'!DK$3:DK$500)+IF($C11="",0,SUMIF('DADOS BRUTOS'!$A$3:$A$500,$C11,'DADOS BRUTOS'!DK$3:DK$500)))</f>
        <v/>
      </c>
      <c r="GL11" s="132">
        <f>IF(OR(GL$4="",$B11=""),0,SUMIF('DADOS BRUTOS'!$A$3:$A$500,$B11,'DADOS BRUTOS'!DL$3:DL$500)+IF($C11="",0,SUMIF('DADOS BRUTOS'!$A$3:$A$500,$C11,'DADOS BRUTOS'!DL$3:DL$500)))</f>
        <v/>
      </c>
      <c r="GM11" s="132">
        <f>IF(OR(GM$4="",$B11=""),0,SUMIF('DADOS BRUTOS'!$A$3:$A$500,$B11,'DADOS BRUTOS'!DM$3:DM$500)+IF($C11="",0,SUMIF('DADOS BRUTOS'!$A$3:$A$500,$C11,'DADOS BRUTOS'!DM$3:DM$500)))</f>
        <v/>
      </c>
      <c r="GN11" s="132">
        <f>IF(OR(GN$4="",$B11=""),0,SUMIF('DADOS BRUTOS'!$A$3:$A$500,$B11,'DADOS BRUTOS'!DN$3:DN$500)+IF($C11="",0,SUMIF('DADOS BRUTOS'!$A$3:$A$500,$C11,'DADOS BRUTOS'!DN$3:DN$500)))</f>
        <v/>
      </c>
      <c r="GO11" s="132">
        <f>IF(OR(GO$4="",$B11=""),0,SUMIF('DADOS BRUTOS'!$A$3:$A$500,$B11,'DADOS BRUTOS'!DO$3:DO$500)+IF($C11="",0,SUMIF('DADOS BRUTOS'!$A$3:$A$500,$C11,'DADOS BRUTOS'!DO$3:DO$500)))</f>
        <v/>
      </c>
      <c r="GP11" s="132">
        <f>IF(OR(GP$4="",$B11=""),0,SUMIF('DADOS BRUTOS'!$A$3:$A$500,$B11,'DADOS BRUTOS'!DP$3:DP$500)+IF($C11="",0,SUMIF('DADOS BRUTOS'!$A$3:$A$500,$C11,'DADOS BRUTOS'!DP$3:DP$500)))</f>
        <v/>
      </c>
      <c r="GQ11" s="132">
        <f>IF(OR(GQ$4="",$B11=""),0,SUMIF('DADOS BRUTOS'!$A$3:$A$500,$B11,'DADOS BRUTOS'!DQ$3:DQ$500)+IF($C11="",0,SUMIF('DADOS BRUTOS'!$A$3:$A$500,$C11,'DADOS BRUTOS'!DQ$3:DQ$500)))</f>
        <v/>
      </c>
      <c r="GR11" s="132">
        <f>IF(OR(GR$4="",$B11=""),0,SUMIF('DADOS BRUTOS'!$A$3:$A$500,$B11,'DADOS BRUTOS'!DR$3:DR$500)+IF($C11="",0,SUMIF('DADOS BRUTOS'!$A$3:$A$500,$C11,'DADOS BRUTOS'!DR$3:DR$500)))</f>
        <v/>
      </c>
      <c r="GS11" s="132">
        <f>IF(OR(GS$4="",$B11=""),0,SUMIF('DADOS BRUTOS'!$A$3:$A$500,$B11,'DADOS BRUTOS'!DS$3:DS$500)+IF($C11="",0,SUMIF('DADOS BRUTOS'!$A$3:$A$500,$C11,'DADOS BRUTOS'!DS$3:DS$500)))</f>
        <v/>
      </c>
      <c r="GT11" s="132">
        <f>IF(OR(GT$4="",$B11=""),0,SUMIF('DADOS BRUTOS'!$A$3:$A$500,$B11,'DADOS BRUTOS'!DT$3:DT$500)+IF($C11="",0,SUMIF('DADOS BRUTOS'!$A$3:$A$500,$C11,'DADOS BRUTOS'!DT$3:DT$500)))</f>
        <v/>
      </c>
      <c r="GU11" s="132">
        <f>IF(OR(GU$4="",$B11=""),0,SUMIF('DADOS BRUTOS'!$A$3:$A$500,$B11,'DADOS BRUTOS'!DU$3:DU$500)+IF($C11="",0,SUMIF('DADOS BRUTOS'!$A$3:$A$500,$C11,'DADOS BRUTOS'!DU$3:DU$500)))</f>
        <v/>
      </c>
      <c r="GV11" s="132">
        <f>IF(OR(GV$4="",$B11=""),0,SUMIF('DADOS BRUTOS'!$A$3:$A$500,$B11,'DADOS BRUTOS'!DV$3:DV$500)+IF($C11="",0,SUMIF('DADOS BRUTOS'!$A$3:$A$500,$C11,'DADOS BRUTOS'!DV$3:DV$500)))</f>
        <v/>
      </c>
      <c r="GW11" s="132">
        <f>IF(OR(GW$4="",$B11=""),0,SUMIF('DADOS BRUTOS'!$A$3:$A$500,$B11,'DADOS BRUTOS'!DW$3:DW$500)+IF($C11="",0,SUMIF('DADOS BRUTOS'!$A$3:$A$500,$C11,'DADOS BRUTOS'!DW$3:DW$500)))</f>
        <v/>
      </c>
      <c r="GX11" s="132">
        <f>IF(OR(GX$4="",$B11=""),0,SUMIF('DADOS BRUTOS'!$A$3:$A$500,$B11,'DADOS BRUTOS'!DX$3:DX$500)+IF($C11="",0,SUMIF('DADOS BRUTOS'!$A$3:$A$500,$C11,'DADOS BRUTOS'!DX$3:DX$500)))</f>
        <v/>
      </c>
      <c r="GY11" s="132">
        <f>IF(OR(GY$4="",$B11=""),0,SUMIF('DADOS BRUTOS'!$A$3:$A$500,$B11,'DADOS BRUTOS'!DY$3:DY$500)+IF($C11="",0,SUMIF('DADOS BRUTOS'!$A$3:$A$500,$C11,'DADOS BRUTOS'!DY$3:DY$500)))</f>
        <v/>
      </c>
      <c r="GZ11" s="132">
        <f>IF(OR(GZ$4="",$B11=""),0,SUMIF('DADOS BRUTOS'!$A$3:$A$500,$B11,'DADOS BRUTOS'!DZ$3:DZ$500)+IF($C11="",0,SUMIF('DADOS BRUTOS'!$A$3:$A$500,$C11,'DADOS BRUTOS'!DZ$3:DZ$500)))</f>
        <v/>
      </c>
      <c r="HA11" s="132">
        <f>IF(OR(HA$4="",$B11=""),0,SUMIF('DADOS BRUTOS'!$A$3:$A$500,$B11,'DADOS BRUTOS'!EA$3:EA$500)+IF($C11="",0,SUMIF('DADOS BRUTOS'!$A$3:$A$500,$C11,'DADOS BRUTOS'!EA$3:EA$500)))</f>
        <v/>
      </c>
      <c r="HB11" s="132">
        <f>IF(OR(HB$4="",$B11=""),0,SUMIF('DADOS BRUTOS'!$A$3:$A$500,$B11,'DADOS BRUTOS'!EB$3:EB$500)+IF($C11="",0,SUMIF('DADOS BRUTOS'!$A$3:$A$500,$C11,'DADOS BRUTOS'!EB$3:EB$500)))</f>
        <v/>
      </c>
      <c r="HC11" s="132">
        <f>IF(OR(HC$4="",$B11=""),0,SUMIF('DADOS BRUTOS'!$A$3:$A$500,$B11,'DADOS BRUTOS'!EC$3:EC$500)+IF($C11="",0,SUMIF('DADOS BRUTOS'!$A$3:$A$500,$C11,'DADOS BRUTOS'!EC$3:EC$500)))</f>
        <v/>
      </c>
      <c r="HD11" s="132">
        <f>IF(OR(HD$4="",$B11=""),0,SUMIF('DADOS BRUTOS'!$A$3:$A$500,$B11,'DADOS BRUTOS'!ED$3:ED$500)+IF($C11="",0,SUMIF('DADOS BRUTOS'!$A$3:$A$500,$C11,'DADOS BRUTOS'!ED$3:ED$500)))</f>
        <v/>
      </c>
      <c r="HE11" s="132">
        <f>IF(OR(HE$4="",$B11=""),0,SUMIF('DADOS BRUTOS'!$A$3:$A$500,$B11,'DADOS BRUTOS'!EE$3:EE$500)+IF($C11="",0,SUMIF('DADOS BRUTOS'!$A$3:$A$500,$C11,'DADOS BRUTOS'!EE$3:EE$500)))</f>
        <v/>
      </c>
      <c r="HF11" s="132">
        <f>IF(OR(HF$4="",$B11=""),0,SUMIF('DADOS BRUTOS'!$A$3:$A$500,$B11,'DADOS BRUTOS'!EF$3:EF$500)+IF($C11="",0,SUMIF('DADOS BRUTOS'!$A$3:$A$500,$C11,'DADOS BRUTOS'!EF$3:EF$500)))</f>
        <v/>
      </c>
      <c r="HG11" s="132">
        <f>IF(OR(HG$4="",$B11=""),0,SUMIF('DADOS BRUTOS'!$A$3:$A$500,$B11,'DADOS BRUTOS'!EG$3:EG$500)+IF($C11="",0,SUMIF('DADOS BRUTOS'!$A$3:$A$500,$C11,'DADOS BRUTOS'!EG$3:EG$500)))</f>
        <v/>
      </c>
      <c r="HH11" s="132">
        <f>IF(OR(HH$4="",$B11=""),0,SUMIF('DADOS BRUTOS'!$A$3:$A$500,$B11,'DADOS BRUTOS'!EH$3:EH$500)+IF($C11="",0,SUMIF('DADOS BRUTOS'!$A$3:$A$500,$C11,'DADOS BRUTOS'!EH$3:EH$500)))</f>
        <v/>
      </c>
      <c r="HI11" s="132">
        <f>IF(OR(HI$4="",$B11=""),0,SUMIF('DADOS BRUTOS'!$A$3:$A$500,$B11,'DADOS BRUTOS'!EI$3:EI$500)+IF($C11="",0,SUMIF('DADOS BRUTOS'!$A$3:$A$500,$C11,'DADOS BRUTOS'!EI$3:EI$500)))</f>
        <v/>
      </c>
      <c r="HJ11" s="132">
        <f>IF(OR(HJ$4="",$B11=""),0,SUMIF('DADOS BRUTOS'!$A$3:$A$500,$B11,'DADOS BRUTOS'!EJ$3:EJ$500)+IF($C11="",0,SUMIF('DADOS BRUTOS'!$A$3:$A$500,$C11,'DADOS BRUTOS'!EJ$3:EJ$500)))</f>
        <v/>
      </c>
      <c r="HK11" s="132">
        <f>IF(OR(HK$4="",$B11=""),0,SUMIF('DADOS BRUTOS'!$A$3:$A$500,$B11,'DADOS BRUTOS'!EK$3:EK$500)+IF($C11="",0,SUMIF('DADOS BRUTOS'!$A$3:$A$500,$C11,'DADOS BRUTOS'!EK$3:EK$500)))</f>
        <v/>
      </c>
      <c r="HL11" s="132">
        <f>IF(OR(HL$4="",$B11=""),0,SUMIF('DADOS BRUTOS'!$A$3:$A$500,$B11,'DADOS BRUTOS'!EL$3:EL$500)+IF($C11="",0,SUMIF('DADOS BRUTOS'!$A$3:$A$500,$C11,'DADOS BRUTOS'!EL$3:EL$500)))</f>
        <v/>
      </c>
      <c r="HM11" s="132">
        <f>IF(OR(HM$4="",$B11=""),0,SUMIF('DADOS BRUTOS'!$A$3:$A$500,$B11,'DADOS BRUTOS'!EM$3:EM$500)+IF($C11="",0,SUMIF('DADOS BRUTOS'!$A$3:$A$500,$C11,'DADOS BRUTOS'!EM$3:EM$500)))</f>
        <v/>
      </c>
      <c r="HN11" s="132">
        <f>IF(OR(HN$4="",$B11=""),0,SUMIF('DADOS BRUTOS'!$A$3:$A$500,$B11,'DADOS BRUTOS'!EN$3:EN$500)+IF($C11="",0,SUMIF('DADOS BRUTOS'!$A$3:$A$500,$C11,'DADOS BRUTOS'!EN$3:EN$500)))</f>
        <v/>
      </c>
      <c r="HO11" s="132">
        <f>IF(OR(HO$4="",$B11=""),0,SUMIF('DADOS BRUTOS'!$A$3:$A$500,$B11,'DADOS BRUTOS'!EO$3:EO$500)+IF($C11="",0,SUMIF('DADOS BRUTOS'!$A$3:$A$500,$C11,'DADOS BRUTOS'!EO$3:EO$500)))</f>
        <v/>
      </c>
      <c r="HP11" s="132">
        <f>IF(OR(HP$4="",$B11=""),0,SUMIF('DADOS BRUTOS'!$A$3:$A$500,$B11,'DADOS BRUTOS'!EP$3:EP$500)+IF($C11="",0,SUMIF('DADOS BRUTOS'!$A$3:$A$500,$C11,'DADOS BRUTOS'!EP$3:EP$500)))</f>
        <v/>
      </c>
      <c r="HQ11" s="132">
        <f>IF(OR(HQ$4="",$B11=""),0,SUMIF('DADOS BRUTOS'!$A$3:$A$500,$B11,'DADOS BRUTOS'!EQ$3:EQ$500)+IF($C11="",0,SUMIF('DADOS BRUTOS'!$A$3:$A$500,$C11,'DADOS BRUTOS'!EQ$3:EQ$500)))</f>
        <v/>
      </c>
      <c r="HR11" s="132">
        <f>IF(OR(HR$4="",$B11=""),0,SUMIF('DADOS BRUTOS'!$A$3:$A$500,$B11,'DADOS BRUTOS'!ER$3:ER$500)+IF($C11="",0,SUMIF('DADOS BRUTOS'!$A$3:$A$500,$C11,'DADOS BRUTOS'!ER$3:ER$500)))</f>
        <v/>
      </c>
      <c r="HS11" s="132">
        <f>IF(OR(HS$4="",$B11=""),0,SUMIF('DADOS BRUTOS'!$A$3:$A$500,$B11,'DADOS BRUTOS'!ES$3:ES$500)+IF($C11="",0,SUMIF('DADOS BRUTOS'!$A$3:$A$500,$C11,'DADOS BRUTOS'!ES$3:ES$500)))</f>
        <v/>
      </c>
      <c r="HT11" s="132">
        <f>IF(OR(HT$4="",$B11=""),0,SUMIF('DADOS BRUTOS'!$A$3:$A$500,$B11,'DADOS BRUTOS'!ET$3:ET$500)+IF($C11="",0,SUMIF('DADOS BRUTOS'!$A$3:$A$500,$C11,'DADOS BRUTOS'!ET$3:ET$500)))</f>
        <v/>
      </c>
      <c r="HU11" s="132">
        <f>IF(OR(HU$4="",$B11=""),0,SUMIF('DADOS BRUTOS'!$A$3:$A$500,$B11,'DADOS BRUTOS'!EU$3:EU$500)+IF($C11="",0,SUMIF('DADOS BRUTOS'!$A$3:$A$500,$C11,'DADOS BRUTOS'!EU$3:EU$500)))</f>
        <v/>
      </c>
      <c r="HV11" s="132">
        <f>IF(OR(HV$4="",$B11=""),0,SUMIF('DADOS BRUTOS'!$A$3:$A$500,$B11,'DADOS BRUTOS'!EV$3:EV$500)+IF($C11="",0,SUMIF('DADOS BRUTOS'!$A$3:$A$500,$C11,'DADOS BRUTOS'!EV$3:EV$500)))</f>
        <v/>
      </c>
      <c r="HW11" s="132">
        <f>IF(OR(HW$4="",$B11=""),0,SUMIF('DADOS BRUTOS'!$A$3:$A$500,$B11,'DADOS BRUTOS'!EW$3:EW$500)+IF($C11="",0,SUMIF('DADOS BRUTOS'!$A$3:$A$500,$C11,'DADOS BRUTOS'!EW$3:EW$500)))</f>
        <v/>
      </c>
      <c r="HX11" s="132">
        <f>IF(OR(HX$4="",$B11=""),0,SUMIF('DADOS BRUTOS'!$A$3:$A$500,$B11,'DADOS BRUTOS'!EX$3:EX$500)+IF($C11="",0,SUMIF('DADOS BRUTOS'!$A$3:$A$500,$C11,'DADOS BRUTOS'!EX$3:EX$500)))</f>
        <v/>
      </c>
      <c r="HY11" s="132">
        <f>IF(OR(HY$4="",$B11=""),0,SUMIF('DADOS BRUTOS'!$A$3:$A$500,$B11,'DADOS BRUTOS'!EY$3:EY$500)+IF($C11="",0,SUMIF('DADOS BRUTOS'!$A$3:$A$500,$C11,'DADOS BRUTOS'!EY$3:EY$500)))</f>
        <v/>
      </c>
      <c r="HZ11" s="132">
        <f>IF(OR(HZ$4="",$B11=""),0,SUMIF('DADOS BRUTOS'!$A$3:$A$500,$B11,'DADOS BRUTOS'!EZ$3:EZ$500)+IF($C11="",0,SUMIF('DADOS BRUTOS'!$A$3:$A$500,$C11,'DADOS BRUTOS'!EZ$3:EZ$500)))</f>
        <v/>
      </c>
      <c r="IA11" s="132">
        <f>IF(OR(IA$4="",$B11=""),0,SUMIF('DADOS BRUTOS'!$A$3:$A$500,$B11,'DADOS BRUTOS'!FA$3:FA$500)+IF($C11="",0,SUMIF('DADOS BRUTOS'!$A$3:$A$500,$C11,'DADOS BRUTOS'!FA$3:FA$500)))</f>
        <v/>
      </c>
      <c r="IB11" s="132">
        <f>IF(OR(IB$4="",$B11=""),0,SUMIF('DADOS BRUTOS'!$A$3:$A$500,$B11,'DADOS BRUTOS'!FB$3:FB$500)+IF($C11="",0,SUMIF('DADOS BRUTOS'!$A$3:$A$500,$C11,'DADOS BRUTOS'!FB$3:FB$500)))</f>
        <v/>
      </c>
      <c r="IC11" s="132">
        <f>IF(OR(IC$4="",$B11=""),0,SUMIF('DADOS BRUTOS'!$A$3:$A$500,$B11,'DADOS BRUTOS'!FC$3:FC$500)+IF($C11="",0,SUMIF('DADOS BRUTOS'!$A$3:$A$500,$C11,'DADOS BRUTOS'!FC$3:FC$500)))</f>
        <v/>
      </c>
      <c r="ID11" s="132">
        <f>IF(OR(ID$4="",$B11=""),0,SUMIF('DADOS BRUTOS'!$A$3:$A$500,$B11,'DADOS BRUTOS'!FD$3:FD$500)+IF($C11="",0,SUMIF('DADOS BRUTOS'!$A$3:$A$500,$C11,'DADOS BRUTOS'!FD$3:FD$500)))</f>
        <v/>
      </c>
      <c r="IE11" s="132">
        <f>IF(OR(IE$4="",$B11=""),0,SUMIF('DADOS BRUTOS'!$A$3:$A$500,$B11,'DADOS BRUTOS'!FE$3:FE$500)+IF($C11="",0,SUMIF('DADOS BRUTOS'!$A$3:$A$500,$C11,'DADOS BRUTOS'!FE$3:FE$500)))</f>
        <v/>
      </c>
      <c r="IF11" s="132">
        <f>IF(OR(IF$4="",$B11=""),0,SUMIF('DADOS BRUTOS'!$A$3:$A$500,$B11,'DADOS BRUTOS'!FF$3:FF$500)+IF($C11="",0,SUMIF('DADOS BRUTOS'!$A$3:$A$500,$C11,'DADOS BRUTOS'!FF$3:FF$500)))</f>
        <v/>
      </c>
      <c r="IG11" s="132">
        <f>IF(OR(IG$4="",$B11=""),0,SUMIF('DADOS BRUTOS'!$A$3:$A$500,$B11,'DADOS BRUTOS'!FG$3:FG$500)+IF($C11="",0,SUMIF('DADOS BRUTOS'!$A$3:$A$500,$C11,'DADOS BRUTOS'!FG$3:FG$500)))</f>
        <v/>
      </c>
      <c r="IH11" s="132">
        <f>IF(OR(IH$4="",$B11=""),0,SUMIF('DADOS BRUTOS'!$A$3:$A$500,$B11,'DADOS BRUTOS'!FH$3:FH$500)+IF($C11="",0,SUMIF('DADOS BRUTOS'!$A$3:$A$500,$C11,'DADOS BRUTOS'!FH$3:FH$500)))</f>
        <v/>
      </c>
      <c r="II11" s="132">
        <f>IF(OR(II$4="",$B11=""),0,SUMIF('DADOS BRUTOS'!$A$3:$A$500,$B11,'DADOS BRUTOS'!FI$3:FI$500)+IF($C11="",0,SUMIF('DADOS BRUTOS'!$A$3:$A$500,$C11,'DADOS BRUTOS'!FI$3:FI$500)))</f>
        <v/>
      </c>
      <c r="IJ11" s="132">
        <f>IF(OR(IJ$4="",$B11=""),0,SUMIF('DADOS BRUTOS'!$A$3:$A$500,$B11,'DADOS BRUTOS'!FJ$3:FJ$500)+IF($C11="",0,SUMIF('DADOS BRUTOS'!$A$3:$A$500,$C11,'DADOS BRUTOS'!FJ$3:FJ$500)))</f>
        <v/>
      </c>
      <c r="IK11" s="132">
        <f>IF(OR(IK$4="",$B11=""),0,SUMIF('DADOS BRUTOS'!$A$3:$A$500,$B11,'DADOS BRUTOS'!FK$3:FK$500)+IF($C11="",0,SUMIF('DADOS BRUTOS'!$A$3:$A$500,$C11,'DADOS BRUTOS'!FK$3:FK$500)))</f>
        <v/>
      </c>
      <c r="IL11" s="132">
        <f>IF(OR(IL$4="",$B11=""),0,SUMIF('DADOS BRUTOS'!$A$3:$A$500,$B11,'DADOS BRUTOS'!FL$3:FL$500)+IF($C11="",0,SUMIF('DADOS BRUTOS'!$A$3:$A$500,$C11,'DADOS BRUTOS'!FL$3:FL$500)))</f>
        <v/>
      </c>
      <c r="IM11" s="132">
        <f>IF(OR(IM$4="",$B11=""),0,SUMIF('DADOS BRUTOS'!$A$3:$A$500,$B11,'DADOS BRUTOS'!FM$3:FM$500)+IF($C11="",0,SUMIF('DADOS BRUTOS'!$A$3:$A$500,$C11,'DADOS BRUTOS'!FM$3:FM$500)))</f>
        <v/>
      </c>
      <c r="IN11" s="132">
        <f>IF(OR(IN$4="",$B11=""),0,SUMIF('DADOS BRUTOS'!$A$3:$A$500,$B11,'DADOS BRUTOS'!FN$3:FN$500)+IF($C11="",0,SUMIF('DADOS BRUTOS'!$A$3:$A$500,$C11,'DADOS BRUTOS'!FN$3:FN$500)))</f>
        <v/>
      </c>
      <c r="IO11" s="132">
        <f>IF(OR(IO$4="",$B11=""),0,SUMIF('DADOS BRUTOS'!$A$3:$A$500,$B11,'DADOS BRUTOS'!FO$3:FO$500)+IF($C11="",0,SUMIF('DADOS BRUTOS'!$A$3:$A$500,$C11,'DADOS BRUTOS'!FO$3:FO$500)))</f>
        <v/>
      </c>
      <c r="IP11" s="132">
        <f>IF(OR(IP$4="",$B11=""),0,SUMIF('DADOS BRUTOS'!$A$3:$A$500,$B11,'DADOS BRUTOS'!FP$3:FP$500)+IF($C11="",0,SUMIF('DADOS BRUTOS'!$A$3:$A$500,$C11,'DADOS BRUTOS'!FP$3:FP$500)))</f>
        <v/>
      </c>
      <c r="IQ11" s="132">
        <f>IF(OR(IQ$4="",$B11=""),0,SUMIF('DADOS BRUTOS'!$A$3:$A$500,$B11,'DADOS BRUTOS'!FQ$3:FQ$500)+IF($C11="",0,SUMIF('DADOS BRUTOS'!$A$3:$A$500,$C11,'DADOS BRUTOS'!FQ$3:FQ$500)))</f>
        <v/>
      </c>
      <c r="IR11" s="132">
        <f>IF(OR(IR$4="",$B11=""),0,SUMIF('DADOS BRUTOS'!$A$3:$A$500,$B11,'DADOS BRUTOS'!FR$3:FR$500)+IF($C11="",0,SUMIF('DADOS BRUTOS'!$A$3:$A$500,$C11,'DADOS BRUTOS'!FR$3:FR$500)))</f>
        <v/>
      </c>
      <c r="IS11" s="132">
        <f>IF(OR(IS$4="",$B11=""),0,SUMIF('DADOS BRUTOS'!$A$3:$A$500,$B11,'DADOS BRUTOS'!FS$3:FS$500)+IF($C11="",0,SUMIF('DADOS BRUTOS'!$A$3:$A$500,$C11,'DADOS BRUTOS'!FS$3:FS$500)))</f>
        <v/>
      </c>
      <c r="IT11" s="132">
        <f>IF(OR(IT$4="",$B11=""),0,SUMIF('DADOS BRUTOS'!$A$3:$A$500,$B11,'DADOS BRUTOS'!FT$3:FT$500)+IF($C11="",0,SUMIF('DADOS BRUTOS'!$A$3:$A$500,$C11,'DADOS BRUTOS'!FT$3:FT$500)))</f>
        <v/>
      </c>
      <c r="IU11" s="132">
        <f>IF(OR(IU$4="",$B11=""),0,SUMIF('DADOS BRUTOS'!$A$3:$A$500,$B11,'DADOS BRUTOS'!FU$3:FU$500)+IF($C11="",0,SUMIF('DADOS BRUTOS'!$A$3:$A$500,$C11,'DADOS BRUTOS'!FU$3:FU$500)))</f>
        <v/>
      </c>
      <c r="IV11" s="132">
        <f>IF(OR(IV$4="",$B11=""),0,SUMIF('DADOS BRUTOS'!$A$3:$A$500,$B11,'DADOS BRUTOS'!FV$3:FV$500)+IF($C11="",0,SUMIF('DADOS BRUTOS'!$A$3:$A$500,$C11,'DADOS BRUTOS'!FV$3:FV$500)))</f>
        <v/>
      </c>
      <c r="IW11" s="132">
        <f>IF(OR(IW$4="",$B11=""),0,SUMIF('DADOS BRUTOS'!$A$3:$A$500,$B11,'DADOS BRUTOS'!FW$3:FW$500)+IF($C11="",0,SUMIF('DADOS BRUTOS'!$A$3:$A$500,$C11,'DADOS BRUTOS'!FW$3:FW$500)))</f>
        <v/>
      </c>
      <c r="IX11" s="132">
        <f>IF(OR(IX$4="",$B11=""),0,SUMIF('DADOS BRUTOS'!$A$3:$A$500,$B11,'DADOS BRUTOS'!FX$3:FX$500)+IF($C11="",0,SUMIF('DADOS BRUTOS'!$A$3:$A$500,$C11,'DADOS BRUTOS'!FX$3:FX$500)))</f>
        <v/>
      </c>
      <c r="IY11" s="132">
        <f>IF(OR(IY$4="",$B11=""),0,SUMIF('DADOS BRUTOS'!$A$3:$A$500,$B11,'DADOS BRUTOS'!FY$3:FY$500)+IF($C11="",0,SUMIF('DADOS BRUTOS'!$A$3:$A$500,$C11,'DADOS BRUTOS'!FY$3:FY$500)))</f>
        <v/>
      </c>
      <c r="IZ11" s="132">
        <f>IF(OR(IZ$4="",$B11=""),0,SUMIF('DADOS BRUTOS'!$A$3:$A$500,$B11,'DADOS BRUTOS'!FZ$3:FZ$500)+IF($C11="",0,SUMIF('DADOS BRUTOS'!$A$3:$A$500,$C11,'DADOS BRUTOS'!FZ$3:FZ$500)))</f>
        <v/>
      </c>
      <c r="JA11" s="132">
        <f>IF(OR(JA$4="",$B11=""),0,SUMIF('DADOS BRUTOS'!$A$3:$A$500,$B11,'DADOS BRUTOS'!GA$3:GA$500)+IF($C11="",0,SUMIF('DADOS BRUTOS'!$A$3:$A$500,$C11,'DADOS BRUTOS'!GA$3:GA$500)))</f>
        <v/>
      </c>
      <c r="JB11" s="132">
        <f>IF(OR(JB$4="",$B11=""),0,SUMIF('DADOS BRUTOS'!$A$3:$A$500,$B11,'DADOS BRUTOS'!GB$3:GB$500)+IF($C11="",0,SUMIF('DADOS BRUTOS'!$A$3:$A$500,$C11,'DADOS BRUTOS'!GB$3:GB$500)))</f>
        <v/>
      </c>
      <c r="JC11" s="132">
        <f>IF(OR(JC$4="",$B11=""),0,SUMIF('DADOS BRUTOS'!$A$3:$A$500,$B11,'DADOS BRUTOS'!GC$3:GC$500)+IF($C11="",0,SUMIF('DADOS BRUTOS'!$A$3:$A$500,$C11,'DADOS BRUTOS'!GC$3:GC$500)))</f>
        <v/>
      </c>
      <c r="JD11" s="132">
        <f>IF(OR(JD$4="",$B11=""),0,SUMIF('DADOS BRUTOS'!$A$3:$A$500,$B11,'DADOS BRUTOS'!GD$3:GD$500)+IF($C11="",0,SUMIF('DADOS BRUTOS'!$A$3:$A$500,$C11,'DADOS BRUTOS'!GD$3:GD$500)))</f>
        <v/>
      </c>
      <c r="JE11" s="132">
        <f>IF(OR(JE$4="",$B11=""),0,SUMIF('DADOS BRUTOS'!$A$3:$A$500,$B11,'DADOS BRUTOS'!GE$3:GE$500)+IF($C11="",0,SUMIF('DADOS BRUTOS'!$A$3:$A$500,$C11,'DADOS BRUTOS'!GE$3:GE$500)))</f>
        <v/>
      </c>
      <c r="JF11" s="132">
        <f>IF(OR(JF$4="",$B11=""),0,SUMIF('DADOS BRUTOS'!$A$3:$A$500,$B11,'DADOS BRUTOS'!GF$3:GF$500)+IF($C11="",0,SUMIF('DADOS BRUTOS'!$A$3:$A$500,$C11,'DADOS BRUTOS'!GF$3:GF$500)))</f>
        <v/>
      </c>
      <c r="JG11" s="132">
        <f>IF(OR(JG$4="",$B11=""),0,SUMIF('DADOS BRUTOS'!$A$3:$A$500,$B11,'DADOS BRUTOS'!GG$3:GG$500)+IF($C11="",0,SUMIF('DADOS BRUTOS'!$A$3:$A$500,$C11,'DADOS BRUTOS'!GG$3:GG$500)))</f>
        <v/>
      </c>
      <c r="JH11" s="132">
        <f>IF(OR(JH$4="",$B11=""),0,SUMIF('DADOS BRUTOS'!$A$3:$A$500,$B11,'DADOS BRUTOS'!GH$3:GH$500)+IF($C11="",0,SUMIF('DADOS BRUTOS'!$A$3:$A$500,$C11,'DADOS BRUTOS'!GH$3:GH$500)))</f>
        <v/>
      </c>
      <c r="JI11" s="132">
        <f>IF(OR(JI$4="",$B11=""),0,SUMIF('DADOS BRUTOS'!$A$3:$A$500,$B11,'DADOS BRUTOS'!GI$3:GI$500)+IF($C11="",0,SUMIF('DADOS BRUTOS'!$A$3:$A$500,$C11,'DADOS BRUTOS'!GI$3:GI$500)))</f>
        <v/>
      </c>
      <c r="JJ11" s="132">
        <f>IF(OR(JJ$4="",$B11=""),0,SUMIF('DADOS BRUTOS'!$A$3:$A$500,$B11,'DADOS BRUTOS'!GJ$3:GJ$500)+IF($C11="",0,SUMIF('DADOS BRUTOS'!$A$3:$A$500,$C11,'DADOS BRUTOS'!GJ$3:GJ$500)))</f>
        <v/>
      </c>
      <c r="JK11" s="132">
        <f>IF(OR(JK$4="",$B11=""),0,SUMIF('DADOS BRUTOS'!$A$3:$A$500,$B11,'DADOS BRUTOS'!GK$3:GK$500)+IF($C11="",0,SUMIF('DADOS BRUTOS'!$A$3:$A$500,$C11,'DADOS BRUTOS'!GK$3:GK$500)))</f>
        <v/>
      </c>
      <c r="JL11" s="132">
        <f>IF(OR(JL$4="",$B11=""),0,SUMIF('DADOS BRUTOS'!$A$3:$A$500,$B11,'DADOS BRUTOS'!GL$3:GL$500)+IF($C11="",0,SUMIF('DADOS BRUTOS'!$A$3:$A$500,$C11,'DADOS BRUTOS'!GL$3:GL$500)))</f>
        <v/>
      </c>
      <c r="JM11" s="132">
        <f>IF(OR(JM$4="",$B11=""),0,SUMIF('DADOS BRUTOS'!$A$3:$A$500,$B11,'DADOS BRUTOS'!GM$3:GM$500)+IF($C11="",0,SUMIF('DADOS BRUTOS'!$A$3:$A$500,$C11,'DADOS BRUTOS'!GM$3:GM$500)))</f>
        <v/>
      </c>
      <c r="JN11" s="132">
        <f>IF(OR(JN$4="",$B11=""),0,SUMIF('DADOS BRUTOS'!$A$3:$A$500,$B11,'DADOS BRUTOS'!GN$3:GN$500)+IF($C11="",0,SUMIF('DADOS BRUTOS'!$A$3:$A$500,$C11,'DADOS BRUTOS'!GN$3:GN$500)))</f>
        <v/>
      </c>
      <c r="JO11" s="132">
        <f>IF(OR(JO$4="",$B11=""),0,SUMIF('DADOS BRUTOS'!$A$3:$A$500,$B11,'DADOS BRUTOS'!GO$3:GO$500)+IF($C11="",0,SUMIF('DADOS BRUTOS'!$A$3:$A$500,$C11,'DADOS BRUTOS'!GO$3:GO$500)))</f>
        <v/>
      </c>
      <c r="JP11" s="132">
        <f>IF(OR(JP$4="",$B11=""),0,SUMIF('DADOS BRUTOS'!$A$3:$A$500,$B11,'DADOS BRUTOS'!GP$3:GP$500)+IF($C11="",0,SUMIF('DADOS BRUTOS'!$A$3:$A$500,$C11,'DADOS BRUTOS'!GP$3:GP$500)))</f>
        <v/>
      </c>
      <c r="JQ11" s="132">
        <f>IF(OR(JQ$4="",$B11=""),0,SUMIF('DADOS BRUTOS'!$A$3:$A$500,$B11,'DADOS BRUTOS'!GQ$3:GQ$500)+IF($C11="",0,SUMIF('DADOS BRUTOS'!$A$3:$A$500,$C11,'DADOS BRUTOS'!GQ$3:GQ$500)))</f>
        <v/>
      </c>
      <c r="JR11" s="132">
        <f>IF(OR(JR$4="",$B11=""),0,SUMIF('DADOS BRUTOS'!$A$3:$A$500,$B11,'DADOS BRUTOS'!GR$3:GR$500)+IF($C11="",0,SUMIF('DADOS BRUTOS'!$A$3:$A$500,$C11,'DADOS BRUTOS'!GR$3:GR$500)))</f>
        <v/>
      </c>
      <c r="JS11" s="132">
        <f>IF(OR(JS$4="",$B11=""),0,SUMIF('DADOS BRUTOS'!$A$3:$A$500,$B11,'DADOS BRUTOS'!GS$3:GS$500)+IF($C11="",0,SUMIF('DADOS BRUTOS'!$A$3:$A$500,$C11,'DADOS BRUTOS'!GS$3:GS$500)))</f>
        <v/>
      </c>
    </row>
    <row r="12">
      <c r="A12" s="61">
        <f>'VALOR POR PL'!D18</f>
        <v/>
      </c>
      <c r="B12" s="59" t="inlineStr">
        <is>
          <t>TRANSPORTES</t>
        </is>
      </c>
      <c r="C12" s="59" t="n"/>
      <c r="D12" s="54">
        <f>SUMIF($CB$4:$JS$4,"&lt;="&amp;D$4,$CB12:$JS12)</f>
        <v/>
      </c>
      <c r="E12" s="54">
        <f>SUMIF($CB$4:$JS$4,E$4,$CB12:$JS12)</f>
        <v/>
      </c>
      <c r="F12" s="54">
        <f>SUMIF($CB$4:$JS$4,F$4,$CB12:$JS12)</f>
        <v/>
      </c>
      <c r="G12" s="54">
        <f>SUMIF($CB$4:$JS$4,G$4,$CB12:$JS12)</f>
        <v/>
      </c>
      <c r="H12" s="54">
        <f>SUMIF($CB$4:$JS$4,H$4,$CB12:$JS12)</f>
        <v/>
      </c>
      <c r="I12" s="54">
        <f>SUMIF($CB$4:$JS$4,I$4,$CB12:$JS12)</f>
        <v/>
      </c>
      <c r="J12" s="54">
        <f>SUMIF($CB$4:$JS$4,J$4,$CB12:$JS12)</f>
        <v/>
      </c>
      <c r="K12" s="54">
        <f>SUMIF($CB$4:$JS$4,K$4,$CB12:$JS12)</f>
        <v/>
      </c>
      <c r="L12" s="54">
        <f>SUMIF($CB$4:$JS$4,L$4,$CB12:$JS12)</f>
        <v/>
      </c>
      <c r="M12" s="54">
        <f>SUMIF($CB$4:$JS$4,M$4,$CB12:$JS12)</f>
        <v/>
      </c>
      <c r="N12" s="54">
        <f>SUMIF($CB$4:$JS$4,N$4,$CB12:$JS12)</f>
        <v/>
      </c>
      <c r="O12" s="54">
        <f>SUMIF($CB$4:$JS$4,O$4,$CB12:$JS12)</f>
        <v/>
      </c>
      <c r="P12" s="54">
        <f>SUMIF($CB$4:$JS$4,P$4,$CB12:$JS12)</f>
        <v/>
      </c>
      <c r="Q12" s="54">
        <f>SUMIF($CB$4:$JS$4,Q$4,$CB12:$JS12)</f>
        <v/>
      </c>
      <c r="R12" s="54">
        <f>SUMIF($CB$4:$JS$4,R$4,$CB12:$JS12)</f>
        <v/>
      </c>
      <c r="S12" s="54">
        <f>SUMIF($CB$4:$JS$4,S$4,$CB12:$JS12)</f>
        <v/>
      </c>
      <c r="T12" s="54">
        <f>SUMIF($CB$4:$JS$4,T$4,$CB12:$JS12)</f>
        <v/>
      </c>
      <c r="U12" s="54">
        <f>SUMIF($CB$4:$JS$4,U$4,$CB12:$JS12)</f>
        <v/>
      </c>
      <c r="V12" s="54">
        <f>SUMIF($CB$4:$JS$4,V$4,$CB12:$JS12)</f>
        <v/>
      </c>
      <c r="W12" s="54">
        <f>SUMIF($CB$4:$JS$4,W$4,$CB12:$JS12)</f>
        <v/>
      </c>
      <c r="X12" s="54">
        <f>SUMIF($CB$4:$JS$4,X$4,$CB12:$JS12)</f>
        <v/>
      </c>
      <c r="Y12" s="54">
        <f>SUMIF($CB$4:$JS$4,Y$4,$CB12:$JS12)</f>
        <v/>
      </c>
      <c r="Z12" s="54">
        <f>SUMIF($CB$4:$JS$4,Z$4,$CB12:$JS12)</f>
        <v/>
      </c>
      <c r="AA12" s="54">
        <f>SUMIF($CB$4:$JS$4,AA$4,$CB12:$JS12)</f>
        <v/>
      </c>
      <c r="AB12" s="54">
        <f>SUMIF($CB$4:$JS$4,AB$4,$CB12:$JS12)</f>
        <v/>
      </c>
      <c r="AC12" s="54">
        <f>SUMIF($CB$4:$JS$4,AC$4,$CB12:$JS12)</f>
        <v/>
      </c>
      <c r="AD12" s="54">
        <f>SUMIF($CB$4:$JS$4,AD$4,$CB12:$JS12)</f>
        <v/>
      </c>
      <c r="AE12" s="54">
        <f>SUMIF($CB$4:$JS$4,AE$4,$CB12:$JS12)</f>
        <v/>
      </c>
      <c r="AF12" s="54">
        <f>SUMIF($CB$4:$JS$4,AF$4,$CB12:$JS12)</f>
        <v/>
      </c>
      <c r="AG12" s="54">
        <f>SUMIF($CB$4:$JS$4,AG$4,$CB12:$JS12)</f>
        <v/>
      </c>
      <c r="AH12" s="54">
        <f>SUMIF($CB$4:$JS$4,AH$4,$CB12:$JS12)</f>
        <v/>
      </c>
      <c r="AI12" s="54">
        <f>SUMIF($CB$4:$JS$4,AI$4,$CB12:$JS12)</f>
        <v/>
      </c>
      <c r="AJ12" s="54">
        <f>SUMIF($CB$4:$JS$4,AJ$4,$CB12:$JS12)</f>
        <v/>
      </c>
      <c r="AK12" s="54">
        <f>SUMIF($CB$4:$JS$4,AK$4,$CB12:$JS12)</f>
        <v/>
      </c>
      <c r="AL12" s="54">
        <f>SUMIF($CB$4:$JS$4,AL$4,$CB12:$JS12)</f>
        <v/>
      </c>
      <c r="AM12" s="54">
        <f>SUMIF($CB$4:$JS$4,AM$4,$CB12:$JS12)</f>
        <v/>
      </c>
      <c r="AN12" s="54">
        <f>SUMIF($CB$4:$JS$4,AN$4,$CB12:$JS12)</f>
        <v/>
      </c>
      <c r="AO12" s="54">
        <f>SUMIF($CB$4:$JS$4,AO$4,$CB12:$JS12)</f>
        <v/>
      </c>
      <c r="AP12" s="54">
        <f>SUMIF($CB$4:$JS$4,AP$4,$CB12:$JS12)</f>
        <v/>
      </c>
      <c r="AQ12" s="54">
        <f>SUMIF($CB$4:$JS$4,AQ$4,$CB12:$JS12)</f>
        <v/>
      </c>
      <c r="AR12" s="54">
        <f>SUMIF($CB$4:$JS$4,AR$4,$CB12:$JS12)</f>
        <v/>
      </c>
      <c r="AS12" s="54">
        <f>SUMIF($CB$4:$JS$4,AS$4,$CB12:$JS12)</f>
        <v/>
      </c>
      <c r="AT12" s="54">
        <f>SUMIF($CB$4:$JS$4,AT$4,$CB12:$JS12)</f>
        <v/>
      </c>
      <c r="AU12" s="54">
        <f>SUMIF($CB$4:$JS$4,AU$4,$CB12:$JS12)</f>
        <v/>
      </c>
      <c r="AV12" s="54">
        <f>SUMIF($CB$4:$JS$4,AV$4,$CB12:$JS12)</f>
        <v/>
      </c>
      <c r="AW12" s="54">
        <f>SUMIF($CB$4:$JS$4,AW$4,$CB12:$JS12)</f>
        <v/>
      </c>
      <c r="AX12" s="54">
        <f>SUMIF($CB$4:$JS$4,AX$4,$CB12:$JS12)</f>
        <v/>
      </c>
      <c r="AY12" s="54">
        <f>SUMIF($CB$4:$JS$4,AY$4,$CB12:$JS12)</f>
        <v/>
      </c>
      <c r="AZ12" s="54">
        <f>SUMIF($CB$4:$JS$4,AZ$4,$CB12:$JS12)</f>
        <v/>
      </c>
      <c r="BA12" s="54">
        <f>SUMIF($CB$4:$JS$4,BA$4,$CB12:$JS12)</f>
        <v/>
      </c>
      <c r="BB12" s="54">
        <f>SUMIF($CB$4:$JS$4,BB$4,$CB12:$JS12)</f>
        <v/>
      </c>
      <c r="BC12" s="54">
        <f>SUMIF($CB$4:$JS$4,BC$4,$CB12:$JS12)</f>
        <v/>
      </c>
      <c r="BD12" s="54">
        <f>SUMIF($CB$4:$JS$4,BD$4,$CB12:$JS12)</f>
        <v/>
      </c>
      <c r="BE12" s="54">
        <f>SUMIF($CB$4:$JS$4,BE$4,$CB12:$JS12)</f>
        <v/>
      </c>
      <c r="BF12" s="54">
        <f>SUMIF($CB$4:$JS$4,BF$4,$CB12:$JS12)</f>
        <v/>
      </c>
      <c r="BG12" s="54">
        <f>SUMIF($CB$4:$JS$4,BG$4,$CB12:$JS12)</f>
        <v/>
      </c>
      <c r="BH12" s="54">
        <f>SUMIF($CB$4:$JS$4,BH$4,$CB12:$JS12)</f>
        <v/>
      </c>
      <c r="BI12" s="54">
        <f>SUMIF($CB$4:$JS$4,BI$4,$CB12:$JS12)</f>
        <v/>
      </c>
      <c r="BJ12" s="54">
        <f>SUMIF($CB$4:$JS$4,BJ$4,$CB12:$JS12)</f>
        <v/>
      </c>
      <c r="BK12" s="54">
        <f>SUMIF($CB$4:$JS$4,BK$4,$CB12:$JS12)</f>
        <v/>
      </c>
      <c r="BL12" s="54">
        <f>SUMIF($CB$4:$JS$4,BL$4,$CB12:$JS12)</f>
        <v/>
      </c>
      <c r="BM12" s="54">
        <f>SUMIF($CB$4:$JS$4,BM$4,$CB12:$JS12)</f>
        <v/>
      </c>
      <c r="BN12" s="54">
        <f>SUMIF($CB$4:$JS$4,BN$4,$CB12:$JS12)</f>
        <v/>
      </c>
      <c r="BO12" s="54">
        <f>SUMIF($CB$4:$JS$4,BO$4,$CB12:$JS12)</f>
        <v/>
      </c>
      <c r="BP12" s="54">
        <f>SUMIF($CB$4:$JS$4,BP$4,$CB12:$JS12)</f>
        <v/>
      </c>
      <c r="BQ12" s="54">
        <f>SUMIF($CB$4:$JS$4,BQ$4,$CB12:$JS12)</f>
        <v/>
      </c>
      <c r="BR12" s="54">
        <f>SUMIF($CB$4:$JS$4,BR$4,$CB12:$JS12)</f>
        <v/>
      </c>
      <c r="BS12" s="54">
        <f>SUMIF($CB$4:$JS$4,BS$4,$CB12:$JS12)</f>
        <v/>
      </c>
      <c r="BT12" s="54">
        <f>SUMIF($CB$4:$JS$4,BT$4,$CB12:$JS12)</f>
        <v/>
      </c>
      <c r="BU12" s="54">
        <f>SUMIF($CB$4:$JS$4,BU$4,$CB12:$JS12)</f>
        <v/>
      </c>
      <c r="BV12" s="54">
        <f>SUMIF($CB$4:$JS$4,BV$4,$CB12:$JS12)</f>
        <v/>
      </c>
      <c r="BW12" s="54">
        <f>SUMIF($CB$4:$JS$4,BW$4,$CB12:$JS12)</f>
        <v/>
      </c>
      <c r="BX12" s="54">
        <f>SUMIF($CB$4:$JS$4,"&gt;"&amp;'VALOR POR PL'!$P$8,$CB12:$JS12)</f>
        <v/>
      </c>
      <c r="BY12" s="54">
        <f>SUM($CB12:$JS12)</f>
        <v/>
      </c>
      <c r="BZ12" s="49">
        <f>SUMPRODUCT(($CB$4:$JS$4&lt;&gt;"")*($CB$4:$JS$4&lt;=$D$4),$CB12:$JS12,$CB$1:$JS$1)</f>
        <v/>
      </c>
      <c r="CB12" s="132">
        <f>IF(OR(CB$4="",$B12=""),0,SUMIF('DADOS BRUTOS'!$A$3:$A$500,$B12,'DADOS BRUTOS'!B$3:B$500)+IF($C12="",0,SUMIF('DADOS BRUTOS'!$A$3:$A$500,$C12,'DADOS BRUTOS'!B$3:B$500)))</f>
        <v/>
      </c>
      <c r="CC12" s="132">
        <f>IF(OR(CC$4="",$B12=""),0,SUMIF('DADOS BRUTOS'!$A$3:$A$500,$B12,'DADOS BRUTOS'!C$3:C$500)+IF($C12="",0,SUMIF('DADOS BRUTOS'!$A$3:$A$500,$C12,'DADOS BRUTOS'!C$3:C$500)))</f>
        <v/>
      </c>
      <c r="CD12" s="132">
        <f>IF(OR(CD$4="",$B12=""),0,SUMIF('DADOS BRUTOS'!$A$3:$A$500,$B12,'DADOS BRUTOS'!D$3:D$500)+IF($C12="",0,SUMIF('DADOS BRUTOS'!$A$3:$A$500,$C12,'DADOS BRUTOS'!D$3:D$500)))</f>
        <v/>
      </c>
      <c r="CE12" s="132">
        <f>IF(OR(CE$4="",$B12=""),0,SUMIF('DADOS BRUTOS'!$A$3:$A$500,$B12,'DADOS BRUTOS'!E$3:E$500)+IF($C12="",0,SUMIF('DADOS BRUTOS'!$A$3:$A$500,$C12,'DADOS BRUTOS'!E$3:E$500)))</f>
        <v/>
      </c>
      <c r="CF12" s="132">
        <f>IF(OR(CF$4="",$B12=""),0,SUMIF('DADOS BRUTOS'!$A$3:$A$500,$B12,'DADOS BRUTOS'!F$3:F$500)+IF($C12="",0,SUMIF('DADOS BRUTOS'!$A$3:$A$500,$C12,'DADOS BRUTOS'!F$3:F$500)))</f>
        <v/>
      </c>
      <c r="CG12" s="132">
        <f>IF(OR(CG$4="",$B12=""),0,SUMIF('DADOS BRUTOS'!$A$3:$A$500,$B12,'DADOS BRUTOS'!G$3:G$500)+IF($C12="",0,SUMIF('DADOS BRUTOS'!$A$3:$A$500,$C12,'DADOS BRUTOS'!G$3:G$500)))</f>
        <v/>
      </c>
      <c r="CH12" s="132">
        <f>IF(OR(CH$4="",$B12=""),0,SUMIF('DADOS BRUTOS'!$A$3:$A$500,$B12,'DADOS BRUTOS'!H$3:H$500)+IF($C12="",0,SUMIF('DADOS BRUTOS'!$A$3:$A$500,$C12,'DADOS BRUTOS'!H$3:H$500)))</f>
        <v/>
      </c>
      <c r="CI12" s="132">
        <f>IF(OR(CI$4="",$B12=""),0,SUMIF('DADOS BRUTOS'!$A$3:$A$500,$B12,'DADOS BRUTOS'!I$3:I$500)+IF($C12="",0,SUMIF('DADOS BRUTOS'!$A$3:$A$500,$C12,'DADOS BRUTOS'!I$3:I$500)))</f>
        <v/>
      </c>
      <c r="CJ12" s="132">
        <f>IF(OR(CJ$4="",$B12=""),0,SUMIF('DADOS BRUTOS'!$A$3:$A$500,$B12,'DADOS BRUTOS'!J$3:J$500)+IF($C12="",0,SUMIF('DADOS BRUTOS'!$A$3:$A$500,$C12,'DADOS BRUTOS'!J$3:J$500)))</f>
        <v/>
      </c>
      <c r="CK12" s="132">
        <f>IF(OR(CK$4="",$B12=""),0,SUMIF('DADOS BRUTOS'!$A$3:$A$500,$B12,'DADOS BRUTOS'!K$3:K$500)+IF($C12="",0,SUMIF('DADOS BRUTOS'!$A$3:$A$500,$C12,'DADOS BRUTOS'!K$3:K$500)))</f>
        <v/>
      </c>
      <c r="CL12" s="132">
        <f>IF(OR(CL$4="",$B12=""),0,SUMIF('DADOS BRUTOS'!$A$3:$A$500,$B12,'DADOS BRUTOS'!L$3:L$500)+IF($C12="",0,SUMIF('DADOS BRUTOS'!$A$3:$A$500,$C12,'DADOS BRUTOS'!L$3:L$500)))</f>
        <v/>
      </c>
      <c r="CM12" s="132">
        <f>IF(OR(CM$4="",$B12=""),0,SUMIF('DADOS BRUTOS'!$A$3:$A$500,$B12,'DADOS BRUTOS'!M$3:M$500)+IF($C12="",0,SUMIF('DADOS BRUTOS'!$A$3:$A$500,$C12,'DADOS BRUTOS'!M$3:M$500)))</f>
        <v/>
      </c>
      <c r="CN12" s="132">
        <f>IF(OR(CN$4="",$B12=""),0,SUMIF('DADOS BRUTOS'!$A$3:$A$500,$B12,'DADOS BRUTOS'!N$3:N$500)+IF($C12="",0,SUMIF('DADOS BRUTOS'!$A$3:$A$500,$C12,'DADOS BRUTOS'!N$3:N$500)))</f>
        <v/>
      </c>
      <c r="CO12" s="132">
        <f>IF(OR(CO$4="",$B12=""),0,SUMIF('DADOS BRUTOS'!$A$3:$A$500,$B12,'DADOS BRUTOS'!O$3:O$500)+IF($C12="",0,SUMIF('DADOS BRUTOS'!$A$3:$A$500,$C12,'DADOS BRUTOS'!O$3:O$500)))</f>
        <v/>
      </c>
      <c r="CP12" s="132">
        <f>IF(OR(CP$4="",$B12=""),0,SUMIF('DADOS BRUTOS'!$A$3:$A$500,$B12,'DADOS BRUTOS'!P$3:P$500)+IF($C12="",0,SUMIF('DADOS BRUTOS'!$A$3:$A$500,$C12,'DADOS BRUTOS'!P$3:P$500)))</f>
        <v/>
      </c>
      <c r="CQ12" s="132">
        <f>IF(OR(CQ$4="",$B12=""),0,SUMIF('DADOS BRUTOS'!$A$3:$A$500,$B12,'DADOS BRUTOS'!Q$3:Q$500)+IF($C12="",0,SUMIF('DADOS BRUTOS'!$A$3:$A$500,$C12,'DADOS BRUTOS'!Q$3:Q$500)))</f>
        <v/>
      </c>
      <c r="CR12" s="132">
        <f>IF(OR(CR$4="",$B12=""),0,SUMIF('DADOS BRUTOS'!$A$3:$A$500,$B12,'DADOS BRUTOS'!R$3:R$500)+IF($C12="",0,SUMIF('DADOS BRUTOS'!$A$3:$A$500,$C12,'DADOS BRUTOS'!R$3:R$500)))</f>
        <v/>
      </c>
      <c r="CS12" s="132">
        <f>IF(OR(CS$4="",$B12=""),0,SUMIF('DADOS BRUTOS'!$A$3:$A$500,$B12,'DADOS BRUTOS'!S$3:S$500)+IF($C12="",0,SUMIF('DADOS BRUTOS'!$A$3:$A$500,$C12,'DADOS BRUTOS'!S$3:S$500)))</f>
        <v/>
      </c>
      <c r="CT12" s="132">
        <f>IF(OR(CT$4="",$B12=""),0,SUMIF('DADOS BRUTOS'!$A$3:$A$500,$B12,'DADOS BRUTOS'!T$3:T$500)+IF($C12="",0,SUMIF('DADOS BRUTOS'!$A$3:$A$500,$C12,'DADOS BRUTOS'!T$3:T$500)))</f>
        <v/>
      </c>
      <c r="CU12" s="132">
        <f>IF(OR(CU$4="",$B12=""),0,SUMIF('DADOS BRUTOS'!$A$3:$A$500,$B12,'DADOS BRUTOS'!U$3:U$500)+IF($C12="",0,SUMIF('DADOS BRUTOS'!$A$3:$A$500,$C12,'DADOS BRUTOS'!U$3:U$500)))</f>
        <v/>
      </c>
      <c r="CV12" s="132">
        <f>IF(OR(CV$4="",$B12=""),0,SUMIF('DADOS BRUTOS'!$A$3:$A$500,$B12,'DADOS BRUTOS'!V$3:V$500)+IF($C12="",0,SUMIF('DADOS BRUTOS'!$A$3:$A$500,$C12,'DADOS BRUTOS'!V$3:V$500)))</f>
        <v/>
      </c>
      <c r="CW12" s="132">
        <f>IF(OR(CW$4="",$B12=""),0,SUMIF('DADOS BRUTOS'!$A$3:$A$500,$B12,'DADOS BRUTOS'!W$3:W$500)+IF($C12="",0,SUMIF('DADOS BRUTOS'!$A$3:$A$500,$C12,'DADOS BRUTOS'!W$3:W$500)))</f>
        <v/>
      </c>
      <c r="CX12" s="132">
        <f>IF(OR(CX$4="",$B12=""),0,SUMIF('DADOS BRUTOS'!$A$3:$A$500,$B12,'DADOS BRUTOS'!X$3:X$500)+IF($C12="",0,SUMIF('DADOS BRUTOS'!$A$3:$A$500,$C12,'DADOS BRUTOS'!X$3:X$500)))</f>
        <v/>
      </c>
      <c r="CY12" s="132">
        <f>IF(OR(CY$4="",$B12=""),0,SUMIF('DADOS BRUTOS'!$A$3:$A$500,$B12,'DADOS BRUTOS'!Y$3:Y$500)+IF($C12="",0,SUMIF('DADOS BRUTOS'!$A$3:$A$500,$C12,'DADOS BRUTOS'!Y$3:Y$500)))</f>
        <v/>
      </c>
      <c r="CZ12" s="132">
        <f>IF(OR(CZ$4="",$B12=""),0,SUMIF('DADOS BRUTOS'!$A$3:$A$500,$B12,'DADOS BRUTOS'!Z$3:Z$500)+IF($C12="",0,SUMIF('DADOS BRUTOS'!$A$3:$A$500,$C12,'DADOS BRUTOS'!Z$3:Z$500)))</f>
        <v/>
      </c>
      <c r="DA12" s="132">
        <f>IF(OR(DA$4="",$B12=""),0,SUMIF('DADOS BRUTOS'!$A$3:$A$500,$B12,'DADOS BRUTOS'!AA$3:AA$500)+IF($C12="",0,SUMIF('DADOS BRUTOS'!$A$3:$A$500,$C12,'DADOS BRUTOS'!AA$3:AA$500)))</f>
        <v/>
      </c>
      <c r="DB12" s="132">
        <f>IF(OR(DB$4="",$B12=""),0,SUMIF('DADOS BRUTOS'!$A$3:$A$500,$B12,'DADOS BRUTOS'!AB$3:AB$500)+IF($C12="",0,SUMIF('DADOS BRUTOS'!$A$3:$A$500,$C12,'DADOS BRUTOS'!AB$3:AB$500)))</f>
        <v/>
      </c>
      <c r="DC12" s="132">
        <f>IF(OR(DC$4="",$B12=""),0,SUMIF('DADOS BRUTOS'!$A$3:$A$500,$B12,'DADOS BRUTOS'!AC$3:AC$500)+IF($C12="",0,SUMIF('DADOS BRUTOS'!$A$3:$A$500,$C12,'DADOS BRUTOS'!AC$3:AC$500)))</f>
        <v/>
      </c>
      <c r="DD12" s="132">
        <f>IF(OR(DD$4="",$B12=""),0,SUMIF('DADOS BRUTOS'!$A$3:$A$500,$B12,'DADOS BRUTOS'!AD$3:AD$500)+IF($C12="",0,SUMIF('DADOS BRUTOS'!$A$3:$A$500,$C12,'DADOS BRUTOS'!AD$3:AD$500)))</f>
        <v/>
      </c>
      <c r="DE12" s="132">
        <f>IF(OR(DE$4="",$B12=""),0,SUMIF('DADOS BRUTOS'!$A$3:$A$500,$B12,'DADOS BRUTOS'!AE$3:AE$500)+IF($C12="",0,SUMIF('DADOS BRUTOS'!$A$3:$A$500,$C12,'DADOS BRUTOS'!AE$3:AE$500)))</f>
        <v/>
      </c>
      <c r="DF12" s="132">
        <f>IF(OR(DF$4="",$B12=""),0,SUMIF('DADOS BRUTOS'!$A$3:$A$500,$B12,'DADOS BRUTOS'!AF$3:AF$500)+IF($C12="",0,SUMIF('DADOS BRUTOS'!$A$3:$A$500,$C12,'DADOS BRUTOS'!AF$3:AF$500)))</f>
        <v/>
      </c>
      <c r="DG12" s="132">
        <f>IF(OR(DG$4="",$B12=""),0,SUMIF('DADOS BRUTOS'!$A$3:$A$500,$B12,'DADOS BRUTOS'!AG$3:AG$500)+IF($C12="",0,SUMIF('DADOS BRUTOS'!$A$3:$A$500,$C12,'DADOS BRUTOS'!AG$3:AG$500)))</f>
        <v/>
      </c>
      <c r="DH12" s="132">
        <f>IF(OR(DH$4="",$B12=""),0,SUMIF('DADOS BRUTOS'!$A$3:$A$500,$B12,'DADOS BRUTOS'!AH$3:AH$500)+IF($C12="",0,SUMIF('DADOS BRUTOS'!$A$3:$A$500,$C12,'DADOS BRUTOS'!AH$3:AH$500)))</f>
        <v/>
      </c>
      <c r="DI12" s="132">
        <f>IF(OR(DI$4="",$B12=""),0,SUMIF('DADOS BRUTOS'!$A$3:$A$500,$B12,'DADOS BRUTOS'!AI$3:AI$500)+IF($C12="",0,SUMIF('DADOS BRUTOS'!$A$3:$A$500,$C12,'DADOS BRUTOS'!AI$3:AI$500)))</f>
        <v/>
      </c>
      <c r="DJ12" s="132">
        <f>IF(OR(DJ$4="",$B12=""),0,SUMIF('DADOS BRUTOS'!$A$3:$A$500,$B12,'DADOS BRUTOS'!AJ$3:AJ$500)+IF($C12="",0,SUMIF('DADOS BRUTOS'!$A$3:$A$500,$C12,'DADOS BRUTOS'!AJ$3:AJ$500)))</f>
        <v/>
      </c>
      <c r="DK12" s="132">
        <f>IF(OR(DK$4="",$B12=""),0,SUMIF('DADOS BRUTOS'!$A$3:$A$500,$B12,'DADOS BRUTOS'!AK$3:AK$500)+IF($C12="",0,SUMIF('DADOS BRUTOS'!$A$3:$A$500,$C12,'DADOS BRUTOS'!AK$3:AK$500)))</f>
        <v/>
      </c>
      <c r="DL12" s="132">
        <f>IF(OR(DL$4="",$B12=""),0,SUMIF('DADOS BRUTOS'!$A$3:$A$500,$B12,'DADOS BRUTOS'!AL$3:AL$500)+IF($C12="",0,SUMIF('DADOS BRUTOS'!$A$3:$A$500,$C12,'DADOS BRUTOS'!AL$3:AL$500)))</f>
        <v/>
      </c>
      <c r="DM12" s="132">
        <f>IF(OR(DM$4="",$B12=""),0,SUMIF('DADOS BRUTOS'!$A$3:$A$500,$B12,'DADOS BRUTOS'!AM$3:AM$500)+IF($C12="",0,SUMIF('DADOS BRUTOS'!$A$3:$A$500,$C12,'DADOS BRUTOS'!AM$3:AM$500)))</f>
        <v/>
      </c>
      <c r="DN12" s="132">
        <f>IF(OR(DN$4="",$B12=""),0,SUMIF('DADOS BRUTOS'!$A$3:$A$500,$B12,'DADOS BRUTOS'!AN$3:AN$500)+IF($C12="",0,SUMIF('DADOS BRUTOS'!$A$3:$A$500,$C12,'DADOS BRUTOS'!AN$3:AN$500)))</f>
        <v/>
      </c>
      <c r="DO12" s="132">
        <f>IF(OR(DO$4="",$B12=""),0,SUMIF('DADOS BRUTOS'!$A$3:$A$500,$B12,'DADOS BRUTOS'!AO$3:AO$500)+IF($C12="",0,SUMIF('DADOS BRUTOS'!$A$3:$A$500,$C12,'DADOS BRUTOS'!AO$3:AO$500)))</f>
        <v/>
      </c>
      <c r="DP12" s="132">
        <f>IF(OR(DP$4="",$B12=""),0,SUMIF('DADOS BRUTOS'!$A$3:$A$500,$B12,'DADOS BRUTOS'!AP$3:AP$500)+IF($C12="",0,SUMIF('DADOS BRUTOS'!$A$3:$A$500,$C12,'DADOS BRUTOS'!AP$3:AP$500)))</f>
        <v/>
      </c>
      <c r="DQ12" s="132">
        <f>IF(OR(DQ$4="",$B12=""),0,SUMIF('DADOS BRUTOS'!$A$3:$A$500,$B12,'DADOS BRUTOS'!AQ$3:AQ$500)+IF($C12="",0,SUMIF('DADOS BRUTOS'!$A$3:$A$500,$C12,'DADOS BRUTOS'!AQ$3:AQ$500)))</f>
        <v/>
      </c>
      <c r="DR12" s="132">
        <f>IF(OR(DR$4="",$B12=""),0,SUMIF('DADOS BRUTOS'!$A$3:$A$500,$B12,'DADOS BRUTOS'!AR$3:AR$500)+IF($C12="",0,SUMIF('DADOS BRUTOS'!$A$3:$A$500,$C12,'DADOS BRUTOS'!AR$3:AR$500)))</f>
        <v/>
      </c>
      <c r="DS12" s="132">
        <f>IF(OR(DS$4="",$B12=""),0,SUMIF('DADOS BRUTOS'!$A$3:$A$500,$B12,'DADOS BRUTOS'!AS$3:AS$500)+IF($C12="",0,SUMIF('DADOS BRUTOS'!$A$3:$A$500,$C12,'DADOS BRUTOS'!AS$3:AS$500)))</f>
        <v/>
      </c>
      <c r="DT12" s="132">
        <f>IF(OR(DT$4="",$B12=""),0,SUMIF('DADOS BRUTOS'!$A$3:$A$500,$B12,'DADOS BRUTOS'!AT$3:AT$500)+IF($C12="",0,SUMIF('DADOS BRUTOS'!$A$3:$A$500,$C12,'DADOS BRUTOS'!AT$3:AT$500)))</f>
        <v/>
      </c>
      <c r="DU12" s="132">
        <f>IF(OR(DU$4="",$B12=""),0,SUMIF('DADOS BRUTOS'!$A$3:$A$500,$B12,'DADOS BRUTOS'!AU$3:AU$500)+IF($C12="",0,SUMIF('DADOS BRUTOS'!$A$3:$A$500,$C12,'DADOS BRUTOS'!AU$3:AU$500)))</f>
        <v/>
      </c>
      <c r="DV12" s="132">
        <f>IF(OR(DV$4="",$B12=""),0,SUMIF('DADOS BRUTOS'!$A$3:$A$500,$B12,'DADOS BRUTOS'!AV$3:AV$500)+IF($C12="",0,SUMIF('DADOS BRUTOS'!$A$3:$A$500,$C12,'DADOS BRUTOS'!AV$3:AV$500)))</f>
        <v/>
      </c>
      <c r="DW12" s="132">
        <f>IF(OR(DW$4="",$B12=""),0,SUMIF('DADOS BRUTOS'!$A$3:$A$500,$B12,'DADOS BRUTOS'!AW$3:AW$500)+IF($C12="",0,SUMIF('DADOS BRUTOS'!$A$3:$A$500,$C12,'DADOS BRUTOS'!AW$3:AW$500)))</f>
        <v/>
      </c>
      <c r="DX12" s="132">
        <f>IF(OR(DX$4="",$B12=""),0,SUMIF('DADOS BRUTOS'!$A$3:$A$500,$B12,'DADOS BRUTOS'!AX$3:AX$500)+IF($C12="",0,SUMIF('DADOS BRUTOS'!$A$3:$A$500,$C12,'DADOS BRUTOS'!AX$3:AX$500)))</f>
        <v/>
      </c>
      <c r="DY12" s="132">
        <f>IF(OR(DY$4="",$B12=""),0,SUMIF('DADOS BRUTOS'!$A$3:$A$500,$B12,'DADOS BRUTOS'!AY$3:AY$500)+IF($C12="",0,SUMIF('DADOS BRUTOS'!$A$3:$A$500,$C12,'DADOS BRUTOS'!AY$3:AY$500)))</f>
        <v/>
      </c>
      <c r="DZ12" s="132">
        <f>IF(OR(DZ$4="",$B12=""),0,SUMIF('DADOS BRUTOS'!$A$3:$A$500,$B12,'DADOS BRUTOS'!AZ$3:AZ$500)+IF($C12="",0,SUMIF('DADOS BRUTOS'!$A$3:$A$500,$C12,'DADOS BRUTOS'!AZ$3:AZ$500)))</f>
        <v/>
      </c>
      <c r="EA12" s="132">
        <f>IF(OR(EA$4="",$B12=""),0,SUMIF('DADOS BRUTOS'!$A$3:$A$500,$B12,'DADOS BRUTOS'!BA$3:BA$500)+IF($C12="",0,SUMIF('DADOS BRUTOS'!$A$3:$A$500,$C12,'DADOS BRUTOS'!BA$3:BA$500)))</f>
        <v/>
      </c>
      <c r="EB12" s="132">
        <f>IF(OR(EB$4="",$B12=""),0,SUMIF('DADOS BRUTOS'!$A$3:$A$500,$B12,'DADOS BRUTOS'!BB$3:BB$500)+IF($C12="",0,SUMIF('DADOS BRUTOS'!$A$3:$A$500,$C12,'DADOS BRUTOS'!BB$3:BB$500)))</f>
        <v/>
      </c>
      <c r="EC12" s="132">
        <f>IF(OR(EC$4="",$B12=""),0,SUMIF('DADOS BRUTOS'!$A$3:$A$500,$B12,'DADOS BRUTOS'!BC$3:BC$500)+IF($C12="",0,SUMIF('DADOS BRUTOS'!$A$3:$A$500,$C12,'DADOS BRUTOS'!BC$3:BC$500)))</f>
        <v/>
      </c>
      <c r="ED12" s="132">
        <f>IF(OR(ED$4="",$B12=""),0,SUMIF('DADOS BRUTOS'!$A$3:$A$500,$B12,'DADOS BRUTOS'!BD$3:BD$500)+IF($C12="",0,SUMIF('DADOS BRUTOS'!$A$3:$A$500,$C12,'DADOS BRUTOS'!BD$3:BD$500)))</f>
        <v/>
      </c>
      <c r="EE12" s="132">
        <f>IF(OR(EE$4="",$B12=""),0,SUMIF('DADOS BRUTOS'!$A$3:$A$500,$B12,'DADOS BRUTOS'!BE$3:BE$500)+IF($C12="",0,SUMIF('DADOS BRUTOS'!$A$3:$A$500,$C12,'DADOS BRUTOS'!BE$3:BE$500)))</f>
        <v/>
      </c>
      <c r="EF12" s="132">
        <f>IF(OR(EF$4="",$B12=""),0,SUMIF('DADOS BRUTOS'!$A$3:$A$500,$B12,'DADOS BRUTOS'!BF$3:BF$500)+IF($C12="",0,SUMIF('DADOS BRUTOS'!$A$3:$A$500,$C12,'DADOS BRUTOS'!BF$3:BF$500)))</f>
        <v/>
      </c>
      <c r="EG12" s="132">
        <f>IF(OR(EG$4="",$B12=""),0,SUMIF('DADOS BRUTOS'!$A$3:$A$500,$B12,'DADOS BRUTOS'!BG$3:BG$500)+IF($C12="",0,SUMIF('DADOS BRUTOS'!$A$3:$A$500,$C12,'DADOS BRUTOS'!BG$3:BG$500)))</f>
        <v/>
      </c>
      <c r="EH12" s="132">
        <f>IF(OR(EH$4="",$B12=""),0,SUMIF('DADOS BRUTOS'!$A$3:$A$500,$B12,'DADOS BRUTOS'!BH$3:BH$500)+IF($C12="",0,SUMIF('DADOS BRUTOS'!$A$3:$A$500,$C12,'DADOS BRUTOS'!BH$3:BH$500)))</f>
        <v/>
      </c>
      <c r="EI12" s="132">
        <f>IF(OR(EI$4="",$B12=""),0,SUMIF('DADOS BRUTOS'!$A$3:$A$500,$B12,'DADOS BRUTOS'!BI$3:BI$500)+IF($C12="",0,SUMIF('DADOS BRUTOS'!$A$3:$A$500,$C12,'DADOS BRUTOS'!BI$3:BI$500)))</f>
        <v/>
      </c>
      <c r="EJ12" s="132">
        <f>IF(OR(EJ$4="",$B12=""),0,SUMIF('DADOS BRUTOS'!$A$3:$A$500,$B12,'DADOS BRUTOS'!BJ$3:BJ$500)+IF($C12="",0,SUMIF('DADOS BRUTOS'!$A$3:$A$500,$C12,'DADOS BRUTOS'!BJ$3:BJ$500)))</f>
        <v/>
      </c>
      <c r="EK12" s="132">
        <f>IF(OR(EK$4="",$B12=""),0,SUMIF('DADOS BRUTOS'!$A$3:$A$500,$B12,'DADOS BRUTOS'!BK$3:BK$500)+IF($C12="",0,SUMIF('DADOS BRUTOS'!$A$3:$A$500,$C12,'DADOS BRUTOS'!BK$3:BK$500)))</f>
        <v/>
      </c>
      <c r="EL12" s="132">
        <f>IF(OR(EL$4="",$B12=""),0,SUMIF('DADOS BRUTOS'!$A$3:$A$500,$B12,'DADOS BRUTOS'!BL$3:BL$500)+IF($C12="",0,SUMIF('DADOS BRUTOS'!$A$3:$A$500,$C12,'DADOS BRUTOS'!BL$3:BL$500)))</f>
        <v/>
      </c>
      <c r="EM12" s="132">
        <f>IF(OR(EM$4="",$B12=""),0,SUMIF('DADOS BRUTOS'!$A$3:$A$500,$B12,'DADOS BRUTOS'!BM$3:BM$500)+IF($C12="",0,SUMIF('DADOS BRUTOS'!$A$3:$A$500,$C12,'DADOS BRUTOS'!BM$3:BM$500)))</f>
        <v/>
      </c>
      <c r="EN12" s="132">
        <f>IF(OR(EN$4="",$B12=""),0,SUMIF('DADOS BRUTOS'!$A$3:$A$500,$B12,'DADOS BRUTOS'!BN$3:BN$500)+IF($C12="",0,SUMIF('DADOS BRUTOS'!$A$3:$A$500,$C12,'DADOS BRUTOS'!BN$3:BN$500)))</f>
        <v/>
      </c>
      <c r="EO12" s="132">
        <f>IF(OR(EO$4="",$B12=""),0,SUMIF('DADOS BRUTOS'!$A$3:$A$500,$B12,'DADOS BRUTOS'!BO$3:BO$500)+IF($C12="",0,SUMIF('DADOS BRUTOS'!$A$3:$A$500,$C12,'DADOS BRUTOS'!BO$3:BO$500)))</f>
        <v/>
      </c>
      <c r="EP12" s="132">
        <f>IF(OR(EP$4="",$B12=""),0,SUMIF('DADOS BRUTOS'!$A$3:$A$500,$B12,'DADOS BRUTOS'!BP$3:BP$500)+IF($C12="",0,SUMIF('DADOS BRUTOS'!$A$3:$A$500,$C12,'DADOS BRUTOS'!BP$3:BP$500)))</f>
        <v/>
      </c>
      <c r="EQ12" s="132">
        <f>IF(OR(EQ$4="",$B12=""),0,SUMIF('DADOS BRUTOS'!$A$3:$A$500,$B12,'DADOS BRUTOS'!BQ$3:BQ$500)+IF($C12="",0,SUMIF('DADOS BRUTOS'!$A$3:$A$500,$C12,'DADOS BRUTOS'!BQ$3:BQ$500)))</f>
        <v/>
      </c>
      <c r="ER12" s="132">
        <f>IF(OR(ER$4="",$B12=""),0,SUMIF('DADOS BRUTOS'!$A$3:$A$500,$B12,'DADOS BRUTOS'!BR$3:BR$500)+IF($C12="",0,SUMIF('DADOS BRUTOS'!$A$3:$A$500,$C12,'DADOS BRUTOS'!BR$3:BR$500)))</f>
        <v/>
      </c>
      <c r="ES12" s="132">
        <f>IF(OR(ES$4="",$B12=""),0,SUMIF('DADOS BRUTOS'!$A$3:$A$500,$B12,'DADOS BRUTOS'!BS$3:BS$500)+IF($C12="",0,SUMIF('DADOS BRUTOS'!$A$3:$A$500,$C12,'DADOS BRUTOS'!BS$3:BS$500)))</f>
        <v/>
      </c>
      <c r="ET12" s="132">
        <f>IF(OR(ET$4="",$B12=""),0,SUMIF('DADOS BRUTOS'!$A$3:$A$500,$B12,'DADOS BRUTOS'!BT$3:BT$500)+IF($C12="",0,SUMIF('DADOS BRUTOS'!$A$3:$A$500,$C12,'DADOS BRUTOS'!BT$3:BT$500)))</f>
        <v/>
      </c>
      <c r="EU12" s="132">
        <f>IF(OR(EU$4="",$B12=""),0,SUMIF('DADOS BRUTOS'!$A$3:$A$500,$B12,'DADOS BRUTOS'!BU$3:BU$500)+IF($C12="",0,SUMIF('DADOS BRUTOS'!$A$3:$A$500,$C12,'DADOS BRUTOS'!BU$3:BU$500)))</f>
        <v/>
      </c>
      <c r="EV12" s="132">
        <f>IF(OR(EV$4="",$B12=""),0,SUMIF('DADOS BRUTOS'!$A$3:$A$500,$B12,'DADOS BRUTOS'!BV$3:BV$500)+IF($C12="",0,SUMIF('DADOS BRUTOS'!$A$3:$A$500,$C12,'DADOS BRUTOS'!BV$3:BV$500)))</f>
        <v/>
      </c>
      <c r="EW12" s="132">
        <f>IF(OR(EW$4="",$B12=""),0,SUMIF('DADOS BRUTOS'!$A$3:$A$500,$B12,'DADOS BRUTOS'!BW$3:BW$500)+IF($C12="",0,SUMIF('DADOS BRUTOS'!$A$3:$A$500,$C12,'DADOS BRUTOS'!BW$3:BW$500)))</f>
        <v/>
      </c>
      <c r="EX12" s="132">
        <f>IF(OR(EX$4="",$B12=""),0,SUMIF('DADOS BRUTOS'!$A$3:$A$500,$B12,'DADOS BRUTOS'!BX$3:BX$500)+IF($C12="",0,SUMIF('DADOS BRUTOS'!$A$3:$A$500,$C12,'DADOS BRUTOS'!BX$3:BX$500)))</f>
        <v/>
      </c>
      <c r="EY12" s="132">
        <f>IF(OR(EY$4="",$B12=""),0,SUMIF('DADOS BRUTOS'!$A$3:$A$500,$B12,'DADOS BRUTOS'!BY$3:BY$500)+IF($C12="",0,SUMIF('DADOS BRUTOS'!$A$3:$A$500,$C12,'DADOS BRUTOS'!BY$3:BY$500)))</f>
        <v/>
      </c>
      <c r="EZ12" s="132">
        <f>IF(OR(EZ$4="",$B12=""),0,SUMIF('DADOS BRUTOS'!$A$3:$A$500,$B12,'DADOS BRUTOS'!BZ$3:BZ$500)+IF($C12="",0,SUMIF('DADOS BRUTOS'!$A$3:$A$500,$C12,'DADOS BRUTOS'!BZ$3:BZ$500)))</f>
        <v/>
      </c>
      <c r="FA12" s="132">
        <f>IF(OR(FA$4="",$B12=""),0,SUMIF('DADOS BRUTOS'!$A$3:$A$500,$B12,'DADOS BRUTOS'!CA$3:CA$500)+IF($C12="",0,SUMIF('DADOS BRUTOS'!$A$3:$A$500,$C12,'DADOS BRUTOS'!CA$3:CA$500)))</f>
        <v/>
      </c>
      <c r="FB12" s="132">
        <f>IF(OR(FB$4="",$B12=""),0,SUMIF('DADOS BRUTOS'!$A$3:$A$500,$B12,'DADOS BRUTOS'!CB$3:CB$500)+IF($C12="",0,SUMIF('DADOS BRUTOS'!$A$3:$A$500,$C12,'DADOS BRUTOS'!CB$3:CB$500)))</f>
        <v/>
      </c>
      <c r="FC12" s="132">
        <f>IF(OR(FC$4="",$B12=""),0,SUMIF('DADOS BRUTOS'!$A$3:$A$500,$B12,'DADOS BRUTOS'!CC$3:CC$500)+IF($C12="",0,SUMIF('DADOS BRUTOS'!$A$3:$A$500,$C12,'DADOS BRUTOS'!CC$3:CC$500)))</f>
        <v/>
      </c>
      <c r="FD12" s="132">
        <f>IF(OR(FD$4="",$B12=""),0,SUMIF('DADOS BRUTOS'!$A$3:$A$500,$B12,'DADOS BRUTOS'!CD$3:CD$500)+IF($C12="",0,SUMIF('DADOS BRUTOS'!$A$3:$A$500,$C12,'DADOS BRUTOS'!CD$3:CD$500)))</f>
        <v/>
      </c>
      <c r="FE12" s="132">
        <f>IF(OR(FE$4="",$B12=""),0,SUMIF('DADOS BRUTOS'!$A$3:$A$500,$B12,'DADOS BRUTOS'!CE$3:CE$500)+IF($C12="",0,SUMIF('DADOS BRUTOS'!$A$3:$A$500,$C12,'DADOS BRUTOS'!CE$3:CE$500)))</f>
        <v/>
      </c>
      <c r="FF12" s="132">
        <f>IF(OR(FF$4="",$B12=""),0,SUMIF('DADOS BRUTOS'!$A$3:$A$500,$B12,'DADOS BRUTOS'!CF$3:CF$500)+IF($C12="",0,SUMIF('DADOS BRUTOS'!$A$3:$A$500,$C12,'DADOS BRUTOS'!CF$3:CF$500)))</f>
        <v/>
      </c>
      <c r="FG12" s="132">
        <f>IF(OR(FG$4="",$B12=""),0,SUMIF('DADOS BRUTOS'!$A$3:$A$500,$B12,'DADOS BRUTOS'!CG$3:CG$500)+IF($C12="",0,SUMIF('DADOS BRUTOS'!$A$3:$A$500,$C12,'DADOS BRUTOS'!CG$3:CG$500)))</f>
        <v/>
      </c>
      <c r="FH12" s="132">
        <f>IF(OR(FH$4="",$B12=""),0,SUMIF('DADOS BRUTOS'!$A$3:$A$500,$B12,'DADOS BRUTOS'!CH$3:CH$500)+IF($C12="",0,SUMIF('DADOS BRUTOS'!$A$3:$A$500,$C12,'DADOS BRUTOS'!CH$3:CH$500)))</f>
        <v/>
      </c>
      <c r="FI12" s="132">
        <f>IF(OR(FI$4="",$B12=""),0,SUMIF('DADOS BRUTOS'!$A$3:$A$500,$B12,'DADOS BRUTOS'!CI$3:CI$500)+IF($C12="",0,SUMIF('DADOS BRUTOS'!$A$3:$A$500,$C12,'DADOS BRUTOS'!CI$3:CI$500)))</f>
        <v/>
      </c>
      <c r="FJ12" s="132">
        <f>IF(OR(FJ$4="",$B12=""),0,SUMIF('DADOS BRUTOS'!$A$3:$A$500,$B12,'DADOS BRUTOS'!CJ$3:CJ$500)+IF($C12="",0,SUMIF('DADOS BRUTOS'!$A$3:$A$500,$C12,'DADOS BRUTOS'!CJ$3:CJ$500)))</f>
        <v/>
      </c>
      <c r="FK12" s="132">
        <f>IF(OR(FK$4="",$B12=""),0,SUMIF('DADOS BRUTOS'!$A$3:$A$500,$B12,'DADOS BRUTOS'!CK$3:CK$500)+IF($C12="",0,SUMIF('DADOS BRUTOS'!$A$3:$A$500,$C12,'DADOS BRUTOS'!CK$3:CK$500)))</f>
        <v/>
      </c>
      <c r="FL12" s="132">
        <f>IF(OR(FL$4="",$B12=""),0,SUMIF('DADOS BRUTOS'!$A$3:$A$500,$B12,'DADOS BRUTOS'!CL$3:CL$500)+IF($C12="",0,SUMIF('DADOS BRUTOS'!$A$3:$A$500,$C12,'DADOS BRUTOS'!CL$3:CL$500)))</f>
        <v/>
      </c>
      <c r="FM12" s="132">
        <f>IF(OR(FM$4="",$B12=""),0,SUMIF('DADOS BRUTOS'!$A$3:$A$500,$B12,'DADOS BRUTOS'!CM$3:CM$500)+IF($C12="",0,SUMIF('DADOS BRUTOS'!$A$3:$A$500,$C12,'DADOS BRUTOS'!CM$3:CM$500)))</f>
        <v/>
      </c>
      <c r="FN12" s="132">
        <f>IF(OR(FN$4="",$B12=""),0,SUMIF('DADOS BRUTOS'!$A$3:$A$500,$B12,'DADOS BRUTOS'!CN$3:CN$500)+IF($C12="",0,SUMIF('DADOS BRUTOS'!$A$3:$A$500,$C12,'DADOS BRUTOS'!CN$3:CN$500)))</f>
        <v/>
      </c>
      <c r="FO12" s="132">
        <f>IF(OR(FO$4="",$B12=""),0,SUMIF('DADOS BRUTOS'!$A$3:$A$500,$B12,'DADOS BRUTOS'!CO$3:CO$500)+IF($C12="",0,SUMIF('DADOS BRUTOS'!$A$3:$A$500,$C12,'DADOS BRUTOS'!CO$3:CO$500)))</f>
        <v/>
      </c>
      <c r="FP12" s="132">
        <f>IF(OR(FP$4="",$B12=""),0,SUMIF('DADOS BRUTOS'!$A$3:$A$500,$B12,'DADOS BRUTOS'!CP$3:CP$500)+IF($C12="",0,SUMIF('DADOS BRUTOS'!$A$3:$A$500,$C12,'DADOS BRUTOS'!CP$3:CP$500)))</f>
        <v/>
      </c>
      <c r="FQ12" s="132">
        <f>IF(OR(FQ$4="",$B12=""),0,SUMIF('DADOS BRUTOS'!$A$3:$A$500,$B12,'DADOS BRUTOS'!CQ$3:CQ$500)+IF($C12="",0,SUMIF('DADOS BRUTOS'!$A$3:$A$500,$C12,'DADOS BRUTOS'!CQ$3:CQ$500)))</f>
        <v/>
      </c>
      <c r="FR12" s="132">
        <f>IF(OR(FR$4="",$B12=""),0,SUMIF('DADOS BRUTOS'!$A$3:$A$500,$B12,'DADOS BRUTOS'!CR$3:CR$500)+IF($C12="",0,SUMIF('DADOS BRUTOS'!$A$3:$A$500,$C12,'DADOS BRUTOS'!CR$3:CR$500)))</f>
        <v/>
      </c>
      <c r="FS12" s="132">
        <f>IF(OR(FS$4="",$B12=""),0,SUMIF('DADOS BRUTOS'!$A$3:$A$500,$B12,'DADOS BRUTOS'!CS$3:CS$500)+IF($C12="",0,SUMIF('DADOS BRUTOS'!$A$3:$A$500,$C12,'DADOS BRUTOS'!CS$3:CS$500)))</f>
        <v/>
      </c>
      <c r="FT12" s="132">
        <f>IF(OR(FT$4="",$B12=""),0,SUMIF('DADOS BRUTOS'!$A$3:$A$500,$B12,'DADOS BRUTOS'!CT$3:CT$500)+IF($C12="",0,SUMIF('DADOS BRUTOS'!$A$3:$A$500,$C12,'DADOS BRUTOS'!CT$3:CT$500)))</f>
        <v/>
      </c>
      <c r="FU12" s="132">
        <f>IF(OR(FU$4="",$B12=""),0,SUMIF('DADOS BRUTOS'!$A$3:$A$500,$B12,'DADOS BRUTOS'!CU$3:CU$500)+IF($C12="",0,SUMIF('DADOS BRUTOS'!$A$3:$A$500,$C12,'DADOS BRUTOS'!CU$3:CU$500)))</f>
        <v/>
      </c>
      <c r="FV12" s="132">
        <f>IF(OR(FV$4="",$B12=""),0,SUMIF('DADOS BRUTOS'!$A$3:$A$500,$B12,'DADOS BRUTOS'!CV$3:CV$500)+IF($C12="",0,SUMIF('DADOS BRUTOS'!$A$3:$A$500,$C12,'DADOS BRUTOS'!CV$3:CV$500)))</f>
        <v/>
      </c>
      <c r="FW12" s="132">
        <f>IF(OR(FW$4="",$B12=""),0,SUMIF('DADOS BRUTOS'!$A$3:$A$500,$B12,'DADOS BRUTOS'!CW$3:CW$500)+IF($C12="",0,SUMIF('DADOS BRUTOS'!$A$3:$A$500,$C12,'DADOS BRUTOS'!CW$3:CW$500)))</f>
        <v/>
      </c>
      <c r="FX12" s="132">
        <f>IF(OR(FX$4="",$B12=""),0,SUMIF('DADOS BRUTOS'!$A$3:$A$500,$B12,'DADOS BRUTOS'!CX$3:CX$500)+IF($C12="",0,SUMIF('DADOS BRUTOS'!$A$3:$A$500,$C12,'DADOS BRUTOS'!CX$3:CX$500)))</f>
        <v/>
      </c>
      <c r="FY12" s="132">
        <f>IF(OR(FY$4="",$B12=""),0,SUMIF('DADOS BRUTOS'!$A$3:$A$500,$B12,'DADOS BRUTOS'!CY$3:CY$500)+IF($C12="",0,SUMIF('DADOS BRUTOS'!$A$3:$A$500,$C12,'DADOS BRUTOS'!CY$3:CY$500)))</f>
        <v/>
      </c>
      <c r="FZ12" s="132">
        <f>IF(OR(FZ$4="",$B12=""),0,SUMIF('DADOS BRUTOS'!$A$3:$A$500,$B12,'DADOS BRUTOS'!CZ$3:CZ$500)+IF($C12="",0,SUMIF('DADOS BRUTOS'!$A$3:$A$500,$C12,'DADOS BRUTOS'!CZ$3:CZ$500)))</f>
        <v/>
      </c>
      <c r="GA12" s="132">
        <f>IF(OR(GA$4="",$B12=""),0,SUMIF('DADOS BRUTOS'!$A$3:$A$500,$B12,'DADOS BRUTOS'!DA$3:DA$500)+IF($C12="",0,SUMIF('DADOS BRUTOS'!$A$3:$A$500,$C12,'DADOS BRUTOS'!DA$3:DA$500)))</f>
        <v/>
      </c>
      <c r="GB12" s="132">
        <f>IF(OR(GB$4="",$B12=""),0,SUMIF('DADOS BRUTOS'!$A$3:$A$500,$B12,'DADOS BRUTOS'!DB$3:DB$500)+IF($C12="",0,SUMIF('DADOS BRUTOS'!$A$3:$A$500,$C12,'DADOS BRUTOS'!DB$3:DB$500)))</f>
        <v/>
      </c>
      <c r="GC12" s="132">
        <f>IF(OR(GC$4="",$B12=""),0,SUMIF('DADOS BRUTOS'!$A$3:$A$500,$B12,'DADOS BRUTOS'!DC$3:DC$500)+IF($C12="",0,SUMIF('DADOS BRUTOS'!$A$3:$A$500,$C12,'DADOS BRUTOS'!DC$3:DC$500)))</f>
        <v/>
      </c>
      <c r="GD12" s="132">
        <f>IF(OR(GD$4="",$B12=""),0,SUMIF('DADOS BRUTOS'!$A$3:$A$500,$B12,'DADOS BRUTOS'!DD$3:DD$500)+IF($C12="",0,SUMIF('DADOS BRUTOS'!$A$3:$A$500,$C12,'DADOS BRUTOS'!DD$3:DD$500)))</f>
        <v/>
      </c>
      <c r="GE12" s="132">
        <f>IF(OR(GE$4="",$B12=""),0,SUMIF('DADOS BRUTOS'!$A$3:$A$500,$B12,'DADOS BRUTOS'!DE$3:DE$500)+IF($C12="",0,SUMIF('DADOS BRUTOS'!$A$3:$A$500,$C12,'DADOS BRUTOS'!DE$3:DE$500)))</f>
        <v/>
      </c>
      <c r="GF12" s="132">
        <f>IF(OR(GF$4="",$B12=""),0,SUMIF('DADOS BRUTOS'!$A$3:$A$500,$B12,'DADOS BRUTOS'!DF$3:DF$500)+IF($C12="",0,SUMIF('DADOS BRUTOS'!$A$3:$A$500,$C12,'DADOS BRUTOS'!DF$3:DF$500)))</f>
        <v/>
      </c>
      <c r="GG12" s="132">
        <f>IF(OR(GG$4="",$B12=""),0,SUMIF('DADOS BRUTOS'!$A$3:$A$500,$B12,'DADOS BRUTOS'!DG$3:DG$500)+IF($C12="",0,SUMIF('DADOS BRUTOS'!$A$3:$A$500,$C12,'DADOS BRUTOS'!DG$3:DG$500)))</f>
        <v/>
      </c>
      <c r="GH12" s="132">
        <f>IF(OR(GH$4="",$B12=""),0,SUMIF('DADOS BRUTOS'!$A$3:$A$500,$B12,'DADOS BRUTOS'!DH$3:DH$500)+IF($C12="",0,SUMIF('DADOS BRUTOS'!$A$3:$A$500,$C12,'DADOS BRUTOS'!DH$3:DH$500)))</f>
        <v/>
      </c>
      <c r="GI12" s="132">
        <f>IF(OR(GI$4="",$B12=""),0,SUMIF('DADOS BRUTOS'!$A$3:$A$500,$B12,'DADOS BRUTOS'!DI$3:DI$500)+IF($C12="",0,SUMIF('DADOS BRUTOS'!$A$3:$A$500,$C12,'DADOS BRUTOS'!DI$3:DI$500)))</f>
        <v/>
      </c>
      <c r="GJ12" s="132">
        <f>IF(OR(GJ$4="",$B12=""),0,SUMIF('DADOS BRUTOS'!$A$3:$A$500,$B12,'DADOS BRUTOS'!DJ$3:DJ$500)+IF($C12="",0,SUMIF('DADOS BRUTOS'!$A$3:$A$500,$C12,'DADOS BRUTOS'!DJ$3:DJ$500)))</f>
        <v/>
      </c>
      <c r="GK12" s="132">
        <f>IF(OR(GK$4="",$B12=""),0,SUMIF('DADOS BRUTOS'!$A$3:$A$500,$B12,'DADOS BRUTOS'!DK$3:DK$500)+IF($C12="",0,SUMIF('DADOS BRUTOS'!$A$3:$A$500,$C12,'DADOS BRUTOS'!DK$3:DK$500)))</f>
        <v/>
      </c>
      <c r="GL12" s="132">
        <f>IF(OR(GL$4="",$B12=""),0,SUMIF('DADOS BRUTOS'!$A$3:$A$500,$B12,'DADOS BRUTOS'!DL$3:DL$500)+IF($C12="",0,SUMIF('DADOS BRUTOS'!$A$3:$A$500,$C12,'DADOS BRUTOS'!DL$3:DL$500)))</f>
        <v/>
      </c>
      <c r="GM12" s="132">
        <f>IF(OR(GM$4="",$B12=""),0,SUMIF('DADOS BRUTOS'!$A$3:$A$500,$B12,'DADOS BRUTOS'!DM$3:DM$500)+IF($C12="",0,SUMIF('DADOS BRUTOS'!$A$3:$A$500,$C12,'DADOS BRUTOS'!DM$3:DM$500)))</f>
        <v/>
      </c>
      <c r="GN12" s="132">
        <f>IF(OR(GN$4="",$B12=""),0,SUMIF('DADOS BRUTOS'!$A$3:$A$500,$B12,'DADOS BRUTOS'!DN$3:DN$500)+IF($C12="",0,SUMIF('DADOS BRUTOS'!$A$3:$A$500,$C12,'DADOS BRUTOS'!DN$3:DN$500)))</f>
        <v/>
      </c>
      <c r="GO12" s="132">
        <f>IF(OR(GO$4="",$B12=""),0,SUMIF('DADOS BRUTOS'!$A$3:$A$500,$B12,'DADOS BRUTOS'!DO$3:DO$500)+IF($C12="",0,SUMIF('DADOS BRUTOS'!$A$3:$A$500,$C12,'DADOS BRUTOS'!DO$3:DO$500)))</f>
        <v/>
      </c>
      <c r="GP12" s="132">
        <f>IF(OR(GP$4="",$B12=""),0,SUMIF('DADOS BRUTOS'!$A$3:$A$500,$B12,'DADOS BRUTOS'!DP$3:DP$500)+IF($C12="",0,SUMIF('DADOS BRUTOS'!$A$3:$A$500,$C12,'DADOS BRUTOS'!DP$3:DP$500)))</f>
        <v/>
      </c>
      <c r="GQ12" s="132">
        <f>IF(OR(GQ$4="",$B12=""),0,SUMIF('DADOS BRUTOS'!$A$3:$A$500,$B12,'DADOS BRUTOS'!DQ$3:DQ$500)+IF($C12="",0,SUMIF('DADOS BRUTOS'!$A$3:$A$500,$C12,'DADOS BRUTOS'!DQ$3:DQ$500)))</f>
        <v/>
      </c>
      <c r="GR12" s="132">
        <f>IF(OR(GR$4="",$B12=""),0,SUMIF('DADOS BRUTOS'!$A$3:$A$500,$B12,'DADOS BRUTOS'!DR$3:DR$500)+IF($C12="",0,SUMIF('DADOS BRUTOS'!$A$3:$A$500,$C12,'DADOS BRUTOS'!DR$3:DR$500)))</f>
        <v/>
      </c>
      <c r="GS12" s="132">
        <f>IF(OR(GS$4="",$B12=""),0,SUMIF('DADOS BRUTOS'!$A$3:$A$500,$B12,'DADOS BRUTOS'!DS$3:DS$500)+IF($C12="",0,SUMIF('DADOS BRUTOS'!$A$3:$A$500,$C12,'DADOS BRUTOS'!DS$3:DS$500)))</f>
        <v/>
      </c>
      <c r="GT12" s="132">
        <f>IF(OR(GT$4="",$B12=""),0,SUMIF('DADOS BRUTOS'!$A$3:$A$500,$B12,'DADOS BRUTOS'!DT$3:DT$500)+IF($C12="",0,SUMIF('DADOS BRUTOS'!$A$3:$A$500,$C12,'DADOS BRUTOS'!DT$3:DT$500)))</f>
        <v/>
      </c>
      <c r="GU12" s="132">
        <f>IF(OR(GU$4="",$B12=""),0,SUMIF('DADOS BRUTOS'!$A$3:$A$500,$B12,'DADOS BRUTOS'!DU$3:DU$500)+IF($C12="",0,SUMIF('DADOS BRUTOS'!$A$3:$A$500,$C12,'DADOS BRUTOS'!DU$3:DU$500)))</f>
        <v/>
      </c>
      <c r="GV12" s="132">
        <f>IF(OR(GV$4="",$B12=""),0,SUMIF('DADOS BRUTOS'!$A$3:$A$500,$B12,'DADOS BRUTOS'!DV$3:DV$500)+IF($C12="",0,SUMIF('DADOS BRUTOS'!$A$3:$A$500,$C12,'DADOS BRUTOS'!DV$3:DV$500)))</f>
        <v/>
      </c>
      <c r="GW12" s="132">
        <f>IF(OR(GW$4="",$B12=""),0,SUMIF('DADOS BRUTOS'!$A$3:$A$500,$B12,'DADOS BRUTOS'!DW$3:DW$500)+IF($C12="",0,SUMIF('DADOS BRUTOS'!$A$3:$A$500,$C12,'DADOS BRUTOS'!DW$3:DW$500)))</f>
        <v/>
      </c>
      <c r="GX12" s="132">
        <f>IF(OR(GX$4="",$B12=""),0,SUMIF('DADOS BRUTOS'!$A$3:$A$500,$B12,'DADOS BRUTOS'!DX$3:DX$500)+IF($C12="",0,SUMIF('DADOS BRUTOS'!$A$3:$A$500,$C12,'DADOS BRUTOS'!DX$3:DX$500)))</f>
        <v/>
      </c>
      <c r="GY12" s="132">
        <f>IF(OR(GY$4="",$B12=""),0,SUMIF('DADOS BRUTOS'!$A$3:$A$500,$B12,'DADOS BRUTOS'!DY$3:DY$500)+IF($C12="",0,SUMIF('DADOS BRUTOS'!$A$3:$A$500,$C12,'DADOS BRUTOS'!DY$3:DY$500)))</f>
        <v/>
      </c>
      <c r="GZ12" s="132">
        <f>IF(OR(GZ$4="",$B12=""),0,SUMIF('DADOS BRUTOS'!$A$3:$A$500,$B12,'DADOS BRUTOS'!DZ$3:DZ$500)+IF($C12="",0,SUMIF('DADOS BRUTOS'!$A$3:$A$500,$C12,'DADOS BRUTOS'!DZ$3:DZ$500)))</f>
        <v/>
      </c>
      <c r="HA12" s="132">
        <f>IF(OR(HA$4="",$B12=""),0,SUMIF('DADOS BRUTOS'!$A$3:$A$500,$B12,'DADOS BRUTOS'!EA$3:EA$500)+IF($C12="",0,SUMIF('DADOS BRUTOS'!$A$3:$A$500,$C12,'DADOS BRUTOS'!EA$3:EA$500)))</f>
        <v/>
      </c>
      <c r="HB12" s="132">
        <f>IF(OR(HB$4="",$B12=""),0,SUMIF('DADOS BRUTOS'!$A$3:$A$500,$B12,'DADOS BRUTOS'!EB$3:EB$500)+IF($C12="",0,SUMIF('DADOS BRUTOS'!$A$3:$A$500,$C12,'DADOS BRUTOS'!EB$3:EB$500)))</f>
        <v/>
      </c>
      <c r="HC12" s="132">
        <f>IF(OR(HC$4="",$B12=""),0,SUMIF('DADOS BRUTOS'!$A$3:$A$500,$B12,'DADOS BRUTOS'!EC$3:EC$500)+IF($C12="",0,SUMIF('DADOS BRUTOS'!$A$3:$A$500,$C12,'DADOS BRUTOS'!EC$3:EC$500)))</f>
        <v/>
      </c>
      <c r="HD12" s="132">
        <f>IF(OR(HD$4="",$B12=""),0,SUMIF('DADOS BRUTOS'!$A$3:$A$500,$B12,'DADOS BRUTOS'!ED$3:ED$500)+IF($C12="",0,SUMIF('DADOS BRUTOS'!$A$3:$A$500,$C12,'DADOS BRUTOS'!ED$3:ED$500)))</f>
        <v/>
      </c>
      <c r="HE12" s="132">
        <f>IF(OR(HE$4="",$B12=""),0,SUMIF('DADOS BRUTOS'!$A$3:$A$500,$B12,'DADOS BRUTOS'!EE$3:EE$500)+IF($C12="",0,SUMIF('DADOS BRUTOS'!$A$3:$A$500,$C12,'DADOS BRUTOS'!EE$3:EE$500)))</f>
        <v/>
      </c>
      <c r="HF12" s="132">
        <f>IF(OR(HF$4="",$B12=""),0,SUMIF('DADOS BRUTOS'!$A$3:$A$500,$B12,'DADOS BRUTOS'!EF$3:EF$500)+IF($C12="",0,SUMIF('DADOS BRUTOS'!$A$3:$A$500,$C12,'DADOS BRUTOS'!EF$3:EF$500)))</f>
        <v/>
      </c>
      <c r="HG12" s="132">
        <f>IF(OR(HG$4="",$B12=""),0,SUMIF('DADOS BRUTOS'!$A$3:$A$500,$B12,'DADOS BRUTOS'!EG$3:EG$500)+IF($C12="",0,SUMIF('DADOS BRUTOS'!$A$3:$A$500,$C12,'DADOS BRUTOS'!EG$3:EG$500)))</f>
        <v/>
      </c>
      <c r="HH12" s="132">
        <f>IF(OR(HH$4="",$B12=""),0,SUMIF('DADOS BRUTOS'!$A$3:$A$500,$B12,'DADOS BRUTOS'!EH$3:EH$500)+IF($C12="",0,SUMIF('DADOS BRUTOS'!$A$3:$A$500,$C12,'DADOS BRUTOS'!EH$3:EH$500)))</f>
        <v/>
      </c>
      <c r="HI12" s="132">
        <f>IF(OR(HI$4="",$B12=""),0,SUMIF('DADOS BRUTOS'!$A$3:$A$500,$B12,'DADOS BRUTOS'!EI$3:EI$500)+IF($C12="",0,SUMIF('DADOS BRUTOS'!$A$3:$A$500,$C12,'DADOS BRUTOS'!EI$3:EI$500)))</f>
        <v/>
      </c>
      <c r="HJ12" s="132">
        <f>IF(OR(HJ$4="",$B12=""),0,SUMIF('DADOS BRUTOS'!$A$3:$A$500,$B12,'DADOS BRUTOS'!EJ$3:EJ$500)+IF($C12="",0,SUMIF('DADOS BRUTOS'!$A$3:$A$500,$C12,'DADOS BRUTOS'!EJ$3:EJ$500)))</f>
        <v/>
      </c>
      <c r="HK12" s="132">
        <f>IF(OR(HK$4="",$B12=""),0,SUMIF('DADOS BRUTOS'!$A$3:$A$500,$B12,'DADOS BRUTOS'!EK$3:EK$500)+IF($C12="",0,SUMIF('DADOS BRUTOS'!$A$3:$A$500,$C12,'DADOS BRUTOS'!EK$3:EK$500)))</f>
        <v/>
      </c>
      <c r="HL12" s="132">
        <f>IF(OR(HL$4="",$B12=""),0,SUMIF('DADOS BRUTOS'!$A$3:$A$500,$B12,'DADOS BRUTOS'!EL$3:EL$500)+IF($C12="",0,SUMIF('DADOS BRUTOS'!$A$3:$A$500,$C12,'DADOS BRUTOS'!EL$3:EL$500)))</f>
        <v/>
      </c>
      <c r="HM12" s="132">
        <f>IF(OR(HM$4="",$B12=""),0,SUMIF('DADOS BRUTOS'!$A$3:$A$500,$B12,'DADOS BRUTOS'!EM$3:EM$500)+IF($C12="",0,SUMIF('DADOS BRUTOS'!$A$3:$A$500,$C12,'DADOS BRUTOS'!EM$3:EM$500)))</f>
        <v/>
      </c>
      <c r="HN12" s="132">
        <f>IF(OR(HN$4="",$B12=""),0,SUMIF('DADOS BRUTOS'!$A$3:$A$500,$B12,'DADOS BRUTOS'!EN$3:EN$500)+IF($C12="",0,SUMIF('DADOS BRUTOS'!$A$3:$A$500,$C12,'DADOS BRUTOS'!EN$3:EN$500)))</f>
        <v/>
      </c>
      <c r="HO12" s="132">
        <f>IF(OR(HO$4="",$B12=""),0,SUMIF('DADOS BRUTOS'!$A$3:$A$500,$B12,'DADOS BRUTOS'!EO$3:EO$500)+IF($C12="",0,SUMIF('DADOS BRUTOS'!$A$3:$A$500,$C12,'DADOS BRUTOS'!EO$3:EO$500)))</f>
        <v/>
      </c>
      <c r="HP12" s="132">
        <f>IF(OR(HP$4="",$B12=""),0,SUMIF('DADOS BRUTOS'!$A$3:$A$500,$B12,'DADOS BRUTOS'!EP$3:EP$500)+IF($C12="",0,SUMIF('DADOS BRUTOS'!$A$3:$A$500,$C12,'DADOS BRUTOS'!EP$3:EP$500)))</f>
        <v/>
      </c>
      <c r="HQ12" s="132">
        <f>IF(OR(HQ$4="",$B12=""),0,SUMIF('DADOS BRUTOS'!$A$3:$A$500,$B12,'DADOS BRUTOS'!EQ$3:EQ$500)+IF($C12="",0,SUMIF('DADOS BRUTOS'!$A$3:$A$500,$C12,'DADOS BRUTOS'!EQ$3:EQ$500)))</f>
        <v/>
      </c>
      <c r="HR12" s="132">
        <f>IF(OR(HR$4="",$B12=""),0,SUMIF('DADOS BRUTOS'!$A$3:$A$500,$B12,'DADOS BRUTOS'!ER$3:ER$500)+IF($C12="",0,SUMIF('DADOS BRUTOS'!$A$3:$A$500,$C12,'DADOS BRUTOS'!ER$3:ER$500)))</f>
        <v/>
      </c>
      <c r="HS12" s="132">
        <f>IF(OR(HS$4="",$B12=""),0,SUMIF('DADOS BRUTOS'!$A$3:$A$500,$B12,'DADOS BRUTOS'!ES$3:ES$500)+IF($C12="",0,SUMIF('DADOS BRUTOS'!$A$3:$A$500,$C12,'DADOS BRUTOS'!ES$3:ES$500)))</f>
        <v/>
      </c>
      <c r="HT12" s="132">
        <f>IF(OR(HT$4="",$B12=""),0,SUMIF('DADOS BRUTOS'!$A$3:$A$500,$B12,'DADOS BRUTOS'!ET$3:ET$500)+IF($C12="",0,SUMIF('DADOS BRUTOS'!$A$3:$A$500,$C12,'DADOS BRUTOS'!ET$3:ET$500)))</f>
        <v/>
      </c>
      <c r="HU12" s="132">
        <f>IF(OR(HU$4="",$B12=""),0,SUMIF('DADOS BRUTOS'!$A$3:$A$500,$B12,'DADOS BRUTOS'!EU$3:EU$500)+IF($C12="",0,SUMIF('DADOS BRUTOS'!$A$3:$A$500,$C12,'DADOS BRUTOS'!EU$3:EU$500)))</f>
        <v/>
      </c>
      <c r="HV12" s="132">
        <f>IF(OR(HV$4="",$B12=""),0,SUMIF('DADOS BRUTOS'!$A$3:$A$500,$B12,'DADOS BRUTOS'!EV$3:EV$500)+IF($C12="",0,SUMIF('DADOS BRUTOS'!$A$3:$A$500,$C12,'DADOS BRUTOS'!EV$3:EV$500)))</f>
        <v/>
      </c>
      <c r="HW12" s="132">
        <f>IF(OR(HW$4="",$B12=""),0,SUMIF('DADOS BRUTOS'!$A$3:$A$500,$B12,'DADOS BRUTOS'!EW$3:EW$500)+IF($C12="",0,SUMIF('DADOS BRUTOS'!$A$3:$A$500,$C12,'DADOS BRUTOS'!EW$3:EW$500)))</f>
        <v/>
      </c>
      <c r="HX12" s="132">
        <f>IF(OR(HX$4="",$B12=""),0,SUMIF('DADOS BRUTOS'!$A$3:$A$500,$B12,'DADOS BRUTOS'!EX$3:EX$500)+IF($C12="",0,SUMIF('DADOS BRUTOS'!$A$3:$A$500,$C12,'DADOS BRUTOS'!EX$3:EX$500)))</f>
        <v/>
      </c>
      <c r="HY12" s="132">
        <f>IF(OR(HY$4="",$B12=""),0,SUMIF('DADOS BRUTOS'!$A$3:$A$500,$B12,'DADOS BRUTOS'!EY$3:EY$500)+IF($C12="",0,SUMIF('DADOS BRUTOS'!$A$3:$A$500,$C12,'DADOS BRUTOS'!EY$3:EY$500)))</f>
        <v/>
      </c>
      <c r="HZ12" s="132">
        <f>IF(OR(HZ$4="",$B12=""),0,SUMIF('DADOS BRUTOS'!$A$3:$A$500,$B12,'DADOS BRUTOS'!EZ$3:EZ$500)+IF($C12="",0,SUMIF('DADOS BRUTOS'!$A$3:$A$500,$C12,'DADOS BRUTOS'!EZ$3:EZ$500)))</f>
        <v/>
      </c>
      <c r="IA12" s="132">
        <f>IF(OR(IA$4="",$B12=""),0,SUMIF('DADOS BRUTOS'!$A$3:$A$500,$B12,'DADOS BRUTOS'!FA$3:FA$500)+IF($C12="",0,SUMIF('DADOS BRUTOS'!$A$3:$A$500,$C12,'DADOS BRUTOS'!FA$3:FA$500)))</f>
        <v/>
      </c>
      <c r="IB12" s="132">
        <f>IF(OR(IB$4="",$B12=""),0,SUMIF('DADOS BRUTOS'!$A$3:$A$500,$B12,'DADOS BRUTOS'!FB$3:FB$500)+IF($C12="",0,SUMIF('DADOS BRUTOS'!$A$3:$A$500,$C12,'DADOS BRUTOS'!FB$3:FB$500)))</f>
        <v/>
      </c>
      <c r="IC12" s="132">
        <f>IF(OR(IC$4="",$B12=""),0,SUMIF('DADOS BRUTOS'!$A$3:$A$500,$B12,'DADOS BRUTOS'!FC$3:FC$500)+IF($C12="",0,SUMIF('DADOS BRUTOS'!$A$3:$A$500,$C12,'DADOS BRUTOS'!FC$3:FC$500)))</f>
        <v/>
      </c>
      <c r="ID12" s="132">
        <f>IF(OR(ID$4="",$B12=""),0,SUMIF('DADOS BRUTOS'!$A$3:$A$500,$B12,'DADOS BRUTOS'!FD$3:FD$500)+IF($C12="",0,SUMIF('DADOS BRUTOS'!$A$3:$A$500,$C12,'DADOS BRUTOS'!FD$3:FD$500)))</f>
        <v/>
      </c>
      <c r="IE12" s="132">
        <f>IF(OR(IE$4="",$B12=""),0,SUMIF('DADOS BRUTOS'!$A$3:$A$500,$B12,'DADOS BRUTOS'!FE$3:FE$500)+IF($C12="",0,SUMIF('DADOS BRUTOS'!$A$3:$A$500,$C12,'DADOS BRUTOS'!FE$3:FE$500)))</f>
        <v/>
      </c>
      <c r="IF12" s="132">
        <f>IF(OR(IF$4="",$B12=""),0,SUMIF('DADOS BRUTOS'!$A$3:$A$500,$B12,'DADOS BRUTOS'!FF$3:FF$500)+IF($C12="",0,SUMIF('DADOS BRUTOS'!$A$3:$A$500,$C12,'DADOS BRUTOS'!FF$3:FF$500)))</f>
        <v/>
      </c>
      <c r="IG12" s="132">
        <f>IF(OR(IG$4="",$B12=""),0,SUMIF('DADOS BRUTOS'!$A$3:$A$500,$B12,'DADOS BRUTOS'!FG$3:FG$500)+IF($C12="",0,SUMIF('DADOS BRUTOS'!$A$3:$A$500,$C12,'DADOS BRUTOS'!FG$3:FG$500)))</f>
        <v/>
      </c>
      <c r="IH12" s="132">
        <f>IF(OR(IH$4="",$B12=""),0,SUMIF('DADOS BRUTOS'!$A$3:$A$500,$B12,'DADOS BRUTOS'!FH$3:FH$500)+IF($C12="",0,SUMIF('DADOS BRUTOS'!$A$3:$A$500,$C12,'DADOS BRUTOS'!FH$3:FH$500)))</f>
        <v/>
      </c>
      <c r="II12" s="132">
        <f>IF(OR(II$4="",$B12=""),0,SUMIF('DADOS BRUTOS'!$A$3:$A$500,$B12,'DADOS BRUTOS'!FI$3:FI$500)+IF($C12="",0,SUMIF('DADOS BRUTOS'!$A$3:$A$500,$C12,'DADOS BRUTOS'!FI$3:FI$500)))</f>
        <v/>
      </c>
      <c r="IJ12" s="132">
        <f>IF(OR(IJ$4="",$B12=""),0,SUMIF('DADOS BRUTOS'!$A$3:$A$500,$B12,'DADOS BRUTOS'!FJ$3:FJ$500)+IF($C12="",0,SUMIF('DADOS BRUTOS'!$A$3:$A$500,$C12,'DADOS BRUTOS'!FJ$3:FJ$500)))</f>
        <v/>
      </c>
      <c r="IK12" s="132">
        <f>IF(OR(IK$4="",$B12=""),0,SUMIF('DADOS BRUTOS'!$A$3:$A$500,$B12,'DADOS BRUTOS'!FK$3:FK$500)+IF($C12="",0,SUMIF('DADOS BRUTOS'!$A$3:$A$500,$C12,'DADOS BRUTOS'!FK$3:FK$500)))</f>
        <v/>
      </c>
      <c r="IL12" s="132">
        <f>IF(OR(IL$4="",$B12=""),0,SUMIF('DADOS BRUTOS'!$A$3:$A$500,$B12,'DADOS BRUTOS'!FL$3:FL$500)+IF($C12="",0,SUMIF('DADOS BRUTOS'!$A$3:$A$500,$C12,'DADOS BRUTOS'!FL$3:FL$500)))</f>
        <v/>
      </c>
      <c r="IM12" s="132">
        <f>IF(OR(IM$4="",$B12=""),0,SUMIF('DADOS BRUTOS'!$A$3:$A$500,$B12,'DADOS BRUTOS'!FM$3:FM$500)+IF($C12="",0,SUMIF('DADOS BRUTOS'!$A$3:$A$500,$C12,'DADOS BRUTOS'!FM$3:FM$500)))</f>
        <v/>
      </c>
      <c r="IN12" s="132">
        <f>IF(OR(IN$4="",$B12=""),0,SUMIF('DADOS BRUTOS'!$A$3:$A$500,$B12,'DADOS BRUTOS'!FN$3:FN$500)+IF($C12="",0,SUMIF('DADOS BRUTOS'!$A$3:$A$500,$C12,'DADOS BRUTOS'!FN$3:FN$500)))</f>
        <v/>
      </c>
      <c r="IO12" s="132">
        <f>IF(OR(IO$4="",$B12=""),0,SUMIF('DADOS BRUTOS'!$A$3:$A$500,$B12,'DADOS BRUTOS'!FO$3:FO$500)+IF($C12="",0,SUMIF('DADOS BRUTOS'!$A$3:$A$500,$C12,'DADOS BRUTOS'!FO$3:FO$500)))</f>
        <v/>
      </c>
      <c r="IP12" s="132">
        <f>IF(OR(IP$4="",$B12=""),0,SUMIF('DADOS BRUTOS'!$A$3:$A$500,$B12,'DADOS BRUTOS'!FP$3:FP$500)+IF($C12="",0,SUMIF('DADOS BRUTOS'!$A$3:$A$500,$C12,'DADOS BRUTOS'!FP$3:FP$500)))</f>
        <v/>
      </c>
      <c r="IQ12" s="132">
        <f>IF(OR(IQ$4="",$B12=""),0,SUMIF('DADOS BRUTOS'!$A$3:$A$500,$B12,'DADOS BRUTOS'!FQ$3:FQ$500)+IF($C12="",0,SUMIF('DADOS BRUTOS'!$A$3:$A$500,$C12,'DADOS BRUTOS'!FQ$3:FQ$500)))</f>
        <v/>
      </c>
      <c r="IR12" s="132">
        <f>IF(OR(IR$4="",$B12=""),0,SUMIF('DADOS BRUTOS'!$A$3:$A$500,$B12,'DADOS BRUTOS'!FR$3:FR$500)+IF($C12="",0,SUMIF('DADOS BRUTOS'!$A$3:$A$500,$C12,'DADOS BRUTOS'!FR$3:FR$500)))</f>
        <v/>
      </c>
      <c r="IS12" s="132">
        <f>IF(OR(IS$4="",$B12=""),0,SUMIF('DADOS BRUTOS'!$A$3:$A$500,$B12,'DADOS BRUTOS'!FS$3:FS$500)+IF($C12="",0,SUMIF('DADOS BRUTOS'!$A$3:$A$500,$C12,'DADOS BRUTOS'!FS$3:FS$500)))</f>
        <v/>
      </c>
      <c r="IT12" s="132">
        <f>IF(OR(IT$4="",$B12=""),0,SUMIF('DADOS BRUTOS'!$A$3:$A$500,$B12,'DADOS BRUTOS'!FT$3:FT$500)+IF($C12="",0,SUMIF('DADOS BRUTOS'!$A$3:$A$500,$C12,'DADOS BRUTOS'!FT$3:FT$500)))</f>
        <v/>
      </c>
      <c r="IU12" s="132">
        <f>IF(OR(IU$4="",$B12=""),0,SUMIF('DADOS BRUTOS'!$A$3:$A$500,$B12,'DADOS BRUTOS'!FU$3:FU$500)+IF($C12="",0,SUMIF('DADOS BRUTOS'!$A$3:$A$500,$C12,'DADOS BRUTOS'!FU$3:FU$500)))</f>
        <v/>
      </c>
      <c r="IV12" s="132">
        <f>IF(OR(IV$4="",$B12=""),0,SUMIF('DADOS BRUTOS'!$A$3:$A$500,$B12,'DADOS BRUTOS'!FV$3:FV$500)+IF($C12="",0,SUMIF('DADOS BRUTOS'!$A$3:$A$500,$C12,'DADOS BRUTOS'!FV$3:FV$500)))</f>
        <v/>
      </c>
      <c r="IW12" s="132">
        <f>IF(OR(IW$4="",$B12=""),0,SUMIF('DADOS BRUTOS'!$A$3:$A$500,$B12,'DADOS BRUTOS'!FW$3:FW$500)+IF($C12="",0,SUMIF('DADOS BRUTOS'!$A$3:$A$500,$C12,'DADOS BRUTOS'!FW$3:FW$500)))</f>
        <v/>
      </c>
      <c r="IX12" s="132">
        <f>IF(OR(IX$4="",$B12=""),0,SUMIF('DADOS BRUTOS'!$A$3:$A$500,$B12,'DADOS BRUTOS'!FX$3:FX$500)+IF($C12="",0,SUMIF('DADOS BRUTOS'!$A$3:$A$500,$C12,'DADOS BRUTOS'!FX$3:FX$500)))</f>
        <v/>
      </c>
      <c r="IY12" s="132">
        <f>IF(OR(IY$4="",$B12=""),0,SUMIF('DADOS BRUTOS'!$A$3:$A$500,$B12,'DADOS BRUTOS'!FY$3:FY$500)+IF($C12="",0,SUMIF('DADOS BRUTOS'!$A$3:$A$500,$C12,'DADOS BRUTOS'!FY$3:FY$500)))</f>
        <v/>
      </c>
      <c r="IZ12" s="132">
        <f>IF(OR(IZ$4="",$B12=""),0,SUMIF('DADOS BRUTOS'!$A$3:$A$500,$B12,'DADOS BRUTOS'!FZ$3:FZ$500)+IF($C12="",0,SUMIF('DADOS BRUTOS'!$A$3:$A$500,$C12,'DADOS BRUTOS'!FZ$3:FZ$500)))</f>
        <v/>
      </c>
      <c r="JA12" s="132">
        <f>IF(OR(JA$4="",$B12=""),0,SUMIF('DADOS BRUTOS'!$A$3:$A$500,$B12,'DADOS BRUTOS'!GA$3:GA$500)+IF($C12="",0,SUMIF('DADOS BRUTOS'!$A$3:$A$500,$C12,'DADOS BRUTOS'!GA$3:GA$500)))</f>
        <v/>
      </c>
      <c r="JB12" s="132">
        <f>IF(OR(JB$4="",$B12=""),0,SUMIF('DADOS BRUTOS'!$A$3:$A$500,$B12,'DADOS BRUTOS'!GB$3:GB$500)+IF($C12="",0,SUMIF('DADOS BRUTOS'!$A$3:$A$500,$C12,'DADOS BRUTOS'!GB$3:GB$500)))</f>
        <v/>
      </c>
      <c r="JC12" s="132">
        <f>IF(OR(JC$4="",$B12=""),0,SUMIF('DADOS BRUTOS'!$A$3:$A$500,$B12,'DADOS BRUTOS'!GC$3:GC$500)+IF($C12="",0,SUMIF('DADOS BRUTOS'!$A$3:$A$500,$C12,'DADOS BRUTOS'!GC$3:GC$500)))</f>
        <v/>
      </c>
      <c r="JD12" s="132">
        <f>IF(OR(JD$4="",$B12=""),0,SUMIF('DADOS BRUTOS'!$A$3:$A$500,$B12,'DADOS BRUTOS'!GD$3:GD$500)+IF($C12="",0,SUMIF('DADOS BRUTOS'!$A$3:$A$500,$C12,'DADOS BRUTOS'!GD$3:GD$500)))</f>
        <v/>
      </c>
      <c r="JE12" s="132">
        <f>IF(OR(JE$4="",$B12=""),0,SUMIF('DADOS BRUTOS'!$A$3:$A$500,$B12,'DADOS BRUTOS'!GE$3:GE$500)+IF($C12="",0,SUMIF('DADOS BRUTOS'!$A$3:$A$500,$C12,'DADOS BRUTOS'!GE$3:GE$500)))</f>
        <v/>
      </c>
      <c r="JF12" s="132">
        <f>IF(OR(JF$4="",$B12=""),0,SUMIF('DADOS BRUTOS'!$A$3:$A$500,$B12,'DADOS BRUTOS'!GF$3:GF$500)+IF($C12="",0,SUMIF('DADOS BRUTOS'!$A$3:$A$500,$C12,'DADOS BRUTOS'!GF$3:GF$500)))</f>
        <v/>
      </c>
      <c r="JG12" s="132">
        <f>IF(OR(JG$4="",$B12=""),0,SUMIF('DADOS BRUTOS'!$A$3:$A$500,$B12,'DADOS BRUTOS'!GG$3:GG$500)+IF($C12="",0,SUMIF('DADOS BRUTOS'!$A$3:$A$500,$C12,'DADOS BRUTOS'!GG$3:GG$500)))</f>
        <v/>
      </c>
      <c r="JH12" s="132">
        <f>IF(OR(JH$4="",$B12=""),0,SUMIF('DADOS BRUTOS'!$A$3:$A$500,$B12,'DADOS BRUTOS'!GH$3:GH$500)+IF($C12="",0,SUMIF('DADOS BRUTOS'!$A$3:$A$500,$C12,'DADOS BRUTOS'!GH$3:GH$500)))</f>
        <v/>
      </c>
      <c r="JI12" s="132">
        <f>IF(OR(JI$4="",$B12=""),0,SUMIF('DADOS BRUTOS'!$A$3:$A$500,$B12,'DADOS BRUTOS'!GI$3:GI$500)+IF($C12="",0,SUMIF('DADOS BRUTOS'!$A$3:$A$500,$C12,'DADOS BRUTOS'!GI$3:GI$500)))</f>
        <v/>
      </c>
      <c r="JJ12" s="132">
        <f>IF(OR(JJ$4="",$B12=""),0,SUMIF('DADOS BRUTOS'!$A$3:$A$500,$B12,'DADOS BRUTOS'!GJ$3:GJ$500)+IF($C12="",0,SUMIF('DADOS BRUTOS'!$A$3:$A$500,$C12,'DADOS BRUTOS'!GJ$3:GJ$500)))</f>
        <v/>
      </c>
      <c r="JK12" s="132">
        <f>IF(OR(JK$4="",$B12=""),0,SUMIF('DADOS BRUTOS'!$A$3:$A$500,$B12,'DADOS BRUTOS'!GK$3:GK$500)+IF($C12="",0,SUMIF('DADOS BRUTOS'!$A$3:$A$500,$C12,'DADOS BRUTOS'!GK$3:GK$500)))</f>
        <v/>
      </c>
      <c r="JL12" s="132">
        <f>IF(OR(JL$4="",$B12=""),0,SUMIF('DADOS BRUTOS'!$A$3:$A$500,$B12,'DADOS BRUTOS'!GL$3:GL$500)+IF($C12="",0,SUMIF('DADOS BRUTOS'!$A$3:$A$500,$C12,'DADOS BRUTOS'!GL$3:GL$500)))</f>
        <v/>
      </c>
      <c r="JM12" s="132">
        <f>IF(OR(JM$4="",$B12=""),0,SUMIF('DADOS BRUTOS'!$A$3:$A$500,$B12,'DADOS BRUTOS'!GM$3:GM$500)+IF($C12="",0,SUMIF('DADOS BRUTOS'!$A$3:$A$500,$C12,'DADOS BRUTOS'!GM$3:GM$500)))</f>
        <v/>
      </c>
      <c r="JN12" s="132">
        <f>IF(OR(JN$4="",$B12=""),0,SUMIF('DADOS BRUTOS'!$A$3:$A$500,$B12,'DADOS BRUTOS'!GN$3:GN$500)+IF($C12="",0,SUMIF('DADOS BRUTOS'!$A$3:$A$500,$C12,'DADOS BRUTOS'!GN$3:GN$500)))</f>
        <v/>
      </c>
      <c r="JO12" s="132">
        <f>IF(OR(JO$4="",$B12=""),0,SUMIF('DADOS BRUTOS'!$A$3:$A$500,$B12,'DADOS BRUTOS'!GO$3:GO$500)+IF($C12="",0,SUMIF('DADOS BRUTOS'!$A$3:$A$500,$C12,'DADOS BRUTOS'!GO$3:GO$500)))</f>
        <v/>
      </c>
      <c r="JP12" s="132">
        <f>IF(OR(JP$4="",$B12=""),0,SUMIF('DADOS BRUTOS'!$A$3:$A$500,$B12,'DADOS BRUTOS'!GP$3:GP$500)+IF($C12="",0,SUMIF('DADOS BRUTOS'!$A$3:$A$500,$C12,'DADOS BRUTOS'!GP$3:GP$500)))</f>
        <v/>
      </c>
      <c r="JQ12" s="132">
        <f>IF(OR(JQ$4="",$B12=""),0,SUMIF('DADOS BRUTOS'!$A$3:$A$500,$B12,'DADOS BRUTOS'!GQ$3:GQ$500)+IF($C12="",0,SUMIF('DADOS BRUTOS'!$A$3:$A$500,$C12,'DADOS BRUTOS'!GQ$3:GQ$500)))</f>
        <v/>
      </c>
      <c r="JR12" s="132">
        <f>IF(OR(JR$4="",$B12=""),0,SUMIF('DADOS BRUTOS'!$A$3:$A$500,$B12,'DADOS BRUTOS'!GR$3:GR$500)+IF($C12="",0,SUMIF('DADOS BRUTOS'!$A$3:$A$500,$C12,'DADOS BRUTOS'!GR$3:GR$500)))</f>
        <v/>
      </c>
      <c r="JS12" s="132">
        <f>IF(OR(JS$4="",$B12=""),0,SUMIF('DADOS BRUTOS'!$A$3:$A$500,$B12,'DADOS BRUTOS'!GS$3:GS$500)+IF($C12="",0,SUMIF('DADOS BRUTOS'!$A$3:$A$500,$C12,'DADOS BRUTOS'!GS$3:GS$500)))</f>
        <v/>
      </c>
    </row>
    <row r="13">
      <c r="A13" s="61">
        <f>'VALOR POR PL'!D19</f>
        <v/>
      </c>
      <c r="B13" s="59" t="inlineStr">
        <is>
          <t>CONSULTORIAS (OBRAS)</t>
        </is>
      </c>
      <c r="C13" s="59" t="n"/>
      <c r="D13" s="54">
        <f>SUMIF($CB$4:$JS$4,"&lt;="&amp;D$4,$CB13:$JS13)</f>
        <v/>
      </c>
      <c r="E13" s="54">
        <f>SUMIF($CB$4:$JS$4,E$4,$CB13:$JS13)</f>
        <v/>
      </c>
      <c r="F13" s="54">
        <f>SUMIF($CB$4:$JS$4,F$4,$CB13:$JS13)</f>
        <v/>
      </c>
      <c r="G13" s="54">
        <f>SUMIF($CB$4:$JS$4,G$4,$CB13:$JS13)</f>
        <v/>
      </c>
      <c r="H13" s="54">
        <f>SUMIF($CB$4:$JS$4,H$4,$CB13:$JS13)</f>
        <v/>
      </c>
      <c r="I13" s="54">
        <f>SUMIF($CB$4:$JS$4,I$4,$CB13:$JS13)</f>
        <v/>
      </c>
      <c r="J13" s="54">
        <f>SUMIF($CB$4:$JS$4,J$4,$CB13:$JS13)</f>
        <v/>
      </c>
      <c r="K13" s="54">
        <f>SUMIF($CB$4:$JS$4,K$4,$CB13:$JS13)</f>
        <v/>
      </c>
      <c r="L13" s="54">
        <f>SUMIF($CB$4:$JS$4,L$4,$CB13:$JS13)</f>
        <v/>
      </c>
      <c r="M13" s="54">
        <f>SUMIF($CB$4:$JS$4,M$4,$CB13:$JS13)</f>
        <v/>
      </c>
      <c r="N13" s="54">
        <f>SUMIF($CB$4:$JS$4,N$4,$CB13:$JS13)</f>
        <v/>
      </c>
      <c r="O13" s="54">
        <f>SUMIF($CB$4:$JS$4,O$4,$CB13:$JS13)</f>
        <v/>
      </c>
      <c r="P13" s="54">
        <f>SUMIF($CB$4:$JS$4,P$4,$CB13:$JS13)</f>
        <v/>
      </c>
      <c r="Q13" s="54">
        <f>SUMIF($CB$4:$JS$4,Q$4,$CB13:$JS13)</f>
        <v/>
      </c>
      <c r="R13" s="54">
        <f>SUMIF($CB$4:$JS$4,R$4,$CB13:$JS13)</f>
        <v/>
      </c>
      <c r="S13" s="54">
        <f>SUMIF($CB$4:$JS$4,S$4,$CB13:$JS13)</f>
        <v/>
      </c>
      <c r="T13" s="54">
        <f>SUMIF($CB$4:$JS$4,T$4,$CB13:$JS13)</f>
        <v/>
      </c>
      <c r="U13" s="54">
        <f>SUMIF($CB$4:$JS$4,U$4,$CB13:$JS13)</f>
        <v/>
      </c>
      <c r="V13" s="54">
        <f>SUMIF($CB$4:$JS$4,V$4,$CB13:$JS13)</f>
        <v/>
      </c>
      <c r="W13" s="54">
        <f>SUMIF($CB$4:$JS$4,W$4,$CB13:$JS13)</f>
        <v/>
      </c>
      <c r="X13" s="54">
        <f>SUMIF($CB$4:$JS$4,X$4,$CB13:$JS13)</f>
        <v/>
      </c>
      <c r="Y13" s="54">
        <f>SUMIF($CB$4:$JS$4,Y$4,$CB13:$JS13)</f>
        <v/>
      </c>
      <c r="Z13" s="54">
        <f>SUMIF($CB$4:$JS$4,Z$4,$CB13:$JS13)</f>
        <v/>
      </c>
      <c r="AA13" s="54">
        <f>SUMIF($CB$4:$JS$4,AA$4,$CB13:$JS13)</f>
        <v/>
      </c>
      <c r="AB13" s="54">
        <f>SUMIF($CB$4:$JS$4,AB$4,$CB13:$JS13)</f>
        <v/>
      </c>
      <c r="AC13" s="54">
        <f>SUMIF($CB$4:$JS$4,AC$4,$CB13:$JS13)</f>
        <v/>
      </c>
      <c r="AD13" s="54">
        <f>SUMIF($CB$4:$JS$4,AD$4,$CB13:$JS13)</f>
        <v/>
      </c>
      <c r="AE13" s="54">
        <f>SUMIF($CB$4:$JS$4,AE$4,$CB13:$JS13)</f>
        <v/>
      </c>
      <c r="AF13" s="54">
        <f>SUMIF($CB$4:$JS$4,AF$4,$CB13:$JS13)</f>
        <v/>
      </c>
      <c r="AG13" s="54">
        <f>SUMIF($CB$4:$JS$4,AG$4,$CB13:$JS13)</f>
        <v/>
      </c>
      <c r="AH13" s="54">
        <f>SUMIF($CB$4:$JS$4,AH$4,$CB13:$JS13)</f>
        <v/>
      </c>
      <c r="AI13" s="54">
        <f>SUMIF($CB$4:$JS$4,AI$4,$CB13:$JS13)</f>
        <v/>
      </c>
      <c r="AJ13" s="54">
        <f>SUMIF($CB$4:$JS$4,AJ$4,$CB13:$JS13)</f>
        <v/>
      </c>
      <c r="AK13" s="54">
        <f>SUMIF($CB$4:$JS$4,AK$4,$CB13:$JS13)</f>
        <v/>
      </c>
      <c r="AL13" s="54">
        <f>SUMIF($CB$4:$JS$4,AL$4,$CB13:$JS13)</f>
        <v/>
      </c>
      <c r="AM13" s="54">
        <f>SUMIF($CB$4:$JS$4,AM$4,$CB13:$JS13)</f>
        <v/>
      </c>
      <c r="AN13" s="54">
        <f>SUMIF($CB$4:$JS$4,AN$4,$CB13:$JS13)</f>
        <v/>
      </c>
      <c r="AO13" s="54">
        <f>SUMIF($CB$4:$JS$4,AO$4,$CB13:$JS13)</f>
        <v/>
      </c>
      <c r="AP13" s="54">
        <f>SUMIF($CB$4:$JS$4,AP$4,$CB13:$JS13)</f>
        <v/>
      </c>
      <c r="AQ13" s="54">
        <f>SUMIF($CB$4:$JS$4,AQ$4,$CB13:$JS13)</f>
        <v/>
      </c>
      <c r="AR13" s="54">
        <f>SUMIF($CB$4:$JS$4,AR$4,$CB13:$JS13)</f>
        <v/>
      </c>
      <c r="AS13" s="54">
        <f>SUMIF($CB$4:$JS$4,AS$4,$CB13:$JS13)</f>
        <v/>
      </c>
      <c r="AT13" s="54">
        <f>SUMIF($CB$4:$JS$4,AT$4,$CB13:$JS13)</f>
        <v/>
      </c>
      <c r="AU13" s="54">
        <f>SUMIF($CB$4:$JS$4,AU$4,$CB13:$JS13)</f>
        <v/>
      </c>
      <c r="AV13" s="54">
        <f>SUMIF($CB$4:$JS$4,AV$4,$CB13:$JS13)</f>
        <v/>
      </c>
      <c r="AW13" s="54">
        <f>SUMIF($CB$4:$JS$4,AW$4,$CB13:$JS13)</f>
        <v/>
      </c>
      <c r="AX13" s="54">
        <f>SUMIF($CB$4:$JS$4,AX$4,$CB13:$JS13)</f>
        <v/>
      </c>
      <c r="AY13" s="54">
        <f>SUMIF($CB$4:$JS$4,AY$4,$CB13:$JS13)</f>
        <v/>
      </c>
      <c r="AZ13" s="54">
        <f>SUMIF($CB$4:$JS$4,AZ$4,$CB13:$JS13)</f>
        <v/>
      </c>
      <c r="BA13" s="54">
        <f>SUMIF($CB$4:$JS$4,BA$4,$CB13:$JS13)</f>
        <v/>
      </c>
      <c r="BB13" s="54">
        <f>SUMIF($CB$4:$JS$4,BB$4,$CB13:$JS13)</f>
        <v/>
      </c>
      <c r="BC13" s="54">
        <f>SUMIF($CB$4:$JS$4,BC$4,$CB13:$JS13)</f>
        <v/>
      </c>
      <c r="BD13" s="54">
        <f>SUMIF($CB$4:$JS$4,BD$4,$CB13:$JS13)</f>
        <v/>
      </c>
      <c r="BE13" s="54">
        <f>SUMIF($CB$4:$JS$4,BE$4,$CB13:$JS13)</f>
        <v/>
      </c>
      <c r="BF13" s="54">
        <f>SUMIF($CB$4:$JS$4,BF$4,$CB13:$JS13)</f>
        <v/>
      </c>
      <c r="BG13" s="54">
        <f>SUMIF($CB$4:$JS$4,BG$4,$CB13:$JS13)</f>
        <v/>
      </c>
      <c r="BH13" s="54">
        <f>SUMIF($CB$4:$JS$4,BH$4,$CB13:$JS13)</f>
        <v/>
      </c>
      <c r="BI13" s="54">
        <f>SUMIF($CB$4:$JS$4,BI$4,$CB13:$JS13)</f>
        <v/>
      </c>
      <c r="BJ13" s="54">
        <f>SUMIF($CB$4:$JS$4,BJ$4,$CB13:$JS13)</f>
        <v/>
      </c>
      <c r="BK13" s="54">
        <f>SUMIF($CB$4:$JS$4,BK$4,$CB13:$JS13)</f>
        <v/>
      </c>
      <c r="BL13" s="54">
        <f>SUMIF($CB$4:$JS$4,BL$4,$CB13:$JS13)</f>
        <v/>
      </c>
      <c r="BM13" s="54">
        <f>SUMIF($CB$4:$JS$4,BM$4,$CB13:$JS13)</f>
        <v/>
      </c>
      <c r="BN13" s="54">
        <f>SUMIF($CB$4:$JS$4,BN$4,$CB13:$JS13)</f>
        <v/>
      </c>
      <c r="BO13" s="54">
        <f>SUMIF($CB$4:$JS$4,BO$4,$CB13:$JS13)</f>
        <v/>
      </c>
      <c r="BP13" s="54">
        <f>SUMIF($CB$4:$JS$4,BP$4,$CB13:$JS13)</f>
        <v/>
      </c>
      <c r="BQ13" s="54">
        <f>SUMIF($CB$4:$JS$4,BQ$4,$CB13:$JS13)</f>
        <v/>
      </c>
      <c r="BR13" s="54">
        <f>SUMIF($CB$4:$JS$4,BR$4,$CB13:$JS13)</f>
        <v/>
      </c>
      <c r="BS13" s="54">
        <f>SUMIF($CB$4:$JS$4,BS$4,$CB13:$JS13)</f>
        <v/>
      </c>
      <c r="BT13" s="54">
        <f>SUMIF($CB$4:$JS$4,BT$4,$CB13:$JS13)</f>
        <v/>
      </c>
      <c r="BU13" s="54">
        <f>SUMIF($CB$4:$JS$4,BU$4,$CB13:$JS13)</f>
        <v/>
      </c>
      <c r="BV13" s="54">
        <f>SUMIF($CB$4:$JS$4,BV$4,$CB13:$JS13)</f>
        <v/>
      </c>
      <c r="BW13" s="54">
        <f>SUMIF($CB$4:$JS$4,BW$4,$CB13:$JS13)</f>
        <v/>
      </c>
      <c r="BX13" s="54">
        <f>SUMIF($CB$4:$JS$4,"&gt;"&amp;'VALOR POR PL'!$P$8,$CB13:$JS13)</f>
        <v/>
      </c>
      <c r="BY13" s="54">
        <f>SUM($CB13:$JS13)</f>
        <v/>
      </c>
      <c r="BZ13" s="49">
        <f>SUMPRODUCT(($CB$4:$JS$4&lt;&gt;"")*($CB$4:$JS$4&lt;=$D$4),$CB13:$JS13,$CB$1:$JS$1)</f>
        <v/>
      </c>
      <c r="CB13" s="132">
        <f>IF(OR(CB$4="",$B13=""),0,SUMIF('DADOS BRUTOS'!$A$3:$A$500,$B13,'DADOS BRUTOS'!B$3:B$500)+IF($C13="",0,SUMIF('DADOS BRUTOS'!$A$3:$A$500,$C13,'DADOS BRUTOS'!B$3:B$500)))</f>
        <v/>
      </c>
      <c r="CC13" s="132">
        <f>IF(OR(CC$4="",$B13=""),0,SUMIF('DADOS BRUTOS'!$A$3:$A$500,$B13,'DADOS BRUTOS'!C$3:C$500)+IF($C13="",0,SUMIF('DADOS BRUTOS'!$A$3:$A$500,$C13,'DADOS BRUTOS'!C$3:C$500)))</f>
        <v/>
      </c>
      <c r="CD13" s="132">
        <f>IF(OR(CD$4="",$B13=""),0,SUMIF('DADOS BRUTOS'!$A$3:$A$500,$B13,'DADOS BRUTOS'!D$3:D$500)+IF($C13="",0,SUMIF('DADOS BRUTOS'!$A$3:$A$500,$C13,'DADOS BRUTOS'!D$3:D$500)))</f>
        <v/>
      </c>
      <c r="CE13" s="132">
        <f>IF(OR(CE$4="",$B13=""),0,SUMIF('DADOS BRUTOS'!$A$3:$A$500,$B13,'DADOS BRUTOS'!E$3:E$500)+IF($C13="",0,SUMIF('DADOS BRUTOS'!$A$3:$A$500,$C13,'DADOS BRUTOS'!E$3:E$500)))</f>
        <v/>
      </c>
      <c r="CF13" s="132">
        <f>IF(OR(CF$4="",$B13=""),0,SUMIF('DADOS BRUTOS'!$A$3:$A$500,$B13,'DADOS BRUTOS'!F$3:F$500)+IF($C13="",0,SUMIF('DADOS BRUTOS'!$A$3:$A$500,$C13,'DADOS BRUTOS'!F$3:F$500)))</f>
        <v/>
      </c>
      <c r="CG13" s="132">
        <f>IF(OR(CG$4="",$B13=""),0,SUMIF('DADOS BRUTOS'!$A$3:$A$500,$B13,'DADOS BRUTOS'!G$3:G$500)+IF($C13="",0,SUMIF('DADOS BRUTOS'!$A$3:$A$500,$C13,'DADOS BRUTOS'!G$3:G$500)))</f>
        <v/>
      </c>
      <c r="CH13" s="132">
        <f>IF(OR(CH$4="",$B13=""),0,SUMIF('DADOS BRUTOS'!$A$3:$A$500,$B13,'DADOS BRUTOS'!H$3:H$500)+IF($C13="",0,SUMIF('DADOS BRUTOS'!$A$3:$A$500,$C13,'DADOS BRUTOS'!H$3:H$500)))</f>
        <v/>
      </c>
      <c r="CI13" s="132">
        <f>IF(OR(CI$4="",$B13=""),0,SUMIF('DADOS BRUTOS'!$A$3:$A$500,$B13,'DADOS BRUTOS'!I$3:I$500)+IF($C13="",0,SUMIF('DADOS BRUTOS'!$A$3:$A$500,$C13,'DADOS BRUTOS'!I$3:I$500)))</f>
        <v/>
      </c>
      <c r="CJ13" s="132">
        <f>IF(OR(CJ$4="",$B13=""),0,SUMIF('DADOS BRUTOS'!$A$3:$A$500,$B13,'DADOS BRUTOS'!J$3:J$500)+IF($C13="",0,SUMIF('DADOS BRUTOS'!$A$3:$A$500,$C13,'DADOS BRUTOS'!J$3:J$500)))</f>
        <v/>
      </c>
      <c r="CK13" s="132">
        <f>IF(OR(CK$4="",$B13=""),0,SUMIF('DADOS BRUTOS'!$A$3:$A$500,$B13,'DADOS BRUTOS'!K$3:K$500)+IF($C13="",0,SUMIF('DADOS BRUTOS'!$A$3:$A$500,$C13,'DADOS BRUTOS'!K$3:K$500)))</f>
        <v/>
      </c>
      <c r="CL13" s="132">
        <f>IF(OR(CL$4="",$B13=""),0,SUMIF('DADOS BRUTOS'!$A$3:$A$500,$B13,'DADOS BRUTOS'!L$3:L$500)+IF($C13="",0,SUMIF('DADOS BRUTOS'!$A$3:$A$500,$C13,'DADOS BRUTOS'!L$3:L$500)))</f>
        <v/>
      </c>
      <c r="CM13" s="132">
        <f>IF(OR(CM$4="",$B13=""),0,SUMIF('DADOS BRUTOS'!$A$3:$A$500,$B13,'DADOS BRUTOS'!M$3:M$500)+IF($C13="",0,SUMIF('DADOS BRUTOS'!$A$3:$A$500,$C13,'DADOS BRUTOS'!M$3:M$500)))</f>
        <v/>
      </c>
      <c r="CN13" s="132">
        <f>IF(OR(CN$4="",$B13=""),0,SUMIF('DADOS BRUTOS'!$A$3:$A$500,$B13,'DADOS BRUTOS'!N$3:N$500)+IF($C13="",0,SUMIF('DADOS BRUTOS'!$A$3:$A$500,$C13,'DADOS BRUTOS'!N$3:N$500)))</f>
        <v/>
      </c>
      <c r="CO13" s="132">
        <f>IF(OR(CO$4="",$B13=""),0,SUMIF('DADOS BRUTOS'!$A$3:$A$500,$B13,'DADOS BRUTOS'!O$3:O$500)+IF($C13="",0,SUMIF('DADOS BRUTOS'!$A$3:$A$500,$C13,'DADOS BRUTOS'!O$3:O$500)))</f>
        <v/>
      </c>
      <c r="CP13" s="132">
        <f>IF(OR(CP$4="",$B13=""),0,SUMIF('DADOS BRUTOS'!$A$3:$A$500,$B13,'DADOS BRUTOS'!P$3:P$500)+IF($C13="",0,SUMIF('DADOS BRUTOS'!$A$3:$A$500,$C13,'DADOS BRUTOS'!P$3:P$500)))</f>
        <v/>
      </c>
      <c r="CQ13" s="132">
        <f>IF(OR(CQ$4="",$B13=""),0,SUMIF('DADOS BRUTOS'!$A$3:$A$500,$B13,'DADOS BRUTOS'!Q$3:Q$500)+IF($C13="",0,SUMIF('DADOS BRUTOS'!$A$3:$A$500,$C13,'DADOS BRUTOS'!Q$3:Q$500)))</f>
        <v/>
      </c>
      <c r="CR13" s="132">
        <f>IF(OR(CR$4="",$B13=""),0,SUMIF('DADOS BRUTOS'!$A$3:$A$500,$B13,'DADOS BRUTOS'!R$3:R$500)+IF($C13="",0,SUMIF('DADOS BRUTOS'!$A$3:$A$500,$C13,'DADOS BRUTOS'!R$3:R$500)))</f>
        <v/>
      </c>
      <c r="CS13" s="132">
        <f>IF(OR(CS$4="",$B13=""),0,SUMIF('DADOS BRUTOS'!$A$3:$A$500,$B13,'DADOS BRUTOS'!S$3:S$500)+IF($C13="",0,SUMIF('DADOS BRUTOS'!$A$3:$A$500,$C13,'DADOS BRUTOS'!S$3:S$500)))</f>
        <v/>
      </c>
      <c r="CT13" s="132">
        <f>IF(OR(CT$4="",$B13=""),0,SUMIF('DADOS BRUTOS'!$A$3:$A$500,$B13,'DADOS BRUTOS'!T$3:T$500)+IF($C13="",0,SUMIF('DADOS BRUTOS'!$A$3:$A$500,$C13,'DADOS BRUTOS'!T$3:T$500)))</f>
        <v/>
      </c>
      <c r="CU13" s="132">
        <f>IF(OR(CU$4="",$B13=""),0,SUMIF('DADOS BRUTOS'!$A$3:$A$500,$B13,'DADOS BRUTOS'!U$3:U$500)+IF($C13="",0,SUMIF('DADOS BRUTOS'!$A$3:$A$500,$C13,'DADOS BRUTOS'!U$3:U$500)))</f>
        <v/>
      </c>
      <c r="CV13" s="132">
        <f>IF(OR(CV$4="",$B13=""),0,SUMIF('DADOS BRUTOS'!$A$3:$A$500,$B13,'DADOS BRUTOS'!V$3:V$500)+IF($C13="",0,SUMIF('DADOS BRUTOS'!$A$3:$A$500,$C13,'DADOS BRUTOS'!V$3:V$500)))</f>
        <v/>
      </c>
      <c r="CW13" s="132">
        <f>IF(OR(CW$4="",$B13=""),0,SUMIF('DADOS BRUTOS'!$A$3:$A$500,$B13,'DADOS BRUTOS'!W$3:W$500)+IF($C13="",0,SUMIF('DADOS BRUTOS'!$A$3:$A$500,$C13,'DADOS BRUTOS'!W$3:W$500)))</f>
        <v/>
      </c>
      <c r="CX13" s="132">
        <f>IF(OR(CX$4="",$B13=""),0,SUMIF('DADOS BRUTOS'!$A$3:$A$500,$B13,'DADOS BRUTOS'!X$3:X$500)+IF($C13="",0,SUMIF('DADOS BRUTOS'!$A$3:$A$500,$C13,'DADOS BRUTOS'!X$3:X$500)))</f>
        <v/>
      </c>
      <c r="CY13" s="132">
        <f>IF(OR(CY$4="",$B13=""),0,SUMIF('DADOS BRUTOS'!$A$3:$A$500,$B13,'DADOS BRUTOS'!Y$3:Y$500)+IF($C13="",0,SUMIF('DADOS BRUTOS'!$A$3:$A$500,$C13,'DADOS BRUTOS'!Y$3:Y$500)))</f>
        <v/>
      </c>
      <c r="CZ13" s="132">
        <f>IF(OR(CZ$4="",$B13=""),0,SUMIF('DADOS BRUTOS'!$A$3:$A$500,$B13,'DADOS BRUTOS'!Z$3:Z$500)+IF($C13="",0,SUMIF('DADOS BRUTOS'!$A$3:$A$500,$C13,'DADOS BRUTOS'!Z$3:Z$500)))</f>
        <v/>
      </c>
      <c r="DA13" s="132">
        <f>IF(OR(DA$4="",$B13=""),0,SUMIF('DADOS BRUTOS'!$A$3:$A$500,$B13,'DADOS BRUTOS'!AA$3:AA$500)+IF($C13="",0,SUMIF('DADOS BRUTOS'!$A$3:$A$500,$C13,'DADOS BRUTOS'!AA$3:AA$500)))</f>
        <v/>
      </c>
      <c r="DB13" s="132">
        <f>IF(OR(DB$4="",$B13=""),0,SUMIF('DADOS BRUTOS'!$A$3:$A$500,$B13,'DADOS BRUTOS'!AB$3:AB$500)+IF($C13="",0,SUMIF('DADOS BRUTOS'!$A$3:$A$500,$C13,'DADOS BRUTOS'!AB$3:AB$500)))</f>
        <v/>
      </c>
      <c r="DC13" s="132">
        <f>IF(OR(DC$4="",$B13=""),0,SUMIF('DADOS BRUTOS'!$A$3:$A$500,$B13,'DADOS BRUTOS'!AC$3:AC$500)+IF($C13="",0,SUMIF('DADOS BRUTOS'!$A$3:$A$500,$C13,'DADOS BRUTOS'!AC$3:AC$500)))</f>
        <v/>
      </c>
      <c r="DD13" s="132">
        <f>IF(OR(DD$4="",$B13=""),0,SUMIF('DADOS BRUTOS'!$A$3:$A$500,$B13,'DADOS BRUTOS'!AD$3:AD$500)+IF($C13="",0,SUMIF('DADOS BRUTOS'!$A$3:$A$500,$C13,'DADOS BRUTOS'!AD$3:AD$500)))</f>
        <v/>
      </c>
      <c r="DE13" s="132">
        <f>IF(OR(DE$4="",$B13=""),0,SUMIF('DADOS BRUTOS'!$A$3:$A$500,$B13,'DADOS BRUTOS'!AE$3:AE$500)+IF($C13="",0,SUMIF('DADOS BRUTOS'!$A$3:$A$500,$C13,'DADOS BRUTOS'!AE$3:AE$500)))</f>
        <v/>
      </c>
      <c r="DF13" s="132">
        <f>IF(OR(DF$4="",$B13=""),0,SUMIF('DADOS BRUTOS'!$A$3:$A$500,$B13,'DADOS BRUTOS'!AF$3:AF$500)+IF($C13="",0,SUMIF('DADOS BRUTOS'!$A$3:$A$500,$C13,'DADOS BRUTOS'!AF$3:AF$500)))</f>
        <v/>
      </c>
      <c r="DG13" s="132">
        <f>IF(OR(DG$4="",$B13=""),0,SUMIF('DADOS BRUTOS'!$A$3:$A$500,$B13,'DADOS BRUTOS'!AG$3:AG$500)+IF($C13="",0,SUMIF('DADOS BRUTOS'!$A$3:$A$500,$C13,'DADOS BRUTOS'!AG$3:AG$500)))</f>
        <v/>
      </c>
      <c r="DH13" s="132">
        <f>IF(OR(DH$4="",$B13=""),0,SUMIF('DADOS BRUTOS'!$A$3:$A$500,$B13,'DADOS BRUTOS'!AH$3:AH$500)+IF($C13="",0,SUMIF('DADOS BRUTOS'!$A$3:$A$500,$C13,'DADOS BRUTOS'!AH$3:AH$500)))</f>
        <v/>
      </c>
      <c r="DI13" s="132">
        <f>IF(OR(DI$4="",$B13=""),0,SUMIF('DADOS BRUTOS'!$A$3:$A$500,$B13,'DADOS BRUTOS'!AI$3:AI$500)+IF($C13="",0,SUMIF('DADOS BRUTOS'!$A$3:$A$500,$C13,'DADOS BRUTOS'!AI$3:AI$500)))</f>
        <v/>
      </c>
      <c r="DJ13" s="132">
        <f>IF(OR(DJ$4="",$B13=""),0,SUMIF('DADOS BRUTOS'!$A$3:$A$500,$B13,'DADOS BRUTOS'!AJ$3:AJ$500)+IF($C13="",0,SUMIF('DADOS BRUTOS'!$A$3:$A$500,$C13,'DADOS BRUTOS'!AJ$3:AJ$500)))</f>
        <v/>
      </c>
      <c r="DK13" s="132">
        <f>IF(OR(DK$4="",$B13=""),0,SUMIF('DADOS BRUTOS'!$A$3:$A$500,$B13,'DADOS BRUTOS'!AK$3:AK$500)+IF($C13="",0,SUMIF('DADOS BRUTOS'!$A$3:$A$500,$C13,'DADOS BRUTOS'!AK$3:AK$500)))</f>
        <v/>
      </c>
      <c r="DL13" s="132">
        <f>IF(OR(DL$4="",$B13=""),0,SUMIF('DADOS BRUTOS'!$A$3:$A$500,$B13,'DADOS BRUTOS'!AL$3:AL$500)+IF($C13="",0,SUMIF('DADOS BRUTOS'!$A$3:$A$500,$C13,'DADOS BRUTOS'!AL$3:AL$500)))</f>
        <v/>
      </c>
      <c r="DM13" s="132">
        <f>IF(OR(DM$4="",$B13=""),0,SUMIF('DADOS BRUTOS'!$A$3:$A$500,$B13,'DADOS BRUTOS'!AM$3:AM$500)+IF($C13="",0,SUMIF('DADOS BRUTOS'!$A$3:$A$500,$C13,'DADOS BRUTOS'!AM$3:AM$500)))</f>
        <v/>
      </c>
      <c r="DN13" s="132">
        <f>IF(OR(DN$4="",$B13=""),0,SUMIF('DADOS BRUTOS'!$A$3:$A$500,$B13,'DADOS BRUTOS'!AN$3:AN$500)+IF($C13="",0,SUMIF('DADOS BRUTOS'!$A$3:$A$500,$C13,'DADOS BRUTOS'!AN$3:AN$500)))</f>
        <v/>
      </c>
      <c r="DO13" s="132">
        <f>IF(OR(DO$4="",$B13=""),0,SUMIF('DADOS BRUTOS'!$A$3:$A$500,$B13,'DADOS BRUTOS'!AO$3:AO$500)+IF($C13="",0,SUMIF('DADOS BRUTOS'!$A$3:$A$500,$C13,'DADOS BRUTOS'!AO$3:AO$500)))</f>
        <v/>
      </c>
      <c r="DP13" s="132">
        <f>IF(OR(DP$4="",$B13=""),0,SUMIF('DADOS BRUTOS'!$A$3:$A$500,$B13,'DADOS BRUTOS'!AP$3:AP$500)+IF($C13="",0,SUMIF('DADOS BRUTOS'!$A$3:$A$500,$C13,'DADOS BRUTOS'!AP$3:AP$500)))</f>
        <v/>
      </c>
      <c r="DQ13" s="132">
        <f>IF(OR(DQ$4="",$B13=""),0,SUMIF('DADOS BRUTOS'!$A$3:$A$500,$B13,'DADOS BRUTOS'!AQ$3:AQ$500)+IF($C13="",0,SUMIF('DADOS BRUTOS'!$A$3:$A$500,$C13,'DADOS BRUTOS'!AQ$3:AQ$500)))</f>
        <v/>
      </c>
      <c r="DR13" s="132">
        <f>IF(OR(DR$4="",$B13=""),0,SUMIF('DADOS BRUTOS'!$A$3:$A$500,$B13,'DADOS BRUTOS'!AR$3:AR$500)+IF($C13="",0,SUMIF('DADOS BRUTOS'!$A$3:$A$500,$C13,'DADOS BRUTOS'!AR$3:AR$500)))</f>
        <v/>
      </c>
      <c r="DS13" s="132">
        <f>IF(OR(DS$4="",$B13=""),0,SUMIF('DADOS BRUTOS'!$A$3:$A$500,$B13,'DADOS BRUTOS'!AS$3:AS$500)+IF($C13="",0,SUMIF('DADOS BRUTOS'!$A$3:$A$500,$C13,'DADOS BRUTOS'!AS$3:AS$500)))</f>
        <v/>
      </c>
      <c r="DT13" s="132">
        <f>IF(OR(DT$4="",$B13=""),0,SUMIF('DADOS BRUTOS'!$A$3:$A$500,$B13,'DADOS BRUTOS'!AT$3:AT$500)+IF($C13="",0,SUMIF('DADOS BRUTOS'!$A$3:$A$500,$C13,'DADOS BRUTOS'!AT$3:AT$500)))</f>
        <v/>
      </c>
      <c r="DU13" s="132">
        <f>IF(OR(DU$4="",$B13=""),0,SUMIF('DADOS BRUTOS'!$A$3:$A$500,$B13,'DADOS BRUTOS'!AU$3:AU$500)+IF($C13="",0,SUMIF('DADOS BRUTOS'!$A$3:$A$500,$C13,'DADOS BRUTOS'!AU$3:AU$500)))</f>
        <v/>
      </c>
      <c r="DV13" s="132">
        <f>IF(OR(DV$4="",$B13=""),0,SUMIF('DADOS BRUTOS'!$A$3:$A$500,$B13,'DADOS BRUTOS'!AV$3:AV$500)+IF($C13="",0,SUMIF('DADOS BRUTOS'!$A$3:$A$500,$C13,'DADOS BRUTOS'!AV$3:AV$500)))</f>
        <v/>
      </c>
      <c r="DW13" s="132">
        <f>IF(OR(DW$4="",$B13=""),0,SUMIF('DADOS BRUTOS'!$A$3:$A$500,$B13,'DADOS BRUTOS'!AW$3:AW$500)+IF($C13="",0,SUMIF('DADOS BRUTOS'!$A$3:$A$500,$C13,'DADOS BRUTOS'!AW$3:AW$500)))</f>
        <v/>
      </c>
      <c r="DX13" s="132">
        <f>IF(OR(DX$4="",$B13=""),0,SUMIF('DADOS BRUTOS'!$A$3:$A$500,$B13,'DADOS BRUTOS'!AX$3:AX$500)+IF($C13="",0,SUMIF('DADOS BRUTOS'!$A$3:$A$500,$C13,'DADOS BRUTOS'!AX$3:AX$500)))</f>
        <v/>
      </c>
      <c r="DY13" s="132">
        <f>IF(OR(DY$4="",$B13=""),0,SUMIF('DADOS BRUTOS'!$A$3:$A$500,$B13,'DADOS BRUTOS'!AY$3:AY$500)+IF($C13="",0,SUMIF('DADOS BRUTOS'!$A$3:$A$500,$C13,'DADOS BRUTOS'!AY$3:AY$500)))</f>
        <v/>
      </c>
      <c r="DZ13" s="132">
        <f>IF(OR(DZ$4="",$B13=""),0,SUMIF('DADOS BRUTOS'!$A$3:$A$500,$B13,'DADOS BRUTOS'!AZ$3:AZ$500)+IF($C13="",0,SUMIF('DADOS BRUTOS'!$A$3:$A$500,$C13,'DADOS BRUTOS'!AZ$3:AZ$500)))</f>
        <v/>
      </c>
      <c r="EA13" s="132">
        <f>IF(OR(EA$4="",$B13=""),0,SUMIF('DADOS BRUTOS'!$A$3:$A$500,$B13,'DADOS BRUTOS'!BA$3:BA$500)+IF($C13="",0,SUMIF('DADOS BRUTOS'!$A$3:$A$500,$C13,'DADOS BRUTOS'!BA$3:BA$500)))</f>
        <v/>
      </c>
      <c r="EB13" s="132">
        <f>IF(OR(EB$4="",$B13=""),0,SUMIF('DADOS BRUTOS'!$A$3:$A$500,$B13,'DADOS BRUTOS'!BB$3:BB$500)+IF($C13="",0,SUMIF('DADOS BRUTOS'!$A$3:$A$500,$C13,'DADOS BRUTOS'!BB$3:BB$500)))</f>
        <v/>
      </c>
      <c r="EC13" s="132">
        <f>IF(OR(EC$4="",$B13=""),0,SUMIF('DADOS BRUTOS'!$A$3:$A$500,$B13,'DADOS BRUTOS'!BC$3:BC$500)+IF($C13="",0,SUMIF('DADOS BRUTOS'!$A$3:$A$500,$C13,'DADOS BRUTOS'!BC$3:BC$500)))</f>
        <v/>
      </c>
      <c r="ED13" s="132">
        <f>IF(OR(ED$4="",$B13=""),0,SUMIF('DADOS BRUTOS'!$A$3:$A$500,$B13,'DADOS BRUTOS'!BD$3:BD$500)+IF($C13="",0,SUMIF('DADOS BRUTOS'!$A$3:$A$500,$C13,'DADOS BRUTOS'!BD$3:BD$500)))</f>
        <v/>
      </c>
      <c r="EE13" s="132">
        <f>IF(OR(EE$4="",$B13=""),0,SUMIF('DADOS BRUTOS'!$A$3:$A$500,$B13,'DADOS BRUTOS'!BE$3:BE$500)+IF($C13="",0,SUMIF('DADOS BRUTOS'!$A$3:$A$500,$C13,'DADOS BRUTOS'!BE$3:BE$500)))</f>
        <v/>
      </c>
      <c r="EF13" s="132">
        <f>IF(OR(EF$4="",$B13=""),0,SUMIF('DADOS BRUTOS'!$A$3:$A$500,$B13,'DADOS BRUTOS'!BF$3:BF$500)+IF($C13="",0,SUMIF('DADOS BRUTOS'!$A$3:$A$500,$C13,'DADOS BRUTOS'!BF$3:BF$500)))</f>
        <v/>
      </c>
      <c r="EG13" s="132">
        <f>IF(OR(EG$4="",$B13=""),0,SUMIF('DADOS BRUTOS'!$A$3:$A$500,$B13,'DADOS BRUTOS'!BG$3:BG$500)+IF($C13="",0,SUMIF('DADOS BRUTOS'!$A$3:$A$500,$C13,'DADOS BRUTOS'!BG$3:BG$500)))</f>
        <v/>
      </c>
      <c r="EH13" s="132">
        <f>IF(OR(EH$4="",$B13=""),0,SUMIF('DADOS BRUTOS'!$A$3:$A$500,$B13,'DADOS BRUTOS'!BH$3:BH$500)+IF($C13="",0,SUMIF('DADOS BRUTOS'!$A$3:$A$500,$C13,'DADOS BRUTOS'!BH$3:BH$500)))</f>
        <v/>
      </c>
      <c r="EI13" s="132">
        <f>IF(OR(EI$4="",$B13=""),0,SUMIF('DADOS BRUTOS'!$A$3:$A$500,$B13,'DADOS BRUTOS'!BI$3:BI$500)+IF($C13="",0,SUMIF('DADOS BRUTOS'!$A$3:$A$500,$C13,'DADOS BRUTOS'!BI$3:BI$500)))</f>
        <v/>
      </c>
      <c r="EJ13" s="132">
        <f>IF(OR(EJ$4="",$B13=""),0,SUMIF('DADOS BRUTOS'!$A$3:$A$500,$B13,'DADOS BRUTOS'!BJ$3:BJ$500)+IF($C13="",0,SUMIF('DADOS BRUTOS'!$A$3:$A$500,$C13,'DADOS BRUTOS'!BJ$3:BJ$500)))</f>
        <v/>
      </c>
      <c r="EK13" s="132">
        <f>IF(OR(EK$4="",$B13=""),0,SUMIF('DADOS BRUTOS'!$A$3:$A$500,$B13,'DADOS BRUTOS'!BK$3:BK$500)+IF($C13="",0,SUMIF('DADOS BRUTOS'!$A$3:$A$500,$C13,'DADOS BRUTOS'!BK$3:BK$500)))</f>
        <v/>
      </c>
      <c r="EL13" s="132">
        <f>IF(OR(EL$4="",$B13=""),0,SUMIF('DADOS BRUTOS'!$A$3:$A$500,$B13,'DADOS BRUTOS'!BL$3:BL$500)+IF($C13="",0,SUMIF('DADOS BRUTOS'!$A$3:$A$500,$C13,'DADOS BRUTOS'!BL$3:BL$500)))</f>
        <v/>
      </c>
      <c r="EM13" s="132">
        <f>IF(OR(EM$4="",$B13=""),0,SUMIF('DADOS BRUTOS'!$A$3:$A$500,$B13,'DADOS BRUTOS'!BM$3:BM$500)+IF($C13="",0,SUMIF('DADOS BRUTOS'!$A$3:$A$500,$C13,'DADOS BRUTOS'!BM$3:BM$500)))</f>
        <v/>
      </c>
      <c r="EN13" s="132">
        <f>IF(OR(EN$4="",$B13=""),0,SUMIF('DADOS BRUTOS'!$A$3:$A$500,$B13,'DADOS BRUTOS'!BN$3:BN$500)+IF($C13="",0,SUMIF('DADOS BRUTOS'!$A$3:$A$500,$C13,'DADOS BRUTOS'!BN$3:BN$500)))</f>
        <v/>
      </c>
      <c r="EO13" s="132">
        <f>IF(OR(EO$4="",$B13=""),0,SUMIF('DADOS BRUTOS'!$A$3:$A$500,$B13,'DADOS BRUTOS'!BO$3:BO$500)+IF($C13="",0,SUMIF('DADOS BRUTOS'!$A$3:$A$500,$C13,'DADOS BRUTOS'!BO$3:BO$500)))</f>
        <v/>
      </c>
      <c r="EP13" s="132">
        <f>IF(OR(EP$4="",$B13=""),0,SUMIF('DADOS BRUTOS'!$A$3:$A$500,$B13,'DADOS BRUTOS'!BP$3:BP$500)+IF($C13="",0,SUMIF('DADOS BRUTOS'!$A$3:$A$500,$C13,'DADOS BRUTOS'!BP$3:BP$500)))</f>
        <v/>
      </c>
      <c r="EQ13" s="132">
        <f>IF(OR(EQ$4="",$B13=""),0,SUMIF('DADOS BRUTOS'!$A$3:$A$500,$B13,'DADOS BRUTOS'!BQ$3:BQ$500)+IF($C13="",0,SUMIF('DADOS BRUTOS'!$A$3:$A$500,$C13,'DADOS BRUTOS'!BQ$3:BQ$500)))</f>
        <v/>
      </c>
      <c r="ER13" s="132">
        <f>IF(OR(ER$4="",$B13=""),0,SUMIF('DADOS BRUTOS'!$A$3:$A$500,$B13,'DADOS BRUTOS'!BR$3:BR$500)+IF($C13="",0,SUMIF('DADOS BRUTOS'!$A$3:$A$500,$C13,'DADOS BRUTOS'!BR$3:BR$500)))</f>
        <v/>
      </c>
      <c r="ES13" s="132">
        <f>IF(OR(ES$4="",$B13=""),0,SUMIF('DADOS BRUTOS'!$A$3:$A$500,$B13,'DADOS BRUTOS'!BS$3:BS$500)+IF($C13="",0,SUMIF('DADOS BRUTOS'!$A$3:$A$500,$C13,'DADOS BRUTOS'!BS$3:BS$500)))</f>
        <v/>
      </c>
      <c r="ET13" s="132">
        <f>IF(OR(ET$4="",$B13=""),0,SUMIF('DADOS BRUTOS'!$A$3:$A$500,$B13,'DADOS BRUTOS'!BT$3:BT$500)+IF($C13="",0,SUMIF('DADOS BRUTOS'!$A$3:$A$500,$C13,'DADOS BRUTOS'!BT$3:BT$500)))</f>
        <v/>
      </c>
      <c r="EU13" s="132">
        <f>IF(OR(EU$4="",$B13=""),0,SUMIF('DADOS BRUTOS'!$A$3:$A$500,$B13,'DADOS BRUTOS'!BU$3:BU$500)+IF($C13="",0,SUMIF('DADOS BRUTOS'!$A$3:$A$500,$C13,'DADOS BRUTOS'!BU$3:BU$500)))</f>
        <v/>
      </c>
      <c r="EV13" s="132">
        <f>IF(OR(EV$4="",$B13=""),0,SUMIF('DADOS BRUTOS'!$A$3:$A$500,$B13,'DADOS BRUTOS'!BV$3:BV$500)+IF($C13="",0,SUMIF('DADOS BRUTOS'!$A$3:$A$500,$C13,'DADOS BRUTOS'!BV$3:BV$500)))</f>
        <v/>
      </c>
      <c r="EW13" s="132">
        <f>IF(OR(EW$4="",$B13=""),0,SUMIF('DADOS BRUTOS'!$A$3:$A$500,$B13,'DADOS BRUTOS'!BW$3:BW$500)+IF($C13="",0,SUMIF('DADOS BRUTOS'!$A$3:$A$500,$C13,'DADOS BRUTOS'!BW$3:BW$500)))</f>
        <v/>
      </c>
      <c r="EX13" s="132">
        <f>IF(OR(EX$4="",$B13=""),0,SUMIF('DADOS BRUTOS'!$A$3:$A$500,$B13,'DADOS BRUTOS'!BX$3:BX$500)+IF($C13="",0,SUMIF('DADOS BRUTOS'!$A$3:$A$500,$C13,'DADOS BRUTOS'!BX$3:BX$500)))</f>
        <v/>
      </c>
      <c r="EY13" s="132">
        <f>IF(OR(EY$4="",$B13=""),0,SUMIF('DADOS BRUTOS'!$A$3:$A$500,$B13,'DADOS BRUTOS'!BY$3:BY$500)+IF($C13="",0,SUMIF('DADOS BRUTOS'!$A$3:$A$500,$C13,'DADOS BRUTOS'!BY$3:BY$500)))</f>
        <v/>
      </c>
      <c r="EZ13" s="132">
        <f>IF(OR(EZ$4="",$B13=""),0,SUMIF('DADOS BRUTOS'!$A$3:$A$500,$B13,'DADOS BRUTOS'!BZ$3:BZ$500)+IF($C13="",0,SUMIF('DADOS BRUTOS'!$A$3:$A$500,$C13,'DADOS BRUTOS'!BZ$3:BZ$500)))</f>
        <v/>
      </c>
      <c r="FA13" s="132">
        <f>IF(OR(FA$4="",$B13=""),0,SUMIF('DADOS BRUTOS'!$A$3:$A$500,$B13,'DADOS BRUTOS'!CA$3:CA$500)+IF($C13="",0,SUMIF('DADOS BRUTOS'!$A$3:$A$500,$C13,'DADOS BRUTOS'!CA$3:CA$500)))</f>
        <v/>
      </c>
      <c r="FB13" s="132">
        <f>IF(OR(FB$4="",$B13=""),0,SUMIF('DADOS BRUTOS'!$A$3:$A$500,$B13,'DADOS BRUTOS'!CB$3:CB$500)+IF($C13="",0,SUMIF('DADOS BRUTOS'!$A$3:$A$500,$C13,'DADOS BRUTOS'!CB$3:CB$500)))</f>
        <v/>
      </c>
      <c r="FC13" s="132">
        <f>IF(OR(FC$4="",$B13=""),0,SUMIF('DADOS BRUTOS'!$A$3:$A$500,$B13,'DADOS BRUTOS'!CC$3:CC$500)+IF($C13="",0,SUMIF('DADOS BRUTOS'!$A$3:$A$500,$C13,'DADOS BRUTOS'!CC$3:CC$500)))</f>
        <v/>
      </c>
      <c r="FD13" s="132">
        <f>IF(OR(FD$4="",$B13=""),0,SUMIF('DADOS BRUTOS'!$A$3:$A$500,$B13,'DADOS BRUTOS'!CD$3:CD$500)+IF($C13="",0,SUMIF('DADOS BRUTOS'!$A$3:$A$500,$C13,'DADOS BRUTOS'!CD$3:CD$500)))</f>
        <v/>
      </c>
      <c r="FE13" s="132">
        <f>IF(OR(FE$4="",$B13=""),0,SUMIF('DADOS BRUTOS'!$A$3:$A$500,$B13,'DADOS BRUTOS'!CE$3:CE$500)+IF($C13="",0,SUMIF('DADOS BRUTOS'!$A$3:$A$500,$C13,'DADOS BRUTOS'!CE$3:CE$500)))</f>
        <v/>
      </c>
      <c r="FF13" s="132">
        <f>IF(OR(FF$4="",$B13=""),0,SUMIF('DADOS BRUTOS'!$A$3:$A$500,$B13,'DADOS BRUTOS'!CF$3:CF$500)+IF($C13="",0,SUMIF('DADOS BRUTOS'!$A$3:$A$500,$C13,'DADOS BRUTOS'!CF$3:CF$500)))</f>
        <v/>
      </c>
      <c r="FG13" s="132">
        <f>IF(OR(FG$4="",$B13=""),0,SUMIF('DADOS BRUTOS'!$A$3:$A$500,$B13,'DADOS BRUTOS'!CG$3:CG$500)+IF($C13="",0,SUMIF('DADOS BRUTOS'!$A$3:$A$500,$C13,'DADOS BRUTOS'!CG$3:CG$500)))</f>
        <v/>
      </c>
      <c r="FH13" s="132">
        <f>IF(OR(FH$4="",$B13=""),0,SUMIF('DADOS BRUTOS'!$A$3:$A$500,$B13,'DADOS BRUTOS'!CH$3:CH$500)+IF($C13="",0,SUMIF('DADOS BRUTOS'!$A$3:$A$500,$C13,'DADOS BRUTOS'!CH$3:CH$500)))</f>
        <v/>
      </c>
      <c r="FI13" s="132">
        <f>IF(OR(FI$4="",$B13=""),0,SUMIF('DADOS BRUTOS'!$A$3:$A$500,$B13,'DADOS BRUTOS'!CI$3:CI$500)+IF($C13="",0,SUMIF('DADOS BRUTOS'!$A$3:$A$500,$C13,'DADOS BRUTOS'!CI$3:CI$500)))</f>
        <v/>
      </c>
      <c r="FJ13" s="132">
        <f>IF(OR(FJ$4="",$B13=""),0,SUMIF('DADOS BRUTOS'!$A$3:$A$500,$B13,'DADOS BRUTOS'!CJ$3:CJ$500)+IF($C13="",0,SUMIF('DADOS BRUTOS'!$A$3:$A$500,$C13,'DADOS BRUTOS'!CJ$3:CJ$500)))</f>
        <v/>
      </c>
      <c r="FK13" s="132">
        <f>IF(OR(FK$4="",$B13=""),0,SUMIF('DADOS BRUTOS'!$A$3:$A$500,$B13,'DADOS BRUTOS'!CK$3:CK$500)+IF($C13="",0,SUMIF('DADOS BRUTOS'!$A$3:$A$500,$C13,'DADOS BRUTOS'!CK$3:CK$500)))</f>
        <v/>
      </c>
      <c r="FL13" s="132">
        <f>IF(OR(FL$4="",$B13=""),0,SUMIF('DADOS BRUTOS'!$A$3:$A$500,$B13,'DADOS BRUTOS'!CL$3:CL$500)+IF($C13="",0,SUMIF('DADOS BRUTOS'!$A$3:$A$500,$C13,'DADOS BRUTOS'!CL$3:CL$500)))</f>
        <v/>
      </c>
      <c r="FM13" s="132">
        <f>IF(OR(FM$4="",$B13=""),0,SUMIF('DADOS BRUTOS'!$A$3:$A$500,$B13,'DADOS BRUTOS'!CM$3:CM$500)+IF($C13="",0,SUMIF('DADOS BRUTOS'!$A$3:$A$500,$C13,'DADOS BRUTOS'!CM$3:CM$500)))</f>
        <v/>
      </c>
      <c r="FN13" s="132">
        <f>IF(OR(FN$4="",$B13=""),0,SUMIF('DADOS BRUTOS'!$A$3:$A$500,$B13,'DADOS BRUTOS'!CN$3:CN$500)+IF($C13="",0,SUMIF('DADOS BRUTOS'!$A$3:$A$500,$C13,'DADOS BRUTOS'!CN$3:CN$500)))</f>
        <v/>
      </c>
      <c r="FO13" s="132">
        <f>IF(OR(FO$4="",$B13=""),0,SUMIF('DADOS BRUTOS'!$A$3:$A$500,$B13,'DADOS BRUTOS'!CO$3:CO$500)+IF($C13="",0,SUMIF('DADOS BRUTOS'!$A$3:$A$500,$C13,'DADOS BRUTOS'!CO$3:CO$500)))</f>
        <v/>
      </c>
      <c r="FP13" s="132">
        <f>IF(OR(FP$4="",$B13=""),0,SUMIF('DADOS BRUTOS'!$A$3:$A$500,$B13,'DADOS BRUTOS'!CP$3:CP$500)+IF($C13="",0,SUMIF('DADOS BRUTOS'!$A$3:$A$500,$C13,'DADOS BRUTOS'!CP$3:CP$500)))</f>
        <v/>
      </c>
      <c r="FQ13" s="132">
        <f>IF(OR(FQ$4="",$B13=""),0,SUMIF('DADOS BRUTOS'!$A$3:$A$500,$B13,'DADOS BRUTOS'!CQ$3:CQ$500)+IF($C13="",0,SUMIF('DADOS BRUTOS'!$A$3:$A$500,$C13,'DADOS BRUTOS'!CQ$3:CQ$500)))</f>
        <v/>
      </c>
      <c r="FR13" s="132">
        <f>IF(OR(FR$4="",$B13=""),0,SUMIF('DADOS BRUTOS'!$A$3:$A$500,$B13,'DADOS BRUTOS'!CR$3:CR$500)+IF($C13="",0,SUMIF('DADOS BRUTOS'!$A$3:$A$500,$C13,'DADOS BRUTOS'!CR$3:CR$500)))</f>
        <v/>
      </c>
      <c r="FS13" s="132">
        <f>IF(OR(FS$4="",$B13=""),0,SUMIF('DADOS BRUTOS'!$A$3:$A$500,$B13,'DADOS BRUTOS'!CS$3:CS$500)+IF($C13="",0,SUMIF('DADOS BRUTOS'!$A$3:$A$500,$C13,'DADOS BRUTOS'!CS$3:CS$500)))</f>
        <v/>
      </c>
      <c r="FT13" s="132">
        <f>IF(OR(FT$4="",$B13=""),0,SUMIF('DADOS BRUTOS'!$A$3:$A$500,$B13,'DADOS BRUTOS'!CT$3:CT$500)+IF($C13="",0,SUMIF('DADOS BRUTOS'!$A$3:$A$500,$C13,'DADOS BRUTOS'!CT$3:CT$500)))</f>
        <v/>
      </c>
      <c r="FU13" s="132">
        <f>IF(OR(FU$4="",$B13=""),0,SUMIF('DADOS BRUTOS'!$A$3:$A$500,$B13,'DADOS BRUTOS'!CU$3:CU$500)+IF($C13="",0,SUMIF('DADOS BRUTOS'!$A$3:$A$500,$C13,'DADOS BRUTOS'!CU$3:CU$500)))</f>
        <v/>
      </c>
      <c r="FV13" s="132">
        <f>IF(OR(FV$4="",$B13=""),0,SUMIF('DADOS BRUTOS'!$A$3:$A$500,$B13,'DADOS BRUTOS'!CV$3:CV$500)+IF($C13="",0,SUMIF('DADOS BRUTOS'!$A$3:$A$500,$C13,'DADOS BRUTOS'!CV$3:CV$500)))</f>
        <v/>
      </c>
      <c r="FW13" s="132">
        <f>IF(OR(FW$4="",$B13=""),0,SUMIF('DADOS BRUTOS'!$A$3:$A$500,$B13,'DADOS BRUTOS'!CW$3:CW$500)+IF($C13="",0,SUMIF('DADOS BRUTOS'!$A$3:$A$500,$C13,'DADOS BRUTOS'!CW$3:CW$500)))</f>
        <v/>
      </c>
      <c r="FX13" s="132">
        <f>IF(OR(FX$4="",$B13=""),0,SUMIF('DADOS BRUTOS'!$A$3:$A$500,$B13,'DADOS BRUTOS'!CX$3:CX$500)+IF($C13="",0,SUMIF('DADOS BRUTOS'!$A$3:$A$500,$C13,'DADOS BRUTOS'!CX$3:CX$500)))</f>
        <v/>
      </c>
      <c r="FY13" s="132">
        <f>IF(OR(FY$4="",$B13=""),0,SUMIF('DADOS BRUTOS'!$A$3:$A$500,$B13,'DADOS BRUTOS'!CY$3:CY$500)+IF($C13="",0,SUMIF('DADOS BRUTOS'!$A$3:$A$500,$C13,'DADOS BRUTOS'!CY$3:CY$500)))</f>
        <v/>
      </c>
      <c r="FZ13" s="132">
        <f>IF(OR(FZ$4="",$B13=""),0,SUMIF('DADOS BRUTOS'!$A$3:$A$500,$B13,'DADOS BRUTOS'!CZ$3:CZ$500)+IF($C13="",0,SUMIF('DADOS BRUTOS'!$A$3:$A$500,$C13,'DADOS BRUTOS'!CZ$3:CZ$500)))</f>
        <v/>
      </c>
      <c r="GA13" s="132">
        <f>IF(OR(GA$4="",$B13=""),0,SUMIF('DADOS BRUTOS'!$A$3:$A$500,$B13,'DADOS BRUTOS'!DA$3:DA$500)+IF($C13="",0,SUMIF('DADOS BRUTOS'!$A$3:$A$500,$C13,'DADOS BRUTOS'!DA$3:DA$500)))</f>
        <v/>
      </c>
      <c r="GB13" s="132">
        <f>IF(OR(GB$4="",$B13=""),0,SUMIF('DADOS BRUTOS'!$A$3:$A$500,$B13,'DADOS BRUTOS'!DB$3:DB$500)+IF($C13="",0,SUMIF('DADOS BRUTOS'!$A$3:$A$500,$C13,'DADOS BRUTOS'!DB$3:DB$500)))</f>
        <v/>
      </c>
      <c r="GC13" s="132">
        <f>IF(OR(GC$4="",$B13=""),0,SUMIF('DADOS BRUTOS'!$A$3:$A$500,$B13,'DADOS BRUTOS'!DC$3:DC$500)+IF($C13="",0,SUMIF('DADOS BRUTOS'!$A$3:$A$500,$C13,'DADOS BRUTOS'!DC$3:DC$500)))</f>
        <v/>
      </c>
      <c r="GD13" s="132">
        <f>IF(OR(GD$4="",$B13=""),0,SUMIF('DADOS BRUTOS'!$A$3:$A$500,$B13,'DADOS BRUTOS'!DD$3:DD$500)+IF($C13="",0,SUMIF('DADOS BRUTOS'!$A$3:$A$500,$C13,'DADOS BRUTOS'!DD$3:DD$500)))</f>
        <v/>
      </c>
      <c r="GE13" s="132">
        <f>IF(OR(GE$4="",$B13=""),0,SUMIF('DADOS BRUTOS'!$A$3:$A$500,$B13,'DADOS BRUTOS'!DE$3:DE$500)+IF($C13="",0,SUMIF('DADOS BRUTOS'!$A$3:$A$500,$C13,'DADOS BRUTOS'!DE$3:DE$500)))</f>
        <v/>
      </c>
      <c r="GF13" s="132">
        <f>IF(OR(GF$4="",$B13=""),0,SUMIF('DADOS BRUTOS'!$A$3:$A$500,$B13,'DADOS BRUTOS'!DF$3:DF$500)+IF($C13="",0,SUMIF('DADOS BRUTOS'!$A$3:$A$500,$C13,'DADOS BRUTOS'!DF$3:DF$500)))</f>
        <v/>
      </c>
      <c r="GG13" s="132">
        <f>IF(OR(GG$4="",$B13=""),0,SUMIF('DADOS BRUTOS'!$A$3:$A$500,$B13,'DADOS BRUTOS'!DG$3:DG$500)+IF($C13="",0,SUMIF('DADOS BRUTOS'!$A$3:$A$500,$C13,'DADOS BRUTOS'!DG$3:DG$500)))</f>
        <v/>
      </c>
      <c r="GH13" s="132">
        <f>IF(OR(GH$4="",$B13=""),0,SUMIF('DADOS BRUTOS'!$A$3:$A$500,$B13,'DADOS BRUTOS'!DH$3:DH$500)+IF($C13="",0,SUMIF('DADOS BRUTOS'!$A$3:$A$500,$C13,'DADOS BRUTOS'!DH$3:DH$500)))</f>
        <v/>
      </c>
      <c r="GI13" s="132">
        <f>IF(OR(GI$4="",$B13=""),0,SUMIF('DADOS BRUTOS'!$A$3:$A$500,$B13,'DADOS BRUTOS'!DI$3:DI$500)+IF($C13="",0,SUMIF('DADOS BRUTOS'!$A$3:$A$500,$C13,'DADOS BRUTOS'!DI$3:DI$500)))</f>
        <v/>
      </c>
      <c r="GJ13" s="132">
        <f>IF(OR(GJ$4="",$B13=""),0,SUMIF('DADOS BRUTOS'!$A$3:$A$500,$B13,'DADOS BRUTOS'!DJ$3:DJ$500)+IF($C13="",0,SUMIF('DADOS BRUTOS'!$A$3:$A$500,$C13,'DADOS BRUTOS'!DJ$3:DJ$500)))</f>
        <v/>
      </c>
      <c r="GK13" s="132">
        <f>IF(OR(GK$4="",$B13=""),0,SUMIF('DADOS BRUTOS'!$A$3:$A$500,$B13,'DADOS BRUTOS'!DK$3:DK$500)+IF($C13="",0,SUMIF('DADOS BRUTOS'!$A$3:$A$500,$C13,'DADOS BRUTOS'!DK$3:DK$500)))</f>
        <v/>
      </c>
      <c r="GL13" s="132">
        <f>IF(OR(GL$4="",$B13=""),0,SUMIF('DADOS BRUTOS'!$A$3:$A$500,$B13,'DADOS BRUTOS'!DL$3:DL$500)+IF($C13="",0,SUMIF('DADOS BRUTOS'!$A$3:$A$500,$C13,'DADOS BRUTOS'!DL$3:DL$500)))</f>
        <v/>
      </c>
      <c r="GM13" s="132">
        <f>IF(OR(GM$4="",$B13=""),0,SUMIF('DADOS BRUTOS'!$A$3:$A$500,$B13,'DADOS BRUTOS'!DM$3:DM$500)+IF($C13="",0,SUMIF('DADOS BRUTOS'!$A$3:$A$500,$C13,'DADOS BRUTOS'!DM$3:DM$500)))</f>
        <v/>
      </c>
      <c r="GN13" s="132">
        <f>IF(OR(GN$4="",$B13=""),0,SUMIF('DADOS BRUTOS'!$A$3:$A$500,$B13,'DADOS BRUTOS'!DN$3:DN$500)+IF($C13="",0,SUMIF('DADOS BRUTOS'!$A$3:$A$500,$C13,'DADOS BRUTOS'!DN$3:DN$500)))</f>
        <v/>
      </c>
      <c r="GO13" s="132">
        <f>IF(OR(GO$4="",$B13=""),0,SUMIF('DADOS BRUTOS'!$A$3:$A$500,$B13,'DADOS BRUTOS'!DO$3:DO$500)+IF($C13="",0,SUMIF('DADOS BRUTOS'!$A$3:$A$500,$C13,'DADOS BRUTOS'!DO$3:DO$500)))</f>
        <v/>
      </c>
      <c r="GP13" s="132">
        <f>IF(OR(GP$4="",$B13=""),0,SUMIF('DADOS BRUTOS'!$A$3:$A$500,$B13,'DADOS BRUTOS'!DP$3:DP$500)+IF($C13="",0,SUMIF('DADOS BRUTOS'!$A$3:$A$500,$C13,'DADOS BRUTOS'!DP$3:DP$500)))</f>
        <v/>
      </c>
      <c r="GQ13" s="132">
        <f>IF(OR(GQ$4="",$B13=""),0,SUMIF('DADOS BRUTOS'!$A$3:$A$500,$B13,'DADOS BRUTOS'!DQ$3:DQ$500)+IF($C13="",0,SUMIF('DADOS BRUTOS'!$A$3:$A$500,$C13,'DADOS BRUTOS'!DQ$3:DQ$500)))</f>
        <v/>
      </c>
      <c r="GR13" s="132">
        <f>IF(OR(GR$4="",$B13=""),0,SUMIF('DADOS BRUTOS'!$A$3:$A$500,$B13,'DADOS BRUTOS'!DR$3:DR$500)+IF($C13="",0,SUMIF('DADOS BRUTOS'!$A$3:$A$500,$C13,'DADOS BRUTOS'!DR$3:DR$500)))</f>
        <v/>
      </c>
      <c r="GS13" s="132">
        <f>IF(OR(GS$4="",$B13=""),0,SUMIF('DADOS BRUTOS'!$A$3:$A$500,$B13,'DADOS BRUTOS'!DS$3:DS$500)+IF($C13="",0,SUMIF('DADOS BRUTOS'!$A$3:$A$500,$C13,'DADOS BRUTOS'!DS$3:DS$500)))</f>
        <v/>
      </c>
      <c r="GT13" s="132">
        <f>IF(OR(GT$4="",$B13=""),0,SUMIF('DADOS BRUTOS'!$A$3:$A$500,$B13,'DADOS BRUTOS'!DT$3:DT$500)+IF($C13="",0,SUMIF('DADOS BRUTOS'!$A$3:$A$500,$C13,'DADOS BRUTOS'!DT$3:DT$500)))</f>
        <v/>
      </c>
      <c r="GU13" s="132">
        <f>IF(OR(GU$4="",$B13=""),0,SUMIF('DADOS BRUTOS'!$A$3:$A$500,$B13,'DADOS BRUTOS'!DU$3:DU$500)+IF($C13="",0,SUMIF('DADOS BRUTOS'!$A$3:$A$500,$C13,'DADOS BRUTOS'!DU$3:DU$500)))</f>
        <v/>
      </c>
      <c r="GV13" s="132">
        <f>IF(OR(GV$4="",$B13=""),0,SUMIF('DADOS BRUTOS'!$A$3:$A$500,$B13,'DADOS BRUTOS'!DV$3:DV$500)+IF($C13="",0,SUMIF('DADOS BRUTOS'!$A$3:$A$500,$C13,'DADOS BRUTOS'!DV$3:DV$500)))</f>
        <v/>
      </c>
      <c r="GW13" s="132">
        <f>IF(OR(GW$4="",$B13=""),0,SUMIF('DADOS BRUTOS'!$A$3:$A$500,$B13,'DADOS BRUTOS'!DW$3:DW$500)+IF($C13="",0,SUMIF('DADOS BRUTOS'!$A$3:$A$500,$C13,'DADOS BRUTOS'!DW$3:DW$500)))</f>
        <v/>
      </c>
      <c r="GX13" s="132">
        <f>IF(OR(GX$4="",$B13=""),0,SUMIF('DADOS BRUTOS'!$A$3:$A$500,$B13,'DADOS BRUTOS'!DX$3:DX$500)+IF($C13="",0,SUMIF('DADOS BRUTOS'!$A$3:$A$500,$C13,'DADOS BRUTOS'!DX$3:DX$500)))</f>
        <v/>
      </c>
      <c r="GY13" s="132">
        <f>IF(OR(GY$4="",$B13=""),0,SUMIF('DADOS BRUTOS'!$A$3:$A$500,$B13,'DADOS BRUTOS'!DY$3:DY$500)+IF($C13="",0,SUMIF('DADOS BRUTOS'!$A$3:$A$500,$C13,'DADOS BRUTOS'!DY$3:DY$500)))</f>
        <v/>
      </c>
      <c r="GZ13" s="132">
        <f>IF(OR(GZ$4="",$B13=""),0,SUMIF('DADOS BRUTOS'!$A$3:$A$500,$B13,'DADOS BRUTOS'!DZ$3:DZ$500)+IF($C13="",0,SUMIF('DADOS BRUTOS'!$A$3:$A$500,$C13,'DADOS BRUTOS'!DZ$3:DZ$500)))</f>
        <v/>
      </c>
      <c r="HA13" s="132">
        <f>IF(OR(HA$4="",$B13=""),0,SUMIF('DADOS BRUTOS'!$A$3:$A$500,$B13,'DADOS BRUTOS'!EA$3:EA$500)+IF($C13="",0,SUMIF('DADOS BRUTOS'!$A$3:$A$500,$C13,'DADOS BRUTOS'!EA$3:EA$500)))</f>
        <v/>
      </c>
      <c r="HB13" s="132">
        <f>IF(OR(HB$4="",$B13=""),0,SUMIF('DADOS BRUTOS'!$A$3:$A$500,$B13,'DADOS BRUTOS'!EB$3:EB$500)+IF($C13="",0,SUMIF('DADOS BRUTOS'!$A$3:$A$500,$C13,'DADOS BRUTOS'!EB$3:EB$500)))</f>
        <v/>
      </c>
      <c r="HC13" s="132">
        <f>IF(OR(HC$4="",$B13=""),0,SUMIF('DADOS BRUTOS'!$A$3:$A$500,$B13,'DADOS BRUTOS'!EC$3:EC$500)+IF($C13="",0,SUMIF('DADOS BRUTOS'!$A$3:$A$500,$C13,'DADOS BRUTOS'!EC$3:EC$500)))</f>
        <v/>
      </c>
      <c r="HD13" s="132">
        <f>IF(OR(HD$4="",$B13=""),0,SUMIF('DADOS BRUTOS'!$A$3:$A$500,$B13,'DADOS BRUTOS'!ED$3:ED$500)+IF($C13="",0,SUMIF('DADOS BRUTOS'!$A$3:$A$500,$C13,'DADOS BRUTOS'!ED$3:ED$500)))</f>
        <v/>
      </c>
      <c r="HE13" s="132">
        <f>IF(OR(HE$4="",$B13=""),0,SUMIF('DADOS BRUTOS'!$A$3:$A$500,$B13,'DADOS BRUTOS'!EE$3:EE$500)+IF($C13="",0,SUMIF('DADOS BRUTOS'!$A$3:$A$500,$C13,'DADOS BRUTOS'!EE$3:EE$500)))</f>
        <v/>
      </c>
      <c r="HF13" s="132">
        <f>IF(OR(HF$4="",$B13=""),0,SUMIF('DADOS BRUTOS'!$A$3:$A$500,$B13,'DADOS BRUTOS'!EF$3:EF$500)+IF($C13="",0,SUMIF('DADOS BRUTOS'!$A$3:$A$500,$C13,'DADOS BRUTOS'!EF$3:EF$500)))</f>
        <v/>
      </c>
      <c r="HG13" s="132">
        <f>IF(OR(HG$4="",$B13=""),0,SUMIF('DADOS BRUTOS'!$A$3:$A$500,$B13,'DADOS BRUTOS'!EG$3:EG$500)+IF($C13="",0,SUMIF('DADOS BRUTOS'!$A$3:$A$500,$C13,'DADOS BRUTOS'!EG$3:EG$500)))</f>
        <v/>
      </c>
      <c r="HH13" s="132">
        <f>IF(OR(HH$4="",$B13=""),0,SUMIF('DADOS BRUTOS'!$A$3:$A$500,$B13,'DADOS BRUTOS'!EH$3:EH$500)+IF($C13="",0,SUMIF('DADOS BRUTOS'!$A$3:$A$500,$C13,'DADOS BRUTOS'!EH$3:EH$500)))</f>
        <v/>
      </c>
      <c r="HI13" s="132">
        <f>IF(OR(HI$4="",$B13=""),0,SUMIF('DADOS BRUTOS'!$A$3:$A$500,$B13,'DADOS BRUTOS'!EI$3:EI$500)+IF($C13="",0,SUMIF('DADOS BRUTOS'!$A$3:$A$500,$C13,'DADOS BRUTOS'!EI$3:EI$500)))</f>
        <v/>
      </c>
      <c r="HJ13" s="132">
        <f>IF(OR(HJ$4="",$B13=""),0,SUMIF('DADOS BRUTOS'!$A$3:$A$500,$B13,'DADOS BRUTOS'!EJ$3:EJ$500)+IF($C13="",0,SUMIF('DADOS BRUTOS'!$A$3:$A$500,$C13,'DADOS BRUTOS'!EJ$3:EJ$500)))</f>
        <v/>
      </c>
      <c r="HK13" s="132">
        <f>IF(OR(HK$4="",$B13=""),0,SUMIF('DADOS BRUTOS'!$A$3:$A$500,$B13,'DADOS BRUTOS'!EK$3:EK$500)+IF($C13="",0,SUMIF('DADOS BRUTOS'!$A$3:$A$500,$C13,'DADOS BRUTOS'!EK$3:EK$500)))</f>
        <v/>
      </c>
      <c r="HL13" s="132">
        <f>IF(OR(HL$4="",$B13=""),0,SUMIF('DADOS BRUTOS'!$A$3:$A$500,$B13,'DADOS BRUTOS'!EL$3:EL$500)+IF($C13="",0,SUMIF('DADOS BRUTOS'!$A$3:$A$500,$C13,'DADOS BRUTOS'!EL$3:EL$500)))</f>
        <v/>
      </c>
      <c r="HM13" s="132">
        <f>IF(OR(HM$4="",$B13=""),0,SUMIF('DADOS BRUTOS'!$A$3:$A$500,$B13,'DADOS BRUTOS'!EM$3:EM$500)+IF($C13="",0,SUMIF('DADOS BRUTOS'!$A$3:$A$500,$C13,'DADOS BRUTOS'!EM$3:EM$500)))</f>
        <v/>
      </c>
      <c r="HN13" s="132">
        <f>IF(OR(HN$4="",$B13=""),0,SUMIF('DADOS BRUTOS'!$A$3:$A$500,$B13,'DADOS BRUTOS'!EN$3:EN$500)+IF($C13="",0,SUMIF('DADOS BRUTOS'!$A$3:$A$500,$C13,'DADOS BRUTOS'!EN$3:EN$500)))</f>
        <v/>
      </c>
      <c r="HO13" s="132">
        <f>IF(OR(HO$4="",$B13=""),0,SUMIF('DADOS BRUTOS'!$A$3:$A$500,$B13,'DADOS BRUTOS'!EO$3:EO$500)+IF($C13="",0,SUMIF('DADOS BRUTOS'!$A$3:$A$500,$C13,'DADOS BRUTOS'!EO$3:EO$500)))</f>
        <v/>
      </c>
      <c r="HP13" s="132">
        <f>IF(OR(HP$4="",$B13=""),0,SUMIF('DADOS BRUTOS'!$A$3:$A$500,$B13,'DADOS BRUTOS'!EP$3:EP$500)+IF($C13="",0,SUMIF('DADOS BRUTOS'!$A$3:$A$500,$C13,'DADOS BRUTOS'!EP$3:EP$500)))</f>
        <v/>
      </c>
      <c r="HQ13" s="132">
        <f>IF(OR(HQ$4="",$B13=""),0,SUMIF('DADOS BRUTOS'!$A$3:$A$500,$B13,'DADOS BRUTOS'!EQ$3:EQ$500)+IF($C13="",0,SUMIF('DADOS BRUTOS'!$A$3:$A$500,$C13,'DADOS BRUTOS'!EQ$3:EQ$500)))</f>
        <v/>
      </c>
      <c r="HR13" s="132">
        <f>IF(OR(HR$4="",$B13=""),0,SUMIF('DADOS BRUTOS'!$A$3:$A$500,$B13,'DADOS BRUTOS'!ER$3:ER$500)+IF($C13="",0,SUMIF('DADOS BRUTOS'!$A$3:$A$500,$C13,'DADOS BRUTOS'!ER$3:ER$500)))</f>
        <v/>
      </c>
      <c r="HS13" s="132">
        <f>IF(OR(HS$4="",$B13=""),0,SUMIF('DADOS BRUTOS'!$A$3:$A$500,$B13,'DADOS BRUTOS'!ES$3:ES$500)+IF($C13="",0,SUMIF('DADOS BRUTOS'!$A$3:$A$500,$C13,'DADOS BRUTOS'!ES$3:ES$500)))</f>
        <v/>
      </c>
      <c r="HT13" s="132">
        <f>IF(OR(HT$4="",$B13=""),0,SUMIF('DADOS BRUTOS'!$A$3:$A$500,$B13,'DADOS BRUTOS'!ET$3:ET$500)+IF($C13="",0,SUMIF('DADOS BRUTOS'!$A$3:$A$500,$C13,'DADOS BRUTOS'!ET$3:ET$500)))</f>
        <v/>
      </c>
      <c r="HU13" s="132">
        <f>IF(OR(HU$4="",$B13=""),0,SUMIF('DADOS BRUTOS'!$A$3:$A$500,$B13,'DADOS BRUTOS'!EU$3:EU$500)+IF($C13="",0,SUMIF('DADOS BRUTOS'!$A$3:$A$500,$C13,'DADOS BRUTOS'!EU$3:EU$500)))</f>
        <v/>
      </c>
      <c r="HV13" s="132">
        <f>IF(OR(HV$4="",$B13=""),0,SUMIF('DADOS BRUTOS'!$A$3:$A$500,$B13,'DADOS BRUTOS'!EV$3:EV$500)+IF($C13="",0,SUMIF('DADOS BRUTOS'!$A$3:$A$500,$C13,'DADOS BRUTOS'!EV$3:EV$500)))</f>
        <v/>
      </c>
      <c r="HW13" s="132">
        <f>IF(OR(HW$4="",$B13=""),0,SUMIF('DADOS BRUTOS'!$A$3:$A$500,$B13,'DADOS BRUTOS'!EW$3:EW$500)+IF($C13="",0,SUMIF('DADOS BRUTOS'!$A$3:$A$500,$C13,'DADOS BRUTOS'!EW$3:EW$500)))</f>
        <v/>
      </c>
      <c r="HX13" s="132">
        <f>IF(OR(HX$4="",$B13=""),0,SUMIF('DADOS BRUTOS'!$A$3:$A$500,$B13,'DADOS BRUTOS'!EX$3:EX$500)+IF($C13="",0,SUMIF('DADOS BRUTOS'!$A$3:$A$500,$C13,'DADOS BRUTOS'!EX$3:EX$500)))</f>
        <v/>
      </c>
      <c r="HY13" s="132">
        <f>IF(OR(HY$4="",$B13=""),0,SUMIF('DADOS BRUTOS'!$A$3:$A$500,$B13,'DADOS BRUTOS'!EY$3:EY$500)+IF($C13="",0,SUMIF('DADOS BRUTOS'!$A$3:$A$500,$C13,'DADOS BRUTOS'!EY$3:EY$500)))</f>
        <v/>
      </c>
      <c r="HZ13" s="132">
        <f>IF(OR(HZ$4="",$B13=""),0,SUMIF('DADOS BRUTOS'!$A$3:$A$500,$B13,'DADOS BRUTOS'!EZ$3:EZ$500)+IF($C13="",0,SUMIF('DADOS BRUTOS'!$A$3:$A$500,$C13,'DADOS BRUTOS'!EZ$3:EZ$500)))</f>
        <v/>
      </c>
      <c r="IA13" s="132">
        <f>IF(OR(IA$4="",$B13=""),0,SUMIF('DADOS BRUTOS'!$A$3:$A$500,$B13,'DADOS BRUTOS'!FA$3:FA$500)+IF($C13="",0,SUMIF('DADOS BRUTOS'!$A$3:$A$500,$C13,'DADOS BRUTOS'!FA$3:FA$500)))</f>
        <v/>
      </c>
      <c r="IB13" s="132">
        <f>IF(OR(IB$4="",$B13=""),0,SUMIF('DADOS BRUTOS'!$A$3:$A$500,$B13,'DADOS BRUTOS'!FB$3:FB$500)+IF($C13="",0,SUMIF('DADOS BRUTOS'!$A$3:$A$500,$C13,'DADOS BRUTOS'!FB$3:FB$500)))</f>
        <v/>
      </c>
      <c r="IC13" s="132">
        <f>IF(OR(IC$4="",$B13=""),0,SUMIF('DADOS BRUTOS'!$A$3:$A$500,$B13,'DADOS BRUTOS'!FC$3:FC$500)+IF($C13="",0,SUMIF('DADOS BRUTOS'!$A$3:$A$500,$C13,'DADOS BRUTOS'!FC$3:FC$500)))</f>
        <v/>
      </c>
      <c r="ID13" s="132">
        <f>IF(OR(ID$4="",$B13=""),0,SUMIF('DADOS BRUTOS'!$A$3:$A$500,$B13,'DADOS BRUTOS'!FD$3:FD$500)+IF($C13="",0,SUMIF('DADOS BRUTOS'!$A$3:$A$500,$C13,'DADOS BRUTOS'!FD$3:FD$500)))</f>
        <v/>
      </c>
      <c r="IE13" s="132">
        <f>IF(OR(IE$4="",$B13=""),0,SUMIF('DADOS BRUTOS'!$A$3:$A$500,$B13,'DADOS BRUTOS'!FE$3:FE$500)+IF($C13="",0,SUMIF('DADOS BRUTOS'!$A$3:$A$500,$C13,'DADOS BRUTOS'!FE$3:FE$500)))</f>
        <v/>
      </c>
      <c r="IF13" s="132">
        <f>IF(OR(IF$4="",$B13=""),0,SUMIF('DADOS BRUTOS'!$A$3:$A$500,$B13,'DADOS BRUTOS'!FF$3:FF$500)+IF($C13="",0,SUMIF('DADOS BRUTOS'!$A$3:$A$500,$C13,'DADOS BRUTOS'!FF$3:FF$500)))</f>
        <v/>
      </c>
      <c r="IG13" s="132">
        <f>IF(OR(IG$4="",$B13=""),0,SUMIF('DADOS BRUTOS'!$A$3:$A$500,$B13,'DADOS BRUTOS'!FG$3:FG$500)+IF($C13="",0,SUMIF('DADOS BRUTOS'!$A$3:$A$500,$C13,'DADOS BRUTOS'!FG$3:FG$500)))</f>
        <v/>
      </c>
      <c r="IH13" s="132">
        <f>IF(OR(IH$4="",$B13=""),0,SUMIF('DADOS BRUTOS'!$A$3:$A$500,$B13,'DADOS BRUTOS'!FH$3:FH$500)+IF($C13="",0,SUMIF('DADOS BRUTOS'!$A$3:$A$500,$C13,'DADOS BRUTOS'!FH$3:FH$500)))</f>
        <v/>
      </c>
      <c r="II13" s="132">
        <f>IF(OR(II$4="",$B13=""),0,SUMIF('DADOS BRUTOS'!$A$3:$A$500,$B13,'DADOS BRUTOS'!FI$3:FI$500)+IF($C13="",0,SUMIF('DADOS BRUTOS'!$A$3:$A$500,$C13,'DADOS BRUTOS'!FI$3:FI$500)))</f>
        <v/>
      </c>
      <c r="IJ13" s="132">
        <f>IF(OR(IJ$4="",$B13=""),0,SUMIF('DADOS BRUTOS'!$A$3:$A$500,$B13,'DADOS BRUTOS'!FJ$3:FJ$500)+IF($C13="",0,SUMIF('DADOS BRUTOS'!$A$3:$A$500,$C13,'DADOS BRUTOS'!FJ$3:FJ$500)))</f>
        <v/>
      </c>
      <c r="IK13" s="132">
        <f>IF(OR(IK$4="",$B13=""),0,SUMIF('DADOS BRUTOS'!$A$3:$A$500,$B13,'DADOS BRUTOS'!FK$3:FK$500)+IF($C13="",0,SUMIF('DADOS BRUTOS'!$A$3:$A$500,$C13,'DADOS BRUTOS'!FK$3:FK$500)))</f>
        <v/>
      </c>
      <c r="IL13" s="132">
        <f>IF(OR(IL$4="",$B13=""),0,SUMIF('DADOS BRUTOS'!$A$3:$A$500,$B13,'DADOS BRUTOS'!FL$3:FL$500)+IF($C13="",0,SUMIF('DADOS BRUTOS'!$A$3:$A$500,$C13,'DADOS BRUTOS'!FL$3:FL$500)))</f>
        <v/>
      </c>
      <c r="IM13" s="132">
        <f>IF(OR(IM$4="",$B13=""),0,SUMIF('DADOS BRUTOS'!$A$3:$A$500,$B13,'DADOS BRUTOS'!FM$3:FM$500)+IF($C13="",0,SUMIF('DADOS BRUTOS'!$A$3:$A$500,$C13,'DADOS BRUTOS'!FM$3:FM$500)))</f>
        <v/>
      </c>
      <c r="IN13" s="132">
        <f>IF(OR(IN$4="",$B13=""),0,SUMIF('DADOS BRUTOS'!$A$3:$A$500,$B13,'DADOS BRUTOS'!FN$3:FN$500)+IF($C13="",0,SUMIF('DADOS BRUTOS'!$A$3:$A$500,$C13,'DADOS BRUTOS'!FN$3:FN$500)))</f>
        <v/>
      </c>
      <c r="IO13" s="132">
        <f>IF(OR(IO$4="",$B13=""),0,SUMIF('DADOS BRUTOS'!$A$3:$A$500,$B13,'DADOS BRUTOS'!FO$3:FO$500)+IF($C13="",0,SUMIF('DADOS BRUTOS'!$A$3:$A$500,$C13,'DADOS BRUTOS'!FO$3:FO$500)))</f>
        <v/>
      </c>
      <c r="IP13" s="132">
        <f>IF(OR(IP$4="",$B13=""),0,SUMIF('DADOS BRUTOS'!$A$3:$A$500,$B13,'DADOS BRUTOS'!FP$3:FP$500)+IF($C13="",0,SUMIF('DADOS BRUTOS'!$A$3:$A$500,$C13,'DADOS BRUTOS'!FP$3:FP$500)))</f>
        <v/>
      </c>
      <c r="IQ13" s="132">
        <f>IF(OR(IQ$4="",$B13=""),0,SUMIF('DADOS BRUTOS'!$A$3:$A$500,$B13,'DADOS BRUTOS'!FQ$3:FQ$500)+IF($C13="",0,SUMIF('DADOS BRUTOS'!$A$3:$A$500,$C13,'DADOS BRUTOS'!FQ$3:FQ$500)))</f>
        <v/>
      </c>
      <c r="IR13" s="132">
        <f>IF(OR(IR$4="",$B13=""),0,SUMIF('DADOS BRUTOS'!$A$3:$A$500,$B13,'DADOS BRUTOS'!FR$3:FR$500)+IF($C13="",0,SUMIF('DADOS BRUTOS'!$A$3:$A$500,$C13,'DADOS BRUTOS'!FR$3:FR$500)))</f>
        <v/>
      </c>
      <c r="IS13" s="132">
        <f>IF(OR(IS$4="",$B13=""),0,SUMIF('DADOS BRUTOS'!$A$3:$A$500,$B13,'DADOS BRUTOS'!FS$3:FS$500)+IF($C13="",0,SUMIF('DADOS BRUTOS'!$A$3:$A$500,$C13,'DADOS BRUTOS'!FS$3:FS$500)))</f>
        <v/>
      </c>
      <c r="IT13" s="132">
        <f>IF(OR(IT$4="",$B13=""),0,SUMIF('DADOS BRUTOS'!$A$3:$A$500,$B13,'DADOS BRUTOS'!FT$3:FT$500)+IF($C13="",0,SUMIF('DADOS BRUTOS'!$A$3:$A$500,$C13,'DADOS BRUTOS'!FT$3:FT$500)))</f>
        <v/>
      </c>
      <c r="IU13" s="132">
        <f>IF(OR(IU$4="",$B13=""),0,SUMIF('DADOS BRUTOS'!$A$3:$A$500,$B13,'DADOS BRUTOS'!FU$3:FU$500)+IF($C13="",0,SUMIF('DADOS BRUTOS'!$A$3:$A$500,$C13,'DADOS BRUTOS'!FU$3:FU$500)))</f>
        <v/>
      </c>
      <c r="IV13" s="132">
        <f>IF(OR(IV$4="",$B13=""),0,SUMIF('DADOS BRUTOS'!$A$3:$A$500,$B13,'DADOS BRUTOS'!FV$3:FV$500)+IF($C13="",0,SUMIF('DADOS BRUTOS'!$A$3:$A$500,$C13,'DADOS BRUTOS'!FV$3:FV$500)))</f>
        <v/>
      </c>
      <c r="IW13" s="132">
        <f>IF(OR(IW$4="",$B13=""),0,SUMIF('DADOS BRUTOS'!$A$3:$A$500,$B13,'DADOS BRUTOS'!FW$3:FW$500)+IF($C13="",0,SUMIF('DADOS BRUTOS'!$A$3:$A$500,$C13,'DADOS BRUTOS'!FW$3:FW$500)))</f>
        <v/>
      </c>
      <c r="IX13" s="132">
        <f>IF(OR(IX$4="",$B13=""),0,SUMIF('DADOS BRUTOS'!$A$3:$A$500,$B13,'DADOS BRUTOS'!FX$3:FX$500)+IF($C13="",0,SUMIF('DADOS BRUTOS'!$A$3:$A$500,$C13,'DADOS BRUTOS'!FX$3:FX$500)))</f>
        <v/>
      </c>
      <c r="IY13" s="132">
        <f>IF(OR(IY$4="",$B13=""),0,SUMIF('DADOS BRUTOS'!$A$3:$A$500,$B13,'DADOS BRUTOS'!FY$3:FY$500)+IF($C13="",0,SUMIF('DADOS BRUTOS'!$A$3:$A$500,$C13,'DADOS BRUTOS'!FY$3:FY$500)))</f>
        <v/>
      </c>
      <c r="IZ13" s="132">
        <f>IF(OR(IZ$4="",$B13=""),0,SUMIF('DADOS BRUTOS'!$A$3:$A$500,$B13,'DADOS BRUTOS'!FZ$3:FZ$500)+IF($C13="",0,SUMIF('DADOS BRUTOS'!$A$3:$A$500,$C13,'DADOS BRUTOS'!FZ$3:FZ$500)))</f>
        <v/>
      </c>
      <c r="JA13" s="132">
        <f>IF(OR(JA$4="",$B13=""),0,SUMIF('DADOS BRUTOS'!$A$3:$A$500,$B13,'DADOS BRUTOS'!GA$3:GA$500)+IF($C13="",0,SUMIF('DADOS BRUTOS'!$A$3:$A$500,$C13,'DADOS BRUTOS'!GA$3:GA$500)))</f>
        <v/>
      </c>
      <c r="JB13" s="132">
        <f>IF(OR(JB$4="",$B13=""),0,SUMIF('DADOS BRUTOS'!$A$3:$A$500,$B13,'DADOS BRUTOS'!GB$3:GB$500)+IF($C13="",0,SUMIF('DADOS BRUTOS'!$A$3:$A$500,$C13,'DADOS BRUTOS'!GB$3:GB$500)))</f>
        <v/>
      </c>
      <c r="JC13" s="132">
        <f>IF(OR(JC$4="",$B13=""),0,SUMIF('DADOS BRUTOS'!$A$3:$A$500,$B13,'DADOS BRUTOS'!GC$3:GC$500)+IF($C13="",0,SUMIF('DADOS BRUTOS'!$A$3:$A$500,$C13,'DADOS BRUTOS'!GC$3:GC$500)))</f>
        <v/>
      </c>
      <c r="JD13" s="132">
        <f>IF(OR(JD$4="",$B13=""),0,SUMIF('DADOS BRUTOS'!$A$3:$A$500,$B13,'DADOS BRUTOS'!GD$3:GD$500)+IF($C13="",0,SUMIF('DADOS BRUTOS'!$A$3:$A$500,$C13,'DADOS BRUTOS'!GD$3:GD$500)))</f>
        <v/>
      </c>
      <c r="JE13" s="132">
        <f>IF(OR(JE$4="",$B13=""),0,SUMIF('DADOS BRUTOS'!$A$3:$A$500,$B13,'DADOS BRUTOS'!GE$3:GE$500)+IF($C13="",0,SUMIF('DADOS BRUTOS'!$A$3:$A$500,$C13,'DADOS BRUTOS'!GE$3:GE$500)))</f>
        <v/>
      </c>
      <c r="JF13" s="132">
        <f>IF(OR(JF$4="",$B13=""),0,SUMIF('DADOS BRUTOS'!$A$3:$A$500,$B13,'DADOS BRUTOS'!GF$3:GF$500)+IF($C13="",0,SUMIF('DADOS BRUTOS'!$A$3:$A$500,$C13,'DADOS BRUTOS'!GF$3:GF$500)))</f>
        <v/>
      </c>
      <c r="JG13" s="132">
        <f>IF(OR(JG$4="",$B13=""),0,SUMIF('DADOS BRUTOS'!$A$3:$A$500,$B13,'DADOS BRUTOS'!GG$3:GG$500)+IF($C13="",0,SUMIF('DADOS BRUTOS'!$A$3:$A$500,$C13,'DADOS BRUTOS'!GG$3:GG$500)))</f>
        <v/>
      </c>
      <c r="JH13" s="132">
        <f>IF(OR(JH$4="",$B13=""),0,SUMIF('DADOS BRUTOS'!$A$3:$A$500,$B13,'DADOS BRUTOS'!GH$3:GH$500)+IF($C13="",0,SUMIF('DADOS BRUTOS'!$A$3:$A$500,$C13,'DADOS BRUTOS'!GH$3:GH$500)))</f>
        <v/>
      </c>
      <c r="JI13" s="132">
        <f>IF(OR(JI$4="",$B13=""),0,SUMIF('DADOS BRUTOS'!$A$3:$A$500,$B13,'DADOS BRUTOS'!GI$3:GI$500)+IF($C13="",0,SUMIF('DADOS BRUTOS'!$A$3:$A$500,$C13,'DADOS BRUTOS'!GI$3:GI$500)))</f>
        <v/>
      </c>
      <c r="JJ13" s="132">
        <f>IF(OR(JJ$4="",$B13=""),0,SUMIF('DADOS BRUTOS'!$A$3:$A$500,$B13,'DADOS BRUTOS'!GJ$3:GJ$500)+IF($C13="",0,SUMIF('DADOS BRUTOS'!$A$3:$A$500,$C13,'DADOS BRUTOS'!GJ$3:GJ$500)))</f>
        <v/>
      </c>
      <c r="JK13" s="132">
        <f>IF(OR(JK$4="",$B13=""),0,SUMIF('DADOS BRUTOS'!$A$3:$A$500,$B13,'DADOS BRUTOS'!GK$3:GK$500)+IF($C13="",0,SUMIF('DADOS BRUTOS'!$A$3:$A$500,$C13,'DADOS BRUTOS'!GK$3:GK$500)))</f>
        <v/>
      </c>
      <c r="JL13" s="132">
        <f>IF(OR(JL$4="",$B13=""),0,SUMIF('DADOS BRUTOS'!$A$3:$A$500,$B13,'DADOS BRUTOS'!GL$3:GL$500)+IF($C13="",0,SUMIF('DADOS BRUTOS'!$A$3:$A$500,$C13,'DADOS BRUTOS'!GL$3:GL$500)))</f>
        <v/>
      </c>
      <c r="JM13" s="132">
        <f>IF(OR(JM$4="",$B13=""),0,SUMIF('DADOS BRUTOS'!$A$3:$A$500,$B13,'DADOS BRUTOS'!GM$3:GM$500)+IF($C13="",0,SUMIF('DADOS BRUTOS'!$A$3:$A$500,$C13,'DADOS BRUTOS'!GM$3:GM$500)))</f>
        <v/>
      </c>
      <c r="JN13" s="132">
        <f>IF(OR(JN$4="",$B13=""),0,SUMIF('DADOS BRUTOS'!$A$3:$A$500,$B13,'DADOS BRUTOS'!GN$3:GN$500)+IF($C13="",0,SUMIF('DADOS BRUTOS'!$A$3:$A$500,$C13,'DADOS BRUTOS'!GN$3:GN$500)))</f>
        <v/>
      </c>
      <c r="JO13" s="132">
        <f>IF(OR(JO$4="",$B13=""),0,SUMIF('DADOS BRUTOS'!$A$3:$A$500,$B13,'DADOS BRUTOS'!GO$3:GO$500)+IF($C13="",0,SUMIF('DADOS BRUTOS'!$A$3:$A$500,$C13,'DADOS BRUTOS'!GO$3:GO$500)))</f>
        <v/>
      </c>
      <c r="JP13" s="132">
        <f>IF(OR(JP$4="",$B13=""),0,SUMIF('DADOS BRUTOS'!$A$3:$A$500,$B13,'DADOS BRUTOS'!GP$3:GP$500)+IF($C13="",0,SUMIF('DADOS BRUTOS'!$A$3:$A$500,$C13,'DADOS BRUTOS'!GP$3:GP$500)))</f>
        <v/>
      </c>
      <c r="JQ13" s="132">
        <f>IF(OR(JQ$4="",$B13=""),0,SUMIF('DADOS BRUTOS'!$A$3:$A$500,$B13,'DADOS BRUTOS'!GQ$3:GQ$500)+IF($C13="",0,SUMIF('DADOS BRUTOS'!$A$3:$A$500,$C13,'DADOS BRUTOS'!GQ$3:GQ$500)))</f>
        <v/>
      </c>
      <c r="JR13" s="132">
        <f>IF(OR(JR$4="",$B13=""),0,SUMIF('DADOS BRUTOS'!$A$3:$A$500,$B13,'DADOS BRUTOS'!GR$3:GR$500)+IF($C13="",0,SUMIF('DADOS BRUTOS'!$A$3:$A$500,$C13,'DADOS BRUTOS'!GR$3:GR$500)))</f>
        <v/>
      </c>
      <c r="JS13" s="132">
        <f>IF(OR(JS$4="",$B13=""),0,SUMIF('DADOS BRUTOS'!$A$3:$A$500,$B13,'DADOS BRUTOS'!GS$3:GS$500)+IF($C13="",0,SUMIF('DADOS BRUTOS'!$A$3:$A$500,$C13,'DADOS BRUTOS'!GS$3:GS$500)))</f>
        <v/>
      </c>
    </row>
    <row r="14">
      <c r="A14" s="61">
        <f>'VALOR POR PL'!D20</f>
        <v/>
      </c>
      <c r="B14" s="59" t="inlineStr">
        <is>
          <t>MÃO DE OBRA PRÓPRIA</t>
        </is>
      </c>
      <c r="C14" s="59" t="n"/>
      <c r="D14" s="54">
        <f>SUMIF($CB$4:$JS$4,"&lt;="&amp;D$4,$CB14:$JS14)</f>
        <v/>
      </c>
      <c r="E14" s="54">
        <f>SUMIF($CB$4:$JS$4,E$4,$CB14:$JS14)</f>
        <v/>
      </c>
      <c r="F14" s="54">
        <f>SUMIF($CB$4:$JS$4,F$4,$CB14:$JS14)</f>
        <v/>
      </c>
      <c r="G14" s="54">
        <f>SUMIF($CB$4:$JS$4,G$4,$CB14:$JS14)</f>
        <v/>
      </c>
      <c r="H14" s="54">
        <f>SUMIF($CB$4:$JS$4,H$4,$CB14:$JS14)</f>
        <v/>
      </c>
      <c r="I14" s="54">
        <f>SUMIF($CB$4:$JS$4,I$4,$CB14:$JS14)</f>
        <v/>
      </c>
      <c r="J14" s="54">
        <f>SUMIF($CB$4:$JS$4,J$4,$CB14:$JS14)</f>
        <v/>
      </c>
      <c r="K14" s="54">
        <f>SUMIF($CB$4:$JS$4,K$4,$CB14:$JS14)</f>
        <v/>
      </c>
      <c r="L14" s="54">
        <f>SUMIF($CB$4:$JS$4,L$4,$CB14:$JS14)</f>
        <v/>
      </c>
      <c r="M14" s="54">
        <f>SUMIF($CB$4:$JS$4,M$4,$CB14:$JS14)</f>
        <v/>
      </c>
      <c r="N14" s="54">
        <f>SUMIF($CB$4:$JS$4,N$4,$CB14:$JS14)</f>
        <v/>
      </c>
      <c r="O14" s="54">
        <f>SUMIF($CB$4:$JS$4,O$4,$CB14:$JS14)</f>
        <v/>
      </c>
      <c r="P14" s="54">
        <f>SUMIF($CB$4:$JS$4,P$4,$CB14:$JS14)</f>
        <v/>
      </c>
      <c r="Q14" s="54">
        <f>SUMIF($CB$4:$JS$4,Q$4,$CB14:$JS14)</f>
        <v/>
      </c>
      <c r="R14" s="54">
        <f>SUMIF($CB$4:$JS$4,R$4,$CB14:$JS14)</f>
        <v/>
      </c>
      <c r="S14" s="54">
        <f>SUMIF($CB$4:$JS$4,S$4,$CB14:$JS14)</f>
        <v/>
      </c>
      <c r="T14" s="54">
        <f>SUMIF($CB$4:$JS$4,T$4,$CB14:$JS14)</f>
        <v/>
      </c>
      <c r="U14" s="54">
        <f>SUMIF($CB$4:$JS$4,U$4,$CB14:$JS14)</f>
        <v/>
      </c>
      <c r="V14" s="54">
        <f>SUMIF($CB$4:$JS$4,V$4,$CB14:$JS14)</f>
        <v/>
      </c>
      <c r="W14" s="54">
        <f>SUMIF($CB$4:$JS$4,W$4,$CB14:$JS14)</f>
        <v/>
      </c>
      <c r="X14" s="54">
        <f>SUMIF($CB$4:$JS$4,X$4,$CB14:$JS14)</f>
        <v/>
      </c>
      <c r="Y14" s="54">
        <f>SUMIF($CB$4:$JS$4,Y$4,$CB14:$JS14)</f>
        <v/>
      </c>
      <c r="Z14" s="54">
        <f>SUMIF($CB$4:$JS$4,Z$4,$CB14:$JS14)</f>
        <v/>
      </c>
      <c r="AA14" s="54">
        <f>SUMIF($CB$4:$JS$4,AA$4,$CB14:$JS14)</f>
        <v/>
      </c>
      <c r="AB14" s="54">
        <f>SUMIF($CB$4:$JS$4,AB$4,$CB14:$JS14)</f>
        <v/>
      </c>
      <c r="AC14" s="54">
        <f>SUMIF($CB$4:$JS$4,AC$4,$CB14:$JS14)</f>
        <v/>
      </c>
      <c r="AD14" s="54">
        <f>SUMIF($CB$4:$JS$4,AD$4,$CB14:$JS14)</f>
        <v/>
      </c>
      <c r="AE14" s="54">
        <f>SUMIF($CB$4:$JS$4,AE$4,$CB14:$JS14)</f>
        <v/>
      </c>
      <c r="AF14" s="54">
        <f>SUMIF($CB$4:$JS$4,AF$4,$CB14:$JS14)</f>
        <v/>
      </c>
      <c r="AG14" s="54">
        <f>SUMIF($CB$4:$JS$4,AG$4,$CB14:$JS14)</f>
        <v/>
      </c>
      <c r="AH14" s="54">
        <f>SUMIF($CB$4:$JS$4,AH$4,$CB14:$JS14)</f>
        <v/>
      </c>
      <c r="AI14" s="54">
        <f>SUMIF($CB$4:$JS$4,AI$4,$CB14:$JS14)</f>
        <v/>
      </c>
      <c r="AJ14" s="54">
        <f>SUMIF($CB$4:$JS$4,AJ$4,$CB14:$JS14)</f>
        <v/>
      </c>
      <c r="AK14" s="54">
        <f>SUMIF($CB$4:$JS$4,AK$4,$CB14:$JS14)</f>
        <v/>
      </c>
      <c r="AL14" s="54">
        <f>SUMIF($CB$4:$JS$4,AL$4,$CB14:$JS14)</f>
        <v/>
      </c>
      <c r="AM14" s="54">
        <f>SUMIF($CB$4:$JS$4,AM$4,$CB14:$JS14)</f>
        <v/>
      </c>
      <c r="AN14" s="54">
        <f>SUMIF($CB$4:$JS$4,AN$4,$CB14:$JS14)</f>
        <v/>
      </c>
      <c r="AO14" s="54">
        <f>SUMIF($CB$4:$JS$4,AO$4,$CB14:$JS14)</f>
        <v/>
      </c>
      <c r="AP14" s="54">
        <f>SUMIF($CB$4:$JS$4,AP$4,$CB14:$JS14)</f>
        <v/>
      </c>
      <c r="AQ14" s="54">
        <f>SUMIF($CB$4:$JS$4,AQ$4,$CB14:$JS14)</f>
        <v/>
      </c>
      <c r="AR14" s="54">
        <f>SUMIF($CB$4:$JS$4,AR$4,$CB14:$JS14)</f>
        <v/>
      </c>
      <c r="AS14" s="54">
        <f>SUMIF($CB$4:$JS$4,AS$4,$CB14:$JS14)</f>
        <v/>
      </c>
      <c r="AT14" s="54">
        <f>SUMIF($CB$4:$JS$4,AT$4,$CB14:$JS14)</f>
        <v/>
      </c>
      <c r="AU14" s="54">
        <f>SUMIF($CB$4:$JS$4,AU$4,$CB14:$JS14)</f>
        <v/>
      </c>
      <c r="AV14" s="54">
        <f>SUMIF($CB$4:$JS$4,AV$4,$CB14:$JS14)</f>
        <v/>
      </c>
      <c r="AW14" s="54">
        <f>SUMIF($CB$4:$JS$4,AW$4,$CB14:$JS14)</f>
        <v/>
      </c>
      <c r="AX14" s="54">
        <f>SUMIF($CB$4:$JS$4,AX$4,$CB14:$JS14)</f>
        <v/>
      </c>
      <c r="AY14" s="54">
        <f>SUMIF($CB$4:$JS$4,AY$4,$CB14:$JS14)</f>
        <v/>
      </c>
      <c r="AZ14" s="54">
        <f>SUMIF($CB$4:$JS$4,AZ$4,$CB14:$JS14)</f>
        <v/>
      </c>
      <c r="BA14" s="54">
        <f>SUMIF($CB$4:$JS$4,BA$4,$CB14:$JS14)</f>
        <v/>
      </c>
      <c r="BB14" s="54">
        <f>SUMIF($CB$4:$JS$4,BB$4,$CB14:$JS14)</f>
        <v/>
      </c>
      <c r="BC14" s="54">
        <f>SUMIF($CB$4:$JS$4,BC$4,$CB14:$JS14)</f>
        <v/>
      </c>
      <c r="BD14" s="54">
        <f>SUMIF($CB$4:$JS$4,BD$4,$CB14:$JS14)</f>
        <v/>
      </c>
      <c r="BE14" s="54">
        <f>SUMIF($CB$4:$JS$4,BE$4,$CB14:$JS14)</f>
        <v/>
      </c>
      <c r="BF14" s="54">
        <f>SUMIF($CB$4:$JS$4,BF$4,$CB14:$JS14)</f>
        <v/>
      </c>
      <c r="BG14" s="54">
        <f>SUMIF($CB$4:$JS$4,BG$4,$CB14:$JS14)</f>
        <v/>
      </c>
      <c r="BH14" s="54">
        <f>SUMIF($CB$4:$JS$4,BH$4,$CB14:$JS14)</f>
        <v/>
      </c>
      <c r="BI14" s="54">
        <f>SUMIF($CB$4:$JS$4,BI$4,$CB14:$JS14)</f>
        <v/>
      </c>
      <c r="BJ14" s="54">
        <f>SUMIF($CB$4:$JS$4,BJ$4,$CB14:$JS14)</f>
        <v/>
      </c>
      <c r="BK14" s="54">
        <f>SUMIF($CB$4:$JS$4,BK$4,$CB14:$JS14)</f>
        <v/>
      </c>
      <c r="BL14" s="54">
        <f>SUMIF($CB$4:$JS$4,BL$4,$CB14:$JS14)</f>
        <v/>
      </c>
      <c r="BM14" s="54">
        <f>SUMIF($CB$4:$JS$4,BM$4,$CB14:$JS14)</f>
        <v/>
      </c>
      <c r="BN14" s="54">
        <f>SUMIF($CB$4:$JS$4,BN$4,$CB14:$JS14)</f>
        <v/>
      </c>
      <c r="BO14" s="54">
        <f>SUMIF($CB$4:$JS$4,BO$4,$CB14:$JS14)</f>
        <v/>
      </c>
      <c r="BP14" s="54">
        <f>SUMIF($CB$4:$JS$4,BP$4,$CB14:$JS14)</f>
        <v/>
      </c>
      <c r="BQ14" s="54">
        <f>SUMIF($CB$4:$JS$4,BQ$4,$CB14:$JS14)</f>
        <v/>
      </c>
      <c r="BR14" s="54">
        <f>SUMIF($CB$4:$JS$4,BR$4,$CB14:$JS14)</f>
        <v/>
      </c>
      <c r="BS14" s="54">
        <f>SUMIF($CB$4:$JS$4,BS$4,$CB14:$JS14)</f>
        <v/>
      </c>
      <c r="BT14" s="54">
        <f>SUMIF($CB$4:$JS$4,BT$4,$CB14:$JS14)</f>
        <v/>
      </c>
      <c r="BU14" s="54">
        <f>SUMIF($CB$4:$JS$4,BU$4,$CB14:$JS14)</f>
        <v/>
      </c>
      <c r="BV14" s="54">
        <f>SUMIF($CB$4:$JS$4,BV$4,$CB14:$JS14)</f>
        <v/>
      </c>
      <c r="BW14" s="54">
        <f>SUMIF($CB$4:$JS$4,BW$4,$CB14:$JS14)</f>
        <v/>
      </c>
      <c r="BX14" s="54">
        <f>SUMIF($CB$4:$JS$4,"&gt;"&amp;'VALOR POR PL'!$P$8,$CB14:$JS14)</f>
        <v/>
      </c>
      <c r="BY14" s="54">
        <f>SUM($CB14:$JS14)</f>
        <v/>
      </c>
      <c r="BZ14" s="49">
        <f>SUMPRODUCT(($CB$4:$JS$4&lt;&gt;"")*($CB$4:$JS$4&lt;=$D$4),$CB14:$JS14,$CB$1:$JS$1)</f>
        <v/>
      </c>
      <c r="CB14" s="132">
        <f>IF(OR(CB$4="",$B14=""),0,SUMIF('DADOS BRUTOS'!$A$3:$A$500,$B14,'DADOS BRUTOS'!B$3:B$500)+IF($C14="",0,SUMIF('DADOS BRUTOS'!$A$3:$A$500,$C14,'DADOS BRUTOS'!B$3:B$500)))</f>
        <v/>
      </c>
      <c r="CC14" s="132">
        <f>IF(OR(CC$4="",$B14=""),0,SUMIF('DADOS BRUTOS'!$A$3:$A$500,$B14,'DADOS BRUTOS'!C$3:C$500)+IF($C14="",0,SUMIF('DADOS BRUTOS'!$A$3:$A$500,$C14,'DADOS BRUTOS'!C$3:C$500)))</f>
        <v/>
      </c>
      <c r="CD14" s="132">
        <f>IF(OR(CD$4="",$B14=""),0,SUMIF('DADOS BRUTOS'!$A$3:$A$500,$B14,'DADOS BRUTOS'!D$3:D$500)+IF($C14="",0,SUMIF('DADOS BRUTOS'!$A$3:$A$500,$C14,'DADOS BRUTOS'!D$3:D$500)))</f>
        <v/>
      </c>
      <c r="CE14" s="132">
        <f>IF(OR(CE$4="",$B14=""),0,SUMIF('DADOS BRUTOS'!$A$3:$A$500,$B14,'DADOS BRUTOS'!E$3:E$500)+IF($C14="",0,SUMIF('DADOS BRUTOS'!$A$3:$A$500,$C14,'DADOS BRUTOS'!E$3:E$500)))</f>
        <v/>
      </c>
      <c r="CF14" s="132">
        <f>IF(OR(CF$4="",$B14=""),0,SUMIF('DADOS BRUTOS'!$A$3:$A$500,$B14,'DADOS BRUTOS'!F$3:F$500)+IF($C14="",0,SUMIF('DADOS BRUTOS'!$A$3:$A$500,$C14,'DADOS BRUTOS'!F$3:F$500)))</f>
        <v/>
      </c>
      <c r="CG14" s="132">
        <f>IF(OR(CG$4="",$B14=""),0,SUMIF('DADOS BRUTOS'!$A$3:$A$500,$B14,'DADOS BRUTOS'!G$3:G$500)+IF($C14="",0,SUMIF('DADOS BRUTOS'!$A$3:$A$500,$C14,'DADOS BRUTOS'!G$3:G$500)))</f>
        <v/>
      </c>
      <c r="CH14" s="132">
        <f>IF(OR(CH$4="",$B14=""),0,SUMIF('DADOS BRUTOS'!$A$3:$A$500,$B14,'DADOS BRUTOS'!H$3:H$500)+IF($C14="",0,SUMIF('DADOS BRUTOS'!$A$3:$A$500,$C14,'DADOS BRUTOS'!H$3:H$500)))</f>
        <v/>
      </c>
      <c r="CI14" s="132">
        <f>IF(OR(CI$4="",$B14=""),0,SUMIF('DADOS BRUTOS'!$A$3:$A$500,$B14,'DADOS BRUTOS'!I$3:I$500)+IF($C14="",0,SUMIF('DADOS BRUTOS'!$A$3:$A$500,$C14,'DADOS BRUTOS'!I$3:I$500)))</f>
        <v/>
      </c>
      <c r="CJ14" s="132">
        <f>IF(OR(CJ$4="",$B14=""),0,SUMIF('DADOS BRUTOS'!$A$3:$A$500,$B14,'DADOS BRUTOS'!J$3:J$500)+IF($C14="",0,SUMIF('DADOS BRUTOS'!$A$3:$A$500,$C14,'DADOS BRUTOS'!J$3:J$500)))</f>
        <v/>
      </c>
      <c r="CK14" s="132">
        <f>IF(OR(CK$4="",$B14=""),0,SUMIF('DADOS BRUTOS'!$A$3:$A$500,$B14,'DADOS BRUTOS'!K$3:K$500)+IF($C14="",0,SUMIF('DADOS BRUTOS'!$A$3:$A$500,$C14,'DADOS BRUTOS'!K$3:K$500)))</f>
        <v/>
      </c>
      <c r="CL14" s="132">
        <f>IF(OR(CL$4="",$B14=""),0,SUMIF('DADOS BRUTOS'!$A$3:$A$500,$B14,'DADOS BRUTOS'!L$3:L$500)+IF($C14="",0,SUMIF('DADOS BRUTOS'!$A$3:$A$500,$C14,'DADOS BRUTOS'!L$3:L$500)))</f>
        <v/>
      </c>
      <c r="CM14" s="132">
        <f>IF(OR(CM$4="",$B14=""),0,SUMIF('DADOS BRUTOS'!$A$3:$A$500,$B14,'DADOS BRUTOS'!M$3:M$500)+IF($C14="",0,SUMIF('DADOS BRUTOS'!$A$3:$A$500,$C14,'DADOS BRUTOS'!M$3:M$500)))</f>
        <v/>
      </c>
      <c r="CN14" s="132">
        <f>IF(OR(CN$4="",$B14=""),0,SUMIF('DADOS BRUTOS'!$A$3:$A$500,$B14,'DADOS BRUTOS'!N$3:N$500)+IF($C14="",0,SUMIF('DADOS BRUTOS'!$A$3:$A$500,$C14,'DADOS BRUTOS'!N$3:N$500)))</f>
        <v/>
      </c>
      <c r="CO14" s="132">
        <f>IF(OR(CO$4="",$B14=""),0,SUMIF('DADOS BRUTOS'!$A$3:$A$500,$B14,'DADOS BRUTOS'!O$3:O$500)+IF($C14="",0,SUMIF('DADOS BRUTOS'!$A$3:$A$500,$C14,'DADOS BRUTOS'!O$3:O$500)))</f>
        <v/>
      </c>
      <c r="CP14" s="132">
        <f>IF(OR(CP$4="",$B14=""),0,SUMIF('DADOS BRUTOS'!$A$3:$A$500,$B14,'DADOS BRUTOS'!P$3:P$500)+IF($C14="",0,SUMIF('DADOS BRUTOS'!$A$3:$A$500,$C14,'DADOS BRUTOS'!P$3:P$500)))</f>
        <v/>
      </c>
      <c r="CQ14" s="132">
        <f>IF(OR(CQ$4="",$B14=""),0,SUMIF('DADOS BRUTOS'!$A$3:$A$500,$B14,'DADOS BRUTOS'!Q$3:Q$500)+IF($C14="",0,SUMIF('DADOS BRUTOS'!$A$3:$A$500,$C14,'DADOS BRUTOS'!Q$3:Q$500)))</f>
        <v/>
      </c>
      <c r="CR14" s="132">
        <f>IF(OR(CR$4="",$B14=""),0,SUMIF('DADOS BRUTOS'!$A$3:$A$500,$B14,'DADOS BRUTOS'!R$3:R$500)+IF($C14="",0,SUMIF('DADOS BRUTOS'!$A$3:$A$500,$C14,'DADOS BRUTOS'!R$3:R$500)))</f>
        <v/>
      </c>
      <c r="CS14" s="132">
        <f>IF(OR(CS$4="",$B14=""),0,SUMIF('DADOS BRUTOS'!$A$3:$A$500,$B14,'DADOS BRUTOS'!S$3:S$500)+IF($C14="",0,SUMIF('DADOS BRUTOS'!$A$3:$A$500,$C14,'DADOS BRUTOS'!S$3:S$500)))</f>
        <v/>
      </c>
      <c r="CT14" s="132">
        <f>IF(OR(CT$4="",$B14=""),0,SUMIF('DADOS BRUTOS'!$A$3:$A$500,$B14,'DADOS BRUTOS'!T$3:T$500)+IF($C14="",0,SUMIF('DADOS BRUTOS'!$A$3:$A$500,$C14,'DADOS BRUTOS'!T$3:T$500)))</f>
        <v/>
      </c>
      <c r="CU14" s="132">
        <f>IF(OR(CU$4="",$B14=""),0,SUMIF('DADOS BRUTOS'!$A$3:$A$500,$B14,'DADOS BRUTOS'!U$3:U$500)+IF($C14="",0,SUMIF('DADOS BRUTOS'!$A$3:$A$500,$C14,'DADOS BRUTOS'!U$3:U$500)))</f>
        <v/>
      </c>
      <c r="CV14" s="132">
        <f>IF(OR(CV$4="",$B14=""),0,SUMIF('DADOS BRUTOS'!$A$3:$A$500,$B14,'DADOS BRUTOS'!V$3:V$500)+IF($C14="",0,SUMIF('DADOS BRUTOS'!$A$3:$A$500,$C14,'DADOS BRUTOS'!V$3:V$500)))</f>
        <v/>
      </c>
      <c r="CW14" s="132">
        <f>IF(OR(CW$4="",$B14=""),0,SUMIF('DADOS BRUTOS'!$A$3:$A$500,$B14,'DADOS BRUTOS'!W$3:W$500)+IF($C14="",0,SUMIF('DADOS BRUTOS'!$A$3:$A$500,$C14,'DADOS BRUTOS'!W$3:W$500)))</f>
        <v/>
      </c>
      <c r="CX14" s="132">
        <f>IF(OR(CX$4="",$B14=""),0,SUMIF('DADOS BRUTOS'!$A$3:$A$500,$B14,'DADOS BRUTOS'!X$3:X$500)+IF($C14="",0,SUMIF('DADOS BRUTOS'!$A$3:$A$500,$C14,'DADOS BRUTOS'!X$3:X$500)))</f>
        <v/>
      </c>
      <c r="CY14" s="132">
        <f>IF(OR(CY$4="",$B14=""),0,SUMIF('DADOS BRUTOS'!$A$3:$A$500,$B14,'DADOS BRUTOS'!Y$3:Y$500)+IF($C14="",0,SUMIF('DADOS BRUTOS'!$A$3:$A$500,$C14,'DADOS BRUTOS'!Y$3:Y$500)))</f>
        <v/>
      </c>
      <c r="CZ14" s="132">
        <f>IF(OR(CZ$4="",$B14=""),0,SUMIF('DADOS BRUTOS'!$A$3:$A$500,$B14,'DADOS BRUTOS'!Z$3:Z$500)+IF($C14="",0,SUMIF('DADOS BRUTOS'!$A$3:$A$500,$C14,'DADOS BRUTOS'!Z$3:Z$500)))</f>
        <v/>
      </c>
      <c r="DA14" s="132">
        <f>IF(OR(DA$4="",$B14=""),0,SUMIF('DADOS BRUTOS'!$A$3:$A$500,$B14,'DADOS BRUTOS'!AA$3:AA$500)+IF($C14="",0,SUMIF('DADOS BRUTOS'!$A$3:$A$500,$C14,'DADOS BRUTOS'!AA$3:AA$500)))</f>
        <v/>
      </c>
      <c r="DB14" s="132">
        <f>IF(OR(DB$4="",$B14=""),0,SUMIF('DADOS BRUTOS'!$A$3:$A$500,$B14,'DADOS BRUTOS'!AB$3:AB$500)+IF($C14="",0,SUMIF('DADOS BRUTOS'!$A$3:$A$500,$C14,'DADOS BRUTOS'!AB$3:AB$500)))</f>
        <v/>
      </c>
      <c r="DC14" s="132">
        <f>IF(OR(DC$4="",$B14=""),0,SUMIF('DADOS BRUTOS'!$A$3:$A$500,$B14,'DADOS BRUTOS'!AC$3:AC$500)+IF($C14="",0,SUMIF('DADOS BRUTOS'!$A$3:$A$500,$C14,'DADOS BRUTOS'!AC$3:AC$500)))</f>
        <v/>
      </c>
      <c r="DD14" s="132">
        <f>IF(OR(DD$4="",$B14=""),0,SUMIF('DADOS BRUTOS'!$A$3:$A$500,$B14,'DADOS BRUTOS'!AD$3:AD$500)+IF($C14="",0,SUMIF('DADOS BRUTOS'!$A$3:$A$500,$C14,'DADOS BRUTOS'!AD$3:AD$500)))</f>
        <v/>
      </c>
      <c r="DE14" s="132">
        <f>IF(OR(DE$4="",$B14=""),0,SUMIF('DADOS BRUTOS'!$A$3:$A$500,$B14,'DADOS BRUTOS'!AE$3:AE$500)+IF($C14="",0,SUMIF('DADOS BRUTOS'!$A$3:$A$500,$C14,'DADOS BRUTOS'!AE$3:AE$500)))</f>
        <v/>
      </c>
      <c r="DF14" s="132">
        <f>IF(OR(DF$4="",$B14=""),0,SUMIF('DADOS BRUTOS'!$A$3:$A$500,$B14,'DADOS BRUTOS'!AF$3:AF$500)+IF($C14="",0,SUMIF('DADOS BRUTOS'!$A$3:$A$500,$C14,'DADOS BRUTOS'!AF$3:AF$500)))</f>
        <v/>
      </c>
      <c r="DG14" s="132">
        <f>IF(OR(DG$4="",$B14=""),0,SUMIF('DADOS BRUTOS'!$A$3:$A$500,$B14,'DADOS BRUTOS'!AG$3:AG$500)+IF($C14="",0,SUMIF('DADOS BRUTOS'!$A$3:$A$500,$C14,'DADOS BRUTOS'!AG$3:AG$500)))</f>
        <v/>
      </c>
      <c r="DH14" s="132">
        <f>IF(OR(DH$4="",$B14=""),0,SUMIF('DADOS BRUTOS'!$A$3:$A$500,$B14,'DADOS BRUTOS'!AH$3:AH$500)+IF($C14="",0,SUMIF('DADOS BRUTOS'!$A$3:$A$500,$C14,'DADOS BRUTOS'!AH$3:AH$500)))</f>
        <v/>
      </c>
      <c r="DI14" s="132">
        <f>IF(OR(DI$4="",$B14=""),0,SUMIF('DADOS BRUTOS'!$A$3:$A$500,$B14,'DADOS BRUTOS'!AI$3:AI$500)+IF($C14="",0,SUMIF('DADOS BRUTOS'!$A$3:$A$500,$C14,'DADOS BRUTOS'!AI$3:AI$500)))</f>
        <v/>
      </c>
      <c r="DJ14" s="132">
        <f>IF(OR(DJ$4="",$B14=""),0,SUMIF('DADOS BRUTOS'!$A$3:$A$500,$B14,'DADOS BRUTOS'!AJ$3:AJ$500)+IF($C14="",0,SUMIF('DADOS BRUTOS'!$A$3:$A$500,$C14,'DADOS BRUTOS'!AJ$3:AJ$500)))</f>
        <v/>
      </c>
      <c r="DK14" s="132">
        <f>IF(OR(DK$4="",$B14=""),0,SUMIF('DADOS BRUTOS'!$A$3:$A$500,$B14,'DADOS BRUTOS'!AK$3:AK$500)+IF($C14="",0,SUMIF('DADOS BRUTOS'!$A$3:$A$500,$C14,'DADOS BRUTOS'!AK$3:AK$500)))</f>
        <v/>
      </c>
      <c r="DL14" s="132">
        <f>IF(OR(DL$4="",$B14=""),0,SUMIF('DADOS BRUTOS'!$A$3:$A$500,$B14,'DADOS BRUTOS'!AL$3:AL$500)+IF($C14="",0,SUMIF('DADOS BRUTOS'!$A$3:$A$500,$C14,'DADOS BRUTOS'!AL$3:AL$500)))</f>
        <v/>
      </c>
      <c r="DM14" s="132">
        <f>IF(OR(DM$4="",$B14=""),0,SUMIF('DADOS BRUTOS'!$A$3:$A$500,$B14,'DADOS BRUTOS'!AM$3:AM$500)+IF($C14="",0,SUMIF('DADOS BRUTOS'!$A$3:$A$500,$C14,'DADOS BRUTOS'!AM$3:AM$500)))</f>
        <v/>
      </c>
      <c r="DN14" s="132">
        <f>IF(OR(DN$4="",$B14=""),0,SUMIF('DADOS BRUTOS'!$A$3:$A$500,$B14,'DADOS BRUTOS'!AN$3:AN$500)+IF($C14="",0,SUMIF('DADOS BRUTOS'!$A$3:$A$500,$C14,'DADOS BRUTOS'!AN$3:AN$500)))</f>
        <v/>
      </c>
      <c r="DO14" s="132">
        <f>IF(OR(DO$4="",$B14=""),0,SUMIF('DADOS BRUTOS'!$A$3:$A$500,$B14,'DADOS BRUTOS'!AO$3:AO$500)+IF($C14="",0,SUMIF('DADOS BRUTOS'!$A$3:$A$500,$C14,'DADOS BRUTOS'!AO$3:AO$500)))</f>
        <v/>
      </c>
      <c r="DP14" s="132">
        <f>IF(OR(DP$4="",$B14=""),0,SUMIF('DADOS BRUTOS'!$A$3:$A$500,$B14,'DADOS BRUTOS'!AP$3:AP$500)+IF($C14="",0,SUMIF('DADOS BRUTOS'!$A$3:$A$500,$C14,'DADOS BRUTOS'!AP$3:AP$500)))</f>
        <v/>
      </c>
      <c r="DQ14" s="132">
        <f>IF(OR(DQ$4="",$B14=""),0,SUMIF('DADOS BRUTOS'!$A$3:$A$500,$B14,'DADOS BRUTOS'!AQ$3:AQ$500)+IF($C14="",0,SUMIF('DADOS BRUTOS'!$A$3:$A$500,$C14,'DADOS BRUTOS'!AQ$3:AQ$500)))</f>
        <v/>
      </c>
      <c r="DR14" s="132">
        <f>IF(OR(DR$4="",$B14=""),0,SUMIF('DADOS BRUTOS'!$A$3:$A$500,$B14,'DADOS BRUTOS'!AR$3:AR$500)+IF($C14="",0,SUMIF('DADOS BRUTOS'!$A$3:$A$500,$C14,'DADOS BRUTOS'!AR$3:AR$500)))</f>
        <v/>
      </c>
      <c r="DS14" s="132">
        <f>IF(OR(DS$4="",$B14=""),0,SUMIF('DADOS BRUTOS'!$A$3:$A$500,$B14,'DADOS BRUTOS'!AS$3:AS$500)+IF($C14="",0,SUMIF('DADOS BRUTOS'!$A$3:$A$500,$C14,'DADOS BRUTOS'!AS$3:AS$500)))</f>
        <v/>
      </c>
      <c r="DT14" s="132">
        <f>IF(OR(DT$4="",$B14=""),0,SUMIF('DADOS BRUTOS'!$A$3:$A$500,$B14,'DADOS BRUTOS'!AT$3:AT$500)+IF($C14="",0,SUMIF('DADOS BRUTOS'!$A$3:$A$500,$C14,'DADOS BRUTOS'!AT$3:AT$500)))</f>
        <v/>
      </c>
      <c r="DU14" s="132">
        <f>IF(OR(DU$4="",$B14=""),0,SUMIF('DADOS BRUTOS'!$A$3:$A$500,$B14,'DADOS BRUTOS'!AU$3:AU$500)+IF($C14="",0,SUMIF('DADOS BRUTOS'!$A$3:$A$500,$C14,'DADOS BRUTOS'!AU$3:AU$500)))</f>
        <v/>
      </c>
      <c r="DV14" s="132">
        <f>IF(OR(DV$4="",$B14=""),0,SUMIF('DADOS BRUTOS'!$A$3:$A$500,$B14,'DADOS BRUTOS'!AV$3:AV$500)+IF($C14="",0,SUMIF('DADOS BRUTOS'!$A$3:$A$500,$C14,'DADOS BRUTOS'!AV$3:AV$500)))</f>
        <v/>
      </c>
      <c r="DW14" s="132">
        <f>IF(OR(DW$4="",$B14=""),0,SUMIF('DADOS BRUTOS'!$A$3:$A$500,$B14,'DADOS BRUTOS'!AW$3:AW$500)+IF($C14="",0,SUMIF('DADOS BRUTOS'!$A$3:$A$500,$C14,'DADOS BRUTOS'!AW$3:AW$500)))</f>
        <v/>
      </c>
      <c r="DX14" s="132">
        <f>IF(OR(DX$4="",$B14=""),0,SUMIF('DADOS BRUTOS'!$A$3:$A$500,$B14,'DADOS BRUTOS'!AX$3:AX$500)+IF($C14="",0,SUMIF('DADOS BRUTOS'!$A$3:$A$500,$C14,'DADOS BRUTOS'!AX$3:AX$500)))</f>
        <v/>
      </c>
      <c r="DY14" s="132">
        <f>IF(OR(DY$4="",$B14=""),0,SUMIF('DADOS BRUTOS'!$A$3:$A$500,$B14,'DADOS BRUTOS'!AY$3:AY$500)+IF($C14="",0,SUMIF('DADOS BRUTOS'!$A$3:$A$500,$C14,'DADOS BRUTOS'!AY$3:AY$500)))</f>
        <v/>
      </c>
      <c r="DZ14" s="132">
        <f>IF(OR(DZ$4="",$B14=""),0,SUMIF('DADOS BRUTOS'!$A$3:$A$500,$B14,'DADOS BRUTOS'!AZ$3:AZ$500)+IF($C14="",0,SUMIF('DADOS BRUTOS'!$A$3:$A$500,$C14,'DADOS BRUTOS'!AZ$3:AZ$500)))</f>
        <v/>
      </c>
      <c r="EA14" s="132">
        <f>IF(OR(EA$4="",$B14=""),0,SUMIF('DADOS BRUTOS'!$A$3:$A$500,$B14,'DADOS BRUTOS'!BA$3:BA$500)+IF($C14="",0,SUMIF('DADOS BRUTOS'!$A$3:$A$500,$C14,'DADOS BRUTOS'!BA$3:BA$500)))</f>
        <v/>
      </c>
      <c r="EB14" s="132">
        <f>IF(OR(EB$4="",$B14=""),0,SUMIF('DADOS BRUTOS'!$A$3:$A$500,$B14,'DADOS BRUTOS'!BB$3:BB$500)+IF($C14="",0,SUMIF('DADOS BRUTOS'!$A$3:$A$500,$C14,'DADOS BRUTOS'!BB$3:BB$500)))</f>
        <v/>
      </c>
      <c r="EC14" s="132">
        <f>IF(OR(EC$4="",$B14=""),0,SUMIF('DADOS BRUTOS'!$A$3:$A$500,$B14,'DADOS BRUTOS'!BC$3:BC$500)+IF($C14="",0,SUMIF('DADOS BRUTOS'!$A$3:$A$500,$C14,'DADOS BRUTOS'!BC$3:BC$500)))</f>
        <v/>
      </c>
      <c r="ED14" s="132">
        <f>IF(OR(ED$4="",$B14=""),0,SUMIF('DADOS BRUTOS'!$A$3:$A$500,$B14,'DADOS BRUTOS'!BD$3:BD$500)+IF($C14="",0,SUMIF('DADOS BRUTOS'!$A$3:$A$500,$C14,'DADOS BRUTOS'!BD$3:BD$500)))</f>
        <v/>
      </c>
      <c r="EE14" s="132">
        <f>IF(OR(EE$4="",$B14=""),0,SUMIF('DADOS BRUTOS'!$A$3:$A$500,$B14,'DADOS BRUTOS'!BE$3:BE$500)+IF($C14="",0,SUMIF('DADOS BRUTOS'!$A$3:$A$500,$C14,'DADOS BRUTOS'!BE$3:BE$500)))</f>
        <v/>
      </c>
      <c r="EF14" s="132">
        <f>IF(OR(EF$4="",$B14=""),0,SUMIF('DADOS BRUTOS'!$A$3:$A$500,$B14,'DADOS BRUTOS'!BF$3:BF$500)+IF($C14="",0,SUMIF('DADOS BRUTOS'!$A$3:$A$500,$C14,'DADOS BRUTOS'!BF$3:BF$500)))</f>
        <v/>
      </c>
      <c r="EG14" s="132">
        <f>IF(OR(EG$4="",$B14=""),0,SUMIF('DADOS BRUTOS'!$A$3:$A$500,$B14,'DADOS BRUTOS'!BG$3:BG$500)+IF($C14="",0,SUMIF('DADOS BRUTOS'!$A$3:$A$500,$C14,'DADOS BRUTOS'!BG$3:BG$500)))</f>
        <v/>
      </c>
      <c r="EH14" s="132">
        <f>IF(OR(EH$4="",$B14=""),0,SUMIF('DADOS BRUTOS'!$A$3:$A$500,$B14,'DADOS BRUTOS'!BH$3:BH$500)+IF($C14="",0,SUMIF('DADOS BRUTOS'!$A$3:$A$500,$C14,'DADOS BRUTOS'!BH$3:BH$500)))</f>
        <v/>
      </c>
      <c r="EI14" s="132">
        <f>IF(OR(EI$4="",$B14=""),0,SUMIF('DADOS BRUTOS'!$A$3:$A$500,$B14,'DADOS BRUTOS'!BI$3:BI$500)+IF($C14="",0,SUMIF('DADOS BRUTOS'!$A$3:$A$500,$C14,'DADOS BRUTOS'!BI$3:BI$500)))</f>
        <v/>
      </c>
      <c r="EJ14" s="132">
        <f>IF(OR(EJ$4="",$B14=""),0,SUMIF('DADOS BRUTOS'!$A$3:$A$500,$B14,'DADOS BRUTOS'!BJ$3:BJ$500)+IF($C14="",0,SUMIF('DADOS BRUTOS'!$A$3:$A$500,$C14,'DADOS BRUTOS'!BJ$3:BJ$500)))</f>
        <v/>
      </c>
      <c r="EK14" s="132">
        <f>IF(OR(EK$4="",$B14=""),0,SUMIF('DADOS BRUTOS'!$A$3:$A$500,$B14,'DADOS BRUTOS'!BK$3:BK$500)+IF($C14="",0,SUMIF('DADOS BRUTOS'!$A$3:$A$500,$C14,'DADOS BRUTOS'!BK$3:BK$500)))</f>
        <v/>
      </c>
      <c r="EL14" s="132">
        <f>IF(OR(EL$4="",$B14=""),0,SUMIF('DADOS BRUTOS'!$A$3:$A$500,$B14,'DADOS BRUTOS'!BL$3:BL$500)+IF($C14="",0,SUMIF('DADOS BRUTOS'!$A$3:$A$500,$C14,'DADOS BRUTOS'!BL$3:BL$500)))</f>
        <v/>
      </c>
      <c r="EM14" s="132">
        <f>IF(OR(EM$4="",$B14=""),0,SUMIF('DADOS BRUTOS'!$A$3:$A$500,$B14,'DADOS BRUTOS'!BM$3:BM$500)+IF($C14="",0,SUMIF('DADOS BRUTOS'!$A$3:$A$500,$C14,'DADOS BRUTOS'!BM$3:BM$500)))</f>
        <v/>
      </c>
      <c r="EN14" s="132">
        <f>IF(OR(EN$4="",$B14=""),0,SUMIF('DADOS BRUTOS'!$A$3:$A$500,$B14,'DADOS BRUTOS'!BN$3:BN$500)+IF($C14="",0,SUMIF('DADOS BRUTOS'!$A$3:$A$500,$C14,'DADOS BRUTOS'!BN$3:BN$500)))</f>
        <v/>
      </c>
      <c r="EO14" s="132">
        <f>IF(OR(EO$4="",$B14=""),0,SUMIF('DADOS BRUTOS'!$A$3:$A$500,$B14,'DADOS BRUTOS'!BO$3:BO$500)+IF($C14="",0,SUMIF('DADOS BRUTOS'!$A$3:$A$500,$C14,'DADOS BRUTOS'!BO$3:BO$500)))</f>
        <v/>
      </c>
      <c r="EP14" s="132">
        <f>IF(OR(EP$4="",$B14=""),0,SUMIF('DADOS BRUTOS'!$A$3:$A$500,$B14,'DADOS BRUTOS'!BP$3:BP$500)+IF($C14="",0,SUMIF('DADOS BRUTOS'!$A$3:$A$500,$C14,'DADOS BRUTOS'!BP$3:BP$500)))</f>
        <v/>
      </c>
      <c r="EQ14" s="132">
        <f>IF(OR(EQ$4="",$B14=""),0,SUMIF('DADOS BRUTOS'!$A$3:$A$500,$B14,'DADOS BRUTOS'!BQ$3:BQ$500)+IF($C14="",0,SUMIF('DADOS BRUTOS'!$A$3:$A$500,$C14,'DADOS BRUTOS'!BQ$3:BQ$500)))</f>
        <v/>
      </c>
      <c r="ER14" s="132">
        <f>IF(OR(ER$4="",$B14=""),0,SUMIF('DADOS BRUTOS'!$A$3:$A$500,$B14,'DADOS BRUTOS'!BR$3:BR$500)+IF($C14="",0,SUMIF('DADOS BRUTOS'!$A$3:$A$500,$C14,'DADOS BRUTOS'!BR$3:BR$500)))</f>
        <v/>
      </c>
      <c r="ES14" s="132">
        <f>IF(OR(ES$4="",$B14=""),0,SUMIF('DADOS BRUTOS'!$A$3:$A$500,$B14,'DADOS BRUTOS'!BS$3:BS$500)+IF($C14="",0,SUMIF('DADOS BRUTOS'!$A$3:$A$500,$C14,'DADOS BRUTOS'!BS$3:BS$500)))</f>
        <v/>
      </c>
      <c r="ET14" s="132">
        <f>IF(OR(ET$4="",$B14=""),0,SUMIF('DADOS BRUTOS'!$A$3:$A$500,$B14,'DADOS BRUTOS'!BT$3:BT$500)+IF($C14="",0,SUMIF('DADOS BRUTOS'!$A$3:$A$500,$C14,'DADOS BRUTOS'!BT$3:BT$500)))</f>
        <v/>
      </c>
      <c r="EU14" s="132">
        <f>IF(OR(EU$4="",$B14=""),0,SUMIF('DADOS BRUTOS'!$A$3:$A$500,$B14,'DADOS BRUTOS'!BU$3:BU$500)+IF($C14="",0,SUMIF('DADOS BRUTOS'!$A$3:$A$500,$C14,'DADOS BRUTOS'!BU$3:BU$500)))</f>
        <v/>
      </c>
      <c r="EV14" s="132">
        <f>IF(OR(EV$4="",$B14=""),0,SUMIF('DADOS BRUTOS'!$A$3:$A$500,$B14,'DADOS BRUTOS'!BV$3:BV$500)+IF($C14="",0,SUMIF('DADOS BRUTOS'!$A$3:$A$500,$C14,'DADOS BRUTOS'!BV$3:BV$500)))</f>
        <v/>
      </c>
      <c r="EW14" s="132">
        <f>IF(OR(EW$4="",$B14=""),0,SUMIF('DADOS BRUTOS'!$A$3:$A$500,$B14,'DADOS BRUTOS'!BW$3:BW$500)+IF($C14="",0,SUMIF('DADOS BRUTOS'!$A$3:$A$500,$C14,'DADOS BRUTOS'!BW$3:BW$500)))</f>
        <v/>
      </c>
      <c r="EX14" s="132">
        <f>IF(OR(EX$4="",$B14=""),0,SUMIF('DADOS BRUTOS'!$A$3:$A$500,$B14,'DADOS BRUTOS'!BX$3:BX$500)+IF($C14="",0,SUMIF('DADOS BRUTOS'!$A$3:$A$500,$C14,'DADOS BRUTOS'!BX$3:BX$500)))</f>
        <v/>
      </c>
      <c r="EY14" s="132">
        <f>IF(OR(EY$4="",$B14=""),0,SUMIF('DADOS BRUTOS'!$A$3:$A$500,$B14,'DADOS BRUTOS'!BY$3:BY$500)+IF($C14="",0,SUMIF('DADOS BRUTOS'!$A$3:$A$500,$C14,'DADOS BRUTOS'!BY$3:BY$500)))</f>
        <v/>
      </c>
      <c r="EZ14" s="132">
        <f>IF(OR(EZ$4="",$B14=""),0,SUMIF('DADOS BRUTOS'!$A$3:$A$500,$B14,'DADOS BRUTOS'!BZ$3:BZ$500)+IF($C14="",0,SUMIF('DADOS BRUTOS'!$A$3:$A$500,$C14,'DADOS BRUTOS'!BZ$3:BZ$500)))</f>
        <v/>
      </c>
      <c r="FA14" s="132">
        <f>IF(OR(FA$4="",$B14=""),0,SUMIF('DADOS BRUTOS'!$A$3:$A$500,$B14,'DADOS BRUTOS'!CA$3:CA$500)+IF($C14="",0,SUMIF('DADOS BRUTOS'!$A$3:$A$500,$C14,'DADOS BRUTOS'!CA$3:CA$500)))</f>
        <v/>
      </c>
      <c r="FB14" s="132">
        <f>IF(OR(FB$4="",$B14=""),0,SUMIF('DADOS BRUTOS'!$A$3:$A$500,$B14,'DADOS BRUTOS'!CB$3:CB$500)+IF($C14="",0,SUMIF('DADOS BRUTOS'!$A$3:$A$500,$C14,'DADOS BRUTOS'!CB$3:CB$500)))</f>
        <v/>
      </c>
      <c r="FC14" s="132">
        <f>IF(OR(FC$4="",$B14=""),0,SUMIF('DADOS BRUTOS'!$A$3:$A$500,$B14,'DADOS BRUTOS'!CC$3:CC$500)+IF($C14="",0,SUMIF('DADOS BRUTOS'!$A$3:$A$500,$C14,'DADOS BRUTOS'!CC$3:CC$500)))</f>
        <v/>
      </c>
      <c r="FD14" s="132">
        <f>IF(OR(FD$4="",$B14=""),0,SUMIF('DADOS BRUTOS'!$A$3:$A$500,$B14,'DADOS BRUTOS'!CD$3:CD$500)+IF($C14="",0,SUMIF('DADOS BRUTOS'!$A$3:$A$500,$C14,'DADOS BRUTOS'!CD$3:CD$500)))</f>
        <v/>
      </c>
      <c r="FE14" s="132">
        <f>IF(OR(FE$4="",$B14=""),0,SUMIF('DADOS BRUTOS'!$A$3:$A$500,$B14,'DADOS BRUTOS'!CE$3:CE$500)+IF($C14="",0,SUMIF('DADOS BRUTOS'!$A$3:$A$500,$C14,'DADOS BRUTOS'!CE$3:CE$500)))</f>
        <v/>
      </c>
      <c r="FF14" s="132">
        <f>IF(OR(FF$4="",$B14=""),0,SUMIF('DADOS BRUTOS'!$A$3:$A$500,$B14,'DADOS BRUTOS'!CF$3:CF$500)+IF($C14="",0,SUMIF('DADOS BRUTOS'!$A$3:$A$500,$C14,'DADOS BRUTOS'!CF$3:CF$500)))</f>
        <v/>
      </c>
      <c r="FG14" s="132">
        <f>IF(OR(FG$4="",$B14=""),0,SUMIF('DADOS BRUTOS'!$A$3:$A$500,$B14,'DADOS BRUTOS'!CG$3:CG$500)+IF($C14="",0,SUMIF('DADOS BRUTOS'!$A$3:$A$500,$C14,'DADOS BRUTOS'!CG$3:CG$500)))</f>
        <v/>
      </c>
      <c r="FH14" s="132">
        <f>IF(OR(FH$4="",$B14=""),0,SUMIF('DADOS BRUTOS'!$A$3:$A$500,$B14,'DADOS BRUTOS'!CH$3:CH$500)+IF($C14="",0,SUMIF('DADOS BRUTOS'!$A$3:$A$500,$C14,'DADOS BRUTOS'!CH$3:CH$500)))</f>
        <v/>
      </c>
      <c r="FI14" s="132">
        <f>IF(OR(FI$4="",$B14=""),0,SUMIF('DADOS BRUTOS'!$A$3:$A$500,$B14,'DADOS BRUTOS'!CI$3:CI$500)+IF($C14="",0,SUMIF('DADOS BRUTOS'!$A$3:$A$500,$C14,'DADOS BRUTOS'!CI$3:CI$500)))</f>
        <v/>
      </c>
      <c r="FJ14" s="132">
        <f>IF(OR(FJ$4="",$B14=""),0,SUMIF('DADOS BRUTOS'!$A$3:$A$500,$B14,'DADOS BRUTOS'!CJ$3:CJ$500)+IF($C14="",0,SUMIF('DADOS BRUTOS'!$A$3:$A$500,$C14,'DADOS BRUTOS'!CJ$3:CJ$500)))</f>
        <v/>
      </c>
      <c r="FK14" s="132">
        <f>IF(OR(FK$4="",$B14=""),0,SUMIF('DADOS BRUTOS'!$A$3:$A$500,$B14,'DADOS BRUTOS'!CK$3:CK$500)+IF($C14="",0,SUMIF('DADOS BRUTOS'!$A$3:$A$500,$C14,'DADOS BRUTOS'!CK$3:CK$500)))</f>
        <v/>
      </c>
      <c r="FL14" s="132">
        <f>IF(OR(FL$4="",$B14=""),0,SUMIF('DADOS BRUTOS'!$A$3:$A$500,$B14,'DADOS BRUTOS'!CL$3:CL$500)+IF($C14="",0,SUMIF('DADOS BRUTOS'!$A$3:$A$500,$C14,'DADOS BRUTOS'!CL$3:CL$500)))</f>
        <v/>
      </c>
      <c r="FM14" s="132">
        <f>IF(OR(FM$4="",$B14=""),0,SUMIF('DADOS BRUTOS'!$A$3:$A$500,$B14,'DADOS BRUTOS'!CM$3:CM$500)+IF($C14="",0,SUMIF('DADOS BRUTOS'!$A$3:$A$500,$C14,'DADOS BRUTOS'!CM$3:CM$500)))</f>
        <v/>
      </c>
      <c r="FN14" s="132">
        <f>IF(OR(FN$4="",$B14=""),0,SUMIF('DADOS BRUTOS'!$A$3:$A$500,$B14,'DADOS BRUTOS'!CN$3:CN$500)+IF($C14="",0,SUMIF('DADOS BRUTOS'!$A$3:$A$500,$C14,'DADOS BRUTOS'!CN$3:CN$500)))</f>
        <v/>
      </c>
      <c r="FO14" s="132">
        <f>IF(OR(FO$4="",$B14=""),0,SUMIF('DADOS BRUTOS'!$A$3:$A$500,$B14,'DADOS BRUTOS'!CO$3:CO$500)+IF($C14="",0,SUMIF('DADOS BRUTOS'!$A$3:$A$500,$C14,'DADOS BRUTOS'!CO$3:CO$500)))</f>
        <v/>
      </c>
      <c r="FP14" s="132">
        <f>IF(OR(FP$4="",$B14=""),0,SUMIF('DADOS BRUTOS'!$A$3:$A$500,$B14,'DADOS BRUTOS'!CP$3:CP$500)+IF($C14="",0,SUMIF('DADOS BRUTOS'!$A$3:$A$500,$C14,'DADOS BRUTOS'!CP$3:CP$500)))</f>
        <v/>
      </c>
      <c r="FQ14" s="132">
        <f>IF(OR(FQ$4="",$B14=""),0,SUMIF('DADOS BRUTOS'!$A$3:$A$500,$B14,'DADOS BRUTOS'!CQ$3:CQ$500)+IF($C14="",0,SUMIF('DADOS BRUTOS'!$A$3:$A$500,$C14,'DADOS BRUTOS'!CQ$3:CQ$500)))</f>
        <v/>
      </c>
      <c r="FR14" s="132">
        <f>IF(OR(FR$4="",$B14=""),0,SUMIF('DADOS BRUTOS'!$A$3:$A$500,$B14,'DADOS BRUTOS'!CR$3:CR$500)+IF($C14="",0,SUMIF('DADOS BRUTOS'!$A$3:$A$500,$C14,'DADOS BRUTOS'!CR$3:CR$500)))</f>
        <v/>
      </c>
      <c r="FS14" s="132">
        <f>IF(OR(FS$4="",$B14=""),0,SUMIF('DADOS BRUTOS'!$A$3:$A$500,$B14,'DADOS BRUTOS'!CS$3:CS$500)+IF($C14="",0,SUMIF('DADOS BRUTOS'!$A$3:$A$500,$C14,'DADOS BRUTOS'!CS$3:CS$500)))</f>
        <v/>
      </c>
      <c r="FT14" s="132">
        <f>IF(OR(FT$4="",$B14=""),0,SUMIF('DADOS BRUTOS'!$A$3:$A$500,$B14,'DADOS BRUTOS'!CT$3:CT$500)+IF($C14="",0,SUMIF('DADOS BRUTOS'!$A$3:$A$500,$C14,'DADOS BRUTOS'!CT$3:CT$500)))</f>
        <v/>
      </c>
      <c r="FU14" s="132">
        <f>IF(OR(FU$4="",$B14=""),0,SUMIF('DADOS BRUTOS'!$A$3:$A$500,$B14,'DADOS BRUTOS'!CU$3:CU$500)+IF($C14="",0,SUMIF('DADOS BRUTOS'!$A$3:$A$500,$C14,'DADOS BRUTOS'!CU$3:CU$500)))</f>
        <v/>
      </c>
      <c r="FV14" s="132">
        <f>IF(OR(FV$4="",$B14=""),0,SUMIF('DADOS BRUTOS'!$A$3:$A$500,$B14,'DADOS BRUTOS'!CV$3:CV$500)+IF($C14="",0,SUMIF('DADOS BRUTOS'!$A$3:$A$500,$C14,'DADOS BRUTOS'!CV$3:CV$500)))</f>
        <v/>
      </c>
      <c r="FW14" s="132">
        <f>IF(OR(FW$4="",$B14=""),0,SUMIF('DADOS BRUTOS'!$A$3:$A$500,$B14,'DADOS BRUTOS'!CW$3:CW$500)+IF($C14="",0,SUMIF('DADOS BRUTOS'!$A$3:$A$500,$C14,'DADOS BRUTOS'!CW$3:CW$500)))</f>
        <v/>
      </c>
      <c r="FX14" s="132">
        <f>IF(OR(FX$4="",$B14=""),0,SUMIF('DADOS BRUTOS'!$A$3:$A$500,$B14,'DADOS BRUTOS'!CX$3:CX$500)+IF($C14="",0,SUMIF('DADOS BRUTOS'!$A$3:$A$500,$C14,'DADOS BRUTOS'!CX$3:CX$500)))</f>
        <v/>
      </c>
      <c r="FY14" s="132">
        <f>IF(OR(FY$4="",$B14=""),0,SUMIF('DADOS BRUTOS'!$A$3:$A$500,$B14,'DADOS BRUTOS'!CY$3:CY$500)+IF($C14="",0,SUMIF('DADOS BRUTOS'!$A$3:$A$500,$C14,'DADOS BRUTOS'!CY$3:CY$500)))</f>
        <v/>
      </c>
      <c r="FZ14" s="132">
        <f>IF(OR(FZ$4="",$B14=""),0,SUMIF('DADOS BRUTOS'!$A$3:$A$500,$B14,'DADOS BRUTOS'!CZ$3:CZ$500)+IF($C14="",0,SUMIF('DADOS BRUTOS'!$A$3:$A$500,$C14,'DADOS BRUTOS'!CZ$3:CZ$500)))</f>
        <v/>
      </c>
      <c r="GA14" s="132">
        <f>IF(OR(GA$4="",$B14=""),0,SUMIF('DADOS BRUTOS'!$A$3:$A$500,$B14,'DADOS BRUTOS'!DA$3:DA$500)+IF($C14="",0,SUMIF('DADOS BRUTOS'!$A$3:$A$500,$C14,'DADOS BRUTOS'!DA$3:DA$500)))</f>
        <v/>
      </c>
      <c r="GB14" s="132">
        <f>IF(OR(GB$4="",$B14=""),0,SUMIF('DADOS BRUTOS'!$A$3:$A$500,$B14,'DADOS BRUTOS'!DB$3:DB$500)+IF($C14="",0,SUMIF('DADOS BRUTOS'!$A$3:$A$500,$C14,'DADOS BRUTOS'!DB$3:DB$500)))</f>
        <v/>
      </c>
      <c r="GC14" s="132">
        <f>IF(OR(GC$4="",$B14=""),0,SUMIF('DADOS BRUTOS'!$A$3:$A$500,$B14,'DADOS BRUTOS'!DC$3:DC$500)+IF($C14="",0,SUMIF('DADOS BRUTOS'!$A$3:$A$500,$C14,'DADOS BRUTOS'!DC$3:DC$500)))</f>
        <v/>
      </c>
      <c r="GD14" s="132">
        <f>IF(OR(GD$4="",$B14=""),0,SUMIF('DADOS BRUTOS'!$A$3:$A$500,$B14,'DADOS BRUTOS'!DD$3:DD$500)+IF($C14="",0,SUMIF('DADOS BRUTOS'!$A$3:$A$500,$C14,'DADOS BRUTOS'!DD$3:DD$500)))</f>
        <v/>
      </c>
      <c r="GE14" s="132">
        <f>IF(OR(GE$4="",$B14=""),0,SUMIF('DADOS BRUTOS'!$A$3:$A$500,$B14,'DADOS BRUTOS'!DE$3:DE$500)+IF($C14="",0,SUMIF('DADOS BRUTOS'!$A$3:$A$500,$C14,'DADOS BRUTOS'!DE$3:DE$500)))</f>
        <v/>
      </c>
      <c r="GF14" s="132">
        <f>IF(OR(GF$4="",$B14=""),0,SUMIF('DADOS BRUTOS'!$A$3:$A$500,$B14,'DADOS BRUTOS'!DF$3:DF$500)+IF($C14="",0,SUMIF('DADOS BRUTOS'!$A$3:$A$500,$C14,'DADOS BRUTOS'!DF$3:DF$500)))</f>
        <v/>
      </c>
      <c r="GG14" s="132">
        <f>IF(OR(GG$4="",$B14=""),0,SUMIF('DADOS BRUTOS'!$A$3:$A$500,$B14,'DADOS BRUTOS'!DG$3:DG$500)+IF($C14="",0,SUMIF('DADOS BRUTOS'!$A$3:$A$500,$C14,'DADOS BRUTOS'!DG$3:DG$500)))</f>
        <v/>
      </c>
      <c r="GH14" s="132">
        <f>IF(OR(GH$4="",$B14=""),0,SUMIF('DADOS BRUTOS'!$A$3:$A$500,$B14,'DADOS BRUTOS'!DH$3:DH$500)+IF($C14="",0,SUMIF('DADOS BRUTOS'!$A$3:$A$500,$C14,'DADOS BRUTOS'!DH$3:DH$500)))</f>
        <v/>
      </c>
      <c r="GI14" s="132">
        <f>IF(OR(GI$4="",$B14=""),0,SUMIF('DADOS BRUTOS'!$A$3:$A$500,$B14,'DADOS BRUTOS'!DI$3:DI$500)+IF($C14="",0,SUMIF('DADOS BRUTOS'!$A$3:$A$500,$C14,'DADOS BRUTOS'!DI$3:DI$500)))</f>
        <v/>
      </c>
      <c r="GJ14" s="132">
        <f>IF(OR(GJ$4="",$B14=""),0,SUMIF('DADOS BRUTOS'!$A$3:$A$500,$B14,'DADOS BRUTOS'!DJ$3:DJ$500)+IF($C14="",0,SUMIF('DADOS BRUTOS'!$A$3:$A$500,$C14,'DADOS BRUTOS'!DJ$3:DJ$500)))</f>
        <v/>
      </c>
      <c r="GK14" s="132">
        <f>IF(OR(GK$4="",$B14=""),0,SUMIF('DADOS BRUTOS'!$A$3:$A$500,$B14,'DADOS BRUTOS'!DK$3:DK$500)+IF($C14="",0,SUMIF('DADOS BRUTOS'!$A$3:$A$500,$C14,'DADOS BRUTOS'!DK$3:DK$500)))</f>
        <v/>
      </c>
      <c r="GL14" s="132">
        <f>IF(OR(GL$4="",$B14=""),0,SUMIF('DADOS BRUTOS'!$A$3:$A$500,$B14,'DADOS BRUTOS'!DL$3:DL$500)+IF($C14="",0,SUMIF('DADOS BRUTOS'!$A$3:$A$500,$C14,'DADOS BRUTOS'!DL$3:DL$500)))</f>
        <v/>
      </c>
      <c r="GM14" s="132">
        <f>IF(OR(GM$4="",$B14=""),0,SUMIF('DADOS BRUTOS'!$A$3:$A$500,$B14,'DADOS BRUTOS'!DM$3:DM$500)+IF($C14="",0,SUMIF('DADOS BRUTOS'!$A$3:$A$500,$C14,'DADOS BRUTOS'!DM$3:DM$500)))</f>
        <v/>
      </c>
      <c r="GN14" s="132">
        <f>IF(OR(GN$4="",$B14=""),0,SUMIF('DADOS BRUTOS'!$A$3:$A$500,$B14,'DADOS BRUTOS'!DN$3:DN$500)+IF($C14="",0,SUMIF('DADOS BRUTOS'!$A$3:$A$500,$C14,'DADOS BRUTOS'!DN$3:DN$500)))</f>
        <v/>
      </c>
      <c r="GO14" s="132">
        <f>IF(OR(GO$4="",$B14=""),0,SUMIF('DADOS BRUTOS'!$A$3:$A$500,$B14,'DADOS BRUTOS'!DO$3:DO$500)+IF($C14="",0,SUMIF('DADOS BRUTOS'!$A$3:$A$500,$C14,'DADOS BRUTOS'!DO$3:DO$500)))</f>
        <v/>
      </c>
      <c r="GP14" s="132">
        <f>IF(OR(GP$4="",$B14=""),0,SUMIF('DADOS BRUTOS'!$A$3:$A$500,$B14,'DADOS BRUTOS'!DP$3:DP$500)+IF($C14="",0,SUMIF('DADOS BRUTOS'!$A$3:$A$500,$C14,'DADOS BRUTOS'!DP$3:DP$500)))</f>
        <v/>
      </c>
      <c r="GQ14" s="132">
        <f>IF(OR(GQ$4="",$B14=""),0,SUMIF('DADOS BRUTOS'!$A$3:$A$500,$B14,'DADOS BRUTOS'!DQ$3:DQ$500)+IF($C14="",0,SUMIF('DADOS BRUTOS'!$A$3:$A$500,$C14,'DADOS BRUTOS'!DQ$3:DQ$500)))</f>
        <v/>
      </c>
      <c r="GR14" s="132">
        <f>IF(OR(GR$4="",$B14=""),0,SUMIF('DADOS BRUTOS'!$A$3:$A$500,$B14,'DADOS BRUTOS'!DR$3:DR$500)+IF($C14="",0,SUMIF('DADOS BRUTOS'!$A$3:$A$500,$C14,'DADOS BRUTOS'!DR$3:DR$500)))</f>
        <v/>
      </c>
      <c r="GS14" s="132">
        <f>IF(OR(GS$4="",$B14=""),0,SUMIF('DADOS BRUTOS'!$A$3:$A$500,$B14,'DADOS BRUTOS'!DS$3:DS$500)+IF($C14="",0,SUMIF('DADOS BRUTOS'!$A$3:$A$500,$C14,'DADOS BRUTOS'!DS$3:DS$500)))</f>
        <v/>
      </c>
      <c r="GT14" s="132">
        <f>IF(OR(GT$4="",$B14=""),0,SUMIF('DADOS BRUTOS'!$A$3:$A$500,$B14,'DADOS BRUTOS'!DT$3:DT$500)+IF($C14="",0,SUMIF('DADOS BRUTOS'!$A$3:$A$500,$C14,'DADOS BRUTOS'!DT$3:DT$500)))</f>
        <v/>
      </c>
      <c r="GU14" s="132">
        <f>IF(OR(GU$4="",$B14=""),0,SUMIF('DADOS BRUTOS'!$A$3:$A$500,$B14,'DADOS BRUTOS'!DU$3:DU$500)+IF($C14="",0,SUMIF('DADOS BRUTOS'!$A$3:$A$500,$C14,'DADOS BRUTOS'!DU$3:DU$500)))</f>
        <v/>
      </c>
      <c r="GV14" s="132">
        <f>IF(OR(GV$4="",$B14=""),0,SUMIF('DADOS BRUTOS'!$A$3:$A$500,$B14,'DADOS BRUTOS'!DV$3:DV$500)+IF($C14="",0,SUMIF('DADOS BRUTOS'!$A$3:$A$500,$C14,'DADOS BRUTOS'!DV$3:DV$500)))</f>
        <v/>
      </c>
      <c r="GW14" s="132">
        <f>IF(OR(GW$4="",$B14=""),0,SUMIF('DADOS BRUTOS'!$A$3:$A$500,$B14,'DADOS BRUTOS'!DW$3:DW$500)+IF($C14="",0,SUMIF('DADOS BRUTOS'!$A$3:$A$500,$C14,'DADOS BRUTOS'!DW$3:DW$500)))</f>
        <v/>
      </c>
      <c r="GX14" s="132">
        <f>IF(OR(GX$4="",$B14=""),0,SUMIF('DADOS BRUTOS'!$A$3:$A$500,$B14,'DADOS BRUTOS'!DX$3:DX$500)+IF($C14="",0,SUMIF('DADOS BRUTOS'!$A$3:$A$500,$C14,'DADOS BRUTOS'!DX$3:DX$500)))</f>
        <v/>
      </c>
      <c r="GY14" s="132">
        <f>IF(OR(GY$4="",$B14=""),0,SUMIF('DADOS BRUTOS'!$A$3:$A$500,$B14,'DADOS BRUTOS'!DY$3:DY$500)+IF($C14="",0,SUMIF('DADOS BRUTOS'!$A$3:$A$500,$C14,'DADOS BRUTOS'!DY$3:DY$500)))</f>
        <v/>
      </c>
      <c r="GZ14" s="132">
        <f>IF(OR(GZ$4="",$B14=""),0,SUMIF('DADOS BRUTOS'!$A$3:$A$500,$B14,'DADOS BRUTOS'!DZ$3:DZ$500)+IF($C14="",0,SUMIF('DADOS BRUTOS'!$A$3:$A$500,$C14,'DADOS BRUTOS'!DZ$3:DZ$500)))</f>
        <v/>
      </c>
      <c r="HA14" s="132">
        <f>IF(OR(HA$4="",$B14=""),0,SUMIF('DADOS BRUTOS'!$A$3:$A$500,$B14,'DADOS BRUTOS'!EA$3:EA$500)+IF($C14="",0,SUMIF('DADOS BRUTOS'!$A$3:$A$500,$C14,'DADOS BRUTOS'!EA$3:EA$500)))</f>
        <v/>
      </c>
      <c r="HB14" s="132">
        <f>IF(OR(HB$4="",$B14=""),0,SUMIF('DADOS BRUTOS'!$A$3:$A$500,$B14,'DADOS BRUTOS'!EB$3:EB$500)+IF($C14="",0,SUMIF('DADOS BRUTOS'!$A$3:$A$500,$C14,'DADOS BRUTOS'!EB$3:EB$500)))</f>
        <v/>
      </c>
      <c r="HC14" s="132">
        <f>IF(OR(HC$4="",$B14=""),0,SUMIF('DADOS BRUTOS'!$A$3:$A$500,$B14,'DADOS BRUTOS'!EC$3:EC$500)+IF($C14="",0,SUMIF('DADOS BRUTOS'!$A$3:$A$500,$C14,'DADOS BRUTOS'!EC$3:EC$500)))</f>
        <v/>
      </c>
      <c r="HD14" s="132">
        <f>IF(OR(HD$4="",$B14=""),0,SUMIF('DADOS BRUTOS'!$A$3:$A$500,$B14,'DADOS BRUTOS'!ED$3:ED$500)+IF($C14="",0,SUMIF('DADOS BRUTOS'!$A$3:$A$500,$C14,'DADOS BRUTOS'!ED$3:ED$500)))</f>
        <v/>
      </c>
      <c r="HE14" s="132">
        <f>IF(OR(HE$4="",$B14=""),0,SUMIF('DADOS BRUTOS'!$A$3:$A$500,$B14,'DADOS BRUTOS'!EE$3:EE$500)+IF($C14="",0,SUMIF('DADOS BRUTOS'!$A$3:$A$500,$C14,'DADOS BRUTOS'!EE$3:EE$500)))</f>
        <v/>
      </c>
      <c r="HF14" s="132">
        <f>IF(OR(HF$4="",$B14=""),0,SUMIF('DADOS BRUTOS'!$A$3:$A$500,$B14,'DADOS BRUTOS'!EF$3:EF$500)+IF($C14="",0,SUMIF('DADOS BRUTOS'!$A$3:$A$500,$C14,'DADOS BRUTOS'!EF$3:EF$500)))</f>
        <v/>
      </c>
      <c r="HG14" s="132">
        <f>IF(OR(HG$4="",$B14=""),0,SUMIF('DADOS BRUTOS'!$A$3:$A$500,$B14,'DADOS BRUTOS'!EG$3:EG$500)+IF($C14="",0,SUMIF('DADOS BRUTOS'!$A$3:$A$500,$C14,'DADOS BRUTOS'!EG$3:EG$500)))</f>
        <v/>
      </c>
      <c r="HH14" s="132">
        <f>IF(OR(HH$4="",$B14=""),0,SUMIF('DADOS BRUTOS'!$A$3:$A$500,$B14,'DADOS BRUTOS'!EH$3:EH$500)+IF($C14="",0,SUMIF('DADOS BRUTOS'!$A$3:$A$500,$C14,'DADOS BRUTOS'!EH$3:EH$500)))</f>
        <v/>
      </c>
      <c r="HI14" s="132">
        <f>IF(OR(HI$4="",$B14=""),0,SUMIF('DADOS BRUTOS'!$A$3:$A$500,$B14,'DADOS BRUTOS'!EI$3:EI$500)+IF($C14="",0,SUMIF('DADOS BRUTOS'!$A$3:$A$500,$C14,'DADOS BRUTOS'!EI$3:EI$500)))</f>
        <v/>
      </c>
      <c r="HJ14" s="132">
        <f>IF(OR(HJ$4="",$B14=""),0,SUMIF('DADOS BRUTOS'!$A$3:$A$500,$B14,'DADOS BRUTOS'!EJ$3:EJ$500)+IF($C14="",0,SUMIF('DADOS BRUTOS'!$A$3:$A$500,$C14,'DADOS BRUTOS'!EJ$3:EJ$500)))</f>
        <v/>
      </c>
      <c r="HK14" s="132">
        <f>IF(OR(HK$4="",$B14=""),0,SUMIF('DADOS BRUTOS'!$A$3:$A$500,$B14,'DADOS BRUTOS'!EK$3:EK$500)+IF($C14="",0,SUMIF('DADOS BRUTOS'!$A$3:$A$500,$C14,'DADOS BRUTOS'!EK$3:EK$500)))</f>
        <v/>
      </c>
      <c r="HL14" s="132">
        <f>IF(OR(HL$4="",$B14=""),0,SUMIF('DADOS BRUTOS'!$A$3:$A$500,$B14,'DADOS BRUTOS'!EL$3:EL$500)+IF($C14="",0,SUMIF('DADOS BRUTOS'!$A$3:$A$500,$C14,'DADOS BRUTOS'!EL$3:EL$500)))</f>
        <v/>
      </c>
      <c r="HM14" s="132">
        <f>IF(OR(HM$4="",$B14=""),0,SUMIF('DADOS BRUTOS'!$A$3:$A$500,$B14,'DADOS BRUTOS'!EM$3:EM$500)+IF($C14="",0,SUMIF('DADOS BRUTOS'!$A$3:$A$500,$C14,'DADOS BRUTOS'!EM$3:EM$500)))</f>
        <v/>
      </c>
      <c r="HN14" s="132">
        <f>IF(OR(HN$4="",$B14=""),0,SUMIF('DADOS BRUTOS'!$A$3:$A$500,$B14,'DADOS BRUTOS'!EN$3:EN$500)+IF($C14="",0,SUMIF('DADOS BRUTOS'!$A$3:$A$500,$C14,'DADOS BRUTOS'!EN$3:EN$500)))</f>
        <v/>
      </c>
      <c r="HO14" s="132">
        <f>IF(OR(HO$4="",$B14=""),0,SUMIF('DADOS BRUTOS'!$A$3:$A$500,$B14,'DADOS BRUTOS'!EO$3:EO$500)+IF($C14="",0,SUMIF('DADOS BRUTOS'!$A$3:$A$500,$C14,'DADOS BRUTOS'!EO$3:EO$500)))</f>
        <v/>
      </c>
      <c r="HP14" s="132">
        <f>IF(OR(HP$4="",$B14=""),0,SUMIF('DADOS BRUTOS'!$A$3:$A$500,$B14,'DADOS BRUTOS'!EP$3:EP$500)+IF($C14="",0,SUMIF('DADOS BRUTOS'!$A$3:$A$500,$C14,'DADOS BRUTOS'!EP$3:EP$500)))</f>
        <v/>
      </c>
      <c r="HQ14" s="132">
        <f>IF(OR(HQ$4="",$B14=""),0,SUMIF('DADOS BRUTOS'!$A$3:$A$500,$B14,'DADOS BRUTOS'!EQ$3:EQ$500)+IF($C14="",0,SUMIF('DADOS BRUTOS'!$A$3:$A$500,$C14,'DADOS BRUTOS'!EQ$3:EQ$500)))</f>
        <v/>
      </c>
      <c r="HR14" s="132">
        <f>IF(OR(HR$4="",$B14=""),0,SUMIF('DADOS BRUTOS'!$A$3:$A$500,$B14,'DADOS BRUTOS'!ER$3:ER$500)+IF($C14="",0,SUMIF('DADOS BRUTOS'!$A$3:$A$500,$C14,'DADOS BRUTOS'!ER$3:ER$500)))</f>
        <v/>
      </c>
      <c r="HS14" s="132">
        <f>IF(OR(HS$4="",$B14=""),0,SUMIF('DADOS BRUTOS'!$A$3:$A$500,$B14,'DADOS BRUTOS'!ES$3:ES$500)+IF($C14="",0,SUMIF('DADOS BRUTOS'!$A$3:$A$500,$C14,'DADOS BRUTOS'!ES$3:ES$500)))</f>
        <v/>
      </c>
      <c r="HT14" s="132">
        <f>IF(OR(HT$4="",$B14=""),0,SUMIF('DADOS BRUTOS'!$A$3:$A$500,$B14,'DADOS BRUTOS'!ET$3:ET$500)+IF($C14="",0,SUMIF('DADOS BRUTOS'!$A$3:$A$500,$C14,'DADOS BRUTOS'!ET$3:ET$500)))</f>
        <v/>
      </c>
      <c r="HU14" s="132">
        <f>IF(OR(HU$4="",$B14=""),0,SUMIF('DADOS BRUTOS'!$A$3:$A$500,$B14,'DADOS BRUTOS'!EU$3:EU$500)+IF($C14="",0,SUMIF('DADOS BRUTOS'!$A$3:$A$500,$C14,'DADOS BRUTOS'!EU$3:EU$500)))</f>
        <v/>
      </c>
      <c r="HV14" s="132">
        <f>IF(OR(HV$4="",$B14=""),0,SUMIF('DADOS BRUTOS'!$A$3:$A$500,$B14,'DADOS BRUTOS'!EV$3:EV$500)+IF($C14="",0,SUMIF('DADOS BRUTOS'!$A$3:$A$500,$C14,'DADOS BRUTOS'!EV$3:EV$500)))</f>
        <v/>
      </c>
      <c r="HW14" s="132">
        <f>IF(OR(HW$4="",$B14=""),0,SUMIF('DADOS BRUTOS'!$A$3:$A$500,$B14,'DADOS BRUTOS'!EW$3:EW$500)+IF($C14="",0,SUMIF('DADOS BRUTOS'!$A$3:$A$500,$C14,'DADOS BRUTOS'!EW$3:EW$500)))</f>
        <v/>
      </c>
      <c r="HX14" s="132">
        <f>IF(OR(HX$4="",$B14=""),0,SUMIF('DADOS BRUTOS'!$A$3:$A$500,$B14,'DADOS BRUTOS'!EX$3:EX$500)+IF($C14="",0,SUMIF('DADOS BRUTOS'!$A$3:$A$500,$C14,'DADOS BRUTOS'!EX$3:EX$500)))</f>
        <v/>
      </c>
      <c r="HY14" s="132">
        <f>IF(OR(HY$4="",$B14=""),0,SUMIF('DADOS BRUTOS'!$A$3:$A$500,$B14,'DADOS BRUTOS'!EY$3:EY$500)+IF($C14="",0,SUMIF('DADOS BRUTOS'!$A$3:$A$500,$C14,'DADOS BRUTOS'!EY$3:EY$500)))</f>
        <v/>
      </c>
      <c r="HZ14" s="132">
        <f>IF(OR(HZ$4="",$B14=""),0,SUMIF('DADOS BRUTOS'!$A$3:$A$500,$B14,'DADOS BRUTOS'!EZ$3:EZ$500)+IF($C14="",0,SUMIF('DADOS BRUTOS'!$A$3:$A$500,$C14,'DADOS BRUTOS'!EZ$3:EZ$500)))</f>
        <v/>
      </c>
      <c r="IA14" s="132">
        <f>IF(OR(IA$4="",$B14=""),0,SUMIF('DADOS BRUTOS'!$A$3:$A$500,$B14,'DADOS BRUTOS'!FA$3:FA$500)+IF($C14="",0,SUMIF('DADOS BRUTOS'!$A$3:$A$500,$C14,'DADOS BRUTOS'!FA$3:FA$500)))</f>
        <v/>
      </c>
      <c r="IB14" s="132">
        <f>IF(OR(IB$4="",$B14=""),0,SUMIF('DADOS BRUTOS'!$A$3:$A$500,$B14,'DADOS BRUTOS'!FB$3:FB$500)+IF($C14="",0,SUMIF('DADOS BRUTOS'!$A$3:$A$500,$C14,'DADOS BRUTOS'!FB$3:FB$500)))</f>
        <v/>
      </c>
      <c r="IC14" s="132">
        <f>IF(OR(IC$4="",$B14=""),0,SUMIF('DADOS BRUTOS'!$A$3:$A$500,$B14,'DADOS BRUTOS'!FC$3:FC$500)+IF($C14="",0,SUMIF('DADOS BRUTOS'!$A$3:$A$500,$C14,'DADOS BRUTOS'!FC$3:FC$500)))</f>
        <v/>
      </c>
      <c r="ID14" s="132">
        <f>IF(OR(ID$4="",$B14=""),0,SUMIF('DADOS BRUTOS'!$A$3:$A$500,$B14,'DADOS BRUTOS'!FD$3:FD$500)+IF($C14="",0,SUMIF('DADOS BRUTOS'!$A$3:$A$500,$C14,'DADOS BRUTOS'!FD$3:FD$500)))</f>
        <v/>
      </c>
      <c r="IE14" s="132">
        <f>IF(OR(IE$4="",$B14=""),0,SUMIF('DADOS BRUTOS'!$A$3:$A$500,$B14,'DADOS BRUTOS'!FE$3:FE$500)+IF($C14="",0,SUMIF('DADOS BRUTOS'!$A$3:$A$500,$C14,'DADOS BRUTOS'!FE$3:FE$500)))</f>
        <v/>
      </c>
      <c r="IF14" s="132">
        <f>IF(OR(IF$4="",$B14=""),0,SUMIF('DADOS BRUTOS'!$A$3:$A$500,$B14,'DADOS BRUTOS'!FF$3:FF$500)+IF($C14="",0,SUMIF('DADOS BRUTOS'!$A$3:$A$500,$C14,'DADOS BRUTOS'!FF$3:FF$500)))</f>
        <v/>
      </c>
      <c r="IG14" s="132">
        <f>IF(OR(IG$4="",$B14=""),0,SUMIF('DADOS BRUTOS'!$A$3:$A$500,$B14,'DADOS BRUTOS'!FG$3:FG$500)+IF($C14="",0,SUMIF('DADOS BRUTOS'!$A$3:$A$500,$C14,'DADOS BRUTOS'!FG$3:FG$500)))</f>
        <v/>
      </c>
      <c r="IH14" s="132">
        <f>IF(OR(IH$4="",$B14=""),0,SUMIF('DADOS BRUTOS'!$A$3:$A$500,$B14,'DADOS BRUTOS'!FH$3:FH$500)+IF($C14="",0,SUMIF('DADOS BRUTOS'!$A$3:$A$500,$C14,'DADOS BRUTOS'!FH$3:FH$500)))</f>
        <v/>
      </c>
      <c r="II14" s="132">
        <f>IF(OR(II$4="",$B14=""),0,SUMIF('DADOS BRUTOS'!$A$3:$A$500,$B14,'DADOS BRUTOS'!FI$3:FI$500)+IF($C14="",0,SUMIF('DADOS BRUTOS'!$A$3:$A$500,$C14,'DADOS BRUTOS'!FI$3:FI$500)))</f>
        <v/>
      </c>
      <c r="IJ14" s="132">
        <f>IF(OR(IJ$4="",$B14=""),0,SUMIF('DADOS BRUTOS'!$A$3:$A$500,$B14,'DADOS BRUTOS'!FJ$3:FJ$500)+IF($C14="",0,SUMIF('DADOS BRUTOS'!$A$3:$A$500,$C14,'DADOS BRUTOS'!FJ$3:FJ$500)))</f>
        <v/>
      </c>
      <c r="IK14" s="132">
        <f>IF(OR(IK$4="",$B14=""),0,SUMIF('DADOS BRUTOS'!$A$3:$A$500,$B14,'DADOS BRUTOS'!FK$3:FK$500)+IF($C14="",0,SUMIF('DADOS BRUTOS'!$A$3:$A$500,$C14,'DADOS BRUTOS'!FK$3:FK$500)))</f>
        <v/>
      </c>
      <c r="IL14" s="132">
        <f>IF(OR(IL$4="",$B14=""),0,SUMIF('DADOS BRUTOS'!$A$3:$A$500,$B14,'DADOS BRUTOS'!FL$3:FL$500)+IF($C14="",0,SUMIF('DADOS BRUTOS'!$A$3:$A$500,$C14,'DADOS BRUTOS'!FL$3:FL$500)))</f>
        <v/>
      </c>
      <c r="IM14" s="132">
        <f>IF(OR(IM$4="",$B14=""),0,SUMIF('DADOS BRUTOS'!$A$3:$A$500,$B14,'DADOS BRUTOS'!FM$3:FM$500)+IF($C14="",0,SUMIF('DADOS BRUTOS'!$A$3:$A$500,$C14,'DADOS BRUTOS'!FM$3:FM$500)))</f>
        <v/>
      </c>
      <c r="IN14" s="132">
        <f>IF(OR(IN$4="",$B14=""),0,SUMIF('DADOS BRUTOS'!$A$3:$A$500,$B14,'DADOS BRUTOS'!FN$3:FN$500)+IF($C14="",0,SUMIF('DADOS BRUTOS'!$A$3:$A$500,$C14,'DADOS BRUTOS'!FN$3:FN$500)))</f>
        <v/>
      </c>
      <c r="IO14" s="132">
        <f>IF(OR(IO$4="",$B14=""),0,SUMIF('DADOS BRUTOS'!$A$3:$A$500,$B14,'DADOS BRUTOS'!FO$3:FO$500)+IF($C14="",0,SUMIF('DADOS BRUTOS'!$A$3:$A$500,$C14,'DADOS BRUTOS'!FO$3:FO$500)))</f>
        <v/>
      </c>
      <c r="IP14" s="132">
        <f>IF(OR(IP$4="",$B14=""),0,SUMIF('DADOS BRUTOS'!$A$3:$A$500,$B14,'DADOS BRUTOS'!FP$3:FP$500)+IF($C14="",0,SUMIF('DADOS BRUTOS'!$A$3:$A$500,$C14,'DADOS BRUTOS'!FP$3:FP$500)))</f>
        <v/>
      </c>
      <c r="IQ14" s="132">
        <f>IF(OR(IQ$4="",$B14=""),0,SUMIF('DADOS BRUTOS'!$A$3:$A$500,$B14,'DADOS BRUTOS'!FQ$3:FQ$500)+IF($C14="",0,SUMIF('DADOS BRUTOS'!$A$3:$A$500,$C14,'DADOS BRUTOS'!FQ$3:FQ$500)))</f>
        <v/>
      </c>
      <c r="IR14" s="132">
        <f>IF(OR(IR$4="",$B14=""),0,SUMIF('DADOS BRUTOS'!$A$3:$A$500,$B14,'DADOS BRUTOS'!FR$3:FR$500)+IF($C14="",0,SUMIF('DADOS BRUTOS'!$A$3:$A$500,$C14,'DADOS BRUTOS'!FR$3:FR$500)))</f>
        <v/>
      </c>
      <c r="IS14" s="132">
        <f>IF(OR(IS$4="",$B14=""),0,SUMIF('DADOS BRUTOS'!$A$3:$A$500,$B14,'DADOS BRUTOS'!FS$3:FS$500)+IF($C14="",0,SUMIF('DADOS BRUTOS'!$A$3:$A$500,$C14,'DADOS BRUTOS'!FS$3:FS$500)))</f>
        <v/>
      </c>
      <c r="IT14" s="132">
        <f>IF(OR(IT$4="",$B14=""),0,SUMIF('DADOS BRUTOS'!$A$3:$A$500,$B14,'DADOS BRUTOS'!FT$3:FT$500)+IF($C14="",0,SUMIF('DADOS BRUTOS'!$A$3:$A$500,$C14,'DADOS BRUTOS'!FT$3:FT$500)))</f>
        <v/>
      </c>
      <c r="IU14" s="132">
        <f>IF(OR(IU$4="",$B14=""),0,SUMIF('DADOS BRUTOS'!$A$3:$A$500,$B14,'DADOS BRUTOS'!FU$3:FU$500)+IF($C14="",0,SUMIF('DADOS BRUTOS'!$A$3:$A$500,$C14,'DADOS BRUTOS'!FU$3:FU$500)))</f>
        <v/>
      </c>
      <c r="IV14" s="132">
        <f>IF(OR(IV$4="",$B14=""),0,SUMIF('DADOS BRUTOS'!$A$3:$A$500,$B14,'DADOS BRUTOS'!FV$3:FV$500)+IF($C14="",0,SUMIF('DADOS BRUTOS'!$A$3:$A$500,$C14,'DADOS BRUTOS'!FV$3:FV$500)))</f>
        <v/>
      </c>
      <c r="IW14" s="132">
        <f>IF(OR(IW$4="",$B14=""),0,SUMIF('DADOS BRUTOS'!$A$3:$A$500,$B14,'DADOS BRUTOS'!FW$3:FW$500)+IF($C14="",0,SUMIF('DADOS BRUTOS'!$A$3:$A$500,$C14,'DADOS BRUTOS'!FW$3:FW$500)))</f>
        <v/>
      </c>
      <c r="IX14" s="132">
        <f>IF(OR(IX$4="",$B14=""),0,SUMIF('DADOS BRUTOS'!$A$3:$A$500,$B14,'DADOS BRUTOS'!FX$3:FX$500)+IF($C14="",0,SUMIF('DADOS BRUTOS'!$A$3:$A$500,$C14,'DADOS BRUTOS'!FX$3:FX$500)))</f>
        <v/>
      </c>
      <c r="IY14" s="132">
        <f>IF(OR(IY$4="",$B14=""),0,SUMIF('DADOS BRUTOS'!$A$3:$A$500,$B14,'DADOS BRUTOS'!FY$3:FY$500)+IF($C14="",0,SUMIF('DADOS BRUTOS'!$A$3:$A$500,$C14,'DADOS BRUTOS'!FY$3:FY$500)))</f>
        <v/>
      </c>
      <c r="IZ14" s="132">
        <f>IF(OR(IZ$4="",$B14=""),0,SUMIF('DADOS BRUTOS'!$A$3:$A$500,$B14,'DADOS BRUTOS'!FZ$3:FZ$500)+IF($C14="",0,SUMIF('DADOS BRUTOS'!$A$3:$A$500,$C14,'DADOS BRUTOS'!FZ$3:FZ$500)))</f>
        <v/>
      </c>
      <c r="JA14" s="132">
        <f>IF(OR(JA$4="",$B14=""),0,SUMIF('DADOS BRUTOS'!$A$3:$A$500,$B14,'DADOS BRUTOS'!GA$3:GA$500)+IF($C14="",0,SUMIF('DADOS BRUTOS'!$A$3:$A$500,$C14,'DADOS BRUTOS'!GA$3:GA$500)))</f>
        <v/>
      </c>
      <c r="JB14" s="132">
        <f>IF(OR(JB$4="",$B14=""),0,SUMIF('DADOS BRUTOS'!$A$3:$A$500,$B14,'DADOS BRUTOS'!GB$3:GB$500)+IF($C14="",0,SUMIF('DADOS BRUTOS'!$A$3:$A$500,$C14,'DADOS BRUTOS'!GB$3:GB$500)))</f>
        <v/>
      </c>
      <c r="JC14" s="132">
        <f>IF(OR(JC$4="",$B14=""),0,SUMIF('DADOS BRUTOS'!$A$3:$A$500,$B14,'DADOS BRUTOS'!GC$3:GC$500)+IF($C14="",0,SUMIF('DADOS BRUTOS'!$A$3:$A$500,$C14,'DADOS BRUTOS'!GC$3:GC$500)))</f>
        <v/>
      </c>
      <c r="JD14" s="132">
        <f>IF(OR(JD$4="",$B14=""),0,SUMIF('DADOS BRUTOS'!$A$3:$A$500,$B14,'DADOS BRUTOS'!GD$3:GD$500)+IF($C14="",0,SUMIF('DADOS BRUTOS'!$A$3:$A$500,$C14,'DADOS BRUTOS'!GD$3:GD$500)))</f>
        <v/>
      </c>
      <c r="JE14" s="132">
        <f>IF(OR(JE$4="",$B14=""),0,SUMIF('DADOS BRUTOS'!$A$3:$A$500,$B14,'DADOS BRUTOS'!GE$3:GE$500)+IF($C14="",0,SUMIF('DADOS BRUTOS'!$A$3:$A$500,$C14,'DADOS BRUTOS'!GE$3:GE$500)))</f>
        <v/>
      </c>
      <c r="JF14" s="132">
        <f>IF(OR(JF$4="",$B14=""),0,SUMIF('DADOS BRUTOS'!$A$3:$A$500,$B14,'DADOS BRUTOS'!GF$3:GF$500)+IF($C14="",0,SUMIF('DADOS BRUTOS'!$A$3:$A$500,$C14,'DADOS BRUTOS'!GF$3:GF$500)))</f>
        <v/>
      </c>
      <c r="JG14" s="132">
        <f>IF(OR(JG$4="",$B14=""),0,SUMIF('DADOS BRUTOS'!$A$3:$A$500,$B14,'DADOS BRUTOS'!GG$3:GG$500)+IF($C14="",0,SUMIF('DADOS BRUTOS'!$A$3:$A$500,$C14,'DADOS BRUTOS'!GG$3:GG$500)))</f>
        <v/>
      </c>
      <c r="JH14" s="132">
        <f>IF(OR(JH$4="",$B14=""),0,SUMIF('DADOS BRUTOS'!$A$3:$A$500,$B14,'DADOS BRUTOS'!GH$3:GH$500)+IF($C14="",0,SUMIF('DADOS BRUTOS'!$A$3:$A$500,$C14,'DADOS BRUTOS'!GH$3:GH$500)))</f>
        <v/>
      </c>
      <c r="JI14" s="132">
        <f>IF(OR(JI$4="",$B14=""),0,SUMIF('DADOS BRUTOS'!$A$3:$A$500,$B14,'DADOS BRUTOS'!GI$3:GI$500)+IF($C14="",0,SUMIF('DADOS BRUTOS'!$A$3:$A$500,$C14,'DADOS BRUTOS'!GI$3:GI$500)))</f>
        <v/>
      </c>
      <c r="JJ14" s="132">
        <f>IF(OR(JJ$4="",$B14=""),0,SUMIF('DADOS BRUTOS'!$A$3:$A$500,$B14,'DADOS BRUTOS'!GJ$3:GJ$500)+IF($C14="",0,SUMIF('DADOS BRUTOS'!$A$3:$A$500,$C14,'DADOS BRUTOS'!GJ$3:GJ$500)))</f>
        <v/>
      </c>
      <c r="JK14" s="132">
        <f>IF(OR(JK$4="",$B14=""),0,SUMIF('DADOS BRUTOS'!$A$3:$A$500,$B14,'DADOS BRUTOS'!GK$3:GK$500)+IF($C14="",0,SUMIF('DADOS BRUTOS'!$A$3:$A$500,$C14,'DADOS BRUTOS'!GK$3:GK$500)))</f>
        <v/>
      </c>
      <c r="JL14" s="132">
        <f>IF(OR(JL$4="",$B14=""),0,SUMIF('DADOS BRUTOS'!$A$3:$A$500,$B14,'DADOS BRUTOS'!GL$3:GL$500)+IF($C14="",0,SUMIF('DADOS BRUTOS'!$A$3:$A$500,$C14,'DADOS BRUTOS'!GL$3:GL$500)))</f>
        <v/>
      </c>
      <c r="JM14" s="132">
        <f>IF(OR(JM$4="",$B14=""),0,SUMIF('DADOS BRUTOS'!$A$3:$A$500,$B14,'DADOS BRUTOS'!GM$3:GM$500)+IF($C14="",0,SUMIF('DADOS BRUTOS'!$A$3:$A$500,$C14,'DADOS BRUTOS'!GM$3:GM$500)))</f>
        <v/>
      </c>
      <c r="JN14" s="132">
        <f>IF(OR(JN$4="",$B14=""),0,SUMIF('DADOS BRUTOS'!$A$3:$A$500,$B14,'DADOS BRUTOS'!GN$3:GN$500)+IF($C14="",0,SUMIF('DADOS BRUTOS'!$A$3:$A$500,$C14,'DADOS BRUTOS'!GN$3:GN$500)))</f>
        <v/>
      </c>
      <c r="JO14" s="132">
        <f>IF(OR(JO$4="",$B14=""),0,SUMIF('DADOS BRUTOS'!$A$3:$A$500,$B14,'DADOS BRUTOS'!GO$3:GO$500)+IF($C14="",0,SUMIF('DADOS BRUTOS'!$A$3:$A$500,$C14,'DADOS BRUTOS'!GO$3:GO$500)))</f>
        <v/>
      </c>
      <c r="JP14" s="132">
        <f>IF(OR(JP$4="",$B14=""),0,SUMIF('DADOS BRUTOS'!$A$3:$A$500,$B14,'DADOS BRUTOS'!GP$3:GP$500)+IF($C14="",0,SUMIF('DADOS BRUTOS'!$A$3:$A$500,$C14,'DADOS BRUTOS'!GP$3:GP$500)))</f>
        <v/>
      </c>
      <c r="JQ14" s="132">
        <f>IF(OR(JQ$4="",$B14=""),0,SUMIF('DADOS BRUTOS'!$A$3:$A$500,$B14,'DADOS BRUTOS'!GQ$3:GQ$500)+IF($C14="",0,SUMIF('DADOS BRUTOS'!$A$3:$A$500,$C14,'DADOS BRUTOS'!GQ$3:GQ$500)))</f>
        <v/>
      </c>
      <c r="JR14" s="132">
        <f>IF(OR(JR$4="",$B14=""),0,SUMIF('DADOS BRUTOS'!$A$3:$A$500,$B14,'DADOS BRUTOS'!GR$3:GR$500)+IF($C14="",0,SUMIF('DADOS BRUTOS'!$A$3:$A$500,$C14,'DADOS BRUTOS'!GR$3:GR$500)))</f>
        <v/>
      </c>
      <c r="JS14" s="132">
        <f>IF(OR(JS$4="",$B14=""),0,SUMIF('DADOS BRUTOS'!$A$3:$A$500,$B14,'DADOS BRUTOS'!GS$3:GS$500)+IF($C14="",0,SUMIF('DADOS BRUTOS'!$A$3:$A$500,$C14,'DADOS BRUTOS'!GS$3:GS$500)))</f>
        <v/>
      </c>
    </row>
    <row r="15">
      <c r="A15" s="61">
        <f>'VALOR POR PL'!D21</f>
        <v/>
      </c>
      <c r="B15" s="59" t="inlineStr">
        <is>
          <t>EQUIPAMENTOS E FERRAMENTAS</t>
        </is>
      </c>
      <c r="C15" s="59" t="n"/>
      <c r="D15" s="54">
        <f>SUMIF($CB$4:$JS$4,"&lt;="&amp;D$4,$CB15:$JS15)</f>
        <v/>
      </c>
      <c r="E15" s="54">
        <f>SUMIF($CB$4:$JS$4,E$4,$CB15:$JS15)</f>
        <v/>
      </c>
      <c r="F15" s="54">
        <f>SUMIF($CB$4:$JS$4,F$4,$CB15:$JS15)</f>
        <v/>
      </c>
      <c r="G15" s="54">
        <f>SUMIF($CB$4:$JS$4,G$4,$CB15:$JS15)</f>
        <v/>
      </c>
      <c r="H15" s="54">
        <f>SUMIF($CB$4:$JS$4,H$4,$CB15:$JS15)</f>
        <v/>
      </c>
      <c r="I15" s="54">
        <f>SUMIF($CB$4:$JS$4,I$4,$CB15:$JS15)</f>
        <v/>
      </c>
      <c r="J15" s="54">
        <f>SUMIF($CB$4:$JS$4,J$4,$CB15:$JS15)</f>
        <v/>
      </c>
      <c r="K15" s="54">
        <f>SUMIF($CB$4:$JS$4,K$4,$CB15:$JS15)</f>
        <v/>
      </c>
      <c r="L15" s="54">
        <f>SUMIF($CB$4:$JS$4,L$4,$CB15:$JS15)</f>
        <v/>
      </c>
      <c r="M15" s="54">
        <f>SUMIF($CB$4:$JS$4,M$4,$CB15:$JS15)</f>
        <v/>
      </c>
      <c r="N15" s="54">
        <f>SUMIF($CB$4:$JS$4,N$4,$CB15:$JS15)</f>
        <v/>
      </c>
      <c r="O15" s="54">
        <f>SUMIF($CB$4:$JS$4,O$4,$CB15:$JS15)</f>
        <v/>
      </c>
      <c r="P15" s="54">
        <f>SUMIF($CB$4:$JS$4,P$4,$CB15:$JS15)</f>
        <v/>
      </c>
      <c r="Q15" s="54">
        <f>SUMIF($CB$4:$JS$4,Q$4,$CB15:$JS15)</f>
        <v/>
      </c>
      <c r="R15" s="54">
        <f>SUMIF($CB$4:$JS$4,R$4,$CB15:$JS15)</f>
        <v/>
      </c>
      <c r="S15" s="54">
        <f>SUMIF($CB$4:$JS$4,S$4,$CB15:$JS15)</f>
        <v/>
      </c>
      <c r="T15" s="54">
        <f>SUMIF($CB$4:$JS$4,T$4,$CB15:$JS15)</f>
        <v/>
      </c>
      <c r="U15" s="54">
        <f>SUMIF($CB$4:$JS$4,U$4,$CB15:$JS15)</f>
        <v/>
      </c>
      <c r="V15" s="54">
        <f>SUMIF($CB$4:$JS$4,V$4,$CB15:$JS15)</f>
        <v/>
      </c>
      <c r="W15" s="54">
        <f>SUMIF($CB$4:$JS$4,W$4,$CB15:$JS15)</f>
        <v/>
      </c>
      <c r="X15" s="54">
        <f>SUMIF($CB$4:$JS$4,X$4,$CB15:$JS15)</f>
        <v/>
      </c>
      <c r="Y15" s="54">
        <f>SUMIF($CB$4:$JS$4,Y$4,$CB15:$JS15)</f>
        <v/>
      </c>
      <c r="Z15" s="54">
        <f>SUMIF($CB$4:$JS$4,Z$4,$CB15:$JS15)</f>
        <v/>
      </c>
      <c r="AA15" s="54">
        <f>SUMIF($CB$4:$JS$4,AA$4,$CB15:$JS15)</f>
        <v/>
      </c>
      <c r="AB15" s="54">
        <f>SUMIF($CB$4:$JS$4,AB$4,$CB15:$JS15)</f>
        <v/>
      </c>
      <c r="AC15" s="54">
        <f>SUMIF($CB$4:$JS$4,AC$4,$CB15:$JS15)</f>
        <v/>
      </c>
      <c r="AD15" s="54">
        <f>SUMIF($CB$4:$JS$4,AD$4,$CB15:$JS15)</f>
        <v/>
      </c>
      <c r="AE15" s="54">
        <f>SUMIF($CB$4:$JS$4,AE$4,$CB15:$JS15)</f>
        <v/>
      </c>
      <c r="AF15" s="54">
        <f>SUMIF($CB$4:$JS$4,AF$4,$CB15:$JS15)</f>
        <v/>
      </c>
      <c r="AG15" s="54">
        <f>SUMIF($CB$4:$JS$4,AG$4,$CB15:$JS15)</f>
        <v/>
      </c>
      <c r="AH15" s="54">
        <f>SUMIF($CB$4:$JS$4,AH$4,$CB15:$JS15)</f>
        <v/>
      </c>
      <c r="AI15" s="54">
        <f>SUMIF($CB$4:$JS$4,AI$4,$CB15:$JS15)</f>
        <v/>
      </c>
      <c r="AJ15" s="54">
        <f>SUMIF($CB$4:$JS$4,AJ$4,$CB15:$JS15)</f>
        <v/>
      </c>
      <c r="AK15" s="54">
        <f>SUMIF($CB$4:$JS$4,AK$4,$CB15:$JS15)</f>
        <v/>
      </c>
      <c r="AL15" s="54">
        <f>SUMIF($CB$4:$JS$4,AL$4,$CB15:$JS15)</f>
        <v/>
      </c>
      <c r="AM15" s="54">
        <f>SUMIF($CB$4:$JS$4,AM$4,$CB15:$JS15)</f>
        <v/>
      </c>
      <c r="AN15" s="54">
        <f>SUMIF($CB$4:$JS$4,AN$4,$CB15:$JS15)</f>
        <v/>
      </c>
      <c r="AO15" s="54">
        <f>SUMIF($CB$4:$JS$4,AO$4,$CB15:$JS15)</f>
        <v/>
      </c>
      <c r="AP15" s="54">
        <f>SUMIF($CB$4:$JS$4,AP$4,$CB15:$JS15)</f>
        <v/>
      </c>
      <c r="AQ15" s="54">
        <f>SUMIF($CB$4:$JS$4,AQ$4,$CB15:$JS15)</f>
        <v/>
      </c>
      <c r="AR15" s="54">
        <f>SUMIF($CB$4:$JS$4,AR$4,$CB15:$JS15)</f>
        <v/>
      </c>
      <c r="AS15" s="54">
        <f>SUMIF($CB$4:$JS$4,AS$4,$CB15:$JS15)</f>
        <v/>
      </c>
      <c r="AT15" s="54">
        <f>SUMIF($CB$4:$JS$4,AT$4,$CB15:$JS15)</f>
        <v/>
      </c>
      <c r="AU15" s="54">
        <f>SUMIF($CB$4:$JS$4,AU$4,$CB15:$JS15)</f>
        <v/>
      </c>
      <c r="AV15" s="54">
        <f>SUMIF($CB$4:$JS$4,AV$4,$CB15:$JS15)</f>
        <v/>
      </c>
      <c r="AW15" s="54">
        <f>SUMIF($CB$4:$JS$4,AW$4,$CB15:$JS15)</f>
        <v/>
      </c>
      <c r="AX15" s="54">
        <f>SUMIF($CB$4:$JS$4,AX$4,$CB15:$JS15)</f>
        <v/>
      </c>
      <c r="AY15" s="54">
        <f>SUMIF($CB$4:$JS$4,AY$4,$CB15:$JS15)</f>
        <v/>
      </c>
      <c r="AZ15" s="54">
        <f>SUMIF($CB$4:$JS$4,AZ$4,$CB15:$JS15)</f>
        <v/>
      </c>
      <c r="BA15" s="54">
        <f>SUMIF($CB$4:$JS$4,BA$4,$CB15:$JS15)</f>
        <v/>
      </c>
      <c r="BB15" s="54">
        <f>SUMIF($CB$4:$JS$4,BB$4,$CB15:$JS15)</f>
        <v/>
      </c>
      <c r="BC15" s="54">
        <f>SUMIF($CB$4:$JS$4,BC$4,$CB15:$JS15)</f>
        <v/>
      </c>
      <c r="BD15" s="54">
        <f>SUMIF($CB$4:$JS$4,BD$4,$CB15:$JS15)</f>
        <v/>
      </c>
      <c r="BE15" s="54">
        <f>SUMIF($CB$4:$JS$4,BE$4,$CB15:$JS15)</f>
        <v/>
      </c>
      <c r="BF15" s="54">
        <f>SUMIF($CB$4:$JS$4,BF$4,$CB15:$JS15)</f>
        <v/>
      </c>
      <c r="BG15" s="54">
        <f>SUMIF($CB$4:$JS$4,BG$4,$CB15:$JS15)</f>
        <v/>
      </c>
      <c r="BH15" s="54">
        <f>SUMIF($CB$4:$JS$4,BH$4,$CB15:$JS15)</f>
        <v/>
      </c>
      <c r="BI15" s="54">
        <f>SUMIF($CB$4:$JS$4,BI$4,$CB15:$JS15)</f>
        <v/>
      </c>
      <c r="BJ15" s="54">
        <f>SUMIF($CB$4:$JS$4,BJ$4,$CB15:$JS15)</f>
        <v/>
      </c>
      <c r="BK15" s="54">
        <f>SUMIF($CB$4:$JS$4,BK$4,$CB15:$JS15)</f>
        <v/>
      </c>
      <c r="BL15" s="54">
        <f>SUMIF($CB$4:$JS$4,BL$4,$CB15:$JS15)</f>
        <v/>
      </c>
      <c r="BM15" s="54">
        <f>SUMIF($CB$4:$JS$4,BM$4,$CB15:$JS15)</f>
        <v/>
      </c>
      <c r="BN15" s="54">
        <f>SUMIF($CB$4:$JS$4,BN$4,$CB15:$JS15)</f>
        <v/>
      </c>
      <c r="BO15" s="54">
        <f>SUMIF($CB$4:$JS$4,BO$4,$CB15:$JS15)</f>
        <v/>
      </c>
      <c r="BP15" s="54">
        <f>SUMIF($CB$4:$JS$4,BP$4,$CB15:$JS15)</f>
        <v/>
      </c>
      <c r="BQ15" s="54">
        <f>SUMIF($CB$4:$JS$4,BQ$4,$CB15:$JS15)</f>
        <v/>
      </c>
      <c r="BR15" s="54">
        <f>SUMIF($CB$4:$JS$4,BR$4,$CB15:$JS15)</f>
        <v/>
      </c>
      <c r="BS15" s="54">
        <f>SUMIF($CB$4:$JS$4,BS$4,$CB15:$JS15)</f>
        <v/>
      </c>
      <c r="BT15" s="54">
        <f>SUMIF($CB$4:$JS$4,BT$4,$CB15:$JS15)</f>
        <v/>
      </c>
      <c r="BU15" s="54">
        <f>SUMIF($CB$4:$JS$4,BU$4,$CB15:$JS15)</f>
        <v/>
      </c>
      <c r="BV15" s="54">
        <f>SUMIF($CB$4:$JS$4,BV$4,$CB15:$JS15)</f>
        <v/>
      </c>
      <c r="BW15" s="54">
        <f>SUMIF($CB$4:$JS$4,BW$4,$CB15:$JS15)</f>
        <v/>
      </c>
      <c r="BX15" s="54">
        <f>SUMIF($CB$4:$JS$4,"&gt;"&amp;'VALOR POR PL'!$P$8,$CB15:$JS15)</f>
        <v/>
      </c>
      <c r="BY15" s="54">
        <f>SUM($CB15:$JS15)</f>
        <v/>
      </c>
      <c r="BZ15" s="49">
        <f>SUMPRODUCT(($CB$4:$JS$4&lt;&gt;"")*($CB$4:$JS$4&lt;=$D$4),$CB15:$JS15,$CB$1:$JS$1)</f>
        <v/>
      </c>
      <c r="CB15" s="132">
        <f>IF(OR(CB$4="",$B15=""),0,SUMIF('DADOS BRUTOS'!$A$3:$A$500,$B15,'DADOS BRUTOS'!B$3:B$500)+IF($C15="",0,SUMIF('DADOS BRUTOS'!$A$3:$A$500,$C15,'DADOS BRUTOS'!B$3:B$500)))</f>
        <v/>
      </c>
      <c r="CC15" s="132">
        <f>IF(OR(CC$4="",$B15=""),0,SUMIF('DADOS BRUTOS'!$A$3:$A$500,$B15,'DADOS BRUTOS'!C$3:C$500)+IF($C15="",0,SUMIF('DADOS BRUTOS'!$A$3:$A$500,$C15,'DADOS BRUTOS'!C$3:C$500)))</f>
        <v/>
      </c>
      <c r="CD15" s="132">
        <f>IF(OR(CD$4="",$B15=""),0,SUMIF('DADOS BRUTOS'!$A$3:$A$500,$B15,'DADOS BRUTOS'!D$3:D$500)+IF($C15="",0,SUMIF('DADOS BRUTOS'!$A$3:$A$500,$C15,'DADOS BRUTOS'!D$3:D$500)))</f>
        <v/>
      </c>
      <c r="CE15" s="132">
        <f>IF(OR(CE$4="",$B15=""),0,SUMIF('DADOS BRUTOS'!$A$3:$A$500,$B15,'DADOS BRUTOS'!E$3:E$500)+IF($C15="",0,SUMIF('DADOS BRUTOS'!$A$3:$A$500,$C15,'DADOS BRUTOS'!E$3:E$500)))</f>
        <v/>
      </c>
      <c r="CF15" s="132">
        <f>IF(OR(CF$4="",$B15=""),0,SUMIF('DADOS BRUTOS'!$A$3:$A$500,$B15,'DADOS BRUTOS'!F$3:F$500)+IF($C15="",0,SUMIF('DADOS BRUTOS'!$A$3:$A$500,$C15,'DADOS BRUTOS'!F$3:F$500)))</f>
        <v/>
      </c>
      <c r="CG15" s="132">
        <f>IF(OR(CG$4="",$B15=""),0,SUMIF('DADOS BRUTOS'!$A$3:$A$500,$B15,'DADOS BRUTOS'!G$3:G$500)+IF($C15="",0,SUMIF('DADOS BRUTOS'!$A$3:$A$500,$C15,'DADOS BRUTOS'!G$3:G$500)))</f>
        <v/>
      </c>
      <c r="CH15" s="132">
        <f>IF(OR(CH$4="",$B15=""),0,SUMIF('DADOS BRUTOS'!$A$3:$A$500,$B15,'DADOS BRUTOS'!H$3:H$500)+IF($C15="",0,SUMIF('DADOS BRUTOS'!$A$3:$A$500,$C15,'DADOS BRUTOS'!H$3:H$500)))</f>
        <v/>
      </c>
      <c r="CI15" s="132">
        <f>IF(OR(CI$4="",$B15=""),0,SUMIF('DADOS BRUTOS'!$A$3:$A$500,$B15,'DADOS BRUTOS'!I$3:I$500)+IF($C15="",0,SUMIF('DADOS BRUTOS'!$A$3:$A$500,$C15,'DADOS BRUTOS'!I$3:I$500)))</f>
        <v/>
      </c>
      <c r="CJ15" s="132">
        <f>IF(OR(CJ$4="",$B15=""),0,SUMIF('DADOS BRUTOS'!$A$3:$A$500,$B15,'DADOS BRUTOS'!J$3:J$500)+IF($C15="",0,SUMIF('DADOS BRUTOS'!$A$3:$A$500,$C15,'DADOS BRUTOS'!J$3:J$500)))</f>
        <v/>
      </c>
      <c r="CK15" s="132">
        <f>IF(OR(CK$4="",$B15=""),0,SUMIF('DADOS BRUTOS'!$A$3:$A$500,$B15,'DADOS BRUTOS'!K$3:K$500)+IF($C15="",0,SUMIF('DADOS BRUTOS'!$A$3:$A$500,$C15,'DADOS BRUTOS'!K$3:K$500)))</f>
        <v/>
      </c>
      <c r="CL15" s="132">
        <f>IF(OR(CL$4="",$B15=""),0,SUMIF('DADOS BRUTOS'!$A$3:$A$500,$B15,'DADOS BRUTOS'!L$3:L$500)+IF($C15="",0,SUMIF('DADOS BRUTOS'!$A$3:$A$500,$C15,'DADOS BRUTOS'!L$3:L$500)))</f>
        <v/>
      </c>
      <c r="CM15" s="132">
        <f>IF(OR(CM$4="",$B15=""),0,SUMIF('DADOS BRUTOS'!$A$3:$A$500,$B15,'DADOS BRUTOS'!M$3:M$500)+IF($C15="",0,SUMIF('DADOS BRUTOS'!$A$3:$A$500,$C15,'DADOS BRUTOS'!M$3:M$500)))</f>
        <v/>
      </c>
      <c r="CN15" s="132">
        <f>IF(OR(CN$4="",$B15=""),0,SUMIF('DADOS BRUTOS'!$A$3:$A$500,$B15,'DADOS BRUTOS'!N$3:N$500)+IF($C15="",0,SUMIF('DADOS BRUTOS'!$A$3:$A$500,$C15,'DADOS BRUTOS'!N$3:N$500)))</f>
        <v/>
      </c>
      <c r="CO15" s="132">
        <f>IF(OR(CO$4="",$B15=""),0,SUMIF('DADOS BRUTOS'!$A$3:$A$500,$B15,'DADOS BRUTOS'!O$3:O$500)+IF($C15="",0,SUMIF('DADOS BRUTOS'!$A$3:$A$500,$C15,'DADOS BRUTOS'!O$3:O$500)))</f>
        <v/>
      </c>
      <c r="CP15" s="132">
        <f>IF(OR(CP$4="",$B15=""),0,SUMIF('DADOS BRUTOS'!$A$3:$A$500,$B15,'DADOS BRUTOS'!P$3:P$500)+IF($C15="",0,SUMIF('DADOS BRUTOS'!$A$3:$A$500,$C15,'DADOS BRUTOS'!P$3:P$500)))</f>
        <v/>
      </c>
      <c r="CQ15" s="132">
        <f>IF(OR(CQ$4="",$B15=""),0,SUMIF('DADOS BRUTOS'!$A$3:$A$500,$B15,'DADOS BRUTOS'!Q$3:Q$500)+IF($C15="",0,SUMIF('DADOS BRUTOS'!$A$3:$A$500,$C15,'DADOS BRUTOS'!Q$3:Q$500)))</f>
        <v/>
      </c>
      <c r="CR15" s="132">
        <f>IF(OR(CR$4="",$B15=""),0,SUMIF('DADOS BRUTOS'!$A$3:$A$500,$B15,'DADOS BRUTOS'!R$3:R$500)+IF($C15="",0,SUMIF('DADOS BRUTOS'!$A$3:$A$500,$C15,'DADOS BRUTOS'!R$3:R$500)))</f>
        <v/>
      </c>
      <c r="CS15" s="132">
        <f>IF(OR(CS$4="",$B15=""),0,SUMIF('DADOS BRUTOS'!$A$3:$A$500,$B15,'DADOS BRUTOS'!S$3:S$500)+IF($C15="",0,SUMIF('DADOS BRUTOS'!$A$3:$A$500,$C15,'DADOS BRUTOS'!S$3:S$500)))</f>
        <v/>
      </c>
      <c r="CT15" s="132">
        <f>IF(OR(CT$4="",$B15=""),0,SUMIF('DADOS BRUTOS'!$A$3:$A$500,$B15,'DADOS BRUTOS'!T$3:T$500)+IF($C15="",0,SUMIF('DADOS BRUTOS'!$A$3:$A$500,$C15,'DADOS BRUTOS'!T$3:T$500)))</f>
        <v/>
      </c>
      <c r="CU15" s="132">
        <f>IF(OR(CU$4="",$B15=""),0,SUMIF('DADOS BRUTOS'!$A$3:$A$500,$B15,'DADOS BRUTOS'!U$3:U$500)+IF($C15="",0,SUMIF('DADOS BRUTOS'!$A$3:$A$500,$C15,'DADOS BRUTOS'!U$3:U$500)))</f>
        <v/>
      </c>
      <c r="CV15" s="132">
        <f>IF(OR(CV$4="",$B15=""),0,SUMIF('DADOS BRUTOS'!$A$3:$A$500,$B15,'DADOS BRUTOS'!V$3:V$500)+IF($C15="",0,SUMIF('DADOS BRUTOS'!$A$3:$A$500,$C15,'DADOS BRUTOS'!V$3:V$500)))</f>
        <v/>
      </c>
      <c r="CW15" s="132">
        <f>IF(OR(CW$4="",$B15=""),0,SUMIF('DADOS BRUTOS'!$A$3:$A$500,$B15,'DADOS BRUTOS'!W$3:W$500)+IF($C15="",0,SUMIF('DADOS BRUTOS'!$A$3:$A$500,$C15,'DADOS BRUTOS'!W$3:W$500)))</f>
        <v/>
      </c>
      <c r="CX15" s="132">
        <f>IF(OR(CX$4="",$B15=""),0,SUMIF('DADOS BRUTOS'!$A$3:$A$500,$B15,'DADOS BRUTOS'!X$3:X$500)+IF($C15="",0,SUMIF('DADOS BRUTOS'!$A$3:$A$500,$C15,'DADOS BRUTOS'!X$3:X$500)))</f>
        <v/>
      </c>
      <c r="CY15" s="132">
        <f>IF(OR(CY$4="",$B15=""),0,SUMIF('DADOS BRUTOS'!$A$3:$A$500,$B15,'DADOS BRUTOS'!Y$3:Y$500)+IF($C15="",0,SUMIF('DADOS BRUTOS'!$A$3:$A$500,$C15,'DADOS BRUTOS'!Y$3:Y$500)))</f>
        <v/>
      </c>
      <c r="CZ15" s="132">
        <f>IF(OR(CZ$4="",$B15=""),0,SUMIF('DADOS BRUTOS'!$A$3:$A$500,$B15,'DADOS BRUTOS'!Z$3:Z$500)+IF($C15="",0,SUMIF('DADOS BRUTOS'!$A$3:$A$500,$C15,'DADOS BRUTOS'!Z$3:Z$500)))</f>
        <v/>
      </c>
      <c r="DA15" s="132">
        <f>IF(OR(DA$4="",$B15=""),0,SUMIF('DADOS BRUTOS'!$A$3:$A$500,$B15,'DADOS BRUTOS'!AA$3:AA$500)+IF($C15="",0,SUMIF('DADOS BRUTOS'!$A$3:$A$500,$C15,'DADOS BRUTOS'!AA$3:AA$500)))</f>
        <v/>
      </c>
      <c r="DB15" s="132">
        <f>IF(OR(DB$4="",$B15=""),0,SUMIF('DADOS BRUTOS'!$A$3:$A$500,$B15,'DADOS BRUTOS'!AB$3:AB$500)+IF($C15="",0,SUMIF('DADOS BRUTOS'!$A$3:$A$500,$C15,'DADOS BRUTOS'!AB$3:AB$500)))</f>
        <v/>
      </c>
      <c r="DC15" s="132">
        <f>IF(OR(DC$4="",$B15=""),0,SUMIF('DADOS BRUTOS'!$A$3:$A$500,$B15,'DADOS BRUTOS'!AC$3:AC$500)+IF($C15="",0,SUMIF('DADOS BRUTOS'!$A$3:$A$500,$C15,'DADOS BRUTOS'!AC$3:AC$500)))</f>
        <v/>
      </c>
      <c r="DD15" s="132">
        <f>IF(OR(DD$4="",$B15=""),0,SUMIF('DADOS BRUTOS'!$A$3:$A$500,$B15,'DADOS BRUTOS'!AD$3:AD$500)+IF($C15="",0,SUMIF('DADOS BRUTOS'!$A$3:$A$500,$C15,'DADOS BRUTOS'!AD$3:AD$500)))</f>
        <v/>
      </c>
      <c r="DE15" s="132">
        <f>IF(OR(DE$4="",$B15=""),0,SUMIF('DADOS BRUTOS'!$A$3:$A$500,$B15,'DADOS BRUTOS'!AE$3:AE$500)+IF($C15="",0,SUMIF('DADOS BRUTOS'!$A$3:$A$500,$C15,'DADOS BRUTOS'!AE$3:AE$500)))</f>
        <v/>
      </c>
      <c r="DF15" s="132">
        <f>IF(OR(DF$4="",$B15=""),0,SUMIF('DADOS BRUTOS'!$A$3:$A$500,$B15,'DADOS BRUTOS'!AF$3:AF$500)+IF($C15="",0,SUMIF('DADOS BRUTOS'!$A$3:$A$500,$C15,'DADOS BRUTOS'!AF$3:AF$500)))</f>
        <v/>
      </c>
      <c r="DG15" s="132">
        <f>IF(OR(DG$4="",$B15=""),0,SUMIF('DADOS BRUTOS'!$A$3:$A$500,$B15,'DADOS BRUTOS'!AG$3:AG$500)+IF($C15="",0,SUMIF('DADOS BRUTOS'!$A$3:$A$500,$C15,'DADOS BRUTOS'!AG$3:AG$500)))</f>
        <v/>
      </c>
      <c r="DH15" s="132">
        <f>IF(OR(DH$4="",$B15=""),0,SUMIF('DADOS BRUTOS'!$A$3:$A$500,$B15,'DADOS BRUTOS'!AH$3:AH$500)+IF($C15="",0,SUMIF('DADOS BRUTOS'!$A$3:$A$500,$C15,'DADOS BRUTOS'!AH$3:AH$500)))</f>
        <v/>
      </c>
      <c r="DI15" s="132">
        <f>IF(OR(DI$4="",$B15=""),0,SUMIF('DADOS BRUTOS'!$A$3:$A$500,$B15,'DADOS BRUTOS'!AI$3:AI$500)+IF($C15="",0,SUMIF('DADOS BRUTOS'!$A$3:$A$500,$C15,'DADOS BRUTOS'!AI$3:AI$500)))</f>
        <v/>
      </c>
      <c r="DJ15" s="132">
        <f>IF(OR(DJ$4="",$B15=""),0,SUMIF('DADOS BRUTOS'!$A$3:$A$500,$B15,'DADOS BRUTOS'!AJ$3:AJ$500)+IF($C15="",0,SUMIF('DADOS BRUTOS'!$A$3:$A$500,$C15,'DADOS BRUTOS'!AJ$3:AJ$500)))</f>
        <v/>
      </c>
      <c r="DK15" s="132">
        <f>IF(OR(DK$4="",$B15=""),0,SUMIF('DADOS BRUTOS'!$A$3:$A$500,$B15,'DADOS BRUTOS'!AK$3:AK$500)+IF($C15="",0,SUMIF('DADOS BRUTOS'!$A$3:$A$500,$C15,'DADOS BRUTOS'!AK$3:AK$500)))</f>
        <v/>
      </c>
      <c r="DL15" s="132">
        <f>IF(OR(DL$4="",$B15=""),0,SUMIF('DADOS BRUTOS'!$A$3:$A$500,$B15,'DADOS BRUTOS'!AL$3:AL$500)+IF($C15="",0,SUMIF('DADOS BRUTOS'!$A$3:$A$500,$C15,'DADOS BRUTOS'!AL$3:AL$500)))</f>
        <v/>
      </c>
      <c r="DM15" s="132">
        <f>IF(OR(DM$4="",$B15=""),0,SUMIF('DADOS BRUTOS'!$A$3:$A$500,$B15,'DADOS BRUTOS'!AM$3:AM$500)+IF($C15="",0,SUMIF('DADOS BRUTOS'!$A$3:$A$500,$C15,'DADOS BRUTOS'!AM$3:AM$500)))</f>
        <v/>
      </c>
      <c r="DN15" s="132">
        <f>IF(OR(DN$4="",$B15=""),0,SUMIF('DADOS BRUTOS'!$A$3:$A$500,$B15,'DADOS BRUTOS'!AN$3:AN$500)+IF($C15="",0,SUMIF('DADOS BRUTOS'!$A$3:$A$500,$C15,'DADOS BRUTOS'!AN$3:AN$500)))</f>
        <v/>
      </c>
      <c r="DO15" s="132">
        <f>IF(OR(DO$4="",$B15=""),0,SUMIF('DADOS BRUTOS'!$A$3:$A$500,$B15,'DADOS BRUTOS'!AO$3:AO$500)+IF($C15="",0,SUMIF('DADOS BRUTOS'!$A$3:$A$500,$C15,'DADOS BRUTOS'!AO$3:AO$500)))</f>
        <v/>
      </c>
      <c r="DP15" s="132">
        <f>IF(OR(DP$4="",$B15=""),0,SUMIF('DADOS BRUTOS'!$A$3:$A$500,$B15,'DADOS BRUTOS'!AP$3:AP$500)+IF($C15="",0,SUMIF('DADOS BRUTOS'!$A$3:$A$500,$C15,'DADOS BRUTOS'!AP$3:AP$500)))</f>
        <v/>
      </c>
      <c r="DQ15" s="132">
        <f>IF(OR(DQ$4="",$B15=""),0,SUMIF('DADOS BRUTOS'!$A$3:$A$500,$B15,'DADOS BRUTOS'!AQ$3:AQ$500)+IF($C15="",0,SUMIF('DADOS BRUTOS'!$A$3:$A$500,$C15,'DADOS BRUTOS'!AQ$3:AQ$500)))</f>
        <v/>
      </c>
      <c r="DR15" s="132">
        <f>IF(OR(DR$4="",$B15=""),0,SUMIF('DADOS BRUTOS'!$A$3:$A$500,$B15,'DADOS BRUTOS'!AR$3:AR$500)+IF($C15="",0,SUMIF('DADOS BRUTOS'!$A$3:$A$500,$C15,'DADOS BRUTOS'!AR$3:AR$500)))</f>
        <v/>
      </c>
      <c r="DS15" s="132">
        <f>IF(OR(DS$4="",$B15=""),0,SUMIF('DADOS BRUTOS'!$A$3:$A$500,$B15,'DADOS BRUTOS'!AS$3:AS$500)+IF($C15="",0,SUMIF('DADOS BRUTOS'!$A$3:$A$500,$C15,'DADOS BRUTOS'!AS$3:AS$500)))</f>
        <v/>
      </c>
      <c r="DT15" s="132">
        <f>IF(OR(DT$4="",$B15=""),0,SUMIF('DADOS BRUTOS'!$A$3:$A$500,$B15,'DADOS BRUTOS'!AT$3:AT$500)+IF($C15="",0,SUMIF('DADOS BRUTOS'!$A$3:$A$500,$C15,'DADOS BRUTOS'!AT$3:AT$500)))</f>
        <v/>
      </c>
      <c r="DU15" s="132">
        <f>IF(OR(DU$4="",$B15=""),0,SUMIF('DADOS BRUTOS'!$A$3:$A$500,$B15,'DADOS BRUTOS'!AU$3:AU$500)+IF($C15="",0,SUMIF('DADOS BRUTOS'!$A$3:$A$500,$C15,'DADOS BRUTOS'!AU$3:AU$500)))</f>
        <v/>
      </c>
      <c r="DV15" s="132">
        <f>IF(OR(DV$4="",$B15=""),0,SUMIF('DADOS BRUTOS'!$A$3:$A$500,$B15,'DADOS BRUTOS'!AV$3:AV$500)+IF($C15="",0,SUMIF('DADOS BRUTOS'!$A$3:$A$500,$C15,'DADOS BRUTOS'!AV$3:AV$500)))</f>
        <v/>
      </c>
      <c r="DW15" s="132">
        <f>IF(OR(DW$4="",$B15=""),0,SUMIF('DADOS BRUTOS'!$A$3:$A$500,$B15,'DADOS BRUTOS'!AW$3:AW$500)+IF($C15="",0,SUMIF('DADOS BRUTOS'!$A$3:$A$500,$C15,'DADOS BRUTOS'!AW$3:AW$500)))</f>
        <v/>
      </c>
      <c r="DX15" s="132">
        <f>IF(OR(DX$4="",$B15=""),0,SUMIF('DADOS BRUTOS'!$A$3:$A$500,$B15,'DADOS BRUTOS'!AX$3:AX$500)+IF($C15="",0,SUMIF('DADOS BRUTOS'!$A$3:$A$500,$C15,'DADOS BRUTOS'!AX$3:AX$500)))</f>
        <v/>
      </c>
      <c r="DY15" s="132">
        <f>IF(OR(DY$4="",$B15=""),0,SUMIF('DADOS BRUTOS'!$A$3:$A$500,$B15,'DADOS BRUTOS'!AY$3:AY$500)+IF($C15="",0,SUMIF('DADOS BRUTOS'!$A$3:$A$500,$C15,'DADOS BRUTOS'!AY$3:AY$500)))</f>
        <v/>
      </c>
      <c r="DZ15" s="132">
        <f>IF(OR(DZ$4="",$B15=""),0,SUMIF('DADOS BRUTOS'!$A$3:$A$500,$B15,'DADOS BRUTOS'!AZ$3:AZ$500)+IF($C15="",0,SUMIF('DADOS BRUTOS'!$A$3:$A$500,$C15,'DADOS BRUTOS'!AZ$3:AZ$500)))</f>
        <v/>
      </c>
      <c r="EA15" s="132">
        <f>IF(OR(EA$4="",$B15=""),0,SUMIF('DADOS BRUTOS'!$A$3:$A$500,$B15,'DADOS BRUTOS'!BA$3:BA$500)+IF($C15="",0,SUMIF('DADOS BRUTOS'!$A$3:$A$500,$C15,'DADOS BRUTOS'!BA$3:BA$500)))</f>
        <v/>
      </c>
      <c r="EB15" s="132">
        <f>IF(OR(EB$4="",$B15=""),0,SUMIF('DADOS BRUTOS'!$A$3:$A$500,$B15,'DADOS BRUTOS'!BB$3:BB$500)+IF($C15="",0,SUMIF('DADOS BRUTOS'!$A$3:$A$500,$C15,'DADOS BRUTOS'!BB$3:BB$500)))</f>
        <v/>
      </c>
      <c r="EC15" s="132">
        <f>IF(OR(EC$4="",$B15=""),0,SUMIF('DADOS BRUTOS'!$A$3:$A$500,$B15,'DADOS BRUTOS'!BC$3:BC$500)+IF($C15="",0,SUMIF('DADOS BRUTOS'!$A$3:$A$500,$C15,'DADOS BRUTOS'!BC$3:BC$500)))</f>
        <v/>
      </c>
      <c r="ED15" s="132">
        <f>IF(OR(ED$4="",$B15=""),0,SUMIF('DADOS BRUTOS'!$A$3:$A$500,$B15,'DADOS BRUTOS'!BD$3:BD$500)+IF($C15="",0,SUMIF('DADOS BRUTOS'!$A$3:$A$500,$C15,'DADOS BRUTOS'!BD$3:BD$500)))</f>
        <v/>
      </c>
      <c r="EE15" s="132">
        <f>IF(OR(EE$4="",$B15=""),0,SUMIF('DADOS BRUTOS'!$A$3:$A$500,$B15,'DADOS BRUTOS'!BE$3:BE$500)+IF($C15="",0,SUMIF('DADOS BRUTOS'!$A$3:$A$500,$C15,'DADOS BRUTOS'!BE$3:BE$500)))</f>
        <v/>
      </c>
      <c r="EF15" s="132">
        <f>IF(OR(EF$4="",$B15=""),0,SUMIF('DADOS BRUTOS'!$A$3:$A$500,$B15,'DADOS BRUTOS'!BF$3:BF$500)+IF($C15="",0,SUMIF('DADOS BRUTOS'!$A$3:$A$500,$C15,'DADOS BRUTOS'!BF$3:BF$500)))</f>
        <v/>
      </c>
      <c r="EG15" s="132">
        <f>IF(OR(EG$4="",$B15=""),0,SUMIF('DADOS BRUTOS'!$A$3:$A$500,$B15,'DADOS BRUTOS'!BG$3:BG$500)+IF($C15="",0,SUMIF('DADOS BRUTOS'!$A$3:$A$500,$C15,'DADOS BRUTOS'!BG$3:BG$500)))</f>
        <v/>
      </c>
      <c r="EH15" s="132">
        <f>IF(OR(EH$4="",$B15=""),0,SUMIF('DADOS BRUTOS'!$A$3:$A$500,$B15,'DADOS BRUTOS'!BH$3:BH$500)+IF($C15="",0,SUMIF('DADOS BRUTOS'!$A$3:$A$500,$C15,'DADOS BRUTOS'!BH$3:BH$500)))</f>
        <v/>
      </c>
      <c r="EI15" s="132">
        <f>IF(OR(EI$4="",$B15=""),0,SUMIF('DADOS BRUTOS'!$A$3:$A$500,$B15,'DADOS BRUTOS'!BI$3:BI$500)+IF($C15="",0,SUMIF('DADOS BRUTOS'!$A$3:$A$500,$C15,'DADOS BRUTOS'!BI$3:BI$500)))</f>
        <v/>
      </c>
      <c r="EJ15" s="132">
        <f>IF(OR(EJ$4="",$B15=""),0,SUMIF('DADOS BRUTOS'!$A$3:$A$500,$B15,'DADOS BRUTOS'!BJ$3:BJ$500)+IF($C15="",0,SUMIF('DADOS BRUTOS'!$A$3:$A$500,$C15,'DADOS BRUTOS'!BJ$3:BJ$500)))</f>
        <v/>
      </c>
      <c r="EK15" s="132">
        <f>IF(OR(EK$4="",$B15=""),0,SUMIF('DADOS BRUTOS'!$A$3:$A$500,$B15,'DADOS BRUTOS'!BK$3:BK$500)+IF($C15="",0,SUMIF('DADOS BRUTOS'!$A$3:$A$500,$C15,'DADOS BRUTOS'!BK$3:BK$500)))</f>
        <v/>
      </c>
      <c r="EL15" s="132">
        <f>IF(OR(EL$4="",$B15=""),0,SUMIF('DADOS BRUTOS'!$A$3:$A$500,$B15,'DADOS BRUTOS'!BL$3:BL$500)+IF($C15="",0,SUMIF('DADOS BRUTOS'!$A$3:$A$500,$C15,'DADOS BRUTOS'!BL$3:BL$500)))</f>
        <v/>
      </c>
      <c r="EM15" s="132">
        <f>IF(OR(EM$4="",$B15=""),0,SUMIF('DADOS BRUTOS'!$A$3:$A$500,$B15,'DADOS BRUTOS'!BM$3:BM$500)+IF($C15="",0,SUMIF('DADOS BRUTOS'!$A$3:$A$500,$C15,'DADOS BRUTOS'!BM$3:BM$500)))</f>
        <v/>
      </c>
      <c r="EN15" s="132">
        <f>IF(OR(EN$4="",$B15=""),0,SUMIF('DADOS BRUTOS'!$A$3:$A$500,$B15,'DADOS BRUTOS'!BN$3:BN$500)+IF($C15="",0,SUMIF('DADOS BRUTOS'!$A$3:$A$500,$C15,'DADOS BRUTOS'!BN$3:BN$500)))</f>
        <v/>
      </c>
      <c r="EO15" s="132">
        <f>IF(OR(EO$4="",$B15=""),0,SUMIF('DADOS BRUTOS'!$A$3:$A$500,$B15,'DADOS BRUTOS'!BO$3:BO$500)+IF($C15="",0,SUMIF('DADOS BRUTOS'!$A$3:$A$500,$C15,'DADOS BRUTOS'!BO$3:BO$500)))</f>
        <v/>
      </c>
      <c r="EP15" s="132">
        <f>IF(OR(EP$4="",$B15=""),0,SUMIF('DADOS BRUTOS'!$A$3:$A$500,$B15,'DADOS BRUTOS'!BP$3:BP$500)+IF($C15="",0,SUMIF('DADOS BRUTOS'!$A$3:$A$500,$C15,'DADOS BRUTOS'!BP$3:BP$500)))</f>
        <v/>
      </c>
      <c r="EQ15" s="132">
        <f>IF(OR(EQ$4="",$B15=""),0,SUMIF('DADOS BRUTOS'!$A$3:$A$500,$B15,'DADOS BRUTOS'!BQ$3:BQ$500)+IF($C15="",0,SUMIF('DADOS BRUTOS'!$A$3:$A$500,$C15,'DADOS BRUTOS'!BQ$3:BQ$500)))</f>
        <v/>
      </c>
      <c r="ER15" s="132">
        <f>IF(OR(ER$4="",$B15=""),0,SUMIF('DADOS BRUTOS'!$A$3:$A$500,$B15,'DADOS BRUTOS'!BR$3:BR$500)+IF($C15="",0,SUMIF('DADOS BRUTOS'!$A$3:$A$500,$C15,'DADOS BRUTOS'!BR$3:BR$500)))</f>
        <v/>
      </c>
      <c r="ES15" s="132">
        <f>IF(OR(ES$4="",$B15=""),0,SUMIF('DADOS BRUTOS'!$A$3:$A$500,$B15,'DADOS BRUTOS'!BS$3:BS$500)+IF($C15="",0,SUMIF('DADOS BRUTOS'!$A$3:$A$500,$C15,'DADOS BRUTOS'!BS$3:BS$500)))</f>
        <v/>
      </c>
      <c r="ET15" s="132">
        <f>IF(OR(ET$4="",$B15=""),0,SUMIF('DADOS BRUTOS'!$A$3:$A$500,$B15,'DADOS BRUTOS'!BT$3:BT$500)+IF($C15="",0,SUMIF('DADOS BRUTOS'!$A$3:$A$500,$C15,'DADOS BRUTOS'!BT$3:BT$500)))</f>
        <v/>
      </c>
      <c r="EU15" s="132">
        <f>IF(OR(EU$4="",$B15=""),0,SUMIF('DADOS BRUTOS'!$A$3:$A$500,$B15,'DADOS BRUTOS'!BU$3:BU$500)+IF($C15="",0,SUMIF('DADOS BRUTOS'!$A$3:$A$500,$C15,'DADOS BRUTOS'!BU$3:BU$500)))</f>
        <v/>
      </c>
      <c r="EV15" s="132">
        <f>IF(OR(EV$4="",$B15=""),0,SUMIF('DADOS BRUTOS'!$A$3:$A$500,$B15,'DADOS BRUTOS'!BV$3:BV$500)+IF($C15="",0,SUMIF('DADOS BRUTOS'!$A$3:$A$500,$C15,'DADOS BRUTOS'!BV$3:BV$500)))</f>
        <v/>
      </c>
      <c r="EW15" s="132">
        <f>IF(OR(EW$4="",$B15=""),0,SUMIF('DADOS BRUTOS'!$A$3:$A$500,$B15,'DADOS BRUTOS'!BW$3:BW$500)+IF($C15="",0,SUMIF('DADOS BRUTOS'!$A$3:$A$500,$C15,'DADOS BRUTOS'!BW$3:BW$500)))</f>
        <v/>
      </c>
      <c r="EX15" s="132">
        <f>IF(OR(EX$4="",$B15=""),0,SUMIF('DADOS BRUTOS'!$A$3:$A$500,$B15,'DADOS BRUTOS'!BX$3:BX$500)+IF($C15="",0,SUMIF('DADOS BRUTOS'!$A$3:$A$500,$C15,'DADOS BRUTOS'!BX$3:BX$500)))</f>
        <v/>
      </c>
      <c r="EY15" s="132">
        <f>IF(OR(EY$4="",$B15=""),0,SUMIF('DADOS BRUTOS'!$A$3:$A$500,$B15,'DADOS BRUTOS'!BY$3:BY$500)+IF($C15="",0,SUMIF('DADOS BRUTOS'!$A$3:$A$500,$C15,'DADOS BRUTOS'!BY$3:BY$500)))</f>
        <v/>
      </c>
      <c r="EZ15" s="132">
        <f>IF(OR(EZ$4="",$B15=""),0,SUMIF('DADOS BRUTOS'!$A$3:$A$500,$B15,'DADOS BRUTOS'!BZ$3:BZ$500)+IF($C15="",0,SUMIF('DADOS BRUTOS'!$A$3:$A$500,$C15,'DADOS BRUTOS'!BZ$3:BZ$500)))</f>
        <v/>
      </c>
      <c r="FA15" s="132">
        <f>IF(OR(FA$4="",$B15=""),0,SUMIF('DADOS BRUTOS'!$A$3:$A$500,$B15,'DADOS BRUTOS'!CA$3:CA$500)+IF($C15="",0,SUMIF('DADOS BRUTOS'!$A$3:$A$500,$C15,'DADOS BRUTOS'!CA$3:CA$500)))</f>
        <v/>
      </c>
      <c r="FB15" s="132">
        <f>IF(OR(FB$4="",$B15=""),0,SUMIF('DADOS BRUTOS'!$A$3:$A$500,$B15,'DADOS BRUTOS'!CB$3:CB$500)+IF($C15="",0,SUMIF('DADOS BRUTOS'!$A$3:$A$500,$C15,'DADOS BRUTOS'!CB$3:CB$500)))</f>
        <v/>
      </c>
      <c r="FC15" s="132">
        <f>IF(OR(FC$4="",$B15=""),0,SUMIF('DADOS BRUTOS'!$A$3:$A$500,$B15,'DADOS BRUTOS'!CC$3:CC$500)+IF($C15="",0,SUMIF('DADOS BRUTOS'!$A$3:$A$500,$C15,'DADOS BRUTOS'!CC$3:CC$500)))</f>
        <v/>
      </c>
      <c r="FD15" s="132">
        <f>IF(OR(FD$4="",$B15=""),0,SUMIF('DADOS BRUTOS'!$A$3:$A$500,$B15,'DADOS BRUTOS'!CD$3:CD$500)+IF($C15="",0,SUMIF('DADOS BRUTOS'!$A$3:$A$500,$C15,'DADOS BRUTOS'!CD$3:CD$500)))</f>
        <v/>
      </c>
      <c r="FE15" s="132">
        <f>IF(OR(FE$4="",$B15=""),0,SUMIF('DADOS BRUTOS'!$A$3:$A$500,$B15,'DADOS BRUTOS'!CE$3:CE$500)+IF($C15="",0,SUMIF('DADOS BRUTOS'!$A$3:$A$500,$C15,'DADOS BRUTOS'!CE$3:CE$500)))</f>
        <v/>
      </c>
      <c r="FF15" s="132">
        <f>IF(OR(FF$4="",$B15=""),0,SUMIF('DADOS BRUTOS'!$A$3:$A$500,$B15,'DADOS BRUTOS'!CF$3:CF$500)+IF($C15="",0,SUMIF('DADOS BRUTOS'!$A$3:$A$500,$C15,'DADOS BRUTOS'!CF$3:CF$500)))</f>
        <v/>
      </c>
      <c r="FG15" s="132">
        <f>IF(OR(FG$4="",$B15=""),0,SUMIF('DADOS BRUTOS'!$A$3:$A$500,$B15,'DADOS BRUTOS'!CG$3:CG$500)+IF($C15="",0,SUMIF('DADOS BRUTOS'!$A$3:$A$500,$C15,'DADOS BRUTOS'!CG$3:CG$500)))</f>
        <v/>
      </c>
      <c r="FH15" s="132">
        <f>IF(OR(FH$4="",$B15=""),0,SUMIF('DADOS BRUTOS'!$A$3:$A$500,$B15,'DADOS BRUTOS'!CH$3:CH$500)+IF($C15="",0,SUMIF('DADOS BRUTOS'!$A$3:$A$500,$C15,'DADOS BRUTOS'!CH$3:CH$500)))</f>
        <v/>
      </c>
      <c r="FI15" s="132">
        <f>IF(OR(FI$4="",$B15=""),0,SUMIF('DADOS BRUTOS'!$A$3:$A$500,$B15,'DADOS BRUTOS'!CI$3:CI$500)+IF($C15="",0,SUMIF('DADOS BRUTOS'!$A$3:$A$500,$C15,'DADOS BRUTOS'!CI$3:CI$500)))</f>
        <v/>
      </c>
      <c r="FJ15" s="132">
        <f>IF(OR(FJ$4="",$B15=""),0,SUMIF('DADOS BRUTOS'!$A$3:$A$500,$B15,'DADOS BRUTOS'!CJ$3:CJ$500)+IF($C15="",0,SUMIF('DADOS BRUTOS'!$A$3:$A$500,$C15,'DADOS BRUTOS'!CJ$3:CJ$500)))</f>
        <v/>
      </c>
      <c r="FK15" s="132">
        <f>IF(OR(FK$4="",$B15=""),0,SUMIF('DADOS BRUTOS'!$A$3:$A$500,$B15,'DADOS BRUTOS'!CK$3:CK$500)+IF($C15="",0,SUMIF('DADOS BRUTOS'!$A$3:$A$500,$C15,'DADOS BRUTOS'!CK$3:CK$500)))</f>
        <v/>
      </c>
      <c r="FL15" s="132">
        <f>IF(OR(FL$4="",$B15=""),0,SUMIF('DADOS BRUTOS'!$A$3:$A$500,$B15,'DADOS BRUTOS'!CL$3:CL$500)+IF($C15="",0,SUMIF('DADOS BRUTOS'!$A$3:$A$500,$C15,'DADOS BRUTOS'!CL$3:CL$500)))</f>
        <v/>
      </c>
      <c r="FM15" s="132">
        <f>IF(OR(FM$4="",$B15=""),0,SUMIF('DADOS BRUTOS'!$A$3:$A$500,$B15,'DADOS BRUTOS'!CM$3:CM$500)+IF($C15="",0,SUMIF('DADOS BRUTOS'!$A$3:$A$500,$C15,'DADOS BRUTOS'!CM$3:CM$500)))</f>
        <v/>
      </c>
      <c r="FN15" s="132">
        <f>IF(OR(FN$4="",$B15=""),0,SUMIF('DADOS BRUTOS'!$A$3:$A$500,$B15,'DADOS BRUTOS'!CN$3:CN$500)+IF($C15="",0,SUMIF('DADOS BRUTOS'!$A$3:$A$500,$C15,'DADOS BRUTOS'!CN$3:CN$500)))</f>
        <v/>
      </c>
      <c r="FO15" s="132">
        <f>IF(OR(FO$4="",$B15=""),0,SUMIF('DADOS BRUTOS'!$A$3:$A$500,$B15,'DADOS BRUTOS'!CO$3:CO$500)+IF($C15="",0,SUMIF('DADOS BRUTOS'!$A$3:$A$500,$C15,'DADOS BRUTOS'!CO$3:CO$500)))</f>
        <v/>
      </c>
      <c r="FP15" s="132">
        <f>IF(OR(FP$4="",$B15=""),0,SUMIF('DADOS BRUTOS'!$A$3:$A$500,$B15,'DADOS BRUTOS'!CP$3:CP$500)+IF($C15="",0,SUMIF('DADOS BRUTOS'!$A$3:$A$500,$C15,'DADOS BRUTOS'!CP$3:CP$500)))</f>
        <v/>
      </c>
      <c r="FQ15" s="132">
        <f>IF(OR(FQ$4="",$B15=""),0,SUMIF('DADOS BRUTOS'!$A$3:$A$500,$B15,'DADOS BRUTOS'!CQ$3:CQ$500)+IF($C15="",0,SUMIF('DADOS BRUTOS'!$A$3:$A$500,$C15,'DADOS BRUTOS'!CQ$3:CQ$500)))</f>
        <v/>
      </c>
      <c r="FR15" s="132">
        <f>IF(OR(FR$4="",$B15=""),0,SUMIF('DADOS BRUTOS'!$A$3:$A$500,$B15,'DADOS BRUTOS'!CR$3:CR$500)+IF($C15="",0,SUMIF('DADOS BRUTOS'!$A$3:$A$500,$C15,'DADOS BRUTOS'!CR$3:CR$500)))</f>
        <v/>
      </c>
      <c r="FS15" s="132">
        <f>IF(OR(FS$4="",$B15=""),0,SUMIF('DADOS BRUTOS'!$A$3:$A$500,$B15,'DADOS BRUTOS'!CS$3:CS$500)+IF($C15="",0,SUMIF('DADOS BRUTOS'!$A$3:$A$500,$C15,'DADOS BRUTOS'!CS$3:CS$500)))</f>
        <v/>
      </c>
      <c r="FT15" s="132">
        <f>IF(OR(FT$4="",$B15=""),0,SUMIF('DADOS BRUTOS'!$A$3:$A$500,$B15,'DADOS BRUTOS'!CT$3:CT$500)+IF($C15="",0,SUMIF('DADOS BRUTOS'!$A$3:$A$500,$C15,'DADOS BRUTOS'!CT$3:CT$500)))</f>
        <v/>
      </c>
      <c r="FU15" s="132">
        <f>IF(OR(FU$4="",$B15=""),0,SUMIF('DADOS BRUTOS'!$A$3:$A$500,$B15,'DADOS BRUTOS'!CU$3:CU$500)+IF($C15="",0,SUMIF('DADOS BRUTOS'!$A$3:$A$500,$C15,'DADOS BRUTOS'!CU$3:CU$500)))</f>
        <v/>
      </c>
      <c r="FV15" s="132">
        <f>IF(OR(FV$4="",$B15=""),0,SUMIF('DADOS BRUTOS'!$A$3:$A$500,$B15,'DADOS BRUTOS'!CV$3:CV$500)+IF($C15="",0,SUMIF('DADOS BRUTOS'!$A$3:$A$500,$C15,'DADOS BRUTOS'!CV$3:CV$500)))</f>
        <v/>
      </c>
      <c r="FW15" s="132">
        <f>IF(OR(FW$4="",$B15=""),0,SUMIF('DADOS BRUTOS'!$A$3:$A$500,$B15,'DADOS BRUTOS'!CW$3:CW$500)+IF($C15="",0,SUMIF('DADOS BRUTOS'!$A$3:$A$500,$C15,'DADOS BRUTOS'!CW$3:CW$500)))</f>
        <v/>
      </c>
      <c r="FX15" s="132">
        <f>IF(OR(FX$4="",$B15=""),0,SUMIF('DADOS BRUTOS'!$A$3:$A$500,$B15,'DADOS BRUTOS'!CX$3:CX$500)+IF($C15="",0,SUMIF('DADOS BRUTOS'!$A$3:$A$500,$C15,'DADOS BRUTOS'!CX$3:CX$500)))</f>
        <v/>
      </c>
      <c r="FY15" s="132">
        <f>IF(OR(FY$4="",$B15=""),0,SUMIF('DADOS BRUTOS'!$A$3:$A$500,$B15,'DADOS BRUTOS'!CY$3:CY$500)+IF($C15="",0,SUMIF('DADOS BRUTOS'!$A$3:$A$500,$C15,'DADOS BRUTOS'!CY$3:CY$500)))</f>
        <v/>
      </c>
      <c r="FZ15" s="132">
        <f>IF(OR(FZ$4="",$B15=""),0,SUMIF('DADOS BRUTOS'!$A$3:$A$500,$B15,'DADOS BRUTOS'!CZ$3:CZ$500)+IF($C15="",0,SUMIF('DADOS BRUTOS'!$A$3:$A$500,$C15,'DADOS BRUTOS'!CZ$3:CZ$500)))</f>
        <v/>
      </c>
      <c r="GA15" s="132">
        <f>IF(OR(GA$4="",$B15=""),0,SUMIF('DADOS BRUTOS'!$A$3:$A$500,$B15,'DADOS BRUTOS'!DA$3:DA$500)+IF($C15="",0,SUMIF('DADOS BRUTOS'!$A$3:$A$500,$C15,'DADOS BRUTOS'!DA$3:DA$500)))</f>
        <v/>
      </c>
      <c r="GB15" s="132">
        <f>IF(OR(GB$4="",$B15=""),0,SUMIF('DADOS BRUTOS'!$A$3:$A$500,$B15,'DADOS BRUTOS'!DB$3:DB$500)+IF($C15="",0,SUMIF('DADOS BRUTOS'!$A$3:$A$500,$C15,'DADOS BRUTOS'!DB$3:DB$500)))</f>
        <v/>
      </c>
      <c r="GC15" s="132">
        <f>IF(OR(GC$4="",$B15=""),0,SUMIF('DADOS BRUTOS'!$A$3:$A$500,$B15,'DADOS BRUTOS'!DC$3:DC$500)+IF($C15="",0,SUMIF('DADOS BRUTOS'!$A$3:$A$500,$C15,'DADOS BRUTOS'!DC$3:DC$500)))</f>
        <v/>
      </c>
      <c r="GD15" s="132">
        <f>IF(OR(GD$4="",$B15=""),0,SUMIF('DADOS BRUTOS'!$A$3:$A$500,$B15,'DADOS BRUTOS'!DD$3:DD$500)+IF($C15="",0,SUMIF('DADOS BRUTOS'!$A$3:$A$500,$C15,'DADOS BRUTOS'!DD$3:DD$500)))</f>
        <v/>
      </c>
      <c r="GE15" s="132">
        <f>IF(OR(GE$4="",$B15=""),0,SUMIF('DADOS BRUTOS'!$A$3:$A$500,$B15,'DADOS BRUTOS'!DE$3:DE$500)+IF($C15="",0,SUMIF('DADOS BRUTOS'!$A$3:$A$500,$C15,'DADOS BRUTOS'!DE$3:DE$500)))</f>
        <v/>
      </c>
      <c r="GF15" s="132">
        <f>IF(OR(GF$4="",$B15=""),0,SUMIF('DADOS BRUTOS'!$A$3:$A$500,$B15,'DADOS BRUTOS'!DF$3:DF$500)+IF($C15="",0,SUMIF('DADOS BRUTOS'!$A$3:$A$500,$C15,'DADOS BRUTOS'!DF$3:DF$500)))</f>
        <v/>
      </c>
      <c r="GG15" s="132">
        <f>IF(OR(GG$4="",$B15=""),0,SUMIF('DADOS BRUTOS'!$A$3:$A$500,$B15,'DADOS BRUTOS'!DG$3:DG$500)+IF($C15="",0,SUMIF('DADOS BRUTOS'!$A$3:$A$500,$C15,'DADOS BRUTOS'!DG$3:DG$500)))</f>
        <v/>
      </c>
      <c r="GH15" s="132">
        <f>IF(OR(GH$4="",$B15=""),0,SUMIF('DADOS BRUTOS'!$A$3:$A$500,$B15,'DADOS BRUTOS'!DH$3:DH$500)+IF($C15="",0,SUMIF('DADOS BRUTOS'!$A$3:$A$500,$C15,'DADOS BRUTOS'!DH$3:DH$500)))</f>
        <v/>
      </c>
      <c r="GI15" s="132">
        <f>IF(OR(GI$4="",$B15=""),0,SUMIF('DADOS BRUTOS'!$A$3:$A$500,$B15,'DADOS BRUTOS'!DI$3:DI$500)+IF($C15="",0,SUMIF('DADOS BRUTOS'!$A$3:$A$500,$C15,'DADOS BRUTOS'!DI$3:DI$500)))</f>
        <v/>
      </c>
      <c r="GJ15" s="132">
        <f>IF(OR(GJ$4="",$B15=""),0,SUMIF('DADOS BRUTOS'!$A$3:$A$500,$B15,'DADOS BRUTOS'!DJ$3:DJ$500)+IF($C15="",0,SUMIF('DADOS BRUTOS'!$A$3:$A$500,$C15,'DADOS BRUTOS'!DJ$3:DJ$500)))</f>
        <v/>
      </c>
      <c r="GK15" s="132">
        <f>IF(OR(GK$4="",$B15=""),0,SUMIF('DADOS BRUTOS'!$A$3:$A$500,$B15,'DADOS BRUTOS'!DK$3:DK$500)+IF($C15="",0,SUMIF('DADOS BRUTOS'!$A$3:$A$500,$C15,'DADOS BRUTOS'!DK$3:DK$500)))</f>
        <v/>
      </c>
      <c r="GL15" s="132">
        <f>IF(OR(GL$4="",$B15=""),0,SUMIF('DADOS BRUTOS'!$A$3:$A$500,$B15,'DADOS BRUTOS'!DL$3:DL$500)+IF($C15="",0,SUMIF('DADOS BRUTOS'!$A$3:$A$500,$C15,'DADOS BRUTOS'!DL$3:DL$500)))</f>
        <v/>
      </c>
      <c r="GM15" s="132">
        <f>IF(OR(GM$4="",$B15=""),0,SUMIF('DADOS BRUTOS'!$A$3:$A$500,$B15,'DADOS BRUTOS'!DM$3:DM$500)+IF($C15="",0,SUMIF('DADOS BRUTOS'!$A$3:$A$500,$C15,'DADOS BRUTOS'!DM$3:DM$500)))</f>
        <v/>
      </c>
      <c r="GN15" s="132">
        <f>IF(OR(GN$4="",$B15=""),0,SUMIF('DADOS BRUTOS'!$A$3:$A$500,$B15,'DADOS BRUTOS'!DN$3:DN$500)+IF($C15="",0,SUMIF('DADOS BRUTOS'!$A$3:$A$500,$C15,'DADOS BRUTOS'!DN$3:DN$500)))</f>
        <v/>
      </c>
      <c r="GO15" s="132">
        <f>IF(OR(GO$4="",$B15=""),0,SUMIF('DADOS BRUTOS'!$A$3:$A$500,$B15,'DADOS BRUTOS'!DO$3:DO$500)+IF($C15="",0,SUMIF('DADOS BRUTOS'!$A$3:$A$500,$C15,'DADOS BRUTOS'!DO$3:DO$500)))</f>
        <v/>
      </c>
      <c r="GP15" s="132">
        <f>IF(OR(GP$4="",$B15=""),0,SUMIF('DADOS BRUTOS'!$A$3:$A$500,$B15,'DADOS BRUTOS'!DP$3:DP$500)+IF($C15="",0,SUMIF('DADOS BRUTOS'!$A$3:$A$500,$C15,'DADOS BRUTOS'!DP$3:DP$500)))</f>
        <v/>
      </c>
      <c r="GQ15" s="132">
        <f>IF(OR(GQ$4="",$B15=""),0,SUMIF('DADOS BRUTOS'!$A$3:$A$500,$B15,'DADOS BRUTOS'!DQ$3:DQ$500)+IF($C15="",0,SUMIF('DADOS BRUTOS'!$A$3:$A$500,$C15,'DADOS BRUTOS'!DQ$3:DQ$500)))</f>
        <v/>
      </c>
      <c r="GR15" s="132">
        <f>IF(OR(GR$4="",$B15=""),0,SUMIF('DADOS BRUTOS'!$A$3:$A$500,$B15,'DADOS BRUTOS'!DR$3:DR$500)+IF($C15="",0,SUMIF('DADOS BRUTOS'!$A$3:$A$500,$C15,'DADOS BRUTOS'!DR$3:DR$500)))</f>
        <v/>
      </c>
      <c r="GS15" s="132">
        <f>IF(OR(GS$4="",$B15=""),0,SUMIF('DADOS BRUTOS'!$A$3:$A$500,$B15,'DADOS BRUTOS'!DS$3:DS$500)+IF($C15="",0,SUMIF('DADOS BRUTOS'!$A$3:$A$500,$C15,'DADOS BRUTOS'!DS$3:DS$500)))</f>
        <v/>
      </c>
      <c r="GT15" s="132">
        <f>IF(OR(GT$4="",$B15=""),0,SUMIF('DADOS BRUTOS'!$A$3:$A$500,$B15,'DADOS BRUTOS'!DT$3:DT$500)+IF($C15="",0,SUMIF('DADOS BRUTOS'!$A$3:$A$500,$C15,'DADOS BRUTOS'!DT$3:DT$500)))</f>
        <v/>
      </c>
      <c r="GU15" s="132">
        <f>IF(OR(GU$4="",$B15=""),0,SUMIF('DADOS BRUTOS'!$A$3:$A$500,$B15,'DADOS BRUTOS'!DU$3:DU$500)+IF($C15="",0,SUMIF('DADOS BRUTOS'!$A$3:$A$500,$C15,'DADOS BRUTOS'!DU$3:DU$500)))</f>
        <v/>
      </c>
      <c r="GV15" s="132">
        <f>IF(OR(GV$4="",$B15=""),0,SUMIF('DADOS BRUTOS'!$A$3:$A$500,$B15,'DADOS BRUTOS'!DV$3:DV$500)+IF($C15="",0,SUMIF('DADOS BRUTOS'!$A$3:$A$500,$C15,'DADOS BRUTOS'!DV$3:DV$500)))</f>
        <v/>
      </c>
      <c r="GW15" s="132">
        <f>IF(OR(GW$4="",$B15=""),0,SUMIF('DADOS BRUTOS'!$A$3:$A$500,$B15,'DADOS BRUTOS'!DW$3:DW$500)+IF($C15="",0,SUMIF('DADOS BRUTOS'!$A$3:$A$500,$C15,'DADOS BRUTOS'!DW$3:DW$500)))</f>
        <v/>
      </c>
      <c r="GX15" s="132">
        <f>IF(OR(GX$4="",$B15=""),0,SUMIF('DADOS BRUTOS'!$A$3:$A$500,$B15,'DADOS BRUTOS'!DX$3:DX$500)+IF($C15="",0,SUMIF('DADOS BRUTOS'!$A$3:$A$500,$C15,'DADOS BRUTOS'!DX$3:DX$500)))</f>
        <v/>
      </c>
      <c r="GY15" s="132">
        <f>IF(OR(GY$4="",$B15=""),0,SUMIF('DADOS BRUTOS'!$A$3:$A$500,$B15,'DADOS BRUTOS'!DY$3:DY$500)+IF($C15="",0,SUMIF('DADOS BRUTOS'!$A$3:$A$500,$C15,'DADOS BRUTOS'!DY$3:DY$500)))</f>
        <v/>
      </c>
      <c r="GZ15" s="132">
        <f>IF(OR(GZ$4="",$B15=""),0,SUMIF('DADOS BRUTOS'!$A$3:$A$500,$B15,'DADOS BRUTOS'!DZ$3:DZ$500)+IF($C15="",0,SUMIF('DADOS BRUTOS'!$A$3:$A$500,$C15,'DADOS BRUTOS'!DZ$3:DZ$500)))</f>
        <v/>
      </c>
      <c r="HA15" s="132">
        <f>IF(OR(HA$4="",$B15=""),0,SUMIF('DADOS BRUTOS'!$A$3:$A$500,$B15,'DADOS BRUTOS'!EA$3:EA$500)+IF($C15="",0,SUMIF('DADOS BRUTOS'!$A$3:$A$500,$C15,'DADOS BRUTOS'!EA$3:EA$500)))</f>
        <v/>
      </c>
      <c r="HB15" s="132">
        <f>IF(OR(HB$4="",$B15=""),0,SUMIF('DADOS BRUTOS'!$A$3:$A$500,$B15,'DADOS BRUTOS'!EB$3:EB$500)+IF($C15="",0,SUMIF('DADOS BRUTOS'!$A$3:$A$500,$C15,'DADOS BRUTOS'!EB$3:EB$500)))</f>
        <v/>
      </c>
      <c r="HC15" s="132">
        <f>IF(OR(HC$4="",$B15=""),0,SUMIF('DADOS BRUTOS'!$A$3:$A$500,$B15,'DADOS BRUTOS'!EC$3:EC$500)+IF($C15="",0,SUMIF('DADOS BRUTOS'!$A$3:$A$500,$C15,'DADOS BRUTOS'!EC$3:EC$500)))</f>
        <v/>
      </c>
      <c r="HD15" s="132">
        <f>IF(OR(HD$4="",$B15=""),0,SUMIF('DADOS BRUTOS'!$A$3:$A$500,$B15,'DADOS BRUTOS'!ED$3:ED$500)+IF($C15="",0,SUMIF('DADOS BRUTOS'!$A$3:$A$500,$C15,'DADOS BRUTOS'!ED$3:ED$500)))</f>
        <v/>
      </c>
      <c r="HE15" s="132">
        <f>IF(OR(HE$4="",$B15=""),0,SUMIF('DADOS BRUTOS'!$A$3:$A$500,$B15,'DADOS BRUTOS'!EE$3:EE$500)+IF($C15="",0,SUMIF('DADOS BRUTOS'!$A$3:$A$500,$C15,'DADOS BRUTOS'!EE$3:EE$500)))</f>
        <v/>
      </c>
      <c r="HF15" s="132">
        <f>IF(OR(HF$4="",$B15=""),0,SUMIF('DADOS BRUTOS'!$A$3:$A$500,$B15,'DADOS BRUTOS'!EF$3:EF$500)+IF($C15="",0,SUMIF('DADOS BRUTOS'!$A$3:$A$500,$C15,'DADOS BRUTOS'!EF$3:EF$500)))</f>
        <v/>
      </c>
      <c r="HG15" s="132">
        <f>IF(OR(HG$4="",$B15=""),0,SUMIF('DADOS BRUTOS'!$A$3:$A$500,$B15,'DADOS BRUTOS'!EG$3:EG$500)+IF($C15="",0,SUMIF('DADOS BRUTOS'!$A$3:$A$500,$C15,'DADOS BRUTOS'!EG$3:EG$500)))</f>
        <v/>
      </c>
      <c r="HH15" s="132">
        <f>IF(OR(HH$4="",$B15=""),0,SUMIF('DADOS BRUTOS'!$A$3:$A$500,$B15,'DADOS BRUTOS'!EH$3:EH$500)+IF($C15="",0,SUMIF('DADOS BRUTOS'!$A$3:$A$500,$C15,'DADOS BRUTOS'!EH$3:EH$500)))</f>
        <v/>
      </c>
      <c r="HI15" s="132">
        <f>IF(OR(HI$4="",$B15=""),0,SUMIF('DADOS BRUTOS'!$A$3:$A$500,$B15,'DADOS BRUTOS'!EI$3:EI$500)+IF($C15="",0,SUMIF('DADOS BRUTOS'!$A$3:$A$500,$C15,'DADOS BRUTOS'!EI$3:EI$500)))</f>
        <v/>
      </c>
      <c r="HJ15" s="132">
        <f>IF(OR(HJ$4="",$B15=""),0,SUMIF('DADOS BRUTOS'!$A$3:$A$500,$B15,'DADOS BRUTOS'!EJ$3:EJ$500)+IF($C15="",0,SUMIF('DADOS BRUTOS'!$A$3:$A$500,$C15,'DADOS BRUTOS'!EJ$3:EJ$500)))</f>
        <v/>
      </c>
      <c r="HK15" s="132">
        <f>IF(OR(HK$4="",$B15=""),0,SUMIF('DADOS BRUTOS'!$A$3:$A$500,$B15,'DADOS BRUTOS'!EK$3:EK$500)+IF($C15="",0,SUMIF('DADOS BRUTOS'!$A$3:$A$500,$C15,'DADOS BRUTOS'!EK$3:EK$500)))</f>
        <v/>
      </c>
      <c r="HL15" s="132">
        <f>IF(OR(HL$4="",$B15=""),0,SUMIF('DADOS BRUTOS'!$A$3:$A$500,$B15,'DADOS BRUTOS'!EL$3:EL$500)+IF($C15="",0,SUMIF('DADOS BRUTOS'!$A$3:$A$500,$C15,'DADOS BRUTOS'!EL$3:EL$500)))</f>
        <v/>
      </c>
      <c r="HM15" s="132">
        <f>IF(OR(HM$4="",$B15=""),0,SUMIF('DADOS BRUTOS'!$A$3:$A$500,$B15,'DADOS BRUTOS'!EM$3:EM$500)+IF($C15="",0,SUMIF('DADOS BRUTOS'!$A$3:$A$500,$C15,'DADOS BRUTOS'!EM$3:EM$500)))</f>
        <v/>
      </c>
      <c r="HN15" s="132">
        <f>IF(OR(HN$4="",$B15=""),0,SUMIF('DADOS BRUTOS'!$A$3:$A$500,$B15,'DADOS BRUTOS'!EN$3:EN$500)+IF($C15="",0,SUMIF('DADOS BRUTOS'!$A$3:$A$500,$C15,'DADOS BRUTOS'!EN$3:EN$500)))</f>
        <v/>
      </c>
      <c r="HO15" s="132">
        <f>IF(OR(HO$4="",$B15=""),0,SUMIF('DADOS BRUTOS'!$A$3:$A$500,$B15,'DADOS BRUTOS'!EO$3:EO$500)+IF($C15="",0,SUMIF('DADOS BRUTOS'!$A$3:$A$500,$C15,'DADOS BRUTOS'!EO$3:EO$500)))</f>
        <v/>
      </c>
      <c r="HP15" s="132">
        <f>IF(OR(HP$4="",$B15=""),0,SUMIF('DADOS BRUTOS'!$A$3:$A$500,$B15,'DADOS BRUTOS'!EP$3:EP$500)+IF($C15="",0,SUMIF('DADOS BRUTOS'!$A$3:$A$500,$C15,'DADOS BRUTOS'!EP$3:EP$500)))</f>
        <v/>
      </c>
      <c r="HQ15" s="132">
        <f>IF(OR(HQ$4="",$B15=""),0,SUMIF('DADOS BRUTOS'!$A$3:$A$500,$B15,'DADOS BRUTOS'!EQ$3:EQ$500)+IF($C15="",0,SUMIF('DADOS BRUTOS'!$A$3:$A$500,$C15,'DADOS BRUTOS'!EQ$3:EQ$500)))</f>
        <v/>
      </c>
      <c r="HR15" s="132">
        <f>IF(OR(HR$4="",$B15=""),0,SUMIF('DADOS BRUTOS'!$A$3:$A$500,$B15,'DADOS BRUTOS'!ER$3:ER$500)+IF($C15="",0,SUMIF('DADOS BRUTOS'!$A$3:$A$500,$C15,'DADOS BRUTOS'!ER$3:ER$500)))</f>
        <v/>
      </c>
      <c r="HS15" s="132">
        <f>IF(OR(HS$4="",$B15=""),0,SUMIF('DADOS BRUTOS'!$A$3:$A$500,$B15,'DADOS BRUTOS'!ES$3:ES$500)+IF($C15="",0,SUMIF('DADOS BRUTOS'!$A$3:$A$500,$C15,'DADOS BRUTOS'!ES$3:ES$500)))</f>
        <v/>
      </c>
      <c r="HT15" s="132">
        <f>IF(OR(HT$4="",$B15=""),0,SUMIF('DADOS BRUTOS'!$A$3:$A$500,$B15,'DADOS BRUTOS'!ET$3:ET$500)+IF($C15="",0,SUMIF('DADOS BRUTOS'!$A$3:$A$500,$C15,'DADOS BRUTOS'!ET$3:ET$500)))</f>
        <v/>
      </c>
      <c r="HU15" s="132">
        <f>IF(OR(HU$4="",$B15=""),0,SUMIF('DADOS BRUTOS'!$A$3:$A$500,$B15,'DADOS BRUTOS'!EU$3:EU$500)+IF($C15="",0,SUMIF('DADOS BRUTOS'!$A$3:$A$500,$C15,'DADOS BRUTOS'!EU$3:EU$500)))</f>
        <v/>
      </c>
      <c r="HV15" s="132">
        <f>IF(OR(HV$4="",$B15=""),0,SUMIF('DADOS BRUTOS'!$A$3:$A$500,$B15,'DADOS BRUTOS'!EV$3:EV$500)+IF($C15="",0,SUMIF('DADOS BRUTOS'!$A$3:$A$500,$C15,'DADOS BRUTOS'!EV$3:EV$500)))</f>
        <v/>
      </c>
      <c r="HW15" s="132">
        <f>IF(OR(HW$4="",$B15=""),0,SUMIF('DADOS BRUTOS'!$A$3:$A$500,$B15,'DADOS BRUTOS'!EW$3:EW$500)+IF($C15="",0,SUMIF('DADOS BRUTOS'!$A$3:$A$500,$C15,'DADOS BRUTOS'!EW$3:EW$500)))</f>
        <v/>
      </c>
      <c r="HX15" s="132">
        <f>IF(OR(HX$4="",$B15=""),0,SUMIF('DADOS BRUTOS'!$A$3:$A$500,$B15,'DADOS BRUTOS'!EX$3:EX$500)+IF($C15="",0,SUMIF('DADOS BRUTOS'!$A$3:$A$500,$C15,'DADOS BRUTOS'!EX$3:EX$500)))</f>
        <v/>
      </c>
      <c r="HY15" s="132">
        <f>IF(OR(HY$4="",$B15=""),0,SUMIF('DADOS BRUTOS'!$A$3:$A$500,$B15,'DADOS BRUTOS'!EY$3:EY$500)+IF($C15="",0,SUMIF('DADOS BRUTOS'!$A$3:$A$500,$C15,'DADOS BRUTOS'!EY$3:EY$500)))</f>
        <v/>
      </c>
      <c r="HZ15" s="132">
        <f>IF(OR(HZ$4="",$B15=""),0,SUMIF('DADOS BRUTOS'!$A$3:$A$500,$B15,'DADOS BRUTOS'!EZ$3:EZ$500)+IF($C15="",0,SUMIF('DADOS BRUTOS'!$A$3:$A$500,$C15,'DADOS BRUTOS'!EZ$3:EZ$500)))</f>
        <v/>
      </c>
      <c r="IA15" s="132">
        <f>IF(OR(IA$4="",$B15=""),0,SUMIF('DADOS BRUTOS'!$A$3:$A$500,$B15,'DADOS BRUTOS'!FA$3:FA$500)+IF($C15="",0,SUMIF('DADOS BRUTOS'!$A$3:$A$500,$C15,'DADOS BRUTOS'!FA$3:FA$500)))</f>
        <v/>
      </c>
      <c r="IB15" s="132">
        <f>IF(OR(IB$4="",$B15=""),0,SUMIF('DADOS BRUTOS'!$A$3:$A$500,$B15,'DADOS BRUTOS'!FB$3:FB$500)+IF($C15="",0,SUMIF('DADOS BRUTOS'!$A$3:$A$500,$C15,'DADOS BRUTOS'!FB$3:FB$500)))</f>
        <v/>
      </c>
      <c r="IC15" s="132">
        <f>IF(OR(IC$4="",$B15=""),0,SUMIF('DADOS BRUTOS'!$A$3:$A$500,$B15,'DADOS BRUTOS'!FC$3:FC$500)+IF($C15="",0,SUMIF('DADOS BRUTOS'!$A$3:$A$500,$C15,'DADOS BRUTOS'!FC$3:FC$500)))</f>
        <v/>
      </c>
      <c r="ID15" s="132">
        <f>IF(OR(ID$4="",$B15=""),0,SUMIF('DADOS BRUTOS'!$A$3:$A$500,$B15,'DADOS BRUTOS'!FD$3:FD$500)+IF($C15="",0,SUMIF('DADOS BRUTOS'!$A$3:$A$500,$C15,'DADOS BRUTOS'!FD$3:FD$500)))</f>
        <v/>
      </c>
      <c r="IE15" s="132">
        <f>IF(OR(IE$4="",$B15=""),0,SUMIF('DADOS BRUTOS'!$A$3:$A$500,$B15,'DADOS BRUTOS'!FE$3:FE$500)+IF($C15="",0,SUMIF('DADOS BRUTOS'!$A$3:$A$500,$C15,'DADOS BRUTOS'!FE$3:FE$500)))</f>
        <v/>
      </c>
      <c r="IF15" s="132">
        <f>IF(OR(IF$4="",$B15=""),0,SUMIF('DADOS BRUTOS'!$A$3:$A$500,$B15,'DADOS BRUTOS'!FF$3:FF$500)+IF($C15="",0,SUMIF('DADOS BRUTOS'!$A$3:$A$500,$C15,'DADOS BRUTOS'!FF$3:FF$500)))</f>
        <v/>
      </c>
      <c r="IG15" s="132">
        <f>IF(OR(IG$4="",$B15=""),0,SUMIF('DADOS BRUTOS'!$A$3:$A$500,$B15,'DADOS BRUTOS'!FG$3:FG$500)+IF($C15="",0,SUMIF('DADOS BRUTOS'!$A$3:$A$500,$C15,'DADOS BRUTOS'!FG$3:FG$500)))</f>
        <v/>
      </c>
      <c r="IH15" s="132">
        <f>IF(OR(IH$4="",$B15=""),0,SUMIF('DADOS BRUTOS'!$A$3:$A$500,$B15,'DADOS BRUTOS'!FH$3:FH$500)+IF($C15="",0,SUMIF('DADOS BRUTOS'!$A$3:$A$500,$C15,'DADOS BRUTOS'!FH$3:FH$500)))</f>
        <v/>
      </c>
      <c r="II15" s="132">
        <f>IF(OR(II$4="",$B15=""),0,SUMIF('DADOS BRUTOS'!$A$3:$A$500,$B15,'DADOS BRUTOS'!FI$3:FI$500)+IF($C15="",0,SUMIF('DADOS BRUTOS'!$A$3:$A$500,$C15,'DADOS BRUTOS'!FI$3:FI$500)))</f>
        <v/>
      </c>
      <c r="IJ15" s="132">
        <f>IF(OR(IJ$4="",$B15=""),0,SUMIF('DADOS BRUTOS'!$A$3:$A$500,$B15,'DADOS BRUTOS'!FJ$3:FJ$500)+IF($C15="",0,SUMIF('DADOS BRUTOS'!$A$3:$A$500,$C15,'DADOS BRUTOS'!FJ$3:FJ$500)))</f>
        <v/>
      </c>
      <c r="IK15" s="132">
        <f>IF(OR(IK$4="",$B15=""),0,SUMIF('DADOS BRUTOS'!$A$3:$A$500,$B15,'DADOS BRUTOS'!FK$3:FK$500)+IF($C15="",0,SUMIF('DADOS BRUTOS'!$A$3:$A$500,$C15,'DADOS BRUTOS'!FK$3:FK$500)))</f>
        <v/>
      </c>
      <c r="IL15" s="132">
        <f>IF(OR(IL$4="",$B15=""),0,SUMIF('DADOS BRUTOS'!$A$3:$A$500,$B15,'DADOS BRUTOS'!FL$3:FL$500)+IF($C15="",0,SUMIF('DADOS BRUTOS'!$A$3:$A$500,$C15,'DADOS BRUTOS'!FL$3:FL$500)))</f>
        <v/>
      </c>
      <c r="IM15" s="132">
        <f>IF(OR(IM$4="",$B15=""),0,SUMIF('DADOS BRUTOS'!$A$3:$A$500,$B15,'DADOS BRUTOS'!FM$3:FM$500)+IF($C15="",0,SUMIF('DADOS BRUTOS'!$A$3:$A$500,$C15,'DADOS BRUTOS'!FM$3:FM$500)))</f>
        <v/>
      </c>
      <c r="IN15" s="132">
        <f>IF(OR(IN$4="",$B15=""),0,SUMIF('DADOS BRUTOS'!$A$3:$A$500,$B15,'DADOS BRUTOS'!FN$3:FN$500)+IF($C15="",0,SUMIF('DADOS BRUTOS'!$A$3:$A$500,$C15,'DADOS BRUTOS'!FN$3:FN$500)))</f>
        <v/>
      </c>
      <c r="IO15" s="132">
        <f>IF(OR(IO$4="",$B15=""),0,SUMIF('DADOS BRUTOS'!$A$3:$A$500,$B15,'DADOS BRUTOS'!FO$3:FO$500)+IF($C15="",0,SUMIF('DADOS BRUTOS'!$A$3:$A$500,$C15,'DADOS BRUTOS'!FO$3:FO$500)))</f>
        <v/>
      </c>
      <c r="IP15" s="132">
        <f>IF(OR(IP$4="",$B15=""),0,SUMIF('DADOS BRUTOS'!$A$3:$A$500,$B15,'DADOS BRUTOS'!FP$3:FP$500)+IF($C15="",0,SUMIF('DADOS BRUTOS'!$A$3:$A$500,$C15,'DADOS BRUTOS'!FP$3:FP$500)))</f>
        <v/>
      </c>
      <c r="IQ15" s="132">
        <f>IF(OR(IQ$4="",$B15=""),0,SUMIF('DADOS BRUTOS'!$A$3:$A$500,$B15,'DADOS BRUTOS'!FQ$3:FQ$500)+IF($C15="",0,SUMIF('DADOS BRUTOS'!$A$3:$A$500,$C15,'DADOS BRUTOS'!FQ$3:FQ$500)))</f>
        <v/>
      </c>
      <c r="IR15" s="132">
        <f>IF(OR(IR$4="",$B15=""),0,SUMIF('DADOS BRUTOS'!$A$3:$A$500,$B15,'DADOS BRUTOS'!FR$3:FR$500)+IF($C15="",0,SUMIF('DADOS BRUTOS'!$A$3:$A$500,$C15,'DADOS BRUTOS'!FR$3:FR$500)))</f>
        <v/>
      </c>
      <c r="IS15" s="132">
        <f>IF(OR(IS$4="",$B15=""),0,SUMIF('DADOS BRUTOS'!$A$3:$A$500,$B15,'DADOS BRUTOS'!FS$3:FS$500)+IF($C15="",0,SUMIF('DADOS BRUTOS'!$A$3:$A$500,$C15,'DADOS BRUTOS'!FS$3:FS$500)))</f>
        <v/>
      </c>
      <c r="IT15" s="132">
        <f>IF(OR(IT$4="",$B15=""),0,SUMIF('DADOS BRUTOS'!$A$3:$A$500,$B15,'DADOS BRUTOS'!FT$3:FT$500)+IF($C15="",0,SUMIF('DADOS BRUTOS'!$A$3:$A$500,$C15,'DADOS BRUTOS'!FT$3:FT$500)))</f>
        <v/>
      </c>
      <c r="IU15" s="132">
        <f>IF(OR(IU$4="",$B15=""),0,SUMIF('DADOS BRUTOS'!$A$3:$A$500,$B15,'DADOS BRUTOS'!FU$3:FU$500)+IF($C15="",0,SUMIF('DADOS BRUTOS'!$A$3:$A$500,$C15,'DADOS BRUTOS'!FU$3:FU$500)))</f>
        <v/>
      </c>
      <c r="IV15" s="132">
        <f>IF(OR(IV$4="",$B15=""),0,SUMIF('DADOS BRUTOS'!$A$3:$A$500,$B15,'DADOS BRUTOS'!FV$3:FV$500)+IF($C15="",0,SUMIF('DADOS BRUTOS'!$A$3:$A$500,$C15,'DADOS BRUTOS'!FV$3:FV$500)))</f>
        <v/>
      </c>
      <c r="IW15" s="132">
        <f>IF(OR(IW$4="",$B15=""),0,SUMIF('DADOS BRUTOS'!$A$3:$A$500,$B15,'DADOS BRUTOS'!FW$3:FW$500)+IF($C15="",0,SUMIF('DADOS BRUTOS'!$A$3:$A$500,$C15,'DADOS BRUTOS'!FW$3:FW$500)))</f>
        <v/>
      </c>
      <c r="IX15" s="132">
        <f>IF(OR(IX$4="",$B15=""),0,SUMIF('DADOS BRUTOS'!$A$3:$A$500,$B15,'DADOS BRUTOS'!FX$3:FX$500)+IF($C15="",0,SUMIF('DADOS BRUTOS'!$A$3:$A$500,$C15,'DADOS BRUTOS'!FX$3:FX$500)))</f>
        <v/>
      </c>
      <c r="IY15" s="132">
        <f>IF(OR(IY$4="",$B15=""),0,SUMIF('DADOS BRUTOS'!$A$3:$A$500,$B15,'DADOS BRUTOS'!FY$3:FY$500)+IF($C15="",0,SUMIF('DADOS BRUTOS'!$A$3:$A$500,$C15,'DADOS BRUTOS'!FY$3:FY$500)))</f>
        <v/>
      </c>
      <c r="IZ15" s="132">
        <f>IF(OR(IZ$4="",$B15=""),0,SUMIF('DADOS BRUTOS'!$A$3:$A$500,$B15,'DADOS BRUTOS'!FZ$3:FZ$500)+IF($C15="",0,SUMIF('DADOS BRUTOS'!$A$3:$A$500,$C15,'DADOS BRUTOS'!FZ$3:FZ$500)))</f>
        <v/>
      </c>
      <c r="JA15" s="132">
        <f>IF(OR(JA$4="",$B15=""),0,SUMIF('DADOS BRUTOS'!$A$3:$A$500,$B15,'DADOS BRUTOS'!GA$3:GA$500)+IF($C15="",0,SUMIF('DADOS BRUTOS'!$A$3:$A$500,$C15,'DADOS BRUTOS'!GA$3:GA$500)))</f>
        <v/>
      </c>
      <c r="JB15" s="132">
        <f>IF(OR(JB$4="",$B15=""),0,SUMIF('DADOS BRUTOS'!$A$3:$A$500,$B15,'DADOS BRUTOS'!GB$3:GB$500)+IF($C15="",0,SUMIF('DADOS BRUTOS'!$A$3:$A$500,$C15,'DADOS BRUTOS'!GB$3:GB$500)))</f>
        <v/>
      </c>
      <c r="JC15" s="132">
        <f>IF(OR(JC$4="",$B15=""),0,SUMIF('DADOS BRUTOS'!$A$3:$A$500,$B15,'DADOS BRUTOS'!GC$3:GC$500)+IF($C15="",0,SUMIF('DADOS BRUTOS'!$A$3:$A$500,$C15,'DADOS BRUTOS'!GC$3:GC$500)))</f>
        <v/>
      </c>
      <c r="JD15" s="132">
        <f>IF(OR(JD$4="",$B15=""),0,SUMIF('DADOS BRUTOS'!$A$3:$A$500,$B15,'DADOS BRUTOS'!GD$3:GD$500)+IF($C15="",0,SUMIF('DADOS BRUTOS'!$A$3:$A$500,$C15,'DADOS BRUTOS'!GD$3:GD$500)))</f>
        <v/>
      </c>
      <c r="JE15" s="132">
        <f>IF(OR(JE$4="",$B15=""),0,SUMIF('DADOS BRUTOS'!$A$3:$A$500,$B15,'DADOS BRUTOS'!GE$3:GE$500)+IF($C15="",0,SUMIF('DADOS BRUTOS'!$A$3:$A$500,$C15,'DADOS BRUTOS'!GE$3:GE$500)))</f>
        <v/>
      </c>
      <c r="JF15" s="132">
        <f>IF(OR(JF$4="",$B15=""),0,SUMIF('DADOS BRUTOS'!$A$3:$A$500,$B15,'DADOS BRUTOS'!GF$3:GF$500)+IF($C15="",0,SUMIF('DADOS BRUTOS'!$A$3:$A$500,$C15,'DADOS BRUTOS'!GF$3:GF$500)))</f>
        <v/>
      </c>
      <c r="JG15" s="132">
        <f>IF(OR(JG$4="",$B15=""),0,SUMIF('DADOS BRUTOS'!$A$3:$A$500,$B15,'DADOS BRUTOS'!GG$3:GG$500)+IF($C15="",0,SUMIF('DADOS BRUTOS'!$A$3:$A$500,$C15,'DADOS BRUTOS'!GG$3:GG$500)))</f>
        <v/>
      </c>
      <c r="JH15" s="132">
        <f>IF(OR(JH$4="",$B15=""),0,SUMIF('DADOS BRUTOS'!$A$3:$A$500,$B15,'DADOS BRUTOS'!GH$3:GH$500)+IF($C15="",0,SUMIF('DADOS BRUTOS'!$A$3:$A$500,$C15,'DADOS BRUTOS'!GH$3:GH$500)))</f>
        <v/>
      </c>
      <c r="JI15" s="132">
        <f>IF(OR(JI$4="",$B15=""),0,SUMIF('DADOS BRUTOS'!$A$3:$A$500,$B15,'DADOS BRUTOS'!GI$3:GI$500)+IF($C15="",0,SUMIF('DADOS BRUTOS'!$A$3:$A$500,$C15,'DADOS BRUTOS'!GI$3:GI$500)))</f>
        <v/>
      </c>
      <c r="JJ15" s="132">
        <f>IF(OR(JJ$4="",$B15=""),0,SUMIF('DADOS BRUTOS'!$A$3:$A$500,$B15,'DADOS BRUTOS'!GJ$3:GJ$500)+IF($C15="",0,SUMIF('DADOS BRUTOS'!$A$3:$A$500,$C15,'DADOS BRUTOS'!GJ$3:GJ$500)))</f>
        <v/>
      </c>
      <c r="JK15" s="132">
        <f>IF(OR(JK$4="",$B15=""),0,SUMIF('DADOS BRUTOS'!$A$3:$A$500,$B15,'DADOS BRUTOS'!GK$3:GK$500)+IF($C15="",0,SUMIF('DADOS BRUTOS'!$A$3:$A$500,$C15,'DADOS BRUTOS'!GK$3:GK$500)))</f>
        <v/>
      </c>
      <c r="JL15" s="132">
        <f>IF(OR(JL$4="",$B15=""),0,SUMIF('DADOS BRUTOS'!$A$3:$A$500,$B15,'DADOS BRUTOS'!GL$3:GL$500)+IF($C15="",0,SUMIF('DADOS BRUTOS'!$A$3:$A$500,$C15,'DADOS BRUTOS'!GL$3:GL$500)))</f>
        <v/>
      </c>
      <c r="JM15" s="132">
        <f>IF(OR(JM$4="",$B15=""),0,SUMIF('DADOS BRUTOS'!$A$3:$A$500,$B15,'DADOS BRUTOS'!GM$3:GM$500)+IF($C15="",0,SUMIF('DADOS BRUTOS'!$A$3:$A$500,$C15,'DADOS BRUTOS'!GM$3:GM$500)))</f>
        <v/>
      </c>
      <c r="JN15" s="132">
        <f>IF(OR(JN$4="",$B15=""),0,SUMIF('DADOS BRUTOS'!$A$3:$A$500,$B15,'DADOS BRUTOS'!GN$3:GN$500)+IF($C15="",0,SUMIF('DADOS BRUTOS'!$A$3:$A$500,$C15,'DADOS BRUTOS'!GN$3:GN$500)))</f>
        <v/>
      </c>
      <c r="JO15" s="132">
        <f>IF(OR(JO$4="",$B15=""),0,SUMIF('DADOS BRUTOS'!$A$3:$A$500,$B15,'DADOS BRUTOS'!GO$3:GO$500)+IF($C15="",0,SUMIF('DADOS BRUTOS'!$A$3:$A$500,$C15,'DADOS BRUTOS'!GO$3:GO$500)))</f>
        <v/>
      </c>
      <c r="JP15" s="132">
        <f>IF(OR(JP$4="",$B15=""),0,SUMIF('DADOS BRUTOS'!$A$3:$A$500,$B15,'DADOS BRUTOS'!GP$3:GP$500)+IF($C15="",0,SUMIF('DADOS BRUTOS'!$A$3:$A$500,$C15,'DADOS BRUTOS'!GP$3:GP$500)))</f>
        <v/>
      </c>
      <c r="JQ15" s="132">
        <f>IF(OR(JQ$4="",$B15=""),0,SUMIF('DADOS BRUTOS'!$A$3:$A$500,$B15,'DADOS BRUTOS'!GQ$3:GQ$500)+IF($C15="",0,SUMIF('DADOS BRUTOS'!$A$3:$A$500,$C15,'DADOS BRUTOS'!GQ$3:GQ$500)))</f>
        <v/>
      </c>
      <c r="JR15" s="132">
        <f>IF(OR(JR$4="",$B15=""),0,SUMIF('DADOS BRUTOS'!$A$3:$A$500,$B15,'DADOS BRUTOS'!GR$3:GR$500)+IF($C15="",0,SUMIF('DADOS BRUTOS'!$A$3:$A$500,$C15,'DADOS BRUTOS'!GR$3:GR$500)))</f>
        <v/>
      </c>
      <c r="JS15" s="132">
        <f>IF(OR(JS$4="",$B15=""),0,SUMIF('DADOS BRUTOS'!$A$3:$A$500,$B15,'DADOS BRUTOS'!GS$3:GS$500)+IF($C15="",0,SUMIF('DADOS BRUTOS'!$A$3:$A$500,$C15,'DADOS BRUTOS'!GS$3:GS$500)))</f>
        <v/>
      </c>
    </row>
    <row r="16">
      <c r="A16" s="61">
        <f>'VALOR POR PL'!D22</f>
        <v/>
      </c>
      <c r="B16" s="59" t="inlineStr">
        <is>
          <t>SERVIÇOS INICIAIS</t>
        </is>
      </c>
      <c r="C16" s="59" t="n"/>
      <c r="D16" s="54">
        <f>SUMIF($CB$4:$JS$4,"&lt;="&amp;D$4,$CB16:$JS16)</f>
        <v/>
      </c>
      <c r="E16" s="54">
        <f>SUMIF($CB$4:$JS$4,E$4,$CB16:$JS16)</f>
        <v/>
      </c>
      <c r="F16" s="54">
        <f>SUMIF($CB$4:$JS$4,F$4,$CB16:$JS16)</f>
        <v/>
      </c>
      <c r="G16" s="54">
        <f>SUMIF($CB$4:$JS$4,G$4,$CB16:$JS16)</f>
        <v/>
      </c>
      <c r="H16" s="54">
        <f>SUMIF($CB$4:$JS$4,H$4,$CB16:$JS16)</f>
        <v/>
      </c>
      <c r="I16" s="54">
        <f>SUMIF($CB$4:$JS$4,I$4,$CB16:$JS16)</f>
        <v/>
      </c>
      <c r="J16" s="54">
        <f>SUMIF($CB$4:$JS$4,J$4,$CB16:$JS16)</f>
        <v/>
      </c>
      <c r="K16" s="54">
        <f>SUMIF($CB$4:$JS$4,K$4,$CB16:$JS16)</f>
        <v/>
      </c>
      <c r="L16" s="54">
        <f>SUMIF($CB$4:$JS$4,L$4,$CB16:$JS16)</f>
        <v/>
      </c>
      <c r="M16" s="54">
        <f>SUMIF($CB$4:$JS$4,M$4,$CB16:$JS16)</f>
        <v/>
      </c>
      <c r="N16" s="54">
        <f>SUMIF($CB$4:$JS$4,N$4,$CB16:$JS16)</f>
        <v/>
      </c>
      <c r="O16" s="54">
        <f>SUMIF($CB$4:$JS$4,O$4,$CB16:$JS16)</f>
        <v/>
      </c>
      <c r="P16" s="54">
        <f>SUMIF($CB$4:$JS$4,P$4,$CB16:$JS16)</f>
        <v/>
      </c>
      <c r="Q16" s="54">
        <f>SUMIF($CB$4:$JS$4,Q$4,$CB16:$JS16)</f>
        <v/>
      </c>
      <c r="R16" s="54">
        <f>SUMIF($CB$4:$JS$4,R$4,$CB16:$JS16)</f>
        <v/>
      </c>
      <c r="S16" s="54">
        <f>SUMIF($CB$4:$JS$4,S$4,$CB16:$JS16)</f>
        <v/>
      </c>
      <c r="T16" s="54">
        <f>SUMIF($CB$4:$JS$4,T$4,$CB16:$JS16)</f>
        <v/>
      </c>
      <c r="U16" s="54">
        <f>SUMIF($CB$4:$JS$4,U$4,$CB16:$JS16)</f>
        <v/>
      </c>
      <c r="V16" s="54">
        <f>SUMIF($CB$4:$JS$4,V$4,$CB16:$JS16)</f>
        <v/>
      </c>
      <c r="W16" s="54">
        <f>SUMIF($CB$4:$JS$4,W$4,$CB16:$JS16)</f>
        <v/>
      </c>
      <c r="X16" s="54">
        <f>SUMIF($CB$4:$JS$4,X$4,$CB16:$JS16)</f>
        <v/>
      </c>
      <c r="Y16" s="54">
        <f>SUMIF($CB$4:$JS$4,Y$4,$CB16:$JS16)</f>
        <v/>
      </c>
      <c r="Z16" s="54">
        <f>SUMIF($CB$4:$JS$4,Z$4,$CB16:$JS16)</f>
        <v/>
      </c>
      <c r="AA16" s="54">
        <f>SUMIF($CB$4:$JS$4,AA$4,$CB16:$JS16)</f>
        <v/>
      </c>
      <c r="AB16" s="54">
        <f>SUMIF($CB$4:$JS$4,AB$4,$CB16:$JS16)</f>
        <v/>
      </c>
      <c r="AC16" s="54">
        <f>SUMIF($CB$4:$JS$4,AC$4,$CB16:$JS16)</f>
        <v/>
      </c>
      <c r="AD16" s="54">
        <f>SUMIF($CB$4:$JS$4,AD$4,$CB16:$JS16)</f>
        <v/>
      </c>
      <c r="AE16" s="54">
        <f>SUMIF($CB$4:$JS$4,AE$4,$CB16:$JS16)</f>
        <v/>
      </c>
      <c r="AF16" s="54">
        <f>SUMIF($CB$4:$JS$4,AF$4,$CB16:$JS16)</f>
        <v/>
      </c>
      <c r="AG16" s="54">
        <f>SUMIF($CB$4:$JS$4,AG$4,$CB16:$JS16)</f>
        <v/>
      </c>
      <c r="AH16" s="54">
        <f>SUMIF($CB$4:$JS$4,AH$4,$CB16:$JS16)</f>
        <v/>
      </c>
      <c r="AI16" s="54">
        <f>SUMIF($CB$4:$JS$4,AI$4,$CB16:$JS16)</f>
        <v/>
      </c>
      <c r="AJ16" s="54">
        <f>SUMIF($CB$4:$JS$4,AJ$4,$CB16:$JS16)</f>
        <v/>
      </c>
      <c r="AK16" s="54">
        <f>SUMIF($CB$4:$JS$4,AK$4,$CB16:$JS16)</f>
        <v/>
      </c>
      <c r="AL16" s="54">
        <f>SUMIF($CB$4:$JS$4,AL$4,$CB16:$JS16)</f>
        <v/>
      </c>
      <c r="AM16" s="54">
        <f>SUMIF($CB$4:$JS$4,AM$4,$CB16:$JS16)</f>
        <v/>
      </c>
      <c r="AN16" s="54">
        <f>SUMIF($CB$4:$JS$4,AN$4,$CB16:$JS16)</f>
        <v/>
      </c>
      <c r="AO16" s="54">
        <f>SUMIF($CB$4:$JS$4,AO$4,$CB16:$JS16)</f>
        <v/>
      </c>
      <c r="AP16" s="54">
        <f>SUMIF($CB$4:$JS$4,AP$4,$CB16:$JS16)</f>
        <v/>
      </c>
      <c r="AQ16" s="54">
        <f>SUMIF($CB$4:$JS$4,AQ$4,$CB16:$JS16)</f>
        <v/>
      </c>
      <c r="AR16" s="54">
        <f>SUMIF($CB$4:$JS$4,AR$4,$CB16:$JS16)</f>
        <v/>
      </c>
      <c r="AS16" s="54">
        <f>SUMIF($CB$4:$JS$4,AS$4,$CB16:$JS16)</f>
        <v/>
      </c>
      <c r="AT16" s="54">
        <f>SUMIF($CB$4:$JS$4,AT$4,$CB16:$JS16)</f>
        <v/>
      </c>
      <c r="AU16" s="54">
        <f>SUMIF($CB$4:$JS$4,AU$4,$CB16:$JS16)</f>
        <v/>
      </c>
      <c r="AV16" s="54">
        <f>SUMIF($CB$4:$JS$4,AV$4,$CB16:$JS16)</f>
        <v/>
      </c>
      <c r="AW16" s="54">
        <f>SUMIF($CB$4:$JS$4,AW$4,$CB16:$JS16)</f>
        <v/>
      </c>
      <c r="AX16" s="54">
        <f>SUMIF($CB$4:$JS$4,AX$4,$CB16:$JS16)</f>
        <v/>
      </c>
      <c r="AY16" s="54">
        <f>SUMIF($CB$4:$JS$4,AY$4,$CB16:$JS16)</f>
        <v/>
      </c>
      <c r="AZ16" s="54">
        <f>SUMIF($CB$4:$JS$4,AZ$4,$CB16:$JS16)</f>
        <v/>
      </c>
      <c r="BA16" s="54">
        <f>SUMIF($CB$4:$JS$4,BA$4,$CB16:$JS16)</f>
        <v/>
      </c>
      <c r="BB16" s="54">
        <f>SUMIF($CB$4:$JS$4,BB$4,$CB16:$JS16)</f>
        <v/>
      </c>
      <c r="BC16" s="54">
        <f>SUMIF($CB$4:$JS$4,BC$4,$CB16:$JS16)</f>
        <v/>
      </c>
      <c r="BD16" s="54">
        <f>SUMIF($CB$4:$JS$4,BD$4,$CB16:$JS16)</f>
        <v/>
      </c>
      <c r="BE16" s="54">
        <f>SUMIF($CB$4:$JS$4,BE$4,$CB16:$JS16)</f>
        <v/>
      </c>
      <c r="BF16" s="54">
        <f>SUMIF($CB$4:$JS$4,BF$4,$CB16:$JS16)</f>
        <v/>
      </c>
      <c r="BG16" s="54">
        <f>SUMIF($CB$4:$JS$4,BG$4,$CB16:$JS16)</f>
        <v/>
      </c>
      <c r="BH16" s="54">
        <f>SUMIF($CB$4:$JS$4,BH$4,$CB16:$JS16)</f>
        <v/>
      </c>
      <c r="BI16" s="54">
        <f>SUMIF($CB$4:$JS$4,BI$4,$CB16:$JS16)</f>
        <v/>
      </c>
      <c r="BJ16" s="54">
        <f>SUMIF($CB$4:$JS$4,BJ$4,$CB16:$JS16)</f>
        <v/>
      </c>
      <c r="BK16" s="54">
        <f>SUMIF($CB$4:$JS$4,BK$4,$CB16:$JS16)</f>
        <v/>
      </c>
      <c r="BL16" s="54">
        <f>SUMIF($CB$4:$JS$4,BL$4,$CB16:$JS16)</f>
        <v/>
      </c>
      <c r="BM16" s="54">
        <f>SUMIF($CB$4:$JS$4,BM$4,$CB16:$JS16)</f>
        <v/>
      </c>
      <c r="BN16" s="54">
        <f>SUMIF($CB$4:$JS$4,BN$4,$CB16:$JS16)</f>
        <v/>
      </c>
      <c r="BO16" s="54">
        <f>SUMIF($CB$4:$JS$4,BO$4,$CB16:$JS16)</f>
        <v/>
      </c>
      <c r="BP16" s="54">
        <f>SUMIF($CB$4:$JS$4,BP$4,$CB16:$JS16)</f>
        <v/>
      </c>
      <c r="BQ16" s="54">
        <f>SUMIF($CB$4:$JS$4,BQ$4,$CB16:$JS16)</f>
        <v/>
      </c>
      <c r="BR16" s="54">
        <f>SUMIF($CB$4:$JS$4,BR$4,$CB16:$JS16)</f>
        <v/>
      </c>
      <c r="BS16" s="54">
        <f>SUMIF($CB$4:$JS$4,BS$4,$CB16:$JS16)</f>
        <v/>
      </c>
      <c r="BT16" s="54">
        <f>SUMIF($CB$4:$JS$4,BT$4,$CB16:$JS16)</f>
        <v/>
      </c>
      <c r="BU16" s="54">
        <f>SUMIF($CB$4:$JS$4,BU$4,$CB16:$JS16)</f>
        <v/>
      </c>
      <c r="BV16" s="54">
        <f>SUMIF($CB$4:$JS$4,BV$4,$CB16:$JS16)</f>
        <v/>
      </c>
      <c r="BW16" s="54">
        <f>SUMIF($CB$4:$JS$4,BW$4,$CB16:$JS16)</f>
        <v/>
      </c>
      <c r="BX16" s="54">
        <f>SUMIF($CB$4:$JS$4,"&gt;"&amp;'VALOR POR PL'!$P$8,$CB16:$JS16)</f>
        <v/>
      </c>
      <c r="BY16" s="54">
        <f>SUM($CB16:$JS16)</f>
        <v/>
      </c>
      <c r="BZ16" s="49">
        <f>SUMPRODUCT(($CB$4:$JS$4&lt;&gt;"")*($CB$4:$JS$4&lt;=$D$4),$CB16:$JS16,$CB$1:$JS$1)</f>
        <v/>
      </c>
      <c r="CB16" s="132">
        <f>IF(OR(CB$4="",$B16=""),0,SUMIF('DADOS BRUTOS'!$A$3:$A$500,$B16,'DADOS BRUTOS'!B$3:B$500)+IF($C16="",0,SUMIF('DADOS BRUTOS'!$A$3:$A$500,$C16,'DADOS BRUTOS'!B$3:B$500)))</f>
        <v/>
      </c>
      <c r="CC16" s="132">
        <f>IF(OR(CC$4="",$B16=""),0,SUMIF('DADOS BRUTOS'!$A$3:$A$500,$B16,'DADOS BRUTOS'!C$3:C$500)+IF($C16="",0,SUMIF('DADOS BRUTOS'!$A$3:$A$500,$C16,'DADOS BRUTOS'!C$3:C$500)))</f>
        <v/>
      </c>
      <c r="CD16" s="132">
        <f>IF(OR(CD$4="",$B16=""),0,SUMIF('DADOS BRUTOS'!$A$3:$A$500,$B16,'DADOS BRUTOS'!D$3:D$500)+IF($C16="",0,SUMIF('DADOS BRUTOS'!$A$3:$A$500,$C16,'DADOS BRUTOS'!D$3:D$500)))</f>
        <v/>
      </c>
      <c r="CE16" s="132">
        <f>IF(OR(CE$4="",$B16=""),0,SUMIF('DADOS BRUTOS'!$A$3:$A$500,$B16,'DADOS BRUTOS'!E$3:E$500)+IF($C16="",0,SUMIF('DADOS BRUTOS'!$A$3:$A$500,$C16,'DADOS BRUTOS'!E$3:E$500)))</f>
        <v/>
      </c>
      <c r="CF16" s="132">
        <f>IF(OR(CF$4="",$B16=""),0,SUMIF('DADOS BRUTOS'!$A$3:$A$500,$B16,'DADOS BRUTOS'!F$3:F$500)+IF($C16="",0,SUMIF('DADOS BRUTOS'!$A$3:$A$500,$C16,'DADOS BRUTOS'!F$3:F$500)))</f>
        <v/>
      </c>
      <c r="CG16" s="132">
        <f>IF(OR(CG$4="",$B16=""),0,SUMIF('DADOS BRUTOS'!$A$3:$A$500,$B16,'DADOS BRUTOS'!G$3:G$500)+IF($C16="",0,SUMIF('DADOS BRUTOS'!$A$3:$A$500,$C16,'DADOS BRUTOS'!G$3:G$500)))</f>
        <v/>
      </c>
      <c r="CH16" s="132">
        <f>IF(OR(CH$4="",$B16=""),0,SUMIF('DADOS BRUTOS'!$A$3:$A$500,$B16,'DADOS BRUTOS'!H$3:H$500)+IF($C16="",0,SUMIF('DADOS BRUTOS'!$A$3:$A$500,$C16,'DADOS BRUTOS'!H$3:H$500)))</f>
        <v/>
      </c>
      <c r="CI16" s="132">
        <f>IF(OR(CI$4="",$B16=""),0,SUMIF('DADOS BRUTOS'!$A$3:$A$500,$B16,'DADOS BRUTOS'!I$3:I$500)+IF($C16="",0,SUMIF('DADOS BRUTOS'!$A$3:$A$500,$C16,'DADOS BRUTOS'!I$3:I$500)))</f>
        <v/>
      </c>
      <c r="CJ16" s="132">
        <f>IF(OR(CJ$4="",$B16=""),0,SUMIF('DADOS BRUTOS'!$A$3:$A$500,$B16,'DADOS BRUTOS'!J$3:J$500)+IF($C16="",0,SUMIF('DADOS BRUTOS'!$A$3:$A$500,$C16,'DADOS BRUTOS'!J$3:J$500)))</f>
        <v/>
      </c>
      <c r="CK16" s="132">
        <f>IF(OR(CK$4="",$B16=""),0,SUMIF('DADOS BRUTOS'!$A$3:$A$500,$B16,'DADOS BRUTOS'!K$3:K$500)+IF($C16="",0,SUMIF('DADOS BRUTOS'!$A$3:$A$500,$C16,'DADOS BRUTOS'!K$3:K$500)))</f>
        <v/>
      </c>
      <c r="CL16" s="132">
        <f>IF(OR(CL$4="",$B16=""),0,SUMIF('DADOS BRUTOS'!$A$3:$A$500,$B16,'DADOS BRUTOS'!L$3:L$500)+IF($C16="",0,SUMIF('DADOS BRUTOS'!$A$3:$A$500,$C16,'DADOS BRUTOS'!L$3:L$500)))</f>
        <v/>
      </c>
      <c r="CM16" s="132">
        <f>IF(OR(CM$4="",$B16=""),0,SUMIF('DADOS BRUTOS'!$A$3:$A$500,$B16,'DADOS BRUTOS'!M$3:M$500)+IF($C16="",0,SUMIF('DADOS BRUTOS'!$A$3:$A$500,$C16,'DADOS BRUTOS'!M$3:M$500)))</f>
        <v/>
      </c>
      <c r="CN16" s="132">
        <f>IF(OR(CN$4="",$B16=""),0,SUMIF('DADOS BRUTOS'!$A$3:$A$500,$B16,'DADOS BRUTOS'!N$3:N$500)+IF($C16="",0,SUMIF('DADOS BRUTOS'!$A$3:$A$500,$C16,'DADOS BRUTOS'!N$3:N$500)))</f>
        <v/>
      </c>
      <c r="CO16" s="132">
        <f>IF(OR(CO$4="",$B16=""),0,SUMIF('DADOS BRUTOS'!$A$3:$A$500,$B16,'DADOS BRUTOS'!O$3:O$500)+IF($C16="",0,SUMIF('DADOS BRUTOS'!$A$3:$A$500,$C16,'DADOS BRUTOS'!O$3:O$500)))</f>
        <v/>
      </c>
      <c r="CP16" s="132">
        <f>IF(OR(CP$4="",$B16=""),0,SUMIF('DADOS BRUTOS'!$A$3:$A$500,$B16,'DADOS BRUTOS'!P$3:P$500)+IF($C16="",0,SUMIF('DADOS BRUTOS'!$A$3:$A$500,$C16,'DADOS BRUTOS'!P$3:P$500)))</f>
        <v/>
      </c>
      <c r="CQ16" s="132">
        <f>IF(OR(CQ$4="",$B16=""),0,SUMIF('DADOS BRUTOS'!$A$3:$A$500,$B16,'DADOS BRUTOS'!Q$3:Q$500)+IF($C16="",0,SUMIF('DADOS BRUTOS'!$A$3:$A$500,$C16,'DADOS BRUTOS'!Q$3:Q$500)))</f>
        <v/>
      </c>
      <c r="CR16" s="132">
        <f>IF(OR(CR$4="",$B16=""),0,SUMIF('DADOS BRUTOS'!$A$3:$A$500,$B16,'DADOS BRUTOS'!R$3:R$500)+IF($C16="",0,SUMIF('DADOS BRUTOS'!$A$3:$A$500,$C16,'DADOS BRUTOS'!R$3:R$500)))</f>
        <v/>
      </c>
      <c r="CS16" s="132">
        <f>IF(OR(CS$4="",$B16=""),0,SUMIF('DADOS BRUTOS'!$A$3:$A$500,$B16,'DADOS BRUTOS'!S$3:S$500)+IF($C16="",0,SUMIF('DADOS BRUTOS'!$A$3:$A$500,$C16,'DADOS BRUTOS'!S$3:S$500)))</f>
        <v/>
      </c>
      <c r="CT16" s="132">
        <f>IF(OR(CT$4="",$B16=""),0,SUMIF('DADOS BRUTOS'!$A$3:$A$500,$B16,'DADOS BRUTOS'!T$3:T$500)+IF($C16="",0,SUMIF('DADOS BRUTOS'!$A$3:$A$500,$C16,'DADOS BRUTOS'!T$3:T$500)))</f>
        <v/>
      </c>
      <c r="CU16" s="132">
        <f>IF(OR(CU$4="",$B16=""),0,SUMIF('DADOS BRUTOS'!$A$3:$A$500,$B16,'DADOS BRUTOS'!U$3:U$500)+IF($C16="",0,SUMIF('DADOS BRUTOS'!$A$3:$A$500,$C16,'DADOS BRUTOS'!U$3:U$500)))</f>
        <v/>
      </c>
      <c r="CV16" s="132">
        <f>IF(OR(CV$4="",$B16=""),0,SUMIF('DADOS BRUTOS'!$A$3:$A$500,$B16,'DADOS BRUTOS'!V$3:V$500)+IF($C16="",0,SUMIF('DADOS BRUTOS'!$A$3:$A$500,$C16,'DADOS BRUTOS'!V$3:V$500)))</f>
        <v/>
      </c>
      <c r="CW16" s="132">
        <f>IF(OR(CW$4="",$B16=""),0,SUMIF('DADOS BRUTOS'!$A$3:$A$500,$B16,'DADOS BRUTOS'!W$3:W$500)+IF($C16="",0,SUMIF('DADOS BRUTOS'!$A$3:$A$500,$C16,'DADOS BRUTOS'!W$3:W$500)))</f>
        <v/>
      </c>
      <c r="CX16" s="132">
        <f>IF(OR(CX$4="",$B16=""),0,SUMIF('DADOS BRUTOS'!$A$3:$A$500,$B16,'DADOS BRUTOS'!X$3:X$500)+IF($C16="",0,SUMIF('DADOS BRUTOS'!$A$3:$A$500,$C16,'DADOS BRUTOS'!X$3:X$500)))</f>
        <v/>
      </c>
      <c r="CY16" s="132">
        <f>IF(OR(CY$4="",$B16=""),0,SUMIF('DADOS BRUTOS'!$A$3:$A$500,$B16,'DADOS BRUTOS'!Y$3:Y$500)+IF($C16="",0,SUMIF('DADOS BRUTOS'!$A$3:$A$500,$C16,'DADOS BRUTOS'!Y$3:Y$500)))</f>
        <v/>
      </c>
      <c r="CZ16" s="132">
        <f>IF(OR(CZ$4="",$B16=""),0,SUMIF('DADOS BRUTOS'!$A$3:$A$500,$B16,'DADOS BRUTOS'!Z$3:Z$500)+IF($C16="",0,SUMIF('DADOS BRUTOS'!$A$3:$A$500,$C16,'DADOS BRUTOS'!Z$3:Z$500)))</f>
        <v/>
      </c>
      <c r="DA16" s="132">
        <f>IF(OR(DA$4="",$B16=""),0,SUMIF('DADOS BRUTOS'!$A$3:$A$500,$B16,'DADOS BRUTOS'!AA$3:AA$500)+IF($C16="",0,SUMIF('DADOS BRUTOS'!$A$3:$A$500,$C16,'DADOS BRUTOS'!AA$3:AA$500)))</f>
        <v/>
      </c>
      <c r="DB16" s="132">
        <f>IF(OR(DB$4="",$B16=""),0,SUMIF('DADOS BRUTOS'!$A$3:$A$500,$B16,'DADOS BRUTOS'!AB$3:AB$500)+IF($C16="",0,SUMIF('DADOS BRUTOS'!$A$3:$A$500,$C16,'DADOS BRUTOS'!AB$3:AB$500)))</f>
        <v/>
      </c>
      <c r="DC16" s="132">
        <f>IF(OR(DC$4="",$B16=""),0,SUMIF('DADOS BRUTOS'!$A$3:$A$500,$B16,'DADOS BRUTOS'!AC$3:AC$500)+IF($C16="",0,SUMIF('DADOS BRUTOS'!$A$3:$A$500,$C16,'DADOS BRUTOS'!AC$3:AC$500)))</f>
        <v/>
      </c>
      <c r="DD16" s="132">
        <f>IF(OR(DD$4="",$B16=""),0,SUMIF('DADOS BRUTOS'!$A$3:$A$500,$B16,'DADOS BRUTOS'!AD$3:AD$500)+IF($C16="",0,SUMIF('DADOS BRUTOS'!$A$3:$A$500,$C16,'DADOS BRUTOS'!AD$3:AD$500)))</f>
        <v/>
      </c>
      <c r="DE16" s="132">
        <f>IF(OR(DE$4="",$B16=""),0,SUMIF('DADOS BRUTOS'!$A$3:$A$500,$B16,'DADOS BRUTOS'!AE$3:AE$500)+IF($C16="",0,SUMIF('DADOS BRUTOS'!$A$3:$A$500,$C16,'DADOS BRUTOS'!AE$3:AE$500)))</f>
        <v/>
      </c>
      <c r="DF16" s="132">
        <f>IF(OR(DF$4="",$B16=""),0,SUMIF('DADOS BRUTOS'!$A$3:$A$500,$B16,'DADOS BRUTOS'!AF$3:AF$500)+IF($C16="",0,SUMIF('DADOS BRUTOS'!$A$3:$A$500,$C16,'DADOS BRUTOS'!AF$3:AF$500)))</f>
        <v/>
      </c>
      <c r="DG16" s="132">
        <f>IF(OR(DG$4="",$B16=""),0,SUMIF('DADOS BRUTOS'!$A$3:$A$500,$B16,'DADOS BRUTOS'!AG$3:AG$500)+IF($C16="",0,SUMIF('DADOS BRUTOS'!$A$3:$A$500,$C16,'DADOS BRUTOS'!AG$3:AG$500)))</f>
        <v/>
      </c>
      <c r="DH16" s="132">
        <f>IF(OR(DH$4="",$B16=""),0,SUMIF('DADOS BRUTOS'!$A$3:$A$500,$B16,'DADOS BRUTOS'!AH$3:AH$500)+IF($C16="",0,SUMIF('DADOS BRUTOS'!$A$3:$A$500,$C16,'DADOS BRUTOS'!AH$3:AH$500)))</f>
        <v/>
      </c>
      <c r="DI16" s="132">
        <f>IF(OR(DI$4="",$B16=""),0,SUMIF('DADOS BRUTOS'!$A$3:$A$500,$B16,'DADOS BRUTOS'!AI$3:AI$500)+IF($C16="",0,SUMIF('DADOS BRUTOS'!$A$3:$A$500,$C16,'DADOS BRUTOS'!AI$3:AI$500)))</f>
        <v/>
      </c>
      <c r="DJ16" s="132">
        <f>IF(OR(DJ$4="",$B16=""),0,SUMIF('DADOS BRUTOS'!$A$3:$A$500,$B16,'DADOS BRUTOS'!AJ$3:AJ$500)+IF($C16="",0,SUMIF('DADOS BRUTOS'!$A$3:$A$500,$C16,'DADOS BRUTOS'!AJ$3:AJ$500)))</f>
        <v/>
      </c>
      <c r="DK16" s="132">
        <f>IF(OR(DK$4="",$B16=""),0,SUMIF('DADOS BRUTOS'!$A$3:$A$500,$B16,'DADOS BRUTOS'!AK$3:AK$500)+IF($C16="",0,SUMIF('DADOS BRUTOS'!$A$3:$A$500,$C16,'DADOS BRUTOS'!AK$3:AK$500)))</f>
        <v/>
      </c>
      <c r="DL16" s="132">
        <f>IF(OR(DL$4="",$B16=""),0,SUMIF('DADOS BRUTOS'!$A$3:$A$500,$B16,'DADOS BRUTOS'!AL$3:AL$500)+IF($C16="",0,SUMIF('DADOS BRUTOS'!$A$3:$A$500,$C16,'DADOS BRUTOS'!AL$3:AL$500)))</f>
        <v/>
      </c>
      <c r="DM16" s="132">
        <f>IF(OR(DM$4="",$B16=""),0,SUMIF('DADOS BRUTOS'!$A$3:$A$500,$B16,'DADOS BRUTOS'!AM$3:AM$500)+IF($C16="",0,SUMIF('DADOS BRUTOS'!$A$3:$A$500,$C16,'DADOS BRUTOS'!AM$3:AM$500)))</f>
        <v/>
      </c>
      <c r="DN16" s="132">
        <f>IF(OR(DN$4="",$B16=""),0,SUMIF('DADOS BRUTOS'!$A$3:$A$500,$B16,'DADOS BRUTOS'!AN$3:AN$500)+IF($C16="",0,SUMIF('DADOS BRUTOS'!$A$3:$A$500,$C16,'DADOS BRUTOS'!AN$3:AN$500)))</f>
        <v/>
      </c>
      <c r="DO16" s="132">
        <f>IF(OR(DO$4="",$B16=""),0,SUMIF('DADOS BRUTOS'!$A$3:$A$500,$B16,'DADOS BRUTOS'!AO$3:AO$500)+IF($C16="",0,SUMIF('DADOS BRUTOS'!$A$3:$A$500,$C16,'DADOS BRUTOS'!AO$3:AO$500)))</f>
        <v/>
      </c>
      <c r="DP16" s="132">
        <f>IF(OR(DP$4="",$B16=""),0,SUMIF('DADOS BRUTOS'!$A$3:$A$500,$B16,'DADOS BRUTOS'!AP$3:AP$500)+IF($C16="",0,SUMIF('DADOS BRUTOS'!$A$3:$A$500,$C16,'DADOS BRUTOS'!AP$3:AP$500)))</f>
        <v/>
      </c>
      <c r="DQ16" s="132">
        <f>IF(OR(DQ$4="",$B16=""),0,SUMIF('DADOS BRUTOS'!$A$3:$A$500,$B16,'DADOS BRUTOS'!AQ$3:AQ$500)+IF($C16="",0,SUMIF('DADOS BRUTOS'!$A$3:$A$500,$C16,'DADOS BRUTOS'!AQ$3:AQ$500)))</f>
        <v/>
      </c>
      <c r="DR16" s="132">
        <f>IF(OR(DR$4="",$B16=""),0,SUMIF('DADOS BRUTOS'!$A$3:$A$500,$B16,'DADOS BRUTOS'!AR$3:AR$500)+IF($C16="",0,SUMIF('DADOS BRUTOS'!$A$3:$A$500,$C16,'DADOS BRUTOS'!AR$3:AR$500)))</f>
        <v/>
      </c>
      <c r="DS16" s="132">
        <f>IF(OR(DS$4="",$B16=""),0,SUMIF('DADOS BRUTOS'!$A$3:$A$500,$B16,'DADOS BRUTOS'!AS$3:AS$500)+IF($C16="",0,SUMIF('DADOS BRUTOS'!$A$3:$A$500,$C16,'DADOS BRUTOS'!AS$3:AS$500)))</f>
        <v/>
      </c>
      <c r="DT16" s="132">
        <f>IF(OR(DT$4="",$B16=""),0,SUMIF('DADOS BRUTOS'!$A$3:$A$500,$B16,'DADOS BRUTOS'!AT$3:AT$500)+IF($C16="",0,SUMIF('DADOS BRUTOS'!$A$3:$A$500,$C16,'DADOS BRUTOS'!AT$3:AT$500)))</f>
        <v/>
      </c>
      <c r="DU16" s="132">
        <f>IF(OR(DU$4="",$B16=""),0,SUMIF('DADOS BRUTOS'!$A$3:$A$500,$B16,'DADOS BRUTOS'!AU$3:AU$500)+IF($C16="",0,SUMIF('DADOS BRUTOS'!$A$3:$A$500,$C16,'DADOS BRUTOS'!AU$3:AU$500)))</f>
        <v/>
      </c>
      <c r="DV16" s="132">
        <f>IF(OR(DV$4="",$B16=""),0,SUMIF('DADOS BRUTOS'!$A$3:$A$500,$B16,'DADOS BRUTOS'!AV$3:AV$500)+IF($C16="",0,SUMIF('DADOS BRUTOS'!$A$3:$A$500,$C16,'DADOS BRUTOS'!AV$3:AV$500)))</f>
        <v/>
      </c>
      <c r="DW16" s="132">
        <f>IF(OR(DW$4="",$B16=""),0,SUMIF('DADOS BRUTOS'!$A$3:$A$500,$B16,'DADOS BRUTOS'!AW$3:AW$500)+IF($C16="",0,SUMIF('DADOS BRUTOS'!$A$3:$A$500,$C16,'DADOS BRUTOS'!AW$3:AW$500)))</f>
        <v/>
      </c>
      <c r="DX16" s="132">
        <f>IF(OR(DX$4="",$B16=""),0,SUMIF('DADOS BRUTOS'!$A$3:$A$500,$B16,'DADOS BRUTOS'!AX$3:AX$500)+IF($C16="",0,SUMIF('DADOS BRUTOS'!$A$3:$A$500,$C16,'DADOS BRUTOS'!AX$3:AX$500)))</f>
        <v/>
      </c>
      <c r="DY16" s="132">
        <f>IF(OR(DY$4="",$B16=""),0,SUMIF('DADOS BRUTOS'!$A$3:$A$500,$B16,'DADOS BRUTOS'!AY$3:AY$500)+IF($C16="",0,SUMIF('DADOS BRUTOS'!$A$3:$A$500,$C16,'DADOS BRUTOS'!AY$3:AY$500)))</f>
        <v/>
      </c>
      <c r="DZ16" s="132">
        <f>IF(OR(DZ$4="",$B16=""),0,SUMIF('DADOS BRUTOS'!$A$3:$A$500,$B16,'DADOS BRUTOS'!AZ$3:AZ$500)+IF($C16="",0,SUMIF('DADOS BRUTOS'!$A$3:$A$500,$C16,'DADOS BRUTOS'!AZ$3:AZ$500)))</f>
        <v/>
      </c>
      <c r="EA16" s="132">
        <f>IF(OR(EA$4="",$B16=""),0,SUMIF('DADOS BRUTOS'!$A$3:$A$500,$B16,'DADOS BRUTOS'!BA$3:BA$500)+IF($C16="",0,SUMIF('DADOS BRUTOS'!$A$3:$A$500,$C16,'DADOS BRUTOS'!BA$3:BA$500)))</f>
        <v/>
      </c>
      <c r="EB16" s="132">
        <f>IF(OR(EB$4="",$B16=""),0,SUMIF('DADOS BRUTOS'!$A$3:$A$500,$B16,'DADOS BRUTOS'!BB$3:BB$500)+IF($C16="",0,SUMIF('DADOS BRUTOS'!$A$3:$A$500,$C16,'DADOS BRUTOS'!BB$3:BB$500)))</f>
        <v/>
      </c>
      <c r="EC16" s="132">
        <f>IF(OR(EC$4="",$B16=""),0,SUMIF('DADOS BRUTOS'!$A$3:$A$500,$B16,'DADOS BRUTOS'!BC$3:BC$500)+IF($C16="",0,SUMIF('DADOS BRUTOS'!$A$3:$A$500,$C16,'DADOS BRUTOS'!BC$3:BC$500)))</f>
        <v/>
      </c>
      <c r="ED16" s="132">
        <f>IF(OR(ED$4="",$B16=""),0,SUMIF('DADOS BRUTOS'!$A$3:$A$500,$B16,'DADOS BRUTOS'!BD$3:BD$500)+IF($C16="",0,SUMIF('DADOS BRUTOS'!$A$3:$A$500,$C16,'DADOS BRUTOS'!BD$3:BD$500)))</f>
        <v/>
      </c>
      <c r="EE16" s="132">
        <f>IF(OR(EE$4="",$B16=""),0,SUMIF('DADOS BRUTOS'!$A$3:$A$500,$B16,'DADOS BRUTOS'!BE$3:BE$500)+IF($C16="",0,SUMIF('DADOS BRUTOS'!$A$3:$A$500,$C16,'DADOS BRUTOS'!BE$3:BE$500)))</f>
        <v/>
      </c>
      <c r="EF16" s="132">
        <f>IF(OR(EF$4="",$B16=""),0,SUMIF('DADOS BRUTOS'!$A$3:$A$500,$B16,'DADOS BRUTOS'!BF$3:BF$500)+IF($C16="",0,SUMIF('DADOS BRUTOS'!$A$3:$A$500,$C16,'DADOS BRUTOS'!BF$3:BF$500)))</f>
        <v/>
      </c>
      <c r="EG16" s="132">
        <f>IF(OR(EG$4="",$B16=""),0,SUMIF('DADOS BRUTOS'!$A$3:$A$500,$B16,'DADOS BRUTOS'!BG$3:BG$500)+IF($C16="",0,SUMIF('DADOS BRUTOS'!$A$3:$A$500,$C16,'DADOS BRUTOS'!BG$3:BG$500)))</f>
        <v/>
      </c>
      <c r="EH16" s="132">
        <f>IF(OR(EH$4="",$B16=""),0,SUMIF('DADOS BRUTOS'!$A$3:$A$500,$B16,'DADOS BRUTOS'!BH$3:BH$500)+IF($C16="",0,SUMIF('DADOS BRUTOS'!$A$3:$A$500,$C16,'DADOS BRUTOS'!BH$3:BH$500)))</f>
        <v/>
      </c>
      <c r="EI16" s="132">
        <f>IF(OR(EI$4="",$B16=""),0,SUMIF('DADOS BRUTOS'!$A$3:$A$500,$B16,'DADOS BRUTOS'!BI$3:BI$500)+IF($C16="",0,SUMIF('DADOS BRUTOS'!$A$3:$A$500,$C16,'DADOS BRUTOS'!BI$3:BI$500)))</f>
        <v/>
      </c>
      <c r="EJ16" s="132">
        <f>IF(OR(EJ$4="",$B16=""),0,SUMIF('DADOS BRUTOS'!$A$3:$A$500,$B16,'DADOS BRUTOS'!BJ$3:BJ$500)+IF($C16="",0,SUMIF('DADOS BRUTOS'!$A$3:$A$500,$C16,'DADOS BRUTOS'!BJ$3:BJ$500)))</f>
        <v/>
      </c>
      <c r="EK16" s="132">
        <f>IF(OR(EK$4="",$B16=""),0,SUMIF('DADOS BRUTOS'!$A$3:$A$500,$B16,'DADOS BRUTOS'!BK$3:BK$500)+IF($C16="",0,SUMIF('DADOS BRUTOS'!$A$3:$A$500,$C16,'DADOS BRUTOS'!BK$3:BK$500)))</f>
        <v/>
      </c>
      <c r="EL16" s="132">
        <f>IF(OR(EL$4="",$B16=""),0,SUMIF('DADOS BRUTOS'!$A$3:$A$500,$B16,'DADOS BRUTOS'!BL$3:BL$500)+IF($C16="",0,SUMIF('DADOS BRUTOS'!$A$3:$A$500,$C16,'DADOS BRUTOS'!BL$3:BL$500)))</f>
        <v/>
      </c>
      <c r="EM16" s="132">
        <f>IF(OR(EM$4="",$B16=""),0,SUMIF('DADOS BRUTOS'!$A$3:$A$500,$B16,'DADOS BRUTOS'!BM$3:BM$500)+IF($C16="",0,SUMIF('DADOS BRUTOS'!$A$3:$A$500,$C16,'DADOS BRUTOS'!BM$3:BM$500)))</f>
        <v/>
      </c>
      <c r="EN16" s="132">
        <f>IF(OR(EN$4="",$B16=""),0,SUMIF('DADOS BRUTOS'!$A$3:$A$500,$B16,'DADOS BRUTOS'!BN$3:BN$500)+IF($C16="",0,SUMIF('DADOS BRUTOS'!$A$3:$A$500,$C16,'DADOS BRUTOS'!BN$3:BN$500)))</f>
        <v/>
      </c>
      <c r="EO16" s="132">
        <f>IF(OR(EO$4="",$B16=""),0,SUMIF('DADOS BRUTOS'!$A$3:$A$500,$B16,'DADOS BRUTOS'!BO$3:BO$500)+IF($C16="",0,SUMIF('DADOS BRUTOS'!$A$3:$A$500,$C16,'DADOS BRUTOS'!BO$3:BO$500)))</f>
        <v/>
      </c>
      <c r="EP16" s="132">
        <f>IF(OR(EP$4="",$B16=""),0,SUMIF('DADOS BRUTOS'!$A$3:$A$500,$B16,'DADOS BRUTOS'!BP$3:BP$500)+IF($C16="",0,SUMIF('DADOS BRUTOS'!$A$3:$A$500,$C16,'DADOS BRUTOS'!BP$3:BP$500)))</f>
        <v/>
      </c>
      <c r="EQ16" s="132">
        <f>IF(OR(EQ$4="",$B16=""),0,SUMIF('DADOS BRUTOS'!$A$3:$A$500,$B16,'DADOS BRUTOS'!BQ$3:BQ$500)+IF($C16="",0,SUMIF('DADOS BRUTOS'!$A$3:$A$500,$C16,'DADOS BRUTOS'!BQ$3:BQ$500)))</f>
        <v/>
      </c>
      <c r="ER16" s="132">
        <f>IF(OR(ER$4="",$B16=""),0,SUMIF('DADOS BRUTOS'!$A$3:$A$500,$B16,'DADOS BRUTOS'!BR$3:BR$500)+IF($C16="",0,SUMIF('DADOS BRUTOS'!$A$3:$A$500,$C16,'DADOS BRUTOS'!BR$3:BR$500)))</f>
        <v/>
      </c>
      <c r="ES16" s="132">
        <f>IF(OR(ES$4="",$B16=""),0,SUMIF('DADOS BRUTOS'!$A$3:$A$500,$B16,'DADOS BRUTOS'!BS$3:BS$500)+IF($C16="",0,SUMIF('DADOS BRUTOS'!$A$3:$A$500,$C16,'DADOS BRUTOS'!BS$3:BS$500)))</f>
        <v/>
      </c>
      <c r="ET16" s="132">
        <f>IF(OR(ET$4="",$B16=""),0,SUMIF('DADOS BRUTOS'!$A$3:$A$500,$B16,'DADOS BRUTOS'!BT$3:BT$500)+IF($C16="",0,SUMIF('DADOS BRUTOS'!$A$3:$A$500,$C16,'DADOS BRUTOS'!BT$3:BT$500)))</f>
        <v/>
      </c>
      <c r="EU16" s="132">
        <f>IF(OR(EU$4="",$B16=""),0,SUMIF('DADOS BRUTOS'!$A$3:$A$500,$B16,'DADOS BRUTOS'!BU$3:BU$500)+IF($C16="",0,SUMIF('DADOS BRUTOS'!$A$3:$A$500,$C16,'DADOS BRUTOS'!BU$3:BU$500)))</f>
        <v/>
      </c>
      <c r="EV16" s="132">
        <f>IF(OR(EV$4="",$B16=""),0,SUMIF('DADOS BRUTOS'!$A$3:$A$500,$B16,'DADOS BRUTOS'!BV$3:BV$500)+IF($C16="",0,SUMIF('DADOS BRUTOS'!$A$3:$A$500,$C16,'DADOS BRUTOS'!BV$3:BV$500)))</f>
        <v/>
      </c>
      <c r="EW16" s="132">
        <f>IF(OR(EW$4="",$B16=""),0,SUMIF('DADOS BRUTOS'!$A$3:$A$500,$B16,'DADOS BRUTOS'!BW$3:BW$500)+IF($C16="",0,SUMIF('DADOS BRUTOS'!$A$3:$A$500,$C16,'DADOS BRUTOS'!BW$3:BW$500)))</f>
        <v/>
      </c>
      <c r="EX16" s="132">
        <f>IF(OR(EX$4="",$B16=""),0,SUMIF('DADOS BRUTOS'!$A$3:$A$500,$B16,'DADOS BRUTOS'!BX$3:BX$500)+IF($C16="",0,SUMIF('DADOS BRUTOS'!$A$3:$A$500,$C16,'DADOS BRUTOS'!BX$3:BX$500)))</f>
        <v/>
      </c>
      <c r="EY16" s="132">
        <f>IF(OR(EY$4="",$B16=""),0,SUMIF('DADOS BRUTOS'!$A$3:$A$500,$B16,'DADOS BRUTOS'!BY$3:BY$500)+IF($C16="",0,SUMIF('DADOS BRUTOS'!$A$3:$A$500,$C16,'DADOS BRUTOS'!BY$3:BY$500)))</f>
        <v/>
      </c>
      <c r="EZ16" s="132">
        <f>IF(OR(EZ$4="",$B16=""),0,SUMIF('DADOS BRUTOS'!$A$3:$A$500,$B16,'DADOS BRUTOS'!BZ$3:BZ$500)+IF($C16="",0,SUMIF('DADOS BRUTOS'!$A$3:$A$500,$C16,'DADOS BRUTOS'!BZ$3:BZ$500)))</f>
        <v/>
      </c>
      <c r="FA16" s="132">
        <f>IF(OR(FA$4="",$B16=""),0,SUMIF('DADOS BRUTOS'!$A$3:$A$500,$B16,'DADOS BRUTOS'!CA$3:CA$500)+IF($C16="",0,SUMIF('DADOS BRUTOS'!$A$3:$A$500,$C16,'DADOS BRUTOS'!CA$3:CA$500)))</f>
        <v/>
      </c>
      <c r="FB16" s="132">
        <f>IF(OR(FB$4="",$B16=""),0,SUMIF('DADOS BRUTOS'!$A$3:$A$500,$B16,'DADOS BRUTOS'!CB$3:CB$500)+IF($C16="",0,SUMIF('DADOS BRUTOS'!$A$3:$A$500,$C16,'DADOS BRUTOS'!CB$3:CB$500)))</f>
        <v/>
      </c>
      <c r="FC16" s="132">
        <f>IF(OR(FC$4="",$B16=""),0,SUMIF('DADOS BRUTOS'!$A$3:$A$500,$B16,'DADOS BRUTOS'!CC$3:CC$500)+IF($C16="",0,SUMIF('DADOS BRUTOS'!$A$3:$A$500,$C16,'DADOS BRUTOS'!CC$3:CC$500)))</f>
        <v/>
      </c>
      <c r="FD16" s="132">
        <f>IF(OR(FD$4="",$B16=""),0,SUMIF('DADOS BRUTOS'!$A$3:$A$500,$B16,'DADOS BRUTOS'!CD$3:CD$500)+IF($C16="",0,SUMIF('DADOS BRUTOS'!$A$3:$A$500,$C16,'DADOS BRUTOS'!CD$3:CD$500)))</f>
        <v/>
      </c>
      <c r="FE16" s="132">
        <f>IF(OR(FE$4="",$B16=""),0,SUMIF('DADOS BRUTOS'!$A$3:$A$500,$B16,'DADOS BRUTOS'!CE$3:CE$500)+IF($C16="",0,SUMIF('DADOS BRUTOS'!$A$3:$A$500,$C16,'DADOS BRUTOS'!CE$3:CE$500)))</f>
        <v/>
      </c>
      <c r="FF16" s="132">
        <f>IF(OR(FF$4="",$B16=""),0,SUMIF('DADOS BRUTOS'!$A$3:$A$500,$B16,'DADOS BRUTOS'!CF$3:CF$500)+IF($C16="",0,SUMIF('DADOS BRUTOS'!$A$3:$A$500,$C16,'DADOS BRUTOS'!CF$3:CF$500)))</f>
        <v/>
      </c>
      <c r="FG16" s="132">
        <f>IF(OR(FG$4="",$B16=""),0,SUMIF('DADOS BRUTOS'!$A$3:$A$500,$B16,'DADOS BRUTOS'!CG$3:CG$500)+IF($C16="",0,SUMIF('DADOS BRUTOS'!$A$3:$A$500,$C16,'DADOS BRUTOS'!CG$3:CG$500)))</f>
        <v/>
      </c>
      <c r="FH16" s="132">
        <f>IF(OR(FH$4="",$B16=""),0,SUMIF('DADOS BRUTOS'!$A$3:$A$500,$B16,'DADOS BRUTOS'!CH$3:CH$500)+IF($C16="",0,SUMIF('DADOS BRUTOS'!$A$3:$A$500,$C16,'DADOS BRUTOS'!CH$3:CH$500)))</f>
        <v/>
      </c>
      <c r="FI16" s="132">
        <f>IF(OR(FI$4="",$B16=""),0,SUMIF('DADOS BRUTOS'!$A$3:$A$500,$B16,'DADOS BRUTOS'!CI$3:CI$500)+IF($C16="",0,SUMIF('DADOS BRUTOS'!$A$3:$A$500,$C16,'DADOS BRUTOS'!CI$3:CI$500)))</f>
        <v/>
      </c>
      <c r="FJ16" s="132">
        <f>IF(OR(FJ$4="",$B16=""),0,SUMIF('DADOS BRUTOS'!$A$3:$A$500,$B16,'DADOS BRUTOS'!CJ$3:CJ$500)+IF($C16="",0,SUMIF('DADOS BRUTOS'!$A$3:$A$500,$C16,'DADOS BRUTOS'!CJ$3:CJ$500)))</f>
        <v/>
      </c>
      <c r="FK16" s="132">
        <f>IF(OR(FK$4="",$B16=""),0,SUMIF('DADOS BRUTOS'!$A$3:$A$500,$B16,'DADOS BRUTOS'!CK$3:CK$500)+IF($C16="",0,SUMIF('DADOS BRUTOS'!$A$3:$A$500,$C16,'DADOS BRUTOS'!CK$3:CK$500)))</f>
        <v/>
      </c>
      <c r="FL16" s="132">
        <f>IF(OR(FL$4="",$B16=""),0,SUMIF('DADOS BRUTOS'!$A$3:$A$500,$B16,'DADOS BRUTOS'!CL$3:CL$500)+IF($C16="",0,SUMIF('DADOS BRUTOS'!$A$3:$A$500,$C16,'DADOS BRUTOS'!CL$3:CL$500)))</f>
        <v/>
      </c>
      <c r="FM16" s="132">
        <f>IF(OR(FM$4="",$B16=""),0,SUMIF('DADOS BRUTOS'!$A$3:$A$500,$B16,'DADOS BRUTOS'!CM$3:CM$500)+IF($C16="",0,SUMIF('DADOS BRUTOS'!$A$3:$A$500,$C16,'DADOS BRUTOS'!CM$3:CM$500)))</f>
        <v/>
      </c>
      <c r="FN16" s="132">
        <f>IF(OR(FN$4="",$B16=""),0,SUMIF('DADOS BRUTOS'!$A$3:$A$500,$B16,'DADOS BRUTOS'!CN$3:CN$500)+IF($C16="",0,SUMIF('DADOS BRUTOS'!$A$3:$A$500,$C16,'DADOS BRUTOS'!CN$3:CN$500)))</f>
        <v/>
      </c>
      <c r="FO16" s="132">
        <f>IF(OR(FO$4="",$B16=""),0,SUMIF('DADOS BRUTOS'!$A$3:$A$500,$B16,'DADOS BRUTOS'!CO$3:CO$500)+IF($C16="",0,SUMIF('DADOS BRUTOS'!$A$3:$A$500,$C16,'DADOS BRUTOS'!CO$3:CO$500)))</f>
        <v/>
      </c>
      <c r="FP16" s="132">
        <f>IF(OR(FP$4="",$B16=""),0,SUMIF('DADOS BRUTOS'!$A$3:$A$500,$B16,'DADOS BRUTOS'!CP$3:CP$500)+IF($C16="",0,SUMIF('DADOS BRUTOS'!$A$3:$A$500,$C16,'DADOS BRUTOS'!CP$3:CP$500)))</f>
        <v/>
      </c>
      <c r="FQ16" s="132">
        <f>IF(OR(FQ$4="",$B16=""),0,SUMIF('DADOS BRUTOS'!$A$3:$A$500,$B16,'DADOS BRUTOS'!CQ$3:CQ$500)+IF($C16="",0,SUMIF('DADOS BRUTOS'!$A$3:$A$500,$C16,'DADOS BRUTOS'!CQ$3:CQ$500)))</f>
        <v/>
      </c>
      <c r="FR16" s="132">
        <f>IF(OR(FR$4="",$B16=""),0,SUMIF('DADOS BRUTOS'!$A$3:$A$500,$B16,'DADOS BRUTOS'!CR$3:CR$500)+IF($C16="",0,SUMIF('DADOS BRUTOS'!$A$3:$A$500,$C16,'DADOS BRUTOS'!CR$3:CR$500)))</f>
        <v/>
      </c>
      <c r="FS16" s="132">
        <f>IF(OR(FS$4="",$B16=""),0,SUMIF('DADOS BRUTOS'!$A$3:$A$500,$B16,'DADOS BRUTOS'!CS$3:CS$500)+IF($C16="",0,SUMIF('DADOS BRUTOS'!$A$3:$A$500,$C16,'DADOS BRUTOS'!CS$3:CS$500)))</f>
        <v/>
      </c>
      <c r="FT16" s="132">
        <f>IF(OR(FT$4="",$B16=""),0,SUMIF('DADOS BRUTOS'!$A$3:$A$500,$B16,'DADOS BRUTOS'!CT$3:CT$500)+IF($C16="",0,SUMIF('DADOS BRUTOS'!$A$3:$A$500,$C16,'DADOS BRUTOS'!CT$3:CT$500)))</f>
        <v/>
      </c>
      <c r="FU16" s="132">
        <f>IF(OR(FU$4="",$B16=""),0,SUMIF('DADOS BRUTOS'!$A$3:$A$500,$B16,'DADOS BRUTOS'!CU$3:CU$500)+IF($C16="",0,SUMIF('DADOS BRUTOS'!$A$3:$A$500,$C16,'DADOS BRUTOS'!CU$3:CU$500)))</f>
        <v/>
      </c>
      <c r="FV16" s="132">
        <f>IF(OR(FV$4="",$B16=""),0,SUMIF('DADOS BRUTOS'!$A$3:$A$500,$B16,'DADOS BRUTOS'!CV$3:CV$500)+IF($C16="",0,SUMIF('DADOS BRUTOS'!$A$3:$A$500,$C16,'DADOS BRUTOS'!CV$3:CV$500)))</f>
        <v/>
      </c>
      <c r="FW16" s="132">
        <f>IF(OR(FW$4="",$B16=""),0,SUMIF('DADOS BRUTOS'!$A$3:$A$500,$B16,'DADOS BRUTOS'!CW$3:CW$500)+IF($C16="",0,SUMIF('DADOS BRUTOS'!$A$3:$A$500,$C16,'DADOS BRUTOS'!CW$3:CW$500)))</f>
        <v/>
      </c>
      <c r="FX16" s="132">
        <f>IF(OR(FX$4="",$B16=""),0,SUMIF('DADOS BRUTOS'!$A$3:$A$500,$B16,'DADOS BRUTOS'!CX$3:CX$500)+IF($C16="",0,SUMIF('DADOS BRUTOS'!$A$3:$A$500,$C16,'DADOS BRUTOS'!CX$3:CX$500)))</f>
        <v/>
      </c>
      <c r="FY16" s="132">
        <f>IF(OR(FY$4="",$B16=""),0,SUMIF('DADOS BRUTOS'!$A$3:$A$500,$B16,'DADOS BRUTOS'!CY$3:CY$500)+IF($C16="",0,SUMIF('DADOS BRUTOS'!$A$3:$A$500,$C16,'DADOS BRUTOS'!CY$3:CY$500)))</f>
        <v/>
      </c>
      <c r="FZ16" s="132">
        <f>IF(OR(FZ$4="",$B16=""),0,SUMIF('DADOS BRUTOS'!$A$3:$A$500,$B16,'DADOS BRUTOS'!CZ$3:CZ$500)+IF($C16="",0,SUMIF('DADOS BRUTOS'!$A$3:$A$500,$C16,'DADOS BRUTOS'!CZ$3:CZ$500)))</f>
        <v/>
      </c>
      <c r="GA16" s="132">
        <f>IF(OR(GA$4="",$B16=""),0,SUMIF('DADOS BRUTOS'!$A$3:$A$500,$B16,'DADOS BRUTOS'!DA$3:DA$500)+IF($C16="",0,SUMIF('DADOS BRUTOS'!$A$3:$A$500,$C16,'DADOS BRUTOS'!DA$3:DA$500)))</f>
        <v/>
      </c>
      <c r="GB16" s="132">
        <f>IF(OR(GB$4="",$B16=""),0,SUMIF('DADOS BRUTOS'!$A$3:$A$500,$B16,'DADOS BRUTOS'!DB$3:DB$500)+IF($C16="",0,SUMIF('DADOS BRUTOS'!$A$3:$A$500,$C16,'DADOS BRUTOS'!DB$3:DB$500)))</f>
        <v/>
      </c>
      <c r="GC16" s="132">
        <f>IF(OR(GC$4="",$B16=""),0,SUMIF('DADOS BRUTOS'!$A$3:$A$500,$B16,'DADOS BRUTOS'!DC$3:DC$500)+IF($C16="",0,SUMIF('DADOS BRUTOS'!$A$3:$A$500,$C16,'DADOS BRUTOS'!DC$3:DC$500)))</f>
        <v/>
      </c>
      <c r="GD16" s="132">
        <f>IF(OR(GD$4="",$B16=""),0,SUMIF('DADOS BRUTOS'!$A$3:$A$500,$B16,'DADOS BRUTOS'!DD$3:DD$500)+IF($C16="",0,SUMIF('DADOS BRUTOS'!$A$3:$A$500,$C16,'DADOS BRUTOS'!DD$3:DD$500)))</f>
        <v/>
      </c>
      <c r="GE16" s="132">
        <f>IF(OR(GE$4="",$B16=""),0,SUMIF('DADOS BRUTOS'!$A$3:$A$500,$B16,'DADOS BRUTOS'!DE$3:DE$500)+IF($C16="",0,SUMIF('DADOS BRUTOS'!$A$3:$A$500,$C16,'DADOS BRUTOS'!DE$3:DE$500)))</f>
        <v/>
      </c>
      <c r="GF16" s="132">
        <f>IF(OR(GF$4="",$B16=""),0,SUMIF('DADOS BRUTOS'!$A$3:$A$500,$B16,'DADOS BRUTOS'!DF$3:DF$500)+IF($C16="",0,SUMIF('DADOS BRUTOS'!$A$3:$A$500,$C16,'DADOS BRUTOS'!DF$3:DF$500)))</f>
        <v/>
      </c>
      <c r="GG16" s="132">
        <f>IF(OR(GG$4="",$B16=""),0,SUMIF('DADOS BRUTOS'!$A$3:$A$500,$B16,'DADOS BRUTOS'!DG$3:DG$500)+IF($C16="",0,SUMIF('DADOS BRUTOS'!$A$3:$A$500,$C16,'DADOS BRUTOS'!DG$3:DG$500)))</f>
        <v/>
      </c>
      <c r="GH16" s="132">
        <f>IF(OR(GH$4="",$B16=""),0,SUMIF('DADOS BRUTOS'!$A$3:$A$500,$B16,'DADOS BRUTOS'!DH$3:DH$500)+IF($C16="",0,SUMIF('DADOS BRUTOS'!$A$3:$A$500,$C16,'DADOS BRUTOS'!DH$3:DH$500)))</f>
        <v/>
      </c>
      <c r="GI16" s="132">
        <f>IF(OR(GI$4="",$B16=""),0,SUMIF('DADOS BRUTOS'!$A$3:$A$500,$B16,'DADOS BRUTOS'!DI$3:DI$500)+IF($C16="",0,SUMIF('DADOS BRUTOS'!$A$3:$A$500,$C16,'DADOS BRUTOS'!DI$3:DI$500)))</f>
        <v/>
      </c>
      <c r="GJ16" s="132">
        <f>IF(OR(GJ$4="",$B16=""),0,SUMIF('DADOS BRUTOS'!$A$3:$A$500,$B16,'DADOS BRUTOS'!DJ$3:DJ$500)+IF($C16="",0,SUMIF('DADOS BRUTOS'!$A$3:$A$500,$C16,'DADOS BRUTOS'!DJ$3:DJ$500)))</f>
        <v/>
      </c>
      <c r="GK16" s="132">
        <f>IF(OR(GK$4="",$B16=""),0,SUMIF('DADOS BRUTOS'!$A$3:$A$500,$B16,'DADOS BRUTOS'!DK$3:DK$500)+IF($C16="",0,SUMIF('DADOS BRUTOS'!$A$3:$A$500,$C16,'DADOS BRUTOS'!DK$3:DK$500)))</f>
        <v/>
      </c>
      <c r="GL16" s="132">
        <f>IF(OR(GL$4="",$B16=""),0,SUMIF('DADOS BRUTOS'!$A$3:$A$500,$B16,'DADOS BRUTOS'!DL$3:DL$500)+IF($C16="",0,SUMIF('DADOS BRUTOS'!$A$3:$A$500,$C16,'DADOS BRUTOS'!DL$3:DL$500)))</f>
        <v/>
      </c>
      <c r="GM16" s="132">
        <f>IF(OR(GM$4="",$B16=""),0,SUMIF('DADOS BRUTOS'!$A$3:$A$500,$B16,'DADOS BRUTOS'!DM$3:DM$500)+IF($C16="",0,SUMIF('DADOS BRUTOS'!$A$3:$A$500,$C16,'DADOS BRUTOS'!DM$3:DM$500)))</f>
        <v/>
      </c>
      <c r="GN16" s="132">
        <f>IF(OR(GN$4="",$B16=""),0,SUMIF('DADOS BRUTOS'!$A$3:$A$500,$B16,'DADOS BRUTOS'!DN$3:DN$500)+IF($C16="",0,SUMIF('DADOS BRUTOS'!$A$3:$A$500,$C16,'DADOS BRUTOS'!DN$3:DN$500)))</f>
        <v/>
      </c>
      <c r="GO16" s="132">
        <f>IF(OR(GO$4="",$B16=""),0,SUMIF('DADOS BRUTOS'!$A$3:$A$500,$B16,'DADOS BRUTOS'!DO$3:DO$500)+IF($C16="",0,SUMIF('DADOS BRUTOS'!$A$3:$A$500,$C16,'DADOS BRUTOS'!DO$3:DO$500)))</f>
        <v/>
      </c>
      <c r="GP16" s="132">
        <f>IF(OR(GP$4="",$B16=""),0,SUMIF('DADOS BRUTOS'!$A$3:$A$500,$B16,'DADOS BRUTOS'!DP$3:DP$500)+IF($C16="",0,SUMIF('DADOS BRUTOS'!$A$3:$A$500,$C16,'DADOS BRUTOS'!DP$3:DP$500)))</f>
        <v/>
      </c>
      <c r="GQ16" s="132">
        <f>IF(OR(GQ$4="",$B16=""),0,SUMIF('DADOS BRUTOS'!$A$3:$A$500,$B16,'DADOS BRUTOS'!DQ$3:DQ$500)+IF($C16="",0,SUMIF('DADOS BRUTOS'!$A$3:$A$500,$C16,'DADOS BRUTOS'!DQ$3:DQ$500)))</f>
        <v/>
      </c>
      <c r="GR16" s="132">
        <f>IF(OR(GR$4="",$B16=""),0,SUMIF('DADOS BRUTOS'!$A$3:$A$500,$B16,'DADOS BRUTOS'!DR$3:DR$500)+IF($C16="",0,SUMIF('DADOS BRUTOS'!$A$3:$A$500,$C16,'DADOS BRUTOS'!DR$3:DR$500)))</f>
        <v/>
      </c>
      <c r="GS16" s="132">
        <f>IF(OR(GS$4="",$B16=""),0,SUMIF('DADOS BRUTOS'!$A$3:$A$500,$B16,'DADOS BRUTOS'!DS$3:DS$500)+IF($C16="",0,SUMIF('DADOS BRUTOS'!$A$3:$A$500,$C16,'DADOS BRUTOS'!DS$3:DS$500)))</f>
        <v/>
      </c>
      <c r="GT16" s="132">
        <f>IF(OR(GT$4="",$B16=""),0,SUMIF('DADOS BRUTOS'!$A$3:$A$500,$B16,'DADOS BRUTOS'!DT$3:DT$500)+IF($C16="",0,SUMIF('DADOS BRUTOS'!$A$3:$A$500,$C16,'DADOS BRUTOS'!DT$3:DT$500)))</f>
        <v/>
      </c>
      <c r="GU16" s="132">
        <f>IF(OR(GU$4="",$B16=""),0,SUMIF('DADOS BRUTOS'!$A$3:$A$500,$B16,'DADOS BRUTOS'!DU$3:DU$500)+IF($C16="",0,SUMIF('DADOS BRUTOS'!$A$3:$A$500,$C16,'DADOS BRUTOS'!DU$3:DU$500)))</f>
        <v/>
      </c>
      <c r="GV16" s="132">
        <f>IF(OR(GV$4="",$B16=""),0,SUMIF('DADOS BRUTOS'!$A$3:$A$500,$B16,'DADOS BRUTOS'!DV$3:DV$500)+IF($C16="",0,SUMIF('DADOS BRUTOS'!$A$3:$A$500,$C16,'DADOS BRUTOS'!DV$3:DV$500)))</f>
        <v/>
      </c>
      <c r="GW16" s="132">
        <f>IF(OR(GW$4="",$B16=""),0,SUMIF('DADOS BRUTOS'!$A$3:$A$500,$B16,'DADOS BRUTOS'!DW$3:DW$500)+IF($C16="",0,SUMIF('DADOS BRUTOS'!$A$3:$A$500,$C16,'DADOS BRUTOS'!DW$3:DW$500)))</f>
        <v/>
      </c>
      <c r="GX16" s="132">
        <f>IF(OR(GX$4="",$B16=""),0,SUMIF('DADOS BRUTOS'!$A$3:$A$500,$B16,'DADOS BRUTOS'!DX$3:DX$500)+IF($C16="",0,SUMIF('DADOS BRUTOS'!$A$3:$A$500,$C16,'DADOS BRUTOS'!DX$3:DX$500)))</f>
        <v/>
      </c>
      <c r="GY16" s="132">
        <f>IF(OR(GY$4="",$B16=""),0,SUMIF('DADOS BRUTOS'!$A$3:$A$500,$B16,'DADOS BRUTOS'!DY$3:DY$500)+IF($C16="",0,SUMIF('DADOS BRUTOS'!$A$3:$A$500,$C16,'DADOS BRUTOS'!DY$3:DY$500)))</f>
        <v/>
      </c>
      <c r="GZ16" s="132">
        <f>IF(OR(GZ$4="",$B16=""),0,SUMIF('DADOS BRUTOS'!$A$3:$A$500,$B16,'DADOS BRUTOS'!DZ$3:DZ$500)+IF($C16="",0,SUMIF('DADOS BRUTOS'!$A$3:$A$500,$C16,'DADOS BRUTOS'!DZ$3:DZ$500)))</f>
        <v/>
      </c>
      <c r="HA16" s="132">
        <f>IF(OR(HA$4="",$B16=""),0,SUMIF('DADOS BRUTOS'!$A$3:$A$500,$B16,'DADOS BRUTOS'!EA$3:EA$500)+IF($C16="",0,SUMIF('DADOS BRUTOS'!$A$3:$A$500,$C16,'DADOS BRUTOS'!EA$3:EA$500)))</f>
        <v/>
      </c>
      <c r="HB16" s="132">
        <f>IF(OR(HB$4="",$B16=""),0,SUMIF('DADOS BRUTOS'!$A$3:$A$500,$B16,'DADOS BRUTOS'!EB$3:EB$500)+IF($C16="",0,SUMIF('DADOS BRUTOS'!$A$3:$A$500,$C16,'DADOS BRUTOS'!EB$3:EB$500)))</f>
        <v/>
      </c>
      <c r="HC16" s="132">
        <f>IF(OR(HC$4="",$B16=""),0,SUMIF('DADOS BRUTOS'!$A$3:$A$500,$B16,'DADOS BRUTOS'!EC$3:EC$500)+IF($C16="",0,SUMIF('DADOS BRUTOS'!$A$3:$A$500,$C16,'DADOS BRUTOS'!EC$3:EC$500)))</f>
        <v/>
      </c>
      <c r="HD16" s="132">
        <f>IF(OR(HD$4="",$B16=""),0,SUMIF('DADOS BRUTOS'!$A$3:$A$500,$B16,'DADOS BRUTOS'!ED$3:ED$500)+IF($C16="",0,SUMIF('DADOS BRUTOS'!$A$3:$A$500,$C16,'DADOS BRUTOS'!ED$3:ED$500)))</f>
        <v/>
      </c>
      <c r="HE16" s="132">
        <f>IF(OR(HE$4="",$B16=""),0,SUMIF('DADOS BRUTOS'!$A$3:$A$500,$B16,'DADOS BRUTOS'!EE$3:EE$500)+IF($C16="",0,SUMIF('DADOS BRUTOS'!$A$3:$A$500,$C16,'DADOS BRUTOS'!EE$3:EE$500)))</f>
        <v/>
      </c>
      <c r="HF16" s="132">
        <f>IF(OR(HF$4="",$B16=""),0,SUMIF('DADOS BRUTOS'!$A$3:$A$500,$B16,'DADOS BRUTOS'!EF$3:EF$500)+IF($C16="",0,SUMIF('DADOS BRUTOS'!$A$3:$A$500,$C16,'DADOS BRUTOS'!EF$3:EF$500)))</f>
        <v/>
      </c>
      <c r="HG16" s="132">
        <f>IF(OR(HG$4="",$B16=""),0,SUMIF('DADOS BRUTOS'!$A$3:$A$500,$B16,'DADOS BRUTOS'!EG$3:EG$500)+IF($C16="",0,SUMIF('DADOS BRUTOS'!$A$3:$A$500,$C16,'DADOS BRUTOS'!EG$3:EG$500)))</f>
        <v/>
      </c>
      <c r="HH16" s="132">
        <f>IF(OR(HH$4="",$B16=""),0,SUMIF('DADOS BRUTOS'!$A$3:$A$500,$B16,'DADOS BRUTOS'!EH$3:EH$500)+IF($C16="",0,SUMIF('DADOS BRUTOS'!$A$3:$A$500,$C16,'DADOS BRUTOS'!EH$3:EH$500)))</f>
        <v/>
      </c>
      <c r="HI16" s="132">
        <f>IF(OR(HI$4="",$B16=""),0,SUMIF('DADOS BRUTOS'!$A$3:$A$500,$B16,'DADOS BRUTOS'!EI$3:EI$500)+IF($C16="",0,SUMIF('DADOS BRUTOS'!$A$3:$A$500,$C16,'DADOS BRUTOS'!EI$3:EI$500)))</f>
        <v/>
      </c>
      <c r="HJ16" s="132">
        <f>IF(OR(HJ$4="",$B16=""),0,SUMIF('DADOS BRUTOS'!$A$3:$A$500,$B16,'DADOS BRUTOS'!EJ$3:EJ$500)+IF($C16="",0,SUMIF('DADOS BRUTOS'!$A$3:$A$500,$C16,'DADOS BRUTOS'!EJ$3:EJ$500)))</f>
        <v/>
      </c>
      <c r="HK16" s="132">
        <f>IF(OR(HK$4="",$B16=""),0,SUMIF('DADOS BRUTOS'!$A$3:$A$500,$B16,'DADOS BRUTOS'!EK$3:EK$500)+IF($C16="",0,SUMIF('DADOS BRUTOS'!$A$3:$A$500,$C16,'DADOS BRUTOS'!EK$3:EK$500)))</f>
        <v/>
      </c>
      <c r="HL16" s="132">
        <f>IF(OR(HL$4="",$B16=""),0,SUMIF('DADOS BRUTOS'!$A$3:$A$500,$B16,'DADOS BRUTOS'!EL$3:EL$500)+IF($C16="",0,SUMIF('DADOS BRUTOS'!$A$3:$A$500,$C16,'DADOS BRUTOS'!EL$3:EL$500)))</f>
        <v/>
      </c>
      <c r="HM16" s="132">
        <f>IF(OR(HM$4="",$B16=""),0,SUMIF('DADOS BRUTOS'!$A$3:$A$500,$B16,'DADOS BRUTOS'!EM$3:EM$500)+IF($C16="",0,SUMIF('DADOS BRUTOS'!$A$3:$A$500,$C16,'DADOS BRUTOS'!EM$3:EM$500)))</f>
        <v/>
      </c>
      <c r="HN16" s="132">
        <f>IF(OR(HN$4="",$B16=""),0,SUMIF('DADOS BRUTOS'!$A$3:$A$500,$B16,'DADOS BRUTOS'!EN$3:EN$500)+IF($C16="",0,SUMIF('DADOS BRUTOS'!$A$3:$A$500,$C16,'DADOS BRUTOS'!EN$3:EN$500)))</f>
        <v/>
      </c>
      <c r="HO16" s="132">
        <f>IF(OR(HO$4="",$B16=""),0,SUMIF('DADOS BRUTOS'!$A$3:$A$500,$B16,'DADOS BRUTOS'!EO$3:EO$500)+IF($C16="",0,SUMIF('DADOS BRUTOS'!$A$3:$A$500,$C16,'DADOS BRUTOS'!EO$3:EO$500)))</f>
        <v/>
      </c>
      <c r="HP16" s="132">
        <f>IF(OR(HP$4="",$B16=""),0,SUMIF('DADOS BRUTOS'!$A$3:$A$500,$B16,'DADOS BRUTOS'!EP$3:EP$500)+IF($C16="",0,SUMIF('DADOS BRUTOS'!$A$3:$A$500,$C16,'DADOS BRUTOS'!EP$3:EP$500)))</f>
        <v/>
      </c>
      <c r="HQ16" s="132">
        <f>IF(OR(HQ$4="",$B16=""),0,SUMIF('DADOS BRUTOS'!$A$3:$A$500,$B16,'DADOS BRUTOS'!EQ$3:EQ$500)+IF($C16="",0,SUMIF('DADOS BRUTOS'!$A$3:$A$500,$C16,'DADOS BRUTOS'!EQ$3:EQ$500)))</f>
        <v/>
      </c>
      <c r="HR16" s="132">
        <f>IF(OR(HR$4="",$B16=""),0,SUMIF('DADOS BRUTOS'!$A$3:$A$500,$B16,'DADOS BRUTOS'!ER$3:ER$500)+IF($C16="",0,SUMIF('DADOS BRUTOS'!$A$3:$A$500,$C16,'DADOS BRUTOS'!ER$3:ER$500)))</f>
        <v/>
      </c>
      <c r="HS16" s="132">
        <f>IF(OR(HS$4="",$B16=""),0,SUMIF('DADOS BRUTOS'!$A$3:$A$500,$B16,'DADOS BRUTOS'!ES$3:ES$500)+IF($C16="",0,SUMIF('DADOS BRUTOS'!$A$3:$A$500,$C16,'DADOS BRUTOS'!ES$3:ES$500)))</f>
        <v/>
      </c>
      <c r="HT16" s="132">
        <f>IF(OR(HT$4="",$B16=""),0,SUMIF('DADOS BRUTOS'!$A$3:$A$500,$B16,'DADOS BRUTOS'!ET$3:ET$500)+IF($C16="",0,SUMIF('DADOS BRUTOS'!$A$3:$A$500,$C16,'DADOS BRUTOS'!ET$3:ET$500)))</f>
        <v/>
      </c>
      <c r="HU16" s="132">
        <f>IF(OR(HU$4="",$B16=""),0,SUMIF('DADOS BRUTOS'!$A$3:$A$500,$B16,'DADOS BRUTOS'!EU$3:EU$500)+IF($C16="",0,SUMIF('DADOS BRUTOS'!$A$3:$A$500,$C16,'DADOS BRUTOS'!EU$3:EU$500)))</f>
        <v/>
      </c>
      <c r="HV16" s="132">
        <f>IF(OR(HV$4="",$B16=""),0,SUMIF('DADOS BRUTOS'!$A$3:$A$500,$B16,'DADOS BRUTOS'!EV$3:EV$500)+IF($C16="",0,SUMIF('DADOS BRUTOS'!$A$3:$A$500,$C16,'DADOS BRUTOS'!EV$3:EV$500)))</f>
        <v/>
      </c>
      <c r="HW16" s="132">
        <f>IF(OR(HW$4="",$B16=""),0,SUMIF('DADOS BRUTOS'!$A$3:$A$500,$B16,'DADOS BRUTOS'!EW$3:EW$500)+IF($C16="",0,SUMIF('DADOS BRUTOS'!$A$3:$A$500,$C16,'DADOS BRUTOS'!EW$3:EW$500)))</f>
        <v/>
      </c>
      <c r="HX16" s="132">
        <f>IF(OR(HX$4="",$B16=""),0,SUMIF('DADOS BRUTOS'!$A$3:$A$500,$B16,'DADOS BRUTOS'!EX$3:EX$500)+IF($C16="",0,SUMIF('DADOS BRUTOS'!$A$3:$A$500,$C16,'DADOS BRUTOS'!EX$3:EX$500)))</f>
        <v/>
      </c>
      <c r="HY16" s="132">
        <f>IF(OR(HY$4="",$B16=""),0,SUMIF('DADOS BRUTOS'!$A$3:$A$500,$B16,'DADOS BRUTOS'!EY$3:EY$500)+IF($C16="",0,SUMIF('DADOS BRUTOS'!$A$3:$A$500,$C16,'DADOS BRUTOS'!EY$3:EY$500)))</f>
        <v/>
      </c>
      <c r="HZ16" s="132">
        <f>IF(OR(HZ$4="",$B16=""),0,SUMIF('DADOS BRUTOS'!$A$3:$A$500,$B16,'DADOS BRUTOS'!EZ$3:EZ$500)+IF($C16="",0,SUMIF('DADOS BRUTOS'!$A$3:$A$500,$C16,'DADOS BRUTOS'!EZ$3:EZ$500)))</f>
        <v/>
      </c>
      <c r="IA16" s="132">
        <f>IF(OR(IA$4="",$B16=""),0,SUMIF('DADOS BRUTOS'!$A$3:$A$500,$B16,'DADOS BRUTOS'!FA$3:FA$500)+IF($C16="",0,SUMIF('DADOS BRUTOS'!$A$3:$A$500,$C16,'DADOS BRUTOS'!FA$3:FA$500)))</f>
        <v/>
      </c>
      <c r="IB16" s="132">
        <f>IF(OR(IB$4="",$B16=""),0,SUMIF('DADOS BRUTOS'!$A$3:$A$500,$B16,'DADOS BRUTOS'!FB$3:FB$500)+IF($C16="",0,SUMIF('DADOS BRUTOS'!$A$3:$A$500,$C16,'DADOS BRUTOS'!FB$3:FB$500)))</f>
        <v/>
      </c>
      <c r="IC16" s="132">
        <f>IF(OR(IC$4="",$B16=""),0,SUMIF('DADOS BRUTOS'!$A$3:$A$500,$B16,'DADOS BRUTOS'!FC$3:FC$500)+IF($C16="",0,SUMIF('DADOS BRUTOS'!$A$3:$A$500,$C16,'DADOS BRUTOS'!FC$3:FC$500)))</f>
        <v/>
      </c>
      <c r="ID16" s="132">
        <f>IF(OR(ID$4="",$B16=""),0,SUMIF('DADOS BRUTOS'!$A$3:$A$500,$B16,'DADOS BRUTOS'!FD$3:FD$500)+IF($C16="",0,SUMIF('DADOS BRUTOS'!$A$3:$A$500,$C16,'DADOS BRUTOS'!FD$3:FD$500)))</f>
        <v/>
      </c>
      <c r="IE16" s="132">
        <f>IF(OR(IE$4="",$B16=""),0,SUMIF('DADOS BRUTOS'!$A$3:$A$500,$B16,'DADOS BRUTOS'!FE$3:FE$500)+IF($C16="",0,SUMIF('DADOS BRUTOS'!$A$3:$A$500,$C16,'DADOS BRUTOS'!FE$3:FE$500)))</f>
        <v/>
      </c>
      <c r="IF16" s="132">
        <f>IF(OR(IF$4="",$B16=""),0,SUMIF('DADOS BRUTOS'!$A$3:$A$500,$B16,'DADOS BRUTOS'!FF$3:FF$500)+IF($C16="",0,SUMIF('DADOS BRUTOS'!$A$3:$A$500,$C16,'DADOS BRUTOS'!FF$3:FF$500)))</f>
        <v/>
      </c>
      <c r="IG16" s="132">
        <f>IF(OR(IG$4="",$B16=""),0,SUMIF('DADOS BRUTOS'!$A$3:$A$500,$B16,'DADOS BRUTOS'!FG$3:FG$500)+IF($C16="",0,SUMIF('DADOS BRUTOS'!$A$3:$A$500,$C16,'DADOS BRUTOS'!FG$3:FG$500)))</f>
        <v/>
      </c>
      <c r="IH16" s="132">
        <f>IF(OR(IH$4="",$B16=""),0,SUMIF('DADOS BRUTOS'!$A$3:$A$500,$B16,'DADOS BRUTOS'!FH$3:FH$500)+IF($C16="",0,SUMIF('DADOS BRUTOS'!$A$3:$A$500,$C16,'DADOS BRUTOS'!FH$3:FH$500)))</f>
        <v/>
      </c>
      <c r="II16" s="132">
        <f>IF(OR(II$4="",$B16=""),0,SUMIF('DADOS BRUTOS'!$A$3:$A$500,$B16,'DADOS BRUTOS'!FI$3:FI$500)+IF($C16="",0,SUMIF('DADOS BRUTOS'!$A$3:$A$500,$C16,'DADOS BRUTOS'!FI$3:FI$500)))</f>
        <v/>
      </c>
      <c r="IJ16" s="132">
        <f>IF(OR(IJ$4="",$B16=""),0,SUMIF('DADOS BRUTOS'!$A$3:$A$500,$B16,'DADOS BRUTOS'!FJ$3:FJ$500)+IF($C16="",0,SUMIF('DADOS BRUTOS'!$A$3:$A$500,$C16,'DADOS BRUTOS'!FJ$3:FJ$500)))</f>
        <v/>
      </c>
      <c r="IK16" s="132">
        <f>IF(OR(IK$4="",$B16=""),0,SUMIF('DADOS BRUTOS'!$A$3:$A$500,$B16,'DADOS BRUTOS'!FK$3:FK$500)+IF($C16="",0,SUMIF('DADOS BRUTOS'!$A$3:$A$500,$C16,'DADOS BRUTOS'!FK$3:FK$500)))</f>
        <v/>
      </c>
      <c r="IL16" s="132">
        <f>IF(OR(IL$4="",$B16=""),0,SUMIF('DADOS BRUTOS'!$A$3:$A$500,$B16,'DADOS BRUTOS'!FL$3:FL$500)+IF($C16="",0,SUMIF('DADOS BRUTOS'!$A$3:$A$500,$C16,'DADOS BRUTOS'!FL$3:FL$500)))</f>
        <v/>
      </c>
      <c r="IM16" s="132">
        <f>IF(OR(IM$4="",$B16=""),0,SUMIF('DADOS BRUTOS'!$A$3:$A$500,$B16,'DADOS BRUTOS'!FM$3:FM$500)+IF($C16="",0,SUMIF('DADOS BRUTOS'!$A$3:$A$500,$C16,'DADOS BRUTOS'!FM$3:FM$500)))</f>
        <v/>
      </c>
      <c r="IN16" s="132">
        <f>IF(OR(IN$4="",$B16=""),0,SUMIF('DADOS BRUTOS'!$A$3:$A$500,$B16,'DADOS BRUTOS'!FN$3:FN$500)+IF($C16="",0,SUMIF('DADOS BRUTOS'!$A$3:$A$500,$C16,'DADOS BRUTOS'!FN$3:FN$500)))</f>
        <v/>
      </c>
      <c r="IO16" s="132">
        <f>IF(OR(IO$4="",$B16=""),0,SUMIF('DADOS BRUTOS'!$A$3:$A$500,$B16,'DADOS BRUTOS'!FO$3:FO$500)+IF($C16="",0,SUMIF('DADOS BRUTOS'!$A$3:$A$500,$C16,'DADOS BRUTOS'!FO$3:FO$500)))</f>
        <v/>
      </c>
      <c r="IP16" s="132">
        <f>IF(OR(IP$4="",$B16=""),0,SUMIF('DADOS BRUTOS'!$A$3:$A$500,$B16,'DADOS BRUTOS'!FP$3:FP$500)+IF($C16="",0,SUMIF('DADOS BRUTOS'!$A$3:$A$500,$C16,'DADOS BRUTOS'!FP$3:FP$500)))</f>
        <v/>
      </c>
      <c r="IQ16" s="132">
        <f>IF(OR(IQ$4="",$B16=""),0,SUMIF('DADOS BRUTOS'!$A$3:$A$500,$B16,'DADOS BRUTOS'!FQ$3:FQ$500)+IF($C16="",0,SUMIF('DADOS BRUTOS'!$A$3:$A$500,$C16,'DADOS BRUTOS'!FQ$3:FQ$500)))</f>
        <v/>
      </c>
      <c r="IR16" s="132">
        <f>IF(OR(IR$4="",$B16=""),0,SUMIF('DADOS BRUTOS'!$A$3:$A$500,$B16,'DADOS BRUTOS'!FR$3:FR$500)+IF($C16="",0,SUMIF('DADOS BRUTOS'!$A$3:$A$500,$C16,'DADOS BRUTOS'!FR$3:FR$500)))</f>
        <v/>
      </c>
      <c r="IS16" s="132">
        <f>IF(OR(IS$4="",$B16=""),0,SUMIF('DADOS BRUTOS'!$A$3:$A$500,$B16,'DADOS BRUTOS'!FS$3:FS$500)+IF($C16="",0,SUMIF('DADOS BRUTOS'!$A$3:$A$500,$C16,'DADOS BRUTOS'!FS$3:FS$500)))</f>
        <v/>
      </c>
      <c r="IT16" s="132">
        <f>IF(OR(IT$4="",$B16=""),0,SUMIF('DADOS BRUTOS'!$A$3:$A$500,$B16,'DADOS BRUTOS'!FT$3:FT$500)+IF($C16="",0,SUMIF('DADOS BRUTOS'!$A$3:$A$500,$C16,'DADOS BRUTOS'!FT$3:FT$500)))</f>
        <v/>
      </c>
      <c r="IU16" s="132">
        <f>IF(OR(IU$4="",$B16=""),0,SUMIF('DADOS BRUTOS'!$A$3:$A$500,$B16,'DADOS BRUTOS'!FU$3:FU$500)+IF($C16="",0,SUMIF('DADOS BRUTOS'!$A$3:$A$500,$C16,'DADOS BRUTOS'!FU$3:FU$500)))</f>
        <v/>
      </c>
      <c r="IV16" s="132">
        <f>IF(OR(IV$4="",$B16=""),0,SUMIF('DADOS BRUTOS'!$A$3:$A$500,$B16,'DADOS BRUTOS'!FV$3:FV$500)+IF($C16="",0,SUMIF('DADOS BRUTOS'!$A$3:$A$500,$C16,'DADOS BRUTOS'!FV$3:FV$500)))</f>
        <v/>
      </c>
      <c r="IW16" s="132">
        <f>IF(OR(IW$4="",$B16=""),0,SUMIF('DADOS BRUTOS'!$A$3:$A$500,$B16,'DADOS BRUTOS'!FW$3:FW$500)+IF($C16="",0,SUMIF('DADOS BRUTOS'!$A$3:$A$500,$C16,'DADOS BRUTOS'!FW$3:FW$500)))</f>
        <v/>
      </c>
      <c r="IX16" s="132">
        <f>IF(OR(IX$4="",$B16=""),0,SUMIF('DADOS BRUTOS'!$A$3:$A$500,$B16,'DADOS BRUTOS'!FX$3:FX$500)+IF($C16="",0,SUMIF('DADOS BRUTOS'!$A$3:$A$500,$C16,'DADOS BRUTOS'!FX$3:FX$500)))</f>
        <v/>
      </c>
      <c r="IY16" s="132">
        <f>IF(OR(IY$4="",$B16=""),0,SUMIF('DADOS BRUTOS'!$A$3:$A$500,$B16,'DADOS BRUTOS'!FY$3:FY$500)+IF($C16="",0,SUMIF('DADOS BRUTOS'!$A$3:$A$500,$C16,'DADOS BRUTOS'!FY$3:FY$500)))</f>
        <v/>
      </c>
      <c r="IZ16" s="132">
        <f>IF(OR(IZ$4="",$B16=""),0,SUMIF('DADOS BRUTOS'!$A$3:$A$500,$B16,'DADOS BRUTOS'!FZ$3:FZ$500)+IF($C16="",0,SUMIF('DADOS BRUTOS'!$A$3:$A$500,$C16,'DADOS BRUTOS'!FZ$3:FZ$500)))</f>
        <v/>
      </c>
      <c r="JA16" s="132">
        <f>IF(OR(JA$4="",$B16=""),0,SUMIF('DADOS BRUTOS'!$A$3:$A$500,$B16,'DADOS BRUTOS'!GA$3:GA$500)+IF($C16="",0,SUMIF('DADOS BRUTOS'!$A$3:$A$500,$C16,'DADOS BRUTOS'!GA$3:GA$500)))</f>
        <v/>
      </c>
      <c r="JB16" s="132">
        <f>IF(OR(JB$4="",$B16=""),0,SUMIF('DADOS BRUTOS'!$A$3:$A$500,$B16,'DADOS BRUTOS'!GB$3:GB$500)+IF($C16="",0,SUMIF('DADOS BRUTOS'!$A$3:$A$500,$C16,'DADOS BRUTOS'!GB$3:GB$500)))</f>
        <v/>
      </c>
      <c r="JC16" s="132">
        <f>IF(OR(JC$4="",$B16=""),0,SUMIF('DADOS BRUTOS'!$A$3:$A$500,$B16,'DADOS BRUTOS'!GC$3:GC$500)+IF($C16="",0,SUMIF('DADOS BRUTOS'!$A$3:$A$500,$C16,'DADOS BRUTOS'!GC$3:GC$500)))</f>
        <v/>
      </c>
      <c r="JD16" s="132">
        <f>IF(OR(JD$4="",$B16=""),0,SUMIF('DADOS BRUTOS'!$A$3:$A$500,$B16,'DADOS BRUTOS'!GD$3:GD$500)+IF($C16="",0,SUMIF('DADOS BRUTOS'!$A$3:$A$500,$C16,'DADOS BRUTOS'!GD$3:GD$500)))</f>
        <v/>
      </c>
      <c r="JE16" s="132">
        <f>IF(OR(JE$4="",$B16=""),0,SUMIF('DADOS BRUTOS'!$A$3:$A$500,$B16,'DADOS BRUTOS'!GE$3:GE$500)+IF($C16="",0,SUMIF('DADOS BRUTOS'!$A$3:$A$500,$C16,'DADOS BRUTOS'!GE$3:GE$500)))</f>
        <v/>
      </c>
      <c r="JF16" s="132">
        <f>IF(OR(JF$4="",$B16=""),0,SUMIF('DADOS BRUTOS'!$A$3:$A$500,$B16,'DADOS BRUTOS'!GF$3:GF$500)+IF($C16="",0,SUMIF('DADOS BRUTOS'!$A$3:$A$500,$C16,'DADOS BRUTOS'!GF$3:GF$500)))</f>
        <v/>
      </c>
      <c r="JG16" s="132">
        <f>IF(OR(JG$4="",$B16=""),0,SUMIF('DADOS BRUTOS'!$A$3:$A$500,$B16,'DADOS BRUTOS'!GG$3:GG$500)+IF($C16="",0,SUMIF('DADOS BRUTOS'!$A$3:$A$500,$C16,'DADOS BRUTOS'!GG$3:GG$500)))</f>
        <v/>
      </c>
      <c r="JH16" s="132">
        <f>IF(OR(JH$4="",$B16=""),0,SUMIF('DADOS BRUTOS'!$A$3:$A$500,$B16,'DADOS BRUTOS'!GH$3:GH$500)+IF($C16="",0,SUMIF('DADOS BRUTOS'!$A$3:$A$500,$C16,'DADOS BRUTOS'!GH$3:GH$500)))</f>
        <v/>
      </c>
      <c r="JI16" s="132">
        <f>IF(OR(JI$4="",$B16=""),0,SUMIF('DADOS BRUTOS'!$A$3:$A$500,$B16,'DADOS BRUTOS'!GI$3:GI$500)+IF($C16="",0,SUMIF('DADOS BRUTOS'!$A$3:$A$500,$C16,'DADOS BRUTOS'!GI$3:GI$500)))</f>
        <v/>
      </c>
      <c r="JJ16" s="132">
        <f>IF(OR(JJ$4="",$B16=""),0,SUMIF('DADOS BRUTOS'!$A$3:$A$500,$B16,'DADOS BRUTOS'!GJ$3:GJ$500)+IF($C16="",0,SUMIF('DADOS BRUTOS'!$A$3:$A$500,$C16,'DADOS BRUTOS'!GJ$3:GJ$500)))</f>
        <v/>
      </c>
      <c r="JK16" s="132">
        <f>IF(OR(JK$4="",$B16=""),0,SUMIF('DADOS BRUTOS'!$A$3:$A$500,$B16,'DADOS BRUTOS'!GK$3:GK$500)+IF($C16="",0,SUMIF('DADOS BRUTOS'!$A$3:$A$500,$C16,'DADOS BRUTOS'!GK$3:GK$500)))</f>
        <v/>
      </c>
      <c r="JL16" s="132">
        <f>IF(OR(JL$4="",$B16=""),0,SUMIF('DADOS BRUTOS'!$A$3:$A$500,$B16,'DADOS BRUTOS'!GL$3:GL$500)+IF($C16="",0,SUMIF('DADOS BRUTOS'!$A$3:$A$500,$C16,'DADOS BRUTOS'!GL$3:GL$500)))</f>
        <v/>
      </c>
      <c r="JM16" s="132">
        <f>IF(OR(JM$4="",$B16=""),0,SUMIF('DADOS BRUTOS'!$A$3:$A$500,$B16,'DADOS BRUTOS'!GM$3:GM$500)+IF($C16="",0,SUMIF('DADOS BRUTOS'!$A$3:$A$500,$C16,'DADOS BRUTOS'!GM$3:GM$500)))</f>
        <v/>
      </c>
      <c r="JN16" s="132">
        <f>IF(OR(JN$4="",$B16=""),0,SUMIF('DADOS BRUTOS'!$A$3:$A$500,$B16,'DADOS BRUTOS'!GN$3:GN$500)+IF($C16="",0,SUMIF('DADOS BRUTOS'!$A$3:$A$500,$C16,'DADOS BRUTOS'!GN$3:GN$500)))</f>
        <v/>
      </c>
      <c r="JO16" s="132">
        <f>IF(OR(JO$4="",$B16=""),0,SUMIF('DADOS BRUTOS'!$A$3:$A$500,$B16,'DADOS BRUTOS'!GO$3:GO$500)+IF($C16="",0,SUMIF('DADOS BRUTOS'!$A$3:$A$500,$C16,'DADOS BRUTOS'!GO$3:GO$500)))</f>
        <v/>
      </c>
      <c r="JP16" s="132">
        <f>IF(OR(JP$4="",$B16=""),0,SUMIF('DADOS BRUTOS'!$A$3:$A$500,$B16,'DADOS BRUTOS'!GP$3:GP$500)+IF($C16="",0,SUMIF('DADOS BRUTOS'!$A$3:$A$500,$C16,'DADOS BRUTOS'!GP$3:GP$500)))</f>
        <v/>
      </c>
      <c r="JQ16" s="132">
        <f>IF(OR(JQ$4="",$B16=""),0,SUMIF('DADOS BRUTOS'!$A$3:$A$500,$B16,'DADOS BRUTOS'!GQ$3:GQ$500)+IF($C16="",0,SUMIF('DADOS BRUTOS'!$A$3:$A$500,$C16,'DADOS BRUTOS'!GQ$3:GQ$500)))</f>
        <v/>
      </c>
      <c r="JR16" s="132">
        <f>IF(OR(JR$4="",$B16=""),0,SUMIF('DADOS BRUTOS'!$A$3:$A$500,$B16,'DADOS BRUTOS'!GR$3:GR$500)+IF($C16="",0,SUMIF('DADOS BRUTOS'!$A$3:$A$500,$C16,'DADOS BRUTOS'!GR$3:GR$500)))</f>
        <v/>
      </c>
      <c r="JS16" s="132">
        <f>IF(OR(JS$4="",$B16=""),0,SUMIF('DADOS BRUTOS'!$A$3:$A$500,$B16,'DADOS BRUTOS'!GS$3:GS$500)+IF($C16="",0,SUMIF('DADOS BRUTOS'!$A$3:$A$500,$C16,'DADOS BRUTOS'!GS$3:GS$500)))</f>
        <v/>
      </c>
    </row>
    <row r="17">
      <c r="A17" s="61">
        <f>'VALOR POR PL'!D23</f>
        <v/>
      </c>
      <c r="B17" s="59" t="inlineStr">
        <is>
          <t>CONTENÇÃO</t>
        </is>
      </c>
      <c r="C17" s="59" t="n"/>
      <c r="D17" s="54">
        <f>SUMIF($CB$4:$JS$4,"&lt;="&amp;D$4,$CB17:$JS17)</f>
        <v/>
      </c>
      <c r="E17" s="54">
        <f>SUMIF($CB$4:$JS$4,E$4,$CB17:$JS17)</f>
        <v/>
      </c>
      <c r="F17" s="54">
        <f>SUMIF($CB$4:$JS$4,F$4,$CB17:$JS17)</f>
        <v/>
      </c>
      <c r="G17" s="54">
        <f>SUMIF($CB$4:$JS$4,G$4,$CB17:$JS17)</f>
        <v/>
      </c>
      <c r="H17" s="54">
        <f>SUMIF($CB$4:$JS$4,H$4,$CB17:$JS17)</f>
        <v/>
      </c>
      <c r="I17" s="54">
        <f>SUMIF($CB$4:$JS$4,I$4,$CB17:$JS17)</f>
        <v/>
      </c>
      <c r="J17" s="54">
        <f>SUMIF($CB$4:$JS$4,J$4,$CB17:$JS17)</f>
        <v/>
      </c>
      <c r="K17" s="54">
        <f>SUMIF($CB$4:$JS$4,K$4,$CB17:$JS17)</f>
        <v/>
      </c>
      <c r="L17" s="54">
        <f>SUMIF($CB$4:$JS$4,L$4,$CB17:$JS17)</f>
        <v/>
      </c>
      <c r="M17" s="54">
        <f>SUMIF($CB$4:$JS$4,M$4,$CB17:$JS17)</f>
        <v/>
      </c>
      <c r="N17" s="54">
        <f>SUMIF($CB$4:$JS$4,N$4,$CB17:$JS17)</f>
        <v/>
      </c>
      <c r="O17" s="54">
        <f>SUMIF($CB$4:$JS$4,O$4,$CB17:$JS17)</f>
        <v/>
      </c>
      <c r="P17" s="54">
        <f>SUMIF($CB$4:$JS$4,P$4,$CB17:$JS17)</f>
        <v/>
      </c>
      <c r="Q17" s="54">
        <f>SUMIF($CB$4:$JS$4,Q$4,$CB17:$JS17)</f>
        <v/>
      </c>
      <c r="R17" s="54">
        <f>SUMIF($CB$4:$JS$4,R$4,$CB17:$JS17)</f>
        <v/>
      </c>
      <c r="S17" s="54">
        <f>SUMIF($CB$4:$JS$4,S$4,$CB17:$JS17)</f>
        <v/>
      </c>
      <c r="T17" s="54">
        <f>SUMIF($CB$4:$JS$4,T$4,$CB17:$JS17)</f>
        <v/>
      </c>
      <c r="U17" s="54">
        <f>SUMIF($CB$4:$JS$4,U$4,$CB17:$JS17)</f>
        <v/>
      </c>
      <c r="V17" s="54">
        <f>SUMIF($CB$4:$JS$4,V$4,$CB17:$JS17)</f>
        <v/>
      </c>
      <c r="W17" s="54">
        <f>SUMIF($CB$4:$JS$4,W$4,$CB17:$JS17)</f>
        <v/>
      </c>
      <c r="X17" s="54">
        <f>SUMIF($CB$4:$JS$4,X$4,$CB17:$JS17)</f>
        <v/>
      </c>
      <c r="Y17" s="54">
        <f>SUMIF($CB$4:$JS$4,Y$4,$CB17:$JS17)</f>
        <v/>
      </c>
      <c r="Z17" s="54">
        <f>SUMIF($CB$4:$JS$4,Z$4,$CB17:$JS17)</f>
        <v/>
      </c>
      <c r="AA17" s="54">
        <f>SUMIF($CB$4:$JS$4,AA$4,$CB17:$JS17)</f>
        <v/>
      </c>
      <c r="AB17" s="54">
        <f>SUMIF($CB$4:$JS$4,AB$4,$CB17:$JS17)</f>
        <v/>
      </c>
      <c r="AC17" s="54">
        <f>SUMIF($CB$4:$JS$4,AC$4,$CB17:$JS17)</f>
        <v/>
      </c>
      <c r="AD17" s="54">
        <f>SUMIF($CB$4:$JS$4,AD$4,$CB17:$JS17)</f>
        <v/>
      </c>
      <c r="AE17" s="54">
        <f>SUMIF($CB$4:$JS$4,AE$4,$CB17:$JS17)</f>
        <v/>
      </c>
      <c r="AF17" s="54">
        <f>SUMIF($CB$4:$JS$4,AF$4,$CB17:$JS17)</f>
        <v/>
      </c>
      <c r="AG17" s="54">
        <f>SUMIF($CB$4:$JS$4,AG$4,$CB17:$JS17)</f>
        <v/>
      </c>
      <c r="AH17" s="54">
        <f>SUMIF($CB$4:$JS$4,AH$4,$CB17:$JS17)</f>
        <v/>
      </c>
      <c r="AI17" s="54">
        <f>SUMIF($CB$4:$JS$4,AI$4,$CB17:$JS17)</f>
        <v/>
      </c>
      <c r="AJ17" s="54">
        <f>SUMIF($CB$4:$JS$4,AJ$4,$CB17:$JS17)</f>
        <v/>
      </c>
      <c r="AK17" s="54">
        <f>SUMIF($CB$4:$JS$4,AK$4,$CB17:$JS17)</f>
        <v/>
      </c>
      <c r="AL17" s="54">
        <f>SUMIF($CB$4:$JS$4,AL$4,$CB17:$JS17)</f>
        <v/>
      </c>
      <c r="AM17" s="54">
        <f>SUMIF($CB$4:$JS$4,AM$4,$CB17:$JS17)</f>
        <v/>
      </c>
      <c r="AN17" s="54">
        <f>SUMIF($CB$4:$JS$4,AN$4,$CB17:$JS17)</f>
        <v/>
      </c>
      <c r="AO17" s="54">
        <f>SUMIF($CB$4:$JS$4,AO$4,$CB17:$JS17)</f>
        <v/>
      </c>
      <c r="AP17" s="54">
        <f>SUMIF($CB$4:$JS$4,AP$4,$CB17:$JS17)</f>
        <v/>
      </c>
      <c r="AQ17" s="54">
        <f>SUMIF($CB$4:$JS$4,AQ$4,$CB17:$JS17)</f>
        <v/>
      </c>
      <c r="AR17" s="54">
        <f>SUMIF($CB$4:$JS$4,AR$4,$CB17:$JS17)</f>
        <v/>
      </c>
      <c r="AS17" s="54">
        <f>SUMIF($CB$4:$JS$4,AS$4,$CB17:$JS17)</f>
        <v/>
      </c>
      <c r="AT17" s="54">
        <f>SUMIF($CB$4:$JS$4,AT$4,$CB17:$JS17)</f>
        <v/>
      </c>
      <c r="AU17" s="54">
        <f>SUMIF($CB$4:$JS$4,AU$4,$CB17:$JS17)</f>
        <v/>
      </c>
      <c r="AV17" s="54">
        <f>SUMIF($CB$4:$JS$4,AV$4,$CB17:$JS17)</f>
        <v/>
      </c>
      <c r="AW17" s="54">
        <f>SUMIF($CB$4:$JS$4,AW$4,$CB17:$JS17)</f>
        <v/>
      </c>
      <c r="AX17" s="54">
        <f>SUMIF($CB$4:$JS$4,AX$4,$CB17:$JS17)</f>
        <v/>
      </c>
      <c r="AY17" s="54">
        <f>SUMIF($CB$4:$JS$4,AY$4,$CB17:$JS17)</f>
        <v/>
      </c>
      <c r="AZ17" s="54">
        <f>SUMIF($CB$4:$JS$4,AZ$4,$CB17:$JS17)</f>
        <v/>
      </c>
      <c r="BA17" s="54">
        <f>SUMIF($CB$4:$JS$4,BA$4,$CB17:$JS17)</f>
        <v/>
      </c>
      <c r="BB17" s="54">
        <f>SUMIF($CB$4:$JS$4,BB$4,$CB17:$JS17)</f>
        <v/>
      </c>
      <c r="BC17" s="54">
        <f>SUMIF($CB$4:$JS$4,BC$4,$CB17:$JS17)</f>
        <v/>
      </c>
      <c r="BD17" s="54">
        <f>SUMIF($CB$4:$JS$4,BD$4,$CB17:$JS17)</f>
        <v/>
      </c>
      <c r="BE17" s="54">
        <f>SUMIF($CB$4:$JS$4,BE$4,$CB17:$JS17)</f>
        <v/>
      </c>
      <c r="BF17" s="54">
        <f>SUMIF($CB$4:$JS$4,BF$4,$CB17:$JS17)</f>
        <v/>
      </c>
      <c r="BG17" s="54">
        <f>SUMIF($CB$4:$JS$4,BG$4,$CB17:$JS17)</f>
        <v/>
      </c>
      <c r="BH17" s="54">
        <f>SUMIF($CB$4:$JS$4,BH$4,$CB17:$JS17)</f>
        <v/>
      </c>
      <c r="BI17" s="54">
        <f>SUMIF($CB$4:$JS$4,BI$4,$CB17:$JS17)</f>
        <v/>
      </c>
      <c r="BJ17" s="54">
        <f>SUMIF($CB$4:$JS$4,BJ$4,$CB17:$JS17)</f>
        <v/>
      </c>
      <c r="BK17" s="54">
        <f>SUMIF($CB$4:$JS$4,BK$4,$CB17:$JS17)</f>
        <v/>
      </c>
      <c r="BL17" s="54">
        <f>SUMIF($CB$4:$JS$4,BL$4,$CB17:$JS17)</f>
        <v/>
      </c>
      <c r="BM17" s="54">
        <f>SUMIF($CB$4:$JS$4,BM$4,$CB17:$JS17)</f>
        <v/>
      </c>
      <c r="BN17" s="54">
        <f>SUMIF($CB$4:$JS$4,BN$4,$CB17:$JS17)</f>
        <v/>
      </c>
      <c r="BO17" s="54">
        <f>SUMIF($CB$4:$JS$4,BO$4,$CB17:$JS17)</f>
        <v/>
      </c>
      <c r="BP17" s="54">
        <f>SUMIF($CB$4:$JS$4,BP$4,$CB17:$JS17)</f>
        <v/>
      </c>
      <c r="BQ17" s="54">
        <f>SUMIF($CB$4:$JS$4,BQ$4,$CB17:$JS17)</f>
        <v/>
      </c>
      <c r="BR17" s="54">
        <f>SUMIF($CB$4:$JS$4,BR$4,$CB17:$JS17)</f>
        <v/>
      </c>
      <c r="BS17" s="54">
        <f>SUMIF($CB$4:$JS$4,BS$4,$CB17:$JS17)</f>
        <v/>
      </c>
      <c r="BT17" s="54">
        <f>SUMIF($CB$4:$JS$4,BT$4,$CB17:$JS17)</f>
        <v/>
      </c>
      <c r="BU17" s="54">
        <f>SUMIF($CB$4:$JS$4,BU$4,$CB17:$JS17)</f>
        <v/>
      </c>
      <c r="BV17" s="54">
        <f>SUMIF($CB$4:$JS$4,BV$4,$CB17:$JS17)</f>
        <v/>
      </c>
      <c r="BW17" s="54">
        <f>SUMIF($CB$4:$JS$4,BW$4,$CB17:$JS17)</f>
        <v/>
      </c>
      <c r="BX17" s="54">
        <f>SUMIF($CB$4:$JS$4,"&gt;"&amp;'VALOR POR PL'!$P$8,$CB17:$JS17)</f>
        <v/>
      </c>
      <c r="BY17" s="54">
        <f>SUM($CB17:$JS17)</f>
        <v/>
      </c>
      <c r="BZ17" s="49">
        <f>SUMPRODUCT(($CB$4:$JS$4&lt;&gt;"")*($CB$4:$JS$4&lt;=$D$4),$CB17:$JS17,$CB$1:$JS$1)</f>
        <v/>
      </c>
      <c r="CB17" s="132">
        <f>IF(OR(CB$4="",$B17=""),0,SUMIF('DADOS BRUTOS'!$A$3:$A$500,$B17,'DADOS BRUTOS'!B$3:B$500)+IF($C17="",0,SUMIF('DADOS BRUTOS'!$A$3:$A$500,$C17,'DADOS BRUTOS'!B$3:B$500)))</f>
        <v/>
      </c>
      <c r="CC17" s="132">
        <f>IF(OR(CC$4="",$B17=""),0,SUMIF('DADOS BRUTOS'!$A$3:$A$500,$B17,'DADOS BRUTOS'!C$3:C$500)+IF($C17="",0,SUMIF('DADOS BRUTOS'!$A$3:$A$500,$C17,'DADOS BRUTOS'!C$3:C$500)))</f>
        <v/>
      </c>
      <c r="CD17" s="132">
        <f>IF(OR(CD$4="",$B17=""),0,SUMIF('DADOS BRUTOS'!$A$3:$A$500,$B17,'DADOS BRUTOS'!D$3:D$500)+IF($C17="",0,SUMIF('DADOS BRUTOS'!$A$3:$A$500,$C17,'DADOS BRUTOS'!D$3:D$500)))</f>
        <v/>
      </c>
      <c r="CE17" s="132">
        <f>IF(OR(CE$4="",$B17=""),0,SUMIF('DADOS BRUTOS'!$A$3:$A$500,$B17,'DADOS BRUTOS'!E$3:E$500)+IF($C17="",0,SUMIF('DADOS BRUTOS'!$A$3:$A$500,$C17,'DADOS BRUTOS'!E$3:E$500)))</f>
        <v/>
      </c>
      <c r="CF17" s="132">
        <f>IF(OR(CF$4="",$B17=""),0,SUMIF('DADOS BRUTOS'!$A$3:$A$500,$B17,'DADOS BRUTOS'!F$3:F$500)+IF($C17="",0,SUMIF('DADOS BRUTOS'!$A$3:$A$500,$C17,'DADOS BRUTOS'!F$3:F$500)))</f>
        <v/>
      </c>
      <c r="CG17" s="132">
        <f>IF(OR(CG$4="",$B17=""),0,SUMIF('DADOS BRUTOS'!$A$3:$A$500,$B17,'DADOS BRUTOS'!G$3:G$500)+IF($C17="",0,SUMIF('DADOS BRUTOS'!$A$3:$A$500,$C17,'DADOS BRUTOS'!G$3:G$500)))</f>
        <v/>
      </c>
      <c r="CH17" s="132">
        <f>IF(OR(CH$4="",$B17=""),0,SUMIF('DADOS BRUTOS'!$A$3:$A$500,$B17,'DADOS BRUTOS'!H$3:H$500)+IF($C17="",0,SUMIF('DADOS BRUTOS'!$A$3:$A$500,$C17,'DADOS BRUTOS'!H$3:H$500)))</f>
        <v/>
      </c>
      <c r="CI17" s="132">
        <f>IF(OR(CI$4="",$B17=""),0,SUMIF('DADOS BRUTOS'!$A$3:$A$500,$B17,'DADOS BRUTOS'!I$3:I$500)+IF($C17="",0,SUMIF('DADOS BRUTOS'!$A$3:$A$500,$C17,'DADOS BRUTOS'!I$3:I$500)))</f>
        <v/>
      </c>
      <c r="CJ17" s="132">
        <f>IF(OR(CJ$4="",$B17=""),0,SUMIF('DADOS BRUTOS'!$A$3:$A$500,$B17,'DADOS BRUTOS'!J$3:J$500)+IF($C17="",0,SUMIF('DADOS BRUTOS'!$A$3:$A$500,$C17,'DADOS BRUTOS'!J$3:J$500)))</f>
        <v/>
      </c>
      <c r="CK17" s="132">
        <f>IF(OR(CK$4="",$B17=""),0,SUMIF('DADOS BRUTOS'!$A$3:$A$500,$B17,'DADOS BRUTOS'!K$3:K$500)+IF($C17="",0,SUMIF('DADOS BRUTOS'!$A$3:$A$500,$C17,'DADOS BRUTOS'!K$3:K$500)))</f>
        <v/>
      </c>
      <c r="CL17" s="132">
        <f>IF(OR(CL$4="",$B17=""),0,SUMIF('DADOS BRUTOS'!$A$3:$A$500,$B17,'DADOS BRUTOS'!L$3:L$500)+IF($C17="",0,SUMIF('DADOS BRUTOS'!$A$3:$A$500,$C17,'DADOS BRUTOS'!L$3:L$500)))</f>
        <v/>
      </c>
      <c r="CM17" s="132">
        <f>IF(OR(CM$4="",$B17=""),0,SUMIF('DADOS BRUTOS'!$A$3:$A$500,$B17,'DADOS BRUTOS'!M$3:M$500)+IF($C17="",0,SUMIF('DADOS BRUTOS'!$A$3:$A$500,$C17,'DADOS BRUTOS'!M$3:M$500)))</f>
        <v/>
      </c>
      <c r="CN17" s="132">
        <f>IF(OR(CN$4="",$B17=""),0,SUMIF('DADOS BRUTOS'!$A$3:$A$500,$B17,'DADOS BRUTOS'!N$3:N$500)+IF($C17="",0,SUMIF('DADOS BRUTOS'!$A$3:$A$500,$C17,'DADOS BRUTOS'!N$3:N$500)))</f>
        <v/>
      </c>
      <c r="CO17" s="132">
        <f>IF(OR(CO$4="",$B17=""),0,SUMIF('DADOS BRUTOS'!$A$3:$A$500,$B17,'DADOS BRUTOS'!O$3:O$500)+IF($C17="",0,SUMIF('DADOS BRUTOS'!$A$3:$A$500,$C17,'DADOS BRUTOS'!O$3:O$500)))</f>
        <v/>
      </c>
      <c r="CP17" s="132">
        <f>IF(OR(CP$4="",$B17=""),0,SUMIF('DADOS BRUTOS'!$A$3:$A$500,$B17,'DADOS BRUTOS'!P$3:P$500)+IF($C17="",0,SUMIF('DADOS BRUTOS'!$A$3:$A$500,$C17,'DADOS BRUTOS'!P$3:P$500)))</f>
        <v/>
      </c>
      <c r="CQ17" s="132">
        <f>IF(OR(CQ$4="",$B17=""),0,SUMIF('DADOS BRUTOS'!$A$3:$A$500,$B17,'DADOS BRUTOS'!Q$3:Q$500)+IF($C17="",0,SUMIF('DADOS BRUTOS'!$A$3:$A$500,$C17,'DADOS BRUTOS'!Q$3:Q$500)))</f>
        <v/>
      </c>
      <c r="CR17" s="132">
        <f>IF(OR(CR$4="",$B17=""),0,SUMIF('DADOS BRUTOS'!$A$3:$A$500,$B17,'DADOS BRUTOS'!R$3:R$500)+IF($C17="",0,SUMIF('DADOS BRUTOS'!$A$3:$A$500,$C17,'DADOS BRUTOS'!R$3:R$500)))</f>
        <v/>
      </c>
      <c r="CS17" s="132">
        <f>IF(OR(CS$4="",$B17=""),0,SUMIF('DADOS BRUTOS'!$A$3:$A$500,$B17,'DADOS BRUTOS'!S$3:S$500)+IF($C17="",0,SUMIF('DADOS BRUTOS'!$A$3:$A$500,$C17,'DADOS BRUTOS'!S$3:S$500)))</f>
        <v/>
      </c>
      <c r="CT17" s="132">
        <f>IF(OR(CT$4="",$B17=""),0,SUMIF('DADOS BRUTOS'!$A$3:$A$500,$B17,'DADOS BRUTOS'!T$3:T$500)+IF($C17="",0,SUMIF('DADOS BRUTOS'!$A$3:$A$500,$C17,'DADOS BRUTOS'!T$3:T$500)))</f>
        <v/>
      </c>
      <c r="CU17" s="132">
        <f>IF(OR(CU$4="",$B17=""),0,SUMIF('DADOS BRUTOS'!$A$3:$A$500,$B17,'DADOS BRUTOS'!U$3:U$500)+IF($C17="",0,SUMIF('DADOS BRUTOS'!$A$3:$A$500,$C17,'DADOS BRUTOS'!U$3:U$500)))</f>
        <v/>
      </c>
      <c r="CV17" s="132">
        <f>IF(OR(CV$4="",$B17=""),0,SUMIF('DADOS BRUTOS'!$A$3:$A$500,$B17,'DADOS BRUTOS'!V$3:V$500)+IF($C17="",0,SUMIF('DADOS BRUTOS'!$A$3:$A$500,$C17,'DADOS BRUTOS'!V$3:V$500)))</f>
        <v/>
      </c>
      <c r="CW17" s="132">
        <f>IF(OR(CW$4="",$B17=""),0,SUMIF('DADOS BRUTOS'!$A$3:$A$500,$B17,'DADOS BRUTOS'!W$3:W$500)+IF($C17="",0,SUMIF('DADOS BRUTOS'!$A$3:$A$500,$C17,'DADOS BRUTOS'!W$3:W$500)))</f>
        <v/>
      </c>
      <c r="CX17" s="132">
        <f>IF(OR(CX$4="",$B17=""),0,SUMIF('DADOS BRUTOS'!$A$3:$A$500,$B17,'DADOS BRUTOS'!X$3:X$500)+IF($C17="",0,SUMIF('DADOS BRUTOS'!$A$3:$A$500,$C17,'DADOS BRUTOS'!X$3:X$500)))</f>
        <v/>
      </c>
      <c r="CY17" s="132">
        <f>IF(OR(CY$4="",$B17=""),0,SUMIF('DADOS BRUTOS'!$A$3:$A$500,$B17,'DADOS BRUTOS'!Y$3:Y$500)+IF($C17="",0,SUMIF('DADOS BRUTOS'!$A$3:$A$500,$C17,'DADOS BRUTOS'!Y$3:Y$500)))</f>
        <v/>
      </c>
      <c r="CZ17" s="132">
        <f>IF(OR(CZ$4="",$B17=""),0,SUMIF('DADOS BRUTOS'!$A$3:$A$500,$B17,'DADOS BRUTOS'!Z$3:Z$500)+IF($C17="",0,SUMIF('DADOS BRUTOS'!$A$3:$A$500,$C17,'DADOS BRUTOS'!Z$3:Z$500)))</f>
        <v/>
      </c>
      <c r="DA17" s="132">
        <f>IF(OR(DA$4="",$B17=""),0,SUMIF('DADOS BRUTOS'!$A$3:$A$500,$B17,'DADOS BRUTOS'!AA$3:AA$500)+IF($C17="",0,SUMIF('DADOS BRUTOS'!$A$3:$A$500,$C17,'DADOS BRUTOS'!AA$3:AA$500)))</f>
        <v/>
      </c>
      <c r="DB17" s="132">
        <f>IF(OR(DB$4="",$B17=""),0,SUMIF('DADOS BRUTOS'!$A$3:$A$500,$B17,'DADOS BRUTOS'!AB$3:AB$500)+IF($C17="",0,SUMIF('DADOS BRUTOS'!$A$3:$A$500,$C17,'DADOS BRUTOS'!AB$3:AB$500)))</f>
        <v/>
      </c>
      <c r="DC17" s="132">
        <f>IF(OR(DC$4="",$B17=""),0,SUMIF('DADOS BRUTOS'!$A$3:$A$500,$B17,'DADOS BRUTOS'!AC$3:AC$500)+IF($C17="",0,SUMIF('DADOS BRUTOS'!$A$3:$A$500,$C17,'DADOS BRUTOS'!AC$3:AC$500)))</f>
        <v/>
      </c>
      <c r="DD17" s="132">
        <f>IF(OR(DD$4="",$B17=""),0,SUMIF('DADOS BRUTOS'!$A$3:$A$500,$B17,'DADOS BRUTOS'!AD$3:AD$500)+IF($C17="",0,SUMIF('DADOS BRUTOS'!$A$3:$A$500,$C17,'DADOS BRUTOS'!AD$3:AD$500)))</f>
        <v/>
      </c>
      <c r="DE17" s="132">
        <f>IF(OR(DE$4="",$B17=""),0,SUMIF('DADOS BRUTOS'!$A$3:$A$500,$B17,'DADOS BRUTOS'!AE$3:AE$500)+IF($C17="",0,SUMIF('DADOS BRUTOS'!$A$3:$A$500,$C17,'DADOS BRUTOS'!AE$3:AE$500)))</f>
        <v/>
      </c>
      <c r="DF17" s="132">
        <f>IF(OR(DF$4="",$B17=""),0,SUMIF('DADOS BRUTOS'!$A$3:$A$500,$B17,'DADOS BRUTOS'!AF$3:AF$500)+IF($C17="",0,SUMIF('DADOS BRUTOS'!$A$3:$A$500,$C17,'DADOS BRUTOS'!AF$3:AF$500)))</f>
        <v/>
      </c>
      <c r="DG17" s="132">
        <f>IF(OR(DG$4="",$B17=""),0,SUMIF('DADOS BRUTOS'!$A$3:$A$500,$B17,'DADOS BRUTOS'!AG$3:AG$500)+IF($C17="",0,SUMIF('DADOS BRUTOS'!$A$3:$A$500,$C17,'DADOS BRUTOS'!AG$3:AG$500)))</f>
        <v/>
      </c>
      <c r="DH17" s="132">
        <f>IF(OR(DH$4="",$B17=""),0,SUMIF('DADOS BRUTOS'!$A$3:$A$500,$B17,'DADOS BRUTOS'!AH$3:AH$500)+IF($C17="",0,SUMIF('DADOS BRUTOS'!$A$3:$A$500,$C17,'DADOS BRUTOS'!AH$3:AH$500)))</f>
        <v/>
      </c>
      <c r="DI17" s="132">
        <f>IF(OR(DI$4="",$B17=""),0,SUMIF('DADOS BRUTOS'!$A$3:$A$500,$B17,'DADOS BRUTOS'!AI$3:AI$500)+IF($C17="",0,SUMIF('DADOS BRUTOS'!$A$3:$A$500,$C17,'DADOS BRUTOS'!AI$3:AI$500)))</f>
        <v/>
      </c>
      <c r="DJ17" s="132">
        <f>IF(OR(DJ$4="",$B17=""),0,SUMIF('DADOS BRUTOS'!$A$3:$A$500,$B17,'DADOS BRUTOS'!AJ$3:AJ$500)+IF($C17="",0,SUMIF('DADOS BRUTOS'!$A$3:$A$500,$C17,'DADOS BRUTOS'!AJ$3:AJ$500)))</f>
        <v/>
      </c>
      <c r="DK17" s="132">
        <f>IF(OR(DK$4="",$B17=""),0,SUMIF('DADOS BRUTOS'!$A$3:$A$500,$B17,'DADOS BRUTOS'!AK$3:AK$500)+IF($C17="",0,SUMIF('DADOS BRUTOS'!$A$3:$A$500,$C17,'DADOS BRUTOS'!AK$3:AK$500)))</f>
        <v/>
      </c>
      <c r="DL17" s="132">
        <f>IF(OR(DL$4="",$B17=""),0,SUMIF('DADOS BRUTOS'!$A$3:$A$500,$B17,'DADOS BRUTOS'!AL$3:AL$500)+IF($C17="",0,SUMIF('DADOS BRUTOS'!$A$3:$A$500,$C17,'DADOS BRUTOS'!AL$3:AL$500)))</f>
        <v/>
      </c>
      <c r="DM17" s="132">
        <f>IF(OR(DM$4="",$B17=""),0,SUMIF('DADOS BRUTOS'!$A$3:$A$500,$B17,'DADOS BRUTOS'!AM$3:AM$500)+IF($C17="",0,SUMIF('DADOS BRUTOS'!$A$3:$A$500,$C17,'DADOS BRUTOS'!AM$3:AM$500)))</f>
        <v/>
      </c>
      <c r="DN17" s="132">
        <f>IF(OR(DN$4="",$B17=""),0,SUMIF('DADOS BRUTOS'!$A$3:$A$500,$B17,'DADOS BRUTOS'!AN$3:AN$500)+IF($C17="",0,SUMIF('DADOS BRUTOS'!$A$3:$A$500,$C17,'DADOS BRUTOS'!AN$3:AN$500)))</f>
        <v/>
      </c>
      <c r="DO17" s="132">
        <f>IF(OR(DO$4="",$B17=""),0,SUMIF('DADOS BRUTOS'!$A$3:$A$500,$B17,'DADOS BRUTOS'!AO$3:AO$500)+IF($C17="",0,SUMIF('DADOS BRUTOS'!$A$3:$A$500,$C17,'DADOS BRUTOS'!AO$3:AO$500)))</f>
        <v/>
      </c>
      <c r="DP17" s="132">
        <f>IF(OR(DP$4="",$B17=""),0,SUMIF('DADOS BRUTOS'!$A$3:$A$500,$B17,'DADOS BRUTOS'!AP$3:AP$500)+IF($C17="",0,SUMIF('DADOS BRUTOS'!$A$3:$A$500,$C17,'DADOS BRUTOS'!AP$3:AP$500)))</f>
        <v/>
      </c>
      <c r="DQ17" s="132">
        <f>IF(OR(DQ$4="",$B17=""),0,SUMIF('DADOS BRUTOS'!$A$3:$A$500,$B17,'DADOS BRUTOS'!AQ$3:AQ$500)+IF($C17="",0,SUMIF('DADOS BRUTOS'!$A$3:$A$500,$C17,'DADOS BRUTOS'!AQ$3:AQ$500)))</f>
        <v/>
      </c>
      <c r="DR17" s="132">
        <f>IF(OR(DR$4="",$B17=""),0,SUMIF('DADOS BRUTOS'!$A$3:$A$500,$B17,'DADOS BRUTOS'!AR$3:AR$500)+IF($C17="",0,SUMIF('DADOS BRUTOS'!$A$3:$A$500,$C17,'DADOS BRUTOS'!AR$3:AR$500)))</f>
        <v/>
      </c>
      <c r="DS17" s="132">
        <f>IF(OR(DS$4="",$B17=""),0,SUMIF('DADOS BRUTOS'!$A$3:$A$500,$B17,'DADOS BRUTOS'!AS$3:AS$500)+IF($C17="",0,SUMIF('DADOS BRUTOS'!$A$3:$A$500,$C17,'DADOS BRUTOS'!AS$3:AS$500)))</f>
        <v/>
      </c>
      <c r="DT17" s="132">
        <f>IF(OR(DT$4="",$B17=""),0,SUMIF('DADOS BRUTOS'!$A$3:$A$500,$B17,'DADOS BRUTOS'!AT$3:AT$500)+IF($C17="",0,SUMIF('DADOS BRUTOS'!$A$3:$A$500,$C17,'DADOS BRUTOS'!AT$3:AT$500)))</f>
        <v/>
      </c>
      <c r="DU17" s="132">
        <f>IF(OR(DU$4="",$B17=""),0,SUMIF('DADOS BRUTOS'!$A$3:$A$500,$B17,'DADOS BRUTOS'!AU$3:AU$500)+IF($C17="",0,SUMIF('DADOS BRUTOS'!$A$3:$A$500,$C17,'DADOS BRUTOS'!AU$3:AU$500)))</f>
        <v/>
      </c>
      <c r="DV17" s="132">
        <f>IF(OR(DV$4="",$B17=""),0,SUMIF('DADOS BRUTOS'!$A$3:$A$500,$B17,'DADOS BRUTOS'!AV$3:AV$500)+IF($C17="",0,SUMIF('DADOS BRUTOS'!$A$3:$A$500,$C17,'DADOS BRUTOS'!AV$3:AV$500)))</f>
        <v/>
      </c>
      <c r="DW17" s="132">
        <f>IF(OR(DW$4="",$B17=""),0,SUMIF('DADOS BRUTOS'!$A$3:$A$500,$B17,'DADOS BRUTOS'!AW$3:AW$500)+IF($C17="",0,SUMIF('DADOS BRUTOS'!$A$3:$A$500,$C17,'DADOS BRUTOS'!AW$3:AW$500)))</f>
        <v/>
      </c>
      <c r="DX17" s="132">
        <f>IF(OR(DX$4="",$B17=""),0,SUMIF('DADOS BRUTOS'!$A$3:$A$500,$B17,'DADOS BRUTOS'!AX$3:AX$500)+IF($C17="",0,SUMIF('DADOS BRUTOS'!$A$3:$A$500,$C17,'DADOS BRUTOS'!AX$3:AX$500)))</f>
        <v/>
      </c>
      <c r="DY17" s="132">
        <f>IF(OR(DY$4="",$B17=""),0,SUMIF('DADOS BRUTOS'!$A$3:$A$500,$B17,'DADOS BRUTOS'!AY$3:AY$500)+IF($C17="",0,SUMIF('DADOS BRUTOS'!$A$3:$A$500,$C17,'DADOS BRUTOS'!AY$3:AY$500)))</f>
        <v/>
      </c>
      <c r="DZ17" s="132">
        <f>IF(OR(DZ$4="",$B17=""),0,SUMIF('DADOS BRUTOS'!$A$3:$A$500,$B17,'DADOS BRUTOS'!AZ$3:AZ$500)+IF($C17="",0,SUMIF('DADOS BRUTOS'!$A$3:$A$500,$C17,'DADOS BRUTOS'!AZ$3:AZ$500)))</f>
        <v/>
      </c>
      <c r="EA17" s="132">
        <f>IF(OR(EA$4="",$B17=""),0,SUMIF('DADOS BRUTOS'!$A$3:$A$500,$B17,'DADOS BRUTOS'!BA$3:BA$500)+IF($C17="",0,SUMIF('DADOS BRUTOS'!$A$3:$A$500,$C17,'DADOS BRUTOS'!BA$3:BA$500)))</f>
        <v/>
      </c>
      <c r="EB17" s="132">
        <f>IF(OR(EB$4="",$B17=""),0,SUMIF('DADOS BRUTOS'!$A$3:$A$500,$B17,'DADOS BRUTOS'!BB$3:BB$500)+IF($C17="",0,SUMIF('DADOS BRUTOS'!$A$3:$A$500,$C17,'DADOS BRUTOS'!BB$3:BB$500)))</f>
        <v/>
      </c>
      <c r="EC17" s="132">
        <f>IF(OR(EC$4="",$B17=""),0,SUMIF('DADOS BRUTOS'!$A$3:$A$500,$B17,'DADOS BRUTOS'!BC$3:BC$500)+IF($C17="",0,SUMIF('DADOS BRUTOS'!$A$3:$A$500,$C17,'DADOS BRUTOS'!BC$3:BC$500)))</f>
        <v/>
      </c>
      <c r="ED17" s="132">
        <f>IF(OR(ED$4="",$B17=""),0,SUMIF('DADOS BRUTOS'!$A$3:$A$500,$B17,'DADOS BRUTOS'!BD$3:BD$500)+IF($C17="",0,SUMIF('DADOS BRUTOS'!$A$3:$A$500,$C17,'DADOS BRUTOS'!BD$3:BD$500)))</f>
        <v/>
      </c>
      <c r="EE17" s="132">
        <f>IF(OR(EE$4="",$B17=""),0,SUMIF('DADOS BRUTOS'!$A$3:$A$500,$B17,'DADOS BRUTOS'!BE$3:BE$500)+IF($C17="",0,SUMIF('DADOS BRUTOS'!$A$3:$A$500,$C17,'DADOS BRUTOS'!BE$3:BE$500)))</f>
        <v/>
      </c>
      <c r="EF17" s="132">
        <f>IF(OR(EF$4="",$B17=""),0,SUMIF('DADOS BRUTOS'!$A$3:$A$500,$B17,'DADOS BRUTOS'!BF$3:BF$500)+IF($C17="",0,SUMIF('DADOS BRUTOS'!$A$3:$A$500,$C17,'DADOS BRUTOS'!BF$3:BF$500)))</f>
        <v/>
      </c>
      <c r="EG17" s="132">
        <f>IF(OR(EG$4="",$B17=""),0,SUMIF('DADOS BRUTOS'!$A$3:$A$500,$B17,'DADOS BRUTOS'!BG$3:BG$500)+IF($C17="",0,SUMIF('DADOS BRUTOS'!$A$3:$A$500,$C17,'DADOS BRUTOS'!BG$3:BG$500)))</f>
        <v/>
      </c>
      <c r="EH17" s="132">
        <f>IF(OR(EH$4="",$B17=""),0,SUMIF('DADOS BRUTOS'!$A$3:$A$500,$B17,'DADOS BRUTOS'!BH$3:BH$500)+IF($C17="",0,SUMIF('DADOS BRUTOS'!$A$3:$A$500,$C17,'DADOS BRUTOS'!BH$3:BH$500)))</f>
        <v/>
      </c>
      <c r="EI17" s="132">
        <f>IF(OR(EI$4="",$B17=""),0,SUMIF('DADOS BRUTOS'!$A$3:$A$500,$B17,'DADOS BRUTOS'!BI$3:BI$500)+IF($C17="",0,SUMIF('DADOS BRUTOS'!$A$3:$A$500,$C17,'DADOS BRUTOS'!BI$3:BI$500)))</f>
        <v/>
      </c>
      <c r="EJ17" s="132">
        <f>IF(OR(EJ$4="",$B17=""),0,SUMIF('DADOS BRUTOS'!$A$3:$A$500,$B17,'DADOS BRUTOS'!BJ$3:BJ$500)+IF($C17="",0,SUMIF('DADOS BRUTOS'!$A$3:$A$500,$C17,'DADOS BRUTOS'!BJ$3:BJ$500)))</f>
        <v/>
      </c>
      <c r="EK17" s="132">
        <f>IF(OR(EK$4="",$B17=""),0,SUMIF('DADOS BRUTOS'!$A$3:$A$500,$B17,'DADOS BRUTOS'!BK$3:BK$500)+IF($C17="",0,SUMIF('DADOS BRUTOS'!$A$3:$A$500,$C17,'DADOS BRUTOS'!BK$3:BK$500)))</f>
        <v/>
      </c>
      <c r="EL17" s="132">
        <f>IF(OR(EL$4="",$B17=""),0,SUMIF('DADOS BRUTOS'!$A$3:$A$500,$B17,'DADOS BRUTOS'!BL$3:BL$500)+IF($C17="",0,SUMIF('DADOS BRUTOS'!$A$3:$A$500,$C17,'DADOS BRUTOS'!BL$3:BL$500)))</f>
        <v/>
      </c>
      <c r="EM17" s="132">
        <f>IF(OR(EM$4="",$B17=""),0,SUMIF('DADOS BRUTOS'!$A$3:$A$500,$B17,'DADOS BRUTOS'!BM$3:BM$500)+IF($C17="",0,SUMIF('DADOS BRUTOS'!$A$3:$A$500,$C17,'DADOS BRUTOS'!BM$3:BM$500)))</f>
        <v/>
      </c>
      <c r="EN17" s="132">
        <f>IF(OR(EN$4="",$B17=""),0,SUMIF('DADOS BRUTOS'!$A$3:$A$500,$B17,'DADOS BRUTOS'!BN$3:BN$500)+IF($C17="",0,SUMIF('DADOS BRUTOS'!$A$3:$A$500,$C17,'DADOS BRUTOS'!BN$3:BN$500)))</f>
        <v/>
      </c>
      <c r="EO17" s="132">
        <f>IF(OR(EO$4="",$B17=""),0,SUMIF('DADOS BRUTOS'!$A$3:$A$500,$B17,'DADOS BRUTOS'!BO$3:BO$500)+IF($C17="",0,SUMIF('DADOS BRUTOS'!$A$3:$A$500,$C17,'DADOS BRUTOS'!BO$3:BO$500)))</f>
        <v/>
      </c>
      <c r="EP17" s="132">
        <f>IF(OR(EP$4="",$B17=""),0,SUMIF('DADOS BRUTOS'!$A$3:$A$500,$B17,'DADOS BRUTOS'!BP$3:BP$500)+IF($C17="",0,SUMIF('DADOS BRUTOS'!$A$3:$A$500,$C17,'DADOS BRUTOS'!BP$3:BP$500)))</f>
        <v/>
      </c>
      <c r="EQ17" s="132">
        <f>IF(OR(EQ$4="",$B17=""),0,SUMIF('DADOS BRUTOS'!$A$3:$A$500,$B17,'DADOS BRUTOS'!BQ$3:BQ$500)+IF($C17="",0,SUMIF('DADOS BRUTOS'!$A$3:$A$500,$C17,'DADOS BRUTOS'!BQ$3:BQ$500)))</f>
        <v/>
      </c>
      <c r="ER17" s="132">
        <f>IF(OR(ER$4="",$B17=""),0,SUMIF('DADOS BRUTOS'!$A$3:$A$500,$B17,'DADOS BRUTOS'!BR$3:BR$500)+IF($C17="",0,SUMIF('DADOS BRUTOS'!$A$3:$A$500,$C17,'DADOS BRUTOS'!BR$3:BR$500)))</f>
        <v/>
      </c>
      <c r="ES17" s="132">
        <f>IF(OR(ES$4="",$B17=""),0,SUMIF('DADOS BRUTOS'!$A$3:$A$500,$B17,'DADOS BRUTOS'!BS$3:BS$500)+IF($C17="",0,SUMIF('DADOS BRUTOS'!$A$3:$A$500,$C17,'DADOS BRUTOS'!BS$3:BS$500)))</f>
        <v/>
      </c>
      <c r="ET17" s="132">
        <f>IF(OR(ET$4="",$B17=""),0,SUMIF('DADOS BRUTOS'!$A$3:$A$500,$B17,'DADOS BRUTOS'!BT$3:BT$500)+IF($C17="",0,SUMIF('DADOS BRUTOS'!$A$3:$A$500,$C17,'DADOS BRUTOS'!BT$3:BT$500)))</f>
        <v/>
      </c>
      <c r="EU17" s="132">
        <f>IF(OR(EU$4="",$B17=""),0,SUMIF('DADOS BRUTOS'!$A$3:$A$500,$B17,'DADOS BRUTOS'!BU$3:BU$500)+IF($C17="",0,SUMIF('DADOS BRUTOS'!$A$3:$A$500,$C17,'DADOS BRUTOS'!BU$3:BU$500)))</f>
        <v/>
      </c>
      <c r="EV17" s="132">
        <f>IF(OR(EV$4="",$B17=""),0,SUMIF('DADOS BRUTOS'!$A$3:$A$500,$B17,'DADOS BRUTOS'!BV$3:BV$500)+IF($C17="",0,SUMIF('DADOS BRUTOS'!$A$3:$A$500,$C17,'DADOS BRUTOS'!BV$3:BV$500)))</f>
        <v/>
      </c>
      <c r="EW17" s="132">
        <f>IF(OR(EW$4="",$B17=""),0,SUMIF('DADOS BRUTOS'!$A$3:$A$500,$B17,'DADOS BRUTOS'!BW$3:BW$500)+IF($C17="",0,SUMIF('DADOS BRUTOS'!$A$3:$A$500,$C17,'DADOS BRUTOS'!BW$3:BW$500)))</f>
        <v/>
      </c>
      <c r="EX17" s="132">
        <f>IF(OR(EX$4="",$B17=""),0,SUMIF('DADOS BRUTOS'!$A$3:$A$500,$B17,'DADOS BRUTOS'!BX$3:BX$500)+IF($C17="",0,SUMIF('DADOS BRUTOS'!$A$3:$A$500,$C17,'DADOS BRUTOS'!BX$3:BX$500)))</f>
        <v/>
      </c>
      <c r="EY17" s="132">
        <f>IF(OR(EY$4="",$B17=""),0,SUMIF('DADOS BRUTOS'!$A$3:$A$500,$B17,'DADOS BRUTOS'!BY$3:BY$500)+IF($C17="",0,SUMIF('DADOS BRUTOS'!$A$3:$A$500,$C17,'DADOS BRUTOS'!BY$3:BY$500)))</f>
        <v/>
      </c>
      <c r="EZ17" s="132">
        <f>IF(OR(EZ$4="",$B17=""),0,SUMIF('DADOS BRUTOS'!$A$3:$A$500,$B17,'DADOS BRUTOS'!BZ$3:BZ$500)+IF($C17="",0,SUMIF('DADOS BRUTOS'!$A$3:$A$500,$C17,'DADOS BRUTOS'!BZ$3:BZ$500)))</f>
        <v/>
      </c>
      <c r="FA17" s="132">
        <f>IF(OR(FA$4="",$B17=""),0,SUMIF('DADOS BRUTOS'!$A$3:$A$500,$B17,'DADOS BRUTOS'!CA$3:CA$500)+IF($C17="",0,SUMIF('DADOS BRUTOS'!$A$3:$A$500,$C17,'DADOS BRUTOS'!CA$3:CA$500)))</f>
        <v/>
      </c>
      <c r="FB17" s="132">
        <f>IF(OR(FB$4="",$B17=""),0,SUMIF('DADOS BRUTOS'!$A$3:$A$500,$B17,'DADOS BRUTOS'!CB$3:CB$500)+IF($C17="",0,SUMIF('DADOS BRUTOS'!$A$3:$A$500,$C17,'DADOS BRUTOS'!CB$3:CB$500)))</f>
        <v/>
      </c>
      <c r="FC17" s="132">
        <f>IF(OR(FC$4="",$B17=""),0,SUMIF('DADOS BRUTOS'!$A$3:$A$500,$B17,'DADOS BRUTOS'!CC$3:CC$500)+IF($C17="",0,SUMIF('DADOS BRUTOS'!$A$3:$A$500,$C17,'DADOS BRUTOS'!CC$3:CC$500)))</f>
        <v/>
      </c>
      <c r="FD17" s="132">
        <f>IF(OR(FD$4="",$B17=""),0,SUMIF('DADOS BRUTOS'!$A$3:$A$500,$B17,'DADOS BRUTOS'!CD$3:CD$500)+IF($C17="",0,SUMIF('DADOS BRUTOS'!$A$3:$A$500,$C17,'DADOS BRUTOS'!CD$3:CD$500)))</f>
        <v/>
      </c>
      <c r="FE17" s="132">
        <f>IF(OR(FE$4="",$B17=""),0,SUMIF('DADOS BRUTOS'!$A$3:$A$500,$B17,'DADOS BRUTOS'!CE$3:CE$500)+IF($C17="",0,SUMIF('DADOS BRUTOS'!$A$3:$A$500,$C17,'DADOS BRUTOS'!CE$3:CE$500)))</f>
        <v/>
      </c>
      <c r="FF17" s="132">
        <f>IF(OR(FF$4="",$B17=""),0,SUMIF('DADOS BRUTOS'!$A$3:$A$500,$B17,'DADOS BRUTOS'!CF$3:CF$500)+IF($C17="",0,SUMIF('DADOS BRUTOS'!$A$3:$A$500,$C17,'DADOS BRUTOS'!CF$3:CF$500)))</f>
        <v/>
      </c>
      <c r="FG17" s="132">
        <f>IF(OR(FG$4="",$B17=""),0,SUMIF('DADOS BRUTOS'!$A$3:$A$500,$B17,'DADOS BRUTOS'!CG$3:CG$500)+IF($C17="",0,SUMIF('DADOS BRUTOS'!$A$3:$A$500,$C17,'DADOS BRUTOS'!CG$3:CG$500)))</f>
        <v/>
      </c>
      <c r="FH17" s="132">
        <f>IF(OR(FH$4="",$B17=""),0,SUMIF('DADOS BRUTOS'!$A$3:$A$500,$B17,'DADOS BRUTOS'!CH$3:CH$500)+IF($C17="",0,SUMIF('DADOS BRUTOS'!$A$3:$A$500,$C17,'DADOS BRUTOS'!CH$3:CH$500)))</f>
        <v/>
      </c>
      <c r="FI17" s="132">
        <f>IF(OR(FI$4="",$B17=""),0,SUMIF('DADOS BRUTOS'!$A$3:$A$500,$B17,'DADOS BRUTOS'!CI$3:CI$500)+IF($C17="",0,SUMIF('DADOS BRUTOS'!$A$3:$A$500,$C17,'DADOS BRUTOS'!CI$3:CI$500)))</f>
        <v/>
      </c>
      <c r="FJ17" s="132">
        <f>IF(OR(FJ$4="",$B17=""),0,SUMIF('DADOS BRUTOS'!$A$3:$A$500,$B17,'DADOS BRUTOS'!CJ$3:CJ$500)+IF($C17="",0,SUMIF('DADOS BRUTOS'!$A$3:$A$500,$C17,'DADOS BRUTOS'!CJ$3:CJ$500)))</f>
        <v/>
      </c>
      <c r="FK17" s="132">
        <f>IF(OR(FK$4="",$B17=""),0,SUMIF('DADOS BRUTOS'!$A$3:$A$500,$B17,'DADOS BRUTOS'!CK$3:CK$500)+IF($C17="",0,SUMIF('DADOS BRUTOS'!$A$3:$A$500,$C17,'DADOS BRUTOS'!CK$3:CK$500)))</f>
        <v/>
      </c>
      <c r="FL17" s="132">
        <f>IF(OR(FL$4="",$B17=""),0,SUMIF('DADOS BRUTOS'!$A$3:$A$500,$B17,'DADOS BRUTOS'!CL$3:CL$500)+IF($C17="",0,SUMIF('DADOS BRUTOS'!$A$3:$A$500,$C17,'DADOS BRUTOS'!CL$3:CL$500)))</f>
        <v/>
      </c>
      <c r="FM17" s="132">
        <f>IF(OR(FM$4="",$B17=""),0,SUMIF('DADOS BRUTOS'!$A$3:$A$500,$B17,'DADOS BRUTOS'!CM$3:CM$500)+IF($C17="",0,SUMIF('DADOS BRUTOS'!$A$3:$A$500,$C17,'DADOS BRUTOS'!CM$3:CM$500)))</f>
        <v/>
      </c>
      <c r="FN17" s="132">
        <f>IF(OR(FN$4="",$B17=""),0,SUMIF('DADOS BRUTOS'!$A$3:$A$500,$B17,'DADOS BRUTOS'!CN$3:CN$500)+IF($C17="",0,SUMIF('DADOS BRUTOS'!$A$3:$A$500,$C17,'DADOS BRUTOS'!CN$3:CN$500)))</f>
        <v/>
      </c>
      <c r="FO17" s="132">
        <f>IF(OR(FO$4="",$B17=""),0,SUMIF('DADOS BRUTOS'!$A$3:$A$500,$B17,'DADOS BRUTOS'!CO$3:CO$500)+IF($C17="",0,SUMIF('DADOS BRUTOS'!$A$3:$A$500,$C17,'DADOS BRUTOS'!CO$3:CO$500)))</f>
        <v/>
      </c>
      <c r="FP17" s="132">
        <f>IF(OR(FP$4="",$B17=""),0,SUMIF('DADOS BRUTOS'!$A$3:$A$500,$B17,'DADOS BRUTOS'!CP$3:CP$500)+IF($C17="",0,SUMIF('DADOS BRUTOS'!$A$3:$A$500,$C17,'DADOS BRUTOS'!CP$3:CP$500)))</f>
        <v/>
      </c>
      <c r="FQ17" s="132">
        <f>IF(OR(FQ$4="",$B17=""),0,SUMIF('DADOS BRUTOS'!$A$3:$A$500,$B17,'DADOS BRUTOS'!CQ$3:CQ$500)+IF($C17="",0,SUMIF('DADOS BRUTOS'!$A$3:$A$500,$C17,'DADOS BRUTOS'!CQ$3:CQ$500)))</f>
        <v/>
      </c>
      <c r="FR17" s="132">
        <f>IF(OR(FR$4="",$B17=""),0,SUMIF('DADOS BRUTOS'!$A$3:$A$500,$B17,'DADOS BRUTOS'!CR$3:CR$500)+IF($C17="",0,SUMIF('DADOS BRUTOS'!$A$3:$A$500,$C17,'DADOS BRUTOS'!CR$3:CR$500)))</f>
        <v/>
      </c>
      <c r="FS17" s="132">
        <f>IF(OR(FS$4="",$B17=""),0,SUMIF('DADOS BRUTOS'!$A$3:$A$500,$B17,'DADOS BRUTOS'!CS$3:CS$500)+IF($C17="",0,SUMIF('DADOS BRUTOS'!$A$3:$A$500,$C17,'DADOS BRUTOS'!CS$3:CS$500)))</f>
        <v/>
      </c>
      <c r="FT17" s="132">
        <f>IF(OR(FT$4="",$B17=""),0,SUMIF('DADOS BRUTOS'!$A$3:$A$500,$B17,'DADOS BRUTOS'!CT$3:CT$500)+IF($C17="",0,SUMIF('DADOS BRUTOS'!$A$3:$A$500,$C17,'DADOS BRUTOS'!CT$3:CT$500)))</f>
        <v/>
      </c>
      <c r="FU17" s="132">
        <f>IF(OR(FU$4="",$B17=""),0,SUMIF('DADOS BRUTOS'!$A$3:$A$500,$B17,'DADOS BRUTOS'!CU$3:CU$500)+IF($C17="",0,SUMIF('DADOS BRUTOS'!$A$3:$A$500,$C17,'DADOS BRUTOS'!CU$3:CU$500)))</f>
        <v/>
      </c>
      <c r="FV17" s="132">
        <f>IF(OR(FV$4="",$B17=""),0,SUMIF('DADOS BRUTOS'!$A$3:$A$500,$B17,'DADOS BRUTOS'!CV$3:CV$500)+IF($C17="",0,SUMIF('DADOS BRUTOS'!$A$3:$A$500,$C17,'DADOS BRUTOS'!CV$3:CV$500)))</f>
        <v/>
      </c>
      <c r="FW17" s="132">
        <f>IF(OR(FW$4="",$B17=""),0,SUMIF('DADOS BRUTOS'!$A$3:$A$500,$B17,'DADOS BRUTOS'!CW$3:CW$500)+IF($C17="",0,SUMIF('DADOS BRUTOS'!$A$3:$A$500,$C17,'DADOS BRUTOS'!CW$3:CW$500)))</f>
        <v/>
      </c>
      <c r="FX17" s="132">
        <f>IF(OR(FX$4="",$B17=""),0,SUMIF('DADOS BRUTOS'!$A$3:$A$500,$B17,'DADOS BRUTOS'!CX$3:CX$500)+IF($C17="",0,SUMIF('DADOS BRUTOS'!$A$3:$A$500,$C17,'DADOS BRUTOS'!CX$3:CX$500)))</f>
        <v/>
      </c>
      <c r="FY17" s="132">
        <f>IF(OR(FY$4="",$B17=""),0,SUMIF('DADOS BRUTOS'!$A$3:$A$500,$B17,'DADOS BRUTOS'!CY$3:CY$500)+IF($C17="",0,SUMIF('DADOS BRUTOS'!$A$3:$A$500,$C17,'DADOS BRUTOS'!CY$3:CY$500)))</f>
        <v/>
      </c>
      <c r="FZ17" s="132">
        <f>IF(OR(FZ$4="",$B17=""),0,SUMIF('DADOS BRUTOS'!$A$3:$A$500,$B17,'DADOS BRUTOS'!CZ$3:CZ$500)+IF($C17="",0,SUMIF('DADOS BRUTOS'!$A$3:$A$500,$C17,'DADOS BRUTOS'!CZ$3:CZ$500)))</f>
        <v/>
      </c>
      <c r="GA17" s="132">
        <f>IF(OR(GA$4="",$B17=""),0,SUMIF('DADOS BRUTOS'!$A$3:$A$500,$B17,'DADOS BRUTOS'!DA$3:DA$500)+IF($C17="",0,SUMIF('DADOS BRUTOS'!$A$3:$A$500,$C17,'DADOS BRUTOS'!DA$3:DA$500)))</f>
        <v/>
      </c>
      <c r="GB17" s="132">
        <f>IF(OR(GB$4="",$B17=""),0,SUMIF('DADOS BRUTOS'!$A$3:$A$500,$B17,'DADOS BRUTOS'!DB$3:DB$500)+IF($C17="",0,SUMIF('DADOS BRUTOS'!$A$3:$A$500,$C17,'DADOS BRUTOS'!DB$3:DB$500)))</f>
        <v/>
      </c>
      <c r="GC17" s="132">
        <f>IF(OR(GC$4="",$B17=""),0,SUMIF('DADOS BRUTOS'!$A$3:$A$500,$B17,'DADOS BRUTOS'!DC$3:DC$500)+IF($C17="",0,SUMIF('DADOS BRUTOS'!$A$3:$A$500,$C17,'DADOS BRUTOS'!DC$3:DC$500)))</f>
        <v/>
      </c>
      <c r="GD17" s="132">
        <f>IF(OR(GD$4="",$B17=""),0,SUMIF('DADOS BRUTOS'!$A$3:$A$500,$B17,'DADOS BRUTOS'!DD$3:DD$500)+IF($C17="",0,SUMIF('DADOS BRUTOS'!$A$3:$A$500,$C17,'DADOS BRUTOS'!DD$3:DD$500)))</f>
        <v/>
      </c>
      <c r="GE17" s="132">
        <f>IF(OR(GE$4="",$B17=""),0,SUMIF('DADOS BRUTOS'!$A$3:$A$500,$B17,'DADOS BRUTOS'!DE$3:DE$500)+IF($C17="",0,SUMIF('DADOS BRUTOS'!$A$3:$A$500,$C17,'DADOS BRUTOS'!DE$3:DE$500)))</f>
        <v/>
      </c>
      <c r="GF17" s="132">
        <f>IF(OR(GF$4="",$B17=""),0,SUMIF('DADOS BRUTOS'!$A$3:$A$500,$B17,'DADOS BRUTOS'!DF$3:DF$500)+IF($C17="",0,SUMIF('DADOS BRUTOS'!$A$3:$A$500,$C17,'DADOS BRUTOS'!DF$3:DF$500)))</f>
        <v/>
      </c>
      <c r="GG17" s="132">
        <f>IF(OR(GG$4="",$B17=""),0,SUMIF('DADOS BRUTOS'!$A$3:$A$500,$B17,'DADOS BRUTOS'!DG$3:DG$500)+IF($C17="",0,SUMIF('DADOS BRUTOS'!$A$3:$A$500,$C17,'DADOS BRUTOS'!DG$3:DG$500)))</f>
        <v/>
      </c>
      <c r="GH17" s="132">
        <f>IF(OR(GH$4="",$B17=""),0,SUMIF('DADOS BRUTOS'!$A$3:$A$500,$B17,'DADOS BRUTOS'!DH$3:DH$500)+IF($C17="",0,SUMIF('DADOS BRUTOS'!$A$3:$A$500,$C17,'DADOS BRUTOS'!DH$3:DH$500)))</f>
        <v/>
      </c>
      <c r="GI17" s="132">
        <f>IF(OR(GI$4="",$B17=""),0,SUMIF('DADOS BRUTOS'!$A$3:$A$500,$B17,'DADOS BRUTOS'!DI$3:DI$500)+IF($C17="",0,SUMIF('DADOS BRUTOS'!$A$3:$A$500,$C17,'DADOS BRUTOS'!DI$3:DI$500)))</f>
        <v/>
      </c>
      <c r="GJ17" s="132">
        <f>IF(OR(GJ$4="",$B17=""),0,SUMIF('DADOS BRUTOS'!$A$3:$A$500,$B17,'DADOS BRUTOS'!DJ$3:DJ$500)+IF($C17="",0,SUMIF('DADOS BRUTOS'!$A$3:$A$500,$C17,'DADOS BRUTOS'!DJ$3:DJ$500)))</f>
        <v/>
      </c>
      <c r="GK17" s="132">
        <f>IF(OR(GK$4="",$B17=""),0,SUMIF('DADOS BRUTOS'!$A$3:$A$500,$B17,'DADOS BRUTOS'!DK$3:DK$500)+IF($C17="",0,SUMIF('DADOS BRUTOS'!$A$3:$A$500,$C17,'DADOS BRUTOS'!DK$3:DK$500)))</f>
        <v/>
      </c>
      <c r="GL17" s="132">
        <f>IF(OR(GL$4="",$B17=""),0,SUMIF('DADOS BRUTOS'!$A$3:$A$500,$B17,'DADOS BRUTOS'!DL$3:DL$500)+IF($C17="",0,SUMIF('DADOS BRUTOS'!$A$3:$A$500,$C17,'DADOS BRUTOS'!DL$3:DL$500)))</f>
        <v/>
      </c>
      <c r="GM17" s="132">
        <f>IF(OR(GM$4="",$B17=""),0,SUMIF('DADOS BRUTOS'!$A$3:$A$500,$B17,'DADOS BRUTOS'!DM$3:DM$500)+IF($C17="",0,SUMIF('DADOS BRUTOS'!$A$3:$A$500,$C17,'DADOS BRUTOS'!DM$3:DM$500)))</f>
        <v/>
      </c>
      <c r="GN17" s="132">
        <f>IF(OR(GN$4="",$B17=""),0,SUMIF('DADOS BRUTOS'!$A$3:$A$500,$B17,'DADOS BRUTOS'!DN$3:DN$500)+IF($C17="",0,SUMIF('DADOS BRUTOS'!$A$3:$A$500,$C17,'DADOS BRUTOS'!DN$3:DN$500)))</f>
        <v/>
      </c>
      <c r="GO17" s="132">
        <f>IF(OR(GO$4="",$B17=""),0,SUMIF('DADOS BRUTOS'!$A$3:$A$500,$B17,'DADOS BRUTOS'!DO$3:DO$500)+IF($C17="",0,SUMIF('DADOS BRUTOS'!$A$3:$A$500,$C17,'DADOS BRUTOS'!DO$3:DO$500)))</f>
        <v/>
      </c>
      <c r="GP17" s="132">
        <f>IF(OR(GP$4="",$B17=""),0,SUMIF('DADOS BRUTOS'!$A$3:$A$500,$B17,'DADOS BRUTOS'!DP$3:DP$500)+IF($C17="",0,SUMIF('DADOS BRUTOS'!$A$3:$A$500,$C17,'DADOS BRUTOS'!DP$3:DP$500)))</f>
        <v/>
      </c>
      <c r="GQ17" s="132">
        <f>IF(OR(GQ$4="",$B17=""),0,SUMIF('DADOS BRUTOS'!$A$3:$A$500,$B17,'DADOS BRUTOS'!DQ$3:DQ$500)+IF($C17="",0,SUMIF('DADOS BRUTOS'!$A$3:$A$500,$C17,'DADOS BRUTOS'!DQ$3:DQ$500)))</f>
        <v/>
      </c>
      <c r="GR17" s="132">
        <f>IF(OR(GR$4="",$B17=""),0,SUMIF('DADOS BRUTOS'!$A$3:$A$500,$B17,'DADOS BRUTOS'!DR$3:DR$500)+IF($C17="",0,SUMIF('DADOS BRUTOS'!$A$3:$A$500,$C17,'DADOS BRUTOS'!DR$3:DR$500)))</f>
        <v/>
      </c>
      <c r="GS17" s="132">
        <f>IF(OR(GS$4="",$B17=""),0,SUMIF('DADOS BRUTOS'!$A$3:$A$500,$B17,'DADOS BRUTOS'!DS$3:DS$500)+IF($C17="",0,SUMIF('DADOS BRUTOS'!$A$3:$A$500,$C17,'DADOS BRUTOS'!DS$3:DS$500)))</f>
        <v/>
      </c>
      <c r="GT17" s="132">
        <f>IF(OR(GT$4="",$B17=""),0,SUMIF('DADOS BRUTOS'!$A$3:$A$500,$B17,'DADOS BRUTOS'!DT$3:DT$500)+IF($C17="",0,SUMIF('DADOS BRUTOS'!$A$3:$A$500,$C17,'DADOS BRUTOS'!DT$3:DT$500)))</f>
        <v/>
      </c>
      <c r="GU17" s="132">
        <f>IF(OR(GU$4="",$B17=""),0,SUMIF('DADOS BRUTOS'!$A$3:$A$500,$B17,'DADOS BRUTOS'!DU$3:DU$500)+IF($C17="",0,SUMIF('DADOS BRUTOS'!$A$3:$A$500,$C17,'DADOS BRUTOS'!DU$3:DU$500)))</f>
        <v/>
      </c>
      <c r="GV17" s="132">
        <f>IF(OR(GV$4="",$B17=""),0,SUMIF('DADOS BRUTOS'!$A$3:$A$500,$B17,'DADOS BRUTOS'!DV$3:DV$500)+IF($C17="",0,SUMIF('DADOS BRUTOS'!$A$3:$A$500,$C17,'DADOS BRUTOS'!DV$3:DV$500)))</f>
        <v/>
      </c>
      <c r="GW17" s="132">
        <f>IF(OR(GW$4="",$B17=""),0,SUMIF('DADOS BRUTOS'!$A$3:$A$500,$B17,'DADOS BRUTOS'!DW$3:DW$500)+IF($C17="",0,SUMIF('DADOS BRUTOS'!$A$3:$A$500,$C17,'DADOS BRUTOS'!DW$3:DW$500)))</f>
        <v/>
      </c>
      <c r="GX17" s="132">
        <f>IF(OR(GX$4="",$B17=""),0,SUMIF('DADOS BRUTOS'!$A$3:$A$500,$B17,'DADOS BRUTOS'!DX$3:DX$500)+IF($C17="",0,SUMIF('DADOS BRUTOS'!$A$3:$A$500,$C17,'DADOS BRUTOS'!DX$3:DX$500)))</f>
        <v/>
      </c>
      <c r="GY17" s="132">
        <f>IF(OR(GY$4="",$B17=""),0,SUMIF('DADOS BRUTOS'!$A$3:$A$500,$B17,'DADOS BRUTOS'!DY$3:DY$500)+IF($C17="",0,SUMIF('DADOS BRUTOS'!$A$3:$A$500,$C17,'DADOS BRUTOS'!DY$3:DY$500)))</f>
        <v/>
      </c>
      <c r="GZ17" s="132">
        <f>IF(OR(GZ$4="",$B17=""),0,SUMIF('DADOS BRUTOS'!$A$3:$A$500,$B17,'DADOS BRUTOS'!DZ$3:DZ$500)+IF($C17="",0,SUMIF('DADOS BRUTOS'!$A$3:$A$500,$C17,'DADOS BRUTOS'!DZ$3:DZ$500)))</f>
        <v/>
      </c>
      <c r="HA17" s="132">
        <f>IF(OR(HA$4="",$B17=""),0,SUMIF('DADOS BRUTOS'!$A$3:$A$500,$B17,'DADOS BRUTOS'!EA$3:EA$500)+IF($C17="",0,SUMIF('DADOS BRUTOS'!$A$3:$A$500,$C17,'DADOS BRUTOS'!EA$3:EA$500)))</f>
        <v/>
      </c>
      <c r="HB17" s="132">
        <f>IF(OR(HB$4="",$B17=""),0,SUMIF('DADOS BRUTOS'!$A$3:$A$500,$B17,'DADOS BRUTOS'!EB$3:EB$500)+IF($C17="",0,SUMIF('DADOS BRUTOS'!$A$3:$A$500,$C17,'DADOS BRUTOS'!EB$3:EB$500)))</f>
        <v/>
      </c>
      <c r="HC17" s="132">
        <f>IF(OR(HC$4="",$B17=""),0,SUMIF('DADOS BRUTOS'!$A$3:$A$500,$B17,'DADOS BRUTOS'!EC$3:EC$500)+IF($C17="",0,SUMIF('DADOS BRUTOS'!$A$3:$A$500,$C17,'DADOS BRUTOS'!EC$3:EC$500)))</f>
        <v/>
      </c>
      <c r="HD17" s="132">
        <f>IF(OR(HD$4="",$B17=""),0,SUMIF('DADOS BRUTOS'!$A$3:$A$500,$B17,'DADOS BRUTOS'!ED$3:ED$500)+IF($C17="",0,SUMIF('DADOS BRUTOS'!$A$3:$A$500,$C17,'DADOS BRUTOS'!ED$3:ED$500)))</f>
        <v/>
      </c>
      <c r="HE17" s="132">
        <f>IF(OR(HE$4="",$B17=""),0,SUMIF('DADOS BRUTOS'!$A$3:$A$500,$B17,'DADOS BRUTOS'!EE$3:EE$500)+IF($C17="",0,SUMIF('DADOS BRUTOS'!$A$3:$A$500,$C17,'DADOS BRUTOS'!EE$3:EE$500)))</f>
        <v/>
      </c>
      <c r="HF17" s="132">
        <f>IF(OR(HF$4="",$B17=""),0,SUMIF('DADOS BRUTOS'!$A$3:$A$500,$B17,'DADOS BRUTOS'!EF$3:EF$500)+IF($C17="",0,SUMIF('DADOS BRUTOS'!$A$3:$A$500,$C17,'DADOS BRUTOS'!EF$3:EF$500)))</f>
        <v/>
      </c>
      <c r="HG17" s="132">
        <f>IF(OR(HG$4="",$B17=""),0,SUMIF('DADOS BRUTOS'!$A$3:$A$500,$B17,'DADOS BRUTOS'!EG$3:EG$500)+IF($C17="",0,SUMIF('DADOS BRUTOS'!$A$3:$A$500,$C17,'DADOS BRUTOS'!EG$3:EG$500)))</f>
        <v/>
      </c>
      <c r="HH17" s="132">
        <f>IF(OR(HH$4="",$B17=""),0,SUMIF('DADOS BRUTOS'!$A$3:$A$500,$B17,'DADOS BRUTOS'!EH$3:EH$500)+IF($C17="",0,SUMIF('DADOS BRUTOS'!$A$3:$A$500,$C17,'DADOS BRUTOS'!EH$3:EH$500)))</f>
        <v/>
      </c>
      <c r="HI17" s="132">
        <f>IF(OR(HI$4="",$B17=""),0,SUMIF('DADOS BRUTOS'!$A$3:$A$500,$B17,'DADOS BRUTOS'!EI$3:EI$500)+IF($C17="",0,SUMIF('DADOS BRUTOS'!$A$3:$A$500,$C17,'DADOS BRUTOS'!EI$3:EI$500)))</f>
        <v/>
      </c>
      <c r="HJ17" s="132">
        <f>IF(OR(HJ$4="",$B17=""),0,SUMIF('DADOS BRUTOS'!$A$3:$A$500,$B17,'DADOS BRUTOS'!EJ$3:EJ$500)+IF($C17="",0,SUMIF('DADOS BRUTOS'!$A$3:$A$500,$C17,'DADOS BRUTOS'!EJ$3:EJ$500)))</f>
        <v/>
      </c>
      <c r="HK17" s="132">
        <f>IF(OR(HK$4="",$B17=""),0,SUMIF('DADOS BRUTOS'!$A$3:$A$500,$B17,'DADOS BRUTOS'!EK$3:EK$500)+IF($C17="",0,SUMIF('DADOS BRUTOS'!$A$3:$A$500,$C17,'DADOS BRUTOS'!EK$3:EK$500)))</f>
        <v/>
      </c>
      <c r="HL17" s="132">
        <f>IF(OR(HL$4="",$B17=""),0,SUMIF('DADOS BRUTOS'!$A$3:$A$500,$B17,'DADOS BRUTOS'!EL$3:EL$500)+IF($C17="",0,SUMIF('DADOS BRUTOS'!$A$3:$A$500,$C17,'DADOS BRUTOS'!EL$3:EL$500)))</f>
        <v/>
      </c>
      <c r="HM17" s="132">
        <f>IF(OR(HM$4="",$B17=""),0,SUMIF('DADOS BRUTOS'!$A$3:$A$500,$B17,'DADOS BRUTOS'!EM$3:EM$500)+IF($C17="",0,SUMIF('DADOS BRUTOS'!$A$3:$A$500,$C17,'DADOS BRUTOS'!EM$3:EM$500)))</f>
        <v/>
      </c>
      <c r="HN17" s="132">
        <f>IF(OR(HN$4="",$B17=""),0,SUMIF('DADOS BRUTOS'!$A$3:$A$500,$B17,'DADOS BRUTOS'!EN$3:EN$500)+IF($C17="",0,SUMIF('DADOS BRUTOS'!$A$3:$A$500,$C17,'DADOS BRUTOS'!EN$3:EN$500)))</f>
        <v/>
      </c>
      <c r="HO17" s="132">
        <f>IF(OR(HO$4="",$B17=""),0,SUMIF('DADOS BRUTOS'!$A$3:$A$500,$B17,'DADOS BRUTOS'!EO$3:EO$500)+IF($C17="",0,SUMIF('DADOS BRUTOS'!$A$3:$A$500,$C17,'DADOS BRUTOS'!EO$3:EO$500)))</f>
        <v/>
      </c>
      <c r="HP17" s="132">
        <f>IF(OR(HP$4="",$B17=""),0,SUMIF('DADOS BRUTOS'!$A$3:$A$500,$B17,'DADOS BRUTOS'!EP$3:EP$500)+IF($C17="",0,SUMIF('DADOS BRUTOS'!$A$3:$A$500,$C17,'DADOS BRUTOS'!EP$3:EP$500)))</f>
        <v/>
      </c>
      <c r="HQ17" s="132">
        <f>IF(OR(HQ$4="",$B17=""),0,SUMIF('DADOS BRUTOS'!$A$3:$A$500,$B17,'DADOS BRUTOS'!EQ$3:EQ$500)+IF($C17="",0,SUMIF('DADOS BRUTOS'!$A$3:$A$500,$C17,'DADOS BRUTOS'!EQ$3:EQ$500)))</f>
        <v/>
      </c>
      <c r="HR17" s="132">
        <f>IF(OR(HR$4="",$B17=""),0,SUMIF('DADOS BRUTOS'!$A$3:$A$500,$B17,'DADOS BRUTOS'!ER$3:ER$500)+IF($C17="",0,SUMIF('DADOS BRUTOS'!$A$3:$A$500,$C17,'DADOS BRUTOS'!ER$3:ER$500)))</f>
        <v/>
      </c>
      <c r="HS17" s="132">
        <f>IF(OR(HS$4="",$B17=""),0,SUMIF('DADOS BRUTOS'!$A$3:$A$500,$B17,'DADOS BRUTOS'!ES$3:ES$500)+IF($C17="",0,SUMIF('DADOS BRUTOS'!$A$3:$A$500,$C17,'DADOS BRUTOS'!ES$3:ES$500)))</f>
        <v/>
      </c>
      <c r="HT17" s="132">
        <f>IF(OR(HT$4="",$B17=""),0,SUMIF('DADOS BRUTOS'!$A$3:$A$500,$B17,'DADOS BRUTOS'!ET$3:ET$500)+IF($C17="",0,SUMIF('DADOS BRUTOS'!$A$3:$A$500,$C17,'DADOS BRUTOS'!ET$3:ET$500)))</f>
        <v/>
      </c>
      <c r="HU17" s="132">
        <f>IF(OR(HU$4="",$B17=""),0,SUMIF('DADOS BRUTOS'!$A$3:$A$500,$B17,'DADOS BRUTOS'!EU$3:EU$500)+IF($C17="",0,SUMIF('DADOS BRUTOS'!$A$3:$A$500,$C17,'DADOS BRUTOS'!EU$3:EU$500)))</f>
        <v/>
      </c>
      <c r="HV17" s="132">
        <f>IF(OR(HV$4="",$B17=""),0,SUMIF('DADOS BRUTOS'!$A$3:$A$500,$B17,'DADOS BRUTOS'!EV$3:EV$500)+IF($C17="",0,SUMIF('DADOS BRUTOS'!$A$3:$A$500,$C17,'DADOS BRUTOS'!EV$3:EV$500)))</f>
        <v/>
      </c>
      <c r="HW17" s="132">
        <f>IF(OR(HW$4="",$B17=""),0,SUMIF('DADOS BRUTOS'!$A$3:$A$500,$B17,'DADOS BRUTOS'!EW$3:EW$500)+IF($C17="",0,SUMIF('DADOS BRUTOS'!$A$3:$A$500,$C17,'DADOS BRUTOS'!EW$3:EW$500)))</f>
        <v/>
      </c>
      <c r="HX17" s="132">
        <f>IF(OR(HX$4="",$B17=""),0,SUMIF('DADOS BRUTOS'!$A$3:$A$500,$B17,'DADOS BRUTOS'!EX$3:EX$500)+IF($C17="",0,SUMIF('DADOS BRUTOS'!$A$3:$A$500,$C17,'DADOS BRUTOS'!EX$3:EX$500)))</f>
        <v/>
      </c>
      <c r="HY17" s="132">
        <f>IF(OR(HY$4="",$B17=""),0,SUMIF('DADOS BRUTOS'!$A$3:$A$500,$B17,'DADOS BRUTOS'!EY$3:EY$500)+IF($C17="",0,SUMIF('DADOS BRUTOS'!$A$3:$A$500,$C17,'DADOS BRUTOS'!EY$3:EY$500)))</f>
        <v/>
      </c>
      <c r="HZ17" s="132">
        <f>IF(OR(HZ$4="",$B17=""),0,SUMIF('DADOS BRUTOS'!$A$3:$A$500,$B17,'DADOS BRUTOS'!EZ$3:EZ$500)+IF($C17="",0,SUMIF('DADOS BRUTOS'!$A$3:$A$500,$C17,'DADOS BRUTOS'!EZ$3:EZ$500)))</f>
        <v/>
      </c>
      <c r="IA17" s="132">
        <f>IF(OR(IA$4="",$B17=""),0,SUMIF('DADOS BRUTOS'!$A$3:$A$500,$B17,'DADOS BRUTOS'!FA$3:FA$500)+IF($C17="",0,SUMIF('DADOS BRUTOS'!$A$3:$A$500,$C17,'DADOS BRUTOS'!FA$3:FA$500)))</f>
        <v/>
      </c>
      <c r="IB17" s="132">
        <f>IF(OR(IB$4="",$B17=""),0,SUMIF('DADOS BRUTOS'!$A$3:$A$500,$B17,'DADOS BRUTOS'!FB$3:FB$500)+IF($C17="",0,SUMIF('DADOS BRUTOS'!$A$3:$A$500,$C17,'DADOS BRUTOS'!FB$3:FB$500)))</f>
        <v/>
      </c>
      <c r="IC17" s="132">
        <f>IF(OR(IC$4="",$B17=""),0,SUMIF('DADOS BRUTOS'!$A$3:$A$500,$B17,'DADOS BRUTOS'!FC$3:FC$500)+IF($C17="",0,SUMIF('DADOS BRUTOS'!$A$3:$A$500,$C17,'DADOS BRUTOS'!FC$3:FC$500)))</f>
        <v/>
      </c>
      <c r="ID17" s="132">
        <f>IF(OR(ID$4="",$B17=""),0,SUMIF('DADOS BRUTOS'!$A$3:$A$500,$B17,'DADOS BRUTOS'!FD$3:FD$500)+IF($C17="",0,SUMIF('DADOS BRUTOS'!$A$3:$A$500,$C17,'DADOS BRUTOS'!FD$3:FD$500)))</f>
        <v/>
      </c>
      <c r="IE17" s="132">
        <f>IF(OR(IE$4="",$B17=""),0,SUMIF('DADOS BRUTOS'!$A$3:$A$500,$B17,'DADOS BRUTOS'!FE$3:FE$500)+IF($C17="",0,SUMIF('DADOS BRUTOS'!$A$3:$A$500,$C17,'DADOS BRUTOS'!FE$3:FE$500)))</f>
        <v/>
      </c>
      <c r="IF17" s="132">
        <f>IF(OR(IF$4="",$B17=""),0,SUMIF('DADOS BRUTOS'!$A$3:$A$500,$B17,'DADOS BRUTOS'!FF$3:FF$500)+IF($C17="",0,SUMIF('DADOS BRUTOS'!$A$3:$A$500,$C17,'DADOS BRUTOS'!FF$3:FF$500)))</f>
        <v/>
      </c>
      <c r="IG17" s="132">
        <f>IF(OR(IG$4="",$B17=""),0,SUMIF('DADOS BRUTOS'!$A$3:$A$500,$B17,'DADOS BRUTOS'!FG$3:FG$500)+IF($C17="",0,SUMIF('DADOS BRUTOS'!$A$3:$A$500,$C17,'DADOS BRUTOS'!FG$3:FG$500)))</f>
        <v/>
      </c>
      <c r="IH17" s="132">
        <f>IF(OR(IH$4="",$B17=""),0,SUMIF('DADOS BRUTOS'!$A$3:$A$500,$B17,'DADOS BRUTOS'!FH$3:FH$500)+IF($C17="",0,SUMIF('DADOS BRUTOS'!$A$3:$A$500,$C17,'DADOS BRUTOS'!FH$3:FH$500)))</f>
        <v/>
      </c>
      <c r="II17" s="132">
        <f>IF(OR(II$4="",$B17=""),0,SUMIF('DADOS BRUTOS'!$A$3:$A$500,$B17,'DADOS BRUTOS'!FI$3:FI$500)+IF($C17="",0,SUMIF('DADOS BRUTOS'!$A$3:$A$500,$C17,'DADOS BRUTOS'!FI$3:FI$500)))</f>
        <v/>
      </c>
      <c r="IJ17" s="132">
        <f>IF(OR(IJ$4="",$B17=""),0,SUMIF('DADOS BRUTOS'!$A$3:$A$500,$B17,'DADOS BRUTOS'!FJ$3:FJ$500)+IF($C17="",0,SUMIF('DADOS BRUTOS'!$A$3:$A$500,$C17,'DADOS BRUTOS'!FJ$3:FJ$500)))</f>
        <v/>
      </c>
      <c r="IK17" s="132">
        <f>IF(OR(IK$4="",$B17=""),0,SUMIF('DADOS BRUTOS'!$A$3:$A$500,$B17,'DADOS BRUTOS'!FK$3:FK$500)+IF($C17="",0,SUMIF('DADOS BRUTOS'!$A$3:$A$500,$C17,'DADOS BRUTOS'!FK$3:FK$500)))</f>
        <v/>
      </c>
      <c r="IL17" s="132">
        <f>IF(OR(IL$4="",$B17=""),0,SUMIF('DADOS BRUTOS'!$A$3:$A$500,$B17,'DADOS BRUTOS'!FL$3:FL$500)+IF($C17="",0,SUMIF('DADOS BRUTOS'!$A$3:$A$500,$C17,'DADOS BRUTOS'!FL$3:FL$500)))</f>
        <v/>
      </c>
      <c r="IM17" s="132">
        <f>IF(OR(IM$4="",$B17=""),0,SUMIF('DADOS BRUTOS'!$A$3:$A$500,$B17,'DADOS BRUTOS'!FM$3:FM$500)+IF($C17="",0,SUMIF('DADOS BRUTOS'!$A$3:$A$500,$C17,'DADOS BRUTOS'!FM$3:FM$500)))</f>
        <v/>
      </c>
      <c r="IN17" s="132">
        <f>IF(OR(IN$4="",$B17=""),0,SUMIF('DADOS BRUTOS'!$A$3:$A$500,$B17,'DADOS BRUTOS'!FN$3:FN$500)+IF($C17="",0,SUMIF('DADOS BRUTOS'!$A$3:$A$500,$C17,'DADOS BRUTOS'!FN$3:FN$500)))</f>
        <v/>
      </c>
      <c r="IO17" s="132">
        <f>IF(OR(IO$4="",$B17=""),0,SUMIF('DADOS BRUTOS'!$A$3:$A$500,$B17,'DADOS BRUTOS'!FO$3:FO$500)+IF($C17="",0,SUMIF('DADOS BRUTOS'!$A$3:$A$500,$C17,'DADOS BRUTOS'!FO$3:FO$500)))</f>
        <v/>
      </c>
      <c r="IP17" s="132">
        <f>IF(OR(IP$4="",$B17=""),0,SUMIF('DADOS BRUTOS'!$A$3:$A$500,$B17,'DADOS BRUTOS'!FP$3:FP$500)+IF($C17="",0,SUMIF('DADOS BRUTOS'!$A$3:$A$500,$C17,'DADOS BRUTOS'!FP$3:FP$500)))</f>
        <v/>
      </c>
      <c r="IQ17" s="132">
        <f>IF(OR(IQ$4="",$B17=""),0,SUMIF('DADOS BRUTOS'!$A$3:$A$500,$B17,'DADOS BRUTOS'!FQ$3:FQ$500)+IF($C17="",0,SUMIF('DADOS BRUTOS'!$A$3:$A$500,$C17,'DADOS BRUTOS'!FQ$3:FQ$500)))</f>
        <v/>
      </c>
      <c r="IR17" s="132">
        <f>IF(OR(IR$4="",$B17=""),0,SUMIF('DADOS BRUTOS'!$A$3:$A$500,$B17,'DADOS BRUTOS'!FR$3:FR$500)+IF($C17="",0,SUMIF('DADOS BRUTOS'!$A$3:$A$500,$C17,'DADOS BRUTOS'!FR$3:FR$500)))</f>
        <v/>
      </c>
      <c r="IS17" s="132">
        <f>IF(OR(IS$4="",$B17=""),0,SUMIF('DADOS BRUTOS'!$A$3:$A$500,$B17,'DADOS BRUTOS'!FS$3:FS$500)+IF($C17="",0,SUMIF('DADOS BRUTOS'!$A$3:$A$500,$C17,'DADOS BRUTOS'!FS$3:FS$500)))</f>
        <v/>
      </c>
      <c r="IT17" s="132">
        <f>IF(OR(IT$4="",$B17=""),0,SUMIF('DADOS BRUTOS'!$A$3:$A$500,$B17,'DADOS BRUTOS'!FT$3:FT$500)+IF($C17="",0,SUMIF('DADOS BRUTOS'!$A$3:$A$500,$C17,'DADOS BRUTOS'!FT$3:FT$500)))</f>
        <v/>
      </c>
      <c r="IU17" s="132">
        <f>IF(OR(IU$4="",$B17=""),0,SUMIF('DADOS BRUTOS'!$A$3:$A$500,$B17,'DADOS BRUTOS'!FU$3:FU$500)+IF($C17="",0,SUMIF('DADOS BRUTOS'!$A$3:$A$500,$C17,'DADOS BRUTOS'!FU$3:FU$500)))</f>
        <v/>
      </c>
      <c r="IV17" s="132">
        <f>IF(OR(IV$4="",$B17=""),0,SUMIF('DADOS BRUTOS'!$A$3:$A$500,$B17,'DADOS BRUTOS'!FV$3:FV$500)+IF($C17="",0,SUMIF('DADOS BRUTOS'!$A$3:$A$500,$C17,'DADOS BRUTOS'!FV$3:FV$500)))</f>
        <v/>
      </c>
      <c r="IW17" s="132">
        <f>IF(OR(IW$4="",$B17=""),0,SUMIF('DADOS BRUTOS'!$A$3:$A$500,$B17,'DADOS BRUTOS'!FW$3:FW$500)+IF($C17="",0,SUMIF('DADOS BRUTOS'!$A$3:$A$500,$C17,'DADOS BRUTOS'!FW$3:FW$500)))</f>
        <v/>
      </c>
      <c r="IX17" s="132">
        <f>IF(OR(IX$4="",$B17=""),0,SUMIF('DADOS BRUTOS'!$A$3:$A$500,$B17,'DADOS BRUTOS'!FX$3:FX$500)+IF($C17="",0,SUMIF('DADOS BRUTOS'!$A$3:$A$500,$C17,'DADOS BRUTOS'!FX$3:FX$500)))</f>
        <v/>
      </c>
      <c r="IY17" s="132">
        <f>IF(OR(IY$4="",$B17=""),0,SUMIF('DADOS BRUTOS'!$A$3:$A$500,$B17,'DADOS BRUTOS'!FY$3:FY$500)+IF($C17="",0,SUMIF('DADOS BRUTOS'!$A$3:$A$500,$C17,'DADOS BRUTOS'!FY$3:FY$500)))</f>
        <v/>
      </c>
      <c r="IZ17" s="132">
        <f>IF(OR(IZ$4="",$B17=""),0,SUMIF('DADOS BRUTOS'!$A$3:$A$500,$B17,'DADOS BRUTOS'!FZ$3:FZ$500)+IF($C17="",0,SUMIF('DADOS BRUTOS'!$A$3:$A$500,$C17,'DADOS BRUTOS'!FZ$3:FZ$500)))</f>
        <v/>
      </c>
      <c r="JA17" s="132">
        <f>IF(OR(JA$4="",$B17=""),0,SUMIF('DADOS BRUTOS'!$A$3:$A$500,$B17,'DADOS BRUTOS'!GA$3:GA$500)+IF($C17="",0,SUMIF('DADOS BRUTOS'!$A$3:$A$500,$C17,'DADOS BRUTOS'!GA$3:GA$500)))</f>
        <v/>
      </c>
      <c r="JB17" s="132">
        <f>IF(OR(JB$4="",$B17=""),0,SUMIF('DADOS BRUTOS'!$A$3:$A$500,$B17,'DADOS BRUTOS'!GB$3:GB$500)+IF($C17="",0,SUMIF('DADOS BRUTOS'!$A$3:$A$500,$C17,'DADOS BRUTOS'!GB$3:GB$500)))</f>
        <v/>
      </c>
      <c r="JC17" s="132">
        <f>IF(OR(JC$4="",$B17=""),0,SUMIF('DADOS BRUTOS'!$A$3:$A$500,$B17,'DADOS BRUTOS'!GC$3:GC$500)+IF($C17="",0,SUMIF('DADOS BRUTOS'!$A$3:$A$500,$C17,'DADOS BRUTOS'!GC$3:GC$500)))</f>
        <v/>
      </c>
      <c r="JD17" s="132">
        <f>IF(OR(JD$4="",$B17=""),0,SUMIF('DADOS BRUTOS'!$A$3:$A$500,$B17,'DADOS BRUTOS'!GD$3:GD$500)+IF($C17="",0,SUMIF('DADOS BRUTOS'!$A$3:$A$500,$C17,'DADOS BRUTOS'!GD$3:GD$500)))</f>
        <v/>
      </c>
      <c r="JE17" s="132">
        <f>IF(OR(JE$4="",$B17=""),0,SUMIF('DADOS BRUTOS'!$A$3:$A$500,$B17,'DADOS BRUTOS'!GE$3:GE$500)+IF($C17="",0,SUMIF('DADOS BRUTOS'!$A$3:$A$500,$C17,'DADOS BRUTOS'!GE$3:GE$500)))</f>
        <v/>
      </c>
      <c r="JF17" s="132">
        <f>IF(OR(JF$4="",$B17=""),0,SUMIF('DADOS BRUTOS'!$A$3:$A$500,$B17,'DADOS BRUTOS'!GF$3:GF$500)+IF($C17="",0,SUMIF('DADOS BRUTOS'!$A$3:$A$500,$C17,'DADOS BRUTOS'!GF$3:GF$500)))</f>
        <v/>
      </c>
      <c r="JG17" s="132">
        <f>IF(OR(JG$4="",$B17=""),0,SUMIF('DADOS BRUTOS'!$A$3:$A$500,$B17,'DADOS BRUTOS'!GG$3:GG$500)+IF($C17="",0,SUMIF('DADOS BRUTOS'!$A$3:$A$500,$C17,'DADOS BRUTOS'!GG$3:GG$500)))</f>
        <v/>
      </c>
      <c r="JH17" s="132">
        <f>IF(OR(JH$4="",$B17=""),0,SUMIF('DADOS BRUTOS'!$A$3:$A$500,$B17,'DADOS BRUTOS'!GH$3:GH$500)+IF($C17="",0,SUMIF('DADOS BRUTOS'!$A$3:$A$500,$C17,'DADOS BRUTOS'!GH$3:GH$500)))</f>
        <v/>
      </c>
      <c r="JI17" s="132">
        <f>IF(OR(JI$4="",$B17=""),0,SUMIF('DADOS BRUTOS'!$A$3:$A$500,$B17,'DADOS BRUTOS'!GI$3:GI$500)+IF($C17="",0,SUMIF('DADOS BRUTOS'!$A$3:$A$500,$C17,'DADOS BRUTOS'!GI$3:GI$500)))</f>
        <v/>
      </c>
      <c r="JJ17" s="132">
        <f>IF(OR(JJ$4="",$B17=""),0,SUMIF('DADOS BRUTOS'!$A$3:$A$500,$B17,'DADOS BRUTOS'!GJ$3:GJ$500)+IF($C17="",0,SUMIF('DADOS BRUTOS'!$A$3:$A$500,$C17,'DADOS BRUTOS'!GJ$3:GJ$500)))</f>
        <v/>
      </c>
      <c r="JK17" s="132">
        <f>IF(OR(JK$4="",$B17=""),0,SUMIF('DADOS BRUTOS'!$A$3:$A$500,$B17,'DADOS BRUTOS'!GK$3:GK$500)+IF($C17="",0,SUMIF('DADOS BRUTOS'!$A$3:$A$500,$C17,'DADOS BRUTOS'!GK$3:GK$500)))</f>
        <v/>
      </c>
      <c r="JL17" s="132">
        <f>IF(OR(JL$4="",$B17=""),0,SUMIF('DADOS BRUTOS'!$A$3:$A$500,$B17,'DADOS BRUTOS'!GL$3:GL$500)+IF($C17="",0,SUMIF('DADOS BRUTOS'!$A$3:$A$500,$C17,'DADOS BRUTOS'!GL$3:GL$500)))</f>
        <v/>
      </c>
      <c r="JM17" s="132">
        <f>IF(OR(JM$4="",$B17=""),0,SUMIF('DADOS BRUTOS'!$A$3:$A$500,$B17,'DADOS BRUTOS'!GM$3:GM$500)+IF($C17="",0,SUMIF('DADOS BRUTOS'!$A$3:$A$500,$C17,'DADOS BRUTOS'!GM$3:GM$500)))</f>
        <v/>
      </c>
      <c r="JN17" s="132">
        <f>IF(OR(JN$4="",$B17=""),0,SUMIF('DADOS BRUTOS'!$A$3:$A$500,$B17,'DADOS BRUTOS'!GN$3:GN$500)+IF($C17="",0,SUMIF('DADOS BRUTOS'!$A$3:$A$500,$C17,'DADOS BRUTOS'!GN$3:GN$500)))</f>
        <v/>
      </c>
      <c r="JO17" s="132">
        <f>IF(OR(JO$4="",$B17=""),0,SUMIF('DADOS BRUTOS'!$A$3:$A$500,$B17,'DADOS BRUTOS'!GO$3:GO$500)+IF($C17="",0,SUMIF('DADOS BRUTOS'!$A$3:$A$500,$C17,'DADOS BRUTOS'!GO$3:GO$500)))</f>
        <v/>
      </c>
      <c r="JP17" s="132">
        <f>IF(OR(JP$4="",$B17=""),0,SUMIF('DADOS BRUTOS'!$A$3:$A$500,$B17,'DADOS BRUTOS'!GP$3:GP$500)+IF($C17="",0,SUMIF('DADOS BRUTOS'!$A$3:$A$500,$C17,'DADOS BRUTOS'!GP$3:GP$500)))</f>
        <v/>
      </c>
      <c r="JQ17" s="132">
        <f>IF(OR(JQ$4="",$B17=""),0,SUMIF('DADOS BRUTOS'!$A$3:$A$500,$B17,'DADOS BRUTOS'!GQ$3:GQ$500)+IF($C17="",0,SUMIF('DADOS BRUTOS'!$A$3:$A$500,$C17,'DADOS BRUTOS'!GQ$3:GQ$500)))</f>
        <v/>
      </c>
      <c r="JR17" s="132">
        <f>IF(OR(JR$4="",$B17=""),0,SUMIF('DADOS BRUTOS'!$A$3:$A$500,$B17,'DADOS BRUTOS'!GR$3:GR$500)+IF($C17="",0,SUMIF('DADOS BRUTOS'!$A$3:$A$500,$C17,'DADOS BRUTOS'!GR$3:GR$500)))</f>
        <v/>
      </c>
      <c r="JS17" s="132">
        <f>IF(OR(JS$4="",$B17=""),0,SUMIF('DADOS BRUTOS'!$A$3:$A$500,$B17,'DADOS BRUTOS'!GS$3:GS$500)+IF($C17="",0,SUMIF('DADOS BRUTOS'!$A$3:$A$500,$C17,'DADOS BRUTOS'!GS$3:GS$500)))</f>
        <v/>
      </c>
    </row>
    <row r="18">
      <c r="A18" s="61">
        <f>'VALOR POR PL'!D24</f>
        <v/>
      </c>
      <c r="B18" s="59" t="inlineStr">
        <is>
          <t>TERRAPLENAGEM</t>
        </is>
      </c>
      <c r="C18" s="59" t="n"/>
      <c r="D18" s="54">
        <f>SUMIF($CB$4:$JS$4,"&lt;="&amp;D$4,$CB18:$JS18)</f>
        <v/>
      </c>
      <c r="E18" s="54">
        <f>SUMIF($CB$4:$JS$4,E$4,$CB18:$JS18)</f>
        <v/>
      </c>
      <c r="F18" s="54">
        <f>SUMIF($CB$4:$JS$4,F$4,$CB18:$JS18)</f>
        <v/>
      </c>
      <c r="G18" s="54">
        <f>SUMIF($CB$4:$JS$4,G$4,$CB18:$JS18)</f>
        <v/>
      </c>
      <c r="H18" s="54">
        <f>SUMIF($CB$4:$JS$4,H$4,$CB18:$JS18)</f>
        <v/>
      </c>
      <c r="I18" s="54">
        <f>SUMIF($CB$4:$JS$4,I$4,$CB18:$JS18)</f>
        <v/>
      </c>
      <c r="J18" s="54">
        <f>SUMIF($CB$4:$JS$4,J$4,$CB18:$JS18)</f>
        <v/>
      </c>
      <c r="K18" s="54">
        <f>SUMIF($CB$4:$JS$4,K$4,$CB18:$JS18)</f>
        <v/>
      </c>
      <c r="L18" s="54">
        <f>SUMIF($CB$4:$JS$4,L$4,$CB18:$JS18)</f>
        <v/>
      </c>
      <c r="M18" s="54">
        <f>SUMIF($CB$4:$JS$4,M$4,$CB18:$JS18)</f>
        <v/>
      </c>
      <c r="N18" s="54">
        <f>SUMIF($CB$4:$JS$4,N$4,$CB18:$JS18)</f>
        <v/>
      </c>
      <c r="O18" s="54">
        <f>SUMIF($CB$4:$JS$4,O$4,$CB18:$JS18)</f>
        <v/>
      </c>
      <c r="P18" s="54">
        <f>SUMIF($CB$4:$JS$4,P$4,$CB18:$JS18)</f>
        <v/>
      </c>
      <c r="Q18" s="54">
        <f>SUMIF($CB$4:$JS$4,Q$4,$CB18:$JS18)</f>
        <v/>
      </c>
      <c r="R18" s="54">
        <f>SUMIF($CB$4:$JS$4,R$4,$CB18:$JS18)</f>
        <v/>
      </c>
      <c r="S18" s="54">
        <f>SUMIF($CB$4:$JS$4,S$4,$CB18:$JS18)</f>
        <v/>
      </c>
      <c r="T18" s="54">
        <f>SUMIF($CB$4:$JS$4,T$4,$CB18:$JS18)</f>
        <v/>
      </c>
      <c r="U18" s="54">
        <f>SUMIF($CB$4:$JS$4,U$4,$CB18:$JS18)</f>
        <v/>
      </c>
      <c r="V18" s="54">
        <f>SUMIF($CB$4:$JS$4,V$4,$CB18:$JS18)</f>
        <v/>
      </c>
      <c r="W18" s="54">
        <f>SUMIF($CB$4:$JS$4,W$4,$CB18:$JS18)</f>
        <v/>
      </c>
      <c r="X18" s="54">
        <f>SUMIF($CB$4:$JS$4,X$4,$CB18:$JS18)</f>
        <v/>
      </c>
      <c r="Y18" s="54">
        <f>SUMIF($CB$4:$JS$4,Y$4,$CB18:$JS18)</f>
        <v/>
      </c>
      <c r="Z18" s="54">
        <f>SUMIF($CB$4:$JS$4,Z$4,$CB18:$JS18)</f>
        <v/>
      </c>
      <c r="AA18" s="54">
        <f>SUMIF($CB$4:$JS$4,AA$4,$CB18:$JS18)</f>
        <v/>
      </c>
      <c r="AB18" s="54">
        <f>SUMIF($CB$4:$JS$4,AB$4,$CB18:$JS18)</f>
        <v/>
      </c>
      <c r="AC18" s="54">
        <f>SUMIF($CB$4:$JS$4,AC$4,$CB18:$JS18)</f>
        <v/>
      </c>
      <c r="AD18" s="54">
        <f>SUMIF($CB$4:$JS$4,AD$4,$CB18:$JS18)</f>
        <v/>
      </c>
      <c r="AE18" s="54">
        <f>SUMIF($CB$4:$JS$4,AE$4,$CB18:$JS18)</f>
        <v/>
      </c>
      <c r="AF18" s="54">
        <f>SUMIF($CB$4:$JS$4,AF$4,$CB18:$JS18)</f>
        <v/>
      </c>
      <c r="AG18" s="54">
        <f>SUMIF($CB$4:$JS$4,AG$4,$CB18:$JS18)</f>
        <v/>
      </c>
      <c r="AH18" s="54">
        <f>SUMIF($CB$4:$JS$4,AH$4,$CB18:$JS18)</f>
        <v/>
      </c>
      <c r="AI18" s="54">
        <f>SUMIF($CB$4:$JS$4,AI$4,$CB18:$JS18)</f>
        <v/>
      </c>
      <c r="AJ18" s="54">
        <f>SUMIF($CB$4:$JS$4,AJ$4,$CB18:$JS18)</f>
        <v/>
      </c>
      <c r="AK18" s="54">
        <f>SUMIF($CB$4:$JS$4,AK$4,$CB18:$JS18)</f>
        <v/>
      </c>
      <c r="AL18" s="54">
        <f>SUMIF($CB$4:$JS$4,AL$4,$CB18:$JS18)</f>
        <v/>
      </c>
      <c r="AM18" s="54">
        <f>SUMIF($CB$4:$JS$4,AM$4,$CB18:$JS18)</f>
        <v/>
      </c>
      <c r="AN18" s="54">
        <f>SUMIF($CB$4:$JS$4,AN$4,$CB18:$JS18)</f>
        <v/>
      </c>
      <c r="AO18" s="54">
        <f>SUMIF($CB$4:$JS$4,AO$4,$CB18:$JS18)</f>
        <v/>
      </c>
      <c r="AP18" s="54">
        <f>SUMIF($CB$4:$JS$4,AP$4,$CB18:$JS18)</f>
        <v/>
      </c>
      <c r="AQ18" s="54">
        <f>SUMIF($CB$4:$JS$4,AQ$4,$CB18:$JS18)</f>
        <v/>
      </c>
      <c r="AR18" s="54">
        <f>SUMIF($CB$4:$JS$4,AR$4,$CB18:$JS18)</f>
        <v/>
      </c>
      <c r="AS18" s="54">
        <f>SUMIF($CB$4:$JS$4,AS$4,$CB18:$JS18)</f>
        <v/>
      </c>
      <c r="AT18" s="54">
        <f>SUMIF($CB$4:$JS$4,AT$4,$CB18:$JS18)</f>
        <v/>
      </c>
      <c r="AU18" s="54">
        <f>SUMIF($CB$4:$JS$4,AU$4,$CB18:$JS18)</f>
        <v/>
      </c>
      <c r="AV18" s="54">
        <f>SUMIF($CB$4:$JS$4,AV$4,$CB18:$JS18)</f>
        <v/>
      </c>
      <c r="AW18" s="54">
        <f>SUMIF($CB$4:$JS$4,AW$4,$CB18:$JS18)</f>
        <v/>
      </c>
      <c r="AX18" s="54">
        <f>SUMIF($CB$4:$JS$4,AX$4,$CB18:$JS18)</f>
        <v/>
      </c>
      <c r="AY18" s="54">
        <f>SUMIF($CB$4:$JS$4,AY$4,$CB18:$JS18)</f>
        <v/>
      </c>
      <c r="AZ18" s="54">
        <f>SUMIF($CB$4:$JS$4,AZ$4,$CB18:$JS18)</f>
        <v/>
      </c>
      <c r="BA18" s="54">
        <f>SUMIF($CB$4:$JS$4,BA$4,$CB18:$JS18)</f>
        <v/>
      </c>
      <c r="BB18" s="54">
        <f>SUMIF($CB$4:$JS$4,BB$4,$CB18:$JS18)</f>
        <v/>
      </c>
      <c r="BC18" s="54">
        <f>SUMIF($CB$4:$JS$4,BC$4,$CB18:$JS18)</f>
        <v/>
      </c>
      <c r="BD18" s="54">
        <f>SUMIF($CB$4:$JS$4,BD$4,$CB18:$JS18)</f>
        <v/>
      </c>
      <c r="BE18" s="54">
        <f>SUMIF($CB$4:$JS$4,BE$4,$CB18:$JS18)</f>
        <v/>
      </c>
      <c r="BF18" s="54">
        <f>SUMIF($CB$4:$JS$4,BF$4,$CB18:$JS18)</f>
        <v/>
      </c>
      <c r="BG18" s="54">
        <f>SUMIF($CB$4:$JS$4,BG$4,$CB18:$JS18)</f>
        <v/>
      </c>
      <c r="BH18" s="54">
        <f>SUMIF($CB$4:$JS$4,BH$4,$CB18:$JS18)</f>
        <v/>
      </c>
      <c r="BI18" s="54">
        <f>SUMIF($CB$4:$JS$4,BI$4,$CB18:$JS18)</f>
        <v/>
      </c>
      <c r="BJ18" s="54">
        <f>SUMIF($CB$4:$JS$4,BJ$4,$CB18:$JS18)</f>
        <v/>
      </c>
      <c r="BK18" s="54">
        <f>SUMIF($CB$4:$JS$4,BK$4,$CB18:$JS18)</f>
        <v/>
      </c>
      <c r="BL18" s="54">
        <f>SUMIF($CB$4:$JS$4,BL$4,$CB18:$JS18)</f>
        <v/>
      </c>
      <c r="BM18" s="54">
        <f>SUMIF($CB$4:$JS$4,BM$4,$CB18:$JS18)</f>
        <v/>
      </c>
      <c r="BN18" s="54">
        <f>SUMIF($CB$4:$JS$4,BN$4,$CB18:$JS18)</f>
        <v/>
      </c>
      <c r="BO18" s="54">
        <f>SUMIF($CB$4:$JS$4,BO$4,$CB18:$JS18)</f>
        <v/>
      </c>
      <c r="BP18" s="54">
        <f>SUMIF($CB$4:$JS$4,BP$4,$CB18:$JS18)</f>
        <v/>
      </c>
      <c r="BQ18" s="54">
        <f>SUMIF($CB$4:$JS$4,BQ$4,$CB18:$JS18)</f>
        <v/>
      </c>
      <c r="BR18" s="54">
        <f>SUMIF($CB$4:$JS$4,BR$4,$CB18:$JS18)</f>
        <v/>
      </c>
      <c r="BS18" s="54">
        <f>SUMIF($CB$4:$JS$4,BS$4,$CB18:$JS18)</f>
        <v/>
      </c>
      <c r="BT18" s="54">
        <f>SUMIF($CB$4:$JS$4,BT$4,$CB18:$JS18)</f>
        <v/>
      </c>
      <c r="BU18" s="54">
        <f>SUMIF($CB$4:$JS$4,BU$4,$CB18:$JS18)</f>
        <v/>
      </c>
      <c r="BV18" s="54">
        <f>SUMIF($CB$4:$JS$4,BV$4,$CB18:$JS18)</f>
        <v/>
      </c>
      <c r="BW18" s="54">
        <f>SUMIF($CB$4:$JS$4,BW$4,$CB18:$JS18)</f>
        <v/>
      </c>
      <c r="BX18" s="54">
        <f>SUMIF($CB$4:$JS$4,"&gt;"&amp;'VALOR POR PL'!$P$8,$CB18:$JS18)</f>
        <v/>
      </c>
      <c r="BY18" s="54">
        <f>SUM($CB18:$JS18)</f>
        <v/>
      </c>
      <c r="BZ18" s="49">
        <f>SUMPRODUCT(($CB$4:$JS$4&lt;&gt;"")*($CB$4:$JS$4&lt;=$D$4),$CB18:$JS18,$CB$1:$JS$1)</f>
        <v/>
      </c>
      <c r="CB18" s="132">
        <f>IF(OR(CB$4="",$B18=""),0,SUMIF('DADOS BRUTOS'!$A$3:$A$500,$B18,'DADOS BRUTOS'!B$3:B$500)+IF($C18="",0,SUMIF('DADOS BRUTOS'!$A$3:$A$500,$C18,'DADOS BRUTOS'!B$3:B$500)))</f>
        <v/>
      </c>
      <c r="CC18" s="132">
        <f>IF(OR(CC$4="",$B18=""),0,SUMIF('DADOS BRUTOS'!$A$3:$A$500,$B18,'DADOS BRUTOS'!C$3:C$500)+IF($C18="",0,SUMIF('DADOS BRUTOS'!$A$3:$A$500,$C18,'DADOS BRUTOS'!C$3:C$500)))</f>
        <v/>
      </c>
      <c r="CD18" s="132">
        <f>IF(OR(CD$4="",$B18=""),0,SUMIF('DADOS BRUTOS'!$A$3:$A$500,$B18,'DADOS BRUTOS'!D$3:D$500)+IF($C18="",0,SUMIF('DADOS BRUTOS'!$A$3:$A$500,$C18,'DADOS BRUTOS'!D$3:D$500)))</f>
        <v/>
      </c>
      <c r="CE18" s="132">
        <f>IF(OR(CE$4="",$B18=""),0,SUMIF('DADOS BRUTOS'!$A$3:$A$500,$B18,'DADOS BRUTOS'!E$3:E$500)+IF($C18="",0,SUMIF('DADOS BRUTOS'!$A$3:$A$500,$C18,'DADOS BRUTOS'!E$3:E$500)))</f>
        <v/>
      </c>
      <c r="CF18" s="132">
        <f>IF(OR(CF$4="",$B18=""),0,SUMIF('DADOS BRUTOS'!$A$3:$A$500,$B18,'DADOS BRUTOS'!F$3:F$500)+IF($C18="",0,SUMIF('DADOS BRUTOS'!$A$3:$A$500,$C18,'DADOS BRUTOS'!F$3:F$500)))</f>
        <v/>
      </c>
      <c r="CG18" s="132">
        <f>IF(OR(CG$4="",$B18=""),0,SUMIF('DADOS BRUTOS'!$A$3:$A$500,$B18,'DADOS BRUTOS'!G$3:G$500)+IF($C18="",0,SUMIF('DADOS BRUTOS'!$A$3:$A$500,$C18,'DADOS BRUTOS'!G$3:G$500)))</f>
        <v/>
      </c>
      <c r="CH18" s="132">
        <f>IF(OR(CH$4="",$B18=""),0,SUMIF('DADOS BRUTOS'!$A$3:$A$500,$B18,'DADOS BRUTOS'!H$3:H$500)+IF($C18="",0,SUMIF('DADOS BRUTOS'!$A$3:$A$500,$C18,'DADOS BRUTOS'!H$3:H$500)))</f>
        <v/>
      </c>
      <c r="CI18" s="132">
        <f>IF(OR(CI$4="",$B18=""),0,SUMIF('DADOS BRUTOS'!$A$3:$A$500,$B18,'DADOS BRUTOS'!I$3:I$500)+IF($C18="",0,SUMIF('DADOS BRUTOS'!$A$3:$A$500,$C18,'DADOS BRUTOS'!I$3:I$500)))</f>
        <v/>
      </c>
      <c r="CJ18" s="132">
        <f>IF(OR(CJ$4="",$B18=""),0,SUMIF('DADOS BRUTOS'!$A$3:$A$500,$B18,'DADOS BRUTOS'!J$3:J$500)+IF($C18="",0,SUMIF('DADOS BRUTOS'!$A$3:$A$500,$C18,'DADOS BRUTOS'!J$3:J$500)))</f>
        <v/>
      </c>
      <c r="CK18" s="132">
        <f>IF(OR(CK$4="",$B18=""),0,SUMIF('DADOS BRUTOS'!$A$3:$A$500,$B18,'DADOS BRUTOS'!K$3:K$500)+IF($C18="",0,SUMIF('DADOS BRUTOS'!$A$3:$A$500,$C18,'DADOS BRUTOS'!K$3:K$500)))</f>
        <v/>
      </c>
      <c r="CL18" s="132">
        <f>IF(OR(CL$4="",$B18=""),0,SUMIF('DADOS BRUTOS'!$A$3:$A$500,$B18,'DADOS BRUTOS'!L$3:L$500)+IF($C18="",0,SUMIF('DADOS BRUTOS'!$A$3:$A$500,$C18,'DADOS BRUTOS'!L$3:L$500)))</f>
        <v/>
      </c>
      <c r="CM18" s="132">
        <f>IF(OR(CM$4="",$B18=""),0,SUMIF('DADOS BRUTOS'!$A$3:$A$500,$B18,'DADOS BRUTOS'!M$3:M$500)+IF($C18="",0,SUMIF('DADOS BRUTOS'!$A$3:$A$500,$C18,'DADOS BRUTOS'!M$3:M$500)))</f>
        <v/>
      </c>
      <c r="CN18" s="132">
        <f>IF(OR(CN$4="",$B18=""),0,SUMIF('DADOS BRUTOS'!$A$3:$A$500,$B18,'DADOS BRUTOS'!N$3:N$500)+IF($C18="",0,SUMIF('DADOS BRUTOS'!$A$3:$A$500,$C18,'DADOS BRUTOS'!N$3:N$500)))</f>
        <v/>
      </c>
      <c r="CO18" s="132">
        <f>IF(OR(CO$4="",$B18=""),0,SUMIF('DADOS BRUTOS'!$A$3:$A$500,$B18,'DADOS BRUTOS'!O$3:O$500)+IF($C18="",0,SUMIF('DADOS BRUTOS'!$A$3:$A$500,$C18,'DADOS BRUTOS'!O$3:O$500)))</f>
        <v/>
      </c>
      <c r="CP18" s="132">
        <f>IF(OR(CP$4="",$B18=""),0,SUMIF('DADOS BRUTOS'!$A$3:$A$500,$B18,'DADOS BRUTOS'!P$3:P$500)+IF($C18="",0,SUMIF('DADOS BRUTOS'!$A$3:$A$500,$C18,'DADOS BRUTOS'!P$3:P$500)))</f>
        <v/>
      </c>
      <c r="CQ18" s="132">
        <f>IF(OR(CQ$4="",$B18=""),0,SUMIF('DADOS BRUTOS'!$A$3:$A$500,$B18,'DADOS BRUTOS'!Q$3:Q$500)+IF($C18="",0,SUMIF('DADOS BRUTOS'!$A$3:$A$500,$C18,'DADOS BRUTOS'!Q$3:Q$500)))</f>
        <v/>
      </c>
      <c r="CR18" s="132">
        <f>IF(OR(CR$4="",$B18=""),0,SUMIF('DADOS BRUTOS'!$A$3:$A$500,$B18,'DADOS BRUTOS'!R$3:R$500)+IF($C18="",0,SUMIF('DADOS BRUTOS'!$A$3:$A$500,$C18,'DADOS BRUTOS'!R$3:R$500)))</f>
        <v/>
      </c>
      <c r="CS18" s="132">
        <f>IF(OR(CS$4="",$B18=""),0,SUMIF('DADOS BRUTOS'!$A$3:$A$500,$B18,'DADOS BRUTOS'!S$3:S$500)+IF($C18="",0,SUMIF('DADOS BRUTOS'!$A$3:$A$500,$C18,'DADOS BRUTOS'!S$3:S$500)))</f>
        <v/>
      </c>
      <c r="CT18" s="132">
        <f>IF(OR(CT$4="",$B18=""),0,SUMIF('DADOS BRUTOS'!$A$3:$A$500,$B18,'DADOS BRUTOS'!T$3:T$500)+IF($C18="",0,SUMIF('DADOS BRUTOS'!$A$3:$A$500,$C18,'DADOS BRUTOS'!T$3:T$500)))</f>
        <v/>
      </c>
      <c r="CU18" s="132">
        <f>IF(OR(CU$4="",$B18=""),0,SUMIF('DADOS BRUTOS'!$A$3:$A$500,$B18,'DADOS BRUTOS'!U$3:U$500)+IF($C18="",0,SUMIF('DADOS BRUTOS'!$A$3:$A$500,$C18,'DADOS BRUTOS'!U$3:U$500)))</f>
        <v/>
      </c>
      <c r="CV18" s="132">
        <f>IF(OR(CV$4="",$B18=""),0,SUMIF('DADOS BRUTOS'!$A$3:$A$500,$B18,'DADOS BRUTOS'!V$3:V$500)+IF($C18="",0,SUMIF('DADOS BRUTOS'!$A$3:$A$500,$C18,'DADOS BRUTOS'!V$3:V$500)))</f>
        <v/>
      </c>
      <c r="CW18" s="132">
        <f>IF(OR(CW$4="",$B18=""),0,SUMIF('DADOS BRUTOS'!$A$3:$A$500,$B18,'DADOS BRUTOS'!W$3:W$500)+IF($C18="",0,SUMIF('DADOS BRUTOS'!$A$3:$A$500,$C18,'DADOS BRUTOS'!W$3:W$500)))</f>
        <v/>
      </c>
      <c r="CX18" s="132">
        <f>IF(OR(CX$4="",$B18=""),0,SUMIF('DADOS BRUTOS'!$A$3:$A$500,$B18,'DADOS BRUTOS'!X$3:X$500)+IF($C18="",0,SUMIF('DADOS BRUTOS'!$A$3:$A$500,$C18,'DADOS BRUTOS'!X$3:X$500)))</f>
        <v/>
      </c>
      <c r="CY18" s="132">
        <f>IF(OR(CY$4="",$B18=""),0,SUMIF('DADOS BRUTOS'!$A$3:$A$500,$B18,'DADOS BRUTOS'!Y$3:Y$500)+IF($C18="",0,SUMIF('DADOS BRUTOS'!$A$3:$A$500,$C18,'DADOS BRUTOS'!Y$3:Y$500)))</f>
        <v/>
      </c>
      <c r="CZ18" s="132">
        <f>IF(OR(CZ$4="",$B18=""),0,SUMIF('DADOS BRUTOS'!$A$3:$A$500,$B18,'DADOS BRUTOS'!Z$3:Z$500)+IF($C18="",0,SUMIF('DADOS BRUTOS'!$A$3:$A$500,$C18,'DADOS BRUTOS'!Z$3:Z$500)))</f>
        <v/>
      </c>
      <c r="DA18" s="132">
        <f>IF(OR(DA$4="",$B18=""),0,SUMIF('DADOS BRUTOS'!$A$3:$A$500,$B18,'DADOS BRUTOS'!AA$3:AA$500)+IF($C18="",0,SUMIF('DADOS BRUTOS'!$A$3:$A$500,$C18,'DADOS BRUTOS'!AA$3:AA$500)))</f>
        <v/>
      </c>
      <c r="DB18" s="132">
        <f>IF(OR(DB$4="",$B18=""),0,SUMIF('DADOS BRUTOS'!$A$3:$A$500,$B18,'DADOS BRUTOS'!AB$3:AB$500)+IF($C18="",0,SUMIF('DADOS BRUTOS'!$A$3:$A$500,$C18,'DADOS BRUTOS'!AB$3:AB$500)))</f>
        <v/>
      </c>
      <c r="DC18" s="132">
        <f>IF(OR(DC$4="",$B18=""),0,SUMIF('DADOS BRUTOS'!$A$3:$A$500,$B18,'DADOS BRUTOS'!AC$3:AC$500)+IF($C18="",0,SUMIF('DADOS BRUTOS'!$A$3:$A$500,$C18,'DADOS BRUTOS'!AC$3:AC$500)))</f>
        <v/>
      </c>
      <c r="DD18" s="132">
        <f>IF(OR(DD$4="",$B18=""),0,SUMIF('DADOS BRUTOS'!$A$3:$A$500,$B18,'DADOS BRUTOS'!AD$3:AD$500)+IF($C18="",0,SUMIF('DADOS BRUTOS'!$A$3:$A$500,$C18,'DADOS BRUTOS'!AD$3:AD$500)))</f>
        <v/>
      </c>
      <c r="DE18" s="132">
        <f>IF(OR(DE$4="",$B18=""),0,SUMIF('DADOS BRUTOS'!$A$3:$A$500,$B18,'DADOS BRUTOS'!AE$3:AE$500)+IF($C18="",0,SUMIF('DADOS BRUTOS'!$A$3:$A$500,$C18,'DADOS BRUTOS'!AE$3:AE$500)))</f>
        <v/>
      </c>
      <c r="DF18" s="132">
        <f>IF(OR(DF$4="",$B18=""),0,SUMIF('DADOS BRUTOS'!$A$3:$A$500,$B18,'DADOS BRUTOS'!AF$3:AF$500)+IF($C18="",0,SUMIF('DADOS BRUTOS'!$A$3:$A$500,$C18,'DADOS BRUTOS'!AF$3:AF$500)))</f>
        <v/>
      </c>
      <c r="DG18" s="132">
        <f>IF(OR(DG$4="",$B18=""),0,SUMIF('DADOS BRUTOS'!$A$3:$A$500,$B18,'DADOS BRUTOS'!AG$3:AG$500)+IF($C18="",0,SUMIF('DADOS BRUTOS'!$A$3:$A$500,$C18,'DADOS BRUTOS'!AG$3:AG$500)))</f>
        <v/>
      </c>
      <c r="DH18" s="132">
        <f>IF(OR(DH$4="",$B18=""),0,SUMIF('DADOS BRUTOS'!$A$3:$A$500,$B18,'DADOS BRUTOS'!AH$3:AH$500)+IF($C18="",0,SUMIF('DADOS BRUTOS'!$A$3:$A$500,$C18,'DADOS BRUTOS'!AH$3:AH$500)))</f>
        <v/>
      </c>
      <c r="DI18" s="132">
        <f>IF(OR(DI$4="",$B18=""),0,SUMIF('DADOS BRUTOS'!$A$3:$A$500,$B18,'DADOS BRUTOS'!AI$3:AI$500)+IF($C18="",0,SUMIF('DADOS BRUTOS'!$A$3:$A$500,$C18,'DADOS BRUTOS'!AI$3:AI$500)))</f>
        <v/>
      </c>
      <c r="DJ18" s="132">
        <f>IF(OR(DJ$4="",$B18=""),0,SUMIF('DADOS BRUTOS'!$A$3:$A$500,$B18,'DADOS BRUTOS'!AJ$3:AJ$500)+IF($C18="",0,SUMIF('DADOS BRUTOS'!$A$3:$A$500,$C18,'DADOS BRUTOS'!AJ$3:AJ$500)))</f>
        <v/>
      </c>
      <c r="DK18" s="132">
        <f>IF(OR(DK$4="",$B18=""),0,SUMIF('DADOS BRUTOS'!$A$3:$A$500,$B18,'DADOS BRUTOS'!AK$3:AK$500)+IF($C18="",0,SUMIF('DADOS BRUTOS'!$A$3:$A$500,$C18,'DADOS BRUTOS'!AK$3:AK$500)))</f>
        <v/>
      </c>
      <c r="DL18" s="132">
        <f>IF(OR(DL$4="",$B18=""),0,SUMIF('DADOS BRUTOS'!$A$3:$A$500,$B18,'DADOS BRUTOS'!AL$3:AL$500)+IF($C18="",0,SUMIF('DADOS BRUTOS'!$A$3:$A$500,$C18,'DADOS BRUTOS'!AL$3:AL$500)))</f>
        <v/>
      </c>
      <c r="DM18" s="132">
        <f>IF(OR(DM$4="",$B18=""),0,SUMIF('DADOS BRUTOS'!$A$3:$A$500,$B18,'DADOS BRUTOS'!AM$3:AM$500)+IF($C18="",0,SUMIF('DADOS BRUTOS'!$A$3:$A$500,$C18,'DADOS BRUTOS'!AM$3:AM$500)))</f>
        <v/>
      </c>
      <c r="DN18" s="132">
        <f>IF(OR(DN$4="",$B18=""),0,SUMIF('DADOS BRUTOS'!$A$3:$A$500,$B18,'DADOS BRUTOS'!AN$3:AN$500)+IF($C18="",0,SUMIF('DADOS BRUTOS'!$A$3:$A$500,$C18,'DADOS BRUTOS'!AN$3:AN$500)))</f>
        <v/>
      </c>
      <c r="DO18" s="132">
        <f>IF(OR(DO$4="",$B18=""),0,SUMIF('DADOS BRUTOS'!$A$3:$A$500,$B18,'DADOS BRUTOS'!AO$3:AO$500)+IF($C18="",0,SUMIF('DADOS BRUTOS'!$A$3:$A$500,$C18,'DADOS BRUTOS'!AO$3:AO$500)))</f>
        <v/>
      </c>
      <c r="DP18" s="132">
        <f>IF(OR(DP$4="",$B18=""),0,SUMIF('DADOS BRUTOS'!$A$3:$A$500,$B18,'DADOS BRUTOS'!AP$3:AP$500)+IF($C18="",0,SUMIF('DADOS BRUTOS'!$A$3:$A$500,$C18,'DADOS BRUTOS'!AP$3:AP$500)))</f>
        <v/>
      </c>
      <c r="DQ18" s="132">
        <f>IF(OR(DQ$4="",$B18=""),0,SUMIF('DADOS BRUTOS'!$A$3:$A$500,$B18,'DADOS BRUTOS'!AQ$3:AQ$500)+IF($C18="",0,SUMIF('DADOS BRUTOS'!$A$3:$A$500,$C18,'DADOS BRUTOS'!AQ$3:AQ$500)))</f>
        <v/>
      </c>
      <c r="DR18" s="132">
        <f>IF(OR(DR$4="",$B18=""),0,SUMIF('DADOS BRUTOS'!$A$3:$A$500,$B18,'DADOS BRUTOS'!AR$3:AR$500)+IF($C18="",0,SUMIF('DADOS BRUTOS'!$A$3:$A$500,$C18,'DADOS BRUTOS'!AR$3:AR$500)))</f>
        <v/>
      </c>
      <c r="DS18" s="132">
        <f>IF(OR(DS$4="",$B18=""),0,SUMIF('DADOS BRUTOS'!$A$3:$A$500,$B18,'DADOS BRUTOS'!AS$3:AS$500)+IF($C18="",0,SUMIF('DADOS BRUTOS'!$A$3:$A$500,$C18,'DADOS BRUTOS'!AS$3:AS$500)))</f>
        <v/>
      </c>
      <c r="DT18" s="132">
        <f>IF(OR(DT$4="",$B18=""),0,SUMIF('DADOS BRUTOS'!$A$3:$A$500,$B18,'DADOS BRUTOS'!AT$3:AT$500)+IF($C18="",0,SUMIF('DADOS BRUTOS'!$A$3:$A$500,$C18,'DADOS BRUTOS'!AT$3:AT$500)))</f>
        <v/>
      </c>
      <c r="DU18" s="132">
        <f>IF(OR(DU$4="",$B18=""),0,SUMIF('DADOS BRUTOS'!$A$3:$A$500,$B18,'DADOS BRUTOS'!AU$3:AU$500)+IF($C18="",0,SUMIF('DADOS BRUTOS'!$A$3:$A$500,$C18,'DADOS BRUTOS'!AU$3:AU$500)))</f>
        <v/>
      </c>
      <c r="DV18" s="132">
        <f>IF(OR(DV$4="",$B18=""),0,SUMIF('DADOS BRUTOS'!$A$3:$A$500,$B18,'DADOS BRUTOS'!AV$3:AV$500)+IF($C18="",0,SUMIF('DADOS BRUTOS'!$A$3:$A$500,$C18,'DADOS BRUTOS'!AV$3:AV$500)))</f>
        <v/>
      </c>
      <c r="DW18" s="132">
        <f>IF(OR(DW$4="",$B18=""),0,SUMIF('DADOS BRUTOS'!$A$3:$A$500,$B18,'DADOS BRUTOS'!AW$3:AW$500)+IF($C18="",0,SUMIF('DADOS BRUTOS'!$A$3:$A$500,$C18,'DADOS BRUTOS'!AW$3:AW$500)))</f>
        <v/>
      </c>
      <c r="DX18" s="132">
        <f>IF(OR(DX$4="",$B18=""),0,SUMIF('DADOS BRUTOS'!$A$3:$A$500,$B18,'DADOS BRUTOS'!AX$3:AX$500)+IF($C18="",0,SUMIF('DADOS BRUTOS'!$A$3:$A$500,$C18,'DADOS BRUTOS'!AX$3:AX$500)))</f>
        <v/>
      </c>
      <c r="DY18" s="132">
        <f>IF(OR(DY$4="",$B18=""),0,SUMIF('DADOS BRUTOS'!$A$3:$A$500,$B18,'DADOS BRUTOS'!AY$3:AY$500)+IF($C18="",0,SUMIF('DADOS BRUTOS'!$A$3:$A$500,$C18,'DADOS BRUTOS'!AY$3:AY$500)))</f>
        <v/>
      </c>
      <c r="DZ18" s="132">
        <f>IF(OR(DZ$4="",$B18=""),0,SUMIF('DADOS BRUTOS'!$A$3:$A$500,$B18,'DADOS BRUTOS'!AZ$3:AZ$500)+IF($C18="",0,SUMIF('DADOS BRUTOS'!$A$3:$A$500,$C18,'DADOS BRUTOS'!AZ$3:AZ$500)))</f>
        <v/>
      </c>
      <c r="EA18" s="132">
        <f>IF(OR(EA$4="",$B18=""),0,SUMIF('DADOS BRUTOS'!$A$3:$A$500,$B18,'DADOS BRUTOS'!BA$3:BA$500)+IF($C18="",0,SUMIF('DADOS BRUTOS'!$A$3:$A$500,$C18,'DADOS BRUTOS'!BA$3:BA$500)))</f>
        <v/>
      </c>
      <c r="EB18" s="132">
        <f>IF(OR(EB$4="",$B18=""),0,SUMIF('DADOS BRUTOS'!$A$3:$A$500,$B18,'DADOS BRUTOS'!BB$3:BB$500)+IF($C18="",0,SUMIF('DADOS BRUTOS'!$A$3:$A$500,$C18,'DADOS BRUTOS'!BB$3:BB$500)))</f>
        <v/>
      </c>
      <c r="EC18" s="132">
        <f>IF(OR(EC$4="",$B18=""),0,SUMIF('DADOS BRUTOS'!$A$3:$A$500,$B18,'DADOS BRUTOS'!BC$3:BC$500)+IF($C18="",0,SUMIF('DADOS BRUTOS'!$A$3:$A$500,$C18,'DADOS BRUTOS'!BC$3:BC$500)))</f>
        <v/>
      </c>
      <c r="ED18" s="132">
        <f>IF(OR(ED$4="",$B18=""),0,SUMIF('DADOS BRUTOS'!$A$3:$A$500,$B18,'DADOS BRUTOS'!BD$3:BD$500)+IF($C18="",0,SUMIF('DADOS BRUTOS'!$A$3:$A$500,$C18,'DADOS BRUTOS'!BD$3:BD$500)))</f>
        <v/>
      </c>
      <c r="EE18" s="132">
        <f>IF(OR(EE$4="",$B18=""),0,SUMIF('DADOS BRUTOS'!$A$3:$A$500,$B18,'DADOS BRUTOS'!BE$3:BE$500)+IF($C18="",0,SUMIF('DADOS BRUTOS'!$A$3:$A$500,$C18,'DADOS BRUTOS'!BE$3:BE$500)))</f>
        <v/>
      </c>
      <c r="EF18" s="132">
        <f>IF(OR(EF$4="",$B18=""),0,SUMIF('DADOS BRUTOS'!$A$3:$A$500,$B18,'DADOS BRUTOS'!BF$3:BF$500)+IF($C18="",0,SUMIF('DADOS BRUTOS'!$A$3:$A$500,$C18,'DADOS BRUTOS'!BF$3:BF$500)))</f>
        <v/>
      </c>
      <c r="EG18" s="132">
        <f>IF(OR(EG$4="",$B18=""),0,SUMIF('DADOS BRUTOS'!$A$3:$A$500,$B18,'DADOS BRUTOS'!BG$3:BG$500)+IF($C18="",0,SUMIF('DADOS BRUTOS'!$A$3:$A$500,$C18,'DADOS BRUTOS'!BG$3:BG$500)))</f>
        <v/>
      </c>
      <c r="EH18" s="132">
        <f>IF(OR(EH$4="",$B18=""),0,SUMIF('DADOS BRUTOS'!$A$3:$A$500,$B18,'DADOS BRUTOS'!BH$3:BH$500)+IF($C18="",0,SUMIF('DADOS BRUTOS'!$A$3:$A$500,$C18,'DADOS BRUTOS'!BH$3:BH$500)))</f>
        <v/>
      </c>
      <c r="EI18" s="132">
        <f>IF(OR(EI$4="",$B18=""),0,SUMIF('DADOS BRUTOS'!$A$3:$A$500,$B18,'DADOS BRUTOS'!BI$3:BI$500)+IF($C18="",0,SUMIF('DADOS BRUTOS'!$A$3:$A$500,$C18,'DADOS BRUTOS'!BI$3:BI$500)))</f>
        <v/>
      </c>
      <c r="EJ18" s="132">
        <f>IF(OR(EJ$4="",$B18=""),0,SUMIF('DADOS BRUTOS'!$A$3:$A$500,$B18,'DADOS BRUTOS'!BJ$3:BJ$500)+IF($C18="",0,SUMIF('DADOS BRUTOS'!$A$3:$A$500,$C18,'DADOS BRUTOS'!BJ$3:BJ$500)))</f>
        <v/>
      </c>
      <c r="EK18" s="132">
        <f>IF(OR(EK$4="",$B18=""),0,SUMIF('DADOS BRUTOS'!$A$3:$A$500,$B18,'DADOS BRUTOS'!BK$3:BK$500)+IF($C18="",0,SUMIF('DADOS BRUTOS'!$A$3:$A$500,$C18,'DADOS BRUTOS'!BK$3:BK$500)))</f>
        <v/>
      </c>
      <c r="EL18" s="132">
        <f>IF(OR(EL$4="",$B18=""),0,SUMIF('DADOS BRUTOS'!$A$3:$A$500,$B18,'DADOS BRUTOS'!BL$3:BL$500)+IF($C18="",0,SUMIF('DADOS BRUTOS'!$A$3:$A$500,$C18,'DADOS BRUTOS'!BL$3:BL$500)))</f>
        <v/>
      </c>
      <c r="EM18" s="132">
        <f>IF(OR(EM$4="",$B18=""),0,SUMIF('DADOS BRUTOS'!$A$3:$A$500,$B18,'DADOS BRUTOS'!BM$3:BM$500)+IF($C18="",0,SUMIF('DADOS BRUTOS'!$A$3:$A$500,$C18,'DADOS BRUTOS'!BM$3:BM$500)))</f>
        <v/>
      </c>
      <c r="EN18" s="132">
        <f>IF(OR(EN$4="",$B18=""),0,SUMIF('DADOS BRUTOS'!$A$3:$A$500,$B18,'DADOS BRUTOS'!BN$3:BN$500)+IF($C18="",0,SUMIF('DADOS BRUTOS'!$A$3:$A$500,$C18,'DADOS BRUTOS'!BN$3:BN$500)))</f>
        <v/>
      </c>
      <c r="EO18" s="132">
        <f>IF(OR(EO$4="",$B18=""),0,SUMIF('DADOS BRUTOS'!$A$3:$A$500,$B18,'DADOS BRUTOS'!BO$3:BO$500)+IF($C18="",0,SUMIF('DADOS BRUTOS'!$A$3:$A$500,$C18,'DADOS BRUTOS'!BO$3:BO$500)))</f>
        <v/>
      </c>
      <c r="EP18" s="132">
        <f>IF(OR(EP$4="",$B18=""),0,SUMIF('DADOS BRUTOS'!$A$3:$A$500,$B18,'DADOS BRUTOS'!BP$3:BP$500)+IF($C18="",0,SUMIF('DADOS BRUTOS'!$A$3:$A$500,$C18,'DADOS BRUTOS'!BP$3:BP$500)))</f>
        <v/>
      </c>
      <c r="EQ18" s="132">
        <f>IF(OR(EQ$4="",$B18=""),0,SUMIF('DADOS BRUTOS'!$A$3:$A$500,$B18,'DADOS BRUTOS'!BQ$3:BQ$500)+IF($C18="",0,SUMIF('DADOS BRUTOS'!$A$3:$A$500,$C18,'DADOS BRUTOS'!BQ$3:BQ$500)))</f>
        <v/>
      </c>
      <c r="ER18" s="132">
        <f>IF(OR(ER$4="",$B18=""),0,SUMIF('DADOS BRUTOS'!$A$3:$A$500,$B18,'DADOS BRUTOS'!BR$3:BR$500)+IF($C18="",0,SUMIF('DADOS BRUTOS'!$A$3:$A$500,$C18,'DADOS BRUTOS'!BR$3:BR$500)))</f>
        <v/>
      </c>
      <c r="ES18" s="132">
        <f>IF(OR(ES$4="",$B18=""),0,SUMIF('DADOS BRUTOS'!$A$3:$A$500,$B18,'DADOS BRUTOS'!BS$3:BS$500)+IF($C18="",0,SUMIF('DADOS BRUTOS'!$A$3:$A$500,$C18,'DADOS BRUTOS'!BS$3:BS$500)))</f>
        <v/>
      </c>
      <c r="ET18" s="132">
        <f>IF(OR(ET$4="",$B18=""),0,SUMIF('DADOS BRUTOS'!$A$3:$A$500,$B18,'DADOS BRUTOS'!BT$3:BT$500)+IF($C18="",0,SUMIF('DADOS BRUTOS'!$A$3:$A$500,$C18,'DADOS BRUTOS'!BT$3:BT$500)))</f>
        <v/>
      </c>
      <c r="EU18" s="132">
        <f>IF(OR(EU$4="",$B18=""),0,SUMIF('DADOS BRUTOS'!$A$3:$A$500,$B18,'DADOS BRUTOS'!BU$3:BU$500)+IF($C18="",0,SUMIF('DADOS BRUTOS'!$A$3:$A$500,$C18,'DADOS BRUTOS'!BU$3:BU$500)))</f>
        <v/>
      </c>
      <c r="EV18" s="132">
        <f>IF(OR(EV$4="",$B18=""),0,SUMIF('DADOS BRUTOS'!$A$3:$A$500,$B18,'DADOS BRUTOS'!BV$3:BV$500)+IF($C18="",0,SUMIF('DADOS BRUTOS'!$A$3:$A$500,$C18,'DADOS BRUTOS'!BV$3:BV$500)))</f>
        <v/>
      </c>
      <c r="EW18" s="132">
        <f>IF(OR(EW$4="",$B18=""),0,SUMIF('DADOS BRUTOS'!$A$3:$A$500,$B18,'DADOS BRUTOS'!BW$3:BW$500)+IF($C18="",0,SUMIF('DADOS BRUTOS'!$A$3:$A$500,$C18,'DADOS BRUTOS'!BW$3:BW$500)))</f>
        <v/>
      </c>
      <c r="EX18" s="132">
        <f>IF(OR(EX$4="",$B18=""),0,SUMIF('DADOS BRUTOS'!$A$3:$A$500,$B18,'DADOS BRUTOS'!BX$3:BX$500)+IF($C18="",0,SUMIF('DADOS BRUTOS'!$A$3:$A$500,$C18,'DADOS BRUTOS'!BX$3:BX$500)))</f>
        <v/>
      </c>
      <c r="EY18" s="132">
        <f>IF(OR(EY$4="",$B18=""),0,SUMIF('DADOS BRUTOS'!$A$3:$A$500,$B18,'DADOS BRUTOS'!BY$3:BY$500)+IF($C18="",0,SUMIF('DADOS BRUTOS'!$A$3:$A$500,$C18,'DADOS BRUTOS'!BY$3:BY$500)))</f>
        <v/>
      </c>
      <c r="EZ18" s="132">
        <f>IF(OR(EZ$4="",$B18=""),0,SUMIF('DADOS BRUTOS'!$A$3:$A$500,$B18,'DADOS BRUTOS'!BZ$3:BZ$500)+IF($C18="",0,SUMIF('DADOS BRUTOS'!$A$3:$A$500,$C18,'DADOS BRUTOS'!BZ$3:BZ$500)))</f>
        <v/>
      </c>
      <c r="FA18" s="132">
        <f>IF(OR(FA$4="",$B18=""),0,SUMIF('DADOS BRUTOS'!$A$3:$A$500,$B18,'DADOS BRUTOS'!CA$3:CA$500)+IF($C18="",0,SUMIF('DADOS BRUTOS'!$A$3:$A$500,$C18,'DADOS BRUTOS'!CA$3:CA$500)))</f>
        <v/>
      </c>
      <c r="FB18" s="132">
        <f>IF(OR(FB$4="",$B18=""),0,SUMIF('DADOS BRUTOS'!$A$3:$A$500,$B18,'DADOS BRUTOS'!CB$3:CB$500)+IF($C18="",0,SUMIF('DADOS BRUTOS'!$A$3:$A$500,$C18,'DADOS BRUTOS'!CB$3:CB$500)))</f>
        <v/>
      </c>
      <c r="FC18" s="132">
        <f>IF(OR(FC$4="",$B18=""),0,SUMIF('DADOS BRUTOS'!$A$3:$A$500,$B18,'DADOS BRUTOS'!CC$3:CC$500)+IF($C18="",0,SUMIF('DADOS BRUTOS'!$A$3:$A$500,$C18,'DADOS BRUTOS'!CC$3:CC$500)))</f>
        <v/>
      </c>
      <c r="FD18" s="132">
        <f>IF(OR(FD$4="",$B18=""),0,SUMIF('DADOS BRUTOS'!$A$3:$A$500,$B18,'DADOS BRUTOS'!CD$3:CD$500)+IF($C18="",0,SUMIF('DADOS BRUTOS'!$A$3:$A$500,$C18,'DADOS BRUTOS'!CD$3:CD$500)))</f>
        <v/>
      </c>
      <c r="FE18" s="132">
        <f>IF(OR(FE$4="",$B18=""),0,SUMIF('DADOS BRUTOS'!$A$3:$A$500,$B18,'DADOS BRUTOS'!CE$3:CE$500)+IF($C18="",0,SUMIF('DADOS BRUTOS'!$A$3:$A$500,$C18,'DADOS BRUTOS'!CE$3:CE$500)))</f>
        <v/>
      </c>
      <c r="FF18" s="132">
        <f>IF(OR(FF$4="",$B18=""),0,SUMIF('DADOS BRUTOS'!$A$3:$A$500,$B18,'DADOS BRUTOS'!CF$3:CF$500)+IF($C18="",0,SUMIF('DADOS BRUTOS'!$A$3:$A$500,$C18,'DADOS BRUTOS'!CF$3:CF$500)))</f>
        <v/>
      </c>
      <c r="FG18" s="132">
        <f>IF(OR(FG$4="",$B18=""),0,SUMIF('DADOS BRUTOS'!$A$3:$A$500,$B18,'DADOS BRUTOS'!CG$3:CG$500)+IF($C18="",0,SUMIF('DADOS BRUTOS'!$A$3:$A$500,$C18,'DADOS BRUTOS'!CG$3:CG$500)))</f>
        <v/>
      </c>
      <c r="FH18" s="132">
        <f>IF(OR(FH$4="",$B18=""),0,SUMIF('DADOS BRUTOS'!$A$3:$A$500,$B18,'DADOS BRUTOS'!CH$3:CH$500)+IF($C18="",0,SUMIF('DADOS BRUTOS'!$A$3:$A$500,$C18,'DADOS BRUTOS'!CH$3:CH$500)))</f>
        <v/>
      </c>
      <c r="FI18" s="132">
        <f>IF(OR(FI$4="",$B18=""),0,SUMIF('DADOS BRUTOS'!$A$3:$A$500,$B18,'DADOS BRUTOS'!CI$3:CI$500)+IF($C18="",0,SUMIF('DADOS BRUTOS'!$A$3:$A$500,$C18,'DADOS BRUTOS'!CI$3:CI$500)))</f>
        <v/>
      </c>
      <c r="FJ18" s="132">
        <f>IF(OR(FJ$4="",$B18=""),0,SUMIF('DADOS BRUTOS'!$A$3:$A$500,$B18,'DADOS BRUTOS'!CJ$3:CJ$500)+IF($C18="",0,SUMIF('DADOS BRUTOS'!$A$3:$A$500,$C18,'DADOS BRUTOS'!CJ$3:CJ$500)))</f>
        <v/>
      </c>
      <c r="FK18" s="132">
        <f>IF(OR(FK$4="",$B18=""),0,SUMIF('DADOS BRUTOS'!$A$3:$A$500,$B18,'DADOS BRUTOS'!CK$3:CK$500)+IF($C18="",0,SUMIF('DADOS BRUTOS'!$A$3:$A$500,$C18,'DADOS BRUTOS'!CK$3:CK$500)))</f>
        <v/>
      </c>
      <c r="FL18" s="132">
        <f>IF(OR(FL$4="",$B18=""),0,SUMIF('DADOS BRUTOS'!$A$3:$A$500,$B18,'DADOS BRUTOS'!CL$3:CL$500)+IF($C18="",0,SUMIF('DADOS BRUTOS'!$A$3:$A$500,$C18,'DADOS BRUTOS'!CL$3:CL$500)))</f>
        <v/>
      </c>
      <c r="FM18" s="132">
        <f>IF(OR(FM$4="",$B18=""),0,SUMIF('DADOS BRUTOS'!$A$3:$A$500,$B18,'DADOS BRUTOS'!CM$3:CM$500)+IF($C18="",0,SUMIF('DADOS BRUTOS'!$A$3:$A$500,$C18,'DADOS BRUTOS'!CM$3:CM$500)))</f>
        <v/>
      </c>
      <c r="FN18" s="132">
        <f>IF(OR(FN$4="",$B18=""),0,SUMIF('DADOS BRUTOS'!$A$3:$A$500,$B18,'DADOS BRUTOS'!CN$3:CN$500)+IF($C18="",0,SUMIF('DADOS BRUTOS'!$A$3:$A$500,$C18,'DADOS BRUTOS'!CN$3:CN$500)))</f>
        <v/>
      </c>
      <c r="FO18" s="132">
        <f>IF(OR(FO$4="",$B18=""),0,SUMIF('DADOS BRUTOS'!$A$3:$A$500,$B18,'DADOS BRUTOS'!CO$3:CO$500)+IF($C18="",0,SUMIF('DADOS BRUTOS'!$A$3:$A$500,$C18,'DADOS BRUTOS'!CO$3:CO$500)))</f>
        <v/>
      </c>
      <c r="FP18" s="132">
        <f>IF(OR(FP$4="",$B18=""),0,SUMIF('DADOS BRUTOS'!$A$3:$A$500,$B18,'DADOS BRUTOS'!CP$3:CP$500)+IF($C18="",0,SUMIF('DADOS BRUTOS'!$A$3:$A$500,$C18,'DADOS BRUTOS'!CP$3:CP$500)))</f>
        <v/>
      </c>
      <c r="FQ18" s="132">
        <f>IF(OR(FQ$4="",$B18=""),0,SUMIF('DADOS BRUTOS'!$A$3:$A$500,$B18,'DADOS BRUTOS'!CQ$3:CQ$500)+IF($C18="",0,SUMIF('DADOS BRUTOS'!$A$3:$A$500,$C18,'DADOS BRUTOS'!CQ$3:CQ$500)))</f>
        <v/>
      </c>
      <c r="FR18" s="132">
        <f>IF(OR(FR$4="",$B18=""),0,SUMIF('DADOS BRUTOS'!$A$3:$A$500,$B18,'DADOS BRUTOS'!CR$3:CR$500)+IF($C18="",0,SUMIF('DADOS BRUTOS'!$A$3:$A$500,$C18,'DADOS BRUTOS'!CR$3:CR$500)))</f>
        <v/>
      </c>
      <c r="FS18" s="132">
        <f>IF(OR(FS$4="",$B18=""),0,SUMIF('DADOS BRUTOS'!$A$3:$A$500,$B18,'DADOS BRUTOS'!CS$3:CS$500)+IF($C18="",0,SUMIF('DADOS BRUTOS'!$A$3:$A$500,$C18,'DADOS BRUTOS'!CS$3:CS$500)))</f>
        <v/>
      </c>
      <c r="FT18" s="132">
        <f>IF(OR(FT$4="",$B18=""),0,SUMIF('DADOS BRUTOS'!$A$3:$A$500,$B18,'DADOS BRUTOS'!CT$3:CT$500)+IF($C18="",0,SUMIF('DADOS BRUTOS'!$A$3:$A$500,$C18,'DADOS BRUTOS'!CT$3:CT$500)))</f>
        <v/>
      </c>
      <c r="FU18" s="132">
        <f>IF(OR(FU$4="",$B18=""),0,SUMIF('DADOS BRUTOS'!$A$3:$A$500,$B18,'DADOS BRUTOS'!CU$3:CU$500)+IF($C18="",0,SUMIF('DADOS BRUTOS'!$A$3:$A$500,$C18,'DADOS BRUTOS'!CU$3:CU$500)))</f>
        <v/>
      </c>
      <c r="FV18" s="132">
        <f>IF(OR(FV$4="",$B18=""),0,SUMIF('DADOS BRUTOS'!$A$3:$A$500,$B18,'DADOS BRUTOS'!CV$3:CV$500)+IF($C18="",0,SUMIF('DADOS BRUTOS'!$A$3:$A$500,$C18,'DADOS BRUTOS'!CV$3:CV$500)))</f>
        <v/>
      </c>
      <c r="FW18" s="132">
        <f>IF(OR(FW$4="",$B18=""),0,SUMIF('DADOS BRUTOS'!$A$3:$A$500,$B18,'DADOS BRUTOS'!CW$3:CW$500)+IF($C18="",0,SUMIF('DADOS BRUTOS'!$A$3:$A$500,$C18,'DADOS BRUTOS'!CW$3:CW$500)))</f>
        <v/>
      </c>
      <c r="FX18" s="132">
        <f>IF(OR(FX$4="",$B18=""),0,SUMIF('DADOS BRUTOS'!$A$3:$A$500,$B18,'DADOS BRUTOS'!CX$3:CX$500)+IF($C18="",0,SUMIF('DADOS BRUTOS'!$A$3:$A$500,$C18,'DADOS BRUTOS'!CX$3:CX$500)))</f>
        <v/>
      </c>
      <c r="FY18" s="132">
        <f>IF(OR(FY$4="",$B18=""),0,SUMIF('DADOS BRUTOS'!$A$3:$A$500,$B18,'DADOS BRUTOS'!CY$3:CY$500)+IF($C18="",0,SUMIF('DADOS BRUTOS'!$A$3:$A$500,$C18,'DADOS BRUTOS'!CY$3:CY$500)))</f>
        <v/>
      </c>
      <c r="FZ18" s="132">
        <f>IF(OR(FZ$4="",$B18=""),0,SUMIF('DADOS BRUTOS'!$A$3:$A$500,$B18,'DADOS BRUTOS'!CZ$3:CZ$500)+IF($C18="",0,SUMIF('DADOS BRUTOS'!$A$3:$A$500,$C18,'DADOS BRUTOS'!CZ$3:CZ$500)))</f>
        <v/>
      </c>
      <c r="GA18" s="132">
        <f>IF(OR(GA$4="",$B18=""),0,SUMIF('DADOS BRUTOS'!$A$3:$A$500,$B18,'DADOS BRUTOS'!DA$3:DA$500)+IF($C18="",0,SUMIF('DADOS BRUTOS'!$A$3:$A$500,$C18,'DADOS BRUTOS'!DA$3:DA$500)))</f>
        <v/>
      </c>
      <c r="GB18" s="132">
        <f>IF(OR(GB$4="",$B18=""),0,SUMIF('DADOS BRUTOS'!$A$3:$A$500,$B18,'DADOS BRUTOS'!DB$3:DB$500)+IF($C18="",0,SUMIF('DADOS BRUTOS'!$A$3:$A$500,$C18,'DADOS BRUTOS'!DB$3:DB$500)))</f>
        <v/>
      </c>
      <c r="GC18" s="132">
        <f>IF(OR(GC$4="",$B18=""),0,SUMIF('DADOS BRUTOS'!$A$3:$A$500,$B18,'DADOS BRUTOS'!DC$3:DC$500)+IF($C18="",0,SUMIF('DADOS BRUTOS'!$A$3:$A$500,$C18,'DADOS BRUTOS'!DC$3:DC$500)))</f>
        <v/>
      </c>
      <c r="GD18" s="132">
        <f>IF(OR(GD$4="",$B18=""),0,SUMIF('DADOS BRUTOS'!$A$3:$A$500,$B18,'DADOS BRUTOS'!DD$3:DD$500)+IF($C18="",0,SUMIF('DADOS BRUTOS'!$A$3:$A$500,$C18,'DADOS BRUTOS'!DD$3:DD$500)))</f>
        <v/>
      </c>
      <c r="GE18" s="132">
        <f>IF(OR(GE$4="",$B18=""),0,SUMIF('DADOS BRUTOS'!$A$3:$A$500,$B18,'DADOS BRUTOS'!DE$3:DE$500)+IF($C18="",0,SUMIF('DADOS BRUTOS'!$A$3:$A$500,$C18,'DADOS BRUTOS'!DE$3:DE$500)))</f>
        <v/>
      </c>
      <c r="GF18" s="132">
        <f>IF(OR(GF$4="",$B18=""),0,SUMIF('DADOS BRUTOS'!$A$3:$A$500,$B18,'DADOS BRUTOS'!DF$3:DF$500)+IF($C18="",0,SUMIF('DADOS BRUTOS'!$A$3:$A$500,$C18,'DADOS BRUTOS'!DF$3:DF$500)))</f>
        <v/>
      </c>
      <c r="GG18" s="132">
        <f>IF(OR(GG$4="",$B18=""),0,SUMIF('DADOS BRUTOS'!$A$3:$A$500,$B18,'DADOS BRUTOS'!DG$3:DG$500)+IF($C18="",0,SUMIF('DADOS BRUTOS'!$A$3:$A$500,$C18,'DADOS BRUTOS'!DG$3:DG$500)))</f>
        <v/>
      </c>
      <c r="GH18" s="132">
        <f>IF(OR(GH$4="",$B18=""),0,SUMIF('DADOS BRUTOS'!$A$3:$A$500,$B18,'DADOS BRUTOS'!DH$3:DH$500)+IF($C18="",0,SUMIF('DADOS BRUTOS'!$A$3:$A$500,$C18,'DADOS BRUTOS'!DH$3:DH$500)))</f>
        <v/>
      </c>
      <c r="GI18" s="132">
        <f>IF(OR(GI$4="",$B18=""),0,SUMIF('DADOS BRUTOS'!$A$3:$A$500,$B18,'DADOS BRUTOS'!DI$3:DI$500)+IF($C18="",0,SUMIF('DADOS BRUTOS'!$A$3:$A$500,$C18,'DADOS BRUTOS'!DI$3:DI$500)))</f>
        <v/>
      </c>
      <c r="GJ18" s="132">
        <f>IF(OR(GJ$4="",$B18=""),0,SUMIF('DADOS BRUTOS'!$A$3:$A$500,$B18,'DADOS BRUTOS'!DJ$3:DJ$500)+IF($C18="",0,SUMIF('DADOS BRUTOS'!$A$3:$A$500,$C18,'DADOS BRUTOS'!DJ$3:DJ$500)))</f>
        <v/>
      </c>
      <c r="GK18" s="132">
        <f>IF(OR(GK$4="",$B18=""),0,SUMIF('DADOS BRUTOS'!$A$3:$A$500,$B18,'DADOS BRUTOS'!DK$3:DK$500)+IF($C18="",0,SUMIF('DADOS BRUTOS'!$A$3:$A$500,$C18,'DADOS BRUTOS'!DK$3:DK$500)))</f>
        <v/>
      </c>
      <c r="GL18" s="132">
        <f>IF(OR(GL$4="",$B18=""),0,SUMIF('DADOS BRUTOS'!$A$3:$A$500,$B18,'DADOS BRUTOS'!DL$3:DL$500)+IF($C18="",0,SUMIF('DADOS BRUTOS'!$A$3:$A$500,$C18,'DADOS BRUTOS'!DL$3:DL$500)))</f>
        <v/>
      </c>
      <c r="GM18" s="132">
        <f>IF(OR(GM$4="",$B18=""),0,SUMIF('DADOS BRUTOS'!$A$3:$A$500,$B18,'DADOS BRUTOS'!DM$3:DM$500)+IF($C18="",0,SUMIF('DADOS BRUTOS'!$A$3:$A$500,$C18,'DADOS BRUTOS'!DM$3:DM$500)))</f>
        <v/>
      </c>
      <c r="GN18" s="132">
        <f>IF(OR(GN$4="",$B18=""),0,SUMIF('DADOS BRUTOS'!$A$3:$A$500,$B18,'DADOS BRUTOS'!DN$3:DN$500)+IF($C18="",0,SUMIF('DADOS BRUTOS'!$A$3:$A$500,$C18,'DADOS BRUTOS'!DN$3:DN$500)))</f>
        <v/>
      </c>
      <c r="GO18" s="132">
        <f>IF(OR(GO$4="",$B18=""),0,SUMIF('DADOS BRUTOS'!$A$3:$A$500,$B18,'DADOS BRUTOS'!DO$3:DO$500)+IF($C18="",0,SUMIF('DADOS BRUTOS'!$A$3:$A$500,$C18,'DADOS BRUTOS'!DO$3:DO$500)))</f>
        <v/>
      </c>
      <c r="GP18" s="132">
        <f>IF(OR(GP$4="",$B18=""),0,SUMIF('DADOS BRUTOS'!$A$3:$A$500,$B18,'DADOS BRUTOS'!DP$3:DP$500)+IF($C18="",0,SUMIF('DADOS BRUTOS'!$A$3:$A$500,$C18,'DADOS BRUTOS'!DP$3:DP$500)))</f>
        <v/>
      </c>
      <c r="GQ18" s="132">
        <f>IF(OR(GQ$4="",$B18=""),0,SUMIF('DADOS BRUTOS'!$A$3:$A$500,$B18,'DADOS BRUTOS'!DQ$3:DQ$500)+IF($C18="",0,SUMIF('DADOS BRUTOS'!$A$3:$A$500,$C18,'DADOS BRUTOS'!DQ$3:DQ$500)))</f>
        <v/>
      </c>
      <c r="GR18" s="132">
        <f>IF(OR(GR$4="",$B18=""),0,SUMIF('DADOS BRUTOS'!$A$3:$A$500,$B18,'DADOS BRUTOS'!DR$3:DR$500)+IF($C18="",0,SUMIF('DADOS BRUTOS'!$A$3:$A$500,$C18,'DADOS BRUTOS'!DR$3:DR$500)))</f>
        <v/>
      </c>
      <c r="GS18" s="132">
        <f>IF(OR(GS$4="",$B18=""),0,SUMIF('DADOS BRUTOS'!$A$3:$A$500,$B18,'DADOS BRUTOS'!DS$3:DS$500)+IF($C18="",0,SUMIF('DADOS BRUTOS'!$A$3:$A$500,$C18,'DADOS BRUTOS'!DS$3:DS$500)))</f>
        <v/>
      </c>
      <c r="GT18" s="132">
        <f>IF(OR(GT$4="",$B18=""),0,SUMIF('DADOS BRUTOS'!$A$3:$A$500,$B18,'DADOS BRUTOS'!DT$3:DT$500)+IF($C18="",0,SUMIF('DADOS BRUTOS'!$A$3:$A$500,$C18,'DADOS BRUTOS'!DT$3:DT$500)))</f>
        <v/>
      </c>
      <c r="GU18" s="132">
        <f>IF(OR(GU$4="",$B18=""),0,SUMIF('DADOS BRUTOS'!$A$3:$A$500,$B18,'DADOS BRUTOS'!DU$3:DU$500)+IF($C18="",0,SUMIF('DADOS BRUTOS'!$A$3:$A$500,$C18,'DADOS BRUTOS'!DU$3:DU$500)))</f>
        <v/>
      </c>
      <c r="GV18" s="132">
        <f>IF(OR(GV$4="",$B18=""),0,SUMIF('DADOS BRUTOS'!$A$3:$A$500,$B18,'DADOS BRUTOS'!DV$3:DV$500)+IF($C18="",0,SUMIF('DADOS BRUTOS'!$A$3:$A$500,$C18,'DADOS BRUTOS'!DV$3:DV$500)))</f>
        <v/>
      </c>
      <c r="GW18" s="132">
        <f>IF(OR(GW$4="",$B18=""),0,SUMIF('DADOS BRUTOS'!$A$3:$A$500,$B18,'DADOS BRUTOS'!DW$3:DW$500)+IF($C18="",0,SUMIF('DADOS BRUTOS'!$A$3:$A$500,$C18,'DADOS BRUTOS'!DW$3:DW$500)))</f>
        <v/>
      </c>
      <c r="GX18" s="132">
        <f>IF(OR(GX$4="",$B18=""),0,SUMIF('DADOS BRUTOS'!$A$3:$A$500,$B18,'DADOS BRUTOS'!DX$3:DX$500)+IF($C18="",0,SUMIF('DADOS BRUTOS'!$A$3:$A$500,$C18,'DADOS BRUTOS'!DX$3:DX$500)))</f>
        <v/>
      </c>
      <c r="GY18" s="132">
        <f>IF(OR(GY$4="",$B18=""),0,SUMIF('DADOS BRUTOS'!$A$3:$A$500,$B18,'DADOS BRUTOS'!DY$3:DY$500)+IF($C18="",0,SUMIF('DADOS BRUTOS'!$A$3:$A$500,$C18,'DADOS BRUTOS'!DY$3:DY$500)))</f>
        <v/>
      </c>
      <c r="GZ18" s="132">
        <f>IF(OR(GZ$4="",$B18=""),0,SUMIF('DADOS BRUTOS'!$A$3:$A$500,$B18,'DADOS BRUTOS'!DZ$3:DZ$500)+IF($C18="",0,SUMIF('DADOS BRUTOS'!$A$3:$A$500,$C18,'DADOS BRUTOS'!DZ$3:DZ$500)))</f>
        <v/>
      </c>
      <c r="HA18" s="132">
        <f>IF(OR(HA$4="",$B18=""),0,SUMIF('DADOS BRUTOS'!$A$3:$A$500,$B18,'DADOS BRUTOS'!EA$3:EA$500)+IF($C18="",0,SUMIF('DADOS BRUTOS'!$A$3:$A$500,$C18,'DADOS BRUTOS'!EA$3:EA$500)))</f>
        <v/>
      </c>
      <c r="HB18" s="132">
        <f>IF(OR(HB$4="",$B18=""),0,SUMIF('DADOS BRUTOS'!$A$3:$A$500,$B18,'DADOS BRUTOS'!EB$3:EB$500)+IF($C18="",0,SUMIF('DADOS BRUTOS'!$A$3:$A$500,$C18,'DADOS BRUTOS'!EB$3:EB$500)))</f>
        <v/>
      </c>
      <c r="HC18" s="132">
        <f>IF(OR(HC$4="",$B18=""),0,SUMIF('DADOS BRUTOS'!$A$3:$A$500,$B18,'DADOS BRUTOS'!EC$3:EC$500)+IF($C18="",0,SUMIF('DADOS BRUTOS'!$A$3:$A$500,$C18,'DADOS BRUTOS'!EC$3:EC$500)))</f>
        <v/>
      </c>
      <c r="HD18" s="132">
        <f>IF(OR(HD$4="",$B18=""),0,SUMIF('DADOS BRUTOS'!$A$3:$A$500,$B18,'DADOS BRUTOS'!ED$3:ED$500)+IF($C18="",0,SUMIF('DADOS BRUTOS'!$A$3:$A$500,$C18,'DADOS BRUTOS'!ED$3:ED$500)))</f>
        <v/>
      </c>
      <c r="HE18" s="132">
        <f>IF(OR(HE$4="",$B18=""),0,SUMIF('DADOS BRUTOS'!$A$3:$A$500,$B18,'DADOS BRUTOS'!EE$3:EE$500)+IF($C18="",0,SUMIF('DADOS BRUTOS'!$A$3:$A$500,$C18,'DADOS BRUTOS'!EE$3:EE$500)))</f>
        <v/>
      </c>
      <c r="HF18" s="132">
        <f>IF(OR(HF$4="",$B18=""),0,SUMIF('DADOS BRUTOS'!$A$3:$A$500,$B18,'DADOS BRUTOS'!EF$3:EF$500)+IF($C18="",0,SUMIF('DADOS BRUTOS'!$A$3:$A$500,$C18,'DADOS BRUTOS'!EF$3:EF$500)))</f>
        <v/>
      </c>
      <c r="HG18" s="132">
        <f>IF(OR(HG$4="",$B18=""),0,SUMIF('DADOS BRUTOS'!$A$3:$A$500,$B18,'DADOS BRUTOS'!EG$3:EG$500)+IF($C18="",0,SUMIF('DADOS BRUTOS'!$A$3:$A$500,$C18,'DADOS BRUTOS'!EG$3:EG$500)))</f>
        <v/>
      </c>
      <c r="HH18" s="132">
        <f>IF(OR(HH$4="",$B18=""),0,SUMIF('DADOS BRUTOS'!$A$3:$A$500,$B18,'DADOS BRUTOS'!EH$3:EH$500)+IF($C18="",0,SUMIF('DADOS BRUTOS'!$A$3:$A$500,$C18,'DADOS BRUTOS'!EH$3:EH$500)))</f>
        <v/>
      </c>
      <c r="HI18" s="132">
        <f>IF(OR(HI$4="",$B18=""),0,SUMIF('DADOS BRUTOS'!$A$3:$A$500,$B18,'DADOS BRUTOS'!EI$3:EI$500)+IF($C18="",0,SUMIF('DADOS BRUTOS'!$A$3:$A$500,$C18,'DADOS BRUTOS'!EI$3:EI$500)))</f>
        <v/>
      </c>
      <c r="HJ18" s="132">
        <f>IF(OR(HJ$4="",$B18=""),0,SUMIF('DADOS BRUTOS'!$A$3:$A$500,$B18,'DADOS BRUTOS'!EJ$3:EJ$500)+IF($C18="",0,SUMIF('DADOS BRUTOS'!$A$3:$A$500,$C18,'DADOS BRUTOS'!EJ$3:EJ$500)))</f>
        <v/>
      </c>
      <c r="HK18" s="132">
        <f>IF(OR(HK$4="",$B18=""),0,SUMIF('DADOS BRUTOS'!$A$3:$A$500,$B18,'DADOS BRUTOS'!EK$3:EK$500)+IF($C18="",0,SUMIF('DADOS BRUTOS'!$A$3:$A$500,$C18,'DADOS BRUTOS'!EK$3:EK$500)))</f>
        <v/>
      </c>
      <c r="HL18" s="132">
        <f>IF(OR(HL$4="",$B18=""),0,SUMIF('DADOS BRUTOS'!$A$3:$A$500,$B18,'DADOS BRUTOS'!EL$3:EL$500)+IF($C18="",0,SUMIF('DADOS BRUTOS'!$A$3:$A$500,$C18,'DADOS BRUTOS'!EL$3:EL$500)))</f>
        <v/>
      </c>
      <c r="HM18" s="132">
        <f>IF(OR(HM$4="",$B18=""),0,SUMIF('DADOS BRUTOS'!$A$3:$A$500,$B18,'DADOS BRUTOS'!EM$3:EM$500)+IF($C18="",0,SUMIF('DADOS BRUTOS'!$A$3:$A$500,$C18,'DADOS BRUTOS'!EM$3:EM$500)))</f>
        <v/>
      </c>
      <c r="HN18" s="132">
        <f>IF(OR(HN$4="",$B18=""),0,SUMIF('DADOS BRUTOS'!$A$3:$A$500,$B18,'DADOS BRUTOS'!EN$3:EN$500)+IF($C18="",0,SUMIF('DADOS BRUTOS'!$A$3:$A$500,$C18,'DADOS BRUTOS'!EN$3:EN$500)))</f>
        <v/>
      </c>
      <c r="HO18" s="132">
        <f>IF(OR(HO$4="",$B18=""),0,SUMIF('DADOS BRUTOS'!$A$3:$A$500,$B18,'DADOS BRUTOS'!EO$3:EO$500)+IF($C18="",0,SUMIF('DADOS BRUTOS'!$A$3:$A$500,$C18,'DADOS BRUTOS'!EO$3:EO$500)))</f>
        <v/>
      </c>
      <c r="HP18" s="132">
        <f>IF(OR(HP$4="",$B18=""),0,SUMIF('DADOS BRUTOS'!$A$3:$A$500,$B18,'DADOS BRUTOS'!EP$3:EP$500)+IF($C18="",0,SUMIF('DADOS BRUTOS'!$A$3:$A$500,$C18,'DADOS BRUTOS'!EP$3:EP$500)))</f>
        <v/>
      </c>
      <c r="HQ18" s="132">
        <f>IF(OR(HQ$4="",$B18=""),0,SUMIF('DADOS BRUTOS'!$A$3:$A$500,$B18,'DADOS BRUTOS'!EQ$3:EQ$500)+IF($C18="",0,SUMIF('DADOS BRUTOS'!$A$3:$A$500,$C18,'DADOS BRUTOS'!EQ$3:EQ$500)))</f>
        <v/>
      </c>
      <c r="HR18" s="132">
        <f>IF(OR(HR$4="",$B18=""),0,SUMIF('DADOS BRUTOS'!$A$3:$A$500,$B18,'DADOS BRUTOS'!ER$3:ER$500)+IF($C18="",0,SUMIF('DADOS BRUTOS'!$A$3:$A$500,$C18,'DADOS BRUTOS'!ER$3:ER$500)))</f>
        <v/>
      </c>
      <c r="HS18" s="132">
        <f>IF(OR(HS$4="",$B18=""),0,SUMIF('DADOS BRUTOS'!$A$3:$A$500,$B18,'DADOS BRUTOS'!ES$3:ES$500)+IF($C18="",0,SUMIF('DADOS BRUTOS'!$A$3:$A$500,$C18,'DADOS BRUTOS'!ES$3:ES$500)))</f>
        <v/>
      </c>
      <c r="HT18" s="132">
        <f>IF(OR(HT$4="",$B18=""),0,SUMIF('DADOS BRUTOS'!$A$3:$A$500,$B18,'DADOS BRUTOS'!ET$3:ET$500)+IF($C18="",0,SUMIF('DADOS BRUTOS'!$A$3:$A$500,$C18,'DADOS BRUTOS'!ET$3:ET$500)))</f>
        <v/>
      </c>
      <c r="HU18" s="132">
        <f>IF(OR(HU$4="",$B18=""),0,SUMIF('DADOS BRUTOS'!$A$3:$A$500,$B18,'DADOS BRUTOS'!EU$3:EU$500)+IF($C18="",0,SUMIF('DADOS BRUTOS'!$A$3:$A$500,$C18,'DADOS BRUTOS'!EU$3:EU$500)))</f>
        <v/>
      </c>
      <c r="HV18" s="132">
        <f>IF(OR(HV$4="",$B18=""),0,SUMIF('DADOS BRUTOS'!$A$3:$A$500,$B18,'DADOS BRUTOS'!EV$3:EV$500)+IF($C18="",0,SUMIF('DADOS BRUTOS'!$A$3:$A$500,$C18,'DADOS BRUTOS'!EV$3:EV$500)))</f>
        <v/>
      </c>
      <c r="HW18" s="132">
        <f>IF(OR(HW$4="",$B18=""),0,SUMIF('DADOS BRUTOS'!$A$3:$A$500,$B18,'DADOS BRUTOS'!EW$3:EW$500)+IF($C18="",0,SUMIF('DADOS BRUTOS'!$A$3:$A$500,$C18,'DADOS BRUTOS'!EW$3:EW$500)))</f>
        <v/>
      </c>
      <c r="HX18" s="132">
        <f>IF(OR(HX$4="",$B18=""),0,SUMIF('DADOS BRUTOS'!$A$3:$A$500,$B18,'DADOS BRUTOS'!EX$3:EX$500)+IF($C18="",0,SUMIF('DADOS BRUTOS'!$A$3:$A$500,$C18,'DADOS BRUTOS'!EX$3:EX$500)))</f>
        <v/>
      </c>
      <c r="HY18" s="132">
        <f>IF(OR(HY$4="",$B18=""),0,SUMIF('DADOS BRUTOS'!$A$3:$A$500,$B18,'DADOS BRUTOS'!EY$3:EY$500)+IF($C18="",0,SUMIF('DADOS BRUTOS'!$A$3:$A$500,$C18,'DADOS BRUTOS'!EY$3:EY$500)))</f>
        <v/>
      </c>
      <c r="HZ18" s="132">
        <f>IF(OR(HZ$4="",$B18=""),0,SUMIF('DADOS BRUTOS'!$A$3:$A$500,$B18,'DADOS BRUTOS'!EZ$3:EZ$500)+IF($C18="",0,SUMIF('DADOS BRUTOS'!$A$3:$A$500,$C18,'DADOS BRUTOS'!EZ$3:EZ$500)))</f>
        <v/>
      </c>
      <c r="IA18" s="132">
        <f>IF(OR(IA$4="",$B18=""),0,SUMIF('DADOS BRUTOS'!$A$3:$A$500,$B18,'DADOS BRUTOS'!FA$3:FA$500)+IF($C18="",0,SUMIF('DADOS BRUTOS'!$A$3:$A$500,$C18,'DADOS BRUTOS'!FA$3:FA$500)))</f>
        <v/>
      </c>
      <c r="IB18" s="132">
        <f>IF(OR(IB$4="",$B18=""),0,SUMIF('DADOS BRUTOS'!$A$3:$A$500,$B18,'DADOS BRUTOS'!FB$3:FB$500)+IF($C18="",0,SUMIF('DADOS BRUTOS'!$A$3:$A$500,$C18,'DADOS BRUTOS'!FB$3:FB$500)))</f>
        <v/>
      </c>
      <c r="IC18" s="132">
        <f>IF(OR(IC$4="",$B18=""),0,SUMIF('DADOS BRUTOS'!$A$3:$A$500,$B18,'DADOS BRUTOS'!FC$3:FC$500)+IF($C18="",0,SUMIF('DADOS BRUTOS'!$A$3:$A$500,$C18,'DADOS BRUTOS'!FC$3:FC$500)))</f>
        <v/>
      </c>
      <c r="ID18" s="132">
        <f>IF(OR(ID$4="",$B18=""),0,SUMIF('DADOS BRUTOS'!$A$3:$A$500,$B18,'DADOS BRUTOS'!FD$3:FD$500)+IF($C18="",0,SUMIF('DADOS BRUTOS'!$A$3:$A$500,$C18,'DADOS BRUTOS'!FD$3:FD$500)))</f>
        <v/>
      </c>
      <c r="IE18" s="132">
        <f>IF(OR(IE$4="",$B18=""),0,SUMIF('DADOS BRUTOS'!$A$3:$A$500,$B18,'DADOS BRUTOS'!FE$3:FE$500)+IF($C18="",0,SUMIF('DADOS BRUTOS'!$A$3:$A$500,$C18,'DADOS BRUTOS'!FE$3:FE$500)))</f>
        <v/>
      </c>
      <c r="IF18" s="132">
        <f>IF(OR(IF$4="",$B18=""),0,SUMIF('DADOS BRUTOS'!$A$3:$A$500,$B18,'DADOS BRUTOS'!FF$3:FF$500)+IF($C18="",0,SUMIF('DADOS BRUTOS'!$A$3:$A$500,$C18,'DADOS BRUTOS'!FF$3:FF$500)))</f>
        <v/>
      </c>
      <c r="IG18" s="132">
        <f>IF(OR(IG$4="",$B18=""),0,SUMIF('DADOS BRUTOS'!$A$3:$A$500,$B18,'DADOS BRUTOS'!FG$3:FG$500)+IF($C18="",0,SUMIF('DADOS BRUTOS'!$A$3:$A$500,$C18,'DADOS BRUTOS'!FG$3:FG$500)))</f>
        <v/>
      </c>
      <c r="IH18" s="132">
        <f>IF(OR(IH$4="",$B18=""),0,SUMIF('DADOS BRUTOS'!$A$3:$A$500,$B18,'DADOS BRUTOS'!FH$3:FH$500)+IF($C18="",0,SUMIF('DADOS BRUTOS'!$A$3:$A$500,$C18,'DADOS BRUTOS'!FH$3:FH$500)))</f>
        <v/>
      </c>
      <c r="II18" s="132">
        <f>IF(OR(II$4="",$B18=""),0,SUMIF('DADOS BRUTOS'!$A$3:$A$500,$B18,'DADOS BRUTOS'!FI$3:FI$500)+IF($C18="",0,SUMIF('DADOS BRUTOS'!$A$3:$A$500,$C18,'DADOS BRUTOS'!FI$3:FI$500)))</f>
        <v/>
      </c>
      <c r="IJ18" s="132">
        <f>IF(OR(IJ$4="",$B18=""),0,SUMIF('DADOS BRUTOS'!$A$3:$A$500,$B18,'DADOS BRUTOS'!FJ$3:FJ$500)+IF($C18="",0,SUMIF('DADOS BRUTOS'!$A$3:$A$500,$C18,'DADOS BRUTOS'!FJ$3:FJ$500)))</f>
        <v/>
      </c>
      <c r="IK18" s="132">
        <f>IF(OR(IK$4="",$B18=""),0,SUMIF('DADOS BRUTOS'!$A$3:$A$500,$B18,'DADOS BRUTOS'!FK$3:FK$500)+IF($C18="",0,SUMIF('DADOS BRUTOS'!$A$3:$A$500,$C18,'DADOS BRUTOS'!FK$3:FK$500)))</f>
        <v/>
      </c>
      <c r="IL18" s="132">
        <f>IF(OR(IL$4="",$B18=""),0,SUMIF('DADOS BRUTOS'!$A$3:$A$500,$B18,'DADOS BRUTOS'!FL$3:FL$500)+IF($C18="",0,SUMIF('DADOS BRUTOS'!$A$3:$A$500,$C18,'DADOS BRUTOS'!FL$3:FL$500)))</f>
        <v/>
      </c>
      <c r="IM18" s="132">
        <f>IF(OR(IM$4="",$B18=""),0,SUMIF('DADOS BRUTOS'!$A$3:$A$500,$B18,'DADOS BRUTOS'!FM$3:FM$500)+IF($C18="",0,SUMIF('DADOS BRUTOS'!$A$3:$A$500,$C18,'DADOS BRUTOS'!FM$3:FM$500)))</f>
        <v/>
      </c>
      <c r="IN18" s="132">
        <f>IF(OR(IN$4="",$B18=""),0,SUMIF('DADOS BRUTOS'!$A$3:$A$500,$B18,'DADOS BRUTOS'!FN$3:FN$500)+IF($C18="",0,SUMIF('DADOS BRUTOS'!$A$3:$A$500,$C18,'DADOS BRUTOS'!FN$3:FN$500)))</f>
        <v/>
      </c>
      <c r="IO18" s="132">
        <f>IF(OR(IO$4="",$B18=""),0,SUMIF('DADOS BRUTOS'!$A$3:$A$500,$B18,'DADOS BRUTOS'!FO$3:FO$500)+IF($C18="",0,SUMIF('DADOS BRUTOS'!$A$3:$A$500,$C18,'DADOS BRUTOS'!FO$3:FO$500)))</f>
        <v/>
      </c>
      <c r="IP18" s="132">
        <f>IF(OR(IP$4="",$B18=""),0,SUMIF('DADOS BRUTOS'!$A$3:$A$500,$B18,'DADOS BRUTOS'!FP$3:FP$500)+IF($C18="",0,SUMIF('DADOS BRUTOS'!$A$3:$A$500,$C18,'DADOS BRUTOS'!FP$3:FP$500)))</f>
        <v/>
      </c>
      <c r="IQ18" s="132">
        <f>IF(OR(IQ$4="",$B18=""),0,SUMIF('DADOS BRUTOS'!$A$3:$A$500,$B18,'DADOS BRUTOS'!FQ$3:FQ$500)+IF($C18="",0,SUMIF('DADOS BRUTOS'!$A$3:$A$500,$C18,'DADOS BRUTOS'!FQ$3:FQ$500)))</f>
        <v/>
      </c>
      <c r="IR18" s="132">
        <f>IF(OR(IR$4="",$B18=""),0,SUMIF('DADOS BRUTOS'!$A$3:$A$500,$B18,'DADOS BRUTOS'!FR$3:FR$500)+IF($C18="",0,SUMIF('DADOS BRUTOS'!$A$3:$A$500,$C18,'DADOS BRUTOS'!FR$3:FR$500)))</f>
        <v/>
      </c>
      <c r="IS18" s="132">
        <f>IF(OR(IS$4="",$B18=""),0,SUMIF('DADOS BRUTOS'!$A$3:$A$500,$B18,'DADOS BRUTOS'!FS$3:FS$500)+IF($C18="",0,SUMIF('DADOS BRUTOS'!$A$3:$A$500,$C18,'DADOS BRUTOS'!FS$3:FS$500)))</f>
        <v/>
      </c>
      <c r="IT18" s="132">
        <f>IF(OR(IT$4="",$B18=""),0,SUMIF('DADOS BRUTOS'!$A$3:$A$500,$B18,'DADOS BRUTOS'!FT$3:FT$500)+IF($C18="",0,SUMIF('DADOS BRUTOS'!$A$3:$A$500,$C18,'DADOS BRUTOS'!FT$3:FT$500)))</f>
        <v/>
      </c>
      <c r="IU18" s="132">
        <f>IF(OR(IU$4="",$B18=""),0,SUMIF('DADOS BRUTOS'!$A$3:$A$500,$B18,'DADOS BRUTOS'!FU$3:FU$500)+IF($C18="",0,SUMIF('DADOS BRUTOS'!$A$3:$A$500,$C18,'DADOS BRUTOS'!FU$3:FU$500)))</f>
        <v/>
      </c>
      <c r="IV18" s="132">
        <f>IF(OR(IV$4="",$B18=""),0,SUMIF('DADOS BRUTOS'!$A$3:$A$500,$B18,'DADOS BRUTOS'!FV$3:FV$500)+IF($C18="",0,SUMIF('DADOS BRUTOS'!$A$3:$A$500,$C18,'DADOS BRUTOS'!FV$3:FV$500)))</f>
        <v/>
      </c>
      <c r="IW18" s="132">
        <f>IF(OR(IW$4="",$B18=""),0,SUMIF('DADOS BRUTOS'!$A$3:$A$500,$B18,'DADOS BRUTOS'!FW$3:FW$500)+IF($C18="",0,SUMIF('DADOS BRUTOS'!$A$3:$A$500,$C18,'DADOS BRUTOS'!FW$3:FW$500)))</f>
        <v/>
      </c>
      <c r="IX18" s="132">
        <f>IF(OR(IX$4="",$B18=""),0,SUMIF('DADOS BRUTOS'!$A$3:$A$500,$B18,'DADOS BRUTOS'!FX$3:FX$500)+IF($C18="",0,SUMIF('DADOS BRUTOS'!$A$3:$A$500,$C18,'DADOS BRUTOS'!FX$3:FX$500)))</f>
        <v/>
      </c>
      <c r="IY18" s="132">
        <f>IF(OR(IY$4="",$B18=""),0,SUMIF('DADOS BRUTOS'!$A$3:$A$500,$B18,'DADOS BRUTOS'!FY$3:FY$500)+IF($C18="",0,SUMIF('DADOS BRUTOS'!$A$3:$A$500,$C18,'DADOS BRUTOS'!FY$3:FY$500)))</f>
        <v/>
      </c>
      <c r="IZ18" s="132">
        <f>IF(OR(IZ$4="",$B18=""),0,SUMIF('DADOS BRUTOS'!$A$3:$A$500,$B18,'DADOS BRUTOS'!FZ$3:FZ$500)+IF($C18="",0,SUMIF('DADOS BRUTOS'!$A$3:$A$500,$C18,'DADOS BRUTOS'!FZ$3:FZ$500)))</f>
        <v/>
      </c>
      <c r="JA18" s="132">
        <f>IF(OR(JA$4="",$B18=""),0,SUMIF('DADOS BRUTOS'!$A$3:$A$500,$B18,'DADOS BRUTOS'!GA$3:GA$500)+IF($C18="",0,SUMIF('DADOS BRUTOS'!$A$3:$A$500,$C18,'DADOS BRUTOS'!GA$3:GA$500)))</f>
        <v/>
      </c>
      <c r="JB18" s="132">
        <f>IF(OR(JB$4="",$B18=""),0,SUMIF('DADOS BRUTOS'!$A$3:$A$500,$B18,'DADOS BRUTOS'!GB$3:GB$500)+IF($C18="",0,SUMIF('DADOS BRUTOS'!$A$3:$A$500,$C18,'DADOS BRUTOS'!GB$3:GB$500)))</f>
        <v/>
      </c>
      <c r="JC18" s="132">
        <f>IF(OR(JC$4="",$B18=""),0,SUMIF('DADOS BRUTOS'!$A$3:$A$500,$B18,'DADOS BRUTOS'!GC$3:GC$500)+IF($C18="",0,SUMIF('DADOS BRUTOS'!$A$3:$A$500,$C18,'DADOS BRUTOS'!GC$3:GC$500)))</f>
        <v/>
      </c>
      <c r="JD18" s="132">
        <f>IF(OR(JD$4="",$B18=""),0,SUMIF('DADOS BRUTOS'!$A$3:$A$500,$B18,'DADOS BRUTOS'!GD$3:GD$500)+IF($C18="",0,SUMIF('DADOS BRUTOS'!$A$3:$A$500,$C18,'DADOS BRUTOS'!GD$3:GD$500)))</f>
        <v/>
      </c>
      <c r="JE18" s="132">
        <f>IF(OR(JE$4="",$B18=""),0,SUMIF('DADOS BRUTOS'!$A$3:$A$500,$B18,'DADOS BRUTOS'!GE$3:GE$500)+IF($C18="",0,SUMIF('DADOS BRUTOS'!$A$3:$A$500,$C18,'DADOS BRUTOS'!GE$3:GE$500)))</f>
        <v/>
      </c>
      <c r="JF18" s="132">
        <f>IF(OR(JF$4="",$B18=""),0,SUMIF('DADOS BRUTOS'!$A$3:$A$500,$B18,'DADOS BRUTOS'!GF$3:GF$500)+IF($C18="",0,SUMIF('DADOS BRUTOS'!$A$3:$A$500,$C18,'DADOS BRUTOS'!GF$3:GF$500)))</f>
        <v/>
      </c>
      <c r="JG18" s="132">
        <f>IF(OR(JG$4="",$B18=""),0,SUMIF('DADOS BRUTOS'!$A$3:$A$500,$B18,'DADOS BRUTOS'!GG$3:GG$500)+IF($C18="",0,SUMIF('DADOS BRUTOS'!$A$3:$A$500,$C18,'DADOS BRUTOS'!GG$3:GG$500)))</f>
        <v/>
      </c>
      <c r="JH18" s="132">
        <f>IF(OR(JH$4="",$B18=""),0,SUMIF('DADOS BRUTOS'!$A$3:$A$500,$B18,'DADOS BRUTOS'!GH$3:GH$500)+IF($C18="",0,SUMIF('DADOS BRUTOS'!$A$3:$A$500,$C18,'DADOS BRUTOS'!GH$3:GH$500)))</f>
        <v/>
      </c>
      <c r="JI18" s="132">
        <f>IF(OR(JI$4="",$B18=""),0,SUMIF('DADOS BRUTOS'!$A$3:$A$500,$B18,'DADOS BRUTOS'!GI$3:GI$500)+IF($C18="",0,SUMIF('DADOS BRUTOS'!$A$3:$A$500,$C18,'DADOS BRUTOS'!GI$3:GI$500)))</f>
        <v/>
      </c>
      <c r="JJ18" s="132">
        <f>IF(OR(JJ$4="",$B18=""),0,SUMIF('DADOS BRUTOS'!$A$3:$A$500,$B18,'DADOS BRUTOS'!GJ$3:GJ$500)+IF($C18="",0,SUMIF('DADOS BRUTOS'!$A$3:$A$500,$C18,'DADOS BRUTOS'!GJ$3:GJ$500)))</f>
        <v/>
      </c>
      <c r="JK18" s="132">
        <f>IF(OR(JK$4="",$B18=""),0,SUMIF('DADOS BRUTOS'!$A$3:$A$500,$B18,'DADOS BRUTOS'!GK$3:GK$500)+IF($C18="",0,SUMIF('DADOS BRUTOS'!$A$3:$A$500,$C18,'DADOS BRUTOS'!GK$3:GK$500)))</f>
        <v/>
      </c>
      <c r="JL18" s="132">
        <f>IF(OR(JL$4="",$B18=""),0,SUMIF('DADOS BRUTOS'!$A$3:$A$500,$B18,'DADOS BRUTOS'!GL$3:GL$500)+IF($C18="",0,SUMIF('DADOS BRUTOS'!$A$3:$A$500,$C18,'DADOS BRUTOS'!GL$3:GL$500)))</f>
        <v/>
      </c>
      <c r="JM18" s="132">
        <f>IF(OR(JM$4="",$B18=""),0,SUMIF('DADOS BRUTOS'!$A$3:$A$500,$B18,'DADOS BRUTOS'!GM$3:GM$500)+IF($C18="",0,SUMIF('DADOS BRUTOS'!$A$3:$A$500,$C18,'DADOS BRUTOS'!GM$3:GM$500)))</f>
        <v/>
      </c>
      <c r="JN18" s="132">
        <f>IF(OR(JN$4="",$B18=""),0,SUMIF('DADOS BRUTOS'!$A$3:$A$500,$B18,'DADOS BRUTOS'!GN$3:GN$500)+IF($C18="",0,SUMIF('DADOS BRUTOS'!$A$3:$A$500,$C18,'DADOS BRUTOS'!GN$3:GN$500)))</f>
        <v/>
      </c>
      <c r="JO18" s="132">
        <f>IF(OR(JO$4="",$B18=""),0,SUMIF('DADOS BRUTOS'!$A$3:$A$500,$B18,'DADOS BRUTOS'!GO$3:GO$500)+IF($C18="",0,SUMIF('DADOS BRUTOS'!$A$3:$A$500,$C18,'DADOS BRUTOS'!GO$3:GO$500)))</f>
        <v/>
      </c>
      <c r="JP18" s="132">
        <f>IF(OR(JP$4="",$B18=""),0,SUMIF('DADOS BRUTOS'!$A$3:$A$500,$B18,'DADOS BRUTOS'!GP$3:GP$500)+IF($C18="",0,SUMIF('DADOS BRUTOS'!$A$3:$A$500,$C18,'DADOS BRUTOS'!GP$3:GP$500)))</f>
        <v/>
      </c>
      <c r="JQ18" s="132">
        <f>IF(OR(JQ$4="",$B18=""),0,SUMIF('DADOS BRUTOS'!$A$3:$A$500,$B18,'DADOS BRUTOS'!GQ$3:GQ$500)+IF($C18="",0,SUMIF('DADOS BRUTOS'!$A$3:$A$500,$C18,'DADOS BRUTOS'!GQ$3:GQ$500)))</f>
        <v/>
      </c>
      <c r="JR18" s="132">
        <f>IF(OR(JR$4="",$B18=""),0,SUMIF('DADOS BRUTOS'!$A$3:$A$500,$B18,'DADOS BRUTOS'!GR$3:GR$500)+IF($C18="",0,SUMIF('DADOS BRUTOS'!$A$3:$A$500,$C18,'DADOS BRUTOS'!GR$3:GR$500)))</f>
        <v/>
      </c>
      <c r="JS18" s="132">
        <f>IF(OR(JS$4="",$B18=""),0,SUMIF('DADOS BRUTOS'!$A$3:$A$500,$B18,'DADOS BRUTOS'!GS$3:GS$500)+IF($C18="",0,SUMIF('DADOS BRUTOS'!$A$3:$A$500,$C18,'DADOS BRUTOS'!GS$3:GS$500)))</f>
        <v/>
      </c>
    </row>
    <row r="19">
      <c r="A19" s="61">
        <f>'VALOR POR PL'!D25</f>
        <v/>
      </c>
      <c r="B19" s="59" t="inlineStr">
        <is>
          <t>FUNDAÇÃO PROFUNDA</t>
        </is>
      </c>
      <c r="C19" s="59" t="n"/>
      <c r="D19" s="54">
        <f>SUMIF($CB$4:$JS$4,"&lt;="&amp;D$4,$CB19:$JS19)</f>
        <v/>
      </c>
      <c r="E19" s="54">
        <f>SUMIF($CB$4:$JS$4,E$4,$CB19:$JS19)</f>
        <v/>
      </c>
      <c r="F19" s="54">
        <f>SUMIF($CB$4:$JS$4,F$4,$CB19:$JS19)</f>
        <v/>
      </c>
      <c r="G19" s="54">
        <f>SUMIF($CB$4:$JS$4,G$4,$CB19:$JS19)</f>
        <v/>
      </c>
      <c r="H19" s="54">
        <f>SUMIF($CB$4:$JS$4,H$4,$CB19:$JS19)</f>
        <v/>
      </c>
      <c r="I19" s="54">
        <f>SUMIF($CB$4:$JS$4,I$4,$CB19:$JS19)</f>
        <v/>
      </c>
      <c r="J19" s="54">
        <f>SUMIF($CB$4:$JS$4,J$4,$CB19:$JS19)</f>
        <v/>
      </c>
      <c r="K19" s="54">
        <f>SUMIF($CB$4:$JS$4,K$4,$CB19:$JS19)</f>
        <v/>
      </c>
      <c r="L19" s="54">
        <f>SUMIF($CB$4:$JS$4,L$4,$CB19:$JS19)</f>
        <v/>
      </c>
      <c r="M19" s="54">
        <f>SUMIF($CB$4:$JS$4,M$4,$CB19:$JS19)</f>
        <v/>
      </c>
      <c r="N19" s="54">
        <f>SUMIF($CB$4:$JS$4,N$4,$CB19:$JS19)</f>
        <v/>
      </c>
      <c r="O19" s="54">
        <f>SUMIF($CB$4:$JS$4,O$4,$CB19:$JS19)</f>
        <v/>
      </c>
      <c r="P19" s="54">
        <f>SUMIF($CB$4:$JS$4,P$4,$CB19:$JS19)</f>
        <v/>
      </c>
      <c r="Q19" s="54">
        <f>SUMIF($CB$4:$JS$4,Q$4,$CB19:$JS19)</f>
        <v/>
      </c>
      <c r="R19" s="54">
        <f>SUMIF($CB$4:$JS$4,R$4,$CB19:$JS19)</f>
        <v/>
      </c>
      <c r="S19" s="54">
        <f>SUMIF($CB$4:$JS$4,S$4,$CB19:$JS19)</f>
        <v/>
      </c>
      <c r="T19" s="54">
        <f>SUMIF($CB$4:$JS$4,T$4,$CB19:$JS19)</f>
        <v/>
      </c>
      <c r="U19" s="54">
        <f>SUMIF($CB$4:$JS$4,U$4,$CB19:$JS19)</f>
        <v/>
      </c>
      <c r="V19" s="54">
        <f>SUMIF($CB$4:$JS$4,V$4,$CB19:$JS19)</f>
        <v/>
      </c>
      <c r="W19" s="54">
        <f>SUMIF($CB$4:$JS$4,W$4,$CB19:$JS19)</f>
        <v/>
      </c>
      <c r="X19" s="54">
        <f>SUMIF($CB$4:$JS$4,X$4,$CB19:$JS19)</f>
        <v/>
      </c>
      <c r="Y19" s="54">
        <f>SUMIF($CB$4:$JS$4,Y$4,$CB19:$JS19)</f>
        <v/>
      </c>
      <c r="Z19" s="54">
        <f>SUMIF($CB$4:$JS$4,Z$4,$CB19:$JS19)</f>
        <v/>
      </c>
      <c r="AA19" s="54">
        <f>SUMIF($CB$4:$JS$4,AA$4,$CB19:$JS19)</f>
        <v/>
      </c>
      <c r="AB19" s="54">
        <f>SUMIF($CB$4:$JS$4,AB$4,$CB19:$JS19)</f>
        <v/>
      </c>
      <c r="AC19" s="54">
        <f>SUMIF($CB$4:$JS$4,AC$4,$CB19:$JS19)</f>
        <v/>
      </c>
      <c r="AD19" s="54">
        <f>SUMIF($CB$4:$JS$4,AD$4,$CB19:$JS19)</f>
        <v/>
      </c>
      <c r="AE19" s="54">
        <f>SUMIF($CB$4:$JS$4,AE$4,$CB19:$JS19)</f>
        <v/>
      </c>
      <c r="AF19" s="54">
        <f>SUMIF($CB$4:$JS$4,AF$4,$CB19:$JS19)</f>
        <v/>
      </c>
      <c r="AG19" s="54">
        <f>SUMIF($CB$4:$JS$4,AG$4,$CB19:$JS19)</f>
        <v/>
      </c>
      <c r="AH19" s="54">
        <f>SUMIF($CB$4:$JS$4,AH$4,$CB19:$JS19)</f>
        <v/>
      </c>
      <c r="AI19" s="54">
        <f>SUMIF($CB$4:$JS$4,AI$4,$CB19:$JS19)</f>
        <v/>
      </c>
      <c r="AJ19" s="54">
        <f>SUMIF($CB$4:$JS$4,AJ$4,$CB19:$JS19)</f>
        <v/>
      </c>
      <c r="AK19" s="54">
        <f>SUMIF($CB$4:$JS$4,AK$4,$CB19:$JS19)</f>
        <v/>
      </c>
      <c r="AL19" s="54">
        <f>SUMIF($CB$4:$JS$4,AL$4,$CB19:$JS19)</f>
        <v/>
      </c>
      <c r="AM19" s="54">
        <f>SUMIF($CB$4:$JS$4,AM$4,$CB19:$JS19)</f>
        <v/>
      </c>
      <c r="AN19" s="54">
        <f>SUMIF($CB$4:$JS$4,AN$4,$CB19:$JS19)</f>
        <v/>
      </c>
      <c r="AO19" s="54">
        <f>SUMIF($CB$4:$JS$4,AO$4,$CB19:$JS19)</f>
        <v/>
      </c>
      <c r="AP19" s="54">
        <f>SUMIF($CB$4:$JS$4,AP$4,$CB19:$JS19)</f>
        <v/>
      </c>
      <c r="AQ19" s="54">
        <f>SUMIF($CB$4:$JS$4,AQ$4,$CB19:$JS19)</f>
        <v/>
      </c>
      <c r="AR19" s="54">
        <f>SUMIF($CB$4:$JS$4,AR$4,$CB19:$JS19)</f>
        <v/>
      </c>
      <c r="AS19" s="54">
        <f>SUMIF($CB$4:$JS$4,AS$4,$CB19:$JS19)</f>
        <v/>
      </c>
      <c r="AT19" s="54">
        <f>SUMIF($CB$4:$JS$4,AT$4,$CB19:$JS19)</f>
        <v/>
      </c>
      <c r="AU19" s="54">
        <f>SUMIF($CB$4:$JS$4,AU$4,$CB19:$JS19)</f>
        <v/>
      </c>
      <c r="AV19" s="54">
        <f>SUMIF($CB$4:$JS$4,AV$4,$CB19:$JS19)</f>
        <v/>
      </c>
      <c r="AW19" s="54">
        <f>SUMIF($CB$4:$JS$4,AW$4,$CB19:$JS19)</f>
        <v/>
      </c>
      <c r="AX19" s="54">
        <f>SUMIF($CB$4:$JS$4,AX$4,$CB19:$JS19)</f>
        <v/>
      </c>
      <c r="AY19" s="54">
        <f>SUMIF($CB$4:$JS$4,AY$4,$CB19:$JS19)</f>
        <v/>
      </c>
      <c r="AZ19" s="54">
        <f>SUMIF($CB$4:$JS$4,AZ$4,$CB19:$JS19)</f>
        <v/>
      </c>
      <c r="BA19" s="54">
        <f>SUMIF($CB$4:$JS$4,BA$4,$CB19:$JS19)</f>
        <v/>
      </c>
      <c r="BB19" s="54">
        <f>SUMIF($CB$4:$JS$4,BB$4,$CB19:$JS19)</f>
        <v/>
      </c>
      <c r="BC19" s="54">
        <f>SUMIF($CB$4:$JS$4,BC$4,$CB19:$JS19)</f>
        <v/>
      </c>
      <c r="BD19" s="54">
        <f>SUMIF($CB$4:$JS$4,BD$4,$CB19:$JS19)</f>
        <v/>
      </c>
      <c r="BE19" s="54">
        <f>SUMIF($CB$4:$JS$4,BE$4,$CB19:$JS19)</f>
        <v/>
      </c>
      <c r="BF19" s="54">
        <f>SUMIF($CB$4:$JS$4,BF$4,$CB19:$JS19)</f>
        <v/>
      </c>
      <c r="BG19" s="54">
        <f>SUMIF($CB$4:$JS$4,BG$4,$CB19:$JS19)</f>
        <v/>
      </c>
      <c r="BH19" s="54">
        <f>SUMIF($CB$4:$JS$4,BH$4,$CB19:$JS19)</f>
        <v/>
      </c>
      <c r="BI19" s="54">
        <f>SUMIF($CB$4:$JS$4,BI$4,$CB19:$JS19)</f>
        <v/>
      </c>
      <c r="BJ19" s="54">
        <f>SUMIF($CB$4:$JS$4,BJ$4,$CB19:$JS19)</f>
        <v/>
      </c>
      <c r="BK19" s="54">
        <f>SUMIF($CB$4:$JS$4,BK$4,$CB19:$JS19)</f>
        <v/>
      </c>
      <c r="BL19" s="54">
        <f>SUMIF($CB$4:$JS$4,BL$4,$CB19:$JS19)</f>
        <v/>
      </c>
      <c r="BM19" s="54">
        <f>SUMIF($CB$4:$JS$4,BM$4,$CB19:$JS19)</f>
        <v/>
      </c>
      <c r="BN19" s="54">
        <f>SUMIF($CB$4:$JS$4,BN$4,$CB19:$JS19)</f>
        <v/>
      </c>
      <c r="BO19" s="54">
        <f>SUMIF($CB$4:$JS$4,BO$4,$CB19:$JS19)</f>
        <v/>
      </c>
      <c r="BP19" s="54">
        <f>SUMIF($CB$4:$JS$4,BP$4,$CB19:$JS19)</f>
        <v/>
      </c>
      <c r="BQ19" s="54">
        <f>SUMIF($CB$4:$JS$4,BQ$4,$CB19:$JS19)</f>
        <v/>
      </c>
      <c r="BR19" s="54">
        <f>SUMIF($CB$4:$JS$4,BR$4,$CB19:$JS19)</f>
        <v/>
      </c>
      <c r="BS19" s="54">
        <f>SUMIF($CB$4:$JS$4,BS$4,$CB19:$JS19)</f>
        <v/>
      </c>
      <c r="BT19" s="54">
        <f>SUMIF($CB$4:$JS$4,BT$4,$CB19:$JS19)</f>
        <v/>
      </c>
      <c r="BU19" s="54">
        <f>SUMIF($CB$4:$JS$4,BU$4,$CB19:$JS19)</f>
        <v/>
      </c>
      <c r="BV19" s="54">
        <f>SUMIF($CB$4:$JS$4,BV$4,$CB19:$JS19)</f>
        <v/>
      </c>
      <c r="BW19" s="54">
        <f>SUMIF($CB$4:$JS$4,BW$4,$CB19:$JS19)</f>
        <v/>
      </c>
      <c r="BX19" s="54">
        <f>SUMIF($CB$4:$JS$4,"&gt;"&amp;'VALOR POR PL'!$P$8,$CB19:$JS19)</f>
        <v/>
      </c>
      <c r="BY19" s="54">
        <f>SUM($CB19:$JS19)</f>
        <v/>
      </c>
      <c r="BZ19" s="49">
        <f>SUMPRODUCT(($CB$4:$JS$4&lt;&gt;"")*($CB$4:$JS$4&lt;=$D$4),$CB19:$JS19,$CB$1:$JS$1)</f>
        <v/>
      </c>
      <c r="CB19" s="132">
        <f>IF(OR(CB$4="",$B19=""),0,SUMIF('DADOS BRUTOS'!$A$3:$A$500,$B19,'DADOS BRUTOS'!B$3:B$500)+IF($C19="",0,SUMIF('DADOS BRUTOS'!$A$3:$A$500,$C19,'DADOS BRUTOS'!B$3:B$500)))</f>
        <v/>
      </c>
      <c r="CC19" s="132">
        <f>IF(OR(CC$4="",$B19=""),0,SUMIF('DADOS BRUTOS'!$A$3:$A$500,$B19,'DADOS BRUTOS'!C$3:C$500)+IF($C19="",0,SUMIF('DADOS BRUTOS'!$A$3:$A$500,$C19,'DADOS BRUTOS'!C$3:C$500)))</f>
        <v/>
      </c>
      <c r="CD19" s="132">
        <f>IF(OR(CD$4="",$B19=""),0,SUMIF('DADOS BRUTOS'!$A$3:$A$500,$B19,'DADOS BRUTOS'!D$3:D$500)+IF($C19="",0,SUMIF('DADOS BRUTOS'!$A$3:$A$500,$C19,'DADOS BRUTOS'!D$3:D$500)))</f>
        <v/>
      </c>
      <c r="CE19" s="132">
        <f>IF(OR(CE$4="",$B19=""),0,SUMIF('DADOS BRUTOS'!$A$3:$A$500,$B19,'DADOS BRUTOS'!E$3:E$500)+IF($C19="",0,SUMIF('DADOS BRUTOS'!$A$3:$A$500,$C19,'DADOS BRUTOS'!E$3:E$500)))</f>
        <v/>
      </c>
      <c r="CF19" s="132">
        <f>IF(OR(CF$4="",$B19=""),0,SUMIF('DADOS BRUTOS'!$A$3:$A$500,$B19,'DADOS BRUTOS'!F$3:F$500)+IF($C19="",0,SUMIF('DADOS BRUTOS'!$A$3:$A$500,$C19,'DADOS BRUTOS'!F$3:F$500)))</f>
        <v/>
      </c>
      <c r="CG19" s="132">
        <f>IF(OR(CG$4="",$B19=""),0,SUMIF('DADOS BRUTOS'!$A$3:$A$500,$B19,'DADOS BRUTOS'!G$3:G$500)+IF($C19="",0,SUMIF('DADOS BRUTOS'!$A$3:$A$500,$C19,'DADOS BRUTOS'!G$3:G$500)))</f>
        <v/>
      </c>
      <c r="CH19" s="132">
        <f>IF(OR(CH$4="",$B19=""),0,SUMIF('DADOS BRUTOS'!$A$3:$A$500,$B19,'DADOS BRUTOS'!H$3:H$500)+IF($C19="",0,SUMIF('DADOS BRUTOS'!$A$3:$A$500,$C19,'DADOS BRUTOS'!H$3:H$500)))</f>
        <v/>
      </c>
      <c r="CI19" s="132">
        <f>IF(OR(CI$4="",$B19=""),0,SUMIF('DADOS BRUTOS'!$A$3:$A$500,$B19,'DADOS BRUTOS'!I$3:I$500)+IF($C19="",0,SUMIF('DADOS BRUTOS'!$A$3:$A$500,$C19,'DADOS BRUTOS'!I$3:I$500)))</f>
        <v/>
      </c>
      <c r="CJ19" s="132">
        <f>IF(OR(CJ$4="",$B19=""),0,SUMIF('DADOS BRUTOS'!$A$3:$A$500,$B19,'DADOS BRUTOS'!J$3:J$500)+IF($C19="",0,SUMIF('DADOS BRUTOS'!$A$3:$A$500,$C19,'DADOS BRUTOS'!J$3:J$500)))</f>
        <v/>
      </c>
      <c r="CK19" s="132">
        <f>IF(OR(CK$4="",$B19=""),0,SUMIF('DADOS BRUTOS'!$A$3:$A$500,$B19,'DADOS BRUTOS'!K$3:K$500)+IF($C19="",0,SUMIF('DADOS BRUTOS'!$A$3:$A$500,$C19,'DADOS BRUTOS'!K$3:K$500)))</f>
        <v/>
      </c>
      <c r="CL19" s="132">
        <f>IF(OR(CL$4="",$B19=""),0,SUMIF('DADOS BRUTOS'!$A$3:$A$500,$B19,'DADOS BRUTOS'!L$3:L$500)+IF($C19="",0,SUMIF('DADOS BRUTOS'!$A$3:$A$500,$C19,'DADOS BRUTOS'!L$3:L$500)))</f>
        <v/>
      </c>
      <c r="CM19" s="132">
        <f>IF(OR(CM$4="",$B19=""),0,SUMIF('DADOS BRUTOS'!$A$3:$A$500,$B19,'DADOS BRUTOS'!M$3:M$500)+IF($C19="",0,SUMIF('DADOS BRUTOS'!$A$3:$A$500,$C19,'DADOS BRUTOS'!M$3:M$500)))</f>
        <v/>
      </c>
      <c r="CN19" s="132">
        <f>IF(OR(CN$4="",$B19=""),0,SUMIF('DADOS BRUTOS'!$A$3:$A$500,$B19,'DADOS BRUTOS'!N$3:N$500)+IF($C19="",0,SUMIF('DADOS BRUTOS'!$A$3:$A$500,$C19,'DADOS BRUTOS'!N$3:N$500)))</f>
        <v/>
      </c>
      <c r="CO19" s="132">
        <f>IF(OR(CO$4="",$B19=""),0,SUMIF('DADOS BRUTOS'!$A$3:$A$500,$B19,'DADOS BRUTOS'!O$3:O$500)+IF($C19="",0,SUMIF('DADOS BRUTOS'!$A$3:$A$500,$C19,'DADOS BRUTOS'!O$3:O$500)))</f>
        <v/>
      </c>
      <c r="CP19" s="132">
        <f>IF(OR(CP$4="",$B19=""),0,SUMIF('DADOS BRUTOS'!$A$3:$A$500,$B19,'DADOS BRUTOS'!P$3:P$500)+IF($C19="",0,SUMIF('DADOS BRUTOS'!$A$3:$A$500,$C19,'DADOS BRUTOS'!P$3:P$500)))</f>
        <v/>
      </c>
      <c r="CQ19" s="132">
        <f>IF(OR(CQ$4="",$B19=""),0,SUMIF('DADOS BRUTOS'!$A$3:$A$500,$B19,'DADOS BRUTOS'!Q$3:Q$500)+IF($C19="",0,SUMIF('DADOS BRUTOS'!$A$3:$A$500,$C19,'DADOS BRUTOS'!Q$3:Q$500)))</f>
        <v/>
      </c>
      <c r="CR19" s="132">
        <f>IF(OR(CR$4="",$B19=""),0,SUMIF('DADOS BRUTOS'!$A$3:$A$500,$B19,'DADOS BRUTOS'!R$3:R$500)+IF($C19="",0,SUMIF('DADOS BRUTOS'!$A$3:$A$500,$C19,'DADOS BRUTOS'!R$3:R$500)))</f>
        <v/>
      </c>
      <c r="CS19" s="132">
        <f>IF(OR(CS$4="",$B19=""),0,SUMIF('DADOS BRUTOS'!$A$3:$A$500,$B19,'DADOS BRUTOS'!S$3:S$500)+IF($C19="",0,SUMIF('DADOS BRUTOS'!$A$3:$A$500,$C19,'DADOS BRUTOS'!S$3:S$500)))</f>
        <v/>
      </c>
      <c r="CT19" s="132">
        <f>IF(OR(CT$4="",$B19=""),0,SUMIF('DADOS BRUTOS'!$A$3:$A$500,$B19,'DADOS BRUTOS'!T$3:T$500)+IF($C19="",0,SUMIF('DADOS BRUTOS'!$A$3:$A$500,$C19,'DADOS BRUTOS'!T$3:T$500)))</f>
        <v/>
      </c>
      <c r="CU19" s="132">
        <f>IF(OR(CU$4="",$B19=""),0,SUMIF('DADOS BRUTOS'!$A$3:$A$500,$B19,'DADOS BRUTOS'!U$3:U$500)+IF($C19="",0,SUMIF('DADOS BRUTOS'!$A$3:$A$500,$C19,'DADOS BRUTOS'!U$3:U$500)))</f>
        <v/>
      </c>
      <c r="CV19" s="132">
        <f>IF(OR(CV$4="",$B19=""),0,SUMIF('DADOS BRUTOS'!$A$3:$A$500,$B19,'DADOS BRUTOS'!V$3:V$500)+IF($C19="",0,SUMIF('DADOS BRUTOS'!$A$3:$A$500,$C19,'DADOS BRUTOS'!V$3:V$500)))</f>
        <v/>
      </c>
      <c r="CW19" s="132">
        <f>IF(OR(CW$4="",$B19=""),0,SUMIF('DADOS BRUTOS'!$A$3:$A$500,$B19,'DADOS BRUTOS'!W$3:W$500)+IF($C19="",0,SUMIF('DADOS BRUTOS'!$A$3:$A$500,$C19,'DADOS BRUTOS'!W$3:W$500)))</f>
        <v/>
      </c>
      <c r="CX19" s="132">
        <f>IF(OR(CX$4="",$B19=""),0,SUMIF('DADOS BRUTOS'!$A$3:$A$500,$B19,'DADOS BRUTOS'!X$3:X$500)+IF($C19="",0,SUMIF('DADOS BRUTOS'!$A$3:$A$500,$C19,'DADOS BRUTOS'!X$3:X$500)))</f>
        <v/>
      </c>
      <c r="CY19" s="132">
        <f>IF(OR(CY$4="",$B19=""),0,SUMIF('DADOS BRUTOS'!$A$3:$A$500,$B19,'DADOS BRUTOS'!Y$3:Y$500)+IF($C19="",0,SUMIF('DADOS BRUTOS'!$A$3:$A$500,$C19,'DADOS BRUTOS'!Y$3:Y$500)))</f>
        <v/>
      </c>
      <c r="CZ19" s="132">
        <f>IF(OR(CZ$4="",$B19=""),0,SUMIF('DADOS BRUTOS'!$A$3:$A$500,$B19,'DADOS BRUTOS'!Z$3:Z$500)+IF($C19="",0,SUMIF('DADOS BRUTOS'!$A$3:$A$500,$C19,'DADOS BRUTOS'!Z$3:Z$500)))</f>
        <v/>
      </c>
      <c r="DA19" s="132">
        <f>IF(OR(DA$4="",$B19=""),0,SUMIF('DADOS BRUTOS'!$A$3:$A$500,$B19,'DADOS BRUTOS'!AA$3:AA$500)+IF($C19="",0,SUMIF('DADOS BRUTOS'!$A$3:$A$500,$C19,'DADOS BRUTOS'!AA$3:AA$500)))</f>
        <v/>
      </c>
      <c r="DB19" s="132">
        <f>IF(OR(DB$4="",$B19=""),0,SUMIF('DADOS BRUTOS'!$A$3:$A$500,$B19,'DADOS BRUTOS'!AB$3:AB$500)+IF($C19="",0,SUMIF('DADOS BRUTOS'!$A$3:$A$500,$C19,'DADOS BRUTOS'!AB$3:AB$500)))</f>
        <v/>
      </c>
      <c r="DC19" s="132">
        <f>IF(OR(DC$4="",$B19=""),0,SUMIF('DADOS BRUTOS'!$A$3:$A$500,$B19,'DADOS BRUTOS'!AC$3:AC$500)+IF($C19="",0,SUMIF('DADOS BRUTOS'!$A$3:$A$500,$C19,'DADOS BRUTOS'!AC$3:AC$500)))</f>
        <v/>
      </c>
      <c r="DD19" s="132">
        <f>IF(OR(DD$4="",$B19=""),0,SUMIF('DADOS BRUTOS'!$A$3:$A$500,$B19,'DADOS BRUTOS'!AD$3:AD$500)+IF($C19="",0,SUMIF('DADOS BRUTOS'!$A$3:$A$500,$C19,'DADOS BRUTOS'!AD$3:AD$500)))</f>
        <v/>
      </c>
      <c r="DE19" s="132">
        <f>IF(OR(DE$4="",$B19=""),0,SUMIF('DADOS BRUTOS'!$A$3:$A$500,$B19,'DADOS BRUTOS'!AE$3:AE$500)+IF($C19="",0,SUMIF('DADOS BRUTOS'!$A$3:$A$500,$C19,'DADOS BRUTOS'!AE$3:AE$500)))</f>
        <v/>
      </c>
      <c r="DF19" s="132">
        <f>IF(OR(DF$4="",$B19=""),0,SUMIF('DADOS BRUTOS'!$A$3:$A$500,$B19,'DADOS BRUTOS'!AF$3:AF$500)+IF($C19="",0,SUMIF('DADOS BRUTOS'!$A$3:$A$500,$C19,'DADOS BRUTOS'!AF$3:AF$500)))</f>
        <v/>
      </c>
      <c r="DG19" s="132">
        <f>IF(OR(DG$4="",$B19=""),0,SUMIF('DADOS BRUTOS'!$A$3:$A$500,$B19,'DADOS BRUTOS'!AG$3:AG$500)+IF($C19="",0,SUMIF('DADOS BRUTOS'!$A$3:$A$500,$C19,'DADOS BRUTOS'!AG$3:AG$500)))</f>
        <v/>
      </c>
      <c r="DH19" s="132">
        <f>IF(OR(DH$4="",$B19=""),0,SUMIF('DADOS BRUTOS'!$A$3:$A$500,$B19,'DADOS BRUTOS'!AH$3:AH$500)+IF($C19="",0,SUMIF('DADOS BRUTOS'!$A$3:$A$500,$C19,'DADOS BRUTOS'!AH$3:AH$500)))</f>
        <v/>
      </c>
      <c r="DI19" s="132">
        <f>IF(OR(DI$4="",$B19=""),0,SUMIF('DADOS BRUTOS'!$A$3:$A$500,$B19,'DADOS BRUTOS'!AI$3:AI$500)+IF($C19="",0,SUMIF('DADOS BRUTOS'!$A$3:$A$500,$C19,'DADOS BRUTOS'!AI$3:AI$500)))</f>
        <v/>
      </c>
      <c r="DJ19" s="132">
        <f>IF(OR(DJ$4="",$B19=""),0,SUMIF('DADOS BRUTOS'!$A$3:$A$500,$B19,'DADOS BRUTOS'!AJ$3:AJ$500)+IF($C19="",0,SUMIF('DADOS BRUTOS'!$A$3:$A$500,$C19,'DADOS BRUTOS'!AJ$3:AJ$500)))</f>
        <v/>
      </c>
      <c r="DK19" s="132">
        <f>IF(OR(DK$4="",$B19=""),0,SUMIF('DADOS BRUTOS'!$A$3:$A$500,$B19,'DADOS BRUTOS'!AK$3:AK$500)+IF($C19="",0,SUMIF('DADOS BRUTOS'!$A$3:$A$500,$C19,'DADOS BRUTOS'!AK$3:AK$500)))</f>
        <v/>
      </c>
      <c r="DL19" s="132">
        <f>IF(OR(DL$4="",$B19=""),0,SUMIF('DADOS BRUTOS'!$A$3:$A$500,$B19,'DADOS BRUTOS'!AL$3:AL$500)+IF($C19="",0,SUMIF('DADOS BRUTOS'!$A$3:$A$500,$C19,'DADOS BRUTOS'!AL$3:AL$500)))</f>
        <v/>
      </c>
      <c r="DM19" s="132">
        <f>IF(OR(DM$4="",$B19=""),0,SUMIF('DADOS BRUTOS'!$A$3:$A$500,$B19,'DADOS BRUTOS'!AM$3:AM$500)+IF($C19="",0,SUMIF('DADOS BRUTOS'!$A$3:$A$500,$C19,'DADOS BRUTOS'!AM$3:AM$500)))</f>
        <v/>
      </c>
      <c r="DN19" s="132">
        <f>IF(OR(DN$4="",$B19=""),0,SUMIF('DADOS BRUTOS'!$A$3:$A$500,$B19,'DADOS BRUTOS'!AN$3:AN$500)+IF($C19="",0,SUMIF('DADOS BRUTOS'!$A$3:$A$500,$C19,'DADOS BRUTOS'!AN$3:AN$500)))</f>
        <v/>
      </c>
      <c r="DO19" s="132">
        <f>IF(OR(DO$4="",$B19=""),0,SUMIF('DADOS BRUTOS'!$A$3:$A$500,$B19,'DADOS BRUTOS'!AO$3:AO$500)+IF($C19="",0,SUMIF('DADOS BRUTOS'!$A$3:$A$500,$C19,'DADOS BRUTOS'!AO$3:AO$500)))</f>
        <v/>
      </c>
      <c r="DP19" s="132">
        <f>IF(OR(DP$4="",$B19=""),0,SUMIF('DADOS BRUTOS'!$A$3:$A$500,$B19,'DADOS BRUTOS'!AP$3:AP$500)+IF($C19="",0,SUMIF('DADOS BRUTOS'!$A$3:$A$500,$C19,'DADOS BRUTOS'!AP$3:AP$500)))</f>
        <v/>
      </c>
      <c r="DQ19" s="132">
        <f>IF(OR(DQ$4="",$B19=""),0,SUMIF('DADOS BRUTOS'!$A$3:$A$500,$B19,'DADOS BRUTOS'!AQ$3:AQ$500)+IF($C19="",0,SUMIF('DADOS BRUTOS'!$A$3:$A$500,$C19,'DADOS BRUTOS'!AQ$3:AQ$500)))</f>
        <v/>
      </c>
      <c r="DR19" s="132">
        <f>IF(OR(DR$4="",$B19=""),0,SUMIF('DADOS BRUTOS'!$A$3:$A$500,$B19,'DADOS BRUTOS'!AR$3:AR$500)+IF($C19="",0,SUMIF('DADOS BRUTOS'!$A$3:$A$500,$C19,'DADOS BRUTOS'!AR$3:AR$500)))</f>
        <v/>
      </c>
      <c r="DS19" s="132">
        <f>IF(OR(DS$4="",$B19=""),0,SUMIF('DADOS BRUTOS'!$A$3:$A$500,$B19,'DADOS BRUTOS'!AS$3:AS$500)+IF($C19="",0,SUMIF('DADOS BRUTOS'!$A$3:$A$500,$C19,'DADOS BRUTOS'!AS$3:AS$500)))</f>
        <v/>
      </c>
      <c r="DT19" s="132">
        <f>IF(OR(DT$4="",$B19=""),0,SUMIF('DADOS BRUTOS'!$A$3:$A$500,$B19,'DADOS BRUTOS'!AT$3:AT$500)+IF($C19="",0,SUMIF('DADOS BRUTOS'!$A$3:$A$500,$C19,'DADOS BRUTOS'!AT$3:AT$500)))</f>
        <v/>
      </c>
      <c r="DU19" s="132">
        <f>IF(OR(DU$4="",$B19=""),0,SUMIF('DADOS BRUTOS'!$A$3:$A$500,$B19,'DADOS BRUTOS'!AU$3:AU$500)+IF($C19="",0,SUMIF('DADOS BRUTOS'!$A$3:$A$500,$C19,'DADOS BRUTOS'!AU$3:AU$500)))</f>
        <v/>
      </c>
      <c r="DV19" s="132">
        <f>IF(OR(DV$4="",$B19=""),0,SUMIF('DADOS BRUTOS'!$A$3:$A$500,$B19,'DADOS BRUTOS'!AV$3:AV$500)+IF($C19="",0,SUMIF('DADOS BRUTOS'!$A$3:$A$500,$C19,'DADOS BRUTOS'!AV$3:AV$500)))</f>
        <v/>
      </c>
      <c r="DW19" s="132">
        <f>IF(OR(DW$4="",$B19=""),0,SUMIF('DADOS BRUTOS'!$A$3:$A$500,$B19,'DADOS BRUTOS'!AW$3:AW$500)+IF($C19="",0,SUMIF('DADOS BRUTOS'!$A$3:$A$500,$C19,'DADOS BRUTOS'!AW$3:AW$500)))</f>
        <v/>
      </c>
      <c r="DX19" s="132">
        <f>IF(OR(DX$4="",$B19=""),0,SUMIF('DADOS BRUTOS'!$A$3:$A$500,$B19,'DADOS BRUTOS'!AX$3:AX$500)+IF($C19="",0,SUMIF('DADOS BRUTOS'!$A$3:$A$500,$C19,'DADOS BRUTOS'!AX$3:AX$500)))</f>
        <v/>
      </c>
      <c r="DY19" s="132">
        <f>IF(OR(DY$4="",$B19=""),0,SUMIF('DADOS BRUTOS'!$A$3:$A$500,$B19,'DADOS BRUTOS'!AY$3:AY$500)+IF($C19="",0,SUMIF('DADOS BRUTOS'!$A$3:$A$500,$C19,'DADOS BRUTOS'!AY$3:AY$500)))</f>
        <v/>
      </c>
      <c r="DZ19" s="132">
        <f>IF(OR(DZ$4="",$B19=""),0,SUMIF('DADOS BRUTOS'!$A$3:$A$500,$B19,'DADOS BRUTOS'!AZ$3:AZ$500)+IF($C19="",0,SUMIF('DADOS BRUTOS'!$A$3:$A$500,$C19,'DADOS BRUTOS'!AZ$3:AZ$500)))</f>
        <v/>
      </c>
      <c r="EA19" s="132">
        <f>IF(OR(EA$4="",$B19=""),0,SUMIF('DADOS BRUTOS'!$A$3:$A$500,$B19,'DADOS BRUTOS'!BA$3:BA$500)+IF($C19="",0,SUMIF('DADOS BRUTOS'!$A$3:$A$500,$C19,'DADOS BRUTOS'!BA$3:BA$500)))</f>
        <v/>
      </c>
      <c r="EB19" s="132">
        <f>IF(OR(EB$4="",$B19=""),0,SUMIF('DADOS BRUTOS'!$A$3:$A$500,$B19,'DADOS BRUTOS'!BB$3:BB$500)+IF($C19="",0,SUMIF('DADOS BRUTOS'!$A$3:$A$500,$C19,'DADOS BRUTOS'!BB$3:BB$500)))</f>
        <v/>
      </c>
      <c r="EC19" s="132">
        <f>IF(OR(EC$4="",$B19=""),0,SUMIF('DADOS BRUTOS'!$A$3:$A$500,$B19,'DADOS BRUTOS'!BC$3:BC$500)+IF($C19="",0,SUMIF('DADOS BRUTOS'!$A$3:$A$500,$C19,'DADOS BRUTOS'!BC$3:BC$500)))</f>
        <v/>
      </c>
      <c r="ED19" s="132">
        <f>IF(OR(ED$4="",$B19=""),0,SUMIF('DADOS BRUTOS'!$A$3:$A$500,$B19,'DADOS BRUTOS'!BD$3:BD$500)+IF($C19="",0,SUMIF('DADOS BRUTOS'!$A$3:$A$500,$C19,'DADOS BRUTOS'!BD$3:BD$500)))</f>
        <v/>
      </c>
      <c r="EE19" s="132">
        <f>IF(OR(EE$4="",$B19=""),0,SUMIF('DADOS BRUTOS'!$A$3:$A$500,$B19,'DADOS BRUTOS'!BE$3:BE$500)+IF($C19="",0,SUMIF('DADOS BRUTOS'!$A$3:$A$500,$C19,'DADOS BRUTOS'!BE$3:BE$500)))</f>
        <v/>
      </c>
      <c r="EF19" s="132">
        <f>IF(OR(EF$4="",$B19=""),0,SUMIF('DADOS BRUTOS'!$A$3:$A$500,$B19,'DADOS BRUTOS'!BF$3:BF$500)+IF($C19="",0,SUMIF('DADOS BRUTOS'!$A$3:$A$500,$C19,'DADOS BRUTOS'!BF$3:BF$500)))</f>
        <v/>
      </c>
      <c r="EG19" s="132">
        <f>IF(OR(EG$4="",$B19=""),0,SUMIF('DADOS BRUTOS'!$A$3:$A$500,$B19,'DADOS BRUTOS'!BG$3:BG$500)+IF($C19="",0,SUMIF('DADOS BRUTOS'!$A$3:$A$500,$C19,'DADOS BRUTOS'!BG$3:BG$500)))</f>
        <v/>
      </c>
      <c r="EH19" s="132">
        <f>IF(OR(EH$4="",$B19=""),0,SUMIF('DADOS BRUTOS'!$A$3:$A$500,$B19,'DADOS BRUTOS'!BH$3:BH$500)+IF($C19="",0,SUMIF('DADOS BRUTOS'!$A$3:$A$500,$C19,'DADOS BRUTOS'!BH$3:BH$500)))</f>
        <v/>
      </c>
      <c r="EI19" s="132">
        <f>IF(OR(EI$4="",$B19=""),0,SUMIF('DADOS BRUTOS'!$A$3:$A$500,$B19,'DADOS BRUTOS'!BI$3:BI$500)+IF($C19="",0,SUMIF('DADOS BRUTOS'!$A$3:$A$500,$C19,'DADOS BRUTOS'!BI$3:BI$500)))</f>
        <v/>
      </c>
      <c r="EJ19" s="132">
        <f>IF(OR(EJ$4="",$B19=""),0,SUMIF('DADOS BRUTOS'!$A$3:$A$500,$B19,'DADOS BRUTOS'!BJ$3:BJ$500)+IF($C19="",0,SUMIF('DADOS BRUTOS'!$A$3:$A$500,$C19,'DADOS BRUTOS'!BJ$3:BJ$500)))</f>
        <v/>
      </c>
      <c r="EK19" s="132">
        <f>IF(OR(EK$4="",$B19=""),0,SUMIF('DADOS BRUTOS'!$A$3:$A$500,$B19,'DADOS BRUTOS'!BK$3:BK$500)+IF($C19="",0,SUMIF('DADOS BRUTOS'!$A$3:$A$500,$C19,'DADOS BRUTOS'!BK$3:BK$500)))</f>
        <v/>
      </c>
      <c r="EL19" s="132">
        <f>IF(OR(EL$4="",$B19=""),0,SUMIF('DADOS BRUTOS'!$A$3:$A$500,$B19,'DADOS BRUTOS'!BL$3:BL$500)+IF($C19="",0,SUMIF('DADOS BRUTOS'!$A$3:$A$500,$C19,'DADOS BRUTOS'!BL$3:BL$500)))</f>
        <v/>
      </c>
      <c r="EM19" s="132">
        <f>IF(OR(EM$4="",$B19=""),0,SUMIF('DADOS BRUTOS'!$A$3:$A$500,$B19,'DADOS BRUTOS'!BM$3:BM$500)+IF($C19="",0,SUMIF('DADOS BRUTOS'!$A$3:$A$500,$C19,'DADOS BRUTOS'!BM$3:BM$500)))</f>
        <v/>
      </c>
      <c r="EN19" s="132">
        <f>IF(OR(EN$4="",$B19=""),0,SUMIF('DADOS BRUTOS'!$A$3:$A$500,$B19,'DADOS BRUTOS'!BN$3:BN$500)+IF($C19="",0,SUMIF('DADOS BRUTOS'!$A$3:$A$500,$C19,'DADOS BRUTOS'!BN$3:BN$500)))</f>
        <v/>
      </c>
      <c r="EO19" s="132">
        <f>IF(OR(EO$4="",$B19=""),0,SUMIF('DADOS BRUTOS'!$A$3:$A$500,$B19,'DADOS BRUTOS'!BO$3:BO$500)+IF($C19="",0,SUMIF('DADOS BRUTOS'!$A$3:$A$500,$C19,'DADOS BRUTOS'!BO$3:BO$500)))</f>
        <v/>
      </c>
      <c r="EP19" s="132">
        <f>IF(OR(EP$4="",$B19=""),0,SUMIF('DADOS BRUTOS'!$A$3:$A$500,$B19,'DADOS BRUTOS'!BP$3:BP$500)+IF($C19="",0,SUMIF('DADOS BRUTOS'!$A$3:$A$500,$C19,'DADOS BRUTOS'!BP$3:BP$500)))</f>
        <v/>
      </c>
      <c r="EQ19" s="132">
        <f>IF(OR(EQ$4="",$B19=""),0,SUMIF('DADOS BRUTOS'!$A$3:$A$500,$B19,'DADOS BRUTOS'!BQ$3:BQ$500)+IF($C19="",0,SUMIF('DADOS BRUTOS'!$A$3:$A$500,$C19,'DADOS BRUTOS'!BQ$3:BQ$500)))</f>
        <v/>
      </c>
      <c r="ER19" s="132">
        <f>IF(OR(ER$4="",$B19=""),0,SUMIF('DADOS BRUTOS'!$A$3:$A$500,$B19,'DADOS BRUTOS'!BR$3:BR$500)+IF($C19="",0,SUMIF('DADOS BRUTOS'!$A$3:$A$500,$C19,'DADOS BRUTOS'!BR$3:BR$500)))</f>
        <v/>
      </c>
      <c r="ES19" s="132">
        <f>IF(OR(ES$4="",$B19=""),0,SUMIF('DADOS BRUTOS'!$A$3:$A$500,$B19,'DADOS BRUTOS'!BS$3:BS$500)+IF($C19="",0,SUMIF('DADOS BRUTOS'!$A$3:$A$500,$C19,'DADOS BRUTOS'!BS$3:BS$500)))</f>
        <v/>
      </c>
      <c r="ET19" s="132">
        <f>IF(OR(ET$4="",$B19=""),0,SUMIF('DADOS BRUTOS'!$A$3:$A$500,$B19,'DADOS BRUTOS'!BT$3:BT$500)+IF($C19="",0,SUMIF('DADOS BRUTOS'!$A$3:$A$500,$C19,'DADOS BRUTOS'!BT$3:BT$500)))</f>
        <v/>
      </c>
      <c r="EU19" s="132">
        <f>IF(OR(EU$4="",$B19=""),0,SUMIF('DADOS BRUTOS'!$A$3:$A$500,$B19,'DADOS BRUTOS'!BU$3:BU$500)+IF($C19="",0,SUMIF('DADOS BRUTOS'!$A$3:$A$500,$C19,'DADOS BRUTOS'!BU$3:BU$500)))</f>
        <v/>
      </c>
      <c r="EV19" s="132">
        <f>IF(OR(EV$4="",$B19=""),0,SUMIF('DADOS BRUTOS'!$A$3:$A$500,$B19,'DADOS BRUTOS'!BV$3:BV$500)+IF($C19="",0,SUMIF('DADOS BRUTOS'!$A$3:$A$500,$C19,'DADOS BRUTOS'!BV$3:BV$500)))</f>
        <v/>
      </c>
      <c r="EW19" s="132">
        <f>IF(OR(EW$4="",$B19=""),0,SUMIF('DADOS BRUTOS'!$A$3:$A$500,$B19,'DADOS BRUTOS'!BW$3:BW$500)+IF($C19="",0,SUMIF('DADOS BRUTOS'!$A$3:$A$500,$C19,'DADOS BRUTOS'!BW$3:BW$500)))</f>
        <v/>
      </c>
      <c r="EX19" s="132">
        <f>IF(OR(EX$4="",$B19=""),0,SUMIF('DADOS BRUTOS'!$A$3:$A$500,$B19,'DADOS BRUTOS'!BX$3:BX$500)+IF($C19="",0,SUMIF('DADOS BRUTOS'!$A$3:$A$500,$C19,'DADOS BRUTOS'!BX$3:BX$500)))</f>
        <v/>
      </c>
      <c r="EY19" s="132">
        <f>IF(OR(EY$4="",$B19=""),0,SUMIF('DADOS BRUTOS'!$A$3:$A$500,$B19,'DADOS BRUTOS'!BY$3:BY$500)+IF($C19="",0,SUMIF('DADOS BRUTOS'!$A$3:$A$500,$C19,'DADOS BRUTOS'!BY$3:BY$500)))</f>
        <v/>
      </c>
      <c r="EZ19" s="132">
        <f>IF(OR(EZ$4="",$B19=""),0,SUMIF('DADOS BRUTOS'!$A$3:$A$500,$B19,'DADOS BRUTOS'!BZ$3:BZ$500)+IF($C19="",0,SUMIF('DADOS BRUTOS'!$A$3:$A$500,$C19,'DADOS BRUTOS'!BZ$3:BZ$500)))</f>
        <v/>
      </c>
      <c r="FA19" s="132">
        <f>IF(OR(FA$4="",$B19=""),0,SUMIF('DADOS BRUTOS'!$A$3:$A$500,$B19,'DADOS BRUTOS'!CA$3:CA$500)+IF($C19="",0,SUMIF('DADOS BRUTOS'!$A$3:$A$500,$C19,'DADOS BRUTOS'!CA$3:CA$500)))</f>
        <v/>
      </c>
      <c r="FB19" s="132">
        <f>IF(OR(FB$4="",$B19=""),0,SUMIF('DADOS BRUTOS'!$A$3:$A$500,$B19,'DADOS BRUTOS'!CB$3:CB$500)+IF($C19="",0,SUMIF('DADOS BRUTOS'!$A$3:$A$500,$C19,'DADOS BRUTOS'!CB$3:CB$500)))</f>
        <v/>
      </c>
      <c r="FC19" s="132">
        <f>IF(OR(FC$4="",$B19=""),0,SUMIF('DADOS BRUTOS'!$A$3:$A$500,$B19,'DADOS BRUTOS'!CC$3:CC$500)+IF($C19="",0,SUMIF('DADOS BRUTOS'!$A$3:$A$500,$C19,'DADOS BRUTOS'!CC$3:CC$500)))</f>
        <v/>
      </c>
      <c r="FD19" s="132">
        <f>IF(OR(FD$4="",$B19=""),0,SUMIF('DADOS BRUTOS'!$A$3:$A$500,$B19,'DADOS BRUTOS'!CD$3:CD$500)+IF($C19="",0,SUMIF('DADOS BRUTOS'!$A$3:$A$500,$C19,'DADOS BRUTOS'!CD$3:CD$500)))</f>
        <v/>
      </c>
      <c r="FE19" s="132">
        <f>IF(OR(FE$4="",$B19=""),0,SUMIF('DADOS BRUTOS'!$A$3:$A$500,$B19,'DADOS BRUTOS'!CE$3:CE$500)+IF($C19="",0,SUMIF('DADOS BRUTOS'!$A$3:$A$500,$C19,'DADOS BRUTOS'!CE$3:CE$500)))</f>
        <v/>
      </c>
      <c r="FF19" s="132">
        <f>IF(OR(FF$4="",$B19=""),0,SUMIF('DADOS BRUTOS'!$A$3:$A$500,$B19,'DADOS BRUTOS'!CF$3:CF$500)+IF($C19="",0,SUMIF('DADOS BRUTOS'!$A$3:$A$500,$C19,'DADOS BRUTOS'!CF$3:CF$500)))</f>
        <v/>
      </c>
      <c r="FG19" s="132">
        <f>IF(OR(FG$4="",$B19=""),0,SUMIF('DADOS BRUTOS'!$A$3:$A$500,$B19,'DADOS BRUTOS'!CG$3:CG$500)+IF($C19="",0,SUMIF('DADOS BRUTOS'!$A$3:$A$500,$C19,'DADOS BRUTOS'!CG$3:CG$500)))</f>
        <v/>
      </c>
      <c r="FH19" s="132">
        <f>IF(OR(FH$4="",$B19=""),0,SUMIF('DADOS BRUTOS'!$A$3:$A$500,$B19,'DADOS BRUTOS'!CH$3:CH$500)+IF($C19="",0,SUMIF('DADOS BRUTOS'!$A$3:$A$500,$C19,'DADOS BRUTOS'!CH$3:CH$500)))</f>
        <v/>
      </c>
      <c r="FI19" s="132">
        <f>IF(OR(FI$4="",$B19=""),0,SUMIF('DADOS BRUTOS'!$A$3:$A$500,$B19,'DADOS BRUTOS'!CI$3:CI$500)+IF($C19="",0,SUMIF('DADOS BRUTOS'!$A$3:$A$500,$C19,'DADOS BRUTOS'!CI$3:CI$500)))</f>
        <v/>
      </c>
      <c r="FJ19" s="132">
        <f>IF(OR(FJ$4="",$B19=""),0,SUMIF('DADOS BRUTOS'!$A$3:$A$500,$B19,'DADOS BRUTOS'!CJ$3:CJ$500)+IF($C19="",0,SUMIF('DADOS BRUTOS'!$A$3:$A$500,$C19,'DADOS BRUTOS'!CJ$3:CJ$500)))</f>
        <v/>
      </c>
      <c r="FK19" s="132">
        <f>IF(OR(FK$4="",$B19=""),0,SUMIF('DADOS BRUTOS'!$A$3:$A$500,$B19,'DADOS BRUTOS'!CK$3:CK$500)+IF($C19="",0,SUMIF('DADOS BRUTOS'!$A$3:$A$500,$C19,'DADOS BRUTOS'!CK$3:CK$500)))</f>
        <v/>
      </c>
      <c r="FL19" s="132">
        <f>IF(OR(FL$4="",$B19=""),0,SUMIF('DADOS BRUTOS'!$A$3:$A$500,$B19,'DADOS BRUTOS'!CL$3:CL$500)+IF($C19="",0,SUMIF('DADOS BRUTOS'!$A$3:$A$500,$C19,'DADOS BRUTOS'!CL$3:CL$500)))</f>
        <v/>
      </c>
      <c r="FM19" s="132">
        <f>IF(OR(FM$4="",$B19=""),0,SUMIF('DADOS BRUTOS'!$A$3:$A$500,$B19,'DADOS BRUTOS'!CM$3:CM$500)+IF($C19="",0,SUMIF('DADOS BRUTOS'!$A$3:$A$500,$C19,'DADOS BRUTOS'!CM$3:CM$500)))</f>
        <v/>
      </c>
      <c r="FN19" s="132">
        <f>IF(OR(FN$4="",$B19=""),0,SUMIF('DADOS BRUTOS'!$A$3:$A$500,$B19,'DADOS BRUTOS'!CN$3:CN$500)+IF($C19="",0,SUMIF('DADOS BRUTOS'!$A$3:$A$500,$C19,'DADOS BRUTOS'!CN$3:CN$500)))</f>
        <v/>
      </c>
      <c r="FO19" s="132">
        <f>IF(OR(FO$4="",$B19=""),0,SUMIF('DADOS BRUTOS'!$A$3:$A$500,$B19,'DADOS BRUTOS'!CO$3:CO$500)+IF($C19="",0,SUMIF('DADOS BRUTOS'!$A$3:$A$500,$C19,'DADOS BRUTOS'!CO$3:CO$500)))</f>
        <v/>
      </c>
      <c r="FP19" s="132">
        <f>IF(OR(FP$4="",$B19=""),0,SUMIF('DADOS BRUTOS'!$A$3:$A$500,$B19,'DADOS BRUTOS'!CP$3:CP$500)+IF($C19="",0,SUMIF('DADOS BRUTOS'!$A$3:$A$500,$C19,'DADOS BRUTOS'!CP$3:CP$500)))</f>
        <v/>
      </c>
      <c r="FQ19" s="132">
        <f>IF(OR(FQ$4="",$B19=""),0,SUMIF('DADOS BRUTOS'!$A$3:$A$500,$B19,'DADOS BRUTOS'!CQ$3:CQ$500)+IF($C19="",0,SUMIF('DADOS BRUTOS'!$A$3:$A$500,$C19,'DADOS BRUTOS'!CQ$3:CQ$500)))</f>
        <v/>
      </c>
      <c r="FR19" s="132">
        <f>IF(OR(FR$4="",$B19=""),0,SUMIF('DADOS BRUTOS'!$A$3:$A$500,$B19,'DADOS BRUTOS'!CR$3:CR$500)+IF($C19="",0,SUMIF('DADOS BRUTOS'!$A$3:$A$500,$C19,'DADOS BRUTOS'!CR$3:CR$500)))</f>
        <v/>
      </c>
      <c r="FS19" s="132">
        <f>IF(OR(FS$4="",$B19=""),0,SUMIF('DADOS BRUTOS'!$A$3:$A$500,$B19,'DADOS BRUTOS'!CS$3:CS$500)+IF($C19="",0,SUMIF('DADOS BRUTOS'!$A$3:$A$500,$C19,'DADOS BRUTOS'!CS$3:CS$500)))</f>
        <v/>
      </c>
      <c r="FT19" s="132">
        <f>IF(OR(FT$4="",$B19=""),0,SUMIF('DADOS BRUTOS'!$A$3:$A$500,$B19,'DADOS BRUTOS'!CT$3:CT$500)+IF($C19="",0,SUMIF('DADOS BRUTOS'!$A$3:$A$500,$C19,'DADOS BRUTOS'!CT$3:CT$500)))</f>
        <v/>
      </c>
      <c r="FU19" s="132">
        <f>IF(OR(FU$4="",$B19=""),0,SUMIF('DADOS BRUTOS'!$A$3:$A$500,$B19,'DADOS BRUTOS'!CU$3:CU$500)+IF($C19="",0,SUMIF('DADOS BRUTOS'!$A$3:$A$500,$C19,'DADOS BRUTOS'!CU$3:CU$500)))</f>
        <v/>
      </c>
      <c r="FV19" s="132">
        <f>IF(OR(FV$4="",$B19=""),0,SUMIF('DADOS BRUTOS'!$A$3:$A$500,$B19,'DADOS BRUTOS'!CV$3:CV$500)+IF($C19="",0,SUMIF('DADOS BRUTOS'!$A$3:$A$500,$C19,'DADOS BRUTOS'!CV$3:CV$500)))</f>
        <v/>
      </c>
      <c r="FW19" s="132">
        <f>IF(OR(FW$4="",$B19=""),0,SUMIF('DADOS BRUTOS'!$A$3:$A$500,$B19,'DADOS BRUTOS'!CW$3:CW$500)+IF($C19="",0,SUMIF('DADOS BRUTOS'!$A$3:$A$500,$C19,'DADOS BRUTOS'!CW$3:CW$500)))</f>
        <v/>
      </c>
      <c r="FX19" s="132">
        <f>IF(OR(FX$4="",$B19=""),0,SUMIF('DADOS BRUTOS'!$A$3:$A$500,$B19,'DADOS BRUTOS'!CX$3:CX$500)+IF($C19="",0,SUMIF('DADOS BRUTOS'!$A$3:$A$500,$C19,'DADOS BRUTOS'!CX$3:CX$500)))</f>
        <v/>
      </c>
      <c r="FY19" s="132">
        <f>IF(OR(FY$4="",$B19=""),0,SUMIF('DADOS BRUTOS'!$A$3:$A$500,$B19,'DADOS BRUTOS'!CY$3:CY$500)+IF($C19="",0,SUMIF('DADOS BRUTOS'!$A$3:$A$500,$C19,'DADOS BRUTOS'!CY$3:CY$500)))</f>
        <v/>
      </c>
      <c r="FZ19" s="132">
        <f>IF(OR(FZ$4="",$B19=""),0,SUMIF('DADOS BRUTOS'!$A$3:$A$500,$B19,'DADOS BRUTOS'!CZ$3:CZ$500)+IF($C19="",0,SUMIF('DADOS BRUTOS'!$A$3:$A$500,$C19,'DADOS BRUTOS'!CZ$3:CZ$500)))</f>
        <v/>
      </c>
      <c r="GA19" s="132">
        <f>IF(OR(GA$4="",$B19=""),0,SUMIF('DADOS BRUTOS'!$A$3:$A$500,$B19,'DADOS BRUTOS'!DA$3:DA$500)+IF($C19="",0,SUMIF('DADOS BRUTOS'!$A$3:$A$500,$C19,'DADOS BRUTOS'!DA$3:DA$500)))</f>
        <v/>
      </c>
      <c r="GB19" s="132">
        <f>IF(OR(GB$4="",$B19=""),0,SUMIF('DADOS BRUTOS'!$A$3:$A$500,$B19,'DADOS BRUTOS'!DB$3:DB$500)+IF($C19="",0,SUMIF('DADOS BRUTOS'!$A$3:$A$500,$C19,'DADOS BRUTOS'!DB$3:DB$500)))</f>
        <v/>
      </c>
      <c r="GC19" s="132">
        <f>IF(OR(GC$4="",$B19=""),0,SUMIF('DADOS BRUTOS'!$A$3:$A$500,$B19,'DADOS BRUTOS'!DC$3:DC$500)+IF($C19="",0,SUMIF('DADOS BRUTOS'!$A$3:$A$500,$C19,'DADOS BRUTOS'!DC$3:DC$500)))</f>
        <v/>
      </c>
      <c r="GD19" s="132">
        <f>IF(OR(GD$4="",$B19=""),0,SUMIF('DADOS BRUTOS'!$A$3:$A$500,$B19,'DADOS BRUTOS'!DD$3:DD$500)+IF($C19="",0,SUMIF('DADOS BRUTOS'!$A$3:$A$500,$C19,'DADOS BRUTOS'!DD$3:DD$500)))</f>
        <v/>
      </c>
      <c r="GE19" s="132">
        <f>IF(OR(GE$4="",$B19=""),0,SUMIF('DADOS BRUTOS'!$A$3:$A$500,$B19,'DADOS BRUTOS'!DE$3:DE$500)+IF($C19="",0,SUMIF('DADOS BRUTOS'!$A$3:$A$500,$C19,'DADOS BRUTOS'!DE$3:DE$500)))</f>
        <v/>
      </c>
      <c r="GF19" s="132">
        <f>IF(OR(GF$4="",$B19=""),0,SUMIF('DADOS BRUTOS'!$A$3:$A$500,$B19,'DADOS BRUTOS'!DF$3:DF$500)+IF($C19="",0,SUMIF('DADOS BRUTOS'!$A$3:$A$500,$C19,'DADOS BRUTOS'!DF$3:DF$500)))</f>
        <v/>
      </c>
      <c r="GG19" s="132">
        <f>IF(OR(GG$4="",$B19=""),0,SUMIF('DADOS BRUTOS'!$A$3:$A$500,$B19,'DADOS BRUTOS'!DG$3:DG$500)+IF($C19="",0,SUMIF('DADOS BRUTOS'!$A$3:$A$500,$C19,'DADOS BRUTOS'!DG$3:DG$500)))</f>
        <v/>
      </c>
      <c r="GH19" s="132">
        <f>IF(OR(GH$4="",$B19=""),0,SUMIF('DADOS BRUTOS'!$A$3:$A$500,$B19,'DADOS BRUTOS'!DH$3:DH$500)+IF($C19="",0,SUMIF('DADOS BRUTOS'!$A$3:$A$500,$C19,'DADOS BRUTOS'!DH$3:DH$500)))</f>
        <v/>
      </c>
      <c r="GI19" s="132">
        <f>IF(OR(GI$4="",$B19=""),0,SUMIF('DADOS BRUTOS'!$A$3:$A$500,$B19,'DADOS BRUTOS'!DI$3:DI$500)+IF($C19="",0,SUMIF('DADOS BRUTOS'!$A$3:$A$500,$C19,'DADOS BRUTOS'!DI$3:DI$500)))</f>
        <v/>
      </c>
      <c r="GJ19" s="132">
        <f>IF(OR(GJ$4="",$B19=""),0,SUMIF('DADOS BRUTOS'!$A$3:$A$500,$B19,'DADOS BRUTOS'!DJ$3:DJ$500)+IF($C19="",0,SUMIF('DADOS BRUTOS'!$A$3:$A$500,$C19,'DADOS BRUTOS'!DJ$3:DJ$500)))</f>
        <v/>
      </c>
      <c r="GK19" s="132">
        <f>IF(OR(GK$4="",$B19=""),0,SUMIF('DADOS BRUTOS'!$A$3:$A$500,$B19,'DADOS BRUTOS'!DK$3:DK$500)+IF($C19="",0,SUMIF('DADOS BRUTOS'!$A$3:$A$500,$C19,'DADOS BRUTOS'!DK$3:DK$500)))</f>
        <v/>
      </c>
      <c r="GL19" s="132">
        <f>IF(OR(GL$4="",$B19=""),0,SUMIF('DADOS BRUTOS'!$A$3:$A$500,$B19,'DADOS BRUTOS'!DL$3:DL$500)+IF($C19="",0,SUMIF('DADOS BRUTOS'!$A$3:$A$500,$C19,'DADOS BRUTOS'!DL$3:DL$500)))</f>
        <v/>
      </c>
      <c r="GM19" s="132">
        <f>IF(OR(GM$4="",$B19=""),0,SUMIF('DADOS BRUTOS'!$A$3:$A$500,$B19,'DADOS BRUTOS'!DM$3:DM$500)+IF($C19="",0,SUMIF('DADOS BRUTOS'!$A$3:$A$500,$C19,'DADOS BRUTOS'!DM$3:DM$500)))</f>
        <v/>
      </c>
      <c r="GN19" s="132">
        <f>IF(OR(GN$4="",$B19=""),0,SUMIF('DADOS BRUTOS'!$A$3:$A$500,$B19,'DADOS BRUTOS'!DN$3:DN$500)+IF($C19="",0,SUMIF('DADOS BRUTOS'!$A$3:$A$500,$C19,'DADOS BRUTOS'!DN$3:DN$500)))</f>
        <v/>
      </c>
      <c r="GO19" s="132">
        <f>IF(OR(GO$4="",$B19=""),0,SUMIF('DADOS BRUTOS'!$A$3:$A$500,$B19,'DADOS BRUTOS'!DO$3:DO$500)+IF($C19="",0,SUMIF('DADOS BRUTOS'!$A$3:$A$500,$C19,'DADOS BRUTOS'!DO$3:DO$500)))</f>
        <v/>
      </c>
      <c r="GP19" s="132">
        <f>IF(OR(GP$4="",$B19=""),0,SUMIF('DADOS BRUTOS'!$A$3:$A$500,$B19,'DADOS BRUTOS'!DP$3:DP$500)+IF($C19="",0,SUMIF('DADOS BRUTOS'!$A$3:$A$500,$C19,'DADOS BRUTOS'!DP$3:DP$500)))</f>
        <v/>
      </c>
      <c r="GQ19" s="132">
        <f>IF(OR(GQ$4="",$B19=""),0,SUMIF('DADOS BRUTOS'!$A$3:$A$500,$B19,'DADOS BRUTOS'!DQ$3:DQ$500)+IF($C19="",0,SUMIF('DADOS BRUTOS'!$A$3:$A$500,$C19,'DADOS BRUTOS'!DQ$3:DQ$500)))</f>
        <v/>
      </c>
      <c r="GR19" s="132">
        <f>IF(OR(GR$4="",$B19=""),0,SUMIF('DADOS BRUTOS'!$A$3:$A$500,$B19,'DADOS BRUTOS'!DR$3:DR$500)+IF($C19="",0,SUMIF('DADOS BRUTOS'!$A$3:$A$500,$C19,'DADOS BRUTOS'!DR$3:DR$500)))</f>
        <v/>
      </c>
      <c r="GS19" s="132">
        <f>IF(OR(GS$4="",$B19=""),0,SUMIF('DADOS BRUTOS'!$A$3:$A$500,$B19,'DADOS BRUTOS'!DS$3:DS$500)+IF($C19="",0,SUMIF('DADOS BRUTOS'!$A$3:$A$500,$C19,'DADOS BRUTOS'!DS$3:DS$500)))</f>
        <v/>
      </c>
      <c r="GT19" s="132">
        <f>IF(OR(GT$4="",$B19=""),0,SUMIF('DADOS BRUTOS'!$A$3:$A$500,$B19,'DADOS BRUTOS'!DT$3:DT$500)+IF($C19="",0,SUMIF('DADOS BRUTOS'!$A$3:$A$500,$C19,'DADOS BRUTOS'!DT$3:DT$500)))</f>
        <v/>
      </c>
      <c r="GU19" s="132">
        <f>IF(OR(GU$4="",$B19=""),0,SUMIF('DADOS BRUTOS'!$A$3:$A$500,$B19,'DADOS BRUTOS'!DU$3:DU$500)+IF($C19="",0,SUMIF('DADOS BRUTOS'!$A$3:$A$500,$C19,'DADOS BRUTOS'!DU$3:DU$500)))</f>
        <v/>
      </c>
      <c r="GV19" s="132">
        <f>IF(OR(GV$4="",$B19=""),0,SUMIF('DADOS BRUTOS'!$A$3:$A$500,$B19,'DADOS BRUTOS'!DV$3:DV$500)+IF($C19="",0,SUMIF('DADOS BRUTOS'!$A$3:$A$500,$C19,'DADOS BRUTOS'!DV$3:DV$500)))</f>
        <v/>
      </c>
      <c r="GW19" s="132">
        <f>IF(OR(GW$4="",$B19=""),0,SUMIF('DADOS BRUTOS'!$A$3:$A$500,$B19,'DADOS BRUTOS'!DW$3:DW$500)+IF($C19="",0,SUMIF('DADOS BRUTOS'!$A$3:$A$500,$C19,'DADOS BRUTOS'!DW$3:DW$500)))</f>
        <v/>
      </c>
      <c r="GX19" s="132">
        <f>IF(OR(GX$4="",$B19=""),0,SUMIF('DADOS BRUTOS'!$A$3:$A$500,$B19,'DADOS BRUTOS'!DX$3:DX$500)+IF($C19="",0,SUMIF('DADOS BRUTOS'!$A$3:$A$500,$C19,'DADOS BRUTOS'!DX$3:DX$500)))</f>
        <v/>
      </c>
      <c r="GY19" s="132">
        <f>IF(OR(GY$4="",$B19=""),0,SUMIF('DADOS BRUTOS'!$A$3:$A$500,$B19,'DADOS BRUTOS'!DY$3:DY$500)+IF($C19="",0,SUMIF('DADOS BRUTOS'!$A$3:$A$500,$C19,'DADOS BRUTOS'!DY$3:DY$500)))</f>
        <v/>
      </c>
      <c r="GZ19" s="132">
        <f>IF(OR(GZ$4="",$B19=""),0,SUMIF('DADOS BRUTOS'!$A$3:$A$500,$B19,'DADOS BRUTOS'!DZ$3:DZ$500)+IF($C19="",0,SUMIF('DADOS BRUTOS'!$A$3:$A$500,$C19,'DADOS BRUTOS'!DZ$3:DZ$500)))</f>
        <v/>
      </c>
      <c r="HA19" s="132">
        <f>IF(OR(HA$4="",$B19=""),0,SUMIF('DADOS BRUTOS'!$A$3:$A$500,$B19,'DADOS BRUTOS'!EA$3:EA$500)+IF($C19="",0,SUMIF('DADOS BRUTOS'!$A$3:$A$500,$C19,'DADOS BRUTOS'!EA$3:EA$500)))</f>
        <v/>
      </c>
      <c r="HB19" s="132">
        <f>IF(OR(HB$4="",$B19=""),0,SUMIF('DADOS BRUTOS'!$A$3:$A$500,$B19,'DADOS BRUTOS'!EB$3:EB$500)+IF($C19="",0,SUMIF('DADOS BRUTOS'!$A$3:$A$500,$C19,'DADOS BRUTOS'!EB$3:EB$500)))</f>
        <v/>
      </c>
      <c r="HC19" s="132">
        <f>IF(OR(HC$4="",$B19=""),0,SUMIF('DADOS BRUTOS'!$A$3:$A$500,$B19,'DADOS BRUTOS'!EC$3:EC$500)+IF($C19="",0,SUMIF('DADOS BRUTOS'!$A$3:$A$500,$C19,'DADOS BRUTOS'!EC$3:EC$500)))</f>
        <v/>
      </c>
      <c r="HD19" s="132">
        <f>IF(OR(HD$4="",$B19=""),0,SUMIF('DADOS BRUTOS'!$A$3:$A$500,$B19,'DADOS BRUTOS'!ED$3:ED$500)+IF($C19="",0,SUMIF('DADOS BRUTOS'!$A$3:$A$500,$C19,'DADOS BRUTOS'!ED$3:ED$500)))</f>
        <v/>
      </c>
      <c r="HE19" s="132">
        <f>IF(OR(HE$4="",$B19=""),0,SUMIF('DADOS BRUTOS'!$A$3:$A$500,$B19,'DADOS BRUTOS'!EE$3:EE$500)+IF($C19="",0,SUMIF('DADOS BRUTOS'!$A$3:$A$500,$C19,'DADOS BRUTOS'!EE$3:EE$500)))</f>
        <v/>
      </c>
      <c r="HF19" s="132">
        <f>IF(OR(HF$4="",$B19=""),0,SUMIF('DADOS BRUTOS'!$A$3:$A$500,$B19,'DADOS BRUTOS'!EF$3:EF$500)+IF($C19="",0,SUMIF('DADOS BRUTOS'!$A$3:$A$500,$C19,'DADOS BRUTOS'!EF$3:EF$500)))</f>
        <v/>
      </c>
      <c r="HG19" s="132">
        <f>IF(OR(HG$4="",$B19=""),0,SUMIF('DADOS BRUTOS'!$A$3:$A$500,$B19,'DADOS BRUTOS'!EG$3:EG$500)+IF($C19="",0,SUMIF('DADOS BRUTOS'!$A$3:$A$500,$C19,'DADOS BRUTOS'!EG$3:EG$500)))</f>
        <v/>
      </c>
      <c r="HH19" s="132">
        <f>IF(OR(HH$4="",$B19=""),0,SUMIF('DADOS BRUTOS'!$A$3:$A$500,$B19,'DADOS BRUTOS'!EH$3:EH$500)+IF($C19="",0,SUMIF('DADOS BRUTOS'!$A$3:$A$500,$C19,'DADOS BRUTOS'!EH$3:EH$500)))</f>
        <v/>
      </c>
      <c r="HI19" s="132">
        <f>IF(OR(HI$4="",$B19=""),0,SUMIF('DADOS BRUTOS'!$A$3:$A$500,$B19,'DADOS BRUTOS'!EI$3:EI$500)+IF($C19="",0,SUMIF('DADOS BRUTOS'!$A$3:$A$500,$C19,'DADOS BRUTOS'!EI$3:EI$500)))</f>
        <v/>
      </c>
      <c r="HJ19" s="132">
        <f>IF(OR(HJ$4="",$B19=""),0,SUMIF('DADOS BRUTOS'!$A$3:$A$500,$B19,'DADOS BRUTOS'!EJ$3:EJ$500)+IF($C19="",0,SUMIF('DADOS BRUTOS'!$A$3:$A$500,$C19,'DADOS BRUTOS'!EJ$3:EJ$500)))</f>
        <v/>
      </c>
      <c r="HK19" s="132">
        <f>IF(OR(HK$4="",$B19=""),0,SUMIF('DADOS BRUTOS'!$A$3:$A$500,$B19,'DADOS BRUTOS'!EK$3:EK$500)+IF($C19="",0,SUMIF('DADOS BRUTOS'!$A$3:$A$500,$C19,'DADOS BRUTOS'!EK$3:EK$500)))</f>
        <v/>
      </c>
      <c r="HL19" s="132">
        <f>IF(OR(HL$4="",$B19=""),0,SUMIF('DADOS BRUTOS'!$A$3:$A$500,$B19,'DADOS BRUTOS'!EL$3:EL$500)+IF($C19="",0,SUMIF('DADOS BRUTOS'!$A$3:$A$500,$C19,'DADOS BRUTOS'!EL$3:EL$500)))</f>
        <v/>
      </c>
      <c r="HM19" s="132">
        <f>IF(OR(HM$4="",$B19=""),0,SUMIF('DADOS BRUTOS'!$A$3:$A$500,$B19,'DADOS BRUTOS'!EM$3:EM$500)+IF($C19="",0,SUMIF('DADOS BRUTOS'!$A$3:$A$500,$C19,'DADOS BRUTOS'!EM$3:EM$500)))</f>
        <v/>
      </c>
      <c r="HN19" s="132">
        <f>IF(OR(HN$4="",$B19=""),0,SUMIF('DADOS BRUTOS'!$A$3:$A$500,$B19,'DADOS BRUTOS'!EN$3:EN$500)+IF($C19="",0,SUMIF('DADOS BRUTOS'!$A$3:$A$500,$C19,'DADOS BRUTOS'!EN$3:EN$500)))</f>
        <v/>
      </c>
      <c r="HO19" s="132">
        <f>IF(OR(HO$4="",$B19=""),0,SUMIF('DADOS BRUTOS'!$A$3:$A$500,$B19,'DADOS BRUTOS'!EO$3:EO$500)+IF($C19="",0,SUMIF('DADOS BRUTOS'!$A$3:$A$500,$C19,'DADOS BRUTOS'!EO$3:EO$500)))</f>
        <v/>
      </c>
      <c r="HP19" s="132">
        <f>IF(OR(HP$4="",$B19=""),0,SUMIF('DADOS BRUTOS'!$A$3:$A$500,$B19,'DADOS BRUTOS'!EP$3:EP$500)+IF($C19="",0,SUMIF('DADOS BRUTOS'!$A$3:$A$500,$C19,'DADOS BRUTOS'!EP$3:EP$500)))</f>
        <v/>
      </c>
      <c r="HQ19" s="132">
        <f>IF(OR(HQ$4="",$B19=""),0,SUMIF('DADOS BRUTOS'!$A$3:$A$500,$B19,'DADOS BRUTOS'!EQ$3:EQ$500)+IF($C19="",0,SUMIF('DADOS BRUTOS'!$A$3:$A$500,$C19,'DADOS BRUTOS'!EQ$3:EQ$500)))</f>
        <v/>
      </c>
      <c r="HR19" s="132">
        <f>IF(OR(HR$4="",$B19=""),0,SUMIF('DADOS BRUTOS'!$A$3:$A$500,$B19,'DADOS BRUTOS'!ER$3:ER$500)+IF($C19="",0,SUMIF('DADOS BRUTOS'!$A$3:$A$500,$C19,'DADOS BRUTOS'!ER$3:ER$500)))</f>
        <v/>
      </c>
      <c r="HS19" s="132">
        <f>IF(OR(HS$4="",$B19=""),0,SUMIF('DADOS BRUTOS'!$A$3:$A$500,$B19,'DADOS BRUTOS'!ES$3:ES$500)+IF($C19="",0,SUMIF('DADOS BRUTOS'!$A$3:$A$500,$C19,'DADOS BRUTOS'!ES$3:ES$500)))</f>
        <v/>
      </c>
      <c r="HT19" s="132">
        <f>IF(OR(HT$4="",$B19=""),0,SUMIF('DADOS BRUTOS'!$A$3:$A$500,$B19,'DADOS BRUTOS'!ET$3:ET$500)+IF($C19="",0,SUMIF('DADOS BRUTOS'!$A$3:$A$500,$C19,'DADOS BRUTOS'!ET$3:ET$500)))</f>
        <v/>
      </c>
      <c r="HU19" s="132">
        <f>IF(OR(HU$4="",$B19=""),0,SUMIF('DADOS BRUTOS'!$A$3:$A$500,$B19,'DADOS BRUTOS'!EU$3:EU$500)+IF($C19="",0,SUMIF('DADOS BRUTOS'!$A$3:$A$500,$C19,'DADOS BRUTOS'!EU$3:EU$500)))</f>
        <v/>
      </c>
      <c r="HV19" s="132">
        <f>IF(OR(HV$4="",$B19=""),0,SUMIF('DADOS BRUTOS'!$A$3:$A$500,$B19,'DADOS BRUTOS'!EV$3:EV$500)+IF($C19="",0,SUMIF('DADOS BRUTOS'!$A$3:$A$500,$C19,'DADOS BRUTOS'!EV$3:EV$500)))</f>
        <v/>
      </c>
      <c r="HW19" s="132">
        <f>IF(OR(HW$4="",$B19=""),0,SUMIF('DADOS BRUTOS'!$A$3:$A$500,$B19,'DADOS BRUTOS'!EW$3:EW$500)+IF($C19="",0,SUMIF('DADOS BRUTOS'!$A$3:$A$500,$C19,'DADOS BRUTOS'!EW$3:EW$500)))</f>
        <v/>
      </c>
      <c r="HX19" s="132">
        <f>IF(OR(HX$4="",$B19=""),0,SUMIF('DADOS BRUTOS'!$A$3:$A$500,$B19,'DADOS BRUTOS'!EX$3:EX$500)+IF($C19="",0,SUMIF('DADOS BRUTOS'!$A$3:$A$500,$C19,'DADOS BRUTOS'!EX$3:EX$500)))</f>
        <v/>
      </c>
      <c r="HY19" s="132">
        <f>IF(OR(HY$4="",$B19=""),0,SUMIF('DADOS BRUTOS'!$A$3:$A$500,$B19,'DADOS BRUTOS'!EY$3:EY$500)+IF($C19="",0,SUMIF('DADOS BRUTOS'!$A$3:$A$500,$C19,'DADOS BRUTOS'!EY$3:EY$500)))</f>
        <v/>
      </c>
      <c r="HZ19" s="132">
        <f>IF(OR(HZ$4="",$B19=""),0,SUMIF('DADOS BRUTOS'!$A$3:$A$500,$B19,'DADOS BRUTOS'!EZ$3:EZ$500)+IF($C19="",0,SUMIF('DADOS BRUTOS'!$A$3:$A$500,$C19,'DADOS BRUTOS'!EZ$3:EZ$500)))</f>
        <v/>
      </c>
      <c r="IA19" s="132">
        <f>IF(OR(IA$4="",$B19=""),0,SUMIF('DADOS BRUTOS'!$A$3:$A$500,$B19,'DADOS BRUTOS'!FA$3:FA$500)+IF($C19="",0,SUMIF('DADOS BRUTOS'!$A$3:$A$500,$C19,'DADOS BRUTOS'!FA$3:FA$500)))</f>
        <v/>
      </c>
      <c r="IB19" s="132">
        <f>IF(OR(IB$4="",$B19=""),0,SUMIF('DADOS BRUTOS'!$A$3:$A$500,$B19,'DADOS BRUTOS'!FB$3:FB$500)+IF($C19="",0,SUMIF('DADOS BRUTOS'!$A$3:$A$500,$C19,'DADOS BRUTOS'!FB$3:FB$500)))</f>
        <v/>
      </c>
      <c r="IC19" s="132">
        <f>IF(OR(IC$4="",$B19=""),0,SUMIF('DADOS BRUTOS'!$A$3:$A$500,$B19,'DADOS BRUTOS'!FC$3:FC$500)+IF($C19="",0,SUMIF('DADOS BRUTOS'!$A$3:$A$500,$C19,'DADOS BRUTOS'!FC$3:FC$500)))</f>
        <v/>
      </c>
      <c r="ID19" s="132">
        <f>IF(OR(ID$4="",$B19=""),0,SUMIF('DADOS BRUTOS'!$A$3:$A$500,$B19,'DADOS BRUTOS'!FD$3:FD$500)+IF($C19="",0,SUMIF('DADOS BRUTOS'!$A$3:$A$500,$C19,'DADOS BRUTOS'!FD$3:FD$500)))</f>
        <v/>
      </c>
      <c r="IE19" s="132">
        <f>IF(OR(IE$4="",$B19=""),0,SUMIF('DADOS BRUTOS'!$A$3:$A$500,$B19,'DADOS BRUTOS'!FE$3:FE$500)+IF($C19="",0,SUMIF('DADOS BRUTOS'!$A$3:$A$500,$C19,'DADOS BRUTOS'!FE$3:FE$500)))</f>
        <v/>
      </c>
      <c r="IF19" s="132">
        <f>IF(OR(IF$4="",$B19=""),0,SUMIF('DADOS BRUTOS'!$A$3:$A$500,$B19,'DADOS BRUTOS'!FF$3:FF$500)+IF($C19="",0,SUMIF('DADOS BRUTOS'!$A$3:$A$500,$C19,'DADOS BRUTOS'!FF$3:FF$500)))</f>
        <v/>
      </c>
      <c r="IG19" s="132">
        <f>IF(OR(IG$4="",$B19=""),0,SUMIF('DADOS BRUTOS'!$A$3:$A$500,$B19,'DADOS BRUTOS'!FG$3:FG$500)+IF($C19="",0,SUMIF('DADOS BRUTOS'!$A$3:$A$500,$C19,'DADOS BRUTOS'!FG$3:FG$500)))</f>
        <v/>
      </c>
      <c r="IH19" s="132">
        <f>IF(OR(IH$4="",$B19=""),0,SUMIF('DADOS BRUTOS'!$A$3:$A$500,$B19,'DADOS BRUTOS'!FH$3:FH$500)+IF($C19="",0,SUMIF('DADOS BRUTOS'!$A$3:$A$500,$C19,'DADOS BRUTOS'!FH$3:FH$500)))</f>
        <v/>
      </c>
      <c r="II19" s="132">
        <f>IF(OR(II$4="",$B19=""),0,SUMIF('DADOS BRUTOS'!$A$3:$A$500,$B19,'DADOS BRUTOS'!FI$3:FI$500)+IF($C19="",0,SUMIF('DADOS BRUTOS'!$A$3:$A$500,$C19,'DADOS BRUTOS'!FI$3:FI$500)))</f>
        <v/>
      </c>
      <c r="IJ19" s="132">
        <f>IF(OR(IJ$4="",$B19=""),0,SUMIF('DADOS BRUTOS'!$A$3:$A$500,$B19,'DADOS BRUTOS'!FJ$3:FJ$500)+IF($C19="",0,SUMIF('DADOS BRUTOS'!$A$3:$A$500,$C19,'DADOS BRUTOS'!FJ$3:FJ$500)))</f>
        <v/>
      </c>
      <c r="IK19" s="132">
        <f>IF(OR(IK$4="",$B19=""),0,SUMIF('DADOS BRUTOS'!$A$3:$A$500,$B19,'DADOS BRUTOS'!FK$3:FK$500)+IF($C19="",0,SUMIF('DADOS BRUTOS'!$A$3:$A$500,$C19,'DADOS BRUTOS'!FK$3:FK$500)))</f>
        <v/>
      </c>
      <c r="IL19" s="132">
        <f>IF(OR(IL$4="",$B19=""),0,SUMIF('DADOS BRUTOS'!$A$3:$A$500,$B19,'DADOS BRUTOS'!FL$3:FL$500)+IF($C19="",0,SUMIF('DADOS BRUTOS'!$A$3:$A$500,$C19,'DADOS BRUTOS'!FL$3:FL$500)))</f>
        <v/>
      </c>
      <c r="IM19" s="132">
        <f>IF(OR(IM$4="",$B19=""),0,SUMIF('DADOS BRUTOS'!$A$3:$A$500,$B19,'DADOS BRUTOS'!FM$3:FM$500)+IF($C19="",0,SUMIF('DADOS BRUTOS'!$A$3:$A$500,$C19,'DADOS BRUTOS'!FM$3:FM$500)))</f>
        <v/>
      </c>
      <c r="IN19" s="132">
        <f>IF(OR(IN$4="",$B19=""),0,SUMIF('DADOS BRUTOS'!$A$3:$A$500,$B19,'DADOS BRUTOS'!FN$3:FN$500)+IF($C19="",0,SUMIF('DADOS BRUTOS'!$A$3:$A$500,$C19,'DADOS BRUTOS'!FN$3:FN$500)))</f>
        <v/>
      </c>
      <c r="IO19" s="132">
        <f>IF(OR(IO$4="",$B19=""),0,SUMIF('DADOS BRUTOS'!$A$3:$A$500,$B19,'DADOS BRUTOS'!FO$3:FO$500)+IF($C19="",0,SUMIF('DADOS BRUTOS'!$A$3:$A$500,$C19,'DADOS BRUTOS'!FO$3:FO$500)))</f>
        <v/>
      </c>
      <c r="IP19" s="132">
        <f>IF(OR(IP$4="",$B19=""),0,SUMIF('DADOS BRUTOS'!$A$3:$A$500,$B19,'DADOS BRUTOS'!FP$3:FP$500)+IF($C19="",0,SUMIF('DADOS BRUTOS'!$A$3:$A$500,$C19,'DADOS BRUTOS'!FP$3:FP$500)))</f>
        <v/>
      </c>
      <c r="IQ19" s="132">
        <f>IF(OR(IQ$4="",$B19=""),0,SUMIF('DADOS BRUTOS'!$A$3:$A$500,$B19,'DADOS BRUTOS'!FQ$3:FQ$500)+IF($C19="",0,SUMIF('DADOS BRUTOS'!$A$3:$A$500,$C19,'DADOS BRUTOS'!FQ$3:FQ$500)))</f>
        <v/>
      </c>
      <c r="IR19" s="132">
        <f>IF(OR(IR$4="",$B19=""),0,SUMIF('DADOS BRUTOS'!$A$3:$A$500,$B19,'DADOS BRUTOS'!FR$3:FR$500)+IF($C19="",0,SUMIF('DADOS BRUTOS'!$A$3:$A$500,$C19,'DADOS BRUTOS'!FR$3:FR$500)))</f>
        <v/>
      </c>
      <c r="IS19" s="132">
        <f>IF(OR(IS$4="",$B19=""),0,SUMIF('DADOS BRUTOS'!$A$3:$A$500,$B19,'DADOS BRUTOS'!FS$3:FS$500)+IF($C19="",0,SUMIF('DADOS BRUTOS'!$A$3:$A$500,$C19,'DADOS BRUTOS'!FS$3:FS$500)))</f>
        <v/>
      </c>
      <c r="IT19" s="132">
        <f>IF(OR(IT$4="",$B19=""),0,SUMIF('DADOS BRUTOS'!$A$3:$A$500,$B19,'DADOS BRUTOS'!FT$3:FT$500)+IF($C19="",0,SUMIF('DADOS BRUTOS'!$A$3:$A$500,$C19,'DADOS BRUTOS'!FT$3:FT$500)))</f>
        <v/>
      </c>
      <c r="IU19" s="132">
        <f>IF(OR(IU$4="",$B19=""),0,SUMIF('DADOS BRUTOS'!$A$3:$A$500,$B19,'DADOS BRUTOS'!FU$3:FU$500)+IF($C19="",0,SUMIF('DADOS BRUTOS'!$A$3:$A$500,$C19,'DADOS BRUTOS'!FU$3:FU$500)))</f>
        <v/>
      </c>
      <c r="IV19" s="132">
        <f>IF(OR(IV$4="",$B19=""),0,SUMIF('DADOS BRUTOS'!$A$3:$A$500,$B19,'DADOS BRUTOS'!FV$3:FV$500)+IF($C19="",0,SUMIF('DADOS BRUTOS'!$A$3:$A$500,$C19,'DADOS BRUTOS'!FV$3:FV$500)))</f>
        <v/>
      </c>
      <c r="IW19" s="132">
        <f>IF(OR(IW$4="",$B19=""),0,SUMIF('DADOS BRUTOS'!$A$3:$A$500,$B19,'DADOS BRUTOS'!FW$3:FW$500)+IF($C19="",0,SUMIF('DADOS BRUTOS'!$A$3:$A$500,$C19,'DADOS BRUTOS'!FW$3:FW$500)))</f>
        <v/>
      </c>
      <c r="IX19" s="132">
        <f>IF(OR(IX$4="",$B19=""),0,SUMIF('DADOS BRUTOS'!$A$3:$A$500,$B19,'DADOS BRUTOS'!FX$3:FX$500)+IF($C19="",0,SUMIF('DADOS BRUTOS'!$A$3:$A$500,$C19,'DADOS BRUTOS'!FX$3:FX$500)))</f>
        <v/>
      </c>
      <c r="IY19" s="132">
        <f>IF(OR(IY$4="",$B19=""),0,SUMIF('DADOS BRUTOS'!$A$3:$A$500,$B19,'DADOS BRUTOS'!FY$3:FY$500)+IF($C19="",0,SUMIF('DADOS BRUTOS'!$A$3:$A$500,$C19,'DADOS BRUTOS'!FY$3:FY$500)))</f>
        <v/>
      </c>
      <c r="IZ19" s="132">
        <f>IF(OR(IZ$4="",$B19=""),0,SUMIF('DADOS BRUTOS'!$A$3:$A$500,$B19,'DADOS BRUTOS'!FZ$3:FZ$500)+IF($C19="",0,SUMIF('DADOS BRUTOS'!$A$3:$A$500,$C19,'DADOS BRUTOS'!FZ$3:FZ$500)))</f>
        <v/>
      </c>
      <c r="JA19" s="132">
        <f>IF(OR(JA$4="",$B19=""),0,SUMIF('DADOS BRUTOS'!$A$3:$A$500,$B19,'DADOS BRUTOS'!GA$3:GA$500)+IF($C19="",0,SUMIF('DADOS BRUTOS'!$A$3:$A$500,$C19,'DADOS BRUTOS'!GA$3:GA$500)))</f>
        <v/>
      </c>
      <c r="JB19" s="132">
        <f>IF(OR(JB$4="",$B19=""),0,SUMIF('DADOS BRUTOS'!$A$3:$A$500,$B19,'DADOS BRUTOS'!GB$3:GB$500)+IF($C19="",0,SUMIF('DADOS BRUTOS'!$A$3:$A$500,$C19,'DADOS BRUTOS'!GB$3:GB$500)))</f>
        <v/>
      </c>
      <c r="JC19" s="132">
        <f>IF(OR(JC$4="",$B19=""),0,SUMIF('DADOS BRUTOS'!$A$3:$A$500,$B19,'DADOS BRUTOS'!GC$3:GC$500)+IF($C19="",0,SUMIF('DADOS BRUTOS'!$A$3:$A$500,$C19,'DADOS BRUTOS'!GC$3:GC$500)))</f>
        <v/>
      </c>
      <c r="JD19" s="132">
        <f>IF(OR(JD$4="",$B19=""),0,SUMIF('DADOS BRUTOS'!$A$3:$A$500,$B19,'DADOS BRUTOS'!GD$3:GD$500)+IF($C19="",0,SUMIF('DADOS BRUTOS'!$A$3:$A$500,$C19,'DADOS BRUTOS'!GD$3:GD$500)))</f>
        <v/>
      </c>
      <c r="JE19" s="132">
        <f>IF(OR(JE$4="",$B19=""),0,SUMIF('DADOS BRUTOS'!$A$3:$A$500,$B19,'DADOS BRUTOS'!GE$3:GE$500)+IF($C19="",0,SUMIF('DADOS BRUTOS'!$A$3:$A$500,$C19,'DADOS BRUTOS'!GE$3:GE$500)))</f>
        <v/>
      </c>
      <c r="JF19" s="132">
        <f>IF(OR(JF$4="",$B19=""),0,SUMIF('DADOS BRUTOS'!$A$3:$A$500,$B19,'DADOS BRUTOS'!GF$3:GF$500)+IF($C19="",0,SUMIF('DADOS BRUTOS'!$A$3:$A$500,$C19,'DADOS BRUTOS'!GF$3:GF$500)))</f>
        <v/>
      </c>
      <c r="JG19" s="132">
        <f>IF(OR(JG$4="",$B19=""),0,SUMIF('DADOS BRUTOS'!$A$3:$A$500,$B19,'DADOS BRUTOS'!GG$3:GG$500)+IF($C19="",0,SUMIF('DADOS BRUTOS'!$A$3:$A$500,$C19,'DADOS BRUTOS'!GG$3:GG$500)))</f>
        <v/>
      </c>
      <c r="JH19" s="132">
        <f>IF(OR(JH$4="",$B19=""),0,SUMIF('DADOS BRUTOS'!$A$3:$A$500,$B19,'DADOS BRUTOS'!GH$3:GH$500)+IF($C19="",0,SUMIF('DADOS BRUTOS'!$A$3:$A$500,$C19,'DADOS BRUTOS'!GH$3:GH$500)))</f>
        <v/>
      </c>
      <c r="JI19" s="132">
        <f>IF(OR(JI$4="",$B19=""),0,SUMIF('DADOS BRUTOS'!$A$3:$A$500,$B19,'DADOS BRUTOS'!GI$3:GI$500)+IF($C19="",0,SUMIF('DADOS BRUTOS'!$A$3:$A$500,$C19,'DADOS BRUTOS'!GI$3:GI$500)))</f>
        <v/>
      </c>
      <c r="JJ19" s="132">
        <f>IF(OR(JJ$4="",$B19=""),0,SUMIF('DADOS BRUTOS'!$A$3:$A$500,$B19,'DADOS BRUTOS'!GJ$3:GJ$500)+IF($C19="",0,SUMIF('DADOS BRUTOS'!$A$3:$A$500,$C19,'DADOS BRUTOS'!GJ$3:GJ$500)))</f>
        <v/>
      </c>
      <c r="JK19" s="132">
        <f>IF(OR(JK$4="",$B19=""),0,SUMIF('DADOS BRUTOS'!$A$3:$A$500,$B19,'DADOS BRUTOS'!GK$3:GK$500)+IF($C19="",0,SUMIF('DADOS BRUTOS'!$A$3:$A$500,$C19,'DADOS BRUTOS'!GK$3:GK$500)))</f>
        <v/>
      </c>
      <c r="JL19" s="132">
        <f>IF(OR(JL$4="",$B19=""),0,SUMIF('DADOS BRUTOS'!$A$3:$A$500,$B19,'DADOS BRUTOS'!GL$3:GL$500)+IF($C19="",0,SUMIF('DADOS BRUTOS'!$A$3:$A$500,$C19,'DADOS BRUTOS'!GL$3:GL$500)))</f>
        <v/>
      </c>
      <c r="JM19" s="132">
        <f>IF(OR(JM$4="",$B19=""),0,SUMIF('DADOS BRUTOS'!$A$3:$A$500,$B19,'DADOS BRUTOS'!GM$3:GM$500)+IF($C19="",0,SUMIF('DADOS BRUTOS'!$A$3:$A$500,$C19,'DADOS BRUTOS'!GM$3:GM$500)))</f>
        <v/>
      </c>
      <c r="JN19" s="132">
        <f>IF(OR(JN$4="",$B19=""),0,SUMIF('DADOS BRUTOS'!$A$3:$A$500,$B19,'DADOS BRUTOS'!GN$3:GN$500)+IF($C19="",0,SUMIF('DADOS BRUTOS'!$A$3:$A$500,$C19,'DADOS BRUTOS'!GN$3:GN$500)))</f>
        <v/>
      </c>
      <c r="JO19" s="132">
        <f>IF(OR(JO$4="",$B19=""),0,SUMIF('DADOS BRUTOS'!$A$3:$A$500,$B19,'DADOS BRUTOS'!GO$3:GO$500)+IF($C19="",0,SUMIF('DADOS BRUTOS'!$A$3:$A$500,$C19,'DADOS BRUTOS'!GO$3:GO$500)))</f>
        <v/>
      </c>
      <c r="JP19" s="132">
        <f>IF(OR(JP$4="",$B19=""),0,SUMIF('DADOS BRUTOS'!$A$3:$A$500,$B19,'DADOS BRUTOS'!GP$3:GP$500)+IF($C19="",0,SUMIF('DADOS BRUTOS'!$A$3:$A$500,$C19,'DADOS BRUTOS'!GP$3:GP$500)))</f>
        <v/>
      </c>
      <c r="JQ19" s="132">
        <f>IF(OR(JQ$4="",$B19=""),0,SUMIF('DADOS BRUTOS'!$A$3:$A$500,$B19,'DADOS BRUTOS'!GQ$3:GQ$500)+IF($C19="",0,SUMIF('DADOS BRUTOS'!$A$3:$A$500,$C19,'DADOS BRUTOS'!GQ$3:GQ$500)))</f>
        <v/>
      </c>
      <c r="JR19" s="132">
        <f>IF(OR(JR$4="",$B19=""),0,SUMIF('DADOS BRUTOS'!$A$3:$A$500,$B19,'DADOS BRUTOS'!GR$3:GR$500)+IF($C19="",0,SUMIF('DADOS BRUTOS'!$A$3:$A$500,$C19,'DADOS BRUTOS'!GR$3:GR$500)))</f>
        <v/>
      </c>
      <c r="JS19" s="132">
        <f>IF(OR(JS$4="",$B19=""),0,SUMIF('DADOS BRUTOS'!$A$3:$A$500,$B19,'DADOS BRUTOS'!GS$3:GS$500)+IF($C19="",0,SUMIF('DADOS BRUTOS'!$A$3:$A$500,$C19,'DADOS BRUTOS'!GS$3:GS$500)))</f>
        <v/>
      </c>
    </row>
    <row r="20">
      <c r="A20" s="61">
        <f>'VALOR POR PL'!D26</f>
        <v/>
      </c>
      <c r="B20" s="59" t="inlineStr">
        <is>
          <t>FUNDAÇÃO SUPERFICIAL</t>
        </is>
      </c>
      <c r="C20" s="59" t="n"/>
      <c r="D20" s="54">
        <f>SUMIF($CB$4:$JS$4,"&lt;="&amp;D$4,$CB20:$JS20)</f>
        <v/>
      </c>
      <c r="E20" s="54">
        <f>SUMIF($CB$4:$JS$4,E$4,$CB20:$JS20)</f>
        <v/>
      </c>
      <c r="F20" s="54">
        <f>SUMIF($CB$4:$JS$4,F$4,$CB20:$JS20)</f>
        <v/>
      </c>
      <c r="G20" s="54">
        <f>SUMIF($CB$4:$JS$4,G$4,$CB20:$JS20)</f>
        <v/>
      </c>
      <c r="H20" s="54">
        <f>SUMIF($CB$4:$JS$4,H$4,$CB20:$JS20)</f>
        <v/>
      </c>
      <c r="I20" s="54">
        <f>SUMIF($CB$4:$JS$4,I$4,$CB20:$JS20)</f>
        <v/>
      </c>
      <c r="J20" s="54">
        <f>SUMIF($CB$4:$JS$4,J$4,$CB20:$JS20)</f>
        <v/>
      </c>
      <c r="K20" s="54">
        <f>SUMIF($CB$4:$JS$4,K$4,$CB20:$JS20)</f>
        <v/>
      </c>
      <c r="L20" s="54">
        <f>SUMIF($CB$4:$JS$4,L$4,$CB20:$JS20)</f>
        <v/>
      </c>
      <c r="M20" s="54">
        <f>SUMIF($CB$4:$JS$4,M$4,$CB20:$JS20)</f>
        <v/>
      </c>
      <c r="N20" s="54">
        <f>SUMIF($CB$4:$JS$4,N$4,$CB20:$JS20)</f>
        <v/>
      </c>
      <c r="O20" s="54">
        <f>SUMIF($CB$4:$JS$4,O$4,$CB20:$JS20)</f>
        <v/>
      </c>
      <c r="P20" s="54">
        <f>SUMIF($CB$4:$JS$4,P$4,$CB20:$JS20)</f>
        <v/>
      </c>
      <c r="Q20" s="54">
        <f>SUMIF($CB$4:$JS$4,Q$4,$CB20:$JS20)</f>
        <v/>
      </c>
      <c r="R20" s="54">
        <f>SUMIF($CB$4:$JS$4,R$4,$CB20:$JS20)</f>
        <v/>
      </c>
      <c r="S20" s="54">
        <f>SUMIF($CB$4:$JS$4,S$4,$CB20:$JS20)</f>
        <v/>
      </c>
      <c r="T20" s="54">
        <f>SUMIF($CB$4:$JS$4,T$4,$CB20:$JS20)</f>
        <v/>
      </c>
      <c r="U20" s="54">
        <f>SUMIF($CB$4:$JS$4,U$4,$CB20:$JS20)</f>
        <v/>
      </c>
      <c r="V20" s="54">
        <f>SUMIF($CB$4:$JS$4,V$4,$CB20:$JS20)</f>
        <v/>
      </c>
      <c r="W20" s="54">
        <f>SUMIF($CB$4:$JS$4,W$4,$CB20:$JS20)</f>
        <v/>
      </c>
      <c r="X20" s="54">
        <f>SUMIF($CB$4:$JS$4,X$4,$CB20:$JS20)</f>
        <v/>
      </c>
      <c r="Y20" s="54">
        <f>SUMIF($CB$4:$JS$4,Y$4,$CB20:$JS20)</f>
        <v/>
      </c>
      <c r="Z20" s="54">
        <f>SUMIF($CB$4:$JS$4,Z$4,$CB20:$JS20)</f>
        <v/>
      </c>
      <c r="AA20" s="54">
        <f>SUMIF($CB$4:$JS$4,AA$4,$CB20:$JS20)</f>
        <v/>
      </c>
      <c r="AB20" s="54">
        <f>SUMIF($CB$4:$JS$4,AB$4,$CB20:$JS20)</f>
        <v/>
      </c>
      <c r="AC20" s="54">
        <f>SUMIF($CB$4:$JS$4,AC$4,$CB20:$JS20)</f>
        <v/>
      </c>
      <c r="AD20" s="54">
        <f>SUMIF($CB$4:$JS$4,AD$4,$CB20:$JS20)</f>
        <v/>
      </c>
      <c r="AE20" s="54">
        <f>SUMIF($CB$4:$JS$4,AE$4,$CB20:$JS20)</f>
        <v/>
      </c>
      <c r="AF20" s="54">
        <f>SUMIF($CB$4:$JS$4,AF$4,$CB20:$JS20)</f>
        <v/>
      </c>
      <c r="AG20" s="54">
        <f>SUMIF($CB$4:$JS$4,AG$4,$CB20:$JS20)</f>
        <v/>
      </c>
      <c r="AH20" s="54">
        <f>SUMIF($CB$4:$JS$4,AH$4,$CB20:$JS20)</f>
        <v/>
      </c>
      <c r="AI20" s="54">
        <f>SUMIF($CB$4:$JS$4,AI$4,$CB20:$JS20)</f>
        <v/>
      </c>
      <c r="AJ20" s="54">
        <f>SUMIF($CB$4:$JS$4,AJ$4,$CB20:$JS20)</f>
        <v/>
      </c>
      <c r="AK20" s="54">
        <f>SUMIF($CB$4:$JS$4,AK$4,$CB20:$JS20)</f>
        <v/>
      </c>
      <c r="AL20" s="54">
        <f>SUMIF($CB$4:$JS$4,AL$4,$CB20:$JS20)</f>
        <v/>
      </c>
      <c r="AM20" s="54">
        <f>SUMIF($CB$4:$JS$4,AM$4,$CB20:$JS20)</f>
        <v/>
      </c>
      <c r="AN20" s="54">
        <f>SUMIF($CB$4:$JS$4,AN$4,$CB20:$JS20)</f>
        <v/>
      </c>
      <c r="AO20" s="54">
        <f>SUMIF($CB$4:$JS$4,AO$4,$CB20:$JS20)</f>
        <v/>
      </c>
      <c r="AP20" s="54">
        <f>SUMIF($CB$4:$JS$4,AP$4,$CB20:$JS20)</f>
        <v/>
      </c>
      <c r="AQ20" s="54">
        <f>SUMIF($CB$4:$JS$4,AQ$4,$CB20:$JS20)</f>
        <v/>
      </c>
      <c r="AR20" s="54">
        <f>SUMIF($CB$4:$JS$4,AR$4,$CB20:$JS20)</f>
        <v/>
      </c>
      <c r="AS20" s="54">
        <f>SUMIF($CB$4:$JS$4,AS$4,$CB20:$JS20)</f>
        <v/>
      </c>
      <c r="AT20" s="54">
        <f>SUMIF($CB$4:$JS$4,AT$4,$CB20:$JS20)</f>
        <v/>
      </c>
      <c r="AU20" s="54">
        <f>SUMIF($CB$4:$JS$4,AU$4,$CB20:$JS20)</f>
        <v/>
      </c>
      <c r="AV20" s="54">
        <f>SUMIF($CB$4:$JS$4,AV$4,$CB20:$JS20)</f>
        <v/>
      </c>
      <c r="AW20" s="54">
        <f>SUMIF($CB$4:$JS$4,AW$4,$CB20:$JS20)</f>
        <v/>
      </c>
      <c r="AX20" s="54">
        <f>SUMIF($CB$4:$JS$4,AX$4,$CB20:$JS20)</f>
        <v/>
      </c>
      <c r="AY20" s="54">
        <f>SUMIF($CB$4:$JS$4,AY$4,$CB20:$JS20)</f>
        <v/>
      </c>
      <c r="AZ20" s="54">
        <f>SUMIF($CB$4:$JS$4,AZ$4,$CB20:$JS20)</f>
        <v/>
      </c>
      <c r="BA20" s="54">
        <f>SUMIF($CB$4:$JS$4,BA$4,$CB20:$JS20)</f>
        <v/>
      </c>
      <c r="BB20" s="54">
        <f>SUMIF($CB$4:$JS$4,BB$4,$CB20:$JS20)</f>
        <v/>
      </c>
      <c r="BC20" s="54">
        <f>SUMIF($CB$4:$JS$4,BC$4,$CB20:$JS20)</f>
        <v/>
      </c>
      <c r="BD20" s="54">
        <f>SUMIF($CB$4:$JS$4,BD$4,$CB20:$JS20)</f>
        <v/>
      </c>
      <c r="BE20" s="54">
        <f>SUMIF($CB$4:$JS$4,BE$4,$CB20:$JS20)</f>
        <v/>
      </c>
      <c r="BF20" s="54">
        <f>SUMIF($CB$4:$JS$4,BF$4,$CB20:$JS20)</f>
        <v/>
      </c>
      <c r="BG20" s="54">
        <f>SUMIF($CB$4:$JS$4,BG$4,$CB20:$JS20)</f>
        <v/>
      </c>
      <c r="BH20" s="54">
        <f>SUMIF($CB$4:$JS$4,BH$4,$CB20:$JS20)</f>
        <v/>
      </c>
      <c r="BI20" s="54">
        <f>SUMIF($CB$4:$JS$4,BI$4,$CB20:$JS20)</f>
        <v/>
      </c>
      <c r="BJ20" s="54">
        <f>SUMIF($CB$4:$JS$4,BJ$4,$CB20:$JS20)</f>
        <v/>
      </c>
      <c r="BK20" s="54">
        <f>SUMIF($CB$4:$JS$4,BK$4,$CB20:$JS20)</f>
        <v/>
      </c>
      <c r="BL20" s="54">
        <f>SUMIF($CB$4:$JS$4,BL$4,$CB20:$JS20)</f>
        <v/>
      </c>
      <c r="BM20" s="54">
        <f>SUMIF($CB$4:$JS$4,BM$4,$CB20:$JS20)</f>
        <v/>
      </c>
      <c r="BN20" s="54">
        <f>SUMIF($CB$4:$JS$4,BN$4,$CB20:$JS20)</f>
        <v/>
      </c>
      <c r="BO20" s="54">
        <f>SUMIF($CB$4:$JS$4,BO$4,$CB20:$JS20)</f>
        <v/>
      </c>
      <c r="BP20" s="54">
        <f>SUMIF($CB$4:$JS$4,BP$4,$CB20:$JS20)</f>
        <v/>
      </c>
      <c r="BQ20" s="54">
        <f>SUMIF($CB$4:$JS$4,BQ$4,$CB20:$JS20)</f>
        <v/>
      </c>
      <c r="BR20" s="54">
        <f>SUMIF($CB$4:$JS$4,BR$4,$CB20:$JS20)</f>
        <v/>
      </c>
      <c r="BS20" s="54">
        <f>SUMIF($CB$4:$JS$4,BS$4,$CB20:$JS20)</f>
        <v/>
      </c>
      <c r="BT20" s="54">
        <f>SUMIF($CB$4:$JS$4,BT$4,$CB20:$JS20)</f>
        <v/>
      </c>
      <c r="BU20" s="54">
        <f>SUMIF($CB$4:$JS$4,BU$4,$CB20:$JS20)</f>
        <v/>
      </c>
      <c r="BV20" s="54">
        <f>SUMIF($CB$4:$JS$4,BV$4,$CB20:$JS20)</f>
        <v/>
      </c>
      <c r="BW20" s="54">
        <f>SUMIF($CB$4:$JS$4,BW$4,$CB20:$JS20)</f>
        <v/>
      </c>
      <c r="BX20" s="54">
        <f>SUMIF($CB$4:$JS$4,"&gt;"&amp;'VALOR POR PL'!$P$8,$CB20:$JS20)</f>
        <v/>
      </c>
      <c r="BY20" s="54">
        <f>SUM($CB20:$JS20)</f>
        <v/>
      </c>
      <c r="BZ20" s="49">
        <f>SUMPRODUCT(($CB$4:$JS$4&lt;&gt;"")*($CB$4:$JS$4&lt;=$D$4),$CB20:$JS20,$CB$1:$JS$1)</f>
        <v/>
      </c>
      <c r="CB20" s="132">
        <f>IF(OR(CB$4="",$B20=""),0,SUMIF('DADOS BRUTOS'!$A$3:$A$500,$B20,'DADOS BRUTOS'!B$3:B$500)+IF($C20="",0,SUMIF('DADOS BRUTOS'!$A$3:$A$500,$C20,'DADOS BRUTOS'!B$3:B$500)))</f>
        <v/>
      </c>
      <c r="CC20" s="132">
        <f>IF(OR(CC$4="",$B20=""),0,SUMIF('DADOS BRUTOS'!$A$3:$A$500,$B20,'DADOS BRUTOS'!C$3:C$500)+IF($C20="",0,SUMIF('DADOS BRUTOS'!$A$3:$A$500,$C20,'DADOS BRUTOS'!C$3:C$500)))</f>
        <v/>
      </c>
      <c r="CD20" s="132">
        <f>IF(OR(CD$4="",$B20=""),0,SUMIF('DADOS BRUTOS'!$A$3:$A$500,$B20,'DADOS BRUTOS'!D$3:D$500)+IF($C20="",0,SUMIF('DADOS BRUTOS'!$A$3:$A$500,$C20,'DADOS BRUTOS'!D$3:D$500)))</f>
        <v/>
      </c>
      <c r="CE20" s="132">
        <f>IF(OR(CE$4="",$B20=""),0,SUMIF('DADOS BRUTOS'!$A$3:$A$500,$B20,'DADOS BRUTOS'!E$3:E$500)+IF($C20="",0,SUMIF('DADOS BRUTOS'!$A$3:$A$500,$C20,'DADOS BRUTOS'!E$3:E$500)))</f>
        <v/>
      </c>
      <c r="CF20" s="132">
        <f>IF(OR(CF$4="",$B20=""),0,SUMIF('DADOS BRUTOS'!$A$3:$A$500,$B20,'DADOS BRUTOS'!F$3:F$500)+IF($C20="",0,SUMIF('DADOS BRUTOS'!$A$3:$A$500,$C20,'DADOS BRUTOS'!F$3:F$500)))</f>
        <v/>
      </c>
      <c r="CG20" s="132">
        <f>IF(OR(CG$4="",$B20=""),0,SUMIF('DADOS BRUTOS'!$A$3:$A$500,$B20,'DADOS BRUTOS'!G$3:G$500)+IF($C20="",0,SUMIF('DADOS BRUTOS'!$A$3:$A$500,$C20,'DADOS BRUTOS'!G$3:G$500)))</f>
        <v/>
      </c>
      <c r="CH20" s="132">
        <f>IF(OR(CH$4="",$B20=""),0,SUMIF('DADOS BRUTOS'!$A$3:$A$500,$B20,'DADOS BRUTOS'!H$3:H$500)+IF($C20="",0,SUMIF('DADOS BRUTOS'!$A$3:$A$500,$C20,'DADOS BRUTOS'!H$3:H$500)))</f>
        <v/>
      </c>
      <c r="CI20" s="132">
        <f>IF(OR(CI$4="",$B20=""),0,SUMIF('DADOS BRUTOS'!$A$3:$A$500,$B20,'DADOS BRUTOS'!I$3:I$500)+IF($C20="",0,SUMIF('DADOS BRUTOS'!$A$3:$A$500,$C20,'DADOS BRUTOS'!I$3:I$500)))</f>
        <v/>
      </c>
      <c r="CJ20" s="132">
        <f>IF(OR(CJ$4="",$B20=""),0,SUMIF('DADOS BRUTOS'!$A$3:$A$500,$B20,'DADOS BRUTOS'!J$3:J$500)+IF($C20="",0,SUMIF('DADOS BRUTOS'!$A$3:$A$500,$C20,'DADOS BRUTOS'!J$3:J$500)))</f>
        <v/>
      </c>
      <c r="CK20" s="132">
        <f>IF(OR(CK$4="",$B20=""),0,SUMIF('DADOS BRUTOS'!$A$3:$A$500,$B20,'DADOS BRUTOS'!K$3:K$500)+IF($C20="",0,SUMIF('DADOS BRUTOS'!$A$3:$A$500,$C20,'DADOS BRUTOS'!K$3:K$500)))</f>
        <v/>
      </c>
      <c r="CL20" s="132">
        <f>IF(OR(CL$4="",$B20=""),0,SUMIF('DADOS BRUTOS'!$A$3:$A$500,$B20,'DADOS BRUTOS'!L$3:L$500)+IF($C20="",0,SUMIF('DADOS BRUTOS'!$A$3:$A$500,$C20,'DADOS BRUTOS'!L$3:L$500)))</f>
        <v/>
      </c>
      <c r="CM20" s="132">
        <f>IF(OR(CM$4="",$B20=""),0,SUMIF('DADOS BRUTOS'!$A$3:$A$500,$B20,'DADOS BRUTOS'!M$3:M$500)+IF($C20="",0,SUMIF('DADOS BRUTOS'!$A$3:$A$500,$C20,'DADOS BRUTOS'!M$3:M$500)))</f>
        <v/>
      </c>
      <c r="CN20" s="132">
        <f>IF(OR(CN$4="",$B20=""),0,SUMIF('DADOS BRUTOS'!$A$3:$A$500,$B20,'DADOS BRUTOS'!N$3:N$500)+IF($C20="",0,SUMIF('DADOS BRUTOS'!$A$3:$A$500,$C20,'DADOS BRUTOS'!N$3:N$500)))</f>
        <v/>
      </c>
      <c r="CO20" s="132">
        <f>IF(OR(CO$4="",$B20=""),0,SUMIF('DADOS BRUTOS'!$A$3:$A$500,$B20,'DADOS BRUTOS'!O$3:O$500)+IF($C20="",0,SUMIF('DADOS BRUTOS'!$A$3:$A$500,$C20,'DADOS BRUTOS'!O$3:O$500)))</f>
        <v/>
      </c>
      <c r="CP20" s="132">
        <f>IF(OR(CP$4="",$B20=""),0,SUMIF('DADOS BRUTOS'!$A$3:$A$500,$B20,'DADOS BRUTOS'!P$3:P$500)+IF($C20="",0,SUMIF('DADOS BRUTOS'!$A$3:$A$500,$C20,'DADOS BRUTOS'!P$3:P$500)))</f>
        <v/>
      </c>
      <c r="CQ20" s="132">
        <f>IF(OR(CQ$4="",$B20=""),0,SUMIF('DADOS BRUTOS'!$A$3:$A$500,$B20,'DADOS BRUTOS'!Q$3:Q$500)+IF($C20="",0,SUMIF('DADOS BRUTOS'!$A$3:$A$500,$C20,'DADOS BRUTOS'!Q$3:Q$500)))</f>
        <v/>
      </c>
      <c r="CR20" s="132">
        <f>IF(OR(CR$4="",$B20=""),0,SUMIF('DADOS BRUTOS'!$A$3:$A$500,$B20,'DADOS BRUTOS'!R$3:R$500)+IF($C20="",0,SUMIF('DADOS BRUTOS'!$A$3:$A$500,$C20,'DADOS BRUTOS'!R$3:R$500)))</f>
        <v/>
      </c>
      <c r="CS20" s="132">
        <f>IF(OR(CS$4="",$B20=""),0,SUMIF('DADOS BRUTOS'!$A$3:$A$500,$B20,'DADOS BRUTOS'!S$3:S$500)+IF($C20="",0,SUMIF('DADOS BRUTOS'!$A$3:$A$500,$C20,'DADOS BRUTOS'!S$3:S$500)))</f>
        <v/>
      </c>
      <c r="CT20" s="132">
        <f>IF(OR(CT$4="",$B20=""),0,SUMIF('DADOS BRUTOS'!$A$3:$A$500,$B20,'DADOS BRUTOS'!T$3:T$500)+IF($C20="",0,SUMIF('DADOS BRUTOS'!$A$3:$A$500,$C20,'DADOS BRUTOS'!T$3:T$500)))</f>
        <v/>
      </c>
      <c r="CU20" s="132">
        <f>IF(OR(CU$4="",$B20=""),0,SUMIF('DADOS BRUTOS'!$A$3:$A$500,$B20,'DADOS BRUTOS'!U$3:U$500)+IF($C20="",0,SUMIF('DADOS BRUTOS'!$A$3:$A$500,$C20,'DADOS BRUTOS'!U$3:U$500)))</f>
        <v/>
      </c>
      <c r="CV20" s="132">
        <f>IF(OR(CV$4="",$B20=""),0,SUMIF('DADOS BRUTOS'!$A$3:$A$500,$B20,'DADOS BRUTOS'!V$3:V$500)+IF($C20="",0,SUMIF('DADOS BRUTOS'!$A$3:$A$500,$C20,'DADOS BRUTOS'!V$3:V$500)))</f>
        <v/>
      </c>
      <c r="CW20" s="132">
        <f>IF(OR(CW$4="",$B20=""),0,SUMIF('DADOS BRUTOS'!$A$3:$A$500,$B20,'DADOS BRUTOS'!W$3:W$500)+IF($C20="",0,SUMIF('DADOS BRUTOS'!$A$3:$A$500,$C20,'DADOS BRUTOS'!W$3:W$500)))</f>
        <v/>
      </c>
      <c r="CX20" s="132">
        <f>IF(OR(CX$4="",$B20=""),0,SUMIF('DADOS BRUTOS'!$A$3:$A$500,$B20,'DADOS BRUTOS'!X$3:X$500)+IF($C20="",0,SUMIF('DADOS BRUTOS'!$A$3:$A$500,$C20,'DADOS BRUTOS'!X$3:X$500)))</f>
        <v/>
      </c>
      <c r="CY20" s="132">
        <f>IF(OR(CY$4="",$B20=""),0,SUMIF('DADOS BRUTOS'!$A$3:$A$500,$B20,'DADOS BRUTOS'!Y$3:Y$500)+IF($C20="",0,SUMIF('DADOS BRUTOS'!$A$3:$A$500,$C20,'DADOS BRUTOS'!Y$3:Y$500)))</f>
        <v/>
      </c>
      <c r="CZ20" s="132">
        <f>IF(OR(CZ$4="",$B20=""),0,SUMIF('DADOS BRUTOS'!$A$3:$A$500,$B20,'DADOS BRUTOS'!Z$3:Z$500)+IF($C20="",0,SUMIF('DADOS BRUTOS'!$A$3:$A$500,$C20,'DADOS BRUTOS'!Z$3:Z$500)))</f>
        <v/>
      </c>
      <c r="DA20" s="132">
        <f>IF(OR(DA$4="",$B20=""),0,SUMIF('DADOS BRUTOS'!$A$3:$A$500,$B20,'DADOS BRUTOS'!AA$3:AA$500)+IF($C20="",0,SUMIF('DADOS BRUTOS'!$A$3:$A$500,$C20,'DADOS BRUTOS'!AA$3:AA$500)))</f>
        <v/>
      </c>
      <c r="DB20" s="132">
        <f>IF(OR(DB$4="",$B20=""),0,SUMIF('DADOS BRUTOS'!$A$3:$A$500,$B20,'DADOS BRUTOS'!AB$3:AB$500)+IF($C20="",0,SUMIF('DADOS BRUTOS'!$A$3:$A$500,$C20,'DADOS BRUTOS'!AB$3:AB$500)))</f>
        <v/>
      </c>
      <c r="DC20" s="132">
        <f>IF(OR(DC$4="",$B20=""),0,SUMIF('DADOS BRUTOS'!$A$3:$A$500,$B20,'DADOS BRUTOS'!AC$3:AC$500)+IF($C20="",0,SUMIF('DADOS BRUTOS'!$A$3:$A$500,$C20,'DADOS BRUTOS'!AC$3:AC$500)))</f>
        <v/>
      </c>
      <c r="DD20" s="132">
        <f>IF(OR(DD$4="",$B20=""),0,SUMIF('DADOS BRUTOS'!$A$3:$A$500,$B20,'DADOS BRUTOS'!AD$3:AD$500)+IF($C20="",0,SUMIF('DADOS BRUTOS'!$A$3:$A$500,$C20,'DADOS BRUTOS'!AD$3:AD$500)))</f>
        <v/>
      </c>
      <c r="DE20" s="132">
        <f>IF(OR(DE$4="",$B20=""),0,SUMIF('DADOS BRUTOS'!$A$3:$A$500,$B20,'DADOS BRUTOS'!AE$3:AE$500)+IF($C20="",0,SUMIF('DADOS BRUTOS'!$A$3:$A$500,$C20,'DADOS BRUTOS'!AE$3:AE$500)))</f>
        <v/>
      </c>
      <c r="DF20" s="132">
        <f>IF(OR(DF$4="",$B20=""),0,SUMIF('DADOS BRUTOS'!$A$3:$A$500,$B20,'DADOS BRUTOS'!AF$3:AF$500)+IF($C20="",0,SUMIF('DADOS BRUTOS'!$A$3:$A$500,$C20,'DADOS BRUTOS'!AF$3:AF$500)))</f>
        <v/>
      </c>
      <c r="DG20" s="132">
        <f>IF(OR(DG$4="",$B20=""),0,SUMIF('DADOS BRUTOS'!$A$3:$A$500,$B20,'DADOS BRUTOS'!AG$3:AG$500)+IF($C20="",0,SUMIF('DADOS BRUTOS'!$A$3:$A$500,$C20,'DADOS BRUTOS'!AG$3:AG$500)))</f>
        <v/>
      </c>
      <c r="DH20" s="132">
        <f>IF(OR(DH$4="",$B20=""),0,SUMIF('DADOS BRUTOS'!$A$3:$A$500,$B20,'DADOS BRUTOS'!AH$3:AH$500)+IF($C20="",0,SUMIF('DADOS BRUTOS'!$A$3:$A$500,$C20,'DADOS BRUTOS'!AH$3:AH$500)))</f>
        <v/>
      </c>
      <c r="DI20" s="132">
        <f>IF(OR(DI$4="",$B20=""),0,SUMIF('DADOS BRUTOS'!$A$3:$A$500,$B20,'DADOS BRUTOS'!AI$3:AI$500)+IF($C20="",0,SUMIF('DADOS BRUTOS'!$A$3:$A$500,$C20,'DADOS BRUTOS'!AI$3:AI$500)))</f>
        <v/>
      </c>
      <c r="DJ20" s="132">
        <f>IF(OR(DJ$4="",$B20=""),0,SUMIF('DADOS BRUTOS'!$A$3:$A$500,$B20,'DADOS BRUTOS'!AJ$3:AJ$500)+IF($C20="",0,SUMIF('DADOS BRUTOS'!$A$3:$A$500,$C20,'DADOS BRUTOS'!AJ$3:AJ$500)))</f>
        <v/>
      </c>
      <c r="DK20" s="132">
        <f>IF(OR(DK$4="",$B20=""),0,SUMIF('DADOS BRUTOS'!$A$3:$A$500,$B20,'DADOS BRUTOS'!AK$3:AK$500)+IF($C20="",0,SUMIF('DADOS BRUTOS'!$A$3:$A$500,$C20,'DADOS BRUTOS'!AK$3:AK$500)))</f>
        <v/>
      </c>
      <c r="DL20" s="132">
        <f>IF(OR(DL$4="",$B20=""),0,SUMIF('DADOS BRUTOS'!$A$3:$A$500,$B20,'DADOS BRUTOS'!AL$3:AL$500)+IF($C20="",0,SUMIF('DADOS BRUTOS'!$A$3:$A$500,$C20,'DADOS BRUTOS'!AL$3:AL$500)))</f>
        <v/>
      </c>
      <c r="DM20" s="132">
        <f>IF(OR(DM$4="",$B20=""),0,SUMIF('DADOS BRUTOS'!$A$3:$A$500,$B20,'DADOS BRUTOS'!AM$3:AM$500)+IF($C20="",0,SUMIF('DADOS BRUTOS'!$A$3:$A$500,$C20,'DADOS BRUTOS'!AM$3:AM$500)))</f>
        <v/>
      </c>
      <c r="DN20" s="132">
        <f>IF(OR(DN$4="",$B20=""),0,SUMIF('DADOS BRUTOS'!$A$3:$A$500,$B20,'DADOS BRUTOS'!AN$3:AN$500)+IF($C20="",0,SUMIF('DADOS BRUTOS'!$A$3:$A$500,$C20,'DADOS BRUTOS'!AN$3:AN$500)))</f>
        <v/>
      </c>
      <c r="DO20" s="132">
        <f>IF(OR(DO$4="",$B20=""),0,SUMIF('DADOS BRUTOS'!$A$3:$A$500,$B20,'DADOS BRUTOS'!AO$3:AO$500)+IF($C20="",0,SUMIF('DADOS BRUTOS'!$A$3:$A$500,$C20,'DADOS BRUTOS'!AO$3:AO$500)))</f>
        <v/>
      </c>
      <c r="DP20" s="132">
        <f>IF(OR(DP$4="",$B20=""),0,SUMIF('DADOS BRUTOS'!$A$3:$A$500,$B20,'DADOS BRUTOS'!AP$3:AP$500)+IF($C20="",0,SUMIF('DADOS BRUTOS'!$A$3:$A$500,$C20,'DADOS BRUTOS'!AP$3:AP$500)))</f>
        <v/>
      </c>
      <c r="DQ20" s="132">
        <f>IF(OR(DQ$4="",$B20=""),0,SUMIF('DADOS BRUTOS'!$A$3:$A$500,$B20,'DADOS BRUTOS'!AQ$3:AQ$500)+IF($C20="",0,SUMIF('DADOS BRUTOS'!$A$3:$A$500,$C20,'DADOS BRUTOS'!AQ$3:AQ$500)))</f>
        <v/>
      </c>
      <c r="DR20" s="132">
        <f>IF(OR(DR$4="",$B20=""),0,SUMIF('DADOS BRUTOS'!$A$3:$A$500,$B20,'DADOS BRUTOS'!AR$3:AR$500)+IF($C20="",0,SUMIF('DADOS BRUTOS'!$A$3:$A$500,$C20,'DADOS BRUTOS'!AR$3:AR$500)))</f>
        <v/>
      </c>
      <c r="DS20" s="132">
        <f>IF(OR(DS$4="",$B20=""),0,SUMIF('DADOS BRUTOS'!$A$3:$A$500,$B20,'DADOS BRUTOS'!AS$3:AS$500)+IF($C20="",0,SUMIF('DADOS BRUTOS'!$A$3:$A$500,$C20,'DADOS BRUTOS'!AS$3:AS$500)))</f>
        <v/>
      </c>
      <c r="DT20" s="132">
        <f>IF(OR(DT$4="",$B20=""),0,SUMIF('DADOS BRUTOS'!$A$3:$A$500,$B20,'DADOS BRUTOS'!AT$3:AT$500)+IF($C20="",0,SUMIF('DADOS BRUTOS'!$A$3:$A$500,$C20,'DADOS BRUTOS'!AT$3:AT$500)))</f>
        <v/>
      </c>
      <c r="DU20" s="132">
        <f>IF(OR(DU$4="",$B20=""),0,SUMIF('DADOS BRUTOS'!$A$3:$A$500,$B20,'DADOS BRUTOS'!AU$3:AU$500)+IF($C20="",0,SUMIF('DADOS BRUTOS'!$A$3:$A$500,$C20,'DADOS BRUTOS'!AU$3:AU$500)))</f>
        <v/>
      </c>
      <c r="DV20" s="132">
        <f>IF(OR(DV$4="",$B20=""),0,SUMIF('DADOS BRUTOS'!$A$3:$A$500,$B20,'DADOS BRUTOS'!AV$3:AV$500)+IF($C20="",0,SUMIF('DADOS BRUTOS'!$A$3:$A$500,$C20,'DADOS BRUTOS'!AV$3:AV$500)))</f>
        <v/>
      </c>
      <c r="DW20" s="132">
        <f>IF(OR(DW$4="",$B20=""),0,SUMIF('DADOS BRUTOS'!$A$3:$A$500,$B20,'DADOS BRUTOS'!AW$3:AW$500)+IF($C20="",0,SUMIF('DADOS BRUTOS'!$A$3:$A$500,$C20,'DADOS BRUTOS'!AW$3:AW$500)))</f>
        <v/>
      </c>
      <c r="DX20" s="132">
        <f>IF(OR(DX$4="",$B20=""),0,SUMIF('DADOS BRUTOS'!$A$3:$A$500,$B20,'DADOS BRUTOS'!AX$3:AX$500)+IF($C20="",0,SUMIF('DADOS BRUTOS'!$A$3:$A$500,$C20,'DADOS BRUTOS'!AX$3:AX$500)))</f>
        <v/>
      </c>
      <c r="DY20" s="132">
        <f>IF(OR(DY$4="",$B20=""),0,SUMIF('DADOS BRUTOS'!$A$3:$A$500,$B20,'DADOS BRUTOS'!AY$3:AY$500)+IF($C20="",0,SUMIF('DADOS BRUTOS'!$A$3:$A$500,$C20,'DADOS BRUTOS'!AY$3:AY$500)))</f>
        <v/>
      </c>
      <c r="DZ20" s="132">
        <f>IF(OR(DZ$4="",$B20=""),0,SUMIF('DADOS BRUTOS'!$A$3:$A$500,$B20,'DADOS BRUTOS'!AZ$3:AZ$500)+IF($C20="",0,SUMIF('DADOS BRUTOS'!$A$3:$A$500,$C20,'DADOS BRUTOS'!AZ$3:AZ$500)))</f>
        <v/>
      </c>
      <c r="EA20" s="132">
        <f>IF(OR(EA$4="",$B20=""),0,SUMIF('DADOS BRUTOS'!$A$3:$A$500,$B20,'DADOS BRUTOS'!BA$3:BA$500)+IF($C20="",0,SUMIF('DADOS BRUTOS'!$A$3:$A$500,$C20,'DADOS BRUTOS'!BA$3:BA$500)))</f>
        <v/>
      </c>
      <c r="EB20" s="132">
        <f>IF(OR(EB$4="",$B20=""),0,SUMIF('DADOS BRUTOS'!$A$3:$A$500,$B20,'DADOS BRUTOS'!BB$3:BB$500)+IF($C20="",0,SUMIF('DADOS BRUTOS'!$A$3:$A$500,$C20,'DADOS BRUTOS'!BB$3:BB$500)))</f>
        <v/>
      </c>
      <c r="EC20" s="132">
        <f>IF(OR(EC$4="",$B20=""),0,SUMIF('DADOS BRUTOS'!$A$3:$A$500,$B20,'DADOS BRUTOS'!BC$3:BC$500)+IF($C20="",0,SUMIF('DADOS BRUTOS'!$A$3:$A$500,$C20,'DADOS BRUTOS'!BC$3:BC$500)))</f>
        <v/>
      </c>
      <c r="ED20" s="132">
        <f>IF(OR(ED$4="",$B20=""),0,SUMIF('DADOS BRUTOS'!$A$3:$A$500,$B20,'DADOS BRUTOS'!BD$3:BD$500)+IF($C20="",0,SUMIF('DADOS BRUTOS'!$A$3:$A$500,$C20,'DADOS BRUTOS'!BD$3:BD$500)))</f>
        <v/>
      </c>
      <c r="EE20" s="132">
        <f>IF(OR(EE$4="",$B20=""),0,SUMIF('DADOS BRUTOS'!$A$3:$A$500,$B20,'DADOS BRUTOS'!BE$3:BE$500)+IF($C20="",0,SUMIF('DADOS BRUTOS'!$A$3:$A$500,$C20,'DADOS BRUTOS'!BE$3:BE$500)))</f>
        <v/>
      </c>
      <c r="EF20" s="132">
        <f>IF(OR(EF$4="",$B20=""),0,SUMIF('DADOS BRUTOS'!$A$3:$A$500,$B20,'DADOS BRUTOS'!BF$3:BF$500)+IF($C20="",0,SUMIF('DADOS BRUTOS'!$A$3:$A$500,$C20,'DADOS BRUTOS'!BF$3:BF$500)))</f>
        <v/>
      </c>
      <c r="EG20" s="132">
        <f>IF(OR(EG$4="",$B20=""),0,SUMIF('DADOS BRUTOS'!$A$3:$A$500,$B20,'DADOS BRUTOS'!BG$3:BG$500)+IF($C20="",0,SUMIF('DADOS BRUTOS'!$A$3:$A$500,$C20,'DADOS BRUTOS'!BG$3:BG$500)))</f>
        <v/>
      </c>
      <c r="EH20" s="132">
        <f>IF(OR(EH$4="",$B20=""),0,SUMIF('DADOS BRUTOS'!$A$3:$A$500,$B20,'DADOS BRUTOS'!BH$3:BH$500)+IF($C20="",0,SUMIF('DADOS BRUTOS'!$A$3:$A$500,$C20,'DADOS BRUTOS'!BH$3:BH$500)))</f>
        <v/>
      </c>
      <c r="EI20" s="132">
        <f>IF(OR(EI$4="",$B20=""),0,SUMIF('DADOS BRUTOS'!$A$3:$A$500,$B20,'DADOS BRUTOS'!BI$3:BI$500)+IF($C20="",0,SUMIF('DADOS BRUTOS'!$A$3:$A$500,$C20,'DADOS BRUTOS'!BI$3:BI$500)))</f>
        <v/>
      </c>
      <c r="EJ20" s="132">
        <f>IF(OR(EJ$4="",$B20=""),0,SUMIF('DADOS BRUTOS'!$A$3:$A$500,$B20,'DADOS BRUTOS'!BJ$3:BJ$500)+IF($C20="",0,SUMIF('DADOS BRUTOS'!$A$3:$A$500,$C20,'DADOS BRUTOS'!BJ$3:BJ$500)))</f>
        <v/>
      </c>
      <c r="EK20" s="132">
        <f>IF(OR(EK$4="",$B20=""),0,SUMIF('DADOS BRUTOS'!$A$3:$A$500,$B20,'DADOS BRUTOS'!BK$3:BK$500)+IF($C20="",0,SUMIF('DADOS BRUTOS'!$A$3:$A$500,$C20,'DADOS BRUTOS'!BK$3:BK$500)))</f>
        <v/>
      </c>
      <c r="EL20" s="132">
        <f>IF(OR(EL$4="",$B20=""),0,SUMIF('DADOS BRUTOS'!$A$3:$A$500,$B20,'DADOS BRUTOS'!BL$3:BL$500)+IF($C20="",0,SUMIF('DADOS BRUTOS'!$A$3:$A$500,$C20,'DADOS BRUTOS'!BL$3:BL$500)))</f>
        <v/>
      </c>
      <c r="EM20" s="132">
        <f>IF(OR(EM$4="",$B20=""),0,SUMIF('DADOS BRUTOS'!$A$3:$A$500,$B20,'DADOS BRUTOS'!BM$3:BM$500)+IF($C20="",0,SUMIF('DADOS BRUTOS'!$A$3:$A$500,$C20,'DADOS BRUTOS'!BM$3:BM$500)))</f>
        <v/>
      </c>
      <c r="EN20" s="132">
        <f>IF(OR(EN$4="",$B20=""),0,SUMIF('DADOS BRUTOS'!$A$3:$A$500,$B20,'DADOS BRUTOS'!BN$3:BN$500)+IF($C20="",0,SUMIF('DADOS BRUTOS'!$A$3:$A$500,$C20,'DADOS BRUTOS'!BN$3:BN$500)))</f>
        <v/>
      </c>
      <c r="EO20" s="132">
        <f>IF(OR(EO$4="",$B20=""),0,SUMIF('DADOS BRUTOS'!$A$3:$A$500,$B20,'DADOS BRUTOS'!BO$3:BO$500)+IF($C20="",0,SUMIF('DADOS BRUTOS'!$A$3:$A$500,$C20,'DADOS BRUTOS'!BO$3:BO$500)))</f>
        <v/>
      </c>
      <c r="EP20" s="132">
        <f>IF(OR(EP$4="",$B20=""),0,SUMIF('DADOS BRUTOS'!$A$3:$A$500,$B20,'DADOS BRUTOS'!BP$3:BP$500)+IF($C20="",0,SUMIF('DADOS BRUTOS'!$A$3:$A$500,$C20,'DADOS BRUTOS'!BP$3:BP$500)))</f>
        <v/>
      </c>
      <c r="EQ20" s="132">
        <f>IF(OR(EQ$4="",$B20=""),0,SUMIF('DADOS BRUTOS'!$A$3:$A$500,$B20,'DADOS BRUTOS'!BQ$3:BQ$500)+IF($C20="",0,SUMIF('DADOS BRUTOS'!$A$3:$A$500,$C20,'DADOS BRUTOS'!BQ$3:BQ$500)))</f>
        <v/>
      </c>
      <c r="ER20" s="132">
        <f>IF(OR(ER$4="",$B20=""),0,SUMIF('DADOS BRUTOS'!$A$3:$A$500,$B20,'DADOS BRUTOS'!BR$3:BR$500)+IF($C20="",0,SUMIF('DADOS BRUTOS'!$A$3:$A$500,$C20,'DADOS BRUTOS'!BR$3:BR$500)))</f>
        <v/>
      </c>
      <c r="ES20" s="132">
        <f>IF(OR(ES$4="",$B20=""),0,SUMIF('DADOS BRUTOS'!$A$3:$A$500,$B20,'DADOS BRUTOS'!BS$3:BS$500)+IF($C20="",0,SUMIF('DADOS BRUTOS'!$A$3:$A$500,$C20,'DADOS BRUTOS'!BS$3:BS$500)))</f>
        <v/>
      </c>
      <c r="ET20" s="132">
        <f>IF(OR(ET$4="",$B20=""),0,SUMIF('DADOS BRUTOS'!$A$3:$A$500,$B20,'DADOS BRUTOS'!BT$3:BT$500)+IF($C20="",0,SUMIF('DADOS BRUTOS'!$A$3:$A$500,$C20,'DADOS BRUTOS'!BT$3:BT$500)))</f>
        <v/>
      </c>
      <c r="EU20" s="132">
        <f>IF(OR(EU$4="",$B20=""),0,SUMIF('DADOS BRUTOS'!$A$3:$A$500,$B20,'DADOS BRUTOS'!BU$3:BU$500)+IF($C20="",0,SUMIF('DADOS BRUTOS'!$A$3:$A$500,$C20,'DADOS BRUTOS'!BU$3:BU$500)))</f>
        <v/>
      </c>
      <c r="EV20" s="132">
        <f>IF(OR(EV$4="",$B20=""),0,SUMIF('DADOS BRUTOS'!$A$3:$A$500,$B20,'DADOS BRUTOS'!BV$3:BV$500)+IF($C20="",0,SUMIF('DADOS BRUTOS'!$A$3:$A$500,$C20,'DADOS BRUTOS'!BV$3:BV$500)))</f>
        <v/>
      </c>
      <c r="EW20" s="132">
        <f>IF(OR(EW$4="",$B20=""),0,SUMIF('DADOS BRUTOS'!$A$3:$A$500,$B20,'DADOS BRUTOS'!BW$3:BW$500)+IF($C20="",0,SUMIF('DADOS BRUTOS'!$A$3:$A$500,$C20,'DADOS BRUTOS'!BW$3:BW$500)))</f>
        <v/>
      </c>
      <c r="EX20" s="132">
        <f>IF(OR(EX$4="",$B20=""),0,SUMIF('DADOS BRUTOS'!$A$3:$A$500,$B20,'DADOS BRUTOS'!BX$3:BX$500)+IF($C20="",0,SUMIF('DADOS BRUTOS'!$A$3:$A$500,$C20,'DADOS BRUTOS'!BX$3:BX$500)))</f>
        <v/>
      </c>
      <c r="EY20" s="132">
        <f>IF(OR(EY$4="",$B20=""),0,SUMIF('DADOS BRUTOS'!$A$3:$A$500,$B20,'DADOS BRUTOS'!BY$3:BY$500)+IF($C20="",0,SUMIF('DADOS BRUTOS'!$A$3:$A$500,$C20,'DADOS BRUTOS'!BY$3:BY$500)))</f>
        <v/>
      </c>
      <c r="EZ20" s="132">
        <f>IF(OR(EZ$4="",$B20=""),0,SUMIF('DADOS BRUTOS'!$A$3:$A$500,$B20,'DADOS BRUTOS'!BZ$3:BZ$500)+IF($C20="",0,SUMIF('DADOS BRUTOS'!$A$3:$A$500,$C20,'DADOS BRUTOS'!BZ$3:BZ$500)))</f>
        <v/>
      </c>
      <c r="FA20" s="132">
        <f>IF(OR(FA$4="",$B20=""),0,SUMIF('DADOS BRUTOS'!$A$3:$A$500,$B20,'DADOS BRUTOS'!CA$3:CA$500)+IF($C20="",0,SUMIF('DADOS BRUTOS'!$A$3:$A$500,$C20,'DADOS BRUTOS'!CA$3:CA$500)))</f>
        <v/>
      </c>
      <c r="FB20" s="132">
        <f>IF(OR(FB$4="",$B20=""),0,SUMIF('DADOS BRUTOS'!$A$3:$A$500,$B20,'DADOS BRUTOS'!CB$3:CB$500)+IF($C20="",0,SUMIF('DADOS BRUTOS'!$A$3:$A$500,$C20,'DADOS BRUTOS'!CB$3:CB$500)))</f>
        <v/>
      </c>
      <c r="FC20" s="132">
        <f>IF(OR(FC$4="",$B20=""),0,SUMIF('DADOS BRUTOS'!$A$3:$A$500,$B20,'DADOS BRUTOS'!CC$3:CC$500)+IF($C20="",0,SUMIF('DADOS BRUTOS'!$A$3:$A$500,$C20,'DADOS BRUTOS'!CC$3:CC$500)))</f>
        <v/>
      </c>
      <c r="FD20" s="132">
        <f>IF(OR(FD$4="",$B20=""),0,SUMIF('DADOS BRUTOS'!$A$3:$A$500,$B20,'DADOS BRUTOS'!CD$3:CD$500)+IF($C20="",0,SUMIF('DADOS BRUTOS'!$A$3:$A$500,$C20,'DADOS BRUTOS'!CD$3:CD$500)))</f>
        <v/>
      </c>
      <c r="FE20" s="132">
        <f>IF(OR(FE$4="",$B20=""),0,SUMIF('DADOS BRUTOS'!$A$3:$A$500,$B20,'DADOS BRUTOS'!CE$3:CE$500)+IF($C20="",0,SUMIF('DADOS BRUTOS'!$A$3:$A$500,$C20,'DADOS BRUTOS'!CE$3:CE$500)))</f>
        <v/>
      </c>
      <c r="FF20" s="132">
        <f>IF(OR(FF$4="",$B20=""),0,SUMIF('DADOS BRUTOS'!$A$3:$A$500,$B20,'DADOS BRUTOS'!CF$3:CF$500)+IF($C20="",0,SUMIF('DADOS BRUTOS'!$A$3:$A$500,$C20,'DADOS BRUTOS'!CF$3:CF$500)))</f>
        <v/>
      </c>
      <c r="FG20" s="132">
        <f>IF(OR(FG$4="",$B20=""),0,SUMIF('DADOS BRUTOS'!$A$3:$A$500,$B20,'DADOS BRUTOS'!CG$3:CG$500)+IF($C20="",0,SUMIF('DADOS BRUTOS'!$A$3:$A$500,$C20,'DADOS BRUTOS'!CG$3:CG$500)))</f>
        <v/>
      </c>
      <c r="FH20" s="132">
        <f>IF(OR(FH$4="",$B20=""),0,SUMIF('DADOS BRUTOS'!$A$3:$A$500,$B20,'DADOS BRUTOS'!CH$3:CH$500)+IF($C20="",0,SUMIF('DADOS BRUTOS'!$A$3:$A$500,$C20,'DADOS BRUTOS'!CH$3:CH$500)))</f>
        <v/>
      </c>
      <c r="FI20" s="132">
        <f>IF(OR(FI$4="",$B20=""),0,SUMIF('DADOS BRUTOS'!$A$3:$A$500,$B20,'DADOS BRUTOS'!CI$3:CI$500)+IF($C20="",0,SUMIF('DADOS BRUTOS'!$A$3:$A$500,$C20,'DADOS BRUTOS'!CI$3:CI$500)))</f>
        <v/>
      </c>
      <c r="FJ20" s="132">
        <f>IF(OR(FJ$4="",$B20=""),0,SUMIF('DADOS BRUTOS'!$A$3:$A$500,$B20,'DADOS BRUTOS'!CJ$3:CJ$500)+IF($C20="",0,SUMIF('DADOS BRUTOS'!$A$3:$A$500,$C20,'DADOS BRUTOS'!CJ$3:CJ$500)))</f>
        <v/>
      </c>
      <c r="FK20" s="132">
        <f>IF(OR(FK$4="",$B20=""),0,SUMIF('DADOS BRUTOS'!$A$3:$A$500,$B20,'DADOS BRUTOS'!CK$3:CK$500)+IF($C20="",0,SUMIF('DADOS BRUTOS'!$A$3:$A$500,$C20,'DADOS BRUTOS'!CK$3:CK$500)))</f>
        <v/>
      </c>
      <c r="FL20" s="132">
        <f>IF(OR(FL$4="",$B20=""),0,SUMIF('DADOS BRUTOS'!$A$3:$A$500,$B20,'DADOS BRUTOS'!CL$3:CL$500)+IF($C20="",0,SUMIF('DADOS BRUTOS'!$A$3:$A$500,$C20,'DADOS BRUTOS'!CL$3:CL$500)))</f>
        <v/>
      </c>
      <c r="FM20" s="132">
        <f>IF(OR(FM$4="",$B20=""),0,SUMIF('DADOS BRUTOS'!$A$3:$A$500,$B20,'DADOS BRUTOS'!CM$3:CM$500)+IF($C20="",0,SUMIF('DADOS BRUTOS'!$A$3:$A$500,$C20,'DADOS BRUTOS'!CM$3:CM$500)))</f>
        <v/>
      </c>
      <c r="FN20" s="132">
        <f>IF(OR(FN$4="",$B20=""),0,SUMIF('DADOS BRUTOS'!$A$3:$A$500,$B20,'DADOS BRUTOS'!CN$3:CN$500)+IF($C20="",0,SUMIF('DADOS BRUTOS'!$A$3:$A$500,$C20,'DADOS BRUTOS'!CN$3:CN$500)))</f>
        <v/>
      </c>
      <c r="FO20" s="132">
        <f>IF(OR(FO$4="",$B20=""),0,SUMIF('DADOS BRUTOS'!$A$3:$A$500,$B20,'DADOS BRUTOS'!CO$3:CO$500)+IF($C20="",0,SUMIF('DADOS BRUTOS'!$A$3:$A$500,$C20,'DADOS BRUTOS'!CO$3:CO$500)))</f>
        <v/>
      </c>
      <c r="FP20" s="132">
        <f>IF(OR(FP$4="",$B20=""),0,SUMIF('DADOS BRUTOS'!$A$3:$A$500,$B20,'DADOS BRUTOS'!CP$3:CP$500)+IF($C20="",0,SUMIF('DADOS BRUTOS'!$A$3:$A$500,$C20,'DADOS BRUTOS'!CP$3:CP$500)))</f>
        <v/>
      </c>
      <c r="FQ20" s="132">
        <f>IF(OR(FQ$4="",$B20=""),0,SUMIF('DADOS BRUTOS'!$A$3:$A$500,$B20,'DADOS BRUTOS'!CQ$3:CQ$500)+IF($C20="",0,SUMIF('DADOS BRUTOS'!$A$3:$A$500,$C20,'DADOS BRUTOS'!CQ$3:CQ$500)))</f>
        <v/>
      </c>
      <c r="FR20" s="132">
        <f>IF(OR(FR$4="",$B20=""),0,SUMIF('DADOS BRUTOS'!$A$3:$A$500,$B20,'DADOS BRUTOS'!CR$3:CR$500)+IF($C20="",0,SUMIF('DADOS BRUTOS'!$A$3:$A$500,$C20,'DADOS BRUTOS'!CR$3:CR$500)))</f>
        <v/>
      </c>
      <c r="FS20" s="132">
        <f>IF(OR(FS$4="",$B20=""),0,SUMIF('DADOS BRUTOS'!$A$3:$A$500,$B20,'DADOS BRUTOS'!CS$3:CS$500)+IF($C20="",0,SUMIF('DADOS BRUTOS'!$A$3:$A$500,$C20,'DADOS BRUTOS'!CS$3:CS$500)))</f>
        <v/>
      </c>
      <c r="FT20" s="132">
        <f>IF(OR(FT$4="",$B20=""),0,SUMIF('DADOS BRUTOS'!$A$3:$A$500,$B20,'DADOS BRUTOS'!CT$3:CT$500)+IF($C20="",0,SUMIF('DADOS BRUTOS'!$A$3:$A$500,$C20,'DADOS BRUTOS'!CT$3:CT$500)))</f>
        <v/>
      </c>
      <c r="FU20" s="132">
        <f>IF(OR(FU$4="",$B20=""),0,SUMIF('DADOS BRUTOS'!$A$3:$A$500,$B20,'DADOS BRUTOS'!CU$3:CU$500)+IF($C20="",0,SUMIF('DADOS BRUTOS'!$A$3:$A$500,$C20,'DADOS BRUTOS'!CU$3:CU$500)))</f>
        <v/>
      </c>
      <c r="FV20" s="132">
        <f>IF(OR(FV$4="",$B20=""),0,SUMIF('DADOS BRUTOS'!$A$3:$A$500,$B20,'DADOS BRUTOS'!CV$3:CV$500)+IF($C20="",0,SUMIF('DADOS BRUTOS'!$A$3:$A$500,$C20,'DADOS BRUTOS'!CV$3:CV$500)))</f>
        <v/>
      </c>
      <c r="FW20" s="132">
        <f>IF(OR(FW$4="",$B20=""),0,SUMIF('DADOS BRUTOS'!$A$3:$A$500,$B20,'DADOS BRUTOS'!CW$3:CW$500)+IF($C20="",0,SUMIF('DADOS BRUTOS'!$A$3:$A$500,$C20,'DADOS BRUTOS'!CW$3:CW$500)))</f>
        <v/>
      </c>
      <c r="FX20" s="132">
        <f>IF(OR(FX$4="",$B20=""),0,SUMIF('DADOS BRUTOS'!$A$3:$A$500,$B20,'DADOS BRUTOS'!CX$3:CX$500)+IF($C20="",0,SUMIF('DADOS BRUTOS'!$A$3:$A$500,$C20,'DADOS BRUTOS'!CX$3:CX$500)))</f>
        <v/>
      </c>
      <c r="FY20" s="132">
        <f>IF(OR(FY$4="",$B20=""),0,SUMIF('DADOS BRUTOS'!$A$3:$A$500,$B20,'DADOS BRUTOS'!CY$3:CY$500)+IF($C20="",0,SUMIF('DADOS BRUTOS'!$A$3:$A$500,$C20,'DADOS BRUTOS'!CY$3:CY$500)))</f>
        <v/>
      </c>
      <c r="FZ20" s="132">
        <f>IF(OR(FZ$4="",$B20=""),0,SUMIF('DADOS BRUTOS'!$A$3:$A$500,$B20,'DADOS BRUTOS'!CZ$3:CZ$500)+IF($C20="",0,SUMIF('DADOS BRUTOS'!$A$3:$A$500,$C20,'DADOS BRUTOS'!CZ$3:CZ$500)))</f>
        <v/>
      </c>
      <c r="GA20" s="132">
        <f>IF(OR(GA$4="",$B20=""),0,SUMIF('DADOS BRUTOS'!$A$3:$A$500,$B20,'DADOS BRUTOS'!DA$3:DA$500)+IF($C20="",0,SUMIF('DADOS BRUTOS'!$A$3:$A$500,$C20,'DADOS BRUTOS'!DA$3:DA$500)))</f>
        <v/>
      </c>
      <c r="GB20" s="132">
        <f>IF(OR(GB$4="",$B20=""),0,SUMIF('DADOS BRUTOS'!$A$3:$A$500,$B20,'DADOS BRUTOS'!DB$3:DB$500)+IF($C20="",0,SUMIF('DADOS BRUTOS'!$A$3:$A$500,$C20,'DADOS BRUTOS'!DB$3:DB$500)))</f>
        <v/>
      </c>
      <c r="GC20" s="132">
        <f>IF(OR(GC$4="",$B20=""),0,SUMIF('DADOS BRUTOS'!$A$3:$A$500,$B20,'DADOS BRUTOS'!DC$3:DC$500)+IF($C20="",0,SUMIF('DADOS BRUTOS'!$A$3:$A$500,$C20,'DADOS BRUTOS'!DC$3:DC$500)))</f>
        <v/>
      </c>
      <c r="GD20" s="132">
        <f>IF(OR(GD$4="",$B20=""),0,SUMIF('DADOS BRUTOS'!$A$3:$A$500,$B20,'DADOS BRUTOS'!DD$3:DD$500)+IF($C20="",0,SUMIF('DADOS BRUTOS'!$A$3:$A$500,$C20,'DADOS BRUTOS'!DD$3:DD$500)))</f>
        <v/>
      </c>
      <c r="GE20" s="132">
        <f>IF(OR(GE$4="",$B20=""),0,SUMIF('DADOS BRUTOS'!$A$3:$A$500,$B20,'DADOS BRUTOS'!DE$3:DE$500)+IF($C20="",0,SUMIF('DADOS BRUTOS'!$A$3:$A$500,$C20,'DADOS BRUTOS'!DE$3:DE$500)))</f>
        <v/>
      </c>
      <c r="GF20" s="132">
        <f>IF(OR(GF$4="",$B20=""),0,SUMIF('DADOS BRUTOS'!$A$3:$A$500,$B20,'DADOS BRUTOS'!DF$3:DF$500)+IF($C20="",0,SUMIF('DADOS BRUTOS'!$A$3:$A$500,$C20,'DADOS BRUTOS'!DF$3:DF$500)))</f>
        <v/>
      </c>
      <c r="GG20" s="132">
        <f>IF(OR(GG$4="",$B20=""),0,SUMIF('DADOS BRUTOS'!$A$3:$A$500,$B20,'DADOS BRUTOS'!DG$3:DG$500)+IF($C20="",0,SUMIF('DADOS BRUTOS'!$A$3:$A$500,$C20,'DADOS BRUTOS'!DG$3:DG$500)))</f>
        <v/>
      </c>
      <c r="GH20" s="132">
        <f>IF(OR(GH$4="",$B20=""),0,SUMIF('DADOS BRUTOS'!$A$3:$A$500,$B20,'DADOS BRUTOS'!DH$3:DH$500)+IF($C20="",0,SUMIF('DADOS BRUTOS'!$A$3:$A$500,$C20,'DADOS BRUTOS'!DH$3:DH$500)))</f>
        <v/>
      </c>
      <c r="GI20" s="132">
        <f>IF(OR(GI$4="",$B20=""),0,SUMIF('DADOS BRUTOS'!$A$3:$A$500,$B20,'DADOS BRUTOS'!DI$3:DI$500)+IF($C20="",0,SUMIF('DADOS BRUTOS'!$A$3:$A$500,$C20,'DADOS BRUTOS'!DI$3:DI$500)))</f>
        <v/>
      </c>
      <c r="GJ20" s="132">
        <f>IF(OR(GJ$4="",$B20=""),0,SUMIF('DADOS BRUTOS'!$A$3:$A$500,$B20,'DADOS BRUTOS'!DJ$3:DJ$500)+IF($C20="",0,SUMIF('DADOS BRUTOS'!$A$3:$A$500,$C20,'DADOS BRUTOS'!DJ$3:DJ$500)))</f>
        <v/>
      </c>
      <c r="GK20" s="132">
        <f>IF(OR(GK$4="",$B20=""),0,SUMIF('DADOS BRUTOS'!$A$3:$A$500,$B20,'DADOS BRUTOS'!DK$3:DK$500)+IF($C20="",0,SUMIF('DADOS BRUTOS'!$A$3:$A$500,$C20,'DADOS BRUTOS'!DK$3:DK$500)))</f>
        <v/>
      </c>
      <c r="GL20" s="132">
        <f>IF(OR(GL$4="",$B20=""),0,SUMIF('DADOS BRUTOS'!$A$3:$A$500,$B20,'DADOS BRUTOS'!DL$3:DL$500)+IF($C20="",0,SUMIF('DADOS BRUTOS'!$A$3:$A$500,$C20,'DADOS BRUTOS'!DL$3:DL$500)))</f>
        <v/>
      </c>
      <c r="GM20" s="132">
        <f>IF(OR(GM$4="",$B20=""),0,SUMIF('DADOS BRUTOS'!$A$3:$A$500,$B20,'DADOS BRUTOS'!DM$3:DM$500)+IF($C20="",0,SUMIF('DADOS BRUTOS'!$A$3:$A$500,$C20,'DADOS BRUTOS'!DM$3:DM$500)))</f>
        <v/>
      </c>
      <c r="GN20" s="132">
        <f>IF(OR(GN$4="",$B20=""),0,SUMIF('DADOS BRUTOS'!$A$3:$A$500,$B20,'DADOS BRUTOS'!DN$3:DN$500)+IF($C20="",0,SUMIF('DADOS BRUTOS'!$A$3:$A$500,$C20,'DADOS BRUTOS'!DN$3:DN$500)))</f>
        <v/>
      </c>
      <c r="GO20" s="132">
        <f>IF(OR(GO$4="",$B20=""),0,SUMIF('DADOS BRUTOS'!$A$3:$A$500,$B20,'DADOS BRUTOS'!DO$3:DO$500)+IF($C20="",0,SUMIF('DADOS BRUTOS'!$A$3:$A$500,$C20,'DADOS BRUTOS'!DO$3:DO$500)))</f>
        <v/>
      </c>
      <c r="GP20" s="132">
        <f>IF(OR(GP$4="",$B20=""),0,SUMIF('DADOS BRUTOS'!$A$3:$A$500,$B20,'DADOS BRUTOS'!DP$3:DP$500)+IF($C20="",0,SUMIF('DADOS BRUTOS'!$A$3:$A$500,$C20,'DADOS BRUTOS'!DP$3:DP$500)))</f>
        <v/>
      </c>
      <c r="GQ20" s="132">
        <f>IF(OR(GQ$4="",$B20=""),0,SUMIF('DADOS BRUTOS'!$A$3:$A$500,$B20,'DADOS BRUTOS'!DQ$3:DQ$500)+IF($C20="",0,SUMIF('DADOS BRUTOS'!$A$3:$A$500,$C20,'DADOS BRUTOS'!DQ$3:DQ$500)))</f>
        <v/>
      </c>
      <c r="GR20" s="132">
        <f>IF(OR(GR$4="",$B20=""),0,SUMIF('DADOS BRUTOS'!$A$3:$A$500,$B20,'DADOS BRUTOS'!DR$3:DR$500)+IF($C20="",0,SUMIF('DADOS BRUTOS'!$A$3:$A$500,$C20,'DADOS BRUTOS'!DR$3:DR$500)))</f>
        <v/>
      </c>
      <c r="GS20" s="132">
        <f>IF(OR(GS$4="",$B20=""),0,SUMIF('DADOS BRUTOS'!$A$3:$A$500,$B20,'DADOS BRUTOS'!DS$3:DS$500)+IF($C20="",0,SUMIF('DADOS BRUTOS'!$A$3:$A$500,$C20,'DADOS BRUTOS'!DS$3:DS$500)))</f>
        <v/>
      </c>
      <c r="GT20" s="132">
        <f>IF(OR(GT$4="",$B20=""),0,SUMIF('DADOS BRUTOS'!$A$3:$A$500,$B20,'DADOS BRUTOS'!DT$3:DT$500)+IF($C20="",0,SUMIF('DADOS BRUTOS'!$A$3:$A$500,$C20,'DADOS BRUTOS'!DT$3:DT$500)))</f>
        <v/>
      </c>
      <c r="GU20" s="132">
        <f>IF(OR(GU$4="",$B20=""),0,SUMIF('DADOS BRUTOS'!$A$3:$A$500,$B20,'DADOS BRUTOS'!DU$3:DU$500)+IF($C20="",0,SUMIF('DADOS BRUTOS'!$A$3:$A$500,$C20,'DADOS BRUTOS'!DU$3:DU$500)))</f>
        <v/>
      </c>
      <c r="GV20" s="132">
        <f>IF(OR(GV$4="",$B20=""),0,SUMIF('DADOS BRUTOS'!$A$3:$A$500,$B20,'DADOS BRUTOS'!DV$3:DV$500)+IF($C20="",0,SUMIF('DADOS BRUTOS'!$A$3:$A$500,$C20,'DADOS BRUTOS'!DV$3:DV$500)))</f>
        <v/>
      </c>
      <c r="GW20" s="132">
        <f>IF(OR(GW$4="",$B20=""),0,SUMIF('DADOS BRUTOS'!$A$3:$A$500,$B20,'DADOS BRUTOS'!DW$3:DW$500)+IF($C20="",0,SUMIF('DADOS BRUTOS'!$A$3:$A$500,$C20,'DADOS BRUTOS'!DW$3:DW$500)))</f>
        <v/>
      </c>
      <c r="GX20" s="132">
        <f>IF(OR(GX$4="",$B20=""),0,SUMIF('DADOS BRUTOS'!$A$3:$A$500,$B20,'DADOS BRUTOS'!DX$3:DX$500)+IF($C20="",0,SUMIF('DADOS BRUTOS'!$A$3:$A$500,$C20,'DADOS BRUTOS'!DX$3:DX$500)))</f>
        <v/>
      </c>
      <c r="GY20" s="132">
        <f>IF(OR(GY$4="",$B20=""),0,SUMIF('DADOS BRUTOS'!$A$3:$A$500,$B20,'DADOS BRUTOS'!DY$3:DY$500)+IF($C20="",0,SUMIF('DADOS BRUTOS'!$A$3:$A$500,$C20,'DADOS BRUTOS'!DY$3:DY$500)))</f>
        <v/>
      </c>
      <c r="GZ20" s="132">
        <f>IF(OR(GZ$4="",$B20=""),0,SUMIF('DADOS BRUTOS'!$A$3:$A$500,$B20,'DADOS BRUTOS'!DZ$3:DZ$500)+IF($C20="",0,SUMIF('DADOS BRUTOS'!$A$3:$A$500,$C20,'DADOS BRUTOS'!DZ$3:DZ$500)))</f>
        <v/>
      </c>
      <c r="HA20" s="132">
        <f>IF(OR(HA$4="",$B20=""),0,SUMIF('DADOS BRUTOS'!$A$3:$A$500,$B20,'DADOS BRUTOS'!EA$3:EA$500)+IF($C20="",0,SUMIF('DADOS BRUTOS'!$A$3:$A$500,$C20,'DADOS BRUTOS'!EA$3:EA$500)))</f>
        <v/>
      </c>
      <c r="HB20" s="132">
        <f>IF(OR(HB$4="",$B20=""),0,SUMIF('DADOS BRUTOS'!$A$3:$A$500,$B20,'DADOS BRUTOS'!EB$3:EB$500)+IF($C20="",0,SUMIF('DADOS BRUTOS'!$A$3:$A$500,$C20,'DADOS BRUTOS'!EB$3:EB$500)))</f>
        <v/>
      </c>
      <c r="HC20" s="132">
        <f>IF(OR(HC$4="",$B20=""),0,SUMIF('DADOS BRUTOS'!$A$3:$A$500,$B20,'DADOS BRUTOS'!EC$3:EC$500)+IF($C20="",0,SUMIF('DADOS BRUTOS'!$A$3:$A$500,$C20,'DADOS BRUTOS'!EC$3:EC$500)))</f>
        <v/>
      </c>
      <c r="HD20" s="132">
        <f>IF(OR(HD$4="",$B20=""),0,SUMIF('DADOS BRUTOS'!$A$3:$A$500,$B20,'DADOS BRUTOS'!ED$3:ED$500)+IF($C20="",0,SUMIF('DADOS BRUTOS'!$A$3:$A$500,$C20,'DADOS BRUTOS'!ED$3:ED$500)))</f>
        <v/>
      </c>
      <c r="HE20" s="132">
        <f>IF(OR(HE$4="",$B20=""),0,SUMIF('DADOS BRUTOS'!$A$3:$A$500,$B20,'DADOS BRUTOS'!EE$3:EE$500)+IF($C20="",0,SUMIF('DADOS BRUTOS'!$A$3:$A$500,$C20,'DADOS BRUTOS'!EE$3:EE$500)))</f>
        <v/>
      </c>
      <c r="HF20" s="132">
        <f>IF(OR(HF$4="",$B20=""),0,SUMIF('DADOS BRUTOS'!$A$3:$A$500,$B20,'DADOS BRUTOS'!EF$3:EF$500)+IF($C20="",0,SUMIF('DADOS BRUTOS'!$A$3:$A$500,$C20,'DADOS BRUTOS'!EF$3:EF$500)))</f>
        <v/>
      </c>
      <c r="HG20" s="132">
        <f>IF(OR(HG$4="",$B20=""),0,SUMIF('DADOS BRUTOS'!$A$3:$A$500,$B20,'DADOS BRUTOS'!EG$3:EG$500)+IF($C20="",0,SUMIF('DADOS BRUTOS'!$A$3:$A$500,$C20,'DADOS BRUTOS'!EG$3:EG$500)))</f>
        <v/>
      </c>
      <c r="HH20" s="132">
        <f>IF(OR(HH$4="",$B20=""),0,SUMIF('DADOS BRUTOS'!$A$3:$A$500,$B20,'DADOS BRUTOS'!EH$3:EH$500)+IF($C20="",0,SUMIF('DADOS BRUTOS'!$A$3:$A$500,$C20,'DADOS BRUTOS'!EH$3:EH$500)))</f>
        <v/>
      </c>
      <c r="HI20" s="132">
        <f>IF(OR(HI$4="",$B20=""),0,SUMIF('DADOS BRUTOS'!$A$3:$A$500,$B20,'DADOS BRUTOS'!EI$3:EI$500)+IF($C20="",0,SUMIF('DADOS BRUTOS'!$A$3:$A$500,$C20,'DADOS BRUTOS'!EI$3:EI$500)))</f>
        <v/>
      </c>
      <c r="HJ20" s="132">
        <f>IF(OR(HJ$4="",$B20=""),0,SUMIF('DADOS BRUTOS'!$A$3:$A$500,$B20,'DADOS BRUTOS'!EJ$3:EJ$500)+IF($C20="",0,SUMIF('DADOS BRUTOS'!$A$3:$A$500,$C20,'DADOS BRUTOS'!EJ$3:EJ$500)))</f>
        <v/>
      </c>
      <c r="HK20" s="132">
        <f>IF(OR(HK$4="",$B20=""),0,SUMIF('DADOS BRUTOS'!$A$3:$A$500,$B20,'DADOS BRUTOS'!EK$3:EK$500)+IF($C20="",0,SUMIF('DADOS BRUTOS'!$A$3:$A$500,$C20,'DADOS BRUTOS'!EK$3:EK$500)))</f>
        <v/>
      </c>
      <c r="HL20" s="132">
        <f>IF(OR(HL$4="",$B20=""),0,SUMIF('DADOS BRUTOS'!$A$3:$A$500,$B20,'DADOS BRUTOS'!EL$3:EL$500)+IF($C20="",0,SUMIF('DADOS BRUTOS'!$A$3:$A$500,$C20,'DADOS BRUTOS'!EL$3:EL$500)))</f>
        <v/>
      </c>
      <c r="HM20" s="132">
        <f>IF(OR(HM$4="",$B20=""),0,SUMIF('DADOS BRUTOS'!$A$3:$A$500,$B20,'DADOS BRUTOS'!EM$3:EM$500)+IF($C20="",0,SUMIF('DADOS BRUTOS'!$A$3:$A$500,$C20,'DADOS BRUTOS'!EM$3:EM$500)))</f>
        <v/>
      </c>
      <c r="HN20" s="132">
        <f>IF(OR(HN$4="",$B20=""),0,SUMIF('DADOS BRUTOS'!$A$3:$A$500,$B20,'DADOS BRUTOS'!EN$3:EN$500)+IF($C20="",0,SUMIF('DADOS BRUTOS'!$A$3:$A$500,$C20,'DADOS BRUTOS'!EN$3:EN$500)))</f>
        <v/>
      </c>
      <c r="HO20" s="132">
        <f>IF(OR(HO$4="",$B20=""),0,SUMIF('DADOS BRUTOS'!$A$3:$A$500,$B20,'DADOS BRUTOS'!EO$3:EO$500)+IF($C20="",0,SUMIF('DADOS BRUTOS'!$A$3:$A$500,$C20,'DADOS BRUTOS'!EO$3:EO$500)))</f>
        <v/>
      </c>
      <c r="HP20" s="132">
        <f>IF(OR(HP$4="",$B20=""),0,SUMIF('DADOS BRUTOS'!$A$3:$A$500,$B20,'DADOS BRUTOS'!EP$3:EP$500)+IF($C20="",0,SUMIF('DADOS BRUTOS'!$A$3:$A$500,$C20,'DADOS BRUTOS'!EP$3:EP$500)))</f>
        <v/>
      </c>
      <c r="HQ20" s="132">
        <f>IF(OR(HQ$4="",$B20=""),0,SUMIF('DADOS BRUTOS'!$A$3:$A$500,$B20,'DADOS BRUTOS'!EQ$3:EQ$500)+IF($C20="",0,SUMIF('DADOS BRUTOS'!$A$3:$A$500,$C20,'DADOS BRUTOS'!EQ$3:EQ$500)))</f>
        <v/>
      </c>
      <c r="HR20" s="132">
        <f>IF(OR(HR$4="",$B20=""),0,SUMIF('DADOS BRUTOS'!$A$3:$A$500,$B20,'DADOS BRUTOS'!ER$3:ER$500)+IF($C20="",0,SUMIF('DADOS BRUTOS'!$A$3:$A$500,$C20,'DADOS BRUTOS'!ER$3:ER$500)))</f>
        <v/>
      </c>
      <c r="HS20" s="132">
        <f>IF(OR(HS$4="",$B20=""),0,SUMIF('DADOS BRUTOS'!$A$3:$A$500,$B20,'DADOS BRUTOS'!ES$3:ES$500)+IF($C20="",0,SUMIF('DADOS BRUTOS'!$A$3:$A$500,$C20,'DADOS BRUTOS'!ES$3:ES$500)))</f>
        <v/>
      </c>
      <c r="HT20" s="132">
        <f>IF(OR(HT$4="",$B20=""),0,SUMIF('DADOS BRUTOS'!$A$3:$A$500,$B20,'DADOS BRUTOS'!ET$3:ET$500)+IF($C20="",0,SUMIF('DADOS BRUTOS'!$A$3:$A$500,$C20,'DADOS BRUTOS'!ET$3:ET$500)))</f>
        <v/>
      </c>
      <c r="HU20" s="132">
        <f>IF(OR(HU$4="",$B20=""),0,SUMIF('DADOS BRUTOS'!$A$3:$A$500,$B20,'DADOS BRUTOS'!EU$3:EU$500)+IF($C20="",0,SUMIF('DADOS BRUTOS'!$A$3:$A$500,$C20,'DADOS BRUTOS'!EU$3:EU$500)))</f>
        <v/>
      </c>
      <c r="HV20" s="132">
        <f>IF(OR(HV$4="",$B20=""),0,SUMIF('DADOS BRUTOS'!$A$3:$A$500,$B20,'DADOS BRUTOS'!EV$3:EV$500)+IF($C20="",0,SUMIF('DADOS BRUTOS'!$A$3:$A$500,$C20,'DADOS BRUTOS'!EV$3:EV$500)))</f>
        <v/>
      </c>
      <c r="HW20" s="132">
        <f>IF(OR(HW$4="",$B20=""),0,SUMIF('DADOS BRUTOS'!$A$3:$A$500,$B20,'DADOS BRUTOS'!EW$3:EW$500)+IF($C20="",0,SUMIF('DADOS BRUTOS'!$A$3:$A$500,$C20,'DADOS BRUTOS'!EW$3:EW$500)))</f>
        <v/>
      </c>
      <c r="HX20" s="132">
        <f>IF(OR(HX$4="",$B20=""),0,SUMIF('DADOS BRUTOS'!$A$3:$A$500,$B20,'DADOS BRUTOS'!EX$3:EX$500)+IF($C20="",0,SUMIF('DADOS BRUTOS'!$A$3:$A$500,$C20,'DADOS BRUTOS'!EX$3:EX$500)))</f>
        <v/>
      </c>
      <c r="HY20" s="132">
        <f>IF(OR(HY$4="",$B20=""),0,SUMIF('DADOS BRUTOS'!$A$3:$A$500,$B20,'DADOS BRUTOS'!EY$3:EY$500)+IF($C20="",0,SUMIF('DADOS BRUTOS'!$A$3:$A$500,$C20,'DADOS BRUTOS'!EY$3:EY$500)))</f>
        <v/>
      </c>
      <c r="HZ20" s="132">
        <f>IF(OR(HZ$4="",$B20=""),0,SUMIF('DADOS BRUTOS'!$A$3:$A$500,$B20,'DADOS BRUTOS'!EZ$3:EZ$500)+IF($C20="",0,SUMIF('DADOS BRUTOS'!$A$3:$A$500,$C20,'DADOS BRUTOS'!EZ$3:EZ$500)))</f>
        <v/>
      </c>
      <c r="IA20" s="132">
        <f>IF(OR(IA$4="",$B20=""),0,SUMIF('DADOS BRUTOS'!$A$3:$A$500,$B20,'DADOS BRUTOS'!FA$3:FA$500)+IF($C20="",0,SUMIF('DADOS BRUTOS'!$A$3:$A$500,$C20,'DADOS BRUTOS'!FA$3:FA$500)))</f>
        <v/>
      </c>
      <c r="IB20" s="132">
        <f>IF(OR(IB$4="",$B20=""),0,SUMIF('DADOS BRUTOS'!$A$3:$A$500,$B20,'DADOS BRUTOS'!FB$3:FB$500)+IF($C20="",0,SUMIF('DADOS BRUTOS'!$A$3:$A$500,$C20,'DADOS BRUTOS'!FB$3:FB$500)))</f>
        <v/>
      </c>
      <c r="IC20" s="132">
        <f>IF(OR(IC$4="",$B20=""),0,SUMIF('DADOS BRUTOS'!$A$3:$A$500,$B20,'DADOS BRUTOS'!FC$3:FC$500)+IF($C20="",0,SUMIF('DADOS BRUTOS'!$A$3:$A$500,$C20,'DADOS BRUTOS'!FC$3:FC$500)))</f>
        <v/>
      </c>
      <c r="ID20" s="132">
        <f>IF(OR(ID$4="",$B20=""),0,SUMIF('DADOS BRUTOS'!$A$3:$A$500,$B20,'DADOS BRUTOS'!FD$3:FD$500)+IF($C20="",0,SUMIF('DADOS BRUTOS'!$A$3:$A$500,$C20,'DADOS BRUTOS'!FD$3:FD$500)))</f>
        <v/>
      </c>
      <c r="IE20" s="132">
        <f>IF(OR(IE$4="",$B20=""),0,SUMIF('DADOS BRUTOS'!$A$3:$A$500,$B20,'DADOS BRUTOS'!FE$3:FE$500)+IF($C20="",0,SUMIF('DADOS BRUTOS'!$A$3:$A$500,$C20,'DADOS BRUTOS'!FE$3:FE$500)))</f>
        <v/>
      </c>
      <c r="IF20" s="132">
        <f>IF(OR(IF$4="",$B20=""),0,SUMIF('DADOS BRUTOS'!$A$3:$A$500,$B20,'DADOS BRUTOS'!FF$3:FF$500)+IF($C20="",0,SUMIF('DADOS BRUTOS'!$A$3:$A$500,$C20,'DADOS BRUTOS'!FF$3:FF$500)))</f>
        <v/>
      </c>
      <c r="IG20" s="132">
        <f>IF(OR(IG$4="",$B20=""),0,SUMIF('DADOS BRUTOS'!$A$3:$A$500,$B20,'DADOS BRUTOS'!FG$3:FG$500)+IF($C20="",0,SUMIF('DADOS BRUTOS'!$A$3:$A$500,$C20,'DADOS BRUTOS'!FG$3:FG$500)))</f>
        <v/>
      </c>
      <c r="IH20" s="132">
        <f>IF(OR(IH$4="",$B20=""),0,SUMIF('DADOS BRUTOS'!$A$3:$A$500,$B20,'DADOS BRUTOS'!FH$3:FH$500)+IF($C20="",0,SUMIF('DADOS BRUTOS'!$A$3:$A$500,$C20,'DADOS BRUTOS'!FH$3:FH$500)))</f>
        <v/>
      </c>
      <c r="II20" s="132">
        <f>IF(OR(II$4="",$B20=""),0,SUMIF('DADOS BRUTOS'!$A$3:$A$500,$B20,'DADOS BRUTOS'!FI$3:FI$500)+IF($C20="",0,SUMIF('DADOS BRUTOS'!$A$3:$A$500,$C20,'DADOS BRUTOS'!FI$3:FI$500)))</f>
        <v/>
      </c>
      <c r="IJ20" s="132">
        <f>IF(OR(IJ$4="",$B20=""),0,SUMIF('DADOS BRUTOS'!$A$3:$A$500,$B20,'DADOS BRUTOS'!FJ$3:FJ$500)+IF($C20="",0,SUMIF('DADOS BRUTOS'!$A$3:$A$500,$C20,'DADOS BRUTOS'!FJ$3:FJ$500)))</f>
        <v/>
      </c>
      <c r="IK20" s="132">
        <f>IF(OR(IK$4="",$B20=""),0,SUMIF('DADOS BRUTOS'!$A$3:$A$500,$B20,'DADOS BRUTOS'!FK$3:FK$500)+IF($C20="",0,SUMIF('DADOS BRUTOS'!$A$3:$A$500,$C20,'DADOS BRUTOS'!FK$3:FK$500)))</f>
        <v/>
      </c>
      <c r="IL20" s="132">
        <f>IF(OR(IL$4="",$B20=""),0,SUMIF('DADOS BRUTOS'!$A$3:$A$500,$B20,'DADOS BRUTOS'!FL$3:FL$500)+IF($C20="",0,SUMIF('DADOS BRUTOS'!$A$3:$A$500,$C20,'DADOS BRUTOS'!FL$3:FL$500)))</f>
        <v/>
      </c>
      <c r="IM20" s="132">
        <f>IF(OR(IM$4="",$B20=""),0,SUMIF('DADOS BRUTOS'!$A$3:$A$500,$B20,'DADOS BRUTOS'!FM$3:FM$500)+IF($C20="",0,SUMIF('DADOS BRUTOS'!$A$3:$A$500,$C20,'DADOS BRUTOS'!FM$3:FM$500)))</f>
        <v/>
      </c>
      <c r="IN20" s="132">
        <f>IF(OR(IN$4="",$B20=""),0,SUMIF('DADOS BRUTOS'!$A$3:$A$500,$B20,'DADOS BRUTOS'!FN$3:FN$500)+IF($C20="",0,SUMIF('DADOS BRUTOS'!$A$3:$A$500,$C20,'DADOS BRUTOS'!FN$3:FN$500)))</f>
        <v/>
      </c>
      <c r="IO20" s="132">
        <f>IF(OR(IO$4="",$B20=""),0,SUMIF('DADOS BRUTOS'!$A$3:$A$500,$B20,'DADOS BRUTOS'!FO$3:FO$500)+IF($C20="",0,SUMIF('DADOS BRUTOS'!$A$3:$A$500,$C20,'DADOS BRUTOS'!FO$3:FO$500)))</f>
        <v/>
      </c>
      <c r="IP20" s="132">
        <f>IF(OR(IP$4="",$B20=""),0,SUMIF('DADOS BRUTOS'!$A$3:$A$500,$B20,'DADOS BRUTOS'!FP$3:FP$500)+IF($C20="",0,SUMIF('DADOS BRUTOS'!$A$3:$A$500,$C20,'DADOS BRUTOS'!FP$3:FP$500)))</f>
        <v/>
      </c>
      <c r="IQ20" s="132">
        <f>IF(OR(IQ$4="",$B20=""),0,SUMIF('DADOS BRUTOS'!$A$3:$A$500,$B20,'DADOS BRUTOS'!FQ$3:FQ$500)+IF($C20="",0,SUMIF('DADOS BRUTOS'!$A$3:$A$500,$C20,'DADOS BRUTOS'!FQ$3:FQ$500)))</f>
        <v/>
      </c>
      <c r="IR20" s="132">
        <f>IF(OR(IR$4="",$B20=""),0,SUMIF('DADOS BRUTOS'!$A$3:$A$500,$B20,'DADOS BRUTOS'!FR$3:FR$500)+IF($C20="",0,SUMIF('DADOS BRUTOS'!$A$3:$A$500,$C20,'DADOS BRUTOS'!FR$3:FR$500)))</f>
        <v/>
      </c>
      <c r="IS20" s="132">
        <f>IF(OR(IS$4="",$B20=""),0,SUMIF('DADOS BRUTOS'!$A$3:$A$500,$B20,'DADOS BRUTOS'!FS$3:FS$500)+IF($C20="",0,SUMIF('DADOS BRUTOS'!$A$3:$A$500,$C20,'DADOS BRUTOS'!FS$3:FS$500)))</f>
        <v/>
      </c>
      <c r="IT20" s="132">
        <f>IF(OR(IT$4="",$B20=""),0,SUMIF('DADOS BRUTOS'!$A$3:$A$500,$B20,'DADOS BRUTOS'!FT$3:FT$500)+IF($C20="",0,SUMIF('DADOS BRUTOS'!$A$3:$A$500,$C20,'DADOS BRUTOS'!FT$3:FT$500)))</f>
        <v/>
      </c>
      <c r="IU20" s="132">
        <f>IF(OR(IU$4="",$B20=""),0,SUMIF('DADOS BRUTOS'!$A$3:$A$500,$B20,'DADOS BRUTOS'!FU$3:FU$500)+IF($C20="",0,SUMIF('DADOS BRUTOS'!$A$3:$A$500,$C20,'DADOS BRUTOS'!FU$3:FU$500)))</f>
        <v/>
      </c>
      <c r="IV20" s="132">
        <f>IF(OR(IV$4="",$B20=""),0,SUMIF('DADOS BRUTOS'!$A$3:$A$500,$B20,'DADOS BRUTOS'!FV$3:FV$500)+IF($C20="",0,SUMIF('DADOS BRUTOS'!$A$3:$A$500,$C20,'DADOS BRUTOS'!FV$3:FV$500)))</f>
        <v/>
      </c>
      <c r="IW20" s="132">
        <f>IF(OR(IW$4="",$B20=""),0,SUMIF('DADOS BRUTOS'!$A$3:$A$500,$B20,'DADOS BRUTOS'!FW$3:FW$500)+IF($C20="",0,SUMIF('DADOS BRUTOS'!$A$3:$A$500,$C20,'DADOS BRUTOS'!FW$3:FW$500)))</f>
        <v/>
      </c>
      <c r="IX20" s="132">
        <f>IF(OR(IX$4="",$B20=""),0,SUMIF('DADOS BRUTOS'!$A$3:$A$500,$B20,'DADOS BRUTOS'!FX$3:FX$500)+IF($C20="",0,SUMIF('DADOS BRUTOS'!$A$3:$A$500,$C20,'DADOS BRUTOS'!FX$3:FX$500)))</f>
        <v/>
      </c>
      <c r="IY20" s="132">
        <f>IF(OR(IY$4="",$B20=""),0,SUMIF('DADOS BRUTOS'!$A$3:$A$500,$B20,'DADOS BRUTOS'!FY$3:FY$500)+IF($C20="",0,SUMIF('DADOS BRUTOS'!$A$3:$A$500,$C20,'DADOS BRUTOS'!FY$3:FY$500)))</f>
        <v/>
      </c>
      <c r="IZ20" s="132">
        <f>IF(OR(IZ$4="",$B20=""),0,SUMIF('DADOS BRUTOS'!$A$3:$A$500,$B20,'DADOS BRUTOS'!FZ$3:FZ$500)+IF($C20="",0,SUMIF('DADOS BRUTOS'!$A$3:$A$500,$C20,'DADOS BRUTOS'!FZ$3:FZ$500)))</f>
        <v/>
      </c>
      <c r="JA20" s="132">
        <f>IF(OR(JA$4="",$B20=""),0,SUMIF('DADOS BRUTOS'!$A$3:$A$500,$B20,'DADOS BRUTOS'!GA$3:GA$500)+IF($C20="",0,SUMIF('DADOS BRUTOS'!$A$3:$A$500,$C20,'DADOS BRUTOS'!GA$3:GA$500)))</f>
        <v/>
      </c>
      <c r="JB20" s="132">
        <f>IF(OR(JB$4="",$B20=""),0,SUMIF('DADOS BRUTOS'!$A$3:$A$500,$B20,'DADOS BRUTOS'!GB$3:GB$500)+IF($C20="",0,SUMIF('DADOS BRUTOS'!$A$3:$A$500,$C20,'DADOS BRUTOS'!GB$3:GB$500)))</f>
        <v/>
      </c>
      <c r="JC20" s="132">
        <f>IF(OR(JC$4="",$B20=""),0,SUMIF('DADOS BRUTOS'!$A$3:$A$500,$B20,'DADOS BRUTOS'!GC$3:GC$500)+IF($C20="",0,SUMIF('DADOS BRUTOS'!$A$3:$A$500,$C20,'DADOS BRUTOS'!GC$3:GC$500)))</f>
        <v/>
      </c>
      <c r="JD20" s="132">
        <f>IF(OR(JD$4="",$B20=""),0,SUMIF('DADOS BRUTOS'!$A$3:$A$500,$B20,'DADOS BRUTOS'!GD$3:GD$500)+IF($C20="",0,SUMIF('DADOS BRUTOS'!$A$3:$A$500,$C20,'DADOS BRUTOS'!GD$3:GD$500)))</f>
        <v/>
      </c>
      <c r="JE20" s="132">
        <f>IF(OR(JE$4="",$B20=""),0,SUMIF('DADOS BRUTOS'!$A$3:$A$500,$B20,'DADOS BRUTOS'!GE$3:GE$500)+IF($C20="",0,SUMIF('DADOS BRUTOS'!$A$3:$A$500,$C20,'DADOS BRUTOS'!GE$3:GE$500)))</f>
        <v/>
      </c>
      <c r="JF20" s="132">
        <f>IF(OR(JF$4="",$B20=""),0,SUMIF('DADOS BRUTOS'!$A$3:$A$500,$B20,'DADOS BRUTOS'!GF$3:GF$500)+IF($C20="",0,SUMIF('DADOS BRUTOS'!$A$3:$A$500,$C20,'DADOS BRUTOS'!GF$3:GF$500)))</f>
        <v/>
      </c>
      <c r="JG20" s="132">
        <f>IF(OR(JG$4="",$B20=""),0,SUMIF('DADOS BRUTOS'!$A$3:$A$500,$B20,'DADOS BRUTOS'!GG$3:GG$500)+IF($C20="",0,SUMIF('DADOS BRUTOS'!$A$3:$A$500,$C20,'DADOS BRUTOS'!GG$3:GG$500)))</f>
        <v/>
      </c>
      <c r="JH20" s="132">
        <f>IF(OR(JH$4="",$B20=""),0,SUMIF('DADOS BRUTOS'!$A$3:$A$500,$B20,'DADOS BRUTOS'!GH$3:GH$500)+IF($C20="",0,SUMIF('DADOS BRUTOS'!$A$3:$A$500,$C20,'DADOS BRUTOS'!GH$3:GH$500)))</f>
        <v/>
      </c>
      <c r="JI20" s="132">
        <f>IF(OR(JI$4="",$B20=""),0,SUMIF('DADOS BRUTOS'!$A$3:$A$500,$B20,'DADOS BRUTOS'!GI$3:GI$500)+IF($C20="",0,SUMIF('DADOS BRUTOS'!$A$3:$A$500,$C20,'DADOS BRUTOS'!GI$3:GI$500)))</f>
        <v/>
      </c>
      <c r="JJ20" s="132">
        <f>IF(OR(JJ$4="",$B20=""),0,SUMIF('DADOS BRUTOS'!$A$3:$A$500,$B20,'DADOS BRUTOS'!GJ$3:GJ$500)+IF($C20="",0,SUMIF('DADOS BRUTOS'!$A$3:$A$500,$C20,'DADOS BRUTOS'!GJ$3:GJ$500)))</f>
        <v/>
      </c>
      <c r="JK20" s="132">
        <f>IF(OR(JK$4="",$B20=""),0,SUMIF('DADOS BRUTOS'!$A$3:$A$500,$B20,'DADOS BRUTOS'!GK$3:GK$500)+IF($C20="",0,SUMIF('DADOS BRUTOS'!$A$3:$A$500,$C20,'DADOS BRUTOS'!GK$3:GK$500)))</f>
        <v/>
      </c>
      <c r="JL20" s="132">
        <f>IF(OR(JL$4="",$B20=""),0,SUMIF('DADOS BRUTOS'!$A$3:$A$500,$B20,'DADOS BRUTOS'!GL$3:GL$500)+IF($C20="",0,SUMIF('DADOS BRUTOS'!$A$3:$A$500,$C20,'DADOS BRUTOS'!GL$3:GL$500)))</f>
        <v/>
      </c>
      <c r="JM20" s="132">
        <f>IF(OR(JM$4="",$B20=""),0,SUMIF('DADOS BRUTOS'!$A$3:$A$500,$B20,'DADOS BRUTOS'!GM$3:GM$500)+IF($C20="",0,SUMIF('DADOS BRUTOS'!$A$3:$A$500,$C20,'DADOS BRUTOS'!GM$3:GM$500)))</f>
        <v/>
      </c>
      <c r="JN20" s="132">
        <f>IF(OR(JN$4="",$B20=""),0,SUMIF('DADOS BRUTOS'!$A$3:$A$500,$B20,'DADOS BRUTOS'!GN$3:GN$500)+IF($C20="",0,SUMIF('DADOS BRUTOS'!$A$3:$A$500,$C20,'DADOS BRUTOS'!GN$3:GN$500)))</f>
        <v/>
      </c>
      <c r="JO20" s="132">
        <f>IF(OR(JO$4="",$B20=""),0,SUMIF('DADOS BRUTOS'!$A$3:$A$500,$B20,'DADOS BRUTOS'!GO$3:GO$500)+IF($C20="",0,SUMIF('DADOS BRUTOS'!$A$3:$A$500,$C20,'DADOS BRUTOS'!GO$3:GO$500)))</f>
        <v/>
      </c>
      <c r="JP20" s="132">
        <f>IF(OR(JP$4="",$B20=""),0,SUMIF('DADOS BRUTOS'!$A$3:$A$500,$B20,'DADOS BRUTOS'!GP$3:GP$500)+IF($C20="",0,SUMIF('DADOS BRUTOS'!$A$3:$A$500,$C20,'DADOS BRUTOS'!GP$3:GP$500)))</f>
        <v/>
      </c>
      <c r="JQ20" s="132">
        <f>IF(OR(JQ$4="",$B20=""),0,SUMIF('DADOS BRUTOS'!$A$3:$A$500,$B20,'DADOS BRUTOS'!GQ$3:GQ$500)+IF($C20="",0,SUMIF('DADOS BRUTOS'!$A$3:$A$500,$C20,'DADOS BRUTOS'!GQ$3:GQ$500)))</f>
        <v/>
      </c>
      <c r="JR20" s="132">
        <f>IF(OR(JR$4="",$B20=""),0,SUMIF('DADOS BRUTOS'!$A$3:$A$500,$B20,'DADOS BRUTOS'!GR$3:GR$500)+IF($C20="",0,SUMIF('DADOS BRUTOS'!$A$3:$A$500,$C20,'DADOS BRUTOS'!GR$3:GR$500)))</f>
        <v/>
      </c>
      <c r="JS20" s="132">
        <f>IF(OR(JS$4="",$B20=""),0,SUMIF('DADOS BRUTOS'!$A$3:$A$500,$B20,'DADOS BRUTOS'!GS$3:GS$500)+IF($C20="",0,SUMIF('DADOS BRUTOS'!$A$3:$A$500,$C20,'DADOS BRUTOS'!GS$3:GS$500)))</f>
        <v/>
      </c>
    </row>
    <row r="21">
      <c r="A21" s="61">
        <f>'VALOR POR PL'!D27</f>
        <v/>
      </c>
      <c r="B21" s="59" t="inlineStr">
        <is>
          <t>ESTRUTURA EM CONCRETO ARMADO</t>
        </is>
      </c>
      <c r="C21" s="59" t="inlineStr">
        <is>
          <t>ESTRUTURA EM CONTRETO ARMADO</t>
        </is>
      </c>
      <c r="D21" s="54">
        <f>SUMIF($CB$4:$JS$4,"&lt;="&amp;D$4,$CB21:$JS21)</f>
        <v/>
      </c>
      <c r="E21" s="54">
        <f>SUMIF($CB$4:$JS$4,E$4,$CB21:$JS21)</f>
        <v/>
      </c>
      <c r="F21" s="54">
        <f>SUMIF($CB$4:$JS$4,F$4,$CB21:$JS21)</f>
        <v/>
      </c>
      <c r="G21" s="54">
        <f>SUMIF($CB$4:$JS$4,G$4,$CB21:$JS21)</f>
        <v/>
      </c>
      <c r="H21" s="54">
        <f>SUMIF($CB$4:$JS$4,H$4,$CB21:$JS21)</f>
        <v/>
      </c>
      <c r="I21" s="54">
        <f>SUMIF($CB$4:$JS$4,I$4,$CB21:$JS21)</f>
        <v/>
      </c>
      <c r="J21" s="54">
        <f>SUMIF($CB$4:$JS$4,J$4,$CB21:$JS21)</f>
        <v/>
      </c>
      <c r="K21" s="54">
        <f>SUMIF($CB$4:$JS$4,K$4,$CB21:$JS21)</f>
        <v/>
      </c>
      <c r="L21" s="54">
        <f>SUMIF($CB$4:$JS$4,L$4,$CB21:$JS21)</f>
        <v/>
      </c>
      <c r="M21" s="54">
        <f>SUMIF($CB$4:$JS$4,M$4,$CB21:$JS21)</f>
        <v/>
      </c>
      <c r="N21" s="54">
        <f>SUMIF($CB$4:$JS$4,N$4,$CB21:$JS21)</f>
        <v/>
      </c>
      <c r="O21" s="54">
        <f>SUMIF($CB$4:$JS$4,O$4,$CB21:$JS21)</f>
        <v/>
      </c>
      <c r="P21" s="54">
        <f>SUMIF($CB$4:$JS$4,P$4,$CB21:$JS21)</f>
        <v/>
      </c>
      <c r="Q21" s="54">
        <f>SUMIF($CB$4:$JS$4,Q$4,$CB21:$JS21)</f>
        <v/>
      </c>
      <c r="R21" s="54">
        <f>SUMIF($CB$4:$JS$4,R$4,$CB21:$JS21)</f>
        <v/>
      </c>
      <c r="S21" s="54">
        <f>SUMIF($CB$4:$JS$4,S$4,$CB21:$JS21)</f>
        <v/>
      </c>
      <c r="T21" s="54">
        <f>SUMIF($CB$4:$JS$4,T$4,$CB21:$JS21)</f>
        <v/>
      </c>
      <c r="U21" s="54">
        <f>SUMIF($CB$4:$JS$4,U$4,$CB21:$JS21)</f>
        <v/>
      </c>
      <c r="V21" s="54">
        <f>SUMIF($CB$4:$JS$4,V$4,$CB21:$JS21)</f>
        <v/>
      </c>
      <c r="W21" s="54">
        <f>SUMIF($CB$4:$JS$4,W$4,$CB21:$JS21)</f>
        <v/>
      </c>
      <c r="X21" s="54">
        <f>SUMIF($CB$4:$JS$4,X$4,$CB21:$JS21)</f>
        <v/>
      </c>
      <c r="Y21" s="54">
        <f>SUMIF($CB$4:$JS$4,Y$4,$CB21:$JS21)</f>
        <v/>
      </c>
      <c r="Z21" s="54">
        <f>SUMIF($CB$4:$JS$4,Z$4,$CB21:$JS21)</f>
        <v/>
      </c>
      <c r="AA21" s="54">
        <f>SUMIF($CB$4:$JS$4,AA$4,$CB21:$JS21)</f>
        <v/>
      </c>
      <c r="AB21" s="54">
        <f>SUMIF($CB$4:$JS$4,AB$4,$CB21:$JS21)</f>
        <v/>
      </c>
      <c r="AC21" s="54">
        <f>SUMIF($CB$4:$JS$4,AC$4,$CB21:$JS21)</f>
        <v/>
      </c>
      <c r="AD21" s="54">
        <f>SUMIF($CB$4:$JS$4,AD$4,$CB21:$JS21)</f>
        <v/>
      </c>
      <c r="AE21" s="54">
        <f>SUMIF($CB$4:$JS$4,AE$4,$CB21:$JS21)</f>
        <v/>
      </c>
      <c r="AF21" s="54">
        <f>SUMIF($CB$4:$JS$4,AF$4,$CB21:$JS21)</f>
        <v/>
      </c>
      <c r="AG21" s="54">
        <f>SUMIF($CB$4:$JS$4,AG$4,$CB21:$JS21)</f>
        <v/>
      </c>
      <c r="AH21" s="54">
        <f>SUMIF($CB$4:$JS$4,AH$4,$CB21:$JS21)</f>
        <v/>
      </c>
      <c r="AI21" s="54">
        <f>SUMIF($CB$4:$JS$4,AI$4,$CB21:$JS21)</f>
        <v/>
      </c>
      <c r="AJ21" s="54">
        <f>SUMIF($CB$4:$JS$4,AJ$4,$CB21:$JS21)</f>
        <v/>
      </c>
      <c r="AK21" s="54">
        <f>SUMIF($CB$4:$JS$4,AK$4,$CB21:$JS21)</f>
        <v/>
      </c>
      <c r="AL21" s="54">
        <f>SUMIF($CB$4:$JS$4,AL$4,$CB21:$JS21)</f>
        <v/>
      </c>
      <c r="AM21" s="54">
        <f>SUMIF($CB$4:$JS$4,AM$4,$CB21:$JS21)</f>
        <v/>
      </c>
      <c r="AN21" s="54">
        <f>SUMIF($CB$4:$JS$4,AN$4,$CB21:$JS21)</f>
        <v/>
      </c>
      <c r="AO21" s="54">
        <f>SUMIF($CB$4:$JS$4,AO$4,$CB21:$JS21)</f>
        <v/>
      </c>
      <c r="AP21" s="54">
        <f>SUMIF($CB$4:$JS$4,AP$4,$CB21:$JS21)</f>
        <v/>
      </c>
      <c r="AQ21" s="54">
        <f>SUMIF($CB$4:$JS$4,AQ$4,$CB21:$JS21)</f>
        <v/>
      </c>
      <c r="AR21" s="54">
        <f>SUMIF($CB$4:$JS$4,AR$4,$CB21:$JS21)</f>
        <v/>
      </c>
      <c r="AS21" s="54">
        <f>SUMIF($CB$4:$JS$4,AS$4,$CB21:$JS21)</f>
        <v/>
      </c>
      <c r="AT21" s="54">
        <f>SUMIF($CB$4:$JS$4,AT$4,$CB21:$JS21)</f>
        <v/>
      </c>
      <c r="AU21" s="54">
        <f>SUMIF($CB$4:$JS$4,AU$4,$CB21:$JS21)</f>
        <v/>
      </c>
      <c r="AV21" s="54">
        <f>SUMIF($CB$4:$JS$4,AV$4,$CB21:$JS21)</f>
        <v/>
      </c>
      <c r="AW21" s="54">
        <f>SUMIF($CB$4:$JS$4,AW$4,$CB21:$JS21)</f>
        <v/>
      </c>
      <c r="AX21" s="54">
        <f>SUMIF($CB$4:$JS$4,AX$4,$CB21:$JS21)</f>
        <v/>
      </c>
      <c r="AY21" s="54">
        <f>SUMIF($CB$4:$JS$4,AY$4,$CB21:$JS21)</f>
        <v/>
      </c>
      <c r="AZ21" s="54">
        <f>SUMIF($CB$4:$JS$4,AZ$4,$CB21:$JS21)</f>
        <v/>
      </c>
      <c r="BA21" s="54">
        <f>SUMIF($CB$4:$JS$4,BA$4,$CB21:$JS21)</f>
        <v/>
      </c>
      <c r="BB21" s="54">
        <f>SUMIF($CB$4:$JS$4,BB$4,$CB21:$JS21)</f>
        <v/>
      </c>
      <c r="BC21" s="54">
        <f>SUMIF($CB$4:$JS$4,BC$4,$CB21:$JS21)</f>
        <v/>
      </c>
      <c r="BD21" s="54">
        <f>SUMIF($CB$4:$JS$4,BD$4,$CB21:$JS21)</f>
        <v/>
      </c>
      <c r="BE21" s="54">
        <f>SUMIF($CB$4:$JS$4,BE$4,$CB21:$JS21)</f>
        <v/>
      </c>
      <c r="BF21" s="54">
        <f>SUMIF($CB$4:$JS$4,BF$4,$CB21:$JS21)</f>
        <v/>
      </c>
      <c r="BG21" s="54">
        <f>SUMIF($CB$4:$JS$4,BG$4,$CB21:$JS21)</f>
        <v/>
      </c>
      <c r="BH21" s="54">
        <f>SUMIF($CB$4:$JS$4,BH$4,$CB21:$JS21)</f>
        <v/>
      </c>
      <c r="BI21" s="54">
        <f>SUMIF($CB$4:$JS$4,BI$4,$CB21:$JS21)</f>
        <v/>
      </c>
      <c r="BJ21" s="54">
        <f>SUMIF($CB$4:$JS$4,BJ$4,$CB21:$JS21)</f>
        <v/>
      </c>
      <c r="BK21" s="54">
        <f>SUMIF($CB$4:$JS$4,BK$4,$CB21:$JS21)</f>
        <v/>
      </c>
      <c r="BL21" s="54">
        <f>SUMIF($CB$4:$JS$4,BL$4,$CB21:$JS21)</f>
        <v/>
      </c>
      <c r="BM21" s="54">
        <f>SUMIF($CB$4:$JS$4,BM$4,$CB21:$JS21)</f>
        <v/>
      </c>
      <c r="BN21" s="54">
        <f>SUMIF($CB$4:$JS$4,BN$4,$CB21:$JS21)</f>
        <v/>
      </c>
      <c r="BO21" s="54">
        <f>SUMIF($CB$4:$JS$4,BO$4,$CB21:$JS21)</f>
        <v/>
      </c>
      <c r="BP21" s="54">
        <f>SUMIF($CB$4:$JS$4,BP$4,$CB21:$JS21)</f>
        <v/>
      </c>
      <c r="BQ21" s="54">
        <f>SUMIF($CB$4:$JS$4,BQ$4,$CB21:$JS21)</f>
        <v/>
      </c>
      <c r="BR21" s="54">
        <f>SUMIF($CB$4:$JS$4,BR$4,$CB21:$JS21)</f>
        <v/>
      </c>
      <c r="BS21" s="54">
        <f>SUMIF($CB$4:$JS$4,BS$4,$CB21:$JS21)</f>
        <v/>
      </c>
      <c r="BT21" s="54">
        <f>SUMIF($CB$4:$JS$4,BT$4,$CB21:$JS21)</f>
        <v/>
      </c>
      <c r="BU21" s="54">
        <f>SUMIF($CB$4:$JS$4,BU$4,$CB21:$JS21)</f>
        <v/>
      </c>
      <c r="BV21" s="54">
        <f>SUMIF($CB$4:$JS$4,BV$4,$CB21:$JS21)</f>
        <v/>
      </c>
      <c r="BW21" s="54">
        <f>SUMIF($CB$4:$JS$4,BW$4,$CB21:$JS21)</f>
        <v/>
      </c>
      <c r="BX21" s="54">
        <f>SUMIF($CB$4:$JS$4,"&gt;"&amp;'VALOR POR PL'!$P$8,$CB21:$JS21)</f>
        <v/>
      </c>
      <c r="BY21" s="54">
        <f>SUM($CB21:$JS21)</f>
        <v/>
      </c>
      <c r="BZ21" s="49">
        <f>SUMPRODUCT(($CB$4:$JS$4&lt;&gt;"")*($CB$4:$JS$4&lt;=$D$4),$CB21:$JS21,$CB$1:$JS$1)</f>
        <v/>
      </c>
      <c r="CB21" s="132">
        <f>IF(OR(CB$4="",$B21=""),0,SUMIF('DADOS BRUTOS'!$A$3:$A$500,$B21,'DADOS BRUTOS'!B$3:B$500)+IF($C21="",0,SUMIF('DADOS BRUTOS'!$A$3:$A$500,$C21,'DADOS BRUTOS'!B$3:B$500)))</f>
        <v/>
      </c>
      <c r="CC21" s="132">
        <f>IF(OR(CC$4="",$B21=""),0,SUMIF('DADOS BRUTOS'!$A$3:$A$500,$B21,'DADOS BRUTOS'!C$3:C$500)+IF($C21="",0,SUMIF('DADOS BRUTOS'!$A$3:$A$500,$C21,'DADOS BRUTOS'!C$3:C$500)))</f>
        <v/>
      </c>
      <c r="CD21" s="132">
        <f>IF(OR(CD$4="",$B21=""),0,SUMIF('DADOS BRUTOS'!$A$3:$A$500,$B21,'DADOS BRUTOS'!D$3:D$500)+IF($C21="",0,SUMIF('DADOS BRUTOS'!$A$3:$A$500,$C21,'DADOS BRUTOS'!D$3:D$500)))</f>
        <v/>
      </c>
      <c r="CE21" s="132">
        <f>IF(OR(CE$4="",$B21=""),0,SUMIF('DADOS BRUTOS'!$A$3:$A$500,$B21,'DADOS BRUTOS'!E$3:E$500)+IF($C21="",0,SUMIF('DADOS BRUTOS'!$A$3:$A$500,$C21,'DADOS BRUTOS'!E$3:E$500)))</f>
        <v/>
      </c>
      <c r="CF21" s="132">
        <f>IF(OR(CF$4="",$B21=""),0,SUMIF('DADOS BRUTOS'!$A$3:$A$500,$B21,'DADOS BRUTOS'!F$3:F$500)+IF($C21="",0,SUMIF('DADOS BRUTOS'!$A$3:$A$500,$C21,'DADOS BRUTOS'!F$3:F$500)))</f>
        <v/>
      </c>
      <c r="CG21" s="132">
        <f>IF(OR(CG$4="",$B21=""),0,SUMIF('DADOS BRUTOS'!$A$3:$A$500,$B21,'DADOS BRUTOS'!G$3:G$500)+IF($C21="",0,SUMIF('DADOS BRUTOS'!$A$3:$A$500,$C21,'DADOS BRUTOS'!G$3:G$500)))</f>
        <v/>
      </c>
      <c r="CH21" s="132">
        <f>IF(OR(CH$4="",$B21=""),0,SUMIF('DADOS BRUTOS'!$A$3:$A$500,$B21,'DADOS BRUTOS'!H$3:H$500)+IF($C21="",0,SUMIF('DADOS BRUTOS'!$A$3:$A$500,$C21,'DADOS BRUTOS'!H$3:H$500)))</f>
        <v/>
      </c>
      <c r="CI21" s="132">
        <f>IF(OR(CI$4="",$B21=""),0,SUMIF('DADOS BRUTOS'!$A$3:$A$500,$B21,'DADOS BRUTOS'!I$3:I$500)+IF($C21="",0,SUMIF('DADOS BRUTOS'!$A$3:$A$500,$C21,'DADOS BRUTOS'!I$3:I$500)))</f>
        <v/>
      </c>
      <c r="CJ21" s="132">
        <f>IF(OR(CJ$4="",$B21=""),0,SUMIF('DADOS BRUTOS'!$A$3:$A$500,$B21,'DADOS BRUTOS'!J$3:J$500)+IF($C21="",0,SUMIF('DADOS BRUTOS'!$A$3:$A$500,$C21,'DADOS BRUTOS'!J$3:J$500)))</f>
        <v/>
      </c>
      <c r="CK21" s="132">
        <f>IF(OR(CK$4="",$B21=""),0,SUMIF('DADOS BRUTOS'!$A$3:$A$500,$B21,'DADOS BRUTOS'!K$3:K$500)+IF($C21="",0,SUMIF('DADOS BRUTOS'!$A$3:$A$500,$C21,'DADOS BRUTOS'!K$3:K$500)))</f>
        <v/>
      </c>
      <c r="CL21" s="132">
        <f>IF(OR(CL$4="",$B21=""),0,SUMIF('DADOS BRUTOS'!$A$3:$A$500,$B21,'DADOS BRUTOS'!L$3:L$500)+IF($C21="",0,SUMIF('DADOS BRUTOS'!$A$3:$A$500,$C21,'DADOS BRUTOS'!L$3:L$500)))</f>
        <v/>
      </c>
      <c r="CM21" s="132">
        <f>IF(OR(CM$4="",$B21=""),0,SUMIF('DADOS BRUTOS'!$A$3:$A$500,$B21,'DADOS BRUTOS'!M$3:M$500)+IF($C21="",0,SUMIF('DADOS BRUTOS'!$A$3:$A$500,$C21,'DADOS BRUTOS'!M$3:M$500)))</f>
        <v/>
      </c>
      <c r="CN21" s="132">
        <f>IF(OR(CN$4="",$B21=""),0,SUMIF('DADOS BRUTOS'!$A$3:$A$500,$B21,'DADOS BRUTOS'!N$3:N$500)+IF($C21="",0,SUMIF('DADOS BRUTOS'!$A$3:$A$500,$C21,'DADOS BRUTOS'!N$3:N$500)))</f>
        <v/>
      </c>
      <c r="CO21" s="132">
        <f>IF(OR(CO$4="",$B21=""),0,SUMIF('DADOS BRUTOS'!$A$3:$A$500,$B21,'DADOS BRUTOS'!O$3:O$500)+IF($C21="",0,SUMIF('DADOS BRUTOS'!$A$3:$A$500,$C21,'DADOS BRUTOS'!O$3:O$500)))</f>
        <v/>
      </c>
      <c r="CP21" s="132">
        <f>IF(OR(CP$4="",$B21=""),0,SUMIF('DADOS BRUTOS'!$A$3:$A$500,$B21,'DADOS BRUTOS'!P$3:P$500)+IF($C21="",0,SUMIF('DADOS BRUTOS'!$A$3:$A$500,$C21,'DADOS BRUTOS'!P$3:P$500)))</f>
        <v/>
      </c>
      <c r="CQ21" s="132">
        <f>IF(OR(CQ$4="",$B21=""),0,SUMIF('DADOS BRUTOS'!$A$3:$A$500,$B21,'DADOS BRUTOS'!Q$3:Q$500)+IF($C21="",0,SUMIF('DADOS BRUTOS'!$A$3:$A$500,$C21,'DADOS BRUTOS'!Q$3:Q$500)))</f>
        <v/>
      </c>
      <c r="CR21" s="132">
        <f>IF(OR(CR$4="",$B21=""),0,SUMIF('DADOS BRUTOS'!$A$3:$A$500,$B21,'DADOS BRUTOS'!R$3:R$500)+IF($C21="",0,SUMIF('DADOS BRUTOS'!$A$3:$A$500,$C21,'DADOS BRUTOS'!R$3:R$500)))</f>
        <v/>
      </c>
      <c r="CS21" s="132">
        <f>IF(OR(CS$4="",$B21=""),0,SUMIF('DADOS BRUTOS'!$A$3:$A$500,$B21,'DADOS BRUTOS'!S$3:S$500)+IF($C21="",0,SUMIF('DADOS BRUTOS'!$A$3:$A$500,$C21,'DADOS BRUTOS'!S$3:S$500)))</f>
        <v/>
      </c>
      <c r="CT21" s="132">
        <f>IF(OR(CT$4="",$B21=""),0,SUMIF('DADOS BRUTOS'!$A$3:$A$500,$B21,'DADOS BRUTOS'!T$3:T$500)+IF($C21="",0,SUMIF('DADOS BRUTOS'!$A$3:$A$500,$C21,'DADOS BRUTOS'!T$3:T$500)))</f>
        <v/>
      </c>
      <c r="CU21" s="132">
        <f>IF(OR(CU$4="",$B21=""),0,SUMIF('DADOS BRUTOS'!$A$3:$A$500,$B21,'DADOS BRUTOS'!U$3:U$500)+IF($C21="",0,SUMIF('DADOS BRUTOS'!$A$3:$A$500,$C21,'DADOS BRUTOS'!U$3:U$500)))</f>
        <v/>
      </c>
      <c r="CV21" s="132">
        <f>IF(OR(CV$4="",$B21=""),0,SUMIF('DADOS BRUTOS'!$A$3:$A$500,$B21,'DADOS BRUTOS'!V$3:V$500)+IF($C21="",0,SUMIF('DADOS BRUTOS'!$A$3:$A$500,$C21,'DADOS BRUTOS'!V$3:V$500)))</f>
        <v/>
      </c>
      <c r="CW21" s="132">
        <f>IF(OR(CW$4="",$B21=""),0,SUMIF('DADOS BRUTOS'!$A$3:$A$500,$B21,'DADOS BRUTOS'!W$3:W$500)+IF($C21="",0,SUMIF('DADOS BRUTOS'!$A$3:$A$500,$C21,'DADOS BRUTOS'!W$3:W$500)))</f>
        <v/>
      </c>
      <c r="CX21" s="132">
        <f>IF(OR(CX$4="",$B21=""),0,SUMIF('DADOS BRUTOS'!$A$3:$A$500,$B21,'DADOS BRUTOS'!X$3:X$500)+IF($C21="",0,SUMIF('DADOS BRUTOS'!$A$3:$A$500,$C21,'DADOS BRUTOS'!X$3:X$500)))</f>
        <v/>
      </c>
      <c r="CY21" s="132">
        <f>IF(OR(CY$4="",$B21=""),0,SUMIF('DADOS BRUTOS'!$A$3:$A$500,$B21,'DADOS BRUTOS'!Y$3:Y$500)+IF($C21="",0,SUMIF('DADOS BRUTOS'!$A$3:$A$500,$C21,'DADOS BRUTOS'!Y$3:Y$500)))</f>
        <v/>
      </c>
      <c r="CZ21" s="132">
        <f>IF(OR(CZ$4="",$B21=""),0,SUMIF('DADOS BRUTOS'!$A$3:$A$500,$B21,'DADOS BRUTOS'!Z$3:Z$500)+IF($C21="",0,SUMIF('DADOS BRUTOS'!$A$3:$A$500,$C21,'DADOS BRUTOS'!Z$3:Z$500)))</f>
        <v/>
      </c>
      <c r="DA21" s="132">
        <f>IF(OR(DA$4="",$B21=""),0,SUMIF('DADOS BRUTOS'!$A$3:$A$500,$B21,'DADOS BRUTOS'!AA$3:AA$500)+IF($C21="",0,SUMIF('DADOS BRUTOS'!$A$3:$A$500,$C21,'DADOS BRUTOS'!AA$3:AA$500)))</f>
        <v/>
      </c>
      <c r="DB21" s="132">
        <f>IF(OR(DB$4="",$B21=""),0,SUMIF('DADOS BRUTOS'!$A$3:$A$500,$B21,'DADOS BRUTOS'!AB$3:AB$500)+IF($C21="",0,SUMIF('DADOS BRUTOS'!$A$3:$A$500,$C21,'DADOS BRUTOS'!AB$3:AB$500)))</f>
        <v/>
      </c>
      <c r="DC21" s="132">
        <f>IF(OR(DC$4="",$B21=""),0,SUMIF('DADOS BRUTOS'!$A$3:$A$500,$B21,'DADOS BRUTOS'!AC$3:AC$500)+IF($C21="",0,SUMIF('DADOS BRUTOS'!$A$3:$A$500,$C21,'DADOS BRUTOS'!AC$3:AC$500)))</f>
        <v/>
      </c>
      <c r="DD21" s="132">
        <f>IF(OR(DD$4="",$B21=""),0,SUMIF('DADOS BRUTOS'!$A$3:$A$500,$B21,'DADOS BRUTOS'!AD$3:AD$500)+IF($C21="",0,SUMIF('DADOS BRUTOS'!$A$3:$A$500,$C21,'DADOS BRUTOS'!AD$3:AD$500)))</f>
        <v/>
      </c>
      <c r="DE21" s="132">
        <f>IF(OR(DE$4="",$B21=""),0,SUMIF('DADOS BRUTOS'!$A$3:$A$500,$B21,'DADOS BRUTOS'!AE$3:AE$500)+IF($C21="",0,SUMIF('DADOS BRUTOS'!$A$3:$A$500,$C21,'DADOS BRUTOS'!AE$3:AE$500)))</f>
        <v/>
      </c>
      <c r="DF21" s="132">
        <f>IF(OR(DF$4="",$B21=""),0,SUMIF('DADOS BRUTOS'!$A$3:$A$500,$B21,'DADOS BRUTOS'!AF$3:AF$500)+IF($C21="",0,SUMIF('DADOS BRUTOS'!$A$3:$A$500,$C21,'DADOS BRUTOS'!AF$3:AF$500)))</f>
        <v/>
      </c>
      <c r="DG21" s="132">
        <f>IF(OR(DG$4="",$B21=""),0,SUMIF('DADOS BRUTOS'!$A$3:$A$500,$B21,'DADOS BRUTOS'!AG$3:AG$500)+IF($C21="",0,SUMIF('DADOS BRUTOS'!$A$3:$A$500,$C21,'DADOS BRUTOS'!AG$3:AG$500)))</f>
        <v/>
      </c>
      <c r="DH21" s="132">
        <f>IF(OR(DH$4="",$B21=""),0,SUMIF('DADOS BRUTOS'!$A$3:$A$500,$B21,'DADOS BRUTOS'!AH$3:AH$500)+IF($C21="",0,SUMIF('DADOS BRUTOS'!$A$3:$A$500,$C21,'DADOS BRUTOS'!AH$3:AH$500)))</f>
        <v/>
      </c>
      <c r="DI21" s="132">
        <f>IF(OR(DI$4="",$B21=""),0,SUMIF('DADOS BRUTOS'!$A$3:$A$500,$B21,'DADOS BRUTOS'!AI$3:AI$500)+IF($C21="",0,SUMIF('DADOS BRUTOS'!$A$3:$A$500,$C21,'DADOS BRUTOS'!AI$3:AI$500)))</f>
        <v/>
      </c>
      <c r="DJ21" s="132">
        <f>IF(OR(DJ$4="",$B21=""),0,SUMIF('DADOS BRUTOS'!$A$3:$A$500,$B21,'DADOS BRUTOS'!AJ$3:AJ$500)+IF($C21="",0,SUMIF('DADOS BRUTOS'!$A$3:$A$500,$C21,'DADOS BRUTOS'!AJ$3:AJ$500)))</f>
        <v/>
      </c>
      <c r="DK21" s="132">
        <f>IF(OR(DK$4="",$B21=""),0,SUMIF('DADOS BRUTOS'!$A$3:$A$500,$B21,'DADOS BRUTOS'!AK$3:AK$500)+IF($C21="",0,SUMIF('DADOS BRUTOS'!$A$3:$A$500,$C21,'DADOS BRUTOS'!AK$3:AK$500)))</f>
        <v/>
      </c>
      <c r="DL21" s="132">
        <f>IF(OR(DL$4="",$B21=""),0,SUMIF('DADOS BRUTOS'!$A$3:$A$500,$B21,'DADOS BRUTOS'!AL$3:AL$500)+IF($C21="",0,SUMIF('DADOS BRUTOS'!$A$3:$A$500,$C21,'DADOS BRUTOS'!AL$3:AL$500)))</f>
        <v/>
      </c>
      <c r="DM21" s="132">
        <f>IF(OR(DM$4="",$B21=""),0,SUMIF('DADOS BRUTOS'!$A$3:$A$500,$B21,'DADOS BRUTOS'!AM$3:AM$500)+IF($C21="",0,SUMIF('DADOS BRUTOS'!$A$3:$A$500,$C21,'DADOS BRUTOS'!AM$3:AM$500)))</f>
        <v/>
      </c>
      <c r="DN21" s="132">
        <f>IF(OR(DN$4="",$B21=""),0,SUMIF('DADOS BRUTOS'!$A$3:$A$500,$B21,'DADOS BRUTOS'!AN$3:AN$500)+IF($C21="",0,SUMIF('DADOS BRUTOS'!$A$3:$A$500,$C21,'DADOS BRUTOS'!AN$3:AN$500)))</f>
        <v/>
      </c>
      <c r="DO21" s="132">
        <f>IF(OR(DO$4="",$B21=""),0,SUMIF('DADOS BRUTOS'!$A$3:$A$500,$B21,'DADOS BRUTOS'!AO$3:AO$500)+IF($C21="",0,SUMIF('DADOS BRUTOS'!$A$3:$A$500,$C21,'DADOS BRUTOS'!AO$3:AO$500)))</f>
        <v/>
      </c>
      <c r="DP21" s="132">
        <f>IF(OR(DP$4="",$B21=""),0,SUMIF('DADOS BRUTOS'!$A$3:$A$500,$B21,'DADOS BRUTOS'!AP$3:AP$500)+IF($C21="",0,SUMIF('DADOS BRUTOS'!$A$3:$A$500,$C21,'DADOS BRUTOS'!AP$3:AP$500)))</f>
        <v/>
      </c>
      <c r="DQ21" s="132">
        <f>IF(OR(DQ$4="",$B21=""),0,SUMIF('DADOS BRUTOS'!$A$3:$A$500,$B21,'DADOS BRUTOS'!AQ$3:AQ$500)+IF($C21="",0,SUMIF('DADOS BRUTOS'!$A$3:$A$500,$C21,'DADOS BRUTOS'!AQ$3:AQ$500)))</f>
        <v/>
      </c>
      <c r="DR21" s="132">
        <f>IF(OR(DR$4="",$B21=""),0,SUMIF('DADOS BRUTOS'!$A$3:$A$500,$B21,'DADOS BRUTOS'!AR$3:AR$500)+IF($C21="",0,SUMIF('DADOS BRUTOS'!$A$3:$A$500,$C21,'DADOS BRUTOS'!AR$3:AR$500)))</f>
        <v/>
      </c>
      <c r="DS21" s="132">
        <f>IF(OR(DS$4="",$B21=""),0,SUMIF('DADOS BRUTOS'!$A$3:$A$500,$B21,'DADOS BRUTOS'!AS$3:AS$500)+IF($C21="",0,SUMIF('DADOS BRUTOS'!$A$3:$A$500,$C21,'DADOS BRUTOS'!AS$3:AS$500)))</f>
        <v/>
      </c>
      <c r="DT21" s="132">
        <f>IF(OR(DT$4="",$B21=""),0,SUMIF('DADOS BRUTOS'!$A$3:$A$500,$B21,'DADOS BRUTOS'!AT$3:AT$500)+IF($C21="",0,SUMIF('DADOS BRUTOS'!$A$3:$A$500,$C21,'DADOS BRUTOS'!AT$3:AT$500)))</f>
        <v/>
      </c>
      <c r="DU21" s="132">
        <f>IF(OR(DU$4="",$B21=""),0,SUMIF('DADOS BRUTOS'!$A$3:$A$500,$B21,'DADOS BRUTOS'!AU$3:AU$500)+IF($C21="",0,SUMIF('DADOS BRUTOS'!$A$3:$A$500,$C21,'DADOS BRUTOS'!AU$3:AU$500)))</f>
        <v/>
      </c>
      <c r="DV21" s="132">
        <f>IF(OR(DV$4="",$B21=""),0,SUMIF('DADOS BRUTOS'!$A$3:$A$500,$B21,'DADOS BRUTOS'!AV$3:AV$500)+IF($C21="",0,SUMIF('DADOS BRUTOS'!$A$3:$A$500,$C21,'DADOS BRUTOS'!AV$3:AV$500)))</f>
        <v/>
      </c>
      <c r="DW21" s="132">
        <f>IF(OR(DW$4="",$B21=""),0,SUMIF('DADOS BRUTOS'!$A$3:$A$500,$B21,'DADOS BRUTOS'!AW$3:AW$500)+IF($C21="",0,SUMIF('DADOS BRUTOS'!$A$3:$A$500,$C21,'DADOS BRUTOS'!AW$3:AW$500)))</f>
        <v/>
      </c>
      <c r="DX21" s="132">
        <f>IF(OR(DX$4="",$B21=""),0,SUMIF('DADOS BRUTOS'!$A$3:$A$500,$B21,'DADOS BRUTOS'!AX$3:AX$500)+IF($C21="",0,SUMIF('DADOS BRUTOS'!$A$3:$A$500,$C21,'DADOS BRUTOS'!AX$3:AX$500)))</f>
        <v/>
      </c>
      <c r="DY21" s="132">
        <f>IF(OR(DY$4="",$B21=""),0,SUMIF('DADOS BRUTOS'!$A$3:$A$500,$B21,'DADOS BRUTOS'!AY$3:AY$500)+IF($C21="",0,SUMIF('DADOS BRUTOS'!$A$3:$A$500,$C21,'DADOS BRUTOS'!AY$3:AY$500)))</f>
        <v/>
      </c>
      <c r="DZ21" s="132">
        <f>IF(OR(DZ$4="",$B21=""),0,SUMIF('DADOS BRUTOS'!$A$3:$A$500,$B21,'DADOS BRUTOS'!AZ$3:AZ$500)+IF($C21="",0,SUMIF('DADOS BRUTOS'!$A$3:$A$500,$C21,'DADOS BRUTOS'!AZ$3:AZ$500)))</f>
        <v/>
      </c>
      <c r="EA21" s="132">
        <f>IF(OR(EA$4="",$B21=""),0,SUMIF('DADOS BRUTOS'!$A$3:$A$500,$B21,'DADOS BRUTOS'!BA$3:BA$500)+IF($C21="",0,SUMIF('DADOS BRUTOS'!$A$3:$A$500,$C21,'DADOS BRUTOS'!BA$3:BA$500)))</f>
        <v/>
      </c>
      <c r="EB21" s="132">
        <f>IF(OR(EB$4="",$B21=""),0,SUMIF('DADOS BRUTOS'!$A$3:$A$500,$B21,'DADOS BRUTOS'!BB$3:BB$500)+IF($C21="",0,SUMIF('DADOS BRUTOS'!$A$3:$A$500,$C21,'DADOS BRUTOS'!BB$3:BB$500)))</f>
        <v/>
      </c>
      <c r="EC21" s="132">
        <f>IF(OR(EC$4="",$B21=""),0,SUMIF('DADOS BRUTOS'!$A$3:$A$500,$B21,'DADOS BRUTOS'!BC$3:BC$500)+IF($C21="",0,SUMIF('DADOS BRUTOS'!$A$3:$A$500,$C21,'DADOS BRUTOS'!BC$3:BC$500)))</f>
        <v/>
      </c>
      <c r="ED21" s="132">
        <f>IF(OR(ED$4="",$B21=""),0,SUMIF('DADOS BRUTOS'!$A$3:$A$500,$B21,'DADOS BRUTOS'!BD$3:BD$500)+IF($C21="",0,SUMIF('DADOS BRUTOS'!$A$3:$A$500,$C21,'DADOS BRUTOS'!BD$3:BD$500)))</f>
        <v/>
      </c>
      <c r="EE21" s="132">
        <f>IF(OR(EE$4="",$B21=""),0,SUMIF('DADOS BRUTOS'!$A$3:$A$500,$B21,'DADOS BRUTOS'!BE$3:BE$500)+IF($C21="",0,SUMIF('DADOS BRUTOS'!$A$3:$A$500,$C21,'DADOS BRUTOS'!BE$3:BE$500)))</f>
        <v/>
      </c>
      <c r="EF21" s="132">
        <f>IF(OR(EF$4="",$B21=""),0,SUMIF('DADOS BRUTOS'!$A$3:$A$500,$B21,'DADOS BRUTOS'!BF$3:BF$500)+IF($C21="",0,SUMIF('DADOS BRUTOS'!$A$3:$A$500,$C21,'DADOS BRUTOS'!BF$3:BF$500)))</f>
        <v/>
      </c>
      <c r="EG21" s="132">
        <f>IF(OR(EG$4="",$B21=""),0,SUMIF('DADOS BRUTOS'!$A$3:$A$500,$B21,'DADOS BRUTOS'!BG$3:BG$500)+IF($C21="",0,SUMIF('DADOS BRUTOS'!$A$3:$A$500,$C21,'DADOS BRUTOS'!BG$3:BG$500)))</f>
        <v/>
      </c>
      <c r="EH21" s="132">
        <f>IF(OR(EH$4="",$B21=""),0,SUMIF('DADOS BRUTOS'!$A$3:$A$500,$B21,'DADOS BRUTOS'!BH$3:BH$500)+IF($C21="",0,SUMIF('DADOS BRUTOS'!$A$3:$A$500,$C21,'DADOS BRUTOS'!BH$3:BH$500)))</f>
        <v/>
      </c>
      <c r="EI21" s="132">
        <f>IF(OR(EI$4="",$B21=""),0,SUMIF('DADOS BRUTOS'!$A$3:$A$500,$B21,'DADOS BRUTOS'!BI$3:BI$500)+IF($C21="",0,SUMIF('DADOS BRUTOS'!$A$3:$A$500,$C21,'DADOS BRUTOS'!BI$3:BI$500)))</f>
        <v/>
      </c>
      <c r="EJ21" s="132">
        <f>IF(OR(EJ$4="",$B21=""),0,SUMIF('DADOS BRUTOS'!$A$3:$A$500,$B21,'DADOS BRUTOS'!BJ$3:BJ$500)+IF($C21="",0,SUMIF('DADOS BRUTOS'!$A$3:$A$500,$C21,'DADOS BRUTOS'!BJ$3:BJ$500)))</f>
        <v/>
      </c>
      <c r="EK21" s="132">
        <f>IF(OR(EK$4="",$B21=""),0,SUMIF('DADOS BRUTOS'!$A$3:$A$500,$B21,'DADOS BRUTOS'!BK$3:BK$500)+IF($C21="",0,SUMIF('DADOS BRUTOS'!$A$3:$A$500,$C21,'DADOS BRUTOS'!BK$3:BK$500)))</f>
        <v/>
      </c>
      <c r="EL21" s="132">
        <f>IF(OR(EL$4="",$B21=""),0,SUMIF('DADOS BRUTOS'!$A$3:$A$500,$B21,'DADOS BRUTOS'!BL$3:BL$500)+IF($C21="",0,SUMIF('DADOS BRUTOS'!$A$3:$A$500,$C21,'DADOS BRUTOS'!BL$3:BL$500)))</f>
        <v/>
      </c>
      <c r="EM21" s="132">
        <f>IF(OR(EM$4="",$B21=""),0,SUMIF('DADOS BRUTOS'!$A$3:$A$500,$B21,'DADOS BRUTOS'!BM$3:BM$500)+IF($C21="",0,SUMIF('DADOS BRUTOS'!$A$3:$A$500,$C21,'DADOS BRUTOS'!BM$3:BM$500)))</f>
        <v/>
      </c>
      <c r="EN21" s="132">
        <f>IF(OR(EN$4="",$B21=""),0,SUMIF('DADOS BRUTOS'!$A$3:$A$500,$B21,'DADOS BRUTOS'!BN$3:BN$500)+IF($C21="",0,SUMIF('DADOS BRUTOS'!$A$3:$A$500,$C21,'DADOS BRUTOS'!BN$3:BN$500)))</f>
        <v/>
      </c>
      <c r="EO21" s="132">
        <f>IF(OR(EO$4="",$B21=""),0,SUMIF('DADOS BRUTOS'!$A$3:$A$500,$B21,'DADOS BRUTOS'!BO$3:BO$500)+IF($C21="",0,SUMIF('DADOS BRUTOS'!$A$3:$A$500,$C21,'DADOS BRUTOS'!BO$3:BO$500)))</f>
        <v/>
      </c>
      <c r="EP21" s="132">
        <f>IF(OR(EP$4="",$B21=""),0,SUMIF('DADOS BRUTOS'!$A$3:$A$500,$B21,'DADOS BRUTOS'!BP$3:BP$500)+IF($C21="",0,SUMIF('DADOS BRUTOS'!$A$3:$A$500,$C21,'DADOS BRUTOS'!BP$3:BP$500)))</f>
        <v/>
      </c>
      <c r="EQ21" s="132">
        <f>IF(OR(EQ$4="",$B21=""),0,SUMIF('DADOS BRUTOS'!$A$3:$A$500,$B21,'DADOS BRUTOS'!BQ$3:BQ$500)+IF($C21="",0,SUMIF('DADOS BRUTOS'!$A$3:$A$500,$C21,'DADOS BRUTOS'!BQ$3:BQ$500)))</f>
        <v/>
      </c>
      <c r="ER21" s="132">
        <f>IF(OR(ER$4="",$B21=""),0,SUMIF('DADOS BRUTOS'!$A$3:$A$500,$B21,'DADOS BRUTOS'!BR$3:BR$500)+IF($C21="",0,SUMIF('DADOS BRUTOS'!$A$3:$A$500,$C21,'DADOS BRUTOS'!BR$3:BR$500)))</f>
        <v/>
      </c>
      <c r="ES21" s="132">
        <f>IF(OR(ES$4="",$B21=""),0,SUMIF('DADOS BRUTOS'!$A$3:$A$500,$B21,'DADOS BRUTOS'!BS$3:BS$500)+IF($C21="",0,SUMIF('DADOS BRUTOS'!$A$3:$A$500,$C21,'DADOS BRUTOS'!BS$3:BS$500)))</f>
        <v/>
      </c>
      <c r="ET21" s="132">
        <f>IF(OR(ET$4="",$B21=""),0,SUMIF('DADOS BRUTOS'!$A$3:$A$500,$B21,'DADOS BRUTOS'!BT$3:BT$500)+IF($C21="",0,SUMIF('DADOS BRUTOS'!$A$3:$A$500,$C21,'DADOS BRUTOS'!BT$3:BT$500)))</f>
        <v/>
      </c>
      <c r="EU21" s="132">
        <f>IF(OR(EU$4="",$B21=""),0,SUMIF('DADOS BRUTOS'!$A$3:$A$500,$B21,'DADOS BRUTOS'!BU$3:BU$500)+IF($C21="",0,SUMIF('DADOS BRUTOS'!$A$3:$A$500,$C21,'DADOS BRUTOS'!BU$3:BU$500)))</f>
        <v/>
      </c>
      <c r="EV21" s="132">
        <f>IF(OR(EV$4="",$B21=""),0,SUMIF('DADOS BRUTOS'!$A$3:$A$500,$B21,'DADOS BRUTOS'!BV$3:BV$500)+IF($C21="",0,SUMIF('DADOS BRUTOS'!$A$3:$A$500,$C21,'DADOS BRUTOS'!BV$3:BV$500)))</f>
        <v/>
      </c>
      <c r="EW21" s="132">
        <f>IF(OR(EW$4="",$B21=""),0,SUMIF('DADOS BRUTOS'!$A$3:$A$500,$B21,'DADOS BRUTOS'!BW$3:BW$500)+IF($C21="",0,SUMIF('DADOS BRUTOS'!$A$3:$A$500,$C21,'DADOS BRUTOS'!BW$3:BW$500)))</f>
        <v/>
      </c>
      <c r="EX21" s="132">
        <f>IF(OR(EX$4="",$B21=""),0,SUMIF('DADOS BRUTOS'!$A$3:$A$500,$B21,'DADOS BRUTOS'!BX$3:BX$500)+IF($C21="",0,SUMIF('DADOS BRUTOS'!$A$3:$A$500,$C21,'DADOS BRUTOS'!BX$3:BX$500)))</f>
        <v/>
      </c>
      <c r="EY21" s="132">
        <f>IF(OR(EY$4="",$B21=""),0,SUMIF('DADOS BRUTOS'!$A$3:$A$500,$B21,'DADOS BRUTOS'!BY$3:BY$500)+IF($C21="",0,SUMIF('DADOS BRUTOS'!$A$3:$A$500,$C21,'DADOS BRUTOS'!BY$3:BY$500)))</f>
        <v/>
      </c>
      <c r="EZ21" s="132">
        <f>IF(OR(EZ$4="",$B21=""),0,SUMIF('DADOS BRUTOS'!$A$3:$A$500,$B21,'DADOS BRUTOS'!BZ$3:BZ$500)+IF($C21="",0,SUMIF('DADOS BRUTOS'!$A$3:$A$500,$C21,'DADOS BRUTOS'!BZ$3:BZ$500)))</f>
        <v/>
      </c>
      <c r="FA21" s="132">
        <f>IF(OR(FA$4="",$B21=""),0,SUMIF('DADOS BRUTOS'!$A$3:$A$500,$B21,'DADOS BRUTOS'!CA$3:CA$500)+IF($C21="",0,SUMIF('DADOS BRUTOS'!$A$3:$A$500,$C21,'DADOS BRUTOS'!CA$3:CA$500)))</f>
        <v/>
      </c>
      <c r="FB21" s="132">
        <f>IF(OR(FB$4="",$B21=""),0,SUMIF('DADOS BRUTOS'!$A$3:$A$500,$B21,'DADOS BRUTOS'!CB$3:CB$500)+IF($C21="",0,SUMIF('DADOS BRUTOS'!$A$3:$A$500,$C21,'DADOS BRUTOS'!CB$3:CB$500)))</f>
        <v/>
      </c>
      <c r="FC21" s="132">
        <f>IF(OR(FC$4="",$B21=""),0,SUMIF('DADOS BRUTOS'!$A$3:$A$500,$B21,'DADOS BRUTOS'!CC$3:CC$500)+IF($C21="",0,SUMIF('DADOS BRUTOS'!$A$3:$A$500,$C21,'DADOS BRUTOS'!CC$3:CC$500)))</f>
        <v/>
      </c>
      <c r="FD21" s="132">
        <f>IF(OR(FD$4="",$B21=""),0,SUMIF('DADOS BRUTOS'!$A$3:$A$500,$B21,'DADOS BRUTOS'!CD$3:CD$500)+IF($C21="",0,SUMIF('DADOS BRUTOS'!$A$3:$A$500,$C21,'DADOS BRUTOS'!CD$3:CD$500)))</f>
        <v/>
      </c>
      <c r="FE21" s="132">
        <f>IF(OR(FE$4="",$B21=""),0,SUMIF('DADOS BRUTOS'!$A$3:$A$500,$B21,'DADOS BRUTOS'!CE$3:CE$500)+IF($C21="",0,SUMIF('DADOS BRUTOS'!$A$3:$A$500,$C21,'DADOS BRUTOS'!CE$3:CE$500)))</f>
        <v/>
      </c>
      <c r="FF21" s="132">
        <f>IF(OR(FF$4="",$B21=""),0,SUMIF('DADOS BRUTOS'!$A$3:$A$500,$B21,'DADOS BRUTOS'!CF$3:CF$500)+IF($C21="",0,SUMIF('DADOS BRUTOS'!$A$3:$A$500,$C21,'DADOS BRUTOS'!CF$3:CF$500)))</f>
        <v/>
      </c>
      <c r="FG21" s="132">
        <f>IF(OR(FG$4="",$B21=""),0,SUMIF('DADOS BRUTOS'!$A$3:$A$500,$B21,'DADOS BRUTOS'!CG$3:CG$500)+IF($C21="",0,SUMIF('DADOS BRUTOS'!$A$3:$A$500,$C21,'DADOS BRUTOS'!CG$3:CG$500)))</f>
        <v/>
      </c>
      <c r="FH21" s="132">
        <f>IF(OR(FH$4="",$B21=""),0,SUMIF('DADOS BRUTOS'!$A$3:$A$500,$B21,'DADOS BRUTOS'!CH$3:CH$500)+IF($C21="",0,SUMIF('DADOS BRUTOS'!$A$3:$A$500,$C21,'DADOS BRUTOS'!CH$3:CH$500)))</f>
        <v/>
      </c>
      <c r="FI21" s="132">
        <f>IF(OR(FI$4="",$B21=""),0,SUMIF('DADOS BRUTOS'!$A$3:$A$500,$B21,'DADOS BRUTOS'!CI$3:CI$500)+IF($C21="",0,SUMIF('DADOS BRUTOS'!$A$3:$A$500,$C21,'DADOS BRUTOS'!CI$3:CI$500)))</f>
        <v/>
      </c>
      <c r="FJ21" s="132">
        <f>IF(OR(FJ$4="",$B21=""),0,SUMIF('DADOS BRUTOS'!$A$3:$A$500,$B21,'DADOS BRUTOS'!CJ$3:CJ$500)+IF($C21="",0,SUMIF('DADOS BRUTOS'!$A$3:$A$500,$C21,'DADOS BRUTOS'!CJ$3:CJ$500)))</f>
        <v/>
      </c>
      <c r="FK21" s="132">
        <f>IF(OR(FK$4="",$B21=""),0,SUMIF('DADOS BRUTOS'!$A$3:$A$500,$B21,'DADOS BRUTOS'!CK$3:CK$500)+IF($C21="",0,SUMIF('DADOS BRUTOS'!$A$3:$A$500,$C21,'DADOS BRUTOS'!CK$3:CK$500)))</f>
        <v/>
      </c>
      <c r="FL21" s="132">
        <f>IF(OR(FL$4="",$B21=""),0,SUMIF('DADOS BRUTOS'!$A$3:$A$500,$B21,'DADOS BRUTOS'!CL$3:CL$500)+IF($C21="",0,SUMIF('DADOS BRUTOS'!$A$3:$A$500,$C21,'DADOS BRUTOS'!CL$3:CL$500)))</f>
        <v/>
      </c>
      <c r="FM21" s="132">
        <f>IF(OR(FM$4="",$B21=""),0,SUMIF('DADOS BRUTOS'!$A$3:$A$500,$B21,'DADOS BRUTOS'!CM$3:CM$500)+IF($C21="",0,SUMIF('DADOS BRUTOS'!$A$3:$A$500,$C21,'DADOS BRUTOS'!CM$3:CM$500)))</f>
        <v/>
      </c>
      <c r="FN21" s="132">
        <f>IF(OR(FN$4="",$B21=""),0,SUMIF('DADOS BRUTOS'!$A$3:$A$500,$B21,'DADOS BRUTOS'!CN$3:CN$500)+IF($C21="",0,SUMIF('DADOS BRUTOS'!$A$3:$A$500,$C21,'DADOS BRUTOS'!CN$3:CN$500)))</f>
        <v/>
      </c>
      <c r="FO21" s="132">
        <f>IF(OR(FO$4="",$B21=""),0,SUMIF('DADOS BRUTOS'!$A$3:$A$500,$B21,'DADOS BRUTOS'!CO$3:CO$500)+IF($C21="",0,SUMIF('DADOS BRUTOS'!$A$3:$A$500,$C21,'DADOS BRUTOS'!CO$3:CO$500)))</f>
        <v/>
      </c>
      <c r="FP21" s="132">
        <f>IF(OR(FP$4="",$B21=""),0,SUMIF('DADOS BRUTOS'!$A$3:$A$500,$B21,'DADOS BRUTOS'!CP$3:CP$500)+IF($C21="",0,SUMIF('DADOS BRUTOS'!$A$3:$A$500,$C21,'DADOS BRUTOS'!CP$3:CP$500)))</f>
        <v/>
      </c>
      <c r="FQ21" s="132">
        <f>IF(OR(FQ$4="",$B21=""),0,SUMIF('DADOS BRUTOS'!$A$3:$A$500,$B21,'DADOS BRUTOS'!CQ$3:CQ$500)+IF($C21="",0,SUMIF('DADOS BRUTOS'!$A$3:$A$500,$C21,'DADOS BRUTOS'!CQ$3:CQ$500)))</f>
        <v/>
      </c>
      <c r="FR21" s="132">
        <f>IF(OR(FR$4="",$B21=""),0,SUMIF('DADOS BRUTOS'!$A$3:$A$500,$B21,'DADOS BRUTOS'!CR$3:CR$500)+IF($C21="",0,SUMIF('DADOS BRUTOS'!$A$3:$A$500,$C21,'DADOS BRUTOS'!CR$3:CR$500)))</f>
        <v/>
      </c>
      <c r="FS21" s="132">
        <f>IF(OR(FS$4="",$B21=""),0,SUMIF('DADOS BRUTOS'!$A$3:$A$500,$B21,'DADOS BRUTOS'!CS$3:CS$500)+IF($C21="",0,SUMIF('DADOS BRUTOS'!$A$3:$A$500,$C21,'DADOS BRUTOS'!CS$3:CS$500)))</f>
        <v/>
      </c>
      <c r="FT21" s="132">
        <f>IF(OR(FT$4="",$B21=""),0,SUMIF('DADOS BRUTOS'!$A$3:$A$500,$B21,'DADOS BRUTOS'!CT$3:CT$500)+IF($C21="",0,SUMIF('DADOS BRUTOS'!$A$3:$A$500,$C21,'DADOS BRUTOS'!CT$3:CT$500)))</f>
        <v/>
      </c>
      <c r="FU21" s="132">
        <f>IF(OR(FU$4="",$B21=""),0,SUMIF('DADOS BRUTOS'!$A$3:$A$500,$B21,'DADOS BRUTOS'!CU$3:CU$500)+IF($C21="",0,SUMIF('DADOS BRUTOS'!$A$3:$A$500,$C21,'DADOS BRUTOS'!CU$3:CU$500)))</f>
        <v/>
      </c>
      <c r="FV21" s="132">
        <f>IF(OR(FV$4="",$B21=""),0,SUMIF('DADOS BRUTOS'!$A$3:$A$500,$B21,'DADOS BRUTOS'!CV$3:CV$500)+IF($C21="",0,SUMIF('DADOS BRUTOS'!$A$3:$A$500,$C21,'DADOS BRUTOS'!CV$3:CV$500)))</f>
        <v/>
      </c>
      <c r="FW21" s="132">
        <f>IF(OR(FW$4="",$B21=""),0,SUMIF('DADOS BRUTOS'!$A$3:$A$500,$B21,'DADOS BRUTOS'!CW$3:CW$500)+IF($C21="",0,SUMIF('DADOS BRUTOS'!$A$3:$A$500,$C21,'DADOS BRUTOS'!CW$3:CW$500)))</f>
        <v/>
      </c>
      <c r="FX21" s="132">
        <f>IF(OR(FX$4="",$B21=""),0,SUMIF('DADOS BRUTOS'!$A$3:$A$500,$B21,'DADOS BRUTOS'!CX$3:CX$500)+IF($C21="",0,SUMIF('DADOS BRUTOS'!$A$3:$A$500,$C21,'DADOS BRUTOS'!CX$3:CX$500)))</f>
        <v/>
      </c>
      <c r="FY21" s="132">
        <f>IF(OR(FY$4="",$B21=""),0,SUMIF('DADOS BRUTOS'!$A$3:$A$500,$B21,'DADOS BRUTOS'!CY$3:CY$500)+IF($C21="",0,SUMIF('DADOS BRUTOS'!$A$3:$A$500,$C21,'DADOS BRUTOS'!CY$3:CY$500)))</f>
        <v/>
      </c>
      <c r="FZ21" s="132">
        <f>IF(OR(FZ$4="",$B21=""),0,SUMIF('DADOS BRUTOS'!$A$3:$A$500,$B21,'DADOS BRUTOS'!CZ$3:CZ$500)+IF($C21="",0,SUMIF('DADOS BRUTOS'!$A$3:$A$500,$C21,'DADOS BRUTOS'!CZ$3:CZ$500)))</f>
        <v/>
      </c>
      <c r="GA21" s="132">
        <f>IF(OR(GA$4="",$B21=""),0,SUMIF('DADOS BRUTOS'!$A$3:$A$500,$B21,'DADOS BRUTOS'!DA$3:DA$500)+IF($C21="",0,SUMIF('DADOS BRUTOS'!$A$3:$A$500,$C21,'DADOS BRUTOS'!DA$3:DA$500)))</f>
        <v/>
      </c>
      <c r="GB21" s="132">
        <f>IF(OR(GB$4="",$B21=""),0,SUMIF('DADOS BRUTOS'!$A$3:$A$500,$B21,'DADOS BRUTOS'!DB$3:DB$500)+IF($C21="",0,SUMIF('DADOS BRUTOS'!$A$3:$A$500,$C21,'DADOS BRUTOS'!DB$3:DB$500)))</f>
        <v/>
      </c>
      <c r="GC21" s="132">
        <f>IF(OR(GC$4="",$B21=""),0,SUMIF('DADOS BRUTOS'!$A$3:$A$500,$B21,'DADOS BRUTOS'!DC$3:DC$500)+IF($C21="",0,SUMIF('DADOS BRUTOS'!$A$3:$A$500,$C21,'DADOS BRUTOS'!DC$3:DC$500)))</f>
        <v/>
      </c>
      <c r="GD21" s="132">
        <f>IF(OR(GD$4="",$B21=""),0,SUMIF('DADOS BRUTOS'!$A$3:$A$500,$B21,'DADOS BRUTOS'!DD$3:DD$500)+IF($C21="",0,SUMIF('DADOS BRUTOS'!$A$3:$A$500,$C21,'DADOS BRUTOS'!DD$3:DD$500)))</f>
        <v/>
      </c>
      <c r="GE21" s="132">
        <f>IF(OR(GE$4="",$B21=""),0,SUMIF('DADOS BRUTOS'!$A$3:$A$500,$B21,'DADOS BRUTOS'!DE$3:DE$500)+IF($C21="",0,SUMIF('DADOS BRUTOS'!$A$3:$A$500,$C21,'DADOS BRUTOS'!DE$3:DE$500)))</f>
        <v/>
      </c>
      <c r="GF21" s="132">
        <f>IF(OR(GF$4="",$B21=""),0,SUMIF('DADOS BRUTOS'!$A$3:$A$500,$B21,'DADOS BRUTOS'!DF$3:DF$500)+IF($C21="",0,SUMIF('DADOS BRUTOS'!$A$3:$A$500,$C21,'DADOS BRUTOS'!DF$3:DF$500)))</f>
        <v/>
      </c>
      <c r="GG21" s="132">
        <f>IF(OR(GG$4="",$B21=""),0,SUMIF('DADOS BRUTOS'!$A$3:$A$500,$B21,'DADOS BRUTOS'!DG$3:DG$500)+IF($C21="",0,SUMIF('DADOS BRUTOS'!$A$3:$A$500,$C21,'DADOS BRUTOS'!DG$3:DG$500)))</f>
        <v/>
      </c>
      <c r="GH21" s="132">
        <f>IF(OR(GH$4="",$B21=""),0,SUMIF('DADOS BRUTOS'!$A$3:$A$500,$B21,'DADOS BRUTOS'!DH$3:DH$500)+IF($C21="",0,SUMIF('DADOS BRUTOS'!$A$3:$A$500,$C21,'DADOS BRUTOS'!DH$3:DH$500)))</f>
        <v/>
      </c>
      <c r="GI21" s="132">
        <f>IF(OR(GI$4="",$B21=""),0,SUMIF('DADOS BRUTOS'!$A$3:$A$500,$B21,'DADOS BRUTOS'!DI$3:DI$500)+IF($C21="",0,SUMIF('DADOS BRUTOS'!$A$3:$A$500,$C21,'DADOS BRUTOS'!DI$3:DI$500)))</f>
        <v/>
      </c>
      <c r="GJ21" s="132">
        <f>IF(OR(GJ$4="",$B21=""),0,SUMIF('DADOS BRUTOS'!$A$3:$A$500,$B21,'DADOS BRUTOS'!DJ$3:DJ$500)+IF($C21="",0,SUMIF('DADOS BRUTOS'!$A$3:$A$500,$C21,'DADOS BRUTOS'!DJ$3:DJ$500)))</f>
        <v/>
      </c>
      <c r="GK21" s="132">
        <f>IF(OR(GK$4="",$B21=""),0,SUMIF('DADOS BRUTOS'!$A$3:$A$500,$B21,'DADOS BRUTOS'!DK$3:DK$500)+IF($C21="",0,SUMIF('DADOS BRUTOS'!$A$3:$A$500,$C21,'DADOS BRUTOS'!DK$3:DK$500)))</f>
        <v/>
      </c>
      <c r="GL21" s="132">
        <f>IF(OR(GL$4="",$B21=""),0,SUMIF('DADOS BRUTOS'!$A$3:$A$500,$B21,'DADOS BRUTOS'!DL$3:DL$500)+IF($C21="",0,SUMIF('DADOS BRUTOS'!$A$3:$A$500,$C21,'DADOS BRUTOS'!DL$3:DL$500)))</f>
        <v/>
      </c>
      <c r="GM21" s="132">
        <f>IF(OR(GM$4="",$B21=""),0,SUMIF('DADOS BRUTOS'!$A$3:$A$500,$B21,'DADOS BRUTOS'!DM$3:DM$500)+IF($C21="",0,SUMIF('DADOS BRUTOS'!$A$3:$A$500,$C21,'DADOS BRUTOS'!DM$3:DM$500)))</f>
        <v/>
      </c>
      <c r="GN21" s="132">
        <f>IF(OR(GN$4="",$B21=""),0,SUMIF('DADOS BRUTOS'!$A$3:$A$500,$B21,'DADOS BRUTOS'!DN$3:DN$500)+IF($C21="",0,SUMIF('DADOS BRUTOS'!$A$3:$A$500,$C21,'DADOS BRUTOS'!DN$3:DN$500)))</f>
        <v/>
      </c>
      <c r="GO21" s="132">
        <f>IF(OR(GO$4="",$B21=""),0,SUMIF('DADOS BRUTOS'!$A$3:$A$500,$B21,'DADOS BRUTOS'!DO$3:DO$500)+IF($C21="",0,SUMIF('DADOS BRUTOS'!$A$3:$A$500,$C21,'DADOS BRUTOS'!DO$3:DO$500)))</f>
        <v/>
      </c>
      <c r="GP21" s="132">
        <f>IF(OR(GP$4="",$B21=""),0,SUMIF('DADOS BRUTOS'!$A$3:$A$500,$B21,'DADOS BRUTOS'!DP$3:DP$500)+IF($C21="",0,SUMIF('DADOS BRUTOS'!$A$3:$A$500,$C21,'DADOS BRUTOS'!DP$3:DP$500)))</f>
        <v/>
      </c>
      <c r="GQ21" s="132">
        <f>IF(OR(GQ$4="",$B21=""),0,SUMIF('DADOS BRUTOS'!$A$3:$A$500,$B21,'DADOS BRUTOS'!DQ$3:DQ$500)+IF($C21="",0,SUMIF('DADOS BRUTOS'!$A$3:$A$500,$C21,'DADOS BRUTOS'!DQ$3:DQ$500)))</f>
        <v/>
      </c>
      <c r="GR21" s="132">
        <f>IF(OR(GR$4="",$B21=""),0,SUMIF('DADOS BRUTOS'!$A$3:$A$500,$B21,'DADOS BRUTOS'!DR$3:DR$500)+IF($C21="",0,SUMIF('DADOS BRUTOS'!$A$3:$A$500,$C21,'DADOS BRUTOS'!DR$3:DR$500)))</f>
        <v/>
      </c>
      <c r="GS21" s="132">
        <f>IF(OR(GS$4="",$B21=""),0,SUMIF('DADOS BRUTOS'!$A$3:$A$500,$B21,'DADOS BRUTOS'!DS$3:DS$500)+IF($C21="",0,SUMIF('DADOS BRUTOS'!$A$3:$A$500,$C21,'DADOS BRUTOS'!DS$3:DS$500)))</f>
        <v/>
      </c>
      <c r="GT21" s="132">
        <f>IF(OR(GT$4="",$B21=""),0,SUMIF('DADOS BRUTOS'!$A$3:$A$500,$B21,'DADOS BRUTOS'!DT$3:DT$500)+IF($C21="",0,SUMIF('DADOS BRUTOS'!$A$3:$A$500,$C21,'DADOS BRUTOS'!DT$3:DT$500)))</f>
        <v/>
      </c>
      <c r="GU21" s="132">
        <f>IF(OR(GU$4="",$B21=""),0,SUMIF('DADOS BRUTOS'!$A$3:$A$500,$B21,'DADOS BRUTOS'!DU$3:DU$500)+IF($C21="",0,SUMIF('DADOS BRUTOS'!$A$3:$A$500,$C21,'DADOS BRUTOS'!DU$3:DU$500)))</f>
        <v/>
      </c>
      <c r="GV21" s="132">
        <f>IF(OR(GV$4="",$B21=""),0,SUMIF('DADOS BRUTOS'!$A$3:$A$500,$B21,'DADOS BRUTOS'!DV$3:DV$500)+IF($C21="",0,SUMIF('DADOS BRUTOS'!$A$3:$A$500,$C21,'DADOS BRUTOS'!DV$3:DV$500)))</f>
        <v/>
      </c>
      <c r="GW21" s="132">
        <f>IF(OR(GW$4="",$B21=""),0,SUMIF('DADOS BRUTOS'!$A$3:$A$500,$B21,'DADOS BRUTOS'!DW$3:DW$500)+IF($C21="",0,SUMIF('DADOS BRUTOS'!$A$3:$A$500,$C21,'DADOS BRUTOS'!DW$3:DW$500)))</f>
        <v/>
      </c>
      <c r="GX21" s="132">
        <f>IF(OR(GX$4="",$B21=""),0,SUMIF('DADOS BRUTOS'!$A$3:$A$500,$B21,'DADOS BRUTOS'!DX$3:DX$500)+IF($C21="",0,SUMIF('DADOS BRUTOS'!$A$3:$A$500,$C21,'DADOS BRUTOS'!DX$3:DX$500)))</f>
        <v/>
      </c>
      <c r="GY21" s="132">
        <f>IF(OR(GY$4="",$B21=""),0,SUMIF('DADOS BRUTOS'!$A$3:$A$500,$B21,'DADOS BRUTOS'!DY$3:DY$500)+IF($C21="",0,SUMIF('DADOS BRUTOS'!$A$3:$A$500,$C21,'DADOS BRUTOS'!DY$3:DY$500)))</f>
        <v/>
      </c>
      <c r="GZ21" s="132">
        <f>IF(OR(GZ$4="",$B21=""),0,SUMIF('DADOS BRUTOS'!$A$3:$A$500,$B21,'DADOS BRUTOS'!DZ$3:DZ$500)+IF($C21="",0,SUMIF('DADOS BRUTOS'!$A$3:$A$500,$C21,'DADOS BRUTOS'!DZ$3:DZ$500)))</f>
        <v/>
      </c>
      <c r="HA21" s="132">
        <f>IF(OR(HA$4="",$B21=""),0,SUMIF('DADOS BRUTOS'!$A$3:$A$500,$B21,'DADOS BRUTOS'!EA$3:EA$500)+IF($C21="",0,SUMIF('DADOS BRUTOS'!$A$3:$A$500,$C21,'DADOS BRUTOS'!EA$3:EA$500)))</f>
        <v/>
      </c>
      <c r="HB21" s="132">
        <f>IF(OR(HB$4="",$B21=""),0,SUMIF('DADOS BRUTOS'!$A$3:$A$500,$B21,'DADOS BRUTOS'!EB$3:EB$500)+IF($C21="",0,SUMIF('DADOS BRUTOS'!$A$3:$A$500,$C21,'DADOS BRUTOS'!EB$3:EB$500)))</f>
        <v/>
      </c>
      <c r="HC21" s="132">
        <f>IF(OR(HC$4="",$B21=""),0,SUMIF('DADOS BRUTOS'!$A$3:$A$500,$B21,'DADOS BRUTOS'!EC$3:EC$500)+IF($C21="",0,SUMIF('DADOS BRUTOS'!$A$3:$A$500,$C21,'DADOS BRUTOS'!EC$3:EC$500)))</f>
        <v/>
      </c>
      <c r="HD21" s="132">
        <f>IF(OR(HD$4="",$B21=""),0,SUMIF('DADOS BRUTOS'!$A$3:$A$500,$B21,'DADOS BRUTOS'!ED$3:ED$500)+IF($C21="",0,SUMIF('DADOS BRUTOS'!$A$3:$A$500,$C21,'DADOS BRUTOS'!ED$3:ED$500)))</f>
        <v/>
      </c>
      <c r="HE21" s="132">
        <f>IF(OR(HE$4="",$B21=""),0,SUMIF('DADOS BRUTOS'!$A$3:$A$500,$B21,'DADOS BRUTOS'!EE$3:EE$500)+IF($C21="",0,SUMIF('DADOS BRUTOS'!$A$3:$A$500,$C21,'DADOS BRUTOS'!EE$3:EE$500)))</f>
        <v/>
      </c>
      <c r="HF21" s="132">
        <f>IF(OR(HF$4="",$B21=""),0,SUMIF('DADOS BRUTOS'!$A$3:$A$500,$B21,'DADOS BRUTOS'!EF$3:EF$500)+IF($C21="",0,SUMIF('DADOS BRUTOS'!$A$3:$A$500,$C21,'DADOS BRUTOS'!EF$3:EF$500)))</f>
        <v/>
      </c>
      <c r="HG21" s="132">
        <f>IF(OR(HG$4="",$B21=""),0,SUMIF('DADOS BRUTOS'!$A$3:$A$500,$B21,'DADOS BRUTOS'!EG$3:EG$500)+IF($C21="",0,SUMIF('DADOS BRUTOS'!$A$3:$A$500,$C21,'DADOS BRUTOS'!EG$3:EG$500)))</f>
        <v/>
      </c>
      <c r="HH21" s="132">
        <f>IF(OR(HH$4="",$B21=""),0,SUMIF('DADOS BRUTOS'!$A$3:$A$500,$B21,'DADOS BRUTOS'!EH$3:EH$500)+IF($C21="",0,SUMIF('DADOS BRUTOS'!$A$3:$A$500,$C21,'DADOS BRUTOS'!EH$3:EH$500)))</f>
        <v/>
      </c>
      <c r="HI21" s="132">
        <f>IF(OR(HI$4="",$B21=""),0,SUMIF('DADOS BRUTOS'!$A$3:$A$500,$B21,'DADOS BRUTOS'!EI$3:EI$500)+IF($C21="",0,SUMIF('DADOS BRUTOS'!$A$3:$A$500,$C21,'DADOS BRUTOS'!EI$3:EI$500)))</f>
        <v/>
      </c>
      <c r="HJ21" s="132">
        <f>IF(OR(HJ$4="",$B21=""),0,SUMIF('DADOS BRUTOS'!$A$3:$A$500,$B21,'DADOS BRUTOS'!EJ$3:EJ$500)+IF($C21="",0,SUMIF('DADOS BRUTOS'!$A$3:$A$500,$C21,'DADOS BRUTOS'!EJ$3:EJ$500)))</f>
        <v/>
      </c>
      <c r="HK21" s="132">
        <f>IF(OR(HK$4="",$B21=""),0,SUMIF('DADOS BRUTOS'!$A$3:$A$500,$B21,'DADOS BRUTOS'!EK$3:EK$500)+IF($C21="",0,SUMIF('DADOS BRUTOS'!$A$3:$A$500,$C21,'DADOS BRUTOS'!EK$3:EK$500)))</f>
        <v/>
      </c>
      <c r="HL21" s="132">
        <f>IF(OR(HL$4="",$B21=""),0,SUMIF('DADOS BRUTOS'!$A$3:$A$500,$B21,'DADOS BRUTOS'!EL$3:EL$500)+IF($C21="",0,SUMIF('DADOS BRUTOS'!$A$3:$A$500,$C21,'DADOS BRUTOS'!EL$3:EL$500)))</f>
        <v/>
      </c>
      <c r="HM21" s="132">
        <f>IF(OR(HM$4="",$B21=""),0,SUMIF('DADOS BRUTOS'!$A$3:$A$500,$B21,'DADOS BRUTOS'!EM$3:EM$500)+IF($C21="",0,SUMIF('DADOS BRUTOS'!$A$3:$A$500,$C21,'DADOS BRUTOS'!EM$3:EM$500)))</f>
        <v/>
      </c>
      <c r="HN21" s="132">
        <f>IF(OR(HN$4="",$B21=""),0,SUMIF('DADOS BRUTOS'!$A$3:$A$500,$B21,'DADOS BRUTOS'!EN$3:EN$500)+IF($C21="",0,SUMIF('DADOS BRUTOS'!$A$3:$A$500,$C21,'DADOS BRUTOS'!EN$3:EN$500)))</f>
        <v/>
      </c>
      <c r="HO21" s="132">
        <f>IF(OR(HO$4="",$B21=""),0,SUMIF('DADOS BRUTOS'!$A$3:$A$500,$B21,'DADOS BRUTOS'!EO$3:EO$500)+IF($C21="",0,SUMIF('DADOS BRUTOS'!$A$3:$A$500,$C21,'DADOS BRUTOS'!EO$3:EO$500)))</f>
        <v/>
      </c>
      <c r="HP21" s="132">
        <f>IF(OR(HP$4="",$B21=""),0,SUMIF('DADOS BRUTOS'!$A$3:$A$500,$B21,'DADOS BRUTOS'!EP$3:EP$500)+IF($C21="",0,SUMIF('DADOS BRUTOS'!$A$3:$A$500,$C21,'DADOS BRUTOS'!EP$3:EP$500)))</f>
        <v/>
      </c>
      <c r="HQ21" s="132">
        <f>IF(OR(HQ$4="",$B21=""),0,SUMIF('DADOS BRUTOS'!$A$3:$A$500,$B21,'DADOS BRUTOS'!EQ$3:EQ$500)+IF($C21="",0,SUMIF('DADOS BRUTOS'!$A$3:$A$500,$C21,'DADOS BRUTOS'!EQ$3:EQ$500)))</f>
        <v/>
      </c>
      <c r="HR21" s="132">
        <f>IF(OR(HR$4="",$B21=""),0,SUMIF('DADOS BRUTOS'!$A$3:$A$500,$B21,'DADOS BRUTOS'!ER$3:ER$500)+IF($C21="",0,SUMIF('DADOS BRUTOS'!$A$3:$A$500,$C21,'DADOS BRUTOS'!ER$3:ER$500)))</f>
        <v/>
      </c>
      <c r="HS21" s="132">
        <f>IF(OR(HS$4="",$B21=""),0,SUMIF('DADOS BRUTOS'!$A$3:$A$500,$B21,'DADOS BRUTOS'!ES$3:ES$500)+IF($C21="",0,SUMIF('DADOS BRUTOS'!$A$3:$A$500,$C21,'DADOS BRUTOS'!ES$3:ES$500)))</f>
        <v/>
      </c>
      <c r="HT21" s="132">
        <f>IF(OR(HT$4="",$B21=""),0,SUMIF('DADOS BRUTOS'!$A$3:$A$500,$B21,'DADOS BRUTOS'!ET$3:ET$500)+IF($C21="",0,SUMIF('DADOS BRUTOS'!$A$3:$A$500,$C21,'DADOS BRUTOS'!ET$3:ET$500)))</f>
        <v/>
      </c>
      <c r="HU21" s="132">
        <f>IF(OR(HU$4="",$B21=""),0,SUMIF('DADOS BRUTOS'!$A$3:$A$500,$B21,'DADOS BRUTOS'!EU$3:EU$500)+IF($C21="",0,SUMIF('DADOS BRUTOS'!$A$3:$A$500,$C21,'DADOS BRUTOS'!EU$3:EU$500)))</f>
        <v/>
      </c>
      <c r="HV21" s="132">
        <f>IF(OR(HV$4="",$B21=""),0,SUMIF('DADOS BRUTOS'!$A$3:$A$500,$B21,'DADOS BRUTOS'!EV$3:EV$500)+IF($C21="",0,SUMIF('DADOS BRUTOS'!$A$3:$A$500,$C21,'DADOS BRUTOS'!EV$3:EV$500)))</f>
        <v/>
      </c>
      <c r="HW21" s="132">
        <f>IF(OR(HW$4="",$B21=""),0,SUMIF('DADOS BRUTOS'!$A$3:$A$500,$B21,'DADOS BRUTOS'!EW$3:EW$500)+IF($C21="",0,SUMIF('DADOS BRUTOS'!$A$3:$A$500,$C21,'DADOS BRUTOS'!EW$3:EW$500)))</f>
        <v/>
      </c>
      <c r="HX21" s="132">
        <f>IF(OR(HX$4="",$B21=""),0,SUMIF('DADOS BRUTOS'!$A$3:$A$500,$B21,'DADOS BRUTOS'!EX$3:EX$500)+IF($C21="",0,SUMIF('DADOS BRUTOS'!$A$3:$A$500,$C21,'DADOS BRUTOS'!EX$3:EX$500)))</f>
        <v/>
      </c>
      <c r="HY21" s="132">
        <f>IF(OR(HY$4="",$B21=""),0,SUMIF('DADOS BRUTOS'!$A$3:$A$500,$B21,'DADOS BRUTOS'!EY$3:EY$500)+IF($C21="",0,SUMIF('DADOS BRUTOS'!$A$3:$A$500,$C21,'DADOS BRUTOS'!EY$3:EY$500)))</f>
        <v/>
      </c>
      <c r="HZ21" s="132">
        <f>IF(OR(HZ$4="",$B21=""),0,SUMIF('DADOS BRUTOS'!$A$3:$A$500,$B21,'DADOS BRUTOS'!EZ$3:EZ$500)+IF($C21="",0,SUMIF('DADOS BRUTOS'!$A$3:$A$500,$C21,'DADOS BRUTOS'!EZ$3:EZ$500)))</f>
        <v/>
      </c>
      <c r="IA21" s="132">
        <f>IF(OR(IA$4="",$B21=""),0,SUMIF('DADOS BRUTOS'!$A$3:$A$500,$B21,'DADOS BRUTOS'!FA$3:FA$500)+IF($C21="",0,SUMIF('DADOS BRUTOS'!$A$3:$A$500,$C21,'DADOS BRUTOS'!FA$3:FA$500)))</f>
        <v/>
      </c>
      <c r="IB21" s="132">
        <f>IF(OR(IB$4="",$B21=""),0,SUMIF('DADOS BRUTOS'!$A$3:$A$500,$B21,'DADOS BRUTOS'!FB$3:FB$500)+IF($C21="",0,SUMIF('DADOS BRUTOS'!$A$3:$A$500,$C21,'DADOS BRUTOS'!FB$3:FB$500)))</f>
        <v/>
      </c>
      <c r="IC21" s="132">
        <f>IF(OR(IC$4="",$B21=""),0,SUMIF('DADOS BRUTOS'!$A$3:$A$500,$B21,'DADOS BRUTOS'!FC$3:FC$500)+IF($C21="",0,SUMIF('DADOS BRUTOS'!$A$3:$A$500,$C21,'DADOS BRUTOS'!FC$3:FC$500)))</f>
        <v/>
      </c>
      <c r="ID21" s="132">
        <f>IF(OR(ID$4="",$B21=""),0,SUMIF('DADOS BRUTOS'!$A$3:$A$500,$B21,'DADOS BRUTOS'!FD$3:FD$500)+IF($C21="",0,SUMIF('DADOS BRUTOS'!$A$3:$A$500,$C21,'DADOS BRUTOS'!FD$3:FD$500)))</f>
        <v/>
      </c>
      <c r="IE21" s="132">
        <f>IF(OR(IE$4="",$B21=""),0,SUMIF('DADOS BRUTOS'!$A$3:$A$500,$B21,'DADOS BRUTOS'!FE$3:FE$500)+IF($C21="",0,SUMIF('DADOS BRUTOS'!$A$3:$A$500,$C21,'DADOS BRUTOS'!FE$3:FE$500)))</f>
        <v/>
      </c>
      <c r="IF21" s="132">
        <f>IF(OR(IF$4="",$B21=""),0,SUMIF('DADOS BRUTOS'!$A$3:$A$500,$B21,'DADOS BRUTOS'!FF$3:FF$500)+IF($C21="",0,SUMIF('DADOS BRUTOS'!$A$3:$A$500,$C21,'DADOS BRUTOS'!FF$3:FF$500)))</f>
        <v/>
      </c>
      <c r="IG21" s="132">
        <f>IF(OR(IG$4="",$B21=""),0,SUMIF('DADOS BRUTOS'!$A$3:$A$500,$B21,'DADOS BRUTOS'!FG$3:FG$500)+IF($C21="",0,SUMIF('DADOS BRUTOS'!$A$3:$A$500,$C21,'DADOS BRUTOS'!FG$3:FG$500)))</f>
        <v/>
      </c>
      <c r="IH21" s="132">
        <f>IF(OR(IH$4="",$B21=""),0,SUMIF('DADOS BRUTOS'!$A$3:$A$500,$B21,'DADOS BRUTOS'!FH$3:FH$500)+IF($C21="",0,SUMIF('DADOS BRUTOS'!$A$3:$A$500,$C21,'DADOS BRUTOS'!FH$3:FH$500)))</f>
        <v/>
      </c>
      <c r="II21" s="132">
        <f>IF(OR(II$4="",$B21=""),0,SUMIF('DADOS BRUTOS'!$A$3:$A$500,$B21,'DADOS BRUTOS'!FI$3:FI$500)+IF($C21="",0,SUMIF('DADOS BRUTOS'!$A$3:$A$500,$C21,'DADOS BRUTOS'!FI$3:FI$500)))</f>
        <v/>
      </c>
      <c r="IJ21" s="132">
        <f>IF(OR(IJ$4="",$B21=""),0,SUMIF('DADOS BRUTOS'!$A$3:$A$500,$B21,'DADOS BRUTOS'!FJ$3:FJ$500)+IF($C21="",0,SUMIF('DADOS BRUTOS'!$A$3:$A$500,$C21,'DADOS BRUTOS'!FJ$3:FJ$500)))</f>
        <v/>
      </c>
      <c r="IK21" s="132">
        <f>IF(OR(IK$4="",$B21=""),0,SUMIF('DADOS BRUTOS'!$A$3:$A$500,$B21,'DADOS BRUTOS'!FK$3:FK$500)+IF($C21="",0,SUMIF('DADOS BRUTOS'!$A$3:$A$500,$C21,'DADOS BRUTOS'!FK$3:FK$500)))</f>
        <v/>
      </c>
      <c r="IL21" s="132">
        <f>IF(OR(IL$4="",$B21=""),0,SUMIF('DADOS BRUTOS'!$A$3:$A$500,$B21,'DADOS BRUTOS'!FL$3:FL$500)+IF($C21="",0,SUMIF('DADOS BRUTOS'!$A$3:$A$500,$C21,'DADOS BRUTOS'!FL$3:FL$500)))</f>
        <v/>
      </c>
      <c r="IM21" s="132">
        <f>IF(OR(IM$4="",$B21=""),0,SUMIF('DADOS BRUTOS'!$A$3:$A$500,$B21,'DADOS BRUTOS'!FM$3:FM$500)+IF($C21="",0,SUMIF('DADOS BRUTOS'!$A$3:$A$500,$C21,'DADOS BRUTOS'!FM$3:FM$500)))</f>
        <v/>
      </c>
      <c r="IN21" s="132">
        <f>IF(OR(IN$4="",$B21=""),0,SUMIF('DADOS BRUTOS'!$A$3:$A$500,$B21,'DADOS BRUTOS'!FN$3:FN$500)+IF($C21="",0,SUMIF('DADOS BRUTOS'!$A$3:$A$500,$C21,'DADOS BRUTOS'!FN$3:FN$500)))</f>
        <v/>
      </c>
      <c r="IO21" s="132">
        <f>IF(OR(IO$4="",$B21=""),0,SUMIF('DADOS BRUTOS'!$A$3:$A$500,$B21,'DADOS BRUTOS'!FO$3:FO$500)+IF($C21="",0,SUMIF('DADOS BRUTOS'!$A$3:$A$500,$C21,'DADOS BRUTOS'!FO$3:FO$500)))</f>
        <v/>
      </c>
      <c r="IP21" s="132">
        <f>IF(OR(IP$4="",$B21=""),0,SUMIF('DADOS BRUTOS'!$A$3:$A$500,$B21,'DADOS BRUTOS'!FP$3:FP$500)+IF($C21="",0,SUMIF('DADOS BRUTOS'!$A$3:$A$500,$C21,'DADOS BRUTOS'!FP$3:FP$500)))</f>
        <v/>
      </c>
      <c r="IQ21" s="132">
        <f>IF(OR(IQ$4="",$B21=""),0,SUMIF('DADOS BRUTOS'!$A$3:$A$500,$B21,'DADOS BRUTOS'!FQ$3:FQ$500)+IF($C21="",0,SUMIF('DADOS BRUTOS'!$A$3:$A$500,$C21,'DADOS BRUTOS'!FQ$3:FQ$500)))</f>
        <v/>
      </c>
      <c r="IR21" s="132">
        <f>IF(OR(IR$4="",$B21=""),0,SUMIF('DADOS BRUTOS'!$A$3:$A$500,$B21,'DADOS BRUTOS'!FR$3:FR$500)+IF($C21="",0,SUMIF('DADOS BRUTOS'!$A$3:$A$500,$C21,'DADOS BRUTOS'!FR$3:FR$500)))</f>
        <v/>
      </c>
      <c r="IS21" s="132">
        <f>IF(OR(IS$4="",$B21=""),0,SUMIF('DADOS BRUTOS'!$A$3:$A$500,$B21,'DADOS BRUTOS'!FS$3:FS$500)+IF($C21="",0,SUMIF('DADOS BRUTOS'!$A$3:$A$500,$C21,'DADOS BRUTOS'!FS$3:FS$500)))</f>
        <v/>
      </c>
      <c r="IT21" s="132">
        <f>IF(OR(IT$4="",$B21=""),0,SUMIF('DADOS BRUTOS'!$A$3:$A$500,$B21,'DADOS BRUTOS'!FT$3:FT$500)+IF($C21="",0,SUMIF('DADOS BRUTOS'!$A$3:$A$500,$C21,'DADOS BRUTOS'!FT$3:FT$500)))</f>
        <v/>
      </c>
      <c r="IU21" s="132">
        <f>IF(OR(IU$4="",$B21=""),0,SUMIF('DADOS BRUTOS'!$A$3:$A$500,$B21,'DADOS BRUTOS'!FU$3:FU$500)+IF($C21="",0,SUMIF('DADOS BRUTOS'!$A$3:$A$500,$C21,'DADOS BRUTOS'!FU$3:FU$500)))</f>
        <v/>
      </c>
      <c r="IV21" s="132">
        <f>IF(OR(IV$4="",$B21=""),0,SUMIF('DADOS BRUTOS'!$A$3:$A$500,$B21,'DADOS BRUTOS'!FV$3:FV$500)+IF($C21="",0,SUMIF('DADOS BRUTOS'!$A$3:$A$500,$C21,'DADOS BRUTOS'!FV$3:FV$500)))</f>
        <v/>
      </c>
      <c r="IW21" s="132">
        <f>IF(OR(IW$4="",$B21=""),0,SUMIF('DADOS BRUTOS'!$A$3:$A$500,$B21,'DADOS BRUTOS'!FW$3:FW$500)+IF($C21="",0,SUMIF('DADOS BRUTOS'!$A$3:$A$500,$C21,'DADOS BRUTOS'!FW$3:FW$500)))</f>
        <v/>
      </c>
      <c r="IX21" s="132">
        <f>IF(OR(IX$4="",$B21=""),0,SUMIF('DADOS BRUTOS'!$A$3:$A$500,$B21,'DADOS BRUTOS'!FX$3:FX$500)+IF($C21="",0,SUMIF('DADOS BRUTOS'!$A$3:$A$500,$C21,'DADOS BRUTOS'!FX$3:FX$500)))</f>
        <v/>
      </c>
      <c r="IY21" s="132">
        <f>IF(OR(IY$4="",$B21=""),0,SUMIF('DADOS BRUTOS'!$A$3:$A$500,$B21,'DADOS BRUTOS'!FY$3:FY$500)+IF($C21="",0,SUMIF('DADOS BRUTOS'!$A$3:$A$500,$C21,'DADOS BRUTOS'!FY$3:FY$500)))</f>
        <v/>
      </c>
      <c r="IZ21" s="132">
        <f>IF(OR(IZ$4="",$B21=""),0,SUMIF('DADOS BRUTOS'!$A$3:$A$500,$B21,'DADOS BRUTOS'!FZ$3:FZ$500)+IF($C21="",0,SUMIF('DADOS BRUTOS'!$A$3:$A$500,$C21,'DADOS BRUTOS'!FZ$3:FZ$500)))</f>
        <v/>
      </c>
      <c r="JA21" s="132">
        <f>IF(OR(JA$4="",$B21=""),0,SUMIF('DADOS BRUTOS'!$A$3:$A$500,$B21,'DADOS BRUTOS'!GA$3:GA$500)+IF($C21="",0,SUMIF('DADOS BRUTOS'!$A$3:$A$500,$C21,'DADOS BRUTOS'!GA$3:GA$500)))</f>
        <v/>
      </c>
      <c r="JB21" s="132">
        <f>IF(OR(JB$4="",$B21=""),0,SUMIF('DADOS BRUTOS'!$A$3:$A$500,$B21,'DADOS BRUTOS'!GB$3:GB$500)+IF($C21="",0,SUMIF('DADOS BRUTOS'!$A$3:$A$500,$C21,'DADOS BRUTOS'!GB$3:GB$500)))</f>
        <v/>
      </c>
      <c r="JC21" s="132">
        <f>IF(OR(JC$4="",$B21=""),0,SUMIF('DADOS BRUTOS'!$A$3:$A$500,$B21,'DADOS BRUTOS'!GC$3:GC$500)+IF($C21="",0,SUMIF('DADOS BRUTOS'!$A$3:$A$500,$C21,'DADOS BRUTOS'!GC$3:GC$500)))</f>
        <v/>
      </c>
      <c r="JD21" s="132">
        <f>IF(OR(JD$4="",$B21=""),0,SUMIF('DADOS BRUTOS'!$A$3:$A$500,$B21,'DADOS BRUTOS'!GD$3:GD$500)+IF($C21="",0,SUMIF('DADOS BRUTOS'!$A$3:$A$500,$C21,'DADOS BRUTOS'!GD$3:GD$500)))</f>
        <v/>
      </c>
      <c r="JE21" s="132">
        <f>IF(OR(JE$4="",$B21=""),0,SUMIF('DADOS BRUTOS'!$A$3:$A$500,$B21,'DADOS BRUTOS'!GE$3:GE$500)+IF($C21="",0,SUMIF('DADOS BRUTOS'!$A$3:$A$500,$C21,'DADOS BRUTOS'!GE$3:GE$500)))</f>
        <v/>
      </c>
      <c r="JF21" s="132">
        <f>IF(OR(JF$4="",$B21=""),0,SUMIF('DADOS BRUTOS'!$A$3:$A$500,$B21,'DADOS BRUTOS'!GF$3:GF$500)+IF($C21="",0,SUMIF('DADOS BRUTOS'!$A$3:$A$500,$C21,'DADOS BRUTOS'!GF$3:GF$500)))</f>
        <v/>
      </c>
      <c r="JG21" s="132">
        <f>IF(OR(JG$4="",$B21=""),0,SUMIF('DADOS BRUTOS'!$A$3:$A$500,$B21,'DADOS BRUTOS'!GG$3:GG$500)+IF($C21="",0,SUMIF('DADOS BRUTOS'!$A$3:$A$500,$C21,'DADOS BRUTOS'!GG$3:GG$500)))</f>
        <v/>
      </c>
      <c r="JH21" s="132">
        <f>IF(OR(JH$4="",$B21=""),0,SUMIF('DADOS BRUTOS'!$A$3:$A$500,$B21,'DADOS BRUTOS'!GH$3:GH$500)+IF($C21="",0,SUMIF('DADOS BRUTOS'!$A$3:$A$500,$C21,'DADOS BRUTOS'!GH$3:GH$500)))</f>
        <v/>
      </c>
      <c r="JI21" s="132">
        <f>IF(OR(JI$4="",$B21=""),0,SUMIF('DADOS BRUTOS'!$A$3:$A$500,$B21,'DADOS BRUTOS'!GI$3:GI$500)+IF($C21="",0,SUMIF('DADOS BRUTOS'!$A$3:$A$500,$C21,'DADOS BRUTOS'!GI$3:GI$500)))</f>
        <v/>
      </c>
      <c r="JJ21" s="132">
        <f>IF(OR(JJ$4="",$B21=""),0,SUMIF('DADOS BRUTOS'!$A$3:$A$500,$B21,'DADOS BRUTOS'!GJ$3:GJ$500)+IF($C21="",0,SUMIF('DADOS BRUTOS'!$A$3:$A$500,$C21,'DADOS BRUTOS'!GJ$3:GJ$500)))</f>
        <v/>
      </c>
      <c r="JK21" s="132">
        <f>IF(OR(JK$4="",$B21=""),0,SUMIF('DADOS BRUTOS'!$A$3:$A$500,$B21,'DADOS BRUTOS'!GK$3:GK$500)+IF($C21="",0,SUMIF('DADOS BRUTOS'!$A$3:$A$500,$C21,'DADOS BRUTOS'!GK$3:GK$500)))</f>
        <v/>
      </c>
      <c r="JL21" s="132">
        <f>IF(OR(JL$4="",$B21=""),0,SUMIF('DADOS BRUTOS'!$A$3:$A$500,$B21,'DADOS BRUTOS'!GL$3:GL$500)+IF($C21="",0,SUMIF('DADOS BRUTOS'!$A$3:$A$500,$C21,'DADOS BRUTOS'!GL$3:GL$500)))</f>
        <v/>
      </c>
      <c r="JM21" s="132">
        <f>IF(OR(JM$4="",$B21=""),0,SUMIF('DADOS BRUTOS'!$A$3:$A$500,$B21,'DADOS BRUTOS'!GM$3:GM$500)+IF($C21="",0,SUMIF('DADOS BRUTOS'!$A$3:$A$500,$C21,'DADOS BRUTOS'!GM$3:GM$500)))</f>
        <v/>
      </c>
      <c r="JN21" s="132">
        <f>IF(OR(JN$4="",$B21=""),0,SUMIF('DADOS BRUTOS'!$A$3:$A$500,$B21,'DADOS BRUTOS'!GN$3:GN$500)+IF($C21="",0,SUMIF('DADOS BRUTOS'!$A$3:$A$500,$C21,'DADOS BRUTOS'!GN$3:GN$500)))</f>
        <v/>
      </c>
      <c r="JO21" s="132">
        <f>IF(OR(JO$4="",$B21=""),0,SUMIF('DADOS BRUTOS'!$A$3:$A$500,$B21,'DADOS BRUTOS'!GO$3:GO$500)+IF($C21="",0,SUMIF('DADOS BRUTOS'!$A$3:$A$500,$C21,'DADOS BRUTOS'!GO$3:GO$500)))</f>
        <v/>
      </c>
      <c r="JP21" s="132">
        <f>IF(OR(JP$4="",$B21=""),0,SUMIF('DADOS BRUTOS'!$A$3:$A$500,$B21,'DADOS BRUTOS'!GP$3:GP$500)+IF($C21="",0,SUMIF('DADOS BRUTOS'!$A$3:$A$500,$C21,'DADOS BRUTOS'!GP$3:GP$500)))</f>
        <v/>
      </c>
      <c r="JQ21" s="132">
        <f>IF(OR(JQ$4="",$B21=""),0,SUMIF('DADOS BRUTOS'!$A$3:$A$500,$B21,'DADOS BRUTOS'!GQ$3:GQ$500)+IF($C21="",0,SUMIF('DADOS BRUTOS'!$A$3:$A$500,$C21,'DADOS BRUTOS'!GQ$3:GQ$500)))</f>
        <v/>
      </c>
      <c r="JR21" s="132">
        <f>IF(OR(JR$4="",$B21=""),0,SUMIF('DADOS BRUTOS'!$A$3:$A$500,$B21,'DADOS BRUTOS'!GR$3:GR$500)+IF($C21="",0,SUMIF('DADOS BRUTOS'!$A$3:$A$500,$C21,'DADOS BRUTOS'!GR$3:GR$500)))</f>
        <v/>
      </c>
      <c r="JS21" s="132">
        <f>IF(OR(JS$4="",$B21=""),0,SUMIF('DADOS BRUTOS'!$A$3:$A$500,$B21,'DADOS BRUTOS'!GS$3:GS$500)+IF($C21="",0,SUMIF('DADOS BRUTOS'!$A$3:$A$500,$C21,'DADOS BRUTOS'!GS$3:GS$500)))</f>
        <v/>
      </c>
    </row>
    <row r="22">
      <c r="A22" s="61">
        <f>'VALOR POR PL'!D28</f>
        <v/>
      </c>
      <c r="B22" s="59" t="inlineStr">
        <is>
          <t>ALVENARIA</t>
        </is>
      </c>
      <c r="C22" s="59" t="n"/>
      <c r="D22" s="54">
        <f>SUMIF($CB$4:$JS$4,"&lt;="&amp;D$4,$CB22:$JS22)</f>
        <v/>
      </c>
      <c r="E22" s="54">
        <f>SUMIF($CB$4:$JS$4,E$4,$CB22:$JS22)</f>
        <v/>
      </c>
      <c r="F22" s="54">
        <f>SUMIF($CB$4:$JS$4,F$4,$CB22:$JS22)</f>
        <v/>
      </c>
      <c r="G22" s="54">
        <f>SUMIF($CB$4:$JS$4,G$4,$CB22:$JS22)</f>
        <v/>
      </c>
      <c r="H22" s="54">
        <f>SUMIF($CB$4:$JS$4,H$4,$CB22:$JS22)</f>
        <v/>
      </c>
      <c r="I22" s="54">
        <f>SUMIF($CB$4:$JS$4,I$4,$CB22:$JS22)</f>
        <v/>
      </c>
      <c r="J22" s="54">
        <f>SUMIF($CB$4:$JS$4,J$4,$CB22:$JS22)</f>
        <v/>
      </c>
      <c r="K22" s="54">
        <f>SUMIF($CB$4:$JS$4,K$4,$CB22:$JS22)</f>
        <v/>
      </c>
      <c r="L22" s="54">
        <f>SUMIF($CB$4:$JS$4,L$4,$CB22:$JS22)</f>
        <v/>
      </c>
      <c r="M22" s="54">
        <f>SUMIF($CB$4:$JS$4,M$4,$CB22:$JS22)</f>
        <v/>
      </c>
      <c r="N22" s="54">
        <f>SUMIF($CB$4:$JS$4,N$4,$CB22:$JS22)</f>
        <v/>
      </c>
      <c r="O22" s="54">
        <f>SUMIF($CB$4:$JS$4,O$4,$CB22:$JS22)</f>
        <v/>
      </c>
      <c r="P22" s="54">
        <f>SUMIF($CB$4:$JS$4,P$4,$CB22:$JS22)</f>
        <v/>
      </c>
      <c r="Q22" s="54">
        <f>SUMIF($CB$4:$JS$4,Q$4,$CB22:$JS22)</f>
        <v/>
      </c>
      <c r="R22" s="54">
        <f>SUMIF($CB$4:$JS$4,R$4,$CB22:$JS22)</f>
        <v/>
      </c>
      <c r="S22" s="54">
        <f>SUMIF($CB$4:$JS$4,S$4,$CB22:$JS22)</f>
        <v/>
      </c>
      <c r="T22" s="54">
        <f>SUMIF($CB$4:$JS$4,T$4,$CB22:$JS22)</f>
        <v/>
      </c>
      <c r="U22" s="54">
        <f>SUMIF($CB$4:$JS$4,U$4,$CB22:$JS22)</f>
        <v/>
      </c>
      <c r="V22" s="54">
        <f>SUMIF($CB$4:$JS$4,V$4,$CB22:$JS22)</f>
        <v/>
      </c>
      <c r="W22" s="54">
        <f>SUMIF($CB$4:$JS$4,W$4,$CB22:$JS22)</f>
        <v/>
      </c>
      <c r="X22" s="54">
        <f>SUMIF($CB$4:$JS$4,X$4,$CB22:$JS22)</f>
        <v/>
      </c>
      <c r="Y22" s="54">
        <f>SUMIF($CB$4:$JS$4,Y$4,$CB22:$JS22)</f>
        <v/>
      </c>
      <c r="Z22" s="54">
        <f>SUMIF($CB$4:$JS$4,Z$4,$CB22:$JS22)</f>
        <v/>
      </c>
      <c r="AA22" s="54">
        <f>SUMIF($CB$4:$JS$4,AA$4,$CB22:$JS22)</f>
        <v/>
      </c>
      <c r="AB22" s="54">
        <f>SUMIF($CB$4:$JS$4,AB$4,$CB22:$JS22)</f>
        <v/>
      </c>
      <c r="AC22" s="54">
        <f>SUMIF($CB$4:$JS$4,AC$4,$CB22:$JS22)</f>
        <v/>
      </c>
      <c r="AD22" s="54">
        <f>SUMIF($CB$4:$JS$4,AD$4,$CB22:$JS22)</f>
        <v/>
      </c>
      <c r="AE22" s="54">
        <f>SUMIF($CB$4:$JS$4,AE$4,$CB22:$JS22)</f>
        <v/>
      </c>
      <c r="AF22" s="54">
        <f>SUMIF($CB$4:$JS$4,AF$4,$CB22:$JS22)</f>
        <v/>
      </c>
      <c r="AG22" s="54">
        <f>SUMIF($CB$4:$JS$4,AG$4,$CB22:$JS22)</f>
        <v/>
      </c>
      <c r="AH22" s="54">
        <f>SUMIF($CB$4:$JS$4,AH$4,$CB22:$JS22)</f>
        <v/>
      </c>
      <c r="AI22" s="54">
        <f>SUMIF($CB$4:$JS$4,AI$4,$CB22:$JS22)</f>
        <v/>
      </c>
      <c r="AJ22" s="54">
        <f>SUMIF($CB$4:$JS$4,AJ$4,$CB22:$JS22)</f>
        <v/>
      </c>
      <c r="AK22" s="54">
        <f>SUMIF($CB$4:$JS$4,AK$4,$CB22:$JS22)</f>
        <v/>
      </c>
      <c r="AL22" s="54">
        <f>SUMIF($CB$4:$JS$4,AL$4,$CB22:$JS22)</f>
        <v/>
      </c>
      <c r="AM22" s="54">
        <f>SUMIF($CB$4:$JS$4,AM$4,$CB22:$JS22)</f>
        <v/>
      </c>
      <c r="AN22" s="54">
        <f>SUMIF($CB$4:$JS$4,AN$4,$CB22:$JS22)</f>
        <v/>
      </c>
      <c r="AO22" s="54">
        <f>SUMIF($CB$4:$JS$4,AO$4,$CB22:$JS22)</f>
        <v/>
      </c>
      <c r="AP22" s="54">
        <f>SUMIF($CB$4:$JS$4,AP$4,$CB22:$JS22)</f>
        <v/>
      </c>
      <c r="AQ22" s="54">
        <f>SUMIF($CB$4:$JS$4,AQ$4,$CB22:$JS22)</f>
        <v/>
      </c>
      <c r="AR22" s="54">
        <f>SUMIF($CB$4:$JS$4,AR$4,$CB22:$JS22)</f>
        <v/>
      </c>
      <c r="AS22" s="54">
        <f>SUMIF($CB$4:$JS$4,AS$4,$CB22:$JS22)</f>
        <v/>
      </c>
      <c r="AT22" s="54">
        <f>SUMIF($CB$4:$JS$4,AT$4,$CB22:$JS22)</f>
        <v/>
      </c>
      <c r="AU22" s="54">
        <f>SUMIF($CB$4:$JS$4,AU$4,$CB22:$JS22)</f>
        <v/>
      </c>
      <c r="AV22" s="54">
        <f>SUMIF($CB$4:$JS$4,AV$4,$CB22:$JS22)</f>
        <v/>
      </c>
      <c r="AW22" s="54">
        <f>SUMIF($CB$4:$JS$4,AW$4,$CB22:$JS22)</f>
        <v/>
      </c>
      <c r="AX22" s="54">
        <f>SUMIF($CB$4:$JS$4,AX$4,$CB22:$JS22)</f>
        <v/>
      </c>
      <c r="AY22" s="54">
        <f>SUMIF($CB$4:$JS$4,AY$4,$CB22:$JS22)</f>
        <v/>
      </c>
      <c r="AZ22" s="54">
        <f>SUMIF($CB$4:$JS$4,AZ$4,$CB22:$JS22)</f>
        <v/>
      </c>
      <c r="BA22" s="54">
        <f>SUMIF($CB$4:$JS$4,BA$4,$CB22:$JS22)</f>
        <v/>
      </c>
      <c r="BB22" s="54">
        <f>SUMIF($CB$4:$JS$4,BB$4,$CB22:$JS22)</f>
        <v/>
      </c>
      <c r="BC22" s="54">
        <f>SUMIF($CB$4:$JS$4,BC$4,$CB22:$JS22)</f>
        <v/>
      </c>
      <c r="BD22" s="54">
        <f>SUMIF($CB$4:$JS$4,BD$4,$CB22:$JS22)</f>
        <v/>
      </c>
      <c r="BE22" s="54">
        <f>SUMIF($CB$4:$JS$4,BE$4,$CB22:$JS22)</f>
        <v/>
      </c>
      <c r="BF22" s="54">
        <f>SUMIF($CB$4:$JS$4,BF$4,$CB22:$JS22)</f>
        <v/>
      </c>
      <c r="BG22" s="54">
        <f>SUMIF($CB$4:$JS$4,BG$4,$CB22:$JS22)</f>
        <v/>
      </c>
      <c r="BH22" s="54">
        <f>SUMIF($CB$4:$JS$4,BH$4,$CB22:$JS22)</f>
        <v/>
      </c>
      <c r="BI22" s="54">
        <f>SUMIF($CB$4:$JS$4,BI$4,$CB22:$JS22)</f>
        <v/>
      </c>
      <c r="BJ22" s="54">
        <f>SUMIF($CB$4:$JS$4,BJ$4,$CB22:$JS22)</f>
        <v/>
      </c>
      <c r="BK22" s="54">
        <f>SUMIF($CB$4:$JS$4,BK$4,$CB22:$JS22)</f>
        <v/>
      </c>
      <c r="BL22" s="54">
        <f>SUMIF($CB$4:$JS$4,BL$4,$CB22:$JS22)</f>
        <v/>
      </c>
      <c r="BM22" s="54">
        <f>SUMIF($CB$4:$JS$4,BM$4,$CB22:$JS22)</f>
        <v/>
      </c>
      <c r="BN22" s="54">
        <f>SUMIF($CB$4:$JS$4,BN$4,$CB22:$JS22)</f>
        <v/>
      </c>
      <c r="BO22" s="54">
        <f>SUMIF($CB$4:$JS$4,BO$4,$CB22:$JS22)</f>
        <v/>
      </c>
      <c r="BP22" s="54">
        <f>SUMIF($CB$4:$JS$4,BP$4,$CB22:$JS22)</f>
        <v/>
      </c>
      <c r="BQ22" s="54">
        <f>SUMIF($CB$4:$JS$4,BQ$4,$CB22:$JS22)</f>
        <v/>
      </c>
      <c r="BR22" s="54">
        <f>SUMIF($CB$4:$JS$4,BR$4,$CB22:$JS22)</f>
        <v/>
      </c>
      <c r="BS22" s="54">
        <f>SUMIF($CB$4:$JS$4,BS$4,$CB22:$JS22)</f>
        <v/>
      </c>
      <c r="BT22" s="54">
        <f>SUMIF($CB$4:$JS$4,BT$4,$CB22:$JS22)</f>
        <v/>
      </c>
      <c r="BU22" s="54">
        <f>SUMIF($CB$4:$JS$4,BU$4,$CB22:$JS22)</f>
        <v/>
      </c>
      <c r="BV22" s="54">
        <f>SUMIF($CB$4:$JS$4,BV$4,$CB22:$JS22)</f>
        <v/>
      </c>
      <c r="BW22" s="54">
        <f>SUMIF($CB$4:$JS$4,BW$4,$CB22:$JS22)</f>
        <v/>
      </c>
      <c r="BX22" s="54">
        <f>SUMIF($CB$4:$JS$4,"&gt;"&amp;'VALOR POR PL'!$P$8,$CB22:$JS22)</f>
        <v/>
      </c>
      <c r="BY22" s="54">
        <f>SUM($CB22:$JS22)</f>
        <v/>
      </c>
      <c r="BZ22" s="49">
        <f>SUMPRODUCT(($CB$4:$JS$4&lt;&gt;"")*($CB$4:$JS$4&lt;=$D$4),$CB22:$JS22,$CB$1:$JS$1)</f>
        <v/>
      </c>
      <c r="CB22" s="132">
        <f>IF(OR(CB$4="",$B22=""),0,SUMIF('DADOS BRUTOS'!$A$3:$A$500,$B22,'DADOS BRUTOS'!B$3:B$500)+IF($C22="",0,SUMIF('DADOS BRUTOS'!$A$3:$A$500,$C22,'DADOS BRUTOS'!B$3:B$500)))</f>
        <v/>
      </c>
      <c r="CC22" s="132">
        <f>IF(OR(CC$4="",$B22=""),0,SUMIF('DADOS BRUTOS'!$A$3:$A$500,$B22,'DADOS BRUTOS'!C$3:C$500)+IF($C22="",0,SUMIF('DADOS BRUTOS'!$A$3:$A$500,$C22,'DADOS BRUTOS'!C$3:C$500)))</f>
        <v/>
      </c>
      <c r="CD22" s="132">
        <f>IF(OR(CD$4="",$B22=""),0,SUMIF('DADOS BRUTOS'!$A$3:$A$500,$B22,'DADOS BRUTOS'!D$3:D$500)+IF($C22="",0,SUMIF('DADOS BRUTOS'!$A$3:$A$500,$C22,'DADOS BRUTOS'!D$3:D$500)))</f>
        <v/>
      </c>
      <c r="CE22" s="132">
        <f>IF(OR(CE$4="",$B22=""),0,SUMIF('DADOS BRUTOS'!$A$3:$A$500,$B22,'DADOS BRUTOS'!E$3:E$500)+IF($C22="",0,SUMIF('DADOS BRUTOS'!$A$3:$A$500,$C22,'DADOS BRUTOS'!E$3:E$500)))</f>
        <v/>
      </c>
      <c r="CF22" s="132">
        <f>IF(OR(CF$4="",$B22=""),0,SUMIF('DADOS BRUTOS'!$A$3:$A$500,$B22,'DADOS BRUTOS'!F$3:F$500)+IF($C22="",0,SUMIF('DADOS BRUTOS'!$A$3:$A$500,$C22,'DADOS BRUTOS'!F$3:F$500)))</f>
        <v/>
      </c>
      <c r="CG22" s="132">
        <f>IF(OR(CG$4="",$B22=""),0,SUMIF('DADOS BRUTOS'!$A$3:$A$500,$B22,'DADOS BRUTOS'!G$3:G$500)+IF($C22="",0,SUMIF('DADOS BRUTOS'!$A$3:$A$500,$C22,'DADOS BRUTOS'!G$3:G$500)))</f>
        <v/>
      </c>
      <c r="CH22" s="132">
        <f>IF(OR(CH$4="",$B22=""),0,SUMIF('DADOS BRUTOS'!$A$3:$A$500,$B22,'DADOS BRUTOS'!H$3:H$500)+IF($C22="",0,SUMIF('DADOS BRUTOS'!$A$3:$A$500,$C22,'DADOS BRUTOS'!H$3:H$500)))</f>
        <v/>
      </c>
      <c r="CI22" s="132">
        <f>IF(OR(CI$4="",$B22=""),0,SUMIF('DADOS BRUTOS'!$A$3:$A$500,$B22,'DADOS BRUTOS'!I$3:I$500)+IF($C22="",0,SUMIF('DADOS BRUTOS'!$A$3:$A$500,$C22,'DADOS BRUTOS'!I$3:I$500)))</f>
        <v/>
      </c>
      <c r="CJ22" s="132">
        <f>IF(OR(CJ$4="",$B22=""),0,SUMIF('DADOS BRUTOS'!$A$3:$A$500,$B22,'DADOS BRUTOS'!J$3:J$500)+IF($C22="",0,SUMIF('DADOS BRUTOS'!$A$3:$A$500,$C22,'DADOS BRUTOS'!J$3:J$500)))</f>
        <v/>
      </c>
      <c r="CK22" s="132">
        <f>IF(OR(CK$4="",$B22=""),0,SUMIF('DADOS BRUTOS'!$A$3:$A$500,$B22,'DADOS BRUTOS'!K$3:K$500)+IF($C22="",0,SUMIF('DADOS BRUTOS'!$A$3:$A$500,$C22,'DADOS BRUTOS'!K$3:K$500)))</f>
        <v/>
      </c>
      <c r="CL22" s="132">
        <f>IF(OR(CL$4="",$B22=""),0,SUMIF('DADOS BRUTOS'!$A$3:$A$500,$B22,'DADOS BRUTOS'!L$3:L$500)+IF($C22="",0,SUMIF('DADOS BRUTOS'!$A$3:$A$500,$C22,'DADOS BRUTOS'!L$3:L$500)))</f>
        <v/>
      </c>
      <c r="CM22" s="132">
        <f>IF(OR(CM$4="",$B22=""),0,SUMIF('DADOS BRUTOS'!$A$3:$A$500,$B22,'DADOS BRUTOS'!M$3:M$500)+IF($C22="",0,SUMIF('DADOS BRUTOS'!$A$3:$A$500,$C22,'DADOS BRUTOS'!M$3:M$500)))</f>
        <v/>
      </c>
      <c r="CN22" s="132">
        <f>IF(OR(CN$4="",$B22=""),0,SUMIF('DADOS BRUTOS'!$A$3:$A$500,$B22,'DADOS BRUTOS'!N$3:N$500)+IF($C22="",0,SUMIF('DADOS BRUTOS'!$A$3:$A$500,$C22,'DADOS BRUTOS'!N$3:N$500)))</f>
        <v/>
      </c>
      <c r="CO22" s="132">
        <f>IF(OR(CO$4="",$B22=""),0,SUMIF('DADOS BRUTOS'!$A$3:$A$500,$B22,'DADOS BRUTOS'!O$3:O$500)+IF($C22="",0,SUMIF('DADOS BRUTOS'!$A$3:$A$500,$C22,'DADOS BRUTOS'!O$3:O$500)))</f>
        <v/>
      </c>
      <c r="CP22" s="132">
        <f>IF(OR(CP$4="",$B22=""),0,SUMIF('DADOS BRUTOS'!$A$3:$A$500,$B22,'DADOS BRUTOS'!P$3:P$500)+IF($C22="",0,SUMIF('DADOS BRUTOS'!$A$3:$A$500,$C22,'DADOS BRUTOS'!P$3:P$500)))</f>
        <v/>
      </c>
      <c r="CQ22" s="132">
        <f>IF(OR(CQ$4="",$B22=""),0,SUMIF('DADOS BRUTOS'!$A$3:$A$500,$B22,'DADOS BRUTOS'!Q$3:Q$500)+IF($C22="",0,SUMIF('DADOS BRUTOS'!$A$3:$A$500,$C22,'DADOS BRUTOS'!Q$3:Q$500)))</f>
        <v/>
      </c>
      <c r="CR22" s="132">
        <f>IF(OR(CR$4="",$B22=""),0,SUMIF('DADOS BRUTOS'!$A$3:$A$500,$B22,'DADOS BRUTOS'!R$3:R$500)+IF($C22="",0,SUMIF('DADOS BRUTOS'!$A$3:$A$500,$C22,'DADOS BRUTOS'!R$3:R$500)))</f>
        <v/>
      </c>
      <c r="CS22" s="132">
        <f>IF(OR(CS$4="",$B22=""),0,SUMIF('DADOS BRUTOS'!$A$3:$A$500,$B22,'DADOS BRUTOS'!S$3:S$500)+IF($C22="",0,SUMIF('DADOS BRUTOS'!$A$3:$A$500,$C22,'DADOS BRUTOS'!S$3:S$500)))</f>
        <v/>
      </c>
      <c r="CT22" s="132">
        <f>IF(OR(CT$4="",$B22=""),0,SUMIF('DADOS BRUTOS'!$A$3:$A$500,$B22,'DADOS BRUTOS'!T$3:T$500)+IF($C22="",0,SUMIF('DADOS BRUTOS'!$A$3:$A$500,$C22,'DADOS BRUTOS'!T$3:T$500)))</f>
        <v/>
      </c>
      <c r="CU22" s="132">
        <f>IF(OR(CU$4="",$B22=""),0,SUMIF('DADOS BRUTOS'!$A$3:$A$500,$B22,'DADOS BRUTOS'!U$3:U$500)+IF($C22="",0,SUMIF('DADOS BRUTOS'!$A$3:$A$500,$C22,'DADOS BRUTOS'!U$3:U$500)))</f>
        <v/>
      </c>
      <c r="CV22" s="132">
        <f>IF(OR(CV$4="",$B22=""),0,SUMIF('DADOS BRUTOS'!$A$3:$A$500,$B22,'DADOS BRUTOS'!V$3:V$500)+IF($C22="",0,SUMIF('DADOS BRUTOS'!$A$3:$A$500,$C22,'DADOS BRUTOS'!V$3:V$500)))</f>
        <v/>
      </c>
      <c r="CW22" s="132">
        <f>IF(OR(CW$4="",$B22=""),0,SUMIF('DADOS BRUTOS'!$A$3:$A$500,$B22,'DADOS BRUTOS'!W$3:W$500)+IF($C22="",0,SUMIF('DADOS BRUTOS'!$A$3:$A$500,$C22,'DADOS BRUTOS'!W$3:W$500)))</f>
        <v/>
      </c>
      <c r="CX22" s="132">
        <f>IF(OR(CX$4="",$B22=""),0,SUMIF('DADOS BRUTOS'!$A$3:$A$500,$B22,'DADOS BRUTOS'!X$3:X$500)+IF($C22="",0,SUMIF('DADOS BRUTOS'!$A$3:$A$500,$C22,'DADOS BRUTOS'!X$3:X$500)))</f>
        <v/>
      </c>
      <c r="CY22" s="132">
        <f>IF(OR(CY$4="",$B22=""),0,SUMIF('DADOS BRUTOS'!$A$3:$A$500,$B22,'DADOS BRUTOS'!Y$3:Y$500)+IF($C22="",0,SUMIF('DADOS BRUTOS'!$A$3:$A$500,$C22,'DADOS BRUTOS'!Y$3:Y$500)))</f>
        <v/>
      </c>
      <c r="CZ22" s="132">
        <f>IF(OR(CZ$4="",$B22=""),0,SUMIF('DADOS BRUTOS'!$A$3:$A$500,$B22,'DADOS BRUTOS'!Z$3:Z$500)+IF($C22="",0,SUMIF('DADOS BRUTOS'!$A$3:$A$500,$C22,'DADOS BRUTOS'!Z$3:Z$500)))</f>
        <v/>
      </c>
      <c r="DA22" s="132">
        <f>IF(OR(DA$4="",$B22=""),0,SUMIF('DADOS BRUTOS'!$A$3:$A$500,$B22,'DADOS BRUTOS'!AA$3:AA$500)+IF($C22="",0,SUMIF('DADOS BRUTOS'!$A$3:$A$500,$C22,'DADOS BRUTOS'!AA$3:AA$500)))</f>
        <v/>
      </c>
      <c r="DB22" s="132">
        <f>IF(OR(DB$4="",$B22=""),0,SUMIF('DADOS BRUTOS'!$A$3:$A$500,$B22,'DADOS BRUTOS'!AB$3:AB$500)+IF($C22="",0,SUMIF('DADOS BRUTOS'!$A$3:$A$500,$C22,'DADOS BRUTOS'!AB$3:AB$500)))</f>
        <v/>
      </c>
      <c r="DC22" s="132">
        <f>IF(OR(DC$4="",$B22=""),0,SUMIF('DADOS BRUTOS'!$A$3:$A$500,$B22,'DADOS BRUTOS'!AC$3:AC$500)+IF($C22="",0,SUMIF('DADOS BRUTOS'!$A$3:$A$500,$C22,'DADOS BRUTOS'!AC$3:AC$500)))</f>
        <v/>
      </c>
      <c r="DD22" s="132">
        <f>IF(OR(DD$4="",$B22=""),0,SUMIF('DADOS BRUTOS'!$A$3:$A$500,$B22,'DADOS BRUTOS'!AD$3:AD$500)+IF($C22="",0,SUMIF('DADOS BRUTOS'!$A$3:$A$500,$C22,'DADOS BRUTOS'!AD$3:AD$500)))</f>
        <v/>
      </c>
      <c r="DE22" s="132">
        <f>IF(OR(DE$4="",$B22=""),0,SUMIF('DADOS BRUTOS'!$A$3:$A$500,$B22,'DADOS BRUTOS'!AE$3:AE$500)+IF($C22="",0,SUMIF('DADOS BRUTOS'!$A$3:$A$500,$C22,'DADOS BRUTOS'!AE$3:AE$500)))</f>
        <v/>
      </c>
      <c r="DF22" s="132">
        <f>IF(OR(DF$4="",$B22=""),0,SUMIF('DADOS BRUTOS'!$A$3:$A$500,$B22,'DADOS BRUTOS'!AF$3:AF$500)+IF($C22="",0,SUMIF('DADOS BRUTOS'!$A$3:$A$500,$C22,'DADOS BRUTOS'!AF$3:AF$500)))</f>
        <v/>
      </c>
      <c r="DG22" s="132">
        <f>IF(OR(DG$4="",$B22=""),0,SUMIF('DADOS BRUTOS'!$A$3:$A$500,$B22,'DADOS BRUTOS'!AG$3:AG$500)+IF($C22="",0,SUMIF('DADOS BRUTOS'!$A$3:$A$500,$C22,'DADOS BRUTOS'!AG$3:AG$500)))</f>
        <v/>
      </c>
      <c r="DH22" s="132">
        <f>IF(OR(DH$4="",$B22=""),0,SUMIF('DADOS BRUTOS'!$A$3:$A$500,$B22,'DADOS BRUTOS'!AH$3:AH$500)+IF($C22="",0,SUMIF('DADOS BRUTOS'!$A$3:$A$500,$C22,'DADOS BRUTOS'!AH$3:AH$500)))</f>
        <v/>
      </c>
      <c r="DI22" s="132">
        <f>IF(OR(DI$4="",$B22=""),0,SUMIF('DADOS BRUTOS'!$A$3:$A$500,$B22,'DADOS BRUTOS'!AI$3:AI$500)+IF($C22="",0,SUMIF('DADOS BRUTOS'!$A$3:$A$500,$C22,'DADOS BRUTOS'!AI$3:AI$500)))</f>
        <v/>
      </c>
      <c r="DJ22" s="132">
        <f>IF(OR(DJ$4="",$B22=""),0,SUMIF('DADOS BRUTOS'!$A$3:$A$500,$B22,'DADOS BRUTOS'!AJ$3:AJ$500)+IF($C22="",0,SUMIF('DADOS BRUTOS'!$A$3:$A$500,$C22,'DADOS BRUTOS'!AJ$3:AJ$500)))</f>
        <v/>
      </c>
      <c r="DK22" s="132">
        <f>IF(OR(DK$4="",$B22=""),0,SUMIF('DADOS BRUTOS'!$A$3:$A$500,$B22,'DADOS BRUTOS'!AK$3:AK$500)+IF($C22="",0,SUMIF('DADOS BRUTOS'!$A$3:$A$500,$C22,'DADOS BRUTOS'!AK$3:AK$500)))</f>
        <v/>
      </c>
      <c r="DL22" s="132">
        <f>IF(OR(DL$4="",$B22=""),0,SUMIF('DADOS BRUTOS'!$A$3:$A$500,$B22,'DADOS BRUTOS'!AL$3:AL$500)+IF($C22="",0,SUMIF('DADOS BRUTOS'!$A$3:$A$500,$C22,'DADOS BRUTOS'!AL$3:AL$500)))</f>
        <v/>
      </c>
      <c r="DM22" s="132">
        <f>IF(OR(DM$4="",$B22=""),0,SUMIF('DADOS BRUTOS'!$A$3:$A$500,$B22,'DADOS BRUTOS'!AM$3:AM$500)+IF($C22="",0,SUMIF('DADOS BRUTOS'!$A$3:$A$500,$C22,'DADOS BRUTOS'!AM$3:AM$500)))</f>
        <v/>
      </c>
      <c r="DN22" s="132">
        <f>IF(OR(DN$4="",$B22=""),0,SUMIF('DADOS BRUTOS'!$A$3:$A$500,$B22,'DADOS BRUTOS'!AN$3:AN$500)+IF($C22="",0,SUMIF('DADOS BRUTOS'!$A$3:$A$500,$C22,'DADOS BRUTOS'!AN$3:AN$500)))</f>
        <v/>
      </c>
      <c r="DO22" s="132">
        <f>IF(OR(DO$4="",$B22=""),0,SUMIF('DADOS BRUTOS'!$A$3:$A$500,$B22,'DADOS BRUTOS'!AO$3:AO$500)+IF($C22="",0,SUMIF('DADOS BRUTOS'!$A$3:$A$500,$C22,'DADOS BRUTOS'!AO$3:AO$500)))</f>
        <v/>
      </c>
      <c r="DP22" s="132">
        <f>IF(OR(DP$4="",$B22=""),0,SUMIF('DADOS BRUTOS'!$A$3:$A$500,$B22,'DADOS BRUTOS'!AP$3:AP$500)+IF($C22="",0,SUMIF('DADOS BRUTOS'!$A$3:$A$500,$C22,'DADOS BRUTOS'!AP$3:AP$500)))</f>
        <v/>
      </c>
      <c r="DQ22" s="132">
        <f>IF(OR(DQ$4="",$B22=""),0,SUMIF('DADOS BRUTOS'!$A$3:$A$500,$B22,'DADOS BRUTOS'!AQ$3:AQ$500)+IF($C22="",0,SUMIF('DADOS BRUTOS'!$A$3:$A$500,$C22,'DADOS BRUTOS'!AQ$3:AQ$500)))</f>
        <v/>
      </c>
      <c r="DR22" s="132">
        <f>IF(OR(DR$4="",$B22=""),0,SUMIF('DADOS BRUTOS'!$A$3:$A$500,$B22,'DADOS BRUTOS'!AR$3:AR$500)+IF($C22="",0,SUMIF('DADOS BRUTOS'!$A$3:$A$500,$C22,'DADOS BRUTOS'!AR$3:AR$500)))</f>
        <v/>
      </c>
      <c r="DS22" s="132">
        <f>IF(OR(DS$4="",$B22=""),0,SUMIF('DADOS BRUTOS'!$A$3:$A$500,$B22,'DADOS BRUTOS'!AS$3:AS$500)+IF($C22="",0,SUMIF('DADOS BRUTOS'!$A$3:$A$500,$C22,'DADOS BRUTOS'!AS$3:AS$500)))</f>
        <v/>
      </c>
      <c r="DT22" s="132">
        <f>IF(OR(DT$4="",$B22=""),0,SUMIF('DADOS BRUTOS'!$A$3:$A$500,$B22,'DADOS BRUTOS'!AT$3:AT$500)+IF($C22="",0,SUMIF('DADOS BRUTOS'!$A$3:$A$500,$C22,'DADOS BRUTOS'!AT$3:AT$500)))</f>
        <v/>
      </c>
      <c r="DU22" s="132">
        <f>IF(OR(DU$4="",$B22=""),0,SUMIF('DADOS BRUTOS'!$A$3:$A$500,$B22,'DADOS BRUTOS'!AU$3:AU$500)+IF($C22="",0,SUMIF('DADOS BRUTOS'!$A$3:$A$500,$C22,'DADOS BRUTOS'!AU$3:AU$500)))</f>
        <v/>
      </c>
      <c r="DV22" s="132">
        <f>IF(OR(DV$4="",$B22=""),0,SUMIF('DADOS BRUTOS'!$A$3:$A$500,$B22,'DADOS BRUTOS'!AV$3:AV$500)+IF($C22="",0,SUMIF('DADOS BRUTOS'!$A$3:$A$500,$C22,'DADOS BRUTOS'!AV$3:AV$500)))</f>
        <v/>
      </c>
      <c r="DW22" s="132">
        <f>IF(OR(DW$4="",$B22=""),0,SUMIF('DADOS BRUTOS'!$A$3:$A$500,$B22,'DADOS BRUTOS'!AW$3:AW$500)+IF($C22="",0,SUMIF('DADOS BRUTOS'!$A$3:$A$500,$C22,'DADOS BRUTOS'!AW$3:AW$500)))</f>
        <v/>
      </c>
      <c r="DX22" s="132">
        <f>IF(OR(DX$4="",$B22=""),0,SUMIF('DADOS BRUTOS'!$A$3:$A$500,$B22,'DADOS BRUTOS'!AX$3:AX$500)+IF($C22="",0,SUMIF('DADOS BRUTOS'!$A$3:$A$500,$C22,'DADOS BRUTOS'!AX$3:AX$500)))</f>
        <v/>
      </c>
      <c r="DY22" s="132">
        <f>IF(OR(DY$4="",$B22=""),0,SUMIF('DADOS BRUTOS'!$A$3:$A$500,$B22,'DADOS BRUTOS'!AY$3:AY$500)+IF($C22="",0,SUMIF('DADOS BRUTOS'!$A$3:$A$500,$C22,'DADOS BRUTOS'!AY$3:AY$500)))</f>
        <v/>
      </c>
      <c r="DZ22" s="132">
        <f>IF(OR(DZ$4="",$B22=""),0,SUMIF('DADOS BRUTOS'!$A$3:$A$500,$B22,'DADOS BRUTOS'!AZ$3:AZ$500)+IF($C22="",0,SUMIF('DADOS BRUTOS'!$A$3:$A$500,$C22,'DADOS BRUTOS'!AZ$3:AZ$500)))</f>
        <v/>
      </c>
      <c r="EA22" s="132">
        <f>IF(OR(EA$4="",$B22=""),0,SUMIF('DADOS BRUTOS'!$A$3:$A$500,$B22,'DADOS BRUTOS'!BA$3:BA$500)+IF($C22="",0,SUMIF('DADOS BRUTOS'!$A$3:$A$500,$C22,'DADOS BRUTOS'!BA$3:BA$500)))</f>
        <v/>
      </c>
      <c r="EB22" s="132">
        <f>IF(OR(EB$4="",$B22=""),0,SUMIF('DADOS BRUTOS'!$A$3:$A$500,$B22,'DADOS BRUTOS'!BB$3:BB$500)+IF($C22="",0,SUMIF('DADOS BRUTOS'!$A$3:$A$500,$C22,'DADOS BRUTOS'!BB$3:BB$500)))</f>
        <v/>
      </c>
      <c r="EC22" s="132">
        <f>IF(OR(EC$4="",$B22=""),0,SUMIF('DADOS BRUTOS'!$A$3:$A$500,$B22,'DADOS BRUTOS'!BC$3:BC$500)+IF($C22="",0,SUMIF('DADOS BRUTOS'!$A$3:$A$500,$C22,'DADOS BRUTOS'!BC$3:BC$500)))</f>
        <v/>
      </c>
      <c r="ED22" s="132">
        <f>IF(OR(ED$4="",$B22=""),0,SUMIF('DADOS BRUTOS'!$A$3:$A$500,$B22,'DADOS BRUTOS'!BD$3:BD$500)+IF($C22="",0,SUMIF('DADOS BRUTOS'!$A$3:$A$500,$C22,'DADOS BRUTOS'!BD$3:BD$500)))</f>
        <v/>
      </c>
      <c r="EE22" s="132">
        <f>IF(OR(EE$4="",$B22=""),0,SUMIF('DADOS BRUTOS'!$A$3:$A$500,$B22,'DADOS BRUTOS'!BE$3:BE$500)+IF($C22="",0,SUMIF('DADOS BRUTOS'!$A$3:$A$500,$C22,'DADOS BRUTOS'!BE$3:BE$500)))</f>
        <v/>
      </c>
      <c r="EF22" s="132">
        <f>IF(OR(EF$4="",$B22=""),0,SUMIF('DADOS BRUTOS'!$A$3:$A$500,$B22,'DADOS BRUTOS'!BF$3:BF$500)+IF($C22="",0,SUMIF('DADOS BRUTOS'!$A$3:$A$500,$C22,'DADOS BRUTOS'!BF$3:BF$500)))</f>
        <v/>
      </c>
      <c r="EG22" s="132">
        <f>IF(OR(EG$4="",$B22=""),0,SUMIF('DADOS BRUTOS'!$A$3:$A$500,$B22,'DADOS BRUTOS'!BG$3:BG$500)+IF($C22="",0,SUMIF('DADOS BRUTOS'!$A$3:$A$500,$C22,'DADOS BRUTOS'!BG$3:BG$500)))</f>
        <v/>
      </c>
      <c r="EH22" s="132">
        <f>IF(OR(EH$4="",$B22=""),0,SUMIF('DADOS BRUTOS'!$A$3:$A$500,$B22,'DADOS BRUTOS'!BH$3:BH$500)+IF($C22="",0,SUMIF('DADOS BRUTOS'!$A$3:$A$500,$C22,'DADOS BRUTOS'!BH$3:BH$500)))</f>
        <v/>
      </c>
      <c r="EI22" s="132">
        <f>IF(OR(EI$4="",$B22=""),0,SUMIF('DADOS BRUTOS'!$A$3:$A$500,$B22,'DADOS BRUTOS'!BI$3:BI$500)+IF($C22="",0,SUMIF('DADOS BRUTOS'!$A$3:$A$500,$C22,'DADOS BRUTOS'!BI$3:BI$500)))</f>
        <v/>
      </c>
      <c r="EJ22" s="132">
        <f>IF(OR(EJ$4="",$B22=""),0,SUMIF('DADOS BRUTOS'!$A$3:$A$500,$B22,'DADOS BRUTOS'!BJ$3:BJ$500)+IF($C22="",0,SUMIF('DADOS BRUTOS'!$A$3:$A$500,$C22,'DADOS BRUTOS'!BJ$3:BJ$500)))</f>
        <v/>
      </c>
      <c r="EK22" s="132">
        <f>IF(OR(EK$4="",$B22=""),0,SUMIF('DADOS BRUTOS'!$A$3:$A$500,$B22,'DADOS BRUTOS'!BK$3:BK$500)+IF($C22="",0,SUMIF('DADOS BRUTOS'!$A$3:$A$500,$C22,'DADOS BRUTOS'!BK$3:BK$500)))</f>
        <v/>
      </c>
      <c r="EL22" s="132">
        <f>IF(OR(EL$4="",$B22=""),0,SUMIF('DADOS BRUTOS'!$A$3:$A$500,$B22,'DADOS BRUTOS'!BL$3:BL$500)+IF($C22="",0,SUMIF('DADOS BRUTOS'!$A$3:$A$500,$C22,'DADOS BRUTOS'!BL$3:BL$500)))</f>
        <v/>
      </c>
      <c r="EM22" s="132">
        <f>IF(OR(EM$4="",$B22=""),0,SUMIF('DADOS BRUTOS'!$A$3:$A$500,$B22,'DADOS BRUTOS'!BM$3:BM$500)+IF($C22="",0,SUMIF('DADOS BRUTOS'!$A$3:$A$500,$C22,'DADOS BRUTOS'!BM$3:BM$500)))</f>
        <v/>
      </c>
      <c r="EN22" s="132">
        <f>IF(OR(EN$4="",$B22=""),0,SUMIF('DADOS BRUTOS'!$A$3:$A$500,$B22,'DADOS BRUTOS'!BN$3:BN$500)+IF($C22="",0,SUMIF('DADOS BRUTOS'!$A$3:$A$500,$C22,'DADOS BRUTOS'!BN$3:BN$500)))</f>
        <v/>
      </c>
      <c r="EO22" s="132">
        <f>IF(OR(EO$4="",$B22=""),0,SUMIF('DADOS BRUTOS'!$A$3:$A$500,$B22,'DADOS BRUTOS'!BO$3:BO$500)+IF($C22="",0,SUMIF('DADOS BRUTOS'!$A$3:$A$500,$C22,'DADOS BRUTOS'!BO$3:BO$500)))</f>
        <v/>
      </c>
      <c r="EP22" s="132">
        <f>IF(OR(EP$4="",$B22=""),0,SUMIF('DADOS BRUTOS'!$A$3:$A$500,$B22,'DADOS BRUTOS'!BP$3:BP$500)+IF($C22="",0,SUMIF('DADOS BRUTOS'!$A$3:$A$500,$C22,'DADOS BRUTOS'!BP$3:BP$500)))</f>
        <v/>
      </c>
      <c r="EQ22" s="132">
        <f>IF(OR(EQ$4="",$B22=""),0,SUMIF('DADOS BRUTOS'!$A$3:$A$500,$B22,'DADOS BRUTOS'!BQ$3:BQ$500)+IF($C22="",0,SUMIF('DADOS BRUTOS'!$A$3:$A$500,$C22,'DADOS BRUTOS'!BQ$3:BQ$500)))</f>
        <v/>
      </c>
      <c r="ER22" s="132">
        <f>IF(OR(ER$4="",$B22=""),0,SUMIF('DADOS BRUTOS'!$A$3:$A$500,$B22,'DADOS BRUTOS'!BR$3:BR$500)+IF($C22="",0,SUMIF('DADOS BRUTOS'!$A$3:$A$500,$C22,'DADOS BRUTOS'!BR$3:BR$500)))</f>
        <v/>
      </c>
      <c r="ES22" s="132">
        <f>IF(OR(ES$4="",$B22=""),0,SUMIF('DADOS BRUTOS'!$A$3:$A$500,$B22,'DADOS BRUTOS'!BS$3:BS$500)+IF($C22="",0,SUMIF('DADOS BRUTOS'!$A$3:$A$500,$C22,'DADOS BRUTOS'!BS$3:BS$500)))</f>
        <v/>
      </c>
      <c r="ET22" s="132">
        <f>IF(OR(ET$4="",$B22=""),0,SUMIF('DADOS BRUTOS'!$A$3:$A$500,$B22,'DADOS BRUTOS'!BT$3:BT$500)+IF($C22="",0,SUMIF('DADOS BRUTOS'!$A$3:$A$500,$C22,'DADOS BRUTOS'!BT$3:BT$500)))</f>
        <v/>
      </c>
      <c r="EU22" s="132">
        <f>IF(OR(EU$4="",$B22=""),0,SUMIF('DADOS BRUTOS'!$A$3:$A$500,$B22,'DADOS BRUTOS'!BU$3:BU$500)+IF($C22="",0,SUMIF('DADOS BRUTOS'!$A$3:$A$500,$C22,'DADOS BRUTOS'!BU$3:BU$500)))</f>
        <v/>
      </c>
      <c r="EV22" s="132">
        <f>IF(OR(EV$4="",$B22=""),0,SUMIF('DADOS BRUTOS'!$A$3:$A$500,$B22,'DADOS BRUTOS'!BV$3:BV$500)+IF($C22="",0,SUMIF('DADOS BRUTOS'!$A$3:$A$500,$C22,'DADOS BRUTOS'!BV$3:BV$500)))</f>
        <v/>
      </c>
      <c r="EW22" s="132">
        <f>IF(OR(EW$4="",$B22=""),0,SUMIF('DADOS BRUTOS'!$A$3:$A$500,$B22,'DADOS BRUTOS'!BW$3:BW$500)+IF($C22="",0,SUMIF('DADOS BRUTOS'!$A$3:$A$500,$C22,'DADOS BRUTOS'!BW$3:BW$500)))</f>
        <v/>
      </c>
      <c r="EX22" s="132">
        <f>IF(OR(EX$4="",$B22=""),0,SUMIF('DADOS BRUTOS'!$A$3:$A$500,$B22,'DADOS BRUTOS'!BX$3:BX$500)+IF($C22="",0,SUMIF('DADOS BRUTOS'!$A$3:$A$500,$C22,'DADOS BRUTOS'!BX$3:BX$500)))</f>
        <v/>
      </c>
      <c r="EY22" s="132">
        <f>IF(OR(EY$4="",$B22=""),0,SUMIF('DADOS BRUTOS'!$A$3:$A$500,$B22,'DADOS BRUTOS'!BY$3:BY$500)+IF($C22="",0,SUMIF('DADOS BRUTOS'!$A$3:$A$500,$C22,'DADOS BRUTOS'!BY$3:BY$500)))</f>
        <v/>
      </c>
      <c r="EZ22" s="132">
        <f>IF(OR(EZ$4="",$B22=""),0,SUMIF('DADOS BRUTOS'!$A$3:$A$500,$B22,'DADOS BRUTOS'!BZ$3:BZ$500)+IF($C22="",0,SUMIF('DADOS BRUTOS'!$A$3:$A$500,$C22,'DADOS BRUTOS'!BZ$3:BZ$500)))</f>
        <v/>
      </c>
      <c r="FA22" s="132">
        <f>IF(OR(FA$4="",$B22=""),0,SUMIF('DADOS BRUTOS'!$A$3:$A$500,$B22,'DADOS BRUTOS'!CA$3:CA$500)+IF($C22="",0,SUMIF('DADOS BRUTOS'!$A$3:$A$500,$C22,'DADOS BRUTOS'!CA$3:CA$500)))</f>
        <v/>
      </c>
      <c r="FB22" s="132">
        <f>IF(OR(FB$4="",$B22=""),0,SUMIF('DADOS BRUTOS'!$A$3:$A$500,$B22,'DADOS BRUTOS'!CB$3:CB$500)+IF($C22="",0,SUMIF('DADOS BRUTOS'!$A$3:$A$500,$C22,'DADOS BRUTOS'!CB$3:CB$500)))</f>
        <v/>
      </c>
      <c r="FC22" s="132">
        <f>IF(OR(FC$4="",$B22=""),0,SUMIF('DADOS BRUTOS'!$A$3:$A$500,$B22,'DADOS BRUTOS'!CC$3:CC$500)+IF($C22="",0,SUMIF('DADOS BRUTOS'!$A$3:$A$500,$C22,'DADOS BRUTOS'!CC$3:CC$500)))</f>
        <v/>
      </c>
      <c r="FD22" s="132">
        <f>IF(OR(FD$4="",$B22=""),0,SUMIF('DADOS BRUTOS'!$A$3:$A$500,$B22,'DADOS BRUTOS'!CD$3:CD$500)+IF($C22="",0,SUMIF('DADOS BRUTOS'!$A$3:$A$500,$C22,'DADOS BRUTOS'!CD$3:CD$500)))</f>
        <v/>
      </c>
      <c r="FE22" s="132">
        <f>IF(OR(FE$4="",$B22=""),0,SUMIF('DADOS BRUTOS'!$A$3:$A$500,$B22,'DADOS BRUTOS'!CE$3:CE$500)+IF($C22="",0,SUMIF('DADOS BRUTOS'!$A$3:$A$500,$C22,'DADOS BRUTOS'!CE$3:CE$500)))</f>
        <v/>
      </c>
      <c r="FF22" s="132">
        <f>IF(OR(FF$4="",$B22=""),0,SUMIF('DADOS BRUTOS'!$A$3:$A$500,$B22,'DADOS BRUTOS'!CF$3:CF$500)+IF($C22="",0,SUMIF('DADOS BRUTOS'!$A$3:$A$500,$C22,'DADOS BRUTOS'!CF$3:CF$500)))</f>
        <v/>
      </c>
      <c r="FG22" s="132">
        <f>IF(OR(FG$4="",$B22=""),0,SUMIF('DADOS BRUTOS'!$A$3:$A$500,$B22,'DADOS BRUTOS'!CG$3:CG$500)+IF($C22="",0,SUMIF('DADOS BRUTOS'!$A$3:$A$500,$C22,'DADOS BRUTOS'!CG$3:CG$500)))</f>
        <v/>
      </c>
      <c r="FH22" s="132">
        <f>IF(OR(FH$4="",$B22=""),0,SUMIF('DADOS BRUTOS'!$A$3:$A$500,$B22,'DADOS BRUTOS'!CH$3:CH$500)+IF($C22="",0,SUMIF('DADOS BRUTOS'!$A$3:$A$500,$C22,'DADOS BRUTOS'!CH$3:CH$500)))</f>
        <v/>
      </c>
      <c r="FI22" s="132">
        <f>IF(OR(FI$4="",$B22=""),0,SUMIF('DADOS BRUTOS'!$A$3:$A$500,$B22,'DADOS BRUTOS'!CI$3:CI$500)+IF($C22="",0,SUMIF('DADOS BRUTOS'!$A$3:$A$500,$C22,'DADOS BRUTOS'!CI$3:CI$500)))</f>
        <v/>
      </c>
      <c r="FJ22" s="132">
        <f>IF(OR(FJ$4="",$B22=""),0,SUMIF('DADOS BRUTOS'!$A$3:$A$500,$B22,'DADOS BRUTOS'!CJ$3:CJ$500)+IF($C22="",0,SUMIF('DADOS BRUTOS'!$A$3:$A$500,$C22,'DADOS BRUTOS'!CJ$3:CJ$500)))</f>
        <v/>
      </c>
      <c r="FK22" s="132">
        <f>IF(OR(FK$4="",$B22=""),0,SUMIF('DADOS BRUTOS'!$A$3:$A$500,$B22,'DADOS BRUTOS'!CK$3:CK$500)+IF($C22="",0,SUMIF('DADOS BRUTOS'!$A$3:$A$500,$C22,'DADOS BRUTOS'!CK$3:CK$500)))</f>
        <v/>
      </c>
      <c r="FL22" s="132">
        <f>IF(OR(FL$4="",$B22=""),0,SUMIF('DADOS BRUTOS'!$A$3:$A$500,$B22,'DADOS BRUTOS'!CL$3:CL$500)+IF($C22="",0,SUMIF('DADOS BRUTOS'!$A$3:$A$500,$C22,'DADOS BRUTOS'!CL$3:CL$500)))</f>
        <v/>
      </c>
      <c r="FM22" s="132">
        <f>IF(OR(FM$4="",$B22=""),0,SUMIF('DADOS BRUTOS'!$A$3:$A$500,$B22,'DADOS BRUTOS'!CM$3:CM$500)+IF($C22="",0,SUMIF('DADOS BRUTOS'!$A$3:$A$500,$C22,'DADOS BRUTOS'!CM$3:CM$500)))</f>
        <v/>
      </c>
      <c r="FN22" s="132">
        <f>IF(OR(FN$4="",$B22=""),0,SUMIF('DADOS BRUTOS'!$A$3:$A$500,$B22,'DADOS BRUTOS'!CN$3:CN$500)+IF($C22="",0,SUMIF('DADOS BRUTOS'!$A$3:$A$500,$C22,'DADOS BRUTOS'!CN$3:CN$500)))</f>
        <v/>
      </c>
      <c r="FO22" s="132">
        <f>IF(OR(FO$4="",$B22=""),0,SUMIF('DADOS BRUTOS'!$A$3:$A$500,$B22,'DADOS BRUTOS'!CO$3:CO$500)+IF($C22="",0,SUMIF('DADOS BRUTOS'!$A$3:$A$500,$C22,'DADOS BRUTOS'!CO$3:CO$500)))</f>
        <v/>
      </c>
      <c r="FP22" s="132">
        <f>IF(OR(FP$4="",$B22=""),0,SUMIF('DADOS BRUTOS'!$A$3:$A$500,$B22,'DADOS BRUTOS'!CP$3:CP$500)+IF($C22="",0,SUMIF('DADOS BRUTOS'!$A$3:$A$500,$C22,'DADOS BRUTOS'!CP$3:CP$500)))</f>
        <v/>
      </c>
      <c r="FQ22" s="132">
        <f>IF(OR(FQ$4="",$B22=""),0,SUMIF('DADOS BRUTOS'!$A$3:$A$500,$B22,'DADOS BRUTOS'!CQ$3:CQ$500)+IF($C22="",0,SUMIF('DADOS BRUTOS'!$A$3:$A$500,$C22,'DADOS BRUTOS'!CQ$3:CQ$500)))</f>
        <v/>
      </c>
      <c r="FR22" s="132">
        <f>IF(OR(FR$4="",$B22=""),0,SUMIF('DADOS BRUTOS'!$A$3:$A$500,$B22,'DADOS BRUTOS'!CR$3:CR$500)+IF($C22="",0,SUMIF('DADOS BRUTOS'!$A$3:$A$500,$C22,'DADOS BRUTOS'!CR$3:CR$500)))</f>
        <v/>
      </c>
      <c r="FS22" s="132">
        <f>IF(OR(FS$4="",$B22=""),0,SUMIF('DADOS BRUTOS'!$A$3:$A$500,$B22,'DADOS BRUTOS'!CS$3:CS$500)+IF($C22="",0,SUMIF('DADOS BRUTOS'!$A$3:$A$500,$C22,'DADOS BRUTOS'!CS$3:CS$500)))</f>
        <v/>
      </c>
      <c r="FT22" s="132">
        <f>IF(OR(FT$4="",$B22=""),0,SUMIF('DADOS BRUTOS'!$A$3:$A$500,$B22,'DADOS BRUTOS'!CT$3:CT$500)+IF($C22="",0,SUMIF('DADOS BRUTOS'!$A$3:$A$500,$C22,'DADOS BRUTOS'!CT$3:CT$500)))</f>
        <v/>
      </c>
      <c r="FU22" s="132">
        <f>IF(OR(FU$4="",$B22=""),0,SUMIF('DADOS BRUTOS'!$A$3:$A$500,$B22,'DADOS BRUTOS'!CU$3:CU$500)+IF($C22="",0,SUMIF('DADOS BRUTOS'!$A$3:$A$500,$C22,'DADOS BRUTOS'!CU$3:CU$500)))</f>
        <v/>
      </c>
      <c r="FV22" s="132">
        <f>IF(OR(FV$4="",$B22=""),0,SUMIF('DADOS BRUTOS'!$A$3:$A$500,$B22,'DADOS BRUTOS'!CV$3:CV$500)+IF($C22="",0,SUMIF('DADOS BRUTOS'!$A$3:$A$500,$C22,'DADOS BRUTOS'!CV$3:CV$500)))</f>
        <v/>
      </c>
      <c r="FW22" s="132">
        <f>IF(OR(FW$4="",$B22=""),0,SUMIF('DADOS BRUTOS'!$A$3:$A$500,$B22,'DADOS BRUTOS'!CW$3:CW$500)+IF($C22="",0,SUMIF('DADOS BRUTOS'!$A$3:$A$500,$C22,'DADOS BRUTOS'!CW$3:CW$500)))</f>
        <v/>
      </c>
      <c r="FX22" s="132">
        <f>IF(OR(FX$4="",$B22=""),0,SUMIF('DADOS BRUTOS'!$A$3:$A$500,$B22,'DADOS BRUTOS'!CX$3:CX$500)+IF($C22="",0,SUMIF('DADOS BRUTOS'!$A$3:$A$500,$C22,'DADOS BRUTOS'!CX$3:CX$500)))</f>
        <v/>
      </c>
      <c r="FY22" s="132">
        <f>IF(OR(FY$4="",$B22=""),0,SUMIF('DADOS BRUTOS'!$A$3:$A$500,$B22,'DADOS BRUTOS'!CY$3:CY$500)+IF($C22="",0,SUMIF('DADOS BRUTOS'!$A$3:$A$500,$C22,'DADOS BRUTOS'!CY$3:CY$500)))</f>
        <v/>
      </c>
      <c r="FZ22" s="132">
        <f>IF(OR(FZ$4="",$B22=""),0,SUMIF('DADOS BRUTOS'!$A$3:$A$500,$B22,'DADOS BRUTOS'!CZ$3:CZ$500)+IF($C22="",0,SUMIF('DADOS BRUTOS'!$A$3:$A$500,$C22,'DADOS BRUTOS'!CZ$3:CZ$500)))</f>
        <v/>
      </c>
      <c r="GA22" s="132">
        <f>IF(OR(GA$4="",$B22=""),0,SUMIF('DADOS BRUTOS'!$A$3:$A$500,$B22,'DADOS BRUTOS'!DA$3:DA$500)+IF($C22="",0,SUMIF('DADOS BRUTOS'!$A$3:$A$500,$C22,'DADOS BRUTOS'!DA$3:DA$500)))</f>
        <v/>
      </c>
      <c r="GB22" s="132">
        <f>IF(OR(GB$4="",$B22=""),0,SUMIF('DADOS BRUTOS'!$A$3:$A$500,$B22,'DADOS BRUTOS'!DB$3:DB$500)+IF($C22="",0,SUMIF('DADOS BRUTOS'!$A$3:$A$500,$C22,'DADOS BRUTOS'!DB$3:DB$500)))</f>
        <v/>
      </c>
      <c r="GC22" s="132">
        <f>IF(OR(GC$4="",$B22=""),0,SUMIF('DADOS BRUTOS'!$A$3:$A$500,$B22,'DADOS BRUTOS'!DC$3:DC$500)+IF($C22="",0,SUMIF('DADOS BRUTOS'!$A$3:$A$500,$C22,'DADOS BRUTOS'!DC$3:DC$500)))</f>
        <v/>
      </c>
      <c r="GD22" s="132">
        <f>IF(OR(GD$4="",$B22=""),0,SUMIF('DADOS BRUTOS'!$A$3:$A$500,$B22,'DADOS BRUTOS'!DD$3:DD$500)+IF($C22="",0,SUMIF('DADOS BRUTOS'!$A$3:$A$500,$C22,'DADOS BRUTOS'!DD$3:DD$500)))</f>
        <v/>
      </c>
      <c r="GE22" s="132">
        <f>IF(OR(GE$4="",$B22=""),0,SUMIF('DADOS BRUTOS'!$A$3:$A$500,$B22,'DADOS BRUTOS'!DE$3:DE$500)+IF($C22="",0,SUMIF('DADOS BRUTOS'!$A$3:$A$500,$C22,'DADOS BRUTOS'!DE$3:DE$500)))</f>
        <v/>
      </c>
      <c r="GF22" s="132">
        <f>IF(OR(GF$4="",$B22=""),0,SUMIF('DADOS BRUTOS'!$A$3:$A$500,$B22,'DADOS BRUTOS'!DF$3:DF$500)+IF($C22="",0,SUMIF('DADOS BRUTOS'!$A$3:$A$500,$C22,'DADOS BRUTOS'!DF$3:DF$500)))</f>
        <v/>
      </c>
      <c r="GG22" s="132">
        <f>IF(OR(GG$4="",$B22=""),0,SUMIF('DADOS BRUTOS'!$A$3:$A$500,$B22,'DADOS BRUTOS'!DG$3:DG$500)+IF($C22="",0,SUMIF('DADOS BRUTOS'!$A$3:$A$500,$C22,'DADOS BRUTOS'!DG$3:DG$500)))</f>
        <v/>
      </c>
      <c r="GH22" s="132">
        <f>IF(OR(GH$4="",$B22=""),0,SUMIF('DADOS BRUTOS'!$A$3:$A$500,$B22,'DADOS BRUTOS'!DH$3:DH$500)+IF($C22="",0,SUMIF('DADOS BRUTOS'!$A$3:$A$500,$C22,'DADOS BRUTOS'!DH$3:DH$500)))</f>
        <v/>
      </c>
      <c r="GI22" s="132">
        <f>IF(OR(GI$4="",$B22=""),0,SUMIF('DADOS BRUTOS'!$A$3:$A$500,$B22,'DADOS BRUTOS'!DI$3:DI$500)+IF($C22="",0,SUMIF('DADOS BRUTOS'!$A$3:$A$500,$C22,'DADOS BRUTOS'!DI$3:DI$500)))</f>
        <v/>
      </c>
      <c r="GJ22" s="132">
        <f>IF(OR(GJ$4="",$B22=""),0,SUMIF('DADOS BRUTOS'!$A$3:$A$500,$B22,'DADOS BRUTOS'!DJ$3:DJ$500)+IF($C22="",0,SUMIF('DADOS BRUTOS'!$A$3:$A$500,$C22,'DADOS BRUTOS'!DJ$3:DJ$500)))</f>
        <v/>
      </c>
      <c r="GK22" s="132">
        <f>IF(OR(GK$4="",$B22=""),0,SUMIF('DADOS BRUTOS'!$A$3:$A$500,$B22,'DADOS BRUTOS'!DK$3:DK$500)+IF($C22="",0,SUMIF('DADOS BRUTOS'!$A$3:$A$500,$C22,'DADOS BRUTOS'!DK$3:DK$500)))</f>
        <v/>
      </c>
      <c r="GL22" s="132">
        <f>IF(OR(GL$4="",$B22=""),0,SUMIF('DADOS BRUTOS'!$A$3:$A$500,$B22,'DADOS BRUTOS'!DL$3:DL$500)+IF($C22="",0,SUMIF('DADOS BRUTOS'!$A$3:$A$500,$C22,'DADOS BRUTOS'!DL$3:DL$500)))</f>
        <v/>
      </c>
      <c r="GM22" s="132">
        <f>IF(OR(GM$4="",$B22=""),0,SUMIF('DADOS BRUTOS'!$A$3:$A$500,$B22,'DADOS BRUTOS'!DM$3:DM$500)+IF($C22="",0,SUMIF('DADOS BRUTOS'!$A$3:$A$500,$C22,'DADOS BRUTOS'!DM$3:DM$500)))</f>
        <v/>
      </c>
      <c r="GN22" s="132">
        <f>IF(OR(GN$4="",$B22=""),0,SUMIF('DADOS BRUTOS'!$A$3:$A$500,$B22,'DADOS BRUTOS'!DN$3:DN$500)+IF($C22="",0,SUMIF('DADOS BRUTOS'!$A$3:$A$500,$C22,'DADOS BRUTOS'!DN$3:DN$500)))</f>
        <v/>
      </c>
      <c r="GO22" s="132">
        <f>IF(OR(GO$4="",$B22=""),0,SUMIF('DADOS BRUTOS'!$A$3:$A$500,$B22,'DADOS BRUTOS'!DO$3:DO$500)+IF($C22="",0,SUMIF('DADOS BRUTOS'!$A$3:$A$500,$C22,'DADOS BRUTOS'!DO$3:DO$500)))</f>
        <v/>
      </c>
      <c r="GP22" s="132">
        <f>IF(OR(GP$4="",$B22=""),0,SUMIF('DADOS BRUTOS'!$A$3:$A$500,$B22,'DADOS BRUTOS'!DP$3:DP$500)+IF($C22="",0,SUMIF('DADOS BRUTOS'!$A$3:$A$500,$C22,'DADOS BRUTOS'!DP$3:DP$500)))</f>
        <v/>
      </c>
      <c r="GQ22" s="132">
        <f>IF(OR(GQ$4="",$B22=""),0,SUMIF('DADOS BRUTOS'!$A$3:$A$500,$B22,'DADOS BRUTOS'!DQ$3:DQ$500)+IF($C22="",0,SUMIF('DADOS BRUTOS'!$A$3:$A$500,$C22,'DADOS BRUTOS'!DQ$3:DQ$500)))</f>
        <v/>
      </c>
      <c r="GR22" s="132">
        <f>IF(OR(GR$4="",$B22=""),0,SUMIF('DADOS BRUTOS'!$A$3:$A$500,$B22,'DADOS BRUTOS'!DR$3:DR$500)+IF($C22="",0,SUMIF('DADOS BRUTOS'!$A$3:$A$500,$C22,'DADOS BRUTOS'!DR$3:DR$500)))</f>
        <v/>
      </c>
      <c r="GS22" s="132">
        <f>IF(OR(GS$4="",$B22=""),0,SUMIF('DADOS BRUTOS'!$A$3:$A$500,$B22,'DADOS BRUTOS'!DS$3:DS$500)+IF($C22="",0,SUMIF('DADOS BRUTOS'!$A$3:$A$500,$C22,'DADOS BRUTOS'!DS$3:DS$500)))</f>
        <v/>
      </c>
      <c r="GT22" s="132">
        <f>IF(OR(GT$4="",$B22=""),0,SUMIF('DADOS BRUTOS'!$A$3:$A$500,$B22,'DADOS BRUTOS'!DT$3:DT$500)+IF($C22="",0,SUMIF('DADOS BRUTOS'!$A$3:$A$500,$C22,'DADOS BRUTOS'!DT$3:DT$500)))</f>
        <v/>
      </c>
      <c r="GU22" s="132">
        <f>IF(OR(GU$4="",$B22=""),0,SUMIF('DADOS BRUTOS'!$A$3:$A$500,$B22,'DADOS BRUTOS'!DU$3:DU$500)+IF($C22="",0,SUMIF('DADOS BRUTOS'!$A$3:$A$500,$C22,'DADOS BRUTOS'!DU$3:DU$500)))</f>
        <v/>
      </c>
      <c r="GV22" s="132">
        <f>IF(OR(GV$4="",$B22=""),0,SUMIF('DADOS BRUTOS'!$A$3:$A$500,$B22,'DADOS BRUTOS'!DV$3:DV$500)+IF($C22="",0,SUMIF('DADOS BRUTOS'!$A$3:$A$500,$C22,'DADOS BRUTOS'!DV$3:DV$500)))</f>
        <v/>
      </c>
      <c r="GW22" s="132">
        <f>IF(OR(GW$4="",$B22=""),0,SUMIF('DADOS BRUTOS'!$A$3:$A$500,$B22,'DADOS BRUTOS'!DW$3:DW$500)+IF($C22="",0,SUMIF('DADOS BRUTOS'!$A$3:$A$500,$C22,'DADOS BRUTOS'!DW$3:DW$500)))</f>
        <v/>
      </c>
      <c r="GX22" s="132">
        <f>IF(OR(GX$4="",$B22=""),0,SUMIF('DADOS BRUTOS'!$A$3:$A$500,$B22,'DADOS BRUTOS'!DX$3:DX$500)+IF($C22="",0,SUMIF('DADOS BRUTOS'!$A$3:$A$500,$C22,'DADOS BRUTOS'!DX$3:DX$500)))</f>
        <v/>
      </c>
      <c r="GY22" s="132">
        <f>IF(OR(GY$4="",$B22=""),0,SUMIF('DADOS BRUTOS'!$A$3:$A$500,$B22,'DADOS BRUTOS'!DY$3:DY$500)+IF($C22="",0,SUMIF('DADOS BRUTOS'!$A$3:$A$500,$C22,'DADOS BRUTOS'!DY$3:DY$500)))</f>
        <v/>
      </c>
      <c r="GZ22" s="132">
        <f>IF(OR(GZ$4="",$B22=""),0,SUMIF('DADOS BRUTOS'!$A$3:$A$500,$B22,'DADOS BRUTOS'!DZ$3:DZ$500)+IF($C22="",0,SUMIF('DADOS BRUTOS'!$A$3:$A$500,$C22,'DADOS BRUTOS'!DZ$3:DZ$500)))</f>
        <v/>
      </c>
      <c r="HA22" s="132">
        <f>IF(OR(HA$4="",$B22=""),0,SUMIF('DADOS BRUTOS'!$A$3:$A$500,$B22,'DADOS BRUTOS'!EA$3:EA$500)+IF($C22="",0,SUMIF('DADOS BRUTOS'!$A$3:$A$500,$C22,'DADOS BRUTOS'!EA$3:EA$500)))</f>
        <v/>
      </c>
      <c r="HB22" s="132">
        <f>IF(OR(HB$4="",$B22=""),0,SUMIF('DADOS BRUTOS'!$A$3:$A$500,$B22,'DADOS BRUTOS'!EB$3:EB$500)+IF($C22="",0,SUMIF('DADOS BRUTOS'!$A$3:$A$500,$C22,'DADOS BRUTOS'!EB$3:EB$500)))</f>
        <v/>
      </c>
      <c r="HC22" s="132">
        <f>IF(OR(HC$4="",$B22=""),0,SUMIF('DADOS BRUTOS'!$A$3:$A$500,$B22,'DADOS BRUTOS'!EC$3:EC$500)+IF($C22="",0,SUMIF('DADOS BRUTOS'!$A$3:$A$500,$C22,'DADOS BRUTOS'!EC$3:EC$500)))</f>
        <v/>
      </c>
      <c r="HD22" s="132">
        <f>IF(OR(HD$4="",$B22=""),0,SUMIF('DADOS BRUTOS'!$A$3:$A$500,$B22,'DADOS BRUTOS'!ED$3:ED$500)+IF($C22="",0,SUMIF('DADOS BRUTOS'!$A$3:$A$500,$C22,'DADOS BRUTOS'!ED$3:ED$500)))</f>
        <v/>
      </c>
      <c r="HE22" s="132">
        <f>IF(OR(HE$4="",$B22=""),0,SUMIF('DADOS BRUTOS'!$A$3:$A$500,$B22,'DADOS BRUTOS'!EE$3:EE$500)+IF($C22="",0,SUMIF('DADOS BRUTOS'!$A$3:$A$500,$C22,'DADOS BRUTOS'!EE$3:EE$500)))</f>
        <v/>
      </c>
      <c r="HF22" s="132">
        <f>IF(OR(HF$4="",$B22=""),0,SUMIF('DADOS BRUTOS'!$A$3:$A$500,$B22,'DADOS BRUTOS'!EF$3:EF$500)+IF($C22="",0,SUMIF('DADOS BRUTOS'!$A$3:$A$500,$C22,'DADOS BRUTOS'!EF$3:EF$500)))</f>
        <v/>
      </c>
      <c r="HG22" s="132">
        <f>IF(OR(HG$4="",$B22=""),0,SUMIF('DADOS BRUTOS'!$A$3:$A$500,$B22,'DADOS BRUTOS'!EG$3:EG$500)+IF($C22="",0,SUMIF('DADOS BRUTOS'!$A$3:$A$500,$C22,'DADOS BRUTOS'!EG$3:EG$500)))</f>
        <v/>
      </c>
      <c r="HH22" s="132">
        <f>IF(OR(HH$4="",$B22=""),0,SUMIF('DADOS BRUTOS'!$A$3:$A$500,$B22,'DADOS BRUTOS'!EH$3:EH$500)+IF($C22="",0,SUMIF('DADOS BRUTOS'!$A$3:$A$500,$C22,'DADOS BRUTOS'!EH$3:EH$500)))</f>
        <v/>
      </c>
      <c r="HI22" s="132">
        <f>IF(OR(HI$4="",$B22=""),0,SUMIF('DADOS BRUTOS'!$A$3:$A$500,$B22,'DADOS BRUTOS'!EI$3:EI$500)+IF($C22="",0,SUMIF('DADOS BRUTOS'!$A$3:$A$500,$C22,'DADOS BRUTOS'!EI$3:EI$500)))</f>
        <v/>
      </c>
      <c r="HJ22" s="132">
        <f>IF(OR(HJ$4="",$B22=""),0,SUMIF('DADOS BRUTOS'!$A$3:$A$500,$B22,'DADOS BRUTOS'!EJ$3:EJ$500)+IF($C22="",0,SUMIF('DADOS BRUTOS'!$A$3:$A$500,$C22,'DADOS BRUTOS'!EJ$3:EJ$500)))</f>
        <v/>
      </c>
      <c r="HK22" s="132">
        <f>IF(OR(HK$4="",$B22=""),0,SUMIF('DADOS BRUTOS'!$A$3:$A$500,$B22,'DADOS BRUTOS'!EK$3:EK$500)+IF($C22="",0,SUMIF('DADOS BRUTOS'!$A$3:$A$500,$C22,'DADOS BRUTOS'!EK$3:EK$500)))</f>
        <v/>
      </c>
      <c r="HL22" s="132">
        <f>IF(OR(HL$4="",$B22=""),0,SUMIF('DADOS BRUTOS'!$A$3:$A$500,$B22,'DADOS BRUTOS'!EL$3:EL$500)+IF($C22="",0,SUMIF('DADOS BRUTOS'!$A$3:$A$500,$C22,'DADOS BRUTOS'!EL$3:EL$500)))</f>
        <v/>
      </c>
      <c r="HM22" s="132">
        <f>IF(OR(HM$4="",$B22=""),0,SUMIF('DADOS BRUTOS'!$A$3:$A$500,$B22,'DADOS BRUTOS'!EM$3:EM$500)+IF($C22="",0,SUMIF('DADOS BRUTOS'!$A$3:$A$500,$C22,'DADOS BRUTOS'!EM$3:EM$500)))</f>
        <v/>
      </c>
      <c r="HN22" s="132">
        <f>IF(OR(HN$4="",$B22=""),0,SUMIF('DADOS BRUTOS'!$A$3:$A$500,$B22,'DADOS BRUTOS'!EN$3:EN$500)+IF($C22="",0,SUMIF('DADOS BRUTOS'!$A$3:$A$500,$C22,'DADOS BRUTOS'!EN$3:EN$500)))</f>
        <v/>
      </c>
      <c r="HO22" s="132">
        <f>IF(OR(HO$4="",$B22=""),0,SUMIF('DADOS BRUTOS'!$A$3:$A$500,$B22,'DADOS BRUTOS'!EO$3:EO$500)+IF($C22="",0,SUMIF('DADOS BRUTOS'!$A$3:$A$500,$C22,'DADOS BRUTOS'!EO$3:EO$500)))</f>
        <v/>
      </c>
      <c r="HP22" s="132">
        <f>IF(OR(HP$4="",$B22=""),0,SUMIF('DADOS BRUTOS'!$A$3:$A$500,$B22,'DADOS BRUTOS'!EP$3:EP$500)+IF($C22="",0,SUMIF('DADOS BRUTOS'!$A$3:$A$500,$C22,'DADOS BRUTOS'!EP$3:EP$500)))</f>
        <v/>
      </c>
      <c r="HQ22" s="132">
        <f>IF(OR(HQ$4="",$B22=""),0,SUMIF('DADOS BRUTOS'!$A$3:$A$500,$B22,'DADOS BRUTOS'!EQ$3:EQ$500)+IF($C22="",0,SUMIF('DADOS BRUTOS'!$A$3:$A$500,$C22,'DADOS BRUTOS'!EQ$3:EQ$500)))</f>
        <v/>
      </c>
      <c r="HR22" s="132">
        <f>IF(OR(HR$4="",$B22=""),0,SUMIF('DADOS BRUTOS'!$A$3:$A$500,$B22,'DADOS BRUTOS'!ER$3:ER$500)+IF($C22="",0,SUMIF('DADOS BRUTOS'!$A$3:$A$500,$C22,'DADOS BRUTOS'!ER$3:ER$500)))</f>
        <v/>
      </c>
      <c r="HS22" s="132">
        <f>IF(OR(HS$4="",$B22=""),0,SUMIF('DADOS BRUTOS'!$A$3:$A$500,$B22,'DADOS BRUTOS'!ES$3:ES$500)+IF($C22="",0,SUMIF('DADOS BRUTOS'!$A$3:$A$500,$C22,'DADOS BRUTOS'!ES$3:ES$500)))</f>
        <v/>
      </c>
      <c r="HT22" s="132">
        <f>IF(OR(HT$4="",$B22=""),0,SUMIF('DADOS BRUTOS'!$A$3:$A$500,$B22,'DADOS BRUTOS'!ET$3:ET$500)+IF($C22="",0,SUMIF('DADOS BRUTOS'!$A$3:$A$500,$C22,'DADOS BRUTOS'!ET$3:ET$500)))</f>
        <v/>
      </c>
      <c r="HU22" s="132">
        <f>IF(OR(HU$4="",$B22=""),0,SUMIF('DADOS BRUTOS'!$A$3:$A$500,$B22,'DADOS BRUTOS'!EU$3:EU$500)+IF($C22="",0,SUMIF('DADOS BRUTOS'!$A$3:$A$500,$C22,'DADOS BRUTOS'!EU$3:EU$500)))</f>
        <v/>
      </c>
      <c r="HV22" s="132">
        <f>IF(OR(HV$4="",$B22=""),0,SUMIF('DADOS BRUTOS'!$A$3:$A$500,$B22,'DADOS BRUTOS'!EV$3:EV$500)+IF($C22="",0,SUMIF('DADOS BRUTOS'!$A$3:$A$500,$C22,'DADOS BRUTOS'!EV$3:EV$500)))</f>
        <v/>
      </c>
      <c r="HW22" s="132">
        <f>IF(OR(HW$4="",$B22=""),0,SUMIF('DADOS BRUTOS'!$A$3:$A$500,$B22,'DADOS BRUTOS'!EW$3:EW$500)+IF($C22="",0,SUMIF('DADOS BRUTOS'!$A$3:$A$500,$C22,'DADOS BRUTOS'!EW$3:EW$500)))</f>
        <v/>
      </c>
      <c r="HX22" s="132">
        <f>IF(OR(HX$4="",$B22=""),0,SUMIF('DADOS BRUTOS'!$A$3:$A$500,$B22,'DADOS BRUTOS'!EX$3:EX$500)+IF($C22="",0,SUMIF('DADOS BRUTOS'!$A$3:$A$500,$C22,'DADOS BRUTOS'!EX$3:EX$500)))</f>
        <v/>
      </c>
      <c r="HY22" s="132">
        <f>IF(OR(HY$4="",$B22=""),0,SUMIF('DADOS BRUTOS'!$A$3:$A$500,$B22,'DADOS BRUTOS'!EY$3:EY$500)+IF($C22="",0,SUMIF('DADOS BRUTOS'!$A$3:$A$500,$C22,'DADOS BRUTOS'!EY$3:EY$500)))</f>
        <v/>
      </c>
      <c r="HZ22" s="132">
        <f>IF(OR(HZ$4="",$B22=""),0,SUMIF('DADOS BRUTOS'!$A$3:$A$500,$B22,'DADOS BRUTOS'!EZ$3:EZ$500)+IF($C22="",0,SUMIF('DADOS BRUTOS'!$A$3:$A$500,$C22,'DADOS BRUTOS'!EZ$3:EZ$500)))</f>
        <v/>
      </c>
      <c r="IA22" s="132">
        <f>IF(OR(IA$4="",$B22=""),0,SUMIF('DADOS BRUTOS'!$A$3:$A$500,$B22,'DADOS BRUTOS'!FA$3:FA$500)+IF($C22="",0,SUMIF('DADOS BRUTOS'!$A$3:$A$500,$C22,'DADOS BRUTOS'!FA$3:FA$500)))</f>
        <v/>
      </c>
      <c r="IB22" s="132">
        <f>IF(OR(IB$4="",$B22=""),0,SUMIF('DADOS BRUTOS'!$A$3:$A$500,$B22,'DADOS BRUTOS'!FB$3:FB$500)+IF($C22="",0,SUMIF('DADOS BRUTOS'!$A$3:$A$500,$C22,'DADOS BRUTOS'!FB$3:FB$500)))</f>
        <v/>
      </c>
      <c r="IC22" s="132">
        <f>IF(OR(IC$4="",$B22=""),0,SUMIF('DADOS BRUTOS'!$A$3:$A$500,$B22,'DADOS BRUTOS'!FC$3:FC$500)+IF($C22="",0,SUMIF('DADOS BRUTOS'!$A$3:$A$500,$C22,'DADOS BRUTOS'!FC$3:FC$500)))</f>
        <v/>
      </c>
      <c r="ID22" s="132">
        <f>IF(OR(ID$4="",$B22=""),0,SUMIF('DADOS BRUTOS'!$A$3:$A$500,$B22,'DADOS BRUTOS'!FD$3:FD$500)+IF($C22="",0,SUMIF('DADOS BRUTOS'!$A$3:$A$500,$C22,'DADOS BRUTOS'!FD$3:FD$500)))</f>
        <v/>
      </c>
      <c r="IE22" s="132">
        <f>IF(OR(IE$4="",$B22=""),0,SUMIF('DADOS BRUTOS'!$A$3:$A$500,$B22,'DADOS BRUTOS'!FE$3:FE$500)+IF($C22="",0,SUMIF('DADOS BRUTOS'!$A$3:$A$500,$C22,'DADOS BRUTOS'!FE$3:FE$500)))</f>
        <v/>
      </c>
      <c r="IF22" s="132">
        <f>IF(OR(IF$4="",$B22=""),0,SUMIF('DADOS BRUTOS'!$A$3:$A$500,$B22,'DADOS BRUTOS'!FF$3:FF$500)+IF($C22="",0,SUMIF('DADOS BRUTOS'!$A$3:$A$500,$C22,'DADOS BRUTOS'!FF$3:FF$500)))</f>
        <v/>
      </c>
      <c r="IG22" s="132">
        <f>IF(OR(IG$4="",$B22=""),0,SUMIF('DADOS BRUTOS'!$A$3:$A$500,$B22,'DADOS BRUTOS'!FG$3:FG$500)+IF($C22="",0,SUMIF('DADOS BRUTOS'!$A$3:$A$500,$C22,'DADOS BRUTOS'!FG$3:FG$500)))</f>
        <v/>
      </c>
      <c r="IH22" s="132">
        <f>IF(OR(IH$4="",$B22=""),0,SUMIF('DADOS BRUTOS'!$A$3:$A$500,$B22,'DADOS BRUTOS'!FH$3:FH$500)+IF($C22="",0,SUMIF('DADOS BRUTOS'!$A$3:$A$500,$C22,'DADOS BRUTOS'!FH$3:FH$500)))</f>
        <v/>
      </c>
      <c r="II22" s="132">
        <f>IF(OR(II$4="",$B22=""),0,SUMIF('DADOS BRUTOS'!$A$3:$A$500,$B22,'DADOS BRUTOS'!FI$3:FI$500)+IF($C22="",0,SUMIF('DADOS BRUTOS'!$A$3:$A$500,$C22,'DADOS BRUTOS'!FI$3:FI$500)))</f>
        <v/>
      </c>
      <c r="IJ22" s="132">
        <f>IF(OR(IJ$4="",$B22=""),0,SUMIF('DADOS BRUTOS'!$A$3:$A$500,$B22,'DADOS BRUTOS'!FJ$3:FJ$500)+IF($C22="",0,SUMIF('DADOS BRUTOS'!$A$3:$A$500,$C22,'DADOS BRUTOS'!FJ$3:FJ$500)))</f>
        <v/>
      </c>
      <c r="IK22" s="132">
        <f>IF(OR(IK$4="",$B22=""),0,SUMIF('DADOS BRUTOS'!$A$3:$A$500,$B22,'DADOS BRUTOS'!FK$3:FK$500)+IF($C22="",0,SUMIF('DADOS BRUTOS'!$A$3:$A$500,$C22,'DADOS BRUTOS'!FK$3:FK$500)))</f>
        <v/>
      </c>
      <c r="IL22" s="132">
        <f>IF(OR(IL$4="",$B22=""),0,SUMIF('DADOS BRUTOS'!$A$3:$A$500,$B22,'DADOS BRUTOS'!FL$3:FL$500)+IF($C22="",0,SUMIF('DADOS BRUTOS'!$A$3:$A$500,$C22,'DADOS BRUTOS'!FL$3:FL$500)))</f>
        <v/>
      </c>
      <c r="IM22" s="132">
        <f>IF(OR(IM$4="",$B22=""),0,SUMIF('DADOS BRUTOS'!$A$3:$A$500,$B22,'DADOS BRUTOS'!FM$3:FM$500)+IF($C22="",0,SUMIF('DADOS BRUTOS'!$A$3:$A$500,$C22,'DADOS BRUTOS'!FM$3:FM$500)))</f>
        <v/>
      </c>
      <c r="IN22" s="132">
        <f>IF(OR(IN$4="",$B22=""),0,SUMIF('DADOS BRUTOS'!$A$3:$A$500,$B22,'DADOS BRUTOS'!FN$3:FN$500)+IF($C22="",0,SUMIF('DADOS BRUTOS'!$A$3:$A$500,$C22,'DADOS BRUTOS'!FN$3:FN$500)))</f>
        <v/>
      </c>
      <c r="IO22" s="132">
        <f>IF(OR(IO$4="",$B22=""),0,SUMIF('DADOS BRUTOS'!$A$3:$A$500,$B22,'DADOS BRUTOS'!FO$3:FO$500)+IF($C22="",0,SUMIF('DADOS BRUTOS'!$A$3:$A$500,$C22,'DADOS BRUTOS'!FO$3:FO$500)))</f>
        <v/>
      </c>
      <c r="IP22" s="132">
        <f>IF(OR(IP$4="",$B22=""),0,SUMIF('DADOS BRUTOS'!$A$3:$A$500,$B22,'DADOS BRUTOS'!FP$3:FP$500)+IF($C22="",0,SUMIF('DADOS BRUTOS'!$A$3:$A$500,$C22,'DADOS BRUTOS'!FP$3:FP$500)))</f>
        <v/>
      </c>
      <c r="IQ22" s="132">
        <f>IF(OR(IQ$4="",$B22=""),0,SUMIF('DADOS BRUTOS'!$A$3:$A$500,$B22,'DADOS BRUTOS'!FQ$3:FQ$500)+IF($C22="",0,SUMIF('DADOS BRUTOS'!$A$3:$A$500,$C22,'DADOS BRUTOS'!FQ$3:FQ$500)))</f>
        <v/>
      </c>
      <c r="IR22" s="132">
        <f>IF(OR(IR$4="",$B22=""),0,SUMIF('DADOS BRUTOS'!$A$3:$A$500,$B22,'DADOS BRUTOS'!FR$3:FR$500)+IF($C22="",0,SUMIF('DADOS BRUTOS'!$A$3:$A$500,$C22,'DADOS BRUTOS'!FR$3:FR$500)))</f>
        <v/>
      </c>
      <c r="IS22" s="132">
        <f>IF(OR(IS$4="",$B22=""),0,SUMIF('DADOS BRUTOS'!$A$3:$A$500,$B22,'DADOS BRUTOS'!FS$3:FS$500)+IF($C22="",0,SUMIF('DADOS BRUTOS'!$A$3:$A$500,$C22,'DADOS BRUTOS'!FS$3:FS$500)))</f>
        <v/>
      </c>
      <c r="IT22" s="132">
        <f>IF(OR(IT$4="",$B22=""),0,SUMIF('DADOS BRUTOS'!$A$3:$A$500,$B22,'DADOS BRUTOS'!FT$3:FT$500)+IF($C22="",0,SUMIF('DADOS BRUTOS'!$A$3:$A$500,$C22,'DADOS BRUTOS'!FT$3:FT$500)))</f>
        <v/>
      </c>
      <c r="IU22" s="132">
        <f>IF(OR(IU$4="",$B22=""),0,SUMIF('DADOS BRUTOS'!$A$3:$A$500,$B22,'DADOS BRUTOS'!FU$3:FU$500)+IF($C22="",0,SUMIF('DADOS BRUTOS'!$A$3:$A$500,$C22,'DADOS BRUTOS'!FU$3:FU$500)))</f>
        <v/>
      </c>
      <c r="IV22" s="132">
        <f>IF(OR(IV$4="",$B22=""),0,SUMIF('DADOS BRUTOS'!$A$3:$A$500,$B22,'DADOS BRUTOS'!FV$3:FV$500)+IF($C22="",0,SUMIF('DADOS BRUTOS'!$A$3:$A$500,$C22,'DADOS BRUTOS'!FV$3:FV$500)))</f>
        <v/>
      </c>
      <c r="IW22" s="132">
        <f>IF(OR(IW$4="",$B22=""),0,SUMIF('DADOS BRUTOS'!$A$3:$A$500,$B22,'DADOS BRUTOS'!FW$3:FW$500)+IF($C22="",0,SUMIF('DADOS BRUTOS'!$A$3:$A$500,$C22,'DADOS BRUTOS'!FW$3:FW$500)))</f>
        <v/>
      </c>
      <c r="IX22" s="132">
        <f>IF(OR(IX$4="",$B22=""),0,SUMIF('DADOS BRUTOS'!$A$3:$A$500,$B22,'DADOS BRUTOS'!FX$3:FX$500)+IF($C22="",0,SUMIF('DADOS BRUTOS'!$A$3:$A$500,$C22,'DADOS BRUTOS'!FX$3:FX$500)))</f>
        <v/>
      </c>
      <c r="IY22" s="132">
        <f>IF(OR(IY$4="",$B22=""),0,SUMIF('DADOS BRUTOS'!$A$3:$A$500,$B22,'DADOS BRUTOS'!FY$3:FY$500)+IF($C22="",0,SUMIF('DADOS BRUTOS'!$A$3:$A$500,$C22,'DADOS BRUTOS'!FY$3:FY$500)))</f>
        <v/>
      </c>
      <c r="IZ22" s="132">
        <f>IF(OR(IZ$4="",$B22=""),0,SUMIF('DADOS BRUTOS'!$A$3:$A$500,$B22,'DADOS BRUTOS'!FZ$3:FZ$500)+IF($C22="",0,SUMIF('DADOS BRUTOS'!$A$3:$A$500,$C22,'DADOS BRUTOS'!FZ$3:FZ$500)))</f>
        <v/>
      </c>
      <c r="JA22" s="132">
        <f>IF(OR(JA$4="",$B22=""),0,SUMIF('DADOS BRUTOS'!$A$3:$A$500,$B22,'DADOS BRUTOS'!GA$3:GA$500)+IF($C22="",0,SUMIF('DADOS BRUTOS'!$A$3:$A$500,$C22,'DADOS BRUTOS'!GA$3:GA$500)))</f>
        <v/>
      </c>
      <c r="JB22" s="132">
        <f>IF(OR(JB$4="",$B22=""),0,SUMIF('DADOS BRUTOS'!$A$3:$A$500,$B22,'DADOS BRUTOS'!GB$3:GB$500)+IF($C22="",0,SUMIF('DADOS BRUTOS'!$A$3:$A$500,$C22,'DADOS BRUTOS'!GB$3:GB$500)))</f>
        <v/>
      </c>
      <c r="JC22" s="132">
        <f>IF(OR(JC$4="",$B22=""),0,SUMIF('DADOS BRUTOS'!$A$3:$A$500,$B22,'DADOS BRUTOS'!GC$3:GC$500)+IF($C22="",0,SUMIF('DADOS BRUTOS'!$A$3:$A$500,$C22,'DADOS BRUTOS'!GC$3:GC$500)))</f>
        <v/>
      </c>
      <c r="JD22" s="132">
        <f>IF(OR(JD$4="",$B22=""),0,SUMIF('DADOS BRUTOS'!$A$3:$A$500,$B22,'DADOS BRUTOS'!GD$3:GD$500)+IF($C22="",0,SUMIF('DADOS BRUTOS'!$A$3:$A$500,$C22,'DADOS BRUTOS'!GD$3:GD$500)))</f>
        <v/>
      </c>
      <c r="JE22" s="132">
        <f>IF(OR(JE$4="",$B22=""),0,SUMIF('DADOS BRUTOS'!$A$3:$A$500,$B22,'DADOS BRUTOS'!GE$3:GE$500)+IF($C22="",0,SUMIF('DADOS BRUTOS'!$A$3:$A$500,$C22,'DADOS BRUTOS'!GE$3:GE$500)))</f>
        <v/>
      </c>
      <c r="JF22" s="132">
        <f>IF(OR(JF$4="",$B22=""),0,SUMIF('DADOS BRUTOS'!$A$3:$A$500,$B22,'DADOS BRUTOS'!GF$3:GF$500)+IF($C22="",0,SUMIF('DADOS BRUTOS'!$A$3:$A$500,$C22,'DADOS BRUTOS'!GF$3:GF$500)))</f>
        <v/>
      </c>
      <c r="JG22" s="132">
        <f>IF(OR(JG$4="",$B22=""),0,SUMIF('DADOS BRUTOS'!$A$3:$A$500,$B22,'DADOS BRUTOS'!GG$3:GG$500)+IF($C22="",0,SUMIF('DADOS BRUTOS'!$A$3:$A$500,$C22,'DADOS BRUTOS'!GG$3:GG$500)))</f>
        <v/>
      </c>
      <c r="JH22" s="132">
        <f>IF(OR(JH$4="",$B22=""),0,SUMIF('DADOS BRUTOS'!$A$3:$A$500,$B22,'DADOS BRUTOS'!GH$3:GH$500)+IF($C22="",0,SUMIF('DADOS BRUTOS'!$A$3:$A$500,$C22,'DADOS BRUTOS'!GH$3:GH$500)))</f>
        <v/>
      </c>
      <c r="JI22" s="132">
        <f>IF(OR(JI$4="",$B22=""),0,SUMIF('DADOS BRUTOS'!$A$3:$A$500,$B22,'DADOS BRUTOS'!GI$3:GI$500)+IF($C22="",0,SUMIF('DADOS BRUTOS'!$A$3:$A$500,$C22,'DADOS BRUTOS'!GI$3:GI$500)))</f>
        <v/>
      </c>
      <c r="JJ22" s="132">
        <f>IF(OR(JJ$4="",$B22=""),0,SUMIF('DADOS BRUTOS'!$A$3:$A$500,$B22,'DADOS BRUTOS'!GJ$3:GJ$500)+IF($C22="",0,SUMIF('DADOS BRUTOS'!$A$3:$A$500,$C22,'DADOS BRUTOS'!GJ$3:GJ$500)))</f>
        <v/>
      </c>
      <c r="JK22" s="132">
        <f>IF(OR(JK$4="",$B22=""),0,SUMIF('DADOS BRUTOS'!$A$3:$A$500,$B22,'DADOS BRUTOS'!GK$3:GK$500)+IF($C22="",0,SUMIF('DADOS BRUTOS'!$A$3:$A$500,$C22,'DADOS BRUTOS'!GK$3:GK$500)))</f>
        <v/>
      </c>
      <c r="JL22" s="132">
        <f>IF(OR(JL$4="",$B22=""),0,SUMIF('DADOS BRUTOS'!$A$3:$A$500,$B22,'DADOS BRUTOS'!GL$3:GL$500)+IF($C22="",0,SUMIF('DADOS BRUTOS'!$A$3:$A$500,$C22,'DADOS BRUTOS'!GL$3:GL$500)))</f>
        <v/>
      </c>
      <c r="JM22" s="132">
        <f>IF(OR(JM$4="",$B22=""),0,SUMIF('DADOS BRUTOS'!$A$3:$A$500,$B22,'DADOS BRUTOS'!GM$3:GM$500)+IF($C22="",0,SUMIF('DADOS BRUTOS'!$A$3:$A$500,$C22,'DADOS BRUTOS'!GM$3:GM$500)))</f>
        <v/>
      </c>
      <c r="JN22" s="132">
        <f>IF(OR(JN$4="",$B22=""),0,SUMIF('DADOS BRUTOS'!$A$3:$A$500,$B22,'DADOS BRUTOS'!GN$3:GN$500)+IF($C22="",0,SUMIF('DADOS BRUTOS'!$A$3:$A$500,$C22,'DADOS BRUTOS'!GN$3:GN$500)))</f>
        <v/>
      </c>
      <c r="JO22" s="132">
        <f>IF(OR(JO$4="",$B22=""),0,SUMIF('DADOS BRUTOS'!$A$3:$A$500,$B22,'DADOS BRUTOS'!GO$3:GO$500)+IF($C22="",0,SUMIF('DADOS BRUTOS'!$A$3:$A$500,$C22,'DADOS BRUTOS'!GO$3:GO$500)))</f>
        <v/>
      </c>
      <c r="JP22" s="132">
        <f>IF(OR(JP$4="",$B22=""),0,SUMIF('DADOS BRUTOS'!$A$3:$A$500,$B22,'DADOS BRUTOS'!GP$3:GP$500)+IF($C22="",0,SUMIF('DADOS BRUTOS'!$A$3:$A$500,$C22,'DADOS BRUTOS'!GP$3:GP$500)))</f>
        <v/>
      </c>
      <c r="JQ22" s="132">
        <f>IF(OR(JQ$4="",$B22=""),0,SUMIF('DADOS BRUTOS'!$A$3:$A$500,$B22,'DADOS BRUTOS'!GQ$3:GQ$500)+IF($C22="",0,SUMIF('DADOS BRUTOS'!$A$3:$A$500,$C22,'DADOS BRUTOS'!GQ$3:GQ$500)))</f>
        <v/>
      </c>
      <c r="JR22" s="132">
        <f>IF(OR(JR$4="",$B22=""),0,SUMIF('DADOS BRUTOS'!$A$3:$A$500,$B22,'DADOS BRUTOS'!GR$3:GR$500)+IF($C22="",0,SUMIF('DADOS BRUTOS'!$A$3:$A$500,$C22,'DADOS BRUTOS'!GR$3:GR$500)))</f>
        <v/>
      </c>
      <c r="JS22" s="132">
        <f>IF(OR(JS$4="",$B22=""),0,SUMIF('DADOS BRUTOS'!$A$3:$A$500,$B22,'DADOS BRUTOS'!GS$3:GS$500)+IF($C22="",0,SUMIF('DADOS BRUTOS'!$A$3:$A$500,$C22,'DADOS BRUTOS'!GS$3:GS$500)))</f>
        <v/>
      </c>
    </row>
    <row r="23">
      <c r="A23" s="61">
        <f>'VALOR POR PL'!D29</f>
        <v/>
      </c>
      <c r="B23" s="59" t="inlineStr">
        <is>
          <t>IMPERMEABILIZAÇÃO</t>
        </is>
      </c>
      <c r="C23" s="59" t="n"/>
      <c r="D23" s="54">
        <f>SUMIF($CB$4:$JS$4,"&lt;="&amp;D$4,$CB23:$JS23)</f>
        <v/>
      </c>
      <c r="E23" s="54">
        <f>SUMIF($CB$4:$JS$4,E$4,$CB23:$JS23)</f>
        <v/>
      </c>
      <c r="F23" s="54">
        <f>SUMIF($CB$4:$JS$4,F$4,$CB23:$JS23)</f>
        <v/>
      </c>
      <c r="G23" s="54">
        <f>SUMIF($CB$4:$JS$4,G$4,$CB23:$JS23)</f>
        <v/>
      </c>
      <c r="H23" s="54">
        <f>SUMIF($CB$4:$JS$4,H$4,$CB23:$JS23)</f>
        <v/>
      </c>
      <c r="I23" s="54">
        <f>SUMIF($CB$4:$JS$4,I$4,$CB23:$JS23)</f>
        <v/>
      </c>
      <c r="J23" s="54">
        <f>SUMIF($CB$4:$JS$4,J$4,$CB23:$JS23)</f>
        <v/>
      </c>
      <c r="K23" s="54">
        <f>SUMIF($CB$4:$JS$4,K$4,$CB23:$JS23)</f>
        <v/>
      </c>
      <c r="L23" s="54">
        <f>SUMIF($CB$4:$JS$4,L$4,$CB23:$JS23)</f>
        <v/>
      </c>
      <c r="M23" s="54">
        <f>SUMIF($CB$4:$JS$4,M$4,$CB23:$JS23)</f>
        <v/>
      </c>
      <c r="N23" s="54">
        <f>SUMIF($CB$4:$JS$4,N$4,$CB23:$JS23)</f>
        <v/>
      </c>
      <c r="O23" s="54">
        <f>SUMIF($CB$4:$JS$4,O$4,$CB23:$JS23)</f>
        <v/>
      </c>
      <c r="P23" s="54">
        <f>SUMIF($CB$4:$JS$4,P$4,$CB23:$JS23)</f>
        <v/>
      </c>
      <c r="Q23" s="54">
        <f>SUMIF($CB$4:$JS$4,Q$4,$CB23:$JS23)</f>
        <v/>
      </c>
      <c r="R23" s="54">
        <f>SUMIF($CB$4:$JS$4,R$4,$CB23:$JS23)</f>
        <v/>
      </c>
      <c r="S23" s="54">
        <f>SUMIF($CB$4:$JS$4,S$4,$CB23:$JS23)</f>
        <v/>
      </c>
      <c r="T23" s="54">
        <f>SUMIF($CB$4:$JS$4,T$4,$CB23:$JS23)</f>
        <v/>
      </c>
      <c r="U23" s="54">
        <f>SUMIF($CB$4:$JS$4,U$4,$CB23:$JS23)</f>
        <v/>
      </c>
      <c r="V23" s="54">
        <f>SUMIF($CB$4:$JS$4,V$4,$CB23:$JS23)</f>
        <v/>
      </c>
      <c r="W23" s="54">
        <f>SUMIF($CB$4:$JS$4,W$4,$CB23:$JS23)</f>
        <v/>
      </c>
      <c r="X23" s="54">
        <f>SUMIF($CB$4:$JS$4,X$4,$CB23:$JS23)</f>
        <v/>
      </c>
      <c r="Y23" s="54">
        <f>SUMIF($CB$4:$JS$4,Y$4,$CB23:$JS23)</f>
        <v/>
      </c>
      <c r="Z23" s="54">
        <f>SUMIF($CB$4:$JS$4,Z$4,$CB23:$JS23)</f>
        <v/>
      </c>
      <c r="AA23" s="54">
        <f>SUMIF($CB$4:$JS$4,AA$4,$CB23:$JS23)</f>
        <v/>
      </c>
      <c r="AB23" s="54">
        <f>SUMIF($CB$4:$JS$4,AB$4,$CB23:$JS23)</f>
        <v/>
      </c>
      <c r="AC23" s="54">
        <f>SUMIF($CB$4:$JS$4,AC$4,$CB23:$JS23)</f>
        <v/>
      </c>
      <c r="AD23" s="54">
        <f>SUMIF($CB$4:$JS$4,AD$4,$CB23:$JS23)</f>
        <v/>
      </c>
      <c r="AE23" s="54">
        <f>SUMIF($CB$4:$JS$4,AE$4,$CB23:$JS23)</f>
        <v/>
      </c>
      <c r="AF23" s="54">
        <f>SUMIF($CB$4:$JS$4,AF$4,$CB23:$JS23)</f>
        <v/>
      </c>
      <c r="AG23" s="54">
        <f>SUMIF($CB$4:$JS$4,AG$4,$CB23:$JS23)</f>
        <v/>
      </c>
      <c r="AH23" s="54">
        <f>SUMIF($CB$4:$JS$4,AH$4,$CB23:$JS23)</f>
        <v/>
      </c>
      <c r="AI23" s="54">
        <f>SUMIF($CB$4:$JS$4,AI$4,$CB23:$JS23)</f>
        <v/>
      </c>
      <c r="AJ23" s="54">
        <f>SUMIF($CB$4:$JS$4,AJ$4,$CB23:$JS23)</f>
        <v/>
      </c>
      <c r="AK23" s="54">
        <f>SUMIF($CB$4:$JS$4,AK$4,$CB23:$JS23)</f>
        <v/>
      </c>
      <c r="AL23" s="54">
        <f>SUMIF($CB$4:$JS$4,AL$4,$CB23:$JS23)</f>
        <v/>
      </c>
      <c r="AM23" s="54">
        <f>SUMIF($CB$4:$JS$4,AM$4,$CB23:$JS23)</f>
        <v/>
      </c>
      <c r="AN23" s="54">
        <f>SUMIF($CB$4:$JS$4,AN$4,$CB23:$JS23)</f>
        <v/>
      </c>
      <c r="AO23" s="54">
        <f>SUMIF($CB$4:$JS$4,AO$4,$CB23:$JS23)</f>
        <v/>
      </c>
      <c r="AP23" s="54">
        <f>SUMIF($CB$4:$JS$4,AP$4,$CB23:$JS23)</f>
        <v/>
      </c>
      <c r="AQ23" s="54">
        <f>SUMIF($CB$4:$JS$4,AQ$4,$CB23:$JS23)</f>
        <v/>
      </c>
      <c r="AR23" s="54">
        <f>SUMIF($CB$4:$JS$4,AR$4,$CB23:$JS23)</f>
        <v/>
      </c>
      <c r="AS23" s="54">
        <f>SUMIF($CB$4:$JS$4,AS$4,$CB23:$JS23)</f>
        <v/>
      </c>
      <c r="AT23" s="54">
        <f>SUMIF($CB$4:$JS$4,AT$4,$CB23:$JS23)</f>
        <v/>
      </c>
      <c r="AU23" s="54">
        <f>SUMIF($CB$4:$JS$4,AU$4,$CB23:$JS23)</f>
        <v/>
      </c>
      <c r="AV23" s="54">
        <f>SUMIF($CB$4:$JS$4,AV$4,$CB23:$JS23)</f>
        <v/>
      </c>
      <c r="AW23" s="54">
        <f>SUMIF($CB$4:$JS$4,AW$4,$CB23:$JS23)</f>
        <v/>
      </c>
      <c r="AX23" s="54">
        <f>SUMIF($CB$4:$JS$4,AX$4,$CB23:$JS23)</f>
        <v/>
      </c>
      <c r="AY23" s="54">
        <f>SUMIF($CB$4:$JS$4,AY$4,$CB23:$JS23)</f>
        <v/>
      </c>
      <c r="AZ23" s="54">
        <f>SUMIF($CB$4:$JS$4,AZ$4,$CB23:$JS23)</f>
        <v/>
      </c>
      <c r="BA23" s="54">
        <f>SUMIF($CB$4:$JS$4,BA$4,$CB23:$JS23)</f>
        <v/>
      </c>
      <c r="BB23" s="54">
        <f>SUMIF($CB$4:$JS$4,BB$4,$CB23:$JS23)</f>
        <v/>
      </c>
      <c r="BC23" s="54">
        <f>SUMIF($CB$4:$JS$4,BC$4,$CB23:$JS23)</f>
        <v/>
      </c>
      <c r="BD23" s="54">
        <f>SUMIF($CB$4:$JS$4,BD$4,$CB23:$JS23)</f>
        <v/>
      </c>
      <c r="BE23" s="54">
        <f>SUMIF($CB$4:$JS$4,BE$4,$CB23:$JS23)</f>
        <v/>
      </c>
      <c r="BF23" s="54">
        <f>SUMIF($CB$4:$JS$4,BF$4,$CB23:$JS23)</f>
        <v/>
      </c>
      <c r="BG23" s="54">
        <f>SUMIF($CB$4:$JS$4,BG$4,$CB23:$JS23)</f>
        <v/>
      </c>
      <c r="BH23" s="54">
        <f>SUMIF($CB$4:$JS$4,BH$4,$CB23:$JS23)</f>
        <v/>
      </c>
      <c r="BI23" s="54">
        <f>SUMIF($CB$4:$JS$4,BI$4,$CB23:$JS23)</f>
        <v/>
      </c>
      <c r="BJ23" s="54">
        <f>SUMIF($CB$4:$JS$4,BJ$4,$CB23:$JS23)</f>
        <v/>
      </c>
      <c r="BK23" s="54">
        <f>SUMIF($CB$4:$JS$4,BK$4,$CB23:$JS23)</f>
        <v/>
      </c>
      <c r="BL23" s="54">
        <f>SUMIF($CB$4:$JS$4,BL$4,$CB23:$JS23)</f>
        <v/>
      </c>
      <c r="BM23" s="54">
        <f>SUMIF($CB$4:$JS$4,BM$4,$CB23:$JS23)</f>
        <v/>
      </c>
      <c r="BN23" s="54">
        <f>SUMIF($CB$4:$JS$4,BN$4,$CB23:$JS23)</f>
        <v/>
      </c>
      <c r="BO23" s="54">
        <f>SUMIF($CB$4:$JS$4,BO$4,$CB23:$JS23)</f>
        <v/>
      </c>
      <c r="BP23" s="54">
        <f>SUMIF($CB$4:$JS$4,BP$4,$CB23:$JS23)</f>
        <v/>
      </c>
      <c r="BQ23" s="54">
        <f>SUMIF($CB$4:$JS$4,BQ$4,$CB23:$JS23)</f>
        <v/>
      </c>
      <c r="BR23" s="54">
        <f>SUMIF($CB$4:$JS$4,BR$4,$CB23:$JS23)</f>
        <v/>
      </c>
      <c r="BS23" s="54">
        <f>SUMIF($CB$4:$JS$4,BS$4,$CB23:$JS23)</f>
        <v/>
      </c>
      <c r="BT23" s="54">
        <f>SUMIF($CB$4:$JS$4,BT$4,$CB23:$JS23)</f>
        <v/>
      </c>
      <c r="BU23" s="54">
        <f>SUMIF($CB$4:$JS$4,BU$4,$CB23:$JS23)</f>
        <v/>
      </c>
      <c r="BV23" s="54">
        <f>SUMIF($CB$4:$JS$4,BV$4,$CB23:$JS23)</f>
        <v/>
      </c>
      <c r="BW23" s="54">
        <f>SUMIF($CB$4:$JS$4,BW$4,$CB23:$JS23)</f>
        <v/>
      </c>
      <c r="BX23" s="54">
        <f>SUMIF($CB$4:$JS$4,"&gt;"&amp;'VALOR POR PL'!$P$8,$CB23:$JS23)</f>
        <v/>
      </c>
      <c r="BY23" s="54">
        <f>SUM($CB23:$JS23)</f>
        <v/>
      </c>
      <c r="BZ23" s="49">
        <f>SUMPRODUCT(($CB$4:$JS$4&lt;&gt;"")*($CB$4:$JS$4&lt;=$D$4),$CB23:$JS23,$CB$1:$JS$1)</f>
        <v/>
      </c>
      <c r="CB23" s="132">
        <f>IF(OR(CB$4="",$B23=""),0,SUMIF('DADOS BRUTOS'!$A$3:$A$500,$B23,'DADOS BRUTOS'!B$3:B$500)+IF($C23="",0,SUMIF('DADOS BRUTOS'!$A$3:$A$500,$C23,'DADOS BRUTOS'!B$3:B$500)))</f>
        <v/>
      </c>
      <c r="CC23" s="132">
        <f>IF(OR(CC$4="",$B23=""),0,SUMIF('DADOS BRUTOS'!$A$3:$A$500,$B23,'DADOS BRUTOS'!C$3:C$500)+IF($C23="",0,SUMIF('DADOS BRUTOS'!$A$3:$A$500,$C23,'DADOS BRUTOS'!C$3:C$500)))</f>
        <v/>
      </c>
      <c r="CD23" s="132">
        <f>IF(OR(CD$4="",$B23=""),0,SUMIF('DADOS BRUTOS'!$A$3:$A$500,$B23,'DADOS BRUTOS'!D$3:D$500)+IF($C23="",0,SUMIF('DADOS BRUTOS'!$A$3:$A$500,$C23,'DADOS BRUTOS'!D$3:D$500)))</f>
        <v/>
      </c>
      <c r="CE23" s="132">
        <f>IF(OR(CE$4="",$B23=""),0,SUMIF('DADOS BRUTOS'!$A$3:$A$500,$B23,'DADOS BRUTOS'!E$3:E$500)+IF($C23="",0,SUMIF('DADOS BRUTOS'!$A$3:$A$500,$C23,'DADOS BRUTOS'!E$3:E$500)))</f>
        <v/>
      </c>
      <c r="CF23" s="132">
        <f>IF(OR(CF$4="",$B23=""),0,SUMIF('DADOS BRUTOS'!$A$3:$A$500,$B23,'DADOS BRUTOS'!F$3:F$500)+IF($C23="",0,SUMIF('DADOS BRUTOS'!$A$3:$A$500,$C23,'DADOS BRUTOS'!F$3:F$500)))</f>
        <v/>
      </c>
      <c r="CG23" s="132">
        <f>IF(OR(CG$4="",$B23=""),0,SUMIF('DADOS BRUTOS'!$A$3:$A$500,$B23,'DADOS BRUTOS'!G$3:G$500)+IF($C23="",0,SUMIF('DADOS BRUTOS'!$A$3:$A$500,$C23,'DADOS BRUTOS'!G$3:G$500)))</f>
        <v/>
      </c>
      <c r="CH23" s="132">
        <f>IF(OR(CH$4="",$B23=""),0,SUMIF('DADOS BRUTOS'!$A$3:$A$500,$B23,'DADOS BRUTOS'!H$3:H$500)+IF($C23="",0,SUMIF('DADOS BRUTOS'!$A$3:$A$500,$C23,'DADOS BRUTOS'!H$3:H$500)))</f>
        <v/>
      </c>
      <c r="CI23" s="132">
        <f>IF(OR(CI$4="",$B23=""),0,SUMIF('DADOS BRUTOS'!$A$3:$A$500,$B23,'DADOS BRUTOS'!I$3:I$500)+IF($C23="",0,SUMIF('DADOS BRUTOS'!$A$3:$A$500,$C23,'DADOS BRUTOS'!I$3:I$500)))</f>
        <v/>
      </c>
      <c r="CJ23" s="132">
        <f>IF(OR(CJ$4="",$B23=""),0,SUMIF('DADOS BRUTOS'!$A$3:$A$500,$B23,'DADOS BRUTOS'!J$3:J$500)+IF($C23="",0,SUMIF('DADOS BRUTOS'!$A$3:$A$500,$C23,'DADOS BRUTOS'!J$3:J$500)))</f>
        <v/>
      </c>
      <c r="CK23" s="132">
        <f>IF(OR(CK$4="",$B23=""),0,SUMIF('DADOS BRUTOS'!$A$3:$A$500,$B23,'DADOS BRUTOS'!K$3:K$500)+IF($C23="",0,SUMIF('DADOS BRUTOS'!$A$3:$A$500,$C23,'DADOS BRUTOS'!K$3:K$500)))</f>
        <v/>
      </c>
      <c r="CL23" s="132">
        <f>IF(OR(CL$4="",$B23=""),0,SUMIF('DADOS BRUTOS'!$A$3:$A$500,$B23,'DADOS BRUTOS'!L$3:L$500)+IF($C23="",0,SUMIF('DADOS BRUTOS'!$A$3:$A$500,$C23,'DADOS BRUTOS'!L$3:L$500)))</f>
        <v/>
      </c>
      <c r="CM23" s="132">
        <f>IF(OR(CM$4="",$B23=""),0,SUMIF('DADOS BRUTOS'!$A$3:$A$500,$B23,'DADOS BRUTOS'!M$3:M$500)+IF($C23="",0,SUMIF('DADOS BRUTOS'!$A$3:$A$500,$C23,'DADOS BRUTOS'!M$3:M$500)))</f>
        <v/>
      </c>
      <c r="CN23" s="132">
        <f>IF(OR(CN$4="",$B23=""),0,SUMIF('DADOS BRUTOS'!$A$3:$A$500,$B23,'DADOS BRUTOS'!N$3:N$500)+IF($C23="",0,SUMIF('DADOS BRUTOS'!$A$3:$A$500,$C23,'DADOS BRUTOS'!N$3:N$500)))</f>
        <v/>
      </c>
      <c r="CO23" s="132">
        <f>IF(OR(CO$4="",$B23=""),0,SUMIF('DADOS BRUTOS'!$A$3:$A$500,$B23,'DADOS BRUTOS'!O$3:O$500)+IF($C23="",0,SUMIF('DADOS BRUTOS'!$A$3:$A$500,$C23,'DADOS BRUTOS'!O$3:O$500)))</f>
        <v/>
      </c>
      <c r="CP23" s="132">
        <f>IF(OR(CP$4="",$B23=""),0,SUMIF('DADOS BRUTOS'!$A$3:$A$500,$B23,'DADOS BRUTOS'!P$3:P$500)+IF($C23="",0,SUMIF('DADOS BRUTOS'!$A$3:$A$500,$C23,'DADOS BRUTOS'!P$3:P$500)))</f>
        <v/>
      </c>
      <c r="CQ23" s="132">
        <f>IF(OR(CQ$4="",$B23=""),0,SUMIF('DADOS BRUTOS'!$A$3:$A$500,$B23,'DADOS BRUTOS'!Q$3:Q$500)+IF($C23="",0,SUMIF('DADOS BRUTOS'!$A$3:$A$500,$C23,'DADOS BRUTOS'!Q$3:Q$500)))</f>
        <v/>
      </c>
      <c r="CR23" s="132">
        <f>IF(OR(CR$4="",$B23=""),0,SUMIF('DADOS BRUTOS'!$A$3:$A$500,$B23,'DADOS BRUTOS'!R$3:R$500)+IF($C23="",0,SUMIF('DADOS BRUTOS'!$A$3:$A$500,$C23,'DADOS BRUTOS'!R$3:R$500)))</f>
        <v/>
      </c>
      <c r="CS23" s="132">
        <f>IF(OR(CS$4="",$B23=""),0,SUMIF('DADOS BRUTOS'!$A$3:$A$500,$B23,'DADOS BRUTOS'!S$3:S$500)+IF($C23="",0,SUMIF('DADOS BRUTOS'!$A$3:$A$500,$C23,'DADOS BRUTOS'!S$3:S$500)))</f>
        <v/>
      </c>
      <c r="CT23" s="132">
        <f>IF(OR(CT$4="",$B23=""),0,SUMIF('DADOS BRUTOS'!$A$3:$A$500,$B23,'DADOS BRUTOS'!T$3:T$500)+IF($C23="",0,SUMIF('DADOS BRUTOS'!$A$3:$A$500,$C23,'DADOS BRUTOS'!T$3:T$500)))</f>
        <v/>
      </c>
      <c r="CU23" s="132">
        <f>IF(OR(CU$4="",$B23=""),0,SUMIF('DADOS BRUTOS'!$A$3:$A$500,$B23,'DADOS BRUTOS'!U$3:U$500)+IF($C23="",0,SUMIF('DADOS BRUTOS'!$A$3:$A$500,$C23,'DADOS BRUTOS'!U$3:U$500)))</f>
        <v/>
      </c>
      <c r="CV23" s="132">
        <f>IF(OR(CV$4="",$B23=""),0,SUMIF('DADOS BRUTOS'!$A$3:$A$500,$B23,'DADOS BRUTOS'!V$3:V$500)+IF($C23="",0,SUMIF('DADOS BRUTOS'!$A$3:$A$500,$C23,'DADOS BRUTOS'!V$3:V$500)))</f>
        <v/>
      </c>
      <c r="CW23" s="132">
        <f>IF(OR(CW$4="",$B23=""),0,SUMIF('DADOS BRUTOS'!$A$3:$A$500,$B23,'DADOS BRUTOS'!W$3:W$500)+IF($C23="",0,SUMIF('DADOS BRUTOS'!$A$3:$A$500,$C23,'DADOS BRUTOS'!W$3:W$500)))</f>
        <v/>
      </c>
      <c r="CX23" s="132">
        <f>IF(OR(CX$4="",$B23=""),0,SUMIF('DADOS BRUTOS'!$A$3:$A$500,$B23,'DADOS BRUTOS'!X$3:X$500)+IF($C23="",0,SUMIF('DADOS BRUTOS'!$A$3:$A$500,$C23,'DADOS BRUTOS'!X$3:X$500)))</f>
        <v/>
      </c>
      <c r="CY23" s="132">
        <f>IF(OR(CY$4="",$B23=""),0,SUMIF('DADOS BRUTOS'!$A$3:$A$500,$B23,'DADOS BRUTOS'!Y$3:Y$500)+IF($C23="",0,SUMIF('DADOS BRUTOS'!$A$3:$A$500,$C23,'DADOS BRUTOS'!Y$3:Y$500)))</f>
        <v/>
      </c>
      <c r="CZ23" s="132">
        <f>IF(OR(CZ$4="",$B23=""),0,SUMIF('DADOS BRUTOS'!$A$3:$A$500,$B23,'DADOS BRUTOS'!Z$3:Z$500)+IF($C23="",0,SUMIF('DADOS BRUTOS'!$A$3:$A$500,$C23,'DADOS BRUTOS'!Z$3:Z$500)))</f>
        <v/>
      </c>
      <c r="DA23" s="132">
        <f>IF(OR(DA$4="",$B23=""),0,SUMIF('DADOS BRUTOS'!$A$3:$A$500,$B23,'DADOS BRUTOS'!AA$3:AA$500)+IF($C23="",0,SUMIF('DADOS BRUTOS'!$A$3:$A$500,$C23,'DADOS BRUTOS'!AA$3:AA$500)))</f>
        <v/>
      </c>
      <c r="DB23" s="132">
        <f>IF(OR(DB$4="",$B23=""),0,SUMIF('DADOS BRUTOS'!$A$3:$A$500,$B23,'DADOS BRUTOS'!AB$3:AB$500)+IF($C23="",0,SUMIF('DADOS BRUTOS'!$A$3:$A$500,$C23,'DADOS BRUTOS'!AB$3:AB$500)))</f>
        <v/>
      </c>
      <c r="DC23" s="132">
        <f>IF(OR(DC$4="",$B23=""),0,SUMIF('DADOS BRUTOS'!$A$3:$A$500,$B23,'DADOS BRUTOS'!AC$3:AC$500)+IF($C23="",0,SUMIF('DADOS BRUTOS'!$A$3:$A$500,$C23,'DADOS BRUTOS'!AC$3:AC$500)))</f>
        <v/>
      </c>
      <c r="DD23" s="132">
        <f>IF(OR(DD$4="",$B23=""),0,SUMIF('DADOS BRUTOS'!$A$3:$A$500,$B23,'DADOS BRUTOS'!AD$3:AD$500)+IF($C23="",0,SUMIF('DADOS BRUTOS'!$A$3:$A$500,$C23,'DADOS BRUTOS'!AD$3:AD$500)))</f>
        <v/>
      </c>
      <c r="DE23" s="132">
        <f>IF(OR(DE$4="",$B23=""),0,SUMIF('DADOS BRUTOS'!$A$3:$A$500,$B23,'DADOS BRUTOS'!AE$3:AE$500)+IF($C23="",0,SUMIF('DADOS BRUTOS'!$A$3:$A$500,$C23,'DADOS BRUTOS'!AE$3:AE$500)))</f>
        <v/>
      </c>
      <c r="DF23" s="132">
        <f>IF(OR(DF$4="",$B23=""),0,SUMIF('DADOS BRUTOS'!$A$3:$A$500,$B23,'DADOS BRUTOS'!AF$3:AF$500)+IF($C23="",0,SUMIF('DADOS BRUTOS'!$A$3:$A$500,$C23,'DADOS BRUTOS'!AF$3:AF$500)))</f>
        <v/>
      </c>
      <c r="DG23" s="132">
        <f>IF(OR(DG$4="",$B23=""),0,SUMIF('DADOS BRUTOS'!$A$3:$A$500,$B23,'DADOS BRUTOS'!AG$3:AG$500)+IF($C23="",0,SUMIF('DADOS BRUTOS'!$A$3:$A$500,$C23,'DADOS BRUTOS'!AG$3:AG$500)))</f>
        <v/>
      </c>
      <c r="DH23" s="132">
        <f>IF(OR(DH$4="",$B23=""),0,SUMIF('DADOS BRUTOS'!$A$3:$A$500,$B23,'DADOS BRUTOS'!AH$3:AH$500)+IF($C23="",0,SUMIF('DADOS BRUTOS'!$A$3:$A$500,$C23,'DADOS BRUTOS'!AH$3:AH$500)))</f>
        <v/>
      </c>
      <c r="DI23" s="132">
        <f>IF(OR(DI$4="",$B23=""),0,SUMIF('DADOS BRUTOS'!$A$3:$A$500,$B23,'DADOS BRUTOS'!AI$3:AI$500)+IF($C23="",0,SUMIF('DADOS BRUTOS'!$A$3:$A$500,$C23,'DADOS BRUTOS'!AI$3:AI$500)))</f>
        <v/>
      </c>
      <c r="DJ23" s="132">
        <f>IF(OR(DJ$4="",$B23=""),0,SUMIF('DADOS BRUTOS'!$A$3:$A$500,$B23,'DADOS BRUTOS'!AJ$3:AJ$500)+IF($C23="",0,SUMIF('DADOS BRUTOS'!$A$3:$A$500,$C23,'DADOS BRUTOS'!AJ$3:AJ$500)))</f>
        <v/>
      </c>
      <c r="DK23" s="132">
        <f>IF(OR(DK$4="",$B23=""),0,SUMIF('DADOS BRUTOS'!$A$3:$A$500,$B23,'DADOS BRUTOS'!AK$3:AK$500)+IF($C23="",0,SUMIF('DADOS BRUTOS'!$A$3:$A$500,$C23,'DADOS BRUTOS'!AK$3:AK$500)))</f>
        <v/>
      </c>
      <c r="DL23" s="132">
        <f>IF(OR(DL$4="",$B23=""),0,SUMIF('DADOS BRUTOS'!$A$3:$A$500,$B23,'DADOS BRUTOS'!AL$3:AL$500)+IF($C23="",0,SUMIF('DADOS BRUTOS'!$A$3:$A$500,$C23,'DADOS BRUTOS'!AL$3:AL$500)))</f>
        <v/>
      </c>
      <c r="DM23" s="132">
        <f>IF(OR(DM$4="",$B23=""),0,SUMIF('DADOS BRUTOS'!$A$3:$A$500,$B23,'DADOS BRUTOS'!AM$3:AM$500)+IF($C23="",0,SUMIF('DADOS BRUTOS'!$A$3:$A$500,$C23,'DADOS BRUTOS'!AM$3:AM$500)))</f>
        <v/>
      </c>
      <c r="DN23" s="132">
        <f>IF(OR(DN$4="",$B23=""),0,SUMIF('DADOS BRUTOS'!$A$3:$A$500,$B23,'DADOS BRUTOS'!AN$3:AN$500)+IF($C23="",0,SUMIF('DADOS BRUTOS'!$A$3:$A$500,$C23,'DADOS BRUTOS'!AN$3:AN$500)))</f>
        <v/>
      </c>
      <c r="DO23" s="132">
        <f>IF(OR(DO$4="",$B23=""),0,SUMIF('DADOS BRUTOS'!$A$3:$A$500,$B23,'DADOS BRUTOS'!AO$3:AO$500)+IF($C23="",0,SUMIF('DADOS BRUTOS'!$A$3:$A$500,$C23,'DADOS BRUTOS'!AO$3:AO$500)))</f>
        <v/>
      </c>
      <c r="DP23" s="132">
        <f>IF(OR(DP$4="",$B23=""),0,SUMIF('DADOS BRUTOS'!$A$3:$A$500,$B23,'DADOS BRUTOS'!AP$3:AP$500)+IF($C23="",0,SUMIF('DADOS BRUTOS'!$A$3:$A$500,$C23,'DADOS BRUTOS'!AP$3:AP$500)))</f>
        <v/>
      </c>
      <c r="DQ23" s="132">
        <f>IF(OR(DQ$4="",$B23=""),0,SUMIF('DADOS BRUTOS'!$A$3:$A$500,$B23,'DADOS BRUTOS'!AQ$3:AQ$500)+IF($C23="",0,SUMIF('DADOS BRUTOS'!$A$3:$A$500,$C23,'DADOS BRUTOS'!AQ$3:AQ$500)))</f>
        <v/>
      </c>
      <c r="DR23" s="132">
        <f>IF(OR(DR$4="",$B23=""),0,SUMIF('DADOS BRUTOS'!$A$3:$A$500,$B23,'DADOS BRUTOS'!AR$3:AR$500)+IF($C23="",0,SUMIF('DADOS BRUTOS'!$A$3:$A$500,$C23,'DADOS BRUTOS'!AR$3:AR$500)))</f>
        <v/>
      </c>
      <c r="DS23" s="132">
        <f>IF(OR(DS$4="",$B23=""),0,SUMIF('DADOS BRUTOS'!$A$3:$A$500,$B23,'DADOS BRUTOS'!AS$3:AS$500)+IF($C23="",0,SUMIF('DADOS BRUTOS'!$A$3:$A$500,$C23,'DADOS BRUTOS'!AS$3:AS$500)))</f>
        <v/>
      </c>
      <c r="DT23" s="132">
        <f>IF(OR(DT$4="",$B23=""),0,SUMIF('DADOS BRUTOS'!$A$3:$A$500,$B23,'DADOS BRUTOS'!AT$3:AT$500)+IF($C23="",0,SUMIF('DADOS BRUTOS'!$A$3:$A$500,$C23,'DADOS BRUTOS'!AT$3:AT$500)))</f>
        <v/>
      </c>
      <c r="DU23" s="132">
        <f>IF(OR(DU$4="",$B23=""),0,SUMIF('DADOS BRUTOS'!$A$3:$A$500,$B23,'DADOS BRUTOS'!AU$3:AU$500)+IF($C23="",0,SUMIF('DADOS BRUTOS'!$A$3:$A$500,$C23,'DADOS BRUTOS'!AU$3:AU$500)))</f>
        <v/>
      </c>
      <c r="DV23" s="132">
        <f>IF(OR(DV$4="",$B23=""),0,SUMIF('DADOS BRUTOS'!$A$3:$A$500,$B23,'DADOS BRUTOS'!AV$3:AV$500)+IF($C23="",0,SUMIF('DADOS BRUTOS'!$A$3:$A$500,$C23,'DADOS BRUTOS'!AV$3:AV$500)))</f>
        <v/>
      </c>
      <c r="DW23" s="132">
        <f>IF(OR(DW$4="",$B23=""),0,SUMIF('DADOS BRUTOS'!$A$3:$A$500,$B23,'DADOS BRUTOS'!AW$3:AW$500)+IF($C23="",0,SUMIF('DADOS BRUTOS'!$A$3:$A$500,$C23,'DADOS BRUTOS'!AW$3:AW$500)))</f>
        <v/>
      </c>
      <c r="DX23" s="132">
        <f>IF(OR(DX$4="",$B23=""),0,SUMIF('DADOS BRUTOS'!$A$3:$A$500,$B23,'DADOS BRUTOS'!AX$3:AX$500)+IF($C23="",0,SUMIF('DADOS BRUTOS'!$A$3:$A$500,$C23,'DADOS BRUTOS'!AX$3:AX$500)))</f>
        <v/>
      </c>
      <c r="DY23" s="132">
        <f>IF(OR(DY$4="",$B23=""),0,SUMIF('DADOS BRUTOS'!$A$3:$A$500,$B23,'DADOS BRUTOS'!AY$3:AY$500)+IF($C23="",0,SUMIF('DADOS BRUTOS'!$A$3:$A$500,$C23,'DADOS BRUTOS'!AY$3:AY$500)))</f>
        <v/>
      </c>
      <c r="DZ23" s="132">
        <f>IF(OR(DZ$4="",$B23=""),0,SUMIF('DADOS BRUTOS'!$A$3:$A$500,$B23,'DADOS BRUTOS'!AZ$3:AZ$500)+IF($C23="",0,SUMIF('DADOS BRUTOS'!$A$3:$A$500,$C23,'DADOS BRUTOS'!AZ$3:AZ$500)))</f>
        <v/>
      </c>
      <c r="EA23" s="132">
        <f>IF(OR(EA$4="",$B23=""),0,SUMIF('DADOS BRUTOS'!$A$3:$A$500,$B23,'DADOS BRUTOS'!BA$3:BA$500)+IF($C23="",0,SUMIF('DADOS BRUTOS'!$A$3:$A$500,$C23,'DADOS BRUTOS'!BA$3:BA$500)))</f>
        <v/>
      </c>
      <c r="EB23" s="132">
        <f>IF(OR(EB$4="",$B23=""),0,SUMIF('DADOS BRUTOS'!$A$3:$A$500,$B23,'DADOS BRUTOS'!BB$3:BB$500)+IF($C23="",0,SUMIF('DADOS BRUTOS'!$A$3:$A$500,$C23,'DADOS BRUTOS'!BB$3:BB$500)))</f>
        <v/>
      </c>
      <c r="EC23" s="132">
        <f>IF(OR(EC$4="",$B23=""),0,SUMIF('DADOS BRUTOS'!$A$3:$A$500,$B23,'DADOS BRUTOS'!BC$3:BC$500)+IF($C23="",0,SUMIF('DADOS BRUTOS'!$A$3:$A$500,$C23,'DADOS BRUTOS'!BC$3:BC$500)))</f>
        <v/>
      </c>
      <c r="ED23" s="132">
        <f>IF(OR(ED$4="",$B23=""),0,SUMIF('DADOS BRUTOS'!$A$3:$A$500,$B23,'DADOS BRUTOS'!BD$3:BD$500)+IF($C23="",0,SUMIF('DADOS BRUTOS'!$A$3:$A$500,$C23,'DADOS BRUTOS'!BD$3:BD$500)))</f>
        <v/>
      </c>
      <c r="EE23" s="132">
        <f>IF(OR(EE$4="",$B23=""),0,SUMIF('DADOS BRUTOS'!$A$3:$A$500,$B23,'DADOS BRUTOS'!BE$3:BE$500)+IF($C23="",0,SUMIF('DADOS BRUTOS'!$A$3:$A$500,$C23,'DADOS BRUTOS'!BE$3:BE$500)))</f>
        <v/>
      </c>
      <c r="EF23" s="132">
        <f>IF(OR(EF$4="",$B23=""),0,SUMIF('DADOS BRUTOS'!$A$3:$A$500,$B23,'DADOS BRUTOS'!BF$3:BF$500)+IF($C23="",0,SUMIF('DADOS BRUTOS'!$A$3:$A$500,$C23,'DADOS BRUTOS'!BF$3:BF$500)))</f>
        <v/>
      </c>
      <c r="EG23" s="132">
        <f>IF(OR(EG$4="",$B23=""),0,SUMIF('DADOS BRUTOS'!$A$3:$A$500,$B23,'DADOS BRUTOS'!BG$3:BG$500)+IF($C23="",0,SUMIF('DADOS BRUTOS'!$A$3:$A$500,$C23,'DADOS BRUTOS'!BG$3:BG$500)))</f>
        <v/>
      </c>
      <c r="EH23" s="132">
        <f>IF(OR(EH$4="",$B23=""),0,SUMIF('DADOS BRUTOS'!$A$3:$A$500,$B23,'DADOS BRUTOS'!BH$3:BH$500)+IF($C23="",0,SUMIF('DADOS BRUTOS'!$A$3:$A$500,$C23,'DADOS BRUTOS'!BH$3:BH$500)))</f>
        <v/>
      </c>
      <c r="EI23" s="132">
        <f>IF(OR(EI$4="",$B23=""),0,SUMIF('DADOS BRUTOS'!$A$3:$A$500,$B23,'DADOS BRUTOS'!BI$3:BI$500)+IF($C23="",0,SUMIF('DADOS BRUTOS'!$A$3:$A$500,$C23,'DADOS BRUTOS'!BI$3:BI$500)))</f>
        <v/>
      </c>
      <c r="EJ23" s="132">
        <f>IF(OR(EJ$4="",$B23=""),0,SUMIF('DADOS BRUTOS'!$A$3:$A$500,$B23,'DADOS BRUTOS'!BJ$3:BJ$500)+IF($C23="",0,SUMIF('DADOS BRUTOS'!$A$3:$A$500,$C23,'DADOS BRUTOS'!BJ$3:BJ$500)))</f>
        <v/>
      </c>
      <c r="EK23" s="132">
        <f>IF(OR(EK$4="",$B23=""),0,SUMIF('DADOS BRUTOS'!$A$3:$A$500,$B23,'DADOS BRUTOS'!BK$3:BK$500)+IF($C23="",0,SUMIF('DADOS BRUTOS'!$A$3:$A$500,$C23,'DADOS BRUTOS'!BK$3:BK$500)))</f>
        <v/>
      </c>
      <c r="EL23" s="132">
        <f>IF(OR(EL$4="",$B23=""),0,SUMIF('DADOS BRUTOS'!$A$3:$A$500,$B23,'DADOS BRUTOS'!BL$3:BL$500)+IF($C23="",0,SUMIF('DADOS BRUTOS'!$A$3:$A$500,$C23,'DADOS BRUTOS'!BL$3:BL$500)))</f>
        <v/>
      </c>
      <c r="EM23" s="132">
        <f>IF(OR(EM$4="",$B23=""),0,SUMIF('DADOS BRUTOS'!$A$3:$A$500,$B23,'DADOS BRUTOS'!BM$3:BM$500)+IF($C23="",0,SUMIF('DADOS BRUTOS'!$A$3:$A$500,$C23,'DADOS BRUTOS'!BM$3:BM$500)))</f>
        <v/>
      </c>
      <c r="EN23" s="132">
        <f>IF(OR(EN$4="",$B23=""),0,SUMIF('DADOS BRUTOS'!$A$3:$A$500,$B23,'DADOS BRUTOS'!BN$3:BN$500)+IF($C23="",0,SUMIF('DADOS BRUTOS'!$A$3:$A$500,$C23,'DADOS BRUTOS'!BN$3:BN$500)))</f>
        <v/>
      </c>
      <c r="EO23" s="132">
        <f>IF(OR(EO$4="",$B23=""),0,SUMIF('DADOS BRUTOS'!$A$3:$A$500,$B23,'DADOS BRUTOS'!BO$3:BO$500)+IF($C23="",0,SUMIF('DADOS BRUTOS'!$A$3:$A$500,$C23,'DADOS BRUTOS'!BO$3:BO$500)))</f>
        <v/>
      </c>
      <c r="EP23" s="132">
        <f>IF(OR(EP$4="",$B23=""),0,SUMIF('DADOS BRUTOS'!$A$3:$A$500,$B23,'DADOS BRUTOS'!BP$3:BP$500)+IF($C23="",0,SUMIF('DADOS BRUTOS'!$A$3:$A$500,$C23,'DADOS BRUTOS'!BP$3:BP$500)))</f>
        <v/>
      </c>
      <c r="EQ23" s="132">
        <f>IF(OR(EQ$4="",$B23=""),0,SUMIF('DADOS BRUTOS'!$A$3:$A$500,$B23,'DADOS BRUTOS'!BQ$3:BQ$500)+IF($C23="",0,SUMIF('DADOS BRUTOS'!$A$3:$A$500,$C23,'DADOS BRUTOS'!BQ$3:BQ$500)))</f>
        <v/>
      </c>
      <c r="ER23" s="132">
        <f>IF(OR(ER$4="",$B23=""),0,SUMIF('DADOS BRUTOS'!$A$3:$A$500,$B23,'DADOS BRUTOS'!BR$3:BR$500)+IF($C23="",0,SUMIF('DADOS BRUTOS'!$A$3:$A$500,$C23,'DADOS BRUTOS'!BR$3:BR$500)))</f>
        <v/>
      </c>
      <c r="ES23" s="132">
        <f>IF(OR(ES$4="",$B23=""),0,SUMIF('DADOS BRUTOS'!$A$3:$A$500,$B23,'DADOS BRUTOS'!BS$3:BS$500)+IF($C23="",0,SUMIF('DADOS BRUTOS'!$A$3:$A$500,$C23,'DADOS BRUTOS'!BS$3:BS$500)))</f>
        <v/>
      </c>
      <c r="ET23" s="132">
        <f>IF(OR(ET$4="",$B23=""),0,SUMIF('DADOS BRUTOS'!$A$3:$A$500,$B23,'DADOS BRUTOS'!BT$3:BT$500)+IF($C23="",0,SUMIF('DADOS BRUTOS'!$A$3:$A$500,$C23,'DADOS BRUTOS'!BT$3:BT$500)))</f>
        <v/>
      </c>
      <c r="EU23" s="132">
        <f>IF(OR(EU$4="",$B23=""),0,SUMIF('DADOS BRUTOS'!$A$3:$A$500,$B23,'DADOS BRUTOS'!BU$3:BU$500)+IF($C23="",0,SUMIF('DADOS BRUTOS'!$A$3:$A$500,$C23,'DADOS BRUTOS'!BU$3:BU$500)))</f>
        <v/>
      </c>
      <c r="EV23" s="132">
        <f>IF(OR(EV$4="",$B23=""),0,SUMIF('DADOS BRUTOS'!$A$3:$A$500,$B23,'DADOS BRUTOS'!BV$3:BV$500)+IF($C23="",0,SUMIF('DADOS BRUTOS'!$A$3:$A$500,$C23,'DADOS BRUTOS'!BV$3:BV$500)))</f>
        <v/>
      </c>
      <c r="EW23" s="132">
        <f>IF(OR(EW$4="",$B23=""),0,SUMIF('DADOS BRUTOS'!$A$3:$A$500,$B23,'DADOS BRUTOS'!BW$3:BW$500)+IF($C23="",0,SUMIF('DADOS BRUTOS'!$A$3:$A$500,$C23,'DADOS BRUTOS'!BW$3:BW$500)))</f>
        <v/>
      </c>
      <c r="EX23" s="132">
        <f>IF(OR(EX$4="",$B23=""),0,SUMIF('DADOS BRUTOS'!$A$3:$A$500,$B23,'DADOS BRUTOS'!BX$3:BX$500)+IF($C23="",0,SUMIF('DADOS BRUTOS'!$A$3:$A$500,$C23,'DADOS BRUTOS'!BX$3:BX$500)))</f>
        <v/>
      </c>
      <c r="EY23" s="132">
        <f>IF(OR(EY$4="",$B23=""),0,SUMIF('DADOS BRUTOS'!$A$3:$A$500,$B23,'DADOS BRUTOS'!BY$3:BY$500)+IF($C23="",0,SUMIF('DADOS BRUTOS'!$A$3:$A$500,$C23,'DADOS BRUTOS'!BY$3:BY$500)))</f>
        <v/>
      </c>
      <c r="EZ23" s="132">
        <f>IF(OR(EZ$4="",$B23=""),0,SUMIF('DADOS BRUTOS'!$A$3:$A$500,$B23,'DADOS BRUTOS'!BZ$3:BZ$500)+IF($C23="",0,SUMIF('DADOS BRUTOS'!$A$3:$A$500,$C23,'DADOS BRUTOS'!BZ$3:BZ$500)))</f>
        <v/>
      </c>
      <c r="FA23" s="132">
        <f>IF(OR(FA$4="",$B23=""),0,SUMIF('DADOS BRUTOS'!$A$3:$A$500,$B23,'DADOS BRUTOS'!CA$3:CA$500)+IF($C23="",0,SUMIF('DADOS BRUTOS'!$A$3:$A$500,$C23,'DADOS BRUTOS'!CA$3:CA$500)))</f>
        <v/>
      </c>
      <c r="FB23" s="132">
        <f>IF(OR(FB$4="",$B23=""),0,SUMIF('DADOS BRUTOS'!$A$3:$A$500,$B23,'DADOS BRUTOS'!CB$3:CB$500)+IF($C23="",0,SUMIF('DADOS BRUTOS'!$A$3:$A$500,$C23,'DADOS BRUTOS'!CB$3:CB$500)))</f>
        <v/>
      </c>
      <c r="FC23" s="132">
        <f>IF(OR(FC$4="",$B23=""),0,SUMIF('DADOS BRUTOS'!$A$3:$A$500,$B23,'DADOS BRUTOS'!CC$3:CC$500)+IF($C23="",0,SUMIF('DADOS BRUTOS'!$A$3:$A$500,$C23,'DADOS BRUTOS'!CC$3:CC$500)))</f>
        <v/>
      </c>
      <c r="FD23" s="132">
        <f>IF(OR(FD$4="",$B23=""),0,SUMIF('DADOS BRUTOS'!$A$3:$A$500,$B23,'DADOS BRUTOS'!CD$3:CD$500)+IF($C23="",0,SUMIF('DADOS BRUTOS'!$A$3:$A$500,$C23,'DADOS BRUTOS'!CD$3:CD$500)))</f>
        <v/>
      </c>
      <c r="FE23" s="132">
        <f>IF(OR(FE$4="",$B23=""),0,SUMIF('DADOS BRUTOS'!$A$3:$A$500,$B23,'DADOS BRUTOS'!CE$3:CE$500)+IF($C23="",0,SUMIF('DADOS BRUTOS'!$A$3:$A$500,$C23,'DADOS BRUTOS'!CE$3:CE$500)))</f>
        <v/>
      </c>
      <c r="FF23" s="132">
        <f>IF(OR(FF$4="",$B23=""),0,SUMIF('DADOS BRUTOS'!$A$3:$A$500,$B23,'DADOS BRUTOS'!CF$3:CF$500)+IF($C23="",0,SUMIF('DADOS BRUTOS'!$A$3:$A$500,$C23,'DADOS BRUTOS'!CF$3:CF$500)))</f>
        <v/>
      </c>
      <c r="FG23" s="132">
        <f>IF(OR(FG$4="",$B23=""),0,SUMIF('DADOS BRUTOS'!$A$3:$A$500,$B23,'DADOS BRUTOS'!CG$3:CG$500)+IF($C23="",0,SUMIF('DADOS BRUTOS'!$A$3:$A$500,$C23,'DADOS BRUTOS'!CG$3:CG$500)))</f>
        <v/>
      </c>
      <c r="FH23" s="132">
        <f>IF(OR(FH$4="",$B23=""),0,SUMIF('DADOS BRUTOS'!$A$3:$A$500,$B23,'DADOS BRUTOS'!CH$3:CH$500)+IF($C23="",0,SUMIF('DADOS BRUTOS'!$A$3:$A$500,$C23,'DADOS BRUTOS'!CH$3:CH$500)))</f>
        <v/>
      </c>
      <c r="FI23" s="132">
        <f>IF(OR(FI$4="",$B23=""),0,SUMIF('DADOS BRUTOS'!$A$3:$A$500,$B23,'DADOS BRUTOS'!CI$3:CI$500)+IF($C23="",0,SUMIF('DADOS BRUTOS'!$A$3:$A$500,$C23,'DADOS BRUTOS'!CI$3:CI$500)))</f>
        <v/>
      </c>
      <c r="FJ23" s="132">
        <f>IF(OR(FJ$4="",$B23=""),0,SUMIF('DADOS BRUTOS'!$A$3:$A$500,$B23,'DADOS BRUTOS'!CJ$3:CJ$500)+IF($C23="",0,SUMIF('DADOS BRUTOS'!$A$3:$A$500,$C23,'DADOS BRUTOS'!CJ$3:CJ$500)))</f>
        <v/>
      </c>
      <c r="FK23" s="132">
        <f>IF(OR(FK$4="",$B23=""),0,SUMIF('DADOS BRUTOS'!$A$3:$A$500,$B23,'DADOS BRUTOS'!CK$3:CK$500)+IF($C23="",0,SUMIF('DADOS BRUTOS'!$A$3:$A$500,$C23,'DADOS BRUTOS'!CK$3:CK$500)))</f>
        <v/>
      </c>
      <c r="FL23" s="132">
        <f>IF(OR(FL$4="",$B23=""),0,SUMIF('DADOS BRUTOS'!$A$3:$A$500,$B23,'DADOS BRUTOS'!CL$3:CL$500)+IF($C23="",0,SUMIF('DADOS BRUTOS'!$A$3:$A$500,$C23,'DADOS BRUTOS'!CL$3:CL$500)))</f>
        <v/>
      </c>
      <c r="FM23" s="132">
        <f>IF(OR(FM$4="",$B23=""),0,SUMIF('DADOS BRUTOS'!$A$3:$A$500,$B23,'DADOS BRUTOS'!CM$3:CM$500)+IF($C23="",0,SUMIF('DADOS BRUTOS'!$A$3:$A$500,$C23,'DADOS BRUTOS'!CM$3:CM$500)))</f>
        <v/>
      </c>
      <c r="FN23" s="132">
        <f>IF(OR(FN$4="",$B23=""),0,SUMIF('DADOS BRUTOS'!$A$3:$A$500,$B23,'DADOS BRUTOS'!CN$3:CN$500)+IF($C23="",0,SUMIF('DADOS BRUTOS'!$A$3:$A$500,$C23,'DADOS BRUTOS'!CN$3:CN$500)))</f>
        <v/>
      </c>
      <c r="FO23" s="132">
        <f>IF(OR(FO$4="",$B23=""),0,SUMIF('DADOS BRUTOS'!$A$3:$A$500,$B23,'DADOS BRUTOS'!CO$3:CO$500)+IF($C23="",0,SUMIF('DADOS BRUTOS'!$A$3:$A$500,$C23,'DADOS BRUTOS'!CO$3:CO$500)))</f>
        <v/>
      </c>
      <c r="FP23" s="132">
        <f>IF(OR(FP$4="",$B23=""),0,SUMIF('DADOS BRUTOS'!$A$3:$A$500,$B23,'DADOS BRUTOS'!CP$3:CP$500)+IF($C23="",0,SUMIF('DADOS BRUTOS'!$A$3:$A$500,$C23,'DADOS BRUTOS'!CP$3:CP$500)))</f>
        <v/>
      </c>
      <c r="FQ23" s="132">
        <f>IF(OR(FQ$4="",$B23=""),0,SUMIF('DADOS BRUTOS'!$A$3:$A$500,$B23,'DADOS BRUTOS'!CQ$3:CQ$500)+IF($C23="",0,SUMIF('DADOS BRUTOS'!$A$3:$A$500,$C23,'DADOS BRUTOS'!CQ$3:CQ$500)))</f>
        <v/>
      </c>
      <c r="FR23" s="132">
        <f>IF(OR(FR$4="",$B23=""),0,SUMIF('DADOS BRUTOS'!$A$3:$A$500,$B23,'DADOS BRUTOS'!CR$3:CR$500)+IF($C23="",0,SUMIF('DADOS BRUTOS'!$A$3:$A$500,$C23,'DADOS BRUTOS'!CR$3:CR$500)))</f>
        <v/>
      </c>
      <c r="FS23" s="132">
        <f>IF(OR(FS$4="",$B23=""),0,SUMIF('DADOS BRUTOS'!$A$3:$A$500,$B23,'DADOS BRUTOS'!CS$3:CS$500)+IF($C23="",0,SUMIF('DADOS BRUTOS'!$A$3:$A$500,$C23,'DADOS BRUTOS'!CS$3:CS$500)))</f>
        <v/>
      </c>
      <c r="FT23" s="132">
        <f>IF(OR(FT$4="",$B23=""),0,SUMIF('DADOS BRUTOS'!$A$3:$A$500,$B23,'DADOS BRUTOS'!CT$3:CT$500)+IF($C23="",0,SUMIF('DADOS BRUTOS'!$A$3:$A$500,$C23,'DADOS BRUTOS'!CT$3:CT$500)))</f>
        <v/>
      </c>
      <c r="FU23" s="132">
        <f>IF(OR(FU$4="",$B23=""),0,SUMIF('DADOS BRUTOS'!$A$3:$A$500,$B23,'DADOS BRUTOS'!CU$3:CU$500)+IF($C23="",0,SUMIF('DADOS BRUTOS'!$A$3:$A$500,$C23,'DADOS BRUTOS'!CU$3:CU$500)))</f>
        <v/>
      </c>
      <c r="FV23" s="132">
        <f>IF(OR(FV$4="",$B23=""),0,SUMIF('DADOS BRUTOS'!$A$3:$A$500,$B23,'DADOS BRUTOS'!CV$3:CV$500)+IF($C23="",0,SUMIF('DADOS BRUTOS'!$A$3:$A$500,$C23,'DADOS BRUTOS'!CV$3:CV$500)))</f>
        <v/>
      </c>
      <c r="FW23" s="132">
        <f>IF(OR(FW$4="",$B23=""),0,SUMIF('DADOS BRUTOS'!$A$3:$A$500,$B23,'DADOS BRUTOS'!CW$3:CW$500)+IF($C23="",0,SUMIF('DADOS BRUTOS'!$A$3:$A$500,$C23,'DADOS BRUTOS'!CW$3:CW$500)))</f>
        <v/>
      </c>
      <c r="FX23" s="132">
        <f>IF(OR(FX$4="",$B23=""),0,SUMIF('DADOS BRUTOS'!$A$3:$A$500,$B23,'DADOS BRUTOS'!CX$3:CX$500)+IF($C23="",0,SUMIF('DADOS BRUTOS'!$A$3:$A$500,$C23,'DADOS BRUTOS'!CX$3:CX$500)))</f>
        <v/>
      </c>
      <c r="FY23" s="132">
        <f>IF(OR(FY$4="",$B23=""),0,SUMIF('DADOS BRUTOS'!$A$3:$A$500,$B23,'DADOS BRUTOS'!CY$3:CY$500)+IF($C23="",0,SUMIF('DADOS BRUTOS'!$A$3:$A$500,$C23,'DADOS BRUTOS'!CY$3:CY$500)))</f>
        <v/>
      </c>
      <c r="FZ23" s="132">
        <f>IF(OR(FZ$4="",$B23=""),0,SUMIF('DADOS BRUTOS'!$A$3:$A$500,$B23,'DADOS BRUTOS'!CZ$3:CZ$500)+IF($C23="",0,SUMIF('DADOS BRUTOS'!$A$3:$A$500,$C23,'DADOS BRUTOS'!CZ$3:CZ$500)))</f>
        <v/>
      </c>
      <c r="GA23" s="132">
        <f>IF(OR(GA$4="",$B23=""),0,SUMIF('DADOS BRUTOS'!$A$3:$A$500,$B23,'DADOS BRUTOS'!DA$3:DA$500)+IF($C23="",0,SUMIF('DADOS BRUTOS'!$A$3:$A$500,$C23,'DADOS BRUTOS'!DA$3:DA$500)))</f>
        <v/>
      </c>
      <c r="GB23" s="132">
        <f>IF(OR(GB$4="",$B23=""),0,SUMIF('DADOS BRUTOS'!$A$3:$A$500,$B23,'DADOS BRUTOS'!DB$3:DB$500)+IF($C23="",0,SUMIF('DADOS BRUTOS'!$A$3:$A$500,$C23,'DADOS BRUTOS'!DB$3:DB$500)))</f>
        <v/>
      </c>
      <c r="GC23" s="132">
        <f>IF(OR(GC$4="",$B23=""),0,SUMIF('DADOS BRUTOS'!$A$3:$A$500,$B23,'DADOS BRUTOS'!DC$3:DC$500)+IF($C23="",0,SUMIF('DADOS BRUTOS'!$A$3:$A$500,$C23,'DADOS BRUTOS'!DC$3:DC$500)))</f>
        <v/>
      </c>
      <c r="GD23" s="132">
        <f>IF(OR(GD$4="",$B23=""),0,SUMIF('DADOS BRUTOS'!$A$3:$A$500,$B23,'DADOS BRUTOS'!DD$3:DD$500)+IF($C23="",0,SUMIF('DADOS BRUTOS'!$A$3:$A$500,$C23,'DADOS BRUTOS'!DD$3:DD$500)))</f>
        <v/>
      </c>
      <c r="GE23" s="132">
        <f>IF(OR(GE$4="",$B23=""),0,SUMIF('DADOS BRUTOS'!$A$3:$A$500,$B23,'DADOS BRUTOS'!DE$3:DE$500)+IF($C23="",0,SUMIF('DADOS BRUTOS'!$A$3:$A$500,$C23,'DADOS BRUTOS'!DE$3:DE$500)))</f>
        <v/>
      </c>
      <c r="GF23" s="132">
        <f>IF(OR(GF$4="",$B23=""),0,SUMIF('DADOS BRUTOS'!$A$3:$A$500,$B23,'DADOS BRUTOS'!DF$3:DF$500)+IF($C23="",0,SUMIF('DADOS BRUTOS'!$A$3:$A$500,$C23,'DADOS BRUTOS'!DF$3:DF$500)))</f>
        <v/>
      </c>
      <c r="GG23" s="132">
        <f>IF(OR(GG$4="",$B23=""),0,SUMIF('DADOS BRUTOS'!$A$3:$A$500,$B23,'DADOS BRUTOS'!DG$3:DG$500)+IF($C23="",0,SUMIF('DADOS BRUTOS'!$A$3:$A$500,$C23,'DADOS BRUTOS'!DG$3:DG$500)))</f>
        <v/>
      </c>
      <c r="GH23" s="132">
        <f>IF(OR(GH$4="",$B23=""),0,SUMIF('DADOS BRUTOS'!$A$3:$A$500,$B23,'DADOS BRUTOS'!DH$3:DH$500)+IF($C23="",0,SUMIF('DADOS BRUTOS'!$A$3:$A$500,$C23,'DADOS BRUTOS'!DH$3:DH$500)))</f>
        <v/>
      </c>
      <c r="GI23" s="132">
        <f>IF(OR(GI$4="",$B23=""),0,SUMIF('DADOS BRUTOS'!$A$3:$A$500,$B23,'DADOS BRUTOS'!DI$3:DI$500)+IF($C23="",0,SUMIF('DADOS BRUTOS'!$A$3:$A$500,$C23,'DADOS BRUTOS'!DI$3:DI$500)))</f>
        <v/>
      </c>
      <c r="GJ23" s="132">
        <f>IF(OR(GJ$4="",$B23=""),0,SUMIF('DADOS BRUTOS'!$A$3:$A$500,$B23,'DADOS BRUTOS'!DJ$3:DJ$500)+IF($C23="",0,SUMIF('DADOS BRUTOS'!$A$3:$A$500,$C23,'DADOS BRUTOS'!DJ$3:DJ$500)))</f>
        <v/>
      </c>
      <c r="GK23" s="132">
        <f>IF(OR(GK$4="",$B23=""),0,SUMIF('DADOS BRUTOS'!$A$3:$A$500,$B23,'DADOS BRUTOS'!DK$3:DK$500)+IF($C23="",0,SUMIF('DADOS BRUTOS'!$A$3:$A$500,$C23,'DADOS BRUTOS'!DK$3:DK$500)))</f>
        <v/>
      </c>
      <c r="GL23" s="132">
        <f>IF(OR(GL$4="",$B23=""),0,SUMIF('DADOS BRUTOS'!$A$3:$A$500,$B23,'DADOS BRUTOS'!DL$3:DL$500)+IF($C23="",0,SUMIF('DADOS BRUTOS'!$A$3:$A$500,$C23,'DADOS BRUTOS'!DL$3:DL$500)))</f>
        <v/>
      </c>
      <c r="GM23" s="132">
        <f>IF(OR(GM$4="",$B23=""),0,SUMIF('DADOS BRUTOS'!$A$3:$A$500,$B23,'DADOS BRUTOS'!DM$3:DM$500)+IF($C23="",0,SUMIF('DADOS BRUTOS'!$A$3:$A$500,$C23,'DADOS BRUTOS'!DM$3:DM$500)))</f>
        <v/>
      </c>
      <c r="GN23" s="132">
        <f>IF(OR(GN$4="",$B23=""),0,SUMIF('DADOS BRUTOS'!$A$3:$A$500,$B23,'DADOS BRUTOS'!DN$3:DN$500)+IF($C23="",0,SUMIF('DADOS BRUTOS'!$A$3:$A$500,$C23,'DADOS BRUTOS'!DN$3:DN$500)))</f>
        <v/>
      </c>
      <c r="GO23" s="132">
        <f>IF(OR(GO$4="",$B23=""),0,SUMIF('DADOS BRUTOS'!$A$3:$A$500,$B23,'DADOS BRUTOS'!DO$3:DO$500)+IF($C23="",0,SUMIF('DADOS BRUTOS'!$A$3:$A$500,$C23,'DADOS BRUTOS'!DO$3:DO$500)))</f>
        <v/>
      </c>
      <c r="GP23" s="132">
        <f>IF(OR(GP$4="",$B23=""),0,SUMIF('DADOS BRUTOS'!$A$3:$A$500,$B23,'DADOS BRUTOS'!DP$3:DP$500)+IF($C23="",0,SUMIF('DADOS BRUTOS'!$A$3:$A$500,$C23,'DADOS BRUTOS'!DP$3:DP$500)))</f>
        <v/>
      </c>
      <c r="GQ23" s="132">
        <f>IF(OR(GQ$4="",$B23=""),0,SUMIF('DADOS BRUTOS'!$A$3:$A$500,$B23,'DADOS BRUTOS'!DQ$3:DQ$500)+IF($C23="",0,SUMIF('DADOS BRUTOS'!$A$3:$A$500,$C23,'DADOS BRUTOS'!DQ$3:DQ$500)))</f>
        <v/>
      </c>
      <c r="GR23" s="132">
        <f>IF(OR(GR$4="",$B23=""),0,SUMIF('DADOS BRUTOS'!$A$3:$A$500,$B23,'DADOS BRUTOS'!DR$3:DR$500)+IF($C23="",0,SUMIF('DADOS BRUTOS'!$A$3:$A$500,$C23,'DADOS BRUTOS'!DR$3:DR$500)))</f>
        <v/>
      </c>
      <c r="GS23" s="132">
        <f>IF(OR(GS$4="",$B23=""),0,SUMIF('DADOS BRUTOS'!$A$3:$A$500,$B23,'DADOS BRUTOS'!DS$3:DS$500)+IF($C23="",0,SUMIF('DADOS BRUTOS'!$A$3:$A$500,$C23,'DADOS BRUTOS'!DS$3:DS$500)))</f>
        <v/>
      </c>
      <c r="GT23" s="132">
        <f>IF(OR(GT$4="",$B23=""),0,SUMIF('DADOS BRUTOS'!$A$3:$A$500,$B23,'DADOS BRUTOS'!DT$3:DT$500)+IF($C23="",0,SUMIF('DADOS BRUTOS'!$A$3:$A$500,$C23,'DADOS BRUTOS'!DT$3:DT$500)))</f>
        <v/>
      </c>
      <c r="GU23" s="132">
        <f>IF(OR(GU$4="",$B23=""),0,SUMIF('DADOS BRUTOS'!$A$3:$A$500,$B23,'DADOS BRUTOS'!DU$3:DU$500)+IF($C23="",0,SUMIF('DADOS BRUTOS'!$A$3:$A$500,$C23,'DADOS BRUTOS'!DU$3:DU$500)))</f>
        <v/>
      </c>
      <c r="GV23" s="132">
        <f>IF(OR(GV$4="",$B23=""),0,SUMIF('DADOS BRUTOS'!$A$3:$A$500,$B23,'DADOS BRUTOS'!DV$3:DV$500)+IF($C23="",0,SUMIF('DADOS BRUTOS'!$A$3:$A$500,$C23,'DADOS BRUTOS'!DV$3:DV$500)))</f>
        <v/>
      </c>
      <c r="GW23" s="132">
        <f>IF(OR(GW$4="",$B23=""),0,SUMIF('DADOS BRUTOS'!$A$3:$A$500,$B23,'DADOS BRUTOS'!DW$3:DW$500)+IF($C23="",0,SUMIF('DADOS BRUTOS'!$A$3:$A$500,$C23,'DADOS BRUTOS'!DW$3:DW$500)))</f>
        <v/>
      </c>
      <c r="GX23" s="132">
        <f>IF(OR(GX$4="",$B23=""),0,SUMIF('DADOS BRUTOS'!$A$3:$A$500,$B23,'DADOS BRUTOS'!DX$3:DX$500)+IF($C23="",0,SUMIF('DADOS BRUTOS'!$A$3:$A$500,$C23,'DADOS BRUTOS'!DX$3:DX$500)))</f>
        <v/>
      </c>
      <c r="GY23" s="132">
        <f>IF(OR(GY$4="",$B23=""),0,SUMIF('DADOS BRUTOS'!$A$3:$A$500,$B23,'DADOS BRUTOS'!DY$3:DY$500)+IF($C23="",0,SUMIF('DADOS BRUTOS'!$A$3:$A$500,$C23,'DADOS BRUTOS'!DY$3:DY$500)))</f>
        <v/>
      </c>
      <c r="GZ23" s="132">
        <f>IF(OR(GZ$4="",$B23=""),0,SUMIF('DADOS BRUTOS'!$A$3:$A$500,$B23,'DADOS BRUTOS'!DZ$3:DZ$500)+IF($C23="",0,SUMIF('DADOS BRUTOS'!$A$3:$A$500,$C23,'DADOS BRUTOS'!DZ$3:DZ$500)))</f>
        <v/>
      </c>
      <c r="HA23" s="132">
        <f>IF(OR(HA$4="",$B23=""),0,SUMIF('DADOS BRUTOS'!$A$3:$A$500,$B23,'DADOS BRUTOS'!EA$3:EA$500)+IF($C23="",0,SUMIF('DADOS BRUTOS'!$A$3:$A$500,$C23,'DADOS BRUTOS'!EA$3:EA$500)))</f>
        <v/>
      </c>
      <c r="HB23" s="132">
        <f>IF(OR(HB$4="",$B23=""),0,SUMIF('DADOS BRUTOS'!$A$3:$A$500,$B23,'DADOS BRUTOS'!EB$3:EB$500)+IF($C23="",0,SUMIF('DADOS BRUTOS'!$A$3:$A$500,$C23,'DADOS BRUTOS'!EB$3:EB$500)))</f>
        <v/>
      </c>
      <c r="HC23" s="132">
        <f>IF(OR(HC$4="",$B23=""),0,SUMIF('DADOS BRUTOS'!$A$3:$A$500,$B23,'DADOS BRUTOS'!EC$3:EC$500)+IF($C23="",0,SUMIF('DADOS BRUTOS'!$A$3:$A$500,$C23,'DADOS BRUTOS'!EC$3:EC$500)))</f>
        <v/>
      </c>
      <c r="HD23" s="132">
        <f>IF(OR(HD$4="",$B23=""),0,SUMIF('DADOS BRUTOS'!$A$3:$A$500,$B23,'DADOS BRUTOS'!ED$3:ED$500)+IF($C23="",0,SUMIF('DADOS BRUTOS'!$A$3:$A$500,$C23,'DADOS BRUTOS'!ED$3:ED$500)))</f>
        <v/>
      </c>
      <c r="HE23" s="132">
        <f>IF(OR(HE$4="",$B23=""),0,SUMIF('DADOS BRUTOS'!$A$3:$A$500,$B23,'DADOS BRUTOS'!EE$3:EE$500)+IF($C23="",0,SUMIF('DADOS BRUTOS'!$A$3:$A$500,$C23,'DADOS BRUTOS'!EE$3:EE$500)))</f>
        <v/>
      </c>
      <c r="HF23" s="132">
        <f>IF(OR(HF$4="",$B23=""),0,SUMIF('DADOS BRUTOS'!$A$3:$A$500,$B23,'DADOS BRUTOS'!EF$3:EF$500)+IF($C23="",0,SUMIF('DADOS BRUTOS'!$A$3:$A$500,$C23,'DADOS BRUTOS'!EF$3:EF$500)))</f>
        <v/>
      </c>
      <c r="HG23" s="132">
        <f>IF(OR(HG$4="",$B23=""),0,SUMIF('DADOS BRUTOS'!$A$3:$A$500,$B23,'DADOS BRUTOS'!EG$3:EG$500)+IF($C23="",0,SUMIF('DADOS BRUTOS'!$A$3:$A$500,$C23,'DADOS BRUTOS'!EG$3:EG$500)))</f>
        <v/>
      </c>
      <c r="HH23" s="132">
        <f>IF(OR(HH$4="",$B23=""),0,SUMIF('DADOS BRUTOS'!$A$3:$A$500,$B23,'DADOS BRUTOS'!EH$3:EH$500)+IF($C23="",0,SUMIF('DADOS BRUTOS'!$A$3:$A$500,$C23,'DADOS BRUTOS'!EH$3:EH$500)))</f>
        <v/>
      </c>
      <c r="HI23" s="132">
        <f>IF(OR(HI$4="",$B23=""),0,SUMIF('DADOS BRUTOS'!$A$3:$A$500,$B23,'DADOS BRUTOS'!EI$3:EI$500)+IF($C23="",0,SUMIF('DADOS BRUTOS'!$A$3:$A$500,$C23,'DADOS BRUTOS'!EI$3:EI$500)))</f>
        <v/>
      </c>
      <c r="HJ23" s="132">
        <f>IF(OR(HJ$4="",$B23=""),0,SUMIF('DADOS BRUTOS'!$A$3:$A$500,$B23,'DADOS BRUTOS'!EJ$3:EJ$500)+IF($C23="",0,SUMIF('DADOS BRUTOS'!$A$3:$A$500,$C23,'DADOS BRUTOS'!EJ$3:EJ$500)))</f>
        <v/>
      </c>
      <c r="HK23" s="132">
        <f>IF(OR(HK$4="",$B23=""),0,SUMIF('DADOS BRUTOS'!$A$3:$A$500,$B23,'DADOS BRUTOS'!EK$3:EK$500)+IF($C23="",0,SUMIF('DADOS BRUTOS'!$A$3:$A$500,$C23,'DADOS BRUTOS'!EK$3:EK$500)))</f>
        <v/>
      </c>
      <c r="HL23" s="132">
        <f>IF(OR(HL$4="",$B23=""),0,SUMIF('DADOS BRUTOS'!$A$3:$A$500,$B23,'DADOS BRUTOS'!EL$3:EL$500)+IF($C23="",0,SUMIF('DADOS BRUTOS'!$A$3:$A$500,$C23,'DADOS BRUTOS'!EL$3:EL$500)))</f>
        <v/>
      </c>
      <c r="HM23" s="132">
        <f>IF(OR(HM$4="",$B23=""),0,SUMIF('DADOS BRUTOS'!$A$3:$A$500,$B23,'DADOS BRUTOS'!EM$3:EM$500)+IF($C23="",0,SUMIF('DADOS BRUTOS'!$A$3:$A$500,$C23,'DADOS BRUTOS'!EM$3:EM$500)))</f>
        <v/>
      </c>
      <c r="HN23" s="132">
        <f>IF(OR(HN$4="",$B23=""),0,SUMIF('DADOS BRUTOS'!$A$3:$A$500,$B23,'DADOS BRUTOS'!EN$3:EN$500)+IF($C23="",0,SUMIF('DADOS BRUTOS'!$A$3:$A$500,$C23,'DADOS BRUTOS'!EN$3:EN$500)))</f>
        <v/>
      </c>
      <c r="HO23" s="132">
        <f>IF(OR(HO$4="",$B23=""),0,SUMIF('DADOS BRUTOS'!$A$3:$A$500,$B23,'DADOS BRUTOS'!EO$3:EO$500)+IF($C23="",0,SUMIF('DADOS BRUTOS'!$A$3:$A$500,$C23,'DADOS BRUTOS'!EO$3:EO$500)))</f>
        <v/>
      </c>
      <c r="HP23" s="132">
        <f>IF(OR(HP$4="",$B23=""),0,SUMIF('DADOS BRUTOS'!$A$3:$A$500,$B23,'DADOS BRUTOS'!EP$3:EP$500)+IF($C23="",0,SUMIF('DADOS BRUTOS'!$A$3:$A$500,$C23,'DADOS BRUTOS'!EP$3:EP$500)))</f>
        <v/>
      </c>
      <c r="HQ23" s="132">
        <f>IF(OR(HQ$4="",$B23=""),0,SUMIF('DADOS BRUTOS'!$A$3:$A$500,$B23,'DADOS BRUTOS'!EQ$3:EQ$500)+IF($C23="",0,SUMIF('DADOS BRUTOS'!$A$3:$A$500,$C23,'DADOS BRUTOS'!EQ$3:EQ$500)))</f>
        <v/>
      </c>
      <c r="HR23" s="132">
        <f>IF(OR(HR$4="",$B23=""),0,SUMIF('DADOS BRUTOS'!$A$3:$A$500,$B23,'DADOS BRUTOS'!ER$3:ER$500)+IF($C23="",0,SUMIF('DADOS BRUTOS'!$A$3:$A$500,$C23,'DADOS BRUTOS'!ER$3:ER$500)))</f>
        <v/>
      </c>
      <c r="HS23" s="132">
        <f>IF(OR(HS$4="",$B23=""),0,SUMIF('DADOS BRUTOS'!$A$3:$A$500,$B23,'DADOS BRUTOS'!ES$3:ES$500)+IF($C23="",0,SUMIF('DADOS BRUTOS'!$A$3:$A$500,$C23,'DADOS BRUTOS'!ES$3:ES$500)))</f>
        <v/>
      </c>
      <c r="HT23" s="132">
        <f>IF(OR(HT$4="",$B23=""),0,SUMIF('DADOS BRUTOS'!$A$3:$A$500,$B23,'DADOS BRUTOS'!ET$3:ET$500)+IF($C23="",0,SUMIF('DADOS BRUTOS'!$A$3:$A$500,$C23,'DADOS BRUTOS'!ET$3:ET$500)))</f>
        <v/>
      </c>
      <c r="HU23" s="132">
        <f>IF(OR(HU$4="",$B23=""),0,SUMIF('DADOS BRUTOS'!$A$3:$A$500,$B23,'DADOS BRUTOS'!EU$3:EU$500)+IF($C23="",0,SUMIF('DADOS BRUTOS'!$A$3:$A$500,$C23,'DADOS BRUTOS'!EU$3:EU$500)))</f>
        <v/>
      </c>
      <c r="HV23" s="132">
        <f>IF(OR(HV$4="",$B23=""),0,SUMIF('DADOS BRUTOS'!$A$3:$A$500,$B23,'DADOS BRUTOS'!EV$3:EV$500)+IF($C23="",0,SUMIF('DADOS BRUTOS'!$A$3:$A$500,$C23,'DADOS BRUTOS'!EV$3:EV$500)))</f>
        <v/>
      </c>
      <c r="HW23" s="132">
        <f>IF(OR(HW$4="",$B23=""),0,SUMIF('DADOS BRUTOS'!$A$3:$A$500,$B23,'DADOS BRUTOS'!EW$3:EW$500)+IF($C23="",0,SUMIF('DADOS BRUTOS'!$A$3:$A$500,$C23,'DADOS BRUTOS'!EW$3:EW$500)))</f>
        <v/>
      </c>
      <c r="HX23" s="132">
        <f>IF(OR(HX$4="",$B23=""),0,SUMIF('DADOS BRUTOS'!$A$3:$A$500,$B23,'DADOS BRUTOS'!EX$3:EX$500)+IF($C23="",0,SUMIF('DADOS BRUTOS'!$A$3:$A$500,$C23,'DADOS BRUTOS'!EX$3:EX$500)))</f>
        <v/>
      </c>
      <c r="HY23" s="132">
        <f>IF(OR(HY$4="",$B23=""),0,SUMIF('DADOS BRUTOS'!$A$3:$A$500,$B23,'DADOS BRUTOS'!EY$3:EY$500)+IF($C23="",0,SUMIF('DADOS BRUTOS'!$A$3:$A$500,$C23,'DADOS BRUTOS'!EY$3:EY$500)))</f>
        <v/>
      </c>
      <c r="HZ23" s="132">
        <f>IF(OR(HZ$4="",$B23=""),0,SUMIF('DADOS BRUTOS'!$A$3:$A$500,$B23,'DADOS BRUTOS'!EZ$3:EZ$500)+IF($C23="",0,SUMIF('DADOS BRUTOS'!$A$3:$A$500,$C23,'DADOS BRUTOS'!EZ$3:EZ$500)))</f>
        <v/>
      </c>
      <c r="IA23" s="132">
        <f>IF(OR(IA$4="",$B23=""),0,SUMIF('DADOS BRUTOS'!$A$3:$A$500,$B23,'DADOS BRUTOS'!FA$3:FA$500)+IF($C23="",0,SUMIF('DADOS BRUTOS'!$A$3:$A$500,$C23,'DADOS BRUTOS'!FA$3:FA$500)))</f>
        <v/>
      </c>
      <c r="IB23" s="132">
        <f>IF(OR(IB$4="",$B23=""),0,SUMIF('DADOS BRUTOS'!$A$3:$A$500,$B23,'DADOS BRUTOS'!FB$3:FB$500)+IF($C23="",0,SUMIF('DADOS BRUTOS'!$A$3:$A$500,$C23,'DADOS BRUTOS'!FB$3:FB$500)))</f>
        <v/>
      </c>
      <c r="IC23" s="132">
        <f>IF(OR(IC$4="",$B23=""),0,SUMIF('DADOS BRUTOS'!$A$3:$A$500,$B23,'DADOS BRUTOS'!FC$3:FC$500)+IF($C23="",0,SUMIF('DADOS BRUTOS'!$A$3:$A$500,$C23,'DADOS BRUTOS'!FC$3:FC$500)))</f>
        <v/>
      </c>
      <c r="ID23" s="132">
        <f>IF(OR(ID$4="",$B23=""),0,SUMIF('DADOS BRUTOS'!$A$3:$A$500,$B23,'DADOS BRUTOS'!FD$3:FD$500)+IF($C23="",0,SUMIF('DADOS BRUTOS'!$A$3:$A$500,$C23,'DADOS BRUTOS'!FD$3:FD$500)))</f>
        <v/>
      </c>
      <c r="IE23" s="132">
        <f>IF(OR(IE$4="",$B23=""),0,SUMIF('DADOS BRUTOS'!$A$3:$A$500,$B23,'DADOS BRUTOS'!FE$3:FE$500)+IF($C23="",0,SUMIF('DADOS BRUTOS'!$A$3:$A$500,$C23,'DADOS BRUTOS'!FE$3:FE$500)))</f>
        <v/>
      </c>
      <c r="IF23" s="132">
        <f>IF(OR(IF$4="",$B23=""),0,SUMIF('DADOS BRUTOS'!$A$3:$A$500,$B23,'DADOS BRUTOS'!FF$3:FF$500)+IF($C23="",0,SUMIF('DADOS BRUTOS'!$A$3:$A$500,$C23,'DADOS BRUTOS'!FF$3:FF$500)))</f>
        <v/>
      </c>
      <c r="IG23" s="132">
        <f>IF(OR(IG$4="",$B23=""),0,SUMIF('DADOS BRUTOS'!$A$3:$A$500,$B23,'DADOS BRUTOS'!FG$3:FG$500)+IF($C23="",0,SUMIF('DADOS BRUTOS'!$A$3:$A$500,$C23,'DADOS BRUTOS'!FG$3:FG$500)))</f>
        <v/>
      </c>
      <c r="IH23" s="132">
        <f>IF(OR(IH$4="",$B23=""),0,SUMIF('DADOS BRUTOS'!$A$3:$A$500,$B23,'DADOS BRUTOS'!FH$3:FH$500)+IF($C23="",0,SUMIF('DADOS BRUTOS'!$A$3:$A$500,$C23,'DADOS BRUTOS'!FH$3:FH$500)))</f>
        <v/>
      </c>
      <c r="II23" s="132">
        <f>IF(OR(II$4="",$B23=""),0,SUMIF('DADOS BRUTOS'!$A$3:$A$500,$B23,'DADOS BRUTOS'!FI$3:FI$500)+IF($C23="",0,SUMIF('DADOS BRUTOS'!$A$3:$A$500,$C23,'DADOS BRUTOS'!FI$3:FI$500)))</f>
        <v/>
      </c>
      <c r="IJ23" s="132">
        <f>IF(OR(IJ$4="",$B23=""),0,SUMIF('DADOS BRUTOS'!$A$3:$A$500,$B23,'DADOS BRUTOS'!FJ$3:FJ$500)+IF($C23="",0,SUMIF('DADOS BRUTOS'!$A$3:$A$500,$C23,'DADOS BRUTOS'!FJ$3:FJ$500)))</f>
        <v/>
      </c>
      <c r="IK23" s="132">
        <f>IF(OR(IK$4="",$B23=""),0,SUMIF('DADOS BRUTOS'!$A$3:$A$500,$B23,'DADOS BRUTOS'!FK$3:FK$500)+IF($C23="",0,SUMIF('DADOS BRUTOS'!$A$3:$A$500,$C23,'DADOS BRUTOS'!FK$3:FK$500)))</f>
        <v/>
      </c>
      <c r="IL23" s="132">
        <f>IF(OR(IL$4="",$B23=""),0,SUMIF('DADOS BRUTOS'!$A$3:$A$500,$B23,'DADOS BRUTOS'!FL$3:FL$500)+IF($C23="",0,SUMIF('DADOS BRUTOS'!$A$3:$A$500,$C23,'DADOS BRUTOS'!FL$3:FL$500)))</f>
        <v/>
      </c>
      <c r="IM23" s="132">
        <f>IF(OR(IM$4="",$B23=""),0,SUMIF('DADOS BRUTOS'!$A$3:$A$500,$B23,'DADOS BRUTOS'!FM$3:FM$500)+IF($C23="",0,SUMIF('DADOS BRUTOS'!$A$3:$A$500,$C23,'DADOS BRUTOS'!FM$3:FM$500)))</f>
        <v/>
      </c>
      <c r="IN23" s="132">
        <f>IF(OR(IN$4="",$B23=""),0,SUMIF('DADOS BRUTOS'!$A$3:$A$500,$B23,'DADOS BRUTOS'!FN$3:FN$500)+IF($C23="",0,SUMIF('DADOS BRUTOS'!$A$3:$A$500,$C23,'DADOS BRUTOS'!FN$3:FN$500)))</f>
        <v/>
      </c>
      <c r="IO23" s="132">
        <f>IF(OR(IO$4="",$B23=""),0,SUMIF('DADOS BRUTOS'!$A$3:$A$500,$B23,'DADOS BRUTOS'!FO$3:FO$500)+IF($C23="",0,SUMIF('DADOS BRUTOS'!$A$3:$A$500,$C23,'DADOS BRUTOS'!FO$3:FO$500)))</f>
        <v/>
      </c>
      <c r="IP23" s="132">
        <f>IF(OR(IP$4="",$B23=""),0,SUMIF('DADOS BRUTOS'!$A$3:$A$500,$B23,'DADOS BRUTOS'!FP$3:FP$500)+IF($C23="",0,SUMIF('DADOS BRUTOS'!$A$3:$A$500,$C23,'DADOS BRUTOS'!FP$3:FP$500)))</f>
        <v/>
      </c>
      <c r="IQ23" s="132">
        <f>IF(OR(IQ$4="",$B23=""),0,SUMIF('DADOS BRUTOS'!$A$3:$A$500,$B23,'DADOS BRUTOS'!FQ$3:FQ$500)+IF($C23="",0,SUMIF('DADOS BRUTOS'!$A$3:$A$500,$C23,'DADOS BRUTOS'!FQ$3:FQ$500)))</f>
        <v/>
      </c>
      <c r="IR23" s="132">
        <f>IF(OR(IR$4="",$B23=""),0,SUMIF('DADOS BRUTOS'!$A$3:$A$500,$B23,'DADOS BRUTOS'!FR$3:FR$500)+IF($C23="",0,SUMIF('DADOS BRUTOS'!$A$3:$A$500,$C23,'DADOS BRUTOS'!FR$3:FR$500)))</f>
        <v/>
      </c>
      <c r="IS23" s="132">
        <f>IF(OR(IS$4="",$B23=""),0,SUMIF('DADOS BRUTOS'!$A$3:$A$500,$B23,'DADOS BRUTOS'!FS$3:FS$500)+IF($C23="",0,SUMIF('DADOS BRUTOS'!$A$3:$A$500,$C23,'DADOS BRUTOS'!FS$3:FS$500)))</f>
        <v/>
      </c>
      <c r="IT23" s="132">
        <f>IF(OR(IT$4="",$B23=""),0,SUMIF('DADOS BRUTOS'!$A$3:$A$500,$B23,'DADOS BRUTOS'!FT$3:FT$500)+IF($C23="",0,SUMIF('DADOS BRUTOS'!$A$3:$A$500,$C23,'DADOS BRUTOS'!FT$3:FT$500)))</f>
        <v/>
      </c>
      <c r="IU23" s="132">
        <f>IF(OR(IU$4="",$B23=""),0,SUMIF('DADOS BRUTOS'!$A$3:$A$500,$B23,'DADOS BRUTOS'!FU$3:FU$500)+IF($C23="",0,SUMIF('DADOS BRUTOS'!$A$3:$A$500,$C23,'DADOS BRUTOS'!FU$3:FU$500)))</f>
        <v/>
      </c>
      <c r="IV23" s="132">
        <f>IF(OR(IV$4="",$B23=""),0,SUMIF('DADOS BRUTOS'!$A$3:$A$500,$B23,'DADOS BRUTOS'!FV$3:FV$500)+IF($C23="",0,SUMIF('DADOS BRUTOS'!$A$3:$A$500,$C23,'DADOS BRUTOS'!FV$3:FV$500)))</f>
        <v/>
      </c>
      <c r="IW23" s="132">
        <f>IF(OR(IW$4="",$B23=""),0,SUMIF('DADOS BRUTOS'!$A$3:$A$500,$B23,'DADOS BRUTOS'!FW$3:FW$500)+IF($C23="",0,SUMIF('DADOS BRUTOS'!$A$3:$A$500,$C23,'DADOS BRUTOS'!FW$3:FW$500)))</f>
        <v/>
      </c>
      <c r="IX23" s="132">
        <f>IF(OR(IX$4="",$B23=""),0,SUMIF('DADOS BRUTOS'!$A$3:$A$500,$B23,'DADOS BRUTOS'!FX$3:FX$500)+IF($C23="",0,SUMIF('DADOS BRUTOS'!$A$3:$A$500,$C23,'DADOS BRUTOS'!FX$3:FX$500)))</f>
        <v/>
      </c>
      <c r="IY23" s="132">
        <f>IF(OR(IY$4="",$B23=""),0,SUMIF('DADOS BRUTOS'!$A$3:$A$500,$B23,'DADOS BRUTOS'!FY$3:FY$500)+IF($C23="",0,SUMIF('DADOS BRUTOS'!$A$3:$A$500,$C23,'DADOS BRUTOS'!FY$3:FY$500)))</f>
        <v/>
      </c>
      <c r="IZ23" s="132">
        <f>IF(OR(IZ$4="",$B23=""),0,SUMIF('DADOS BRUTOS'!$A$3:$A$500,$B23,'DADOS BRUTOS'!FZ$3:FZ$500)+IF($C23="",0,SUMIF('DADOS BRUTOS'!$A$3:$A$500,$C23,'DADOS BRUTOS'!FZ$3:FZ$500)))</f>
        <v/>
      </c>
      <c r="JA23" s="132">
        <f>IF(OR(JA$4="",$B23=""),0,SUMIF('DADOS BRUTOS'!$A$3:$A$500,$B23,'DADOS BRUTOS'!GA$3:GA$500)+IF($C23="",0,SUMIF('DADOS BRUTOS'!$A$3:$A$500,$C23,'DADOS BRUTOS'!GA$3:GA$500)))</f>
        <v/>
      </c>
      <c r="JB23" s="132">
        <f>IF(OR(JB$4="",$B23=""),0,SUMIF('DADOS BRUTOS'!$A$3:$A$500,$B23,'DADOS BRUTOS'!GB$3:GB$500)+IF($C23="",0,SUMIF('DADOS BRUTOS'!$A$3:$A$500,$C23,'DADOS BRUTOS'!GB$3:GB$500)))</f>
        <v/>
      </c>
      <c r="JC23" s="132">
        <f>IF(OR(JC$4="",$B23=""),0,SUMIF('DADOS BRUTOS'!$A$3:$A$500,$B23,'DADOS BRUTOS'!GC$3:GC$500)+IF($C23="",0,SUMIF('DADOS BRUTOS'!$A$3:$A$500,$C23,'DADOS BRUTOS'!GC$3:GC$500)))</f>
        <v/>
      </c>
      <c r="JD23" s="132">
        <f>IF(OR(JD$4="",$B23=""),0,SUMIF('DADOS BRUTOS'!$A$3:$A$500,$B23,'DADOS BRUTOS'!GD$3:GD$500)+IF($C23="",0,SUMIF('DADOS BRUTOS'!$A$3:$A$500,$C23,'DADOS BRUTOS'!GD$3:GD$500)))</f>
        <v/>
      </c>
      <c r="JE23" s="132">
        <f>IF(OR(JE$4="",$B23=""),0,SUMIF('DADOS BRUTOS'!$A$3:$A$500,$B23,'DADOS BRUTOS'!GE$3:GE$500)+IF($C23="",0,SUMIF('DADOS BRUTOS'!$A$3:$A$500,$C23,'DADOS BRUTOS'!GE$3:GE$500)))</f>
        <v/>
      </c>
      <c r="JF23" s="132">
        <f>IF(OR(JF$4="",$B23=""),0,SUMIF('DADOS BRUTOS'!$A$3:$A$500,$B23,'DADOS BRUTOS'!GF$3:GF$500)+IF($C23="",0,SUMIF('DADOS BRUTOS'!$A$3:$A$500,$C23,'DADOS BRUTOS'!GF$3:GF$500)))</f>
        <v/>
      </c>
      <c r="JG23" s="132">
        <f>IF(OR(JG$4="",$B23=""),0,SUMIF('DADOS BRUTOS'!$A$3:$A$500,$B23,'DADOS BRUTOS'!GG$3:GG$500)+IF($C23="",0,SUMIF('DADOS BRUTOS'!$A$3:$A$500,$C23,'DADOS BRUTOS'!GG$3:GG$500)))</f>
        <v/>
      </c>
      <c r="JH23" s="132">
        <f>IF(OR(JH$4="",$B23=""),0,SUMIF('DADOS BRUTOS'!$A$3:$A$500,$B23,'DADOS BRUTOS'!GH$3:GH$500)+IF($C23="",0,SUMIF('DADOS BRUTOS'!$A$3:$A$500,$C23,'DADOS BRUTOS'!GH$3:GH$500)))</f>
        <v/>
      </c>
      <c r="JI23" s="132">
        <f>IF(OR(JI$4="",$B23=""),0,SUMIF('DADOS BRUTOS'!$A$3:$A$500,$B23,'DADOS BRUTOS'!GI$3:GI$500)+IF($C23="",0,SUMIF('DADOS BRUTOS'!$A$3:$A$500,$C23,'DADOS BRUTOS'!GI$3:GI$500)))</f>
        <v/>
      </c>
      <c r="JJ23" s="132">
        <f>IF(OR(JJ$4="",$B23=""),0,SUMIF('DADOS BRUTOS'!$A$3:$A$500,$B23,'DADOS BRUTOS'!GJ$3:GJ$500)+IF($C23="",0,SUMIF('DADOS BRUTOS'!$A$3:$A$500,$C23,'DADOS BRUTOS'!GJ$3:GJ$500)))</f>
        <v/>
      </c>
      <c r="JK23" s="132">
        <f>IF(OR(JK$4="",$B23=""),0,SUMIF('DADOS BRUTOS'!$A$3:$A$500,$B23,'DADOS BRUTOS'!GK$3:GK$500)+IF($C23="",0,SUMIF('DADOS BRUTOS'!$A$3:$A$500,$C23,'DADOS BRUTOS'!GK$3:GK$500)))</f>
        <v/>
      </c>
      <c r="JL23" s="132">
        <f>IF(OR(JL$4="",$B23=""),0,SUMIF('DADOS BRUTOS'!$A$3:$A$500,$B23,'DADOS BRUTOS'!GL$3:GL$500)+IF($C23="",0,SUMIF('DADOS BRUTOS'!$A$3:$A$500,$C23,'DADOS BRUTOS'!GL$3:GL$500)))</f>
        <v/>
      </c>
      <c r="JM23" s="132">
        <f>IF(OR(JM$4="",$B23=""),0,SUMIF('DADOS BRUTOS'!$A$3:$A$500,$B23,'DADOS BRUTOS'!GM$3:GM$500)+IF($C23="",0,SUMIF('DADOS BRUTOS'!$A$3:$A$500,$C23,'DADOS BRUTOS'!GM$3:GM$500)))</f>
        <v/>
      </c>
      <c r="JN23" s="132">
        <f>IF(OR(JN$4="",$B23=""),0,SUMIF('DADOS BRUTOS'!$A$3:$A$500,$B23,'DADOS BRUTOS'!GN$3:GN$500)+IF($C23="",0,SUMIF('DADOS BRUTOS'!$A$3:$A$500,$C23,'DADOS BRUTOS'!GN$3:GN$500)))</f>
        <v/>
      </c>
      <c r="JO23" s="132">
        <f>IF(OR(JO$4="",$B23=""),0,SUMIF('DADOS BRUTOS'!$A$3:$A$500,$B23,'DADOS BRUTOS'!GO$3:GO$500)+IF($C23="",0,SUMIF('DADOS BRUTOS'!$A$3:$A$500,$C23,'DADOS BRUTOS'!GO$3:GO$500)))</f>
        <v/>
      </c>
      <c r="JP23" s="132">
        <f>IF(OR(JP$4="",$B23=""),0,SUMIF('DADOS BRUTOS'!$A$3:$A$500,$B23,'DADOS BRUTOS'!GP$3:GP$500)+IF($C23="",0,SUMIF('DADOS BRUTOS'!$A$3:$A$500,$C23,'DADOS BRUTOS'!GP$3:GP$500)))</f>
        <v/>
      </c>
      <c r="JQ23" s="132">
        <f>IF(OR(JQ$4="",$B23=""),0,SUMIF('DADOS BRUTOS'!$A$3:$A$500,$B23,'DADOS BRUTOS'!GQ$3:GQ$500)+IF($C23="",0,SUMIF('DADOS BRUTOS'!$A$3:$A$500,$C23,'DADOS BRUTOS'!GQ$3:GQ$500)))</f>
        <v/>
      </c>
      <c r="JR23" s="132">
        <f>IF(OR(JR$4="",$B23=""),0,SUMIF('DADOS BRUTOS'!$A$3:$A$500,$B23,'DADOS BRUTOS'!GR$3:GR$500)+IF($C23="",0,SUMIF('DADOS BRUTOS'!$A$3:$A$500,$C23,'DADOS BRUTOS'!GR$3:GR$500)))</f>
        <v/>
      </c>
      <c r="JS23" s="132">
        <f>IF(OR(JS$4="",$B23=""),0,SUMIF('DADOS BRUTOS'!$A$3:$A$500,$B23,'DADOS BRUTOS'!GS$3:GS$500)+IF($C23="",0,SUMIF('DADOS BRUTOS'!$A$3:$A$500,$C23,'DADOS BRUTOS'!GS$3:GS$500)))</f>
        <v/>
      </c>
    </row>
    <row r="24">
      <c r="A24" s="61">
        <f>'VALOR POR PL'!D30</f>
        <v/>
      </c>
      <c r="B24" s="59" t="inlineStr">
        <is>
          <t>INSTALAÇÕES ELÉTRICAS</t>
        </is>
      </c>
      <c r="C24" s="59" t="n"/>
      <c r="D24" s="54">
        <f>SUMIF($CB$4:$JS$4,"&lt;="&amp;D$4,$CB24:$JS24)</f>
        <v/>
      </c>
      <c r="E24" s="54">
        <f>SUMIF($CB$4:$JS$4,E$4,$CB24:$JS24)</f>
        <v/>
      </c>
      <c r="F24" s="54">
        <f>SUMIF($CB$4:$JS$4,F$4,$CB24:$JS24)</f>
        <v/>
      </c>
      <c r="G24" s="54">
        <f>SUMIF($CB$4:$JS$4,G$4,$CB24:$JS24)</f>
        <v/>
      </c>
      <c r="H24" s="54">
        <f>SUMIF($CB$4:$JS$4,H$4,$CB24:$JS24)</f>
        <v/>
      </c>
      <c r="I24" s="54">
        <f>SUMIF($CB$4:$JS$4,I$4,$CB24:$JS24)</f>
        <v/>
      </c>
      <c r="J24" s="54">
        <f>SUMIF($CB$4:$JS$4,J$4,$CB24:$JS24)</f>
        <v/>
      </c>
      <c r="K24" s="54">
        <f>SUMIF($CB$4:$JS$4,K$4,$CB24:$JS24)</f>
        <v/>
      </c>
      <c r="L24" s="54">
        <f>SUMIF($CB$4:$JS$4,L$4,$CB24:$JS24)</f>
        <v/>
      </c>
      <c r="M24" s="54">
        <f>SUMIF($CB$4:$JS$4,M$4,$CB24:$JS24)</f>
        <v/>
      </c>
      <c r="N24" s="54">
        <f>SUMIF($CB$4:$JS$4,N$4,$CB24:$JS24)</f>
        <v/>
      </c>
      <c r="O24" s="54">
        <f>SUMIF($CB$4:$JS$4,O$4,$CB24:$JS24)</f>
        <v/>
      </c>
      <c r="P24" s="54">
        <f>SUMIF($CB$4:$JS$4,P$4,$CB24:$JS24)</f>
        <v/>
      </c>
      <c r="Q24" s="54">
        <f>SUMIF($CB$4:$JS$4,Q$4,$CB24:$JS24)</f>
        <v/>
      </c>
      <c r="R24" s="54">
        <f>SUMIF($CB$4:$JS$4,R$4,$CB24:$JS24)</f>
        <v/>
      </c>
      <c r="S24" s="54">
        <f>SUMIF($CB$4:$JS$4,S$4,$CB24:$JS24)</f>
        <v/>
      </c>
      <c r="T24" s="54">
        <f>SUMIF($CB$4:$JS$4,T$4,$CB24:$JS24)</f>
        <v/>
      </c>
      <c r="U24" s="54">
        <f>SUMIF($CB$4:$JS$4,U$4,$CB24:$JS24)</f>
        <v/>
      </c>
      <c r="V24" s="54">
        <f>SUMIF($CB$4:$JS$4,V$4,$CB24:$JS24)</f>
        <v/>
      </c>
      <c r="W24" s="54">
        <f>SUMIF($CB$4:$JS$4,W$4,$CB24:$JS24)</f>
        <v/>
      </c>
      <c r="X24" s="54">
        <f>SUMIF($CB$4:$JS$4,X$4,$CB24:$JS24)</f>
        <v/>
      </c>
      <c r="Y24" s="54">
        <f>SUMIF($CB$4:$JS$4,Y$4,$CB24:$JS24)</f>
        <v/>
      </c>
      <c r="Z24" s="54">
        <f>SUMIF($CB$4:$JS$4,Z$4,$CB24:$JS24)</f>
        <v/>
      </c>
      <c r="AA24" s="54">
        <f>SUMIF($CB$4:$JS$4,AA$4,$CB24:$JS24)</f>
        <v/>
      </c>
      <c r="AB24" s="54">
        <f>SUMIF($CB$4:$JS$4,AB$4,$CB24:$JS24)</f>
        <v/>
      </c>
      <c r="AC24" s="54">
        <f>SUMIF($CB$4:$JS$4,AC$4,$CB24:$JS24)</f>
        <v/>
      </c>
      <c r="AD24" s="54">
        <f>SUMIF($CB$4:$JS$4,AD$4,$CB24:$JS24)</f>
        <v/>
      </c>
      <c r="AE24" s="54">
        <f>SUMIF($CB$4:$JS$4,AE$4,$CB24:$JS24)</f>
        <v/>
      </c>
      <c r="AF24" s="54">
        <f>SUMIF($CB$4:$JS$4,AF$4,$CB24:$JS24)</f>
        <v/>
      </c>
      <c r="AG24" s="54">
        <f>SUMIF($CB$4:$JS$4,AG$4,$CB24:$JS24)</f>
        <v/>
      </c>
      <c r="AH24" s="54">
        <f>SUMIF($CB$4:$JS$4,AH$4,$CB24:$JS24)</f>
        <v/>
      </c>
      <c r="AI24" s="54">
        <f>SUMIF($CB$4:$JS$4,AI$4,$CB24:$JS24)</f>
        <v/>
      </c>
      <c r="AJ24" s="54">
        <f>SUMIF($CB$4:$JS$4,AJ$4,$CB24:$JS24)</f>
        <v/>
      </c>
      <c r="AK24" s="54">
        <f>SUMIF($CB$4:$JS$4,AK$4,$CB24:$JS24)</f>
        <v/>
      </c>
      <c r="AL24" s="54">
        <f>SUMIF($CB$4:$JS$4,AL$4,$CB24:$JS24)</f>
        <v/>
      </c>
      <c r="AM24" s="54">
        <f>SUMIF($CB$4:$JS$4,AM$4,$CB24:$JS24)</f>
        <v/>
      </c>
      <c r="AN24" s="54">
        <f>SUMIF($CB$4:$JS$4,AN$4,$CB24:$JS24)</f>
        <v/>
      </c>
      <c r="AO24" s="54">
        <f>SUMIF($CB$4:$JS$4,AO$4,$CB24:$JS24)</f>
        <v/>
      </c>
      <c r="AP24" s="54">
        <f>SUMIF($CB$4:$JS$4,AP$4,$CB24:$JS24)</f>
        <v/>
      </c>
      <c r="AQ24" s="54">
        <f>SUMIF($CB$4:$JS$4,AQ$4,$CB24:$JS24)</f>
        <v/>
      </c>
      <c r="AR24" s="54">
        <f>SUMIF($CB$4:$JS$4,AR$4,$CB24:$JS24)</f>
        <v/>
      </c>
      <c r="AS24" s="54">
        <f>SUMIF($CB$4:$JS$4,AS$4,$CB24:$JS24)</f>
        <v/>
      </c>
      <c r="AT24" s="54">
        <f>SUMIF($CB$4:$JS$4,AT$4,$CB24:$JS24)</f>
        <v/>
      </c>
      <c r="AU24" s="54">
        <f>SUMIF($CB$4:$JS$4,AU$4,$CB24:$JS24)</f>
        <v/>
      </c>
      <c r="AV24" s="54">
        <f>SUMIF($CB$4:$JS$4,AV$4,$CB24:$JS24)</f>
        <v/>
      </c>
      <c r="AW24" s="54">
        <f>SUMIF($CB$4:$JS$4,AW$4,$CB24:$JS24)</f>
        <v/>
      </c>
      <c r="AX24" s="54">
        <f>SUMIF($CB$4:$JS$4,AX$4,$CB24:$JS24)</f>
        <v/>
      </c>
      <c r="AY24" s="54">
        <f>SUMIF($CB$4:$JS$4,AY$4,$CB24:$JS24)</f>
        <v/>
      </c>
      <c r="AZ24" s="54">
        <f>SUMIF($CB$4:$JS$4,AZ$4,$CB24:$JS24)</f>
        <v/>
      </c>
      <c r="BA24" s="54">
        <f>SUMIF($CB$4:$JS$4,BA$4,$CB24:$JS24)</f>
        <v/>
      </c>
      <c r="BB24" s="54">
        <f>SUMIF($CB$4:$JS$4,BB$4,$CB24:$JS24)</f>
        <v/>
      </c>
      <c r="BC24" s="54">
        <f>SUMIF($CB$4:$JS$4,BC$4,$CB24:$JS24)</f>
        <v/>
      </c>
      <c r="BD24" s="54">
        <f>SUMIF($CB$4:$JS$4,BD$4,$CB24:$JS24)</f>
        <v/>
      </c>
      <c r="BE24" s="54">
        <f>SUMIF($CB$4:$JS$4,BE$4,$CB24:$JS24)</f>
        <v/>
      </c>
      <c r="BF24" s="54">
        <f>SUMIF($CB$4:$JS$4,BF$4,$CB24:$JS24)</f>
        <v/>
      </c>
      <c r="BG24" s="54">
        <f>SUMIF($CB$4:$JS$4,BG$4,$CB24:$JS24)</f>
        <v/>
      </c>
      <c r="BH24" s="54">
        <f>SUMIF($CB$4:$JS$4,BH$4,$CB24:$JS24)</f>
        <v/>
      </c>
      <c r="BI24" s="54">
        <f>SUMIF($CB$4:$JS$4,BI$4,$CB24:$JS24)</f>
        <v/>
      </c>
      <c r="BJ24" s="54">
        <f>SUMIF($CB$4:$JS$4,BJ$4,$CB24:$JS24)</f>
        <v/>
      </c>
      <c r="BK24" s="54">
        <f>SUMIF($CB$4:$JS$4,BK$4,$CB24:$JS24)</f>
        <v/>
      </c>
      <c r="BL24" s="54">
        <f>SUMIF($CB$4:$JS$4,BL$4,$CB24:$JS24)</f>
        <v/>
      </c>
      <c r="BM24" s="54">
        <f>SUMIF($CB$4:$JS$4,BM$4,$CB24:$JS24)</f>
        <v/>
      </c>
      <c r="BN24" s="54">
        <f>SUMIF($CB$4:$JS$4,BN$4,$CB24:$JS24)</f>
        <v/>
      </c>
      <c r="BO24" s="54">
        <f>SUMIF($CB$4:$JS$4,BO$4,$CB24:$JS24)</f>
        <v/>
      </c>
      <c r="BP24" s="54">
        <f>SUMIF($CB$4:$JS$4,BP$4,$CB24:$JS24)</f>
        <v/>
      </c>
      <c r="BQ24" s="54">
        <f>SUMIF($CB$4:$JS$4,BQ$4,$CB24:$JS24)</f>
        <v/>
      </c>
      <c r="BR24" s="54">
        <f>SUMIF($CB$4:$JS$4,BR$4,$CB24:$JS24)</f>
        <v/>
      </c>
      <c r="BS24" s="54">
        <f>SUMIF($CB$4:$JS$4,BS$4,$CB24:$JS24)</f>
        <v/>
      </c>
      <c r="BT24" s="54">
        <f>SUMIF($CB$4:$JS$4,BT$4,$CB24:$JS24)</f>
        <v/>
      </c>
      <c r="BU24" s="54">
        <f>SUMIF($CB$4:$JS$4,BU$4,$CB24:$JS24)</f>
        <v/>
      </c>
      <c r="BV24" s="54">
        <f>SUMIF($CB$4:$JS$4,BV$4,$CB24:$JS24)</f>
        <v/>
      </c>
      <c r="BW24" s="54">
        <f>SUMIF($CB$4:$JS$4,BW$4,$CB24:$JS24)</f>
        <v/>
      </c>
      <c r="BX24" s="54">
        <f>SUMIF($CB$4:$JS$4,"&gt;"&amp;'VALOR POR PL'!$P$8,$CB24:$JS24)</f>
        <v/>
      </c>
      <c r="BY24" s="54">
        <f>SUM($CB24:$JS24)</f>
        <v/>
      </c>
      <c r="BZ24" s="49">
        <f>SUMPRODUCT(($CB$4:$JS$4&lt;&gt;"")*($CB$4:$JS$4&lt;=$D$4),$CB24:$JS24,$CB$1:$JS$1)</f>
        <v/>
      </c>
      <c r="CB24" s="132">
        <f>IF(OR(CB$4="",$B24=""),0,SUMIF('DADOS BRUTOS'!$A$3:$A$500,$B24,'DADOS BRUTOS'!B$3:B$500)+IF($C24="",0,SUMIF('DADOS BRUTOS'!$A$3:$A$500,$C24,'DADOS BRUTOS'!B$3:B$500)))</f>
        <v/>
      </c>
      <c r="CC24" s="132">
        <f>IF(OR(CC$4="",$B24=""),0,SUMIF('DADOS BRUTOS'!$A$3:$A$500,$B24,'DADOS BRUTOS'!C$3:C$500)+IF($C24="",0,SUMIF('DADOS BRUTOS'!$A$3:$A$500,$C24,'DADOS BRUTOS'!C$3:C$500)))</f>
        <v/>
      </c>
      <c r="CD24" s="132">
        <f>IF(OR(CD$4="",$B24=""),0,SUMIF('DADOS BRUTOS'!$A$3:$A$500,$B24,'DADOS BRUTOS'!D$3:D$500)+IF($C24="",0,SUMIF('DADOS BRUTOS'!$A$3:$A$500,$C24,'DADOS BRUTOS'!D$3:D$500)))</f>
        <v/>
      </c>
      <c r="CE24" s="132">
        <f>IF(OR(CE$4="",$B24=""),0,SUMIF('DADOS BRUTOS'!$A$3:$A$500,$B24,'DADOS BRUTOS'!E$3:E$500)+IF($C24="",0,SUMIF('DADOS BRUTOS'!$A$3:$A$500,$C24,'DADOS BRUTOS'!E$3:E$500)))</f>
        <v/>
      </c>
      <c r="CF24" s="132">
        <f>IF(OR(CF$4="",$B24=""),0,SUMIF('DADOS BRUTOS'!$A$3:$A$500,$B24,'DADOS BRUTOS'!F$3:F$500)+IF($C24="",0,SUMIF('DADOS BRUTOS'!$A$3:$A$500,$C24,'DADOS BRUTOS'!F$3:F$500)))</f>
        <v/>
      </c>
      <c r="CG24" s="132">
        <f>IF(OR(CG$4="",$B24=""),0,SUMIF('DADOS BRUTOS'!$A$3:$A$500,$B24,'DADOS BRUTOS'!G$3:G$500)+IF($C24="",0,SUMIF('DADOS BRUTOS'!$A$3:$A$500,$C24,'DADOS BRUTOS'!G$3:G$500)))</f>
        <v/>
      </c>
      <c r="CH24" s="132">
        <f>IF(OR(CH$4="",$B24=""),0,SUMIF('DADOS BRUTOS'!$A$3:$A$500,$B24,'DADOS BRUTOS'!H$3:H$500)+IF($C24="",0,SUMIF('DADOS BRUTOS'!$A$3:$A$500,$C24,'DADOS BRUTOS'!H$3:H$500)))</f>
        <v/>
      </c>
      <c r="CI24" s="132">
        <f>IF(OR(CI$4="",$B24=""),0,SUMIF('DADOS BRUTOS'!$A$3:$A$500,$B24,'DADOS BRUTOS'!I$3:I$500)+IF($C24="",0,SUMIF('DADOS BRUTOS'!$A$3:$A$500,$C24,'DADOS BRUTOS'!I$3:I$500)))</f>
        <v/>
      </c>
      <c r="CJ24" s="132">
        <f>IF(OR(CJ$4="",$B24=""),0,SUMIF('DADOS BRUTOS'!$A$3:$A$500,$B24,'DADOS BRUTOS'!J$3:J$500)+IF($C24="",0,SUMIF('DADOS BRUTOS'!$A$3:$A$500,$C24,'DADOS BRUTOS'!J$3:J$500)))</f>
        <v/>
      </c>
      <c r="CK24" s="132">
        <f>IF(OR(CK$4="",$B24=""),0,SUMIF('DADOS BRUTOS'!$A$3:$A$500,$B24,'DADOS BRUTOS'!K$3:K$500)+IF($C24="",0,SUMIF('DADOS BRUTOS'!$A$3:$A$500,$C24,'DADOS BRUTOS'!K$3:K$500)))</f>
        <v/>
      </c>
      <c r="CL24" s="132">
        <f>IF(OR(CL$4="",$B24=""),0,SUMIF('DADOS BRUTOS'!$A$3:$A$500,$B24,'DADOS BRUTOS'!L$3:L$500)+IF($C24="",0,SUMIF('DADOS BRUTOS'!$A$3:$A$500,$C24,'DADOS BRUTOS'!L$3:L$500)))</f>
        <v/>
      </c>
      <c r="CM24" s="132">
        <f>IF(OR(CM$4="",$B24=""),0,SUMIF('DADOS BRUTOS'!$A$3:$A$500,$B24,'DADOS BRUTOS'!M$3:M$500)+IF($C24="",0,SUMIF('DADOS BRUTOS'!$A$3:$A$500,$C24,'DADOS BRUTOS'!M$3:M$500)))</f>
        <v/>
      </c>
      <c r="CN24" s="132">
        <f>IF(OR(CN$4="",$B24=""),0,SUMIF('DADOS BRUTOS'!$A$3:$A$500,$B24,'DADOS BRUTOS'!N$3:N$500)+IF($C24="",0,SUMIF('DADOS BRUTOS'!$A$3:$A$500,$C24,'DADOS BRUTOS'!N$3:N$500)))</f>
        <v/>
      </c>
      <c r="CO24" s="132">
        <f>IF(OR(CO$4="",$B24=""),0,SUMIF('DADOS BRUTOS'!$A$3:$A$500,$B24,'DADOS BRUTOS'!O$3:O$500)+IF($C24="",0,SUMIF('DADOS BRUTOS'!$A$3:$A$500,$C24,'DADOS BRUTOS'!O$3:O$500)))</f>
        <v/>
      </c>
      <c r="CP24" s="132">
        <f>IF(OR(CP$4="",$B24=""),0,SUMIF('DADOS BRUTOS'!$A$3:$A$500,$B24,'DADOS BRUTOS'!P$3:P$500)+IF($C24="",0,SUMIF('DADOS BRUTOS'!$A$3:$A$500,$C24,'DADOS BRUTOS'!P$3:P$500)))</f>
        <v/>
      </c>
      <c r="CQ24" s="132">
        <f>IF(OR(CQ$4="",$B24=""),0,SUMIF('DADOS BRUTOS'!$A$3:$A$500,$B24,'DADOS BRUTOS'!Q$3:Q$500)+IF($C24="",0,SUMIF('DADOS BRUTOS'!$A$3:$A$500,$C24,'DADOS BRUTOS'!Q$3:Q$500)))</f>
        <v/>
      </c>
      <c r="CR24" s="132">
        <f>IF(OR(CR$4="",$B24=""),0,SUMIF('DADOS BRUTOS'!$A$3:$A$500,$B24,'DADOS BRUTOS'!R$3:R$500)+IF($C24="",0,SUMIF('DADOS BRUTOS'!$A$3:$A$500,$C24,'DADOS BRUTOS'!R$3:R$500)))</f>
        <v/>
      </c>
      <c r="CS24" s="132">
        <f>IF(OR(CS$4="",$B24=""),0,SUMIF('DADOS BRUTOS'!$A$3:$A$500,$B24,'DADOS BRUTOS'!S$3:S$500)+IF($C24="",0,SUMIF('DADOS BRUTOS'!$A$3:$A$500,$C24,'DADOS BRUTOS'!S$3:S$500)))</f>
        <v/>
      </c>
      <c r="CT24" s="132">
        <f>IF(OR(CT$4="",$B24=""),0,SUMIF('DADOS BRUTOS'!$A$3:$A$500,$B24,'DADOS BRUTOS'!T$3:T$500)+IF($C24="",0,SUMIF('DADOS BRUTOS'!$A$3:$A$500,$C24,'DADOS BRUTOS'!T$3:T$500)))</f>
        <v/>
      </c>
      <c r="CU24" s="132">
        <f>IF(OR(CU$4="",$B24=""),0,SUMIF('DADOS BRUTOS'!$A$3:$A$500,$B24,'DADOS BRUTOS'!U$3:U$500)+IF($C24="",0,SUMIF('DADOS BRUTOS'!$A$3:$A$500,$C24,'DADOS BRUTOS'!U$3:U$500)))</f>
        <v/>
      </c>
      <c r="CV24" s="132">
        <f>IF(OR(CV$4="",$B24=""),0,SUMIF('DADOS BRUTOS'!$A$3:$A$500,$B24,'DADOS BRUTOS'!V$3:V$500)+IF($C24="",0,SUMIF('DADOS BRUTOS'!$A$3:$A$500,$C24,'DADOS BRUTOS'!V$3:V$500)))</f>
        <v/>
      </c>
      <c r="CW24" s="132">
        <f>IF(OR(CW$4="",$B24=""),0,SUMIF('DADOS BRUTOS'!$A$3:$A$500,$B24,'DADOS BRUTOS'!W$3:W$500)+IF($C24="",0,SUMIF('DADOS BRUTOS'!$A$3:$A$500,$C24,'DADOS BRUTOS'!W$3:W$500)))</f>
        <v/>
      </c>
      <c r="CX24" s="132">
        <f>IF(OR(CX$4="",$B24=""),0,SUMIF('DADOS BRUTOS'!$A$3:$A$500,$B24,'DADOS BRUTOS'!X$3:X$500)+IF($C24="",0,SUMIF('DADOS BRUTOS'!$A$3:$A$500,$C24,'DADOS BRUTOS'!X$3:X$500)))</f>
        <v/>
      </c>
      <c r="CY24" s="132">
        <f>IF(OR(CY$4="",$B24=""),0,SUMIF('DADOS BRUTOS'!$A$3:$A$500,$B24,'DADOS BRUTOS'!Y$3:Y$500)+IF($C24="",0,SUMIF('DADOS BRUTOS'!$A$3:$A$500,$C24,'DADOS BRUTOS'!Y$3:Y$500)))</f>
        <v/>
      </c>
      <c r="CZ24" s="132">
        <f>IF(OR(CZ$4="",$B24=""),0,SUMIF('DADOS BRUTOS'!$A$3:$A$500,$B24,'DADOS BRUTOS'!Z$3:Z$500)+IF($C24="",0,SUMIF('DADOS BRUTOS'!$A$3:$A$500,$C24,'DADOS BRUTOS'!Z$3:Z$500)))</f>
        <v/>
      </c>
      <c r="DA24" s="132">
        <f>IF(OR(DA$4="",$B24=""),0,SUMIF('DADOS BRUTOS'!$A$3:$A$500,$B24,'DADOS BRUTOS'!AA$3:AA$500)+IF($C24="",0,SUMIF('DADOS BRUTOS'!$A$3:$A$500,$C24,'DADOS BRUTOS'!AA$3:AA$500)))</f>
        <v/>
      </c>
      <c r="DB24" s="132">
        <f>IF(OR(DB$4="",$B24=""),0,SUMIF('DADOS BRUTOS'!$A$3:$A$500,$B24,'DADOS BRUTOS'!AB$3:AB$500)+IF($C24="",0,SUMIF('DADOS BRUTOS'!$A$3:$A$500,$C24,'DADOS BRUTOS'!AB$3:AB$500)))</f>
        <v/>
      </c>
      <c r="DC24" s="132">
        <f>IF(OR(DC$4="",$B24=""),0,SUMIF('DADOS BRUTOS'!$A$3:$A$500,$B24,'DADOS BRUTOS'!AC$3:AC$500)+IF($C24="",0,SUMIF('DADOS BRUTOS'!$A$3:$A$500,$C24,'DADOS BRUTOS'!AC$3:AC$500)))</f>
        <v/>
      </c>
      <c r="DD24" s="132">
        <f>IF(OR(DD$4="",$B24=""),0,SUMIF('DADOS BRUTOS'!$A$3:$A$500,$B24,'DADOS BRUTOS'!AD$3:AD$500)+IF($C24="",0,SUMIF('DADOS BRUTOS'!$A$3:$A$500,$C24,'DADOS BRUTOS'!AD$3:AD$500)))</f>
        <v/>
      </c>
      <c r="DE24" s="132">
        <f>IF(OR(DE$4="",$B24=""),0,SUMIF('DADOS BRUTOS'!$A$3:$A$500,$B24,'DADOS BRUTOS'!AE$3:AE$500)+IF($C24="",0,SUMIF('DADOS BRUTOS'!$A$3:$A$500,$C24,'DADOS BRUTOS'!AE$3:AE$500)))</f>
        <v/>
      </c>
      <c r="DF24" s="132">
        <f>IF(OR(DF$4="",$B24=""),0,SUMIF('DADOS BRUTOS'!$A$3:$A$500,$B24,'DADOS BRUTOS'!AF$3:AF$500)+IF($C24="",0,SUMIF('DADOS BRUTOS'!$A$3:$A$500,$C24,'DADOS BRUTOS'!AF$3:AF$500)))</f>
        <v/>
      </c>
      <c r="DG24" s="132">
        <f>IF(OR(DG$4="",$B24=""),0,SUMIF('DADOS BRUTOS'!$A$3:$A$500,$B24,'DADOS BRUTOS'!AG$3:AG$500)+IF($C24="",0,SUMIF('DADOS BRUTOS'!$A$3:$A$500,$C24,'DADOS BRUTOS'!AG$3:AG$500)))</f>
        <v/>
      </c>
      <c r="DH24" s="132">
        <f>IF(OR(DH$4="",$B24=""),0,SUMIF('DADOS BRUTOS'!$A$3:$A$500,$B24,'DADOS BRUTOS'!AH$3:AH$500)+IF($C24="",0,SUMIF('DADOS BRUTOS'!$A$3:$A$500,$C24,'DADOS BRUTOS'!AH$3:AH$500)))</f>
        <v/>
      </c>
      <c r="DI24" s="132">
        <f>IF(OR(DI$4="",$B24=""),0,SUMIF('DADOS BRUTOS'!$A$3:$A$500,$B24,'DADOS BRUTOS'!AI$3:AI$500)+IF($C24="",0,SUMIF('DADOS BRUTOS'!$A$3:$A$500,$C24,'DADOS BRUTOS'!AI$3:AI$500)))</f>
        <v/>
      </c>
      <c r="DJ24" s="132">
        <f>IF(OR(DJ$4="",$B24=""),0,SUMIF('DADOS BRUTOS'!$A$3:$A$500,$B24,'DADOS BRUTOS'!AJ$3:AJ$500)+IF($C24="",0,SUMIF('DADOS BRUTOS'!$A$3:$A$500,$C24,'DADOS BRUTOS'!AJ$3:AJ$500)))</f>
        <v/>
      </c>
      <c r="DK24" s="132">
        <f>IF(OR(DK$4="",$B24=""),0,SUMIF('DADOS BRUTOS'!$A$3:$A$500,$B24,'DADOS BRUTOS'!AK$3:AK$500)+IF($C24="",0,SUMIF('DADOS BRUTOS'!$A$3:$A$500,$C24,'DADOS BRUTOS'!AK$3:AK$500)))</f>
        <v/>
      </c>
      <c r="DL24" s="132">
        <f>IF(OR(DL$4="",$B24=""),0,SUMIF('DADOS BRUTOS'!$A$3:$A$500,$B24,'DADOS BRUTOS'!AL$3:AL$500)+IF($C24="",0,SUMIF('DADOS BRUTOS'!$A$3:$A$500,$C24,'DADOS BRUTOS'!AL$3:AL$500)))</f>
        <v/>
      </c>
      <c r="DM24" s="132">
        <f>IF(OR(DM$4="",$B24=""),0,SUMIF('DADOS BRUTOS'!$A$3:$A$500,$B24,'DADOS BRUTOS'!AM$3:AM$500)+IF($C24="",0,SUMIF('DADOS BRUTOS'!$A$3:$A$500,$C24,'DADOS BRUTOS'!AM$3:AM$500)))</f>
        <v/>
      </c>
      <c r="DN24" s="132">
        <f>IF(OR(DN$4="",$B24=""),0,SUMIF('DADOS BRUTOS'!$A$3:$A$500,$B24,'DADOS BRUTOS'!AN$3:AN$500)+IF($C24="",0,SUMIF('DADOS BRUTOS'!$A$3:$A$500,$C24,'DADOS BRUTOS'!AN$3:AN$500)))</f>
        <v/>
      </c>
      <c r="DO24" s="132">
        <f>IF(OR(DO$4="",$B24=""),0,SUMIF('DADOS BRUTOS'!$A$3:$A$500,$B24,'DADOS BRUTOS'!AO$3:AO$500)+IF($C24="",0,SUMIF('DADOS BRUTOS'!$A$3:$A$500,$C24,'DADOS BRUTOS'!AO$3:AO$500)))</f>
        <v/>
      </c>
      <c r="DP24" s="132">
        <f>IF(OR(DP$4="",$B24=""),0,SUMIF('DADOS BRUTOS'!$A$3:$A$500,$B24,'DADOS BRUTOS'!AP$3:AP$500)+IF($C24="",0,SUMIF('DADOS BRUTOS'!$A$3:$A$500,$C24,'DADOS BRUTOS'!AP$3:AP$500)))</f>
        <v/>
      </c>
      <c r="DQ24" s="132">
        <f>IF(OR(DQ$4="",$B24=""),0,SUMIF('DADOS BRUTOS'!$A$3:$A$500,$B24,'DADOS BRUTOS'!AQ$3:AQ$500)+IF($C24="",0,SUMIF('DADOS BRUTOS'!$A$3:$A$500,$C24,'DADOS BRUTOS'!AQ$3:AQ$500)))</f>
        <v/>
      </c>
      <c r="DR24" s="132">
        <f>IF(OR(DR$4="",$B24=""),0,SUMIF('DADOS BRUTOS'!$A$3:$A$500,$B24,'DADOS BRUTOS'!AR$3:AR$500)+IF($C24="",0,SUMIF('DADOS BRUTOS'!$A$3:$A$500,$C24,'DADOS BRUTOS'!AR$3:AR$500)))</f>
        <v/>
      </c>
      <c r="DS24" s="132">
        <f>IF(OR(DS$4="",$B24=""),0,SUMIF('DADOS BRUTOS'!$A$3:$A$500,$B24,'DADOS BRUTOS'!AS$3:AS$500)+IF($C24="",0,SUMIF('DADOS BRUTOS'!$A$3:$A$500,$C24,'DADOS BRUTOS'!AS$3:AS$500)))</f>
        <v/>
      </c>
      <c r="DT24" s="132">
        <f>IF(OR(DT$4="",$B24=""),0,SUMIF('DADOS BRUTOS'!$A$3:$A$500,$B24,'DADOS BRUTOS'!AT$3:AT$500)+IF($C24="",0,SUMIF('DADOS BRUTOS'!$A$3:$A$500,$C24,'DADOS BRUTOS'!AT$3:AT$500)))</f>
        <v/>
      </c>
      <c r="DU24" s="132">
        <f>IF(OR(DU$4="",$B24=""),0,SUMIF('DADOS BRUTOS'!$A$3:$A$500,$B24,'DADOS BRUTOS'!AU$3:AU$500)+IF($C24="",0,SUMIF('DADOS BRUTOS'!$A$3:$A$500,$C24,'DADOS BRUTOS'!AU$3:AU$500)))</f>
        <v/>
      </c>
      <c r="DV24" s="132">
        <f>IF(OR(DV$4="",$B24=""),0,SUMIF('DADOS BRUTOS'!$A$3:$A$500,$B24,'DADOS BRUTOS'!AV$3:AV$500)+IF($C24="",0,SUMIF('DADOS BRUTOS'!$A$3:$A$500,$C24,'DADOS BRUTOS'!AV$3:AV$500)))</f>
        <v/>
      </c>
      <c r="DW24" s="132">
        <f>IF(OR(DW$4="",$B24=""),0,SUMIF('DADOS BRUTOS'!$A$3:$A$500,$B24,'DADOS BRUTOS'!AW$3:AW$500)+IF($C24="",0,SUMIF('DADOS BRUTOS'!$A$3:$A$500,$C24,'DADOS BRUTOS'!AW$3:AW$500)))</f>
        <v/>
      </c>
      <c r="DX24" s="132">
        <f>IF(OR(DX$4="",$B24=""),0,SUMIF('DADOS BRUTOS'!$A$3:$A$500,$B24,'DADOS BRUTOS'!AX$3:AX$500)+IF($C24="",0,SUMIF('DADOS BRUTOS'!$A$3:$A$500,$C24,'DADOS BRUTOS'!AX$3:AX$500)))</f>
        <v/>
      </c>
      <c r="DY24" s="132">
        <f>IF(OR(DY$4="",$B24=""),0,SUMIF('DADOS BRUTOS'!$A$3:$A$500,$B24,'DADOS BRUTOS'!AY$3:AY$500)+IF($C24="",0,SUMIF('DADOS BRUTOS'!$A$3:$A$500,$C24,'DADOS BRUTOS'!AY$3:AY$500)))</f>
        <v/>
      </c>
      <c r="DZ24" s="132">
        <f>IF(OR(DZ$4="",$B24=""),0,SUMIF('DADOS BRUTOS'!$A$3:$A$500,$B24,'DADOS BRUTOS'!AZ$3:AZ$500)+IF($C24="",0,SUMIF('DADOS BRUTOS'!$A$3:$A$500,$C24,'DADOS BRUTOS'!AZ$3:AZ$500)))</f>
        <v/>
      </c>
      <c r="EA24" s="132">
        <f>IF(OR(EA$4="",$B24=""),0,SUMIF('DADOS BRUTOS'!$A$3:$A$500,$B24,'DADOS BRUTOS'!BA$3:BA$500)+IF($C24="",0,SUMIF('DADOS BRUTOS'!$A$3:$A$500,$C24,'DADOS BRUTOS'!BA$3:BA$500)))</f>
        <v/>
      </c>
      <c r="EB24" s="132">
        <f>IF(OR(EB$4="",$B24=""),0,SUMIF('DADOS BRUTOS'!$A$3:$A$500,$B24,'DADOS BRUTOS'!BB$3:BB$500)+IF($C24="",0,SUMIF('DADOS BRUTOS'!$A$3:$A$500,$C24,'DADOS BRUTOS'!BB$3:BB$500)))</f>
        <v/>
      </c>
      <c r="EC24" s="132">
        <f>IF(OR(EC$4="",$B24=""),0,SUMIF('DADOS BRUTOS'!$A$3:$A$500,$B24,'DADOS BRUTOS'!BC$3:BC$500)+IF($C24="",0,SUMIF('DADOS BRUTOS'!$A$3:$A$500,$C24,'DADOS BRUTOS'!BC$3:BC$500)))</f>
        <v/>
      </c>
      <c r="ED24" s="132">
        <f>IF(OR(ED$4="",$B24=""),0,SUMIF('DADOS BRUTOS'!$A$3:$A$500,$B24,'DADOS BRUTOS'!BD$3:BD$500)+IF($C24="",0,SUMIF('DADOS BRUTOS'!$A$3:$A$500,$C24,'DADOS BRUTOS'!BD$3:BD$500)))</f>
        <v/>
      </c>
      <c r="EE24" s="132">
        <f>IF(OR(EE$4="",$B24=""),0,SUMIF('DADOS BRUTOS'!$A$3:$A$500,$B24,'DADOS BRUTOS'!BE$3:BE$500)+IF($C24="",0,SUMIF('DADOS BRUTOS'!$A$3:$A$500,$C24,'DADOS BRUTOS'!BE$3:BE$500)))</f>
        <v/>
      </c>
      <c r="EF24" s="132">
        <f>IF(OR(EF$4="",$B24=""),0,SUMIF('DADOS BRUTOS'!$A$3:$A$500,$B24,'DADOS BRUTOS'!BF$3:BF$500)+IF($C24="",0,SUMIF('DADOS BRUTOS'!$A$3:$A$500,$C24,'DADOS BRUTOS'!BF$3:BF$500)))</f>
        <v/>
      </c>
      <c r="EG24" s="132">
        <f>IF(OR(EG$4="",$B24=""),0,SUMIF('DADOS BRUTOS'!$A$3:$A$500,$B24,'DADOS BRUTOS'!BG$3:BG$500)+IF($C24="",0,SUMIF('DADOS BRUTOS'!$A$3:$A$500,$C24,'DADOS BRUTOS'!BG$3:BG$500)))</f>
        <v/>
      </c>
      <c r="EH24" s="132">
        <f>IF(OR(EH$4="",$B24=""),0,SUMIF('DADOS BRUTOS'!$A$3:$A$500,$B24,'DADOS BRUTOS'!BH$3:BH$500)+IF($C24="",0,SUMIF('DADOS BRUTOS'!$A$3:$A$500,$C24,'DADOS BRUTOS'!BH$3:BH$500)))</f>
        <v/>
      </c>
      <c r="EI24" s="132">
        <f>IF(OR(EI$4="",$B24=""),0,SUMIF('DADOS BRUTOS'!$A$3:$A$500,$B24,'DADOS BRUTOS'!BI$3:BI$500)+IF($C24="",0,SUMIF('DADOS BRUTOS'!$A$3:$A$500,$C24,'DADOS BRUTOS'!BI$3:BI$500)))</f>
        <v/>
      </c>
      <c r="EJ24" s="132">
        <f>IF(OR(EJ$4="",$B24=""),0,SUMIF('DADOS BRUTOS'!$A$3:$A$500,$B24,'DADOS BRUTOS'!BJ$3:BJ$500)+IF($C24="",0,SUMIF('DADOS BRUTOS'!$A$3:$A$500,$C24,'DADOS BRUTOS'!BJ$3:BJ$500)))</f>
        <v/>
      </c>
      <c r="EK24" s="132">
        <f>IF(OR(EK$4="",$B24=""),0,SUMIF('DADOS BRUTOS'!$A$3:$A$500,$B24,'DADOS BRUTOS'!BK$3:BK$500)+IF($C24="",0,SUMIF('DADOS BRUTOS'!$A$3:$A$500,$C24,'DADOS BRUTOS'!BK$3:BK$500)))</f>
        <v/>
      </c>
      <c r="EL24" s="132">
        <f>IF(OR(EL$4="",$B24=""),0,SUMIF('DADOS BRUTOS'!$A$3:$A$500,$B24,'DADOS BRUTOS'!BL$3:BL$500)+IF($C24="",0,SUMIF('DADOS BRUTOS'!$A$3:$A$500,$C24,'DADOS BRUTOS'!BL$3:BL$500)))</f>
        <v/>
      </c>
      <c r="EM24" s="132">
        <f>IF(OR(EM$4="",$B24=""),0,SUMIF('DADOS BRUTOS'!$A$3:$A$500,$B24,'DADOS BRUTOS'!BM$3:BM$500)+IF($C24="",0,SUMIF('DADOS BRUTOS'!$A$3:$A$500,$C24,'DADOS BRUTOS'!BM$3:BM$500)))</f>
        <v/>
      </c>
      <c r="EN24" s="132">
        <f>IF(OR(EN$4="",$B24=""),0,SUMIF('DADOS BRUTOS'!$A$3:$A$500,$B24,'DADOS BRUTOS'!BN$3:BN$500)+IF($C24="",0,SUMIF('DADOS BRUTOS'!$A$3:$A$500,$C24,'DADOS BRUTOS'!BN$3:BN$500)))</f>
        <v/>
      </c>
      <c r="EO24" s="132">
        <f>IF(OR(EO$4="",$B24=""),0,SUMIF('DADOS BRUTOS'!$A$3:$A$500,$B24,'DADOS BRUTOS'!BO$3:BO$500)+IF($C24="",0,SUMIF('DADOS BRUTOS'!$A$3:$A$500,$C24,'DADOS BRUTOS'!BO$3:BO$500)))</f>
        <v/>
      </c>
      <c r="EP24" s="132">
        <f>IF(OR(EP$4="",$B24=""),0,SUMIF('DADOS BRUTOS'!$A$3:$A$500,$B24,'DADOS BRUTOS'!BP$3:BP$500)+IF($C24="",0,SUMIF('DADOS BRUTOS'!$A$3:$A$500,$C24,'DADOS BRUTOS'!BP$3:BP$500)))</f>
        <v/>
      </c>
      <c r="EQ24" s="132">
        <f>IF(OR(EQ$4="",$B24=""),0,SUMIF('DADOS BRUTOS'!$A$3:$A$500,$B24,'DADOS BRUTOS'!BQ$3:BQ$500)+IF($C24="",0,SUMIF('DADOS BRUTOS'!$A$3:$A$500,$C24,'DADOS BRUTOS'!BQ$3:BQ$500)))</f>
        <v/>
      </c>
      <c r="ER24" s="132">
        <f>IF(OR(ER$4="",$B24=""),0,SUMIF('DADOS BRUTOS'!$A$3:$A$500,$B24,'DADOS BRUTOS'!BR$3:BR$500)+IF($C24="",0,SUMIF('DADOS BRUTOS'!$A$3:$A$500,$C24,'DADOS BRUTOS'!BR$3:BR$500)))</f>
        <v/>
      </c>
      <c r="ES24" s="132">
        <f>IF(OR(ES$4="",$B24=""),0,SUMIF('DADOS BRUTOS'!$A$3:$A$500,$B24,'DADOS BRUTOS'!BS$3:BS$500)+IF($C24="",0,SUMIF('DADOS BRUTOS'!$A$3:$A$500,$C24,'DADOS BRUTOS'!BS$3:BS$500)))</f>
        <v/>
      </c>
      <c r="ET24" s="132">
        <f>IF(OR(ET$4="",$B24=""),0,SUMIF('DADOS BRUTOS'!$A$3:$A$500,$B24,'DADOS BRUTOS'!BT$3:BT$500)+IF($C24="",0,SUMIF('DADOS BRUTOS'!$A$3:$A$500,$C24,'DADOS BRUTOS'!BT$3:BT$500)))</f>
        <v/>
      </c>
      <c r="EU24" s="132">
        <f>IF(OR(EU$4="",$B24=""),0,SUMIF('DADOS BRUTOS'!$A$3:$A$500,$B24,'DADOS BRUTOS'!BU$3:BU$500)+IF($C24="",0,SUMIF('DADOS BRUTOS'!$A$3:$A$500,$C24,'DADOS BRUTOS'!BU$3:BU$500)))</f>
        <v/>
      </c>
      <c r="EV24" s="132">
        <f>IF(OR(EV$4="",$B24=""),0,SUMIF('DADOS BRUTOS'!$A$3:$A$500,$B24,'DADOS BRUTOS'!BV$3:BV$500)+IF($C24="",0,SUMIF('DADOS BRUTOS'!$A$3:$A$500,$C24,'DADOS BRUTOS'!BV$3:BV$500)))</f>
        <v/>
      </c>
      <c r="EW24" s="132">
        <f>IF(OR(EW$4="",$B24=""),0,SUMIF('DADOS BRUTOS'!$A$3:$A$500,$B24,'DADOS BRUTOS'!BW$3:BW$500)+IF($C24="",0,SUMIF('DADOS BRUTOS'!$A$3:$A$500,$C24,'DADOS BRUTOS'!BW$3:BW$500)))</f>
        <v/>
      </c>
      <c r="EX24" s="132">
        <f>IF(OR(EX$4="",$B24=""),0,SUMIF('DADOS BRUTOS'!$A$3:$A$500,$B24,'DADOS BRUTOS'!BX$3:BX$500)+IF($C24="",0,SUMIF('DADOS BRUTOS'!$A$3:$A$500,$C24,'DADOS BRUTOS'!BX$3:BX$500)))</f>
        <v/>
      </c>
      <c r="EY24" s="132">
        <f>IF(OR(EY$4="",$B24=""),0,SUMIF('DADOS BRUTOS'!$A$3:$A$500,$B24,'DADOS BRUTOS'!BY$3:BY$500)+IF($C24="",0,SUMIF('DADOS BRUTOS'!$A$3:$A$500,$C24,'DADOS BRUTOS'!BY$3:BY$500)))</f>
        <v/>
      </c>
      <c r="EZ24" s="132">
        <f>IF(OR(EZ$4="",$B24=""),0,SUMIF('DADOS BRUTOS'!$A$3:$A$500,$B24,'DADOS BRUTOS'!BZ$3:BZ$500)+IF($C24="",0,SUMIF('DADOS BRUTOS'!$A$3:$A$500,$C24,'DADOS BRUTOS'!BZ$3:BZ$500)))</f>
        <v/>
      </c>
      <c r="FA24" s="132">
        <f>IF(OR(FA$4="",$B24=""),0,SUMIF('DADOS BRUTOS'!$A$3:$A$500,$B24,'DADOS BRUTOS'!CA$3:CA$500)+IF($C24="",0,SUMIF('DADOS BRUTOS'!$A$3:$A$500,$C24,'DADOS BRUTOS'!CA$3:CA$500)))</f>
        <v/>
      </c>
      <c r="FB24" s="132">
        <f>IF(OR(FB$4="",$B24=""),0,SUMIF('DADOS BRUTOS'!$A$3:$A$500,$B24,'DADOS BRUTOS'!CB$3:CB$500)+IF($C24="",0,SUMIF('DADOS BRUTOS'!$A$3:$A$500,$C24,'DADOS BRUTOS'!CB$3:CB$500)))</f>
        <v/>
      </c>
      <c r="FC24" s="132">
        <f>IF(OR(FC$4="",$B24=""),0,SUMIF('DADOS BRUTOS'!$A$3:$A$500,$B24,'DADOS BRUTOS'!CC$3:CC$500)+IF($C24="",0,SUMIF('DADOS BRUTOS'!$A$3:$A$500,$C24,'DADOS BRUTOS'!CC$3:CC$500)))</f>
        <v/>
      </c>
      <c r="FD24" s="132">
        <f>IF(OR(FD$4="",$B24=""),0,SUMIF('DADOS BRUTOS'!$A$3:$A$500,$B24,'DADOS BRUTOS'!CD$3:CD$500)+IF($C24="",0,SUMIF('DADOS BRUTOS'!$A$3:$A$500,$C24,'DADOS BRUTOS'!CD$3:CD$500)))</f>
        <v/>
      </c>
      <c r="FE24" s="132">
        <f>IF(OR(FE$4="",$B24=""),0,SUMIF('DADOS BRUTOS'!$A$3:$A$500,$B24,'DADOS BRUTOS'!CE$3:CE$500)+IF($C24="",0,SUMIF('DADOS BRUTOS'!$A$3:$A$500,$C24,'DADOS BRUTOS'!CE$3:CE$500)))</f>
        <v/>
      </c>
      <c r="FF24" s="132">
        <f>IF(OR(FF$4="",$B24=""),0,SUMIF('DADOS BRUTOS'!$A$3:$A$500,$B24,'DADOS BRUTOS'!CF$3:CF$500)+IF($C24="",0,SUMIF('DADOS BRUTOS'!$A$3:$A$500,$C24,'DADOS BRUTOS'!CF$3:CF$500)))</f>
        <v/>
      </c>
      <c r="FG24" s="132">
        <f>IF(OR(FG$4="",$B24=""),0,SUMIF('DADOS BRUTOS'!$A$3:$A$500,$B24,'DADOS BRUTOS'!CG$3:CG$500)+IF($C24="",0,SUMIF('DADOS BRUTOS'!$A$3:$A$500,$C24,'DADOS BRUTOS'!CG$3:CG$500)))</f>
        <v/>
      </c>
      <c r="FH24" s="132">
        <f>IF(OR(FH$4="",$B24=""),0,SUMIF('DADOS BRUTOS'!$A$3:$A$500,$B24,'DADOS BRUTOS'!CH$3:CH$500)+IF($C24="",0,SUMIF('DADOS BRUTOS'!$A$3:$A$500,$C24,'DADOS BRUTOS'!CH$3:CH$500)))</f>
        <v/>
      </c>
      <c r="FI24" s="132">
        <f>IF(OR(FI$4="",$B24=""),0,SUMIF('DADOS BRUTOS'!$A$3:$A$500,$B24,'DADOS BRUTOS'!CI$3:CI$500)+IF($C24="",0,SUMIF('DADOS BRUTOS'!$A$3:$A$500,$C24,'DADOS BRUTOS'!CI$3:CI$500)))</f>
        <v/>
      </c>
      <c r="FJ24" s="132">
        <f>IF(OR(FJ$4="",$B24=""),0,SUMIF('DADOS BRUTOS'!$A$3:$A$500,$B24,'DADOS BRUTOS'!CJ$3:CJ$500)+IF($C24="",0,SUMIF('DADOS BRUTOS'!$A$3:$A$500,$C24,'DADOS BRUTOS'!CJ$3:CJ$500)))</f>
        <v/>
      </c>
      <c r="FK24" s="132">
        <f>IF(OR(FK$4="",$B24=""),0,SUMIF('DADOS BRUTOS'!$A$3:$A$500,$B24,'DADOS BRUTOS'!CK$3:CK$500)+IF($C24="",0,SUMIF('DADOS BRUTOS'!$A$3:$A$500,$C24,'DADOS BRUTOS'!CK$3:CK$500)))</f>
        <v/>
      </c>
      <c r="FL24" s="132">
        <f>IF(OR(FL$4="",$B24=""),0,SUMIF('DADOS BRUTOS'!$A$3:$A$500,$B24,'DADOS BRUTOS'!CL$3:CL$500)+IF($C24="",0,SUMIF('DADOS BRUTOS'!$A$3:$A$500,$C24,'DADOS BRUTOS'!CL$3:CL$500)))</f>
        <v/>
      </c>
      <c r="FM24" s="132">
        <f>IF(OR(FM$4="",$B24=""),0,SUMIF('DADOS BRUTOS'!$A$3:$A$500,$B24,'DADOS BRUTOS'!CM$3:CM$500)+IF($C24="",0,SUMIF('DADOS BRUTOS'!$A$3:$A$500,$C24,'DADOS BRUTOS'!CM$3:CM$500)))</f>
        <v/>
      </c>
      <c r="FN24" s="132">
        <f>IF(OR(FN$4="",$B24=""),0,SUMIF('DADOS BRUTOS'!$A$3:$A$500,$B24,'DADOS BRUTOS'!CN$3:CN$500)+IF($C24="",0,SUMIF('DADOS BRUTOS'!$A$3:$A$500,$C24,'DADOS BRUTOS'!CN$3:CN$500)))</f>
        <v/>
      </c>
      <c r="FO24" s="132">
        <f>IF(OR(FO$4="",$B24=""),0,SUMIF('DADOS BRUTOS'!$A$3:$A$500,$B24,'DADOS BRUTOS'!CO$3:CO$500)+IF($C24="",0,SUMIF('DADOS BRUTOS'!$A$3:$A$500,$C24,'DADOS BRUTOS'!CO$3:CO$500)))</f>
        <v/>
      </c>
      <c r="FP24" s="132">
        <f>IF(OR(FP$4="",$B24=""),0,SUMIF('DADOS BRUTOS'!$A$3:$A$500,$B24,'DADOS BRUTOS'!CP$3:CP$500)+IF($C24="",0,SUMIF('DADOS BRUTOS'!$A$3:$A$500,$C24,'DADOS BRUTOS'!CP$3:CP$500)))</f>
        <v/>
      </c>
      <c r="FQ24" s="132">
        <f>IF(OR(FQ$4="",$B24=""),0,SUMIF('DADOS BRUTOS'!$A$3:$A$500,$B24,'DADOS BRUTOS'!CQ$3:CQ$500)+IF($C24="",0,SUMIF('DADOS BRUTOS'!$A$3:$A$500,$C24,'DADOS BRUTOS'!CQ$3:CQ$500)))</f>
        <v/>
      </c>
      <c r="FR24" s="132">
        <f>IF(OR(FR$4="",$B24=""),0,SUMIF('DADOS BRUTOS'!$A$3:$A$500,$B24,'DADOS BRUTOS'!CR$3:CR$500)+IF($C24="",0,SUMIF('DADOS BRUTOS'!$A$3:$A$500,$C24,'DADOS BRUTOS'!CR$3:CR$500)))</f>
        <v/>
      </c>
      <c r="FS24" s="132">
        <f>IF(OR(FS$4="",$B24=""),0,SUMIF('DADOS BRUTOS'!$A$3:$A$500,$B24,'DADOS BRUTOS'!CS$3:CS$500)+IF($C24="",0,SUMIF('DADOS BRUTOS'!$A$3:$A$500,$C24,'DADOS BRUTOS'!CS$3:CS$500)))</f>
        <v/>
      </c>
      <c r="FT24" s="132">
        <f>IF(OR(FT$4="",$B24=""),0,SUMIF('DADOS BRUTOS'!$A$3:$A$500,$B24,'DADOS BRUTOS'!CT$3:CT$500)+IF($C24="",0,SUMIF('DADOS BRUTOS'!$A$3:$A$500,$C24,'DADOS BRUTOS'!CT$3:CT$500)))</f>
        <v/>
      </c>
      <c r="FU24" s="132">
        <f>IF(OR(FU$4="",$B24=""),0,SUMIF('DADOS BRUTOS'!$A$3:$A$500,$B24,'DADOS BRUTOS'!CU$3:CU$500)+IF($C24="",0,SUMIF('DADOS BRUTOS'!$A$3:$A$500,$C24,'DADOS BRUTOS'!CU$3:CU$500)))</f>
        <v/>
      </c>
      <c r="FV24" s="132">
        <f>IF(OR(FV$4="",$B24=""),0,SUMIF('DADOS BRUTOS'!$A$3:$A$500,$B24,'DADOS BRUTOS'!CV$3:CV$500)+IF($C24="",0,SUMIF('DADOS BRUTOS'!$A$3:$A$500,$C24,'DADOS BRUTOS'!CV$3:CV$500)))</f>
        <v/>
      </c>
      <c r="FW24" s="132">
        <f>IF(OR(FW$4="",$B24=""),0,SUMIF('DADOS BRUTOS'!$A$3:$A$500,$B24,'DADOS BRUTOS'!CW$3:CW$500)+IF($C24="",0,SUMIF('DADOS BRUTOS'!$A$3:$A$500,$C24,'DADOS BRUTOS'!CW$3:CW$500)))</f>
        <v/>
      </c>
      <c r="FX24" s="132">
        <f>IF(OR(FX$4="",$B24=""),0,SUMIF('DADOS BRUTOS'!$A$3:$A$500,$B24,'DADOS BRUTOS'!CX$3:CX$500)+IF($C24="",0,SUMIF('DADOS BRUTOS'!$A$3:$A$500,$C24,'DADOS BRUTOS'!CX$3:CX$500)))</f>
        <v/>
      </c>
      <c r="FY24" s="132">
        <f>IF(OR(FY$4="",$B24=""),0,SUMIF('DADOS BRUTOS'!$A$3:$A$500,$B24,'DADOS BRUTOS'!CY$3:CY$500)+IF($C24="",0,SUMIF('DADOS BRUTOS'!$A$3:$A$500,$C24,'DADOS BRUTOS'!CY$3:CY$500)))</f>
        <v/>
      </c>
      <c r="FZ24" s="132">
        <f>IF(OR(FZ$4="",$B24=""),0,SUMIF('DADOS BRUTOS'!$A$3:$A$500,$B24,'DADOS BRUTOS'!CZ$3:CZ$500)+IF($C24="",0,SUMIF('DADOS BRUTOS'!$A$3:$A$500,$C24,'DADOS BRUTOS'!CZ$3:CZ$500)))</f>
        <v/>
      </c>
      <c r="GA24" s="132">
        <f>IF(OR(GA$4="",$B24=""),0,SUMIF('DADOS BRUTOS'!$A$3:$A$500,$B24,'DADOS BRUTOS'!DA$3:DA$500)+IF($C24="",0,SUMIF('DADOS BRUTOS'!$A$3:$A$500,$C24,'DADOS BRUTOS'!DA$3:DA$500)))</f>
        <v/>
      </c>
      <c r="GB24" s="132">
        <f>IF(OR(GB$4="",$B24=""),0,SUMIF('DADOS BRUTOS'!$A$3:$A$500,$B24,'DADOS BRUTOS'!DB$3:DB$500)+IF($C24="",0,SUMIF('DADOS BRUTOS'!$A$3:$A$500,$C24,'DADOS BRUTOS'!DB$3:DB$500)))</f>
        <v/>
      </c>
      <c r="GC24" s="132">
        <f>IF(OR(GC$4="",$B24=""),0,SUMIF('DADOS BRUTOS'!$A$3:$A$500,$B24,'DADOS BRUTOS'!DC$3:DC$500)+IF($C24="",0,SUMIF('DADOS BRUTOS'!$A$3:$A$500,$C24,'DADOS BRUTOS'!DC$3:DC$500)))</f>
        <v/>
      </c>
      <c r="GD24" s="132">
        <f>IF(OR(GD$4="",$B24=""),0,SUMIF('DADOS BRUTOS'!$A$3:$A$500,$B24,'DADOS BRUTOS'!DD$3:DD$500)+IF($C24="",0,SUMIF('DADOS BRUTOS'!$A$3:$A$500,$C24,'DADOS BRUTOS'!DD$3:DD$500)))</f>
        <v/>
      </c>
      <c r="GE24" s="132">
        <f>IF(OR(GE$4="",$B24=""),0,SUMIF('DADOS BRUTOS'!$A$3:$A$500,$B24,'DADOS BRUTOS'!DE$3:DE$500)+IF($C24="",0,SUMIF('DADOS BRUTOS'!$A$3:$A$500,$C24,'DADOS BRUTOS'!DE$3:DE$500)))</f>
        <v/>
      </c>
      <c r="GF24" s="132">
        <f>IF(OR(GF$4="",$B24=""),0,SUMIF('DADOS BRUTOS'!$A$3:$A$500,$B24,'DADOS BRUTOS'!DF$3:DF$500)+IF($C24="",0,SUMIF('DADOS BRUTOS'!$A$3:$A$500,$C24,'DADOS BRUTOS'!DF$3:DF$500)))</f>
        <v/>
      </c>
      <c r="GG24" s="132">
        <f>IF(OR(GG$4="",$B24=""),0,SUMIF('DADOS BRUTOS'!$A$3:$A$500,$B24,'DADOS BRUTOS'!DG$3:DG$500)+IF($C24="",0,SUMIF('DADOS BRUTOS'!$A$3:$A$500,$C24,'DADOS BRUTOS'!DG$3:DG$500)))</f>
        <v/>
      </c>
      <c r="GH24" s="132">
        <f>IF(OR(GH$4="",$B24=""),0,SUMIF('DADOS BRUTOS'!$A$3:$A$500,$B24,'DADOS BRUTOS'!DH$3:DH$500)+IF($C24="",0,SUMIF('DADOS BRUTOS'!$A$3:$A$500,$C24,'DADOS BRUTOS'!DH$3:DH$500)))</f>
        <v/>
      </c>
      <c r="GI24" s="132">
        <f>IF(OR(GI$4="",$B24=""),0,SUMIF('DADOS BRUTOS'!$A$3:$A$500,$B24,'DADOS BRUTOS'!DI$3:DI$500)+IF($C24="",0,SUMIF('DADOS BRUTOS'!$A$3:$A$500,$C24,'DADOS BRUTOS'!DI$3:DI$500)))</f>
        <v/>
      </c>
      <c r="GJ24" s="132">
        <f>IF(OR(GJ$4="",$B24=""),0,SUMIF('DADOS BRUTOS'!$A$3:$A$500,$B24,'DADOS BRUTOS'!DJ$3:DJ$500)+IF($C24="",0,SUMIF('DADOS BRUTOS'!$A$3:$A$500,$C24,'DADOS BRUTOS'!DJ$3:DJ$500)))</f>
        <v/>
      </c>
      <c r="GK24" s="132">
        <f>IF(OR(GK$4="",$B24=""),0,SUMIF('DADOS BRUTOS'!$A$3:$A$500,$B24,'DADOS BRUTOS'!DK$3:DK$500)+IF($C24="",0,SUMIF('DADOS BRUTOS'!$A$3:$A$500,$C24,'DADOS BRUTOS'!DK$3:DK$500)))</f>
        <v/>
      </c>
      <c r="GL24" s="132">
        <f>IF(OR(GL$4="",$B24=""),0,SUMIF('DADOS BRUTOS'!$A$3:$A$500,$B24,'DADOS BRUTOS'!DL$3:DL$500)+IF($C24="",0,SUMIF('DADOS BRUTOS'!$A$3:$A$500,$C24,'DADOS BRUTOS'!DL$3:DL$500)))</f>
        <v/>
      </c>
      <c r="GM24" s="132">
        <f>IF(OR(GM$4="",$B24=""),0,SUMIF('DADOS BRUTOS'!$A$3:$A$500,$B24,'DADOS BRUTOS'!DM$3:DM$500)+IF($C24="",0,SUMIF('DADOS BRUTOS'!$A$3:$A$500,$C24,'DADOS BRUTOS'!DM$3:DM$500)))</f>
        <v/>
      </c>
      <c r="GN24" s="132">
        <f>IF(OR(GN$4="",$B24=""),0,SUMIF('DADOS BRUTOS'!$A$3:$A$500,$B24,'DADOS BRUTOS'!DN$3:DN$500)+IF($C24="",0,SUMIF('DADOS BRUTOS'!$A$3:$A$500,$C24,'DADOS BRUTOS'!DN$3:DN$500)))</f>
        <v/>
      </c>
      <c r="GO24" s="132">
        <f>IF(OR(GO$4="",$B24=""),0,SUMIF('DADOS BRUTOS'!$A$3:$A$500,$B24,'DADOS BRUTOS'!DO$3:DO$500)+IF($C24="",0,SUMIF('DADOS BRUTOS'!$A$3:$A$500,$C24,'DADOS BRUTOS'!DO$3:DO$500)))</f>
        <v/>
      </c>
      <c r="GP24" s="132">
        <f>IF(OR(GP$4="",$B24=""),0,SUMIF('DADOS BRUTOS'!$A$3:$A$500,$B24,'DADOS BRUTOS'!DP$3:DP$500)+IF($C24="",0,SUMIF('DADOS BRUTOS'!$A$3:$A$500,$C24,'DADOS BRUTOS'!DP$3:DP$500)))</f>
        <v/>
      </c>
      <c r="GQ24" s="132">
        <f>IF(OR(GQ$4="",$B24=""),0,SUMIF('DADOS BRUTOS'!$A$3:$A$500,$B24,'DADOS BRUTOS'!DQ$3:DQ$500)+IF($C24="",0,SUMIF('DADOS BRUTOS'!$A$3:$A$500,$C24,'DADOS BRUTOS'!DQ$3:DQ$500)))</f>
        <v/>
      </c>
      <c r="GR24" s="132">
        <f>IF(OR(GR$4="",$B24=""),0,SUMIF('DADOS BRUTOS'!$A$3:$A$500,$B24,'DADOS BRUTOS'!DR$3:DR$500)+IF($C24="",0,SUMIF('DADOS BRUTOS'!$A$3:$A$500,$C24,'DADOS BRUTOS'!DR$3:DR$500)))</f>
        <v/>
      </c>
      <c r="GS24" s="132">
        <f>IF(OR(GS$4="",$B24=""),0,SUMIF('DADOS BRUTOS'!$A$3:$A$500,$B24,'DADOS BRUTOS'!DS$3:DS$500)+IF($C24="",0,SUMIF('DADOS BRUTOS'!$A$3:$A$500,$C24,'DADOS BRUTOS'!DS$3:DS$500)))</f>
        <v/>
      </c>
      <c r="GT24" s="132">
        <f>IF(OR(GT$4="",$B24=""),0,SUMIF('DADOS BRUTOS'!$A$3:$A$500,$B24,'DADOS BRUTOS'!DT$3:DT$500)+IF($C24="",0,SUMIF('DADOS BRUTOS'!$A$3:$A$500,$C24,'DADOS BRUTOS'!DT$3:DT$500)))</f>
        <v/>
      </c>
      <c r="GU24" s="132">
        <f>IF(OR(GU$4="",$B24=""),0,SUMIF('DADOS BRUTOS'!$A$3:$A$500,$B24,'DADOS BRUTOS'!DU$3:DU$500)+IF($C24="",0,SUMIF('DADOS BRUTOS'!$A$3:$A$500,$C24,'DADOS BRUTOS'!DU$3:DU$500)))</f>
        <v/>
      </c>
      <c r="GV24" s="132">
        <f>IF(OR(GV$4="",$B24=""),0,SUMIF('DADOS BRUTOS'!$A$3:$A$500,$B24,'DADOS BRUTOS'!DV$3:DV$500)+IF($C24="",0,SUMIF('DADOS BRUTOS'!$A$3:$A$500,$C24,'DADOS BRUTOS'!DV$3:DV$500)))</f>
        <v/>
      </c>
      <c r="GW24" s="132">
        <f>IF(OR(GW$4="",$B24=""),0,SUMIF('DADOS BRUTOS'!$A$3:$A$500,$B24,'DADOS BRUTOS'!DW$3:DW$500)+IF($C24="",0,SUMIF('DADOS BRUTOS'!$A$3:$A$500,$C24,'DADOS BRUTOS'!DW$3:DW$500)))</f>
        <v/>
      </c>
      <c r="GX24" s="132">
        <f>IF(OR(GX$4="",$B24=""),0,SUMIF('DADOS BRUTOS'!$A$3:$A$500,$B24,'DADOS BRUTOS'!DX$3:DX$500)+IF($C24="",0,SUMIF('DADOS BRUTOS'!$A$3:$A$500,$C24,'DADOS BRUTOS'!DX$3:DX$500)))</f>
        <v/>
      </c>
      <c r="GY24" s="132">
        <f>IF(OR(GY$4="",$B24=""),0,SUMIF('DADOS BRUTOS'!$A$3:$A$500,$B24,'DADOS BRUTOS'!DY$3:DY$500)+IF($C24="",0,SUMIF('DADOS BRUTOS'!$A$3:$A$500,$C24,'DADOS BRUTOS'!DY$3:DY$500)))</f>
        <v/>
      </c>
      <c r="GZ24" s="132">
        <f>IF(OR(GZ$4="",$B24=""),0,SUMIF('DADOS BRUTOS'!$A$3:$A$500,$B24,'DADOS BRUTOS'!DZ$3:DZ$500)+IF($C24="",0,SUMIF('DADOS BRUTOS'!$A$3:$A$500,$C24,'DADOS BRUTOS'!DZ$3:DZ$500)))</f>
        <v/>
      </c>
      <c r="HA24" s="132">
        <f>IF(OR(HA$4="",$B24=""),0,SUMIF('DADOS BRUTOS'!$A$3:$A$500,$B24,'DADOS BRUTOS'!EA$3:EA$500)+IF($C24="",0,SUMIF('DADOS BRUTOS'!$A$3:$A$500,$C24,'DADOS BRUTOS'!EA$3:EA$500)))</f>
        <v/>
      </c>
      <c r="HB24" s="132">
        <f>IF(OR(HB$4="",$B24=""),0,SUMIF('DADOS BRUTOS'!$A$3:$A$500,$B24,'DADOS BRUTOS'!EB$3:EB$500)+IF($C24="",0,SUMIF('DADOS BRUTOS'!$A$3:$A$500,$C24,'DADOS BRUTOS'!EB$3:EB$500)))</f>
        <v/>
      </c>
      <c r="HC24" s="132">
        <f>IF(OR(HC$4="",$B24=""),0,SUMIF('DADOS BRUTOS'!$A$3:$A$500,$B24,'DADOS BRUTOS'!EC$3:EC$500)+IF($C24="",0,SUMIF('DADOS BRUTOS'!$A$3:$A$500,$C24,'DADOS BRUTOS'!EC$3:EC$500)))</f>
        <v/>
      </c>
      <c r="HD24" s="132">
        <f>IF(OR(HD$4="",$B24=""),0,SUMIF('DADOS BRUTOS'!$A$3:$A$500,$B24,'DADOS BRUTOS'!ED$3:ED$500)+IF($C24="",0,SUMIF('DADOS BRUTOS'!$A$3:$A$500,$C24,'DADOS BRUTOS'!ED$3:ED$500)))</f>
        <v/>
      </c>
      <c r="HE24" s="132">
        <f>IF(OR(HE$4="",$B24=""),0,SUMIF('DADOS BRUTOS'!$A$3:$A$500,$B24,'DADOS BRUTOS'!EE$3:EE$500)+IF($C24="",0,SUMIF('DADOS BRUTOS'!$A$3:$A$500,$C24,'DADOS BRUTOS'!EE$3:EE$500)))</f>
        <v/>
      </c>
      <c r="HF24" s="132">
        <f>IF(OR(HF$4="",$B24=""),0,SUMIF('DADOS BRUTOS'!$A$3:$A$500,$B24,'DADOS BRUTOS'!EF$3:EF$500)+IF($C24="",0,SUMIF('DADOS BRUTOS'!$A$3:$A$500,$C24,'DADOS BRUTOS'!EF$3:EF$500)))</f>
        <v/>
      </c>
      <c r="HG24" s="132">
        <f>IF(OR(HG$4="",$B24=""),0,SUMIF('DADOS BRUTOS'!$A$3:$A$500,$B24,'DADOS BRUTOS'!EG$3:EG$500)+IF($C24="",0,SUMIF('DADOS BRUTOS'!$A$3:$A$500,$C24,'DADOS BRUTOS'!EG$3:EG$500)))</f>
        <v/>
      </c>
      <c r="HH24" s="132">
        <f>IF(OR(HH$4="",$B24=""),0,SUMIF('DADOS BRUTOS'!$A$3:$A$500,$B24,'DADOS BRUTOS'!EH$3:EH$500)+IF($C24="",0,SUMIF('DADOS BRUTOS'!$A$3:$A$500,$C24,'DADOS BRUTOS'!EH$3:EH$500)))</f>
        <v/>
      </c>
      <c r="HI24" s="132">
        <f>IF(OR(HI$4="",$B24=""),0,SUMIF('DADOS BRUTOS'!$A$3:$A$500,$B24,'DADOS BRUTOS'!EI$3:EI$500)+IF($C24="",0,SUMIF('DADOS BRUTOS'!$A$3:$A$500,$C24,'DADOS BRUTOS'!EI$3:EI$500)))</f>
        <v/>
      </c>
      <c r="HJ24" s="132">
        <f>IF(OR(HJ$4="",$B24=""),0,SUMIF('DADOS BRUTOS'!$A$3:$A$500,$B24,'DADOS BRUTOS'!EJ$3:EJ$500)+IF($C24="",0,SUMIF('DADOS BRUTOS'!$A$3:$A$500,$C24,'DADOS BRUTOS'!EJ$3:EJ$500)))</f>
        <v/>
      </c>
      <c r="HK24" s="132">
        <f>IF(OR(HK$4="",$B24=""),0,SUMIF('DADOS BRUTOS'!$A$3:$A$500,$B24,'DADOS BRUTOS'!EK$3:EK$500)+IF($C24="",0,SUMIF('DADOS BRUTOS'!$A$3:$A$500,$C24,'DADOS BRUTOS'!EK$3:EK$500)))</f>
        <v/>
      </c>
      <c r="HL24" s="132">
        <f>IF(OR(HL$4="",$B24=""),0,SUMIF('DADOS BRUTOS'!$A$3:$A$500,$B24,'DADOS BRUTOS'!EL$3:EL$500)+IF($C24="",0,SUMIF('DADOS BRUTOS'!$A$3:$A$500,$C24,'DADOS BRUTOS'!EL$3:EL$500)))</f>
        <v/>
      </c>
      <c r="HM24" s="132">
        <f>IF(OR(HM$4="",$B24=""),0,SUMIF('DADOS BRUTOS'!$A$3:$A$500,$B24,'DADOS BRUTOS'!EM$3:EM$500)+IF($C24="",0,SUMIF('DADOS BRUTOS'!$A$3:$A$500,$C24,'DADOS BRUTOS'!EM$3:EM$500)))</f>
        <v/>
      </c>
      <c r="HN24" s="132">
        <f>IF(OR(HN$4="",$B24=""),0,SUMIF('DADOS BRUTOS'!$A$3:$A$500,$B24,'DADOS BRUTOS'!EN$3:EN$500)+IF($C24="",0,SUMIF('DADOS BRUTOS'!$A$3:$A$500,$C24,'DADOS BRUTOS'!EN$3:EN$500)))</f>
        <v/>
      </c>
      <c r="HO24" s="132">
        <f>IF(OR(HO$4="",$B24=""),0,SUMIF('DADOS BRUTOS'!$A$3:$A$500,$B24,'DADOS BRUTOS'!EO$3:EO$500)+IF($C24="",0,SUMIF('DADOS BRUTOS'!$A$3:$A$500,$C24,'DADOS BRUTOS'!EO$3:EO$500)))</f>
        <v/>
      </c>
      <c r="HP24" s="132">
        <f>IF(OR(HP$4="",$B24=""),0,SUMIF('DADOS BRUTOS'!$A$3:$A$500,$B24,'DADOS BRUTOS'!EP$3:EP$500)+IF($C24="",0,SUMIF('DADOS BRUTOS'!$A$3:$A$500,$C24,'DADOS BRUTOS'!EP$3:EP$500)))</f>
        <v/>
      </c>
      <c r="HQ24" s="132">
        <f>IF(OR(HQ$4="",$B24=""),0,SUMIF('DADOS BRUTOS'!$A$3:$A$500,$B24,'DADOS BRUTOS'!EQ$3:EQ$500)+IF($C24="",0,SUMIF('DADOS BRUTOS'!$A$3:$A$500,$C24,'DADOS BRUTOS'!EQ$3:EQ$500)))</f>
        <v/>
      </c>
      <c r="HR24" s="132">
        <f>IF(OR(HR$4="",$B24=""),0,SUMIF('DADOS BRUTOS'!$A$3:$A$500,$B24,'DADOS BRUTOS'!ER$3:ER$500)+IF($C24="",0,SUMIF('DADOS BRUTOS'!$A$3:$A$500,$C24,'DADOS BRUTOS'!ER$3:ER$500)))</f>
        <v/>
      </c>
      <c r="HS24" s="132">
        <f>IF(OR(HS$4="",$B24=""),0,SUMIF('DADOS BRUTOS'!$A$3:$A$500,$B24,'DADOS BRUTOS'!ES$3:ES$500)+IF($C24="",0,SUMIF('DADOS BRUTOS'!$A$3:$A$500,$C24,'DADOS BRUTOS'!ES$3:ES$500)))</f>
        <v/>
      </c>
      <c r="HT24" s="132">
        <f>IF(OR(HT$4="",$B24=""),0,SUMIF('DADOS BRUTOS'!$A$3:$A$500,$B24,'DADOS BRUTOS'!ET$3:ET$500)+IF($C24="",0,SUMIF('DADOS BRUTOS'!$A$3:$A$500,$C24,'DADOS BRUTOS'!ET$3:ET$500)))</f>
        <v/>
      </c>
      <c r="HU24" s="132">
        <f>IF(OR(HU$4="",$B24=""),0,SUMIF('DADOS BRUTOS'!$A$3:$A$500,$B24,'DADOS BRUTOS'!EU$3:EU$500)+IF($C24="",0,SUMIF('DADOS BRUTOS'!$A$3:$A$500,$C24,'DADOS BRUTOS'!EU$3:EU$500)))</f>
        <v/>
      </c>
      <c r="HV24" s="132">
        <f>IF(OR(HV$4="",$B24=""),0,SUMIF('DADOS BRUTOS'!$A$3:$A$500,$B24,'DADOS BRUTOS'!EV$3:EV$500)+IF($C24="",0,SUMIF('DADOS BRUTOS'!$A$3:$A$500,$C24,'DADOS BRUTOS'!EV$3:EV$500)))</f>
        <v/>
      </c>
      <c r="HW24" s="132">
        <f>IF(OR(HW$4="",$B24=""),0,SUMIF('DADOS BRUTOS'!$A$3:$A$500,$B24,'DADOS BRUTOS'!EW$3:EW$500)+IF($C24="",0,SUMIF('DADOS BRUTOS'!$A$3:$A$500,$C24,'DADOS BRUTOS'!EW$3:EW$500)))</f>
        <v/>
      </c>
      <c r="HX24" s="132">
        <f>IF(OR(HX$4="",$B24=""),0,SUMIF('DADOS BRUTOS'!$A$3:$A$500,$B24,'DADOS BRUTOS'!EX$3:EX$500)+IF($C24="",0,SUMIF('DADOS BRUTOS'!$A$3:$A$500,$C24,'DADOS BRUTOS'!EX$3:EX$500)))</f>
        <v/>
      </c>
      <c r="HY24" s="132">
        <f>IF(OR(HY$4="",$B24=""),0,SUMIF('DADOS BRUTOS'!$A$3:$A$500,$B24,'DADOS BRUTOS'!EY$3:EY$500)+IF($C24="",0,SUMIF('DADOS BRUTOS'!$A$3:$A$500,$C24,'DADOS BRUTOS'!EY$3:EY$500)))</f>
        <v/>
      </c>
      <c r="HZ24" s="132">
        <f>IF(OR(HZ$4="",$B24=""),0,SUMIF('DADOS BRUTOS'!$A$3:$A$500,$B24,'DADOS BRUTOS'!EZ$3:EZ$500)+IF($C24="",0,SUMIF('DADOS BRUTOS'!$A$3:$A$500,$C24,'DADOS BRUTOS'!EZ$3:EZ$500)))</f>
        <v/>
      </c>
      <c r="IA24" s="132">
        <f>IF(OR(IA$4="",$B24=""),0,SUMIF('DADOS BRUTOS'!$A$3:$A$500,$B24,'DADOS BRUTOS'!FA$3:FA$500)+IF($C24="",0,SUMIF('DADOS BRUTOS'!$A$3:$A$500,$C24,'DADOS BRUTOS'!FA$3:FA$500)))</f>
        <v/>
      </c>
      <c r="IB24" s="132">
        <f>IF(OR(IB$4="",$B24=""),0,SUMIF('DADOS BRUTOS'!$A$3:$A$500,$B24,'DADOS BRUTOS'!FB$3:FB$500)+IF($C24="",0,SUMIF('DADOS BRUTOS'!$A$3:$A$500,$C24,'DADOS BRUTOS'!FB$3:FB$500)))</f>
        <v/>
      </c>
      <c r="IC24" s="132">
        <f>IF(OR(IC$4="",$B24=""),0,SUMIF('DADOS BRUTOS'!$A$3:$A$500,$B24,'DADOS BRUTOS'!FC$3:FC$500)+IF($C24="",0,SUMIF('DADOS BRUTOS'!$A$3:$A$500,$C24,'DADOS BRUTOS'!FC$3:FC$500)))</f>
        <v/>
      </c>
      <c r="ID24" s="132">
        <f>IF(OR(ID$4="",$B24=""),0,SUMIF('DADOS BRUTOS'!$A$3:$A$500,$B24,'DADOS BRUTOS'!FD$3:FD$500)+IF($C24="",0,SUMIF('DADOS BRUTOS'!$A$3:$A$500,$C24,'DADOS BRUTOS'!FD$3:FD$500)))</f>
        <v/>
      </c>
      <c r="IE24" s="132">
        <f>IF(OR(IE$4="",$B24=""),0,SUMIF('DADOS BRUTOS'!$A$3:$A$500,$B24,'DADOS BRUTOS'!FE$3:FE$500)+IF($C24="",0,SUMIF('DADOS BRUTOS'!$A$3:$A$500,$C24,'DADOS BRUTOS'!FE$3:FE$500)))</f>
        <v/>
      </c>
      <c r="IF24" s="132">
        <f>IF(OR(IF$4="",$B24=""),0,SUMIF('DADOS BRUTOS'!$A$3:$A$500,$B24,'DADOS BRUTOS'!FF$3:FF$500)+IF($C24="",0,SUMIF('DADOS BRUTOS'!$A$3:$A$500,$C24,'DADOS BRUTOS'!FF$3:FF$500)))</f>
        <v/>
      </c>
      <c r="IG24" s="132">
        <f>IF(OR(IG$4="",$B24=""),0,SUMIF('DADOS BRUTOS'!$A$3:$A$500,$B24,'DADOS BRUTOS'!FG$3:FG$500)+IF($C24="",0,SUMIF('DADOS BRUTOS'!$A$3:$A$500,$C24,'DADOS BRUTOS'!FG$3:FG$500)))</f>
        <v/>
      </c>
      <c r="IH24" s="132">
        <f>IF(OR(IH$4="",$B24=""),0,SUMIF('DADOS BRUTOS'!$A$3:$A$500,$B24,'DADOS BRUTOS'!FH$3:FH$500)+IF($C24="",0,SUMIF('DADOS BRUTOS'!$A$3:$A$500,$C24,'DADOS BRUTOS'!FH$3:FH$500)))</f>
        <v/>
      </c>
      <c r="II24" s="132">
        <f>IF(OR(II$4="",$B24=""),0,SUMIF('DADOS BRUTOS'!$A$3:$A$500,$B24,'DADOS BRUTOS'!FI$3:FI$500)+IF($C24="",0,SUMIF('DADOS BRUTOS'!$A$3:$A$500,$C24,'DADOS BRUTOS'!FI$3:FI$500)))</f>
        <v/>
      </c>
      <c r="IJ24" s="132">
        <f>IF(OR(IJ$4="",$B24=""),0,SUMIF('DADOS BRUTOS'!$A$3:$A$500,$B24,'DADOS BRUTOS'!FJ$3:FJ$500)+IF($C24="",0,SUMIF('DADOS BRUTOS'!$A$3:$A$500,$C24,'DADOS BRUTOS'!FJ$3:FJ$500)))</f>
        <v/>
      </c>
      <c r="IK24" s="132">
        <f>IF(OR(IK$4="",$B24=""),0,SUMIF('DADOS BRUTOS'!$A$3:$A$500,$B24,'DADOS BRUTOS'!FK$3:FK$500)+IF($C24="",0,SUMIF('DADOS BRUTOS'!$A$3:$A$500,$C24,'DADOS BRUTOS'!FK$3:FK$500)))</f>
        <v/>
      </c>
      <c r="IL24" s="132">
        <f>IF(OR(IL$4="",$B24=""),0,SUMIF('DADOS BRUTOS'!$A$3:$A$500,$B24,'DADOS BRUTOS'!FL$3:FL$500)+IF($C24="",0,SUMIF('DADOS BRUTOS'!$A$3:$A$500,$C24,'DADOS BRUTOS'!FL$3:FL$500)))</f>
        <v/>
      </c>
      <c r="IM24" s="132">
        <f>IF(OR(IM$4="",$B24=""),0,SUMIF('DADOS BRUTOS'!$A$3:$A$500,$B24,'DADOS BRUTOS'!FM$3:FM$500)+IF($C24="",0,SUMIF('DADOS BRUTOS'!$A$3:$A$500,$C24,'DADOS BRUTOS'!FM$3:FM$500)))</f>
        <v/>
      </c>
      <c r="IN24" s="132">
        <f>IF(OR(IN$4="",$B24=""),0,SUMIF('DADOS BRUTOS'!$A$3:$A$500,$B24,'DADOS BRUTOS'!FN$3:FN$500)+IF($C24="",0,SUMIF('DADOS BRUTOS'!$A$3:$A$500,$C24,'DADOS BRUTOS'!FN$3:FN$500)))</f>
        <v/>
      </c>
      <c r="IO24" s="132">
        <f>IF(OR(IO$4="",$B24=""),0,SUMIF('DADOS BRUTOS'!$A$3:$A$500,$B24,'DADOS BRUTOS'!FO$3:FO$500)+IF($C24="",0,SUMIF('DADOS BRUTOS'!$A$3:$A$500,$C24,'DADOS BRUTOS'!FO$3:FO$500)))</f>
        <v/>
      </c>
      <c r="IP24" s="132">
        <f>IF(OR(IP$4="",$B24=""),0,SUMIF('DADOS BRUTOS'!$A$3:$A$500,$B24,'DADOS BRUTOS'!FP$3:FP$500)+IF($C24="",0,SUMIF('DADOS BRUTOS'!$A$3:$A$500,$C24,'DADOS BRUTOS'!FP$3:FP$500)))</f>
        <v/>
      </c>
      <c r="IQ24" s="132">
        <f>IF(OR(IQ$4="",$B24=""),0,SUMIF('DADOS BRUTOS'!$A$3:$A$500,$B24,'DADOS BRUTOS'!FQ$3:FQ$500)+IF($C24="",0,SUMIF('DADOS BRUTOS'!$A$3:$A$500,$C24,'DADOS BRUTOS'!FQ$3:FQ$500)))</f>
        <v/>
      </c>
      <c r="IR24" s="132">
        <f>IF(OR(IR$4="",$B24=""),0,SUMIF('DADOS BRUTOS'!$A$3:$A$500,$B24,'DADOS BRUTOS'!FR$3:FR$500)+IF($C24="",0,SUMIF('DADOS BRUTOS'!$A$3:$A$500,$C24,'DADOS BRUTOS'!FR$3:FR$500)))</f>
        <v/>
      </c>
      <c r="IS24" s="132">
        <f>IF(OR(IS$4="",$B24=""),0,SUMIF('DADOS BRUTOS'!$A$3:$A$500,$B24,'DADOS BRUTOS'!FS$3:FS$500)+IF($C24="",0,SUMIF('DADOS BRUTOS'!$A$3:$A$500,$C24,'DADOS BRUTOS'!FS$3:FS$500)))</f>
        <v/>
      </c>
      <c r="IT24" s="132">
        <f>IF(OR(IT$4="",$B24=""),0,SUMIF('DADOS BRUTOS'!$A$3:$A$500,$B24,'DADOS BRUTOS'!FT$3:FT$500)+IF($C24="",0,SUMIF('DADOS BRUTOS'!$A$3:$A$500,$C24,'DADOS BRUTOS'!FT$3:FT$500)))</f>
        <v/>
      </c>
      <c r="IU24" s="132">
        <f>IF(OR(IU$4="",$B24=""),0,SUMIF('DADOS BRUTOS'!$A$3:$A$500,$B24,'DADOS BRUTOS'!FU$3:FU$500)+IF($C24="",0,SUMIF('DADOS BRUTOS'!$A$3:$A$500,$C24,'DADOS BRUTOS'!FU$3:FU$500)))</f>
        <v/>
      </c>
      <c r="IV24" s="132">
        <f>IF(OR(IV$4="",$B24=""),0,SUMIF('DADOS BRUTOS'!$A$3:$A$500,$B24,'DADOS BRUTOS'!FV$3:FV$500)+IF($C24="",0,SUMIF('DADOS BRUTOS'!$A$3:$A$500,$C24,'DADOS BRUTOS'!FV$3:FV$500)))</f>
        <v/>
      </c>
      <c r="IW24" s="132">
        <f>IF(OR(IW$4="",$B24=""),0,SUMIF('DADOS BRUTOS'!$A$3:$A$500,$B24,'DADOS BRUTOS'!FW$3:FW$500)+IF($C24="",0,SUMIF('DADOS BRUTOS'!$A$3:$A$500,$C24,'DADOS BRUTOS'!FW$3:FW$500)))</f>
        <v/>
      </c>
      <c r="IX24" s="132">
        <f>IF(OR(IX$4="",$B24=""),0,SUMIF('DADOS BRUTOS'!$A$3:$A$500,$B24,'DADOS BRUTOS'!FX$3:FX$500)+IF($C24="",0,SUMIF('DADOS BRUTOS'!$A$3:$A$500,$C24,'DADOS BRUTOS'!FX$3:FX$500)))</f>
        <v/>
      </c>
      <c r="IY24" s="132">
        <f>IF(OR(IY$4="",$B24=""),0,SUMIF('DADOS BRUTOS'!$A$3:$A$500,$B24,'DADOS BRUTOS'!FY$3:FY$500)+IF($C24="",0,SUMIF('DADOS BRUTOS'!$A$3:$A$500,$C24,'DADOS BRUTOS'!FY$3:FY$500)))</f>
        <v/>
      </c>
      <c r="IZ24" s="132">
        <f>IF(OR(IZ$4="",$B24=""),0,SUMIF('DADOS BRUTOS'!$A$3:$A$500,$B24,'DADOS BRUTOS'!FZ$3:FZ$500)+IF($C24="",0,SUMIF('DADOS BRUTOS'!$A$3:$A$500,$C24,'DADOS BRUTOS'!FZ$3:FZ$500)))</f>
        <v/>
      </c>
      <c r="JA24" s="132">
        <f>IF(OR(JA$4="",$B24=""),0,SUMIF('DADOS BRUTOS'!$A$3:$A$500,$B24,'DADOS BRUTOS'!GA$3:GA$500)+IF($C24="",0,SUMIF('DADOS BRUTOS'!$A$3:$A$500,$C24,'DADOS BRUTOS'!GA$3:GA$500)))</f>
        <v/>
      </c>
      <c r="JB24" s="132">
        <f>IF(OR(JB$4="",$B24=""),0,SUMIF('DADOS BRUTOS'!$A$3:$A$500,$B24,'DADOS BRUTOS'!GB$3:GB$500)+IF($C24="",0,SUMIF('DADOS BRUTOS'!$A$3:$A$500,$C24,'DADOS BRUTOS'!GB$3:GB$500)))</f>
        <v/>
      </c>
      <c r="JC24" s="132">
        <f>IF(OR(JC$4="",$B24=""),0,SUMIF('DADOS BRUTOS'!$A$3:$A$500,$B24,'DADOS BRUTOS'!GC$3:GC$500)+IF($C24="",0,SUMIF('DADOS BRUTOS'!$A$3:$A$500,$C24,'DADOS BRUTOS'!GC$3:GC$500)))</f>
        <v/>
      </c>
      <c r="JD24" s="132">
        <f>IF(OR(JD$4="",$B24=""),0,SUMIF('DADOS BRUTOS'!$A$3:$A$500,$B24,'DADOS BRUTOS'!GD$3:GD$500)+IF($C24="",0,SUMIF('DADOS BRUTOS'!$A$3:$A$500,$C24,'DADOS BRUTOS'!GD$3:GD$500)))</f>
        <v/>
      </c>
      <c r="JE24" s="132">
        <f>IF(OR(JE$4="",$B24=""),0,SUMIF('DADOS BRUTOS'!$A$3:$A$500,$B24,'DADOS BRUTOS'!GE$3:GE$500)+IF($C24="",0,SUMIF('DADOS BRUTOS'!$A$3:$A$500,$C24,'DADOS BRUTOS'!GE$3:GE$500)))</f>
        <v/>
      </c>
      <c r="JF24" s="132">
        <f>IF(OR(JF$4="",$B24=""),0,SUMIF('DADOS BRUTOS'!$A$3:$A$500,$B24,'DADOS BRUTOS'!GF$3:GF$500)+IF($C24="",0,SUMIF('DADOS BRUTOS'!$A$3:$A$500,$C24,'DADOS BRUTOS'!GF$3:GF$500)))</f>
        <v/>
      </c>
      <c r="JG24" s="132">
        <f>IF(OR(JG$4="",$B24=""),0,SUMIF('DADOS BRUTOS'!$A$3:$A$500,$B24,'DADOS BRUTOS'!GG$3:GG$500)+IF($C24="",0,SUMIF('DADOS BRUTOS'!$A$3:$A$500,$C24,'DADOS BRUTOS'!GG$3:GG$500)))</f>
        <v/>
      </c>
      <c r="JH24" s="132">
        <f>IF(OR(JH$4="",$B24=""),0,SUMIF('DADOS BRUTOS'!$A$3:$A$500,$B24,'DADOS BRUTOS'!GH$3:GH$500)+IF($C24="",0,SUMIF('DADOS BRUTOS'!$A$3:$A$500,$C24,'DADOS BRUTOS'!GH$3:GH$500)))</f>
        <v/>
      </c>
      <c r="JI24" s="132">
        <f>IF(OR(JI$4="",$B24=""),0,SUMIF('DADOS BRUTOS'!$A$3:$A$500,$B24,'DADOS BRUTOS'!GI$3:GI$500)+IF($C24="",0,SUMIF('DADOS BRUTOS'!$A$3:$A$500,$C24,'DADOS BRUTOS'!GI$3:GI$500)))</f>
        <v/>
      </c>
      <c r="JJ24" s="132">
        <f>IF(OR(JJ$4="",$B24=""),0,SUMIF('DADOS BRUTOS'!$A$3:$A$500,$B24,'DADOS BRUTOS'!GJ$3:GJ$500)+IF($C24="",0,SUMIF('DADOS BRUTOS'!$A$3:$A$500,$C24,'DADOS BRUTOS'!GJ$3:GJ$500)))</f>
        <v/>
      </c>
      <c r="JK24" s="132">
        <f>IF(OR(JK$4="",$B24=""),0,SUMIF('DADOS BRUTOS'!$A$3:$A$500,$B24,'DADOS BRUTOS'!GK$3:GK$500)+IF($C24="",0,SUMIF('DADOS BRUTOS'!$A$3:$A$500,$C24,'DADOS BRUTOS'!GK$3:GK$500)))</f>
        <v/>
      </c>
      <c r="JL24" s="132">
        <f>IF(OR(JL$4="",$B24=""),0,SUMIF('DADOS BRUTOS'!$A$3:$A$500,$B24,'DADOS BRUTOS'!GL$3:GL$500)+IF($C24="",0,SUMIF('DADOS BRUTOS'!$A$3:$A$500,$C24,'DADOS BRUTOS'!GL$3:GL$500)))</f>
        <v/>
      </c>
      <c r="JM24" s="132">
        <f>IF(OR(JM$4="",$B24=""),0,SUMIF('DADOS BRUTOS'!$A$3:$A$500,$B24,'DADOS BRUTOS'!GM$3:GM$500)+IF($C24="",0,SUMIF('DADOS BRUTOS'!$A$3:$A$500,$C24,'DADOS BRUTOS'!GM$3:GM$500)))</f>
        <v/>
      </c>
      <c r="JN24" s="132">
        <f>IF(OR(JN$4="",$B24=""),0,SUMIF('DADOS BRUTOS'!$A$3:$A$500,$B24,'DADOS BRUTOS'!GN$3:GN$500)+IF($C24="",0,SUMIF('DADOS BRUTOS'!$A$3:$A$500,$C24,'DADOS BRUTOS'!GN$3:GN$500)))</f>
        <v/>
      </c>
      <c r="JO24" s="132">
        <f>IF(OR(JO$4="",$B24=""),0,SUMIF('DADOS BRUTOS'!$A$3:$A$500,$B24,'DADOS BRUTOS'!GO$3:GO$500)+IF($C24="",0,SUMIF('DADOS BRUTOS'!$A$3:$A$500,$C24,'DADOS BRUTOS'!GO$3:GO$500)))</f>
        <v/>
      </c>
      <c r="JP24" s="132">
        <f>IF(OR(JP$4="",$B24=""),0,SUMIF('DADOS BRUTOS'!$A$3:$A$500,$B24,'DADOS BRUTOS'!GP$3:GP$500)+IF($C24="",0,SUMIF('DADOS BRUTOS'!$A$3:$A$500,$C24,'DADOS BRUTOS'!GP$3:GP$500)))</f>
        <v/>
      </c>
      <c r="JQ24" s="132">
        <f>IF(OR(JQ$4="",$B24=""),0,SUMIF('DADOS BRUTOS'!$A$3:$A$500,$B24,'DADOS BRUTOS'!GQ$3:GQ$500)+IF($C24="",0,SUMIF('DADOS BRUTOS'!$A$3:$A$500,$C24,'DADOS BRUTOS'!GQ$3:GQ$500)))</f>
        <v/>
      </c>
      <c r="JR24" s="132">
        <f>IF(OR(JR$4="",$B24=""),0,SUMIF('DADOS BRUTOS'!$A$3:$A$500,$B24,'DADOS BRUTOS'!GR$3:GR$500)+IF($C24="",0,SUMIF('DADOS BRUTOS'!$A$3:$A$500,$C24,'DADOS BRUTOS'!GR$3:GR$500)))</f>
        <v/>
      </c>
      <c r="JS24" s="132">
        <f>IF(OR(JS$4="",$B24=""),0,SUMIF('DADOS BRUTOS'!$A$3:$A$500,$B24,'DADOS BRUTOS'!GS$3:GS$500)+IF($C24="",0,SUMIF('DADOS BRUTOS'!$A$3:$A$500,$C24,'DADOS BRUTOS'!GS$3:GS$500)))</f>
        <v/>
      </c>
    </row>
    <row r="25">
      <c r="A25" s="61">
        <f>'VALOR POR PL'!D31</f>
        <v/>
      </c>
      <c r="B25" s="59" t="inlineStr">
        <is>
          <t>INSTALAÇÕES HIDROSANITÁRIAS</t>
        </is>
      </c>
      <c r="C25" s="59" t="n"/>
      <c r="D25" s="54">
        <f>SUMIF($CB$4:$JS$4,"&lt;="&amp;D$4,$CB25:$JS25)</f>
        <v/>
      </c>
      <c r="E25" s="54">
        <f>SUMIF($CB$4:$JS$4,E$4,$CB25:$JS25)</f>
        <v/>
      </c>
      <c r="F25" s="54">
        <f>SUMIF($CB$4:$JS$4,F$4,$CB25:$JS25)</f>
        <v/>
      </c>
      <c r="G25" s="54">
        <f>SUMIF($CB$4:$JS$4,G$4,$CB25:$JS25)</f>
        <v/>
      </c>
      <c r="H25" s="54">
        <f>SUMIF($CB$4:$JS$4,H$4,$CB25:$JS25)</f>
        <v/>
      </c>
      <c r="I25" s="54">
        <f>SUMIF($CB$4:$JS$4,I$4,$CB25:$JS25)</f>
        <v/>
      </c>
      <c r="J25" s="54">
        <f>SUMIF($CB$4:$JS$4,J$4,$CB25:$JS25)</f>
        <v/>
      </c>
      <c r="K25" s="54">
        <f>SUMIF($CB$4:$JS$4,K$4,$CB25:$JS25)</f>
        <v/>
      </c>
      <c r="L25" s="54">
        <f>SUMIF($CB$4:$JS$4,L$4,$CB25:$JS25)</f>
        <v/>
      </c>
      <c r="M25" s="54">
        <f>SUMIF($CB$4:$JS$4,M$4,$CB25:$JS25)</f>
        <v/>
      </c>
      <c r="N25" s="54">
        <f>SUMIF($CB$4:$JS$4,N$4,$CB25:$JS25)</f>
        <v/>
      </c>
      <c r="O25" s="54">
        <f>SUMIF($CB$4:$JS$4,O$4,$CB25:$JS25)</f>
        <v/>
      </c>
      <c r="P25" s="54">
        <f>SUMIF($CB$4:$JS$4,P$4,$CB25:$JS25)</f>
        <v/>
      </c>
      <c r="Q25" s="54">
        <f>SUMIF($CB$4:$JS$4,Q$4,$CB25:$JS25)</f>
        <v/>
      </c>
      <c r="R25" s="54">
        <f>SUMIF($CB$4:$JS$4,R$4,$CB25:$JS25)</f>
        <v/>
      </c>
      <c r="S25" s="54">
        <f>SUMIF($CB$4:$JS$4,S$4,$CB25:$JS25)</f>
        <v/>
      </c>
      <c r="T25" s="54">
        <f>SUMIF($CB$4:$JS$4,T$4,$CB25:$JS25)</f>
        <v/>
      </c>
      <c r="U25" s="54">
        <f>SUMIF($CB$4:$JS$4,U$4,$CB25:$JS25)</f>
        <v/>
      </c>
      <c r="V25" s="54">
        <f>SUMIF($CB$4:$JS$4,V$4,$CB25:$JS25)</f>
        <v/>
      </c>
      <c r="W25" s="54">
        <f>SUMIF($CB$4:$JS$4,W$4,$CB25:$JS25)</f>
        <v/>
      </c>
      <c r="X25" s="54">
        <f>SUMIF($CB$4:$JS$4,X$4,$CB25:$JS25)</f>
        <v/>
      </c>
      <c r="Y25" s="54">
        <f>SUMIF($CB$4:$JS$4,Y$4,$CB25:$JS25)</f>
        <v/>
      </c>
      <c r="Z25" s="54">
        <f>SUMIF($CB$4:$JS$4,Z$4,$CB25:$JS25)</f>
        <v/>
      </c>
      <c r="AA25" s="54">
        <f>SUMIF($CB$4:$JS$4,AA$4,$CB25:$JS25)</f>
        <v/>
      </c>
      <c r="AB25" s="54">
        <f>SUMIF($CB$4:$JS$4,AB$4,$CB25:$JS25)</f>
        <v/>
      </c>
      <c r="AC25" s="54">
        <f>SUMIF($CB$4:$JS$4,AC$4,$CB25:$JS25)</f>
        <v/>
      </c>
      <c r="AD25" s="54">
        <f>SUMIF($CB$4:$JS$4,AD$4,$CB25:$JS25)</f>
        <v/>
      </c>
      <c r="AE25" s="54">
        <f>SUMIF($CB$4:$JS$4,AE$4,$CB25:$JS25)</f>
        <v/>
      </c>
      <c r="AF25" s="54">
        <f>SUMIF($CB$4:$JS$4,AF$4,$CB25:$JS25)</f>
        <v/>
      </c>
      <c r="AG25" s="54">
        <f>SUMIF($CB$4:$JS$4,AG$4,$CB25:$JS25)</f>
        <v/>
      </c>
      <c r="AH25" s="54">
        <f>SUMIF($CB$4:$JS$4,AH$4,$CB25:$JS25)</f>
        <v/>
      </c>
      <c r="AI25" s="54">
        <f>SUMIF($CB$4:$JS$4,AI$4,$CB25:$JS25)</f>
        <v/>
      </c>
      <c r="AJ25" s="54">
        <f>SUMIF($CB$4:$JS$4,AJ$4,$CB25:$JS25)</f>
        <v/>
      </c>
      <c r="AK25" s="54">
        <f>SUMIF($CB$4:$JS$4,AK$4,$CB25:$JS25)</f>
        <v/>
      </c>
      <c r="AL25" s="54">
        <f>SUMIF($CB$4:$JS$4,AL$4,$CB25:$JS25)</f>
        <v/>
      </c>
      <c r="AM25" s="54">
        <f>SUMIF($CB$4:$JS$4,AM$4,$CB25:$JS25)</f>
        <v/>
      </c>
      <c r="AN25" s="54">
        <f>SUMIF($CB$4:$JS$4,AN$4,$CB25:$JS25)</f>
        <v/>
      </c>
      <c r="AO25" s="54">
        <f>SUMIF($CB$4:$JS$4,AO$4,$CB25:$JS25)</f>
        <v/>
      </c>
      <c r="AP25" s="54">
        <f>SUMIF($CB$4:$JS$4,AP$4,$CB25:$JS25)</f>
        <v/>
      </c>
      <c r="AQ25" s="54">
        <f>SUMIF($CB$4:$JS$4,AQ$4,$CB25:$JS25)</f>
        <v/>
      </c>
      <c r="AR25" s="54">
        <f>SUMIF($CB$4:$JS$4,AR$4,$CB25:$JS25)</f>
        <v/>
      </c>
      <c r="AS25" s="54">
        <f>SUMIF($CB$4:$JS$4,AS$4,$CB25:$JS25)</f>
        <v/>
      </c>
      <c r="AT25" s="54">
        <f>SUMIF($CB$4:$JS$4,AT$4,$CB25:$JS25)</f>
        <v/>
      </c>
      <c r="AU25" s="54">
        <f>SUMIF($CB$4:$JS$4,AU$4,$CB25:$JS25)</f>
        <v/>
      </c>
      <c r="AV25" s="54">
        <f>SUMIF($CB$4:$JS$4,AV$4,$CB25:$JS25)</f>
        <v/>
      </c>
      <c r="AW25" s="54">
        <f>SUMIF($CB$4:$JS$4,AW$4,$CB25:$JS25)</f>
        <v/>
      </c>
      <c r="AX25" s="54">
        <f>SUMIF($CB$4:$JS$4,AX$4,$CB25:$JS25)</f>
        <v/>
      </c>
      <c r="AY25" s="54">
        <f>SUMIF($CB$4:$JS$4,AY$4,$CB25:$JS25)</f>
        <v/>
      </c>
      <c r="AZ25" s="54">
        <f>SUMIF($CB$4:$JS$4,AZ$4,$CB25:$JS25)</f>
        <v/>
      </c>
      <c r="BA25" s="54">
        <f>SUMIF($CB$4:$JS$4,BA$4,$CB25:$JS25)</f>
        <v/>
      </c>
      <c r="BB25" s="54">
        <f>SUMIF($CB$4:$JS$4,BB$4,$CB25:$JS25)</f>
        <v/>
      </c>
      <c r="BC25" s="54">
        <f>SUMIF($CB$4:$JS$4,BC$4,$CB25:$JS25)</f>
        <v/>
      </c>
      <c r="BD25" s="54">
        <f>SUMIF($CB$4:$JS$4,BD$4,$CB25:$JS25)</f>
        <v/>
      </c>
      <c r="BE25" s="54">
        <f>SUMIF($CB$4:$JS$4,BE$4,$CB25:$JS25)</f>
        <v/>
      </c>
      <c r="BF25" s="54">
        <f>SUMIF($CB$4:$JS$4,BF$4,$CB25:$JS25)</f>
        <v/>
      </c>
      <c r="BG25" s="54">
        <f>SUMIF($CB$4:$JS$4,BG$4,$CB25:$JS25)</f>
        <v/>
      </c>
      <c r="BH25" s="54">
        <f>SUMIF($CB$4:$JS$4,BH$4,$CB25:$JS25)</f>
        <v/>
      </c>
      <c r="BI25" s="54">
        <f>SUMIF($CB$4:$JS$4,BI$4,$CB25:$JS25)</f>
        <v/>
      </c>
      <c r="BJ25" s="54">
        <f>SUMIF($CB$4:$JS$4,BJ$4,$CB25:$JS25)</f>
        <v/>
      </c>
      <c r="BK25" s="54">
        <f>SUMIF($CB$4:$JS$4,BK$4,$CB25:$JS25)</f>
        <v/>
      </c>
      <c r="BL25" s="54">
        <f>SUMIF($CB$4:$JS$4,BL$4,$CB25:$JS25)</f>
        <v/>
      </c>
      <c r="BM25" s="54">
        <f>SUMIF($CB$4:$JS$4,BM$4,$CB25:$JS25)</f>
        <v/>
      </c>
      <c r="BN25" s="54">
        <f>SUMIF($CB$4:$JS$4,BN$4,$CB25:$JS25)</f>
        <v/>
      </c>
      <c r="BO25" s="54">
        <f>SUMIF($CB$4:$JS$4,BO$4,$CB25:$JS25)</f>
        <v/>
      </c>
      <c r="BP25" s="54">
        <f>SUMIF($CB$4:$JS$4,BP$4,$CB25:$JS25)</f>
        <v/>
      </c>
      <c r="BQ25" s="54">
        <f>SUMIF($CB$4:$JS$4,BQ$4,$CB25:$JS25)</f>
        <v/>
      </c>
      <c r="BR25" s="54">
        <f>SUMIF($CB$4:$JS$4,BR$4,$CB25:$JS25)</f>
        <v/>
      </c>
      <c r="BS25" s="54">
        <f>SUMIF($CB$4:$JS$4,BS$4,$CB25:$JS25)</f>
        <v/>
      </c>
      <c r="BT25" s="54">
        <f>SUMIF($CB$4:$JS$4,BT$4,$CB25:$JS25)</f>
        <v/>
      </c>
      <c r="BU25" s="54">
        <f>SUMIF($CB$4:$JS$4,BU$4,$CB25:$JS25)</f>
        <v/>
      </c>
      <c r="BV25" s="54">
        <f>SUMIF($CB$4:$JS$4,BV$4,$CB25:$JS25)</f>
        <v/>
      </c>
      <c r="BW25" s="54">
        <f>SUMIF($CB$4:$JS$4,BW$4,$CB25:$JS25)</f>
        <v/>
      </c>
      <c r="BX25" s="54">
        <f>SUMIF($CB$4:$JS$4,"&gt;"&amp;'VALOR POR PL'!$P$8,$CB25:$JS25)</f>
        <v/>
      </c>
      <c r="BY25" s="54">
        <f>SUM($CB25:$JS25)</f>
        <v/>
      </c>
      <c r="BZ25" s="49">
        <f>SUMPRODUCT(($CB$4:$JS$4&lt;&gt;"")*($CB$4:$JS$4&lt;=$D$4),$CB25:$JS25,$CB$1:$JS$1)</f>
        <v/>
      </c>
      <c r="CB25" s="132">
        <f>IF(OR(CB$4="",$B25=""),0,SUMIF('DADOS BRUTOS'!$A$3:$A$500,$B25,'DADOS BRUTOS'!B$3:B$500)+IF($C25="",0,SUMIF('DADOS BRUTOS'!$A$3:$A$500,$C25,'DADOS BRUTOS'!B$3:B$500)))</f>
        <v/>
      </c>
      <c r="CC25" s="132">
        <f>IF(OR(CC$4="",$B25=""),0,SUMIF('DADOS BRUTOS'!$A$3:$A$500,$B25,'DADOS BRUTOS'!C$3:C$500)+IF($C25="",0,SUMIF('DADOS BRUTOS'!$A$3:$A$500,$C25,'DADOS BRUTOS'!C$3:C$500)))</f>
        <v/>
      </c>
      <c r="CD25" s="132">
        <f>IF(OR(CD$4="",$B25=""),0,SUMIF('DADOS BRUTOS'!$A$3:$A$500,$B25,'DADOS BRUTOS'!D$3:D$500)+IF($C25="",0,SUMIF('DADOS BRUTOS'!$A$3:$A$500,$C25,'DADOS BRUTOS'!D$3:D$500)))</f>
        <v/>
      </c>
      <c r="CE25" s="132">
        <f>IF(OR(CE$4="",$B25=""),0,SUMIF('DADOS BRUTOS'!$A$3:$A$500,$B25,'DADOS BRUTOS'!E$3:E$500)+IF($C25="",0,SUMIF('DADOS BRUTOS'!$A$3:$A$500,$C25,'DADOS BRUTOS'!E$3:E$500)))</f>
        <v/>
      </c>
      <c r="CF25" s="132">
        <f>IF(OR(CF$4="",$B25=""),0,SUMIF('DADOS BRUTOS'!$A$3:$A$500,$B25,'DADOS BRUTOS'!F$3:F$500)+IF($C25="",0,SUMIF('DADOS BRUTOS'!$A$3:$A$500,$C25,'DADOS BRUTOS'!F$3:F$500)))</f>
        <v/>
      </c>
      <c r="CG25" s="132">
        <f>IF(OR(CG$4="",$B25=""),0,SUMIF('DADOS BRUTOS'!$A$3:$A$500,$B25,'DADOS BRUTOS'!G$3:G$500)+IF($C25="",0,SUMIF('DADOS BRUTOS'!$A$3:$A$500,$C25,'DADOS BRUTOS'!G$3:G$500)))</f>
        <v/>
      </c>
      <c r="CH25" s="132">
        <f>IF(OR(CH$4="",$B25=""),0,SUMIF('DADOS BRUTOS'!$A$3:$A$500,$B25,'DADOS BRUTOS'!H$3:H$500)+IF($C25="",0,SUMIF('DADOS BRUTOS'!$A$3:$A$500,$C25,'DADOS BRUTOS'!H$3:H$500)))</f>
        <v/>
      </c>
      <c r="CI25" s="132">
        <f>IF(OR(CI$4="",$B25=""),0,SUMIF('DADOS BRUTOS'!$A$3:$A$500,$B25,'DADOS BRUTOS'!I$3:I$500)+IF($C25="",0,SUMIF('DADOS BRUTOS'!$A$3:$A$500,$C25,'DADOS BRUTOS'!I$3:I$500)))</f>
        <v/>
      </c>
      <c r="CJ25" s="132">
        <f>IF(OR(CJ$4="",$B25=""),0,SUMIF('DADOS BRUTOS'!$A$3:$A$500,$B25,'DADOS BRUTOS'!J$3:J$500)+IF($C25="",0,SUMIF('DADOS BRUTOS'!$A$3:$A$500,$C25,'DADOS BRUTOS'!J$3:J$500)))</f>
        <v/>
      </c>
      <c r="CK25" s="132">
        <f>IF(OR(CK$4="",$B25=""),0,SUMIF('DADOS BRUTOS'!$A$3:$A$500,$B25,'DADOS BRUTOS'!K$3:K$500)+IF($C25="",0,SUMIF('DADOS BRUTOS'!$A$3:$A$500,$C25,'DADOS BRUTOS'!K$3:K$500)))</f>
        <v/>
      </c>
      <c r="CL25" s="132">
        <f>IF(OR(CL$4="",$B25=""),0,SUMIF('DADOS BRUTOS'!$A$3:$A$500,$B25,'DADOS BRUTOS'!L$3:L$500)+IF($C25="",0,SUMIF('DADOS BRUTOS'!$A$3:$A$500,$C25,'DADOS BRUTOS'!L$3:L$500)))</f>
        <v/>
      </c>
      <c r="CM25" s="132">
        <f>IF(OR(CM$4="",$B25=""),0,SUMIF('DADOS BRUTOS'!$A$3:$A$500,$B25,'DADOS BRUTOS'!M$3:M$500)+IF($C25="",0,SUMIF('DADOS BRUTOS'!$A$3:$A$500,$C25,'DADOS BRUTOS'!M$3:M$500)))</f>
        <v/>
      </c>
      <c r="CN25" s="132">
        <f>IF(OR(CN$4="",$B25=""),0,SUMIF('DADOS BRUTOS'!$A$3:$A$500,$B25,'DADOS BRUTOS'!N$3:N$500)+IF($C25="",0,SUMIF('DADOS BRUTOS'!$A$3:$A$500,$C25,'DADOS BRUTOS'!N$3:N$500)))</f>
        <v/>
      </c>
      <c r="CO25" s="132">
        <f>IF(OR(CO$4="",$B25=""),0,SUMIF('DADOS BRUTOS'!$A$3:$A$500,$B25,'DADOS BRUTOS'!O$3:O$500)+IF($C25="",0,SUMIF('DADOS BRUTOS'!$A$3:$A$500,$C25,'DADOS BRUTOS'!O$3:O$500)))</f>
        <v/>
      </c>
      <c r="CP25" s="132">
        <f>IF(OR(CP$4="",$B25=""),0,SUMIF('DADOS BRUTOS'!$A$3:$A$500,$B25,'DADOS BRUTOS'!P$3:P$500)+IF($C25="",0,SUMIF('DADOS BRUTOS'!$A$3:$A$500,$C25,'DADOS BRUTOS'!P$3:P$500)))</f>
        <v/>
      </c>
      <c r="CQ25" s="132">
        <f>IF(OR(CQ$4="",$B25=""),0,SUMIF('DADOS BRUTOS'!$A$3:$A$500,$B25,'DADOS BRUTOS'!Q$3:Q$500)+IF($C25="",0,SUMIF('DADOS BRUTOS'!$A$3:$A$500,$C25,'DADOS BRUTOS'!Q$3:Q$500)))</f>
        <v/>
      </c>
      <c r="CR25" s="132">
        <f>IF(OR(CR$4="",$B25=""),0,SUMIF('DADOS BRUTOS'!$A$3:$A$500,$B25,'DADOS BRUTOS'!R$3:R$500)+IF($C25="",0,SUMIF('DADOS BRUTOS'!$A$3:$A$500,$C25,'DADOS BRUTOS'!R$3:R$500)))</f>
        <v/>
      </c>
      <c r="CS25" s="132">
        <f>IF(OR(CS$4="",$B25=""),0,SUMIF('DADOS BRUTOS'!$A$3:$A$500,$B25,'DADOS BRUTOS'!S$3:S$500)+IF($C25="",0,SUMIF('DADOS BRUTOS'!$A$3:$A$500,$C25,'DADOS BRUTOS'!S$3:S$500)))</f>
        <v/>
      </c>
      <c r="CT25" s="132">
        <f>IF(OR(CT$4="",$B25=""),0,SUMIF('DADOS BRUTOS'!$A$3:$A$500,$B25,'DADOS BRUTOS'!T$3:T$500)+IF($C25="",0,SUMIF('DADOS BRUTOS'!$A$3:$A$500,$C25,'DADOS BRUTOS'!T$3:T$500)))</f>
        <v/>
      </c>
      <c r="CU25" s="132">
        <f>IF(OR(CU$4="",$B25=""),0,SUMIF('DADOS BRUTOS'!$A$3:$A$500,$B25,'DADOS BRUTOS'!U$3:U$500)+IF($C25="",0,SUMIF('DADOS BRUTOS'!$A$3:$A$500,$C25,'DADOS BRUTOS'!U$3:U$500)))</f>
        <v/>
      </c>
      <c r="CV25" s="132">
        <f>IF(OR(CV$4="",$B25=""),0,SUMIF('DADOS BRUTOS'!$A$3:$A$500,$B25,'DADOS BRUTOS'!V$3:V$500)+IF($C25="",0,SUMIF('DADOS BRUTOS'!$A$3:$A$500,$C25,'DADOS BRUTOS'!V$3:V$500)))</f>
        <v/>
      </c>
      <c r="CW25" s="132">
        <f>IF(OR(CW$4="",$B25=""),0,SUMIF('DADOS BRUTOS'!$A$3:$A$500,$B25,'DADOS BRUTOS'!W$3:W$500)+IF($C25="",0,SUMIF('DADOS BRUTOS'!$A$3:$A$500,$C25,'DADOS BRUTOS'!W$3:W$500)))</f>
        <v/>
      </c>
      <c r="CX25" s="132">
        <f>IF(OR(CX$4="",$B25=""),0,SUMIF('DADOS BRUTOS'!$A$3:$A$500,$B25,'DADOS BRUTOS'!X$3:X$500)+IF($C25="",0,SUMIF('DADOS BRUTOS'!$A$3:$A$500,$C25,'DADOS BRUTOS'!X$3:X$500)))</f>
        <v/>
      </c>
      <c r="CY25" s="132">
        <f>IF(OR(CY$4="",$B25=""),0,SUMIF('DADOS BRUTOS'!$A$3:$A$500,$B25,'DADOS BRUTOS'!Y$3:Y$500)+IF($C25="",0,SUMIF('DADOS BRUTOS'!$A$3:$A$500,$C25,'DADOS BRUTOS'!Y$3:Y$500)))</f>
        <v/>
      </c>
      <c r="CZ25" s="132">
        <f>IF(OR(CZ$4="",$B25=""),0,SUMIF('DADOS BRUTOS'!$A$3:$A$500,$B25,'DADOS BRUTOS'!Z$3:Z$500)+IF($C25="",0,SUMIF('DADOS BRUTOS'!$A$3:$A$500,$C25,'DADOS BRUTOS'!Z$3:Z$500)))</f>
        <v/>
      </c>
      <c r="DA25" s="132">
        <f>IF(OR(DA$4="",$B25=""),0,SUMIF('DADOS BRUTOS'!$A$3:$A$500,$B25,'DADOS BRUTOS'!AA$3:AA$500)+IF($C25="",0,SUMIF('DADOS BRUTOS'!$A$3:$A$500,$C25,'DADOS BRUTOS'!AA$3:AA$500)))</f>
        <v/>
      </c>
      <c r="DB25" s="132">
        <f>IF(OR(DB$4="",$B25=""),0,SUMIF('DADOS BRUTOS'!$A$3:$A$500,$B25,'DADOS BRUTOS'!AB$3:AB$500)+IF($C25="",0,SUMIF('DADOS BRUTOS'!$A$3:$A$500,$C25,'DADOS BRUTOS'!AB$3:AB$500)))</f>
        <v/>
      </c>
      <c r="DC25" s="132">
        <f>IF(OR(DC$4="",$B25=""),0,SUMIF('DADOS BRUTOS'!$A$3:$A$500,$B25,'DADOS BRUTOS'!AC$3:AC$500)+IF($C25="",0,SUMIF('DADOS BRUTOS'!$A$3:$A$500,$C25,'DADOS BRUTOS'!AC$3:AC$500)))</f>
        <v/>
      </c>
      <c r="DD25" s="132">
        <f>IF(OR(DD$4="",$B25=""),0,SUMIF('DADOS BRUTOS'!$A$3:$A$500,$B25,'DADOS BRUTOS'!AD$3:AD$500)+IF($C25="",0,SUMIF('DADOS BRUTOS'!$A$3:$A$500,$C25,'DADOS BRUTOS'!AD$3:AD$500)))</f>
        <v/>
      </c>
      <c r="DE25" s="132">
        <f>IF(OR(DE$4="",$B25=""),0,SUMIF('DADOS BRUTOS'!$A$3:$A$500,$B25,'DADOS BRUTOS'!AE$3:AE$500)+IF($C25="",0,SUMIF('DADOS BRUTOS'!$A$3:$A$500,$C25,'DADOS BRUTOS'!AE$3:AE$500)))</f>
        <v/>
      </c>
      <c r="DF25" s="132">
        <f>IF(OR(DF$4="",$B25=""),0,SUMIF('DADOS BRUTOS'!$A$3:$A$500,$B25,'DADOS BRUTOS'!AF$3:AF$500)+IF($C25="",0,SUMIF('DADOS BRUTOS'!$A$3:$A$500,$C25,'DADOS BRUTOS'!AF$3:AF$500)))</f>
        <v/>
      </c>
      <c r="DG25" s="132">
        <f>IF(OR(DG$4="",$B25=""),0,SUMIF('DADOS BRUTOS'!$A$3:$A$500,$B25,'DADOS BRUTOS'!AG$3:AG$500)+IF($C25="",0,SUMIF('DADOS BRUTOS'!$A$3:$A$500,$C25,'DADOS BRUTOS'!AG$3:AG$500)))</f>
        <v/>
      </c>
      <c r="DH25" s="132">
        <f>IF(OR(DH$4="",$B25=""),0,SUMIF('DADOS BRUTOS'!$A$3:$A$500,$B25,'DADOS BRUTOS'!AH$3:AH$500)+IF($C25="",0,SUMIF('DADOS BRUTOS'!$A$3:$A$500,$C25,'DADOS BRUTOS'!AH$3:AH$500)))</f>
        <v/>
      </c>
      <c r="DI25" s="132">
        <f>IF(OR(DI$4="",$B25=""),0,SUMIF('DADOS BRUTOS'!$A$3:$A$500,$B25,'DADOS BRUTOS'!AI$3:AI$500)+IF($C25="",0,SUMIF('DADOS BRUTOS'!$A$3:$A$500,$C25,'DADOS BRUTOS'!AI$3:AI$500)))</f>
        <v/>
      </c>
      <c r="DJ25" s="132">
        <f>IF(OR(DJ$4="",$B25=""),0,SUMIF('DADOS BRUTOS'!$A$3:$A$500,$B25,'DADOS BRUTOS'!AJ$3:AJ$500)+IF($C25="",0,SUMIF('DADOS BRUTOS'!$A$3:$A$500,$C25,'DADOS BRUTOS'!AJ$3:AJ$500)))</f>
        <v/>
      </c>
      <c r="DK25" s="132">
        <f>IF(OR(DK$4="",$B25=""),0,SUMIF('DADOS BRUTOS'!$A$3:$A$500,$B25,'DADOS BRUTOS'!AK$3:AK$500)+IF($C25="",0,SUMIF('DADOS BRUTOS'!$A$3:$A$500,$C25,'DADOS BRUTOS'!AK$3:AK$500)))</f>
        <v/>
      </c>
      <c r="DL25" s="132">
        <f>IF(OR(DL$4="",$B25=""),0,SUMIF('DADOS BRUTOS'!$A$3:$A$500,$B25,'DADOS BRUTOS'!AL$3:AL$500)+IF($C25="",0,SUMIF('DADOS BRUTOS'!$A$3:$A$500,$C25,'DADOS BRUTOS'!AL$3:AL$500)))</f>
        <v/>
      </c>
      <c r="DM25" s="132">
        <f>IF(OR(DM$4="",$B25=""),0,SUMIF('DADOS BRUTOS'!$A$3:$A$500,$B25,'DADOS BRUTOS'!AM$3:AM$500)+IF($C25="",0,SUMIF('DADOS BRUTOS'!$A$3:$A$500,$C25,'DADOS BRUTOS'!AM$3:AM$500)))</f>
        <v/>
      </c>
      <c r="DN25" s="132">
        <f>IF(OR(DN$4="",$B25=""),0,SUMIF('DADOS BRUTOS'!$A$3:$A$500,$B25,'DADOS BRUTOS'!AN$3:AN$500)+IF($C25="",0,SUMIF('DADOS BRUTOS'!$A$3:$A$500,$C25,'DADOS BRUTOS'!AN$3:AN$500)))</f>
        <v/>
      </c>
      <c r="DO25" s="132">
        <f>IF(OR(DO$4="",$B25=""),0,SUMIF('DADOS BRUTOS'!$A$3:$A$500,$B25,'DADOS BRUTOS'!AO$3:AO$500)+IF($C25="",0,SUMIF('DADOS BRUTOS'!$A$3:$A$500,$C25,'DADOS BRUTOS'!AO$3:AO$500)))</f>
        <v/>
      </c>
      <c r="DP25" s="132">
        <f>IF(OR(DP$4="",$B25=""),0,SUMIF('DADOS BRUTOS'!$A$3:$A$500,$B25,'DADOS BRUTOS'!AP$3:AP$500)+IF($C25="",0,SUMIF('DADOS BRUTOS'!$A$3:$A$500,$C25,'DADOS BRUTOS'!AP$3:AP$500)))</f>
        <v/>
      </c>
      <c r="DQ25" s="132">
        <f>IF(OR(DQ$4="",$B25=""),0,SUMIF('DADOS BRUTOS'!$A$3:$A$500,$B25,'DADOS BRUTOS'!AQ$3:AQ$500)+IF($C25="",0,SUMIF('DADOS BRUTOS'!$A$3:$A$500,$C25,'DADOS BRUTOS'!AQ$3:AQ$500)))</f>
        <v/>
      </c>
      <c r="DR25" s="132">
        <f>IF(OR(DR$4="",$B25=""),0,SUMIF('DADOS BRUTOS'!$A$3:$A$500,$B25,'DADOS BRUTOS'!AR$3:AR$500)+IF($C25="",0,SUMIF('DADOS BRUTOS'!$A$3:$A$500,$C25,'DADOS BRUTOS'!AR$3:AR$500)))</f>
        <v/>
      </c>
      <c r="DS25" s="132">
        <f>IF(OR(DS$4="",$B25=""),0,SUMIF('DADOS BRUTOS'!$A$3:$A$500,$B25,'DADOS BRUTOS'!AS$3:AS$500)+IF($C25="",0,SUMIF('DADOS BRUTOS'!$A$3:$A$500,$C25,'DADOS BRUTOS'!AS$3:AS$500)))</f>
        <v/>
      </c>
      <c r="DT25" s="132">
        <f>IF(OR(DT$4="",$B25=""),0,SUMIF('DADOS BRUTOS'!$A$3:$A$500,$B25,'DADOS BRUTOS'!AT$3:AT$500)+IF($C25="",0,SUMIF('DADOS BRUTOS'!$A$3:$A$500,$C25,'DADOS BRUTOS'!AT$3:AT$500)))</f>
        <v/>
      </c>
      <c r="DU25" s="132">
        <f>IF(OR(DU$4="",$B25=""),0,SUMIF('DADOS BRUTOS'!$A$3:$A$500,$B25,'DADOS BRUTOS'!AU$3:AU$500)+IF($C25="",0,SUMIF('DADOS BRUTOS'!$A$3:$A$500,$C25,'DADOS BRUTOS'!AU$3:AU$500)))</f>
        <v/>
      </c>
      <c r="DV25" s="132">
        <f>IF(OR(DV$4="",$B25=""),0,SUMIF('DADOS BRUTOS'!$A$3:$A$500,$B25,'DADOS BRUTOS'!AV$3:AV$500)+IF($C25="",0,SUMIF('DADOS BRUTOS'!$A$3:$A$500,$C25,'DADOS BRUTOS'!AV$3:AV$500)))</f>
        <v/>
      </c>
      <c r="DW25" s="132">
        <f>IF(OR(DW$4="",$B25=""),0,SUMIF('DADOS BRUTOS'!$A$3:$A$500,$B25,'DADOS BRUTOS'!AW$3:AW$500)+IF($C25="",0,SUMIF('DADOS BRUTOS'!$A$3:$A$500,$C25,'DADOS BRUTOS'!AW$3:AW$500)))</f>
        <v/>
      </c>
      <c r="DX25" s="132">
        <f>IF(OR(DX$4="",$B25=""),0,SUMIF('DADOS BRUTOS'!$A$3:$A$500,$B25,'DADOS BRUTOS'!AX$3:AX$500)+IF($C25="",0,SUMIF('DADOS BRUTOS'!$A$3:$A$500,$C25,'DADOS BRUTOS'!AX$3:AX$500)))</f>
        <v/>
      </c>
      <c r="DY25" s="132">
        <f>IF(OR(DY$4="",$B25=""),0,SUMIF('DADOS BRUTOS'!$A$3:$A$500,$B25,'DADOS BRUTOS'!AY$3:AY$500)+IF($C25="",0,SUMIF('DADOS BRUTOS'!$A$3:$A$500,$C25,'DADOS BRUTOS'!AY$3:AY$500)))</f>
        <v/>
      </c>
      <c r="DZ25" s="132">
        <f>IF(OR(DZ$4="",$B25=""),0,SUMIF('DADOS BRUTOS'!$A$3:$A$500,$B25,'DADOS BRUTOS'!AZ$3:AZ$500)+IF($C25="",0,SUMIF('DADOS BRUTOS'!$A$3:$A$500,$C25,'DADOS BRUTOS'!AZ$3:AZ$500)))</f>
        <v/>
      </c>
      <c r="EA25" s="132">
        <f>IF(OR(EA$4="",$B25=""),0,SUMIF('DADOS BRUTOS'!$A$3:$A$500,$B25,'DADOS BRUTOS'!BA$3:BA$500)+IF($C25="",0,SUMIF('DADOS BRUTOS'!$A$3:$A$500,$C25,'DADOS BRUTOS'!BA$3:BA$500)))</f>
        <v/>
      </c>
      <c r="EB25" s="132">
        <f>IF(OR(EB$4="",$B25=""),0,SUMIF('DADOS BRUTOS'!$A$3:$A$500,$B25,'DADOS BRUTOS'!BB$3:BB$500)+IF($C25="",0,SUMIF('DADOS BRUTOS'!$A$3:$A$500,$C25,'DADOS BRUTOS'!BB$3:BB$500)))</f>
        <v/>
      </c>
      <c r="EC25" s="132">
        <f>IF(OR(EC$4="",$B25=""),0,SUMIF('DADOS BRUTOS'!$A$3:$A$500,$B25,'DADOS BRUTOS'!BC$3:BC$500)+IF($C25="",0,SUMIF('DADOS BRUTOS'!$A$3:$A$500,$C25,'DADOS BRUTOS'!BC$3:BC$500)))</f>
        <v/>
      </c>
      <c r="ED25" s="132">
        <f>IF(OR(ED$4="",$B25=""),0,SUMIF('DADOS BRUTOS'!$A$3:$A$500,$B25,'DADOS BRUTOS'!BD$3:BD$500)+IF($C25="",0,SUMIF('DADOS BRUTOS'!$A$3:$A$500,$C25,'DADOS BRUTOS'!BD$3:BD$500)))</f>
        <v/>
      </c>
      <c r="EE25" s="132">
        <f>IF(OR(EE$4="",$B25=""),0,SUMIF('DADOS BRUTOS'!$A$3:$A$500,$B25,'DADOS BRUTOS'!BE$3:BE$500)+IF($C25="",0,SUMIF('DADOS BRUTOS'!$A$3:$A$500,$C25,'DADOS BRUTOS'!BE$3:BE$500)))</f>
        <v/>
      </c>
      <c r="EF25" s="132">
        <f>IF(OR(EF$4="",$B25=""),0,SUMIF('DADOS BRUTOS'!$A$3:$A$500,$B25,'DADOS BRUTOS'!BF$3:BF$500)+IF($C25="",0,SUMIF('DADOS BRUTOS'!$A$3:$A$500,$C25,'DADOS BRUTOS'!BF$3:BF$500)))</f>
        <v/>
      </c>
      <c r="EG25" s="132">
        <f>IF(OR(EG$4="",$B25=""),0,SUMIF('DADOS BRUTOS'!$A$3:$A$500,$B25,'DADOS BRUTOS'!BG$3:BG$500)+IF($C25="",0,SUMIF('DADOS BRUTOS'!$A$3:$A$500,$C25,'DADOS BRUTOS'!BG$3:BG$500)))</f>
        <v/>
      </c>
      <c r="EH25" s="132">
        <f>IF(OR(EH$4="",$B25=""),0,SUMIF('DADOS BRUTOS'!$A$3:$A$500,$B25,'DADOS BRUTOS'!BH$3:BH$500)+IF($C25="",0,SUMIF('DADOS BRUTOS'!$A$3:$A$500,$C25,'DADOS BRUTOS'!BH$3:BH$500)))</f>
        <v/>
      </c>
      <c r="EI25" s="132">
        <f>IF(OR(EI$4="",$B25=""),0,SUMIF('DADOS BRUTOS'!$A$3:$A$500,$B25,'DADOS BRUTOS'!BI$3:BI$500)+IF($C25="",0,SUMIF('DADOS BRUTOS'!$A$3:$A$500,$C25,'DADOS BRUTOS'!BI$3:BI$500)))</f>
        <v/>
      </c>
      <c r="EJ25" s="132">
        <f>IF(OR(EJ$4="",$B25=""),0,SUMIF('DADOS BRUTOS'!$A$3:$A$500,$B25,'DADOS BRUTOS'!BJ$3:BJ$500)+IF($C25="",0,SUMIF('DADOS BRUTOS'!$A$3:$A$500,$C25,'DADOS BRUTOS'!BJ$3:BJ$500)))</f>
        <v/>
      </c>
      <c r="EK25" s="132">
        <f>IF(OR(EK$4="",$B25=""),0,SUMIF('DADOS BRUTOS'!$A$3:$A$500,$B25,'DADOS BRUTOS'!BK$3:BK$500)+IF($C25="",0,SUMIF('DADOS BRUTOS'!$A$3:$A$500,$C25,'DADOS BRUTOS'!BK$3:BK$500)))</f>
        <v/>
      </c>
      <c r="EL25" s="132">
        <f>IF(OR(EL$4="",$B25=""),0,SUMIF('DADOS BRUTOS'!$A$3:$A$500,$B25,'DADOS BRUTOS'!BL$3:BL$500)+IF($C25="",0,SUMIF('DADOS BRUTOS'!$A$3:$A$500,$C25,'DADOS BRUTOS'!BL$3:BL$500)))</f>
        <v/>
      </c>
      <c r="EM25" s="132">
        <f>IF(OR(EM$4="",$B25=""),0,SUMIF('DADOS BRUTOS'!$A$3:$A$500,$B25,'DADOS BRUTOS'!BM$3:BM$500)+IF($C25="",0,SUMIF('DADOS BRUTOS'!$A$3:$A$500,$C25,'DADOS BRUTOS'!BM$3:BM$500)))</f>
        <v/>
      </c>
      <c r="EN25" s="132">
        <f>IF(OR(EN$4="",$B25=""),0,SUMIF('DADOS BRUTOS'!$A$3:$A$500,$B25,'DADOS BRUTOS'!BN$3:BN$500)+IF($C25="",0,SUMIF('DADOS BRUTOS'!$A$3:$A$500,$C25,'DADOS BRUTOS'!BN$3:BN$500)))</f>
        <v/>
      </c>
      <c r="EO25" s="132">
        <f>IF(OR(EO$4="",$B25=""),0,SUMIF('DADOS BRUTOS'!$A$3:$A$500,$B25,'DADOS BRUTOS'!BO$3:BO$500)+IF($C25="",0,SUMIF('DADOS BRUTOS'!$A$3:$A$500,$C25,'DADOS BRUTOS'!BO$3:BO$500)))</f>
        <v/>
      </c>
      <c r="EP25" s="132">
        <f>IF(OR(EP$4="",$B25=""),0,SUMIF('DADOS BRUTOS'!$A$3:$A$500,$B25,'DADOS BRUTOS'!BP$3:BP$500)+IF($C25="",0,SUMIF('DADOS BRUTOS'!$A$3:$A$500,$C25,'DADOS BRUTOS'!BP$3:BP$500)))</f>
        <v/>
      </c>
      <c r="EQ25" s="132">
        <f>IF(OR(EQ$4="",$B25=""),0,SUMIF('DADOS BRUTOS'!$A$3:$A$500,$B25,'DADOS BRUTOS'!BQ$3:BQ$500)+IF($C25="",0,SUMIF('DADOS BRUTOS'!$A$3:$A$500,$C25,'DADOS BRUTOS'!BQ$3:BQ$500)))</f>
        <v/>
      </c>
      <c r="ER25" s="132">
        <f>IF(OR(ER$4="",$B25=""),0,SUMIF('DADOS BRUTOS'!$A$3:$A$500,$B25,'DADOS BRUTOS'!BR$3:BR$500)+IF($C25="",0,SUMIF('DADOS BRUTOS'!$A$3:$A$500,$C25,'DADOS BRUTOS'!BR$3:BR$500)))</f>
        <v/>
      </c>
      <c r="ES25" s="132">
        <f>IF(OR(ES$4="",$B25=""),0,SUMIF('DADOS BRUTOS'!$A$3:$A$500,$B25,'DADOS BRUTOS'!BS$3:BS$500)+IF($C25="",0,SUMIF('DADOS BRUTOS'!$A$3:$A$500,$C25,'DADOS BRUTOS'!BS$3:BS$500)))</f>
        <v/>
      </c>
      <c r="ET25" s="132">
        <f>IF(OR(ET$4="",$B25=""),0,SUMIF('DADOS BRUTOS'!$A$3:$A$500,$B25,'DADOS BRUTOS'!BT$3:BT$500)+IF($C25="",0,SUMIF('DADOS BRUTOS'!$A$3:$A$500,$C25,'DADOS BRUTOS'!BT$3:BT$500)))</f>
        <v/>
      </c>
      <c r="EU25" s="132">
        <f>IF(OR(EU$4="",$B25=""),0,SUMIF('DADOS BRUTOS'!$A$3:$A$500,$B25,'DADOS BRUTOS'!BU$3:BU$500)+IF($C25="",0,SUMIF('DADOS BRUTOS'!$A$3:$A$500,$C25,'DADOS BRUTOS'!BU$3:BU$500)))</f>
        <v/>
      </c>
      <c r="EV25" s="132">
        <f>IF(OR(EV$4="",$B25=""),0,SUMIF('DADOS BRUTOS'!$A$3:$A$500,$B25,'DADOS BRUTOS'!BV$3:BV$500)+IF($C25="",0,SUMIF('DADOS BRUTOS'!$A$3:$A$500,$C25,'DADOS BRUTOS'!BV$3:BV$500)))</f>
        <v/>
      </c>
      <c r="EW25" s="132">
        <f>IF(OR(EW$4="",$B25=""),0,SUMIF('DADOS BRUTOS'!$A$3:$A$500,$B25,'DADOS BRUTOS'!BW$3:BW$500)+IF($C25="",0,SUMIF('DADOS BRUTOS'!$A$3:$A$500,$C25,'DADOS BRUTOS'!BW$3:BW$500)))</f>
        <v/>
      </c>
      <c r="EX25" s="132">
        <f>IF(OR(EX$4="",$B25=""),0,SUMIF('DADOS BRUTOS'!$A$3:$A$500,$B25,'DADOS BRUTOS'!BX$3:BX$500)+IF($C25="",0,SUMIF('DADOS BRUTOS'!$A$3:$A$500,$C25,'DADOS BRUTOS'!BX$3:BX$500)))</f>
        <v/>
      </c>
      <c r="EY25" s="132">
        <f>IF(OR(EY$4="",$B25=""),0,SUMIF('DADOS BRUTOS'!$A$3:$A$500,$B25,'DADOS BRUTOS'!BY$3:BY$500)+IF($C25="",0,SUMIF('DADOS BRUTOS'!$A$3:$A$500,$C25,'DADOS BRUTOS'!BY$3:BY$500)))</f>
        <v/>
      </c>
      <c r="EZ25" s="132">
        <f>IF(OR(EZ$4="",$B25=""),0,SUMIF('DADOS BRUTOS'!$A$3:$A$500,$B25,'DADOS BRUTOS'!BZ$3:BZ$500)+IF($C25="",0,SUMIF('DADOS BRUTOS'!$A$3:$A$500,$C25,'DADOS BRUTOS'!BZ$3:BZ$500)))</f>
        <v/>
      </c>
      <c r="FA25" s="132">
        <f>IF(OR(FA$4="",$B25=""),0,SUMIF('DADOS BRUTOS'!$A$3:$A$500,$B25,'DADOS BRUTOS'!CA$3:CA$500)+IF($C25="",0,SUMIF('DADOS BRUTOS'!$A$3:$A$500,$C25,'DADOS BRUTOS'!CA$3:CA$500)))</f>
        <v/>
      </c>
      <c r="FB25" s="132">
        <f>IF(OR(FB$4="",$B25=""),0,SUMIF('DADOS BRUTOS'!$A$3:$A$500,$B25,'DADOS BRUTOS'!CB$3:CB$500)+IF($C25="",0,SUMIF('DADOS BRUTOS'!$A$3:$A$500,$C25,'DADOS BRUTOS'!CB$3:CB$500)))</f>
        <v/>
      </c>
      <c r="FC25" s="132">
        <f>IF(OR(FC$4="",$B25=""),0,SUMIF('DADOS BRUTOS'!$A$3:$A$500,$B25,'DADOS BRUTOS'!CC$3:CC$500)+IF($C25="",0,SUMIF('DADOS BRUTOS'!$A$3:$A$500,$C25,'DADOS BRUTOS'!CC$3:CC$500)))</f>
        <v/>
      </c>
      <c r="FD25" s="132">
        <f>IF(OR(FD$4="",$B25=""),0,SUMIF('DADOS BRUTOS'!$A$3:$A$500,$B25,'DADOS BRUTOS'!CD$3:CD$500)+IF($C25="",0,SUMIF('DADOS BRUTOS'!$A$3:$A$500,$C25,'DADOS BRUTOS'!CD$3:CD$500)))</f>
        <v/>
      </c>
      <c r="FE25" s="132">
        <f>IF(OR(FE$4="",$B25=""),0,SUMIF('DADOS BRUTOS'!$A$3:$A$500,$B25,'DADOS BRUTOS'!CE$3:CE$500)+IF($C25="",0,SUMIF('DADOS BRUTOS'!$A$3:$A$500,$C25,'DADOS BRUTOS'!CE$3:CE$500)))</f>
        <v/>
      </c>
      <c r="FF25" s="132">
        <f>IF(OR(FF$4="",$B25=""),0,SUMIF('DADOS BRUTOS'!$A$3:$A$500,$B25,'DADOS BRUTOS'!CF$3:CF$500)+IF($C25="",0,SUMIF('DADOS BRUTOS'!$A$3:$A$500,$C25,'DADOS BRUTOS'!CF$3:CF$500)))</f>
        <v/>
      </c>
      <c r="FG25" s="132">
        <f>IF(OR(FG$4="",$B25=""),0,SUMIF('DADOS BRUTOS'!$A$3:$A$500,$B25,'DADOS BRUTOS'!CG$3:CG$500)+IF($C25="",0,SUMIF('DADOS BRUTOS'!$A$3:$A$500,$C25,'DADOS BRUTOS'!CG$3:CG$500)))</f>
        <v/>
      </c>
      <c r="FH25" s="132">
        <f>IF(OR(FH$4="",$B25=""),0,SUMIF('DADOS BRUTOS'!$A$3:$A$500,$B25,'DADOS BRUTOS'!CH$3:CH$500)+IF($C25="",0,SUMIF('DADOS BRUTOS'!$A$3:$A$500,$C25,'DADOS BRUTOS'!CH$3:CH$500)))</f>
        <v/>
      </c>
      <c r="FI25" s="132">
        <f>IF(OR(FI$4="",$B25=""),0,SUMIF('DADOS BRUTOS'!$A$3:$A$500,$B25,'DADOS BRUTOS'!CI$3:CI$500)+IF($C25="",0,SUMIF('DADOS BRUTOS'!$A$3:$A$500,$C25,'DADOS BRUTOS'!CI$3:CI$500)))</f>
        <v/>
      </c>
      <c r="FJ25" s="132">
        <f>IF(OR(FJ$4="",$B25=""),0,SUMIF('DADOS BRUTOS'!$A$3:$A$500,$B25,'DADOS BRUTOS'!CJ$3:CJ$500)+IF($C25="",0,SUMIF('DADOS BRUTOS'!$A$3:$A$500,$C25,'DADOS BRUTOS'!CJ$3:CJ$500)))</f>
        <v/>
      </c>
      <c r="FK25" s="132">
        <f>IF(OR(FK$4="",$B25=""),0,SUMIF('DADOS BRUTOS'!$A$3:$A$500,$B25,'DADOS BRUTOS'!CK$3:CK$500)+IF($C25="",0,SUMIF('DADOS BRUTOS'!$A$3:$A$500,$C25,'DADOS BRUTOS'!CK$3:CK$500)))</f>
        <v/>
      </c>
      <c r="FL25" s="132">
        <f>IF(OR(FL$4="",$B25=""),0,SUMIF('DADOS BRUTOS'!$A$3:$A$500,$B25,'DADOS BRUTOS'!CL$3:CL$500)+IF($C25="",0,SUMIF('DADOS BRUTOS'!$A$3:$A$500,$C25,'DADOS BRUTOS'!CL$3:CL$500)))</f>
        <v/>
      </c>
      <c r="FM25" s="132">
        <f>IF(OR(FM$4="",$B25=""),0,SUMIF('DADOS BRUTOS'!$A$3:$A$500,$B25,'DADOS BRUTOS'!CM$3:CM$500)+IF($C25="",0,SUMIF('DADOS BRUTOS'!$A$3:$A$500,$C25,'DADOS BRUTOS'!CM$3:CM$500)))</f>
        <v/>
      </c>
      <c r="FN25" s="132">
        <f>IF(OR(FN$4="",$B25=""),0,SUMIF('DADOS BRUTOS'!$A$3:$A$500,$B25,'DADOS BRUTOS'!CN$3:CN$500)+IF($C25="",0,SUMIF('DADOS BRUTOS'!$A$3:$A$500,$C25,'DADOS BRUTOS'!CN$3:CN$500)))</f>
        <v/>
      </c>
      <c r="FO25" s="132">
        <f>IF(OR(FO$4="",$B25=""),0,SUMIF('DADOS BRUTOS'!$A$3:$A$500,$B25,'DADOS BRUTOS'!CO$3:CO$500)+IF($C25="",0,SUMIF('DADOS BRUTOS'!$A$3:$A$500,$C25,'DADOS BRUTOS'!CO$3:CO$500)))</f>
        <v/>
      </c>
      <c r="FP25" s="132">
        <f>IF(OR(FP$4="",$B25=""),0,SUMIF('DADOS BRUTOS'!$A$3:$A$500,$B25,'DADOS BRUTOS'!CP$3:CP$500)+IF($C25="",0,SUMIF('DADOS BRUTOS'!$A$3:$A$500,$C25,'DADOS BRUTOS'!CP$3:CP$500)))</f>
        <v/>
      </c>
      <c r="FQ25" s="132">
        <f>IF(OR(FQ$4="",$B25=""),0,SUMIF('DADOS BRUTOS'!$A$3:$A$500,$B25,'DADOS BRUTOS'!CQ$3:CQ$500)+IF($C25="",0,SUMIF('DADOS BRUTOS'!$A$3:$A$500,$C25,'DADOS BRUTOS'!CQ$3:CQ$500)))</f>
        <v/>
      </c>
      <c r="FR25" s="132">
        <f>IF(OR(FR$4="",$B25=""),0,SUMIF('DADOS BRUTOS'!$A$3:$A$500,$B25,'DADOS BRUTOS'!CR$3:CR$500)+IF($C25="",0,SUMIF('DADOS BRUTOS'!$A$3:$A$500,$C25,'DADOS BRUTOS'!CR$3:CR$500)))</f>
        <v/>
      </c>
      <c r="FS25" s="132">
        <f>IF(OR(FS$4="",$B25=""),0,SUMIF('DADOS BRUTOS'!$A$3:$A$500,$B25,'DADOS BRUTOS'!CS$3:CS$500)+IF($C25="",0,SUMIF('DADOS BRUTOS'!$A$3:$A$500,$C25,'DADOS BRUTOS'!CS$3:CS$500)))</f>
        <v/>
      </c>
      <c r="FT25" s="132">
        <f>IF(OR(FT$4="",$B25=""),0,SUMIF('DADOS BRUTOS'!$A$3:$A$500,$B25,'DADOS BRUTOS'!CT$3:CT$500)+IF($C25="",0,SUMIF('DADOS BRUTOS'!$A$3:$A$500,$C25,'DADOS BRUTOS'!CT$3:CT$500)))</f>
        <v/>
      </c>
      <c r="FU25" s="132">
        <f>IF(OR(FU$4="",$B25=""),0,SUMIF('DADOS BRUTOS'!$A$3:$A$500,$B25,'DADOS BRUTOS'!CU$3:CU$500)+IF($C25="",0,SUMIF('DADOS BRUTOS'!$A$3:$A$500,$C25,'DADOS BRUTOS'!CU$3:CU$500)))</f>
        <v/>
      </c>
      <c r="FV25" s="132">
        <f>IF(OR(FV$4="",$B25=""),0,SUMIF('DADOS BRUTOS'!$A$3:$A$500,$B25,'DADOS BRUTOS'!CV$3:CV$500)+IF($C25="",0,SUMIF('DADOS BRUTOS'!$A$3:$A$500,$C25,'DADOS BRUTOS'!CV$3:CV$500)))</f>
        <v/>
      </c>
      <c r="FW25" s="132">
        <f>IF(OR(FW$4="",$B25=""),0,SUMIF('DADOS BRUTOS'!$A$3:$A$500,$B25,'DADOS BRUTOS'!CW$3:CW$500)+IF($C25="",0,SUMIF('DADOS BRUTOS'!$A$3:$A$500,$C25,'DADOS BRUTOS'!CW$3:CW$500)))</f>
        <v/>
      </c>
      <c r="FX25" s="132">
        <f>IF(OR(FX$4="",$B25=""),0,SUMIF('DADOS BRUTOS'!$A$3:$A$500,$B25,'DADOS BRUTOS'!CX$3:CX$500)+IF($C25="",0,SUMIF('DADOS BRUTOS'!$A$3:$A$500,$C25,'DADOS BRUTOS'!CX$3:CX$500)))</f>
        <v/>
      </c>
      <c r="FY25" s="132">
        <f>IF(OR(FY$4="",$B25=""),0,SUMIF('DADOS BRUTOS'!$A$3:$A$500,$B25,'DADOS BRUTOS'!CY$3:CY$500)+IF($C25="",0,SUMIF('DADOS BRUTOS'!$A$3:$A$500,$C25,'DADOS BRUTOS'!CY$3:CY$500)))</f>
        <v/>
      </c>
      <c r="FZ25" s="132">
        <f>IF(OR(FZ$4="",$B25=""),0,SUMIF('DADOS BRUTOS'!$A$3:$A$500,$B25,'DADOS BRUTOS'!CZ$3:CZ$500)+IF($C25="",0,SUMIF('DADOS BRUTOS'!$A$3:$A$500,$C25,'DADOS BRUTOS'!CZ$3:CZ$500)))</f>
        <v/>
      </c>
      <c r="GA25" s="132">
        <f>IF(OR(GA$4="",$B25=""),0,SUMIF('DADOS BRUTOS'!$A$3:$A$500,$B25,'DADOS BRUTOS'!DA$3:DA$500)+IF($C25="",0,SUMIF('DADOS BRUTOS'!$A$3:$A$500,$C25,'DADOS BRUTOS'!DA$3:DA$500)))</f>
        <v/>
      </c>
      <c r="GB25" s="132">
        <f>IF(OR(GB$4="",$B25=""),0,SUMIF('DADOS BRUTOS'!$A$3:$A$500,$B25,'DADOS BRUTOS'!DB$3:DB$500)+IF($C25="",0,SUMIF('DADOS BRUTOS'!$A$3:$A$500,$C25,'DADOS BRUTOS'!DB$3:DB$500)))</f>
        <v/>
      </c>
      <c r="GC25" s="132">
        <f>IF(OR(GC$4="",$B25=""),0,SUMIF('DADOS BRUTOS'!$A$3:$A$500,$B25,'DADOS BRUTOS'!DC$3:DC$500)+IF($C25="",0,SUMIF('DADOS BRUTOS'!$A$3:$A$500,$C25,'DADOS BRUTOS'!DC$3:DC$500)))</f>
        <v/>
      </c>
      <c r="GD25" s="132">
        <f>IF(OR(GD$4="",$B25=""),0,SUMIF('DADOS BRUTOS'!$A$3:$A$500,$B25,'DADOS BRUTOS'!DD$3:DD$500)+IF($C25="",0,SUMIF('DADOS BRUTOS'!$A$3:$A$500,$C25,'DADOS BRUTOS'!DD$3:DD$500)))</f>
        <v/>
      </c>
      <c r="GE25" s="132">
        <f>IF(OR(GE$4="",$B25=""),0,SUMIF('DADOS BRUTOS'!$A$3:$A$500,$B25,'DADOS BRUTOS'!DE$3:DE$500)+IF($C25="",0,SUMIF('DADOS BRUTOS'!$A$3:$A$500,$C25,'DADOS BRUTOS'!DE$3:DE$500)))</f>
        <v/>
      </c>
      <c r="GF25" s="132">
        <f>IF(OR(GF$4="",$B25=""),0,SUMIF('DADOS BRUTOS'!$A$3:$A$500,$B25,'DADOS BRUTOS'!DF$3:DF$500)+IF($C25="",0,SUMIF('DADOS BRUTOS'!$A$3:$A$500,$C25,'DADOS BRUTOS'!DF$3:DF$500)))</f>
        <v/>
      </c>
      <c r="GG25" s="132">
        <f>IF(OR(GG$4="",$B25=""),0,SUMIF('DADOS BRUTOS'!$A$3:$A$500,$B25,'DADOS BRUTOS'!DG$3:DG$500)+IF($C25="",0,SUMIF('DADOS BRUTOS'!$A$3:$A$500,$C25,'DADOS BRUTOS'!DG$3:DG$500)))</f>
        <v/>
      </c>
      <c r="GH25" s="132">
        <f>IF(OR(GH$4="",$B25=""),0,SUMIF('DADOS BRUTOS'!$A$3:$A$500,$B25,'DADOS BRUTOS'!DH$3:DH$500)+IF($C25="",0,SUMIF('DADOS BRUTOS'!$A$3:$A$500,$C25,'DADOS BRUTOS'!DH$3:DH$500)))</f>
        <v/>
      </c>
      <c r="GI25" s="132">
        <f>IF(OR(GI$4="",$B25=""),0,SUMIF('DADOS BRUTOS'!$A$3:$A$500,$B25,'DADOS BRUTOS'!DI$3:DI$500)+IF($C25="",0,SUMIF('DADOS BRUTOS'!$A$3:$A$500,$C25,'DADOS BRUTOS'!DI$3:DI$500)))</f>
        <v/>
      </c>
      <c r="GJ25" s="132">
        <f>IF(OR(GJ$4="",$B25=""),0,SUMIF('DADOS BRUTOS'!$A$3:$A$500,$B25,'DADOS BRUTOS'!DJ$3:DJ$500)+IF($C25="",0,SUMIF('DADOS BRUTOS'!$A$3:$A$500,$C25,'DADOS BRUTOS'!DJ$3:DJ$500)))</f>
        <v/>
      </c>
      <c r="GK25" s="132">
        <f>IF(OR(GK$4="",$B25=""),0,SUMIF('DADOS BRUTOS'!$A$3:$A$500,$B25,'DADOS BRUTOS'!DK$3:DK$500)+IF($C25="",0,SUMIF('DADOS BRUTOS'!$A$3:$A$500,$C25,'DADOS BRUTOS'!DK$3:DK$500)))</f>
        <v/>
      </c>
      <c r="GL25" s="132">
        <f>IF(OR(GL$4="",$B25=""),0,SUMIF('DADOS BRUTOS'!$A$3:$A$500,$B25,'DADOS BRUTOS'!DL$3:DL$500)+IF($C25="",0,SUMIF('DADOS BRUTOS'!$A$3:$A$500,$C25,'DADOS BRUTOS'!DL$3:DL$500)))</f>
        <v/>
      </c>
      <c r="GM25" s="132">
        <f>IF(OR(GM$4="",$B25=""),0,SUMIF('DADOS BRUTOS'!$A$3:$A$500,$B25,'DADOS BRUTOS'!DM$3:DM$500)+IF($C25="",0,SUMIF('DADOS BRUTOS'!$A$3:$A$500,$C25,'DADOS BRUTOS'!DM$3:DM$500)))</f>
        <v/>
      </c>
      <c r="GN25" s="132">
        <f>IF(OR(GN$4="",$B25=""),0,SUMIF('DADOS BRUTOS'!$A$3:$A$500,$B25,'DADOS BRUTOS'!DN$3:DN$500)+IF($C25="",0,SUMIF('DADOS BRUTOS'!$A$3:$A$500,$C25,'DADOS BRUTOS'!DN$3:DN$500)))</f>
        <v/>
      </c>
      <c r="GO25" s="132">
        <f>IF(OR(GO$4="",$B25=""),0,SUMIF('DADOS BRUTOS'!$A$3:$A$500,$B25,'DADOS BRUTOS'!DO$3:DO$500)+IF($C25="",0,SUMIF('DADOS BRUTOS'!$A$3:$A$500,$C25,'DADOS BRUTOS'!DO$3:DO$500)))</f>
        <v/>
      </c>
      <c r="GP25" s="132">
        <f>IF(OR(GP$4="",$B25=""),0,SUMIF('DADOS BRUTOS'!$A$3:$A$500,$B25,'DADOS BRUTOS'!DP$3:DP$500)+IF($C25="",0,SUMIF('DADOS BRUTOS'!$A$3:$A$500,$C25,'DADOS BRUTOS'!DP$3:DP$500)))</f>
        <v/>
      </c>
      <c r="GQ25" s="132">
        <f>IF(OR(GQ$4="",$B25=""),0,SUMIF('DADOS BRUTOS'!$A$3:$A$500,$B25,'DADOS BRUTOS'!DQ$3:DQ$500)+IF($C25="",0,SUMIF('DADOS BRUTOS'!$A$3:$A$500,$C25,'DADOS BRUTOS'!DQ$3:DQ$500)))</f>
        <v/>
      </c>
      <c r="GR25" s="132">
        <f>IF(OR(GR$4="",$B25=""),0,SUMIF('DADOS BRUTOS'!$A$3:$A$500,$B25,'DADOS BRUTOS'!DR$3:DR$500)+IF($C25="",0,SUMIF('DADOS BRUTOS'!$A$3:$A$500,$C25,'DADOS BRUTOS'!DR$3:DR$500)))</f>
        <v/>
      </c>
      <c r="GS25" s="132">
        <f>IF(OR(GS$4="",$B25=""),0,SUMIF('DADOS BRUTOS'!$A$3:$A$500,$B25,'DADOS BRUTOS'!DS$3:DS$500)+IF($C25="",0,SUMIF('DADOS BRUTOS'!$A$3:$A$500,$C25,'DADOS BRUTOS'!DS$3:DS$500)))</f>
        <v/>
      </c>
      <c r="GT25" s="132">
        <f>IF(OR(GT$4="",$B25=""),0,SUMIF('DADOS BRUTOS'!$A$3:$A$500,$B25,'DADOS BRUTOS'!DT$3:DT$500)+IF($C25="",0,SUMIF('DADOS BRUTOS'!$A$3:$A$500,$C25,'DADOS BRUTOS'!DT$3:DT$500)))</f>
        <v/>
      </c>
      <c r="GU25" s="132">
        <f>IF(OR(GU$4="",$B25=""),0,SUMIF('DADOS BRUTOS'!$A$3:$A$500,$B25,'DADOS BRUTOS'!DU$3:DU$500)+IF($C25="",0,SUMIF('DADOS BRUTOS'!$A$3:$A$500,$C25,'DADOS BRUTOS'!DU$3:DU$500)))</f>
        <v/>
      </c>
      <c r="GV25" s="132">
        <f>IF(OR(GV$4="",$B25=""),0,SUMIF('DADOS BRUTOS'!$A$3:$A$500,$B25,'DADOS BRUTOS'!DV$3:DV$500)+IF($C25="",0,SUMIF('DADOS BRUTOS'!$A$3:$A$500,$C25,'DADOS BRUTOS'!DV$3:DV$500)))</f>
        <v/>
      </c>
      <c r="GW25" s="132">
        <f>IF(OR(GW$4="",$B25=""),0,SUMIF('DADOS BRUTOS'!$A$3:$A$500,$B25,'DADOS BRUTOS'!DW$3:DW$500)+IF($C25="",0,SUMIF('DADOS BRUTOS'!$A$3:$A$500,$C25,'DADOS BRUTOS'!DW$3:DW$500)))</f>
        <v/>
      </c>
      <c r="GX25" s="132">
        <f>IF(OR(GX$4="",$B25=""),0,SUMIF('DADOS BRUTOS'!$A$3:$A$500,$B25,'DADOS BRUTOS'!DX$3:DX$500)+IF($C25="",0,SUMIF('DADOS BRUTOS'!$A$3:$A$500,$C25,'DADOS BRUTOS'!DX$3:DX$500)))</f>
        <v/>
      </c>
      <c r="GY25" s="132">
        <f>IF(OR(GY$4="",$B25=""),0,SUMIF('DADOS BRUTOS'!$A$3:$A$500,$B25,'DADOS BRUTOS'!DY$3:DY$500)+IF($C25="",0,SUMIF('DADOS BRUTOS'!$A$3:$A$500,$C25,'DADOS BRUTOS'!DY$3:DY$500)))</f>
        <v/>
      </c>
      <c r="GZ25" s="132">
        <f>IF(OR(GZ$4="",$B25=""),0,SUMIF('DADOS BRUTOS'!$A$3:$A$500,$B25,'DADOS BRUTOS'!DZ$3:DZ$500)+IF($C25="",0,SUMIF('DADOS BRUTOS'!$A$3:$A$500,$C25,'DADOS BRUTOS'!DZ$3:DZ$500)))</f>
        <v/>
      </c>
      <c r="HA25" s="132">
        <f>IF(OR(HA$4="",$B25=""),0,SUMIF('DADOS BRUTOS'!$A$3:$A$500,$B25,'DADOS BRUTOS'!EA$3:EA$500)+IF($C25="",0,SUMIF('DADOS BRUTOS'!$A$3:$A$500,$C25,'DADOS BRUTOS'!EA$3:EA$500)))</f>
        <v/>
      </c>
      <c r="HB25" s="132">
        <f>IF(OR(HB$4="",$B25=""),0,SUMIF('DADOS BRUTOS'!$A$3:$A$500,$B25,'DADOS BRUTOS'!EB$3:EB$500)+IF($C25="",0,SUMIF('DADOS BRUTOS'!$A$3:$A$500,$C25,'DADOS BRUTOS'!EB$3:EB$500)))</f>
        <v/>
      </c>
      <c r="HC25" s="132">
        <f>IF(OR(HC$4="",$B25=""),0,SUMIF('DADOS BRUTOS'!$A$3:$A$500,$B25,'DADOS BRUTOS'!EC$3:EC$500)+IF($C25="",0,SUMIF('DADOS BRUTOS'!$A$3:$A$500,$C25,'DADOS BRUTOS'!EC$3:EC$500)))</f>
        <v/>
      </c>
      <c r="HD25" s="132">
        <f>IF(OR(HD$4="",$B25=""),0,SUMIF('DADOS BRUTOS'!$A$3:$A$500,$B25,'DADOS BRUTOS'!ED$3:ED$500)+IF($C25="",0,SUMIF('DADOS BRUTOS'!$A$3:$A$500,$C25,'DADOS BRUTOS'!ED$3:ED$500)))</f>
        <v/>
      </c>
      <c r="HE25" s="132">
        <f>IF(OR(HE$4="",$B25=""),0,SUMIF('DADOS BRUTOS'!$A$3:$A$500,$B25,'DADOS BRUTOS'!EE$3:EE$500)+IF($C25="",0,SUMIF('DADOS BRUTOS'!$A$3:$A$500,$C25,'DADOS BRUTOS'!EE$3:EE$500)))</f>
        <v/>
      </c>
      <c r="HF25" s="132">
        <f>IF(OR(HF$4="",$B25=""),0,SUMIF('DADOS BRUTOS'!$A$3:$A$500,$B25,'DADOS BRUTOS'!EF$3:EF$500)+IF($C25="",0,SUMIF('DADOS BRUTOS'!$A$3:$A$500,$C25,'DADOS BRUTOS'!EF$3:EF$500)))</f>
        <v/>
      </c>
      <c r="HG25" s="132">
        <f>IF(OR(HG$4="",$B25=""),0,SUMIF('DADOS BRUTOS'!$A$3:$A$500,$B25,'DADOS BRUTOS'!EG$3:EG$500)+IF($C25="",0,SUMIF('DADOS BRUTOS'!$A$3:$A$500,$C25,'DADOS BRUTOS'!EG$3:EG$500)))</f>
        <v/>
      </c>
      <c r="HH25" s="132">
        <f>IF(OR(HH$4="",$B25=""),0,SUMIF('DADOS BRUTOS'!$A$3:$A$500,$B25,'DADOS BRUTOS'!EH$3:EH$500)+IF($C25="",0,SUMIF('DADOS BRUTOS'!$A$3:$A$500,$C25,'DADOS BRUTOS'!EH$3:EH$500)))</f>
        <v/>
      </c>
      <c r="HI25" s="132">
        <f>IF(OR(HI$4="",$B25=""),0,SUMIF('DADOS BRUTOS'!$A$3:$A$500,$B25,'DADOS BRUTOS'!EI$3:EI$500)+IF($C25="",0,SUMIF('DADOS BRUTOS'!$A$3:$A$500,$C25,'DADOS BRUTOS'!EI$3:EI$500)))</f>
        <v/>
      </c>
      <c r="HJ25" s="132">
        <f>IF(OR(HJ$4="",$B25=""),0,SUMIF('DADOS BRUTOS'!$A$3:$A$500,$B25,'DADOS BRUTOS'!EJ$3:EJ$500)+IF($C25="",0,SUMIF('DADOS BRUTOS'!$A$3:$A$500,$C25,'DADOS BRUTOS'!EJ$3:EJ$500)))</f>
        <v/>
      </c>
      <c r="HK25" s="132">
        <f>IF(OR(HK$4="",$B25=""),0,SUMIF('DADOS BRUTOS'!$A$3:$A$500,$B25,'DADOS BRUTOS'!EK$3:EK$500)+IF($C25="",0,SUMIF('DADOS BRUTOS'!$A$3:$A$500,$C25,'DADOS BRUTOS'!EK$3:EK$500)))</f>
        <v/>
      </c>
      <c r="HL25" s="132">
        <f>IF(OR(HL$4="",$B25=""),0,SUMIF('DADOS BRUTOS'!$A$3:$A$500,$B25,'DADOS BRUTOS'!EL$3:EL$500)+IF($C25="",0,SUMIF('DADOS BRUTOS'!$A$3:$A$500,$C25,'DADOS BRUTOS'!EL$3:EL$500)))</f>
        <v/>
      </c>
      <c r="HM25" s="132">
        <f>IF(OR(HM$4="",$B25=""),0,SUMIF('DADOS BRUTOS'!$A$3:$A$500,$B25,'DADOS BRUTOS'!EM$3:EM$500)+IF($C25="",0,SUMIF('DADOS BRUTOS'!$A$3:$A$500,$C25,'DADOS BRUTOS'!EM$3:EM$500)))</f>
        <v/>
      </c>
      <c r="HN25" s="132">
        <f>IF(OR(HN$4="",$B25=""),0,SUMIF('DADOS BRUTOS'!$A$3:$A$500,$B25,'DADOS BRUTOS'!EN$3:EN$500)+IF($C25="",0,SUMIF('DADOS BRUTOS'!$A$3:$A$500,$C25,'DADOS BRUTOS'!EN$3:EN$500)))</f>
        <v/>
      </c>
      <c r="HO25" s="132">
        <f>IF(OR(HO$4="",$B25=""),0,SUMIF('DADOS BRUTOS'!$A$3:$A$500,$B25,'DADOS BRUTOS'!EO$3:EO$500)+IF($C25="",0,SUMIF('DADOS BRUTOS'!$A$3:$A$500,$C25,'DADOS BRUTOS'!EO$3:EO$500)))</f>
        <v/>
      </c>
      <c r="HP25" s="132">
        <f>IF(OR(HP$4="",$B25=""),0,SUMIF('DADOS BRUTOS'!$A$3:$A$500,$B25,'DADOS BRUTOS'!EP$3:EP$500)+IF($C25="",0,SUMIF('DADOS BRUTOS'!$A$3:$A$500,$C25,'DADOS BRUTOS'!EP$3:EP$500)))</f>
        <v/>
      </c>
      <c r="HQ25" s="132">
        <f>IF(OR(HQ$4="",$B25=""),0,SUMIF('DADOS BRUTOS'!$A$3:$A$500,$B25,'DADOS BRUTOS'!EQ$3:EQ$500)+IF($C25="",0,SUMIF('DADOS BRUTOS'!$A$3:$A$500,$C25,'DADOS BRUTOS'!EQ$3:EQ$500)))</f>
        <v/>
      </c>
      <c r="HR25" s="132">
        <f>IF(OR(HR$4="",$B25=""),0,SUMIF('DADOS BRUTOS'!$A$3:$A$500,$B25,'DADOS BRUTOS'!ER$3:ER$500)+IF($C25="",0,SUMIF('DADOS BRUTOS'!$A$3:$A$500,$C25,'DADOS BRUTOS'!ER$3:ER$500)))</f>
        <v/>
      </c>
      <c r="HS25" s="132">
        <f>IF(OR(HS$4="",$B25=""),0,SUMIF('DADOS BRUTOS'!$A$3:$A$500,$B25,'DADOS BRUTOS'!ES$3:ES$500)+IF($C25="",0,SUMIF('DADOS BRUTOS'!$A$3:$A$500,$C25,'DADOS BRUTOS'!ES$3:ES$500)))</f>
        <v/>
      </c>
      <c r="HT25" s="132">
        <f>IF(OR(HT$4="",$B25=""),0,SUMIF('DADOS BRUTOS'!$A$3:$A$500,$B25,'DADOS BRUTOS'!ET$3:ET$500)+IF($C25="",0,SUMIF('DADOS BRUTOS'!$A$3:$A$500,$C25,'DADOS BRUTOS'!ET$3:ET$500)))</f>
        <v/>
      </c>
      <c r="HU25" s="132">
        <f>IF(OR(HU$4="",$B25=""),0,SUMIF('DADOS BRUTOS'!$A$3:$A$500,$B25,'DADOS BRUTOS'!EU$3:EU$500)+IF($C25="",0,SUMIF('DADOS BRUTOS'!$A$3:$A$500,$C25,'DADOS BRUTOS'!EU$3:EU$500)))</f>
        <v/>
      </c>
      <c r="HV25" s="132">
        <f>IF(OR(HV$4="",$B25=""),0,SUMIF('DADOS BRUTOS'!$A$3:$A$500,$B25,'DADOS BRUTOS'!EV$3:EV$500)+IF($C25="",0,SUMIF('DADOS BRUTOS'!$A$3:$A$500,$C25,'DADOS BRUTOS'!EV$3:EV$500)))</f>
        <v/>
      </c>
      <c r="HW25" s="132">
        <f>IF(OR(HW$4="",$B25=""),0,SUMIF('DADOS BRUTOS'!$A$3:$A$500,$B25,'DADOS BRUTOS'!EW$3:EW$500)+IF($C25="",0,SUMIF('DADOS BRUTOS'!$A$3:$A$500,$C25,'DADOS BRUTOS'!EW$3:EW$500)))</f>
        <v/>
      </c>
      <c r="HX25" s="132">
        <f>IF(OR(HX$4="",$B25=""),0,SUMIF('DADOS BRUTOS'!$A$3:$A$500,$B25,'DADOS BRUTOS'!EX$3:EX$500)+IF($C25="",0,SUMIF('DADOS BRUTOS'!$A$3:$A$500,$C25,'DADOS BRUTOS'!EX$3:EX$500)))</f>
        <v/>
      </c>
      <c r="HY25" s="132">
        <f>IF(OR(HY$4="",$B25=""),0,SUMIF('DADOS BRUTOS'!$A$3:$A$500,$B25,'DADOS BRUTOS'!EY$3:EY$500)+IF($C25="",0,SUMIF('DADOS BRUTOS'!$A$3:$A$500,$C25,'DADOS BRUTOS'!EY$3:EY$500)))</f>
        <v/>
      </c>
      <c r="HZ25" s="132">
        <f>IF(OR(HZ$4="",$B25=""),0,SUMIF('DADOS BRUTOS'!$A$3:$A$500,$B25,'DADOS BRUTOS'!EZ$3:EZ$500)+IF($C25="",0,SUMIF('DADOS BRUTOS'!$A$3:$A$500,$C25,'DADOS BRUTOS'!EZ$3:EZ$500)))</f>
        <v/>
      </c>
      <c r="IA25" s="132">
        <f>IF(OR(IA$4="",$B25=""),0,SUMIF('DADOS BRUTOS'!$A$3:$A$500,$B25,'DADOS BRUTOS'!FA$3:FA$500)+IF($C25="",0,SUMIF('DADOS BRUTOS'!$A$3:$A$500,$C25,'DADOS BRUTOS'!FA$3:FA$500)))</f>
        <v/>
      </c>
      <c r="IB25" s="132">
        <f>IF(OR(IB$4="",$B25=""),0,SUMIF('DADOS BRUTOS'!$A$3:$A$500,$B25,'DADOS BRUTOS'!FB$3:FB$500)+IF($C25="",0,SUMIF('DADOS BRUTOS'!$A$3:$A$500,$C25,'DADOS BRUTOS'!FB$3:FB$500)))</f>
        <v/>
      </c>
      <c r="IC25" s="132">
        <f>IF(OR(IC$4="",$B25=""),0,SUMIF('DADOS BRUTOS'!$A$3:$A$500,$B25,'DADOS BRUTOS'!FC$3:FC$500)+IF($C25="",0,SUMIF('DADOS BRUTOS'!$A$3:$A$500,$C25,'DADOS BRUTOS'!FC$3:FC$500)))</f>
        <v/>
      </c>
      <c r="ID25" s="132">
        <f>IF(OR(ID$4="",$B25=""),0,SUMIF('DADOS BRUTOS'!$A$3:$A$500,$B25,'DADOS BRUTOS'!FD$3:FD$500)+IF($C25="",0,SUMIF('DADOS BRUTOS'!$A$3:$A$500,$C25,'DADOS BRUTOS'!FD$3:FD$500)))</f>
        <v/>
      </c>
      <c r="IE25" s="132">
        <f>IF(OR(IE$4="",$B25=""),0,SUMIF('DADOS BRUTOS'!$A$3:$A$500,$B25,'DADOS BRUTOS'!FE$3:FE$500)+IF($C25="",0,SUMIF('DADOS BRUTOS'!$A$3:$A$500,$C25,'DADOS BRUTOS'!FE$3:FE$500)))</f>
        <v/>
      </c>
      <c r="IF25" s="132">
        <f>IF(OR(IF$4="",$B25=""),0,SUMIF('DADOS BRUTOS'!$A$3:$A$500,$B25,'DADOS BRUTOS'!FF$3:FF$500)+IF($C25="",0,SUMIF('DADOS BRUTOS'!$A$3:$A$500,$C25,'DADOS BRUTOS'!FF$3:FF$500)))</f>
        <v/>
      </c>
      <c r="IG25" s="132">
        <f>IF(OR(IG$4="",$B25=""),0,SUMIF('DADOS BRUTOS'!$A$3:$A$500,$B25,'DADOS BRUTOS'!FG$3:FG$500)+IF($C25="",0,SUMIF('DADOS BRUTOS'!$A$3:$A$500,$C25,'DADOS BRUTOS'!FG$3:FG$500)))</f>
        <v/>
      </c>
      <c r="IH25" s="132">
        <f>IF(OR(IH$4="",$B25=""),0,SUMIF('DADOS BRUTOS'!$A$3:$A$500,$B25,'DADOS BRUTOS'!FH$3:FH$500)+IF($C25="",0,SUMIF('DADOS BRUTOS'!$A$3:$A$500,$C25,'DADOS BRUTOS'!FH$3:FH$500)))</f>
        <v/>
      </c>
      <c r="II25" s="132">
        <f>IF(OR(II$4="",$B25=""),0,SUMIF('DADOS BRUTOS'!$A$3:$A$500,$B25,'DADOS BRUTOS'!FI$3:FI$500)+IF($C25="",0,SUMIF('DADOS BRUTOS'!$A$3:$A$500,$C25,'DADOS BRUTOS'!FI$3:FI$500)))</f>
        <v/>
      </c>
      <c r="IJ25" s="132">
        <f>IF(OR(IJ$4="",$B25=""),0,SUMIF('DADOS BRUTOS'!$A$3:$A$500,$B25,'DADOS BRUTOS'!FJ$3:FJ$500)+IF($C25="",0,SUMIF('DADOS BRUTOS'!$A$3:$A$500,$C25,'DADOS BRUTOS'!FJ$3:FJ$500)))</f>
        <v/>
      </c>
      <c r="IK25" s="132">
        <f>IF(OR(IK$4="",$B25=""),0,SUMIF('DADOS BRUTOS'!$A$3:$A$500,$B25,'DADOS BRUTOS'!FK$3:FK$500)+IF($C25="",0,SUMIF('DADOS BRUTOS'!$A$3:$A$500,$C25,'DADOS BRUTOS'!FK$3:FK$500)))</f>
        <v/>
      </c>
      <c r="IL25" s="132">
        <f>IF(OR(IL$4="",$B25=""),0,SUMIF('DADOS BRUTOS'!$A$3:$A$500,$B25,'DADOS BRUTOS'!FL$3:FL$500)+IF($C25="",0,SUMIF('DADOS BRUTOS'!$A$3:$A$500,$C25,'DADOS BRUTOS'!FL$3:FL$500)))</f>
        <v/>
      </c>
      <c r="IM25" s="132">
        <f>IF(OR(IM$4="",$B25=""),0,SUMIF('DADOS BRUTOS'!$A$3:$A$500,$B25,'DADOS BRUTOS'!FM$3:FM$500)+IF($C25="",0,SUMIF('DADOS BRUTOS'!$A$3:$A$500,$C25,'DADOS BRUTOS'!FM$3:FM$500)))</f>
        <v/>
      </c>
      <c r="IN25" s="132">
        <f>IF(OR(IN$4="",$B25=""),0,SUMIF('DADOS BRUTOS'!$A$3:$A$500,$B25,'DADOS BRUTOS'!FN$3:FN$500)+IF($C25="",0,SUMIF('DADOS BRUTOS'!$A$3:$A$500,$C25,'DADOS BRUTOS'!FN$3:FN$500)))</f>
        <v/>
      </c>
      <c r="IO25" s="132">
        <f>IF(OR(IO$4="",$B25=""),0,SUMIF('DADOS BRUTOS'!$A$3:$A$500,$B25,'DADOS BRUTOS'!FO$3:FO$500)+IF($C25="",0,SUMIF('DADOS BRUTOS'!$A$3:$A$500,$C25,'DADOS BRUTOS'!FO$3:FO$500)))</f>
        <v/>
      </c>
      <c r="IP25" s="132">
        <f>IF(OR(IP$4="",$B25=""),0,SUMIF('DADOS BRUTOS'!$A$3:$A$500,$B25,'DADOS BRUTOS'!FP$3:FP$500)+IF($C25="",0,SUMIF('DADOS BRUTOS'!$A$3:$A$500,$C25,'DADOS BRUTOS'!FP$3:FP$500)))</f>
        <v/>
      </c>
      <c r="IQ25" s="132">
        <f>IF(OR(IQ$4="",$B25=""),0,SUMIF('DADOS BRUTOS'!$A$3:$A$500,$B25,'DADOS BRUTOS'!FQ$3:FQ$500)+IF($C25="",0,SUMIF('DADOS BRUTOS'!$A$3:$A$500,$C25,'DADOS BRUTOS'!FQ$3:FQ$500)))</f>
        <v/>
      </c>
      <c r="IR25" s="132">
        <f>IF(OR(IR$4="",$B25=""),0,SUMIF('DADOS BRUTOS'!$A$3:$A$500,$B25,'DADOS BRUTOS'!FR$3:FR$500)+IF($C25="",0,SUMIF('DADOS BRUTOS'!$A$3:$A$500,$C25,'DADOS BRUTOS'!FR$3:FR$500)))</f>
        <v/>
      </c>
      <c r="IS25" s="132">
        <f>IF(OR(IS$4="",$B25=""),0,SUMIF('DADOS BRUTOS'!$A$3:$A$500,$B25,'DADOS BRUTOS'!FS$3:FS$500)+IF($C25="",0,SUMIF('DADOS BRUTOS'!$A$3:$A$500,$C25,'DADOS BRUTOS'!FS$3:FS$500)))</f>
        <v/>
      </c>
      <c r="IT25" s="132">
        <f>IF(OR(IT$4="",$B25=""),0,SUMIF('DADOS BRUTOS'!$A$3:$A$500,$B25,'DADOS BRUTOS'!FT$3:FT$500)+IF($C25="",0,SUMIF('DADOS BRUTOS'!$A$3:$A$500,$C25,'DADOS BRUTOS'!FT$3:FT$500)))</f>
        <v/>
      </c>
      <c r="IU25" s="132">
        <f>IF(OR(IU$4="",$B25=""),0,SUMIF('DADOS BRUTOS'!$A$3:$A$500,$B25,'DADOS BRUTOS'!FU$3:FU$500)+IF($C25="",0,SUMIF('DADOS BRUTOS'!$A$3:$A$500,$C25,'DADOS BRUTOS'!FU$3:FU$500)))</f>
        <v/>
      </c>
      <c r="IV25" s="132">
        <f>IF(OR(IV$4="",$B25=""),0,SUMIF('DADOS BRUTOS'!$A$3:$A$500,$B25,'DADOS BRUTOS'!FV$3:FV$500)+IF($C25="",0,SUMIF('DADOS BRUTOS'!$A$3:$A$500,$C25,'DADOS BRUTOS'!FV$3:FV$500)))</f>
        <v/>
      </c>
      <c r="IW25" s="132">
        <f>IF(OR(IW$4="",$B25=""),0,SUMIF('DADOS BRUTOS'!$A$3:$A$500,$B25,'DADOS BRUTOS'!FW$3:FW$500)+IF($C25="",0,SUMIF('DADOS BRUTOS'!$A$3:$A$500,$C25,'DADOS BRUTOS'!FW$3:FW$500)))</f>
        <v/>
      </c>
      <c r="IX25" s="132">
        <f>IF(OR(IX$4="",$B25=""),0,SUMIF('DADOS BRUTOS'!$A$3:$A$500,$B25,'DADOS BRUTOS'!FX$3:FX$500)+IF($C25="",0,SUMIF('DADOS BRUTOS'!$A$3:$A$500,$C25,'DADOS BRUTOS'!FX$3:FX$500)))</f>
        <v/>
      </c>
      <c r="IY25" s="132">
        <f>IF(OR(IY$4="",$B25=""),0,SUMIF('DADOS BRUTOS'!$A$3:$A$500,$B25,'DADOS BRUTOS'!FY$3:FY$500)+IF($C25="",0,SUMIF('DADOS BRUTOS'!$A$3:$A$500,$C25,'DADOS BRUTOS'!FY$3:FY$500)))</f>
        <v/>
      </c>
      <c r="IZ25" s="132">
        <f>IF(OR(IZ$4="",$B25=""),0,SUMIF('DADOS BRUTOS'!$A$3:$A$500,$B25,'DADOS BRUTOS'!FZ$3:FZ$500)+IF($C25="",0,SUMIF('DADOS BRUTOS'!$A$3:$A$500,$C25,'DADOS BRUTOS'!FZ$3:FZ$500)))</f>
        <v/>
      </c>
      <c r="JA25" s="132">
        <f>IF(OR(JA$4="",$B25=""),0,SUMIF('DADOS BRUTOS'!$A$3:$A$500,$B25,'DADOS BRUTOS'!GA$3:GA$500)+IF($C25="",0,SUMIF('DADOS BRUTOS'!$A$3:$A$500,$C25,'DADOS BRUTOS'!GA$3:GA$500)))</f>
        <v/>
      </c>
      <c r="JB25" s="132">
        <f>IF(OR(JB$4="",$B25=""),0,SUMIF('DADOS BRUTOS'!$A$3:$A$500,$B25,'DADOS BRUTOS'!GB$3:GB$500)+IF($C25="",0,SUMIF('DADOS BRUTOS'!$A$3:$A$500,$C25,'DADOS BRUTOS'!GB$3:GB$500)))</f>
        <v/>
      </c>
      <c r="JC25" s="132">
        <f>IF(OR(JC$4="",$B25=""),0,SUMIF('DADOS BRUTOS'!$A$3:$A$500,$B25,'DADOS BRUTOS'!GC$3:GC$500)+IF($C25="",0,SUMIF('DADOS BRUTOS'!$A$3:$A$500,$C25,'DADOS BRUTOS'!GC$3:GC$500)))</f>
        <v/>
      </c>
      <c r="JD25" s="132">
        <f>IF(OR(JD$4="",$B25=""),0,SUMIF('DADOS BRUTOS'!$A$3:$A$500,$B25,'DADOS BRUTOS'!GD$3:GD$500)+IF($C25="",0,SUMIF('DADOS BRUTOS'!$A$3:$A$500,$C25,'DADOS BRUTOS'!GD$3:GD$500)))</f>
        <v/>
      </c>
      <c r="JE25" s="132">
        <f>IF(OR(JE$4="",$B25=""),0,SUMIF('DADOS BRUTOS'!$A$3:$A$500,$B25,'DADOS BRUTOS'!GE$3:GE$500)+IF($C25="",0,SUMIF('DADOS BRUTOS'!$A$3:$A$500,$C25,'DADOS BRUTOS'!GE$3:GE$500)))</f>
        <v/>
      </c>
      <c r="JF25" s="132">
        <f>IF(OR(JF$4="",$B25=""),0,SUMIF('DADOS BRUTOS'!$A$3:$A$500,$B25,'DADOS BRUTOS'!GF$3:GF$500)+IF($C25="",0,SUMIF('DADOS BRUTOS'!$A$3:$A$500,$C25,'DADOS BRUTOS'!GF$3:GF$500)))</f>
        <v/>
      </c>
      <c r="JG25" s="132">
        <f>IF(OR(JG$4="",$B25=""),0,SUMIF('DADOS BRUTOS'!$A$3:$A$500,$B25,'DADOS BRUTOS'!GG$3:GG$500)+IF($C25="",0,SUMIF('DADOS BRUTOS'!$A$3:$A$500,$C25,'DADOS BRUTOS'!GG$3:GG$500)))</f>
        <v/>
      </c>
      <c r="JH25" s="132">
        <f>IF(OR(JH$4="",$B25=""),0,SUMIF('DADOS BRUTOS'!$A$3:$A$500,$B25,'DADOS BRUTOS'!GH$3:GH$500)+IF($C25="",0,SUMIF('DADOS BRUTOS'!$A$3:$A$500,$C25,'DADOS BRUTOS'!GH$3:GH$500)))</f>
        <v/>
      </c>
      <c r="JI25" s="132">
        <f>IF(OR(JI$4="",$B25=""),0,SUMIF('DADOS BRUTOS'!$A$3:$A$500,$B25,'DADOS BRUTOS'!GI$3:GI$500)+IF($C25="",0,SUMIF('DADOS BRUTOS'!$A$3:$A$500,$C25,'DADOS BRUTOS'!GI$3:GI$500)))</f>
        <v/>
      </c>
      <c r="JJ25" s="132">
        <f>IF(OR(JJ$4="",$B25=""),0,SUMIF('DADOS BRUTOS'!$A$3:$A$500,$B25,'DADOS BRUTOS'!GJ$3:GJ$500)+IF($C25="",0,SUMIF('DADOS BRUTOS'!$A$3:$A$500,$C25,'DADOS BRUTOS'!GJ$3:GJ$500)))</f>
        <v/>
      </c>
      <c r="JK25" s="132">
        <f>IF(OR(JK$4="",$B25=""),0,SUMIF('DADOS BRUTOS'!$A$3:$A$500,$B25,'DADOS BRUTOS'!GK$3:GK$500)+IF($C25="",0,SUMIF('DADOS BRUTOS'!$A$3:$A$500,$C25,'DADOS BRUTOS'!GK$3:GK$500)))</f>
        <v/>
      </c>
      <c r="JL25" s="132">
        <f>IF(OR(JL$4="",$B25=""),0,SUMIF('DADOS BRUTOS'!$A$3:$A$500,$B25,'DADOS BRUTOS'!GL$3:GL$500)+IF($C25="",0,SUMIF('DADOS BRUTOS'!$A$3:$A$500,$C25,'DADOS BRUTOS'!GL$3:GL$500)))</f>
        <v/>
      </c>
      <c r="JM25" s="132">
        <f>IF(OR(JM$4="",$B25=""),0,SUMIF('DADOS BRUTOS'!$A$3:$A$500,$B25,'DADOS BRUTOS'!GM$3:GM$500)+IF($C25="",0,SUMIF('DADOS BRUTOS'!$A$3:$A$500,$C25,'DADOS BRUTOS'!GM$3:GM$500)))</f>
        <v/>
      </c>
      <c r="JN25" s="132">
        <f>IF(OR(JN$4="",$B25=""),0,SUMIF('DADOS BRUTOS'!$A$3:$A$500,$B25,'DADOS BRUTOS'!GN$3:GN$500)+IF($C25="",0,SUMIF('DADOS BRUTOS'!$A$3:$A$500,$C25,'DADOS BRUTOS'!GN$3:GN$500)))</f>
        <v/>
      </c>
      <c r="JO25" s="132">
        <f>IF(OR(JO$4="",$B25=""),0,SUMIF('DADOS BRUTOS'!$A$3:$A$500,$B25,'DADOS BRUTOS'!GO$3:GO$500)+IF($C25="",0,SUMIF('DADOS BRUTOS'!$A$3:$A$500,$C25,'DADOS BRUTOS'!GO$3:GO$500)))</f>
        <v/>
      </c>
      <c r="JP25" s="132">
        <f>IF(OR(JP$4="",$B25=""),0,SUMIF('DADOS BRUTOS'!$A$3:$A$500,$B25,'DADOS BRUTOS'!GP$3:GP$500)+IF($C25="",0,SUMIF('DADOS BRUTOS'!$A$3:$A$500,$C25,'DADOS BRUTOS'!GP$3:GP$500)))</f>
        <v/>
      </c>
      <c r="JQ25" s="132">
        <f>IF(OR(JQ$4="",$B25=""),0,SUMIF('DADOS BRUTOS'!$A$3:$A$500,$B25,'DADOS BRUTOS'!GQ$3:GQ$500)+IF($C25="",0,SUMIF('DADOS BRUTOS'!$A$3:$A$500,$C25,'DADOS BRUTOS'!GQ$3:GQ$500)))</f>
        <v/>
      </c>
      <c r="JR25" s="132">
        <f>IF(OR(JR$4="",$B25=""),0,SUMIF('DADOS BRUTOS'!$A$3:$A$500,$B25,'DADOS BRUTOS'!GR$3:GR$500)+IF($C25="",0,SUMIF('DADOS BRUTOS'!$A$3:$A$500,$C25,'DADOS BRUTOS'!GR$3:GR$500)))</f>
        <v/>
      </c>
      <c r="JS25" s="132">
        <f>IF(OR(JS$4="",$B25=""),0,SUMIF('DADOS BRUTOS'!$A$3:$A$500,$B25,'DADOS BRUTOS'!GS$3:GS$500)+IF($C25="",0,SUMIF('DADOS BRUTOS'!$A$3:$A$500,$C25,'DADOS BRUTOS'!GS$3:GS$500)))</f>
        <v/>
      </c>
    </row>
    <row r="26">
      <c r="A26" s="61">
        <f>'VALOR POR PL'!D32</f>
        <v/>
      </c>
      <c r="B26" s="59" t="inlineStr">
        <is>
          <t>INSTALAÇÕES COMBATE INCÊNDIO</t>
        </is>
      </c>
      <c r="C26" s="59" t="n"/>
      <c r="D26" s="54">
        <f>SUMIF($CB$4:$JS$4,"&lt;="&amp;D$4,$CB26:$JS26)</f>
        <v/>
      </c>
      <c r="E26" s="54">
        <f>SUMIF($CB$4:$JS$4,E$4,$CB26:$JS26)</f>
        <v/>
      </c>
      <c r="F26" s="54">
        <f>SUMIF($CB$4:$JS$4,F$4,$CB26:$JS26)</f>
        <v/>
      </c>
      <c r="G26" s="54">
        <f>SUMIF($CB$4:$JS$4,G$4,$CB26:$JS26)</f>
        <v/>
      </c>
      <c r="H26" s="54">
        <f>SUMIF($CB$4:$JS$4,H$4,$CB26:$JS26)</f>
        <v/>
      </c>
      <c r="I26" s="54">
        <f>SUMIF($CB$4:$JS$4,I$4,$CB26:$JS26)</f>
        <v/>
      </c>
      <c r="J26" s="54">
        <f>SUMIF($CB$4:$JS$4,J$4,$CB26:$JS26)</f>
        <v/>
      </c>
      <c r="K26" s="54">
        <f>SUMIF($CB$4:$JS$4,K$4,$CB26:$JS26)</f>
        <v/>
      </c>
      <c r="L26" s="54">
        <f>SUMIF($CB$4:$JS$4,L$4,$CB26:$JS26)</f>
        <v/>
      </c>
      <c r="M26" s="54">
        <f>SUMIF($CB$4:$JS$4,M$4,$CB26:$JS26)</f>
        <v/>
      </c>
      <c r="N26" s="54">
        <f>SUMIF($CB$4:$JS$4,N$4,$CB26:$JS26)</f>
        <v/>
      </c>
      <c r="O26" s="54">
        <f>SUMIF($CB$4:$JS$4,O$4,$CB26:$JS26)</f>
        <v/>
      </c>
      <c r="P26" s="54">
        <f>SUMIF($CB$4:$JS$4,P$4,$CB26:$JS26)</f>
        <v/>
      </c>
      <c r="Q26" s="54">
        <f>SUMIF($CB$4:$JS$4,Q$4,$CB26:$JS26)</f>
        <v/>
      </c>
      <c r="R26" s="54">
        <f>SUMIF($CB$4:$JS$4,R$4,$CB26:$JS26)</f>
        <v/>
      </c>
      <c r="S26" s="54">
        <f>SUMIF($CB$4:$JS$4,S$4,$CB26:$JS26)</f>
        <v/>
      </c>
      <c r="T26" s="54">
        <f>SUMIF($CB$4:$JS$4,T$4,$CB26:$JS26)</f>
        <v/>
      </c>
      <c r="U26" s="54">
        <f>SUMIF($CB$4:$JS$4,U$4,$CB26:$JS26)</f>
        <v/>
      </c>
      <c r="V26" s="54">
        <f>SUMIF($CB$4:$JS$4,V$4,$CB26:$JS26)</f>
        <v/>
      </c>
      <c r="W26" s="54">
        <f>SUMIF($CB$4:$JS$4,W$4,$CB26:$JS26)</f>
        <v/>
      </c>
      <c r="X26" s="54">
        <f>SUMIF($CB$4:$JS$4,X$4,$CB26:$JS26)</f>
        <v/>
      </c>
      <c r="Y26" s="54">
        <f>SUMIF($CB$4:$JS$4,Y$4,$CB26:$JS26)</f>
        <v/>
      </c>
      <c r="Z26" s="54">
        <f>SUMIF($CB$4:$JS$4,Z$4,$CB26:$JS26)</f>
        <v/>
      </c>
      <c r="AA26" s="54">
        <f>SUMIF($CB$4:$JS$4,AA$4,$CB26:$JS26)</f>
        <v/>
      </c>
      <c r="AB26" s="54">
        <f>SUMIF($CB$4:$JS$4,AB$4,$CB26:$JS26)</f>
        <v/>
      </c>
      <c r="AC26" s="54">
        <f>SUMIF($CB$4:$JS$4,AC$4,$CB26:$JS26)</f>
        <v/>
      </c>
      <c r="AD26" s="54">
        <f>SUMIF($CB$4:$JS$4,AD$4,$CB26:$JS26)</f>
        <v/>
      </c>
      <c r="AE26" s="54">
        <f>SUMIF($CB$4:$JS$4,AE$4,$CB26:$JS26)</f>
        <v/>
      </c>
      <c r="AF26" s="54">
        <f>SUMIF($CB$4:$JS$4,AF$4,$CB26:$JS26)</f>
        <v/>
      </c>
      <c r="AG26" s="54">
        <f>SUMIF($CB$4:$JS$4,AG$4,$CB26:$JS26)</f>
        <v/>
      </c>
      <c r="AH26" s="54">
        <f>SUMIF($CB$4:$JS$4,AH$4,$CB26:$JS26)</f>
        <v/>
      </c>
      <c r="AI26" s="54">
        <f>SUMIF($CB$4:$JS$4,AI$4,$CB26:$JS26)</f>
        <v/>
      </c>
      <c r="AJ26" s="54">
        <f>SUMIF($CB$4:$JS$4,AJ$4,$CB26:$JS26)</f>
        <v/>
      </c>
      <c r="AK26" s="54">
        <f>SUMIF($CB$4:$JS$4,AK$4,$CB26:$JS26)</f>
        <v/>
      </c>
      <c r="AL26" s="54">
        <f>SUMIF($CB$4:$JS$4,AL$4,$CB26:$JS26)</f>
        <v/>
      </c>
      <c r="AM26" s="54">
        <f>SUMIF($CB$4:$JS$4,AM$4,$CB26:$JS26)</f>
        <v/>
      </c>
      <c r="AN26" s="54">
        <f>SUMIF($CB$4:$JS$4,AN$4,$CB26:$JS26)</f>
        <v/>
      </c>
      <c r="AO26" s="54">
        <f>SUMIF($CB$4:$JS$4,AO$4,$CB26:$JS26)</f>
        <v/>
      </c>
      <c r="AP26" s="54">
        <f>SUMIF($CB$4:$JS$4,AP$4,$CB26:$JS26)</f>
        <v/>
      </c>
      <c r="AQ26" s="54">
        <f>SUMIF($CB$4:$JS$4,AQ$4,$CB26:$JS26)</f>
        <v/>
      </c>
      <c r="AR26" s="54">
        <f>SUMIF($CB$4:$JS$4,AR$4,$CB26:$JS26)</f>
        <v/>
      </c>
      <c r="AS26" s="54">
        <f>SUMIF($CB$4:$JS$4,AS$4,$CB26:$JS26)</f>
        <v/>
      </c>
      <c r="AT26" s="54">
        <f>SUMIF($CB$4:$JS$4,AT$4,$CB26:$JS26)</f>
        <v/>
      </c>
      <c r="AU26" s="54">
        <f>SUMIF($CB$4:$JS$4,AU$4,$CB26:$JS26)</f>
        <v/>
      </c>
      <c r="AV26" s="54">
        <f>SUMIF($CB$4:$JS$4,AV$4,$CB26:$JS26)</f>
        <v/>
      </c>
      <c r="AW26" s="54">
        <f>SUMIF($CB$4:$JS$4,AW$4,$CB26:$JS26)</f>
        <v/>
      </c>
      <c r="AX26" s="54">
        <f>SUMIF($CB$4:$JS$4,AX$4,$CB26:$JS26)</f>
        <v/>
      </c>
      <c r="AY26" s="54">
        <f>SUMIF($CB$4:$JS$4,AY$4,$CB26:$JS26)</f>
        <v/>
      </c>
      <c r="AZ26" s="54">
        <f>SUMIF($CB$4:$JS$4,AZ$4,$CB26:$JS26)</f>
        <v/>
      </c>
      <c r="BA26" s="54">
        <f>SUMIF($CB$4:$JS$4,BA$4,$CB26:$JS26)</f>
        <v/>
      </c>
      <c r="BB26" s="54">
        <f>SUMIF($CB$4:$JS$4,BB$4,$CB26:$JS26)</f>
        <v/>
      </c>
      <c r="BC26" s="54">
        <f>SUMIF($CB$4:$JS$4,BC$4,$CB26:$JS26)</f>
        <v/>
      </c>
      <c r="BD26" s="54">
        <f>SUMIF($CB$4:$JS$4,BD$4,$CB26:$JS26)</f>
        <v/>
      </c>
      <c r="BE26" s="54">
        <f>SUMIF($CB$4:$JS$4,BE$4,$CB26:$JS26)</f>
        <v/>
      </c>
      <c r="BF26" s="54">
        <f>SUMIF($CB$4:$JS$4,BF$4,$CB26:$JS26)</f>
        <v/>
      </c>
      <c r="BG26" s="54">
        <f>SUMIF($CB$4:$JS$4,BG$4,$CB26:$JS26)</f>
        <v/>
      </c>
      <c r="BH26" s="54">
        <f>SUMIF($CB$4:$JS$4,BH$4,$CB26:$JS26)</f>
        <v/>
      </c>
      <c r="BI26" s="54">
        <f>SUMIF($CB$4:$JS$4,BI$4,$CB26:$JS26)</f>
        <v/>
      </c>
      <c r="BJ26" s="54">
        <f>SUMIF($CB$4:$JS$4,BJ$4,$CB26:$JS26)</f>
        <v/>
      </c>
      <c r="BK26" s="54">
        <f>SUMIF($CB$4:$JS$4,BK$4,$CB26:$JS26)</f>
        <v/>
      </c>
      <c r="BL26" s="54">
        <f>SUMIF($CB$4:$JS$4,BL$4,$CB26:$JS26)</f>
        <v/>
      </c>
      <c r="BM26" s="54">
        <f>SUMIF($CB$4:$JS$4,BM$4,$CB26:$JS26)</f>
        <v/>
      </c>
      <c r="BN26" s="54">
        <f>SUMIF($CB$4:$JS$4,BN$4,$CB26:$JS26)</f>
        <v/>
      </c>
      <c r="BO26" s="54">
        <f>SUMIF($CB$4:$JS$4,BO$4,$CB26:$JS26)</f>
        <v/>
      </c>
      <c r="BP26" s="54">
        <f>SUMIF($CB$4:$JS$4,BP$4,$CB26:$JS26)</f>
        <v/>
      </c>
      <c r="BQ26" s="54">
        <f>SUMIF($CB$4:$JS$4,BQ$4,$CB26:$JS26)</f>
        <v/>
      </c>
      <c r="BR26" s="54">
        <f>SUMIF($CB$4:$JS$4,BR$4,$CB26:$JS26)</f>
        <v/>
      </c>
      <c r="BS26" s="54">
        <f>SUMIF($CB$4:$JS$4,BS$4,$CB26:$JS26)</f>
        <v/>
      </c>
      <c r="BT26" s="54">
        <f>SUMIF($CB$4:$JS$4,BT$4,$CB26:$JS26)</f>
        <v/>
      </c>
      <c r="BU26" s="54">
        <f>SUMIF($CB$4:$JS$4,BU$4,$CB26:$JS26)</f>
        <v/>
      </c>
      <c r="BV26" s="54">
        <f>SUMIF($CB$4:$JS$4,BV$4,$CB26:$JS26)</f>
        <v/>
      </c>
      <c r="BW26" s="54">
        <f>SUMIF($CB$4:$JS$4,BW$4,$CB26:$JS26)</f>
        <v/>
      </c>
      <c r="BX26" s="54">
        <f>SUMIF($CB$4:$JS$4,"&gt;"&amp;'VALOR POR PL'!$P$8,$CB26:$JS26)</f>
        <v/>
      </c>
      <c r="BY26" s="54">
        <f>SUM($CB26:$JS26)</f>
        <v/>
      </c>
      <c r="BZ26" s="49">
        <f>SUMPRODUCT(($CB$4:$JS$4&lt;&gt;"")*($CB$4:$JS$4&lt;=$D$4),$CB26:$JS26,$CB$1:$JS$1)</f>
        <v/>
      </c>
      <c r="CB26" s="132">
        <f>IF(OR(CB$4="",$B26=""),0,SUMIF('DADOS BRUTOS'!$A$3:$A$500,$B26,'DADOS BRUTOS'!B$3:B$500)+IF($C26="",0,SUMIF('DADOS BRUTOS'!$A$3:$A$500,$C26,'DADOS BRUTOS'!B$3:B$500)))</f>
        <v/>
      </c>
      <c r="CC26" s="132">
        <f>IF(OR(CC$4="",$B26=""),0,SUMIF('DADOS BRUTOS'!$A$3:$A$500,$B26,'DADOS BRUTOS'!C$3:C$500)+IF($C26="",0,SUMIF('DADOS BRUTOS'!$A$3:$A$500,$C26,'DADOS BRUTOS'!C$3:C$500)))</f>
        <v/>
      </c>
      <c r="CD26" s="132">
        <f>IF(OR(CD$4="",$B26=""),0,SUMIF('DADOS BRUTOS'!$A$3:$A$500,$B26,'DADOS BRUTOS'!D$3:D$500)+IF($C26="",0,SUMIF('DADOS BRUTOS'!$A$3:$A$500,$C26,'DADOS BRUTOS'!D$3:D$500)))</f>
        <v/>
      </c>
      <c r="CE26" s="132">
        <f>IF(OR(CE$4="",$B26=""),0,SUMIF('DADOS BRUTOS'!$A$3:$A$500,$B26,'DADOS BRUTOS'!E$3:E$500)+IF($C26="",0,SUMIF('DADOS BRUTOS'!$A$3:$A$500,$C26,'DADOS BRUTOS'!E$3:E$500)))</f>
        <v/>
      </c>
      <c r="CF26" s="132">
        <f>IF(OR(CF$4="",$B26=""),0,SUMIF('DADOS BRUTOS'!$A$3:$A$500,$B26,'DADOS BRUTOS'!F$3:F$500)+IF($C26="",0,SUMIF('DADOS BRUTOS'!$A$3:$A$500,$C26,'DADOS BRUTOS'!F$3:F$500)))</f>
        <v/>
      </c>
      <c r="CG26" s="132">
        <f>IF(OR(CG$4="",$B26=""),0,SUMIF('DADOS BRUTOS'!$A$3:$A$500,$B26,'DADOS BRUTOS'!G$3:G$500)+IF($C26="",0,SUMIF('DADOS BRUTOS'!$A$3:$A$500,$C26,'DADOS BRUTOS'!G$3:G$500)))</f>
        <v/>
      </c>
      <c r="CH26" s="132">
        <f>IF(OR(CH$4="",$B26=""),0,SUMIF('DADOS BRUTOS'!$A$3:$A$500,$B26,'DADOS BRUTOS'!H$3:H$500)+IF($C26="",0,SUMIF('DADOS BRUTOS'!$A$3:$A$500,$C26,'DADOS BRUTOS'!H$3:H$500)))</f>
        <v/>
      </c>
      <c r="CI26" s="132">
        <f>IF(OR(CI$4="",$B26=""),0,SUMIF('DADOS BRUTOS'!$A$3:$A$500,$B26,'DADOS BRUTOS'!I$3:I$500)+IF($C26="",0,SUMIF('DADOS BRUTOS'!$A$3:$A$500,$C26,'DADOS BRUTOS'!I$3:I$500)))</f>
        <v/>
      </c>
      <c r="CJ26" s="132">
        <f>IF(OR(CJ$4="",$B26=""),0,SUMIF('DADOS BRUTOS'!$A$3:$A$500,$B26,'DADOS BRUTOS'!J$3:J$500)+IF($C26="",0,SUMIF('DADOS BRUTOS'!$A$3:$A$500,$C26,'DADOS BRUTOS'!J$3:J$500)))</f>
        <v/>
      </c>
      <c r="CK26" s="132">
        <f>IF(OR(CK$4="",$B26=""),0,SUMIF('DADOS BRUTOS'!$A$3:$A$500,$B26,'DADOS BRUTOS'!K$3:K$500)+IF($C26="",0,SUMIF('DADOS BRUTOS'!$A$3:$A$500,$C26,'DADOS BRUTOS'!K$3:K$500)))</f>
        <v/>
      </c>
      <c r="CL26" s="132">
        <f>IF(OR(CL$4="",$B26=""),0,SUMIF('DADOS BRUTOS'!$A$3:$A$500,$B26,'DADOS BRUTOS'!L$3:L$500)+IF($C26="",0,SUMIF('DADOS BRUTOS'!$A$3:$A$500,$C26,'DADOS BRUTOS'!L$3:L$500)))</f>
        <v/>
      </c>
      <c r="CM26" s="132">
        <f>IF(OR(CM$4="",$B26=""),0,SUMIF('DADOS BRUTOS'!$A$3:$A$500,$B26,'DADOS BRUTOS'!M$3:M$500)+IF($C26="",0,SUMIF('DADOS BRUTOS'!$A$3:$A$500,$C26,'DADOS BRUTOS'!M$3:M$500)))</f>
        <v/>
      </c>
      <c r="CN26" s="132">
        <f>IF(OR(CN$4="",$B26=""),0,SUMIF('DADOS BRUTOS'!$A$3:$A$500,$B26,'DADOS BRUTOS'!N$3:N$500)+IF($C26="",0,SUMIF('DADOS BRUTOS'!$A$3:$A$500,$C26,'DADOS BRUTOS'!N$3:N$500)))</f>
        <v/>
      </c>
      <c r="CO26" s="132">
        <f>IF(OR(CO$4="",$B26=""),0,SUMIF('DADOS BRUTOS'!$A$3:$A$500,$B26,'DADOS BRUTOS'!O$3:O$500)+IF($C26="",0,SUMIF('DADOS BRUTOS'!$A$3:$A$500,$C26,'DADOS BRUTOS'!O$3:O$500)))</f>
        <v/>
      </c>
      <c r="CP26" s="132">
        <f>IF(OR(CP$4="",$B26=""),0,SUMIF('DADOS BRUTOS'!$A$3:$A$500,$B26,'DADOS BRUTOS'!P$3:P$500)+IF($C26="",0,SUMIF('DADOS BRUTOS'!$A$3:$A$500,$C26,'DADOS BRUTOS'!P$3:P$500)))</f>
        <v/>
      </c>
      <c r="CQ26" s="132">
        <f>IF(OR(CQ$4="",$B26=""),0,SUMIF('DADOS BRUTOS'!$A$3:$A$500,$B26,'DADOS BRUTOS'!Q$3:Q$500)+IF($C26="",0,SUMIF('DADOS BRUTOS'!$A$3:$A$500,$C26,'DADOS BRUTOS'!Q$3:Q$500)))</f>
        <v/>
      </c>
      <c r="CR26" s="132">
        <f>IF(OR(CR$4="",$B26=""),0,SUMIF('DADOS BRUTOS'!$A$3:$A$500,$B26,'DADOS BRUTOS'!R$3:R$500)+IF($C26="",0,SUMIF('DADOS BRUTOS'!$A$3:$A$500,$C26,'DADOS BRUTOS'!R$3:R$500)))</f>
        <v/>
      </c>
      <c r="CS26" s="132">
        <f>IF(OR(CS$4="",$B26=""),0,SUMIF('DADOS BRUTOS'!$A$3:$A$500,$B26,'DADOS BRUTOS'!S$3:S$500)+IF($C26="",0,SUMIF('DADOS BRUTOS'!$A$3:$A$500,$C26,'DADOS BRUTOS'!S$3:S$500)))</f>
        <v/>
      </c>
      <c r="CT26" s="132">
        <f>IF(OR(CT$4="",$B26=""),0,SUMIF('DADOS BRUTOS'!$A$3:$A$500,$B26,'DADOS BRUTOS'!T$3:T$500)+IF($C26="",0,SUMIF('DADOS BRUTOS'!$A$3:$A$500,$C26,'DADOS BRUTOS'!T$3:T$500)))</f>
        <v/>
      </c>
      <c r="CU26" s="132">
        <f>IF(OR(CU$4="",$B26=""),0,SUMIF('DADOS BRUTOS'!$A$3:$A$500,$B26,'DADOS BRUTOS'!U$3:U$500)+IF($C26="",0,SUMIF('DADOS BRUTOS'!$A$3:$A$500,$C26,'DADOS BRUTOS'!U$3:U$500)))</f>
        <v/>
      </c>
      <c r="CV26" s="132">
        <f>IF(OR(CV$4="",$B26=""),0,SUMIF('DADOS BRUTOS'!$A$3:$A$500,$B26,'DADOS BRUTOS'!V$3:V$500)+IF($C26="",0,SUMIF('DADOS BRUTOS'!$A$3:$A$500,$C26,'DADOS BRUTOS'!V$3:V$500)))</f>
        <v/>
      </c>
      <c r="CW26" s="132">
        <f>IF(OR(CW$4="",$B26=""),0,SUMIF('DADOS BRUTOS'!$A$3:$A$500,$B26,'DADOS BRUTOS'!W$3:W$500)+IF($C26="",0,SUMIF('DADOS BRUTOS'!$A$3:$A$500,$C26,'DADOS BRUTOS'!W$3:W$500)))</f>
        <v/>
      </c>
      <c r="CX26" s="132">
        <f>IF(OR(CX$4="",$B26=""),0,SUMIF('DADOS BRUTOS'!$A$3:$A$500,$B26,'DADOS BRUTOS'!X$3:X$500)+IF($C26="",0,SUMIF('DADOS BRUTOS'!$A$3:$A$500,$C26,'DADOS BRUTOS'!X$3:X$500)))</f>
        <v/>
      </c>
      <c r="CY26" s="132">
        <f>IF(OR(CY$4="",$B26=""),0,SUMIF('DADOS BRUTOS'!$A$3:$A$500,$B26,'DADOS BRUTOS'!Y$3:Y$500)+IF($C26="",0,SUMIF('DADOS BRUTOS'!$A$3:$A$500,$C26,'DADOS BRUTOS'!Y$3:Y$500)))</f>
        <v/>
      </c>
      <c r="CZ26" s="132">
        <f>IF(OR(CZ$4="",$B26=""),0,SUMIF('DADOS BRUTOS'!$A$3:$A$500,$B26,'DADOS BRUTOS'!Z$3:Z$500)+IF($C26="",0,SUMIF('DADOS BRUTOS'!$A$3:$A$500,$C26,'DADOS BRUTOS'!Z$3:Z$500)))</f>
        <v/>
      </c>
      <c r="DA26" s="132">
        <f>IF(OR(DA$4="",$B26=""),0,SUMIF('DADOS BRUTOS'!$A$3:$A$500,$B26,'DADOS BRUTOS'!AA$3:AA$500)+IF($C26="",0,SUMIF('DADOS BRUTOS'!$A$3:$A$500,$C26,'DADOS BRUTOS'!AA$3:AA$500)))</f>
        <v/>
      </c>
      <c r="DB26" s="132">
        <f>IF(OR(DB$4="",$B26=""),0,SUMIF('DADOS BRUTOS'!$A$3:$A$500,$B26,'DADOS BRUTOS'!AB$3:AB$500)+IF($C26="",0,SUMIF('DADOS BRUTOS'!$A$3:$A$500,$C26,'DADOS BRUTOS'!AB$3:AB$500)))</f>
        <v/>
      </c>
      <c r="DC26" s="132">
        <f>IF(OR(DC$4="",$B26=""),0,SUMIF('DADOS BRUTOS'!$A$3:$A$500,$B26,'DADOS BRUTOS'!AC$3:AC$500)+IF($C26="",0,SUMIF('DADOS BRUTOS'!$A$3:$A$500,$C26,'DADOS BRUTOS'!AC$3:AC$500)))</f>
        <v/>
      </c>
      <c r="DD26" s="132">
        <f>IF(OR(DD$4="",$B26=""),0,SUMIF('DADOS BRUTOS'!$A$3:$A$500,$B26,'DADOS BRUTOS'!AD$3:AD$500)+IF($C26="",0,SUMIF('DADOS BRUTOS'!$A$3:$A$500,$C26,'DADOS BRUTOS'!AD$3:AD$500)))</f>
        <v/>
      </c>
      <c r="DE26" s="132">
        <f>IF(OR(DE$4="",$B26=""),0,SUMIF('DADOS BRUTOS'!$A$3:$A$500,$B26,'DADOS BRUTOS'!AE$3:AE$500)+IF($C26="",0,SUMIF('DADOS BRUTOS'!$A$3:$A$500,$C26,'DADOS BRUTOS'!AE$3:AE$500)))</f>
        <v/>
      </c>
      <c r="DF26" s="132">
        <f>IF(OR(DF$4="",$B26=""),0,SUMIF('DADOS BRUTOS'!$A$3:$A$500,$B26,'DADOS BRUTOS'!AF$3:AF$500)+IF($C26="",0,SUMIF('DADOS BRUTOS'!$A$3:$A$500,$C26,'DADOS BRUTOS'!AF$3:AF$500)))</f>
        <v/>
      </c>
      <c r="DG26" s="132">
        <f>IF(OR(DG$4="",$B26=""),0,SUMIF('DADOS BRUTOS'!$A$3:$A$500,$B26,'DADOS BRUTOS'!AG$3:AG$500)+IF($C26="",0,SUMIF('DADOS BRUTOS'!$A$3:$A$500,$C26,'DADOS BRUTOS'!AG$3:AG$500)))</f>
        <v/>
      </c>
      <c r="DH26" s="132">
        <f>IF(OR(DH$4="",$B26=""),0,SUMIF('DADOS BRUTOS'!$A$3:$A$500,$B26,'DADOS BRUTOS'!AH$3:AH$500)+IF($C26="",0,SUMIF('DADOS BRUTOS'!$A$3:$A$500,$C26,'DADOS BRUTOS'!AH$3:AH$500)))</f>
        <v/>
      </c>
      <c r="DI26" s="132">
        <f>IF(OR(DI$4="",$B26=""),0,SUMIF('DADOS BRUTOS'!$A$3:$A$500,$B26,'DADOS BRUTOS'!AI$3:AI$500)+IF($C26="",0,SUMIF('DADOS BRUTOS'!$A$3:$A$500,$C26,'DADOS BRUTOS'!AI$3:AI$500)))</f>
        <v/>
      </c>
      <c r="DJ26" s="132">
        <f>IF(OR(DJ$4="",$B26=""),0,SUMIF('DADOS BRUTOS'!$A$3:$A$500,$B26,'DADOS BRUTOS'!AJ$3:AJ$500)+IF($C26="",0,SUMIF('DADOS BRUTOS'!$A$3:$A$500,$C26,'DADOS BRUTOS'!AJ$3:AJ$500)))</f>
        <v/>
      </c>
      <c r="DK26" s="132">
        <f>IF(OR(DK$4="",$B26=""),0,SUMIF('DADOS BRUTOS'!$A$3:$A$500,$B26,'DADOS BRUTOS'!AK$3:AK$500)+IF($C26="",0,SUMIF('DADOS BRUTOS'!$A$3:$A$500,$C26,'DADOS BRUTOS'!AK$3:AK$500)))</f>
        <v/>
      </c>
      <c r="DL26" s="132">
        <f>IF(OR(DL$4="",$B26=""),0,SUMIF('DADOS BRUTOS'!$A$3:$A$500,$B26,'DADOS BRUTOS'!AL$3:AL$500)+IF($C26="",0,SUMIF('DADOS BRUTOS'!$A$3:$A$500,$C26,'DADOS BRUTOS'!AL$3:AL$500)))</f>
        <v/>
      </c>
      <c r="DM26" s="132">
        <f>IF(OR(DM$4="",$B26=""),0,SUMIF('DADOS BRUTOS'!$A$3:$A$500,$B26,'DADOS BRUTOS'!AM$3:AM$500)+IF($C26="",0,SUMIF('DADOS BRUTOS'!$A$3:$A$500,$C26,'DADOS BRUTOS'!AM$3:AM$500)))</f>
        <v/>
      </c>
      <c r="DN26" s="132">
        <f>IF(OR(DN$4="",$B26=""),0,SUMIF('DADOS BRUTOS'!$A$3:$A$500,$B26,'DADOS BRUTOS'!AN$3:AN$500)+IF($C26="",0,SUMIF('DADOS BRUTOS'!$A$3:$A$500,$C26,'DADOS BRUTOS'!AN$3:AN$500)))</f>
        <v/>
      </c>
      <c r="DO26" s="132">
        <f>IF(OR(DO$4="",$B26=""),0,SUMIF('DADOS BRUTOS'!$A$3:$A$500,$B26,'DADOS BRUTOS'!AO$3:AO$500)+IF($C26="",0,SUMIF('DADOS BRUTOS'!$A$3:$A$500,$C26,'DADOS BRUTOS'!AO$3:AO$500)))</f>
        <v/>
      </c>
      <c r="DP26" s="132">
        <f>IF(OR(DP$4="",$B26=""),0,SUMIF('DADOS BRUTOS'!$A$3:$A$500,$B26,'DADOS BRUTOS'!AP$3:AP$500)+IF($C26="",0,SUMIF('DADOS BRUTOS'!$A$3:$A$500,$C26,'DADOS BRUTOS'!AP$3:AP$500)))</f>
        <v/>
      </c>
      <c r="DQ26" s="132">
        <f>IF(OR(DQ$4="",$B26=""),0,SUMIF('DADOS BRUTOS'!$A$3:$A$500,$B26,'DADOS BRUTOS'!AQ$3:AQ$500)+IF($C26="",0,SUMIF('DADOS BRUTOS'!$A$3:$A$500,$C26,'DADOS BRUTOS'!AQ$3:AQ$500)))</f>
        <v/>
      </c>
      <c r="DR26" s="132">
        <f>IF(OR(DR$4="",$B26=""),0,SUMIF('DADOS BRUTOS'!$A$3:$A$500,$B26,'DADOS BRUTOS'!AR$3:AR$500)+IF($C26="",0,SUMIF('DADOS BRUTOS'!$A$3:$A$500,$C26,'DADOS BRUTOS'!AR$3:AR$500)))</f>
        <v/>
      </c>
      <c r="DS26" s="132">
        <f>IF(OR(DS$4="",$B26=""),0,SUMIF('DADOS BRUTOS'!$A$3:$A$500,$B26,'DADOS BRUTOS'!AS$3:AS$500)+IF($C26="",0,SUMIF('DADOS BRUTOS'!$A$3:$A$500,$C26,'DADOS BRUTOS'!AS$3:AS$500)))</f>
        <v/>
      </c>
      <c r="DT26" s="132">
        <f>IF(OR(DT$4="",$B26=""),0,SUMIF('DADOS BRUTOS'!$A$3:$A$500,$B26,'DADOS BRUTOS'!AT$3:AT$500)+IF($C26="",0,SUMIF('DADOS BRUTOS'!$A$3:$A$500,$C26,'DADOS BRUTOS'!AT$3:AT$500)))</f>
        <v/>
      </c>
      <c r="DU26" s="132">
        <f>IF(OR(DU$4="",$B26=""),0,SUMIF('DADOS BRUTOS'!$A$3:$A$500,$B26,'DADOS BRUTOS'!AU$3:AU$500)+IF($C26="",0,SUMIF('DADOS BRUTOS'!$A$3:$A$500,$C26,'DADOS BRUTOS'!AU$3:AU$500)))</f>
        <v/>
      </c>
      <c r="DV26" s="132">
        <f>IF(OR(DV$4="",$B26=""),0,SUMIF('DADOS BRUTOS'!$A$3:$A$500,$B26,'DADOS BRUTOS'!AV$3:AV$500)+IF($C26="",0,SUMIF('DADOS BRUTOS'!$A$3:$A$500,$C26,'DADOS BRUTOS'!AV$3:AV$500)))</f>
        <v/>
      </c>
      <c r="DW26" s="132">
        <f>IF(OR(DW$4="",$B26=""),0,SUMIF('DADOS BRUTOS'!$A$3:$A$500,$B26,'DADOS BRUTOS'!AW$3:AW$500)+IF($C26="",0,SUMIF('DADOS BRUTOS'!$A$3:$A$500,$C26,'DADOS BRUTOS'!AW$3:AW$500)))</f>
        <v/>
      </c>
      <c r="DX26" s="132">
        <f>IF(OR(DX$4="",$B26=""),0,SUMIF('DADOS BRUTOS'!$A$3:$A$500,$B26,'DADOS BRUTOS'!AX$3:AX$500)+IF($C26="",0,SUMIF('DADOS BRUTOS'!$A$3:$A$500,$C26,'DADOS BRUTOS'!AX$3:AX$500)))</f>
        <v/>
      </c>
      <c r="DY26" s="132">
        <f>IF(OR(DY$4="",$B26=""),0,SUMIF('DADOS BRUTOS'!$A$3:$A$500,$B26,'DADOS BRUTOS'!AY$3:AY$500)+IF($C26="",0,SUMIF('DADOS BRUTOS'!$A$3:$A$500,$C26,'DADOS BRUTOS'!AY$3:AY$500)))</f>
        <v/>
      </c>
      <c r="DZ26" s="132">
        <f>IF(OR(DZ$4="",$B26=""),0,SUMIF('DADOS BRUTOS'!$A$3:$A$500,$B26,'DADOS BRUTOS'!AZ$3:AZ$500)+IF($C26="",0,SUMIF('DADOS BRUTOS'!$A$3:$A$500,$C26,'DADOS BRUTOS'!AZ$3:AZ$500)))</f>
        <v/>
      </c>
      <c r="EA26" s="132">
        <f>IF(OR(EA$4="",$B26=""),0,SUMIF('DADOS BRUTOS'!$A$3:$A$500,$B26,'DADOS BRUTOS'!BA$3:BA$500)+IF($C26="",0,SUMIF('DADOS BRUTOS'!$A$3:$A$500,$C26,'DADOS BRUTOS'!BA$3:BA$500)))</f>
        <v/>
      </c>
      <c r="EB26" s="132">
        <f>IF(OR(EB$4="",$B26=""),0,SUMIF('DADOS BRUTOS'!$A$3:$A$500,$B26,'DADOS BRUTOS'!BB$3:BB$500)+IF($C26="",0,SUMIF('DADOS BRUTOS'!$A$3:$A$500,$C26,'DADOS BRUTOS'!BB$3:BB$500)))</f>
        <v/>
      </c>
      <c r="EC26" s="132">
        <f>IF(OR(EC$4="",$B26=""),0,SUMIF('DADOS BRUTOS'!$A$3:$A$500,$B26,'DADOS BRUTOS'!BC$3:BC$500)+IF($C26="",0,SUMIF('DADOS BRUTOS'!$A$3:$A$500,$C26,'DADOS BRUTOS'!BC$3:BC$500)))</f>
        <v/>
      </c>
      <c r="ED26" s="132">
        <f>IF(OR(ED$4="",$B26=""),0,SUMIF('DADOS BRUTOS'!$A$3:$A$500,$B26,'DADOS BRUTOS'!BD$3:BD$500)+IF($C26="",0,SUMIF('DADOS BRUTOS'!$A$3:$A$500,$C26,'DADOS BRUTOS'!BD$3:BD$500)))</f>
        <v/>
      </c>
      <c r="EE26" s="132">
        <f>IF(OR(EE$4="",$B26=""),0,SUMIF('DADOS BRUTOS'!$A$3:$A$500,$B26,'DADOS BRUTOS'!BE$3:BE$500)+IF($C26="",0,SUMIF('DADOS BRUTOS'!$A$3:$A$500,$C26,'DADOS BRUTOS'!BE$3:BE$500)))</f>
        <v/>
      </c>
      <c r="EF26" s="132">
        <f>IF(OR(EF$4="",$B26=""),0,SUMIF('DADOS BRUTOS'!$A$3:$A$500,$B26,'DADOS BRUTOS'!BF$3:BF$500)+IF($C26="",0,SUMIF('DADOS BRUTOS'!$A$3:$A$500,$C26,'DADOS BRUTOS'!BF$3:BF$500)))</f>
        <v/>
      </c>
      <c r="EG26" s="132">
        <f>IF(OR(EG$4="",$B26=""),0,SUMIF('DADOS BRUTOS'!$A$3:$A$500,$B26,'DADOS BRUTOS'!BG$3:BG$500)+IF($C26="",0,SUMIF('DADOS BRUTOS'!$A$3:$A$500,$C26,'DADOS BRUTOS'!BG$3:BG$500)))</f>
        <v/>
      </c>
      <c r="EH26" s="132">
        <f>IF(OR(EH$4="",$B26=""),0,SUMIF('DADOS BRUTOS'!$A$3:$A$500,$B26,'DADOS BRUTOS'!BH$3:BH$500)+IF($C26="",0,SUMIF('DADOS BRUTOS'!$A$3:$A$500,$C26,'DADOS BRUTOS'!BH$3:BH$500)))</f>
        <v/>
      </c>
      <c r="EI26" s="132">
        <f>IF(OR(EI$4="",$B26=""),0,SUMIF('DADOS BRUTOS'!$A$3:$A$500,$B26,'DADOS BRUTOS'!BI$3:BI$500)+IF($C26="",0,SUMIF('DADOS BRUTOS'!$A$3:$A$500,$C26,'DADOS BRUTOS'!BI$3:BI$500)))</f>
        <v/>
      </c>
      <c r="EJ26" s="132">
        <f>IF(OR(EJ$4="",$B26=""),0,SUMIF('DADOS BRUTOS'!$A$3:$A$500,$B26,'DADOS BRUTOS'!BJ$3:BJ$500)+IF($C26="",0,SUMIF('DADOS BRUTOS'!$A$3:$A$500,$C26,'DADOS BRUTOS'!BJ$3:BJ$500)))</f>
        <v/>
      </c>
      <c r="EK26" s="132">
        <f>IF(OR(EK$4="",$B26=""),0,SUMIF('DADOS BRUTOS'!$A$3:$A$500,$B26,'DADOS BRUTOS'!BK$3:BK$500)+IF($C26="",0,SUMIF('DADOS BRUTOS'!$A$3:$A$500,$C26,'DADOS BRUTOS'!BK$3:BK$500)))</f>
        <v/>
      </c>
      <c r="EL26" s="132">
        <f>IF(OR(EL$4="",$B26=""),0,SUMIF('DADOS BRUTOS'!$A$3:$A$500,$B26,'DADOS BRUTOS'!BL$3:BL$500)+IF($C26="",0,SUMIF('DADOS BRUTOS'!$A$3:$A$500,$C26,'DADOS BRUTOS'!BL$3:BL$500)))</f>
        <v/>
      </c>
      <c r="EM26" s="132">
        <f>IF(OR(EM$4="",$B26=""),0,SUMIF('DADOS BRUTOS'!$A$3:$A$500,$B26,'DADOS BRUTOS'!BM$3:BM$500)+IF($C26="",0,SUMIF('DADOS BRUTOS'!$A$3:$A$500,$C26,'DADOS BRUTOS'!BM$3:BM$500)))</f>
        <v/>
      </c>
      <c r="EN26" s="132">
        <f>IF(OR(EN$4="",$B26=""),0,SUMIF('DADOS BRUTOS'!$A$3:$A$500,$B26,'DADOS BRUTOS'!BN$3:BN$500)+IF($C26="",0,SUMIF('DADOS BRUTOS'!$A$3:$A$500,$C26,'DADOS BRUTOS'!BN$3:BN$500)))</f>
        <v/>
      </c>
      <c r="EO26" s="132">
        <f>IF(OR(EO$4="",$B26=""),0,SUMIF('DADOS BRUTOS'!$A$3:$A$500,$B26,'DADOS BRUTOS'!BO$3:BO$500)+IF($C26="",0,SUMIF('DADOS BRUTOS'!$A$3:$A$500,$C26,'DADOS BRUTOS'!BO$3:BO$500)))</f>
        <v/>
      </c>
      <c r="EP26" s="132">
        <f>IF(OR(EP$4="",$B26=""),0,SUMIF('DADOS BRUTOS'!$A$3:$A$500,$B26,'DADOS BRUTOS'!BP$3:BP$500)+IF($C26="",0,SUMIF('DADOS BRUTOS'!$A$3:$A$500,$C26,'DADOS BRUTOS'!BP$3:BP$500)))</f>
        <v/>
      </c>
      <c r="EQ26" s="132">
        <f>IF(OR(EQ$4="",$B26=""),0,SUMIF('DADOS BRUTOS'!$A$3:$A$500,$B26,'DADOS BRUTOS'!BQ$3:BQ$500)+IF($C26="",0,SUMIF('DADOS BRUTOS'!$A$3:$A$500,$C26,'DADOS BRUTOS'!BQ$3:BQ$500)))</f>
        <v/>
      </c>
      <c r="ER26" s="132">
        <f>IF(OR(ER$4="",$B26=""),0,SUMIF('DADOS BRUTOS'!$A$3:$A$500,$B26,'DADOS BRUTOS'!BR$3:BR$500)+IF($C26="",0,SUMIF('DADOS BRUTOS'!$A$3:$A$500,$C26,'DADOS BRUTOS'!BR$3:BR$500)))</f>
        <v/>
      </c>
      <c r="ES26" s="132">
        <f>IF(OR(ES$4="",$B26=""),0,SUMIF('DADOS BRUTOS'!$A$3:$A$500,$B26,'DADOS BRUTOS'!BS$3:BS$500)+IF($C26="",0,SUMIF('DADOS BRUTOS'!$A$3:$A$500,$C26,'DADOS BRUTOS'!BS$3:BS$500)))</f>
        <v/>
      </c>
      <c r="ET26" s="132">
        <f>IF(OR(ET$4="",$B26=""),0,SUMIF('DADOS BRUTOS'!$A$3:$A$500,$B26,'DADOS BRUTOS'!BT$3:BT$500)+IF($C26="",0,SUMIF('DADOS BRUTOS'!$A$3:$A$500,$C26,'DADOS BRUTOS'!BT$3:BT$500)))</f>
        <v/>
      </c>
      <c r="EU26" s="132">
        <f>IF(OR(EU$4="",$B26=""),0,SUMIF('DADOS BRUTOS'!$A$3:$A$500,$B26,'DADOS BRUTOS'!BU$3:BU$500)+IF($C26="",0,SUMIF('DADOS BRUTOS'!$A$3:$A$500,$C26,'DADOS BRUTOS'!BU$3:BU$500)))</f>
        <v/>
      </c>
      <c r="EV26" s="132">
        <f>IF(OR(EV$4="",$B26=""),0,SUMIF('DADOS BRUTOS'!$A$3:$A$500,$B26,'DADOS BRUTOS'!BV$3:BV$500)+IF($C26="",0,SUMIF('DADOS BRUTOS'!$A$3:$A$500,$C26,'DADOS BRUTOS'!BV$3:BV$500)))</f>
        <v/>
      </c>
      <c r="EW26" s="132">
        <f>IF(OR(EW$4="",$B26=""),0,SUMIF('DADOS BRUTOS'!$A$3:$A$500,$B26,'DADOS BRUTOS'!BW$3:BW$500)+IF($C26="",0,SUMIF('DADOS BRUTOS'!$A$3:$A$500,$C26,'DADOS BRUTOS'!BW$3:BW$500)))</f>
        <v/>
      </c>
      <c r="EX26" s="132">
        <f>IF(OR(EX$4="",$B26=""),0,SUMIF('DADOS BRUTOS'!$A$3:$A$500,$B26,'DADOS BRUTOS'!BX$3:BX$500)+IF($C26="",0,SUMIF('DADOS BRUTOS'!$A$3:$A$500,$C26,'DADOS BRUTOS'!BX$3:BX$500)))</f>
        <v/>
      </c>
      <c r="EY26" s="132">
        <f>IF(OR(EY$4="",$B26=""),0,SUMIF('DADOS BRUTOS'!$A$3:$A$500,$B26,'DADOS BRUTOS'!BY$3:BY$500)+IF($C26="",0,SUMIF('DADOS BRUTOS'!$A$3:$A$500,$C26,'DADOS BRUTOS'!BY$3:BY$500)))</f>
        <v/>
      </c>
      <c r="EZ26" s="132">
        <f>IF(OR(EZ$4="",$B26=""),0,SUMIF('DADOS BRUTOS'!$A$3:$A$500,$B26,'DADOS BRUTOS'!BZ$3:BZ$500)+IF($C26="",0,SUMIF('DADOS BRUTOS'!$A$3:$A$500,$C26,'DADOS BRUTOS'!BZ$3:BZ$500)))</f>
        <v/>
      </c>
      <c r="FA26" s="132">
        <f>IF(OR(FA$4="",$B26=""),0,SUMIF('DADOS BRUTOS'!$A$3:$A$500,$B26,'DADOS BRUTOS'!CA$3:CA$500)+IF($C26="",0,SUMIF('DADOS BRUTOS'!$A$3:$A$500,$C26,'DADOS BRUTOS'!CA$3:CA$500)))</f>
        <v/>
      </c>
      <c r="FB26" s="132">
        <f>IF(OR(FB$4="",$B26=""),0,SUMIF('DADOS BRUTOS'!$A$3:$A$500,$B26,'DADOS BRUTOS'!CB$3:CB$500)+IF($C26="",0,SUMIF('DADOS BRUTOS'!$A$3:$A$500,$C26,'DADOS BRUTOS'!CB$3:CB$500)))</f>
        <v/>
      </c>
      <c r="FC26" s="132">
        <f>IF(OR(FC$4="",$B26=""),0,SUMIF('DADOS BRUTOS'!$A$3:$A$500,$B26,'DADOS BRUTOS'!CC$3:CC$500)+IF($C26="",0,SUMIF('DADOS BRUTOS'!$A$3:$A$500,$C26,'DADOS BRUTOS'!CC$3:CC$500)))</f>
        <v/>
      </c>
      <c r="FD26" s="132">
        <f>IF(OR(FD$4="",$B26=""),0,SUMIF('DADOS BRUTOS'!$A$3:$A$500,$B26,'DADOS BRUTOS'!CD$3:CD$500)+IF($C26="",0,SUMIF('DADOS BRUTOS'!$A$3:$A$500,$C26,'DADOS BRUTOS'!CD$3:CD$500)))</f>
        <v/>
      </c>
      <c r="FE26" s="132">
        <f>IF(OR(FE$4="",$B26=""),0,SUMIF('DADOS BRUTOS'!$A$3:$A$500,$B26,'DADOS BRUTOS'!CE$3:CE$500)+IF($C26="",0,SUMIF('DADOS BRUTOS'!$A$3:$A$500,$C26,'DADOS BRUTOS'!CE$3:CE$500)))</f>
        <v/>
      </c>
      <c r="FF26" s="132">
        <f>IF(OR(FF$4="",$B26=""),0,SUMIF('DADOS BRUTOS'!$A$3:$A$500,$B26,'DADOS BRUTOS'!CF$3:CF$500)+IF($C26="",0,SUMIF('DADOS BRUTOS'!$A$3:$A$500,$C26,'DADOS BRUTOS'!CF$3:CF$500)))</f>
        <v/>
      </c>
      <c r="FG26" s="132">
        <f>IF(OR(FG$4="",$B26=""),0,SUMIF('DADOS BRUTOS'!$A$3:$A$500,$B26,'DADOS BRUTOS'!CG$3:CG$500)+IF($C26="",0,SUMIF('DADOS BRUTOS'!$A$3:$A$500,$C26,'DADOS BRUTOS'!CG$3:CG$500)))</f>
        <v/>
      </c>
      <c r="FH26" s="132">
        <f>IF(OR(FH$4="",$B26=""),0,SUMIF('DADOS BRUTOS'!$A$3:$A$500,$B26,'DADOS BRUTOS'!CH$3:CH$500)+IF($C26="",0,SUMIF('DADOS BRUTOS'!$A$3:$A$500,$C26,'DADOS BRUTOS'!CH$3:CH$500)))</f>
        <v/>
      </c>
      <c r="FI26" s="132">
        <f>IF(OR(FI$4="",$B26=""),0,SUMIF('DADOS BRUTOS'!$A$3:$A$500,$B26,'DADOS BRUTOS'!CI$3:CI$500)+IF($C26="",0,SUMIF('DADOS BRUTOS'!$A$3:$A$500,$C26,'DADOS BRUTOS'!CI$3:CI$500)))</f>
        <v/>
      </c>
      <c r="FJ26" s="132">
        <f>IF(OR(FJ$4="",$B26=""),0,SUMIF('DADOS BRUTOS'!$A$3:$A$500,$B26,'DADOS BRUTOS'!CJ$3:CJ$500)+IF($C26="",0,SUMIF('DADOS BRUTOS'!$A$3:$A$500,$C26,'DADOS BRUTOS'!CJ$3:CJ$500)))</f>
        <v/>
      </c>
      <c r="FK26" s="132">
        <f>IF(OR(FK$4="",$B26=""),0,SUMIF('DADOS BRUTOS'!$A$3:$A$500,$B26,'DADOS BRUTOS'!CK$3:CK$500)+IF($C26="",0,SUMIF('DADOS BRUTOS'!$A$3:$A$500,$C26,'DADOS BRUTOS'!CK$3:CK$500)))</f>
        <v/>
      </c>
      <c r="FL26" s="132">
        <f>IF(OR(FL$4="",$B26=""),0,SUMIF('DADOS BRUTOS'!$A$3:$A$500,$B26,'DADOS BRUTOS'!CL$3:CL$500)+IF($C26="",0,SUMIF('DADOS BRUTOS'!$A$3:$A$500,$C26,'DADOS BRUTOS'!CL$3:CL$500)))</f>
        <v/>
      </c>
      <c r="FM26" s="132">
        <f>IF(OR(FM$4="",$B26=""),0,SUMIF('DADOS BRUTOS'!$A$3:$A$500,$B26,'DADOS BRUTOS'!CM$3:CM$500)+IF($C26="",0,SUMIF('DADOS BRUTOS'!$A$3:$A$500,$C26,'DADOS BRUTOS'!CM$3:CM$500)))</f>
        <v/>
      </c>
      <c r="FN26" s="132">
        <f>IF(OR(FN$4="",$B26=""),0,SUMIF('DADOS BRUTOS'!$A$3:$A$500,$B26,'DADOS BRUTOS'!CN$3:CN$500)+IF($C26="",0,SUMIF('DADOS BRUTOS'!$A$3:$A$500,$C26,'DADOS BRUTOS'!CN$3:CN$500)))</f>
        <v/>
      </c>
      <c r="FO26" s="132">
        <f>IF(OR(FO$4="",$B26=""),0,SUMIF('DADOS BRUTOS'!$A$3:$A$500,$B26,'DADOS BRUTOS'!CO$3:CO$500)+IF($C26="",0,SUMIF('DADOS BRUTOS'!$A$3:$A$500,$C26,'DADOS BRUTOS'!CO$3:CO$500)))</f>
        <v/>
      </c>
      <c r="FP26" s="132">
        <f>IF(OR(FP$4="",$B26=""),0,SUMIF('DADOS BRUTOS'!$A$3:$A$500,$B26,'DADOS BRUTOS'!CP$3:CP$500)+IF($C26="",0,SUMIF('DADOS BRUTOS'!$A$3:$A$500,$C26,'DADOS BRUTOS'!CP$3:CP$500)))</f>
        <v/>
      </c>
      <c r="FQ26" s="132">
        <f>IF(OR(FQ$4="",$B26=""),0,SUMIF('DADOS BRUTOS'!$A$3:$A$500,$B26,'DADOS BRUTOS'!CQ$3:CQ$500)+IF($C26="",0,SUMIF('DADOS BRUTOS'!$A$3:$A$500,$C26,'DADOS BRUTOS'!CQ$3:CQ$500)))</f>
        <v/>
      </c>
      <c r="FR26" s="132">
        <f>IF(OR(FR$4="",$B26=""),0,SUMIF('DADOS BRUTOS'!$A$3:$A$500,$B26,'DADOS BRUTOS'!CR$3:CR$500)+IF($C26="",0,SUMIF('DADOS BRUTOS'!$A$3:$A$500,$C26,'DADOS BRUTOS'!CR$3:CR$500)))</f>
        <v/>
      </c>
      <c r="FS26" s="132">
        <f>IF(OR(FS$4="",$B26=""),0,SUMIF('DADOS BRUTOS'!$A$3:$A$500,$B26,'DADOS BRUTOS'!CS$3:CS$500)+IF($C26="",0,SUMIF('DADOS BRUTOS'!$A$3:$A$500,$C26,'DADOS BRUTOS'!CS$3:CS$500)))</f>
        <v/>
      </c>
      <c r="FT26" s="132">
        <f>IF(OR(FT$4="",$B26=""),0,SUMIF('DADOS BRUTOS'!$A$3:$A$500,$B26,'DADOS BRUTOS'!CT$3:CT$500)+IF($C26="",0,SUMIF('DADOS BRUTOS'!$A$3:$A$500,$C26,'DADOS BRUTOS'!CT$3:CT$500)))</f>
        <v/>
      </c>
      <c r="FU26" s="132">
        <f>IF(OR(FU$4="",$B26=""),0,SUMIF('DADOS BRUTOS'!$A$3:$A$500,$B26,'DADOS BRUTOS'!CU$3:CU$500)+IF($C26="",0,SUMIF('DADOS BRUTOS'!$A$3:$A$500,$C26,'DADOS BRUTOS'!CU$3:CU$500)))</f>
        <v/>
      </c>
      <c r="FV26" s="132">
        <f>IF(OR(FV$4="",$B26=""),0,SUMIF('DADOS BRUTOS'!$A$3:$A$500,$B26,'DADOS BRUTOS'!CV$3:CV$500)+IF($C26="",0,SUMIF('DADOS BRUTOS'!$A$3:$A$500,$C26,'DADOS BRUTOS'!CV$3:CV$500)))</f>
        <v/>
      </c>
      <c r="FW26" s="132">
        <f>IF(OR(FW$4="",$B26=""),0,SUMIF('DADOS BRUTOS'!$A$3:$A$500,$B26,'DADOS BRUTOS'!CW$3:CW$500)+IF($C26="",0,SUMIF('DADOS BRUTOS'!$A$3:$A$500,$C26,'DADOS BRUTOS'!CW$3:CW$500)))</f>
        <v/>
      </c>
      <c r="FX26" s="132">
        <f>IF(OR(FX$4="",$B26=""),0,SUMIF('DADOS BRUTOS'!$A$3:$A$500,$B26,'DADOS BRUTOS'!CX$3:CX$500)+IF($C26="",0,SUMIF('DADOS BRUTOS'!$A$3:$A$500,$C26,'DADOS BRUTOS'!CX$3:CX$500)))</f>
        <v/>
      </c>
      <c r="FY26" s="132">
        <f>IF(OR(FY$4="",$B26=""),0,SUMIF('DADOS BRUTOS'!$A$3:$A$500,$B26,'DADOS BRUTOS'!CY$3:CY$500)+IF($C26="",0,SUMIF('DADOS BRUTOS'!$A$3:$A$500,$C26,'DADOS BRUTOS'!CY$3:CY$500)))</f>
        <v/>
      </c>
      <c r="FZ26" s="132">
        <f>IF(OR(FZ$4="",$B26=""),0,SUMIF('DADOS BRUTOS'!$A$3:$A$500,$B26,'DADOS BRUTOS'!CZ$3:CZ$500)+IF($C26="",0,SUMIF('DADOS BRUTOS'!$A$3:$A$500,$C26,'DADOS BRUTOS'!CZ$3:CZ$500)))</f>
        <v/>
      </c>
      <c r="GA26" s="132">
        <f>IF(OR(GA$4="",$B26=""),0,SUMIF('DADOS BRUTOS'!$A$3:$A$500,$B26,'DADOS BRUTOS'!DA$3:DA$500)+IF($C26="",0,SUMIF('DADOS BRUTOS'!$A$3:$A$500,$C26,'DADOS BRUTOS'!DA$3:DA$500)))</f>
        <v/>
      </c>
      <c r="GB26" s="132">
        <f>IF(OR(GB$4="",$B26=""),0,SUMIF('DADOS BRUTOS'!$A$3:$A$500,$B26,'DADOS BRUTOS'!DB$3:DB$500)+IF($C26="",0,SUMIF('DADOS BRUTOS'!$A$3:$A$500,$C26,'DADOS BRUTOS'!DB$3:DB$500)))</f>
        <v/>
      </c>
      <c r="GC26" s="132">
        <f>IF(OR(GC$4="",$B26=""),0,SUMIF('DADOS BRUTOS'!$A$3:$A$500,$B26,'DADOS BRUTOS'!DC$3:DC$500)+IF($C26="",0,SUMIF('DADOS BRUTOS'!$A$3:$A$500,$C26,'DADOS BRUTOS'!DC$3:DC$500)))</f>
        <v/>
      </c>
      <c r="GD26" s="132">
        <f>IF(OR(GD$4="",$B26=""),0,SUMIF('DADOS BRUTOS'!$A$3:$A$500,$B26,'DADOS BRUTOS'!DD$3:DD$500)+IF($C26="",0,SUMIF('DADOS BRUTOS'!$A$3:$A$500,$C26,'DADOS BRUTOS'!DD$3:DD$500)))</f>
        <v/>
      </c>
      <c r="GE26" s="132">
        <f>IF(OR(GE$4="",$B26=""),0,SUMIF('DADOS BRUTOS'!$A$3:$A$500,$B26,'DADOS BRUTOS'!DE$3:DE$500)+IF($C26="",0,SUMIF('DADOS BRUTOS'!$A$3:$A$500,$C26,'DADOS BRUTOS'!DE$3:DE$500)))</f>
        <v/>
      </c>
      <c r="GF26" s="132">
        <f>IF(OR(GF$4="",$B26=""),0,SUMIF('DADOS BRUTOS'!$A$3:$A$500,$B26,'DADOS BRUTOS'!DF$3:DF$500)+IF($C26="",0,SUMIF('DADOS BRUTOS'!$A$3:$A$500,$C26,'DADOS BRUTOS'!DF$3:DF$500)))</f>
        <v/>
      </c>
      <c r="GG26" s="132">
        <f>IF(OR(GG$4="",$B26=""),0,SUMIF('DADOS BRUTOS'!$A$3:$A$500,$B26,'DADOS BRUTOS'!DG$3:DG$500)+IF($C26="",0,SUMIF('DADOS BRUTOS'!$A$3:$A$500,$C26,'DADOS BRUTOS'!DG$3:DG$500)))</f>
        <v/>
      </c>
      <c r="GH26" s="132">
        <f>IF(OR(GH$4="",$B26=""),0,SUMIF('DADOS BRUTOS'!$A$3:$A$500,$B26,'DADOS BRUTOS'!DH$3:DH$500)+IF($C26="",0,SUMIF('DADOS BRUTOS'!$A$3:$A$500,$C26,'DADOS BRUTOS'!DH$3:DH$500)))</f>
        <v/>
      </c>
      <c r="GI26" s="132">
        <f>IF(OR(GI$4="",$B26=""),0,SUMIF('DADOS BRUTOS'!$A$3:$A$500,$B26,'DADOS BRUTOS'!DI$3:DI$500)+IF($C26="",0,SUMIF('DADOS BRUTOS'!$A$3:$A$500,$C26,'DADOS BRUTOS'!DI$3:DI$500)))</f>
        <v/>
      </c>
      <c r="GJ26" s="132">
        <f>IF(OR(GJ$4="",$B26=""),0,SUMIF('DADOS BRUTOS'!$A$3:$A$500,$B26,'DADOS BRUTOS'!DJ$3:DJ$500)+IF($C26="",0,SUMIF('DADOS BRUTOS'!$A$3:$A$500,$C26,'DADOS BRUTOS'!DJ$3:DJ$500)))</f>
        <v/>
      </c>
      <c r="GK26" s="132">
        <f>IF(OR(GK$4="",$B26=""),0,SUMIF('DADOS BRUTOS'!$A$3:$A$500,$B26,'DADOS BRUTOS'!DK$3:DK$500)+IF($C26="",0,SUMIF('DADOS BRUTOS'!$A$3:$A$500,$C26,'DADOS BRUTOS'!DK$3:DK$500)))</f>
        <v/>
      </c>
      <c r="GL26" s="132">
        <f>IF(OR(GL$4="",$B26=""),0,SUMIF('DADOS BRUTOS'!$A$3:$A$500,$B26,'DADOS BRUTOS'!DL$3:DL$500)+IF($C26="",0,SUMIF('DADOS BRUTOS'!$A$3:$A$500,$C26,'DADOS BRUTOS'!DL$3:DL$500)))</f>
        <v/>
      </c>
      <c r="GM26" s="132">
        <f>IF(OR(GM$4="",$B26=""),0,SUMIF('DADOS BRUTOS'!$A$3:$A$500,$B26,'DADOS BRUTOS'!DM$3:DM$500)+IF($C26="",0,SUMIF('DADOS BRUTOS'!$A$3:$A$500,$C26,'DADOS BRUTOS'!DM$3:DM$500)))</f>
        <v/>
      </c>
      <c r="GN26" s="132">
        <f>IF(OR(GN$4="",$B26=""),0,SUMIF('DADOS BRUTOS'!$A$3:$A$500,$B26,'DADOS BRUTOS'!DN$3:DN$500)+IF($C26="",0,SUMIF('DADOS BRUTOS'!$A$3:$A$500,$C26,'DADOS BRUTOS'!DN$3:DN$500)))</f>
        <v/>
      </c>
      <c r="GO26" s="132">
        <f>IF(OR(GO$4="",$B26=""),0,SUMIF('DADOS BRUTOS'!$A$3:$A$500,$B26,'DADOS BRUTOS'!DO$3:DO$500)+IF($C26="",0,SUMIF('DADOS BRUTOS'!$A$3:$A$500,$C26,'DADOS BRUTOS'!DO$3:DO$500)))</f>
        <v/>
      </c>
      <c r="GP26" s="132">
        <f>IF(OR(GP$4="",$B26=""),0,SUMIF('DADOS BRUTOS'!$A$3:$A$500,$B26,'DADOS BRUTOS'!DP$3:DP$500)+IF($C26="",0,SUMIF('DADOS BRUTOS'!$A$3:$A$500,$C26,'DADOS BRUTOS'!DP$3:DP$500)))</f>
        <v/>
      </c>
      <c r="GQ26" s="132">
        <f>IF(OR(GQ$4="",$B26=""),0,SUMIF('DADOS BRUTOS'!$A$3:$A$500,$B26,'DADOS BRUTOS'!DQ$3:DQ$500)+IF($C26="",0,SUMIF('DADOS BRUTOS'!$A$3:$A$500,$C26,'DADOS BRUTOS'!DQ$3:DQ$500)))</f>
        <v/>
      </c>
      <c r="GR26" s="132">
        <f>IF(OR(GR$4="",$B26=""),0,SUMIF('DADOS BRUTOS'!$A$3:$A$500,$B26,'DADOS BRUTOS'!DR$3:DR$500)+IF($C26="",0,SUMIF('DADOS BRUTOS'!$A$3:$A$500,$C26,'DADOS BRUTOS'!DR$3:DR$500)))</f>
        <v/>
      </c>
      <c r="GS26" s="132">
        <f>IF(OR(GS$4="",$B26=""),0,SUMIF('DADOS BRUTOS'!$A$3:$A$500,$B26,'DADOS BRUTOS'!DS$3:DS$500)+IF($C26="",0,SUMIF('DADOS BRUTOS'!$A$3:$A$500,$C26,'DADOS BRUTOS'!DS$3:DS$500)))</f>
        <v/>
      </c>
      <c r="GT26" s="132">
        <f>IF(OR(GT$4="",$B26=""),0,SUMIF('DADOS BRUTOS'!$A$3:$A$500,$B26,'DADOS BRUTOS'!DT$3:DT$500)+IF($C26="",0,SUMIF('DADOS BRUTOS'!$A$3:$A$500,$C26,'DADOS BRUTOS'!DT$3:DT$500)))</f>
        <v/>
      </c>
      <c r="GU26" s="132">
        <f>IF(OR(GU$4="",$B26=""),0,SUMIF('DADOS BRUTOS'!$A$3:$A$500,$B26,'DADOS BRUTOS'!DU$3:DU$500)+IF($C26="",0,SUMIF('DADOS BRUTOS'!$A$3:$A$500,$C26,'DADOS BRUTOS'!DU$3:DU$500)))</f>
        <v/>
      </c>
      <c r="GV26" s="132">
        <f>IF(OR(GV$4="",$B26=""),0,SUMIF('DADOS BRUTOS'!$A$3:$A$500,$B26,'DADOS BRUTOS'!DV$3:DV$500)+IF($C26="",0,SUMIF('DADOS BRUTOS'!$A$3:$A$500,$C26,'DADOS BRUTOS'!DV$3:DV$500)))</f>
        <v/>
      </c>
      <c r="GW26" s="132">
        <f>IF(OR(GW$4="",$B26=""),0,SUMIF('DADOS BRUTOS'!$A$3:$A$500,$B26,'DADOS BRUTOS'!DW$3:DW$500)+IF($C26="",0,SUMIF('DADOS BRUTOS'!$A$3:$A$500,$C26,'DADOS BRUTOS'!DW$3:DW$500)))</f>
        <v/>
      </c>
      <c r="GX26" s="132">
        <f>IF(OR(GX$4="",$B26=""),0,SUMIF('DADOS BRUTOS'!$A$3:$A$500,$B26,'DADOS BRUTOS'!DX$3:DX$500)+IF($C26="",0,SUMIF('DADOS BRUTOS'!$A$3:$A$500,$C26,'DADOS BRUTOS'!DX$3:DX$500)))</f>
        <v/>
      </c>
      <c r="GY26" s="132">
        <f>IF(OR(GY$4="",$B26=""),0,SUMIF('DADOS BRUTOS'!$A$3:$A$500,$B26,'DADOS BRUTOS'!DY$3:DY$500)+IF($C26="",0,SUMIF('DADOS BRUTOS'!$A$3:$A$500,$C26,'DADOS BRUTOS'!DY$3:DY$500)))</f>
        <v/>
      </c>
      <c r="GZ26" s="132">
        <f>IF(OR(GZ$4="",$B26=""),0,SUMIF('DADOS BRUTOS'!$A$3:$A$500,$B26,'DADOS BRUTOS'!DZ$3:DZ$500)+IF($C26="",0,SUMIF('DADOS BRUTOS'!$A$3:$A$500,$C26,'DADOS BRUTOS'!DZ$3:DZ$500)))</f>
        <v/>
      </c>
      <c r="HA26" s="132">
        <f>IF(OR(HA$4="",$B26=""),0,SUMIF('DADOS BRUTOS'!$A$3:$A$500,$B26,'DADOS BRUTOS'!EA$3:EA$500)+IF($C26="",0,SUMIF('DADOS BRUTOS'!$A$3:$A$500,$C26,'DADOS BRUTOS'!EA$3:EA$500)))</f>
        <v/>
      </c>
      <c r="HB26" s="132">
        <f>IF(OR(HB$4="",$B26=""),0,SUMIF('DADOS BRUTOS'!$A$3:$A$500,$B26,'DADOS BRUTOS'!EB$3:EB$500)+IF($C26="",0,SUMIF('DADOS BRUTOS'!$A$3:$A$500,$C26,'DADOS BRUTOS'!EB$3:EB$500)))</f>
        <v/>
      </c>
      <c r="HC26" s="132">
        <f>IF(OR(HC$4="",$B26=""),0,SUMIF('DADOS BRUTOS'!$A$3:$A$500,$B26,'DADOS BRUTOS'!EC$3:EC$500)+IF($C26="",0,SUMIF('DADOS BRUTOS'!$A$3:$A$500,$C26,'DADOS BRUTOS'!EC$3:EC$500)))</f>
        <v/>
      </c>
      <c r="HD26" s="132">
        <f>IF(OR(HD$4="",$B26=""),0,SUMIF('DADOS BRUTOS'!$A$3:$A$500,$B26,'DADOS BRUTOS'!ED$3:ED$500)+IF($C26="",0,SUMIF('DADOS BRUTOS'!$A$3:$A$500,$C26,'DADOS BRUTOS'!ED$3:ED$500)))</f>
        <v/>
      </c>
      <c r="HE26" s="132">
        <f>IF(OR(HE$4="",$B26=""),0,SUMIF('DADOS BRUTOS'!$A$3:$A$500,$B26,'DADOS BRUTOS'!EE$3:EE$500)+IF($C26="",0,SUMIF('DADOS BRUTOS'!$A$3:$A$500,$C26,'DADOS BRUTOS'!EE$3:EE$500)))</f>
        <v/>
      </c>
      <c r="HF26" s="132">
        <f>IF(OR(HF$4="",$B26=""),0,SUMIF('DADOS BRUTOS'!$A$3:$A$500,$B26,'DADOS BRUTOS'!EF$3:EF$500)+IF($C26="",0,SUMIF('DADOS BRUTOS'!$A$3:$A$500,$C26,'DADOS BRUTOS'!EF$3:EF$500)))</f>
        <v/>
      </c>
      <c r="HG26" s="132">
        <f>IF(OR(HG$4="",$B26=""),0,SUMIF('DADOS BRUTOS'!$A$3:$A$500,$B26,'DADOS BRUTOS'!EG$3:EG$500)+IF($C26="",0,SUMIF('DADOS BRUTOS'!$A$3:$A$500,$C26,'DADOS BRUTOS'!EG$3:EG$500)))</f>
        <v/>
      </c>
      <c r="HH26" s="132">
        <f>IF(OR(HH$4="",$B26=""),0,SUMIF('DADOS BRUTOS'!$A$3:$A$500,$B26,'DADOS BRUTOS'!EH$3:EH$500)+IF($C26="",0,SUMIF('DADOS BRUTOS'!$A$3:$A$500,$C26,'DADOS BRUTOS'!EH$3:EH$500)))</f>
        <v/>
      </c>
      <c r="HI26" s="132">
        <f>IF(OR(HI$4="",$B26=""),0,SUMIF('DADOS BRUTOS'!$A$3:$A$500,$B26,'DADOS BRUTOS'!EI$3:EI$500)+IF($C26="",0,SUMIF('DADOS BRUTOS'!$A$3:$A$500,$C26,'DADOS BRUTOS'!EI$3:EI$500)))</f>
        <v/>
      </c>
      <c r="HJ26" s="132">
        <f>IF(OR(HJ$4="",$B26=""),0,SUMIF('DADOS BRUTOS'!$A$3:$A$500,$B26,'DADOS BRUTOS'!EJ$3:EJ$500)+IF($C26="",0,SUMIF('DADOS BRUTOS'!$A$3:$A$500,$C26,'DADOS BRUTOS'!EJ$3:EJ$500)))</f>
        <v/>
      </c>
      <c r="HK26" s="132">
        <f>IF(OR(HK$4="",$B26=""),0,SUMIF('DADOS BRUTOS'!$A$3:$A$500,$B26,'DADOS BRUTOS'!EK$3:EK$500)+IF($C26="",0,SUMIF('DADOS BRUTOS'!$A$3:$A$500,$C26,'DADOS BRUTOS'!EK$3:EK$500)))</f>
        <v/>
      </c>
      <c r="HL26" s="132">
        <f>IF(OR(HL$4="",$B26=""),0,SUMIF('DADOS BRUTOS'!$A$3:$A$500,$B26,'DADOS BRUTOS'!EL$3:EL$500)+IF($C26="",0,SUMIF('DADOS BRUTOS'!$A$3:$A$500,$C26,'DADOS BRUTOS'!EL$3:EL$500)))</f>
        <v/>
      </c>
      <c r="HM26" s="132">
        <f>IF(OR(HM$4="",$B26=""),0,SUMIF('DADOS BRUTOS'!$A$3:$A$500,$B26,'DADOS BRUTOS'!EM$3:EM$500)+IF($C26="",0,SUMIF('DADOS BRUTOS'!$A$3:$A$500,$C26,'DADOS BRUTOS'!EM$3:EM$500)))</f>
        <v/>
      </c>
      <c r="HN26" s="132">
        <f>IF(OR(HN$4="",$B26=""),0,SUMIF('DADOS BRUTOS'!$A$3:$A$500,$B26,'DADOS BRUTOS'!EN$3:EN$500)+IF($C26="",0,SUMIF('DADOS BRUTOS'!$A$3:$A$500,$C26,'DADOS BRUTOS'!EN$3:EN$500)))</f>
        <v/>
      </c>
      <c r="HO26" s="132">
        <f>IF(OR(HO$4="",$B26=""),0,SUMIF('DADOS BRUTOS'!$A$3:$A$500,$B26,'DADOS BRUTOS'!EO$3:EO$500)+IF($C26="",0,SUMIF('DADOS BRUTOS'!$A$3:$A$500,$C26,'DADOS BRUTOS'!EO$3:EO$500)))</f>
        <v/>
      </c>
      <c r="HP26" s="132">
        <f>IF(OR(HP$4="",$B26=""),0,SUMIF('DADOS BRUTOS'!$A$3:$A$500,$B26,'DADOS BRUTOS'!EP$3:EP$500)+IF($C26="",0,SUMIF('DADOS BRUTOS'!$A$3:$A$500,$C26,'DADOS BRUTOS'!EP$3:EP$500)))</f>
        <v/>
      </c>
      <c r="HQ26" s="132">
        <f>IF(OR(HQ$4="",$B26=""),0,SUMIF('DADOS BRUTOS'!$A$3:$A$500,$B26,'DADOS BRUTOS'!EQ$3:EQ$500)+IF($C26="",0,SUMIF('DADOS BRUTOS'!$A$3:$A$500,$C26,'DADOS BRUTOS'!EQ$3:EQ$500)))</f>
        <v/>
      </c>
      <c r="HR26" s="132">
        <f>IF(OR(HR$4="",$B26=""),0,SUMIF('DADOS BRUTOS'!$A$3:$A$500,$B26,'DADOS BRUTOS'!ER$3:ER$500)+IF($C26="",0,SUMIF('DADOS BRUTOS'!$A$3:$A$500,$C26,'DADOS BRUTOS'!ER$3:ER$500)))</f>
        <v/>
      </c>
      <c r="HS26" s="132">
        <f>IF(OR(HS$4="",$B26=""),0,SUMIF('DADOS BRUTOS'!$A$3:$A$500,$B26,'DADOS BRUTOS'!ES$3:ES$500)+IF($C26="",0,SUMIF('DADOS BRUTOS'!$A$3:$A$500,$C26,'DADOS BRUTOS'!ES$3:ES$500)))</f>
        <v/>
      </c>
      <c r="HT26" s="132">
        <f>IF(OR(HT$4="",$B26=""),0,SUMIF('DADOS BRUTOS'!$A$3:$A$500,$B26,'DADOS BRUTOS'!ET$3:ET$500)+IF($C26="",0,SUMIF('DADOS BRUTOS'!$A$3:$A$500,$C26,'DADOS BRUTOS'!ET$3:ET$500)))</f>
        <v/>
      </c>
      <c r="HU26" s="132">
        <f>IF(OR(HU$4="",$B26=""),0,SUMIF('DADOS BRUTOS'!$A$3:$A$500,$B26,'DADOS BRUTOS'!EU$3:EU$500)+IF($C26="",0,SUMIF('DADOS BRUTOS'!$A$3:$A$500,$C26,'DADOS BRUTOS'!EU$3:EU$500)))</f>
        <v/>
      </c>
      <c r="HV26" s="132">
        <f>IF(OR(HV$4="",$B26=""),0,SUMIF('DADOS BRUTOS'!$A$3:$A$500,$B26,'DADOS BRUTOS'!EV$3:EV$500)+IF($C26="",0,SUMIF('DADOS BRUTOS'!$A$3:$A$500,$C26,'DADOS BRUTOS'!EV$3:EV$500)))</f>
        <v/>
      </c>
      <c r="HW26" s="132">
        <f>IF(OR(HW$4="",$B26=""),0,SUMIF('DADOS BRUTOS'!$A$3:$A$500,$B26,'DADOS BRUTOS'!EW$3:EW$500)+IF($C26="",0,SUMIF('DADOS BRUTOS'!$A$3:$A$500,$C26,'DADOS BRUTOS'!EW$3:EW$500)))</f>
        <v/>
      </c>
      <c r="HX26" s="132">
        <f>IF(OR(HX$4="",$B26=""),0,SUMIF('DADOS BRUTOS'!$A$3:$A$500,$B26,'DADOS BRUTOS'!EX$3:EX$500)+IF($C26="",0,SUMIF('DADOS BRUTOS'!$A$3:$A$500,$C26,'DADOS BRUTOS'!EX$3:EX$500)))</f>
        <v/>
      </c>
      <c r="HY26" s="132">
        <f>IF(OR(HY$4="",$B26=""),0,SUMIF('DADOS BRUTOS'!$A$3:$A$500,$B26,'DADOS BRUTOS'!EY$3:EY$500)+IF($C26="",0,SUMIF('DADOS BRUTOS'!$A$3:$A$500,$C26,'DADOS BRUTOS'!EY$3:EY$500)))</f>
        <v/>
      </c>
      <c r="HZ26" s="132">
        <f>IF(OR(HZ$4="",$B26=""),0,SUMIF('DADOS BRUTOS'!$A$3:$A$500,$B26,'DADOS BRUTOS'!EZ$3:EZ$500)+IF($C26="",0,SUMIF('DADOS BRUTOS'!$A$3:$A$500,$C26,'DADOS BRUTOS'!EZ$3:EZ$500)))</f>
        <v/>
      </c>
      <c r="IA26" s="132">
        <f>IF(OR(IA$4="",$B26=""),0,SUMIF('DADOS BRUTOS'!$A$3:$A$500,$B26,'DADOS BRUTOS'!FA$3:FA$500)+IF($C26="",0,SUMIF('DADOS BRUTOS'!$A$3:$A$500,$C26,'DADOS BRUTOS'!FA$3:FA$500)))</f>
        <v/>
      </c>
      <c r="IB26" s="132">
        <f>IF(OR(IB$4="",$B26=""),0,SUMIF('DADOS BRUTOS'!$A$3:$A$500,$B26,'DADOS BRUTOS'!FB$3:FB$500)+IF($C26="",0,SUMIF('DADOS BRUTOS'!$A$3:$A$500,$C26,'DADOS BRUTOS'!FB$3:FB$500)))</f>
        <v/>
      </c>
      <c r="IC26" s="132">
        <f>IF(OR(IC$4="",$B26=""),0,SUMIF('DADOS BRUTOS'!$A$3:$A$500,$B26,'DADOS BRUTOS'!FC$3:FC$500)+IF($C26="",0,SUMIF('DADOS BRUTOS'!$A$3:$A$500,$C26,'DADOS BRUTOS'!FC$3:FC$500)))</f>
        <v/>
      </c>
      <c r="ID26" s="132">
        <f>IF(OR(ID$4="",$B26=""),0,SUMIF('DADOS BRUTOS'!$A$3:$A$500,$B26,'DADOS BRUTOS'!FD$3:FD$500)+IF($C26="",0,SUMIF('DADOS BRUTOS'!$A$3:$A$500,$C26,'DADOS BRUTOS'!FD$3:FD$500)))</f>
        <v/>
      </c>
      <c r="IE26" s="132">
        <f>IF(OR(IE$4="",$B26=""),0,SUMIF('DADOS BRUTOS'!$A$3:$A$500,$B26,'DADOS BRUTOS'!FE$3:FE$500)+IF($C26="",0,SUMIF('DADOS BRUTOS'!$A$3:$A$500,$C26,'DADOS BRUTOS'!FE$3:FE$500)))</f>
        <v/>
      </c>
      <c r="IF26" s="132">
        <f>IF(OR(IF$4="",$B26=""),0,SUMIF('DADOS BRUTOS'!$A$3:$A$500,$B26,'DADOS BRUTOS'!FF$3:FF$500)+IF($C26="",0,SUMIF('DADOS BRUTOS'!$A$3:$A$500,$C26,'DADOS BRUTOS'!FF$3:FF$500)))</f>
        <v/>
      </c>
      <c r="IG26" s="132">
        <f>IF(OR(IG$4="",$B26=""),0,SUMIF('DADOS BRUTOS'!$A$3:$A$500,$B26,'DADOS BRUTOS'!FG$3:FG$500)+IF($C26="",0,SUMIF('DADOS BRUTOS'!$A$3:$A$500,$C26,'DADOS BRUTOS'!FG$3:FG$500)))</f>
        <v/>
      </c>
      <c r="IH26" s="132">
        <f>IF(OR(IH$4="",$B26=""),0,SUMIF('DADOS BRUTOS'!$A$3:$A$500,$B26,'DADOS BRUTOS'!FH$3:FH$500)+IF($C26="",0,SUMIF('DADOS BRUTOS'!$A$3:$A$500,$C26,'DADOS BRUTOS'!FH$3:FH$500)))</f>
        <v/>
      </c>
      <c r="II26" s="132">
        <f>IF(OR(II$4="",$B26=""),0,SUMIF('DADOS BRUTOS'!$A$3:$A$500,$B26,'DADOS BRUTOS'!FI$3:FI$500)+IF($C26="",0,SUMIF('DADOS BRUTOS'!$A$3:$A$500,$C26,'DADOS BRUTOS'!FI$3:FI$500)))</f>
        <v/>
      </c>
      <c r="IJ26" s="132">
        <f>IF(OR(IJ$4="",$B26=""),0,SUMIF('DADOS BRUTOS'!$A$3:$A$500,$B26,'DADOS BRUTOS'!FJ$3:FJ$500)+IF($C26="",0,SUMIF('DADOS BRUTOS'!$A$3:$A$500,$C26,'DADOS BRUTOS'!FJ$3:FJ$500)))</f>
        <v/>
      </c>
      <c r="IK26" s="132">
        <f>IF(OR(IK$4="",$B26=""),0,SUMIF('DADOS BRUTOS'!$A$3:$A$500,$B26,'DADOS BRUTOS'!FK$3:FK$500)+IF($C26="",0,SUMIF('DADOS BRUTOS'!$A$3:$A$500,$C26,'DADOS BRUTOS'!FK$3:FK$500)))</f>
        <v/>
      </c>
      <c r="IL26" s="132">
        <f>IF(OR(IL$4="",$B26=""),0,SUMIF('DADOS BRUTOS'!$A$3:$A$500,$B26,'DADOS BRUTOS'!FL$3:FL$500)+IF($C26="",0,SUMIF('DADOS BRUTOS'!$A$3:$A$500,$C26,'DADOS BRUTOS'!FL$3:FL$500)))</f>
        <v/>
      </c>
      <c r="IM26" s="132">
        <f>IF(OR(IM$4="",$B26=""),0,SUMIF('DADOS BRUTOS'!$A$3:$A$500,$B26,'DADOS BRUTOS'!FM$3:FM$500)+IF($C26="",0,SUMIF('DADOS BRUTOS'!$A$3:$A$500,$C26,'DADOS BRUTOS'!FM$3:FM$500)))</f>
        <v/>
      </c>
      <c r="IN26" s="132">
        <f>IF(OR(IN$4="",$B26=""),0,SUMIF('DADOS BRUTOS'!$A$3:$A$500,$B26,'DADOS BRUTOS'!FN$3:FN$500)+IF($C26="",0,SUMIF('DADOS BRUTOS'!$A$3:$A$500,$C26,'DADOS BRUTOS'!FN$3:FN$500)))</f>
        <v/>
      </c>
      <c r="IO26" s="132">
        <f>IF(OR(IO$4="",$B26=""),0,SUMIF('DADOS BRUTOS'!$A$3:$A$500,$B26,'DADOS BRUTOS'!FO$3:FO$500)+IF($C26="",0,SUMIF('DADOS BRUTOS'!$A$3:$A$500,$C26,'DADOS BRUTOS'!FO$3:FO$500)))</f>
        <v/>
      </c>
      <c r="IP26" s="132">
        <f>IF(OR(IP$4="",$B26=""),0,SUMIF('DADOS BRUTOS'!$A$3:$A$500,$B26,'DADOS BRUTOS'!FP$3:FP$500)+IF($C26="",0,SUMIF('DADOS BRUTOS'!$A$3:$A$500,$C26,'DADOS BRUTOS'!FP$3:FP$500)))</f>
        <v/>
      </c>
      <c r="IQ26" s="132">
        <f>IF(OR(IQ$4="",$B26=""),0,SUMIF('DADOS BRUTOS'!$A$3:$A$500,$B26,'DADOS BRUTOS'!FQ$3:FQ$500)+IF($C26="",0,SUMIF('DADOS BRUTOS'!$A$3:$A$500,$C26,'DADOS BRUTOS'!FQ$3:FQ$500)))</f>
        <v/>
      </c>
      <c r="IR26" s="132">
        <f>IF(OR(IR$4="",$B26=""),0,SUMIF('DADOS BRUTOS'!$A$3:$A$500,$B26,'DADOS BRUTOS'!FR$3:FR$500)+IF($C26="",0,SUMIF('DADOS BRUTOS'!$A$3:$A$500,$C26,'DADOS BRUTOS'!FR$3:FR$500)))</f>
        <v/>
      </c>
      <c r="IS26" s="132">
        <f>IF(OR(IS$4="",$B26=""),0,SUMIF('DADOS BRUTOS'!$A$3:$A$500,$B26,'DADOS BRUTOS'!FS$3:FS$500)+IF($C26="",0,SUMIF('DADOS BRUTOS'!$A$3:$A$500,$C26,'DADOS BRUTOS'!FS$3:FS$500)))</f>
        <v/>
      </c>
      <c r="IT26" s="132">
        <f>IF(OR(IT$4="",$B26=""),0,SUMIF('DADOS BRUTOS'!$A$3:$A$500,$B26,'DADOS BRUTOS'!FT$3:FT$500)+IF($C26="",0,SUMIF('DADOS BRUTOS'!$A$3:$A$500,$C26,'DADOS BRUTOS'!FT$3:FT$500)))</f>
        <v/>
      </c>
      <c r="IU26" s="132">
        <f>IF(OR(IU$4="",$B26=""),0,SUMIF('DADOS BRUTOS'!$A$3:$A$500,$B26,'DADOS BRUTOS'!FU$3:FU$500)+IF($C26="",0,SUMIF('DADOS BRUTOS'!$A$3:$A$500,$C26,'DADOS BRUTOS'!FU$3:FU$500)))</f>
        <v/>
      </c>
      <c r="IV26" s="132">
        <f>IF(OR(IV$4="",$B26=""),0,SUMIF('DADOS BRUTOS'!$A$3:$A$500,$B26,'DADOS BRUTOS'!FV$3:FV$500)+IF($C26="",0,SUMIF('DADOS BRUTOS'!$A$3:$A$500,$C26,'DADOS BRUTOS'!FV$3:FV$500)))</f>
        <v/>
      </c>
      <c r="IW26" s="132">
        <f>IF(OR(IW$4="",$B26=""),0,SUMIF('DADOS BRUTOS'!$A$3:$A$500,$B26,'DADOS BRUTOS'!FW$3:FW$500)+IF($C26="",0,SUMIF('DADOS BRUTOS'!$A$3:$A$500,$C26,'DADOS BRUTOS'!FW$3:FW$500)))</f>
        <v/>
      </c>
      <c r="IX26" s="132">
        <f>IF(OR(IX$4="",$B26=""),0,SUMIF('DADOS BRUTOS'!$A$3:$A$500,$B26,'DADOS BRUTOS'!FX$3:FX$500)+IF($C26="",0,SUMIF('DADOS BRUTOS'!$A$3:$A$500,$C26,'DADOS BRUTOS'!FX$3:FX$500)))</f>
        <v/>
      </c>
      <c r="IY26" s="132">
        <f>IF(OR(IY$4="",$B26=""),0,SUMIF('DADOS BRUTOS'!$A$3:$A$500,$B26,'DADOS BRUTOS'!FY$3:FY$500)+IF($C26="",0,SUMIF('DADOS BRUTOS'!$A$3:$A$500,$C26,'DADOS BRUTOS'!FY$3:FY$500)))</f>
        <v/>
      </c>
      <c r="IZ26" s="132">
        <f>IF(OR(IZ$4="",$B26=""),0,SUMIF('DADOS BRUTOS'!$A$3:$A$500,$B26,'DADOS BRUTOS'!FZ$3:FZ$500)+IF($C26="",0,SUMIF('DADOS BRUTOS'!$A$3:$A$500,$C26,'DADOS BRUTOS'!FZ$3:FZ$500)))</f>
        <v/>
      </c>
      <c r="JA26" s="132">
        <f>IF(OR(JA$4="",$B26=""),0,SUMIF('DADOS BRUTOS'!$A$3:$A$500,$B26,'DADOS BRUTOS'!GA$3:GA$500)+IF($C26="",0,SUMIF('DADOS BRUTOS'!$A$3:$A$500,$C26,'DADOS BRUTOS'!GA$3:GA$500)))</f>
        <v/>
      </c>
      <c r="JB26" s="132">
        <f>IF(OR(JB$4="",$B26=""),0,SUMIF('DADOS BRUTOS'!$A$3:$A$500,$B26,'DADOS BRUTOS'!GB$3:GB$500)+IF($C26="",0,SUMIF('DADOS BRUTOS'!$A$3:$A$500,$C26,'DADOS BRUTOS'!GB$3:GB$500)))</f>
        <v/>
      </c>
      <c r="JC26" s="132">
        <f>IF(OR(JC$4="",$B26=""),0,SUMIF('DADOS BRUTOS'!$A$3:$A$500,$B26,'DADOS BRUTOS'!GC$3:GC$500)+IF($C26="",0,SUMIF('DADOS BRUTOS'!$A$3:$A$500,$C26,'DADOS BRUTOS'!GC$3:GC$500)))</f>
        <v/>
      </c>
      <c r="JD26" s="132">
        <f>IF(OR(JD$4="",$B26=""),0,SUMIF('DADOS BRUTOS'!$A$3:$A$500,$B26,'DADOS BRUTOS'!GD$3:GD$500)+IF($C26="",0,SUMIF('DADOS BRUTOS'!$A$3:$A$500,$C26,'DADOS BRUTOS'!GD$3:GD$500)))</f>
        <v/>
      </c>
      <c r="JE26" s="132">
        <f>IF(OR(JE$4="",$B26=""),0,SUMIF('DADOS BRUTOS'!$A$3:$A$500,$B26,'DADOS BRUTOS'!GE$3:GE$500)+IF($C26="",0,SUMIF('DADOS BRUTOS'!$A$3:$A$500,$C26,'DADOS BRUTOS'!GE$3:GE$500)))</f>
        <v/>
      </c>
      <c r="JF26" s="132">
        <f>IF(OR(JF$4="",$B26=""),0,SUMIF('DADOS BRUTOS'!$A$3:$A$500,$B26,'DADOS BRUTOS'!GF$3:GF$500)+IF($C26="",0,SUMIF('DADOS BRUTOS'!$A$3:$A$500,$C26,'DADOS BRUTOS'!GF$3:GF$500)))</f>
        <v/>
      </c>
      <c r="JG26" s="132">
        <f>IF(OR(JG$4="",$B26=""),0,SUMIF('DADOS BRUTOS'!$A$3:$A$500,$B26,'DADOS BRUTOS'!GG$3:GG$500)+IF($C26="",0,SUMIF('DADOS BRUTOS'!$A$3:$A$500,$C26,'DADOS BRUTOS'!GG$3:GG$500)))</f>
        <v/>
      </c>
      <c r="JH26" s="132">
        <f>IF(OR(JH$4="",$B26=""),0,SUMIF('DADOS BRUTOS'!$A$3:$A$500,$B26,'DADOS BRUTOS'!GH$3:GH$500)+IF($C26="",0,SUMIF('DADOS BRUTOS'!$A$3:$A$500,$C26,'DADOS BRUTOS'!GH$3:GH$500)))</f>
        <v/>
      </c>
      <c r="JI26" s="132">
        <f>IF(OR(JI$4="",$B26=""),0,SUMIF('DADOS BRUTOS'!$A$3:$A$500,$B26,'DADOS BRUTOS'!GI$3:GI$500)+IF($C26="",0,SUMIF('DADOS BRUTOS'!$A$3:$A$500,$C26,'DADOS BRUTOS'!GI$3:GI$500)))</f>
        <v/>
      </c>
      <c r="JJ26" s="132">
        <f>IF(OR(JJ$4="",$B26=""),0,SUMIF('DADOS BRUTOS'!$A$3:$A$500,$B26,'DADOS BRUTOS'!GJ$3:GJ$500)+IF($C26="",0,SUMIF('DADOS BRUTOS'!$A$3:$A$500,$C26,'DADOS BRUTOS'!GJ$3:GJ$500)))</f>
        <v/>
      </c>
      <c r="JK26" s="132">
        <f>IF(OR(JK$4="",$B26=""),0,SUMIF('DADOS BRUTOS'!$A$3:$A$500,$B26,'DADOS BRUTOS'!GK$3:GK$500)+IF($C26="",0,SUMIF('DADOS BRUTOS'!$A$3:$A$500,$C26,'DADOS BRUTOS'!GK$3:GK$500)))</f>
        <v/>
      </c>
      <c r="JL26" s="132">
        <f>IF(OR(JL$4="",$B26=""),0,SUMIF('DADOS BRUTOS'!$A$3:$A$500,$B26,'DADOS BRUTOS'!GL$3:GL$500)+IF($C26="",0,SUMIF('DADOS BRUTOS'!$A$3:$A$500,$C26,'DADOS BRUTOS'!GL$3:GL$500)))</f>
        <v/>
      </c>
      <c r="JM26" s="132">
        <f>IF(OR(JM$4="",$B26=""),0,SUMIF('DADOS BRUTOS'!$A$3:$A$500,$B26,'DADOS BRUTOS'!GM$3:GM$500)+IF($C26="",0,SUMIF('DADOS BRUTOS'!$A$3:$A$500,$C26,'DADOS BRUTOS'!GM$3:GM$500)))</f>
        <v/>
      </c>
      <c r="JN26" s="132">
        <f>IF(OR(JN$4="",$B26=""),0,SUMIF('DADOS BRUTOS'!$A$3:$A$500,$B26,'DADOS BRUTOS'!GN$3:GN$500)+IF($C26="",0,SUMIF('DADOS BRUTOS'!$A$3:$A$500,$C26,'DADOS BRUTOS'!GN$3:GN$500)))</f>
        <v/>
      </c>
      <c r="JO26" s="132">
        <f>IF(OR(JO$4="",$B26=""),0,SUMIF('DADOS BRUTOS'!$A$3:$A$500,$B26,'DADOS BRUTOS'!GO$3:GO$500)+IF($C26="",0,SUMIF('DADOS BRUTOS'!$A$3:$A$500,$C26,'DADOS BRUTOS'!GO$3:GO$500)))</f>
        <v/>
      </c>
      <c r="JP26" s="132">
        <f>IF(OR(JP$4="",$B26=""),0,SUMIF('DADOS BRUTOS'!$A$3:$A$500,$B26,'DADOS BRUTOS'!GP$3:GP$500)+IF($C26="",0,SUMIF('DADOS BRUTOS'!$A$3:$A$500,$C26,'DADOS BRUTOS'!GP$3:GP$500)))</f>
        <v/>
      </c>
      <c r="JQ26" s="132">
        <f>IF(OR(JQ$4="",$B26=""),0,SUMIF('DADOS BRUTOS'!$A$3:$A$500,$B26,'DADOS BRUTOS'!GQ$3:GQ$500)+IF($C26="",0,SUMIF('DADOS BRUTOS'!$A$3:$A$500,$C26,'DADOS BRUTOS'!GQ$3:GQ$500)))</f>
        <v/>
      </c>
      <c r="JR26" s="132">
        <f>IF(OR(JR$4="",$B26=""),0,SUMIF('DADOS BRUTOS'!$A$3:$A$500,$B26,'DADOS BRUTOS'!GR$3:GR$500)+IF($C26="",0,SUMIF('DADOS BRUTOS'!$A$3:$A$500,$C26,'DADOS BRUTOS'!GR$3:GR$500)))</f>
        <v/>
      </c>
      <c r="JS26" s="132">
        <f>IF(OR(JS$4="",$B26=""),0,SUMIF('DADOS BRUTOS'!$A$3:$A$500,$B26,'DADOS BRUTOS'!GS$3:GS$500)+IF($C26="",0,SUMIF('DADOS BRUTOS'!$A$3:$A$500,$C26,'DADOS BRUTOS'!GS$3:GS$500)))</f>
        <v/>
      </c>
    </row>
    <row r="27">
      <c r="A27" s="61">
        <f>'VALOR POR PL'!D33</f>
        <v/>
      </c>
      <c r="B27" s="59" t="inlineStr">
        <is>
          <t>INSTALAÇÕES ESPECIAIS</t>
        </is>
      </c>
      <c r="C27" s="59" t="n"/>
      <c r="D27" s="54">
        <f>SUMIF($CB$4:$JS$4,"&lt;="&amp;D$4,$CB27:$JS27)</f>
        <v/>
      </c>
      <c r="E27" s="54">
        <f>SUMIF($CB$4:$JS$4,E$4,$CB27:$JS27)</f>
        <v/>
      </c>
      <c r="F27" s="54">
        <f>SUMIF($CB$4:$JS$4,F$4,$CB27:$JS27)</f>
        <v/>
      </c>
      <c r="G27" s="54">
        <f>SUMIF($CB$4:$JS$4,G$4,$CB27:$JS27)</f>
        <v/>
      </c>
      <c r="H27" s="54">
        <f>SUMIF($CB$4:$JS$4,H$4,$CB27:$JS27)</f>
        <v/>
      </c>
      <c r="I27" s="54">
        <f>SUMIF($CB$4:$JS$4,I$4,$CB27:$JS27)</f>
        <v/>
      </c>
      <c r="J27" s="54">
        <f>SUMIF($CB$4:$JS$4,J$4,$CB27:$JS27)</f>
        <v/>
      </c>
      <c r="K27" s="54">
        <f>SUMIF($CB$4:$JS$4,K$4,$CB27:$JS27)</f>
        <v/>
      </c>
      <c r="L27" s="54">
        <f>SUMIF($CB$4:$JS$4,L$4,$CB27:$JS27)</f>
        <v/>
      </c>
      <c r="M27" s="54">
        <f>SUMIF($CB$4:$JS$4,M$4,$CB27:$JS27)</f>
        <v/>
      </c>
      <c r="N27" s="54">
        <f>SUMIF($CB$4:$JS$4,N$4,$CB27:$JS27)</f>
        <v/>
      </c>
      <c r="O27" s="54">
        <f>SUMIF($CB$4:$JS$4,O$4,$CB27:$JS27)</f>
        <v/>
      </c>
      <c r="P27" s="54">
        <f>SUMIF($CB$4:$JS$4,P$4,$CB27:$JS27)</f>
        <v/>
      </c>
      <c r="Q27" s="54">
        <f>SUMIF($CB$4:$JS$4,Q$4,$CB27:$JS27)</f>
        <v/>
      </c>
      <c r="R27" s="54">
        <f>SUMIF($CB$4:$JS$4,R$4,$CB27:$JS27)</f>
        <v/>
      </c>
      <c r="S27" s="54">
        <f>SUMIF($CB$4:$JS$4,S$4,$CB27:$JS27)</f>
        <v/>
      </c>
      <c r="T27" s="54">
        <f>SUMIF($CB$4:$JS$4,T$4,$CB27:$JS27)</f>
        <v/>
      </c>
      <c r="U27" s="54">
        <f>SUMIF($CB$4:$JS$4,U$4,$CB27:$JS27)</f>
        <v/>
      </c>
      <c r="V27" s="54">
        <f>SUMIF($CB$4:$JS$4,V$4,$CB27:$JS27)</f>
        <v/>
      </c>
      <c r="W27" s="54">
        <f>SUMIF($CB$4:$JS$4,W$4,$CB27:$JS27)</f>
        <v/>
      </c>
      <c r="X27" s="54">
        <f>SUMIF($CB$4:$JS$4,X$4,$CB27:$JS27)</f>
        <v/>
      </c>
      <c r="Y27" s="54">
        <f>SUMIF($CB$4:$JS$4,Y$4,$CB27:$JS27)</f>
        <v/>
      </c>
      <c r="Z27" s="54">
        <f>SUMIF($CB$4:$JS$4,Z$4,$CB27:$JS27)</f>
        <v/>
      </c>
      <c r="AA27" s="54">
        <f>SUMIF($CB$4:$JS$4,AA$4,$CB27:$JS27)</f>
        <v/>
      </c>
      <c r="AB27" s="54">
        <f>SUMIF($CB$4:$JS$4,AB$4,$CB27:$JS27)</f>
        <v/>
      </c>
      <c r="AC27" s="54">
        <f>SUMIF($CB$4:$JS$4,AC$4,$CB27:$JS27)</f>
        <v/>
      </c>
      <c r="AD27" s="54">
        <f>SUMIF($CB$4:$JS$4,AD$4,$CB27:$JS27)</f>
        <v/>
      </c>
      <c r="AE27" s="54">
        <f>SUMIF($CB$4:$JS$4,AE$4,$CB27:$JS27)</f>
        <v/>
      </c>
      <c r="AF27" s="54">
        <f>SUMIF($CB$4:$JS$4,AF$4,$CB27:$JS27)</f>
        <v/>
      </c>
      <c r="AG27" s="54">
        <f>SUMIF($CB$4:$JS$4,AG$4,$CB27:$JS27)</f>
        <v/>
      </c>
      <c r="AH27" s="54">
        <f>SUMIF($CB$4:$JS$4,AH$4,$CB27:$JS27)</f>
        <v/>
      </c>
      <c r="AI27" s="54">
        <f>SUMIF($CB$4:$JS$4,AI$4,$CB27:$JS27)</f>
        <v/>
      </c>
      <c r="AJ27" s="54">
        <f>SUMIF($CB$4:$JS$4,AJ$4,$CB27:$JS27)</f>
        <v/>
      </c>
      <c r="AK27" s="54">
        <f>SUMIF($CB$4:$JS$4,AK$4,$CB27:$JS27)</f>
        <v/>
      </c>
      <c r="AL27" s="54">
        <f>SUMIF($CB$4:$JS$4,AL$4,$CB27:$JS27)</f>
        <v/>
      </c>
      <c r="AM27" s="54">
        <f>SUMIF($CB$4:$JS$4,AM$4,$CB27:$JS27)</f>
        <v/>
      </c>
      <c r="AN27" s="54">
        <f>SUMIF($CB$4:$JS$4,AN$4,$CB27:$JS27)</f>
        <v/>
      </c>
      <c r="AO27" s="54">
        <f>SUMIF($CB$4:$JS$4,AO$4,$CB27:$JS27)</f>
        <v/>
      </c>
      <c r="AP27" s="54">
        <f>SUMIF($CB$4:$JS$4,AP$4,$CB27:$JS27)</f>
        <v/>
      </c>
      <c r="AQ27" s="54">
        <f>SUMIF($CB$4:$JS$4,AQ$4,$CB27:$JS27)</f>
        <v/>
      </c>
      <c r="AR27" s="54">
        <f>SUMIF($CB$4:$JS$4,AR$4,$CB27:$JS27)</f>
        <v/>
      </c>
      <c r="AS27" s="54">
        <f>SUMIF($CB$4:$JS$4,AS$4,$CB27:$JS27)</f>
        <v/>
      </c>
      <c r="AT27" s="54">
        <f>SUMIF($CB$4:$JS$4,AT$4,$CB27:$JS27)</f>
        <v/>
      </c>
      <c r="AU27" s="54">
        <f>SUMIF($CB$4:$JS$4,AU$4,$CB27:$JS27)</f>
        <v/>
      </c>
      <c r="AV27" s="54">
        <f>SUMIF($CB$4:$JS$4,AV$4,$CB27:$JS27)</f>
        <v/>
      </c>
      <c r="AW27" s="54">
        <f>SUMIF($CB$4:$JS$4,AW$4,$CB27:$JS27)</f>
        <v/>
      </c>
      <c r="AX27" s="54">
        <f>SUMIF($CB$4:$JS$4,AX$4,$CB27:$JS27)</f>
        <v/>
      </c>
      <c r="AY27" s="54">
        <f>SUMIF($CB$4:$JS$4,AY$4,$CB27:$JS27)</f>
        <v/>
      </c>
      <c r="AZ27" s="54">
        <f>SUMIF($CB$4:$JS$4,AZ$4,$CB27:$JS27)</f>
        <v/>
      </c>
      <c r="BA27" s="54">
        <f>SUMIF($CB$4:$JS$4,BA$4,$CB27:$JS27)</f>
        <v/>
      </c>
      <c r="BB27" s="54">
        <f>SUMIF($CB$4:$JS$4,BB$4,$CB27:$JS27)</f>
        <v/>
      </c>
      <c r="BC27" s="54">
        <f>SUMIF($CB$4:$JS$4,BC$4,$CB27:$JS27)</f>
        <v/>
      </c>
      <c r="BD27" s="54">
        <f>SUMIF($CB$4:$JS$4,BD$4,$CB27:$JS27)</f>
        <v/>
      </c>
      <c r="BE27" s="54">
        <f>SUMIF($CB$4:$JS$4,BE$4,$CB27:$JS27)</f>
        <v/>
      </c>
      <c r="BF27" s="54">
        <f>SUMIF($CB$4:$JS$4,BF$4,$CB27:$JS27)</f>
        <v/>
      </c>
      <c r="BG27" s="54">
        <f>SUMIF($CB$4:$JS$4,BG$4,$CB27:$JS27)</f>
        <v/>
      </c>
      <c r="BH27" s="54">
        <f>SUMIF($CB$4:$JS$4,BH$4,$CB27:$JS27)</f>
        <v/>
      </c>
      <c r="BI27" s="54">
        <f>SUMIF($CB$4:$JS$4,BI$4,$CB27:$JS27)</f>
        <v/>
      </c>
      <c r="BJ27" s="54">
        <f>SUMIF($CB$4:$JS$4,BJ$4,$CB27:$JS27)</f>
        <v/>
      </c>
      <c r="BK27" s="54">
        <f>SUMIF($CB$4:$JS$4,BK$4,$CB27:$JS27)</f>
        <v/>
      </c>
      <c r="BL27" s="54">
        <f>SUMIF($CB$4:$JS$4,BL$4,$CB27:$JS27)</f>
        <v/>
      </c>
      <c r="BM27" s="54">
        <f>SUMIF($CB$4:$JS$4,BM$4,$CB27:$JS27)</f>
        <v/>
      </c>
      <c r="BN27" s="54">
        <f>SUMIF($CB$4:$JS$4,BN$4,$CB27:$JS27)</f>
        <v/>
      </c>
      <c r="BO27" s="54">
        <f>SUMIF($CB$4:$JS$4,BO$4,$CB27:$JS27)</f>
        <v/>
      </c>
      <c r="BP27" s="54">
        <f>SUMIF($CB$4:$JS$4,BP$4,$CB27:$JS27)</f>
        <v/>
      </c>
      <c r="BQ27" s="54">
        <f>SUMIF($CB$4:$JS$4,BQ$4,$CB27:$JS27)</f>
        <v/>
      </c>
      <c r="BR27" s="54">
        <f>SUMIF($CB$4:$JS$4,BR$4,$CB27:$JS27)</f>
        <v/>
      </c>
      <c r="BS27" s="54">
        <f>SUMIF($CB$4:$JS$4,BS$4,$CB27:$JS27)</f>
        <v/>
      </c>
      <c r="BT27" s="54">
        <f>SUMIF($CB$4:$JS$4,BT$4,$CB27:$JS27)</f>
        <v/>
      </c>
      <c r="BU27" s="54">
        <f>SUMIF($CB$4:$JS$4,BU$4,$CB27:$JS27)</f>
        <v/>
      </c>
      <c r="BV27" s="54">
        <f>SUMIF($CB$4:$JS$4,BV$4,$CB27:$JS27)</f>
        <v/>
      </c>
      <c r="BW27" s="54">
        <f>SUMIF($CB$4:$JS$4,BW$4,$CB27:$JS27)</f>
        <v/>
      </c>
      <c r="BX27" s="54">
        <f>SUMIF($CB$4:$JS$4,"&gt;"&amp;'VALOR POR PL'!$P$8,$CB27:$JS27)</f>
        <v/>
      </c>
      <c r="BY27" s="54">
        <f>SUM($CB27:$JS27)</f>
        <v/>
      </c>
      <c r="BZ27" s="49">
        <f>SUMPRODUCT(($CB$4:$JS$4&lt;&gt;"")*($CB$4:$JS$4&lt;=$D$4),$CB27:$JS27,$CB$1:$JS$1)</f>
        <v/>
      </c>
      <c r="CB27" s="132">
        <f>IF(OR(CB$4="",$B27=""),0,SUMIF('DADOS BRUTOS'!$A$3:$A$500,$B27,'DADOS BRUTOS'!B$3:B$500)+IF($C27="",0,SUMIF('DADOS BRUTOS'!$A$3:$A$500,$C27,'DADOS BRUTOS'!B$3:B$500)))</f>
        <v/>
      </c>
      <c r="CC27" s="132">
        <f>IF(OR(CC$4="",$B27=""),0,SUMIF('DADOS BRUTOS'!$A$3:$A$500,$B27,'DADOS BRUTOS'!C$3:C$500)+IF($C27="",0,SUMIF('DADOS BRUTOS'!$A$3:$A$500,$C27,'DADOS BRUTOS'!C$3:C$500)))</f>
        <v/>
      </c>
      <c r="CD27" s="132">
        <f>IF(OR(CD$4="",$B27=""),0,SUMIF('DADOS BRUTOS'!$A$3:$A$500,$B27,'DADOS BRUTOS'!D$3:D$500)+IF($C27="",0,SUMIF('DADOS BRUTOS'!$A$3:$A$500,$C27,'DADOS BRUTOS'!D$3:D$500)))</f>
        <v/>
      </c>
      <c r="CE27" s="132">
        <f>IF(OR(CE$4="",$B27=""),0,SUMIF('DADOS BRUTOS'!$A$3:$A$500,$B27,'DADOS BRUTOS'!E$3:E$500)+IF($C27="",0,SUMIF('DADOS BRUTOS'!$A$3:$A$500,$C27,'DADOS BRUTOS'!E$3:E$500)))</f>
        <v/>
      </c>
      <c r="CF27" s="132">
        <f>IF(OR(CF$4="",$B27=""),0,SUMIF('DADOS BRUTOS'!$A$3:$A$500,$B27,'DADOS BRUTOS'!F$3:F$500)+IF($C27="",0,SUMIF('DADOS BRUTOS'!$A$3:$A$500,$C27,'DADOS BRUTOS'!F$3:F$500)))</f>
        <v/>
      </c>
      <c r="CG27" s="132">
        <f>IF(OR(CG$4="",$B27=""),0,SUMIF('DADOS BRUTOS'!$A$3:$A$500,$B27,'DADOS BRUTOS'!G$3:G$500)+IF($C27="",0,SUMIF('DADOS BRUTOS'!$A$3:$A$500,$C27,'DADOS BRUTOS'!G$3:G$500)))</f>
        <v/>
      </c>
      <c r="CH27" s="132">
        <f>IF(OR(CH$4="",$B27=""),0,SUMIF('DADOS BRUTOS'!$A$3:$A$500,$B27,'DADOS BRUTOS'!H$3:H$500)+IF($C27="",0,SUMIF('DADOS BRUTOS'!$A$3:$A$500,$C27,'DADOS BRUTOS'!H$3:H$500)))</f>
        <v/>
      </c>
      <c r="CI27" s="132">
        <f>IF(OR(CI$4="",$B27=""),0,SUMIF('DADOS BRUTOS'!$A$3:$A$500,$B27,'DADOS BRUTOS'!I$3:I$500)+IF($C27="",0,SUMIF('DADOS BRUTOS'!$A$3:$A$500,$C27,'DADOS BRUTOS'!I$3:I$500)))</f>
        <v/>
      </c>
      <c r="CJ27" s="132">
        <f>IF(OR(CJ$4="",$B27=""),0,SUMIF('DADOS BRUTOS'!$A$3:$A$500,$B27,'DADOS BRUTOS'!J$3:J$500)+IF($C27="",0,SUMIF('DADOS BRUTOS'!$A$3:$A$500,$C27,'DADOS BRUTOS'!J$3:J$500)))</f>
        <v/>
      </c>
      <c r="CK27" s="132">
        <f>IF(OR(CK$4="",$B27=""),0,SUMIF('DADOS BRUTOS'!$A$3:$A$500,$B27,'DADOS BRUTOS'!K$3:K$500)+IF($C27="",0,SUMIF('DADOS BRUTOS'!$A$3:$A$500,$C27,'DADOS BRUTOS'!K$3:K$500)))</f>
        <v/>
      </c>
      <c r="CL27" s="132">
        <f>IF(OR(CL$4="",$B27=""),0,SUMIF('DADOS BRUTOS'!$A$3:$A$500,$B27,'DADOS BRUTOS'!L$3:L$500)+IF($C27="",0,SUMIF('DADOS BRUTOS'!$A$3:$A$500,$C27,'DADOS BRUTOS'!L$3:L$500)))</f>
        <v/>
      </c>
      <c r="CM27" s="132">
        <f>IF(OR(CM$4="",$B27=""),0,SUMIF('DADOS BRUTOS'!$A$3:$A$500,$B27,'DADOS BRUTOS'!M$3:M$500)+IF($C27="",0,SUMIF('DADOS BRUTOS'!$A$3:$A$500,$C27,'DADOS BRUTOS'!M$3:M$500)))</f>
        <v/>
      </c>
      <c r="CN27" s="132">
        <f>IF(OR(CN$4="",$B27=""),0,SUMIF('DADOS BRUTOS'!$A$3:$A$500,$B27,'DADOS BRUTOS'!N$3:N$500)+IF($C27="",0,SUMIF('DADOS BRUTOS'!$A$3:$A$500,$C27,'DADOS BRUTOS'!N$3:N$500)))</f>
        <v/>
      </c>
      <c r="CO27" s="132">
        <f>IF(OR(CO$4="",$B27=""),0,SUMIF('DADOS BRUTOS'!$A$3:$A$500,$B27,'DADOS BRUTOS'!O$3:O$500)+IF($C27="",0,SUMIF('DADOS BRUTOS'!$A$3:$A$500,$C27,'DADOS BRUTOS'!O$3:O$500)))</f>
        <v/>
      </c>
      <c r="CP27" s="132">
        <f>IF(OR(CP$4="",$B27=""),0,SUMIF('DADOS BRUTOS'!$A$3:$A$500,$B27,'DADOS BRUTOS'!P$3:P$500)+IF($C27="",0,SUMIF('DADOS BRUTOS'!$A$3:$A$500,$C27,'DADOS BRUTOS'!P$3:P$500)))</f>
        <v/>
      </c>
      <c r="CQ27" s="132">
        <f>IF(OR(CQ$4="",$B27=""),0,SUMIF('DADOS BRUTOS'!$A$3:$A$500,$B27,'DADOS BRUTOS'!Q$3:Q$500)+IF($C27="",0,SUMIF('DADOS BRUTOS'!$A$3:$A$500,$C27,'DADOS BRUTOS'!Q$3:Q$500)))</f>
        <v/>
      </c>
      <c r="CR27" s="132">
        <f>IF(OR(CR$4="",$B27=""),0,SUMIF('DADOS BRUTOS'!$A$3:$A$500,$B27,'DADOS BRUTOS'!R$3:R$500)+IF($C27="",0,SUMIF('DADOS BRUTOS'!$A$3:$A$500,$C27,'DADOS BRUTOS'!R$3:R$500)))</f>
        <v/>
      </c>
      <c r="CS27" s="132">
        <f>IF(OR(CS$4="",$B27=""),0,SUMIF('DADOS BRUTOS'!$A$3:$A$500,$B27,'DADOS BRUTOS'!S$3:S$500)+IF($C27="",0,SUMIF('DADOS BRUTOS'!$A$3:$A$500,$C27,'DADOS BRUTOS'!S$3:S$500)))</f>
        <v/>
      </c>
      <c r="CT27" s="132">
        <f>IF(OR(CT$4="",$B27=""),0,SUMIF('DADOS BRUTOS'!$A$3:$A$500,$B27,'DADOS BRUTOS'!T$3:T$500)+IF($C27="",0,SUMIF('DADOS BRUTOS'!$A$3:$A$500,$C27,'DADOS BRUTOS'!T$3:T$500)))</f>
        <v/>
      </c>
      <c r="CU27" s="132">
        <f>IF(OR(CU$4="",$B27=""),0,SUMIF('DADOS BRUTOS'!$A$3:$A$500,$B27,'DADOS BRUTOS'!U$3:U$500)+IF($C27="",0,SUMIF('DADOS BRUTOS'!$A$3:$A$500,$C27,'DADOS BRUTOS'!U$3:U$500)))</f>
        <v/>
      </c>
      <c r="CV27" s="132">
        <f>IF(OR(CV$4="",$B27=""),0,SUMIF('DADOS BRUTOS'!$A$3:$A$500,$B27,'DADOS BRUTOS'!V$3:V$500)+IF($C27="",0,SUMIF('DADOS BRUTOS'!$A$3:$A$500,$C27,'DADOS BRUTOS'!V$3:V$500)))</f>
        <v/>
      </c>
      <c r="CW27" s="132">
        <f>IF(OR(CW$4="",$B27=""),0,SUMIF('DADOS BRUTOS'!$A$3:$A$500,$B27,'DADOS BRUTOS'!W$3:W$500)+IF($C27="",0,SUMIF('DADOS BRUTOS'!$A$3:$A$500,$C27,'DADOS BRUTOS'!W$3:W$500)))</f>
        <v/>
      </c>
      <c r="CX27" s="132">
        <f>IF(OR(CX$4="",$B27=""),0,SUMIF('DADOS BRUTOS'!$A$3:$A$500,$B27,'DADOS BRUTOS'!X$3:X$500)+IF($C27="",0,SUMIF('DADOS BRUTOS'!$A$3:$A$500,$C27,'DADOS BRUTOS'!X$3:X$500)))</f>
        <v/>
      </c>
      <c r="CY27" s="132">
        <f>IF(OR(CY$4="",$B27=""),0,SUMIF('DADOS BRUTOS'!$A$3:$A$500,$B27,'DADOS BRUTOS'!Y$3:Y$500)+IF($C27="",0,SUMIF('DADOS BRUTOS'!$A$3:$A$500,$C27,'DADOS BRUTOS'!Y$3:Y$500)))</f>
        <v/>
      </c>
      <c r="CZ27" s="132">
        <f>IF(OR(CZ$4="",$B27=""),0,SUMIF('DADOS BRUTOS'!$A$3:$A$500,$B27,'DADOS BRUTOS'!Z$3:Z$500)+IF($C27="",0,SUMIF('DADOS BRUTOS'!$A$3:$A$500,$C27,'DADOS BRUTOS'!Z$3:Z$500)))</f>
        <v/>
      </c>
      <c r="DA27" s="132">
        <f>IF(OR(DA$4="",$B27=""),0,SUMIF('DADOS BRUTOS'!$A$3:$A$500,$B27,'DADOS BRUTOS'!AA$3:AA$500)+IF($C27="",0,SUMIF('DADOS BRUTOS'!$A$3:$A$500,$C27,'DADOS BRUTOS'!AA$3:AA$500)))</f>
        <v/>
      </c>
      <c r="DB27" s="132">
        <f>IF(OR(DB$4="",$B27=""),0,SUMIF('DADOS BRUTOS'!$A$3:$A$500,$B27,'DADOS BRUTOS'!AB$3:AB$500)+IF($C27="",0,SUMIF('DADOS BRUTOS'!$A$3:$A$500,$C27,'DADOS BRUTOS'!AB$3:AB$500)))</f>
        <v/>
      </c>
      <c r="DC27" s="132">
        <f>IF(OR(DC$4="",$B27=""),0,SUMIF('DADOS BRUTOS'!$A$3:$A$500,$B27,'DADOS BRUTOS'!AC$3:AC$500)+IF($C27="",0,SUMIF('DADOS BRUTOS'!$A$3:$A$500,$C27,'DADOS BRUTOS'!AC$3:AC$500)))</f>
        <v/>
      </c>
      <c r="DD27" s="132">
        <f>IF(OR(DD$4="",$B27=""),0,SUMIF('DADOS BRUTOS'!$A$3:$A$500,$B27,'DADOS BRUTOS'!AD$3:AD$500)+IF($C27="",0,SUMIF('DADOS BRUTOS'!$A$3:$A$500,$C27,'DADOS BRUTOS'!AD$3:AD$500)))</f>
        <v/>
      </c>
      <c r="DE27" s="132">
        <f>IF(OR(DE$4="",$B27=""),0,SUMIF('DADOS BRUTOS'!$A$3:$A$500,$B27,'DADOS BRUTOS'!AE$3:AE$500)+IF($C27="",0,SUMIF('DADOS BRUTOS'!$A$3:$A$500,$C27,'DADOS BRUTOS'!AE$3:AE$500)))</f>
        <v/>
      </c>
      <c r="DF27" s="132">
        <f>IF(OR(DF$4="",$B27=""),0,SUMIF('DADOS BRUTOS'!$A$3:$A$500,$B27,'DADOS BRUTOS'!AF$3:AF$500)+IF($C27="",0,SUMIF('DADOS BRUTOS'!$A$3:$A$500,$C27,'DADOS BRUTOS'!AF$3:AF$500)))</f>
        <v/>
      </c>
      <c r="DG27" s="132">
        <f>IF(OR(DG$4="",$B27=""),0,SUMIF('DADOS BRUTOS'!$A$3:$A$500,$B27,'DADOS BRUTOS'!AG$3:AG$500)+IF($C27="",0,SUMIF('DADOS BRUTOS'!$A$3:$A$500,$C27,'DADOS BRUTOS'!AG$3:AG$500)))</f>
        <v/>
      </c>
      <c r="DH27" s="132">
        <f>IF(OR(DH$4="",$B27=""),0,SUMIF('DADOS BRUTOS'!$A$3:$A$500,$B27,'DADOS BRUTOS'!AH$3:AH$500)+IF($C27="",0,SUMIF('DADOS BRUTOS'!$A$3:$A$500,$C27,'DADOS BRUTOS'!AH$3:AH$500)))</f>
        <v/>
      </c>
      <c r="DI27" s="132">
        <f>IF(OR(DI$4="",$B27=""),0,SUMIF('DADOS BRUTOS'!$A$3:$A$500,$B27,'DADOS BRUTOS'!AI$3:AI$500)+IF($C27="",0,SUMIF('DADOS BRUTOS'!$A$3:$A$500,$C27,'DADOS BRUTOS'!AI$3:AI$500)))</f>
        <v/>
      </c>
      <c r="DJ27" s="132">
        <f>IF(OR(DJ$4="",$B27=""),0,SUMIF('DADOS BRUTOS'!$A$3:$A$500,$B27,'DADOS BRUTOS'!AJ$3:AJ$500)+IF($C27="",0,SUMIF('DADOS BRUTOS'!$A$3:$A$500,$C27,'DADOS BRUTOS'!AJ$3:AJ$500)))</f>
        <v/>
      </c>
      <c r="DK27" s="132">
        <f>IF(OR(DK$4="",$B27=""),0,SUMIF('DADOS BRUTOS'!$A$3:$A$500,$B27,'DADOS BRUTOS'!AK$3:AK$500)+IF($C27="",0,SUMIF('DADOS BRUTOS'!$A$3:$A$500,$C27,'DADOS BRUTOS'!AK$3:AK$500)))</f>
        <v/>
      </c>
      <c r="DL27" s="132">
        <f>IF(OR(DL$4="",$B27=""),0,SUMIF('DADOS BRUTOS'!$A$3:$A$500,$B27,'DADOS BRUTOS'!AL$3:AL$500)+IF($C27="",0,SUMIF('DADOS BRUTOS'!$A$3:$A$500,$C27,'DADOS BRUTOS'!AL$3:AL$500)))</f>
        <v/>
      </c>
      <c r="DM27" s="132">
        <f>IF(OR(DM$4="",$B27=""),0,SUMIF('DADOS BRUTOS'!$A$3:$A$500,$B27,'DADOS BRUTOS'!AM$3:AM$500)+IF($C27="",0,SUMIF('DADOS BRUTOS'!$A$3:$A$500,$C27,'DADOS BRUTOS'!AM$3:AM$500)))</f>
        <v/>
      </c>
      <c r="DN27" s="132">
        <f>IF(OR(DN$4="",$B27=""),0,SUMIF('DADOS BRUTOS'!$A$3:$A$500,$B27,'DADOS BRUTOS'!AN$3:AN$500)+IF($C27="",0,SUMIF('DADOS BRUTOS'!$A$3:$A$500,$C27,'DADOS BRUTOS'!AN$3:AN$500)))</f>
        <v/>
      </c>
      <c r="DO27" s="132">
        <f>IF(OR(DO$4="",$B27=""),0,SUMIF('DADOS BRUTOS'!$A$3:$A$500,$B27,'DADOS BRUTOS'!AO$3:AO$500)+IF($C27="",0,SUMIF('DADOS BRUTOS'!$A$3:$A$500,$C27,'DADOS BRUTOS'!AO$3:AO$500)))</f>
        <v/>
      </c>
      <c r="DP27" s="132">
        <f>IF(OR(DP$4="",$B27=""),0,SUMIF('DADOS BRUTOS'!$A$3:$A$500,$B27,'DADOS BRUTOS'!AP$3:AP$500)+IF($C27="",0,SUMIF('DADOS BRUTOS'!$A$3:$A$500,$C27,'DADOS BRUTOS'!AP$3:AP$500)))</f>
        <v/>
      </c>
      <c r="DQ27" s="132">
        <f>IF(OR(DQ$4="",$B27=""),0,SUMIF('DADOS BRUTOS'!$A$3:$A$500,$B27,'DADOS BRUTOS'!AQ$3:AQ$500)+IF($C27="",0,SUMIF('DADOS BRUTOS'!$A$3:$A$500,$C27,'DADOS BRUTOS'!AQ$3:AQ$500)))</f>
        <v/>
      </c>
      <c r="DR27" s="132">
        <f>IF(OR(DR$4="",$B27=""),0,SUMIF('DADOS BRUTOS'!$A$3:$A$500,$B27,'DADOS BRUTOS'!AR$3:AR$500)+IF($C27="",0,SUMIF('DADOS BRUTOS'!$A$3:$A$500,$C27,'DADOS BRUTOS'!AR$3:AR$500)))</f>
        <v/>
      </c>
      <c r="DS27" s="132">
        <f>IF(OR(DS$4="",$B27=""),0,SUMIF('DADOS BRUTOS'!$A$3:$A$500,$B27,'DADOS BRUTOS'!AS$3:AS$500)+IF($C27="",0,SUMIF('DADOS BRUTOS'!$A$3:$A$500,$C27,'DADOS BRUTOS'!AS$3:AS$500)))</f>
        <v/>
      </c>
      <c r="DT27" s="132">
        <f>IF(OR(DT$4="",$B27=""),0,SUMIF('DADOS BRUTOS'!$A$3:$A$500,$B27,'DADOS BRUTOS'!AT$3:AT$500)+IF($C27="",0,SUMIF('DADOS BRUTOS'!$A$3:$A$500,$C27,'DADOS BRUTOS'!AT$3:AT$500)))</f>
        <v/>
      </c>
      <c r="DU27" s="132">
        <f>IF(OR(DU$4="",$B27=""),0,SUMIF('DADOS BRUTOS'!$A$3:$A$500,$B27,'DADOS BRUTOS'!AU$3:AU$500)+IF($C27="",0,SUMIF('DADOS BRUTOS'!$A$3:$A$500,$C27,'DADOS BRUTOS'!AU$3:AU$500)))</f>
        <v/>
      </c>
      <c r="DV27" s="132">
        <f>IF(OR(DV$4="",$B27=""),0,SUMIF('DADOS BRUTOS'!$A$3:$A$500,$B27,'DADOS BRUTOS'!AV$3:AV$500)+IF($C27="",0,SUMIF('DADOS BRUTOS'!$A$3:$A$500,$C27,'DADOS BRUTOS'!AV$3:AV$500)))</f>
        <v/>
      </c>
      <c r="DW27" s="132">
        <f>IF(OR(DW$4="",$B27=""),0,SUMIF('DADOS BRUTOS'!$A$3:$A$500,$B27,'DADOS BRUTOS'!AW$3:AW$500)+IF($C27="",0,SUMIF('DADOS BRUTOS'!$A$3:$A$500,$C27,'DADOS BRUTOS'!AW$3:AW$500)))</f>
        <v/>
      </c>
      <c r="DX27" s="132">
        <f>IF(OR(DX$4="",$B27=""),0,SUMIF('DADOS BRUTOS'!$A$3:$A$500,$B27,'DADOS BRUTOS'!AX$3:AX$500)+IF($C27="",0,SUMIF('DADOS BRUTOS'!$A$3:$A$500,$C27,'DADOS BRUTOS'!AX$3:AX$500)))</f>
        <v/>
      </c>
      <c r="DY27" s="132">
        <f>IF(OR(DY$4="",$B27=""),0,SUMIF('DADOS BRUTOS'!$A$3:$A$500,$B27,'DADOS BRUTOS'!AY$3:AY$500)+IF($C27="",0,SUMIF('DADOS BRUTOS'!$A$3:$A$500,$C27,'DADOS BRUTOS'!AY$3:AY$500)))</f>
        <v/>
      </c>
      <c r="DZ27" s="132">
        <f>IF(OR(DZ$4="",$B27=""),0,SUMIF('DADOS BRUTOS'!$A$3:$A$500,$B27,'DADOS BRUTOS'!AZ$3:AZ$500)+IF($C27="",0,SUMIF('DADOS BRUTOS'!$A$3:$A$500,$C27,'DADOS BRUTOS'!AZ$3:AZ$500)))</f>
        <v/>
      </c>
      <c r="EA27" s="132">
        <f>IF(OR(EA$4="",$B27=""),0,SUMIF('DADOS BRUTOS'!$A$3:$A$500,$B27,'DADOS BRUTOS'!BA$3:BA$500)+IF($C27="",0,SUMIF('DADOS BRUTOS'!$A$3:$A$500,$C27,'DADOS BRUTOS'!BA$3:BA$500)))</f>
        <v/>
      </c>
      <c r="EB27" s="132">
        <f>IF(OR(EB$4="",$B27=""),0,SUMIF('DADOS BRUTOS'!$A$3:$A$500,$B27,'DADOS BRUTOS'!BB$3:BB$500)+IF($C27="",0,SUMIF('DADOS BRUTOS'!$A$3:$A$500,$C27,'DADOS BRUTOS'!BB$3:BB$500)))</f>
        <v/>
      </c>
      <c r="EC27" s="132">
        <f>IF(OR(EC$4="",$B27=""),0,SUMIF('DADOS BRUTOS'!$A$3:$A$500,$B27,'DADOS BRUTOS'!BC$3:BC$500)+IF($C27="",0,SUMIF('DADOS BRUTOS'!$A$3:$A$500,$C27,'DADOS BRUTOS'!BC$3:BC$500)))</f>
        <v/>
      </c>
      <c r="ED27" s="132">
        <f>IF(OR(ED$4="",$B27=""),0,SUMIF('DADOS BRUTOS'!$A$3:$A$500,$B27,'DADOS BRUTOS'!BD$3:BD$500)+IF($C27="",0,SUMIF('DADOS BRUTOS'!$A$3:$A$500,$C27,'DADOS BRUTOS'!BD$3:BD$500)))</f>
        <v/>
      </c>
      <c r="EE27" s="132">
        <f>IF(OR(EE$4="",$B27=""),0,SUMIF('DADOS BRUTOS'!$A$3:$A$500,$B27,'DADOS BRUTOS'!BE$3:BE$500)+IF($C27="",0,SUMIF('DADOS BRUTOS'!$A$3:$A$500,$C27,'DADOS BRUTOS'!BE$3:BE$500)))</f>
        <v/>
      </c>
      <c r="EF27" s="132">
        <f>IF(OR(EF$4="",$B27=""),0,SUMIF('DADOS BRUTOS'!$A$3:$A$500,$B27,'DADOS BRUTOS'!BF$3:BF$500)+IF($C27="",0,SUMIF('DADOS BRUTOS'!$A$3:$A$500,$C27,'DADOS BRUTOS'!BF$3:BF$500)))</f>
        <v/>
      </c>
      <c r="EG27" s="132">
        <f>IF(OR(EG$4="",$B27=""),0,SUMIF('DADOS BRUTOS'!$A$3:$A$500,$B27,'DADOS BRUTOS'!BG$3:BG$500)+IF($C27="",0,SUMIF('DADOS BRUTOS'!$A$3:$A$500,$C27,'DADOS BRUTOS'!BG$3:BG$500)))</f>
        <v/>
      </c>
      <c r="EH27" s="132">
        <f>IF(OR(EH$4="",$B27=""),0,SUMIF('DADOS BRUTOS'!$A$3:$A$500,$B27,'DADOS BRUTOS'!BH$3:BH$500)+IF($C27="",0,SUMIF('DADOS BRUTOS'!$A$3:$A$500,$C27,'DADOS BRUTOS'!BH$3:BH$500)))</f>
        <v/>
      </c>
      <c r="EI27" s="132">
        <f>IF(OR(EI$4="",$B27=""),0,SUMIF('DADOS BRUTOS'!$A$3:$A$500,$B27,'DADOS BRUTOS'!BI$3:BI$500)+IF($C27="",0,SUMIF('DADOS BRUTOS'!$A$3:$A$500,$C27,'DADOS BRUTOS'!BI$3:BI$500)))</f>
        <v/>
      </c>
      <c r="EJ27" s="132">
        <f>IF(OR(EJ$4="",$B27=""),0,SUMIF('DADOS BRUTOS'!$A$3:$A$500,$B27,'DADOS BRUTOS'!BJ$3:BJ$500)+IF($C27="",0,SUMIF('DADOS BRUTOS'!$A$3:$A$500,$C27,'DADOS BRUTOS'!BJ$3:BJ$500)))</f>
        <v/>
      </c>
      <c r="EK27" s="132">
        <f>IF(OR(EK$4="",$B27=""),0,SUMIF('DADOS BRUTOS'!$A$3:$A$500,$B27,'DADOS BRUTOS'!BK$3:BK$500)+IF($C27="",0,SUMIF('DADOS BRUTOS'!$A$3:$A$500,$C27,'DADOS BRUTOS'!BK$3:BK$500)))</f>
        <v/>
      </c>
      <c r="EL27" s="132">
        <f>IF(OR(EL$4="",$B27=""),0,SUMIF('DADOS BRUTOS'!$A$3:$A$500,$B27,'DADOS BRUTOS'!BL$3:BL$500)+IF($C27="",0,SUMIF('DADOS BRUTOS'!$A$3:$A$500,$C27,'DADOS BRUTOS'!BL$3:BL$500)))</f>
        <v/>
      </c>
      <c r="EM27" s="132">
        <f>IF(OR(EM$4="",$B27=""),0,SUMIF('DADOS BRUTOS'!$A$3:$A$500,$B27,'DADOS BRUTOS'!BM$3:BM$500)+IF($C27="",0,SUMIF('DADOS BRUTOS'!$A$3:$A$500,$C27,'DADOS BRUTOS'!BM$3:BM$500)))</f>
        <v/>
      </c>
      <c r="EN27" s="132">
        <f>IF(OR(EN$4="",$B27=""),0,SUMIF('DADOS BRUTOS'!$A$3:$A$500,$B27,'DADOS BRUTOS'!BN$3:BN$500)+IF($C27="",0,SUMIF('DADOS BRUTOS'!$A$3:$A$500,$C27,'DADOS BRUTOS'!BN$3:BN$500)))</f>
        <v/>
      </c>
      <c r="EO27" s="132">
        <f>IF(OR(EO$4="",$B27=""),0,SUMIF('DADOS BRUTOS'!$A$3:$A$500,$B27,'DADOS BRUTOS'!BO$3:BO$500)+IF($C27="",0,SUMIF('DADOS BRUTOS'!$A$3:$A$500,$C27,'DADOS BRUTOS'!BO$3:BO$500)))</f>
        <v/>
      </c>
      <c r="EP27" s="132">
        <f>IF(OR(EP$4="",$B27=""),0,SUMIF('DADOS BRUTOS'!$A$3:$A$500,$B27,'DADOS BRUTOS'!BP$3:BP$500)+IF($C27="",0,SUMIF('DADOS BRUTOS'!$A$3:$A$500,$C27,'DADOS BRUTOS'!BP$3:BP$500)))</f>
        <v/>
      </c>
      <c r="EQ27" s="132">
        <f>IF(OR(EQ$4="",$B27=""),0,SUMIF('DADOS BRUTOS'!$A$3:$A$500,$B27,'DADOS BRUTOS'!BQ$3:BQ$500)+IF($C27="",0,SUMIF('DADOS BRUTOS'!$A$3:$A$500,$C27,'DADOS BRUTOS'!BQ$3:BQ$500)))</f>
        <v/>
      </c>
      <c r="ER27" s="132">
        <f>IF(OR(ER$4="",$B27=""),0,SUMIF('DADOS BRUTOS'!$A$3:$A$500,$B27,'DADOS BRUTOS'!BR$3:BR$500)+IF($C27="",0,SUMIF('DADOS BRUTOS'!$A$3:$A$500,$C27,'DADOS BRUTOS'!BR$3:BR$500)))</f>
        <v/>
      </c>
      <c r="ES27" s="132">
        <f>IF(OR(ES$4="",$B27=""),0,SUMIF('DADOS BRUTOS'!$A$3:$A$500,$B27,'DADOS BRUTOS'!BS$3:BS$500)+IF($C27="",0,SUMIF('DADOS BRUTOS'!$A$3:$A$500,$C27,'DADOS BRUTOS'!BS$3:BS$500)))</f>
        <v/>
      </c>
      <c r="ET27" s="132">
        <f>IF(OR(ET$4="",$B27=""),0,SUMIF('DADOS BRUTOS'!$A$3:$A$500,$B27,'DADOS BRUTOS'!BT$3:BT$500)+IF($C27="",0,SUMIF('DADOS BRUTOS'!$A$3:$A$500,$C27,'DADOS BRUTOS'!BT$3:BT$500)))</f>
        <v/>
      </c>
      <c r="EU27" s="132">
        <f>IF(OR(EU$4="",$B27=""),0,SUMIF('DADOS BRUTOS'!$A$3:$A$500,$B27,'DADOS BRUTOS'!BU$3:BU$500)+IF($C27="",0,SUMIF('DADOS BRUTOS'!$A$3:$A$500,$C27,'DADOS BRUTOS'!BU$3:BU$500)))</f>
        <v/>
      </c>
      <c r="EV27" s="132">
        <f>IF(OR(EV$4="",$B27=""),0,SUMIF('DADOS BRUTOS'!$A$3:$A$500,$B27,'DADOS BRUTOS'!BV$3:BV$500)+IF($C27="",0,SUMIF('DADOS BRUTOS'!$A$3:$A$500,$C27,'DADOS BRUTOS'!BV$3:BV$500)))</f>
        <v/>
      </c>
      <c r="EW27" s="132">
        <f>IF(OR(EW$4="",$B27=""),0,SUMIF('DADOS BRUTOS'!$A$3:$A$500,$B27,'DADOS BRUTOS'!BW$3:BW$500)+IF($C27="",0,SUMIF('DADOS BRUTOS'!$A$3:$A$500,$C27,'DADOS BRUTOS'!BW$3:BW$500)))</f>
        <v/>
      </c>
      <c r="EX27" s="132">
        <f>IF(OR(EX$4="",$B27=""),0,SUMIF('DADOS BRUTOS'!$A$3:$A$500,$B27,'DADOS BRUTOS'!BX$3:BX$500)+IF($C27="",0,SUMIF('DADOS BRUTOS'!$A$3:$A$500,$C27,'DADOS BRUTOS'!BX$3:BX$500)))</f>
        <v/>
      </c>
      <c r="EY27" s="132">
        <f>IF(OR(EY$4="",$B27=""),0,SUMIF('DADOS BRUTOS'!$A$3:$A$500,$B27,'DADOS BRUTOS'!BY$3:BY$500)+IF($C27="",0,SUMIF('DADOS BRUTOS'!$A$3:$A$500,$C27,'DADOS BRUTOS'!BY$3:BY$500)))</f>
        <v/>
      </c>
      <c r="EZ27" s="132">
        <f>IF(OR(EZ$4="",$B27=""),0,SUMIF('DADOS BRUTOS'!$A$3:$A$500,$B27,'DADOS BRUTOS'!BZ$3:BZ$500)+IF($C27="",0,SUMIF('DADOS BRUTOS'!$A$3:$A$500,$C27,'DADOS BRUTOS'!BZ$3:BZ$500)))</f>
        <v/>
      </c>
      <c r="FA27" s="132">
        <f>IF(OR(FA$4="",$B27=""),0,SUMIF('DADOS BRUTOS'!$A$3:$A$500,$B27,'DADOS BRUTOS'!CA$3:CA$500)+IF($C27="",0,SUMIF('DADOS BRUTOS'!$A$3:$A$500,$C27,'DADOS BRUTOS'!CA$3:CA$500)))</f>
        <v/>
      </c>
      <c r="FB27" s="132">
        <f>IF(OR(FB$4="",$B27=""),0,SUMIF('DADOS BRUTOS'!$A$3:$A$500,$B27,'DADOS BRUTOS'!CB$3:CB$500)+IF($C27="",0,SUMIF('DADOS BRUTOS'!$A$3:$A$500,$C27,'DADOS BRUTOS'!CB$3:CB$500)))</f>
        <v/>
      </c>
      <c r="FC27" s="132">
        <f>IF(OR(FC$4="",$B27=""),0,SUMIF('DADOS BRUTOS'!$A$3:$A$500,$B27,'DADOS BRUTOS'!CC$3:CC$500)+IF($C27="",0,SUMIF('DADOS BRUTOS'!$A$3:$A$500,$C27,'DADOS BRUTOS'!CC$3:CC$500)))</f>
        <v/>
      </c>
      <c r="FD27" s="132">
        <f>IF(OR(FD$4="",$B27=""),0,SUMIF('DADOS BRUTOS'!$A$3:$A$500,$B27,'DADOS BRUTOS'!CD$3:CD$500)+IF($C27="",0,SUMIF('DADOS BRUTOS'!$A$3:$A$500,$C27,'DADOS BRUTOS'!CD$3:CD$500)))</f>
        <v/>
      </c>
      <c r="FE27" s="132">
        <f>IF(OR(FE$4="",$B27=""),0,SUMIF('DADOS BRUTOS'!$A$3:$A$500,$B27,'DADOS BRUTOS'!CE$3:CE$500)+IF($C27="",0,SUMIF('DADOS BRUTOS'!$A$3:$A$500,$C27,'DADOS BRUTOS'!CE$3:CE$500)))</f>
        <v/>
      </c>
      <c r="FF27" s="132">
        <f>IF(OR(FF$4="",$B27=""),0,SUMIF('DADOS BRUTOS'!$A$3:$A$500,$B27,'DADOS BRUTOS'!CF$3:CF$500)+IF($C27="",0,SUMIF('DADOS BRUTOS'!$A$3:$A$500,$C27,'DADOS BRUTOS'!CF$3:CF$500)))</f>
        <v/>
      </c>
      <c r="FG27" s="132">
        <f>IF(OR(FG$4="",$B27=""),0,SUMIF('DADOS BRUTOS'!$A$3:$A$500,$B27,'DADOS BRUTOS'!CG$3:CG$500)+IF($C27="",0,SUMIF('DADOS BRUTOS'!$A$3:$A$500,$C27,'DADOS BRUTOS'!CG$3:CG$500)))</f>
        <v/>
      </c>
      <c r="FH27" s="132">
        <f>IF(OR(FH$4="",$B27=""),0,SUMIF('DADOS BRUTOS'!$A$3:$A$500,$B27,'DADOS BRUTOS'!CH$3:CH$500)+IF($C27="",0,SUMIF('DADOS BRUTOS'!$A$3:$A$500,$C27,'DADOS BRUTOS'!CH$3:CH$500)))</f>
        <v/>
      </c>
      <c r="FI27" s="132">
        <f>IF(OR(FI$4="",$B27=""),0,SUMIF('DADOS BRUTOS'!$A$3:$A$500,$B27,'DADOS BRUTOS'!CI$3:CI$500)+IF($C27="",0,SUMIF('DADOS BRUTOS'!$A$3:$A$500,$C27,'DADOS BRUTOS'!CI$3:CI$500)))</f>
        <v/>
      </c>
      <c r="FJ27" s="132">
        <f>IF(OR(FJ$4="",$B27=""),0,SUMIF('DADOS BRUTOS'!$A$3:$A$500,$B27,'DADOS BRUTOS'!CJ$3:CJ$500)+IF($C27="",0,SUMIF('DADOS BRUTOS'!$A$3:$A$500,$C27,'DADOS BRUTOS'!CJ$3:CJ$500)))</f>
        <v/>
      </c>
      <c r="FK27" s="132">
        <f>IF(OR(FK$4="",$B27=""),0,SUMIF('DADOS BRUTOS'!$A$3:$A$500,$B27,'DADOS BRUTOS'!CK$3:CK$500)+IF($C27="",0,SUMIF('DADOS BRUTOS'!$A$3:$A$500,$C27,'DADOS BRUTOS'!CK$3:CK$500)))</f>
        <v/>
      </c>
      <c r="FL27" s="132">
        <f>IF(OR(FL$4="",$B27=""),0,SUMIF('DADOS BRUTOS'!$A$3:$A$500,$B27,'DADOS BRUTOS'!CL$3:CL$500)+IF($C27="",0,SUMIF('DADOS BRUTOS'!$A$3:$A$500,$C27,'DADOS BRUTOS'!CL$3:CL$500)))</f>
        <v/>
      </c>
      <c r="FM27" s="132">
        <f>IF(OR(FM$4="",$B27=""),0,SUMIF('DADOS BRUTOS'!$A$3:$A$500,$B27,'DADOS BRUTOS'!CM$3:CM$500)+IF($C27="",0,SUMIF('DADOS BRUTOS'!$A$3:$A$500,$C27,'DADOS BRUTOS'!CM$3:CM$500)))</f>
        <v/>
      </c>
      <c r="FN27" s="132">
        <f>IF(OR(FN$4="",$B27=""),0,SUMIF('DADOS BRUTOS'!$A$3:$A$500,$B27,'DADOS BRUTOS'!CN$3:CN$500)+IF($C27="",0,SUMIF('DADOS BRUTOS'!$A$3:$A$500,$C27,'DADOS BRUTOS'!CN$3:CN$500)))</f>
        <v/>
      </c>
      <c r="FO27" s="132">
        <f>IF(OR(FO$4="",$B27=""),0,SUMIF('DADOS BRUTOS'!$A$3:$A$500,$B27,'DADOS BRUTOS'!CO$3:CO$500)+IF($C27="",0,SUMIF('DADOS BRUTOS'!$A$3:$A$500,$C27,'DADOS BRUTOS'!CO$3:CO$500)))</f>
        <v/>
      </c>
      <c r="FP27" s="132">
        <f>IF(OR(FP$4="",$B27=""),0,SUMIF('DADOS BRUTOS'!$A$3:$A$500,$B27,'DADOS BRUTOS'!CP$3:CP$500)+IF($C27="",0,SUMIF('DADOS BRUTOS'!$A$3:$A$500,$C27,'DADOS BRUTOS'!CP$3:CP$500)))</f>
        <v/>
      </c>
      <c r="FQ27" s="132">
        <f>IF(OR(FQ$4="",$B27=""),0,SUMIF('DADOS BRUTOS'!$A$3:$A$500,$B27,'DADOS BRUTOS'!CQ$3:CQ$500)+IF($C27="",0,SUMIF('DADOS BRUTOS'!$A$3:$A$500,$C27,'DADOS BRUTOS'!CQ$3:CQ$500)))</f>
        <v/>
      </c>
      <c r="FR27" s="132">
        <f>IF(OR(FR$4="",$B27=""),0,SUMIF('DADOS BRUTOS'!$A$3:$A$500,$B27,'DADOS BRUTOS'!CR$3:CR$500)+IF($C27="",0,SUMIF('DADOS BRUTOS'!$A$3:$A$500,$C27,'DADOS BRUTOS'!CR$3:CR$500)))</f>
        <v/>
      </c>
      <c r="FS27" s="132">
        <f>IF(OR(FS$4="",$B27=""),0,SUMIF('DADOS BRUTOS'!$A$3:$A$500,$B27,'DADOS BRUTOS'!CS$3:CS$500)+IF($C27="",0,SUMIF('DADOS BRUTOS'!$A$3:$A$500,$C27,'DADOS BRUTOS'!CS$3:CS$500)))</f>
        <v/>
      </c>
      <c r="FT27" s="132">
        <f>IF(OR(FT$4="",$B27=""),0,SUMIF('DADOS BRUTOS'!$A$3:$A$500,$B27,'DADOS BRUTOS'!CT$3:CT$500)+IF($C27="",0,SUMIF('DADOS BRUTOS'!$A$3:$A$500,$C27,'DADOS BRUTOS'!CT$3:CT$500)))</f>
        <v/>
      </c>
      <c r="FU27" s="132">
        <f>IF(OR(FU$4="",$B27=""),0,SUMIF('DADOS BRUTOS'!$A$3:$A$500,$B27,'DADOS BRUTOS'!CU$3:CU$500)+IF($C27="",0,SUMIF('DADOS BRUTOS'!$A$3:$A$500,$C27,'DADOS BRUTOS'!CU$3:CU$500)))</f>
        <v/>
      </c>
      <c r="FV27" s="132">
        <f>IF(OR(FV$4="",$B27=""),0,SUMIF('DADOS BRUTOS'!$A$3:$A$500,$B27,'DADOS BRUTOS'!CV$3:CV$500)+IF($C27="",0,SUMIF('DADOS BRUTOS'!$A$3:$A$500,$C27,'DADOS BRUTOS'!CV$3:CV$500)))</f>
        <v/>
      </c>
      <c r="FW27" s="132">
        <f>IF(OR(FW$4="",$B27=""),0,SUMIF('DADOS BRUTOS'!$A$3:$A$500,$B27,'DADOS BRUTOS'!CW$3:CW$500)+IF($C27="",0,SUMIF('DADOS BRUTOS'!$A$3:$A$500,$C27,'DADOS BRUTOS'!CW$3:CW$500)))</f>
        <v/>
      </c>
      <c r="FX27" s="132">
        <f>IF(OR(FX$4="",$B27=""),0,SUMIF('DADOS BRUTOS'!$A$3:$A$500,$B27,'DADOS BRUTOS'!CX$3:CX$500)+IF($C27="",0,SUMIF('DADOS BRUTOS'!$A$3:$A$500,$C27,'DADOS BRUTOS'!CX$3:CX$500)))</f>
        <v/>
      </c>
      <c r="FY27" s="132">
        <f>IF(OR(FY$4="",$B27=""),0,SUMIF('DADOS BRUTOS'!$A$3:$A$500,$B27,'DADOS BRUTOS'!CY$3:CY$500)+IF($C27="",0,SUMIF('DADOS BRUTOS'!$A$3:$A$500,$C27,'DADOS BRUTOS'!CY$3:CY$500)))</f>
        <v/>
      </c>
      <c r="FZ27" s="132">
        <f>IF(OR(FZ$4="",$B27=""),0,SUMIF('DADOS BRUTOS'!$A$3:$A$500,$B27,'DADOS BRUTOS'!CZ$3:CZ$500)+IF($C27="",0,SUMIF('DADOS BRUTOS'!$A$3:$A$500,$C27,'DADOS BRUTOS'!CZ$3:CZ$500)))</f>
        <v/>
      </c>
      <c r="GA27" s="132">
        <f>IF(OR(GA$4="",$B27=""),0,SUMIF('DADOS BRUTOS'!$A$3:$A$500,$B27,'DADOS BRUTOS'!DA$3:DA$500)+IF($C27="",0,SUMIF('DADOS BRUTOS'!$A$3:$A$500,$C27,'DADOS BRUTOS'!DA$3:DA$500)))</f>
        <v/>
      </c>
      <c r="GB27" s="132">
        <f>IF(OR(GB$4="",$B27=""),0,SUMIF('DADOS BRUTOS'!$A$3:$A$500,$B27,'DADOS BRUTOS'!DB$3:DB$500)+IF($C27="",0,SUMIF('DADOS BRUTOS'!$A$3:$A$500,$C27,'DADOS BRUTOS'!DB$3:DB$500)))</f>
        <v/>
      </c>
      <c r="GC27" s="132">
        <f>IF(OR(GC$4="",$B27=""),0,SUMIF('DADOS BRUTOS'!$A$3:$A$500,$B27,'DADOS BRUTOS'!DC$3:DC$500)+IF($C27="",0,SUMIF('DADOS BRUTOS'!$A$3:$A$500,$C27,'DADOS BRUTOS'!DC$3:DC$500)))</f>
        <v/>
      </c>
      <c r="GD27" s="132">
        <f>IF(OR(GD$4="",$B27=""),0,SUMIF('DADOS BRUTOS'!$A$3:$A$500,$B27,'DADOS BRUTOS'!DD$3:DD$500)+IF($C27="",0,SUMIF('DADOS BRUTOS'!$A$3:$A$500,$C27,'DADOS BRUTOS'!DD$3:DD$500)))</f>
        <v/>
      </c>
      <c r="GE27" s="132">
        <f>IF(OR(GE$4="",$B27=""),0,SUMIF('DADOS BRUTOS'!$A$3:$A$500,$B27,'DADOS BRUTOS'!DE$3:DE$500)+IF($C27="",0,SUMIF('DADOS BRUTOS'!$A$3:$A$500,$C27,'DADOS BRUTOS'!DE$3:DE$500)))</f>
        <v/>
      </c>
      <c r="GF27" s="132">
        <f>IF(OR(GF$4="",$B27=""),0,SUMIF('DADOS BRUTOS'!$A$3:$A$500,$B27,'DADOS BRUTOS'!DF$3:DF$500)+IF($C27="",0,SUMIF('DADOS BRUTOS'!$A$3:$A$500,$C27,'DADOS BRUTOS'!DF$3:DF$500)))</f>
        <v/>
      </c>
      <c r="GG27" s="132">
        <f>IF(OR(GG$4="",$B27=""),0,SUMIF('DADOS BRUTOS'!$A$3:$A$500,$B27,'DADOS BRUTOS'!DG$3:DG$500)+IF($C27="",0,SUMIF('DADOS BRUTOS'!$A$3:$A$500,$C27,'DADOS BRUTOS'!DG$3:DG$500)))</f>
        <v/>
      </c>
      <c r="GH27" s="132">
        <f>IF(OR(GH$4="",$B27=""),0,SUMIF('DADOS BRUTOS'!$A$3:$A$500,$B27,'DADOS BRUTOS'!DH$3:DH$500)+IF($C27="",0,SUMIF('DADOS BRUTOS'!$A$3:$A$500,$C27,'DADOS BRUTOS'!DH$3:DH$500)))</f>
        <v/>
      </c>
      <c r="GI27" s="132">
        <f>IF(OR(GI$4="",$B27=""),0,SUMIF('DADOS BRUTOS'!$A$3:$A$500,$B27,'DADOS BRUTOS'!DI$3:DI$500)+IF($C27="",0,SUMIF('DADOS BRUTOS'!$A$3:$A$500,$C27,'DADOS BRUTOS'!DI$3:DI$500)))</f>
        <v/>
      </c>
      <c r="GJ27" s="132">
        <f>IF(OR(GJ$4="",$B27=""),0,SUMIF('DADOS BRUTOS'!$A$3:$A$500,$B27,'DADOS BRUTOS'!DJ$3:DJ$500)+IF($C27="",0,SUMIF('DADOS BRUTOS'!$A$3:$A$500,$C27,'DADOS BRUTOS'!DJ$3:DJ$500)))</f>
        <v/>
      </c>
      <c r="GK27" s="132">
        <f>IF(OR(GK$4="",$B27=""),0,SUMIF('DADOS BRUTOS'!$A$3:$A$500,$B27,'DADOS BRUTOS'!DK$3:DK$500)+IF($C27="",0,SUMIF('DADOS BRUTOS'!$A$3:$A$500,$C27,'DADOS BRUTOS'!DK$3:DK$500)))</f>
        <v/>
      </c>
      <c r="GL27" s="132">
        <f>IF(OR(GL$4="",$B27=""),0,SUMIF('DADOS BRUTOS'!$A$3:$A$500,$B27,'DADOS BRUTOS'!DL$3:DL$500)+IF($C27="",0,SUMIF('DADOS BRUTOS'!$A$3:$A$500,$C27,'DADOS BRUTOS'!DL$3:DL$500)))</f>
        <v/>
      </c>
      <c r="GM27" s="132">
        <f>IF(OR(GM$4="",$B27=""),0,SUMIF('DADOS BRUTOS'!$A$3:$A$500,$B27,'DADOS BRUTOS'!DM$3:DM$500)+IF($C27="",0,SUMIF('DADOS BRUTOS'!$A$3:$A$500,$C27,'DADOS BRUTOS'!DM$3:DM$500)))</f>
        <v/>
      </c>
      <c r="GN27" s="132">
        <f>IF(OR(GN$4="",$B27=""),0,SUMIF('DADOS BRUTOS'!$A$3:$A$500,$B27,'DADOS BRUTOS'!DN$3:DN$500)+IF($C27="",0,SUMIF('DADOS BRUTOS'!$A$3:$A$500,$C27,'DADOS BRUTOS'!DN$3:DN$500)))</f>
        <v/>
      </c>
      <c r="GO27" s="132">
        <f>IF(OR(GO$4="",$B27=""),0,SUMIF('DADOS BRUTOS'!$A$3:$A$500,$B27,'DADOS BRUTOS'!DO$3:DO$500)+IF($C27="",0,SUMIF('DADOS BRUTOS'!$A$3:$A$500,$C27,'DADOS BRUTOS'!DO$3:DO$500)))</f>
        <v/>
      </c>
      <c r="GP27" s="132">
        <f>IF(OR(GP$4="",$B27=""),0,SUMIF('DADOS BRUTOS'!$A$3:$A$500,$B27,'DADOS BRUTOS'!DP$3:DP$500)+IF($C27="",0,SUMIF('DADOS BRUTOS'!$A$3:$A$500,$C27,'DADOS BRUTOS'!DP$3:DP$500)))</f>
        <v/>
      </c>
      <c r="GQ27" s="132">
        <f>IF(OR(GQ$4="",$B27=""),0,SUMIF('DADOS BRUTOS'!$A$3:$A$500,$B27,'DADOS BRUTOS'!DQ$3:DQ$500)+IF($C27="",0,SUMIF('DADOS BRUTOS'!$A$3:$A$500,$C27,'DADOS BRUTOS'!DQ$3:DQ$500)))</f>
        <v/>
      </c>
      <c r="GR27" s="132">
        <f>IF(OR(GR$4="",$B27=""),0,SUMIF('DADOS BRUTOS'!$A$3:$A$500,$B27,'DADOS BRUTOS'!DR$3:DR$500)+IF($C27="",0,SUMIF('DADOS BRUTOS'!$A$3:$A$500,$C27,'DADOS BRUTOS'!DR$3:DR$500)))</f>
        <v/>
      </c>
      <c r="GS27" s="132">
        <f>IF(OR(GS$4="",$B27=""),0,SUMIF('DADOS BRUTOS'!$A$3:$A$500,$B27,'DADOS BRUTOS'!DS$3:DS$500)+IF($C27="",0,SUMIF('DADOS BRUTOS'!$A$3:$A$500,$C27,'DADOS BRUTOS'!DS$3:DS$500)))</f>
        <v/>
      </c>
      <c r="GT27" s="132">
        <f>IF(OR(GT$4="",$B27=""),0,SUMIF('DADOS BRUTOS'!$A$3:$A$500,$B27,'DADOS BRUTOS'!DT$3:DT$500)+IF($C27="",0,SUMIF('DADOS BRUTOS'!$A$3:$A$500,$C27,'DADOS BRUTOS'!DT$3:DT$500)))</f>
        <v/>
      </c>
      <c r="GU27" s="132">
        <f>IF(OR(GU$4="",$B27=""),0,SUMIF('DADOS BRUTOS'!$A$3:$A$500,$B27,'DADOS BRUTOS'!DU$3:DU$500)+IF($C27="",0,SUMIF('DADOS BRUTOS'!$A$3:$A$500,$C27,'DADOS BRUTOS'!DU$3:DU$500)))</f>
        <v/>
      </c>
      <c r="GV27" s="132">
        <f>IF(OR(GV$4="",$B27=""),0,SUMIF('DADOS BRUTOS'!$A$3:$A$500,$B27,'DADOS BRUTOS'!DV$3:DV$500)+IF($C27="",0,SUMIF('DADOS BRUTOS'!$A$3:$A$500,$C27,'DADOS BRUTOS'!DV$3:DV$500)))</f>
        <v/>
      </c>
      <c r="GW27" s="132">
        <f>IF(OR(GW$4="",$B27=""),0,SUMIF('DADOS BRUTOS'!$A$3:$A$500,$B27,'DADOS BRUTOS'!DW$3:DW$500)+IF($C27="",0,SUMIF('DADOS BRUTOS'!$A$3:$A$500,$C27,'DADOS BRUTOS'!DW$3:DW$500)))</f>
        <v/>
      </c>
      <c r="GX27" s="132">
        <f>IF(OR(GX$4="",$B27=""),0,SUMIF('DADOS BRUTOS'!$A$3:$A$500,$B27,'DADOS BRUTOS'!DX$3:DX$500)+IF($C27="",0,SUMIF('DADOS BRUTOS'!$A$3:$A$500,$C27,'DADOS BRUTOS'!DX$3:DX$500)))</f>
        <v/>
      </c>
      <c r="GY27" s="132">
        <f>IF(OR(GY$4="",$B27=""),0,SUMIF('DADOS BRUTOS'!$A$3:$A$500,$B27,'DADOS BRUTOS'!DY$3:DY$500)+IF($C27="",0,SUMIF('DADOS BRUTOS'!$A$3:$A$500,$C27,'DADOS BRUTOS'!DY$3:DY$500)))</f>
        <v/>
      </c>
      <c r="GZ27" s="132">
        <f>IF(OR(GZ$4="",$B27=""),0,SUMIF('DADOS BRUTOS'!$A$3:$A$500,$B27,'DADOS BRUTOS'!DZ$3:DZ$500)+IF($C27="",0,SUMIF('DADOS BRUTOS'!$A$3:$A$500,$C27,'DADOS BRUTOS'!DZ$3:DZ$500)))</f>
        <v/>
      </c>
      <c r="HA27" s="132">
        <f>IF(OR(HA$4="",$B27=""),0,SUMIF('DADOS BRUTOS'!$A$3:$A$500,$B27,'DADOS BRUTOS'!EA$3:EA$500)+IF($C27="",0,SUMIF('DADOS BRUTOS'!$A$3:$A$500,$C27,'DADOS BRUTOS'!EA$3:EA$500)))</f>
        <v/>
      </c>
      <c r="HB27" s="132">
        <f>IF(OR(HB$4="",$B27=""),0,SUMIF('DADOS BRUTOS'!$A$3:$A$500,$B27,'DADOS BRUTOS'!EB$3:EB$500)+IF($C27="",0,SUMIF('DADOS BRUTOS'!$A$3:$A$500,$C27,'DADOS BRUTOS'!EB$3:EB$500)))</f>
        <v/>
      </c>
      <c r="HC27" s="132">
        <f>IF(OR(HC$4="",$B27=""),0,SUMIF('DADOS BRUTOS'!$A$3:$A$500,$B27,'DADOS BRUTOS'!EC$3:EC$500)+IF($C27="",0,SUMIF('DADOS BRUTOS'!$A$3:$A$500,$C27,'DADOS BRUTOS'!EC$3:EC$500)))</f>
        <v/>
      </c>
      <c r="HD27" s="132">
        <f>IF(OR(HD$4="",$B27=""),0,SUMIF('DADOS BRUTOS'!$A$3:$A$500,$B27,'DADOS BRUTOS'!ED$3:ED$500)+IF($C27="",0,SUMIF('DADOS BRUTOS'!$A$3:$A$500,$C27,'DADOS BRUTOS'!ED$3:ED$500)))</f>
        <v/>
      </c>
      <c r="HE27" s="132">
        <f>IF(OR(HE$4="",$B27=""),0,SUMIF('DADOS BRUTOS'!$A$3:$A$500,$B27,'DADOS BRUTOS'!EE$3:EE$500)+IF($C27="",0,SUMIF('DADOS BRUTOS'!$A$3:$A$500,$C27,'DADOS BRUTOS'!EE$3:EE$500)))</f>
        <v/>
      </c>
      <c r="HF27" s="132">
        <f>IF(OR(HF$4="",$B27=""),0,SUMIF('DADOS BRUTOS'!$A$3:$A$500,$B27,'DADOS BRUTOS'!EF$3:EF$500)+IF($C27="",0,SUMIF('DADOS BRUTOS'!$A$3:$A$500,$C27,'DADOS BRUTOS'!EF$3:EF$500)))</f>
        <v/>
      </c>
      <c r="HG27" s="132">
        <f>IF(OR(HG$4="",$B27=""),0,SUMIF('DADOS BRUTOS'!$A$3:$A$500,$B27,'DADOS BRUTOS'!EG$3:EG$500)+IF($C27="",0,SUMIF('DADOS BRUTOS'!$A$3:$A$500,$C27,'DADOS BRUTOS'!EG$3:EG$500)))</f>
        <v/>
      </c>
      <c r="HH27" s="132">
        <f>IF(OR(HH$4="",$B27=""),0,SUMIF('DADOS BRUTOS'!$A$3:$A$500,$B27,'DADOS BRUTOS'!EH$3:EH$500)+IF($C27="",0,SUMIF('DADOS BRUTOS'!$A$3:$A$500,$C27,'DADOS BRUTOS'!EH$3:EH$500)))</f>
        <v/>
      </c>
      <c r="HI27" s="132">
        <f>IF(OR(HI$4="",$B27=""),0,SUMIF('DADOS BRUTOS'!$A$3:$A$500,$B27,'DADOS BRUTOS'!EI$3:EI$500)+IF($C27="",0,SUMIF('DADOS BRUTOS'!$A$3:$A$500,$C27,'DADOS BRUTOS'!EI$3:EI$500)))</f>
        <v/>
      </c>
      <c r="HJ27" s="132">
        <f>IF(OR(HJ$4="",$B27=""),0,SUMIF('DADOS BRUTOS'!$A$3:$A$500,$B27,'DADOS BRUTOS'!EJ$3:EJ$500)+IF($C27="",0,SUMIF('DADOS BRUTOS'!$A$3:$A$500,$C27,'DADOS BRUTOS'!EJ$3:EJ$500)))</f>
        <v/>
      </c>
      <c r="HK27" s="132">
        <f>IF(OR(HK$4="",$B27=""),0,SUMIF('DADOS BRUTOS'!$A$3:$A$500,$B27,'DADOS BRUTOS'!EK$3:EK$500)+IF($C27="",0,SUMIF('DADOS BRUTOS'!$A$3:$A$500,$C27,'DADOS BRUTOS'!EK$3:EK$500)))</f>
        <v/>
      </c>
      <c r="HL27" s="132">
        <f>IF(OR(HL$4="",$B27=""),0,SUMIF('DADOS BRUTOS'!$A$3:$A$500,$B27,'DADOS BRUTOS'!EL$3:EL$500)+IF($C27="",0,SUMIF('DADOS BRUTOS'!$A$3:$A$500,$C27,'DADOS BRUTOS'!EL$3:EL$500)))</f>
        <v/>
      </c>
      <c r="HM27" s="132">
        <f>IF(OR(HM$4="",$B27=""),0,SUMIF('DADOS BRUTOS'!$A$3:$A$500,$B27,'DADOS BRUTOS'!EM$3:EM$500)+IF($C27="",0,SUMIF('DADOS BRUTOS'!$A$3:$A$500,$C27,'DADOS BRUTOS'!EM$3:EM$500)))</f>
        <v/>
      </c>
      <c r="HN27" s="132">
        <f>IF(OR(HN$4="",$B27=""),0,SUMIF('DADOS BRUTOS'!$A$3:$A$500,$B27,'DADOS BRUTOS'!EN$3:EN$500)+IF($C27="",0,SUMIF('DADOS BRUTOS'!$A$3:$A$500,$C27,'DADOS BRUTOS'!EN$3:EN$500)))</f>
        <v/>
      </c>
      <c r="HO27" s="132">
        <f>IF(OR(HO$4="",$B27=""),0,SUMIF('DADOS BRUTOS'!$A$3:$A$500,$B27,'DADOS BRUTOS'!EO$3:EO$500)+IF($C27="",0,SUMIF('DADOS BRUTOS'!$A$3:$A$500,$C27,'DADOS BRUTOS'!EO$3:EO$500)))</f>
        <v/>
      </c>
      <c r="HP27" s="132">
        <f>IF(OR(HP$4="",$B27=""),0,SUMIF('DADOS BRUTOS'!$A$3:$A$500,$B27,'DADOS BRUTOS'!EP$3:EP$500)+IF($C27="",0,SUMIF('DADOS BRUTOS'!$A$3:$A$500,$C27,'DADOS BRUTOS'!EP$3:EP$500)))</f>
        <v/>
      </c>
      <c r="HQ27" s="132">
        <f>IF(OR(HQ$4="",$B27=""),0,SUMIF('DADOS BRUTOS'!$A$3:$A$500,$B27,'DADOS BRUTOS'!EQ$3:EQ$500)+IF($C27="",0,SUMIF('DADOS BRUTOS'!$A$3:$A$500,$C27,'DADOS BRUTOS'!EQ$3:EQ$500)))</f>
        <v/>
      </c>
      <c r="HR27" s="132">
        <f>IF(OR(HR$4="",$B27=""),0,SUMIF('DADOS BRUTOS'!$A$3:$A$500,$B27,'DADOS BRUTOS'!ER$3:ER$500)+IF($C27="",0,SUMIF('DADOS BRUTOS'!$A$3:$A$500,$C27,'DADOS BRUTOS'!ER$3:ER$500)))</f>
        <v/>
      </c>
      <c r="HS27" s="132">
        <f>IF(OR(HS$4="",$B27=""),0,SUMIF('DADOS BRUTOS'!$A$3:$A$500,$B27,'DADOS BRUTOS'!ES$3:ES$500)+IF($C27="",0,SUMIF('DADOS BRUTOS'!$A$3:$A$500,$C27,'DADOS BRUTOS'!ES$3:ES$500)))</f>
        <v/>
      </c>
      <c r="HT27" s="132">
        <f>IF(OR(HT$4="",$B27=""),0,SUMIF('DADOS BRUTOS'!$A$3:$A$500,$B27,'DADOS BRUTOS'!ET$3:ET$500)+IF($C27="",0,SUMIF('DADOS BRUTOS'!$A$3:$A$500,$C27,'DADOS BRUTOS'!ET$3:ET$500)))</f>
        <v/>
      </c>
      <c r="HU27" s="132">
        <f>IF(OR(HU$4="",$B27=""),0,SUMIF('DADOS BRUTOS'!$A$3:$A$500,$B27,'DADOS BRUTOS'!EU$3:EU$500)+IF($C27="",0,SUMIF('DADOS BRUTOS'!$A$3:$A$500,$C27,'DADOS BRUTOS'!EU$3:EU$500)))</f>
        <v/>
      </c>
      <c r="HV27" s="132">
        <f>IF(OR(HV$4="",$B27=""),0,SUMIF('DADOS BRUTOS'!$A$3:$A$500,$B27,'DADOS BRUTOS'!EV$3:EV$500)+IF($C27="",0,SUMIF('DADOS BRUTOS'!$A$3:$A$500,$C27,'DADOS BRUTOS'!EV$3:EV$500)))</f>
        <v/>
      </c>
      <c r="HW27" s="132">
        <f>IF(OR(HW$4="",$B27=""),0,SUMIF('DADOS BRUTOS'!$A$3:$A$500,$B27,'DADOS BRUTOS'!EW$3:EW$500)+IF($C27="",0,SUMIF('DADOS BRUTOS'!$A$3:$A$500,$C27,'DADOS BRUTOS'!EW$3:EW$500)))</f>
        <v/>
      </c>
      <c r="HX27" s="132">
        <f>IF(OR(HX$4="",$B27=""),0,SUMIF('DADOS BRUTOS'!$A$3:$A$500,$B27,'DADOS BRUTOS'!EX$3:EX$500)+IF($C27="",0,SUMIF('DADOS BRUTOS'!$A$3:$A$500,$C27,'DADOS BRUTOS'!EX$3:EX$500)))</f>
        <v/>
      </c>
      <c r="HY27" s="132">
        <f>IF(OR(HY$4="",$B27=""),0,SUMIF('DADOS BRUTOS'!$A$3:$A$500,$B27,'DADOS BRUTOS'!EY$3:EY$500)+IF($C27="",0,SUMIF('DADOS BRUTOS'!$A$3:$A$500,$C27,'DADOS BRUTOS'!EY$3:EY$500)))</f>
        <v/>
      </c>
      <c r="HZ27" s="132">
        <f>IF(OR(HZ$4="",$B27=""),0,SUMIF('DADOS BRUTOS'!$A$3:$A$500,$B27,'DADOS BRUTOS'!EZ$3:EZ$500)+IF($C27="",0,SUMIF('DADOS BRUTOS'!$A$3:$A$500,$C27,'DADOS BRUTOS'!EZ$3:EZ$500)))</f>
        <v/>
      </c>
      <c r="IA27" s="132">
        <f>IF(OR(IA$4="",$B27=""),0,SUMIF('DADOS BRUTOS'!$A$3:$A$500,$B27,'DADOS BRUTOS'!FA$3:FA$500)+IF($C27="",0,SUMIF('DADOS BRUTOS'!$A$3:$A$500,$C27,'DADOS BRUTOS'!FA$3:FA$500)))</f>
        <v/>
      </c>
      <c r="IB27" s="132">
        <f>IF(OR(IB$4="",$B27=""),0,SUMIF('DADOS BRUTOS'!$A$3:$A$500,$B27,'DADOS BRUTOS'!FB$3:FB$500)+IF($C27="",0,SUMIF('DADOS BRUTOS'!$A$3:$A$500,$C27,'DADOS BRUTOS'!FB$3:FB$500)))</f>
        <v/>
      </c>
      <c r="IC27" s="132">
        <f>IF(OR(IC$4="",$B27=""),0,SUMIF('DADOS BRUTOS'!$A$3:$A$500,$B27,'DADOS BRUTOS'!FC$3:FC$500)+IF($C27="",0,SUMIF('DADOS BRUTOS'!$A$3:$A$500,$C27,'DADOS BRUTOS'!FC$3:FC$500)))</f>
        <v/>
      </c>
      <c r="ID27" s="132">
        <f>IF(OR(ID$4="",$B27=""),0,SUMIF('DADOS BRUTOS'!$A$3:$A$500,$B27,'DADOS BRUTOS'!FD$3:FD$500)+IF($C27="",0,SUMIF('DADOS BRUTOS'!$A$3:$A$500,$C27,'DADOS BRUTOS'!FD$3:FD$500)))</f>
        <v/>
      </c>
      <c r="IE27" s="132">
        <f>IF(OR(IE$4="",$B27=""),0,SUMIF('DADOS BRUTOS'!$A$3:$A$500,$B27,'DADOS BRUTOS'!FE$3:FE$500)+IF($C27="",0,SUMIF('DADOS BRUTOS'!$A$3:$A$500,$C27,'DADOS BRUTOS'!FE$3:FE$500)))</f>
        <v/>
      </c>
      <c r="IF27" s="132">
        <f>IF(OR(IF$4="",$B27=""),0,SUMIF('DADOS BRUTOS'!$A$3:$A$500,$B27,'DADOS BRUTOS'!FF$3:FF$500)+IF($C27="",0,SUMIF('DADOS BRUTOS'!$A$3:$A$500,$C27,'DADOS BRUTOS'!FF$3:FF$500)))</f>
        <v/>
      </c>
      <c r="IG27" s="132">
        <f>IF(OR(IG$4="",$B27=""),0,SUMIF('DADOS BRUTOS'!$A$3:$A$500,$B27,'DADOS BRUTOS'!FG$3:FG$500)+IF($C27="",0,SUMIF('DADOS BRUTOS'!$A$3:$A$500,$C27,'DADOS BRUTOS'!FG$3:FG$500)))</f>
        <v/>
      </c>
      <c r="IH27" s="132">
        <f>IF(OR(IH$4="",$B27=""),0,SUMIF('DADOS BRUTOS'!$A$3:$A$500,$B27,'DADOS BRUTOS'!FH$3:FH$500)+IF($C27="",0,SUMIF('DADOS BRUTOS'!$A$3:$A$500,$C27,'DADOS BRUTOS'!FH$3:FH$500)))</f>
        <v/>
      </c>
      <c r="II27" s="132">
        <f>IF(OR(II$4="",$B27=""),0,SUMIF('DADOS BRUTOS'!$A$3:$A$500,$B27,'DADOS BRUTOS'!FI$3:FI$500)+IF($C27="",0,SUMIF('DADOS BRUTOS'!$A$3:$A$500,$C27,'DADOS BRUTOS'!FI$3:FI$500)))</f>
        <v/>
      </c>
      <c r="IJ27" s="132">
        <f>IF(OR(IJ$4="",$B27=""),0,SUMIF('DADOS BRUTOS'!$A$3:$A$500,$B27,'DADOS BRUTOS'!FJ$3:FJ$500)+IF($C27="",0,SUMIF('DADOS BRUTOS'!$A$3:$A$500,$C27,'DADOS BRUTOS'!FJ$3:FJ$500)))</f>
        <v/>
      </c>
      <c r="IK27" s="132">
        <f>IF(OR(IK$4="",$B27=""),0,SUMIF('DADOS BRUTOS'!$A$3:$A$500,$B27,'DADOS BRUTOS'!FK$3:FK$500)+IF($C27="",0,SUMIF('DADOS BRUTOS'!$A$3:$A$500,$C27,'DADOS BRUTOS'!FK$3:FK$500)))</f>
        <v/>
      </c>
      <c r="IL27" s="132">
        <f>IF(OR(IL$4="",$B27=""),0,SUMIF('DADOS BRUTOS'!$A$3:$A$500,$B27,'DADOS BRUTOS'!FL$3:FL$500)+IF($C27="",0,SUMIF('DADOS BRUTOS'!$A$3:$A$500,$C27,'DADOS BRUTOS'!FL$3:FL$500)))</f>
        <v/>
      </c>
      <c r="IM27" s="132">
        <f>IF(OR(IM$4="",$B27=""),0,SUMIF('DADOS BRUTOS'!$A$3:$A$500,$B27,'DADOS BRUTOS'!FM$3:FM$500)+IF($C27="",0,SUMIF('DADOS BRUTOS'!$A$3:$A$500,$C27,'DADOS BRUTOS'!FM$3:FM$500)))</f>
        <v/>
      </c>
      <c r="IN27" s="132">
        <f>IF(OR(IN$4="",$B27=""),0,SUMIF('DADOS BRUTOS'!$A$3:$A$500,$B27,'DADOS BRUTOS'!FN$3:FN$500)+IF($C27="",0,SUMIF('DADOS BRUTOS'!$A$3:$A$500,$C27,'DADOS BRUTOS'!FN$3:FN$500)))</f>
        <v/>
      </c>
      <c r="IO27" s="132">
        <f>IF(OR(IO$4="",$B27=""),0,SUMIF('DADOS BRUTOS'!$A$3:$A$500,$B27,'DADOS BRUTOS'!FO$3:FO$500)+IF($C27="",0,SUMIF('DADOS BRUTOS'!$A$3:$A$500,$C27,'DADOS BRUTOS'!FO$3:FO$500)))</f>
        <v/>
      </c>
      <c r="IP27" s="132">
        <f>IF(OR(IP$4="",$B27=""),0,SUMIF('DADOS BRUTOS'!$A$3:$A$500,$B27,'DADOS BRUTOS'!FP$3:FP$500)+IF($C27="",0,SUMIF('DADOS BRUTOS'!$A$3:$A$500,$C27,'DADOS BRUTOS'!FP$3:FP$500)))</f>
        <v/>
      </c>
      <c r="IQ27" s="132">
        <f>IF(OR(IQ$4="",$B27=""),0,SUMIF('DADOS BRUTOS'!$A$3:$A$500,$B27,'DADOS BRUTOS'!FQ$3:FQ$500)+IF($C27="",0,SUMIF('DADOS BRUTOS'!$A$3:$A$500,$C27,'DADOS BRUTOS'!FQ$3:FQ$500)))</f>
        <v/>
      </c>
      <c r="IR27" s="132">
        <f>IF(OR(IR$4="",$B27=""),0,SUMIF('DADOS BRUTOS'!$A$3:$A$500,$B27,'DADOS BRUTOS'!FR$3:FR$500)+IF($C27="",0,SUMIF('DADOS BRUTOS'!$A$3:$A$500,$C27,'DADOS BRUTOS'!FR$3:FR$500)))</f>
        <v/>
      </c>
      <c r="IS27" s="132">
        <f>IF(OR(IS$4="",$B27=""),0,SUMIF('DADOS BRUTOS'!$A$3:$A$500,$B27,'DADOS BRUTOS'!FS$3:FS$500)+IF($C27="",0,SUMIF('DADOS BRUTOS'!$A$3:$A$500,$C27,'DADOS BRUTOS'!FS$3:FS$500)))</f>
        <v/>
      </c>
      <c r="IT27" s="132">
        <f>IF(OR(IT$4="",$B27=""),0,SUMIF('DADOS BRUTOS'!$A$3:$A$500,$B27,'DADOS BRUTOS'!FT$3:FT$500)+IF($C27="",0,SUMIF('DADOS BRUTOS'!$A$3:$A$500,$C27,'DADOS BRUTOS'!FT$3:FT$500)))</f>
        <v/>
      </c>
      <c r="IU27" s="132">
        <f>IF(OR(IU$4="",$B27=""),0,SUMIF('DADOS BRUTOS'!$A$3:$A$500,$B27,'DADOS BRUTOS'!FU$3:FU$500)+IF($C27="",0,SUMIF('DADOS BRUTOS'!$A$3:$A$500,$C27,'DADOS BRUTOS'!FU$3:FU$500)))</f>
        <v/>
      </c>
      <c r="IV27" s="132">
        <f>IF(OR(IV$4="",$B27=""),0,SUMIF('DADOS BRUTOS'!$A$3:$A$500,$B27,'DADOS BRUTOS'!FV$3:FV$500)+IF($C27="",0,SUMIF('DADOS BRUTOS'!$A$3:$A$500,$C27,'DADOS BRUTOS'!FV$3:FV$500)))</f>
        <v/>
      </c>
      <c r="IW27" s="132">
        <f>IF(OR(IW$4="",$B27=""),0,SUMIF('DADOS BRUTOS'!$A$3:$A$500,$B27,'DADOS BRUTOS'!FW$3:FW$500)+IF($C27="",0,SUMIF('DADOS BRUTOS'!$A$3:$A$500,$C27,'DADOS BRUTOS'!FW$3:FW$500)))</f>
        <v/>
      </c>
      <c r="IX27" s="132">
        <f>IF(OR(IX$4="",$B27=""),0,SUMIF('DADOS BRUTOS'!$A$3:$A$500,$B27,'DADOS BRUTOS'!FX$3:FX$500)+IF($C27="",0,SUMIF('DADOS BRUTOS'!$A$3:$A$500,$C27,'DADOS BRUTOS'!FX$3:FX$500)))</f>
        <v/>
      </c>
      <c r="IY27" s="132">
        <f>IF(OR(IY$4="",$B27=""),0,SUMIF('DADOS BRUTOS'!$A$3:$A$500,$B27,'DADOS BRUTOS'!FY$3:FY$500)+IF($C27="",0,SUMIF('DADOS BRUTOS'!$A$3:$A$500,$C27,'DADOS BRUTOS'!FY$3:FY$500)))</f>
        <v/>
      </c>
      <c r="IZ27" s="132">
        <f>IF(OR(IZ$4="",$B27=""),0,SUMIF('DADOS BRUTOS'!$A$3:$A$500,$B27,'DADOS BRUTOS'!FZ$3:FZ$500)+IF($C27="",0,SUMIF('DADOS BRUTOS'!$A$3:$A$500,$C27,'DADOS BRUTOS'!FZ$3:FZ$500)))</f>
        <v/>
      </c>
      <c r="JA27" s="132">
        <f>IF(OR(JA$4="",$B27=""),0,SUMIF('DADOS BRUTOS'!$A$3:$A$500,$B27,'DADOS BRUTOS'!GA$3:GA$500)+IF($C27="",0,SUMIF('DADOS BRUTOS'!$A$3:$A$500,$C27,'DADOS BRUTOS'!GA$3:GA$500)))</f>
        <v/>
      </c>
      <c r="JB27" s="132">
        <f>IF(OR(JB$4="",$B27=""),0,SUMIF('DADOS BRUTOS'!$A$3:$A$500,$B27,'DADOS BRUTOS'!GB$3:GB$500)+IF($C27="",0,SUMIF('DADOS BRUTOS'!$A$3:$A$500,$C27,'DADOS BRUTOS'!GB$3:GB$500)))</f>
        <v/>
      </c>
      <c r="JC27" s="132">
        <f>IF(OR(JC$4="",$B27=""),0,SUMIF('DADOS BRUTOS'!$A$3:$A$500,$B27,'DADOS BRUTOS'!GC$3:GC$500)+IF($C27="",0,SUMIF('DADOS BRUTOS'!$A$3:$A$500,$C27,'DADOS BRUTOS'!GC$3:GC$500)))</f>
        <v/>
      </c>
      <c r="JD27" s="132">
        <f>IF(OR(JD$4="",$B27=""),0,SUMIF('DADOS BRUTOS'!$A$3:$A$500,$B27,'DADOS BRUTOS'!GD$3:GD$500)+IF($C27="",0,SUMIF('DADOS BRUTOS'!$A$3:$A$500,$C27,'DADOS BRUTOS'!GD$3:GD$500)))</f>
        <v/>
      </c>
      <c r="JE27" s="132">
        <f>IF(OR(JE$4="",$B27=""),0,SUMIF('DADOS BRUTOS'!$A$3:$A$500,$B27,'DADOS BRUTOS'!GE$3:GE$500)+IF($C27="",0,SUMIF('DADOS BRUTOS'!$A$3:$A$500,$C27,'DADOS BRUTOS'!GE$3:GE$500)))</f>
        <v/>
      </c>
      <c r="JF27" s="132">
        <f>IF(OR(JF$4="",$B27=""),0,SUMIF('DADOS BRUTOS'!$A$3:$A$500,$B27,'DADOS BRUTOS'!GF$3:GF$500)+IF($C27="",0,SUMIF('DADOS BRUTOS'!$A$3:$A$500,$C27,'DADOS BRUTOS'!GF$3:GF$500)))</f>
        <v/>
      </c>
      <c r="JG27" s="132">
        <f>IF(OR(JG$4="",$B27=""),0,SUMIF('DADOS BRUTOS'!$A$3:$A$500,$B27,'DADOS BRUTOS'!GG$3:GG$500)+IF($C27="",0,SUMIF('DADOS BRUTOS'!$A$3:$A$500,$C27,'DADOS BRUTOS'!GG$3:GG$500)))</f>
        <v/>
      </c>
      <c r="JH27" s="132">
        <f>IF(OR(JH$4="",$B27=""),0,SUMIF('DADOS BRUTOS'!$A$3:$A$500,$B27,'DADOS BRUTOS'!GH$3:GH$500)+IF($C27="",0,SUMIF('DADOS BRUTOS'!$A$3:$A$500,$C27,'DADOS BRUTOS'!GH$3:GH$500)))</f>
        <v/>
      </c>
      <c r="JI27" s="132">
        <f>IF(OR(JI$4="",$B27=""),0,SUMIF('DADOS BRUTOS'!$A$3:$A$500,$B27,'DADOS BRUTOS'!GI$3:GI$500)+IF($C27="",0,SUMIF('DADOS BRUTOS'!$A$3:$A$500,$C27,'DADOS BRUTOS'!GI$3:GI$500)))</f>
        <v/>
      </c>
      <c r="JJ27" s="132">
        <f>IF(OR(JJ$4="",$B27=""),0,SUMIF('DADOS BRUTOS'!$A$3:$A$500,$B27,'DADOS BRUTOS'!GJ$3:GJ$500)+IF($C27="",0,SUMIF('DADOS BRUTOS'!$A$3:$A$500,$C27,'DADOS BRUTOS'!GJ$3:GJ$500)))</f>
        <v/>
      </c>
      <c r="JK27" s="132">
        <f>IF(OR(JK$4="",$B27=""),0,SUMIF('DADOS BRUTOS'!$A$3:$A$500,$B27,'DADOS BRUTOS'!GK$3:GK$500)+IF($C27="",0,SUMIF('DADOS BRUTOS'!$A$3:$A$500,$C27,'DADOS BRUTOS'!GK$3:GK$500)))</f>
        <v/>
      </c>
      <c r="JL27" s="132">
        <f>IF(OR(JL$4="",$B27=""),0,SUMIF('DADOS BRUTOS'!$A$3:$A$500,$B27,'DADOS BRUTOS'!GL$3:GL$500)+IF($C27="",0,SUMIF('DADOS BRUTOS'!$A$3:$A$500,$C27,'DADOS BRUTOS'!GL$3:GL$500)))</f>
        <v/>
      </c>
      <c r="JM27" s="132">
        <f>IF(OR(JM$4="",$B27=""),0,SUMIF('DADOS BRUTOS'!$A$3:$A$500,$B27,'DADOS BRUTOS'!GM$3:GM$500)+IF($C27="",0,SUMIF('DADOS BRUTOS'!$A$3:$A$500,$C27,'DADOS BRUTOS'!GM$3:GM$500)))</f>
        <v/>
      </c>
      <c r="JN27" s="132">
        <f>IF(OR(JN$4="",$B27=""),0,SUMIF('DADOS BRUTOS'!$A$3:$A$500,$B27,'DADOS BRUTOS'!GN$3:GN$500)+IF($C27="",0,SUMIF('DADOS BRUTOS'!$A$3:$A$500,$C27,'DADOS BRUTOS'!GN$3:GN$500)))</f>
        <v/>
      </c>
      <c r="JO27" s="132">
        <f>IF(OR(JO$4="",$B27=""),0,SUMIF('DADOS BRUTOS'!$A$3:$A$500,$B27,'DADOS BRUTOS'!GO$3:GO$500)+IF($C27="",0,SUMIF('DADOS BRUTOS'!$A$3:$A$500,$C27,'DADOS BRUTOS'!GO$3:GO$500)))</f>
        <v/>
      </c>
      <c r="JP27" s="132">
        <f>IF(OR(JP$4="",$B27=""),0,SUMIF('DADOS BRUTOS'!$A$3:$A$500,$B27,'DADOS BRUTOS'!GP$3:GP$500)+IF($C27="",0,SUMIF('DADOS BRUTOS'!$A$3:$A$500,$C27,'DADOS BRUTOS'!GP$3:GP$500)))</f>
        <v/>
      </c>
      <c r="JQ27" s="132">
        <f>IF(OR(JQ$4="",$B27=""),0,SUMIF('DADOS BRUTOS'!$A$3:$A$500,$B27,'DADOS BRUTOS'!GQ$3:GQ$500)+IF($C27="",0,SUMIF('DADOS BRUTOS'!$A$3:$A$500,$C27,'DADOS BRUTOS'!GQ$3:GQ$500)))</f>
        <v/>
      </c>
      <c r="JR27" s="132">
        <f>IF(OR(JR$4="",$B27=""),0,SUMIF('DADOS BRUTOS'!$A$3:$A$500,$B27,'DADOS BRUTOS'!GR$3:GR$500)+IF($C27="",0,SUMIF('DADOS BRUTOS'!$A$3:$A$500,$C27,'DADOS BRUTOS'!GR$3:GR$500)))</f>
        <v/>
      </c>
      <c r="JS27" s="132">
        <f>IF(OR(JS$4="",$B27=""),0,SUMIF('DADOS BRUTOS'!$A$3:$A$500,$B27,'DADOS BRUTOS'!GS$3:GS$500)+IF($C27="",0,SUMIF('DADOS BRUTOS'!$A$3:$A$500,$C27,'DADOS BRUTOS'!GS$3:GS$500)))</f>
        <v/>
      </c>
    </row>
    <row r="28">
      <c r="A28" s="61">
        <f>'VALOR POR PL'!D34</f>
        <v/>
      </c>
      <c r="B28" s="59" t="inlineStr">
        <is>
          <t>ELEVADORES</t>
        </is>
      </c>
      <c r="C28" s="59" t="n"/>
      <c r="D28" s="54">
        <f>SUMIF($CB$4:$JS$4,"&lt;="&amp;D$4,$CB28:$JS28)</f>
        <v/>
      </c>
      <c r="E28" s="54">
        <f>SUMIF($CB$4:$JS$4,E$4,$CB28:$JS28)</f>
        <v/>
      </c>
      <c r="F28" s="54">
        <f>SUMIF($CB$4:$JS$4,F$4,$CB28:$JS28)</f>
        <v/>
      </c>
      <c r="G28" s="54">
        <f>SUMIF($CB$4:$JS$4,G$4,$CB28:$JS28)</f>
        <v/>
      </c>
      <c r="H28" s="54">
        <f>SUMIF($CB$4:$JS$4,H$4,$CB28:$JS28)</f>
        <v/>
      </c>
      <c r="I28" s="54">
        <f>SUMIF($CB$4:$JS$4,I$4,$CB28:$JS28)</f>
        <v/>
      </c>
      <c r="J28" s="54">
        <f>SUMIF($CB$4:$JS$4,J$4,$CB28:$JS28)</f>
        <v/>
      </c>
      <c r="K28" s="54">
        <f>SUMIF($CB$4:$JS$4,K$4,$CB28:$JS28)</f>
        <v/>
      </c>
      <c r="L28" s="54">
        <f>SUMIF($CB$4:$JS$4,L$4,$CB28:$JS28)</f>
        <v/>
      </c>
      <c r="M28" s="54">
        <f>SUMIF($CB$4:$JS$4,M$4,$CB28:$JS28)</f>
        <v/>
      </c>
      <c r="N28" s="54">
        <f>SUMIF($CB$4:$JS$4,N$4,$CB28:$JS28)</f>
        <v/>
      </c>
      <c r="O28" s="54">
        <f>SUMIF($CB$4:$JS$4,O$4,$CB28:$JS28)</f>
        <v/>
      </c>
      <c r="P28" s="54">
        <f>SUMIF($CB$4:$JS$4,P$4,$CB28:$JS28)</f>
        <v/>
      </c>
      <c r="Q28" s="54">
        <f>SUMIF($CB$4:$JS$4,Q$4,$CB28:$JS28)</f>
        <v/>
      </c>
      <c r="R28" s="54">
        <f>SUMIF($CB$4:$JS$4,R$4,$CB28:$JS28)</f>
        <v/>
      </c>
      <c r="S28" s="54">
        <f>SUMIF($CB$4:$JS$4,S$4,$CB28:$JS28)</f>
        <v/>
      </c>
      <c r="T28" s="54">
        <f>SUMIF($CB$4:$JS$4,T$4,$CB28:$JS28)</f>
        <v/>
      </c>
      <c r="U28" s="54">
        <f>SUMIF($CB$4:$JS$4,U$4,$CB28:$JS28)</f>
        <v/>
      </c>
      <c r="V28" s="54">
        <f>SUMIF($CB$4:$JS$4,V$4,$CB28:$JS28)</f>
        <v/>
      </c>
      <c r="W28" s="54">
        <f>SUMIF($CB$4:$JS$4,W$4,$CB28:$JS28)</f>
        <v/>
      </c>
      <c r="X28" s="54">
        <f>SUMIF($CB$4:$JS$4,X$4,$CB28:$JS28)</f>
        <v/>
      </c>
      <c r="Y28" s="54">
        <f>SUMIF($CB$4:$JS$4,Y$4,$CB28:$JS28)</f>
        <v/>
      </c>
      <c r="Z28" s="54">
        <f>SUMIF($CB$4:$JS$4,Z$4,$CB28:$JS28)</f>
        <v/>
      </c>
      <c r="AA28" s="54">
        <f>SUMIF($CB$4:$JS$4,AA$4,$CB28:$JS28)</f>
        <v/>
      </c>
      <c r="AB28" s="54">
        <f>SUMIF($CB$4:$JS$4,AB$4,$CB28:$JS28)</f>
        <v/>
      </c>
      <c r="AC28" s="54">
        <f>SUMIF($CB$4:$JS$4,AC$4,$CB28:$JS28)</f>
        <v/>
      </c>
      <c r="AD28" s="54">
        <f>SUMIF($CB$4:$JS$4,AD$4,$CB28:$JS28)</f>
        <v/>
      </c>
      <c r="AE28" s="54">
        <f>SUMIF($CB$4:$JS$4,AE$4,$CB28:$JS28)</f>
        <v/>
      </c>
      <c r="AF28" s="54">
        <f>SUMIF($CB$4:$JS$4,AF$4,$CB28:$JS28)</f>
        <v/>
      </c>
      <c r="AG28" s="54">
        <f>SUMIF($CB$4:$JS$4,AG$4,$CB28:$JS28)</f>
        <v/>
      </c>
      <c r="AH28" s="54">
        <f>SUMIF($CB$4:$JS$4,AH$4,$CB28:$JS28)</f>
        <v/>
      </c>
      <c r="AI28" s="54">
        <f>SUMIF($CB$4:$JS$4,AI$4,$CB28:$JS28)</f>
        <v/>
      </c>
      <c r="AJ28" s="54">
        <f>SUMIF($CB$4:$JS$4,AJ$4,$CB28:$JS28)</f>
        <v/>
      </c>
      <c r="AK28" s="54">
        <f>SUMIF($CB$4:$JS$4,AK$4,$CB28:$JS28)</f>
        <v/>
      </c>
      <c r="AL28" s="54">
        <f>SUMIF($CB$4:$JS$4,AL$4,$CB28:$JS28)</f>
        <v/>
      </c>
      <c r="AM28" s="54">
        <f>SUMIF($CB$4:$JS$4,AM$4,$CB28:$JS28)</f>
        <v/>
      </c>
      <c r="AN28" s="54">
        <f>SUMIF($CB$4:$JS$4,AN$4,$CB28:$JS28)</f>
        <v/>
      </c>
      <c r="AO28" s="54">
        <f>SUMIF($CB$4:$JS$4,AO$4,$CB28:$JS28)</f>
        <v/>
      </c>
      <c r="AP28" s="54">
        <f>SUMIF($CB$4:$JS$4,AP$4,$CB28:$JS28)</f>
        <v/>
      </c>
      <c r="AQ28" s="54">
        <f>SUMIF($CB$4:$JS$4,AQ$4,$CB28:$JS28)</f>
        <v/>
      </c>
      <c r="AR28" s="54">
        <f>SUMIF($CB$4:$JS$4,AR$4,$CB28:$JS28)</f>
        <v/>
      </c>
      <c r="AS28" s="54">
        <f>SUMIF($CB$4:$JS$4,AS$4,$CB28:$JS28)</f>
        <v/>
      </c>
      <c r="AT28" s="54">
        <f>SUMIF($CB$4:$JS$4,AT$4,$CB28:$JS28)</f>
        <v/>
      </c>
      <c r="AU28" s="54">
        <f>SUMIF($CB$4:$JS$4,AU$4,$CB28:$JS28)</f>
        <v/>
      </c>
      <c r="AV28" s="54">
        <f>SUMIF($CB$4:$JS$4,AV$4,$CB28:$JS28)</f>
        <v/>
      </c>
      <c r="AW28" s="54">
        <f>SUMIF($CB$4:$JS$4,AW$4,$CB28:$JS28)</f>
        <v/>
      </c>
      <c r="AX28" s="54">
        <f>SUMIF($CB$4:$JS$4,AX$4,$CB28:$JS28)</f>
        <v/>
      </c>
      <c r="AY28" s="54">
        <f>SUMIF($CB$4:$JS$4,AY$4,$CB28:$JS28)</f>
        <v/>
      </c>
      <c r="AZ28" s="54">
        <f>SUMIF($CB$4:$JS$4,AZ$4,$CB28:$JS28)</f>
        <v/>
      </c>
      <c r="BA28" s="54">
        <f>SUMIF($CB$4:$JS$4,BA$4,$CB28:$JS28)</f>
        <v/>
      </c>
      <c r="BB28" s="54">
        <f>SUMIF($CB$4:$JS$4,BB$4,$CB28:$JS28)</f>
        <v/>
      </c>
      <c r="BC28" s="54">
        <f>SUMIF($CB$4:$JS$4,BC$4,$CB28:$JS28)</f>
        <v/>
      </c>
      <c r="BD28" s="54">
        <f>SUMIF($CB$4:$JS$4,BD$4,$CB28:$JS28)</f>
        <v/>
      </c>
      <c r="BE28" s="54">
        <f>SUMIF($CB$4:$JS$4,BE$4,$CB28:$JS28)</f>
        <v/>
      </c>
      <c r="BF28" s="54">
        <f>SUMIF($CB$4:$JS$4,BF$4,$CB28:$JS28)</f>
        <v/>
      </c>
      <c r="BG28" s="54">
        <f>SUMIF($CB$4:$JS$4,BG$4,$CB28:$JS28)</f>
        <v/>
      </c>
      <c r="BH28" s="54">
        <f>SUMIF($CB$4:$JS$4,BH$4,$CB28:$JS28)</f>
        <v/>
      </c>
      <c r="BI28" s="54">
        <f>SUMIF($CB$4:$JS$4,BI$4,$CB28:$JS28)</f>
        <v/>
      </c>
      <c r="BJ28" s="54">
        <f>SUMIF($CB$4:$JS$4,BJ$4,$CB28:$JS28)</f>
        <v/>
      </c>
      <c r="BK28" s="54">
        <f>SUMIF($CB$4:$JS$4,BK$4,$CB28:$JS28)</f>
        <v/>
      </c>
      <c r="BL28" s="54">
        <f>SUMIF($CB$4:$JS$4,BL$4,$CB28:$JS28)</f>
        <v/>
      </c>
      <c r="BM28" s="54">
        <f>SUMIF($CB$4:$JS$4,BM$4,$CB28:$JS28)</f>
        <v/>
      </c>
      <c r="BN28" s="54">
        <f>SUMIF($CB$4:$JS$4,BN$4,$CB28:$JS28)</f>
        <v/>
      </c>
      <c r="BO28" s="54">
        <f>SUMIF($CB$4:$JS$4,BO$4,$CB28:$JS28)</f>
        <v/>
      </c>
      <c r="BP28" s="54">
        <f>SUMIF($CB$4:$JS$4,BP$4,$CB28:$JS28)</f>
        <v/>
      </c>
      <c r="BQ28" s="54">
        <f>SUMIF($CB$4:$JS$4,BQ$4,$CB28:$JS28)</f>
        <v/>
      </c>
      <c r="BR28" s="54">
        <f>SUMIF($CB$4:$JS$4,BR$4,$CB28:$JS28)</f>
        <v/>
      </c>
      <c r="BS28" s="54">
        <f>SUMIF($CB$4:$JS$4,BS$4,$CB28:$JS28)</f>
        <v/>
      </c>
      <c r="BT28" s="54">
        <f>SUMIF($CB$4:$JS$4,BT$4,$CB28:$JS28)</f>
        <v/>
      </c>
      <c r="BU28" s="54">
        <f>SUMIF($CB$4:$JS$4,BU$4,$CB28:$JS28)</f>
        <v/>
      </c>
      <c r="BV28" s="54">
        <f>SUMIF($CB$4:$JS$4,BV$4,$CB28:$JS28)</f>
        <v/>
      </c>
      <c r="BW28" s="54">
        <f>SUMIF($CB$4:$JS$4,BW$4,$CB28:$JS28)</f>
        <v/>
      </c>
      <c r="BX28" s="54">
        <f>SUMIF($CB$4:$JS$4,"&gt;"&amp;'VALOR POR PL'!$P$8,$CB28:$JS28)</f>
        <v/>
      </c>
      <c r="BY28" s="54">
        <f>SUM($CB28:$JS28)</f>
        <v/>
      </c>
      <c r="BZ28" s="49">
        <f>SUMPRODUCT(($CB$4:$JS$4&lt;&gt;"")*($CB$4:$JS$4&lt;=$D$4),$CB28:$JS28,$CB$1:$JS$1)</f>
        <v/>
      </c>
      <c r="CB28" s="132">
        <f>IF(OR(CB$4="",$B28=""),0,SUMIF('DADOS BRUTOS'!$A$3:$A$500,$B28,'DADOS BRUTOS'!B$3:B$500)+IF($C28="",0,SUMIF('DADOS BRUTOS'!$A$3:$A$500,$C28,'DADOS BRUTOS'!B$3:B$500)))</f>
        <v/>
      </c>
      <c r="CC28" s="132">
        <f>IF(OR(CC$4="",$B28=""),0,SUMIF('DADOS BRUTOS'!$A$3:$A$500,$B28,'DADOS BRUTOS'!C$3:C$500)+IF($C28="",0,SUMIF('DADOS BRUTOS'!$A$3:$A$500,$C28,'DADOS BRUTOS'!C$3:C$500)))</f>
        <v/>
      </c>
      <c r="CD28" s="132">
        <f>IF(OR(CD$4="",$B28=""),0,SUMIF('DADOS BRUTOS'!$A$3:$A$500,$B28,'DADOS BRUTOS'!D$3:D$500)+IF($C28="",0,SUMIF('DADOS BRUTOS'!$A$3:$A$500,$C28,'DADOS BRUTOS'!D$3:D$500)))</f>
        <v/>
      </c>
      <c r="CE28" s="132">
        <f>IF(OR(CE$4="",$B28=""),0,SUMIF('DADOS BRUTOS'!$A$3:$A$500,$B28,'DADOS BRUTOS'!E$3:E$500)+IF($C28="",0,SUMIF('DADOS BRUTOS'!$A$3:$A$500,$C28,'DADOS BRUTOS'!E$3:E$500)))</f>
        <v/>
      </c>
      <c r="CF28" s="132">
        <f>IF(OR(CF$4="",$B28=""),0,SUMIF('DADOS BRUTOS'!$A$3:$A$500,$B28,'DADOS BRUTOS'!F$3:F$500)+IF($C28="",0,SUMIF('DADOS BRUTOS'!$A$3:$A$500,$C28,'DADOS BRUTOS'!F$3:F$500)))</f>
        <v/>
      </c>
      <c r="CG28" s="132">
        <f>IF(OR(CG$4="",$B28=""),0,SUMIF('DADOS BRUTOS'!$A$3:$A$500,$B28,'DADOS BRUTOS'!G$3:G$500)+IF($C28="",0,SUMIF('DADOS BRUTOS'!$A$3:$A$500,$C28,'DADOS BRUTOS'!G$3:G$500)))</f>
        <v/>
      </c>
      <c r="CH28" s="132">
        <f>IF(OR(CH$4="",$B28=""),0,SUMIF('DADOS BRUTOS'!$A$3:$A$500,$B28,'DADOS BRUTOS'!H$3:H$500)+IF($C28="",0,SUMIF('DADOS BRUTOS'!$A$3:$A$500,$C28,'DADOS BRUTOS'!H$3:H$500)))</f>
        <v/>
      </c>
      <c r="CI28" s="132">
        <f>IF(OR(CI$4="",$B28=""),0,SUMIF('DADOS BRUTOS'!$A$3:$A$500,$B28,'DADOS BRUTOS'!I$3:I$500)+IF($C28="",0,SUMIF('DADOS BRUTOS'!$A$3:$A$500,$C28,'DADOS BRUTOS'!I$3:I$500)))</f>
        <v/>
      </c>
      <c r="CJ28" s="132">
        <f>IF(OR(CJ$4="",$B28=""),0,SUMIF('DADOS BRUTOS'!$A$3:$A$500,$B28,'DADOS BRUTOS'!J$3:J$500)+IF($C28="",0,SUMIF('DADOS BRUTOS'!$A$3:$A$500,$C28,'DADOS BRUTOS'!J$3:J$500)))</f>
        <v/>
      </c>
      <c r="CK28" s="132">
        <f>IF(OR(CK$4="",$B28=""),0,SUMIF('DADOS BRUTOS'!$A$3:$A$500,$B28,'DADOS BRUTOS'!K$3:K$500)+IF($C28="",0,SUMIF('DADOS BRUTOS'!$A$3:$A$500,$C28,'DADOS BRUTOS'!K$3:K$500)))</f>
        <v/>
      </c>
      <c r="CL28" s="132">
        <f>IF(OR(CL$4="",$B28=""),0,SUMIF('DADOS BRUTOS'!$A$3:$A$500,$B28,'DADOS BRUTOS'!L$3:L$500)+IF($C28="",0,SUMIF('DADOS BRUTOS'!$A$3:$A$500,$C28,'DADOS BRUTOS'!L$3:L$500)))</f>
        <v/>
      </c>
      <c r="CM28" s="132">
        <f>IF(OR(CM$4="",$B28=""),0,SUMIF('DADOS BRUTOS'!$A$3:$A$500,$B28,'DADOS BRUTOS'!M$3:M$500)+IF($C28="",0,SUMIF('DADOS BRUTOS'!$A$3:$A$500,$C28,'DADOS BRUTOS'!M$3:M$500)))</f>
        <v/>
      </c>
      <c r="CN28" s="132">
        <f>IF(OR(CN$4="",$B28=""),0,SUMIF('DADOS BRUTOS'!$A$3:$A$500,$B28,'DADOS BRUTOS'!N$3:N$500)+IF($C28="",0,SUMIF('DADOS BRUTOS'!$A$3:$A$500,$C28,'DADOS BRUTOS'!N$3:N$500)))</f>
        <v/>
      </c>
      <c r="CO28" s="132">
        <f>IF(OR(CO$4="",$B28=""),0,SUMIF('DADOS BRUTOS'!$A$3:$A$500,$B28,'DADOS BRUTOS'!O$3:O$500)+IF($C28="",0,SUMIF('DADOS BRUTOS'!$A$3:$A$500,$C28,'DADOS BRUTOS'!O$3:O$500)))</f>
        <v/>
      </c>
      <c r="CP28" s="132">
        <f>IF(OR(CP$4="",$B28=""),0,SUMIF('DADOS BRUTOS'!$A$3:$A$500,$B28,'DADOS BRUTOS'!P$3:P$500)+IF($C28="",0,SUMIF('DADOS BRUTOS'!$A$3:$A$500,$C28,'DADOS BRUTOS'!P$3:P$500)))</f>
        <v/>
      </c>
      <c r="CQ28" s="132">
        <f>IF(OR(CQ$4="",$B28=""),0,SUMIF('DADOS BRUTOS'!$A$3:$A$500,$B28,'DADOS BRUTOS'!Q$3:Q$500)+IF($C28="",0,SUMIF('DADOS BRUTOS'!$A$3:$A$500,$C28,'DADOS BRUTOS'!Q$3:Q$500)))</f>
        <v/>
      </c>
      <c r="CR28" s="132">
        <f>IF(OR(CR$4="",$B28=""),0,SUMIF('DADOS BRUTOS'!$A$3:$A$500,$B28,'DADOS BRUTOS'!R$3:R$500)+IF($C28="",0,SUMIF('DADOS BRUTOS'!$A$3:$A$500,$C28,'DADOS BRUTOS'!R$3:R$500)))</f>
        <v/>
      </c>
      <c r="CS28" s="132">
        <f>IF(OR(CS$4="",$B28=""),0,SUMIF('DADOS BRUTOS'!$A$3:$A$500,$B28,'DADOS BRUTOS'!S$3:S$500)+IF($C28="",0,SUMIF('DADOS BRUTOS'!$A$3:$A$500,$C28,'DADOS BRUTOS'!S$3:S$500)))</f>
        <v/>
      </c>
      <c r="CT28" s="132">
        <f>IF(OR(CT$4="",$B28=""),0,SUMIF('DADOS BRUTOS'!$A$3:$A$500,$B28,'DADOS BRUTOS'!T$3:T$500)+IF($C28="",0,SUMIF('DADOS BRUTOS'!$A$3:$A$500,$C28,'DADOS BRUTOS'!T$3:T$500)))</f>
        <v/>
      </c>
      <c r="CU28" s="132">
        <f>IF(OR(CU$4="",$B28=""),0,SUMIF('DADOS BRUTOS'!$A$3:$A$500,$B28,'DADOS BRUTOS'!U$3:U$500)+IF($C28="",0,SUMIF('DADOS BRUTOS'!$A$3:$A$500,$C28,'DADOS BRUTOS'!U$3:U$500)))</f>
        <v/>
      </c>
      <c r="CV28" s="132">
        <f>IF(OR(CV$4="",$B28=""),0,SUMIF('DADOS BRUTOS'!$A$3:$A$500,$B28,'DADOS BRUTOS'!V$3:V$500)+IF($C28="",0,SUMIF('DADOS BRUTOS'!$A$3:$A$500,$C28,'DADOS BRUTOS'!V$3:V$500)))</f>
        <v/>
      </c>
      <c r="CW28" s="132">
        <f>IF(OR(CW$4="",$B28=""),0,SUMIF('DADOS BRUTOS'!$A$3:$A$500,$B28,'DADOS BRUTOS'!W$3:W$500)+IF($C28="",0,SUMIF('DADOS BRUTOS'!$A$3:$A$500,$C28,'DADOS BRUTOS'!W$3:W$500)))</f>
        <v/>
      </c>
      <c r="CX28" s="132">
        <f>IF(OR(CX$4="",$B28=""),0,SUMIF('DADOS BRUTOS'!$A$3:$A$500,$B28,'DADOS BRUTOS'!X$3:X$500)+IF($C28="",0,SUMIF('DADOS BRUTOS'!$A$3:$A$500,$C28,'DADOS BRUTOS'!X$3:X$500)))</f>
        <v/>
      </c>
      <c r="CY28" s="132">
        <f>IF(OR(CY$4="",$B28=""),0,SUMIF('DADOS BRUTOS'!$A$3:$A$500,$B28,'DADOS BRUTOS'!Y$3:Y$500)+IF($C28="",0,SUMIF('DADOS BRUTOS'!$A$3:$A$500,$C28,'DADOS BRUTOS'!Y$3:Y$500)))</f>
        <v/>
      </c>
      <c r="CZ28" s="132">
        <f>IF(OR(CZ$4="",$B28=""),0,SUMIF('DADOS BRUTOS'!$A$3:$A$500,$B28,'DADOS BRUTOS'!Z$3:Z$500)+IF($C28="",0,SUMIF('DADOS BRUTOS'!$A$3:$A$500,$C28,'DADOS BRUTOS'!Z$3:Z$500)))</f>
        <v/>
      </c>
      <c r="DA28" s="132">
        <f>IF(OR(DA$4="",$B28=""),0,SUMIF('DADOS BRUTOS'!$A$3:$A$500,$B28,'DADOS BRUTOS'!AA$3:AA$500)+IF($C28="",0,SUMIF('DADOS BRUTOS'!$A$3:$A$500,$C28,'DADOS BRUTOS'!AA$3:AA$500)))</f>
        <v/>
      </c>
      <c r="DB28" s="132">
        <f>IF(OR(DB$4="",$B28=""),0,SUMIF('DADOS BRUTOS'!$A$3:$A$500,$B28,'DADOS BRUTOS'!AB$3:AB$500)+IF($C28="",0,SUMIF('DADOS BRUTOS'!$A$3:$A$500,$C28,'DADOS BRUTOS'!AB$3:AB$500)))</f>
        <v/>
      </c>
      <c r="DC28" s="132">
        <f>IF(OR(DC$4="",$B28=""),0,SUMIF('DADOS BRUTOS'!$A$3:$A$500,$B28,'DADOS BRUTOS'!AC$3:AC$500)+IF($C28="",0,SUMIF('DADOS BRUTOS'!$A$3:$A$500,$C28,'DADOS BRUTOS'!AC$3:AC$500)))</f>
        <v/>
      </c>
      <c r="DD28" s="132">
        <f>IF(OR(DD$4="",$B28=""),0,SUMIF('DADOS BRUTOS'!$A$3:$A$500,$B28,'DADOS BRUTOS'!AD$3:AD$500)+IF($C28="",0,SUMIF('DADOS BRUTOS'!$A$3:$A$500,$C28,'DADOS BRUTOS'!AD$3:AD$500)))</f>
        <v/>
      </c>
      <c r="DE28" s="132">
        <f>IF(OR(DE$4="",$B28=""),0,SUMIF('DADOS BRUTOS'!$A$3:$A$500,$B28,'DADOS BRUTOS'!AE$3:AE$500)+IF($C28="",0,SUMIF('DADOS BRUTOS'!$A$3:$A$500,$C28,'DADOS BRUTOS'!AE$3:AE$500)))</f>
        <v/>
      </c>
      <c r="DF28" s="132">
        <f>IF(OR(DF$4="",$B28=""),0,SUMIF('DADOS BRUTOS'!$A$3:$A$500,$B28,'DADOS BRUTOS'!AF$3:AF$500)+IF($C28="",0,SUMIF('DADOS BRUTOS'!$A$3:$A$500,$C28,'DADOS BRUTOS'!AF$3:AF$500)))</f>
        <v/>
      </c>
      <c r="DG28" s="132">
        <f>IF(OR(DG$4="",$B28=""),0,SUMIF('DADOS BRUTOS'!$A$3:$A$500,$B28,'DADOS BRUTOS'!AG$3:AG$500)+IF($C28="",0,SUMIF('DADOS BRUTOS'!$A$3:$A$500,$C28,'DADOS BRUTOS'!AG$3:AG$500)))</f>
        <v/>
      </c>
      <c r="DH28" s="132">
        <f>IF(OR(DH$4="",$B28=""),0,SUMIF('DADOS BRUTOS'!$A$3:$A$500,$B28,'DADOS BRUTOS'!AH$3:AH$500)+IF($C28="",0,SUMIF('DADOS BRUTOS'!$A$3:$A$500,$C28,'DADOS BRUTOS'!AH$3:AH$500)))</f>
        <v/>
      </c>
      <c r="DI28" s="132">
        <f>IF(OR(DI$4="",$B28=""),0,SUMIF('DADOS BRUTOS'!$A$3:$A$500,$B28,'DADOS BRUTOS'!AI$3:AI$500)+IF($C28="",0,SUMIF('DADOS BRUTOS'!$A$3:$A$500,$C28,'DADOS BRUTOS'!AI$3:AI$500)))</f>
        <v/>
      </c>
      <c r="DJ28" s="132">
        <f>IF(OR(DJ$4="",$B28=""),0,SUMIF('DADOS BRUTOS'!$A$3:$A$500,$B28,'DADOS BRUTOS'!AJ$3:AJ$500)+IF($C28="",0,SUMIF('DADOS BRUTOS'!$A$3:$A$500,$C28,'DADOS BRUTOS'!AJ$3:AJ$500)))</f>
        <v/>
      </c>
      <c r="DK28" s="132">
        <f>IF(OR(DK$4="",$B28=""),0,SUMIF('DADOS BRUTOS'!$A$3:$A$500,$B28,'DADOS BRUTOS'!AK$3:AK$500)+IF($C28="",0,SUMIF('DADOS BRUTOS'!$A$3:$A$500,$C28,'DADOS BRUTOS'!AK$3:AK$500)))</f>
        <v/>
      </c>
      <c r="DL28" s="132">
        <f>IF(OR(DL$4="",$B28=""),0,SUMIF('DADOS BRUTOS'!$A$3:$A$500,$B28,'DADOS BRUTOS'!AL$3:AL$500)+IF($C28="",0,SUMIF('DADOS BRUTOS'!$A$3:$A$500,$C28,'DADOS BRUTOS'!AL$3:AL$500)))</f>
        <v/>
      </c>
      <c r="DM28" s="132">
        <f>IF(OR(DM$4="",$B28=""),0,SUMIF('DADOS BRUTOS'!$A$3:$A$500,$B28,'DADOS BRUTOS'!AM$3:AM$500)+IF($C28="",0,SUMIF('DADOS BRUTOS'!$A$3:$A$500,$C28,'DADOS BRUTOS'!AM$3:AM$500)))</f>
        <v/>
      </c>
      <c r="DN28" s="132">
        <f>IF(OR(DN$4="",$B28=""),0,SUMIF('DADOS BRUTOS'!$A$3:$A$500,$B28,'DADOS BRUTOS'!AN$3:AN$500)+IF($C28="",0,SUMIF('DADOS BRUTOS'!$A$3:$A$500,$C28,'DADOS BRUTOS'!AN$3:AN$500)))</f>
        <v/>
      </c>
      <c r="DO28" s="132">
        <f>IF(OR(DO$4="",$B28=""),0,SUMIF('DADOS BRUTOS'!$A$3:$A$500,$B28,'DADOS BRUTOS'!AO$3:AO$500)+IF($C28="",0,SUMIF('DADOS BRUTOS'!$A$3:$A$500,$C28,'DADOS BRUTOS'!AO$3:AO$500)))</f>
        <v/>
      </c>
      <c r="DP28" s="132">
        <f>IF(OR(DP$4="",$B28=""),0,SUMIF('DADOS BRUTOS'!$A$3:$A$500,$B28,'DADOS BRUTOS'!AP$3:AP$500)+IF($C28="",0,SUMIF('DADOS BRUTOS'!$A$3:$A$500,$C28,'DADOS BRUTOS'!AP$3:AP$500)))</f>
        <v/>
      </c>
      <c r="DQ28" s="132">
        <f>IF(OR(DQ$4="",$B28=""),0,SUMIF('DADOS BRUTOS'!$A$3:$A$500,$B28,'DADOS BRUTOS'!AQ$3:AQ$500)+IF($C28="",0,SUMIF('DADOS BRUTOS'!$A$3:$A$500,$C28,'DADOS BRUTOS'!AQ$3:AQ$500)))</f>
        <v/>
      </c>
      <c r="DR28" s="132">
        <f>IF(OR(DR$4="",$B28=""),0,SUMIF('DADOS BRUTOS'!$A$3:$A$500,$B28,'DADOS BRUTOS'!AR$3:AR$500)+IF($C28="",0,SUMIF('DADOS BRUTOS'!$A$3:$A$500,$C28,'DADOS BRUTOS'!AR$3:AR$500)))</f>
        <v/>
      </c>
      <c r="DS28" s="132">
        <f>IF(OR(DS$4="",$B28=""),0,SUMIF('DADOS BRUTOS'!$A$3:$A$500,$B28,'DADOS BRUTOS'!AS$3:AS$500)+IF($C28="",0,SUMIF('DADOS BRUTOS'!$A$3:$A$500,$C28,'DADOS BRUTOS'!AS$3:AS$500)))</f>
        <v/>
      </c>
      <c r="DT28" s="132">
        <f>IF(OR(DT$4="",$B28=""),0,SUMIF('DADOS BRUTOS'!$A$3:$A$500,$B28,'DADOS BRUTOS'!AT$3:AT$500)+IF($C28="",0,SUMIF('DADOS BRUTOS'!$A$3:$A$500,$C28,'DADOS BRUTOS'!AT$3:AT$500)))</f>
        <v/>
      </c>
      <c r="DU28" s="132">
        <f>IF(OR(DU$4="",$B28=""),0,SUMIF('DADOS BRUTOS'!$A$3:$A$500,$B28,'DADOS BRUTOS'!AU$3:AU$500)+IF($C28="",0,SUMIF('DADOS BRUTOS'!$A$3:$A$500,$C28,'DADOS BRUTOS'!AU$3:AU$500)))</f>
        <v/>
      </c>
      <c r="DV28" s="132">
        <f>IF(OR(DV$4="",$B28=""),0,SUMIF('DADOS BRUTOS'!$A$3:$A$500,$B28,'DADOS BRUTOS'!AV$3:AV$500)+IF($C28="",0,SUMIF('DADOS BRUTOS'!$A$3:$A$500,$C28,'DADOS BRUTOS'!AV$3:AV$500)))</f>
        <v/>
      </c>
      <c r="DW28" s="132">
        <f>IF(OR(DW$4="",$B28=""),0,SUMIF('DADOS BRUTOS'!$A$3:$A$500,$B28,'DADOS BRUTOS'!AW$3:AW$500)+IF($C28="",0,SUMIF('DADOS BRUTOS'!$A$3:$A$500,$C28,'DADOS BRUTOS'!AW$3:AW$500)))</f>
        <v/>
      </c>
      <c r="DX28" s="132">
        <f>IF(OR(DX$4="",$B28=""),0,SUMIF('DADOS BRUTOS'!$A$3:$A$500,$B28,'DADOS BRUTOS'!AX$3:AX$500)+IF($C28="",0,SUMIF('DADOS BRUTOS'!$A$3:$A$500,$C28,'DADOS BRUTOS'!AX$3:AX$500)))</f>
        <v/>
      </c>
      <c r="DY28" s="132">
        <f>IF(OR(DY$4="",$B28=""),0,SUMIF('DADOS BRUTOS'!$A$3:$A$500,$B28,'DADOS BRUTOS'!AY$3:AY$500)+IF($C28="",0,SUMIF('DADOS BRUTOS'!$A$3:$A$500,$C28,'DADOS BRUTOS'!AY$3:AY$500)))</f>
        <v/>
      </c>
      <c r="DZ28" s="132">
        <f>IF(OR(DZ$4="",$B28=""),0,SUMIF('DADOS BRUTOS'!$A$3:$A$500,$B28,'DADOS BRUTOS'!AZ$3:AZ$500)+IF($C28="",0,SUMIF('DADOS BRUTOS'!$A$3:$A$500,$C28,'DADOS BRUTOS'!AZ$3:AZ$500)))</f>
        <v/>
      </c>
      <c r="EA28" s="132">
        <f>IF(OR(EA$4="",$B28=""),0,SUMIF('DADOS BRUTOS'!$A$3:$A$500,$B28,'DADOS BRUTOS'!BA$3:BA$500)+IF($C28="",0,SUMIF('DADOS BRUTOS'!$A$3:$A$500,$C28,'DADOS BRUTOS'!BA$3:BA$500)))</f>
        <v/>
      </c>
      <c r="EB28" s="132">
        <f>IF(OR(EB$4="",$B28=""),0,SUMIF('DADOS BRUTOS'!$A$3:$A$500,$B28,'DADOS BRUTOS'!BB$3:BB$500)+IF($C28="",0,SUMIF('DADOS BRUTOS'!$A$3:$A$500,$C28,'DADOS BRUTOS'!BB$3:BB$500)))</f>
        <v/>
      </c>
      <c r="EC28" s="132">
        <f>IF(OR(EC$4="",$B28=""),0,SUMIF('DADOS BRUTOS'!$A$3:$A$500,$B28,'DADOS BRUTOS'!BC$3:BC$500)+IF($C28="",0,SUMIF('DADOS BRUTOS'!$A$3:$A$500,$C28,'DADOS BRUTOS'!BC$3:BC$500)))</f>
        <v/>
      </c>
      <c r="ED28" s="132">
        <f>IF(OR(ED$4="",$B28=""),0,SUMIF('DADOS BRUTOS'!$A$3:$A$500,$B28,'DADOS BRUTOS'!BD$3:BD$500)+IF($C28="",0,SUMIF('DADOS BRUTOS'!$A$3:$A$500,$C28,'DADOS BRUTOS'!BD$3:BD$500)))</f>
        <v/>
      </c>
      <c r="EE28" s="132">
        <f>IF(OR(EE$4="",$B28=""),0,SUMIF('DADOS BRUTOS'!$A$3:$A$500,$B28,'DADOS BRUTOS'!BE$3:BE$500)+IF($C28="",0,SUMIF('DADOS BRUTOS'!$A$3:$A$500,$C28,'DADOS BRUTOS'!BE$3:BE$500)))</f>
        <v/>
      </c>
      <c r="EF28" s="132">
        <f>IF(OR(EF$4="",$B28=""),0,SUMIF('DADOS BRUTOS'!$A$3:$A$500,$B28,'DADOS BRUTOS'!BF$3:BF$500)+IF($C28="",0,SUMIF('DADOS BRUTOS'!$A$3:$A$500,$C28,'DADOS BRUTOS'!BF$3:BF$500)))</f>
        <v/>
      </c>
      <c r="EG28" s="132">
        <f>IF(OR(EG$4="",$B28=""),0,SUMIF('DADOS BRUTOS'!$A$3:$A$500,$B28,'DADOS BRUTOS'!BG$3:BG$500)+IF($C28="",0,SUMIF('DADOS BRUTOS'!$A$3:$A$500,$C28,'DADOS BRUTOS'!BG$3:BG$500)))</f>
        <v/>
      </c>
      <c r="EH28" s="132">
        <f>IF(OR(EH$4="",$B28=""),0,SUMIF('DADOS BRUTOS'!$A$3:$A$500,$B28,'DADOS BRUTOS'!BH$3:BH$500)+IF($C28="",0,SUMIF('DADOS BRUTOS'!$A$3:$A$500,$C28,'DADOS BRUTOS'!BH$3:BH$500)))</f>
        <v/>
      </c>
      <c r="EI28" s="132">
        <f>IF(OR(EI$4="",$B28=""),0,SUMIF('DADOS BRUTOS'!$A$3:$A$500,$B28,'DADOS BRUTOS'!BI$3:BI$500)+IF($C28="",0,SUMIF('DADOS BRUTOS'!$A$3:$A$500,$C28,'DADOS BRUTOS'!BI$3:BI$500)))</f>
        <v/>
      </c>
      <c r="EJ28" s="132">
        <f>IF(OR(EJ$4="",$B28=""),0,SUMIF('DADOS BRUTOS'!$A$3:$A$500,$B28,'DADOS BRUTOS'!BJ$3:BJ$500)+IF($C28="",0,SUMIF('DADOS BRUTOS'!$A$3:$A$500,$C28,'DADOS BRUTOS'!BJ$3:BJ$500)))</f>
        <v/>
      </c>
      <c r="EK28" s="132">
        <f>IF(OR(EK$4="",$B28=""),0,SUMIF('DADOS BRUTOS'!$A$3:$A$500,$B28,'DADOS BRUTOS'!BK$3:BK$500)+IF($C28="",0,SUMIF('DADOS BRUTOS'!$A$3:$A$500,$C28,'DADOS BRUTOS'!BK$3:BK$500)))</f>
        <v/>
      </c>
      <c r="EL28" s="132">
        <f>IF(OR(EL$4="",$B28=""),0,SUMIF('DADOS BRUTOS'!$A$3:$A$500,$B28,'DADOS BRUTOS'!BL$3:BL$500)+IF($C28="",0,SUMIF('DADOS BRUTOS'!$A$3:$A$500,$C28,'DADOS BRUTOS'!BL$3:BL$500)))</f>
        <v/>
      </c>
      <c r="EM28" s="132">
        <f>IF(OR(EM$4="",$B28=""),0,SUMIF('DADOS BRUTOS'!$A$3:$A$500,$B28,'DADOS BRUTOS'!BM$3:BM$500)+IF($C28="",0,SUMIF('DADOS BRUTOS'!$A$3:$A$500,$C28,'DADOS BRUTOS'!BM$3:BM$500)))</f>
        <v/>
      </c>
      <c r="EN28" s="132">
        <f>IF(OR(EN$4="",$B28=""),0,SUMIF('DADOS BRUTOS'!$A$3:$A$500,$B28,'DADOS BRUTOS'!BN$3:BN$500)+IF($C28="",0,SUMIF('DADOS BRUTOS'!$A$3:$A$500,$C28,'DADOS BRUTOS'!BN$3:BN$500)))</f>
        <v/>
      </c>
      <c r="EO28" s="132">
        <f>IF(OR(EO$4="",$B28=""),0,SUMIF('DADOS BRUTOS'!$A$3:$A$500,$B28,'DADOS BRUTOS'!BO$3:BO$500)+IF($C28="",0,SUMIF('DADOS BRUTOS'!$A$3:$A$500,$C28,'DADOS BRUTOS'!BO$3:BO$500)))</f>
        <v/>
      </c>
      <c r="EP28" s="132">
        <f>IF(OR(EP$4="",$B28=""),0,SUMIF('DADOS BRUTOS'!$A$3:$A$500,$B28,'DADOS BRUTOS'!BP$3:BP$500)+IF($C28="",0,SUMIF('DADOS BRUTOS'!$A$3:$A$500,$C28,'DADOS BRUTOS'!BP$3:BP$500)))</f>
        <v/>
      </c>
      <c r="EQ28" s="132">
        <f>IF(OR(EQ$4="",$B28=""),0,SUMIF('DADOS BRUTOS'!$A$3:$A$500,$B28,'DADOS BRUTOS'!BQ$3:BQ$500)+IF($C28="",0,SUMIF('DADOS BRUTOS'!$A$3:$A$500,$C28,'DADOS BRUTOS'!BQ$3:BQ$500)))</f>
        <v/>
      </c>
      <c r="ER28" s="132">
        <f>IF(OR(ER$4="",$B28=""),0,SUMIF('DADOS BRUTOS'!$A$3:$A$500,$B28,'DADOS BRUTOS'!BR$3:BR$500)+IF($C28="",0,SUMIF('DADOS BRUTOS'!$A$3:$A$500,$C28,'DADOS BRUTOS'!BR$3:BR$500)))</f>
        <v/>
      </c>
      <c r="ES28" s="132">
        <f>IF(OR(ES$4="",$B28=""),0,SUMIF('DADOS BRUTOS'!$A$3:$A$500,$B28,'DADOS BRUTOS'!BS$3:BS$500)+IF($C28="",0,SUMIF('DADOS BRUTOS'!$A$3:$A$500,$C28,'DADOS BRUTOS'!BS$3:BS$500)))</f>
        <v/>
      </c>
      <c r="ET28" s="132">
        <f>IF(OR(ET$4="",$B28=""),0,SUMIF('DADOS BRUTOS'!$A$3:$A$500,$B28,'DADOS BRUTOS'!BT$3:BT$500)+IF($C28="",0,SUMIF('DADOS BRUTOS'!$A$3:$A$500,$C28,'DADOS BRUTOS'!BT$3:BT$500)))</f>
        <v/>
      </c>
      <c r="EU28" s="132">
        <f>IF(OR(EU$4="",$B28=""),0,SUMIF('DADOS BRUTOS'!$A$3:$A$500,$B28,'DADOS BRUTOS'!BU$3:BU$500)+IF($C28="",0,SUMIF('DADOS BRUTOS'!$A$3:$A$500,$C28,'DADOS BRUTOS'!BU$3:BU$500)))</f>
        <v/>
      </c>
      <c r="EV28" s="132">
        <f>IF(OR(EV$4="",$B28=""),0,SUMIF('DADOS BRUTOS'!$A$3:$A$500,$B28,'DADOS BRUTOS'!BV$3:BV$500)+IF($C28="",0,SUMIF('DADOS BRUTOS'!$A$3:$A$500,$C28,'DADOS BRUTOS'!BV$3:BV$500)))</f>
        <v/>
      </c>
      <c r="EW28" s="132">
        <f>IF(OR(EW$4="",$B28=""),0,SUMIF('DADOS BRUTOS'!$A$3:$A$500,$B28,'DADOS BRUTOS'!BW$3:BW$500)+IF($C28="",0,SUMIF('DADOS BRUTOS'!$A$3:$A$500,$C28,'DADOS BRUTOS'!BW$3:BW$500)))</f>
        <v/>
      </c>
      <c r="EX28" s="132">
        <f>IF(OR(EX$4="",$B28=""),0,SUMIF('DADOS BRUTOS'!$A$3:$A$500,$B28,'DADOS BRUTOS'!BX$3:BX$500)+IF($C28="",0,SUMIF('DADOS BRUTOS'!$A$3:$A$500,$C28,'DADOS BRUTOS'!BX$3:BX$500)))</f>
        <v/>
      </c>
      <c r="EY28" s="132">
        <f>IF(OR(EY$4="",$B28=""),0,SUMIF('DADOS BRUTOS'!$A$3:$A$500,$B28,'DADOS BRUTOS'!BY$3:BY$500)+IF($C28="",0,SUMIF('DADOS BRUTOS'!$A$3:$A$500,$C28,'DADOS BRUTOS'!BY$3:BY$500)))</f>
        <v/>
      </c>
      <c r="EZ28" s="132">
        <f>IF(OR(EZ$4="",$B28=""),0,SUMIF('DADOS BRUTOS'!$A$3:$A$500,$B28,'DADOS BRUTOS'!BZ$3:BZ$500)+IF($C28="",0,SUMIF('DADOS BRUTOS'!$A$3:$A$500,$C28,'DADOS BRUTOS'!BZ$3:BZ$500)))</f>
        <v/>
      </c>
      <c r="FA28" s="132">
        <f>IF(OR(FA$4="",$B28=""),0,SUMIF('DADOS BRUTOS'!$A$3:$A$500,$B28,'DADOS BRUTOS'!CA$3:CA$500)+IF($C28="",0,SUMIF('DADOS BRUTOS'!$A$3:$A$500,$C28,'DADOS BRUTOS'!CA$3:CA$500)))</f>
        <v/>
      </c>
      <c r="FB28" s="132">
        <f>IF(OR(FB$4="",$B28=""),0,SUMIF('DADOS BRUTOS'!$A$3:$A$500,$B28,'DADOS BRUTOS'!CB$3:CB$500)+IF($C28="",0,SUMIF('DADOS BRUTOS'!$A$3:$A$500,$C28,'DADOS BRUTOS'!CB$3:CB$500)))</f>
        <v/>
      </c>
      <c r="FC28" s="132">
        <f>IF(OR(FC$4="",$B28=""),0,SUMIF('DADOS BRUTOS'!$A$3:$A$500,$B28,'DADOS BRUTOS'!CC$3:CC$500)+IF($C28="",0,SUMIF('DADOS BRUTOS'!$A$3:$A$500,$C28,'DADOS BRUTOS'!CC$3:CC$500)))</f>
        <v/>
      </c>
      <c r="FD28" s="132">
        <f>IF(OR(FD$4="",$B28=""),0,SUMIF('DADOS BRUTOS'!$A$3:$A$500,$B28,'DADOS BRUTOS'!CD$3:CD$500)+IF($C28="",0,SUMIF('DADOS BRUTOS'!$A$3:$A$500,$C28,'DADOS BRUTOS'!CD$3:CD$500)))</f>
        <v/>
      </c>
      <c r="FE28" s="132">
        <f>IF(OR(FE$4="",$B28=""),0,SUMIF('DADOS BRUTOS'!$A$3:$A$500,$B28,'DADOS BRUTOS'!CE$3:CE$500)+IF($C28="",0,SUMIF('DADOS BRUTOS'!$A$3:$A$500,$C28,'DADOS BRUTOS'!CE$3:CE$500)))</f>
        <v/>
      </c>
      <c r="FF28" s="132">
        <f>IF(OR(FF$4="",$B28=""),0,SUMIF('DADOS BRUTOS'!$A$3:$A$500,$B28,'DADOS BRUTOS'!CF$3:CF$500)+IF($C28="",0,SUMIF('DADOS BRUTOS'!$A$3:$A$500,$C28,'DADOS BRUTOS'!CF$3:CF$500)))</f>
        <v/>
      </c>
      <c r="FG28" s="132">
        <f>IF(OR(FG$4="",$B28=""),0,SUMIF('DADOS BRUTOS'!$A$3:$A$500,$B28,'DADOS BRUTOS'!CG$3:CG$500)+IF($C28="",0,SUMIF('DADOS BRUTOS'!$A$3:$A$500,$C28,'DADOS BRUTOS'!CG$3:CG$500)))</f>
        <v/>
      </c>
      <c r="FH28" s="132">
        <f>IF(OR(FH$4="",$B28=""),0,SUMIF('DADOS BRUTOS'!$A$3:$A$500,$B28,'DADOS BRUTOS'!CH$3:CH$500)+IF($C28="",0,SUMIF('DADOS BRUTOS'!$A$3:$A$500,$C28,'DADOS BRUTOS'!CH$3:CH$500)))</f>
        <v/>
      </c>
      <c r="FI28" s="132">
        <f>IF(OR(FI$4="",$B28=""),0,SUMIF('DADOS BRUTOS'!$A$3:$A$500,$B28,'DADOS BRUTOS'!CI$3:CI$500)+IF($C28="",0,SUMIF('DADOS BRUTOS'!$A$3:$A$500,$C28,'DADOS BRUTOS'!CI$3:CI$500)))</f>
        <v/>
      </c>
      <c r="FJ28" s="132">
        <f>IF(OR(FJ$4="",$B28=""),0,SUMIF('DADOS BRUTOS'!$A$3:$A$500,$B28,'DADOS BRUTOS'!CJ$3:CJ$500)+IF($C28="",0,SUMIF('DADOS BRUTOS'!$A$3:$A$500,$C28,'DADOS BRUTOS'!CJ$3:CJ$500)))</f>
        <v/>
      </c>
      <c r="FK28" s="132">
        <f>IF(OR(FK$4="",$B28=""),0,SUMIF('DADOS BRUTOS'!$A$3:$A$500,$B28,'DADOS BRUTOS'!CK$3:CK$500)+IF($C28="",0,SUMIF('DADOS BRUTOS'!$A$3:$A$500,$C28,'DADOS BRUTOS'!CK$3:CK$500)))</f>
        <v/>
      </c>
      <c r="FL28" s="132">
        <f>IF(OR(FL$4="",$B28=""),0,SUMIF('DADOS BRUTOS'!$A$3:$A$500,$B28,'DADOS BRUTOS'!CL$3:CL$500)+IF($C28="",0,SUMIF('DADOS BRUTOS'!$A$3:$A$500,$C28,'DADOS BRUTOS'!CL$3:CL$500)))</f>
        <v/>
      </c>
      <c r="FM28" s="132">
        <f>IF(OR(FM$4="",$B28=""),0,SUMIF('DADOS BRUTOS'!$A$3:$A$500,$B28,'DADOS BRUTOS'!CM$3:CM$500)+IF($C28="",0,SUMIF('DADOS BRUTOS'!$A$3:$A$500,$C28,'DADOS BRUTOS'!CM$3:CM$500)))</f>
        <v/>
      </c>
      <c r="FN28" s="132">
        <f>IF(OR(FN$4="",$B28=""),0,SUMIF('DADOS BRUTOS'!$A$3:$A$500,$B28,'DADOS BRUTOS'!CN$3:CN$500)+IF($C28="",0,SUMIF('DADOS BRUTOS'!$A$3:$A$500,$C28,'DADOS BRUTOS'!CN$3:CN$500)))</f>
        <v/>
      </c>
      <c r="FO28" s="132">
        <f>IF(OR(FO$4="",$B28=""),0,SUMIF('DADOS BRUTOS'!$A$3:$A$500,$B28,'DADOS BRUTOS'!CO$3:CO$500)+IF($C28="",0,SUMIF('DADOS BRUTOS'!$A$3:$A$500,$C28,'DADOS BRUTOS'!CO$3:CO$500)))</f>
        <v/>
      </c>
      <c r="FP28" s="132">
        <f>IF(OR(FP$4="",$B28=""),0,SUMIF('DADOS BRUTOS'!$A$3:$A$500,$B28,'DADOS BRUTOS'!CP$3:CP$500)+IF($C28="",0,SUMIF('DADOS BRUTOS'!$A$3:$A$500,$C28,'DADOS BRUTOS'!CP$3:CP$500)))</f>
        <v/>
      </c>
      <c r="FQ28" s="132">
        <f>IF(OR(FQ$4="",$B28=""),0,SUMIF('DADOS BRUTOS'!$A$3:$A$500,$B28,'DADOS BRUTOS'!CQ$3:CQ$500)+IF($C28="",0,SUMIF('DADOS BRUTOS'!$A$3:$A$500,$C28,'DADOS BRUTOS'!CQ$3:CQ$500)))</f>
        <v/>
      </c>
      <c r="FR28" s="132">
        <f>IF(OR(FR$4="",$B28=""),0,SUMIF('DADOS BRUTOS'!$A$3:$A$500,$B28,'DADOS BRUTOS'!CR$3:CR$500)+IF($C28="",0,SUMIF('DADOS BRUTOS'!$A$3:$A$500,$C28,'DADOS BRUTOS'!CR$3:CR$500)))</f>
        <v/>
      </c>
      <c r="FS28" s="132">
        <f>IF(OR(FS$4="",$B28=""),0,SUMIF('DADOS BRUTOS'!$A$3:$A$500,$B28,'DADOS BRUTOS'!CS$3:CS$500)+IF($C28="",0,SUMIF('DADOS BRUTOS'!$A$3:$A$500,$C28,'DADOS BRUTOS'!CS$3:CS$500)))</f>
        <v/>
      </c>
      <c r="FT28" s="132">
        <f>IF(OR(FT$4="",$B28=""),0,SUMIF('DADOS BRUTOS'!$A$3:$A$500,$B28,'DADOS BRUTOS'!CT$3:CT$500)+IF($C28="",0,SUMIF('DADOS BRUTOS'!$A$3:$A$500,$C28,'DADOS BRUTOS'!CT$3:CT$500)))</f>
        <v/>
      </c>
      <c r="FU28" s="132">
        <f>IF(OR(FU$4="",$B28=""),0,SUMIF('DADOS BRUTOS'!$A$3:$A$500,$B28,'DADOS BRUTOS'!CU$3:CU$500)+IF($C28="",0,SUMIF('DADOS BRUTOS'!$A$3:$A$500,$C28,'DADOS BRUTOS'!CU$3:CU$500)))</f>
        <v/>
      </c>
      <c r="FV28" s="132">
        <f>IF(OR(FV$4="",$B28=""),0,SUMIF('DADOS BRUTOS'!$A$3:$A$500,$B28,'DADOS BRUTOS'!CV$3:CV$500)+IF($C28="",0,SUMIF('DADOS BRUTOS'!$A$3:$A$500,$C28,'DADOS BRUTOS'!CV$3:CV$500)))</f>
        <v/>
      </c>
      <c r="FW28" s="132">
        <f>IF(OR(FW$4="",$B28=""),0,SUMIF('DADOS BRUTOS'!$A$3:$A$500,$B28,'DADOS BRUTOS'!CW$3:CW$500)+IF($C28="",0,SUMIF('DADOS BRUTOS'!$A$3:$A$500,$C28,'DADOS BRUTOS'!CW$3:CW$500)))</f>
        <v/>
      </c>
      <c r="FX28" s="132">
        <f>IF(OR(FX$4="",$B28=""),0,SUMIF('DADOS BRUTOS'!$A$3:$A$500,$B28,'DADOS BRUTOS'!CX$3:CX$500)+IF($C28="",0,SUMIF('DADOS BRUTOS'!$A$3:$A$500,$C28,'DADOS BRUTOS'!CX$3:CX$500)))</f>
        <v/>
      </c>
      <c r="FY28" s="132">
        <f>IF(OR(FY$4="",$B28=""),0,SUMIF('DADOS BRUTOS'!$A$3:$A$500,$B28,'DADOS BRUTOS'!CY$3:CY$500)+IF($C28="",0,SUMIF('DADOS BRUTOS'!$A$3:$A$500,$C28,'DADOS BRUTOS'!CY$3:CY$500)))</f>
        <v/>
      </c>
      <c r="FZ28" s="132">
        <f>IF(OR(FZ$4="",$B28=""),0,SUMIF('DADOS BRUTOS'!$A$3:$A$500,$B28,'DADOS BRUTOS'!CZ$3:CZ$500)+IF($C28="",0,SUMIF('DADOS BRUTOS'!$A$3:$A$500,$C28,'DADOS BRUTOS'!CZ$3:CZ$500)))</f>
        <v/>
      </c>
      <c r="GA28" s="132">
        <f>IF(OR(GA$4="",$B28=""),0,SUMIF('DADOS BRUTOS'!$A$3:$A$500,$B28,'DADOS BRUTOS'!DA$3:DA$500)+IF($C28="",0,SUMIF('DADOS BRUTOS'!$A$3:$A$500,$C28,'DADOS BRUTOS'!DA$3:DA$500)))</f>
        <v/>
      </c>
      <c r="GB28" s="132">
        <f>IF(OR(GB$4="",$B28=""),0,SUMIF('DADOS BRUTOS'!$A$3:$A$500,$B28,'DADOS BRUTOS'!DB$3:DB$500)+IF($C28="",0,SUMIF('DADOS BRUTOS'!$A$3:$A$500,$C28,'DADOS BRUTOS'!DB$3:DB$500)))</f>
        <v/>
      </c>
      <c r="GC28" s="132">
        <f>IF(OR(GC$4="",$B28=""),0,SUMIF('DADOS BRUTOS'!$A$3:$A$500,$B28,'DADOS BRUTOS'!DC$3:DC$500)+IF($C28="",0,SUMIF('DADOS BRUTOS'!$A$3:$A$500,$C28,'DADOS BRUTOS'!DC$3:DC$500)))</f>
        <v/>
      </c>
      <c r="GD28" s="132">
        <f>IF(OR(GD$4="",$B28=""),0,SUMIF('DADOS BRUTOS'!$A$3:$A$500,$B28,'DADOS BRUTOS'!DD$3:DD$500)+IF($C28="",0,SUMIF('DADOS BRUTOS'!$A$3:$A$500,$C28,'DADOS BRUTOS'!DD$3:DD$500)))</f>
        <v/>
      </c>
      <c r="GE28" s="132">
        <f>IF(OR(GE$4="",$B28=""),0,SUMIF('DADOS BRUTOS'!$A$3:$A$500,$B28,'DADOS BRUTOS'!DE$3:DE$500)+IF($C28="",0,SUMIF('DADOS BRUTOS'!$A$3:$A$500,$C28,'DADOS BRUTOS'!DE$3:DE$500)))</f>
        <v/>
      </c>
      <c r="GF28" s="132">
        <f>IF(OR(GF$4="",$B28=""),0,SUMIF('DADOS BRUTOS'!$A$3:$A$500,$B28,'DADOS BRUTOS'!DF$3:DF$500)+IF($C28="",0,SUMIF('DADOS BRUTOS'!$A$3:$A$500,$C28,'DADOS BRUTOS'!DF$3:DF$500)))</f>
        <v/>
      </c>
      <c r="GG28" s="132">
        <f>IF(OR(GG$4="",$B28=""),0,SUMIF('DADOS BRUTOS'!$A$3:$A$500,$B28,'DADOS BRUTOS'!DG$3:DG$500)+IF($C28="",0,SUMIF('DADOS BRUTOS'!$A$3:$A$500,$C28,'DADOS BRUTOS'!DG$3:DG$500)))</f>
        <v/>
      </c>
      <c r="GH28" s="132">
        <f>IF(OR(GH$4="",$B28=""),0,SUMIF('DADOS BRUTOS'!$A$3:$A$500,$B28,'DADOS BRUTOS'!DH$3:DH$500)+IF($C28="",0,SUMIF('DADOS BRUTOS'!$A$3:$A$500,$C28,'DADOS BRUTOS'!DH$3:DH$500)))</f>
        <v/>
      </c>
      <c r="GI28" s="132">
        <f>IF(OR(GI$4="",$B28=""),0,SUMIF('DADOS BRUTOS'!$A$3:$A$500,$B28,'DADOS BRUTOS'!DI$3:DI$500)+IF($C28="",0,SUMIF('DADOS BRUTOS'!$A$3:$A$500,$C28,'DADOS BRUTOS'!DI$3:DI$500)))</f>
        <v/>
      </c>
      <c r="GJ28" s="132">
        <f>IF(OR(GJ$4="",$B28=""),0,SUMIF('DADOS BRUTOS'!$A$3:$A$500,$B28,'DADOS BRUTOS'!DJ$3:DJ$500)+IF($C28="",0,SUMIF('DADOS BRUTOS'!$A$3:$A$500,$C28,'DADOS BRUTOS'!DJ$3:DJ$500)))</f>
        <v/>
      </c>
      <c r="GK28" s="132">
        <f>IF(OR(GK$4="",$B28=""),0,SUMIF('DADOS BRUTOS'!$A$3:$A$500,$B28,'DADOS BRUTOS'!DK$3:DK$500)+IF($C28="",0,SUMIF('DADOS BRUTOS'!$A$3:$A$500,$C28,'DADOS BRUTOS'!DK$3:DK$500)))</f>
        <v/>
      </c>
      <c r="GL28" s="132">
        <f>IF(OR(GL$4="",$B28=""),0,SUMIF('DADOS BRUTOS'!$A$3:$A$500,$B28,'DADOS BRUTOS'!DL$3:DL$500)+IF($C28="",0,SUMIF('DADOS BRUTOS'!$A$3:$A$500,$C28,'DADOS BRUTOS'!DL$3:DL$500)))</f>
        <v/>
      </c>
      <c r="GM28" s="132">
        <f>IF(OR(GM$4="",$B28=""),0,SUMIF('DADOS BRUTOS'!$A$3:$A$500,$B28,'DADOS BRUTOS'!DM$3:DM$500)+IF($C28="",0,SUMIF('DADOS BRUTOS'!$A$3:$A$500,$C28,'DADOS BRUTOS'!DM$3:DM$500)))</f>
        <v/>
      </c>
      <c r="GN28" s="132">
        <f>IF(OR(GN$4="",$B28=""),0,SUMIF('DADOS BRUTOS'!$A$3:$A$500,$B28,'DADOS BRUTOS'!DN$3:DN$500)+IF($C28="",0,SUMIF('DADOS BRUTOS'!$A$3:$A$500,$C28,'DADOS BRUTOS'!DN$3:DN$500)))</f>
        <v/>
      </c>
      <c r="GO28" s="132">
        <f>IF(OR(GO$4="",$B28=""),0,SUMIF('DADOS BRUTOS'!$A$3:$A$500,$B28,'DADOS BRUTOS'!DO$3:DO$500)+IF($C28="",0,SUMIF('DADOS BRUTOS'!$A$3:$A$500,$C28,'DADOS BRUTOS'!DO$3:DO$500)))</f>
        <v/>
      </c>
      <c r="GP28" s="132">
        <f>IF(OR(GP$4="",$B28=""),0,SUMIF('DADOS BRUTOS'!$A$3:$A$500,$B28,'DADOS BRUTOS'!DP$3:DP$500)+IF($C28="",0,SUMIF('DADOS BRUTOS'!$A$3:$A$500,$C28,'DADOS BRUTOS'!DP$3:DP$500)))</f>
        <v/>
      </c>
      <c r="GQ28" s="132">
        <f>IF(OR(GQ$4="",$B28=""),0,SUMIF('DADOS BRUTOS'!$A$3:$A$500,$B28,'DADOS BRUTOS'!DQ$3:DQ$500)+IF($C28="",0,SUMIF('DADOS BRUTOS'!$A$3:$A$500,$C28,'DADOS BRUTOS'!DQ$3:DQ$500)))</f>
        <v/>
      </c>
      <c r="GR28" s="132">
        <f>IF(OR(GR$4="",$B28=""),0,SUMIF('DADOS BRUTOS'!$A$3:$A$500,$B28,'DADOS BRUTOS'!DR$3:DR$500)+IF($C28="",0,SUMIF('DADOS BRUTOS'!$A$3:$A$500,$C28,'DADOS BRUTOS'!DR$3:DR$500)))</f>
        <v/>
      </c>
      <c r="GS28" s="132">
        <f>IF(OR(GS$4="",$B28=""),0,SUMIF('DADOS BRUTOS'!$A$3:$A$500,$B28,'DADOS BRUTOS'!DS$3:DS$500)+IF($C28="",0,SUMIF('DADOS BRUTOS'!$A$3:$A$500,$C28,'DADOS BRUTOS'!DS$3:DS$500)))</f>
        <v/>
      </c>
      <c r="GT28" s="132">
        <f>IF(OR(GT$4="",$B28=""),0,SUMIF('DADOS BRUTOS'!$A$3:$A$500,$B28,'DADOS BRUTOS'!DT$3:DT$500)+IF($C28="",0,SUMIF('DADOS BRUTOS'!$A$3:$A$500,$C28,'DADOS BRUTOS'!DT$3:DT$500)))</f>
        <v/>
      </c>
      <c r="GU28" s="132">
        <f>IF(OR(GU$4="",$B28=""),0,SUMIF('DADOS BRUTOS'!$A$3:$A$500,$B28,'DADOS BRUTOS'!DU$3:DU$500)+IF($C28="",0,SUMIF('DADOS BRUTOS'!$A$3:$A$500,$C28,'DADOS BRUTOS'!DU$3:DU$500)))</f>
        <v/>
      </c>
      <c r="GV28" s="132">
        <f>IF(OR(GV$4="",$B28=""),0,SUMIF('DADOS BRUTOS'!$A$3:$A$500,$B28,'DADOS BRUTOS'!DV$3:DV$500)+IF($C28="",0,SUMIF('DADOS BRUTOS'!$A$3:$A$500,$C28,'DADOS BRUTOS'!DV$3:DV$500)))</f>
        <v/>
      </c>
      <c r="GW28" s="132">
        <f>IF(OR(GW$4="",$B28=""),0,SUMIF('DADOS BRUTOS'!$A$3:$A$500,$B28,'DADOS BRUTOS'!DW$3:DW$500)+IF($C28="",0,SUMIF('DADOS BRUTOS'!$A$3:$A$500,$C28,'DADOS BRUTOS'!DW$3:DW$500)))</f>
        <v/>
      </c>
      <c r="GX28" s="132">
        <f>IF(OR(GX$4="",$B28=""),0,SUMIF('DADOS BRUTOS'!$A$3:$A$500,$B28,'DADOS BRUTOS'!DX$3:DX$500)+IF($C28="",0,SUMIF('DADOS BRUTOS'!$A$3:$A$500,$C28,'DADOS BRUTOS'!DX$3:DX$500)))</f>
        <v/>
      </c>
      <c r="GY28" s="132">
        <f>IF(OR(GY$4="",$B28=""),0,SUMIF('DADOS BRUTOS'!$A$3:$A$500,$B28,'DADOS BRUTOS'!DY$3:DY$500)+IF($C28="",0,SUMIF('DADOS BRUTOS'!$A$3:$A$500,$C28,'DADOS BRUTOS'!DY$3:DY$500)))</f>
        <v/>
      </c>
      <c r="GZ28" s="132">
        <f>IF(OR(GZ$4="",$B28=""),0,SUMIF('DADOS BRUTOS'!$A$3:$A$500,$B28,'DADOS BRUTOS'!DZ$3:DZ$500)+IF($C28="",0,SUMIF('DADOS BRUTOS'!$A$3:$A$500,$C28,'DADOS BRUTOS'!DZ$3:DZ$500)))</f>
        <v/>
      </c>
      <c r="HA28" s="132">
        <f>IF(OR(HA$4="",$B28=""),0,SUMIF('DADOS BRUTOS'!$A$3:$A$500,$B28,'DADOS BRUTOS'!EA$3:EA$500)+IF($C28="",0,SUMIF('DADOS BRUTOS'!$A$3:$A$500,$C28,'DADOS BRUTOS'!EA$3:EA$500)))</f>
        <v/>
      </c>
      <c r="HB28" s="132">
        <f>IF(OR(HB$4="",$B28=""),0,SUMIF('DADOS BRUTOS'!$A$3:$A$500,$B28,'DADOS BRUTOS'!EB$3:EB$500)+IF($C28="",0,SUMIF('DADOS BRUTOS'!$A$3:$A$500,$C28,'DADOS BRUTOS'!EB$3:EB$500)))</f>
        <v/>
      </c>
      <c r="HC28" s="132">
        <f>IF(OR(HC$4="",$B28=""),0,SUMIF('DADOS BRUTOS'!$A$3:$A$500,$B28,'DADOS BRUTOS'!EC$3:EC$500)+IF($C28="",0,SUMIF('DADOS BRUTOS'!$A$3:$A$500,$C28,'DADOS BRUTOS'!EC$3:EC$500)))</f>
        <v/>
      </c>
      <c r="HD28" s="132">
        <f>IF(OR(HD$4="",$B28=""),0,SUMIF('DADOS BRUTOS'!$A$3:$A$500,$B28,'DADOS BRUTOS'!ED$3:ED$500)+IF($C28="",0,SUMIF('DADOS BRUTOS'!$A$3:$A$500,$C28,'DADOS BRUTOS'!ED$3:ED$500)))</f>
        <v/>
      </c>
      <c r="HE28" s="132">
        <f>IF(OR(HE$4="",$B28=""),0,SUMIF('DADOS BRUTOS'!$A$3:$A$500,$B28,'DADOS BRUTOS'!EE$3:EE$500)+IF($C28="",0,SUMIF('DADOS BRUTOS'!$A$3:$A$500,$C28,'DADOS BRUTOS'!EE$3:EE$500)))</f>
        <v/>
      </c>
      <c r="HF28" s="132">
        <f>IF(OR(HF$4="",$B28=""),0,SUMIF('DADOS BRUTOS'!$A$3:$A$500,$B28,'DADOS BRUTOS'!EF$3:EF$500)+IF($C28="",0,SUMIF('DADOS BRUTOS'!$A$3:$A$500,$C28,'DADOS BRUTOS'!EF$3:EF$500)))</f>
        <v/>
      </c>
      <c r="HG28" s="132">
        <f>IF(OR(HG$4="",$B28=""),0,SUMIF('DADOS BRUTOS'!$A$3:$A$500,$B28,'DADOS BRUTOS'!EG$3:EG$500)+IF($C28="",0,SUMIF('DADOS BRUTOS'!$A$3:$A$500,$C28,'DADOS BRUTOS'!EG$3:EG$500)))</f>
        <v/>
      </c>
      <c r="HH28" s="132">
        <f>IF(OR(HH$4="",$B28=""),0,SUMIF('DADOS BRUTOS'!$A$3:$A$500,$B28,'DADOS BRUTOS'!EH$3:EH$500)+IF($C28="",0,SUMIF('DADOS BRUTOS'!$A$3:$A$500,$C28,'DADOS BRUTOS'!EH$3:EH$500)))</f>
        <v/>
      </c>
      <c r="HI28" s="132">
        <f>IF(OR(HI$4="",$B28=""),0,SUMIF('DADOS BRUTOS'!$A$3:$A$500,$B28,'DADOS BRUTOS'!EI$3:EI$500)+IF($C28="",0,SUMIF('DADOS BRUTOS'!$A$3:$A$500,$C28,'DADOS BRUTOS'!EI$3:EI$500)))</f>
        <v/>
      </c>
      <c r="HJ28" s="132">
        <f>IF(OR(HJ$4="",$B28=""),0,SUMIF('DADOS BRUTOS'!$A$3:$A$500,$B28,'DADOS BRUTOS'!EJ$3:EJ$500)+IF($C28="",0,SUMIF('DADOS BRUTOS'!$A$3:$A$500,$C28,'DADOS BRUTOS'!EJ$3:EJ$500)))</f>
        <v/>
      </c>
      <c r="HK28" s="132">
        <f>IF(OR(HK$4="",$B28=""),0,SUMIF('DADOS BRUTOS'!$A$3:$A$500,$B28,'DADOS BRUTOS'!EK$3:EK$500)+IF($C28="",0,SUMIF('DADOS BRUTOS'!$A$3:$A$500,$C28,'DADOS BRUTOS'!EK$3:EK$500)))</f>
        <v/>
      </c>
      <c r="HL28" s="132">
        <f>IF(OR(HL$4="",$B28=""),0,SUMIF('DADOS BRUTOS'!$A$3:$A$500,$B28,'DADOS BRUTOS'!EL$3:EL$500)+IF($C28="",0,SUMIF('DADOS BRUTOS'!$A$3:$A$500,$C28,'DADOS BRUTOS'!EL$3:EL$500)))</f>
        <v/>
      </c>
      <c r="HM28" s="132">
        <f>IF(OR(HM$4="",$B28=""),0,SUMIF('DADOS BRUTOS'!$A$3:$A$500,$B28,'DADOS BRUTOS'!EM$3:EM$500)+IF($C28="",0,SUMIF('DADOS BRUTOS'!$A$3:$A$500,$C28,'DADOS BRUTOS'!EM$3:EM$500)))</f>
        <v/>
      </c>
      <c r="HN28" s="132">
        <f>IF(OR(HN$4="",$B28=""),0,SUMIF('DADOS BRUTOS'!$A$3:$A$500,$B28,'DADOS BRUTOS'!EN$3:EN$500)+IF($C28="",0,SUMIF('DADOS BRUTOS'!$A$3:$A$500,$C28,'DADOS BRUTOS'!EN$3:EN$500)))</f>
        <v/>
      </c>
      <c r="HO28" s="132">
        <f>IF(OR(HO$4="",$B28=""),0,SUMIF('DADOS BRUTOS'!$A$3:$A$500,$B28,'DADOS BRUTOS'!EO$3:EO$500)+IF($C28="",0,SUMIF('DADOS BRUTOS'!$A$3:$A$500,$C28,'DADOS BRUTOS'!EO$3:EO$500)))</f>
        <v/>
      </c>
      <c r="HP28" s="132">
        <f>IF(OR(HP$4="",$B28=""),0,SUMIF('DADOS BRUTOS'!$A$3:$A$500,$B28,'DADOS BRUTOS'!EP$3:EP$500)+IF($C28="",0,SUMIF('DADOS BRUTOS'!$A$3:$A$500,$C28,'DADOS BRUTOS'!EP$3:EP$500)))</f>
        <v/>
      </c>
      <c r="HQ28" s="132">
        <f>IF(OR(HQ$4="",$B28=""),0,SUMIF('DADOS BRUTOS'!$A$3:$A$500,$B28,'DADOS BRUTOS'!EQ$3:EQ$500)+IF($C28="",0,SUMIF('DADOS BRUTOS'!$A$3:$A$500,$C28,'DADOS BRUTOS'!EQ$3:EQ$500)))</f>
        <v/>
      </c>
      <c r="HR28" s="132">
        <f>IF(OR(HR$4="",$B28=""),0,SUMIF('DADOS BRUTOS'!$A$3:$A$500,$B28,'DADOS BRUTOS'!ER$3:ER$500)+IF($C28="",0,SUMIF('DADOS BRUTOS'!$A$3:$A$500,$C28,'DADOS BRUTOS'!ER$3:ER$500)))</f>
        <v/>
      </c>
      <c r="HS28" s="132">
        <f>IF(OR(HS$4="",$B28=""),0,SUMIF('DADOS BRUTOS'!$A$3:$A$500,$B28,'DADOS BRUTOS'!ES$3:ES$500)+IF($C28="",0,SUMIF('DADOS BRUTOS'!$A$3:$A$500,$C28,'DADOS BRUTOS'!ES$3:ES$500)))</f>
        <v/>
      </c>
      <c r="HT28" s="132">
        <f>IF(OR(HT$4="",$B28=""),0,SUMIF('DADOS BRUTOS'!$A$3:$A$500,$B28,'DADOS BRUTOS'!ET$3:ET$500)+IF($C28="",0,SUMIF('DADOS BRUTOS'!$A$3:$A$500,$C28,'DADOS BRUTOS'!ET$3:ET$500)))</f>
        <v/>
      </c>
      <c r="HU28" s="132">
        <f>IF(OR(HU$4="",$B28=""),0,SUMIF('DADOS BRUTOS'!$A$3:$A$500,$B28,'DADOS BRUTOS'!EU$3:EU$500)+IF($C28="",0,SUMIF('DADOS BRUTOS'!$A$3:$A$500,$C28,'DADOS BRUTOS'!EU$3:EU$500)))</f>
        <v/>
      </c>
      <c r="HV28" s="132">
        <f>IF(OR(HV$4="",$B28=""),0,SUMIF('DADOS BRUTOS'!$A$3:$A$500,$B28,'DADOS BRUTOS'!EV$3:EV$500)+IF($C28="",0,SUMIF('DADOS BRUTOS'!$A$3:$A$500,$C28,'DADOS BRUTOS'!EV$3:EV$500)))</f>
        <v/>
      </c>
      <c r="HW28" s="132">
        <f>IF(OR(HW$4="",$B28=""),0,SUMIF('DADOS BRUTOS'!$A$3:$A$500,$B28,'DADOS BRUTOS'!EW$3:EW$500)+IF($C28="",0,SUMIF('DADOS BRUTOS'!$A$3:$A$500,$C28,'DADOS BRUTOS'!EW$3:EW$500)))</f>
        <v/>
      </c>
      <c r="HX28" s="132">
        <f>IF(OR(HX$4="",$B28=""),0,SUMIF('DADOS BRUTOS'!$A$3:$A$500,$B28,'DADOS BRUTOS'!EX$3:EX$500)+IF($C28="",0,SUMIF('DADOS BRUTOS'!$A$3:$A$500,$C28,'DADOS BRUTOS'!EX$3:EX$500)))</f>
        <v/>
      </c>
      <c r="HY28" s="132">
        <f>IF(OR(HY$4="",$B28=""),0,SUMIF('DADOS BRUTOS'!$A$3:$A$500,$B28,'DADOS BRUTOS'!EY$3:EY$500)+IF($C28="",0,SUMIF('DADOS BRUTOS'!$A$3:$A$500,$C28,'DADOS BRUTOS'!EY$3:EY$500)))</f>
        <v/>
      </c>
      <c r="HZ28" s="132">
        <f>IF(OR(HZ$4="",$B28=""),0,SUMIF('DADOS BRUTOS'!$A$3:$A$500,$B28,'DADOS BRUTOS'!EZ$3:EZ$500)+IF($C28="",0,SUMIF('DADOS BRUTOS'!$A$3:$A$500,$C28,'DADOS BRUTOS'!EZ$3:EZ$500)))</f>
        <v/>
      </c>
      <c r="IA28" s="132">
        <f>IF(OR(IA$4="",$B28=""),0,SUMIF('DADOS BRUTOS'!$A$3:$A$500,$B28,'DADOS BRUTOS'!FA$3:FA$500)+IF($C28="",0,SUMIF('DADOS BRUTOS'!$A$3:$A$500,$C28,'DADOS BRUTOS'!FA$3:FA$500)))</f>
        <v/>
      </c>
      <c r="IB28" s="132">
        <f>IF(OR(IB$4="",$B28=""),0,SUMIF('DADOS BRUTOS'!$A$3:$A$500,$B28,'DADOS BRUTOS'!FB$3:FB$500)+IF($C28="",0,SUMIF('DADOS BRUTOS'!$A$3:$A$500,$C28,'DADOS BRUTOS'!FB$3:FB$500)))</f>
        <v/>
      </c>
      <c r="IC28" s="132">
        <f>IF(OR(IC$4="",$B28=""),0,SUMIF('DADOS BRUTOS'!$A$3:$A$500,$B28,'DADOS BRUTOS'!FC$3:FC$500)+IF($C28="",0,SUMIF('DADOS BRUTOS'!$A$3:$A$500,$C28,'DADOS BRUTOS'!FC$3:FC$500)))</f>
        <v/>
      </c>
      <c r="ID28" s="132">
        <f>IF(OR(ID$4="",$B28=""),0,SUMIF('DADOS BRUTOS'!$A$3:$A$500,$B28,'DADOS BRUTOS'!FD$3:FD$500)+IF($C28="",0,SUMIF('DADOS BRUTOS'!$A$3:$A$500,$C28,'DADOS BRUTOS'!FD$3:FD$500)))</f>
        <v/>
      </c>
      <c r="IE28" s="132">
        <f>IF(OR(IE$4="",$B28=""),0,SUMIF('DADOS BRUTOS'!$A$3:$A$500,$B28,'DADOS BRUTOS'!FE$3:FE$500)+IF($C28="",0,SUMIF('DADOS BRUTOS'!$A$3:$A$500,$C28,'DADOS BRUTOS'!FE$3:FE$500)))</f>
        <v/>
      </c>
      <c r="IF28" s="132">
        <f>IF(OR(IF$4="",$B28=""),0,SUMIF('DADOS BRUTOS'!$A$3:$A$500,$B28,'DADOS BRUTOS'!FF$3:FF$500)+IF($C28="",0,SUMIF('DADOS BRUTOS'!$A$3:$A$500,$C28,'DADOS BRUTOS'!FF$3:FF$500)))</f>
        <v/>
      </c>
      <c r="IG28" s="132">
        <f>IF(OR(IG$4="",$B28=""),0,SUMIF('DADOS BRUTOS'!$A$3:$A$500,$B28,'DADOS BRUTOS'!FG$3:FG$500)+IF($C28="",0,SUMIF('DADOS BRUTOS'!$A$3:$A$500,$C28,'DADOS BRUTOS'!FG$3:FG$500)))</f>
        <v/>
      </c>
      <c r="IH28" s="132">
        <f>IF(OR(IH$4="",$B28=""),0,SUMIF('DADOS BRUTOS'!$A$3:$A$500,$B28,'DADOS BRUTOS'!FH$3:FH$500)+IF($C28="",0,SUMIF('DADOS BRUTOS'!$A$3:$A$500,$C28,'DADOS BRUTOS'!FH$3:FH$500)))</f>
        <v/>
      </c>
      <c r="II28" s="132">
        <f>IF(OR(II$4="",$B28=""),0,SUMIF('DADOS BRUTOS'!$A$3:$A$500,$B28,'DADOS BRUTOS'!FI$3:FI$500)+IF($C28="",0,SUMIF('DADOS BRUTOS'!$A$3:$A$500,$C28,'DADOS BRUTOS'!FI$3:FI$500)))</f>
        <v/>
      </c>
      <c r="IJ28" s="132">
        <f>IF(OR(IJ$4="",$B28=""),0,SUMIF('DADOS BRUTOS'!$A$3:$A$500,$B28,'DADOS BRUTOS'!FJ$3:FJ$500)+IF($C28="",0,SUMIF('DADOS BRUTOS'!$A$3:$A$500,$C28,'DADOS BRUTOS'!FJ$3:FJ$500)))</f>
        <v/>
      </c>
      <c r="IK28" s="132">
        <f>IF(OR(IK$4="",$B28=""),0,SUMIF('DADOS BRUTOS'!$A$3:$A$500,$B28,'DADOS BRUTOS'!FK$3:FK$500)+IF($C28="",0,SUMIF('DADOS BRUTOS'!$A$3:$A$500,$C28,'DADOS BRUTOS'!FK$3:FK$500)))</f>
        <v/>
      </c>
      <c r="IL28" s="132">
        <f>IF(OR(IL$4="",$B28=""),0,SUMIF('DADOS BRUTOS'!$A$3:$A$500,$B28,'DADOS BRUTOS'!FL$3:FL$500)+IF($C28="",0,SUMIF('DADOS BRUTOS'!$A$3:$A$500,$C28,'DADOS BRUTOS'!FL$3:FL$500)))</f>
        <v/>
      </c>
      <c r="IM28" s="132">
        <f>IF(OR(IM$4="",$B28=""),0,SUMIF('DADOS BRUTOS'!$A$3:$A$500,$B28,'DADOS BRUTOS'!FM$3:FM$500)+IF($C28="",0,SUMIF('DADOS BRUTOS'!$A$3:$A$500,$C28,'DADOS BRUTOS'!FM$3:FM$500)))</f>
        <v/>
      </c>
      <c r="IN28" s="132">
        <f>IF(OR(IN$4="",$B28=""),0,SUMIF('DADOS BRUTOS'!$A$3:$A$500,$B28,'DADOS BRUTOS'!FN$3:FN$500)+IF($C28="",0,SUMIF('DADOS BRUTOS'!$A$3:$A$500,$C28,'DADOS BRUTOS'!FN$3:FN$500)))</f>
        <v/>
      </c>
      <c r="IO28" s="132">
        <f>IF(OR(IO$4="",$B28=""),0,SUMIF('DADOS BRUTOS'!$A$3:$A$500,$B28,'DADOS BRUTOS'!FO$3:FO$500)+IF($C28="",0,SUMIF('DADOS BRUTOS'!$A$3:$A$500,$C28,'DADOS BRUTOS'!FO$3:FO$500)))</f>
        <v/>
      </c>
      <c r="IP28" s="132">
        <f>IF(OR(IP$4="",$B28=""),0,SUMIF('DADOS BRUTOS'!$A$3:$A$500,$B28,'DADOS BRUTOS'!FP$3:FP$500)+IF($C28="",0,SUMIF('DADOS BRUTOS'!$A$3:$A$500,$C28,'DADOS BRUTOS'!FP$3:FP$500)))</f>
        <v/>
      </c>
      <c r="IQ28" s="132">
        <f>IF(OR(IQ$4="",$B28=""),0,SUMIF('DADOS BRUTOS'!$A$3:$A$500,$B28,'DADOS BRUTOS'!FQ$3:FQ$500)+IF($C28="",0,SUMIF('DADOS BRUTOS'!$A$3:$A$500,$C28,'DADOS BRUTOS'!FQ$3:FQ$500)))</f>
        <v/>
      </c>
      <c r="IR28" s="132">
        <f>IF(OR(IR$4="",$B28=""),0,SUMIF('DADOS BRUTOS'!$A$3:$A$500,$B28,'DADOS BRUTOS'!FR$3:FR$500)+IF($C28="",0,SUMIF('DADOS BRUTOS'!$A$3:$A$500,$C28,'DADOS BRUTOS'!FR$3:FR$500)))</f>
        <v/>
      </c>
      <c r="IS28" s="132">
        <f>IF(OR(IS$4="",$B28=""),0,SUMIF('DADOS BRUTOS'!$A$3:$A$500,$B28,'DADOS BRUTOS'!FS$3:FS$500)+IF($C28="",0,SUMIF('DADOS BRUTOS'!$A$3:$A$500,$C28,'DADOS BRUTOS'!FS$3:FS$500)))</f>
        <v/>
      </c>
      <c r="IT28" s="132">
        <f>IF(OR(IT$4="",$B28=""),0,SUMIF('DADOS BRUTOS'!$A$3:$A$500,$B28,'DADOS BRUTOS'!FT$3:FT$500)+IF($C28="",0,SUMIF('DADOS BRUTOS'!$A$3:$A$500,$C28,'DADOS BRUTOS'!FT$3:FT$500)))</f>
        <v/>
      </c>
      <c r="IU28" s="132">
        <f>IF(OR(IU$4="",$B28=""),0,SUMIF('DADOS BRUTOS'!$A$3:$A$500,$B28,'DADOS BRUTOS'!FU$3:FU$500)+IF($C28="",0,SUMIF('DADOS BRUTOS'!$A$3:$A$500,$C28,'DADOS BRUTOS'!FU$3:FU$500)))</f>
        <v/>
      </c>
      <c r="IV28" s="132">
        <f>IF(OR(IV$4="",$B28=""),0,SUMIF('DADOS BRUTOS'!$A$3:$A$500,$B28,'DADOS BRUTOS'!FV$3:FV$500)+IF($C28="",0,SUMIF('DADOS BRUTOS'!$A$3:$A$500,$C28,'DADOS BRUTOS'!FV$3:FV$500)))</f>
        <v/>
      </c>
      <c r="IW28" s="132">
        <f>IF(OR(IW$4="",$B28=""),0,SUMIF('DADOS BRUTOS'!$A$3:$A$500,$B28,'DADOS BRUTOS'!FW$3:FW$500)+IF($C28="",0,SUMIF('DADOS BRUTOS'!$A$3:$A$500,$C28,'DADOS BRUTOS'!FW$3:FW$500)))</f>
        <v/>
      </c>
      <c r="IX28" s="132">
        <f>IF(OR(IX$4="",$B28=""),0,SUMIF('DADOS BRUTOS'!$A$3:$A$500,$B28,'DADOS BRUTOS'!FX$3:FX$500)+IF($C28="",0,SUMIF('DADOS BRUTOS'!$A$3:$A$500,$C28,'DADOS BRUTOS'!FX$3:FX$500)))</f>
        <v/>
      </c>
      <c r="IY28" s="132">
        <f>IF(OR(IY$4="",$B28=""),0,SUMIF('DADOS BRUTOS'!$A$3:$A$500,$B28,'DADOS BRUTOS'!FY$3:FY$500)+IF($C28="",0,SUMIF('DADOS BRUTOS'!$A$3:$A$500,$C28,'DADOS BRUTOS'!FY$3:FY$500)))</f>
        <v/>
      </c>
      <c r="IZ28" s="132">
        <f>IF(OR(IZ$4="",$B28=""),0,SUMIF('DADOS BRUTOS'!$A$3:$A$500,$B28,'DADOS BRUTOS'!FZ$3:FZ$500)+IF($C28="",0,SUMIF('DADOS BRUTOS'!$A$3:$A$500,$C28,'DADOS BRUTOS'!FZ$3:FZ$500)))</f>
        <v/>
      </c>
      <c r="JA28" s="132">
        <f>IF(OR(JA$4="",$B28=""),0,SUMIF('DADOS BRUTOS'!$A$3:$A$500,$B28,'DADOS BRUTOS'!GA$3:GA$500)+IF($C28="",0,SUMIF('DADOS BRUTOS'!$A$3:$A$500,$C28,'DADOS BRUTOS'!GA$3:GA$500)))</f>
        <v/>
      </c>
      <c r="JB28" s="132">
        <f>IF(OR(JB$4="",$B28=""),0,SUMIF('DADOS BRUTOS'!$A$3:$A$500,$B28,'DADOS BRUTOS'!GB$3:GB$500)+IF($C28="",0,SUMIF('DADOS BRUTOS'!$A$3:$A$500,$C28,'DADOS BRUTOS'!GB$3:GB$500)))</f>
        <v/>
      </c>
      <c r="JC28" s="132">
        <f>IF(OR(JC$4="",$B28=""),0,SUMIF('DADOS BRUTOS'!$A$3:$A$500,$B28,'DADOS BRUTOS'!GC$3:GC$500)+IF($C28="",0,SUMIF('DADOS BRUTOS'!$A$3:$A$500,$C28,'DADOS BRUTOS'!GC$3:GC$500)))</f>
        <v/>
      </c>
      <c r="JD28" s="132">
        <f>IF(OR(JD$4="",$B28=""),0,SUMIF('DADOS BRUTOS'!$A$3:$A$500,$B28,'DADOS BRUTOS'!GD$3:GD$500)+IF($C28="",0,SUMIF('DADOS BRUTOS'!$A$3:$A$500,$C28,'DADOS BRUTOS'!GD$3:GD$500)))</f>
        <v/>
      </c>
      <c r="JE28" s="132">
        <f>IF(OR(JE$4="",$B28=""),0,SUMIF('DADOS BRUTOS'!$A$3:$A$500,$B28,'DADOS BRUTOS'!GE$3:GE$500)+IF($C28="",0,SUMIF('DADOS BRUTOS'!$A$3:$A$500,$C28,'DADOS BRUTOS'!GE$3:GE$500)))</f>
        <v/>
      </c>
      <c r="JF28" s="132">
        <f>IF(OR(JF$4="",$B28=""),0,SUMIF('DADOS BRUTOS'!$A$3:$A$500,$B28,'DADOS BRUTOS'!GF$3:GF$500)+IF($C28="",0,SUMIF('DADOS BRUTOS'!$A$3:$A$500,$C28,'DADOS BRUTOS'!GF$3:GF$500)))</f>
        <v/>
      </c>
      <c r="JG28" s="132">
        <f>IF(OR(JG$4="",$B28=""),0,SUMIF('DADOS BRUTOS'!$A$3:$A$500,$B28,'DADOS BRUTOS'!GG$3:GG$500)+IF($C28="",0,SUMIF('DADOS BRUTOS'!$A$3:$A$500,$C28,'DADOS BRUTOS'!GG$3:GG$500)))</f>
        <v/>
      </c>
      <c r="JH28" s="132">
        <f>IF(OR(JH$4="",$B28=""),0,SUMIF('DADOS BRUTOS'!$A$3:$A$500,$B28,'DADOS BRUTOS'!GH$3:GH$500)+IF($C28="",0,SUMIF('DADOS BRUTOS'!$A$3:$A$500,$C28,'DADOS BRUTOS'!GH$3:GH$500)))</f>
        <v/>
      </c>
      <c r="JI28" s="132">
        <f>IF(OR(JI$4="",$B28=""),0,SUMIF('DADOS BRUTOS'!$A$3:$A$500,$B28,'DADOS BRUTOS'!GI$3:GI$500)+IF($C28="",0,SUMIF('DADOS BRUTOS'!$A$3:$A$500,$C28,'DADOS BRUTOS'!GI$3:GI$500)))</f>
        <v/>
      </c>
      <c r="JJ28" s="132">
        <f>IF(OR(JJ$4="",$B28=""),0,SUMIF('DADOS BRUTOS'!$A$3:$A$500,$B28,'DADOS BRUTOS'!GJ$3:GJ$500)+IF($C28="",0,SUMIF('DADOS BRUTOS'!$A$3:$A$500,$C28,'DADOS BRUTOS'!GJ$3:GJ$500)))</f>
        <v/>
      </c>
      <c r="JK28" s="132">
        <f>IF(OR(JK$4="",$B28=""),0,SUMIF('DADOS BRUTOS'!$A$3:$A$500,$B28,'DADOS BRUTOS'!GK$3:GK$500)+IF($C28="",0,SUMIF('DADOS BRUTOS'!$A$3:$A$500,$C28,'DADOS BRUTOS'!GK$3:GK$500)))</f>
        <v/>
      </c>
      <c r="JL28" s="132">
        <f>IF(OR(JL$4="",$B28=""),0,SUMIF('DADOS BRUTOS'!$A$3:$A$500,$B28,'DADOS BRUTOS'!GL$3:GL$500)+IF($C28="",0,SUMIF('DADOS BRUTOS'!$A$3:$A$500,$C28,'DADOS BRUTOS'!GL$3:GL$500)))</f>
        <v/>
      </c>
      <c r="JM28" s="132">
        <f>IF(OR(JM$4="",$B28=""),0,SUMIF('DADOS BRUTOS'!$A$3:$A$500,$B28,'DADOS BRUTOS'!GM$3:GM$500)+IF($C28="",0,SUMIF('DADOS BRUTOS'!$A$3:$A$500,$C28,'DADOS BRUTOS'!GM$3:GM$500)))</f>
        <v/>
      </c>
      <c r="JN28" s="132">
        <f>IF(OR(JN$4="",$B28=""),0,SUMIF('DADOS BRUTOS'!$A$3:$A$500,$B28,'DADOS BRUTOS'!GN$3:GN$500)+IF($C28="",0,SUMIF('DADOS BRUTOS'!$A$3:$A$500,$C28,'DADOS BRUTOS'!GN$3:GN$500)))</f>
        <v/>
      </c>
      <c r="JO28" s="132">
        <f>IF(OR(JO$4="",$B28=""),0,SUMIF('DADOS BRUTOS'!$A$3:$A$500,$B28,'DADOS BRUTOS'!GO$3:GO$500)+IF($C28="",0,SUMIF('DADOS BRUTOS'!$A$3:$A$500,$C28,'DADOS BRUTOS'!GO$3:GO$500)))</f>
        <v/>
      </c>
      <c r="JP28" s="132">
        <f>IF(OR(JP$4="",$B28=""),0,SUMIF('DADOS BRUTOS'!$A$3:$A$500,$B28,'DADOS BRUTOS'!GP$3:GP$500)+IF($C28="",0,SUMIF('DADOS BRUTOS'!$A$3:$A$500,$C28,'DADOS BRUTOS'!GP$3:GP$500)))</f>
        <v/>
      </c>
      <c r="JQ28" s="132">
        <f>IF(OR(JQ$4="",$B28=""),0,SUMIF('DADOS BRUTOS'!$A$3:$A$500,$B28,'DADOS BRUTOS'!GQ$3:GQ$500)+IF($C28="",0,SUMIF('DADOS BRUTOS'!$A$3:$A$500,$C28,'DADOS BRUTOS'!GQ$3:GQ$500)))</f>
        <v/>
      </c>
      <c r="JR28" s="132">
        <f>IF(OR(JR$4="",$B28=""),0,SUMIF('DADOS BRUTOS'!$A$3:$A$500,$B28,'DADOS BRUTOS'!GR$3:GR$500)+IF($C28="",0,SUMIF('DADOS BRUTOS'!$A$3:$A$500,$C28,'DADOS BRUTOS'!GR$3:GR$500)))</f>
        <v/>
      </c>
      <c r="JS28" s="132">
        <f>IF(OR(JS$4="",$B28=""),0,SUMIF('DADOS BRUTOS'!$A$3:$A$500,$B28,'DADOS BRUTOS'!GS$3:GS$500)+IF($C28="",0,SUMIF('DADOS BRUTOS'!$A$3:$A$500,$C28,'DADOS BRUTOS'!GS$3:GS$500)))</f>
        <v/>
      </c>
    </row>
    <row r="29">
      <c r="A29" s="61">
        <f>'VALOR POR PL'!D35</f>
        <v/>
      </c>
      <c r="B29" s="59" t="inlineStr">
        <is>
          <t>ESQUADRIAS</t>
        </is>
      </c>
      <c r="C29" s="59" t="n"/>
      <c r="D29" s="54">
        <f>SUMIF($CB$4:$JS$4,"&lt;="&amp;D$4,$CB29:$JS29)</f>
        <v/>
      </c>
      <c r="E29" s="54">
        <f>SUMIF($CB$4:$JS$4,E$4,$CB29:$JS29)</f>
        <v/>
      </c>
      <c r="F29" s="54">
        <f>SUMIF($CB$4:$JS$4,F$4,$CB29:$JS29)</f>
        <v/>
      </c>
      <c r="G29" s="54">
        <f>SUMIF($CB$4:$JS$4,G$4,$CB29:$JS29)</f>
        <v/>
      </c>
      <c r="H29" s="54">
        <f>SUMIF($CB$4:$JS$4,H$4,$CB29:$JS29)</f>
        <v/>
      </c>
      <c r="I29" s="54">
        <f>SUMIF($CB$4:$JS$4,I$4,$CB29:$JS29)</f>
        <v/>
      </c>
      <c r="J29" s="54">
        <f>SUMIF($CB$4:$JS$4,J$4,$CB29:$JS29)</f>
        <v/>
      </c>
      <c r="K29" s="54">
        <f>SUMIF($CB$4:$JS$4,K$4,$CB29:$JS29)</f>
        <v/>
      </c>
      <c r="L29" s="54">
        <f>SUMIF($CB$4:$JS$4,L$4,$CB29:$JS29)</f>
        <v/>
      </c>
      <c r="M29" s="54">
        <f>SUMIF($CB$4:$JS$4,M$4,$CB29:$JS29)</f>
        <v/>
      </c>
      <c r="N29" s="54">
        <f>SUMIF($CB$4:$JS$4,N$4,$CB29:$JS29)</f>
        <v/>
      </c>
      <c r="O29" s="54">
        <f>SUMIF($CB$4:$JS$4,O$4,$CB29:$JS29)</f>
        <v/>
      </c>
      <c r="P29" s="54">
        <f>SUMIF($CB$4:$JS$4,P$4,$CB29:$JS29)</f>
        <v/>
      </c>
      <c r="Q29" s="54">
        <f>SUMIF($CB$4:$JS$4,Q$4,$CB29:$JS29)</f>
        <v/>
      </c>
      <c r="R29" s="54">
        <f>SUMIF($CB$4:$JS$4,R$4,$CB29:$JS29)</f>
        <v/>
      </c>
      <c r="S29" s="54">
        <f>SUMIF($CB$4:$JS$4,S$4,$CB29:$JS29)</f>
        <v/>
      </c>
      <c r="T29" s="54">
        <f>SUMIF($CB$4:$JS$4,T$4,$CB29:$JS29)</f>
        <v/>
      </c>
      <c r="U29" s="54">
        <f>SUMIF($CB$4:$JS$4,U$4,$CB29:$JS29)</f>
        <v/>
      </c>
      <c r="V29" s="54">
        <f>SUMIF($CB$4:$JS$4,V$4,$CB29:$JS29)</f>
        <v/>
      </c>
      <c r="W29" s="54">
        <f>SUMIF($CB$4:$JS$4,W$4,$CB29:$JS29)</f>
        <v/>
      </c>
      <c r="X29" s="54">
        <f>SUMIF($CB$4:$JS$4,X$4,$CB29:$JS29)</f>
        <v/>
      </c>
      <c r="Y29" s="54">
        <f>SUMIF($CB$4:$JS$4,Y$4,$CB29:$JS29)</f>
        <v/>
      </c>
      <c r="Z29" s="54">
        <f>SUMIF($CB$4:$JS$4,Z$4,$CB29:$JS29)</f>
        <v/>
      </c>
      <c r="AA29" s="54">
        <f>SUMIF($CB$4:$JS$4,AA$4,$CB29:$JS29)</f>
        <v/>
      </c>
      <c r="AB29" s="54">
        <f>SUMIF($CB$4:$JS$4,AB$4,$CB29:$JS29)</f>
        <v/>
      </c>
      <c r="AC29" s="54">
        <f>SUMIF($CB$4:$JS$4,AC$4,$CB29:$JS29)</f>
        <v/>
      </c>
      <c r="AD29" s="54">
        <f>SUMIF($CB$4:$JS$4,AD$4,$CB29:$JS29)</f>
        <v/>
      </c>
      <c r="AE29" s="54">
        <f>SUMIF($CB$4:$JS$4,AE$4,$CB29:$JS29)</f>
        <v/>
      </c>
      <c r="AF29" s="54">
        <f>SUMIF($CB$4:$JS$4,AF$4,$CB29:$JS29)</f>
        <v/>
      </c>
      <c r="AG29" s="54">
        <f>SUMIF($CB$4:$JS$4,AG$4,$CB29:$JS29)</f>
        <v/>
      </c>
      <c r="AH29" s="54">
        <f>SUMIF($CB$4:$JS$4,AH$4,$CB29:$JS29)</f>
        <v/>
      </c>
      <c r="AI29" s="54">
        <f>SUMIF($CB$4:$JS$4,AI$4,$CB29:$JS29)</f>
        <v/>
      </c>
      <c r="AJ29" s="54">
        <f>SUMIF($CB$4:$JS$4,AJ$4,$CB29:$JS29)</f>
        <v/>
      </c>
      <c r="AK29" s="54">
        <f>SUMIF($CB$4:$JS$4,AK$4,$CB29:$JS29)</f>
        <v/>
      </c>
      <c r="AL29" s="54">
        <f>SUMIF($CB$4:$JS$4,AL$4,$CB29:$JS29)</f>
        <v/>
      </c>
      <c r="AM29" s="54">
        <f>SUMIF($CB$4:$JS$4,AM$4,$CB29:$JS29)</f>
        <v/>
      </c>
      <c r="AN29" s="54">
        <f>SUMIF($CB$4:$JS$4,AN$4,$CB29:$JS29)</f>
        <v/>
      </c>
      <c r="AO29" s="54">
        <f>SUMIF($CB$4:$JS$4,AO$4,$CB29:$JS29)</f>
        <v/>
      </c>
      <c r="AP29" s="54">
        <f>SUMIF($CB$4:$JS$4,AP$4,$CB29:$JS29)</f>
        <v/>
      </c>
      <c r="AQ29" s="54">
        <f>SUMIF($CB$4:$JS$4,AQ$4,$CB29:$JS29)</f>
        <v/>
      </c>
      <c r="AR29" s="54">
        <f>SUMIF($CB$4:$JS$4,AR$4,$CB29:$JS29)</f>
        <v/>
      </c>
      <c r="AS29" s="54">
        <f>SUMIF($CB$4:$JS$4,AS$4,$CB29:$JS29)</f>
        <v/>
      </c>
      <c r="AT29" s="54">
        <f>SUMIF($CB$4:$JS$4,AT$4,$CB29:$JS29)</f>
        <v/>
      </c>
      <c r="AU29" s="54">
        <f>SUMIF($CB$4:$JS$4,AU$4,$CB29:$JS29)</f>
        <v/>
      </c>
      <c r="AV29" s="54">
        <f>SUMIF($CB$4:$JS$4,AV$4,$CB29:$JS29)</f>
        <v/>
      </c>
      <c r="AW29" s="54">
        <f>SUMIF($CB$4:$JS$4,AW$4,$CB29:$JS29)</f>
        <v/>
      </c>
      <c r="AX29" s="54">
        <f>SUMIF($CB$4:$JS$4,AX$4,$CB29:$JS29)</f>
        <v/>
      </c>
      <c r="AY29" s="54">
        <f>SUMIF($CB$4:$JS$4,AY$4,$CB29:$JS29)</f>
        <v/>
      </c>
      <c r="AZ29" s="54">
        <f>SUMIF($CB$4:$JS$4,AZ$4,$CB29:$JS29)</f>
        <v/>
      </c>
      <c r="BA29" s="54">
        <f>SUMIF($CB$4:$JS$4,BA$4,$CB29:$JS29)</f>
        <v/>
      </c>
      <c r="BB29" s="54">
        <f>SUMIF($CB$4:$JS$4,BB$4,$CB29:$JS29)</f>
        <v/>
      </c>
      <c r="BC29" s="54">
        <f>SUMIF($CB$4:$JS$4,BC$4,$CB29:$JS29)</f>
        <v/>
      </c>
      <c r="BD29" s="54">
        <f>SUMIF($CB$4:$JS$4,BD$4,$CB29:$JS29)</f>
        <v/>
      </c>
      <c r="BE29" s="54">
        <f>SUMIF($CB$4:$JS$4,BE$4,$CB29:$JS29)</f>
        <v/>
      </c>
      <c r="BF29" s="54">
        <f>SUMIF($CB$4:$JS$4,BF$4,$CB29:$JS29)</f>
        <v/>
      </c>
      <c r="BG29" s="54">
        <f>SUMIF($CB$4:$JS$4,BG$4,$CB29:$JS29)</f>
        <v/>
      </c>
      <c r="BH29" s="54">
        <f>SUMIF($CB$4:$JS$4,BH$4,$CB29:$JS29)</f>
        <v/>
      </c>
      <c r="BI29" s="54">
        <f>SUMIF($CB$4:$JS$4,BI$4,$CB29:$JS29)</f>
        <v/>
      </c>
      <c r="BJ29" s="54">
        <f>SUMIF($CB$4:$JS$4,BJ$4,$CB29:$JS29)</f>
        <v/>
      </c>
      <c r="BK29" s="54">
        <f>SUMIF($CB$4:$JS$4,BK$4,$CB29:$JS29)</f>
        <v/>
      </c>
      <c r="BL29" s="54">
        <f>SUMIF($CB$4:$JS$4,BL$4,$CB29:$JS29)</f>
        <v/>
      </c>
      <c r="BM29" s="54">
        <f>SUMIF($CB$4:$JS$4,BM$4,$CB29:$JS29)</f>
        <v/>
      </c>
      <c r="BN29" s="54">
        <f>SUMIF($CB$4:$JS$4,BN$4,$CB29:$JS29)</f>
        <v/>
      </c>
      <c r="BO29" s="54">
        <f>SUMIF($CB$4:$JS$4,BO$4,$CB29:$JS29)</f>
        <v/>
      </c>
      <c r="BP29" s="54">
        <f>SUMIF($CB$4:$JS$4,BP$4,$CB29:$JS29)</f>
        <v/>
      </c>
      <c r="BQ29" s="54">
        <f>SUMIF($CB$4:$JS$4,BQ$4,$CB29:$JS29)</f>
        <v/>
      </c>
      <c r="BR29" s="54">
        <f>SUMIF($CB$4:$JS$4,BR$4,$CB29:$JS29)</f>
        <v/>
      </c>
      <c r="BS29" s="54">
        <f>SUMIF($CB$4:$JS$4,BS$4,$CB29:$JS29)</f>
        <v/>
      </c>
      <c r="BT29" s="54">
        <f>SUMIF($CB$4:$JS$4,BT$4,$CB29:$JS29)</f>
        <v/>
      </c>
      <c r="BU29" s="54">
        <f>SUMIF($CB$4:$JS$4,BU$4,$CB29:$JS29)</f>
        <v/>
      </c>
      <c r="BV29" s="54">
        <f>SUMIF($CB$4:$JS$4,BV$4,$CB29:$JS29)</f>
        <v/>
      </c>
      <c r="BW29" s="54">
        <f>SUMIF($CB$4:$JS$4,BW$4,$CB29:$JS29)</f>
        <v/>
      </c>
      <c r="BX29" s="54">
        <f>SUMIF($CB$4:$JS$4,"&gt;"&amp;'VALOR POR PL'!$P$8,$CB29:$JS29)</f>
        <v/>
      </c>
      <c r="BY29" s="54">
        <f>SUM($CB29:$JS29)</f>
        <v/>
      </c>
      <c r="BZ29" s="49">
        <f>SUMPRODUCT(($CB$4:$JS$4&lt;&gt;"")*($CB$4:$JS$4&lt;=$D$4),$CB29:$JS29,$CB$1:$JS$1)</f>
        <v/>
      </c>
      <c r="CB29" s="132">
        <f>IF(OR(CB$4="",$B29=""),0,SUMIF('DADOS BRUTOS'!$A$3:$A$500,$B29,'DADOS BRUTOS'!B$3:B$500)+IF($C29="",0,SUMIF('DADOS BRUTOS'!$A$3:$A$500,$C29,'DADOS BRUTOS'!B$3:B$500)))</f>
        <v/>
      </c>
      <c r="CC29" s="132">
        <f>IF(OR(CC$4="",$B29=""),0,SUMIF('DADOS BRUTOS'!$A$3:$A$500,$B29,'DADOS BRUTOS'!C$3:C$500)+IF($C29="",0,SUMIF('DADOS BRUTOS'!$A$3:$A$500,$C29,'DADOS BRUTOS'!C$3:C$500)))</f>
        <v/>
      </c>
      <c r="CD29" s="132">
        <f>IF(OR(CD$4="",$B29=""),0,SUMIF('DADOS BRUTOS'!$A$3:$A$500,$B29,'DADOS BRUTOS'!D$3:D$500)+IF($C29="",0,SUMIF('DADOS BRUTOS'!$A$3:$A$500,$C29,'DADOS BRUTOS'!D$3:D$500)))</f>
        <v/>
      </c>
      <c r="CE29" s="132">
        <f>IF(OR(CE$4="",$B29=""),0,SUMIF('DADOS BRUTOS'!$A$3:$A$500,$B29,'DADOS BRUTOS'!E$3:E$500)+IF($C29="",0,SUMIF('DADOS BRUTOS'!$A$3:$A$500,$C29,'DADOS BRUTOS'!E$3:E$500)))</f>
        <v/>
      </c>
      <c r="CF29" s="132">
        <f>IF(OR(CF$4="",$B29=""),0,SUMIF('DADOS BRUTOS'!$A$3:$A$500,$B29,'DADOS BRUTOS'!F$3:F$500)+IF($C29="",0,SUMIF('DADOS BRUTOS'!$A$3:$A$500,$C29,'DADOS BRUTOS'!F$3:F$500)))</f>
        <v/>
      </c>
      <c r="CG29" s="132">
        <f>IF(OR(CG$4="",$B29=""),0,SUMIF('DADOS BRUTOS'!$A$3:$A$500,$B29,'DADOS BRUTOS'!G$3:G$500)+IF($C29="",0,SUMIF('DADOS BRUTOS'!$A$3:$A$500,$C29,'DADOS BRUTOS'!G$3:G$500)))</f>
        <v/>
      </c>
      <c r="CH29" s="132">
        <f>IF(OR(CH$4="",$B29=""),0,SUMIF('DADOS BRUTOS'!$A$3:$A$500,$B29,'DADOS BRUTOS'!H$3:H$500)+IF($C29="",0,SUMIF('DADOS BRUTOS'!$A$3:$A$500,$C29,'DADOS BRUTOS'!H$3:H$500)))</f>
        <v/>
      </c>
      <c r="CI29" s="132">
        <f>IF(OR(CI$4="",$B29=""),0,SUMIF('DADOS BRUTOS'!$A$3:$A$500,$B29,'DADOS BRUTOS'!I$3:I$500)+IF($C29="",0,SUMIF('DADOS BRUTOS'!$A$3:$A$500,$C29,'DADOS BRUTOS'!I$3:I$500)))</f>
        <v/>
      </c>
      <c r="CJ29" s="132">
        <f>IF(OR(CJ$4="",$B29=""),0,SUMIF('DADOS BRUTOS'!$A$3:$A$500,$B29,'DADOS BRUTOS'!J$3:J$500)+IF($C29="",0,SUMIF('DADOS BRUTOS'!$A$3:$A$500,$C29,'DADOS BRUTOS'!J$3:J$500)))</f>
        <v/>
      </c>
      <c r="CK29" s="132">
        <f>IF(OR(CK$4="",$B29=""),0,SUMIF('DADOS BRUTOS'!$A$3:$A$500,$B29,'DADOS BRUTOS'!K$3:K$500)+IF($C29="",0,SUMIF('DADOS BRUTOS'!$A$3:$A$500,$C29,'DADOS BRUTOS'!K$3:K$500)))</f>
        <v/>
      </c>
      <c r="CL29" s="132">
        <f>IF(OR(CL$4="",$B29=""),0,SUMIF('DADOS BRUTOS'!$A$3:$A$500,$B29,'DADOS BRUTOS'!L$3:L$500)+IF($C29="",0,SUMIF('DADOS BRUTOS'!$A$3:$A$500,$C29,'DADOS BRUTOS'!L$3:L$500)))</f>
        <v/>
      </c>
      <c r="CM29" s="132">
        <f>IF(OR(CM$4="",$B29=""),0,SUMIF('DADOS BRUTOS'!$A$3:$A$500,$B29,'DADOS BRUTOS'!M$3:M$500)+IF($C29="",0,SUMIF('DADOS BRUTOS'!$A$3:$A$500,$C29,'DADOS BRUTOS'!M$3:M$500)))</f>
        <v/>
      </c>
      <c r="CN29" s="132">
        <f>IF(OR(CN$4="",$B29=""),0,SUMIF('DADOS BRUTOS'!$A$3:$A$500,$B29,'DADOS BRUTOS'!N$3:N$500)+IF($C29="",0,SUMIF('DADOS BRUTOS'!$A$3:$A$500,$C29,'DADOS BRUTOS'!N$3:N$500)))</f>
        <v/>
      </c>
      <c r="CO29" s="132">
        <f>IF(OR(CO$4="",$B29=""),0,SUMIF('DADOS BRUTOS'!$A$3:$A$500,$B29,'DADOS BRUTOS'!O$3:O$500)+IF($C29="",0,SUMIF('DADOS BRUTOS'!$A$3:$A$500,$C29,'DADOS BRUTOS'!O$3:O$500)))</f>
        <v/>
      </c>
      <c r="CP29" s="132">
        <f>IF(OR(CP$4="",$B29=""),0,SUMIF('DADOS BRUTOS'!$A$3:$A$500,$B29,'DADOS BRUTOS'!P$3:P$500)+IF($C29="",0,SUMIF('DADOS BRUTOS'!$A$3:$A$500,$C29,'DADOS BRUTOS'!P$3:P$500)))</f>
        <v/>
      </c>
      <c r="CQ29" s="132">
        <f>IF(OR(CQ$4="",$B29=""),0,SUMIF('DADOS BRUTOS'!$A$3:$A$500,$B29,'DADOS BRUTOS'!Q$3:Q$500)+IF($C29="",0,SUMIF('DADOS BRUTOS'!$A$3:$A$500,$C29,'DADOS BRUTOS'!Q$3:Q$500)))</f>
        <v/>
      </c>
      <c r="CR29" s="132">
        <f>IF(OR(CR$4="",$B29=""),0,SUMIF('DADOS BRUTOS'!$A$3:$A$500,$B29,'DADOS BRUTOS'!R$3:R$500)+IF($C29="",0,SUMIF('DADOS BRUTOS'!$A$3:$A$500,$C29,'DADOS BRUTOS'!R$3:R$500)))</f>
        <v/>
      </c>
      <c r="CS29" s="132">
        <f>IF(OR(CS$4="",$B29=""),0,SUMIF('DADOS BRUTOS'!$A$3:$A$500,$B29,'DADOS BRUTOS'!S$3:S$500)+IF($C29="",0,SUMIF('DADOS BRUTOS'!$A$3:$A$500,$C29,'DADOS BRUTOS'!S$3:S$500)))</f>
        <v/>
      </c>
      <c r="CT29" s="132">
        <f>IF(OR(CT$4="",$B29=""),0,SUMIF('DADOS BRUTOS'!$A$3:$A$500,$B29,'DADOS BRUTOS'!T$3:T$500)+IF($C29="",0,SUMIF('DADOS BRUTOS'!$A$3:$A$500,$C29,'DADOS BRUTOS'!T$3:T$500)))</f>
        <v/>
      </c>
      <c r="CU29" s="132">
        <f>IF(OR(CU$4="",$B29=""),0,SUMIF('DADOS BRUTOS'!$A$3:$A$500,$B29,'DADOS BRUTOS'!U$3:U$500)+IF($C29="",0,SUMIF('DADOS BRUTOS'!$A$3:$A$500,$C29,'DADOS BRUTOS'!U$3:U$500)))</f>
        <v/>
      </c>
      <c r="CV29" s="132">
        <f>IF(OR(CV$4="",$B29=""),0,SUMIF('DADOS BRUTOS'!$A$3:$A$500,$B29,'DADOS BRUTOS'!V$3:V$500)+IF($C29="",0,SUMIF('DADOS BRUTOS'!$A$3:$A$500,$C29,'DADOS BRUTOS'!V$3:V$500)))</f>
        <v/>
      </c>
      <c r="CW29" s="132">
        <f>IF(OR(CW$4="",$B29=""),0,SUMIF('DADOS BRUTOS'!$A$3:$A$500,$B29,'DADOS BRUTOS'!W$3:W$500)+IF($C29="",0,SUMIF('DADOS BRUTOS'!$A$3:$A$500,$C29,'DADOS BRUTOS'!W$3:W$500)))</f>
        <v/>
      </c>
      <c r="CX29" s="132">
        <f>IF(OR(CX$4="",$B29=""),0,SUMIF('DADOS BRUTOS'!$A$3:$A$500,$B29,'DADOS BRUTOS'!X$3:X$500)+IF($C29="",0,SUMIF('DADOS BRUTOS'!$A$3:$A$500,$C29,'DADOS BRUTOS'!X$3:X$500)))</f>
        <v/>
      </c>
      <c r="CY29" s="132">
        <f>IF(OR(CY$4="",$B29=""),0,SUMIF('DADOS BRUTOS'!$A$3:$A$500,$B29,'DADOS BRUTOS'!Y$3:Y$500)+IF($C29="",0,SUMIF('DADOS BRUTOS'!$A$3:$A$500,$C29,'DADOS BRUTOS'!Y$3:Y$500)))</f>
        <v/>
      </c>
      <c r="CZ29" s="132">
        <f>IF(OR(CZ$4="",$B29=""),0,SUMIF('DADOS BRUTOS'!$A$3:$A$500,$B29,'DADOS BRUTOS'!Z$3:Z$500)+IF($C29="",0,SUMIF('DADOS BRUTOS'!$A$3:$A$500,$C29,'DADOS BRUTOS'!Z$3:Z$500)))</f>
        <v/>
      </c>
      <c r="DA29" s="132">
        <f>IF(OR(DA$4="",$B29=""),0,SUMIF('DADOS BRUTOS'!$A$3:$A$500,$B29,'DADOS BRUTOS'!AA$3:AA$500)+IF($C29="",0,SUMIF('DADOS BRUTOS'!$A$3:$A$500,$C29,'DADOS BRUTOS'!AA$3:AA$500)))</f>
        <v/>
      </c>
      <c r="DB29" s="132">
        <f>IF(OR(DB$4="",$B29=""),0,SUMIF('DADOS BRUTOS'!$A$3:$A$500,$B29,'DADOS BRUTOS'!AB$3:AB$500)+IF($C29="",0,SUMIF('DADOS BRUTOS'!$A$3:$A$500,$C29,'DADOS BRUTOS'!AB$3:AB$500)))</f>
        <v/>
      </c>
      <c r="DC29" s="132">
        <f>IF(OR(DC$4="",$B29=""),0,SUMIF('DADOS BRUTOS'!$A$3:$A$500,$B29,'DADOS BRUTOS'!AC$3:AC$500)+IF($C29="",0,SUMIF('DADOS BRUTOS'!$A$3:$A$500,$C29,'DADOS BRUTOS'!AC$3:AC$500)))</f>
        <v/>
      </c>
      <c r="DD29" s="132">
        <f>IF(OR(DD$4="",$B29=""),0,SUMIF('DADOS BRUTOS'!$A$3:$A$500,$B29,'DADOS BRUTOS'!AD$3:AD$500)+IF($C29="",0,SUMIF('DADOS BRUTOS'!$A$3:$A$500,$C29,'DADOS BRUTOS'!AD$3:AD$500)))</f>
        <v/>
      </c>
      <c r="DE29" s="132">
        <f>IF(OR(DE$4="",$B29=""),0,SUMIF('DADOS BRUTOS'!$A$3:$A$500,$B29,'DADOS BRUTOS'!AE$3:AE$500)+IF($C29="",0,SUMIF('DADOS BRUTOS'!$A$3:$A$500,$C29,'DADOS BRUTOS'!AE$3:AE$500)))</f>
        <v/>
      </c>
      <c r="DF29" s="132">
        <f>IF(OR(DF$4="",$B29=""),0,SUMIF('DADOS BRUTOS'!$A$3:$A$500,$B29,'DADOS BRUTOS'!AF$3:AF$500)+IF($C29="",0,SUMIF('DADOS BRUTOS'!$A$3:$A$500,$C29,'DADOS BRUTOS'!AF$3:AF$500)))</f>
        <v/>
      </c>
      <c r="DG29" s="132">
        <f>IF(OR(DG$4="",$B29=""),0,SUMIF('DADOS BRUTOS'!$A$3:$A$500,$B29,'DADOS BRUTOS'!AG$3:AG$500)+IF($C29="",0,SUMIF('DADOS BRUTOS'!$A$3:$A$500,$C29,'DADOS BRUTOS'!AG$3:AG$500)))</f>
        <v/>
      </c>
      <c r="DH29" s="132">
        <f>IF(OR(DH$4="",$B29=""),0,SUMIF('DADOS BRUTOS'!$A$3:$A$500,$B29,'DADOS BRUTOS'!AH$3:AH$500)+IF($C29="",0,SUMIF('DADOS BRUTOS'!$A$3:$A$500,$C29,'DADOS BRUTOS'!AH$3:AH$500)))</f>
        <v/>
      </c>
      <c r="DI29" s="132">
        <f>IF(OR(DI$4="",$B29=""),0,SUMIF('DADOS BRUTOS'!$A$3:$A$500,$B29,'DADOS BRUTOS'!AI$3:AI$500)+IF($C29="",0,SUMIF('DADOS BRUTOS'!$A$3:$A$500,$C29,'DADOS BRUTOS'!AI$3:AI$500)))</f>
        <v/>
      </c>
      <c r="DJ29" s="132">
        <f>IF(OR(DJ$4="",$B29=""),0,SUMIF('DADOS BRUTOS'!$A$3:$A$500,$B29,'DADOS BRUTOS'!AJ$3:AJ$500)+IF($C29="",0,SUMIF('DADOS BRUTOS'!$A$3:$A$500,$C29,'DADOS BRUTOS'!AJ$3:AJ$500)))</f>
        <v/>
      </c>
      <c r="DK29" s="132">
        <f>IF(OR(DK$4="",$B29=""),0,SUMIF('DADOS BRUTOS'!$A$3:$A$500,$B29,'DADOS BRUTOS'!AK$3:AK$500)+IF($C29="",0,SUMIF('DADOS BRUTOS'!$A$3:$A$500,$C29,'DADOS BRUTOS'!AK$3:AK$500)))</f>
        <v/>
      </c>
      <c r="DL29" s="132">
        <f>IF(OR(DL$4="",$B29=""),0,SUMIF('DADOS BRUTOS'!$A$3:$A$500,$B29,'DADOS BRUTOS'!AL$3:AL$500)+IF($C29="",0,SUMIF('DADOS BRUTOS'!$A$3:$A$500,$C29,'DADOS BRUTOS'!AL$3:AL$500)))</f>
        <v/>
      </c>
      <c r="DM29" s="132">
        <f>IF(OR(DM$4="",$B29=""),0,SUMIF('DADOS BRUTOS'!$A$3:$A$500,$B29,'DADOS BRUTOS'!AM$3:AM$500)+IF($C29="",0,SUMIF('DADOS BRUTOS'!$A$3:$A$500,$C29,'DADOS BRUTOS'!AM$3:AM$500)))</f>
        <v/>
      </c>
      <c r="DN29" s="132">
        <f>IF(OR(DN$4="",$B29=""),0,SUMIF('DADOS BRUTOS'!$A$3:$A$500,$B29,'DADOS BRUTOS'!AN$3:AN$500)+IF($C29="",0,SUMIF('DADOS BRUTOS'!$A$3:$A$500,$C29,'DADOS BRUTOS'!AN$3:AN$500)))</f>
        <v/>
      </c>
      <c r="DO29" s="132">
        <f>IF(OR(DO$4="",$B29=""),0,SUMIF('DADOS BRUTOS'!$A$3:$A$500,$B29,'DADOS BRUTOS'!AO$3:AO$500)+IF($C29="",0,SUMIF('DADOS BRUTOS'!$A$3:$A$500,$C29,'DADOS BRUTOS'!AO$3:AO$500)))</f>
        <v/>
      </c>
      <c r="DP29" s="132">
        <f>IF(OR(DP$4="",$B29=""),0,SUMIF('DADOS BRUTOS'!$A$3:$A$500,$B29,'DADOS BRUTOS'!AP$3:AP$500)+IF($C29="",0,SUMIF('DADOS BRUTOS'!$A$3:$A$500,$C29,'DADOS BRUTOS'!AP$3:AP$500)))</f>
        <v/>
      </c>
      <c r="DQ29" s="132">
        <f>IF(OR(DQ$4="",$B29=""),0,SUMIF('DADOS BRUTOS'!$A$3:$A$500,$B29,'DADOS BRUTOS'!AQ$3:AQ$500)+IF($C29="",0,SUMIF('DADOS BRUTOS'!$A$3:$A$500,$C29,'DADOS BRUTOS'!AQ$3:AQ$500)))</f>
        <v/>
      </c>
      <c r="DR29" s="132">
        <f>IF(OR(DR$4="",$B29=""),0,SUMIF('DADOS BRUTOS'!$A$3:$A$500,$B29,'DADOS BRUTOS'!AR$3:AR$500)+IF($C29="",0,SUMIF('DADOS BRUTOS'!$A$3:$A$500,$C29,'DADOS BRUTOS'!AR$3:AR$500)))</f>
        <v/>
      </c>
      <c r="DS29" s="132">
        <f>IF(OR(DS$4="",$B29=""),0,SUMIF('DADOS BRUTOS'!$A$3:$A$500,$B29,'DADOS BRUTOS'!AS$3:AS$500)+IF($C29="",0,SUMIF('DADOS BRUTOS'!$A$3:$A$500,$C29,'DADOS BRUTOS'!AS$3:AS$500)))</f>
        <v/>
      </c>
      <c r="DT29" s="132">
        <f>IF(OR(DT$4="",$B29=""),0,SUMIF('DADOS BRUTOS'!$A$3:$A$500,$B29,'DADOS BRUTOS'!AT$3:AT$500)+IF($C29="",0,SUMIF('DADOS BRUTOS'!$A$3:$A$500,$C29,'DADOS BRUTOS'!AT$3:AT$500)))</f>
        <v/>
      </c>
      <c r="DU29" s="132">
        <f>IF(OR(DU$4="",$B29=""),0,SUMIF('DADOS BRUTOS'!$A$3:$A$500,$B29,'DADOS BRUTOS'!AU$3:AU$500)+IF($C29="",0,SUMIF('DADOS BRUTOS'!$A$3:$A$500,$C29,'DADOS BRUTOS'!AU$3:AU$500)))</f>
        <v/>
      </c>
      <c r="DV29" s="132">
        <f>IF(OR(DV$4="",$B29=""),0,SUMIF('DADOS BRUTOS'!$A$3:$A$500,$B29,'DADOS BRUTOS'!AV$3:AV$500)+IF($C29="",0,SUMIF('DADOS BRUTOS'!$A$3:$A$500,$C29,'DADOS BRUTOS'!AV$3:AV$500)))</f>
        <v/>
      </c>
      <c r="DW29" s="132">
        <f>IF(OR(DW$4="",$B29=""),0,SUMIF('DADOS BRUTOS'!$A$3:$A$500,$B29,'DADOS BRUTOS'!AW$3:AW$500)+IF($C29="",0,SUMIF('DADOS BRUTOS'!$A$3:$A$500,$C29,'DADOS BRUTOS'!AW$3:AW$500)))</f>
        <v/>
      </c>
      <c r="DX29" s="132">
        <f>IF(OR(DX$4="",$B29=""),0,SUMIF('DADOS BRUTOS'!$A$3:$A$500,$B29,'DADOS BRUTOS'!AX$3:AX$500)+IF($C29="",0,SUMIF('DADOS BRUTOS'!$A$3:$A$500,$C29,'DADOS BRUTOS'!AX$3:AX$500)))</f>
        <v/>
      </c>
      <c r="DY29" s="132">
        <f>IF(OR(DY$4="",$B29=""),0,SUMIF('DADOS BRUTOS'!$A$3:$A$500,$B29,'DADOS BRUTOS'!AY$3:AY$500)+IF($C29="",0,SUMIF('DADOS BRUTOS'!$A$3:$A$500,$C29,'DADOS BRUTOS'!AY$3:AY$500)))</f>
        <v/>
      </c>
      <c r="DZ29" s="132">
        <f>IF(OR(DZ$4="",$B29=""),0,SUMIF('DADOS BRUTOS'!$A$3:$A$500,$B29,'DADOS BRUTOS'!AZ$3:AZ$500)+IF($C29="",0,SUMIF('DADOS BRUTOS'!$A$3:$A$500,$C29,'DADOS BRUTOS'!AZ$3:AZ$500)))</f>
        <v/>
      </c>
      <c r="EA29" s="132">
        <f>IF(OR(EA$4="",$B29=""),0,SUMIF('DADOS BRUTOS'!$A$3:$A$500,$B29,'DADOS BRUTOS'!BA$3:BA$500)+IF($C29="",0,SUMIF('DADOS BRUTOS'!$A$3:$A$500,$C29,'DADOS BRUTOS'!BA$3:BA$500)))</f>
        <v/>
      </c>
      <c r="EB29" s="132">
        <f>IF(OR(EB$4="",$B29=""),0,SUMIF('DADOS BRUTOS'!$A$3:$A$500,$B29,'DADOS BRUTOS'!BB$3:BB$500)+IF($C29="",0,SUMIF('DADOS BRUTOS'!$A$3:$A$500,$C29,'DADOS BRUTOS'!BB$3:BB$500)))</f>
        <v/>
      </c>
      <c r="EC29" s="132">
        <f>IF(OR(EC$4="",$B29=""),0,SUMIF('DADOS BRUTOS'!$A$3:$A$500,$B29,'DADOS BRUTOS'!BC$3:BC$500)+IF($C29="",0,SUMIF('DADOS BRUTOS'!$A$3:$A$500,$C29,'DADOS BRUTOS'!BC$3:BC$500)))</f>
        <v/>
      </c>
      <c r="ED29" s="132">
        <f>IF(OR(ED$4="",$B29=""),0,SUMIF('DADOS BRUTOS'!$A$3:$A$500,$B29,'DADOS BRUTOS'!BD$3:BD$500)+IF($C29="",0,SUMIF('DADOS BRUTOS'!$A$3:$A$500,$C29,'DADOS BRUTOS'!BD$3:BD$500)))</f>
        <v/>
      </c>
      <c r="EE29" s="132">
        <f>IF(OR(EE$4="",$B29=""),0,SUMIF('DADOS BRUTOS'!$A$3:$A$500,$B29,'DADOS BRUTOS'!BE$3:BE$500)+IF($C29="",0,SUMIF('DADOS BRUTOS'!$A$3:$A$500,$C29,'DADOS BRUTOS'!BE$3:BE$500)))</f>
        <v/>
      </c>
      <c r="EF29" s="132">
        <f>IF(OR(EF$4="",$B29=""),0,SUMIF('DADOS BRUTOS'!$A$3:$A$500,$B29,'DADOS BRUTOS'!BF$3:BF$500)+IF($C29="",0,SUMIF('DADOS BRUTOS'!$A$3:$A$500,$C29,'DADOS BRUTOS'!BF$3:BF$500)))</f>
        <v/>
      </c>
      <c r="EG29" s="132">
        <f>IF(OR(EG$4="",$B29=""),0,SUMIF('DADOS BRUTOS'!$A$3:$A$500,$B29,'DADOS BRUTOS'!BG$3:BG$500)+IF($C29="",0,SUMIF('DADOS BRUTOS'!$A$3:$A$500,$C29,'DADOS BRUTOS'!BG$3:BG$500)))</f>
        <v/>
      </c>
      <c r="EH29" s="132">
        <f>IF(OR(EH$4="",$B29=""),0,SUMIF('DADOS BRUTOS'!$A$3:$A$500,$B29,'DADOS BRUTOS'!BH$3:BH$500)+IF($C29="",0,SUMIF('DADOS BRUTOS'!$A$3:$A$500,$C29,'DADOS BRUTOS'!BH$3:BH$500)))</f>
        <v/>
      </c>
      <c r="EI29" s="132">
        <f>IF(OR(EI$4="",$B29=""),0,SUMIF('DADOS BRUTOS'!$A$3:$A$500,$B29,'DADOS BRUTOS'!BI$3:BI$500)+IF($C29="",0,SUMIF('DADOS BRUTOS'!$A$3:$A$500,$C29,'DADOS BRUTOS'!BI$3:BI$500)))</f>
        <v/>
      </c>
      <c r="EJ29" s="132">
        <f>IF(OR(EJ$4="",$B29=""),0,SUMIF('DADOS BRUTOS'!$A$3:$A$500,$B29,'DADOS BRUTOS'!BJ$3:BJ$500)+IF($C29="",0,SUMIF('DADOS BRUTOS'!$A$3:$A$500,$C29,'DADOS BRUTOS'!BJ$3:BJ$500)))</f>
        <v/>
      </c>
      <c r="EK29" s="132">
        <f>IF(OR(EK$4="",$B29=""),0,SUMIF('DADOS BRUTOS'!$A$3:$A$500,$B29,'DADOS BRUTOS'!BK$3:BK$500)+IF($C29="",0,SUMIF('DADOS BRUTOS'!$A$3:$A$500,$C29,'DADOS BRUTOS'!BK$3:BK$500)))</f>
        <v/>
      </c>
      <c r="EL29" s="132">
        <f>IF(OR(EL$4="",$B29=""),0,SUMIF('DADOS BRUTOS'!$A$3:$A$500,$B29,'DADOS BRUTOS'!BL$3:BL$500)+IF($C29="",0,SUMIF('DADOS BRUTOS'!$A$3:$A$500,$C29,'DADOS BRUTOS'!BL$3:BL$500)))</f>
        <v/>
      </c>
      <c r="EM29" s="132">
        <f>IF(OR(EM$4="",$B29=""),0,SUMIF('DADOS BRUTOS'!$A$3:$A$500,$B29,'DADOS BRUTOS'!BM$3:BM$500)+IF($C29="",0,SUMIF('DADOS BRUTOS'!$A$3:$A$500,$C29,'DADOS BRUTOS'!BM$3:BM$500)))</f>
        <v/>
      </c>
      <c r="EN29" s="132">
        <f>IF(OR(EN$4="",$B29=""),0,SUMIF('DADOS BRUTOS'!$A$3:$A$500,$B29,'DADOS BRUTOS'!BN$3:BN$500)+IF($C29="",0,SUMIF('DADOS BRUTOS'!$A$3:$A$500,$C29,'DADOS BRUTOS'!BN$3:BN$500)))</f>
        <v/>
      </c>
      <c r="EO29" s="132">
        <f>IF(OR(EO$4="",$B29=""),0,SUMIF('DADOS BRUTOS'!$A$3:$A$500,$B29,'DADOS BRUTOS'!BO$3:BO$500)+IF($C29="",0,SUMIF('DADOS BRUTOS'!$A$3:$A$500,$C29,'DADOS BRUTOS'!BO$3:BO$500)))</f>
        <v/>
      </c>
      <c r="EP29" s="132">
        <f>IF(OR(EP$4="",$B29=""),0,SUMIF('DADOS BRUTOS'!$A$3:$A$500,$B29,'DADOS BRUTOS'!BP$3:BP$500)+IF($C29="",0,SUMIF('DADOS BRUTOS'!$A$3:$A$500,$C29,'DADOS BRUTOS'!BP$3:BP$500)))</f>
        <v/>
      </c>
      <c r="EQ29" s="132">
        <f>IF(OR(EQ$4="",$B29=""),0,SUMIF('DADOS BRUTOS'!$A$3:$A$500,$B29,'DADOS BRUTOS'!BQ$3:BQ$500)+IF($C29="",0,SUMIF('DADOS BRUTOS'!$A$3:$A$500,$C29,'DADOS BRUTOS'!BQ$3:BQ$500)))</f>
        <v/>
      </c>
      <c r="ER29" s="132">
        <f>IF(OR(ER$4="",$B29=""),0,SUMIF('DADOS BRUTOS'!$A$3:$A$500,$B29,'DADOS BRUTOS'!BR$3:BR$500)+IF($C29="",0,SUMIF('DADOS BRUTOS'!$A$3:$A$500,$C29,'DADOS BRUTOS'!BR$3:BR$500)))</f>
        <v/>
      </c>
      <c r="ES29" s="132">
        <f>IF(OR(ES$4="",$B29=""),0,SUMIF('DADOS BRUTOS'!$A$3:$A$500,$B29,'DADOS BRUTOS'!BS$3:BS$500)+IF($C29="",0,SUMIF('DADOS BRUTOS'!$A$3:$A$500,$C29,'DADOS BRUTOS'!BS$3:BS$500)))</f>
        <v/>
      </c>
      <c r="ET29" s="132">
        <f>IF(OR(ET$4="",$B29=""),0,SUMIF('DADOS BRUTOS'!$A$3:$A$500,$B29,'DADOS BRUTOS'!BT$3:BT$500)+IF($C29="",0,SUMIF('DADOS BRUTOS'!$A$3:$A$500,$C29,'DADOS BRUTOS'!BT$3:BT$500)))</f>
        <v/>
      </c>
      <c r="EU29" s="132">
        <f>IF(OR(EU$4="",$B29=""),0,SUMIF('DADOS BRUTOS'!$A$3:$A$500,$B29,'DADOS BRUTOS'!BU$3:BU$500)+IF($C29="",0,SUMIF('DADOS BRUTOS'!$A$3:$A$500,$C29,'DADOS BRUTOS'!BU$3:BU$500)))</f>
        <v/>
      </c>
      <c r="EV29" s="132">
        <f>IF(OR(EV$4="",$B29=""),0,SUMIF('DADOS BRUTOS'!$A$3:$A$500,$B29,'DADOS BRUTOS'!BV$3:BV$500)+IF($C29="",0,SUMIF('DADOS BRUTOS'!$A$3:$A$500,$C29,'DADOS BRUTOS'!BV$3:BV$500)))</f>
        <v/>
      </c>
      <c r="EW29" s="132">
        <f>IF(OR(EW$4="",$B29=""),0,SUMIF('DADOS BRUTOS'!$A$3:$A$500,$B29,'DADOS BRUTOS'!BW$3:BW$500)+IF($C29="",0,SUMIF('DADOS BRUTOS'!$A$3:$A$500,$C29,'DADOS BRUTOS'!BW$3:BW$500)))</f>
        <v/>
      </c>
      <c r="EX29" s="132">
        <f>IF(OR(EX$4="",$B29=""),0,SUMIF('DADOS BRUTOS'!$A$3:$A$500,$B29,'DADOS BRUTOS'!BX$3:BX$500)+IF($C29="",0,SUMIF('DADOS BRUTOS'!$A$3:$A$500,$C29,'DADOS BRUTOS'!BX$3:BX$500)))</f>
        <v/>
      </c>
      <c r="EY29" s="132">
        <f>IF(OR(EY$4="",$B29=""),0,SUMIF('DADOS BRUTOS'!$A$3:$A$500,$B29,'DADOS BRUTOS'!BY$3:BY$500)+IF($C29="",0,SUMIF('DADOS BRUTOS'!$A$3:$A$500,$C29,'DADOS BRUTOS'!BY$3:BY$500)))</f>
        <v/>
      </c>
      <c r="EZ29" s="132">
        <f>IF(OR(EZ$4="",$B29=""),0,SUMIF('DADOS BRUTOS'!$A$3:$A$500,$B29,'DADOS BRUTOS'!BZ$3:BZ$500)+IF($C29="",0,SUMIF('DADOS BRUTOS'!$A$3:$A$500,$C29,'DADOS BRUTOS'!BZ$3:BZ$500)))</f>
        <v/>
      </c>
      <c r="FA29" s="132">
        <f>IF(OR(FA$4="",$B29=""),0,SUMIF('DADOS BRUTOS'!$A$3:$A$500,$B29,'DADOS BRUTOS'!CA$3:CA$500)+IF($C29="",0,SUMIF('DADOS BRUTOS'!$A$3:$A$500,$C29,'DADOS BRUTOS'!CA$3:CA$500)))</f>
        <v/>
      </c>
      <c r="FB29" s="132">
        <f>IF(OR(FB$4="",$B29=""),0,SUMIF('DADOS BRUTOS'!$A$3:$A$500,$B29,'DADOS BRUTOS'!CB$3:CB$500)+IF($C29="",0,SUMIF('DADOS BRUTOS'!$A$3:$A$500,$C29,'DADOS BRUTOS'!CB$3:CB$500)))</f>
        <v/>
      </c>
      <c r="FC29" s="132">
        <f>IF(OR(FC$4="",$B29=""),0,SUMIF('DADOS BRUTOS'!$A$3:$A$500,$B29,'DADOS BRUTOS'!CC$3:CC$500)+IF($C29="",0,SUMIF('DADOS BRUTOS'!$A$3:$A$500,$C29,'DADOS BRUTOS'!CC$3:CC$500)))</f>
        <v/>
      </c>
      <c r="FD29" s="132">
        <f>IF(OR(FD$4="",$B29=""),0,SUMIF('DADOS BRUTOS'!$A$3:$A$500,$B29,'DADOS BRUTOS'!CD$3:CD$500)+IF($C29="",0,SUMIF('DADOS BRUTOS'!$A$3:$A$500,$C29,'DADOS BRUTOS'!CD$3:CD$500)))</f>
        <v/>
      </c>
      <c r="FE29" s="132">
        <f>IF(OR(FE$4="",$B29=""),0,SUMIF('DADOS BRUTOS'!$A$3:$A$500,$B29,'DADOS BRUTOS'!CE$3:CE$500)+IF($C29="",0,SUMIF('DADOS BRUTOS'!$A$3:$A$500,$C29,'DADOS BRUTOS'!CE$3:CE$500)))</f>
        <v/>
      </c>
      <c r="FF29" s="132">
        <f>IF(OR(FF$4="",$B29=""),0,SUMIF('DADOS BRUTOS'!$A$3:$A$500,$B29,'DADOS BRUTOS'!CF$3:CF$500)+IF($C29="",0,SUMIF('DADOS BRUTOS'!$A$3:$A$500,$C29,'DADOS BRUTOS'!CF$3:CF$500)))</f>
        <v/>
      </c>
      <c r="FG29" s="132">
        <f>IF(OR(FG$4="",$B29=""),0,SUMIF('DADOS BRUTOS'!$A$3:$A$500,$B29,'DADOS BRUTOS'!CG$3:CG$500)+IF($C29="",0,SUMIF('DADOS BRUTOS'!$A$3:$A$500,$C29,'DADOS BRUTOS'!CG$3:CG$500)))</f>
        <v/>
      </c>
      <c r="FH29" s="132">
        <f>IF(OR(FH$4="",$B29=""),0,SUMIF('DADOS BRUTOS'!$A$3:$A$500,$B29,'DADOS BRUTOS'!CH$3:CH$500)+IF($C29="",0,SUMIF('DADOS BRUTOS'!$A$3:$A$500,$C29,'DADOS BRUTOS'!CH$3:CH$500)))</f>
        <v/>
      </c>
      <c r="FI29" s="132">
        <f>IF(OR(FI$4="",$B29=""),0,SUMIF('DADOS BRUTOS'!$A$3:$A$500,$B29,'DADOS BRUTOS'!CI$3:CI$500)+IF($C29="",0,SUMIF('DADOS BRUTOS'!$A$3:$A$500,$C29,'DADOS BRUTOS'!CI$3:CI$500)))</f>
        <v/>
      </c>
      <c r="FJ29" s="132">
        <f>IF(OR(FJ$4="",$B29=""),0,SUMIF('DADOS BRUTOS'!$A$3:$A$500,$B29,'DADOS BRUTOS'!CJ$3:CJ$500)+IF($C29="",0,SUMIF('DADOS BRUTOS'!$A$3:$A$500,$C29,'DADOS BRUTOS'!CJ$3:CJ$500)))</f>
        <v/>
      </c>
      <c r="FK29" s="132">
        <f>IF(OR(FK$4="",$B29=""),0,SUMIF('DADOS BRUTOS'!$A$3:$A$500,$B29,'DADOS BRUTOS'!CK$3:CK$500)+IF($C29="",0,SUMIF('DADOS BRUTOS'!$A$3:$A$500,$C29,'DADOS BRUTOS'!CK$3:CK$500)))</f>
        <v/>
      </c>
      <c r="FL29" s="132">
        <f>IF(OR(FL$4="",$B29=""),0,SUMIF('DADOS BRUTOS'!$A$3:$A$500,$B29,'DADOS BRUTOS'!CL$3:CL$500)+IF($C29="",0,SUMIF('DADOS BRUTOS'!$A$3:$A$500,$C29,'DADOS BRUTOS'!CL$3:CL$500)))</f>
        <v/>
      </c>
      <c r="FM29" s="132">
        <f>IF(OR(FM$4="",$B29=""),0,SUMIF('DADOS BRUTOS'!$A$3:$A$500,$B29,'DADOS BRUTOS'!CM$3:CM$500)+IF($C29="",0,SUMIF('DADOS BRUTOS'!$A$3:$A$500,$C29,'DADOS BRUTOS'!CM$3:CM$500)))</f>
        <v/>
      </c>
      <c r="FN29" s="132">
        <f>IF(OR(FN$4="",$B29=""),0,SUMIF('DADOS BRUTOS'!$A$3:$A$500,$B29,'DADOS BRUTOS'!CN$3:CN$500)+IF($C29="",0,SUMIF('DADOS BRUTOS'!$A$3:$A$500,$C29,'DADOS BRUTOS'!CN$3:CN$500)))</f>
        <v/>
      </c>
      <c r="FO29" s="132">
        <f>IF(OR(FO$4="",$B29=""),0,SUMIF('DADOS BRUTOS'!$A$3:$A$500,$B29,'DADOS BRUTOS'!CO$3:CO$500)+IF($C29="",0,SUMIF('DADOS BRUTOS'!$A$3:$A$500,$C29,'DADOS BRUTOS'!CO$3:CO$500)))</f>
        <v/>
      </c>
      <c r="FP29" s="132">
        <f>IF(OR(FP$4="",$B29=""),0,SUMIF('DADOS BRUTOS'!$A$3:$A$500,$B29,'DADOS BRUTOS'!CP$3:CP$500)+IF($C29="",0,SUMIF('DADOS BRUTOS'!$A$3:$A$500,$C29,'DADOS BRUTOS'!CP$3:CP$500)))</f>
        <v/>
      </c>
      <c r="FQ29" s="132">
        <f>IF(OR(FQ$4="",$B29=""),0,SUMIF('DADOS BRUTOS'!$A$3:$A$500,$B29,'DADOS BRUTOS'!CQ$3:CQ$500)+IF($C29="",0,SUMIF('DADOS BRUTOS'!$A$3:$A$500,$C29,'DADOS BRUTOS'!CQ$3:CQ$500)))</f>
        <v/>
      </c>
      <c r="FR29" s="132">
        <f>IF(OR(FR$4="",$B29=""),0,SUMIF('DADOS BRUTOS'!$A$3:$A$500,$B29,'DADOS BRUTOS'!CR$3:CR$500)+IF($C29="",0,SUMIF('DADOS BRUTOS'!$A$3:$A$500,$C29,'DADOS BRUTOS'!CR$3:CR$500)))</f>
        <v/>
      </c>
      <c r="FS29" s="132">
        <f>IF(OR(FS$4="",$B29=""),0,SUMIF('DADOS BRUTOS'!$A$3:$A$500,$B29,'DADOS BRUTOS'!CS$3:CS$500)+IF($C29="",0,SUMIF('DADOS BRUTOS'!$A$3:$A$500,$C29,'DADOS BRUTOS'!CS$3:CS$500)))</f>
        <v/>
      </c>
      <c r="FT29" s="132">
        <f>IF(OR(FT$4="",$B29=""),0,SUMIF('DADOS BRUTOS'!$A$3:$A$500,$B29,'DADOS BRUTOS'!CT$3:CT$500)+IF($C29="",0,SUMIF('DADOS BRUTOS'!$A$3:$A$500,$C29,'DADOS BRUTOS'!CT$3:CT$500)))</f>
        <v/>
      </c>
      <c r="FU29" s="132">
        <f>IF(OR(FU$4="",$B29=""),0,SUMIF('DADOS BRUTOS'!$A$3:$A$500,$B29,'DADOS BRUTOS'!CU$3:CU$500)+IF($C29="",0,SUMIF('DADOS BRUTOS'!$A$3:$A$500,$C29,'DADOS BRUTOS'!CU$3:CU$500)))</f>
        <v/>
      </c>
      <c r="FV29" s="132">
        <f>IF(OR(FV$4="",$B29=""),0,SUMIF('DADOS BRUTOS'!$A$3:$A$500,$B29,'DADOS BRUTOS'!CV$3:CV$500)+IF($C29="",0,SUMIF('DADOS BRUTOS'!$A$3:$A$500,$C29,'DADOS BRUTOS'!CV$3:CV$500)))</f>
        <v/>
      </c>
      <c r="FW29" s="132">
        <f>IF(OR(FW$4="",$B29=""),0,SUMIF('DADOS BRUTOS'!$A$3:$A$500,$B29,'DADOS BRUTOS'!CW$3:CW$500)+IF($C29="",0,SUMIF('DADOS BRUTOS'!$A$3:$A$500,$C29,'DADOS BRUTOS'!CW$3:CW$500)))</f>
        <v/>
      </c>
      <c r="FX29" s="132">
        <f>IF(OR(FX$4="",$B29=""),0,SUMIF('DADOS BRUTOS'!$A$3:$A$500,$B29,'DADOS BRUTOS'!CX$3:CX$500)+IF($C29="",0,SUMIF('DADOS BRUTOS'!$A$3:$A$500,$C29,'DADOS BRUTOS'!CX$3:CX$500)))</f>
        <v/>
      </c>
      <c r="FY29" s="132">
        <f>IF(OR(FY$4="",$B29=""),0,SUMIF('DADOS BRUTOS'!$A$3:$A$500,$B29,'DADOS BRUTOS'!CY$3:CY$500)+IF($C29="",0,SUMIF('DADOS BRUTOS'!$A$3:$A$500,$C29,'DADOS BRUTOS'!CY$3:CY$500)))</f>
        <v/>
      </c>
      <c r="FZ29" s="132">
        <f>IF(OR(FZ$4="",$B29=""),0,SUMIF('DADOS BRUTOS'!$A$3:$A$500,$B29,'DADOS BRUTOS'!CZ$3:CZ$500)+IF($C29="",0,SUMIF('DADOS BRUTOS'!$A$3:$A$500,$C29,'DADOS BRUTOS'!CZ$3:CZ$500)))</f>
        <v/>
      </c>
      <c r="GA29" s="132">
        <f>IF(OR(GA$4="",$B29=""),0,SUMIF('DADOS BRUTOS'!$A$3:$A$500,$B29,'DADOS BRUTOS'!DA$3:DA$500)+IF($C29="",0,SUMIF('DADOS BRUTOS'!$A$3:$A$500,$C29,'DADOS BRUTOS'!DA$3:DA$500)))</f>
        <v/>
      </c>
      <c r="GB29" s="132">
        <f>IF(OR(GB$4="",$B29=""),0,SUMIF('DADOS BRUTOS'!$A$3:$A$500,$B29,'DADOS BRUTOS'!DB$3:DB$500)+IF($C29="",0,SUMIF('DADOS BRUTOS'!$A$3:$A$500,$C29,'DADOS BRUTOS'!DB$3:DB$500)))</f>
        <v/>
      </c>
      <c r="GC29" s="132">
        <f>IF(OR(GC$4="",$B29=""),0,SUMIF('DADOS BRUTOS'!$A$3:$A$500,$B29,'DADOS BRUTOS'!DC$3:DC$500)+IF($C29="",0,SUMIF('DADOS BRUTOS'!$A$3:$A$500,$C29,'DADOS BRUTOS'!DC$3:DC$500)))</f>
        <v/>
      </c>
      <c r="GD29" s="132">
        <f>IF(OR(GD$4="",$B29=""),0,SUMIF('DADOS BRUTOS'!$A$3:$A$500,$B29,'DADOS BRUTOS'!DD$3:DD$500)+IF($C29="",0,SUMIF('DADOS BRUTOS'!$A$3:$A$500,$C29,'DADOS BRUTOS'!DD$3:DD$500)))</f>
        <v/>
      </c>
      <c r="GE29" s="132">
        <f>IF(OR(GE$4="",$B29=""),0,SUMIF('DADOS BRUTOS'!$A$3:$A$500,$B29,'DADOS BRUTOS'!DE$3:DE$500)+IF($C29="",0,SUMIF('DADOS BRUTOS'!$A$3:$A$500,$C29,'DADOS BRUTOS'!DE$3:DE$500)))</f>
        <v/>
      </c>
      <c r="GF29" s="132">
        <f>IF(OR(GF$4="",$B29=""),0,SUMIF('DADOS BRUTOS'!$A$3:$A$500,$B29,'DADOS BRUTOS'!DF$3:DF$500)+IF($C29="",0,SUMIF('DADOS BRUTOS'!$A$3:$A$500,$C29,'DADOS BRUTOS'!DF$3:DF$500)))</f>
        <v/>
      </c>
      <c r="GG29" s="132">
        <f>IF(OR(GG$4="",$B29=""),0,SUMIF('DADOS BRUTOS'!$A$3:$A$500,$B29,'DADOS BRUTOS'!DG$3:DG$500)+IF($C29="",0,SUMIF('DADOS BRUTOS'!$A$3:$A$500,$C29,'DADOS BRUTOS'!DG$3:DG$500)))</f>
        <v/>
      </c>
      <c r="GH29" s="132">
        <f>IF(OR(GH$4="",$B29=""),0,SUMIF('DADOS BRUTOS'!$A$3:$A$500,$B29,'DADOS BRUTOS'!DH$3:DH$500)+IF($C29="",0,SUMIF('DADOS BRUTOS'!$A$3:$A$500,$C29,'DADOS BRUTOS'!DH$3:DH$500)))</f>
        <v/>
      </c>
      <c r="GI29" s="132">
        <f>IF(OR(GI$4="",$B29=""),0,SUMIF('DADOS BRUTOS'!$A$3:$A$500,$B29,'DADOS BRUTOS'!DI$3:DI$500)+IF($C29="",0,SUMIF('DADOS BRUTOS'!$A$3:$A$500,$C29,'DADOS BRUTOS'!DI$3:DI$500)))</f>
        <v/>
      </c>
      <c r="GJ29" s="132">
        <f>IF(OR(GJ$4="",$B29=""),0,SUMIF('DADOS BRUTOS'!$A$3:$A$500,$B29,'DADOS BRUTOS'!DJ$3:DJ$500)+IF($C29="",0,SUMIF('DADOS BRUTOS'!$A$3:$A$500,$C29,'DADOS BRUTOS'!DJ$3:DJ$500)))</f>
        <v/>
      </c>
      <c r="GK29" s="132">
        <f>IF(OR(GK$4="",$B29=""),0,SUMIF('DADOS BRUTOS'!$A$3:$A$500,$B29,'DADOS BRUTOS'!DK$3:DK$500)+IF($C29="",0,SUMIF('DADOS BRUTOS'!$A$3:$A$500,$C29,'DADOS BRUTOS'!DK$3:DK$500)))</f>
        <v/>
      </c>
      <c r="GL29" s="132">
        <f>IF(OR(GL$4="",$B29=""),0,SUMIF('DADOS BRUTOS'!$A$3:$A$500,$B29,'DADOS BRUTOS'!DL$3:DL$500)+IF($C29="",0,SUMIF('DADOS BRUTOS'!$A$3:$A$500,$C29,'DADOS BRUTOS'!DL$3:DL$500)))</f>
        <v/>
      </c>
      <c r="GM29" s="132">
        <f>IF(OR(GM$4="",$B29=""),0,SUMIF('DADOS BRUTOS'!$A$3:$A$500,$B29,'DADOS BRUTOS'!DM$3:DM$500)+IF($C29="",0,SUMIF('DADOS BRUTOS'!$A$3:$A$500,$C29,'DADOS BRUTOS'!DM$3:DM$500)))</f>
        <v/>
      </c>
      <c r="GN29" s="132">
        <f>IF(OR(GN$4="",$B29=""),0,SUMIF('DADOS BRUTOS'!$A$3:$A$500,$B29,'DADOS BRUTOS'!DN$3:DN$500)+IF($C29="",0,SUMIF('DADOS BRUTOS'!$A$3:$A$500,$C29,'DADOS BRUTOS'!DN$3:DN$500)))</f>
        <v/>
      </c>
      <c r="GO29" s="132">
        <f>IF(OR(GO$4="",$B29=""),0,SUMIF('DADOS BRUTOS'!$A$3:$A$500,$B29,'DADOS BRUTOS'!DO$3:DO$500)+IF($C29="",0,SUMIF('DADOS BRUTOS'!$A$3:$A$500,$C29,'DADOS BRUTOS'!DO$3:DO$500)))</f>
        <v/>
      </c>
      <c r="GP29" s="132">
        <f>IF(OR(GP$4="",$B29=""),0,SUMIF('DADOS BRUTOS'!$A$3:$A$500,$B29,'DADOS BRUTOS'!DP$3:DP$500)+IF($C29="",0,SUMIF('DADOS BRUTOS'!$A$3:$A$500,$C29,'DADOS BRUTOS'!DP$3:DP$500)))</f>
        <v/>
      </c>
      <c r="GQ29" s="132">
        <f>IF(OR(GQ$4="",$B29=""),0,SUMIF('DADOS BRUTOS'!$A$3:$A$500,$B29,'DADOS BRUTOS'!DQ$3:DQ$500)+IF($C29="",0,SUMIF('DADOS BRUTOS'!$A$3:$A$500,$C29,'DADOS BRUTOS'!DQ$3:DQ$500)))</f>
        <v/>
      </c>
      <c r="GR29" s="132">
        <f>IF(OR(GR$4="",$B29=""),0,SUMIF('DADOS BRUTOS'!$A$3:$A$500,$B29,'DADOS BRUTOS'!DR$3:DR$500)+IF($C29="",0,SUMIF('DADOS BRUTOS'!$A$3:$A$500,$C29,'DADOS BRUTOS'!DR$3:DR$500)))</f>
        <v/>
      </c>
      <c r="GS29" s="132">
        <f>IF(OR(GS$4="",$B29=""),0,SUMIF('DADOS BRUTOS'!$A$3:$A$500,$B29,'DADOS BRUTOS'!DS$3:DS$500)+IF($C29="",0,SUMIF('DADOS BRUTOS'!$A$3:$A$500,$C29,'DADOS BRUTOS'!DS$3:DS$500)))</f>
        <v/>
      </c>
      <c r="GT29" s="132">
        <f>IF(OR(GT$4="",$B29=""),0,SUMIF('DADOS BRUTOS'!$A$3:$A$500,$B29,'DADOS BRUTOS'!DT$3:DT$500)+IF($C29="",0,SUMIF('DADOS BRUTOS'!$A$3:$A$500,$C29,'DADOS BRUTOS'!DT$3:DT$500)))</f>
        <v/>
      </c>
      <c r="GU29" s="132">
        <f>IF(OR(GU$4="",$B29=""),0,SUMIF('DADOS BRUTOS'!$A$3:$A$500,$B29,'DADOS BRUTOS'!DU$3:DU$500)+IF($C29="",0,SUMIF('DADOS BRUTOS'!$A$3:$A$500,$C29,'DADOS BRUTOS'!DU$3:DU$500)))</f>
        <v/>
      </c>
      <c r="GV29" s="132">
        <f>IF(OR(GV$4="",$B29=""),0,SUMIF('DADOS BRUTOS'!$A$3:$A$500,$B29,'DADOS BRUTOS'!DV$3:DV$500)+IF($C29="",0,SUMIF('DADOS BRUTOS'!$A$3:$A$500,$C29,'DADOS BRUTOS'!DV$3:DV$500)))</f>
        <v/>
      </c>
      <c r="GW29" s="132">
        <f>IF(OR(GW$4="",$B29=""),0,SUMIF('DADOS BRUTOS'!$A$3:$A$500,$B29,'DADOS BRUTOS'!DW$3:DW$500)+IF($C29="",0,SUMIF('DADOS BRUTOS'!$A$3:$A$500,$C29,'DADOS BRUTOS'!DW$3:DW$500)))</f>
        <v/>
      </c>
      <c r="GX29" s="132">
        <f>IF(OR(GX$4="",$B29=""),0,SUMIF('DADOS BRUTOS'!$A$3:$A$500,$B29,'DADOS BRUTOS'!DX$3:DX$500)+IF($C29="",0,SUMIF('DADOS BRUTOS'!$A$3:$A$500,$C29,'DADOS BRUTOS'!DX$3:DX$500)))</f>
        <v/>
      </c>
      <c r="GY29" s="132">
        <f>IF(OR(GY$4="",$B29=""),0,SUMIF('DADOS BRUTOS'!$A$3:$A$500,$B29,'DADOS BRUTOS'!DY$3:DY$500)+IF($C29="",0,SUMIF('DADOS BRUTOS'!$A$3:$A$500,$C29,'DADOS BRUTOS'!DY$3:DY$500)))</f>
        <v/>
      </c>
      <c r="GZ29" s="132">
        <f>IF(OR(GZ$4="",$B29=""),0,SUMIF('DADOS BRUTOS'!$A$3:$A$500,$B29,'DADOS BRUTOS'!DZ$3:DZ$500)+IF($C29="",0,SUMIF('DADOS BRUTOS'!$A$3:$A$500,$C29,'DADOS BRUTOS'!DZ$3:DZ$500)))</f>
        <v/>
      </c>
      <c r="HA29" s="132">
        <f>IF(OR(HA$4="",$B29=""),0,SUMIF('DADOS BRUTOS'!$A$3:$A$500,$B29,'DADOS BRUTOS'!EA$3:EA$500)+IF($C29="",0,SUMIF('DADOS BRUTOS'!$A$3:$A$500,$C29,'DADOS BRUTOS'!EA$3:EA$500)))</f>
        <v/>
      </c>
      <c r="HB29" s="132">
        <f>IF(OR(HB$4="",$B29=""),0,SUMIF('DADOS BRUTOS'!$A$3:$A$500,$B29,'DADOS BRUTOS'!EB$3:EB$500)+IF($C29="",0,SUMIF('DADOS BRUTOS'!$A$3:$A$500,$C29,'DADOS BRUTOS'!EB$3:EB$500)))</f>
        <v/>
      </c>
      <c r="HC29" s="132">
        <f>IF(OR(HC$4="",$B29=""),0,SUMIF('DADOS BRUTOS'!$A$3:$A$500,$B29,'DADOS BRUTOS'!EC$3:EC$500)+IF($C29="",0,SUMIF('DADOS BRUTOS'!$A$3:$A$500,$C29,'DADOS BRUTOS'!EC$3:EC$500)))</f>
        <v/>
      </c>
      <c r="HD29" s="132">
        <f>IF(OR(HD$4="",$B29=""),0,SUMIF('DADOS BRUTOS'!$A$3:$A$500,$B29,'DADOS BRUTOS'!ED$3:ED$500)+IF($C29="",0,SUMIF('DADOS BRUTOS'!$A$3:$A$500,$C29,'DADOS BRUTOS'!ED$3:ED$500)))</f>
        <v/>
      </c>
      <c r="HE29" s="132">
        <f>IF(OR(HE$4="",$B29=""),0,SUMIF('DADOS BRUTOS'!$A$3:$A$500,$B29,'DADOS BRUTOS'!EE$3:EE$500)+IF($C29="",0,SUMIF('DADOS BRUTOS'!$A$3:$A$500,$C29,'DADOS BRUTOS'!EE$3:EE$500)))</f>
        <v/>
      </c>
      <c r="HF29" s="132">
        <f>IF(OR(HF$4="",$B29=""),0,SUMIF('DADOS BRUTOS'!$A$3:$A$500,$B29,'DADOS BRUTOS'!EF$3:EF$500)+IF($C29="",0,SUMIF('DADOS BRUTOS'!$A$3:$A$500,$C29,'DADOS BRUTOS'!EF$3:EF$500)))</f>
        <v/>
      </c>
      <c r="HG29" s="132">
        <f>IF(OR(HG$4="",$B29=""),0,SUMIF('DADOS BRUTOS'!$A$3:$A$500,$B29,'DADOS BRUTOS'!EG$3:EG$500)+IF($C29="",0,SUMIF('DADOS BRUTOS'!$A$3:$A$500,$C29,'DADOS BRUTOS'!EG$3:EG$500)))</f>
        <v/>
      </c>
      <c r="HH29" s="132">
        <f>IF(OR(HH$4="",$B29=""),0,SUMIF('DADOS BRUTOS'!$A$3:$A$500,$B29,'DADOS BRUTOS'!EH$3:EH$500)+IF($C29="",0,SUMIF('DADOS BRUTOS'!$A$3:$A$500,$C29,'DADOS BRUTOS'!EH$3:EH$500)))</f>
        <v/>
      </c>
      <c r="HI29" s="132">
        <f>IF(OR(HI$4="",$B29=""),0,SUMIF('DADOS BRUTOS'!$A$3:$A$500,$B29,'DADOS BRUTOS'!EI$3:EI$500)+IF($C29="",0,SUMIF('DADOS BRUTOS'!$A$3:$A$500,$C29,'DADOS BRUTOS'!EI$3:EI$500)))</f>
        <v/>
      </c>
      <c r="HJ29" s="132">
        <f>IF(OR(HJ$4="",$B29=""),0,SUMIF('DADOS BRUTOS'!$A$3:$A$500,$B29,'DADOS BRUTOS'!EJ$3:EJ$500)+IF($C29="",0,SUMIF('DADOS BRUTOS'!$A$3:$A$500,$C29,'DADOS BRUTOS'!EJ$3:EJ$500)))</f>
        <v/>
      </c>
      <c r="HK29" s="132">
        <f>IF(OR(HK$4="",$B29=""),0,SUMIF('DADOS BRUTOS'!$A$3:$A$500,$B29,'DADOS BRUTOS'!EK$3:EK$500)+IF($C29="",0,SUMIF('DADOS BRUTOS'!$A$3:$A$500,$C29,'DADOS BRUTOS'!EK$3:EK$500)))</f>
        <v/>
      </c>
      <c r="HL29" s="132">
        <f>IF(OR(HL$4="",$B29=""),0,SUMIF('DADOS BRUTOS'!$A$3:$A$500,$B29,'DADOS BRUTOS'!EL$3:EL$500)+IF($C29="",0,SUMIF('DADOS BRUTOS'!$A$3:$A$500,$C29,'DADOS BRUTOS'!EL$3:EL$500)))</f>
        <v/>
      </c>
      <c r="HM29" s="132">
        <f>IF(OR(HM$4="",$B29=""),0,SUMIF('DADOS BRUTOS'!$A$3:$A$500,$B29,'DADOS BRUTOS'!EM$3:EM$500)+IF($C29="",0,SUMIF('DADOS BRUTOS'!$A$3:$A$500,$C29,'DADOS BRUTOS'!EM$3:EM$500)))</f>
        <v/>
      </c>
      <c r="HN29" s="132">
        <f>IF(OR(HN$4="",$B29=""),0,SUMIF('DADOS BRUTOS'!$A$3:$A$500,$B29,'DADOS BRUTOS'!EN$3:EN$500)+IF($C29="",0,SUMIF('DADOS BRUTOS'!$A$3:$A$500,$C29,'DADOS BRUTOS'!EN$3:EN$500)))</f>
        <v/>
      </c>
      <c r="HO29" s="132">
        <f>IF(OR(HO$4="",$B29=""),0,SUMIF('DADOS BRUTOS'!$A$3:$A$500,$B29,'DADOS BRUTOS'!EO$3:EO$500)+IF($C29="",0,SUMIF('DADOS BRUTOS'!$A$3:$A$500,$C29,'DADOS BRUTOS'!EO$3:EO$500)))</f>
        <v/>
      </c>
      <c r="HP29" s="132">
        <f>IF(OR(HP$4="",$B29=""),0,SUMIF('DADOS BRUTOS'!$A$3:$A$500,$B29,'DADOS BRUTOS'!EP$3:EP$500)+IF($C29="",0,SUMIF('DADOS BRUTOS'!$A$3:$A$500,$C29,'DADOS BRUTOS'!EP$3:EP$500)))</f>
        <v/>
      </c>
      <c r="HQ29" s="132">
        <f>IF(OR(HQ$4="",$B29=""),0,SUMIF('DADOS BRUTOS'!$A$3:$A$500,$B29,'DADOS BRUTOS'!EQ$3:EQ$500)+IF($C29="",0,SUMIF('DADOS BRUTOS'!$A$3:$A$500,$C29,'DADOS BRUTOS'!EQ$3:EQ$500)))</f>
        <v/>
      </c>
      <c r="HR29" s="132">
        <f>IF(OR(HR$4="",$B29=""),0,SUMIF('DADOS BRUTOS'!$A$3:$A$500,$B29,'DADOS BRUTOS'!ER$3:ER$500)+IF($C29="",0,SUMIF('DADOS BRUTOS'!$A$3:$A$500,$C29,'DADOS BRUTOS'!ER$3:ER$500)))</f>
        <v/>
      </c>
      <c r="HS29" s="132">
        <f>IF(OR(HS$4="",$B29=""),0,SUMIF('DADOS BRUTOS'!$A$3:$A$500,$B29,'DADOS BRUTOS'!ES$3:ES$500)+IF($C29="",0,SUMIF('DADOS BRUTOS'!$A$3:$A$500,$C29,'DADOS BRUTOS'!ES$3:ES$500)))</f>
        <v/>
      </c>
      <c r="HT29" s="132">
        <f>IF(OR(HT$4="",$B29=""),0,SUMIF('DADOS BRUTOS'!$A$3:$A$500,$B29,'DADOS BRUTOS'!ET$3:ET$500)+IF($C29="",0,SUMIF('DADOS BRUTOS'!$A$3:$A$500,$C29,'DADOS BRUTOS'!ET$3:ET$500)))</f>
        <v/>
      </c>
      <c r="HU29" s="132">
        <f>IF(OR(HU$4="",$B29=""),0,SUMIF('DADOS BRUTOS'!$A$3:$A$500,$B29,'DADOS BRUTOS'!EU$3:EU$500)+IF($C29="",0,SUMIF('DADOS BRUTOS'!$A$3:$A$500,$C29,'DADOS BRUTOS'!EU$3:EU$500)))</f>
        <v/>
      </c>
      <c r="HV29" s="132">
        <f>IF(OR(HV$4="",$B29=""),0,SUMIF('DADOS BRUTOS'!$A$3:$A$500,$B29,'DADOS BRUTOS'!EV$3:EV$500)+IF($C29="",0,SUMIF('DADOS BRUTOS'!$A$3:$A$500,$C29,'DADOS BRUTOS'!EV$3:EV$500)))</f>
        <v/>
      </c>
      <c r="HW29" s="132">
        <f>IF(OR(HW$4="",$B29=""),0,SUMIF('DADOS BRUTOS'!$A$3:$A$500,$B29,'DADOS BRUTOS'!EW$3:EW$500)+IF($C29="",0,SUMIF('DADOS BRUTOS'!$A$3:$A$500,$C29,'DADOS BRUTOS'!EW$3:EW$500)))</f>
        <v/>
      </c>
      <c r="HX29" s="132">
        <f>IF(OR(HX$4="",$B29=""),0,SUMIF('DADOS BRUTOS'!$A$3:$A$500,$B29,'DADOS BRUTOS'!EX$3:EX$500)+IF($C29="",0,SUMIF('DADOS BRUTOS'!$A$3:$A$500,$C29,'DADOS BRUTOS'!EX$3:EX$500)))</f>
        <v/>
      </c>
      <c r="HY29" s="132">
        <f>IF(OR(HY$4="",$B29=""),0,SUMIF('DADOS BRUTOS'!$A$3:$A$500,$B29,'DADOS BRUTOS'!EY$3:EY$500)+IF($C29="",0,SUMIF('DADOS BRUTOS'!$A$3:$A$500,$C29,'DADOS BRUTOS'!EY$3:EY$500)))</f>
        <v/>
      </c>
      <c r="HZ29" s="132">
        <f>IF(OR(HZ$4="",$B29=""),0,SUMIF('DADOS BRUTOS'!$A$3:$A$500,$B29,'DADOS BRUTOS'!EZ$3:EZ$500)+IF($C29="",0,SUMIF('DADOS BRUTOS'!$A$3:$A$500,$C29,'DADOS BRUTOS'!EZ$3:EZ$500)))</f>
        <v/>
      </c>
      <c r="IA29" s="132">
        <f>IF(OR(IA$4="",$B29=""),0,SUMIF('DADOS BRUTOS'!$A$3:$A$500,$B29,'DADOS BRUTOS'!FA$3:FA$500)+IF($C29="",0,SUMIF('DADOS BRUTOS'!$A$3:$A$500,$C29,'DADOS BRUTOS'!FA$3:FA$500)))</f>
        <v/>
      </c>
      <c r="IB29" s="132">
        <f>IF(OR(IB$4="",$B29=""),0,SUMIF('DADOS BRUTOS'!$A$3:$A$500,$B29,'DADOS BRUTOS'!FB$3:FB$500)+IF($C29="",0,SUMIF('DADOS BRUTOS'!$A$3:$A$500,$C29,'DADOS BRUTOS'!FB$3:FB$500)))</f>
        <v/>
      </c>
      <c r="IC29" s="132">
        <f>IF(OR(IC$4="",$B29=""),0,SUMIF('DADOS BRUTOS'!$A$3:$A$500,$B29,'DADOS BRUTOS'!FC$3:FC$500)+IF($C29="",0,SUMIF('DADOS BRUTOS'!$A$3:$A$500,$C29,'DADOS BRUTOS'!FC$3:FC$500)))</f>
        <v/>
      </c>
      <c r="ID29" s="132">
        <f>IF(OR(ID$4="",$B29=""),0,SUMIF('DADOS BRUTOS'!$A$3:$A$500,$B29,'DADOS BRUTOS'!FD$3:FD$500)+IF($C29="",0,SUMIF('DADOS BRUTOS'!$A$3:$A$500,$C29,'DADOS BRUTOS'!FD$3:FD$500)))</f>
        <v/>
      </c>
      <c r="IE29" s="132">
        <f>IF(OR(IE$4="",$B29=""),0,SUMIF('DADOS BRUTOS'!$A$3:$A$500,$B29,'DADOS BRUTOS'!FE$3:FE$500)+IF($C29="",0,SUMIF('DADOS BRUTOS'!$A$3:$A$500,$C29,'DADOS BRUTOS'!FE$3:FE$500)))</f>
        <v/>
      </c>
      <c r="IF29" s="132">
        <f>IF(OR(IF$4="",$B29=""),0,SUMIF('DADOS BRUTOS'!$A$3:$A$500,$B29,'DADOS BRUTOS'!FF$3:FF$500)+IF($C29="",0,SUMIF('DADOS BRUTOS'!$A$3:$A$500,$C29,'DADOS BRUTOS'!FF$3:FF$500)))</f>
        <v/>
      </c>
      <c r="IG29" s="132">
        <f>IF(OR(IG$4="",$B29=""),0,SUMIF('DADOS BRUTOS'!$A$3:$A$500,$B29,'DADOS BRUTOS'!FG$3:FG$500)+IF($C29="",0,SUMIF('DADOS BRUTOS'!$A$3:$A$500,$C29,'DADOS BRUTOS'!FG$3:FG$500)))</f>
        <v/>
      </c>
      <c r="IH29" s="132">
        <f>IF(OR(IH$4="",$B29=""),0,SUMIF('DADOS BRUTOS'!$A$3:$A$500,$B29,'DADOS BRUTOS'!FH$3:FH$500)+IF($C29="",0,SUMIF('DADOS BRUTOS'!$A$3:$A$500,$C29,'DADOS BRUTOS'!FH$3:FH$500)))</f>
        <v/>
      </c>
      <c r="II29" s="132">
        <f>IF(OR(II$4="",$B29=""),0,SUMIF('DADOS BRUTOS'!$A$3:$A$500,$B29,'DADOS BRUTOS'!FI$3:FI$500)+IF($C29="",0,SUMIF('DADOS BRUTOS'!$A$3:$A$500,$C29,'DADOS BRUTOS'!FI$3:FI$500)))</f>
        <v/>
      </c>
      <c r="IJ29" s="132">
        <f>IF(OR(IJ$4="",$B29=""),0,SUMIF('DADOS BRUTOS'!$A$3:$A$500,$B29,'DADOS BRUTOS'!FJ$3:FJ$500)+IF($C29="",0,SUMIF('DADOS BRUTOS'!$A$3:$A$500,$C29,'DADOS BRUTOS'!FJ$3:FJ$500)))</f>
        <v/>
      </c>
      <c r="IK29" s="132">
        <f>IF(OR(IK$4="",$B29=""),0,SUMIF('DADOS BRUTOS'!$A$3:$A$500,$B29,'DADOS BRUTOS'!FK$3:FK$500)+IF($C29="",0,SUMIF('DADOS BRUTOS'!$A$3:$A$500,$C29,'DADOS BRUTOS'!FK$3:FK$500)))</f>
        <v/>
      </c>
      <c r="IL29" s="132">
        <f>IF(OR(IL$4="",$B29=""),0,SUMIF('DADOS BRUTOS'!$A$3:$A$500,$B29,'DADOS BRUTOS'!FL$3:FL$500)+IF($C29="",0,SUMIF('DADOS BRUTOS'!$A$3:$A$500,$C29,'DADOS BRUTOS'!FL$3:FL$500)))</f>
        <v/>
      </c>
      <c r="IM29" s="132">
        <f>IF(OR(IM$4="",$B29=""),0,SUMIF('DADOS BRUTOS'!$A$3:$A$500,$B29,'DADOS BRUTOS'!FM$3:FM$500)+IF($C29="",0,SUMIF('DADOS BRUTOS'!$A$3:$A$500,$C29,'DADOS BRUTOS'!FM$3:FM$500)))</f>
        <v/>
      </c>
      <c r="IN29" s="132">
        <f>IF(OR(IN$4="",$B29=""),0,SUMIF('DADOS BRUTOS'!$A$3:$A$500,$B29,'DADOS BRUTOS'!FN$3:FN$500)+IF($C29="",0,SUMIF('DADOS BRUTOS'!$A$3:$A$500,$C29,'DADOS BRUTOS'!FN$3:FN$500)))</f>
        <v/>
      </c>
      <c r="IO29" s="132">
        <f>IF(OR(IO$4="",$B29=""),0,SUMIF('DADOS BRUTOS'!$A$3:$A$500,$B29,'DADOS BRUTOS'!FO$3:FO$500)+IF($C29="",0,SUMIF('DADOS BRUTOS'!$A$3:$A$500,$C29,'DADOS BRUTOS'!FO$3:FO$500)))</f>
        <v/>
      </c>
      <c r="IP29" s="132">
        <f>IF(OR(IP$4="",$B29=""),0,SUMIF('DADOS BRUTOS'!$A$3:$A$500,$B29,'DADOS BRUTOS'!FP$3:FP$500)+IF($C29="",0,SUMIF('DADOS BRUTOS'!$A$3:$A$500,$C29,'DADOS BRUTOS'!FP$3:FP$500)))</f>
        <v/>
      </c>
      <c r="IQ29" s="132">
        <f>IF(OR(IQ$4="",$B29=""),0,SUMIF('DADOS BRUTOS'!$A$3:$A$500,$B29,'DADOS BRUTOS'!FQ$3:FQ$500)+IF($C29="",0,SUMIF('DADOS BRUTOS'!$A$3:$A$500,$C29,'DADOS BRUTOS'!FQ$3:FQ$500)))</f>
        <v/>
      </c>
      <c r="IR29" s="132">
        <f>IF(OR(IR$4="",$B29=""),0,SUMIF('DADOS BRUTOS'!$A$3:$A$500,$B29,'DADOS BRUTOS'!FR$3:FR$500)+IF($C29="",0,SUMIF('DADOS BRUTOS'!$A$3:$A$500,$C29,'DADOS BRUTOS'!FR$3:FR$500)))</f>
        <v/>
      </c>
      <c r="IS29" s="132">
        <f>IF(OR(IS$4="",$B29=""),0,SUMIF('DADOS BRUTOS'!$A$3:$A$500,$B29,'DADOS BRUTOS'!FS$3:FS$500)+IF($C29="",0,SUMIF('DADOS BRUTOS'!$A$3:$A$500,$C29,'DADOS BRUTOS'!FS$3:FS$500)))</f>
        <v/>
      </c>
      <c r="IT29" s="132">
        <f>IF(OR(IT$4="",$B29=""),0,SUMIF('DADOS BRUTOS'!$A$3:$A$500,$B29,'DADOS BRUTOS'!FT$3:FT$500)+IF($C29="",0,SUMIF('DADOS BRUTOS'!$A$3:$A$500,$C29,'DADOS BRUTOS'!FT$3:FT$500)))</f>
        <v/>
      </c>
      <c r="IU29" s="132">
        <f>IF(OR(IU$4="",$B29=""),0,SUMIF('DADOS BRUTOS'!$A$3:$A$500,$B29,'DADOS BRUTOS'!FU$3:FU$500)+IF($C29="",0,SUMIF('DADOS BRUTOS'!$A$3:$A$500,$C29,'DADOS BRUTOS'!FU$3:FU$500)))</f>
        <v/>
      </c>
      <c r="IV29" s="132">
        <f>IF(OR(IV$4="",$B29=""),0,SUMIF('DADOS BRUTOS'!$A$3:$A$500,$B29,'DADOS BRUTOS'!FV$3:FV$500)+IF($C29="",0,SUMIF('DADOS BRUTOS'!$A$3:$A$500,$C29,'DADOS BRUTOS'!FV$3:FV$500)))</f>
        <v/>
      </c>
      <c r="IW29" s="132">
        <f>IF(OR(IW$4="",$B29=""),0,SUMIF('DADOS BRUTOS'!$A$3:$A$500,$B29,'DADOS BRUTOS'!FW$3:FW$500)+IF($C29="",0,SUMIF('DADOS BRUTOS'!$A$3:$A$500,$C29,'DADOS BRUTOS'!FW$3:FW$500)))</f>
        <v/>
      </c>
      <c r="IX29" s="132">
        <f>IF(OR(IX$4="",$B29=""),0,SUMIF('DADOS BRUTOS'!$A$3:$A$500,$B29,'DADOS BRUTOS'!FX$3:FX$500)+IF($C29="",0,SUMIF('DADOS BRUTOS'!$A$3:$A$500,$C29,'DADOS BRUTOS'!FX$3:FX$500)))</f>
        <v/>
      </c>
      <c r="IY29" s="132">
        <f>IF(OR(IY$4="",$B29=""),0,SUMIF('DADOS BRUTOS'!$A$3:$A$500,$B29,'DADOS BRUTOS'!FY$3:FY$500)+IF($C29="",0,SUMIF('DADOS BRUTOS'!$A$3:$A$500,$C29,'DADOS BRUTOS'!FY$3:FY$500)))</f>
        <v/>
      </c>
      <c r="IZ29" s="132">
        <f>IF(OR(IZ$4="",$B29=""),0,SUMIF('DADOS BRUTOS'!$A$3:$A$500,$B29,'DADOS BRUTOS'!FZ$3:FZ$500)+IF($C29="",0,SUMIF('DADOS BRUTOS'!$A$3:$A$500,$C29,'DADOS BRUTOS'!FZ$3:FZ$500)))</f>
        <v/>
      </c>
      <c r="JA29" s="132">
        <f>IF(OR(JA$4="",$B29=""),0,SUMIF('DADOS BRUTOS'!$A$3:$A$500,$B29,'DADOS BRUTOS'!GA$3:GA$500)+IF($C29="",0,SUMIF('DADOS BRUTOS'!$A$3:$A$500,$C29,'DADOS BRUTOS'!GA$3:GA$500)))</f>
        <v/>
      </c>
      <c r="JB29" s="132">
        <f>IF(OR(JB$4="",$B29=""),0,SUMIF('DADOS BRUTOS'!$A$3:$A$500,$B29,'DADOS BRUTOS'!GB$3:GB$500)+IF($C29="",0,SUMIF('DADOS BRUTOS'!$A$3:$A$500,$C29,'DADOS BRUTOS'!GB$3:GB$500)))</f>
        <v/>
      </c>
      <c r="JC29" s="132">
        <f>IF(OR(JC$4="",$B29=""),0,SUMIF('DADOS BRUTOS'!$A$3:$A$500,$B29,'DADOS BRUTOS'!GC$3:GC$500)+IF($C29="",0,SUMIF('DADOS BRUTOS'!$A$3:$A$500,$C29,'DADOS BRUTOS'!GC$3:GC$500)))</f>
        <v/>
      </c>
      <c r="JD29" s="132">
        <f>IF(OR(JD$4="",$B29=""),0,SUMIF('DADOS BRUTOS'!$A$3:$A$500,$B29,'DADOS BRUTOS'!GD$3:GD$500)+IF($C29="",0,SUMIF('DADOS BRUTOS'!$A$3:$A$500,$C29,'DADOS BRUTOS'!GD$3:GD$500)))</f>
        <v/>
      </c>
      <c r="JE29" s="132">
        <f>IF(OR(JE$4="",$B29=""),0,SUMIF('DADOS BRUTOS'!$A$3:$A$500,$B29,'DADOS BRUTOS'!GE$3:GE$500)+IF($C29="",0,SUMIF('DADOS BRUTOS'!$A$3:$A$500,$C29,'DADOS BRUTOS'!GE$3:GE$500)))</f>
        <v/>
      </c>
      <c r="JF29" s="132">
        <f>IF(OR(JF$4="",$B29=""),0,SUMIF('DADOS BRUTOS'!$A$3:$A$500,$B29,'DADOS BRUTOS'!GF$3:GF$500)+IF($C29="",0,SUMIF('DADOS BRUTOS'!$A$3:$A$500,$C29,'DADOS BRUTOS'!GF$3:GF$500)))</f>
        <v/>
      </c>
      <c r="JG29" s="132">
        <f>IF(OR(JG$4="",$B29=""),0,SUMIF('DADOS BRUTOS'!$A$3:$A$500,$B29,'DADOS BRUTOS'!GG$3:GG$500)+IF($C29="",0,SUMIF('DADOS BRUTOS'!$A$3:$A$500,$C29,'DADOS BRUTOS'!GG$3:GG$500)))</f>
        <v/>
      </c>
      <c r="JH29" s="132">
        <f>IF(OR(JH$4="",$B29=""),0,SUMIF('DADOS BRUTOS'!$A$3:$A$500,$B29,'DADOS BRUTOS'!GH$3:GH$500)+IF($C29="",0,SUMIF('DADOS BRUTOS'!$A$3:$A$500,$C29,'DADOS BRUTOS'!GH$3:GH$500)))</f>
        <v/>
      </c>
      <c r="JI29" s="132">
        <f>IF(OR(JI$4="",$B29=""),0,SUMIF('DADOS BRUTOS'!$A$3:$A$500,$B29,'DADOS BRUTOS'!GI$3:GI$500)+IF($C29="",0,SUMIF('DADOS BRUTOS'!$A$3:$A$500,$C29,'DADOS BRUTOS'!GI$3:GI$500)))</f>
        <v/>
      </c>
      <c r="JJ29" s="132">
        <f>IF(OR(JJ$4="",$B29=""),0,SUMIF('DADOS BRUTOS'!$A$3:$A$500,$B29,'DADOS BRUTOS'!GJ$3:GJ$500)+IF($C29="",0,SUMIF('DADOS BRUTOS'!$A$3:$A$500,$C29,'DADOS BRUTOS'!GJ$3:GJ$500)))</f>
        <v/>
      </c>
      <c r="JK29" s="132">
        <f>IF(OR(JK$4="",$B29=""),0,SUMIF('DADOS BRUTOS'!$A$3:$A$500,$B29,'DADOS BRUTOS'!GK$3:GK$500)+IF($C29="",0,SUMIF('DADOS BRUTOS'!$A$3:$A$500,$C29,'DADOS BRUTOS'!GK$3:GK$500)))</f>
        <v/>
      </c>
      <c r="JL29" s="132">
        <f>IF(OR(JL$4="",$B29=""),0,SUMIF('DADOS BRUTOS'!$A$3:$A$500,$B29,'DADOS BRUTOS'!GL$3:GL$500)+IF($C29="",0,SUMIF('DADOS BRUTOS'!$A$3:$A$500,$C29,'DADOS BRUTOS'!GL$3:GL$500)))</f>
        <v/>
      </c>
      <c r="JM29" s="132">
        <f>IF(OR(JM$4="",$B29=""),0,SUMIF('DADOS BRUTOS'!$A$3:$A$500,$B29,'DADOS BRUTOS'!GM$3:GM$500)+IF($C29="",0,SUMIF('DADOS BRUTOS'!$A$3:$A$500,$C29,'DADOS BRUTOS'!GM$3:GM$500)))</f>
        <v/>
      </c>
      <c r="JN29" s="132">
        <f>IF(OR(JN$4="",$B29=""),0,SUMIF('DADOS BRUTOS'!$A$3:$A$500,$B29,'DADOS BRUTOS'!GN$3:GN$500)+IF($C29="",0,SUMIF('DADOS BRUTOS'!$A$3:$A$500,$C29,'DADOS BRUTOS'!GN$3:GN$500)))</f>
        <v/>
      </c>
      <c r="JO29" s="132">
        <f>IF(OR(JO$4="",$B29=""),0,SUMIF('DADOS BRUTOS'!$A$3:$A$500,$B29,'DADOS BRUTOS'!GO$3:GO$500)+IF($C29="",0,SUMIF('DADOS BRUTOS'!$A$3:$A$500,$C29,'DADOS BRUTOS'!GO$3:GO$500)))</f>
        <v/>
      </c>
      <c r="JP29" s="132">
        <f>IF(OR(JP$4="",$B29=""),0,SUMIF('DADOS BRUTOS'!$A$3:$A$500,$B29,'DADOS BRUTOS'!GP$3:GP$500)+IF($C29="",0,SUMIF('DADOS BRUTOS'!$A$3:$A$500,$C29,'DADOS BRUTOS'!GP$3:GP$500)))</f>
        <v/>
      </c>
      <c r="JQ29" s="132">
        <f>IF(OR(JQ$4="",$B29=""),0,SUMIF('DADOS BRUTOS'!$A$3:$A$500,$B29,'DADOS BRUTOS'!GQ$3:GQ$500)+IF($C29="",0,SUMIF('DADOS BRUTOS'!$A$3:$A$500,$C29,'DADOS BRUTOS'!GQ$3:GQ$500)))</f>
        <v/>
      </c>
      <c r="JR29" s="132">
        <f>IF(OR(JR$4="",$B29=""),0,SUMIF('DADOS BRUTOS'!$A$3:$A$500,$B29,'DADOS BRUTOS'!GR$3:GR$500)+IF($C29="",0,SUMIF('DADOS BRUTOS'!$A$3:$A$500,$C29,'DADOS BRUTOS'!GR$3:GR$500)))</f>
        <v/>
      </c>
      <c r="JS29" s="132">
        <f>IF(OR(JS$4="",$B29=""),0,SUMIF('DADOS BRUTOS'!$A$3:$A$500,$B29,'DADOS BRUTOS'!GS$3:GS$500)+IF($C29="",0,SUMIF('DADOS BRUTOS'!$A$3:$A$500,$C29,'DADOS BRUTOS'!GS$3:GS$500)))</f>
        <v/>
      </c>
    </row>
    <row r="30">
      <c r="A30" s="61">
        <f>'VALOR POR PL'!D36</f>
        <v/>
      </c>
      <c r="B30" s="59" t="inlineStr">
        <is>
          <t>SERRALHERIA</t>
        </is>
      </c>
      <c r="C30" s="59" t="n"/>
      <c r="D30" s="54">
        <f>SUMIF($CB$4:$JS$4,"&lt;="&amp;D$4,$CB30:$JS30)</f>
        <v/>
      </c>
      <c r="E30" s="54">
        <f>SUMIF($CB$4:$JS$4,E$4,$CB30:$JS30)</f>
        <v/>
      </c>
      <c r="F30" s="54">
        <f>SUMIF($CB$4:$JS$4,F$4,$CB30:$JS30)</f>
        <v/>
      </c>
      <c r="G30" s="54">
        <f>SUMIF($CB$4:$JS$4,G$4,$CB30:$JS30)</f>
        <v/>
      </c>
      <c r="H30" s="54">
        <f>SUMIF($CB$4:$JS$4,H$4,$CB30:$JS30)</f>
        <v/>
      </c>
      <c r="I30" s="54">
        <f>SUMIF($CB$4:$JS$4,I$4,$CB30:$JS30)</f>
        <v/>
      </c>
      <c r="J30" s="54">
        <f>SUMIF($CB$4:$JS$4,J$4,$CB30:$JS30)</f>
        <v/>
      </c>
      <c r="K30" s="54">
        <f>SUMIF($CB$4:$JS$4,K$4,$CB30:$JS30)</f>
        <v/>
      </c>
      <c r="L30" s="54">
        <f>SUMIF($CB$4:$JS$4,L$4,$CB30:$JS30)</f>
        <v/>
      </c>
      <c r="M30" s="54">
        <f>SUMIF($CB$4:$JS$4,M$4,$CB30:$JS30)</f>
        <v/>
      </c>
      <c r="N30" s="54">
        <f>SUMIF($CB$4:$JS$4,N$4,$CB30:$JS30)</f>
        <v/>
      </c>
      <c r="O30" s="54">
        <f>SUMIF($CB$4:$JS$4,O$4,$CB30:$JS30)</f>
        <v/>
      </c>
      <c r="P30" s="54">
        <f>SUMIF($CB$4:$JS$4,P$4,$CB30:$JS30)</f>
        <v/>
      </c>
      <c r="Q30" s="54">
        <f>SUMIF($CB$4:$JS$4,Q$4,$CB30:$JS30)</f>
        <v/>
      </c>
      <c r="R30" s="54">
        <f>SUMIF($CB$4:$JS$4,R$4,$CB30:$JS30)</f>
        <v/>
      </c>
      <c r="S30" s="54">
        <f>SUMIF($CB$4:$JS$4,S$4,$CB30:$JS30)</f>
        <v/>
      </c>
      <c r="T30" s="54">
        <f>SUMIF($CB$4:$JS$4,T$4,$CB30:$JS30)</f>
        <v/>
      </c>
      <c r="U30" s="54">
        <f>SUMIF($CB$4:$JS$4,U$4,$CB30:$JS30)</f>
        <v/>
      </c>
      <c r="V30" s="54">
        <f>SUMIF($CB$4:$JS$4,V$4,$CB30:$JS30)</f>
        <v/>
      </c>
      <c r="W30" s="54">
        <f>SUMIF($CB$4:$JS$4,W$4,$CB30:$JS30)</f>
        <v/>
      </c>
      <c r="X30" s="54">
        <f>SUMIF($CB$4:$JS$4,X$4,$CB30:$JS30)</f>
        <v/>
      </c>
      <c r="Y30" s="54">
        <f>SUMIF($CB$4:$JS$4,Y$4,$CB30:$JS30)</f>
        <v/>
      </c>
      <c r="Z30" s="54">
        <f>SUMIF($CB$4:$JS$4,Z$4,$CB30:$JS30)</f>
        <v/>
      </c>
      <c r="AA30" s="54">
        <f>SUMIF($CB$4:$JS$4,AA$4,$CB30:$JS30)</f>
        <v/>
      </c>
      <c r="AB30" s="54">
        <f>SUMIF($CB$4:$JS$4,AB$4,$CB30:$JS30)</f>
        <v/>
      </c>
      <c r="AC30" s="54">
        <f>SUMIF($CB$4:$JS$4,AC$4,$CB30:$JS30)</f>
        <v/>
      </c>
      <c r="AD30" s="54">
        <f>SUMIF($CB$4:$JS$4,AD$4,$CB30:$JS30)</f>
        <v/>
      </c>
      <c r="AE30" s="54">
        <f>SUMIF($CB$4:$JS$4,AE$4,$CB30:$JS30)</f>
        <v/>
      </c>
      <c r="AF30" s="54">
        <f>SUMIF($CB$4:$JS$4,AF$4,$CB30:$JS30)</f>
        <v/>
      </c>
      <c r="AG30" s="54">
        <f>SUMIF($CB$4:$JS$4,AG$4,$CB30:$JS30)</f>
        <v/>
      </c>
      <c r="AH30" s="54">
        <f>SUMIF($CB$4:$JS$4,AH$4,$CB30:$JS30)</f>
        <v/>
      </c>
      <c r="AI30" s="54">
        <f>SUMIF($CB$4:$JS$4,AI$4,$CB30:$JS30)</f>
        <v/>
      </c>
      <c r="AJ30" s="54">
        <f>SUMIF($CB$4:$JS$4,AJ$4,$CB30:$JS30)</f>
        <v/>
      </c>
      <c r="AK30" s="54">
        <f>SUMIF($CB$4:$JS$4,AK$4,$CB30:$JS30)</f>
        <v/>
      </c>
      <c r="AL30" s="54">
        <f>SUMIF($CB$4:$JS$4,AL$4,$CB30:$JS30)</f>
        <v/>
      </c>
      <c r="AM30" s="54">
        <f>SUMIF($CB$4:$JS$4,AM$4,$CB30:$JS30)</f>
        <v/>
      </c>
      <c r="AN30" s="54">
        <f>SUMIF($CB$4:$JS$4,AN$4,$CB30:$JS30)</f>
        <v/>
      </c>
      <c r="AO30" s="54">
        <f>SUMIF($CB$4:$JS$4,AO$4,$CB30:$JS30)</f>
        <v/>
      </c>
      <c r="AP30" s="54">
        <f>SUMIF($CB$4:$JS$4,AP$4,$CB30:$JS30)</f>
        <v/>
      </c>
      <c r="AQ30" s="54">
        <f>SUMIF($CB$4:$JS$4,AQ$4,$CB30:$JS30)</f>
        <v/>
      </c>
      <c r="AR30" s="54">
        <f>SUMIF($CB$4:$JS$4,AR$4,$CB30:$JS30)</f>
        <v/>
      </c>
      <c r="AS30" s="54">
        <f>SUMIF($CB$4:$JS$4,AS$4,$CB30:$JS30)</f>
        <v/>
      </c>
      <c r="AT30" s="54">
        <f>SUMIF($CB$4:$JS$4,AT$4,$CB30:$JS30)</f>
        <v/>
      </c>
      <c r="AU30" s="54">
        <f>SUMIF($CB$4:$JS$4,AU$4,$CB30:$JS30)</f>
        <v/>
      </c>
      <c r="AV30" s="54">
        <f>SUMIF($CB$4:$JS$4,AV$4,$CB30:$JS30)</f>
        <v/>
      </c>
      <c r="AW30" s="54">
        <f>SUMIF($CB$4:$JS$4,AW$4,$CB30:$JS30)</f>
        <v/>
      </c>
      <c r="AX30" s="54">
        <f>SUMIF($CB$4:$JS$4,AX$4,$CB30:$JS30)</f>
        <v/>
      </c>
      <c r="AY30" s="54">
        <f>SUMIF($CB$4:$JS$4,AY$4,$CB30:$JS30)</f>
        <v/>
      </c>
      <c r="AZ30" s="54">
        <f>SUMIF($CB$4:$JS$4,AZ$4,$CB30:$JS30)</f>
        <v/>
      </c>
      <c r="BA30" s="54">
        <f>SUMIF($CB$4:$JS$4,BA$4,$CB30:$JS30)</f>
        <v/>
      </c>
      <c r="BB30" s="54">
        <f>SUMIF($CB$4:$JS$4,BB$4,$CB30:$JS30)</f>
        <v/>
      </c>
      <c r="BC30" s="54">
        <f>SUMIF($CB$4:$JS$4,BC$4,$CB30:$JS30)</f>
        <v/>
      </c>
      <c r="BD30" s="54">
        <f>SUMIF($CB$4:$JS$4,BD$4,$CB30:$JS30)</f>
        <v/>
      </c>
      <c r="BE30" s="54">
        <f>SUMIF($CB$4:$JS$4,BE$4,$CB30:$JS30)</f>
        <v/>
      </c>
      <c r="BF30" s="54">
        <f>SUMIF($CB$4:$JS$4,BF$4,$CB30:$JS30)</f>
        <v/>
      </c>
      <c r="BG30" s="54">
        <f>SUMIF($CB$4:$JS$4,BG$4,$CB30:$JS30)</f>
        <v/>
      </c>
      <c r="BH30" s="54">
        <f>SUMIF($CB$4:$JS$4,BH$4,$CB30:$JS30)</f>
        <v/>
      </c>
      <c r="BI30" s="54">
        <f>SUMIF($CB$4:$JS$4,BI$4,$CB30:$JS30)</f>
        <v/>
      </c>
      <c r="BJ30" s="54">
        <f>SUMIF($CB$4:$JS$4,BJ$4,$CB30:$JS30)</f>
        <v/>
      </c>
      <c r="BK30" s="54">
        <f>SUMIF($CB$4:$JS$4,BK$4,$CB30:$JS30)</f>
        <v/>
      </c>
      <c r="BL30" s="54">
        <f>SUMIF($CB$4:$JS$4,BL$4,$CB30:$JS30)</f>
        <v/>
      </c>
      <c r="BM30" s="54">
        <f>SUMIF($CB$4:$JS$4,BM$4,$CB30:$JS30)</f>
        <v/>
      </c>
      <c r="BN30" s="54">
        <f>SUMIF($CB$4:$JS$4,BN$4,$CB30:$JS30)</f>
        <v/>
      </c>
      <c r="BO30" s="54">
        <f>SUMIF($CB$4:$JS$4,BO$4,$CB30:$JS30)</f>
        <v/>
      </c>
      <c r="BP30" s="54">
        <f>SUMIF($CB$4:$JS$4,BP$4,$CB30:$JS30)</f>
        <v/>
      </c>
      <c r="BQ30" s="54">
        <f>SUMIF($CB$4:$JS$4,BQ$4,$CB30:$JS30)</f>
        <v/>
      </c>
      <c r="BR30" s="54">
        <f>SUMIF($CB$4:$JS$4,BR$4,$CB30:$JS30)</f>
        <v/>
      </c>
      <c r="BS30" s="54">
        <f>SUMIF($CB$4:$JS$4,BS$4,$CB30:$JS30)</f>
        <v/>
      </c>
      <c r="BT30" s="54">
        <f>SUMIF($CB$4:$JS$4,BT$4,$CB30:$JS30)</f>
        <v/>
      </c>
      <c r="BU30" s="54">
        <f>SUMIF($CB$4:$JS$4,BU$4,$CB30:$JS30)</f>
        <v/>
      </c>
      <c r="BV30" s="54">
        <f>SUMIF($CB$4:$JS$4,BV$4,$CB30:$JS30)</f>
        <v/>
      </c>
      <c r="BW30" s="54">
        <f>SUMIF($CB$4:$JS$4,BW$4,$CB30:$JS30)</f>
        <v/>
      </c>
      <c r="BX30" s="54">
        <f>SUMIF($CB$4:$JS$4,"&gt;"&amp;'VALOR POR PL'!$P$8,$CB30:$JS30)</f>
        <v/>
      </c>
      <c r="BY30" s="54">
        <f>SUM($CB30:$JS30)</f>
        <v/>
      </c>
      <c r="BZ30" s="49">
        <f>SUMPRODUCT(($CB$4:$JS$4&lt;&gt;"")*($CB$4:$JS$4&lt;=$D$4),$CB30:$JS30,$CB$1:$JS$1)</f>
        <v/>
      </c>
      <c r="CB30" s="132">
        <f>IF(OR(CB$4="",$B30=""),0,SUMIF('DADOS BRUTOS'!$A$3:$A$500,$B30,'DADOS BRUTOS'!B$3:B$500)+IF($C30="",0,SUMIF('DADOS BRUTOS'!$A$3:$A$500,$C30,'DADOS BRUTOS'!B$3:B$500)))</f>
        <v/>
      </c>
      <c r="CC30" s="132">
        <f>IF(OR(CC$4="",$B30=""),0,SUMIF('DADOS BRUTOS'!$A$3:$A$500,$B30,'DADOS BRUTOS'!C$3:C$500)+IF($C30="",0,SUMIF('DADOS BRUTOS'!$A$3:$A$500,$C30,'DADOS BRUTOS'!C$3:C$500)))</f>
        <v/>
      </c>
      <c r="CD30" s="132">
        <f>IF(OR(CD$4="",$B30=""),0,SUMIF('DADOS BRUTOS'!$A$3:$A$500,$B30,'DADOS BRUTOS'!D$3:D$500)+IF($C30="",0,SUMIF('DADOS BRUTOS'!$A$3:$A$500,$C30,'DADOS BRUTOS'!D$3:D$500)))</f>
        <v/>
      </c>
      <c r="CE30" s="132">
        <f>IF(OR(CE$4="",$B30=""),0,SUMIF('DADOS BRUTOS'!$A$3:$A$500,$B30,'DADOS BRUTOS'!E$3:E$500)+IF($C30="",0,SUMIF('DADOS BRUTOS'!$A$3:$A$500,$C30,'DADOS BRUTOS'!E$3:E$500)))</f>
        <v/>
      </c>
      <c r="CF30" s="132">
        <f>IF(OR(CF$4="",$B30=""),0,SUMIF('DADOS BRUTOS'!$A$3:$A$500,$B30,'DADOS BRUTOS'!F$3:F$500)+IF($C30="",0,SUMIF('DADOS BRUTOS'!$A$3:$A$500,$C30,'DADOS BRUTOS'!F$3:F$500)))</f>
        <v/>
      </c>
      <c r="CG30" s="132">
        <f>IF(OR(CG$4="",$B30=""),0,SUMIF('DADOS BRUTOS'!$A$3:$A$500,$B30,'DADOS BRUTOS'!G$3:G$500)+IF($C30="",0,SUMIF('DADOS BRUTOS'!$A$3:$A$500,$C30,'DADOS BRUTOS'!G$3:G$500)))</f>
        <v/>
      </c>
      <c r="CH30" s="132">
        <f>IF(OR(CH$4="",$B30=""),0,SUMIF('DADOS BRUTOS'!$A$3:$A$500,$B30,'DADOS BRUTOS'!H$3:H$500)+IF($C30="",0,SUMIF('DADOS BRUTOS'!$A$3:$A$500,$C30,'DADOS BRUTOS'!H$3:H$500)))</f>
        <v/>
      </c>
      <c r="CI30" s="132">
        <f>IF(OR(CI$4="",$B30=""),0,SUMIF('DADOS BRUTOS'!$A$3:$A$500,$B30,'DADOS BRUTOS'!I$3:I$500)+IF($C30="",0,SUMIF('DADOS BRUTOS'!$A$3:$A$500,$C30,'DADOS BRUTOS'!I$3:I$500)))</f>
        <v/>
      </c>
      <c r="CJ30" s="132">
        <f>IF(OR(CJ$4="",$B30=""),0,SUMIF('DADOS BRUTOS'!$A$3:$A$500,$B30,'DADOS BRUTOS'!J$3:J$500)+IF($C30="",0,SUMIF('DADOS BRUTOS'!$A$3:$A$500,$C30,'DADOS BRUTOS'!J$3:J$500)))</f>
        <v/>
      </c>
      <c r="CK30" s="132">
        <f>IF(OR(CK$4="",$B30=""),0,SUMIF('DADOS BRUTOS'!$A$3:$A$500,$B30,'DADOS BRUTOS'!K$3:K$500)+IF($C30="",0,SUMIF('DADOS BRUTOS'!$A$3:$A$500,$C30,'DADOS BRUTOS'!K$3:K$500)))</f>
        <v/>
      </c>
      <c r="CL30" s="132">
        <f>IF(OR(CL$4="",$B30=""),0,SUMIF('DADOS BRUTOS'!$A$3:$A$500,$B30,'DADOS BRUTOS'!L$3:L$500)+IF($C30="",0,SUMIF('DADOS BRUTOS'!$A$3:$A$500,$C30,'DADOS BRUTOS'!L$3:L$500)))</f>
        <v/>
      </c>
      <c r="CM30" s="132">
        <f>IF(OR(CM$4="",$B30=""),0,SUMIF('DADOS BRUTOS'!$A$3:$A$500,$B30,'DADOS BRUTOS'!M$3:M$500)+IF($C30="",0,SUMIF('DADOS BRUTOS'!$A$3:$A$500,$C30,'DADOS BRUTOS'!M$3:M$500)))</f>
        <v/>
      </c>
      <c r="CN30" s="132">
        <f>IF(OR(CN$4="",$B30=""),0,SUMIF('DADOS BRUTOS'!$A$3:$A$500,$B30,'DADOS BRUTOS'!N$3:N$500)+IF($C30="",0,SUMIF('DADOS BRUTOS'!$A$3:$A$500,$C30,'DADOS BRUTOS'!N$3:N$500)))</f>
        <v/>
      </c>
      <c r="CO30" s="132">
        <f>IF(OR(CO$4="",$B30=""),0,SUMIF('DADOS BRUTOS'!$A$3:$A$500,$B30,'DADOS BRUTOS'!O$3:O$500)+IF($C30="",0,SUMIF('DADOS BRUTOS'!$A$3:$A$500,$C30,'DADOS BRUTOS'!O$3:O$500)))</f>
        <v/>
      </c>
      <c r="CP30" s="132">
        <f>IF(OR(CP$4="",$B30=""),0,SUMIF('DADOS BRUTOS'!$A$3:$A$500,$B30,'DADOS BRUTOS'!P$3:P$500)+IF($C30="",0,SUMIF('DADOS BRUTOS'!$A$3:$A$500,$C30,'DADOS BRUTOS'!P$3:P$500)))</f>
        <v/>
      </c>
      <c r="CQ30" s="132">
        <f>IF(OR(CQ$4="",$B30=""),0,SUMIF('DADOS BRUTOS'!$A$3:$A$500,$B30,'DADOS BRUTOS'!Q$3:Q$500)+IF($C30="",0,SUMIF('DADOS BRUTOS'!$A$3:$A$500,$C30,'DADOS BRUTOS'!Q$3:Q$500)))</f>
        <v/>
      </c>
      <c r="CR30" s="132">
        <f>IF(OR(CR$4="",$B30=""),0,SUMIF('DADOS BRUTOS'!$A$3:$A$500,$B30,'DADOS BRUTOS'!R$3:R$500)+IF($C30="",0,SUMIF('DADOS BRUTOS'!$A$3:$A$500,$C30,'DADOS BRUTOS'!R$3:R$500)))</f>
        <v/>
      </c>
      <c r="CS30" s="132">
        <f>IF(OR(CS$4="",$B30=""),0,SUMIF('DADOS BRUTOS'!$A$3:$A$500,$B30,'DADOS BRUTOS'!S$3:S$500)+IF($C30="",0,SUMIF('DADOS BRUTOS'!$A$3:$A$500,$C30,'DADOS BRUTOS'!S$3:S$500)))</f>
        <v/>
      </c>
      <c r="CT30" s="132">
        <f>IF(OR(CT$4="",$B30=""),0,SUMIF('DADOS BRUTOS'!$A$3:$A$500,$B30,'DADOS BRUTOS'!T$3:T$500)+IF($C30="",0,SUMIF('DADOS BRUTOS'!$A$3:$A$500,$C30,'DADOS BRUTOS'!T$3:T$500)))</f>
        <v/>
      </c>
      <c r="CU30" s="132">
        <f>IF(OR(CU$4="",$B30=""),0,SUMIF('DADOS BRUTOS'!$A$3:$A$500,$B30,'DADOS BRUTOS'!U$3:U$500)+IF($C30="",0,SUMIF('DADOS BRUTOS'!$A$3:$A$500,$C30,'DADOS BRUTOS'!U$3:U$500)))</f>
        <v/>
      </c>
      <c r="CV30" s="132">
        <f>IF(OR(CV$4="",$B30=""),0,SUMIF('DADOS BRUTOS'!$A$3:$A$500,$B30,'DADOS BRUTOS'!V$3:V$500)+IF($C30="",0,SUMIF('DADOS BRUTOS'!$A$3:$A$500,$C30,'DADOS BRUTOS'!V$3:V$500)))</f>
        <v/>
      </c>
      <c r="CW30" s="132">
        <f>IF(OR(CW$4="",$B30=""),0,SUMIF('DADOS BRUTOS'!$A$3:$A$500,$B30,'DADOS BRUTOS'!W$3:W$500)+IF($C30="",0,SUMIF('DADOS BRUTOS'!$A$3:$A$500,$C30,'DADOS BRUTOS'!W$3:W$500)))</f>
        <v/>
      </c>
      <c r="CX30" s="132">
        <f>IF(OR(CX$4="",$B30=""),0,SUMIF('DADOS BRUTOS'!$A$3:$A$500,$B30,'DADOS BRUTOS'!X$3:X$500)+IF($C30="",0,SUMIF('DADOS BRUTOS'!$A$3:$A$500,$C30,'DADOS BRUTOS'!X$3:X$500)))</f>
        <v/>
      </c>
      <c r="CY30" s="132">
        <f>IF(OR(CY$4="",$B30=""),0,SUMIF('DADOS BRUTOS'!$A$3:$A$500,$B30,'DADOS BRUTOS'!Y$3:Y$500)+IF($C30="",0,SUMIF('DADOS BRUTOS'!$A$3:$A$500,$C30,'DADOS BRUTOS'!Y$3:Y$500)))</f>
        <v/>
      </c>
      <c r="CZ30" s="132">
        <f>IF(OR(CZ$4="",$B30=""),0,SUMIF('DADOS BRUTOS'!$A$3:$A$500,$B30,'DADOS BRUTOS'!Z$3:Z$500)+IF($C30="",0,SUMIF('DADOS BRUTOS'!$A$3:$A$500,$C30,'DADOS BRUTOS'!Z$3:Z$500)))</f>
        <v/>
      </c>
      <c r="DA30" s="132">
        <f>IF(OR(DA$4="",$B30=""),0,SUMIF('DADOS BRUTOS'!$A$3:$A$500,$B30,'DADOS BRUTOS'!AA$3:AA$500)+IF($C30="",0,SUMIF('DADOS BRUTOS'!$A$3:$A$500,$C30,'DADOS BRUTOS'!AA$3:AA$500)))</f>
        <v/>
      </c>
      <c r="DB30" s="132">
        <f>IF(OR(DB$4="",$B30=""),0,SUMIF('DADOS BRUTOS'!$A$3:$A$500,$B30,'DADOS BRUTOS'!AB$3:AB$500)+IF($C30="",0,SUMIF('DADOS BRUTOS'!$A$3:$A$500,$C30,'DADOS BRUTOS'!AB$3:AB$500)))</f>
        <v/>
      </c>
      <c r="DC30" s="132">
        <f>IF(OR(DC$4="",$B30=""),0,SUMIF('DADOS BRUTOS'!$A$3:$A$500,$B30,'DADOS BRUTOS'!AC$3:AC$500)+IF($C30="",0,SUMIF('DADOS BRUTOS'!$A$3:$A$500,$C30,'DADOS BRUTOS'!AC$3:AC$500)))</f>
        <v/>
      </c>
      <c r="DD30" s="132">
        <f>IF(OR(DD$4="",$B30=""),0,SUMIF('DADOS BRUTOS'!$A$3:$A$500,$B30,'DADOS BRUTOS'!AD$3:AD$500)+IF($C30="",0,SUMIF('DADOS BRUTOS'!$A$3:$A$500,$C30,'DADOS BRUTOS'!AD$3:AD$500)))</f>
        <v/>
      </c>
      <c r="DE30" s="132">
        <f>IF(OR(DE$4="",$B30=""),0,SUMIF('DADOS BRUTOS'!$A$3:$A$500,$B30,'DADOS BRUTOS'!AE$3:AE$500)+IF($C30="",0,SUMIF('DADOS BRUTOS'!$A$3:$A$500,$C30,'DADOS BRUTOS'!AE$3:AE$500)))</f>
        <v/>
      </c>
      <c r="DF30" s="132">
        <f>IF(OR(DF$4="",$B30=""),0,SUMIF('DADOS BRUTOS'!$A$3:$A$500,$B30,'DADOS BRUTOS'!AF$3:AF$500)+IF($C30="",0,SUMIF('DADOS BRUTOS'!$A$3:$A$500,$C30,'DADOS BRUTOS'!AF$3:AF$500)))</f>
        <v/>
      </c>
      <c r="DG30" s="132">
        <f>IF(OR(DG$4="",$B30=""),0,SUMIF('DADOS BRUTOS'!$A$3:$A$500,$B30,'DADOS BRUTOS'!AG$3:AG$500)+IF($C30="",0,SUMIF('DADOS BRUTOS'!$A$3:$A$500,$C30,'DADOS BRUTOS'!AG$3:AG$500)))</f>
        <v/>
      </c>
      <c r="DH30" s="132">
        <f>IF(OR(DH$4="",$B30=""),0,SUMIF('DADOS BRUTOS'!$A$3:$A$500,$B30,'DADOS BRUTOS'!AH$3:AH$500)+IF($C30="",0,SUMIF('DADOS BRUTOS'!$A$3:$A$500,$C30,'DADOS BRUTOS'!AH$3:AH$500)))</f>
        <v/>
      </c>
      <c r="DI30" s="132">
        <f>IF(OR(DI$4="",$B30=""),0,SUMIF('DADOS BRUTOS'!$A$3:$A$500,$B30,'DADOS BRUTOS'!AI$3:AI$500)+IF($C30="",0,SUMIF('DADOS BRUTOS'!$A$3:$A$500,$C30,'DADOS BRUTOS'!AI$3:AI$500)))</f>
        <v/>
      </c>
      <c r="DJ30" s="132">
        <f>IF(OR(DJ$4="",$B30=""),0,SUMIF('DADOS BRUTOS'!$A$3:$A$500,$B30,'DADOS BRUTOS'!AJ$3:AJ$500)+IF($C30="",0,SUMIF('DADOS BRUTOS'!$A$3:$A$500,$C30,'DADOS BRUTOS'!AJ$3:AJ$500)))</f>
        <v/>
      </c>
      <c r="DK30" s="132">
        <f>IF(OR(DK$4="",$B30=""),0,SUMIF('DADOS BRUTOS'!$A$3:$A$500,$B30,'DADOS BRUTOS'!AK$3:AK$500)+IF($C30="",0,SUMIF('DADOS BRUTOS'!$A$3:$A$500,$C30,'DADOS BRUTOS'!AK$3:AK$500)))</f>
        <v/>
      </c>
      <c r="DL30" s="132">
        <f>IF(OR(DL$4="",$B30=""),0,SUMIF('DADOS BRUTOS'!$A$3:$A$500,$B30,'DADOS BRUTOS'!AL$3:AL$500)+IF($C30="",0,SUMIF('DADOS BRUTOS'!$A$3:$A$500,$C30,'DADOS BRUTOS'!AL$3:AL$500)))</f>
        <v/>
      </c>
      <c r="DM30" s="132">
        <f>IF(OR(DM$4="",$B30=""),0,SUMIF('DADOS BRUTOS'!$A$3:$A$500,$B30,'DADOS BRUTOS'!AM$3:AM$500)+IF($C30="",0,SUMIF('DADOS BRUTOS'!$A$3:$A$500,$C30,'DADOS BRUTOS'!AM$3:AM$500)))</f>
        <v/>
      </c>
      <c r="DN30" s="132">
        <f>IF(OR(DN$4="",$B30=""),0,SUMIF('DADOS BRUTOS'!$A$3:$A$500,$B30,'DADOS BRUTOS'!AN$3:AN$500)+IF($C30="",0,SUMIF('DADOS BRUTOS'!$A$3:$A$500,$C30,'DADOS BRUTOS'!AN$3:AN$500)))</f>
        <v/>
      </c>
      <c r="DO30" s="132">
        <f>IF(OR(DO$4="",$B30=""),0,SUMIF('DADOS BRUTOS'!$A$3:$A$500,$B30,'DADOS BRUTOS'!AO$3:AO$500)+IF($C30="",0,SUMIF('DADOS BRUTOS'!$A$3:$A$500,$C30,'DADOS BRUTOS'!AO$3:AO$500)))</f>
        <v/>
      </c>
      <c r="DP30" s="132">
        <f>IF(OR(DP$4="",$B30=""),0,SUMIF('DADOS BRUTOS'!$A$3:$A$500,$B30,'DADOS BRUTOS'!AP$3:AP$500)+IF($C30="",0,SUMIF('DADOS BRUTOS'!$A$3:$A$500,$C30,'DADOS BRUTOS'!AP$3:AP$500)))</f>
        <v/>
      </c>
      <c r="DQ30" s="132">
        <f>IF(OR(DQ$4="",$B30=""),0,SUMIF('DADOS BRUTOS'!$A$3:$A$500,$B30,'DADOS BRUTOS'!AQ$3:AQ$500)+IF($C30="",0,SUMIF('DADOS BRUTOS'!$A$3:$A$500,$C30,'DADOS BRUTOS'!AQ$3:AQ$500)))</f>
        <v/>
      </c>
      <c r="DR30" s="132">
        <f>IF(OR(DR$4="",$B30=""),0,SUMIF('DADOS BRUTOS'!$A$3:$A$500,$B30,'DADOS BRUTOS'!AR$3:AR$500)+IF($C30="",0,SUMIF('DADOS BRUTOS'!$A$3:$A$500,$C30,'DADOS BRUTOS'!AR$3:AR$500)))</f>
        <v/>
      </c>
      <c r="DS30" s="132">
        <f>IF(OR(DS$4="",$B30=""),0,SUMIF('DADOS BRUTOS'!$A$3:$A$500,$B30,'DADOS BRUTOS'!AS$3:AS$500)+IF($C30="",0,SUMIF('DADOS BRUTOS'!$A$3:$A$500,$C30,'DADOS BRUTOS'!AS$3:AS$500)))</f>
        <v/>
      </c>
      <c r="DT30" s="132">
        <f>IF(OR(DT$4="",$B30=""),0,SUMIF('DADOS BRUTOS'!$A$3:$A$500,$B30,'DADOS BRUTOS'!AT$3:AT$500)+IF($C30="",0,SUMIF('DADOS BRUTOS'!$A$3:$A$500,$C30,'DADOS BRUTOS'!AT$3:AT$500)))</f>
        <v/>
      </c>
      <c r="DU30" s="132">
        <f>IF(OR(DU$4="",$B30=""),0,SUMIF('DADOS BRUTOS'!$A$3:$A$500,$B30,'DADOS BRUTOS'!AU$3:AU$500)+IF($C30="",0,SUMIF('DADOS BRUTOS'!$A$3:$A$500,$C30,'DADOS BRUTOS'!AU$3:AU$500)))</f>
        <v/>
      </c>
      <c r="DV30" s="132">
        <f>IF(OR(DV$4="",$B30=""),0,SUMIF('DADOS BRUTOS'!$A$3:$A$500,$B30,'DADOS BRUTOS'!AV$3:AV$500)+IF($C30="",0,SUMIF('DADOS BRUTOS'!$A$3:$A$500,$C30,'DADOS BRUTOS'!AV$3:AV$500)))</f>
        <v/>
      </c>
      <c r="DW30" s="132">
        <f>IF(OR(DW$4="",$B30=""),0,SUMIF('DADOS BRUTOS'!$A$3:$A$500,$B30,'DADOS BRUTOS'!AW$3:AW$500)+IF($C30="",0,SUMIF('DADOS BRUTOS'!$A$3:$A$500,$C30,'DADOS BRUTOS'!AW$3:AW$500)))</f>
        <v/>
      </c>
      <c r="DX30" s="132">
        <f>IF(OR(DX$4="",$B30=""),0,SUMIF('DADOS BRUTOS'!$A$3:$A$500,$B30,'DADOS BRUTOS'!AX$3:AX$500)+IF($C30="",0,SUMIF('DADOS BRUTOS'!$A$3:$A$500,$C30,'DADOS BRUTOS'!AX$3:AX$500)))</f>
        <v/>
      </c>
      <c r="DY30" s="132">
        <f>IF(OR(DY$4="",$B30=""),0,SUMIF('DADOS BRUTOS'!$A$3:$A$500,$B30,'DADOS BRUTOS'!AY$3:AY$500)+IF($C30="",0,SUMIF('DADOS BRUTOS'!$A$3:$A$500,$C30,'DADOS BRUTOS'!AY$3:AY$500)))</f>
        <v/>
      </c>
      <c r="DZ30" s="132">
        <f>IF(OR(DZ$4="",$B30=""),0,SUMIF('DADOS BRUTOS'!$A$3:$A$500,$B30,'DADOS BRUTOS'!AZ$3:AZ$500)+IF($C30="",0,SUMIF('DADOS BRUTOS'!$A$3:$A$500,$C30,'DADOS BRUTOS'!AZ$3:AZ$500)))</f>
        <v/>
      </c>
      <c r="EA30" s="132">
        <f>IF(OR(EA$4="",$B30=""),0,SUMIF('DADOS BRUTOS'!$A$3:$A$500,$B30,'DADOS BRUTOS'!BA$3:BA$500)+IF($C30="",0,SUMIF('DADOS BRUTOS'!$A$3:$A$500,$C30,'DADOS BRUTOS'!BA$3:BA$500)))</f>
        <v/>
      </c>
      <c r="EB30" s="132">
        <f>IF(OR(EB$4="",$B30=""),0,SUMIF('DADOS BRUTOS'!$A$3:$A$500,$B30,'DADOS BRUTOS'!BB$3:BB$500)+IF($C30="",0,SUMIF('DADOS BRUTOS'!$A$3:$A$500,$C30,'DADOS BRUTOS'!BB$3:BB$500)))</f>
        <v/>
      </c>
      <c r="EC30" s="132">
        <f>IF(OR(EC$4="",$B30=""),0,SUMIF('DADOS BRUTOS'!$A$3:$A$500,$B30,'DADOS BRUTOS'!BC$3:BC$500)+IF($C30="",0,SUMIF('DADOS BRUTOS'!$A$3:$A$500,$C30,'DADOS BRUTOS'!BC$3:BC$500)))</f>
        <v/>
      </c>
      <c r="ED30" s="132">
        <f>IF(OR(ED$4="",$B30=""),0,SUMIF('DADOS BRUTOS'!$A$3:$A$500,$B30,'DADOS BRUTOS'!BD$3:BD$500)+IF($C30="",0,SUMIF('DADOS BRUTOS'!$A$3:$A$500,$C30,'DADOS BRUTOS'!BD$3:BD$500)))</f>
        <v/>
      </c>
      <c r="EE30" s="132">
        <f>IF(OR(EE$4="",$B30=""),0,SUMIF('DADOS BRUTOS'!$A$3:$A$500,$B30,'DADOS BRUTOS'!BE$3:BE$500)+IF($C30="",0,SUMIF('DADOS BRUTOS'!$A$3:$A$500,$C30,'DADOS BRUTOS'!BE$3:BE$500)))</f>
        <v/>
      </c>
      <c r="EF30" s="132">
        <f>IF(OR(EF$4="",$B30=""),0,SUMIF('DADOS BRUTOS'!$A$3:$A$500,$B30,'DADOS BRUTOS'!BF$3:BF$500)+IF($C30="",0,SUMIF('DADOS BRUTOS'!$A$3:$A$500,$C30,'DADOS BRUTOS'!BF$3:BF$500)))</f>
        <v/>
      </c>
      <c r="EG30" s="132">
        <f>IF(OR(EG$4="",$B30=""),0,SUMIF('DADOS BRUTOS'!$A$3:$A$500,$B30,'DADOS BRUTOS'!BG$3:BG$500)+IF($C30="",0,SUMIF('DADOS BRUTOS'!$A$3:$A$500,$C30,'DADOS BRUTOS'!BG$3:BG$500)))</f>
        <v/>
      </c>
      <c r="EH30" s="132">
        <f>IF(OR(EH$4="",$B30=""),0,SUMIF('DADOS BRUTOS'!$A$3:$A$500,$B30,'DADOS BRUTOS'!BH$3:BH$500)+IF($C30="",0,SUMIF('DADOS BRUTOS'!$A$3:$A$500,$C30,'DADOS BRUTOS'!BH$3:BH$500)))</f>
        <v/>
      </c>
      <c r="EI30" s="132">
        <f>IF(OR(EI$4="",$B30=""),0,SUMIF('DADOS BRUTOS'!$A$3:$A$500,$B30,'DADOS BRUTOS'!BI$3:BI$500)+IF($C30="",0,SUMIF('DADOS BRUTOS'!$A$3:$A$500,$C30,'DADOS BRUTOS'!BI$3:BI$500)))</f>
        <v/>
      </c>
      <c r="EJ30" s="132">
        <f>IF(OR(EJ$4="",$B30=""),0,SUMIF('DADOS BRUTOS'!$A$3:$A$500,$B30,'DADOS BRUTOS'!BJ$3:BJ$500)+IF($C30="",0,SUMIF('DADOS BRUTOS'!$A$3:$A$500,$C30,'DADOS BRUTOS'!BJ$3:BJ$500)))</f>
        <v/>
      </c>
      <c r="EK30" s="132">
        <f>IF(OR(EK$4="",$B30=""),0,SUMIF('DADOS BRUTOS'!$A$3:$A$500,$B30,'DADOS BRUTOS'!BK$3:BK$500)+IF($C30="",0,SUMIF('DADOS BRUTOS'!$A$3:$A$500,$C30,'DADOS BRUTOS'!BK$3:BK$500)))</f>
        <v/>
      </c>
      <c r="EL30" s="132">
        <f>IF(OR(EL$4="",$B30=""),0,SUMIF('DADOS BRUTOS'!$A$3:$A$500,$B30,'DADOS BRUTOS'!BL$3:BL$500)+IF($C30="",0,SUMIF('DADOS BRUTOS'!$A$3:$A$500,$C30,'DADOS BRUTOS'!BL$3:BL$500)))</f>
        <v/>
      </c>
      <c r="EM30" s="132">
        <f>IF(OR(EM$4="",$B30=""),0,SUMIF('DADOS BRUTOS'!$A$3:$A$500,$B30,'DADOS BRUTOS'!BM$3:BM$500)+IF($C30="",0,SUMIF('DADOS BRUTOS'!$A$3:$A$500,$C30,'DADOS BRUTOS'!BM$3:BM$500)))</f>
        <v/>
      </c>
      <c r="EN30" s="132">
        <f>IF(OR(EN$4="",$B30=""),0,SUMIF('DADOS BRUTOS'!$A$3:$A$500,$B30,'DADOS BRUTOS'!BN$3:BN$500)+IF($C30="",0,SUMIF('DADOS BRUTOS'!$A$3:$A$500,$C30,'DADOS BRUTOS'!BN$3:BN$500)))</f>
        <v/>
      </c>
      <c r="EO30" s="132">
        <f>IF(OR(EO$4="",$B30=""),0,SUMIF('DADOS BRUTOS'!$A$3:$A$500,$B30,'DADOS BRUTOS'!BO$3:BO$500)+IF($C30="",0,SUMIF('DADOS BRUTOS'!$A$3:$A$500,$C30,'DADOS BRUTOS'!BO$3:BO$500)))</f>
        <v/>
      </c>
      <c r="EP30" s="132">
        <f>IF(OR(EP$4="",$B30=""),0,SUMIF('DADOS BRUTOS'!$A$3:$A$500,$B30,'DADOS BRUTOS'!BP$3:BP$500)+IF($C30="",0,SUMIF('DADOS BRUTOS'!$A$3:$A$500,$C30,'DADOS BRUTOS'!BP$3:BP$500)))</f>
        <v/>
      </c>
      <c r="EQ30" s="132">
        <f>IF(OR(EQ$4="",$B30=""),0,SUMIF('DADOS BRUTOS'!$A$3:$A$500,$B30,'DADOS BRUTOS'!BQ$3:BQ$500)+IF($C30="",0,SUMIF('DADOS BRUTOS'!$A$3:$A$500,$C30,'DADOS BRUTOS'!BQ$3:BQ$500)))</f>
        <v/>
      </c>
      <c r="ER30" s="132">
        <f>IF(OR(ER$4="",$B30=""),0,SUMIF('DADOS BRUTOS'!$A$3:$A$500,$B30,'DADOS BRUTOS'!BR$3:BR$500)+IF($C30="",0,SUMIF('DADOS BRUTOS'!$A$3:$A$500,$C30,'DADOS BRUTOS'!BR$3:BR$500)))</f>
        <v/>
      </c>
      <c r="ES30" s="132">
        <f>IF(OR(ES$4="",$B30=""),0,SUMIF('DADOS BRUTOS'!$A$3:$A$500,$B30,'DADOS BRUTOS'!BS$3:BS$500)+IF($C30="",0,SUMIF('DADOS BRUTOS'!$A$3:$A$500,$C30,'DADOS BRUTOS'!BS$3:BS$500)))</f>
        <v/>
      </c>
      <c r="ET30" s="132">
        <f>IF(OR(ET$4="",$B30=""),0,SUMIF('DADOS BRUTOS'!$A$3:$A$500,$B30,'DADOS BRUTOS'!BT$3:BT$500)+IF($C30="",0,SUMIF('DADOS BRUTOS'!$A$3:$A$500,$C30,'DADOS BRUTOS'!BT$3:BT$500)))</f>
        <v/>
      </c>
      <c r="EU30" s="132">
        <f>IF(OR(EU$4="",$B30=""),0,SUMIF('DADOS BRUTOS'!$A$3:$A$500,$B30,'DADOS BRUTOS'!BU$3:BU$500)+IF($C30="",0,SUMIF('DADOS BRUTOS'!$A$3:$A$500,$C30,'DADOS BRUTOS'!BU$3:BU$500)))</f>
        <v/>
      </c>
      <c r="EV30" s="132">
        <f>IF(OR(EV$4="",$B30=""),0,SUMIF('DADOS BRUTOS'!$A$3:$A$500,$B30,'DADOS BRUTOS'!BV$3:BV$500)+IF($C30="",0,SUMIF('DADOS BRUTOS'!$A$3:$A$500,$C30,'DADOS BRUTOS'!BV$3:BV$500)))</f>
        <v/>
      </c>
      <c r="EW30" s="132">
        <f>IF(OR(EW$4="",$B30=""),0,SUMIF('DADOS BRUTOS'!$A$3:$A$500,$B30,'DADOS BRUTOS'!BW$3:BW$500)+IF($C30="",0,SUMIF('DADOS BRUTOS'!$A$3:$A$500,$C30,'DADOS BRUTOS'!BW$3:BW$500)))</f>
        <v/>
      </c>
      <c r="EX30" s="132">
        <f>IF(OR(EX$4="",$B30=""),0,SUMIF('DADOS BRUTOS'!$A$3:$A$500,$B30,'DADOS BRUTOS'!BX$3:BX$500)+IF($C30="",0,SUMIF('DADOS BRUTOS'!$A$3:$A$500,$C30,'DADOS BRUTOS'!BX$3:BX$500)))</f>
        <v/>
      </c>
      <c r="EY30" s="132">
        <f>IF(OR(EY$4="",$B30=""),0,SUMIF('DADOS BRUTOS'!$A$3:$A$500,$B30,'DADOS BRUTOS'!BY$3:BY$500)+IF($C30="",0,SUMIF('DADOS BRUTOS'!$A$3:$A$500,$C30,'DADOS BRUTOS'!BY$3:BY$500)))</f>
        <v/>
      </c>
      <c r="EZ30" s="132">
        <f>IF(OR(EZ$4="",$B30=""),0,SUMIF('DADOS BRUTOS'!$A$3:$A$500,$B30,'DADOS BRUTOS'!BZ$3:BZ$500)+IF($C30="",0,SUMIF('DADOS BRUTOS'!$A$3:$A$500,$C30,'DADOS BRUTOS'!BZ$3:BZ$500)))</f>
        <v/>
      </c>
      <c r="FA30" s="132">
        <f>IF(OR(FA$4="",$B30=""),0,SUMIF('DADOS BRUTOS'!$A$3:$A$500,$B30,'DADOS BRUTOS'!CA$3:CA$500)+IF($C30="",0,SUMIF('DADOS BRUTOS'!$A$3:$A$500,$C30,'DADOS BRUTOS'!CA$3:CA$500)))</f>
        <v/>
      </c>
      <c r="FB30" s="132">
        <f>IF(OR(FB$4="",$B30=""),0,SUMIF('DADOS BRUTOS'!$A$3:$A$500,$B30,'DADOS BRUTOS'!CB$3:CB$500)+IF($C30="",0,SUMIF('DADOS BRUTOS'!$A$3:$A$500,$C30,'DADOS BRUTOS'!CB$3:CB$500)))</f>
        <v/>
      </c>
      <c r="FC30" s="132">
        <f>IF(OR(FC$4="",$B30=""),0,SUMIF('DADOS BRUTOS'!$A$3:$A$500,$B30,'DADOS BRUTOS'!CC$3:CC$500)+IF($C30="",0,SUMIF('DADOS BRUTOS'!$A$3:$A$500,$C30,'DADOS BRUTOS'!CC$3:CC$500)))</f>
        <v/>
      </c>
      <c r="FD30" s="132">
        <f>IF(OR(FD$4="",$B30=""),0,SUMIF('DADOS BRUTOS'!$A$3:$A$500,$B30,'DADOS BRUTOS'!CD$3:CD$500)+IF($C30="",0,SUMIF('DADOS BRUTOS'!$A$3:$A$500,$C30,'DADOS BRUTOS'!CD$3:CD$500)))</f>
        <v/>
      </c>
      <c r="FE30" s="132">
        <f>IF(OR(FE$4="",$B30=""),0,SUMIF('DADOS BRUTOS'!$A$3:$A$500,$B30,'DADOS BRUTOS'!CE$3:CE$500)+IF($C30="",0,SUMIF('DADOS BRUTOS'!$A$3:$A$500,$C30,'DADOS BRUTOS'!CE$3:CE$500)))</f>
        <v/>
      </c>
      <c r="FF30" s="132">
        <f>IF(OR(FF$4="",$B30=""),0,SUMIF('DADOS BRUTOS'!$A$3:$A$500,$B30,'DADOS BRUTOS'!CF$3:CF$500)+IF($C30="",0,SUMIF('DADOS BRUTOS'!$A$3:$A$500,$C30,'DADOS BRUTOS'!CF$3:CF$500)))</f>
        <v/>
      </c>
      <c r="FG30" s="132">
        <f>IF(OR(FG$4="",$B30=""),0,SUMIF('DADOS BRUTOS'!$A$3:$A$500,$B30,'DADOS BRUTOS'!CG$3:CG$500)+IF($C30="",0,SUMIF('DADOS BRUTOS'!$A$3:$A$500,$C30,'DADOS BRUTOS'!CG$3:CG$500)))</f>
        <v/>
      </c>
      <c r="FH30" s="132">
        <f>IF(OR(FH$4="",$B30=""),0,SUMIF('DADOS BRUTOS'!$A$3:$A$500,$B30,'DADOS BRUTOS'!CH$3:CH$500)+IF($C30="",0,SUMIF('DADOS BRUTOS'!$A$3:$A$500,$C30,'DADOS BRUTOS'!CH$3:CH$500)))</f>
        <v/>
      </c>
      <c r="FI30" s="132">
        <f>IF(OR(FI$4="",$B30=""),0,SUMIF('DADOS BRUTOS'!$A$3:$A$500,$B30,'DADOS BRUTOS'!CI$3:CI$500)+IF($C30="",0,SUMIF('DADOS BRUTOS'!$A$3:$A$500,$C30,'DADOS BRUTOS'!CI$3:CI$500)))</f>
        <v/>
      </c>
      <c r="FJ30" s="132">
        <f>IF(OR(FJ$4="",$B30=""),0,SUMIF('DADOS BRUTOS'!$A$3:$A$500,$B30,'DADOS BRUTOS'!CJ$3:CJ$500)+IF($C30="",0,SUMIF('DADOS BRUTOS'!$A$3:$A$500,$C30,'DADOS BRUTOS'!CJ$3:CJ$500)))</f>
        <v/>
      </c>
      <c r="FK30" s="132">
        <f>IF(OR(FK$4="",$B30=""),0,SUMIF('DADOS BRUTOS'!$A$3:$A$500,$B30,'DADOS BRUTOS'!CK$3:CK$500)+IF($C30="",0,SUMIF('DADOS BRUTOS'!$A$3:$A$500,$C30,'DADOS BRUTOS'!CK$3:CK$500)))</f>
        <v/>
      </c>
      <c r="FL30" s="132">
        <f>IF(OR(FL$4="",$B30=""),0,SUMIF('DADOS BRUTOS'!$A$3:$A$500,$B30,'DADOS BRUTOS'!CL$3:CL$500)+IF($C30="",0,SUMIF('DADOS BRUTOS'!$A$3:$A$500,$C30,'DADOS BRUTOS'!CL$3:CL$500)))</f>
        <v/>
      </c>
      <c r="FM30" s="132">
        <f>IF(OR(FM$4="",$B30=""),0,SUMIF('DADOS BRUTOS'!$A$3:$A$500,$B30,'DADOS BRUTOS'!CM$3:CM$500)+IF($C30="",0,SUMIF('DADOS BRUTOS'!$A$3:$A$500,$C30,'DADOS BRUTOS'!CM$3:CM$500)))</f>
        <v/>
      </c>
      <c r="FN30" s="132">
        <f>IF(OR(FN$4="",$B30=""),0,SUMIF('DADOS BRUTOS'!$A$3:$A$500,$B30,'DADOS BRUTOS'!CN$3:CN$500)+IF($C30="",0,SUMIF('DADOS BRUTOS'!$A$3:$A$500,$C30,'DADOS BRUTOS'!CN$3:CN$500)))</f>
        <v/>
      </c>
      <c r="FO30" s="132">
        <f>IF(OR(FO$4="",$B30=""),0,SUMIF('DADOS BRUTOS'!$A$3:$A$500,$B30,'DADOS BRUTOS'!CO$3:CO$500)+IF($C30="",0,SUMIF('DADOS BRUTOS'!$A$3:$A$500,$C30,'DADOS BRUTOS'!CO$3:CO$500)))</f>
        <v/>
      </c>
      <c r="FP30" s="132">
        <f>IF(OR(FP$4="",$B30=""),0,SUMIF('DADOS BRUTOS'!$A$3:$A$500,$B30,'DADOS BRUTOS'!CP$3:CP$500)+IF($C30="",0,SUMIF('DADOS BRUTOS'!$A$3:$A$500,$C30,'DADOS BRUTOS'!CP$3:CP$500)))</f>
        <v/>
      </c>
      <c r="FQ30" s="132">
        <f>IF(OR(FQ$4="",$B30=""),0,SUMIF('DADOS BRUTOS'!$A$3:$A$500,$B30,'DADOS BRUTOS'!CQ$3:CQ$500)+IF($C30="",0,SUMIF('DADOS BRUTOS'!$A$3:$A$500,$C30,'DADOS BRUTOS'!CQ$3:CQ$500)))</f>
        <v/>
      </c>
      <c r="FR30" s="132">
        <f>IF(OR(FR$4="",$B30=""),0,SUMIF('DADOS BRUTOS'!$A$3:$A$500,$B30,'DADOS BRUTOS'!CR$3:CR$500)+IF($C30="",0,SUMIF('DADOS BRUTOS'!$A$3:$A$500,$C30,'DADOS BRUTOS'!CR$3:CR$500)))</f>
        <v/>
      </c>
      <c r="FS30" s="132">
        <f>IF(OR(FS$4="",$B30=""),0,SUMIF('DADOS BRUTOS'!$A$3:$A$500,$B30,'DADOS BRUTOS'!CS$3:CS$500)+IF($C30="",0,SUMIF('DADOS BRUTOS'!$A$3:$A$500,$C30,'DADOS BRUTOS'!CS$3:CS$500)))</f>
        <v/>
      </c>
      <c r="FT30" s="132">
        <f>IF(OR(FT$4="",$B30=""),0,SUMIF('DADOS BRUTOS'!$A$3:$A$500,$B30,'DADOS BRUTOS'!CT$3:CT$500)+IF($C30="",0,SUMIF('DADOS BRUTOS'!$A$3:$A$500,$C30,'DADOS BRUTOS'!CT$3:CT$500)))</f>
        <v/>
      </c>
      <c r="FU30" s="132">
        <f>IF(OR(FU$4="",$B30=""),0,SUMIF('DADOS BRUTOS'!$A$3:$A$500,$B30,'DADOS BRUTOS'!CU$3:CU$500)+IF($C30="",0,SUMIF('DADOS BRUTOS'!$A$3:$A$500,$C30,'DADOS BRUTOS'!CU$3:CU$500)))</f>
        <v/>
      </c>
      <c r="FV30" s="132">
        <f>IF(OR(FV$4="",$B30=""),0,SUMIF('DADOS BRUTOS'!$A$3:$A$500,$B30,'DADOS BRUTOS'!CV$3:CV$500)+IF($C30="",0,SUMIF('DADOS BRUTOS'!$A$3:$A$500,$C30,'DADOS BRUTOS'!CV$3:CV$500)))</f>
        <v/>
      </c>
      <c r="FW30" s="132">
        <f>IF(OR(FW$4="",$B30=""),0,SUMIF('DADOS BRUTOS'!$A$3:$A$500,$B30,'DADOS BRUTOS'!CW$3:CW$500)+IF($C30="",0,SUMIF('DADOS BRUTOS'!$A$3:$A$500,$C30,'DADOS BRUTOS'!CW$3:CW$500)))</f>
        <v/>
      </c>
      <c r="FX30" s="132">
        <f>IF(OR(FX$4="",$B30=""),0,SUMIF('DADOS BRUTOS'!$A$3:$A$500,$B30,'DADOS BRUTOS'!CX$3:CX$500)+IF($C30="",0,SUMIF('DADOS BRUTOS'!$A$3:$A$500,$C30,'DADOS BRUTOS'!CX$3:CX$500)))</f>
        <v/>
      </c>
      <c r="FY30" s="132">
        <f>IF(OR(FY$4="",$B30=""),0,SUMIF('DADOS BRUTOS'!$A$3:$A$500,$B30,'DADOS BRUTOS'!CY$3:CY$500)+IF($C30="",0,SUMIF('DADOS BRUTOS'!$A$3:$A$500,$C30,'DADOS BRUTOS'!CY$3:CY$500)))</f>
        <v/>
      </c>
      <c r="FZ30" s="132">
        <f>IF(OR(FZ$4="",$B30=""),0,SUMIF('DADOS BRUTOS'!$A$3:$A$500,$B30,'DADOS BRUTOS'!CZ$3:CZ$500)+IF($C30="",0,SUMIF('DADOS BRUTOS'!$A$3:$A$500,$C30,'DADOS BRUTOS'!CZ$3:CZ$500)))</f>
        <v/>
      </c>
      <c r="GA30" s="132">
        <f>IF(OR(GA$4="",$B30=""),0,SUMIF('DADOS BRUTOS'!$A$3:$A$500,$B30,'DADOS BRUTOS'!DA$3:DA$500)+IF($C30="",0,SUMIF('DADOS BRUTOS'!$A$3:$A$500,$C30,'DADOS BRUTOS'!DA$3:DA$500)))</f>
        <v/>
      </c>
      <c r="GB30" s="132">
        <f>IF(OR(GB$4="",$B30=""),0,SUMIF('DADOS BRUTOS'!$A$3:$A$500,$B30,'DADOS BRUTOS'!DB$3:DB$500)+IF($C30="",0,SUMIF('DADOS BRUTOS'!$A$3:$A$500,$C30,'DADOS BRUTOS'!DB$3:DB$500)))</f>
        <v/>
      </c>
      <c r="GC30" s="132">
        <f>IF(OR(GC$4="",$B30=""),0,SUMIF('DADOS BRUTOS'!$A$3:$A$500,$B30,'DADOS BRUTOS'!DC$3:DC$500)+IF($C30="",0,SUMIF('DADOS BRUTOS'!$A$3:$A$500,$C30,'DADOS BRUTOS'!DC$3:DC$500)))</f>
        <v/>
      </c>
      <c r="GD30" s="132">
        <f>IF(OR(GD$4="",$B30=""),0,SUMIF('DADOS BRUTOS'!$A$3:$A$500,$B30,'DADOS BRUTOS'!DD$3:DD$500)+IF($C30="",0,SUMIF('DADOS BRUTOS'!$A$3:$A$500,$C30,'DADOS BRUTOS'!DD$3:DD$500)))</f>
        <v/>
      </c>
      <c r="GE30" s="132">
        <f>IF(OR(GE$4="",$B30=""),0,SUMIF('DADOS BRUTOS'!$A$3:$A$500,$B30,'DADOS BRUTOS'!DE$3:DE$500)+IF($C30="",0,SUMIF('DADOS BRUTOS'!$A$3:$A$500,$C30,'DADOS BRUTOS'!DE$3:DE$500)))</f>
        <v/>
      </c>
      <c r="GF30" s="132">
        <f>IF(OR(GF$4="",$B30=""),0,SUMIF('DADOS BRUTOS'!$A$3:$A$500,$B30,'DADOS BRUTOS'!DF$3:DF$500)+IF($C30="",0,SUMIF('DADOS BRUTOS'!$A$3:$A$500,$C30,'DADOS BRUTOS'!DF$3:DF$500)))</f>
        <v/>
      </c>
      <c r="GG30" s="132">
        <f>IF(OR(GG$4="",$B30=""),0,SUMIF('DADOS BRUTOS'!$A$3:$A$500,$B30,'DADOS BRUTOS'!DG$3:DG$500)+IF($C30="",0,SUMIF('DADOS BRUTOS'!$A$3:$A$500,$C30,'DADOS BRUTOS'!DG$3:DG$500)))</f>
        <v/>
      </c>
      <c r="GH30" s="132">
        <f>IF(OR(GH$4="",$B30=""),0,SUMIF('DADOS BRUTOS'!$A$3:$A$500,$B30,'DADOS BRUTOS'!DH$3:DH$500)+IF($C30="",0,SUMIF('DADOS BRUTOS'!$A$3:$A$500,$C30,'DADOS BRUTOS'!DH$3:DH$500)))</f>
        <v/>
      </c>
      <c r="GI30" s="132">
        <f>IF(OR(GI$4="",$B30=""),0,SUMIF('DADOS BRUTOS'!$A$3:$A$500,$B30,'DADOS BRUTOS'!DI$3:DI$500)+IF($C30="",0,SUMIF('DADOS BRUTOS'!$A$3:$A$500,$C30,'DADOS BRUTOS'!DI$3:DI$500)))</f>
        <v/>
      </c>
      <c r="GJ30" s="132">
        <f>IF(OR(GJ$4="",$B30=""),0,SUMIF('DADOS BRUTOS'!$A$3:$A$500,$B30,'DADOS BRUTOS'!DJ$3:DJ$500)+IF($C30="",0,SUMIF('DADOS BRUTOS'!$A$3:$A$500,$C30,'DADOS BRUTOS'!DJ$3:DJ$500)))</f>
        <v/>
      </c>
      <c r="GK30" s="132">
        <f>IF(OR(GK$4="",$B30=""),0,SUMIF('DADOS BRUTOS'!$A$3:$A$500,$B30,'DADOS BRUTOS'!DK$3:DK$500)+IF($C30="",0,SUMIF('DADOS BRUTOS'!$A$3:$A$500,$C30,'DADOS BRUTOS'!DK$3:DK$500)))</f>
        <v/>
      </c>
      <c r="GL30" s="132">
        <f>IF(OR(GL$4="",$B30=""),0,SUMIF('DADOS BRUTOS'!$A$3:$A$500,$B30,'DADOS BRUTOS'!DL$3:DL$500)+IF($C30="",0,SUMIF('DADOS BRUTOS'!$A$3:$A$500,$C30,'DADOS BRUTOS'!DL$3:DL$500)))</f>
        <v/>
      </c>
      <c r="GM30" s="132">
        <f>IF(OR(GM$4="",$B30=""),0,SUMIF('DADOS BRUTOS'!$A$3:$A$500,$B30,'DADOS BRUTOS'!DM$3:DM$500)+IF($C30="",0,SUMIF('DADOS BRUTOS'!$A$3:$A$500,$C30,'DADOS BRUTOS'!DM$3:DM$500)))</f>
        <v/>
      </c>
      <c r="GN30" s="132">
        <f>IF(OR(GN$4="",$B30=""),0,SUMIF('DADOS BRUTOS'!$A$3:$A$500,$B30,'DADOS BRUTOS'!DN$3:DN$500)+IF($C30="",0,SUMIF('DADOS BRUTOS'!$A$3:$A$500,$C30,'DADOS BRUTOS'!DN$3:DN$500)))</f>
        <v/>
      </c>
      <c r="GO30" s="132">
        <f>IF(OR(GO$4="",$B30=""),0,SUMIF('DADOS BRUTOS'!$A$3:$A$500,$B30,'DADOS BRUTOS'!DO$3:DO$500)+IF($C30="",0,SUMIF('DADOS BRUTOS'!$A$3:$A$500,$C30,'DADOS BRUTOS'!DO$3:DO$500)))</f>
        <v/>
      </c>
      <c r="GP30" s="132">
        <f>IF(OR(GP$4="",$B30=""),0,SUMIF('DADOS BRUTOS'!$A$3:$A$500,$B30,'DADOS BRUTOS'!DP$3:DP$500)+IF($C30="",0,SUMIF('DADOS BRUTOS'!$A$3:$A$500,$C30,'DADOS BRUTOS'!DP$3:DP$500)))</f>
        <v/>
      </c>
      <c r="GQ30" s="132">
        <f>IF(OR(GQ$4="",$B30=""),0,SUMIF('DADOS BRUTOS'!$A$3:$A$500,$B30,'DADOS BRUTOS'!DQ$3:DQ$500)+IF($C30="",0,SUMIF('DADOS BRUTOS'!$A$3:$A$500,$C30,'DADOS BRUTOS'!DQ$3:DQ$500)))</f>
        <v/>
      </c>
      <c r="GR30" s="132">
        <f>IF(OR(GR$4="",$B30=""),0,SUMIF('DADOS BRUTOS'!$A$3:$A$500,$B30,'DADOS BRUTOS'!DR$3:DR$500)+IF($C30="",0,SUMIF('DADOS BRUTOS'!$A$3:$A$500,$C30,'DADOS BRUTOS'!DR$3:DR$500)))</f>
        <v/>
      </c>
      <c r="GS30" s="132">
        <f>IF(OR(GS$4="",$B30=""),0,SUMIF('DADOS BRUTOS'!$A$3:$A$500,$B30,'DADOS BRUTOS'!DS$3:DS$500)+IF($C30="",0,SUMIF('DADOS BRUTOS'!$A$3:$A$500,$C30,'DADOS BRUTOS'!DS$3:DS$500)))</f>
        <v/>
      </c>
      <c r="GT30" s="132">
        <f>IF(OR(GT$4="",$B30=""),0,SUMIF('DADOS BRUTOS'!$A$3:$A$500,$B30,'DADOS BRUTOS'!DT$3:DT$500)+IF($C30="",0,SUMIF('DADOS BRUTOS'!$A$3:$A$500,$C30,'DADOS BRUTOS'!DT$3:DT$500)))</f>
        <v/>
      </c>
      <c r="GU30" s="132">
        <f>IF(OR(GU$4="",$B30=""),0,SUMIF('DADOS BRUTOS'!$A$3:$A$500,$B30,'DADOS BRUTOS'!DU$3:DU$500)+IF($C30="",0,SUMIF('DADOS BRUTOS'!$A$3:$A$500,$C30,'DADOS BRUTOS'!DU$3:DU$500)))</f>
        <v/>
      </c>
      <c r="GV30" s="132">
        <f>IF(OR(GV$4="",$B30=""),0,SUMIF('DADOS BRUTOS'!$A$3:$A$500,$B30,'DADOS BRUTOS'!DV$3:DV$500)+IF($C30="",0,SUMIF('DADOS BRUTOS'!$A$3:$A$500,$C30,'DADOS BRUTOS'!DV$3:DV$500)))</f>
        <v/>
      </c>
      <c r="GW30" s="132">
        <f>IF(OR(GW$4="",$B30=""),0,SUMIF('DADOS BRUTOS'!$A$3:$A$500,$B30,'DADOS BRUTOS'!DW$3:DW$500)+IF($C30="",0,SUMIF('DADOS BRUTOS'!$A$3:$A$500,$C30,'DADOS BRUTOS'!DW$3:DW$500)))</f>
        <v/>
      </c>
      <c r="GX30" s="132">
        <f>IF(OR(GX$4="",$B30=""),0,SUMIF('DADOS BRUTOS'!$A$3:$A$500,$B30,'DADOS BRUTOS'!DX$3:DX$500)+IF($C30="",0,SUMIF('DADOS BRUTOS'!$A$3:$A$500,$C30,'DADOS BRUTOS'!DX$3:DX$500)))</f>
        <v/>
      </c>
      <c r="GY30" s="132">
        <f>IF(OR(GY$4="",$B30=""),0,SUMIF('DADOS BRUTOS'!$A$3:$A$500,$B30,'DADOS BRUTOS'!DY$3:DY$500)+IF($C30="",0,SUMIF('DADOS BRUTOS'!$A$3:$A$500,$C30,'DADOS BRUTOS'!DY$3:DY$500)))</f>
        <v/>
      </c>
      <c r="GZ30" s="132">
        <f>IF(OR(GZ$4="",$B30=""),0,SUMIF('DADOS BRUTOS'!$A$3:$A$500,$B30,'DADOS BRUTOS'!DZ$3:DZ$500)+IF($C30="",0,SUMIF('DADOS BRUTOS'!$A$3:$A$500,$C30,'DADOS BRUTOS'!DZ$3:DZ$500)))</f>
        <v/>
      </c>
      <c r="HA30" s="132">
        <f>IF(OR(HA$4="",$B30=""),0,SUMIF('DADOS BRUTOS'!$A$3:$A$500,$B30,'DADOS BRUTOS'!EA$3:EA$500)+IF($C30="",0,SUMIF('DADOS BRUTOS'!$A$3:$A$500,$C30,'DADOS BRUTOS'!EA$3:EA$500)))</f>
        <v/>
      </c>
      <c r="HB30" s="132">
        <f>IF(OR(HB$4="",$B30=""),0,SUMIF('DADOS BRUTOS'!$A$3:$A$500,$B30,'DADOS BRUTOS'!EB$3:EB$500)+IF($C30="",0,SUMIF('DADOS BRUTOS'!$A$3:$A$500,$C30,'DADOS BRUTOS'!EB$3:EB$500)))</f>
        <v/>
      </c>
      <c r="HC30" s="132">
        <f>IF(OR(HC$4="",$B30=""),0,SUMIF('DADOS BRUTOS'!$A$3:$A$500,$B30,'DADOS BRUTOS'!EC$3:EC$500)+IF($C30="",0,SUMIF('DADOS BRUTOS'!$A$3:$A$500,$C30,'DADOS BRUTOS'!EC$3:EC$500)))</f>
        <v/>
      </c>
      <c r="HD30" s="132">
        <f>IF(OR(HD$4="",$B30=""),0,SUMIF('DADOS BRUTOS'!$A$3:$A$500,$B30,'DADOS BRUTOS'!ED$3:ED$500)+IF($C30="",0,SUMIF('DADOS BRUTOS'!$A$3:$A$500,$C30,'DADOS BRUTOS'!ED$3:ED$500)))</f>
        <v/>
      </c>
      <c r="HE30" s="132">
        <f>IF(OR(HE$4="",$B30=""),0,SUMIF('DADOS BRUTOS'!$A$3:$A$500,$B30,'DADOS BRUTOS'!EE$3:EE$500)+IF($C30="",0,SUMIF('DADOS BRUTOS'!$A$3:$A$500,$C30,'DADOS BRUTOS'!EE$3:EE$500)))</f>
        <v/>
      </c>
      <c r="HF30" s="132">
        <f>IF(OR(HF$4="",$B30=""),0,SUMIF('DADOS BRUTOS'!$A$3:$A$500,$B30,'DADOS BRUTOS'!EF$3:EF$500)+IF($C30="",0,SUMIF('DADOS BRUTOS'!$A$3:$A$500,$C30,'DADOS BRUTOS'!EF$3:EF$500)))</f>
        <v/>
      </c>
      <c r="HG30" s="132">
        <f>IF(OR(HG$4="",$B30=""),0,SUMIF('DADOS BRUTOS'!$A$3:$A$500,$B30,'DADOS BRUTOS'!EG$3:EG$500)+IF($C30="",0,SUMIF('DADOS BRUTOS'!$A$3:$A$500,$C30,'DADOS BRUTOS'!EG$3:EG$500)))</f>
        <v/>
      </c>
      <c r="HH30" s="132">
        <f>IF(OR(HH$4="",$B30=""),0,SUMIF('DADOS BRUTOS'!$A$3:$A$500,$B30,'DADOS BRUTOS'!EH$3:EH$500)+IF($C30="",0,SUMIF('DADOS BRUTOS'!$A$3:$A$500,$C30,'DADOS BRUTOS'!EH$3:EH$500)))</f>
        <v/>
      </c>
      <c r="HI30" s="132">
        <f>IF(OR(HI$4="",$B30=""),0,SUMIF('DADOS BRUTOS'!$A$3:$A$500,$B30,'DADOS BRUTOS'!EI$3:EI$500)+IF($C30="",0,SUMIF('DADOS BRUTOS'!$A$3:$A$500,$C30,'DADOS BRUTOS'!EI$3:EI$500)))</f>
        <v/>
      </c>
      <c r="HJ30" s="132">
        <f>IF(OR(HJ$4="",$B30=""),0,SUMIF('DADOS BRUTOS'!$A$3:$A$500,$B30,'DADOS BRUTOS'!EJ$3:EJ$500)+IF($C30="",0,SUMIF('DADOS BRUTOS'!$A$3:$A$500,$C30,'DADOS BRUTOS'!EJ$3:EJ$500)))</f>
        <v/>
      </c>
      <c r="HK30" s="132">
        <f>IF(OR(HK$4="",$B30=""),0,SUMIF('DADOS BRUTOS'!$A$3:$A$500,$B30,'DADOS BRUTOS'!EK$3:EK$500)+IF($C30="",0,SUMIF('DADOS BRUTOS'!$A$3:$A$500,$C30,'DADOS BRUTOS'!EK$3:EK$500)))</f>
        <v/>
      </c>
      <c r="HL30" s="132">
        <f>IF(OR(HL$4="",$B30=""),0,SUMIF('DADOS BRUTOS'!$A$3:$A$500,$B30,'DADOS BRUTOS'!EL$3:EL$500)+IF($C30="",0,SUMIF('DADOS BRUTOS'!$A$3:$A$500,$C30,'DADOS BRUTOS'!EL$3:EL$500)))</f>
        <v/>
      </c>
      <c r="HM30" s="132">
        <f>IF(OR(HM$4="",$B30=""),0,SUMIF('DADOS BRUTOS'!$A$3:$A$500,$B30,'DADOS BRUTOS'!EM$3:EM$500)+IF($C30="",0,SUMIF('DADOS BRUTOS'!$A$3:$A$500,$C30,'DADOS BRUTOS'!EM$3:EM$500)))</f>
        <v/>
      </c>
      <c r="HN30" s="132">
        <f>IF(OR(HN$4="",$B30=""),0,SUMIF('DADOS BRUTOS'!$A$3:$A$500,$B30,'DADOS BRUTOS'!EN$3:EN$500)+IF($C30="",0,SUMIF('DADOS BRUTOS'!$A$3:$A$500,$C30,'DADOS BRUTOS'!EN$3:EN$500)))</f>
        <v/>
      </c>
      <c r="HO30" s="132">
        <f>IF(OR(HO$4="",$B30=""),0,SUMIF('DADOS BRUTOS'!$A$3:$A$500,$B30,'DADOS BRUTOS'!EO$3:EO$500)+IF($C30="",0,SUMIF('DADOS BRUTOS'!$A$3:$A$500,$C30,'DADOS BRUTOS'!EO$3:EO$500)))</f>
        <v/>
      </c>
      <c r="HP30" s="132">
        <f>IF(OR(HP$4="",$B30=""),0,SUMIF('DADOS BRUTOS'!$A$3:$A$500,$B30,'DADOS BRUTOS'!EP$3:EP$500)+IF($C30="",0,SUMIF('DADOS BRUTOS'!$A$3:$A$500,$C30,'DADOS BRUTOS'!EP$3:EP$500)))</f>
        <v/>
      </c>
      <c r="HQ30" s="132">
        <f>IF(OR(HQ$4="",$B30=""),0,SUMIF('DADOS BRUTOS'!$A$3:$A$500,$B30,'DADOS BRUTOS'!EQ$3:EQ$500)+IF($C30="",0,SUMIF('DADOS BRUTOS'!$A$3:$A$500,$C30,'DADOS BRUTOS'!EQ$3:EQ$500)))</f>
        <v/>
      </c>
      <c r="HR30" s="132">
        <f>IF(OR(HR$4="",$B30=""),0,SUMIF('DADOS BRUTOS'!$A$3:$A$500,$B30,'DADOS BRUTOS'!ER$3:ER$500)+IF($C30="",0,SUMIF('DADOS BRUTOS'!$A$3:$A$500,$C30,'DADOS BRUTOS'!ER$3:ER$500)))</f>
        <v/>
      </c>
      <c r="HS30" s="132">
        <f>IF(OR(HS$4="",$B30=""),0,SUMIF('DADOS BRUTOS'!$A$3:$A$500,$B30,'DADOS BRUTOS'!ES$3:ES$500)+IF($C30="",0,SUMIF('DADOS BRUTOS'!$A$3:$A$500,$C30,'DADOS BRUTOS'!ES$3:ES$500)))</f>
        <v/>
      </c>
      <c r="HT30" s="132">
        <f>IF(OR(HT$4="",$B30=""),0,SUMIF('DADOS BRUTOS'!$A$3:$A$500,$B30,'DADOS BRUTOS'!ET$3:ET$500)+IF($C30="",0,SUMIF('DADOS BRUTOS'!$A$3:$A$500,$C30,'DADOS BRUTOS'!ET$3:ET$500)))</f>
        <v/>
      </c>
      <c r="HU30" s="132">
        <f>IF(OR(HU$4="",$B30=""),0,SUMIF('DADOS BRUTOS'!$A$3:$A$500,$B30,'DADOS BRUTOS'!EU$3:EU$500)+IF($C30="",0,SUMIF('DADOS BRUTOS'!$A$3:$A$500,$C30,'DADOS BRUTOS'!EU$3:EU$500)))</f>
        <v/>
      </c>
      <c r="HV30" s="132">
        <f>IF(OR(HV$4="",$B30=""),0,SUMIF('DADOS BRUTOS'!$A$3:$A$500,$B30,'DADOS BRUTOS'!EV$3:EV$500)+IF($C30="",0,SUMIF('DADOS BRUTOS'!$A$3:$A$500,$C30,'DADOS BRUTOS'!EV$3:EV$500)))</f>
        <v/>
      </c>
      <c r="HW30" s="132">
        <f>IF(OR(HW$4="",$B30=""),0,SUMIF('DADOS BRUTOS'!$A$3:$A$500,$B30,'DADOS BRUTOS'!EW$3:EW$500)+IF($C30="",0,SUMIF('DADOS BRUTOS'!$A$3:$A$500,$C30,'DADOS BRUTOS'!EW$3:EW$500)))</f>
        <v/>
      </c>
      <c r="HX30" s="132">
        <f>IF(OR(HX$4="",$B30=""),0,SUMIF('DADOS BRUTOS'!$A$3:$A$500,$B30,'DADOS BRUTOS'!EX$3:EX$500)+IF($C30="",0,SUMIF('DADOS BRUTOS'!$A$3:$A$500,$C30,'DADOS BRUTOS'!EX$3:EX$500)))</f>
        <v/>
      </c>
      <c r="HY30" s="132">
        <f>IF(OR(HY$4="",$B30=""),0,SUMIF('DADOS BRUTOS'!$A$3:$A$500,$B30,'DADOS BRUTOS'!EY$3:EY$500)+IF($C30="",0,SUMIF('DADOS BRUTOS'!$A$3:$A$500,$C30,'DADOS BRUTOS'!EY$3:EY$500)))</f>
        <v/>
      </c>
      <c r="HZ30" s="132">
        <f>IF(OR(HZ$4="",$B30=""),0,SUMIF('DADOS BRUTOS'!$A$3:$A$500,$B30,'DADOS BRUTOS'!EZ$3:EZ$500)+IF($C30="",0,SUMIF('DADOS BRUTOS'!$A$3:$A$500,$C30,'DADOS BRUTOS'!EZ$3:EZ$500)))</f>
        <v/>
      </c>
      <c r="IA30" s="132">
        <f>IF(OR(IA$4="",$B30=""),0,SUMIF('DADOS BRUTOS'!$A$3:$A$500,$B30,'DADOS BRUTOS'!FA$3:FA$500)+IF($C30="",0,SUMIF('DADOS BRUTOS'!$A$3:$A$500,$C30,'DADOS BRUTOS'!FA$3:FA$500)))</f>
        <v/>
      </c>
      <c r="IB30" s="132">
        <f>IF(OR(IB$4="",$B30=""),0,SUMIF('DADOS BRUTOS'!$A$3:$A$500,$B30,'DADOS BRUTOS'!FB$3:FB$500)+IF($C30="",0,SUMIF('DADOS BRUTOS'!$A$3:$A$500,$C30,'DADOS BRUTOS'!FB$3:FB$500)))</f>
        <v/>
      </c>
      <c r="IC30" s="132">
        <f>IF(OR(IC$4="",$B30=""),0,SUMIF('DADOS BRUTOS'!$A$3:$A$500,$B30,'DADOS BRUTOS'!FC$3:FC$500)+IF($C30="",0,SUMIF('DADOS BRUTOS'!$A$3:$A$500,$C30,'DADOS BRUTOS'!FC$3:FC$500)))</f>
        <v/>
      </c>
      <c r="ID30" s="132">
        <f>IF(OR(ID$4="",$B30=""),0,SUMIF('DADOS BRUTOS'!$A$3:$A$500,$B30,'DADOS BRUTOS'!FD$3:FD$500)+IF($C30="",0,SUMIF('DADOS BRUTOS'!$A$3:$A$500,$C30,'DADOS BRUTOS'!FD$3:FD$500)))</f>
        <v/>
      </c>
      <c r="IE30" s="132">
        <f>IF(OR(IE$4="",$B30=""),0,SUMIF('DADOS BRUTOS'!$A$3:$A$500,$B30,'DADOS BRUTOS'!FE$3:FE$500)+IF($C30="",0,SUMIF('DADOS BRUTOS'!$A$3:$A$500,$C30,'DADOS BRUTOS'!FE$3:FE$500)))</f>
        <v/>
      </c>
      <c r="IF30" s="132">
        <f>IF(OR(IF$4="",$B30=""),0,SUMIF('DADOS BRUTOS'!$A$3:$A$500,$B30,'DADOS BRUTOS'!FF$3:FF$500)+IF($C30="",0,SUMIF('DADOS BRUTOS'!$A$3:$A$500,$C30,'DADOS BRUTOS'!FF$3:FF$500)))</f>
        <v/>
      </c>
      <c r="IG30" s="132">
        <f>IF(OR(IG$4="",$B30=""),0,SUMIF('DADOS BRUTOS'!$A$3:$A$500,$B30,'DADOS BRUTOS'!FG$3:FG$500)+IF($C30="",0,SUMIF('DADOS BRUTOS'!$A$3:$A$500,$C30,'DADOS BRUTOS'!FG$3:FG$500)))</f>
        <v/>
      </c>
      <c r="IH30" s="132">
        <f>IF(OR(IH$4="",$B30=""),0,SUMIF('DADOS BRUTOS'!$A$3:$A$500,$B30,'DADOS BRUTOS'!FH$3:FH$500)+IF($C30="",0,SUMIF('DADOS BRUTOS'!$A$3:$A$500,$C30,'DADOS BRUTOS'!FH$3:FH$500)))</f>
        <v/>
      </c>
      <c r="II30" s="132">
        <f>IF(OR(II$4="",$B30=""),0,SUMIF('DADOS BRUTOS'!$A$3:$A$500,$B30,'DADOS BRUTOS'!FI$3:FI$500)+IF($C30="",0,SUMIF('DADOS BRUTOS'!$A$3:$A$500,$C30,'DADOS BRUTOS'!FI$3:FI$500)))</f>
        <v/>
      </c>
      <c r="IJ30" s="132">
        <f>IF(OR(IJ$4="",$B30=""),0,SUMIF('DADOS BRUTOS'!$A$3:$A$500,$B30,'DADOS BRUTOS'!FJ$3:FJ$500)+IF($C30="",0,SUMIF('DADOS BRUTOS'!$A$3:$A$500,$C30,'DADOS BRUTOS'!FJ$3:FJ$500)))</f>
        <v/>
      </c>
      <c r="IK30" s="132">
        <f>IF(OR(IK$4="",$B30=""),0,SUMIF('DADOS BRUTOS'!$A$3:$A$500,$B30,'DADOS BRUTOS'!FK$3:FK$500)+IF($C30="",0,SUMIF('DADOS BRUTOS'!$A$3:$A$500,$C30,'DADOS BRUTOS'!FK$3:FK$500)))</f>
        <v/>
      </c>
      <c r="IL30" s="132">
        <f>IF(OR(IL$4="",$B30=""),0,SUMIF('DADOS BRUTOS'!$A$3:$A$500,$B30,'DADOS BRUTOS'!FL$3:FL$500)+IF($C30="",0,SUMIF('DADOS BRUTOS'!$A$3:$A$500,$C30,'DADOS BRUTOS'!FL$3:FL$500)))</f>
        <v/>
      </c>
      <c r="IM30" s="132">
        <f>IF(OR(IM$4="",$B30=""),0,SUMIF('DADOS BRUTOS'!$A$3:$A$500,$B30,'DADOS BRUTOS'!FM$3:FM$500)+IF($C30="",0,SUMIF('DADOS BRUTOS'!$A$3:$A$500,$C30,'DADOS BRUTOS'!FM$3:FM$500)))</f>
        <v/>
      </c>
      <c r="IN30" s="132">
        <f>IF(OR(IN$4="",$B30=""),0,SUMIF('DADOS BRUTOS'!$A$3:$A$500,$B30,'DADOS BRUTOS'!FN$3:FN$500)+IF($C30="",0,SUMIF('DADOS BRUTOS'!$A$3:$A$500,$C30,'DADOS BRUTOS'!FN$3:FN$500)))</f>
        <v/>
      </c>
      <c r="IO30" s="132">
        <f>IF(OR(IO$4="",$B30=""),0,SUMIF('DADOS BRUTOS'!$A$3:$A$500,$B30,'DADOS BRUTOS'!FO$3:FO$500)+IF($C30="",0,SUMIF('DADOS BRUTOS'!$A$3:$A$500,$C30,'DADOS BRUTOS'!FO$3:FO$500)))</f>
        <v/>
      </c>
      <c r="IP30" s="132">
        <f>IF(OR(IP$4="",$B30=""),0,SUMIF('DADOS BRUTOS'!$A$3:$A$500,$B30,'DADOS BRUTOS'!FP$3:FP$500)+IF($C30="",0,SUMIF('DADOS BRUTOS'!$A$3:$A$500,$C30,'DADOS BRUTOS'!FP$3:FP$500)))</f>
        <v/>
      </c>
      <c r="IQ30" s="132">
        <f>IF(OR(IQ$4="",$B30=""),0,SUMIF('DADOS BRUTOS'!$A$3:$A$500,$B30,'DADOS BRUTOS'!FQ$3:FQ$500)+IF($C30="",0,SUMIF('DADOS BRUTOS'!$A$3:$A$500,$C30,'DADOS BRUTOS'!FQ$3:FQ$500)))</f>
        <v/>
      </c>
      <c r="IR30" s="132">
        <f>IF(OR(IR$4="",$B30=""),0,SUMIF('DADOS BRUTOS'!$A$3:$A$500,$B30,'DADOS BRUTOS'!FR$3:FR$500)+IF($C30="",0,SUMIF('DADOS BRUTOS'!$A$3:$A$500,$C30,'DADOS BRUTOS'!FR$3:FR$500)))</f>
        <v/>
      </c>
      <c r="IS30" s="132">
        <f>IF(OR(IS$4="",$B30=""),0,SUMIF('DADOS BRUTOS'!$A$3:$A$500,$B30,'DADOS BRUTOS'!FS$3:FS$500)+IF($C30="",0,SUMIF('DADOS BRUTOS'!$A$3:$A$500,$C30,'DADOS BRUTOS'!FS$3:FS$500)))</f>
        <v/>
      </c>
      <c r="IT30" s="132">
        <f>IF(OR(IT$4="",$B30=""),0,SUMIF('DADOS BRUTOS'!$A$3:$A$500,$B30,'DADOS BRUTOS'!FT$3:FT$500)+IF($C30="",0,SUMIF('DADOS BRUTOS'!$A$3:$A$500,$C30,'DADOS BRUTOS'!FT$3:FT$500)))</f>
        <v/>
      </c>
      <c r="IU30" s="132">
        <f>IF(OR(IU$4="",$B30=""),0,SUMIF('DADOS BRUTOS'!$A$3:$A$500,$B30,'DADOS BRUTOS'!FU$3:FU$500)+IF($C30="",0,SUMIF('DADOS BRUTOS'!$A$3:$A$500,$C30,'DADOS BRUTOS'!FU$3:FU$500)))</f>
        <v/>
      </c>
      <c r="IV30" s="132">
        <f>IF(OR(IV$4="",$B30=""),0,SUMIF('DADOS BRUTOS'!$A$3:$A$500,$B30,'DADOS BRUTOS'!FV$3:FV$500)+IF($C30="",0,SUMIF('DADOS BRUTOS'!$A$3:$A$500,$C30,'DADOS BRUTOS'!FV$3:FV$500)))</f>
        <v/>
      </c>
      <c r="IW30" s="132">
        <f>IF(OR(IW$4="",$B30=""),0,SUMIF('DADOS BRUTOS'!$A$3:$A$500,$B30,'DADOS BRUTOS'!FW$3:FW$500)+IF($C30="",0,SUMIF('DADOS BRUTOS'!$A$3:$A$500,$C30,'DADOS BRUTOS'!FW$3:FW$500)))</f>
        <v/>
      </c>
      <c r="IX30" s="132">
        <f>IF(OR(IX$4="",$B30=""),0,SUMIF('DADOS BRUTOS'!$A$3:$A$500,$B30,'DADOS BRUTOS'!FX$3:FX$500)+IF($C30="",0,SUMIF('DADOS BRUTOS'!$A$3:$A$500,$C30,'DADOS BRUTOS'!FX$3:FX$500)))</f>
        <v/>
      </c>
      <c r="IY30" s="132">
        <f>IF(OR(IY$4="",$B30=""),0,SUMIF('DADOS BRUTOS'!$A$3:$A$500,$B30,'DADOS BRUTOS'!FY$3:FY$500)+IF($C30="",0,SUMIF('DADOS BRUTOS'!$A$3:$A$500,$C30,'DADOS BRUTOS'!FY$3:FY$500)))</f>
        <v/>
      </c>
      <c r="IZ30" s="132">
        <f>IF(OR(IZ$4="",$B30=""),0,SUMIF('DADOS BRUTOS'!$A$3:$A$500,$B30,'DADOS BRUTOS'!FZ$3:FZ$500)+IF($C30="",0,SUMIF('DADOS BRUTOS'!$A$3:$A$500,$C30,'DADOS BRUTOS'!FZ$3:FZ$500)))</f>
        <v/>
      </c>
      <c r="JA30" s="132">
        <f>IF(OR(JA$4="",$B30=""),0,SUMIF('DADOS BRUTOS'!$A$3:$A$500,$B30,'DADOS BRUTOS'!GA$3:GA$500)+IF($C30="",0,SUMIF('DADOS BRUTOS'!$A$3:$A$500,$C30,'DADOS BRUTOS'!GA$3:GA$500)))</f>
        <v/>
      </c>
      <c r="JB30" s="132">
        <f>IF(OR(JB$4="",$B30=""),0,SUMIF('DADOS BRUTOS'!$A$3:$A$500,$B30,'DADOS BRUTOS'!GB$3:GB$500)+IF($C30="",0,SUMIF('DADOS BRUTOS'!$A$3:$A$500,$C30,'DADOS BRUTOS'!GB$3:GB$500)))</f>
        <v/>
      </c>
      <c r="JC30" s="132">
        <f>IF(OR(JC$4="",$B30=""),0,SUMIF('DADOS BRUTOS'!$A$3:$A$500,$B30,'DADOS BRUTOS'!GC$3:GC$500)+IF($C30="",0,SUMIF('DADOS BRUTOS'!$A$3:$A$500,$C30,'DADOS BRUTOS'!GC$3:GC$500)))</f>
        <v/>
      </c>
      <c r="JD30" s="132">
        <f>IF(OR(JD$4="",$B30=""),0,SUMIF('DADOS BRUTOS'!$A$3:$A$500,$B30,'DADOS BRUTOS'!GD$3:GD$500)+IF($C30="",0,SUMIF('DADOS BRUTOS'!$A$3:$A$500,$C30,'DADOS BRUTOS'!GD$3:GD$500)))</f>
        <v/>
      </c>
      <c r="JE30" s="132">
        <f>IF(OR(JE$4="",$B30=""),0,SUMIF('DADOS BRUTOS'!$A$3:$A$500,$B30,'DADOS BRUTOS'!GE$3:GE$500)+IF($C30="",0,SUMIF('DADOS BRUTOS'!$A$3:$A$500,$C30,'DADOS BRUTOS'!GE$3:GE$500)))</f>
        <v/>
      </c>
      <c r="JF30" s="132">
        <f>IF(OR(JF$4="",$B30=""),0,SUMIF('DADOS BRUTOS'!$A$3:$A$500,$B30,'DADOS BRUTOS'!GF$3:GF$500)+IF($C30="",0,SUMIF('DADOS BRUTOS'!$A$3:$A$500,$C30,'DADOS BRUTOS'!GF$3:GF$500)))</f>
        <v/>
      </c>
      <c r="JG30" s="132">
        <f>IF(OR(JG$4="",$B30=""),0,SUMIF('DADOS BRUTOS'!$A$3:$A$500,$B30,'DADOS BRUTOS'!GG$3:GG$500)+IF($C30="",0,SUMIF('DADOS BRUTOS'!$A$3:$A$500,$C30,'DADOS BRUTOS'!GG$3:GG$500)))</f>
        <v/>
      </c>
      <c r="JH30" s="132">
        <f>IF(OR(JH$4="",$B30=""),0,SUMIF('DADOS BRUTOS'!$A$3:$A$500,$B30,'DADOS BRUTOS'!GH$3:GH$500)+IF($C30="",0,SUMIF('DADOS BRUTOS'!$A$3:$A$500,$C30,'DADOS BRUTOS'!GH$3:GH$500)))</f>
        <v/>
      </c>
      <c r="JI30" s="132">
        <f>IF(OR(JI$4="",$B30=""),0,SUMIF('DADOS BRUTOS'!$A$3:$A$500,$B30,'DADOS BRUTOS'!GI$3:GI$500)+IF($C30="",0,SUMIF('DADOS BRUTOS'!$A$3:$A$500,$C30,'DADOS BRUTOS'!GI$3:GI$500)))</f>
        <v/>
      </c>
      <c r="JJ30" s="132">
        <f>IF(OR(JJ$4="",$B30=""),0,SUMIF('DADOS BRUTOS'!$A$3:$A$500,$B30,'DADOS BRUTOS'!GJ$3:GJ$500)+IF($C30="",0,SUMIF('DADOS BRUTOS'!$A$3:$A$500,$C30,'DADOS BRUTOS'!GJ$3:GJ$500)))</f>
        <v/>
      </c>
      <c r="JK30" s="132">
        <f>IF(OR(JK$4="",$B30=""),0,SUMIF('DADOS BRUTOS'!$A$3:$A$500,$B30,'DADOS BRUTOS'!GK$3:GK$500)+IF($C30="",0,SUMIF('DADOS BRUTOS'!$A$3:$A$500,$C30,'DADOS BRUTOS'!GK$3:GK$500)))</f>
        <v/>
      </c>
      <c r="JL30" s="132">
        <f>IF(OR(JL$4="",$B30=""),0,SUMIF('DADOS BRUTOS'!$A$3:$A$500,$B30,'DADOS BRUTOS'!GL$3:GL$500)+IF($C30="",0,SUMIF('DADOS BRUTOS'!$A$3:$A$500,$C30,'DADOS BRUTOS'!GL$3:GL$500)))</f>
        <v/>
      </c>
      <c r="JM30" s="132">
        <f>IF(OR(JM$4="",$B30=""),0,SUMIF('DADOS BRUTOS'!$A$3:$A$500,$B30,'DADOS BRUTOS'!GM$3:GM$500)+IF($C30="",0,SUMIF('DADOS BRUTOS'!$A$3:$A$500,$C30,'DADOS BRUTOS'!GM$3:GM$500)))</f>
        <v/>
      </c>
      <c r="JN30" s="132">
        <f>IF(OR(JN$4="",$B30=""),0,SUMIF('DADOS BRUTOS'!$A$3:$A$500,$B30,'DADOS BRUTOS'!GN$3:GN$500)+IF($C30="",0,SUMIF('DADOS BRUTOS'!$A$3:$A$500,$C30,'DADOS BRUTOS'!GN$3:GN$500)))</f>
        <v/>
      </c>
      <c r="JO30" s="132">
        <f>IF(OR(JO$4="",$B30=""),0,SUMIF('DADOS BRUTOS'!$A$3:$A$500,$B30,'DADOS BRUTOS'!GO$3:GO$500)+IF($C30="",0,SUMIF('DADOS BRUTOS'!$A$3:$A$500,$C30,'DADOS BRUTOS'!GO$3:GO$500)))</f>
        <v/>
      </c>
      <c r="JP30" s="132">
        <f>IF(OR(JP$4="",$B30=""),0,SUMIF('DADOS BRUTOS'!$A$3:$A$500,$B30,'DADOS BRUTOS'!GP$3:GP$500)+IF($C30="",0,SUMIF('DADOS BRUTOS'!$A$3:$A$500,$C30,'DADOS BRUTOS'!GP$3:GP$500)))</f>
        <v/>
      </c>
      <c r="JQ30" s="132">
        <f>IF(OR(JQ$4="",$B30=""),0,SUMIF('DADOS BRUTOS'!$A$3:$A$500,$B30,'DADOS BRUTOS'!GQ$3:GQ$500)+IF($C30="",0,SUMIF('DADOS BRUTOS'!$A$3:$A$500,$C30,'DADOS BRUTOS'!GQ$3:GQ$500)))</f>
        <v/>
      </c>
      <c r="JR30" s="132">
        <f>IF(OR(JR$4="",$B30=""),0,SUMIF('DADOS BRUTOS'!$A$3:$A$500,$B30,'DADOS BRUTOS'!GR$3:GR$500)+IF($C30="",0,SUMIF('DADOS BRUTOS'!$A$3:$A$500,$C30,'DADOS BRUTOS'!GR$3:GR$500)))</f>
        <v/>
      </c>
      <c r="JS30" s="132">
        <f>IF(OR(JS$4="",$B30=""),0,SUMIF('DADOS BRUTOS'!$A$3:$A$500,$B30,'DADOS BRUTOS'!GS$3:GS$500)+IF($C30="",0,SUMIF('DADOS BRUTOS'!$A$3:$A$500,$C30,'DADOS BRUTOS'!GS$3:GS$500)))</f>
        <v/>
      </c>
    </row>
    <row r="31">
      <c r="A31" s="61">
        <f>'VALOR POR PL'!D37</f>
        <v/>
      </c>
      <c r="B31" s="59" t="inlineStr">
        <is>
          <t>MARCENARIA</t>
        </is>
      </c>
      <c r="C31" s="59" t="n"/>
      <c r="D31" s="54">
        <f>SUMIF($CB$4:$JS$4,"&lt;="&amp;D$4,$CB31:$JS31)</f>
        <v/>
      </c>
      <c r="E31" s="54">
        <f>SUMIF($CB$4:$JS$4,E$4,$CB31:$JS31)</f>
        <v/>
      </c>
      <c r="F31" s="54">
        <f>SUMIF($CB$4:$JS$4,F$4,$CB31:$JS31)</f>
        <v/>
      </c>
      <c r="G31" s="54">
        <f>SUMIF($CB$4:$JS$4,G$4,$CB31:$JS31)</f>
        <v/>
      </c>
      <c r="H31" s="54">
        <f>SUMIF($CB$4:$JS$4,H$4,$CB31:$JS31)</f>
        <v/>
      </c>
      <c r="I31" s="54">
        <f>SUMIF($CB$4:$JS$4,I$4,$CB31:$JS31)</f>
        <v/>
      </c>
      <c r="J31" s="54">
        <f>SUMIF($CB$4:$JS$4,J$4,$CB31:$JS31)</f>
        <v/>
      </c>
      <c r="K31" s="54">
        <f>SUMIF($CB$4:$JS$4,K$4,$CB31:$JS31)</f>
        <v/>
      </c>
      <c r="L31" s="54">
        <f>SUMIF($CB$4:$JS$4,L$4,$CB31:$JS31)</f>
        <v/>
      </c>
      <c r="M31" s="54">
        <f>SUMIF($CB$4:$JS$4,M$4,$CB31:$JS31)</f>
        <v/>
      </c>
      <c r="N31" s="54">
        <f>SUMIF($CB$4:$JS$4,N$4,$CB31:$JS31)</f>
        <v/>
      </c>
      <c r="O31" s="54">
        <f>SUMIF($CB$4:$JS$4,O$4,$CB31:$JS31)</f>
        <v/>
      </c>
      <c r="P31" s="54">
        <f>SUMIF($CB$4:$JS$4,P$4,$CB31:$JS31)</f>
        <v/>
      </c>
      <c r="Q31" s="54">
        <f>SUMIF($CB$4:$JS$4,Q$4,$CB31:$JS31)</f>
        <v/>
      </c>
      <c r="R31" s="54">
        <f>SUMIF($CB$4:$JS$4,R$4,$CB31:$JS31)</f>
        <v/>
      </c>
      <c r="S31" s="54">
        <f>SUMIF($CB$4:$JS$4,S$4,$CB31:$JS31)</f>
        <v/>
      </c>
      <c r="T31" s="54">
        <f>SUMIF($CB$4:$JS$4,T$4,$CB31:$JS31)</f>
        <v/>
      </c>
      <c r="U31" s="54">
        <f>SUMIF($CB$4:$JS$4,U$4,$CB31:$JS31)</f>
        <v/>
      </c>
      <c r="V31" s="54">
        <f>SUMIF($CB$4:$JS$4,V$4,$CB31:$JS31)</f>
        <v/>
      </c>
      <c r="W31" s="54">
        <f>SUMIF($CB$4:$JS$4,W$4,$CB31:$JS31)</f>
        <v/>
      </c>
      <c r="X31" s="54">
        <f>SUMIF($CB$4:$JS$4,X$4,$CB31:$JS31)</f>
        <v/>
      </c>
      <c r="Y31" s="54">
        <f>SUMIF($CB$4:$JS$4,Y$4,$CB31:$JS31)</f>
        <v/>
      </c>
      <c r="Z31" s="54">
        <f>SUMIF($CB$4:$JS$4,Z$4,$CB31:$JS31)</f>
        <v/>
      </c>
      <c r="AA31" s="54">
        <f>SUMIF($CB$4:$JS$4,AA$4,$CB31:$JS31)</f>
        <v/>
      </c>
      <c r="AB31" s="54">
        <f>SUMIF($CB$4:$JS$4,AB$4,$CB31:$JS31)</f>
        <v/>
      </c>
      <c r="AC31" s="54">
        <f>SUMIF($CB$4:$JS$4,AC$4,$CB31:$JS31)</f>
        <v/>
      </c>
      <c r="AD31" s="54">
        <f>SUMIF($CB$4:$JS$4,AD$4,$CB31:$JS31)</f>
        <v/>
      </c>
      <c r="AE31" s="54">
        <f>SUMIF($CB$4:$JS$4,AE$4,$CB31:$JS31)</f>
        <v/>
      </c>
      <c r="AF31" s="54">
        <f>SUMIF($CB$4:$JS$4,AF$4,$CB31:$JS31)</f>
        <v/>
      </c>
      <c r="AG31" s="54">
        <f>SUMIF($CB$4:$JS$4,AG$4,$CB31:$JS31)</f>
        <v/>
      </c>
      <c r="AH31" s="54">
        <f>SUMIF($CB$4:$JS$4,AH$4,$CB31:$JS31)</f>
        <v/>
      </c>
      <c r="AI31" s="54">
        <f>SUMIF($CB$4:$JS$4,AI$4,$CB31:$JS31)</f>
        <v/>
      </c>
      <c r="AJ31" s="54">
        <f>SUMIF($CB$4:$JS$4,AJ$4,$CB31:$JS31)</f>
        <v/>
      </c>
      <c r="AK31" s="54">
        <f>SUMIF($CB$4:$JS$4,AK$4,$CB31:$JS31)</f>
        <v/>
      </c>
      <c r="AL31" s="54">
        <f>SUMIF($CB$4:$JS$4,AL$4,$CB31:$JS31)</f>
        <v/>
      </c>
      <c r="AM31" s="54">
        <f>SUMIF($CB$4:$JS$4,AM$4,$CB31:$JS31)</f>
        <v/>
      </c>
      <c r="AN31" s="54">
        <f>SUMIF($CB$4:$JS$4,AN$4,$CB31:$JS31)</f>
        <v/>
      </c>
      <c r="AO31" s="54">
        <f>SUMIF($CB$4:$JS$4,AO$4,$CB31:$JS31)</f>
        <v/>
      </c>
      <c r="AP31" s="54">
        <f>SUMIF($CB$4:$JS$4,AP$4,$CB31:$JS31)</f>
        <v/>
      </c>
      <c r="AQ31" s="54">
        <f>SUMIF($CB$4:$JS$4,AQ$4,$CB31:$JS31)</f>
        <v/>
      </c>
      <c r="AR31" s="54">
        <f>SUMIF($CB$4:$JS$4,AR$4,$CB31:$JS31)</f>
        <v/>
      </c>
      <c r="AS31" s="54">
        <f>SUMIF($CB$4:$JS$4,AS$4,$CB31:$JS31)</f>
        <v/>
      </c>
      <c r="AT31" s="54">
        <f>SUMIF($CB$4:$JS$4,AT$4,$CB31:$JS31)</f>
        <v/>
      </c>
      <c r="AU31" s="54">
        <f>SUMIF($CB$4:$JS$4,AU$4,$CB31:$JS31)</f>
        <v/>
      </c>
      <c r="AV31" s="54">
        <f>SUMIF($CB$4:$JS$4,AV$4,$CB31:$JS31)</f>
        <v/>
      </c>
      <c r="AW31" s="54">
        <f>SUMIF($CB$4:$JS$4,AW$4,$CB31:$JS31)</f>
        <v/>
      </c>
      <c r="AX31" s="54">
        <f>SUMIF($CB$4:$JS$4,AX$4,$CB31:$JS31)</f>
        <v/>
      </c>
      <c r="AY31" s="54">
        <f>SUMIF($CB$4:$JS$4,AY$4,$CB31:$JS31)</f>
        <v/>
      </c>
      <c r="AZ31" s="54">
        <f>SUMIF($CB$4:$JS$4,AZ$4,$CB31:$JS31)</f>
        <v/>
      </c>
      <c r="BA31" s="54">
        <f>SUMIF($CB$4:$JS$4,BA$4,$CB31:$JS31)</f>
        <v/>
      </c>
      <c r="BB31" s="54">
        <f>SUMIF($CB$4:$JS$4,BB$4,$CB31:$JS31)</f>
        <v/>
      </c>
      <c r="BC31" s="54">
        <f>SUMIF($CB$4:$JS$4,BC$4,$CB31:$JS31)</f>
        <v/>
      </c>
      <c r="BD31" s="54">
        <f>SUMIF($CB$4:$JS$4,BD$4,$CB31:$JS31)</f>
        <v/>
      </c>
      <c r="BE31" s="54">
        <f>SUMIF($CB$4:$JS$4,BE$4,$CB31:$JS31)</f>
        <v/>
      </c>
      <c r="BF31" s="54">
        <f>SUMIF($CB$4:$JS$4,BF$4,$CB31:$JS31)</f>
        <v/>
      </c>
      <c r="BG31" s="54">
        <f>SUMIF($CB$4:$JS$4,BG$4,$CB31:$JS31)</f>
        <v/>
      </c>
      <c r="BH31" s="54">
        <f>SUMIF($CB$4:$JS$4,BH$4,$CB31:$JS31)</f>
        <v/>
      </c>
      <c r="BI31" s="54">
        <f>SUMIF($CB$4:$JS$4,BI$4,$CB31:$JS31)</f>
        <v/>
      </c>
      <c r="BJ31" s="54">
        <f>SUMIF($CB$4:$JS$4,BJ$4,$CB31:$JS31)</f>
        <v/>
      </c>
      <c r="BK31" s="54">
        <f>SUMIF($CB$4:$JS$4,BK$4,$CB31:$JS31)</f>
        <v/>
      </c>
      <c r="BL31" s="54">
        <f>SUMIF($CB$4:$JS$4,BL$4,$CB31:$JS31)</f>
        <v/>
      </c>
      <c r="BM31" s="54">
        <f>SUMIF($CB$4:$JS$4,BM$4,$CB31:$JS31)</f>
        <v/>
      </c>
      <c r="BN31" s="54">
        <f>SUMIF($CB$4:$JS$4,BN$4,$CB31:$JS31)</f>
        <v/>
      </c>
      <c r="BO31" s="54">
        <f>SUMIF($CB$4:$JS$4,BO$4,$CB31:$JS31)</f>
        <v/>
      </c>
      <c r="BP31" s="54">
        <f>SUMIF($CB$4:$JS$4,BP$4,$CB31:$JS31)</f>
        <v/>
      </c>
      <c r="BQ31" s="54">
        <f>SUMIF($CB$4:$JS$4,BQ$4,$CB31:$JS31)</f>
        <v/>
      </c>
      <c r="BR31" s="54">
        <f>SUMIF($CB$4:$JS$4,BR$4,$CB31:$JS31)</f>
        <v/>
      </c>
      <c r="BS31" s="54">
        <f>SUMIF($CB$4:$JS$4,BS$4,$CB31:$JS31)</f>
        <v/>
      </c>
      <c r="BT31" s="54">
        <f>SUMIF($CB$4:$JS$4,BT$4,$CB31:$JS31)</f>
        <v/>
      </c>
      <c r="BU31" s="54">
        <f>SUMIF($CB$4:$JS$4,BU$4,$CB31:$JS31)</f>
        <v/>
      </c>
      <c r="BV31" s="54">
        <f>SUMIF($CB$4:$JS$4,BV$4,$CB31:$JS31)</f>
        <v/>
      </c>
      <c r="BW31" s="54">
        <f>SUMIF($CB$4:$JS$4,BW$4,$CB31:$JS31)</f>
        <v/>
      </c>
      <c r="BX31" s="54">
        <f>SUMIF($CB$4:$JS$4,"&gt;"&amp;'VALOR POR PL'!$P$8,$CB31:$JS31)</f>
        <v/>
      </c>
      <c r="BY31" s="54">
        <f>SUM($CB31:$JS31)</f>
        <v/>
      </c>
      <c r="BZ31" s="49">
        <f>SUMPRODUCT(($CB$4:$JS$4&lt;&gt;"")*($CB$4:$JS$4&lt;=$D$4),$CB31:$JS31,$CB$1:$JS$1)</f>
        <v/>
      </c>
      <c r="CB31" s="132">
        <f>IF(OR(CB$4="",$B31=""),0,SUMIF('DADOS BRUTOS'!$A$3:$A$500,$B31,'DADOS BRUTOS'!B$3:B$500)+IF($C31="",0,SUMIF('DADOS BRUTOS'!$A$3:$A$500,$C31,'DADOS BRUTOS'!B$3:B$500)))</f>
        <v/>
      </c>
      <c r="CC31" s="132">
        <f>IF(OR(CC$4="",$B31=""),0,SUMIF('DADOS BRUTOS'!$A$3:$A$500,$B31,'DADOS BRUTOS'!C$3:C$500)+IF($C31="",0,SUMIF('DADOS BRUTOS'!$A$3:$A$500,$C31,'DADOS BRUTOS'!C$3:C$500)))</f>
        <v/>
      </c>
      <c r="CD31" s="132">
        <f>IF(OR(CD$4="",$B31=""),0,SUMIF('DADOS BRUTOS'!$A$3:$A$500,$B31,'DADOS BRUTOS'!D$3:D$500)+IF($C31="",0,SUMIF('DADOS BRUTOS'!$A$3:$A$500,$C31,'DADOS BRUTOS'!D$3:D$500)))</f>
        <v/>
      </c>
      <c r="CE31" s="132">
        <f>IF(OR(CE$4="",$B31=""),0,SUMIF('DADOS BRUTOS'!$A$3:$A$500,$B31,'DADOS BRUTOS'!E$3:E$500)+IF($C31="",0,SUMIF('DADOS BRUTOS'!$A$3:$A$500,$C31,'DADOS BRUTOS'!E$3:E$500)))</f>
        <v/>
      </c>
      <c r="CF31" s="132">
        <f>IF(OR(CF$4="",$B31=""),0,SUMIF('DADOS BRUTOS'!$A$3:$A$500,$B31,'DADOS BRUTOS'!F$3:F$500)+IF($C31="",0,SUMIF('DADOS BRUTOS'!$A$3:$A$500,$C31,'DADOS BRUTOS'!F$3:F$500)))</f>
        <v/>
      </c>
      <c r="CG31" s="132">
        <f>IF(OR(CG$4="",$B31=""),0,SUMIF('DADOS BRUTOS'!$A$3:$A$500,$B31,'DADOS BRUTOS'!G$3:G$500)+IF($C31="",0,SUMIF('DADOS BRUTOS'!$A$3:$A$500,$C31,'DADOS BRUTOS'!G$3:G$500)))</f>
        <v/>
      </c>
      <c r="CH31" s="132">
        <f>IF(OR(CH$4="",$B31=""),0,SUMIF('DADOS BRUTOS'!$A$3:$A$500,$B31,'DADOS BRUTOS'!H$3:H$500)+IF($C31="",0,SUMIF('DADOS BRUTOS'!$A$3:$A$500,$C31,'DADOS BRUTOS'!H$3:H$500)))</f>
        <v/>
      </c>
      <c r="CI31" s="132">
        <f>IF(OR(CI$4="",$B31=""),0,SUMIF('DADOS BRUTOS'!$A$3:$A$500,$B31,'DADOS BRUTOS'!I$3:I$500)+IF($C31="",0,SUMIF('DADOS BRUTOS'!$A$3:$A$500,$C31,'DADOS BRUTOS'!I$3:I$500)))</f>
        <v/>
      </c>
      <c r="CJ31" s="132">
        <f>IF(OR(CJ$4="",$B31=""),0,SUMIF('DADOS BRUTOS'!$A$3:$A$500,$B31,'DADOS BRUTOS'!J$3:J$500)+IF($C31="",0,SUMIF('DADOS BRUTOS'!$A$3:$A$500,$C31,'DADOS BRUTOS'!J$3:J$500)))</f>
        <v/>
      </c>
      <c r="CK31" s="132">
        <f>IF(OR(CK$4="",$B31=""),0,SUMIF('DADOS BRUTOS'!$A$3:$A$500,$B31,'DADOS BRUTOS'!K$3:K$500)+IF($C31="",0,SUMIF('DADOS BRUTOS'!$A$3:$A$500,$C31,'DADOS BRUTOS'!K$3:K$500)))</f>
        <v/>
      </c>
      <c r="CL31" s="132">
        <f>IF(OR(CL$4="",$B31=""),0,SUMIF('DADOS BRUTOS'!$A$3:$A$500,$B31,'DADOS BRUTOS'!L$3:L$500)+IF($C31="",0,SUMIF('DADOS BRUTOS'!$A$3:$A$500,$C31,'DADOS BRUTOS'!L$3:L$500)))</f>
        <v/>
      </c>
      <c r="CM31" s="132">
        <f>IF(OR(CM$4="",$B31=""),0,SUMIF('DADOS BRUTOS'!$A$3:$A$500,$B31,'DADOS BRUTOS'!M$3:M$500)+IF($C31="",0,SUMIF('DADOS BRUTOS'!$A$3:$A$500,$C31,'DADOS BRUTOS'!M$3:M$500)))</f>
        <v/>
      </c>
      <c r="CN31" s="132">
        <f>IF(OR(CN$4="",$B31=""),0,SUMIF('DADOS BRUTOS'!$A$3:$A$500,$B31,'DADOS BRUTOS'!N$3:N$500)+IF($C31="",0,SUMIF('DADOS BRUTOS'!$A$3:$A$500,$C31,'DADOS BRUTOS'!N$3:N$500)))</f>
        <v/>
      </c>
      <c r="CO31" s="132">
        <f>IF(OR(CO$4="",$B31=""),0,SUMIF('DADOS BRUTOS'!$A$3:$A$500,$B31,'DADOS BRUTOS'!O$3:O$500)+IF($C31="",0,SUMIF('DADOS BRUTOS'!$A$3:$A$500,$C31,'DADOS BRUTOS'!O$3:O$500)))</f>
        <v/>
      </c>
      <c r="CP31" s="132">
        <f>IF(OR(CP$4="",$B31=""),0,SUMIF('DADOS BRUTOS'!$A$3:$A$500,$B31,'DADOS BRUTOS'!P$3:P$500)+IF($C31="",0,SUMIF('DADOS BRUTOS'!$A$3:$A$500,$C31,'DADOS BRUTOS'!P$3:P$500)))</f>
        <v/>
      </c>
      <c r="CQ31" s="132">
        <f>IF(OR(CQ$4="",$B31=""),0,SUMIF('DADOS BRUTOS'!$A$3:$A$500,$B31,'DADOS BRUTOS'!Q$3:Q$500)+IF($C31="",0,SUMIF('DADOS BRUTOS'!$A$3:$A$500,$C31,'DADOS BRUTOS'!Q$3:Q$500)))</f>
        <v/>
      </c>
      <c r="CR31" s="132">
        <f>IF(OR(CR$4="",$B31=""),0,SUMIF('DADOS BRUTOS'!$A$3:$A$500,$B31,'DADOS BRUTOS'!R$3:R$500)+IF($C31="",0,SUMIF('DADOS BRUTOS'!$A$3:$A$500,$C31,'DADOS BRUTOS'!R$3:R$500)))</f>
        <v/>
      </c>
      <c r="CS31" s="132">
        <f>IF(OR(CS$4="",$B31=""),0,SUMIF('DADOS BRUTOS'!$A$3:$A$500,$B31,'DADOS BRUTOS'!S$3:S$500)+IF($C31="",0,SUMIF('DADOS BRUTOS'!$A$3:$A$500,$C31,'DADOS BRUTOS'!S$3:S$500)))</f>
        <v/>
      </c>
      <c r="CT31" s="132">
        <f>IF(OR(CT$4="",$B31=""),0,SUMIF('DADOS BRUTOS'!$A$3:$A$500,$B31,'DADOS BRUTOS'!T$3:T$500)+IF($C31="",0,SUMIF('DADOS BRUTOS'!$A$3:$A$500,$C31,'DADOS BRUTOS'!T$3:T$500)))</f>
        <v/>
      </c>
      <c r="CU31" s="132">
        <f>IF(OR(CU$4="",$B31=""),0,SUMIF('DADOS BRUTOS'!$A$3:$A$500,$B31,'DADOS BRUTOS'!U$3:U$500)+IF($C31="",0,SUMIF('DADOS BRUTOS'!$A$3:$A$500,$C31,'DADOS BRUTOS'!U$3:U$500)))</f>
        <v/>
      </c>
      <c r="CV31" s="132">
        <f>IF(OR(CV$4="",$B31=""),0,SUMIF('DADOS BRUTOS'!$A$3:$A$500,$B31,'DADOS BRUTOS'!V$3:V$500)+IF($C31="",0,SUMIF('DADOS BRUTOS'!$A$3:$A$500,$C31,'DADOS BRUTOS'!V$3:V$500)))</f>
        <v/>
      </c>
      <c r="CW31" s="132">
        <f>IF(OR(CW$4="",$B31=""),0,SUMIF('DADOS BRUTOS'!$A$3:$A$500,$B31,'DADOS BRUTOS'!W$3:W$500)+IF($C31="",0,SUMIF('DADOS BRUTOS'!$A$3:$A$500,$C31,'DADOS BRUTOS'!W$3:W$500)))</f>
        <v/>
      </c>
      <c r="CX31" s="132">
        <f>IF(OR(CX$4="",$B31=""),0,SUMIF('DADOS BRUTOS'!$A$3:$A$500,$B31,'DADOS BRUTOS'!X$3:X$500)+IF($C31="",0,SUMIF('DADOS BRUTOS'!$A$3:$A$500,$C31,'DADOS BRUTOS'!X$3:X$500)))</f>
        <v/>
      </c>
      <c r="CY31" s="132">
        <f>IF(OR(CY$4="",$B31=""),0,SUMIF('DADOS BRUTOS'!$A$3:$A$500,$B31,'DADOS BRUTOS'!Y$3:Y$500)+IF($C31="",0,SUMIF('DADOS BRUTOS'!$A$3:$A$500,$C31,'DADOS BRUTOS'!Y$3:Y$500)))</f>
        <v/>
      </c>
      <c r="CZ31" s="132">
        <f>IF(OR(CZ$4="",$B31=""),0,SUMIF('DADOS BRUTOS'!$A$3:$A$500,$B31,'DADOS BRUTOS'!Z$3:Z$500)+IF($C31="",0,SUMIF('DADOS BRUTOS'!$A$3:$A$500,$C31,'DADOS BRUTOS'!Z$3:Z$500)))</f>
        <v/>
      </c>
      <c r="DA31" s="132">
        <f>IF(OR(DA$4="",$B31=""),0,SUMIF('DADOS BRUTOS'!$A$3:$A$500,$B31,'DADOS BRUTOS'!AA$3:AA$500)+IF($C31="",0,SUMIF('DADOS BRUTOS'!$A$3:$A$500,$C31,'DADOS BRUTOS'!AA$3:AA$500)))</f>
        <v/>
      </c>
      <c r="DB31" s="132">
        <f>IF(OR(DB$4="",$B31=""),0,SUMIF('DADOS BRUTOS'!$A$3:$A$500,$B31,'DADOS BRUTOS'!AB$3:AB$500)+IF($C31="",0,SUMIF('DADOS BRUTOS'!$A$3:$A$500,$C31,'DADOS BRUTOS'!AB$3:AB$500)))</f>
        <v/>
      </c>
      <c r="DC31" s="132">
        <f>IF(OR(DC$4="",$B31=""),0,SUMIF('DADOS BRUTOS'!$A$3:$A$500,$B31,'DADOS BRUTOS'!AC$3:AC$500)+IF($C31="",0,SUMIF('DADOS BRUTOS'!$A$3:$A$500,$C31,'DADOS BRUTOS'!AC$3:AC$500)))</f>
        <v/>
      </c>
      <c r="DD31" s="132">
        <f>IF(OR(DD$4="",$B31=""),0,SUMIF('DADOS BRUTOS'!$A$3:$A$500,$B31,'DADOS BRUTOS'!AD$3:AD$500)+IF($C31="",0,SUMIF('DADOS BRUTOS'!$A$3:$A$500,$C31,'DADOS BRUTOS'!AD$3:AD$500)))</f>
        <v/>
      </c>
      <c r="DE31" s="132">
        <f>IF(OR(DE$4="",$B31=""),0,SUMIF('DADOS BRUTOS'!$A$3:$A$500,$B31,'DADOS BRUTOS'!AE$3:AE$500)+IF($C31="",0,SUMIF('DADOS BRUTOS'!$A$3:$A$500,$C31,'DADOS BRUTOS'!AE$3:AE$500)))</f>
        <v/>
      </c>
      <c r="DF31" s="132">
        <f>IF(OR(DF$4="",$B31=""),0,SUMIF('DADOS BRUTOS'!$A$3:$A$500,$B31,'DADOS BRUTOS'!AF$3:AF$500)+IF($C31="",0,SUMIF('DADOS BRUTOS'!$A$3:$A$500,$C31,'DADOS BRUTOS'!AF$3:AF$500)))</f>
        <v/>
      </c>
      <c r="DG31" s="132">
        <f>IF(OR(DG$4="",$B31=""),0,SUMIF('DADOS BRUTOS'!$A$3:$A$500,$B31,'DADOS BRUTOS'!AG$3:AG$500)+IF($C31="",0,SUMIF('DADOS BRUTOS'!$A$3:$A$500,$C31,'DADOS BRUTOS'!AG$3:AG$500)))</f>
        <v/>
      </c>
      <c r="DH31" s="132">
        <f>IF(OR(DH$4="",$B31=""),0,SUMIF('DADOS BRUTOS'!$A$3:$A$500,$B31,'DADOS BRUTOS'!AH$3:AH$500)+IF($C31="",0,SUMIF('DADOS BRUTOS'!$A$3:$A$500,$C31,'DADOS BRUTOS'!AH$3:AH$500)))</f>
        <v/>
      </c>
      <c r="DI31" s="132">
        <f>IF(OR(DI$4="",$B31=""),0,SUMIF('DADOS BRUTOS'!$A$3:$A$500,$B31,'DADOS BRUTOS'!AI$3:AI$500)+IF($C31="",0,SUMIF('DADOS BRUTOS'!$A$3:$A$500,$C31,'DADOS BRUTOS'!AI$3:AI$500)))</f>
        <v/>
      </c>
      <c r="DJ31" s="132">
        <f>IF(OR(DJ$4="",$B31=""),0,SUMIF('DADOS BRUTOS'!$A$3:$A$500,$B31,'DADOS BRUTOS'!AJ$3:AJ$500)+IF($C31="",0,SUMIF('DADOS BRUTOS'!$A$3:$A$500,$C31,'DADOS BRUTOS'!AJ$3:AJ$500)))</f>
        <v/>
      </c>
      <c r="DK31" s="132">
        <f>IF(OR(DK$4="",$B31=""),0,SUMIF('DADOS BRUTOS'!$A$3:$A$500,$B31,'DADOS BRUTOS'!AK$3:AK$500)+IF($C31="",0,SUMIF('DADOS BRUTOS'!$A$3:$A$500,$C31,'DADOS BRUTOS'!AK$3:AK$500)))</f>
        <v/>
      </c>
      <c r="DL31" s="132">
        <f>IF(OR(DL$4="",$B31=""),0,SUMIF('DADOS BRUTOS'!$A$3:$A$500,$B31,'DADOS BRUTOS'!AL$3:AL$500)+IF($C31="",0,SUMIF('DADOS BRUTOS'!$A$3:$A$500,$C31,'DADOS BRUTOS'!AL$3:AL$500)))</f>
        <v/>
      </c>
      <c r="DM31" s="132">
        <f>IF(OR(DM$4="",$B31=""),0,SUMIF('DADOS BRUTOS'!$A$3:$A$500,$B31,'DADOS BRUTOS'!AM$3:AM$500)+IF($C31="",0,SUMIF('DADOS BRUTOS'!$A$3:$A$500,$C31,'DADOS BRUTOS'!AM$3:AM$500)))</f>
        <v/>
      </c>
      <c r="DN31" s="132">
        <f>IF(OR(DN$4="",$B31=""),0,SUMIF('DADOS BRUTOS'!$A$3:$A$500,$B31,'DADOS BRUTOS'!AN$3:AN$500)+IF($C31="",0,SUMIF('DADOS BRUTOS'!$A$3:$A$500,$C31,'DADOS BRUTOS'!AN$3:AN$500)))</f>
        <v/>
      </c>
      <c r="DO31" s="132">
        <f>IF(OR(DO$4="",$B31=""),0,SUMIF('DADOS BRUTOS'!$A$3:$A$500,$B31,'DADOS BRUTOS'!AO$3:AO$500)+IF($C31="",0,SUMIF('DADOS BRUTOS'!$A$3:$A$500,$C31,'DADOS BRUTOS'!AO$3:AO$500)))</f>
        <v/>
      </c>
      <c r="DP31" s="132">
        <f>IF(OR(DP$4="",$B31=""),0,SUMIF('DADOS BRUTOS'!$A$3:$A$500,$B31,'DADOS BRUTOS'!AP$3:AP$500)+IF($C31="",0,SUMIF('DADOS BRUTOS'!$A$3:$A$500,$C31,'DADOS BRUTOS'!AP$3:AP$500)))</f>
        <v/>
      </c>
      <c r="DQ31" s="132">
        <f>IF(OR(DQ$4="",$B31=""),0,SUMIF('DADOS BRUTOS'!$A$3:$A$500,$B31,'DADOS BRUTOS'!AQ$3:AQ$500)+IF($C31="",0,SUMIF('DADOS BRUTOS'!$A$3:$A$500,$C31,'DADOS BRUTOS'!AQ$3:AQ$500)))</f>
        <v/>
      </c>
      <c r="DR31" s="132">
        <f>IF(OR(DR$4="",$B31=""),0,SUMIF('DADOS BRUTOS'!$A$3:$A$500,$B31,'DADOS BRUTOS'!AR$3:AR$500)+IF($C31="",0,SUMIF('DADOS BRUTOS'!$A$3:$A$500,$C31,'DADOS BRUTOS'!AR$3:AR$500)))</f>
        <v/>
      </c>
      <c r="DS31" s="132">
        <f>IF(OR(DS$4="",$B31=""),0,SUMIF('DADOS BRUTOS'!$A$3:$A$500,$B31,'DADOS BRUTOS'!AS$3:AS$500)+IF($C31="",0,SUMIF('DADOS BRUTOS'!$A$3:$A$500,$C31,'DADOS BRUTOS'!AS$3:AS$500)))</f>
        <v/>
      </c>
      <c r="DT31" s="132">
        <f>IF(OR(DT$4="",$B31=""),0,SUMIF('DADOS BRUTOS'!$A$3:$A$500,$B31,'DADOS BRUTOS'!AT$3:AT$500)+IF($C31="",0,SUMIF('DADOS BRUTOS'!$A$3:$A$500,$C31,'DADOS BRUTOS'!AT$3:AT$500)))</f>
        <v/>
      </c>
      <c r="DU31" s="132">
        <f>IF(OR(DU$4="",$B31=""),0,SUMIF('DADOS BRUTOS'!$A$3:$A$500,$B31,'DADOS BRUTOS'!AU$3:AU$500)+IF($C31="",0,SUMIF('DADOS BRUTOS'!$A$3:$A$500,$C31,'DADOS BRUTOS'!AU$3:AU$500)))</f>
        <v/>
      </c>
      <c r="DV31" s="132">
        <f>IF(OR(DV$4="",$B31=""),0,SUMIF('DADOS BRUTOS'!$A$3:$A$500,$B31,'DADOS BRUTOS'!AV$3:AV$500)+IF($C31="",0,SUMIF('DADOS BRUTOS'!$A$3:$A$500,$C31,'DADOS BRUTOS'!AV$3:AV$500)))</f>
        <v/>
      </c>
      <c r="DW31" s="132">
        <f>IF(OR(DW$4="",$B31=""),0,SUMIF('DADOS BRUTOS'!$A$3:$A$500,$B31,'DADOS BRUTOS'!AW$3:AW$500)+IF($C31="",0,SUMIF('DADOS BRUTOS'!$A$3:$A$500,$C31,'DADOS BRUTOS'!AW$3:AW$500)))</f>
        <v/>
      </c>
      <c r="DX31" s="132">
        <f>IF(OR(DX$4="",$B31=""),0,SUMIF('DADOS BRUTOS'!$A$3:$A$500,$B31,'DADOS BRUTOS'!AX$3:AX$500)+IF($C31="",0,SUMIF('DADOS BRUTOS'!$A$3:$A$500,$C31,'DADOS BRUTOS'!AX$3:AX$500)))</f>
        <v/>
      </c>
      <c r="DY31" s="132">
        <f>IF(OR(DY$4="",$B31=""),0,SUMIF('DADOS BRUTOS'!$A$3:$A$500,$B31,'DADOS BRUTOS'!AY$3:AY$500)+IF($C31="",0,SUMIF('DADOS BRUTOS'!$A$3:$A$500,$C31,'DADOS BRUTOS'!AY$3:AY$500)))</f>
        <v/>
      </c>
      <c r="DZ31" s="132">
        <f>IF(OR(DZ$4="",$B31=""),0,SUMIF('DADOS BRUTOS'!$A$3:$A$500,$B31,'DADOS BRUTOS'!AZ$3:AZ$500)+IF($C31="",0,SUMIF('DADOS BRUTOS'!$A$3:$A$500,$C31,'DADOS BRUTOS'!AZ$3:AZ$500)))</f>
        <v/>
      </c>
      <c r="EA31" s="132">
        <f>IF(OR(EA$4="",$B31=""),0,SUMIF('DADOS BRUTOS'!$A$3:$A$500,$B31,'DADOS BRUTOS'!BA$3:BA$500)+IF($C31="",0,SUMIF('DADOS BRUTOS'!$A$3:$A$500,$C31,'DADOS BRUTOS'!BA$3:BA$500)))</f>
        <v/>
      </c>
      <c r="EB31" s="132">
        <f>IF(OR(EB$4="",$B31=""),0,SUMIF('DADOS BRUTOS'!$A$3:$A$500,$B31,'DADOS BRUTOS'!BB$3:BB$500)+IF($C31="",0,SUMIF('DADOS BRUTOS'!$A$3:$A$500,$C31,'DADOS BRUTOS'!BB$3:BB$500)))</f>
        <v/>
      </c>
      <c r="EC31" s="132">
        <f>IF(OR(EC$4="",$B31=""),0,SUMIF('DADOS BRUTOS'!$A$3:$A$500,$B31,'DADOS BRUTOS'!BC$3:BC$500)+IF($C31="",0,SUMIF('DADOS BRUTOS'!$A$3:$A$500,$C31,'DADOS BRUTOS'!BC$3:BC$500)))</f>
        <v/>
      </c>
      <c r="ED31" s="132">
        <f>IF(OR(ED$4="",$B31=""),0,SUMIF('DADOS BRUTOS'!$A$3:$A$500,$B31,'DADOS BRUTOS'!BD$3:BD$500)+IF($C31="",0,SUMIF('DADOS BRUTOS'!$A$3:$A$500,$C31,'DADOS BRUTOS'!BD$3:BD$500)))</f>
        <v/>
      </c>
      <c r="EE31" s="132">
        <f>IF(OR(EE$4="",$B31=""),0,SUMIF('DADOS BRUTOS'!$A$3:$A$500,$B31,'DADOS BRUTOS'!BE$3:BE$500)+IF($C31="",0,SUMIF('DADOS BRUTOS'!$A$3:$A$500,$C31,'DADOS BRUTOS'!BE$3:BE$500)))</f>
        <v/>
      </c>
      <c r="EF31" s="132">
        <f>IF(OR(EF$4="",$B31=""),0,SUMIF('DADOS BRUTOS'!$A$3:$A$500,$B31,'DADOS BRUTOS'!BF$3:BF$500)+IF($C31="",0,SUMIF('DADOS BRUTOS'!$A$3:$A$500,$C31,'DADOS BRUTOS'!BF$3:BF$500)))</f>
        <v/>
      </c>
      <c r="EG31" s="132">
        <f>IF(OR(EG$4="",$B31=""),0,SUMIF('DADOS BRUTOS'!$A$3:$A$500,$B31,'DADOS BRUTOS'!BG$3:BG$500)+IF($C31="",0,SUMIF('DADOS BRUTOS'!$A$3:$A$500,$C31,'DADOS BRUTOS'!BG$3:BG$500)))</f>
        <v/>
      </c>
      <c r="EH31" s="132">
        <f>IF(OR(EH$4="",$B31=""),0,SUMIF('DADOS BRUTOS'!$A$3:$A$500,$B31,'DADOS BRUTOS'!BH$3:BH$500)+IF($C31="",0,SUMIF('DADOS BRUTOS'!$A$3:$A$500,$C31,'DADOS BRUTOS'!BH$3:BH$500)))</f>
        <v/>
      </c>
      <c r="EI31" s="132">
        <f>IF(OR(EI$4="",$B31=""),0,SUMIF('DADOS BRUTOS'!$A$3:$A$500,$B31,'DADOS BRUTOS'!BI$3:BI$500)+IF($C31="",0,SUMIF('DADOS BRUTOS'!$A$3:$A$500,$C31,'DADOS BRUTOS'!BI$3:BI$500)))</f>
        <v/>
      </c>
      <c r="EJ31" s="132">
        <f>IF(OR(EJ$4="",$B31=""),0,SUMIF('DADOS BRUTOS'!$A$3:$A$500,$B31,'DADOS BRUTOS'!BJ$3:BJ$500)+IF($C31="",0,SUMIF('DADOS BRUTOS'!$A$3:$A$500,$C31,'DADOS BRUTOS'!BJ$3:BJ$500)))</f>
        <v/>
      </c>
      <c r="EK31" s="132">
        <f>IF(OR(EK$4="",$B31=""),0,SUMIF('DADOS BRUTOS'!$A$3:$A$500,$B31,'DADOS BRUTOS'!BK$3:BK$500)+IF($C31="",0,SUMIF('DADOS BRUTOS'!$A$3:$A$500,$C31,'DADOS BRUTOS'!BK$3:BK$500)))</f>
        <v/>
      </c>
      <c r="EL31" s="132">
        <f>IF(OR(EL$4="",$B31=""),0,SUMIF('DADOS BRUTOS'!$A$3:$A$500,$B31,'DADOS BRUTOS'!BL$3:BL$500)+IF($C31="",0,SUMIF('DADOS BRUTOS'!$A$3:$A$500,$C31,'DADOS BRUTOS'!BL$3:BL$500)))</f>
        <v/>
      </c>
      <c r="EM31" s="132">
        <f>IF(OR(EM$4="",$B31=""),0,SUMIF('DADOS BRUTOS'!$A$3:$A$500,$B31,'DADOS BRUTOS'!BM$3:BM$500)+IF($C31="",0,SUMIF('DADOS BRUTOS'!$A$3:$A$500,$C31,'DADOS BRUTOS'!BM$3:BM$500)))</f>
        <v/>
      </c>
      <c r="EN31" s="132">
        <f>IF(OR(EN$4="",$B31=""),0,SUMIF('DADOS BRUTOS'!$A$3:$A$500,$B31,'DADOS BRUTOS'!BN$3:BN$500)+IF($C31="",0,SUMIF('DADOS BRUTOS'!$A$3:$A$500,$C31,'DADOS BRUTOS'!BN$3:BN$500)))</f>
        <v/>
      </c>
      <c r="EO31" s="132">
        <f>IF(OR(EO$4="",$B31=""),0,SUMIF('DADOS BRUTOS'!$A$3:$A$500,$B31,'DADOS BRUTOS'!BO$3:BO$500)+IF($C31="",0,SUMIF('DADOS BRUTOS'!$A$3:$A$500,$C31,'DADOS BRUTOS'!BO$3:BO$500)))</f>
        <v/>
      </c>
      <c r="EP31" s="132">
        <f>IF(OR(EP$4="",$B31=""),0,SUMIF('DADOS BRUTOS'!$A$3:$A$500,$B31,'DADOS BRUTOS'!BP$3:BP$500)+IF($C31="",0,SUMIF('DADOS BRUTOS'!$A$3:$A$500,$C31,'DADOS BRUTOS'!BP$3:BP$500)))</f>
        <v/>
      </c>
      <c r="EQ31" s="132">
        <f>IF(OR(EQ$4="",$B31=""),0,SUMIF('DADOS BRUTOS'!$A$3:$A$500,$B31,'DADOS BRUTOS'!BQ$3:BQ$500)+IF($C31="",0,SUMIF('DADOS BRUTOS'!$A$3:$A$500,$C31,'DADOS BRUTOS'!BQ$3:BQ$500)))</f>
        <v/>
      </c>
      <c r="ER31" s="132">
        <f>IF(OR(ER$4="",$B31=""),0,SUMIF('DADOS BRUTOS'!$A$3:$A$500,$B31,'DADOS BRUTOS'!BR$3:BR$500)+IF($C31="",0,SUMIF('DADOS BRUTOS'!$A$3:$A$500,$C31,'DADOS BRUTOS'!BR$3:BR$500)))</f>
        <v/>
      </c>
      <c r="ES31" s="132">
        <f>IF(OR(ES$4="",$B31=""),0,SUMIF('DADOS BRUTOS'!$A$3:$A$500,$B31,'DADOS BRUTOS'!BS$3:BS$500)+IF($C31="",0,SUMIF('DADOS BRUTOS'!$A$3:$A$500,$C31,'DADOS BRUTOS'!BS$3:BS$500)))</f>
        <v/>
      </c>
      <c r="ET31" s="132">
        <f>IF(OR(ET$4="",$B31=""),0,SUMIF('DADOS BRUTOS'!$A$3:$A$500,$B31,'DADOS BRUTOS'!BT$3:BT$500)+IF($C31="",0,SUMIF('DADOS BRUTOS'!$A$3:$A$500,$C31,'DADOS BRUTOS'!BT$3:BT$500)))</f>
        <v/>
      </c>
      <c r="EU31" s="132">
        <f>IF(OR(EU$4="",$B31=""),0,SUMIF('DADOS BRUTOS'!$A$3:$A$500,$B31,'DADOS BRUTOS'!BU$3:BU$500)+IF($C31="",0,SUMIF('DADOS BRUTOS'!$A$3:$A$500,$C31,'DADOS BRUTOS'!BU$3:BU$500)))</f>
        <v/>
      </c>
      <c r="EV31" s="132">
        <f>IF(OR(EV$4="",$B31=""),0,SUMIF('DADOS BRUTOS'!$A$3:$A$500,$B31,'DADOS BRUTOS'!BV$3:BV$500)+IF($C31="",0,SUMIF('DADOS BRUTOS'!$A$3:$A$500,$C31,'DADOS BRUTOS'!BV$3:BV$500)))</f>
        <v/>
      </c>
      <c r="EW31" s="132">
        <f>IF(OR(EW$4="",$B31=""),0,SUMIF('DADOS BRUTOS'!$A$3:$A$500,$B31,'DADOS BRUTOS'!BW$3:BW$500)+IF($C31="",0,SUMIF('DADOS BRUTOS'!$A$3:$A$500,$C31,'DADOS BRUTOS'!BW$3:BW$500)))</f>
        <v/>
      </c>
      <c r="EX31" s="132">
        <f>IF(OR(EX$4="",$B31=""),0,SUMIF('DADOS BRUTOS'!$A$3:$A$500,$B31,'DADOS BRUTOS'!BX$3:BX$500)+IF($C31="",0,SUMIF('DADOS BRUTOS'!$A$3:$A$500,$C31,'DADOS BRUTOS'!BX$3:BX$500)))</f>
        <v/>
      </c>
      <c r="EY31" s="132">
        <f>IF(OR(EY$4="",$B31=""),0,SUMIF('DADOS BRUTOS'!$A$3:$A$500,$B31,'DADOS BRUTOS'!BY$3:BY$500)+IF($C31="",0,SUMIF('DADOS BRUTOS'!$A$3:$A$500,$C31,'DADOS BRUTOS'!BY$3:BY$500)))</f>
        <v/>
      </c>
      <c r="EZ31" s="132">
        <f>IF(OR(EZ$4="",$B31=""),0,SUMIF('DADOS BRUTOS'!$A$3:$A$500,$B31,'DADOS BRUTOS'!BZ$3:BZ$500)+IF($C31="",0,SUMIF('DADOS BRUTOS'!$A$3:$A$500,$C31,'DADOS BRUTOS'!BZ$3:BZ$500)))</f>
        <v/>
      </c>
      <c r="FA31" s="132">
        <f>IF(OR(FA$4="",$B31=""),0,SUMIF('DADOS BRUTOS'!$A$3:$A$500,$B31,'DADOS BRUTOS'!CA$3:CA$500)+IF($C31="",0,SUMIF('DADOS BRUTOS'!$A$3:$A$500,$C31,'DADOS BRUTOS'!CA$3:CA$500)))</f>
        <v/>
      </c>
      <c r="FB31" s="132">
        <f>IF(OR(FB$4="",$B31=""),0,SUMIF('DADOS BRUTOS'!$A$3:$A$500,$B31,'DADOS BRUTOS'!CB$3:CB$500)+IF($C31="",0,SUMIF('DADOS BRUTOS'!$A$3:$A$500,$C31,'DADOS BRUTOS'!CB$3:CB$500)))</f>
        <v/>
      </c>
      <c r="FC31" s="132">
        <f>IF(OR(FC$4="",$B31=""),0,SUMIF('DADOS BRUTOS'!$A$3:$A$500,$B31,'DADOS BRUTOS'!CC$3:CC$500)+IF($C31="",0,SUMIF('DADOS BRUTOS'!$A$3:$A$500,$C31,'DADOS BRUTOS'!CC$3:CC$500)))</f>
        <v/>
      </c>
      <c r="FD31" s="132">
        <f>IF(OR(FD$4="",$B31=""),0,SUMIF('DADOS BRUTOS'!$A$3:$A$500,$B31,'DADOS BRUTOS'!CD$3:CD$500)+IF($C31="",0,SUMIF('DADOS BRUTOS'!$A$3:$A$500,$C31,'DADOS BRUTOS'!CD$3:CD$500)))</f>
        <v/>
      </c>
      <c r="FE31" s="132">
        <f>IF(OR(FE$4="",$B31=""),0,SUMIF('DADOS BRUTOS'!$A$3:$A$500,$B31,'DADOS BRUTOS'!CE$3:CE$500)+IF($C31="",0,SUMIF('DADOS BRUTOS'!$A$3:$A$500,$C31,'DADOS BRUTOS'!CE$3:CE$500)))</f>
        <v/>
      </c>
      <c r="FF31" s="132">
        <f>IF(OR(FF$4="",$B31=""),0,SUMIF('DADOS BRUTOS'!$A$3:$A$500,$B31,'DADOS BRUTOS'!CF$3:CF$500)+IF($C31="",0,SUMIF('DADOS BRUTOS'!$A$3:$A$500,$C31,'DADOS BRUTOS'!CF$3:CF$500)))</f>
        <v/>
      </c>
      <c r="FG31" s="132">
        <f>IF(OR(FG$4="",$B31=""),0,SUMIF('DADOS BRUTOS'!$A$3:$A$500,$B31,'DADOS BRUTOS'!CG$3:CG$500)+IF($C31="",0,SUMIF('DADOS BRUTOS'!$A$3:$A$500,$C31,'DADOS BRUTOS'!CG$3:CG$500)))</f>
        <v/>
      </c>
      <c r="FH31" s="132">
        <f>IF(OR(FH$4="",$B31=""),0,SUMIF('DADOS BRUTOS'!$A$3:$A$500,$B31,'DADOS BRUTOS'!CH$3:CH$500)+IF($C31="",0,SUMIF('DADOS BRUTOS'!$A$3:$A$500,$C31,'DADOS BRUTOS'!CH$3:CH$500)))</f>
        <v/>
      </c>
      <c r="FI31" s="132">
        <f>IF(OR(FI$4="",$B31=""),0,SUMIF('DADOS BRUTOS'!$A$3:$A$500,$B31,'DADOS BRUTOS'!CI$3:CI$500)+IF($C31="",0,SUMIF('DADOS BRUTOS'!$A$3:$A$500,$C31,'DADOS BRUTOS'!CI$3:CI$500)))</f>
        <v/>
      </c>
      <c r="FJ31" s="132">
        <f>IF(OR(FJ$4="",$B31=""),0,SUMIF('DADOS BRUTOS'!$A$3:$A$500,$B31,'DADOS BRUTOS'!CJ$3:CJ$500)+IF($C31="",0,SUMIF('DADOS BRUTOS'!$A$3:$A$500,$C31,'DADOS BRUTOS'!CJ$3:CJ$500)))</f>
        <v/>
      </c>
      <c r="FK31" s="132">
        <f>IF(OR(FK$4="",$B31=""),0,SUMIF('DADOS BRUTOS'!$A$3:$A$500,$B31,'DADOS BRUTOS'!CK$3:CK$500)+IF($C31="",0,SUMIF('DADOS BRUTOS'!$A$3:$A$500,$C31,'DADOS BRUTOS'!CK$3:CK$500)))</f>
        <v/>
      </c>
      <c r="FL31" s="132">
        <f>IF(OR(FL$4="",$B31=""),0,SUMIF('DADOS BRUTOS'!$A$3:$A$500,$B31,'DADOS BRUTOS'!CL$3:CL$500)+IF($C31="",0,SUMIF('DADOS BRUTOS'!$A$3:$A$500,$C31,'DADOS BRUTOS'!CL$3:CL$500)))</f>
        <v/>
      </c>
      <c r="FM31" s="132">
        <f>IF(OR(FM$4="",$B31=""),0,SUMIF('DADOS BRUTOS'!$A$3:$A$500,$B31,'DADOS BRUTOS'!CM$3:CM$500)+IF($C31="",0,SUMIF('DADOS BRUTOS'!$A$3:$A$500,$C31,'DADOS BRUTOS'!CM$3:CM$500)))</f>
        <v/>
      </c>
      <c r="FN31" s="132">
        <f>IF(OR(FN$4="",$B31=""),0,SUMIF('DADOS BRUTOS'!$A$3:$A$500,$B31,'DADOS BRUTOS'!CN$3:CN$500)+IF($C31="",0,SUMIF('DADOS BRUTOS'!$A$3:$A$500,$C31,'DADOS BRUTOS'!CN$3:CN$500)))</f>
        <v/>
      </c>
      <c r="FO31" s="132">
        <f>IF(OR(FO$4="",$B31=""),0,SUMIF('DADOS BRUTOS'!$A$3:$A$500,$B31,'DADOS BRUTOS'!CO$3:CO$500)+IF($C31="",0,SUMIF('DADOS BRUTOS'!$A$3:$A$500,$C31,'DADOS BRUTOS'!CO$3:CO$500)))</f>
        <v/>
      </c>
      <c r="FP31" s="132">
        <f>IF(OR(FP$4="",$B31=""),0,SUMIF('DADOS BRUTOS'!$A$3:$A$500,$B31,'DADOS BRUTOS'!CP$3:CP$500)+IF($C31="",0,SUMIF('DADOS BRUTOS'!$A$3:$A$500,$C31,'DADOS BRUTOS'!CP$3:CP$500)))</f>
        <v/>
      </c>
      <c r="FQ31" s="132">
        <f>IF(OR(FQ$4="",$B31=""),0,SUMIF('DADOS BRUTOS'!$A$3:$A$500,$B31,'DADOS BRUTOS'!CQ$3:CQ$500)+IF($C31="",0,SUMIF('DADOS BRUTOS'!$A$3:$A$500,$C31,'DADOS BRUTOS'!CQ$3:CQ$500)))</f>
        <v/>
      </c>
      <c r="FR31" s="132">
        <f>IF(OR(FR$4="",$B31=""),0,SUMIF('DADOS BRUTOS'!$A$3:$A$500,$B31,'DADOS BRUTOS'!CR$3:CR$500)+IF($C31="",0,SUMIF('DADOS BRUTOS'!$A$3:$A$500,$C31,'DADOS BRUTOS'!CR$3:CR$500)))</f>
        <v/>
      </c>
      <c r="FS31" s="132">
        <f>IF(OR(FS$4="",$B31=""),0,SUMIF('DADOS BRUTOS'!$A$3:$A$500,$B31,'DADOS BRUTOS'!CS$3:CS$500)+IF($C31="",0,SUMIF('DADOS BRUTOS'!$A$3:$A$500,$C31,'DADOS BRUTOS'!CS$3:CS$500)))</f>
        <v/>
      </c>
      <c r="FT31" s="132">
        <f>IF(OR(FT$4="",$B31=""),0,SUMIF('DADOS BRUTOS'!$A$3:$A$500,$B31,'DADOS BRUTOS'!CT$3:CT$500)+IF($C31="",0,SUMIF('DADOS BRUTOS'!$A$3:$A$500,$C31,'DADOS BRUTOS'!CT$3:CT$500)))</f>
        <v/>
      </c>
      <c r="FU31" s="132">
        <f>IF(OR(FU$4="",$B31=""),0,SUMIF('DADOS BRUTOS'!$A$3:$A$500,$B31,'DADOS BRUTOS'!CU$3:CU$500)+IF($C31="",0,SUMIF('DADOS BRUTOS'!$A$3:$A$500,$C31,'DADOS BRUTOS'!CU$3:CU$500)))</f>
        <v/>
      </c>
      <c r="FV31" s="132">
        <f>IF(OR(FV$4="",$B31=""),0,SUMIF('DADOS BRUTOS'!$A$3:$A$500,$B31,'DADOS BRUTOS'!CV$3:CV$500)+IF($C31="",0,SUMIF('DADOS BRUTOS'!$A$3:$A$500,$C31,'DADOS BRUTOS'!CV$3:CV$500)))</f>
        <v/>
      </c>
      <c r="FW31" s="132">
        <f>IF(OR(FW$4="",$B31=""),0,SUMIF('DADOS BRUTOS'!$A$3:$A$500,$B31,'DADOS BRUTOS'!CW$3:CW$500)+IF($C31="",0,SUMIF('DADOS BRUTOS'!$A$3:$A$500,$C31,'DADOS BRUTOS'!CW$3:CW$500)))</f>
        <v/>
      </c>
      <c r="FX31" s="132">
        <f>IF(OR(FX$4="",$B31=""),0,SUMIF('DADOS BRUTOS'!$A$3:$A$500,$B31,'DADOS BRUTOS'!CX$3:CX$500)+IF($C31="",0,SUMIF('DADOS BRUTOS'!$A$3:$A$500,$C31,'DADOS BRUTOS'!CX$3:CX$500)))</f>
        <v/>
      </c>
      <c r="FY31" s="132">
        <f>IF(OR(FY$4="",$B31=""),0,SUMIF('DADOS BRUTOS'!$A$3:$A$500,$B31,'DADOS BRUTOS'!CY$3:CY$500)+IF($C31="",0,SUMIF('DADOS BRUTOS'!$A$3:$A$500,$C31,'DADOS BRUTOS'!CY$3:CY$500)))</f>
        <v/>
      </c>
      <c r="FZ31" s="132">
        <f>IF(OR(FZ$4="",$B31=""),0,SUMIF('DADOS BRUTOS'!$A$3:$A$500,$B31,'DADOS BRUTOS'!CZ$3:CZ$500)+IF($C31="",0,SUMIF('DADOS BRUTOS'!$A$3:$A$500,$C31,'DADOS BRUTOS'!CZ$3:CZ$500)))</f>
        <v/>
      </c>
      <c r="GA31" s="132">
        <f>IF(OR(GA$4="",$B31=""),0,SUMIF('DADOS BRUTOS'!$A$3:$A$500,$B31,'DADOS BRUTOS'!DA$3:DA$500)+IF($C31="",0,SUMIF('DADOS BRUTOS'!$A$3:$A$500,$C31,'DADOS BRUTOS'!DA$3:DA$500)))</f>
        <v/>
      </c>
      <c r="GB31" s="132">
        <f>IF(OR(GB$4="",$B31=""),0,SUMIF('DADOS BRUTOS'!$A$3:$A$500,$B31,'DADOS BRUTOS'!DB$3:DB$500)+IF($C31="",0,SUMIF('DADOS BRUTOS'!$A$3:$A$500,$C31,'DADOS BRUTOS'!DB$3:DB$500)))</f>
        <v/>
      </c>
      <c r="GC31" s="132">
        <f>IF(OR(GC$4="",$B31=""),0,SUMIF('DADOS BRUTOS'!$A$3:$A$500,$B31,'DADOS BRUTOS'!DC$3:DC$500)+IF($C31="",0,SUMIF('DADOS BRUTOS'!$A$3:$A$500,$C31,'DADOS BRUTOS'!DC$3:DC$500)))</f>
        <v/>
      </c>
      <c r="GD31" s="132">
        <f>IF(OR(GD$4="",$B31=""),0,SUMIF('DADOS BRUTOS'!$A$3:$A$500,$B31,'DADOS BRUTOS'!DD$3:DD$500)+IF($C31="",0,SUMIF('DADOS BRUTOS'!$A$3:$A$500,$C31,'DADOS BRUTOS'!DD$3:DD$500)))</f>
        <v/>
      </c>
      <c r="GE31" s="132">
        <f>IF(OR(GE$4="",$B31=""),0,SUMIF('DADOS BRUTOS'!$A$3:$A$500,$B31,'DADOS BRUTOS'!DE$3:DE$500)+IF($C31="",0,SUMIF('DADOS BRUTOS'!$A$3:$A$500,$C31,'DADOS BRUTOS'!DE$3:DE$500)))</f>
        <v/>
      </c>
      <c r="GF31" s="132">
        <f>IF(OR(GF$4="",$B31=""),0,SUMIF('DADOS BRUTOS'!$A$3:$A$500,$B31,'DADOS BRUTOS'!DF$3:DF$500)+IF($C31="",0,SUMIF('DADOS BRUTOS'!$A$3:$A$500,$C31,'DADOS BRUTOS'!DF$3:DF$500)))</f>
        <v/>
      </c>
      <c r="GG31" s="132">
        <f>IF(OR(GG$4="",$B31=""),0,SUMIF('DADOS BRUTOS'!$A$3:$A$500,$B31,'DADOS BRUTOS'!DG$3:DG$500)+IF($C31="",0,SUMIF('DADOS BRUTOS'!$A$3:$A$500,$C31,'DADOS BRUTOS'!DG$3:DG$500)))</f>
        <v/>
      </c>
      <c r="GH31" s="132">
        <f>IF(OR(GH$4="",$B31=""),0,SUMIF('DADOS BRUTOS'!$A$3:$A$500,$B31,'DADOS BRUTOS'!DH$3:DH$500)+IF($C31="",0,SUMIF('DADOS BRUTOS'!$A$3:$A$500,$C31,'DADOS BRUTOS'!DH$3:DH$500)))</f>
        <v/>
      </c>
      <c r="GI31" s="132">
        <f>IF(OR(GI$4="",$B31=""),0,SUMIF('DADOS BRUTOS'!$A$3:$A$500,$B31,'DADOS BRUTOS'!DI$3:DI$500)+IF($C31="",0,SUMIF('DADOS BRUTOS'!$A$3:$A$500,$C31,'DADOS BRUTOS'!DI$3:DI$500)))</f>
        <v/>
      </c>
      <c r="GJ31" s="132">
        <f>IF(OR(GJ$4="",$B31=""),0,SUMIF('DADOS BRUTOS'!$A$3:$A$500,$B31,'DADOS BRUTOS'!DJ$3:DJ$500)+IF($C31="",0,SUMIF('DADOS BRUTOS'!$A$3:$A$500,$C31,'DADOS BRUTOS'!DJ$3:DJ$500)))</f>
        <v/>
      </c>
      <c r="GK31" s="132">
        <f>IF(OR(GK$4="",$B31=""),0,SUMIF('DADOS BRUTOS'!$A$3:$A$500,$B31,'DADOS BRUTOS'!DK$3:DK$500)+IF($C31="",0,SUMIF('DADOS BRUTOS'!$A$3:$A$500,$C31,'DADOS BRUTOS'!DK$3:DK$500)))</f>
        <v/>
      </c>
      <c r="GL31" s="132">
        <f>IF(OR(GL$4="",$B31=""),0,SUMIF('DADOS BRUTOS'!$A$3:$A$500,$B31,'DADOS BRUTOS'!DL$3:DL$500)+IF($C31="",0,SUMIF('DADOS BRUTOS'!$A$3:$A$500,$C31,'DADOS BRUTOS'!DL$3:DL$500)))</f>
        <v/>
      </c>
      <c r="GM31" s="132">
        <f>IF(OR(GM$4="",$B31=""),0,SUMIF('DADOS BRUTOS'!$A$3:$A$500,$B31,'DADOS BRUTOS'!DM$3:DM$500)+IF($C31="",0,SUMIF('DADOS BRUTOS'!$A$3:$A$500,$C31,'DADOS BRUTOS'!DM$3:DM$500)))</f>
        <v/>
      </c>
      <c r="GN31" s="132">
        <f>IF(OR(GN$4="",$B31=""),0,SUMIF('DADOS BRUTOS'!$A$3:$A$500,$B31,'DADOS BRUTOS'!DN$3:DN$500)+IF($C31="",0,SUMIF('DADOS BRUTOS'!$A$3:$A$500,$C31,'DADOS BRUTOS'!DN$3:DN$500)))</f>
        <v/>
      </c>
      <c r="GO31" s="132">
        <f>IF(OR(GO$4="",$B31=""),0,SUMIF('DADOS BRUTOS'!$A$3:$A$500,$B31,'DADOS BRUTOS'!DO$3:DO$500)+IF($C31="",0,SUMIF('DADOS BRUTOS'!$A$3:$A$500,$C31,'DADOS BRUTOS'!DO$3:DO$500)))</f>
        <v/>
      </c>
      <c r="GP31" s="132">
        <f>IF(OR(GP$4="",$B31=""),0,SUMIF('DADOS BRUTOS'!$A$3:$A$500,$B31,'DADOS BRUTOS'!DP$3:DP$500)+IF($C31="",0,SUMIF('DADOS BRUTOS'!$A$3:$A$500,$C31,'DADOS BRUTOS'!DP$3:DP$500)))</f>
        <v/>
      </c>
      <c r="GQ31" s="132">
        <f>IF(OR(GQ$4="",$B31=""),0,SUMIF('DADOS BRUTOS'!$A$3:$A$500,$B31,'DADOS BRUTOS'!DQ$3:DQ$500)+IF($C31="",0,SUMIF('DADOS BRUTOS'!$A$3:$A$500,$C31,'DADOS BRUTOS'!DQ$3:DQ$500)))</f>
        <v/>
      </c>
      <c r="GR31" s="132">
        <f>IF(OR(GR$4="",$B31=""),0,SUMIF('DADOS BRUTOS'!$A$3:$A$500,$B31,'DADOS BRUTOS'!DR$3:DR$500)+IF($C31="",0,SUMIF('DADOS BRUTOS'!$A$3:$A$500,$C31,'DADOS BRUTOS'!DR$3:DR$500)))</f>
        <v/>
      </c>
      <c r="GS31" s="132">
        <f>IF(OR(GS$4="",$B31=""),0,SUMIF('DADOS BRUTOS'!$A$3:$A$500,$B31,'DADOS BRUTOS'!DS$3:DS$500)+IF($C31="",0,SUMIF('DADOS BRUTOS'!$A$3:$A$500,$C31,'DADOS BRUTOS'!DS$3:DS$500)))</f>
        <v/>
      </c>
      <c r="GT31" s="132">
        <f>IF(OR(GT$4="",$B31=""),0,SUMIF('DADOS BRUTOS'!$A$3:$A$500,$B31,'DADOS BRUTOS'!DT$3:DT$500)+IF($C31="",0,SUMIF('DADOS BRUTOS'!$A$3:$A$500,$C31,'DADOS BRUTOS'!DT$3:DT$500)))</f>
        <v/>
      </c>
      <c r="GU31" s="132">
        <f>IF(OR(GU$4="",$B31=""),0,SUMIF('DADOS BRUTOS'!$A$3:$A$500,$B31,'DADOS BRUTOS'!DU$3:DU$500)+IF($C31="",0,SUMIF('DADOS BRUTOS'!$A$3:$A$500,$C31,'DADOS BRUTOS'!DU$3:DU$500)))</f>
        <v/>
      </c>
      <c r="GV31" s="132">
        <f>IF(OR(GV$4="",$B31=""),0,SUMIF('DADOS BRUTOS'!$A$3:$A$500,$B31,'DADOS BRUTOS'!DV$3:DV$500)+IF($C31="",0,SUMIF('DADOS BRUTOS'!$A$3:$A$500,$C31,'DADOS BRUTOS'!DV$3:DV$500)))</f>
        <v/>
      </c>
      <c r="GW31" s="132">
        <f>IF(OR(GW$4="",$B31=""),0,SUMIF('DADOS BRUTOS'!$A$3:$A$500,$B31,'DADOS BRUTOS'!DW$3:DW$500)+IF($C31="",0,SUMIF('DADOS BRUTOS'!$A$3:$A$500,$C31,'DADOS BRUTOS'!DW$3:DW$500)))</f>
        <v/>
      </c>
      <c r="GX31" s="132">
        <f>IF(OR(GX$4="",$B31=""),0,SUMIF('DADOS BRUTOS'!$A$3:$A$500,$B31,'DADOS BRUTOS'!DX$3:DX$500)+IF($C31="",0,SUMIF('DADOS BRUTOS'!$A$3:$A$500,$C31,'DADOS BRUTOS'!DX$3:DX$500)))</f>
        <v/>
      </c>
      <c r="GY31" s="132">
        <f>IF(OR(GY$4="",$B31=""),0,SUMIF('DADOS BRUTOS'!$A$3:$A$500,$B31,'DADOS BRUTOS'!DY$3:DY$500)+IF($C31="",0,SUMIF('DADOS BRUTOS'!$A$3:$A$500,$C31,'DADOS BRUTOS'!DY$3:DY$500)))</f>
        <v/>
      </c>
      <c r="GZ31" s="132">
        <f>IF(OR(GZ$4="",$B31=""),0,SUMIF('DADOS BRUTOS'!$A$3:$A$500,$B31,'DADOS BRUTOS'!DZ$3:DZ$500)+IF($C31="",0,SUMIF('DADOS BRUTOS'!$A$3:$A$500,$C31,'DADOS BRUTOS'!DZ$3:DZ$500)))</f>
        <v/>
      </c>
      <c r="HA31" s="132">
        <f>IF(OR(HA$4="",$B31=""),0,SUMIF('DADOS BRUTOS'!$A$3:$A$500,$B31,'DADOS BRUTOS'!EA$3:EA$500)+IF($C31="",0,SUMIF('DADOS BRUTOS'!$A$3:$A$500,$C31,'DADOS BRUTOS'!EA$3:EA$500)))</f>
        <v/>
      </c>
      <c r="HB31" s="132">
        <f>IF(OR(HB$4="",$B31=""),0,SUMIF('DADOS BRUTOS'!$A$3:$A$500,$B31,'DADOS BRUTOS'!EB$3:EB$500)+IF($C31="",0,SUMIF('DADOS BRUTOS'!$A$3:$A$500,$C31,'DADOS BRUTOS'!EB$3:EB$500)))</f>
        <v/>
      </c>
      <c r="HC31" s="132">
        <f>IF(OR(HC$4="",$B31=""),0,SUMIF('DADOS BRUTOS'!$A$3:$A$500,$B31,'DADOS BRUTOS'!EC$3:EC$500)+IF($C31="",0,SUMIF('DADOS BRUTOS'!$A$3:$A$500,$C31,'DADOS BRUTOS'!EC$3:EC$500)))</f>
        <v/>
      </c>
      <c r="HD31" s="132">
        <f>IF(OR(HD$4="",$B31=""),0,SUMIF('DADOS BRUTOS'!$A$3:$A$500,$B31,'DADOS BRUTOS'!ED$3:ED$500)+IF($C31="",0,SUMIF('DADOS BRUTOS'!$A$3:$A$500,$C31,'DADOS BRUTOS'!ED$3:ED$500)))</f>
        <v/>
      </c>
      <c r="HE31" s="132">
        <f>IF(OR(HE$4="",$B31=""),0,SUMIF('DADOS BRUTOS'!$A$3:$A$500,$B31,'DADOS BRUTOS'!EE$3:EE$500)+IF($C31="",0,SUMIF('DADOS BRUTOS'!$A$3:$A$500,$C31,'DADOS BRUTOS'!EE$3:EE$500)))</f>
        <v/>
      </c>
      <c r="HF31" s="132">
        <f>IF(OR(HF$4="",$B31=""),0,SUMIF('DADOS BRUTOS'!$A$3:$A$500,$B31,'DADOS BRUTOS'!EF$3:EF$500)+IF($C31="",0,SUMIF('DADOS BRUTOS'!$A$3:$A$500,$C31,'DADOS BRUTOS'!EF$3:EF$500)))</f>
        <v/>
      </c>
      <c r="HG31" s="132">
        <f>IF(OR(HG$4="",$B31=""),0,SUMIF('DADOS BRUTOS'!$A$3:$A$500,$B31,'DADOS BRUTOS'!EG$3:EG$500)+IF($C31="",0,SUMIF('DADOS BRUTOS'!$A$3:$A$500,$C31,'DADOS BRUTOS'!EG$3:EG$500)))</f>
        <v/>
      </c>
      <c r="HH31" s="132">
        <f>IF(OR(HH$4="",$B31=""),0,SUMIF('DADOS BRUTOS'!$A$3:$A$500,$B31,'DADOS BRUTOS'!EH$3:EH$500)+IF($C31="",0,SUMIF('DADOS BRUTOS'!$A$3:$A$500,$C31,'DADOS BRUTOS'!EH$3:EH$500)))</f>
        <v/>
      </c>
      <c r="HI31" s="132">
        <f>IF(OR(HI$4="",$B31=""),0,SUMIF('DADOS BRUTOS'!$A$3:$A$500,$B31,'DADOS BRUTOS'!EI$3:EI$500)+IF($C31="",0,SUMIF('DADOS BRUTOS'!$A$3:$A$500,$C31,'DADOS BRUTOS'!EI$3:EI$500)))</f>
        <v/>
      </c>
      <c r="HJ31" s="132">
        <f>IF(OR(HJ$4="",$B31=""),0,SUMIF('DADOS BRUTOS'!$A$3:$A$500,$B31,'DADOS BRUTOS'!EJ$3:EJ$500)+IF($C31="",0,SUMIF('DADOS BRUTOS'!$A$3:$A$500,$C31,'DADOS BRUTOS'!EJ$3:EJ$500)))</f>
        <v/>
      </c>
      <c r="HK31" s="132">
        <f>IF(OR(HK$4="",$B31=""),0,SUMIF('DADOS BRUTOS'!$A$3:$A$500,$B31,'DADOS BRUTOS'!EK$3:EK$500)+IF($C31="",0,SUMIF('DADOS BRUTOS'!$A$3:$A$500,$C31,'DADOS BRUTOS'!EK$3:EK$500)))</f>
        <v/>
      </c>
      <c r="HL31" s="132">
        <f>IF(OR(HL$4="",$B31=""),0,SUMIF('DADOS BRUTOS'!$A$3:$A$500,$B31,'DADOS BRUTOS'!EL$3:EL$500)+IF($C31="",0,SUMIF('DADOS BRUTOS'!$A$3:$A$500,$C31,'DADOS BRUTOS'!EL$3:EL$500)))</f>
        <v/>
      </c>
      <c r="HM31" s="132">
        <f>IF(OR(HM$4="",$B31=""),0,SUMIF('DADOS BRUTOS'!$A$3:$A$500,$B31,'DADOS BRUTOS'!EM$3:EM$500)+IF($C31="",0,SUMIF('DADOS BRUTOS'!$A$3:$A$500,$C31,'DADOS BRUTOS'!EM$3:EM$500)))</f>
        <v/>
      </c>
      <c r="HN31" s="132">
        <f>IF(OR(HN$4="",$B31=""),0,SUMIF('DADOS BRUTOS'!$A$3:$A$500,$B31,'DADOS BRUTOS'!EN$3:EN$500)+IF($C31="",0,SUMIF('DADOS BRUTOS'!$A$3:$A$500,$C31,'DADOS BRUTOS'!EN$3:EN$500)))</f>
        <v/>
      </c>
      <c r="HO31" s="132">
        <f>IF(OR(HO$4="",$B31=""),0,SUMIF('DADOS BRUTOS'!$A$3:$A$500,$B31,'DADOS BRUTOS'!EO$3:EO$500)+IF($C31="",0,SUMIF('DADOS BRUTOS'!$A$3:$A$500,$C31,'DADOS BRUTOS'!EO$3:EO$500)))</f>
        <v/>
      </c>
      <c r="HP31" s="132">
        <f>IF(OR(HP$4="",$B31=""),0,SUMIF('DADOS BRUTOS'!$A$3:$A$500,$B31,'DADOS BRUTOS'!EP$3:EP$500)+IF($C31="",0,SUMIF('DADOS BRUTOS'!$A$3:$A$500,$C31,'DADOS BRUTOS'!EP$3:EP$500)))</f>
        <v/>
      </c>
      <c r="HQ31" s="132">
        <f>IF(OR(HQ$4="",$B31=""),0,SUMIF('DADOS BRUTOS'!$A$3:$A$500,$B31,'DADOS BRUTOS'!EQ$3:EQ$500)+IF($C31="",0,SUMIF('DADOS BRUTOS'!$A$3:$A$500,$C31,'DADOS BRUTOS'!EQ$3:EQ$500)))</f>
        <v/>
      </c>
      <c r="HR31" s="132">
        <f>IF(OR(HR$4="",$B31=""),0,SUMIF('DADOS BRUTOS'!$A$3:$A$500,$B31,'DADOS BRUTOS'!ER$3:ER$500)+IF($C31="",0,SUMIF('DADOS BRUTOS'!$A$3:$A$500,$C31,'DADOS BRUTOS'!ER$3:ER$500)))</f>
        <v/>
      </c>
      <c r="HS31" s="132">
        <f>IF(OR(HS$4="",$B31=""),0,SUMIF('DADOS BRUTOS'!$A$3:$A$500,$B31,'DADOS BRUTOS'!ES$3:ES$500)+IF($C31="",0,SUMIF('DADOS BRUTOS'!$A$3:$A$500,$C31,'DADOS BRUTOS'!ES$3:ES$500)))</f>
        <v/>
      </c>
      <c r="HT31" s="132">
        <f>IF(OR(HT$4="",$B31=""),0,SUMIF('DADOS BRUTOS'!$A$3:$A$500,$B31,'DADOS BRUTOS'!ET$3:ET$500)+IF($C31="",0,SUMIF('DADOS BRUTOS'!$A$3:$A$500,$C31,'DADOS BRUTOS'!ET$3:ET$500)))</f>
        <v/>
      </c>
      <c r="HU31" s="132">
        <f>IF(OR(HU$4="",$B31=""),0,SUMIF('DADOS BRUTOS'!$A$3:$A$500,$B31,'DADOS BRUTOS'!EU$3:EU$500)+IF($C31="",0,SUMIF('DADOS BRUTOS'!$A$3:$A$500,$C31,'DADOS BRUTOS'!EU$3:EU$500)))</f>
        <v/>
      </c>
      <c r="HV31" s="132">
        <f>IF(OR(HV$4="",$B31=""),0,SUMIF('DADOS BRUTOS'!$A$3:$A$500,$B31,'DADOS BRUTOS'!EV$3:EV$500)+IF($C31="",0,SUMIF('DADOS BRUTOS'!$A$3:$A$500,$C31,'DADOS BRUTOS'!EV$3:EV$500)))</f>
        <v/>
      </c>
      <c r="HW31" s="132">
        <f>IF(OR(HW$4="",$B31=""),0,SUMIF('DADOS BRUTOS'!$A$3:$A$500,$B31,'DADOS BRUTOS'!EW$3:EW$500)+IF($C31="",0,SUMIF('DADOS BRUTOS'!$A$3:$A$500,$C31,'DADOS BRUTOS'!EW$3:EW$500)))</f>
        <v/>
      </c>
      <c r="HX31" s="132">
        <f>IF(OR(HX$4="",$B31=""),0,SUMIF('DADOS BRUTOS'!$A$3:$A$500,$B31,'DADOS BRUTOS'!EX$3:EX$500)+IF($C31="",0,SUMIF('DADOS BRUTOS'!$A$3:$A$500,$C31,'DADOS BRUTOS'!EX$3:EX$500)))</f>
        <v/>
      </c>
      <c r="HY31" s="132">
        <f>IF(OR(HY$4="",$B31=""),0,SUMIF('DADOS BRUTOS'!$A$3:$A$500,$B31,'DADOS BRUTOS'!EY$3:EY$500)+IF($C31="",0,SUMIF('DADOS BRUTOS'!$A$3:$A$500,$C31,'DADOS BRUTOS'!EY$3:EY$500)))</f>
        <v/>
      </c>
      <c r="HZ31" s="132">
        <f>IF(OR(HZ$4="",$B31=""),0,SUMIF('DADOS BRUTOS'!$A$3:$A$500,$B31,'DADOS BRUTOS'!EZ$3:EZ$500)+IF($C31="",0,SUMIF('DADOS BRUTOS'!$A$3:$A$500,$C31,'DADOS BRUTOS'!EZ$3:EZ$500)))</f>
        <v/>
      </c>
      <c r="IA31" s="132">
        <f>IF(OR(IA$4="",$B31=""),0,SUMIF('DADOS BRUTOS'!$A$3:$A$500,$B31,'DADOS BRUTOS'!FA$3:FA$500)+IF($C31="",0,SUMIF('DADOS BRUTOS'!$A$3:$A$500,$C31,'DADOS BRUTOS'!FA$3:FA$500)))</f>
        <v/>
      </c>
      <c r="IB31" s="132">
        <f>IF(OR(IB$4="",$B31=""),0,SUMIF('DADOS BRUTOS'!$A$3:$A$500,$B31,'DADOS BRUTOS'!FB$3:FB$500)+IF($C31="",0,SUMIF('DADOS BRUTOS'!$A$3:$A$500,$C31,'DADOS BRUTOS'!FB$3:FB$500)))</f>
        <v/>
      </c>
      <c r="IC31" s="132">
        <f>IF(OR(IC$4="",$B31=""),0,SUMIF('DADOS BRUTOS'!$A$3:$A$500,$B31,'DADOS BRUTOS'!FC$3:FC$500)+IF($C31="",0,SUMIF('DADOS BRUTOS'!$A$3:$A$500,$C31,'DADOS BRUTOS'!FC$3:FC$500)))</f>
        <v/>
      </c>
      <c r="ID31" s="132">
        <f>IF(OR(ID$4="",$B31=""),0,SUMIF('DADOS BRUTOS'!$A$3:$A$500,$B31,'DADOS BRUTOS'!FD$3:FD$500)+IF($C31="",0,SUMIF('DADOS BRUTOS'!$A$3:$A$500,$C31,'DADOS BRUTOS'!FD$3:FD$500)))</f>
        <v/>
      </c>
      <c r="IE31" s="132">
        <f>IF(OR(IE$4="",$B31=""),0,SUMIF('DADOS BRUTOS'!$A$3:$A$500,$B31,'DADOS BRUTOS'!FE$3:FE$500)+IF($C31="",0,SUMIF('DADOS BRUTOS'!$A$3:$A$500,$C31,'DADOS BRUTOS'!FE$3:FE$500)))</f>
        <v/>
      </c>
      <c r="IF31" s="132">
        <f>IF(OR(IF$4="",$B31=""),0,SUMIF('DADOS BRUTOS'!$A$3:$A$500,$B31,'DADOS BRUTOS'!FF$3:FF$500)+IF($C31="",0,SUMIF('DADOS BRUTOS'!$A$3:$A$500,$C31,'DADOS BRUTOS'!FF$3:FF$500)))</f>
        <v/>
      </c>
      <c r="IG31" s="132">
        <f>IF(OR(IG$4="",$B31=""),0,SUMIF('DADOS BRUTOS'!$A$3:$A$500,$B31,'DADOS BRUTOS'!FG$3:FG$500)+IF($C31="",0,SUMIF('DADOS BRUTOS'!$A$3:$A$500,$C31,'DADOS BRUTOS'!FG$3:FG$500)))</f>
        <v/>
      </c>
      <c r="IH31" s="132">
        <f>IF(OR(IH$4="",$B31=""),0,SUMIF('DADOS BRUTOS'!$A$3:$A$500,$B31,'DADOS BRUTOS'!FH$3:FH$500)+IF($C31="",0,SUMIF('DADOS BRUTOS'!$A$3:$A$500,$C31,'DADOS BRUTOS'!FH$3:FH$500)))</f>
        <v/>
      </c>
      <c r="II31" s="132">
        <f>IF(OR(II$4="",$B31=""),0,SUMIF('DADOS BRUTOS'!$A$3:$A$500,$B31,'DADOS BRUTOS'!FI$3:FI$500)+IF($C31="",0,SUMIF('DADOS BRUTOS'!$A$3:$A$500,$C31,'DADOS BRUTOS'!FI$3:FI$500)))</f>
        <v/>
      </c>
      <c r="IJ31" s="132">
        <f>IF(OR(IJ$4="",$B31=""),0,SUMIF('DADOS BRUTOS'!$A$3:$A$500,$B31,'DADOS BRUTOS'!FJ$3:FJ$500)+IF($C31="",0,SUMIF('DADOS BRUTOS'!$A$3:$A$500,$C31,'DADOS BRUTOS'!FJ$3:FJ$500)))</f>
        <v/>
      </c>
      <c r="IK31" s="132">
        <f>IF(OR(IK$4="",$B31=""),0,SUMIF('DADOS BRUTOS'!$A$3:$A$500,$B31,'DADOS BRUTOS'!FK$3:FK$500)+IF($C31="",0,SUMIF('DADOS BRUTOS'!$A$3:$A$500,$C31,'DADOS BRUTOS'!FK$3:FK$500)))</f>
        <v/>
      </c>
      <c r="IL31" s="132">
        <f>IF(OR(IL$4="",$B31=""),0,SUMIF('DADOS BRUTOS'!$A$3:$A$500,$B31,'DADOS BRUTOS'!FL$3:FL$500)+IF($C31="",0,SUMIF('DADOS BRUTOS'!$A$3:$A$500,$C31,'DADOS BRUTOS'!FL$3:FL$500)))</f>
        <v/>
      </c>
      <c r="IM31" s="132">
        <f>IF(OR(IM$4="",$B31=""),0,SUMIF('DADOS BRUTOS'!$A$3:$A$500,$B31,'DADOS BRUTOS'!FM$3:FM$500)+IF($C31="",0,SUMIF('DADOS BRUTOS'!$A$3:$A$500,$C31,'DADOS BRUTOS'!FM$3:FM$500)))</f>
        <v/>
      </c>
      <c r="IN31" s="132">
        <f>IF(OR(IN$4="",$B31=""),0,SUMIF('DADOS BRUTOS'!$A$3:$A$500,$B31,'DADOS BRUTOS'!FN$3:FN$500)+IF($C31="",0,SUMIF('DADOS BRUTOS'!$A$3:$A$500,$C31,'DADOS BRUTOS'!FN$3:FN$500)))</f>
        <v/>
      </c>
      <c r="IO31" s="132">
        <f>IF(OR(IO$4="",$B31=""),0,SUMIF('DADOS BRUTOS'!$A$3:$A$500,$B31,'DADOS BRUTOS'!FO$3:FO$500)+IF($C31="",0,SUMIF('DADOS BRUTOS'!$A$3:$A$500,$C31,'DADOS BRUTOS'!FO$3:FO$500)))</f>
        <v/>
      </c>
      <c r="IP31" s="132">
        <f>IF(OR(IP$4="",$B31=""),0,SUMIF('DADOS BRUTOS'!$A$3:$A$500,$B31,'DADOS BRUTOS'!FP$3:FP$500)+IF($C31="",0,SUMIF('DADOS BRUTOS'!$A$3:$A$500,$C31,'DADOS BRUTOS'!FP$3:FP$500)))</f>
        <v/>
      </c>
      <c r="IQ31" s="132">
        <f>IF(OR(IQ$4="",$B31=""),0,SUMIF('DADOS BRUTOS'!$A$3:$A$500,$B31,'DADOS BRUTOS'!FQ$3:FQ$500)+IF($C31="",0,SUMIF('DADOS BRUTOS'!$A$3:$A$500,$C31,'DADOS BRUTOS'!FQ$3:FQ$500)))</f>
        <v/>
      </c>
      <c r="IR31" s="132">
        <f>IF(OR(IR$4="",$B31=""),0,SUMIF('DADOS BRUTOS'!$A$3:$A$500,$B31,'DADOS BRUTOS'!FR$3:FR$500)+IF($C31="",0,SUMIF('DADOS BRUTOS'!$A$3:$A$500,$C31,'DADOS BRUTOS'!FR$3:FR$500)))</f>
        <v/>
      </c>
      <c r="IS31" s="132">
        <f>IF(OR(IS$4="",$B31=""),0,SUMIF('DADOS BRUTOS'!$A$3:$A$500,$B31,'DADOS BRUTOS'!FS$3:FS$500)+IF($C31="",0,SUMIF('DADOS BRUTOS'!$A$3:$A$500,$C31,'DADOS BRUTOS'!FS$3:FS$500)))</f>
        <v/>
      </c>
      <c r="IT31" s="132">
        <f>IF(OR(IT$4="",$B31=""),0,SUMIF('DADOS BRUTOS'!$A$3:$A$500,$B31,'DADOS BRUTOS'!FT$3:FT$500)+IF($C31="",0,SUMIF('DADOS BRUTOS'!$A$3:$A$500,$C31,'DADOS BRUTOS'!FT$3:FT$500)))</f>
        <v/>
      </c>
      <c r="IU31" s="132">
        <f>IF(OR(IU$4="",$B31=""),0,SUMIF('DADOS BRUTOS'!$A$3:$A$500,$B31,'DADOS BRUTOS'!FU$3:FU$500)+IF($C31="",0,SUMIF('DADOS BRUTOS'!$A$3:$A$500,$C31,'DADOS BRUTOS'!FU$3:FU$500)))</f>
        <v/>
      </c>
      <c r="IV31" s="132">
        <f>IF(OR(IV$4="",$B31=""),0,SUMIF('DADOS BRUTOS'!$A$3:$A$500,$B31,'DADOS BRUTOS'!FV$3:FV$500)+IF($C31="",0,SUMIF('DADOS BRUTOS'!$A$3:$A$500,$C31,'DADOS BRUTOS'!FV$3:FV$500)))</f>
        <v/>
      </c>
      <c r="IW31" s="132">
        <f>IF(OR(IW$4="",$B31=""),0,SUMIF('DADOS BRUTOS'!$A$3:$A$500,$B31,'DADOS BRUTOS'!FW$3:FW$500)+IF($C31="",0,SUMIF('DADOS BRUTOS'!$A$3:$A$500,$C31,'DADOS BRUTOS'!FW$3:FW$500)))</f>
        <v/>
      </c>
      <c r="IX31" s="132">
        <f>IF(OR(IX$4="",$B31=""),0,SUMIF('DADOS BRUTOS'!$A$3:$A$500,$B31,'DADOS BRUTOS'!FX$3:FX$500)+IF($C31="",0,SUMIF('DADOS BRUTOS'!$A$3:$A$500,$C31,'DADOS BRUTOS'!FX$3:FX$500)))</f>
        <v/>
      </c>
      <c r="IY31" s="132">
        <f>IF(OR(IY$4="",$B31=""),0,SUMIF('DADOS BRUTOS'!$A$3:$A$500,$B31,'DADOS BRUTOS'!FY$3:FY$500)+IF($C31="",0,SUMIF('DADOS BRUTOS'!$A$3:$A$500,$C31,'DADOS BRUTOS'!FY$3:FY$500)))</f>
        <v/>
      </c>
      <c r="IZ31" s="132">
        <f>IF(OR(IZ$4="",$B31=""),0,SUMIF('DADOS BRUTOS'!$A$3:$A$500,$B31,'DADOS BRUTOS'!FZ$3:FZ$500)+IF($C31="",0,SUMIF('DADOS BRUTOS'!$A$3:$A$500,$C31,'DADOS BRUTOS'!FZ$3:FZ$500)))</f>
        <v/>
      </c>
      <c r="JA31" s="132">
        <f>IF(OR(JA$4="",$B31=""),0,SUMIF('DADOS BRUTOS'!$A$3:$A$500,$B31,'DADOS BRUTOS'!GA$3:GA$500)+IF($C31="",0,SUMIF('DADOS BRUTOS'!$A$3:$A$500,$C31,'DADOS BRUTOS'!GA$3:GA$500)))</f>
        <v/>
      </c>
      <c r="JB31" s="132">
        <f>IF(OR(JB$4="",$B31=""),0,SUMIF('DADOS BRUTOS'!$A$3:$A$500,$B31,'DADOS BRUTOS'!GB$3:GB$500)+IF($C31="",0,SUMIF('DADOS BRUTOS'!$A$3:$A$500,$C31,'DADOS BRUTOS'!GB$3:GB$500)))</f>
        <v/>
      </c>
      <c r="JC31" s="132">
        <f>IF(OR(JC$4="",$B31=""),0,SUMIF('DADOS BRUTOS'!$A$3:$A$500,$B31,'DADOS BRUTOS'!GC$3:GC$500)+IF($C31="",0,SUMIF('DADOS BRUTOS'!$A$3:$A$500,$C31,'DADOS BRUTOS'!GC$3:GC$500)))</f>
        <v/>
      </c>
      <c r="JD31" s="132">
        <f>IF(OR(JD$4="",$B31=""),0,SUMIF('DADOS BRUTOS'!$A$3:$A$500,$B31,'DADOS BRUTOS'!GD$3:GD$500)+IF($C31="",0,SUMIF('DADOS BRUTOS'!$A$3:$A$500,$C31,'DADOS BRUTOS'!GD$3:GD$500)))</f>
        <v/>
      </c>
      <c r="JE31" s="132">
        <f>IF(OR(JE$4="",$B31=""),0,SUMIF('DADOS BRUTOS'!$A$3:$A$500,$B31,'DADOS BRUTOS'!GE$3:GE$500)+IF($C31="",0,SUMIF('DADOS BRUTOS'!$A$3:$A$500,$C31,'DADOS BRUTOS'!GE$3:GE$500)))</f>
        <v/>
      </c>
      <c r="JF31" s="132">
        <f>IF(OR(JF$4="",$B31=""),0,SUMIF('DADOS BRUTOS'!$A$3:$A$500,$B31,'DADOS BRUTOS'!GF$3:GF$500)+IF($C31="",0,SUMIF('DADOS BRUTOS'!$A$3:$A$500,$C31,'DADOS BRUTOS'!GF$3:GF$500)))</f>
        <v/>
      </c>
      <c r="JG31" s="132">
        <f>IF(OR(JG$4="",$B31=""),0,SUMIF('DADOS BRUTOS'!$A$3:$A$500,$B31,'DADOS BRUTOS'!GG$3:GG$500)+IF($C31="",0,SUMIF('DADOS BRUTOS'!$A$3:$A$500,$C31,'DADOS BRUTOS'!GG$3:GG$500)))</f>
        <v/>
      </c>
      <c r="JH31" s="132">
        <f>IF(OR(JH$4="",$B31=""),0,SUMIF('DADOS BRUTOS'!$A$3:$A$500,$B31,'DADOS BRUTOS'!GH$3:GH$500)+IF($C31="",0,SUMIF('DADOS BRUTOS'!$A$3:$A$500,$C31,'DADOS BRUTOS'!GH$3:GH$500)))</f>
        <v/>
      </c>
      <c r="JI31" s="132">
        <f>IF(OR(JI$4="",$B31=""),0,SUMIF('DADOS BRUTOS'!$A$3:$A$500,$B31,'DADOS BRUTOS'!GI$3:GI$500)+IF($C31="",0,SUMIF('DADOS BRUTOS'!$A$3:$A$500,$C31,'DADOS BRUTOS'!GI$3:GI$500)))</f>
        <v/>
      </c>
      <c r="JJ31" s="132">
        <f>IF(OR(JJ$4="",$B31=""),0,SUMIF('DADOS BRUTOS'!$A$3:$A$500,$B31,'DADOS BRUTOS'!GJ$3:GJ$500)+IF($C31="",0,SUMIF('DADOS BRUTOS'!$A$3:$A$500,$C31,'DADOS BRUTOS'!GJ$3:GJ$500)))</f>
        <v/>
      </c>
      <c r="JK31" s="132">
        <f>IF(OR(JK$4="",$B31=""),0,SUMIF('DADOS BRUTOS'!$A$3:$A$500,$B31,'DADOS BRUTOS'!GK$3:GK$500)+IF($C31="",0,SUMIF('DADOS BRUTOS'!$A$3:$A$500,$C31,'DADOS BRUTOS'!GK$3:GK$500)))</f>
        <v/>
      </c>
      <c r="JL31" s="132">
        <f>IF(OR(JL$4="",$B31=""),0,SUMIF('DADOS BRUTOS'!$A$3:$A$500,$B31,'DADOS BRUTOS'!GL$3:GL$500)+IF($C31="",0,SUMIF('DADOS BRUTOS'!$A$3:$A$500,$C31,'DADOS BRUTOS'!GL$3:GL$500)))</f>
        <v/>
      </c>
      <c r="JM31" s="132">
        <f>IF(OR(JM$4="",$B31=""),0,SUMIF('DADOS BRUTOS'!$A$3:$A$500,$B31,'DADOS BRUTOS'!GM$3:GM$500)+IF($C31="",0,SUMIF('DADOS BRUTOS'!$A$3:$A$500,$C31,'DADOS BRUTOS'!GM$3:GM$500)))</f>
        <v/>
      </c>
      <c r="JN31" s="132">
        <f>IF(OR(JN$4="",$B31=""),0,SUMIF('DADOS BRUTOS'!$A$3:$A$500,$B31,'DADOS BRUTOS'!GN$3:GN$500)+IF($C31="",0,SUMIF('DADOS BRUTOS'!$A$3:$A$500,$C31,'DADOS BRUTOS'!GN$3:GN$500)))</f>
        <v/>
      </c>
      <c r="JO31" s="132">
        <f>IF(OR(JO$4="",$B31=""),0,SUMIF('DADOS BRUTOS'!$A$3:$A$500,$B31,'DADOS BRUTOS'!GO$3:GO$500)+IF($C31="",0,SUMIF('DADOS BRUTOS'!$A$3:$A$500,$C31,'DADOS BRUTOS'!GO$3:GO$500)))</f>
        <v/>
      </c>
      <c r="JP31" s="132">
        <f>IF(OR(JP$4="",$B31=""),0,SUMIF('DADOS BRUTOS'!$A$3:$A$500,$B31,'DADOS BRUTOS'!GP$3:GP$500)+IF($C31="",0,SUMIF('DADOS BRUTOS'!$A$3:$A$500,$C31,'DADOS BRUTOS'!GP$3:GP$500)))</f>
        <v/>
      </c>
      <c r="JQ31" s="132">
        <f>IF(OR(JQ$4="",$B31=""),0,SUMIF('DADOS BRUTOS'!$A$3:$A$500,$B31,'DADOS BRUTOS'!GQ$3:GQ$500)+IF($C31="",0,SUMIF('DADOS BRUTOS'!$A$3:$A$500,$C31,'DADOS BRUTOS'!GQ$3:GQ$500)))</f>
        <v/>
      </c>
      <c r="JR31" s="132">
        <f>IF(OR(JR$4="",$B31=""),0,SUMIF('DADOS BRUTOS'!$A$3:$A$500,$B31,'DADOS BRUTOS'!GR$3:GR$500)+IF($C31="",0,SUMIF('DADOS BRUTOS'!$A$3:$A$500,$C31,'DADOS BRUTOS'!GR$3:GR$500)))</f>
        <v/>
      </c>
      <c r="JS31" s="132">
        <f>IF(OR(JS$4="",$B31=""),0,SUMIF('DADOS BRUTOS'!$A$3:$A$500,$B31,'DADOS BRUTOS'!GS$3:GS$500)+IF($C31="",0,SUMIF('DADOS BRUTOS'!$A$3:$A$500,$C31,'DADOS BRUTOS'!GS$3:GS$500)))</f>
        <v/>
      </c>
    </row>
    <row r="32">
      <c r="A32" s="61">
        <f>'VALOR POR PL'!D38</f>
        <v/>
      </c>
      <c r="B32" s="59" t="inlineStr">
        <is>
          <t>REVESTIMENTOS DE MASSA EM PISOS</t>
        </is>
      </c>
      <c r="C32" s="59" t="n"/>
      <c r="D32" s="54">
        <f>SUMIF($CB$4:$JS$4,"&lt;="&amp;D$4,$CB32:$JS32)</f>
        <v/>
      </c>
      <c r="E32" s="54">
        <f>SUMIF($CB$4:$JS$4,E$4,$CB32:$JS32)</f>
        <v/>
      </c>
      <c r="F32" s="54">
        <f>SUMIF($CB$4:$JS$4,F$4,$CB32:$JS32)</f>
        <v/>
      </c>
      <c r="G32" s="54">
        <f>SUMIF($CB$4:$JS$4,G$4,$CB32:$JS32)</f>
        <v/>
      </c>
      <c r="H32" s="54">
        <f>SUMIF($CB$4:$JS$4,H$4,$CB32:$JS32)</f>
        <v/>
      </c>
      <c r="I32" s="54">
        <f>SUMIF($CB$4:$JS$4,I$4,$CB32:$JS32)</f>
        <v/>
      </c>
      <c r="J32" s="54">
        <f>SUMIF($CB$4:$JS$4,J$4,$CB32:$JS32)</f>
        <v/>
      </c>
      <c r="K32" s="54">
        <f>SUMIF($CB$4:$JS$4,K$4,$CB32:$JS32)</f>
        <v/>
      </c>
      <c r="L32" s="54">
        <f>SUMIF($CB$4:$JS$4,L$4,$CB32:$JS32)</f>
        <v/>
      </c>
      <c r="M32" s="54">
        <f>SUMIF($CB$4:$JS$4,M$4,$CB32:$JS32)</f>
        <v/>
      </c>
      <c r="N32" s="54">
        <f>SUMIF($CB$4:$JS$4,N$4,$CB32:$JS32)</f>
        <v/>
      </c>
      <c r="O32" s="54">
        <f>SUMIF($CB$4:$JS$4,O$4,$CB32:$JS32)</f>
        <v/>
      </c>
      <c r="P32" s="54">
        <f>SUMIF($CB$4:$JS$4,P$4,$CB32:$JS32)</f>
        <v/>
      </c>
      <c r="Q32" s="54">
        <f>SUMIF($CB$4:$JS$4,Q$4,$CB32:$JS32)</f>
        <v/>
      </c>
      <c r="R32" s="54">
        <f>SUMIF($CB$4:$JS$4,R$4,$CB32:$JS32)</f>
        <v/>
      </c>
      <c r="S32" s="54">
        <f>SUMIF($CB$4:$JS$4,S$4,$CB32:$JS32)</f>
        <v/>
      </c>
      <c r="T32" s="54">
        <f>SUMIF($CB$4:$JS$4,T$4,$CB32:$JS32)</f>
        <v/>
      </c>
      <c r="U32" s="54">
        <f>SUMIF($CB$4:$JS$4,U$4,$CB32:$JS32)</f>
        <v/>
      </c>
      <c r="V32" s="54">
        <f>SUMIF($CB$4:$JS$4,V$4,$CB32:$JS32)</f>
        <v/>
      </c>
      <c r="W32" s="54">
        <f>SUMIF($CB$4:$JS$4,W$4,$CB32:$JS32)</f>
        <v/>
      </c>
      <c r="X32" s="54">
        <f>SUMIF($CB$4:$JS$4,X$4,$CB32:$JS32)</f>
        <v/>
      </c>
      <c r="Y32" s="54">
        <f>SUMIF($CB$4:$JS$4,Y$4,$CB32:$JS32)</f>
        <v/>
      </c>
      <c r="Z32" s="54">
        <f>SUMIF($CB$4:$JS$4,Z$4,$CB32:$JS32)</f>
        <v/>
      </c>
      <c r="AA32" s="54">
        <f>SUMIF($CB$4:$JS$4,AA$4,$CB32:$JS32)</f>
        <v/>
      </c>
      <c r="AB32" s="54">
        <f>SUMIF($CB$4:$JS$4,AB$4,$CB32:$JS32)</f>
        <v/>
      </c>
      <c r="AC32" s="54">
        <f>SUMIF($CB$4:$JS$4,AC$4,$CB32:$JS32)</f>
        <v/>
      </c>
      <c r="AD32" s="54">
        <f>SUMIF($CB$4:$JS$4,AD$4,$CB32:$JS32)</f>
        <v/>
      </c>
      <c r="AE32" s="54">
        <f>SUMIF($CB$4:$JS$4,AE$4,$CB32:$JS32)</f>
        <v/>
      </c>
      <c r="AF32" s="54">
        <f>SUMIF($CB$4:$JS$4,AF$4,$CB32:$JS32)</f>
        <v/>
      </c>
      <c r="AG32" s="54">
        <f>SUMIF($CB$4:$JS$4,AG$4,$CB32:$JS32)</f>
        <v/>
      </c>
      <c r="AH32" s="54">
        <f>SUMIF($CB$4:$JS$4,AH$4,$CB32:$JS32)</f>
        <v/>
      </c>
      <c r="AI32" s="54">
        <f>SUMIF($CB$4:$JS$4,AI$4,$CB32:$JS32)</f>
        <v/>
      </c>
      <c r="AJ32" s="54">
        <f>SUMIF($CB$4:$JS$4,AJ$4,$CB32:$JS32)</f>
        <v/>
      </c>
      <c r="AK32" s="54">
        <f>SUMIF($CB$4:$JS$4,AK$4,$CB32:$JS32)</f>
        <v/>
      </c>
      <c r="AL32" s="54">
        <f>SUMIF($CB$4:$JS$4,AL$4,$CB32:$JS32)</f>
        <v/>
      </c>
      <c r="AM32" s="54">
        <f>SUMIF($CB$4:$JS$4,AM$4,$CB32:$JS32)</f>
        <v/>
      </c>
      <c r="AN32" s="54">
        <f>SUMIF($CB$4:$JS$4,AN$4,$CB32:$JS32)</f>
        <v/>
      </c>
      <c r="AO32" s="54">
        <f>SUMIF($CB$4:$JS$4,AO$4,$CB32:$JS32)</f>
        <v/>
      </c>
      <c r="AP32" s="54">
        <f>SUMIF($CB$4:$JS$4,AP$4,$CB32:$JS32)</f>
        <v/>
      </c>
      <c r="AQ32" s="54">
        <f>SUMIF($CB$4:$JS$4,AQ$4,$CB32:$JS32)</f>
        <v/>
      </c>
      <c r="AR32" s="54">
        <f>SUMIF($CB$4:$JS$4,AR$4,$CB32:$JS32)</f>
        <v/>
      </c>
      <c r="AS32" s="54">
        <f>SUMIF($CB$4:$JS$4,AS$4,$CB32:$JS32)</f>
        <v/>
      </c>
      <c r="AT32" s="54">
        <f>SUMIF($CB$4:$JS$4,AT$4,$CB32:$JS32)</f>
        <v/>
      </c>
      <c r="AU32" s="54">
        <f>SUMIF($CB$4:$JS$4,AU$4,$CB32:$JS32)</f>
        <v/>
      </c>
      <c r="AV32" s="54">
        <f>SUMIF($CB$4:$JS$4,AV$4,$CB32:$JS32)</f>
        <v/>
      </c>
      <c r="AW32" s="54">
        <f>SUMIF($CB$4:$JS$4,AW$4,$CB32:$JS32)</f>
        <v/>
      </c>
      <c r="AX32" s="54">
        <f>SUMIF($CB$4:$JS$4,AX$4,$CB32:$JS32)</f>
        <v/>
      </c>
      <c r="AY32" s="54">
        <f>SUMIF($CB$4:$JS$4,AY$4,$CB32:$JS32)</f>
        <v/>
      </c>
      <c r="AZ32" s="54">
        <f>SUMIF($CB$4:$JS$4,AZ$4,$CB32:$JS32)</f>
        <v/>
      </c>
      <c r="BA32" s="54">
        <f>SUMIF($CB$4:$JS$4,BA$4,$CB32:$JS32)</f>
        <v/>
      </c>
      <c r="BB32" s="54">
        <f>SUMIF($CB$4:$JS$4,BB$4,$CB32:$JS32)</f>
        <v/>
      </c>
      <c r="BC32" s="54">
        <f>SUMIF($CB$4:$JS$4,BC$4,$CB32:$JS32)</f>
        <v/>
      </c>
      <c r="BD32" s="54">
        <f>SUMIF($CB$4:$JS$4,BD$4,$CB32:$JS32)</f>
        <v/>
      </c>
      <c r="BE32" s="54">
        <f>SUMIF($CB$4:$JS$4,BE$4,$CB32:$JS32)</f>
        <v/>
      </c>
      <c r="BF32" s="54">
        <f>SUMIF($CB$4:$JS$4,BF$4,$CB32:$JS32)</f>
        <v/>
      </c>
      <c r="BG32" s="54">
        <f>SUMIF($CB$4:$JS$4,BG$4,$CB32:$JS32)</f>
        <v/>
      </c>
      <c r="BH32" s="54">
        <f>SUMIF($CB$4:$JS$4,BH$4,$CB32:$JS32)</f>
        <v/>
      </c>
      <c r="BI32" s="54">
        <f>SUMIF($CB$4:$JS$4,BI$4,$CB32:$JS32)</f>
        <v/>
      </c>
      <c r="BJ32" s="54">
        <f>SUMIF($CB$4:$JS$4,BJ$4,$CB32:$JS32)</f>
        <v/>
      </c>
      <c r="BK32" s="54">
        <f>SUMIF($CB$4:$JS$4,BK$4,$CB32:$JS32)</f>
        <v/>
      </c>
      <c r="BL32" s="54">
        <f>SUMIF($CB$4:$JS$4,BL$4,$CB32:$JS32)</f>
        <v/>
      </c>
      <c r="BM32" s="54">
        <f>SUMIF($CB$4:$JS$4,BM$4,$CB32:$JS32)</f>
        <v/>
      </c>
      <c r="BN32" s="54">
        <f>SUMIF($CB$4:$JS$4,BN$4,$CB32:$JS32)</f>
        <v/>
      </c>
      <c r="BO32" s="54">
        <f>SUMIF($CB$4:$JS$4,BO$4,$CB32:$JS32)</f>
        <v/>
      </c>
      <c r="BP32" s="54">
        <f>SUMIF($CB$4:$JS$4,BP$4,$CB32:$JS32)</f>
        <v/>
      </c>
      <c r="BQ32" s="54">
        <f>SUMIF($CB$4:$JS$4,BQ$4,$CB32:$JS32)</f>
        <v/>
      </c>
      <c r="BR32" s="54">
        <f>SUMIF($CB$4:$JS$4,BR$4,$CB32:$JS32)</f>
        <v/>
      </c>
      <c r="BS32" s="54">
        <f>SUMIF($CB$4:$JS$4,BS$4,$CB32:$JS32)</f>
        <v/>
      </c>
      <c r="BT32" s="54">
        <f>SUMIF($CB$4:$JS$4,BT$4,$CB32:$JS32)</f>
        <v/>
      </c>
      <c r="BU32" s="54">
        <f>SUMIF($CB$4:$JS$4,BU$4,$CB32:$JS32)</f>
        <v/>
      </c>
      <c r="BV32" s="54">
        <f>SUMIF($CB$4:$JS$4,BV$4,$CB32:$JS32)</f>
        <v/>
      </c>
      <c r="BW32" s="54">
        <f>SUMIF($CB$4:$JS$4,BW$4,$CB32:$JS32)</f>
        <v/>
      </c>
      <c r="BX32" s="54">
        <f>SUMIF($CB$4:$JS$4,"&gt;"&amp;'VALOR POR PL'!$P$8,$CB32:$JS32)</f>
        <v/>
      </c>
      <c r="BY32" s="54">
        <f>SUM($CB32:$JS32)</f>
        <v/>
      </c>
      <c r="BZ32" s="49">
        <f>SUMPRODUCT(($CB$4:$JS$4&lt;&gt;"")*($CB$4:$JS$4&lt;=$D$4),$CB32:$JS32,$CB$1:$JS$1)</f>
        <v/>
      </c>
      <c r="CB32" s="132">
        <f>IF(OR(CB$4="",$B32=""),0,SUMIF('DADOS BRUTOS'!$A$3:$A$500,$B32,'DADOS BRUTOS'!B$3:B$500)+IF($C32="",0,SUMIF('DADOS BRUTOS'!$A$3:$A$500,$C32,'DADOS BRUTOS'!B$3:B$500)))</f>
        <v/>
      </c>
      <c r="CC32" s="132">
        <f>IF(OR(CC$4="",$B32=""),0,SUMIF('DADOS BRUTOS'!$A$3:$A$500,$B32,'DADOS BRUTOS'!C$3:C$500)+IF($C32="",0,SUMIF('DADOS BRUTOS'!$A$3:$A$500,$C32,'DADOS BRUTOS'!C$3:C$500)))</f>
        <v/>
      </c>
      <c r="CD32" s="132">
        <f>IF(OR(CD$4="",$B32=""),0,SUMIF('DADOS BRUTOS'!$A$3:$A$500,$B32,'DADOS BRUTOS'!D$3:D$500)+IF($C32="",0,SUMIF('DADOS BRUTOS'!$A$3:$A$500,$C32,'DADOS BRUTOS'!D$3:D$500)))</f>
        <v/>
      </c>
      <c r="CE32" s="132">
        <f>IF(OR(CE$4="",$B32=""),0,SUMIF('DADOS BRUTOS'!$A$3:$A$500,$B32,'DADOS BRUTOS'!E$3:E$500)+IF($C32="",0,SUMIF('DADOS BRUTOS'!$A$3:$A$500,$C32,'DADOS BRUTOS'!E$3:E$500)))</f>
        <v/>
      </c>
      <c r="CF32" s="132">
        <f>IF(OR(CF$4="",$B32=""),0,SUMIF('DADOS BRUTOS'!$A$3:$A$500,$B32,'DADOS BRUTOS'!F$3:F$500)+IF($C32="",0,SUMIF('DADOS BRUTOS'!$A$3:$A$500,$C32,'DADOS BRUTOS'!F$3:F$500)))</f>
        <v/>
      </c>
      <c r="CG32" s="132">
        <f>IF(OR(CG$4="",$B32=""),0,SUMIF('DADOS BRUTOS'!$A$3:$A$500,$B32,'DADOS BRUTOS'!G$3:G$500)+IF($C32="",0,SUMIF('DADOS BRUTOS'!$A$3:$A$500,$C32,'DADOS BRUTOS'!G$3:G$500)))</f>
        <v/>
      </c>
      <c r="CH32" s="132">
        <f>IF(OR(CH$4="",$B32=""),0,SUMIF('DADOS BRUTOS'!$A$3:$A$500,$B32,'DADOS BRUTOS'!H$3:H$500)+IF($C32="",0,SUMIF('DADOS BRUTOS'!$A$3:$A$500,$C32,'DADOS BRUTOS'!H$3:H$500)))</f>
        <v/>
      </c>
      <c r="CI32" s="132">
        <f>IF(OR(CI$4="",$B32=""),0,SUMIF('DADOS BRUTOS'!$A$3:$A$500,$B32,'DADOS BRUTOS'!I$3:I$500)+IF($C32="",0,SUMIF('DADOS BRUTOS'!$A$3:$A$500,$C32,'DADOS BRUTOS'!I$3:I$500)))</f>
        <v/>
      </c>
      <c r="CJ32" s="132">
        <f>IF(OR(CJ$4="",$B32=""),0,SUMIF('DADOS BRUTOS'!$A$3:$A$500,$B32,'DADOS BRUTOS'!J$3:J$500)+IF($C32="",0,SUMIF('DADOS BRUTOS'!$A$3:$A$500,$C32,'DADOS BRUTOS'!J$3:J$500)))</f>
        <v/>
      </c>
      <c r="CK32" s="132">
        <f>IF(OR(CK$4="",$B32=""),0,SUMIF('DADOS BRUTOS'!$A$3:$A$500,$B32,'DADOS BRUTOS'!K$3:K$500)+IF($C32="",0,SUMIF('DADOS BRUTOS'!$A$3:$A$500,$C32,'DADOS BRUTOS'!K$3:K$500)))</f>
        <v/>
      </c>
      <c r="CL32" s="132">
        <f>IF(OR(CL$4="",$B32=""),0,SUMIF('DADOS BRUTOS'!$A$3:$A$500,$B32,'DADOS BRUTOS'!L$3:L$500)+IF($C32="",0,SUMIF('DADOS BRUTOS'!$A$3:$A$500,$C32,'DADOS BRUTOS'!L$3:L$500)))</f>
        <v/>
      </c>
      <c r="CM32" s="132">
        <f>IF(OR(CM$4="",$B32=""),0,SUMIF('DADOS BRUTOS'!$A$3:$A$500,$B32,'DADOS BRUTOS'!M$3:M$500)+IF($C32="",0,SUMIF('DADOS BRUTOS'!$A$3:$A$500,$C32,'DADOS BRUTOS'!M$3:M$500)))</f>
        <v/>
      </c>
      <c r="CN32" s="132">
        <f>IF(OR(CN$4="",$B32=""),0,SUMIF('DADOS BRUTOS'!$A$3:$A$500,$B32,'DADOS BRUTOS'!N$3:N$500)+IF($C32="",0,SUMIF('DADOS BRUTOS'!$A$3:$A$500,$C32,'DADOS BRUTOS'!N$3:N$500)))</f>
        <v/>
      </c>
      <c r="CO32" s="132">
        <f>IF(OR(CO$4="",$B32=""),0,SUMIF('DADOS BRUTOS'!$A$3:$A$500,$B32,'DADOS BRUTOS'!O$3:O$500)+IF($C32="",0,SUMIF('DADOS BRUTOS'!$A$3:$A$500,$C32,'DADOS BRUTOS'!O$3:O$500)))</f>
        <v/>
      </c>
      <c r="CP32" s="132">
        <f>IF(OR(CP$4="",$B32=""),0,SUMIF('DADOS BRUTOS'!$A$3:$A$500,$B32,'DADOS BRUTOS'!P$3:P$500)+IF($C32="",0,SUMIF('DADOS BRUTOS'!$A$3:$A$500,$C32,'DADOS BRUTOS'!P$3:P$500)))</f>
        <v/>
      </c>
      <c r="CQ32" s="132">
        <f>IF(OR(CQ$4="",$B32=""),0,SUMIF('DADOS BRUTOS'!$A$3:$A$500,$B32,'DADOS BRUTOS'!Q$3:Q$500)+IF($C32="",0,SUMIF('DADOS BRUTOS'!$A$3:$A$500,$C32,'DADOS BRUTOS'!Q$3:Q$500)))</f>
        <v/>
      </c>
      <c r="CR32" s="132">
        <f>IF(OR(CR$4="",$B32=""),0,SUMIF('DADOS BRUTOS'!$A$3:$A$500,$B32,'DADOS BRUTOS'!R$3:R$500)+IF($C32="",0,SUMIF('DADOS BRUTOS'!$A$3:$A$500,$C32,'DADOS BRUTOS'!R$3:R$500)))</f>
        <v/>
      </c>
      <c r="CS32" s="132">
        <f>IF(OR(CS$4="",$B32=""),0,SUMIF('DADOS BRUTOS'!$A$3:$A$500,$B32,'DADOS BRUTOS'!S$3:S$500)+IF($C32="",0,SUMIF('DADOS BRUTOS'!$A$3:$A$500,$C32,'DADOS BRUTOS'!S$3:S$500)))</f>
        <v/>
      </c>
      <c r="CT32" s="132">
        <f>IF(OR(CT$4="",$B32=""),0,SUMIF('DADOS BRUTOS'!$A$3:$A$500,$B32,'DADOS BRUTOS'!T$3:T$500)+IF($C32="",0,SUMIF('DADOS BRUTOS'!$A$3:$A$500,$C32,'DADOS BRUTOS'!T$3:T$500)))</f>
        <v/>
      </c>
      <c r="CU32" s="132">
        <f>IF(OR(CU$4="",$B32=""),0,SUMIF('DADOS BRUTOS'!$A$3:$A$500,$B32,'DADOS BRUTOS'!U$3:U$500)+IF($C32="",0,SUMIF('DADOS BRUTOS'!$A$3:$A$500,$C32,'DADOS BRUTOS'!U$3:U$500)))</f>
        <v/>
      </c>
      <c r="CV32" s="132">
        <f>IF(OR(CV$4="",$B32=""),0,SUMIF('DADOS BRUTOS'!$A$3:$A$500,$B32,'DADOS BRUTOS'!V$3:V$500)+IF($C32="",0,SUMIF('DADOS BRUTOS'!$A$3:$A$500,$C32,'DADOS BRUTOS'!V$3:V$500)))</f>
        <v/>
      </c>
      <c r="CW32" s="132">
        <f>IF(OR(CW$4="",$B32=""),0,SUMIF('DADOS BRUTOS'!$A$3:$A$500,$B32,'DADOS BRUTOS'!W$3:W$500)+IF($C32="",0,SUMIF('DADOS BRUTOS'!$A$3:$A$500,$C32,'DADOS BRUTOS'!W$3:W$500)))</f>
        <v/>
      </c>
      <c r="CX32" s="132">
        <f>IF(OR(CX$4="",$B32=""),0,SUMIF('DADOS BRUTOS'!$A$3:$A$500,$B32,'DADOS BRUTOS'!X$3:X$500)+IF($C32="",0,SUMIF('DADOS BRUTOS'!$A$3:$A$500,$C32,'DADOS BRUTOS'!X$3:X$500)))</f>
        <v/>
      </c>
      <c r="CY32" s="132">
        <f>IF(OR(CY$4="",$B32=""),0,SUMIF('DADOS BRUTOS'!$A$3:$A$500,$B32,'DADOS BRUTOS'!Y$3:Y$500)+IF($C32="",0,SUMIF('DADOS BRUTOS'!$A$3:$A$500,$C32,'DADOS BRUTOS'!Y$3:Y$500)))</f>
        <v/>
      </c>
      <c r="CZ32" s="132">
        <f>IF(OR(CZ$4="",$B32=""),0,SUMIF('DADOS BRUTOS'!$A$3:$A$500,$B32,'DADOS BRUTOS'!Z$3:Z$500)+IF($C32="",0,SUMIF('DADOS BRUTOS'!$A$3:$A$500,$C32,'DADOS BRUTOS'!Z$3:Z$500)))</f>
        <v/>
      </c>
      <c r="DA32" s="132">
        <f>IF(OR(DA$4="",$B32=""),0,SUMIF('DADOS BRUTOS'!$A$3:$A$500,$B32,'DADOS BRUTOS'!AA$3:AA$500)+IF($C32="",0,SUMIF('DADOS BRUTOS'!$A$3:$A$500,$C32,'DADOS BRUTOS'!AA$3:AA$500)))</f>
        <v/>
      </c>
      <c r="DB32" s="132">
        <f>IF(OR(DB$4="",$B32=""),0,SUMIF('DADOS BRUTOS'!$A$3:$A$500,$B32,'DADOS BRUTOS'!AB$3:AB$500)+IF($C32="",0,SUMIF('DADOS BRUTOS'!$A$3:$A$500,$C32,'DADOS BRUTOS'!AB$3:AB$500)))</f>
        <v/>
      </c>
      <c r="DC32" s="132">
        <f>IF(OR(DC$4="",$B32=""),0,SUMIF('DADOS BRUTOS'!$A$3:$A$500,$B32,'DADOS BRUTOS'!AC$3:AC$500)+IF($C32="",0,SUMIF('DADOS BRUTOS'!$A$3:$A$500,$C32,'DADOS BRUTOS'!AC$3:AC$500)))</f>
        <v/>
      </c>
      <c r="DD32" s="132">
        <f>IF(OR(DD$4="",$B32=""),0,SUMIF('DADOS BRUTOS'!$A$3:$A$500,$B32,'DADOS BRUTOS'!AD$3:AD$500)+IF($C32="",0,SUMIF('DADOS BRUTOS'!$A$3:$A$500,$C32,'DADOS BRUTOS'!AD$3:AD$500)))</f>
        <v/>
      </c>
      <c r="DE32" s="132">
        <f>IF(OR(DE$4="",$B32=""),0,SUMIF('DADOS BRUTOS'!$A$3:$A$500,$B32,'DADOS BRUTOS'!AE$3:AE$500)+IF($C32="",0,SUMIF('DADOS BRUTOS'!$A$3:$A$500,$C32,'DADOS BRUTOS'!AE$3:AE$500)))</f>
        <v/>
      </c>
      <c r="DF32" s="132">
        <f>IF(OR(DF$4="",$B32=""),0,SUMIF('DADOS BRUTOS'!$A$3:$A$500,$B32,'DADOS BRUTOS'!AF$3:AF$500)+IF($C32="",0,SUMIF('DADOS BRUTOS'!$A$3:$A$500,$C32,'DADOS BRUTOS'!AF$3:AF$500)))</f>
        <v/>
      </c>
      <c r="DG32" s="132">
        <f>IF(OR(DG$4="",$B32=""),0,SUMIF('DADOS BRUTOS'!$A$3:$A$500,$B32,'DADOS BRUTOS'!AG$3:AG$500)+IF($C32="",0,SUMIF('DADOS BRUTOS'!$A$3:$A$500,$C32,'DADOS BRUTOS'!AG$3:AG$500)))</f>
        <v/>
      </c>
      <c r="DH32" s="132">
        <f>IF(OR(DH$4="",$B32=""),0,SUMIF('DADOS BRUTOS'!$A$3:$A$500,$B32,'DADOS BRUTOS'!AH$3:AH$500)+IF($C32="",0,SUMIF('DADOS BRUTOS'!$A$3:$A$500,$C32,'DADOS BRUTOS'!AH$3:AH$500)))</f>
        <v/>
      </c>
      <c r="DI32" s="132">
        <f>IF(OR(DI$4="",$B32=""),0,SUMIF('DADOS BRUTOS'!$A$3:$A$500,$B32,'DADOS BRUTOS'!AI$3:AI$500)+IF($C32="",0,SUMIF('DADOS BRUTOS'!$A$3:$A$500,$C32,'DADOS BRUTOS'!AI$3:AI$500)))</f>
        <v/>
      </c>
      <c r="DJ32" s="132">
        <f>IF(OR(DJ$4="",$B32=""),0,SUMIF('DADOS BRUTOS'!$A$3:$A$500,$B32,'DADOS BRUTOS'!AJ$3:AJ$500)+IF($C32="",0,SUMIF('DADOS BRUTOS'!$A$3:$A$500,$C32,'DADOS BRUTOS'!AJ$3:AJ$500)))</f>
        <v/>
      </c>
      <c r="DK32" s="132">
        <f>IF(OR(DK$4="",$B32=""),0,SUMIF('DADOS BRUTOS'!$A$3:$A$500,$B32,'DADOS BRUTOS'!AK$3:AK$500)+IF($C32="",0,SUMIF('DADOS BRUTOS'!$A$3:$A$500,$C32,'DADOS BRUTOS'!AK$3:AK$500)))</f>
        <v/>
      </c>
      <c r="DL32" s="132">
        <f>IF(OR(DL$4="",$B32=""),0,SUMIF('DADOS BRUTOS'!$A$3:$A$500,$B32,'DADOS BRUTOS'!AL$3:AL$500)+IF($C32="",0,SUMIF('DADOS BRUTOS'!$A$3:$A$500,$C32,'DADOS BRUTOS'!AL$3:AL$500)))</f>
        <v/>
      </c>
      <c r="DM32" s="132">
        <f>IF(OR(DM$4="",$B32=""),0,SUMIF('DADOS BRUTOS'!$A$3:$A$500,$B32,'DADOS BRUTOS'!AM$3:AM$500)+IF($C32="",0,SUMIF('DADOS BRUTOS'!$A$3:$A$500,$C32,'DADOS BRUTOS'!AM$3:AM$500)))</f>
        <v/>
      </c>
      <c r="DN32" s="132">
        <f>IF(OR(DN$4="",$B32=""),0,SUMIF('DADOS BRUTOS'!$A$3:$A$500,$B32,'DADOS BRUTOS'!AN$3:AN$500)+IF($C32="",0,SUMIF('DADOS BRUTOS'!$A$3:$A$500,$C32,'DADOS BRUTOS'!AN$3:AN$500)))</f>
        <v/>
      </c>
      <c r="DO32" s="132">
        <f>IF(OR(DO$4="",$B32=""),0,SUMIF('DADOS BRUTOS'!$A$3:$A$500,$B32,'DADOS BRUTOS'!AO$3:AO$500)+IF($C32="",0,SUMIF('DADOS BRUTOS'!$A$3:$A$500,$C32,'DADOS BRUTOS'!AO$3:AO$500)))</f>
        <v/>
      </c>
      <c r="DP32" s="132">
        <f>IF(OR(DP$4="",$B32=""),0,SUMIF('DADOS BRUTOS'!$A$3:$A$500,$B32,'DADOS BRUTOS'!AP$3:AP$500)+IF($C32="",0,SUMIF('DADOS BRUTOS'!$A$3:$A$500,$C32,'DADOS BRUTOS'!AP$3:AP$500)))</f>
        <v/>
      </c>
      <c r="DQ32" s="132">
        <f>IF(OR(DQ$4="",$B32=""),0,SUMIF('DADOS BRUTOS'!$A$3:$A$500,$B32,'DADOS BRUTOS'!AQ$3:AQ$500)+IF($C32="",0,SUMIF('DADOS BRUTOS'!$A$3:$A$500,$C32,'DADOS BRUTOS'!AQ$3:AQ$500)))</f>
        <v/>
      </c>
      <c r="DR32" s="132">
        <f>IF(OR(DR$4="",$B32=""),0,SUMIF('DADOS BRUTOS'!$A$3:$A$500,$B32,'DADOS BRUTOS'!AR$3:AR$500)+IF($C32="",0,SUMIF('DADOS BRUTOS'!$A$3:$A$500,$C32,'DADOS BRUTOS'!AR$3:AR$500)))</f>
        <v/>
      </c>
      <c r="DS32" s="132">
        <f>IF(OR(DS$4="",$B32=""),0,SUMIF('DADOS BRUTOS'!$A$3:$A$500,$B32,'DADOS BRUTOS'!AS$3:AS$500)+IF($C32="",0,SUMIF('DADOS BRUTOS'!$A$3:$A$500,$C32,'DADOS BRUTOS'!AS$3:AS$500)))</f>
        <v/>
      </c>
      <c r="DT32" s="132">
        <f>IF(OR(DT$4="",$B32=""),0,SUMIF('DADOS BRUTOS'!$A$3:$A$500,$B32,'DADOS BRUTOS'!AT$3:AT$500)+IF($C32="",0,SUMIF('DADOS BRUTOS'!$A$3:$A$500,$C32,'DADOS BRUTOS'!AT$3:AT$500)))</f>
        <v/>
      </c>
      <c r="DU32" s="132">
        <f>IF(OR(DU$4="",$B32=""),0,SUMIF('DADOS BRUTOS'!$A$3:$A$500,$B32,'DADOS BRUTOS'!AU$3:AU$500)+IF($C32="",0,SUMIF('DADOS BRUTOS'!$A$3:$A$500,$C32,'DADOS BRUTOS'!AU$3:AU$500)))</f>
        <v/>
      </c>
      <c r="DV32" s="132">
        <f>IF(OR(DV$4="",$B32=""),0,SUMIF('DADOS BRUTOS'!$A$3:$A$500,$B32,'DADOS BRUTOS'!AV$3:AV$500)+IF($C32="",0,SUMIF('DADOS BRUTOS'!$A$3:$A$500,$C32,'DADOS BRUTOS'!AV$3:AV$500)))</f>
        <v/>
      </c>
      <c r="DW32" s="132">
        <f>IF(OR(DW$4="",$B32=""),0,SUMIF('DADOS BRUTOS'!$A$3:$A$500,$B32,'DADOS BRUTOS'!AW$3:AW$500)+IF($C32="",0,SUMIF('DADOS BRUTOS'!$A$3:$A$500,$C32,'DADOS BRUTOS'!AW$3:AW$500)))</f>
        <v/>
      </c>
      <c r="DX32" s="132">
        <f>IF(OR(DX$4="",$B32=""),0,SUMIF('DADOS BRUTOS'!$A$3:$A$500,$B32,'DADOS BRUTOS'!AX$3:AX$500)+IF($C32="",0,SUMIF('DADOS BRUTOS'!$A$3:$A$500,$C32,'DADOS BRUTOS'!AX$3:AX$500)))</f>
        <v/>
      </c>
      <c r="DY32" s="132">
        <f>IF(OR(DY$4="",$B32=""),0,SUMIF('DADOS BRUTOS'!$A$3:$A$500,$B32,'DADOS BRUTOS'!AY$3:AY$500)+IF($C32="",0,SUMIF('DADOS BRUTOS'!$A$3:$A$500,$C32,'DADOS BRUTOS'!AY$3:AY$500)))</f>
        <v/>
      </c>
      <c r="DZ32" s="132">
        <f>IF(OR(DZ$4="",$B32=""),0,SUMIF('DADOS BRUTOS'!$A$3:$A$500,$B32,'DADOS BRUTOS'!AZ$3:AZ$500)+IF($C32="",0,SUMIF('DADOS BRUTOS'!$A$3:$A$500,$C32,'DADOS BRUTOS'!AZ$3:AZ$500)))</f>
        <v/>
      </c>
      <c r="EA32" s="132">
        <f>IF(OR(EA$4="",$B32=""),0,SUMIF('DADOS BRUTOS'!$A$3:$A$500,$B32,'DADOS BRUTOS'!BA$3:BA$500)+IF($C32="",0,SUMIF('DADOS BRUTOS'!$A$3:$A$500,$C32,'DADOS BRUTOS'!BA$3:BA$500)))</f>
        <v/>
      </c>
      <c r="EB32" s="132">
        <f>IF(OR(EB$4="",$B32=""),0,SUMIF('DADOS BRUTOS'!$A$3:$A$500,$B32,'DADOS BRUTOS'!BB$3:BB$500)+IF($C32="",0,SUMIF('DADOS BRUTOS'!$A$3:$A$500,$C32,'DADOS BRUTOS'!BB$3:BB$500)))</f>
        <v/>
      </c>
      <c r="EC32" s="132">
        <f>IF(OR(EC$4="",$B32=""),0,SUMIF('DADOS BRUTOS'!$A$3:$A$500,$B32,'DADOS BRUTOS'!BC$3:BC$500)+IF($C32="",0,SUMIF('DADOS BRUTOS'!$A$3:$A$500,$C32,'DADOS BRUTOS'!BC$3:BC$500)))</f>
        <v/>
      </c>
      <c r="ED32" s="132">
        <f>IF(OR(ED$4="",$B32=""),0,SUMIF('DADOS BRUTOS'!$A$3:$A$500,$B32,'DADOS BRUTOS'!BD$3:BD$500)+IF($C32="",0,SUMIF('DADOS BRUTOS'!$A$3:$A$500,$C32,'DADOS BRUTOS'!BD$3:BD$500)))</f>
        <v/>
      </c>
      <c r="EE32" s="132">
        <f>IF(OR(EE$4="",$B32=""),0,SUMIF('DADOS BRUTOS'!$A$3:$A$500,$B32,'DADOS BRUTOS'!BE$3:BE$500)+IF($C32="",0,SUMIF('DADOS BRUTOS'!$A$3:$A$500,$C32,'DADOS BRUTOS'!BE$3:BE$500)))</f>
        <v/>
      </c>
      <c r="EF32" s="132">
        <f>IF(OR(EF$4="",$B32=""),0,SUMIF('DADOS BRUTOS'!$A$3:$A$500,$B32,'DADOS BRUTOS'!BF$3:BF$500)+IF($C32="",0,SUMIF('DADOS BRUTOS'!$A$3:$A$500,$C32,'DADOS BRUTOS'!BF$3:BF$500)))</f>
        <v/>
      </c>
      <c r="EG32" s="132">
        <f>IF(OR(EG$4="",$B32=""),0,SUMIF('DADOS BRUTOS'!$A$3:$A$500,$B32,'DADOS BRUTOS'!BG$3:BG$500)+IF($C32="",0,SUMIF('DADOS BRUTOS'!$A$3:$A$500,$C32,'DADOS BRUTOS'!BG$3:BG$500)))</f>
        <v/>
      </c>
      <c r="EH32" s="132">
        <f>IF(OR(EH$4="",$B32=""),0,SUMIF('DADOS BRUTOS'!$A$3:$A$500,$B32,'DADOS BRUTOS'!BH$3:BH$500)+IF($C32="",0,SUMIF('DADOS BRUTOS'!$A$3:$A$500,$C32,'DADOS BRUTOS'!BH$3:BH$500)))</f>
        <v/>
      </c>
      <c r="EI32" s="132">
        <f>IF(OR(EI$4="",$B32=""),0,SUMIF('DADOS BRUTOS'!$A$3:$A$500,$B32,'DADOS BRUTOS'!BI$3:BI$500)+IF($C32="",0,SUMIF('DADOS BRUTOS'!$A$3:$A$500,$C32,'DADOS BRUTOS'!BI$3:BI$500)))</f>
        <v/>
      </c>
      <c r="EJ32" s="132">
        <f>IF(OR(EJ$4="",$B32=""),0,SUMIF('DADOS BRUTOS'!$A$3:$A$500,$B32,'DADOS BRUTOS'!BJ$3:BJ$500)+IF($C32="",0,SUMIF('DADOS BRUTOS'!$A$3:$A$500,$C32,'DADOS BRUTOS'!BJ$3:BJ$500)))</f>
        <v/>
      </c>
      <c r="EK32" s="132">
        <f>IF(OR(EK$4="",$B32=""),0,SUMIF('DADOS BRUTOS'!$A$3:$A$500,$B32,'DADOS BRUTOS'!BK$3:BK$500)+IF($C32="",0,SUMIF('DADOS BRUTOS'!$A$3:$A$500,$C32,'DADOS BRUTOS'!BK$3:BK$500)))</f>
        <v/>
      </c>
      <c r="EL32" s="132">
        <f>IF(OR(EL$4="",$B32=""),0,SUMIF('DADOS BRUTOS'!$A$3:$A$500,$B32,'DADOS BRUTOS'!BL$3:BL$500)+IF($C32="",0,SUMIF('DADOS BRUTOS'!$A$3:$A$500,$C32,'DADOS BRUTOS'!BL$3:BL$500)))</f>
        <v/>
      </c>
      <c r="EM32" s="132">
        <f>IF(OR(EM$4="",$B32=""),0,SUMIF('DADOS BRUTOS'!$A$3:$A$500,$B32,'DADOS BRUTOS'!BM$3:BM$500)+IF($C32="",0,SUMIF('DADOS BRUTOS'!$A$3:$A$500,$C32,'DADOS BRUTOS'!BM$3:BM$500)))</f>
        <v/>
      </c>
      <c r="EN32" s="132">
        <f>IF(OR(EN$4="",$B32=""),0,SUMIF('DADOS BRUTOS'!$A$3:$A$500,$B32,'DADOS BRUTOS'!BN$3:BN$500)+IF($C32="",0,SUMIF('DADOS BRUTOS'!$A$3:$A$500,$C32,'DADOS BRUTOS'!BN$3:BN$500)))</f>
        <v/>
      </c>
      <c r="EO32" s="132">
        <f>IF(OR(EO$4="",$B32=""),0,SUMIF('DADOS BRUTOS'!$A$3:$A$500,$B32,'DADOS BRUTOS'!BO$3:BO$500)+IF($C32="",0,SUMIF('DADOS BRUTOS'!$A$3:$A$500,$C32,'DADOS BRUTOS'!BO$3:BO$500)))</f>
        <v/>
      </c>
      <c r="EP32" s="132">
        <f>IF(OR(EP$4="",$B32=""),0,SUMIF('DADOS BRUTOS'!$A$3:$A$500,$B32,'DADOS BRUTOS'!BP$3:BP$500)+IF($C32="",0,SUMIF('DADOS BRUTOS'!$A$3:$A$500,$C32,'DADOS BRUTOS'!BP$3:BP$500)))</f>
        <v/>
      </c>
      <c r="EQ32" s="132">
        <f>IF(OR(EQ$4="",$B32=""),0,SUMIF('DADOS BRUTOS'!$A$3:$A$500,$B32,'DADOS BRUTOS'!BQ$3:BQ$500)+IF($C32="",0,SUMIF('DADOS BRUTOS'!$A$3:$A$500,$C32,'DADOS BRUTOS'!BQ$3:BQ$500)))</f>
        <v/>
      </c>
      <c r="ER32" s="132">
        <f>IF(OR(ER$4="",$B32=""),0,SUMIF('DADOS BRUTOS'!$A$3:$A$500,$B32,'DADOS BRUTOS'!BR$3:BR$500)+IF($C32="",0,SUMIF('DADOS BRUTOS'!$A$3:$A$500,$C32,'DADOS BRUTOS'!BR$3:BR$500)))</f>
        <v/>
      </c>
      <c r="ES32" s="132">
        <f>IF(OR(ES$4="",$B32=""),0,SUMIF('DADOS BRUTOS'!$A$3:$A$500,$B32,'DADOS BRUTOS'!BS$3:BS$500)+IF($C32="",0,SUMIF('DADOS BRUTOS'!$A$3:$A$500,$C32,'DADOS BRUTOS'!BS$3:BS$500)))</f>
        <v/>
      </c>
      <c r="ET32" s="132">
        <f>IF(OR(ET$4="",$B32=""),0,SUMIF('DADOS BRUTOS'!$A$3:$A$500,$B32,'DADOS BRUTOS'!BT$3:BT$500)+IF($C32="",0,SUMIF('DADOS BRUTOS'!$A$3:$A$500,$C32,'DADOS BRUTOS'!BT$3:BT$500)))</f>
        <v/>
      </c>
      <c r="EU32" s="132">
        <f>IF(OR(EU$4="",$B32=""),0,SUMIF('DADOS BRUTOS'!$A$3:$A$500,$B32,'DADOS BRUTOS'!BU$3:BU$500)+IF($C32="",0,SUMIF('DADOS BRUTOS'!$A$3:$A$500,$C32,'DADOS BRUTOS'!BU$3:BU$500)))</f>
        <v/>
      </c>
      <c r="EV32" s="132">
        <f>IF(OR(EV$4="",$B32=""),0,SUMIF('DADOS BRUTOS'!$A$3:$A$500,$B32,'DADOS BRUTOS'!BV$3:BV$500)+IF($C32="",0,SUMIF('DADOS BRUTOS'!$A$3:$A$500,$C32,'DADOS BRUTOS'!BV$3:BV$500)))</f>
        <v/>
      </c>
      <c r="EW32" s="132">
        <f>IF(OR(EW$4="",$B32=""),0,SUMIF('DADOS BRUTOS'!$A$3:$A$500,$B32,'DADOS BRUTOS'!BW$3:BW$500)+IF($C32="",0,SUMIF('DADOS BRUTOS'!$A$3:$A$500,$C32,'DADOS BRUTOS'!BW$3:BW$500)))</f>
        <v/>
      </c>
      <c r="EX32" s="132">
        <f>IF(OR(EX$4="",$B32=""),0,SUMIF('DADOS BRUTOS'!$A$3:$A$500,$B32,'DADOS BRUTOS'!BX$3:BX$500)+IF($C32="",0,SUMIF('DADOS BRUTOS'!$A$3:$A$500,$C32,'DADOS BRUTOS'!BX$3:BX$500)))</f>
        <v/>
      </c>
      <c r="EY32" s="132">
        <f>IF(OR(EY$4="",$B32=""),0,SUMIF('DADOS BRUTOS'!$A$3:$A$500,$B32,'DADOS BRUTOS'!BY$3:BY$500)+IF($C32="",0,SUMIF('DADOS BRUTOS'!$A$3:$A$500,$C32,'DADOS BRUTOS'!BY$3:BY$500)))</f>
        <v/>
      </c>
      <c r="EZ32" s="132">
        <f>IF(OR(EZ$4="",$B32=""),0,SUMIF('DADOS BRUTOS'!$A$3:$A$500,$B32,'DADOS BRUTOS'!BZ$3:BZ$500)+IF($C32="",0,SUMIF('DADOS BRUTOS'!$A$3:$A$500,$C32,'DADOS BRUTOS'!BZ$3:BZ$500)))</f>
        <v/>
      </c>
      <c r="FA32" s="132">
        <f>IF(OR(FA$4="",$B32=""),0,SUMIF('DADOS BRUTOS'!$A$3:$A$500,$B32,'DADOS BRUTOS'!CA$3:CA$500)+IF($C32="",0,SUMIF('DADOS BRUTOS'!$A$3:$A$500,$C32,'DADOS BRUTOS'!CA$3:CA$500)))</f>
        <v/>
      </c>
      <c r="FB32" s="132">
        <f>IF(OR(FB$4="",$B32=""),0,SUMIF('DADOS BRUTOS'!$A$3:$A$500,$B32,'DADOS BRUTOS'!CB$3:CB$500)+IF($C32="",0,SUMIF('DADOS BRUTOS'!$A$3:$A$500,$C32,'DADOS BRUTOS'!CB$3:CB$500)))</f>
        <v/>
      </c>
      <c r="FC32" s="132">
        <f>IF(OR(FC$4="",$B32=""),0,SUMIF('DADOS BRUTOS'!$A$3:$A$500,$B32,'DADOS BRUTOS'!CC$3:CC$500)+IF($C32="",0,SUMIF('DADOS BRUTOS'!$A$3:$A$500,$C32,'DADOS BRUTOS'!CC$3:CC$500)))</f>
        <v/>
      </c>
      <c r="FD32" s="132">
        <f>IF(OR(FD$4="",$B32=""),0,SUMIF('DADOS BRUTOS'!$A$3:$A$500,$B32,'DADOS BRUTOS'!CD$3:CD$500)+IF($C32="",0,SUMIF('DADOS BRUTOS'!$A$3:$A$500,$C32,'DADOS BRUTOS'!CD$3:CD$500)))</f>
        <v/>
      </c>
      <c r="FE32" s="132">
        <f>IF(OR(FE$4="",$B32=""),0,SUMIF('DADOS BRUTOS'!$A$3:$A$500,$B32,'DADOS BRUTOS'!CE$3:CE$500)+IF($C32="",0,SUMIF('DADOS BRUTOS'!$A$3:$A$500,$C32,'DADOS BRUTOS'!CE$3:CE$500)))</f>
        <v/>
      </c>
      <c r="FF32" s="132">
        <f>IF(OR(FF$4="",$B32=""),0,SUMIF('DADOS BRUTOS'!$A$3:$A$500,$B32,'DADOS BRUTOS'!CF$3:CF$500)+IF($C32="",0,SUMIF('DADOS BRUTOS'!$A$3:$A$500,$C32,'DADOS BRUTOS'!CF$3:CF$500)))</f>
        <v/>
      </c>
      <c r="FG32" s="132">
        <f>IF(OR(FG$4="",$B32=""),0,SUMIF('DADOS BRUTOS'!$A$3:$A$500,$B32,'DADOS BRUTOS'!CG$3:CG$500)+IF($C32="",0,SUMIF('DADOS BRUTOS'!$A$3:$A$500,$C32,'DADOS BRUTOS'!CG$3:CG$500)))</f>
        <v/>
      </c>
      <c r="FH32" s="132">
        <f>IF(OR(FH$4="",$B32=""),0,SUMIF('DADOS BRUTOS'!$A$3:$A$500,$B32,'DADOS BRUTOS'!CH$3:CH$500)+IF($C32="",0,SUMIF('DADOS BRUTOS'!$A$3:$A$500,$C32,'DADOS BRUTOS'!CH$3:CH$500)))</f>
        <v/>
      </c>
      <c r="FI32" s="132">
        <f>IF(OR(FI$4="",$B32=""),0,SUMIF('DADOS BRUTOS'!$A$3:$A$500,$B32,'DADOS BRUTOS'!CI$3:CI$500)+IF($C32="",0,SUMIF('DADOS BRUTOS'!$A$3:$A$500,$C32,'DADOS BRUTOS'!CI$3:CI$500)))</f>
        <v/>
      </c>
      <c r="FJ32" s="132">
        <f>IF(OR(FJ$4="",$B32=""),0,SUMIF('DADOS BRUTOS'!$A$3:$A$500,$B32,'DADOS BRUTOS'!CJ$3:CJ$500)+IF($C32="",0,SUMIF('DADOS BRUTOS'!$A$3:$A$500,$C32,'DADOS BRUTOS'!CJ$3:CJ$500)))</f>
        <v/>
      </c>
      <c r="FK32" s="132">
        <f>IF(OR(FK$4="",$B32=""),0,SUMIF('DADOS BRUTOS'!$A$3:$A$500,$B32,'DADOS BRUTOS'!CK$3:CK$500)+IF($C32="",0,SUMIF('DADOS BRUTOS'!$A$3:$A$500,$C32,'DADOS BRUTOS'!CK$3:CK$500)))</f>
        <v/>
      </c>
      <c r="FL32" s="132">
        <f>IF(OR(FL$4="",$B32=""),0,SUMIF('DADOS BRUTOS'!$A$3:$A$500,$B32,'DADOS BRUTOS'!CL$3:CL$500)+IF($C32="",0,SUMIF('DADOS BRUTOS'!$A$3:$A$500,$C32,'DADOS BRUTOS'!CL$3:CL$500)))</f>
        <v/>
      </c>
      <c r="FM32" s="132">
        <f>IF(OR(FM$4="",$B32=""),0,SUMIF('DADOS BRUTOS'!$A$3:$A$500,$B32,'DADOS BRUTOS'!CM$3:CM$500)+IF($C32="",0,SUMIF('DADOS BRUTOS'!$A$3:$A$500,$C32,'DADOS BRUTOS'!CM$3:CM$500)))</f>
        <v/>
      </c>
      <c r="FN32" s="132">
        <f>IF(OR(FN$4="",$B32=""),0,SUMIF('DADOS BRUTOS'!$A$3:$A$500,$B32,'DADOS BRUTOS'!CN$3:CN$500)+IF($C32="",0,SUMIF('DADOS BRUTOS'!$A$3:$A$500,$C32,'DADOS BRUTOS'!CN$3:CN$500)))</f>
        <v/>
      </c>
      <c r="FO32" s="132">
        <f>IF(OR(FO$4="",$B32=""),0,SUMIF('DADOS BRUTOS'!$A$3:$A$500,$B32,'DADOS BRUTOS'!CO$3:CO$500)+IF($C32="",0,SUMIF('DADOS BRUTOS'!$A$3:$A$500,$C32,'DADOS BRUTOS'!CO$3:CO$500)))</f>
        <v/>
      </c>
      <c r="FP32" s="132">
        <f>IF(OR(FP$4="",$B32=""),0,SUMIF('DADOS BRUTOS'!$A$3:$A$500,$B32,'DADOS BRUTOS'!CP$3:CP$500)+IF($C32="",0,SUMIF('DADOS BRUTOS'!$A$3:$A$500,$C32,'DADOS BRUTOS'!CP$3:CP$500)))</f>
        <v/>
      </c>
      <c r="FQ32" s="132">
        <f>IF(OR(FQ$4="",$B32=""),0,SUMIF('DADOS BRUTOS'!$A$3:$A$500,$B32,'DADOS BRUTOS'!CQ$3:CQ$500)+IF($C32="",0,SUMIF('DADOS BRUTOS'!$A$3:$A$500,$C32,'DADOS BRUTOS'!CQ$3:CQ$500)))</f>
        <v/>
      </c>
      <c r="FR32" s="132">
        <f>IF(OR(FR$4="",$B32=""),0,SUMIF('DADOS BRUTOS'!$A$3:$A$500,$B32,'DADOS BRUTOS'!CR$3:CR$500)+IF($C32="",0,SUMIF('DADOS BRUTOS'!$A$3:$A$500,$C32,'DADOS BRUTOS'!CR$3:CR$500)))</f>
        <v/>
      </c>
      <c r="FS32" s="132">
        <f>IF(OR(FS$4="",$B32=""),0,SUMIF('DADOS BRUTOS'!$A$3:$A$500,$B32,'DADOS BRUTOS'!CS$3:CS$500)+IF($C32="",0,SUMIF('DADOS BRUTOS'!$A$3:$A$500,$C32,'DADOS BRUTOS'!CS$3:CS$500)))</f>
        <v/>
      </c>
      <c r="FT32" s="132">
        <f>IF(OR(FT$4="",$B32=""),0,SUMIF('DADOS BRUTOS'!$A$3:$A$500,$B32,'DADOS BRUTOS'!CT$3:CT$500)+IF($C32="",0,SUMIF('DADOS BRUTOS'!$A$3:$A$500,$C32,'DADOS BRUTOS'!CT$3:CT$500)))</f>
        <v/>
      </c>
      <c r="FU32" s="132">
        <f>IF(OR(FU$4="",$B32=""),0,SUMIF('DADOS BRUTOS'!$A$3:$A$500,$B32,'DADOS BRUTOS'!CU$3:CU$500)+IF($C32="",0,SUMIF('DADOS BRUTOS'!$A$3:$A$500,$C32,'DADOS BRUTOS'!CU$3:CU$500)))</f>
        <v/>
      </c>
      <c r="FV32" s="132">
        <f>IF(OR(FV$4="",$B32=""),0,SUMIF('DADOS BRUTOS'!$A$3:$A$500,$B32,'DADOS BRUTOS'!CV$3:CV$500)+IF($C32="",0,SUMIF('DADOS BRUTOS'!$A$3:$A$500,$C32,'DADOS BRUTOS'!CV$3:CV$500)))</f>
        <v/>
      </c>
      <c r="FW32" s="132">
        <f>IF(OR(FW$4="",$B32=""),0,SUMIF('DADOS BRUTOS'!$A$3:$A$500,$B32,'DADOS BRUTOS'!CW$3:CW$500)+IF($C32="",0,SUMIF('DADOS BRUTOS'!$A$3:$A$500,$C32,'DADOS BRUTOS'!CW$3:CW$500)))</f>
        <v/>
      </c>
      <c r="FX32" s="132">
        <f>IF(OR(FX$4="",$B32=""),0,SUMIF('DADOS BRUTOS'!$A$3:$A$500,$B32,'DADOS BRUTOS'!CX$3:CX$500)+IF($C32="",0,SUMIF('DADOS BRUTOS'!$A$3:$A$500,$C32,'DADOS BRUTOS'!CX$3:CX$500)))</f>
        <v/>
      </c>
      <c r="FY32" s="132">
        <f>IF(OR(FY$4="",$B32=""),0,SUMIF('DADOS BRUTOS'!$A$3:$A$500,$B32,'DADOS BRUTOS'!CY$3:CY$500)+IF($C32="",0,SUMIF('DADOS BRUTOS'!$A$3:$A$500,$C32,'DADOS BRUTOS'!CY$3:CY$500)))</f>
        <v/>
      </c>
      <c r="FZ32" s="132">
        <f>IF(OR(FZ$4="",$B32=""),0,SUMIF('DADOS BRUTOS'!$A$3:$A$500,$B32,'DADOS BRUTOS'!CZ$3:CZ$500)+IF($C32="",0,SUMIF('DADOS BRUTOS'!$A$3:$A$500,$C32,'DADOS BRUTOS'!CZ$3:CZ$500)))</f>
        <v/>
      </c>
      <c r="GA32" s="132">
        <f>IF(OR(GA$4="",$B32=""),0,SUMIF('DADOS BRUTOS'!$A$3:$A$500,$B32,'DADOS BRUTOS'!DA$3:DA$500)+IF($C32="",0,SUMIF('DADOS BRUTOS'!$A$3:$A$500,$C32,'DADOS BRUTOS'!DA$3:DA$500)))</f>
        <v/>
      </c>
      <c r="GB32" s="132">
        <f>IF(OR(GB$4="",$B32=""),0,SUMIF('DADOS BRUTOS'!$A$3:$A$500,$B32,'DADOS BRUTOS'!DB$3:DB$500)+IF($C32="",0,SUMIF('DADOS BRUTOS'!$A$3:$A$500,$C32,'DADOS BRUTOS'!DB$3:DB$500)))</f>
        <v/>
      </c>
      <c r="GC32" s="132">
        <f>IF(OR(GC$4="",$B32=""),0,SUMIF('DADOS BRUTOS'!$A$3:$A$500,$B32,'DADOS BRUTOS'!DC$3:DC$500)+IF($C32="",0,SUMIF('DADOS BRUTOS'!$A$3:$A$500,$C32,'DADOS BRUTOS'!DC$3:DC$500)))</f>
        <v/>
      </c>
      <c r="GD32" s="132">
        <f>IF(OR(GD$4="",$B32=""),0,SUMIF('DADOS BRUTOS'!$A$3:$A$500,$B32,'DADOS BRUTOS'!DD$3:DD$500)+IF($C32="",0,SUMIF('DADOS BRUTOS'!$A$3:$A$500,$C32,'DADOS BRUTOS'!DD$3:DD$500)))</f>
        <v/>
      </c>
      <c r="GE32" s="132">
        <f>IF(OR(GE$4="",$B32=""),0,SUMIF('DADOS BRUTOS'!$A$3:$A$500,$B32,'DADOS BRUTOS'!DE$3:DE$500)+IF($C32="",0,SUMIF('DADOS BRUTOS'!$A$3:$A$500,$C32,'DADOS BRUTOS'!DE$3:DE$500)))</f>
        <v/>
      </c>
      <c r="GF32" s="132">
        <f>IF(OR(GF$4="",$B32=""),0,SUMIF('DADOS BRUTOS'!$A$3:$A$500,$B32,'DADOS BRUTOS'!DF$3:DF$500)+IF($C32="",0,SUMIF('DADOS BRUTOS'!$A$3:$A$500,$C32,'DADOS BRUTOS'!DF$3:DF$500)))</f>
        <v/>
      </c>
      <c r="GG32" s="132">
        <f>IF(OR(GG$4="",$B32=""),0,SUMIF('DADOS BRUTOS'!$A$3:$A$500,$B32,'DADOS BRUTOS'!DG$3:DG$500)+IF($C32="",0,SUMIF('DADOS BRUTOS'!$A$3:$A$500,$C32,'DADOS BRUTOS'!DG$3:DG$500)))</f>
        <v/>
      </c>
      <c r="GH32" s="132">
        <f>IF(OR(GH$4="",$B32=""),0,SUMIF('DADOS BRUTOS'!$A$3:$A$500,$B32,'DADOS BRUTOS'!DH$3:DH$500)+IF($C32="",0,SUMIF('DADOS BRUTOS'!$A$3:$A$500,$C32,'DADOS BRUTOS'!DH$3:DH$500)))</f>
        <v/>
      </c>
      <c r="GI32" s="132">
        <f>IF(OR(GI$4="",$B32=""),0,SUMIF('DADOS BRUTOS'!$A$3:$A$500,$B32,'DADOS BRUTOS'!DI$3:DI$500)+IF($C32="",0,SUMIF('DADOS BRUTOS'!$A$3:$A$500,$C32,'DADOS BRUTOS'!DI$3:DI$500)))</f>
        <v/>
      </c>
      <c r="GJ32" s="132">
        <f>IF(OR(GJ$4="",$B32=""),0,SUMIF('DADOS BRUTOS'!$A$3:$A$500,$B32,'DADOS BRUTOS'!DJ$3:DJ$500)+IF($C32="",0,SUMIF('DADOS BRUTOS'!$A$3:$A$500,$C32,'DADOS BRUTOS'!DJ$3:DJ$500)))</f>
        <v/>
      </c>
      <c r="GK32" s="132">
        <f>IF(OR(GK$4="",$B32=""),0,SUMIF('DADOS BRUTOS'!$A$3:$A$500,$B32,'DADOS BRUTOS'!DK$3:DK$500)+IF($C32="",0,SUMIF('DADOS BRUTOS'!$A$3:$A$500,$C32,'DADOS BRUTOS'!DK$3:DK$500)))</f>
        <v/>
      </c>
      <c r="GL32" s="132">
        <f>IF(OR(GL$4="",$B32=""),0,SUMIF('DADOS BRUTOS'!$A$3:$A$500,$B32,'DADOS BRUTOS'!DL$3:DL$500)+IF($C32="",0,SUMIF('DADOS BRUTOS'!$A$3:$A$500,$C32,'DADOS BRUTOS'!DL$3:DL$500)))</f>
        <v/>
      </c>
      <c r="GM32" s="132">
        <f>IF(OR(GM$4="",$B32=""),0,SUMIF('DADOS BRUTOS'!$A$3:$A$500,$B32,'DADOS BRUTOS'!DM$3:DM$500)+IF($C32="",0,SUMIF('DADOS BRUTOS'!$A$3:$A$500,$C32,'DADOS BRUTOS'!DM$3:DM$500)))</f>
        <v/>
      </c>
      <c r="GN32" s="132">
        <f>IF(OR(GN$4="",$B32=""),0,SUMIF('DADOS BRUTOS'!$A$3:$A$500,$B32,'DADOS BRUTOS'!DN$3:DN$500)+IF($C32="",0,SUMIF('DADOS BRUTOS'!$A$3:$A$500,$C32,'DADOS BRUTOS'!DN$3:DN$500)))</f>
        <v/>
      </c>
      <c r="GO32" s="132">
        <f>IF(OR(GO$4="",$B32=""),0,SUMIF('DADOS BRUTOS'!$A$3:$A$500,$B32,'DADOS BRUTOS'!DO$3:DO$500)+IF($C32="",0,SUMIF('DADOS BRUTOS'!$A$3:$A$500,$C32,'DADOS BRUTOS'!DO$3:DO$500)))</f>
        <v/>
      </c>
      <c r="GP32" s="132">
        <f>IF(OR(GP$4="",$B32=""),0,SUMIF('DADOS BRUTOS'!$A$3:$A$500,$B32,'DADOS BRUTOS'!DP$3:DP$500)+IF($C32="",0,SUMIF('DADOS BRUTOS'!$A$3:$A$500,$C32,'DADOS BRUTOS'!DP$3:DP$500)))</f>
        <v/>
      </c>
      <c r="GQ32" s="132">
        <f>IF(OR(GQ$4="",$B32=""),0,SUMIF('DADOS BRUTOS'!$A$3:$A$500,$B32,'DADOS BRUTOS'!DQ$3:DQ$500)+IF($C32="",0,SUMIF('DADOS BRUTOS'!$A$3:$A$500,$C32,'DADOS BRUTOS'!DQ$3:DQ$500)))</f>
        <v/>
      </c>
      <c r="GR32" s="132">
        <f>IF(OR(GR$4="",$B32=""),0,SUMIF('DADOS BRUTOS'!$A$3:$A$500,$B32,'DADOS BRUTOS'!DR$3:DR$500)+IF($C32="",0,SUMIF('DADOS BRUTOS'!$A$3:$A$500,$C32,'DADOS BRUTOS'!DR$3:DR$500)))</f>
        <v/>
      </c>
      <c r="GS32" s="132">
        <f>IF(OR(GS$4="",$B32=""),0,SUMIF('DADOS BRUTOS'!$A$3:$A$500,$B32,'DADOS BRUTOS'!DS$3:DS$500)+IF($C32="",0,SUMIF('DADOS BRUTOS'!$A$3:$A$500,$C32,'DADOS BRUTOS'!DS$3:DS$500)))</f>
        <v/>
      </c>
      <c r="GT32" s="132">
        <f>IF(OR(GT$4="",$B32=""),0,SUMIF('DADOS BRUTOS'!$A$3:$A$500,$B32,'DADOS BRUTOS'!DT$3:DT$500)+IF($C32="",0,SUMIF('DADOS BRUTOS'!$A$3:$A$500,$C32,'DADOS BRUTOS'!DT$3:DT$500)))</f>
        <v/>
      </c>
      <c r="GU32" s="132">
        <f>IF(OR(GU$4="",$B32=""),0,SUMIF('DADOS BRUTOS'!$A$3:$A$500,$B32,'DADOS BRUTOS'!DU$3:DU$500)+IF($C32="",0,SUMIF('DADOS BRUTOS'!$A$3:$A$500,$C32,'DADOS BRUTOS'!DU$3:DU$500)))</f>
        <v/>
      </c>
      <c r="GV32" s="132">
        <f>IF(OR(GV$4="",$B32=""),0,SUMIF('DADOS BRUTOS'!$A$3:$A$500,$B32,'DADOS BRUTOS'!DV$3:DV$500)+IF($C32="",0,SUMIF('DADOS BRUTOS'!$A$3:$A$500,$C32,'DADOS BRUTOS'!DV$3:DV$500)))</f>
        <v/>
      </c>
      <c r="GW32" s="132">
        <f>IF(OR(GW$4="",$B32=""),0,SUMIF('DADOS BRUTOS'!$A$3:$A$500,$B32,'DADOS BRUTOS'!DW$3:DW$500)+IF($C32="",0,SUMIF('DADOS BRUTOS'!$A$3:$A$500,$C32,'DADOS BRUTOS'!DW$3:DW$500)))</f>
        <v/>
      </c>
      <c r="GX32" s="132">
        <f>IF(OR(GX$4="",$B32=""),0,SUMIF('DADOS BRUTOS'!$A$3:$A$500,$B32,'DADOS BRUTOS'!DX$3:DX$500)+IF($C32="",0,SUMIF('DADOS BRUTOS'!$A$3:$A$500,$C32,'DADOS BRUTOS'!DX$3:DX$500)))</f>
        <v/>
      </c>
      <c r="GY32" s="132">
        <f>IF(OR(GY$4="",$B32=""),0,SUMIF('DADOS BRUTOS'!$A$3:$A$500,$B32,'DADOS BRUTOS'!DY$3:DY$500)+IF($C32="",0,SUMIF('DADOS BRUTOS'!$A$3:$A$500,$C32,'DADOS BRUTOS'!DY$3:DY$500)))</f>
        <v/>
      </c>
      <c r="GZ32" s="132">
        <f>IF(OR(GZ$4="",$B32=""),0,SUMIF('DADOS BRUTOS'!$A$3:$A$500,$B32,'DADOS BRUTOS'!DZ$3:DZ$500)+IF($C32="",0,SUMIF('DADOS BRUTOS'!$A$3:$A$500,$C32,'DADOS BRUTOS'!DZ$3:DZ$500)))</f>
        <v/>
      </c>
      <c r="HA32" s="132">
        <f>IF(OR(HA$4="",$B32=""),0,SUMIF('DADOS BRUTOS'!$A$3:$A$500,$B32,'DADOS BRUTOS'!EA$3:EA$500)+IF($C32="",0,SUMIF('DADOS BRUTOS'!$A$3:$A$500,$C32,'DADOS BRUTOS'!EA$3:EA$500)))</f>
        <v/>
      </c>
      <c r="HB32" s="132">
        <f>IF(OR(HB$4="",$B32=""),0,SUMIF('DADOS BRUTOS'!$A$3:$A$500,$B32,'DADOS BRUTOS'!EB$3:EB$500)+IF($C32="",0,SUMIF('DADOS BRUTOS'!$A$3:$A$500,$C32,'DADOS BRUTOS'!EB$3:EB$500)))</f>
        <v/>
      </c>
      <c r="HC32" s="132">
        <f>IF(OR(HC$4="",$B32=""),0,SUMIF('DADOS BRUTOS'!$A$3:$A$500,$B32,'DADOS BRUTOS'!EC$3:EC$500)+IF($C32="",0,SUMIF('DADOS BRUTOS'!$A$3:$A$500,$C32,'DADOS BRUTOS'!EC$3:EC$500)))</f>
        <v/>
      </c>
      <c r="HD32" s="132">
        <f>IF(OR(HD$4="",$B32=""),0,SUMIF('DADOS BRUTOS'!$A$3:$A$500,$B32,'DADOS BRUTOS'!ED$3:ED$500)+IF($C32="",0,SUMIF('DADOS BRUTOS'!$A$3:$A$500,$C32,'DADOS BRUTOS'!ED$3:ED$500)))</f>
        <v/>
      </c>
      <c r="HE32" s="132">
        <f>IF(OR(HE$4="",$B32=""),0,SUMIF('DADOS BRUTOS'!$A$3:$A$500,$B32,'DADOS BRUTOS'!EE$3:EE$500)+IF($C32="",0,SUMIF('DADOS BRUTOS'!$A$3:$A$500,$C32,'DADOS BRUTOS'!EE$3:EE$500)))</f>
        <v/>
      </c>
      <c r="HF32" s="132">
        <f>IF(OR(HF$4="",$B32=""),0,SUMIF('DADOS BRUTOS'!$A$3:$A$500,$B32,'DADOS BRUTOS'!EF$3:EF$500)+IF($C32="",0,SUMIF('DADOS BRUTOS'!$A$3:$A$500,$C32,'DADOS BRUTOS'!EF$3:EF$500)))</f>
        <v/>
      </c>
      <c r="HG32" s="132">
        <f>IF(OR(HG$4="",$B32=""),0,SUMIF('DADOS BRUTOS'!$A$3:$A$500,$B32,'DADOS BRUTOS'!EG$3:EG$500)+IF($C32="",0,SUMIF('DADOS BRUTOS'!$A$3:$A$500,$C32,'DADOS BRUTOS'!EG$3:EG$500)))</f>
        <v/>
      </c>
      <c r="HH32" s="132">
        <f>IF(OR(HH$4="",$B32=""),0,SUMIF('DADOS BRUTOS'!$A$3:$A$500,$B32,'DADOS BRUTOS'!EH$3:EH$500)+IF($C32="",0,SUMIF('DADOS BRUTOS'!$A$3:$A$500,$C32,'DADOS BRUTOS'!EH$3:EH$500)))</f>
        <v/>
      </c>
      <c r="HI32" s="132">
        <f>IF(OR(HI$4="",$B32=""),0,SUMIF('DADOS BRUTOS'!$A$3:$A$500,$B32,'DADOS BRUTOS'!EI$3:EI$500)+IF($C32="",0,SUMIF('DADOS BRUTOS'!$A$3:$A$500,$C32,'DADOS BRUTOS'!EI$3:EI$500)))</f>
        <v/>
      </c>
      <c r="HJ32" s="132">
        <f>IF(OR(HJ$4="",$B32=""),0,SUMIF('DADOS BRUTOS'!$A$3:$A$500,$B32,'DADOS BRUTOS'!EJ$3:EJ$500)+IF($C32="",0,SUMIF('DADOS BRUTOS'!$A$3:$A$500,$C32,'DADOS BRUTOS'!EJ$3:EJ$500)))</f>
        <v/>
      </c>
      <c r="HK32" s="132">
        <f>IF(OR(HK$4="",$B32=""),0,SUMIF('DADOS BRUTOS'!$A$3:$A$500,$B32,'DADOS BRUTOS'!EK$3:EK$500)+IF($C32="",0,SUMIF('DADOS BRUTOS'!$A$3:$A$500,$C32,'DADOS BRUTOS'!EK$3:EK$500)))</f>
        <v/>
      </c>
      <c r="HL32" s="132">
        <f>IF(OR(HL$4="",$B32=""),0,SUMIF('DADOS BRUTOS'!$A$3:$A$500,$B32,'DADOS BRUTOS'!EL$3:EL$500)+IF($C32="",0,SUMIF('DADOS BRUTOS'!$A$3:$A$500,$C32,'DADOS BRUTOS'!EL$3:EL$500)))</f>
        <v/>
      </c>
      <c r="HM32" s="132">
        <f>IF(OR(HM$4="",$B32=""),0,SUMIF('DADOS BRUTOS'!$A$3:$A$500,$B32,'DADOS BRUTOS'!EM$3:EM$500)+IF($C32="",0,SUMIF('DADOS BRUTOS'!$A$3:$A$500,$C32,'DADOS BRUTOS'!EM$3:EM$500)))</f>
        <v/>
      </c>
      <c r="HN32" s="132">
        <f>IF(OR(HN$4="",$B32=""),0,SUMIF('DADOS BRUTOS'!$A$3:$A$500,$B32,'DADOS BRUTOS'!EN$3:EN$500)+IF($C32="",0,SUMIF('DADOS BRUTOS'!$A$3:$A$500,$C32,'DADOS BRUTOS'!EN$3:EN$500)))</f>
        <v/>
      </c>
      <c r="HO32" s="132">
        <f>IF(OR(HO$4="",$B32=""),0,SUMIF('DADOS BRUTOS'!$A$3:$A$500,$B32,'DADOS BRUTOS'!EO$3:EO$500)+IF($C32="",0,SUMIF('DADOS BRUTOS'!$A$3:$A$500,$C32,'DADOS BRUTOS'!EO$3:EO$500)))</f>
        <v/>
      </c>
      <c r="HP32" s="132">
        <f>IF(OR(HP$4="",$B32=""),0,SUMIF('DADOS BRUTOS'!$A$3:$A$500,$B32,'DADOS BRUTOS'!EP$3:EP$500)+IF($C32="",0,SUMIF('DADOS BRUTOS'!$A$3:$A$500,$C32,'DADOS BRUTOS'!EP$3:EP$500)))</f>
        <v/>
      </c>
      <c r="HQ32" s="132">
        <f>IF(OR(HQ$4="",$B32=""),0,SUMIF('DADOS BRUTOS'!$A$3:$A$500,$B32,'DADOS BRUTOS'!EQ$3:EQ$500)+IF($C32="",0,SUMIF('DADOS BRUTOS'!$A$3:$A$500,$C32,'DADOS BRUTOS'!EQ$3:EQ$500)))</f>
        <v/>
      </c>
      <c r="HR32" s="132">
        <f>IF(OR(HR$4="",$B32=""),0,SUMIF('DADOS BRUTOS'!$A$3:$A$500,$B32,'DADOS BRUTOS'!ER$3:ER$500)+IF($C32="",0,SUMIF('DADOS BRUTOS'!$A$3:$A$500,$C32,'DADOS BRUTOS'!ER$3:ER$500)))</f>
        <v/>
      </c>
      <c r="HS32" s="132">
        <f>IF(OR(HS$4="",$B32=""),0,SUMIF('DADOS BRUTOS'!$A$3:$A$500,$B32,'DADOS BRUTOS'!ES$3:ES$500)+IF($C32="",0,SUMIF('DADOS BRUTOS'!$A$3:$A$500,$C32,'DADOS BRUTOS'!ES$3:ES$500)))</f>
        <v/>
      </c>
      <c r="HT32" s="132">
        <f>IF(OR(HT$4="",$B32=""),0,SUMIF('DADOS BRUTOS'!$A$3:$A$500,$B32,'DADOS BRUTOS'!ET$3:ET$500)+IF($C32="",0,SUMIF('DADOS BRUTOS'!$A$3:$A$500,$C32,'DADOS BRUTOS'!ET$3:ET$500)))</f>
        <v/>
      </c>
      <c r="HU32" s="132">
        <f>IF(OR(HU$4="",$B32=""),0,SUMIF('DADOS BRUTOS'!$A$3:$A$500,$B32,'DADOS BRUTOS'!EU$3:EU$500)+IF($C32="",0,SUMIF('DADOS BRUTOS'!$A$3:$A$500,$C32,'DADOS BRUTOS'!EU$3:EU$500)))</f>
        <v/>
      </c>
      <c r="HV32" s="132">
        <f>IF(OR(HV$4="",$B32=""),0,SUMIF('DADOS BRUTOS'!$A$3:$A$500,$B32,'DADOS BRUTOS'!EV$3:EV$500)+IF($C32="",0,SUMIF('DADOS BRUTOS'!$A$3:$A$500,$C32,'DADOS BRUTOS'!EV$3:EV$500)))</f>
        <v/>
      </c>
      <c r="HW32" s="132">
        <f>IF(OR(HW$4="",$B32=""),0,SUMIF('DADOS BRUTOS'!$A$3:$A$500,$B32,'DADOS BRUTOS'!EW$3:EW$500)+IF($C32="",0,SUMIF('DADOS BRUTOS'!$A$3:$A$500,$C32,'DADOS BRUTOS'!EW$3:EW$500)))</f>
        <v/>
      </c>
      <c r="HX32" s="132">
        <f>IF(OR(HX$4="",$B32=""),0,SUMIF('DADOS BRUTOS'!$A$3:$A$500,$B32,'DADOS BRUTOS'!EX$3:EX$500)+IF($C32="",0,SUMIF('DADOS BRUTOS'!$A$3:$A$500,$C32,'DADOS BRUTOS'!EX$3:EX$500)))</f>
        <v/>
      </c>
      <c r="HY32" s="132">
        <f>IF(OR(HY$4="",$B32=""),0,SUMIF('DADOS BRUTOS'!$A$3:$A$500,$B32,'DADOS BRUTOS'!EY$3:EY$500)+IF($C32="",0,SUMIF('DADOS BRUTOS'!$A$3:$A$500,$C32,'DADOS BRUTOS'!EY$3:EY$500)))</f>
        <v/>
      </c>
      <c r="HZ32" s="132">
        <f>IF(OR(HZ$4="",$B32=""),0,SUMIF('DADOS BRUTOS'!$A$3:$A$500,$B32,'DADOS BRUTOS'!EZ$3:EZ$500)+IF($C32="",0,SUMIF('DADOS BRUTOS'!$A$3:$A$500,$C32,'DADOS BRUTOS'!EZ$3:EZ$500)))</f>
        <v/>
      </c>
      <c r="IA32" s="132">
        <f>IF(OR(IA$4="",$B32=""),0,SUMIF('DADOS BRUTOS'!$A$3:$A$500,$B32,'DADOS BRUTOS'!FA$3:FA$500)+IF($C32="",0,SUMIF('DADOS BRUTOS'!$A$3:$A$500,$C32,'DADOS BRUTOS'!FA$3:FA$500)))</f>
        <v/>
      </c>
      <c r="IB32" s="132">
        <f>IF(OR(IB$4="",$B32=""),0,SUMIF('DADOS BRUTOS'!$A$3:$A$500,$B32,'DADOS BRUTOS'!FB$3:FB$500)+IF($C32="",0,SUMIF('DADOS BRUTOS'!$A$3:$A$500,$C32,'DADOS BRUTOS'!FB$3:FB$500)))</f>
        <v/>
      </c>
      <c r="IC32" s="132">
        <f>IF(OR(IC$4="",$B32=""),0,SUMIF('DADOS BRUTOS'!$A$3:$A$500,$B32,'DADOS BRUTOS'!FC$3:FC$500)+IF($C32="",0,SUMIF('DADOS BRUTOS'!$A$3:$A$500,$C32,'DADOS BRUTOS'!FC$3:FC$500)))</f>
        <v/>
      </c>
      <c r="ID32" s="132">
        <f>IF(OR(ID$4="",$B32=""),0,SUMIF('DADOS BRUTOS'!$A$3:$A$500,$B32,'DADOS BRUTOS'!FD$3:FD$500)+IF($C32="",0,SUMIF('DADOS BRUTOS'!$A$3:$A$500,$C32,'DADOS BRUTOS'!FD$3:FD$500)))</f>
        <v/>
      </c>
      <c r="IE32" s="132">
        <f>IF(OR(IE$4="",$B32=""),0,SUMIF('DADOS BRUTOS'!$A$3:$A$500,$B32,'DADOS BRUTOS'!FE$3:FE$500)+IF($C32="",0,SUMIF('DADOS BRUTOS'!$A$3:$A$500,$C32,'DADOS BRUTOS'!FE$3:FE$500)))</f>
        <v/>
      </c>
      <c r="IF32" s="132">
        <f>IF(OR(IF$4="",$B32=""),0,SUMIF('DADOS BRUTOS'!$A$3:$A$500,$B32,'DADOS BRUTOS'!FF$3:FF$500)+IF($C32="",0,SUMIF('DADOS BRUTOS'!$A$3:$A$500,$C32,'DADOS BRUTOS'!FF$3:FF$500)))</f>
        <v/>
      </c>
      <c r="IG32" s="132">
        <f>IF(OR(IG$4="",$B32=""),0,SUMIF('DADOS BRUTOS'!$A$3:$A$500,$B32,'DADOS BRUTOS'!FG$3:FG$500)+IF($C32="",0,SUMIF('DADOS BRUTOS'!$A$3:$A$500,$C32,'DADOS BRUTOS'!FG$3:FG$500)))</f>
        <v/>
      </c>
      <c r="IH32" s="132">
        <f>IF(OR(IH$4="",$B32=""),0,SUMIF('DADOS BRUTOS'!$A$3:$A$500,$B32,'DADOS BRUTOS'!FH$3:FH$500)+IF($C32="",0,SUMIF('DADOS BRUTOS'!$A$3:$A$500,$C32,'DADOS BRUTOS'!FH$3:FH$500)))</f>
        <v/>
      </c>
      <c r="II32" s="132">
        <f>IF(OR(II$4="",$B32=""),0,SUMIF('DADOS BRUTOS'!$A$3:$A$500,$B32,'DADOS BRUTOS'!FI$3:FI$500)+IF($C32="",0,SUMIF('DADOS BRUTOS'!$A$3:$A$500,$C32,'DADOS BRUTOS'!FI$3:FI$500)))</f>
        <v/>
      </c>
      <c r="IJ32" s="132">
        <f>IF(OR(IJ$4="",$B32=""),0,SUMIF('DADOS BRUTOS'!$A$3:$A$500,$B32,'DADOS BRUTOS'!FJ$3:FJ$500)+IF($C32="",0,SUMIF('DADOS BRUTOS'!$A$3:$A$500,$C32,'DADOS BRUTOS'!FJ$3:FJ$500)))</f>
        <v/>
      </c>
      <c r="IK32" s="132">
        <f>IF(OR(IK$4="",$B32=""),0,SUMIF('DADOS BRUTOS'!$A$3:$A$500,$B32,'DADOS BRUTOS'!FK$3:FK$500)+IF($C32="",0,SUMIF('DADOS BRUTOS'!$A$3:$A$500,$C32,'DADOS BRUTOS'!FK$3:FK$500)))</f>
        <v/>
      </c>
      <c r="IL32" s="132">
        <f>IF(OR(IL$4="",$B32=""),0,SUMIF('DADOS BRUTOS'!$A$3:$A$500,$B32,'DADOS BRUTOS'!FL$3:FL$500)+IF($C32="",0,SUMIF('DADOS BRUTOS'!$A$3:$A$500,$C32,'DADOS BRUTOS'!FL$3:FL$500)))</f>
        <v/>
      </c>
      <c r="IM32" s="132">
        <f>IF(OR(IM$4="",$B32=""),0,SUMIF('DADOS BRUTOS'!$A$3:$A$500,$B32,'DADOS BRUTOS'!FM$3:FM$500)+IF($C32="",0,SUMIF('DADOS BRUTOS'!$A$3:$A$500,$C32,'DADOS BRUTOS'!FM$3:FM$500)))</f>
        <v/>
      </c>
      <c r="IN32" s="132">
        <f>IF(OR(IN$4="",$B32=""),0,SUMIF('DADOS BRUTOS'!$A$3:$A$500,$B32,'DADOS BRUTOS'!FN$3:FN$500)+IF($C32="",0,SUMIF('DADOS BRUTOS'!$A$3:$A$500,$C32,'DADOS BRUTOS'!FN$3:FN$500)))</f>
        <v/>
      </c>
      <c r="IO32" s="132">
        <f>IF(OR(IO$4="",$B32=""),0,SUMIF('DADOS BRUTOS'!$A$3:$A$500,$B32,'DADOS BRUTOS'!FO$3:FO$500)+IF($C32="",0,SUMIF('DADOS BRUTOS'!$A$3:$A$500,$C32,'DADOS BRUTOS'!FO$3:FO$500)))</f>
        <v/>
      </c>
      <c r="IP32" s="132">
        <f>IF(OR(IP$4="",$B32=""),0,SUMIF('DADOS BRUTOS'!$A$3:$A$500,$B32,'DADOS BRUTOS'!FP$3:FP$500)+IF($C32="",0,SUMIF('DADOS BRUTOS'!$A$3:$A$500,$C32,'DADOS BRUTOS'!FP$3:FP$500)))</f>
        <v/>
      </c>
      <c r="IQ32" s="132">
        <f>IF(OR(IQ$4="",$B32=""),0,SUMIF('DADOS BRUTOS'!$A$3:$A$500,$B32,'DADOS BRUTOS'!FQ$3:FQ$500)+IF($C32="",0,SUMIF('DADOS BRUTOS'!$A$3:$A$500,$C32,'DADOS BRUTOS'!FQ$3:FQ$500)))</f>
        <v/>
      </c>
      <c r="IR32" s="132">
        <f>IF(OR(IR$4="",$B32=""),0,SUMIF('DADOS BRUTOS'!$A$3:$A$500,$B32,'DADOS BRUTOS'!FR$3:FR$500)+IF($C32="",0,SUMIF('DADOS BRUTOS'!$A$3:$A$500,$C32,'DADOS BRUTOS'!FR$3:FR$500)))</f>
        <v/>
      </c>
      <c r="IS32" s="132">
        <f>IF(OR(IS$4="",$B32=""),0,SUMIF('DADOS BRUTOS'!$A$3:$A$500,$B32,'DADOS BRUTOS'!FS$3:FS$500)+IF($C32="",0,SUMIF('DADOS BRUTOS'!$A$3:$A$500,$C32,'DADOS BRUTOS'!FS$3:FS$500)))</f>
        <v/>
      </c>
      <c r="IT32" s="132">
        <f>IF(OR(IT$4="",$B32=""),0,SUMIF('DADOS BRUTOS'!$A$3:$A$500,$B32,'DADOS BRUTOS'!FT$3:FT$500)+IF($C32="",0,SUMIF('DADOS BRUTOS'!$A$3:$A$500,$C32,'DADOS BRUTOS'!FT$3:FT$500)))</f>
        <v/>
      </c>
      <c r="IU32" s="132">
        <f>IF(OR(IU$4="",$B32=""),0,SUMIF('DADOS BRUTOS'!$A$3:$A$500,$B32,'DADOS BRUTOS'!FU$3:FU$500)+IF($C32="",0,SUMIF('DADOS BRUTOS'!$A$3:$A$500,$C32,'DADOS BRUTOS'!FU$3:FU$500)))</f>
        <v/>
      </c>
      <c r="IV32" s="132">
        <f>IF(OR(IV$4="",$B32=""),0,SUMIF('DADOS BRUTOS'!$A$3:$A$500,$B32,'DADOS BRUTOS'!FV$3:FV$500)+IF($C32="",0,SUMIF('DADOS BRUTOS'!$A$3:$A$500,$C32,'DADOS BRUTOS'!FV$3:FV$500)))</f>
        <v/>
      </c>
      <c r="IW32" s="132">
        <f>IF(OR(IW$4="",$B32=""),0,SUMIF('DADOS BRUTOS'!$A$3:$A$500,$B32,'DADOS BRUTOS'!FW$3:FW$500)+IF($C32="",0,SUMIF('DADOS BRUTOS'!$A$3:$A$500,$C32,'DADOS BRUTOS'!FW$3:FW$500)))</f>
        <v/>
      </c>
      <c r="IX32" s="132">
        <f>IF(OR(IX$4="",$B32=""),0,SUMIF('DADOS BRUTOS'!$A$3:$A$500,$B32,'DADOS BRUTOS'!FX$3:FX$500)+IF($C32="",0,SUMIF('DADOS BRUTOS'!$A$3:$A$500,$C32,'DADOS BRUTOS'!FX$3:FX$500)))</f>
        <v/>
      </c>
      <c r="IY32" s="132">
        <f>IF(OR(IY$4="",$B32=""),0,SUMIF('DADOS BRUTOS'!$A$3:$A$500,$B32,'DADOS BRUTOS'!FY$3:FY$500)+IF($C32="",0,SUMIF('DADOS BRUTOS'!$A$3:$A$500,$C32,'DADOS BRUTOS'!FY$3:FY$500)))</f>
        <v/>
      </c>
      <c r="IZ32" s="132">
        <f>IF(OR(IZ$4="",$B32=""),0,SUMIF('DADOS BRUTOS'!$A$3:$A$500,$B32,'DADOS BRUTOS'!FZ$3:FZ$500)+IF($C32="",0,SUMIF('DADOS BRUTOS'!$A$3:$A$500,$C32,'DADOS BRUTOS'!FZ$3:FZ$500)))</f>
        <v/>
      </c>
      <c r="JA32" s="132">
        <f>IF(OR(JA$4="",$B32=""),0,SUMIF('DADOS BRUTOS'!$A$3:$A$500,$B32,'DADOS BRUTOS'!GA$3:GA$500)+IF($C32="",0,SUMIF('DADOS BRUTOS'!$A$3:$A$500,$C32,'DADOS BRUTOS'!GA$3:GA$500)))</f>
        <v/>
      </c>
      <c r="JB32" s="132">
        <f>IF(OR(JB$4="",$B32=""),0,SUMIF('DADOS BRUTOS'!$A$3:$A$500,$B32,'DADOS BRUTOS'!GB$3:GB$500)+IF($C32="",0,SUMIF('DADOS BRUTOS'!$A$3:$A$500,$C32,'DADOS BRUTOS'!GB$3:GB$500)))</f>
        <v/>
      </c>
      <c r="JC32" s="132">
        <f>IF(OR(JC$4="",$B32=""),0,SUMIF('DADOS BRUTOS'!$A$3:$A$500,$B32,'DADOS BRUTOS'!GC$3:GC$500)+IF($C32="",0,SUMIF('DADOS BRUTOS'!$A$3:$A$500,$C32,'DADOS BRUTOS'!GC$3:GC$500)))</f>
        <v/>
      </c>
      <c r="JD32" s="132">
        <f>IF(OR(JD$4="",$B32=""),0,SUMIF('DADOS BRUTOS'!$A$3:$A$500,$B32,'DADOS BRUTOS'!GD$3:GD$500)+IF($C32="",0,SUMIF('DADOS BRUTOS'!$A$3:$A$500,$C32,'DADOS BRUTOS'!GD$3:GD$500)))</f>
        <v/>
      </c>
      <c r="JE32" s="132">
        <f>IF(OR(JE$4="",$B32=""),0,SUMIF('DADOS BRUTOS'!$A$3:$A$500,$B32,'DADOS BRUTOS'!GE$3:GE$500)+IF($C32="",0,SUMIF('DADOS BRUTOS'!$A$3:$A$500,$C32,'DADOS BRUTOS'!GE$3:GE$500)))</f>
        <v/>
      </c>
      <c r="JF32" s="132">
        <f>IF(OR(JF$4="",$B32=""),0,SUMIF('DADOS BRUTOS'!$A$3:$A$500,$B32,'DADOS BRUTOS'!GF$3:GF$500)+IF($C32="",0,SUMIF('DADOS BRUTOS'!$A$3:$A$500,$C32,'DADOS BRUTOS'!GF$3:GF$500)))</f>
        <v/>
      </c>
      <c r="JG32" s="132">
        <f>IF(OR(JG$4="",$B32=""),0,SUMIF('DADOS BRUTOS'!$A$3:$A$500,$B32,'DADOS BRUTOS'!GG$3:GG$500)+IF($C32="",0,SUMIF('DADOS BRUTOS'!$A$3:$A$500,$C32,'DADOS BRUTOS'!GG$3:GG$500)))</f>
        <v/>
      </c>
      <c r="JH32" s="132">
        <f>IF(OR(JH$4="",$B32=""),0,SUMIF('DADOS BRUTOS'!$A$3:$A$500,$B32,'DADOS BRUTOS'!GH$3:GH$500)+IF($C32="",0,SUMIF('DADOS BRUTOS'!$A$3:$A$500,$C32,'DADOS BRUTOS'!GH$3:GH$500)))</f>
        <v/>
      </c>
      <c r="JI32" s="132">
        <f>IF(OR(JI$4="",$B32=""),0,SUMIF('DADOS BRUTOS'!$A$3:$A$500,$B32,'DADOS BRUTOS'!GI$3:GI$500)+IF($C32="",0,SUMIF('DADOS BRUTOS'!$A$3:$A$500,$C32,'DADOS BRUTOS'!GI$3:GI$500)))</f>
        <v/>
      </c>
      <c r="JJ32" s="132">
        <f>IF(OR(JJ$4="",$B32=""),0,SUMIF('DADOS BRUTOS'!$A$3:$A$500,$B32,'DADOS BRUTOS'!GJ$3:GJ$500)+IF($C32="",0,SUMIF('DADOS BRUTOS'!$A$3:$A$500,$C32,'DADOS BRUTOS'!GJ$3:GJ$500)))</f>
        <v/>
      </c>
      <c r="JK32" s="132">
        <f>IF(OR(JK$4="",$B32=""),0,SUMIF('DADOS BRUTOS'!$A$3:$A$500,$B32,'DADOS BRUTOS'!GK$3:GK$500)+IF($C32="",0,SUMIF('DADOS BRUTOS'!$A$3:$A$500,$C32,'DADOS BRUTOS'!GK$3:GK$500)))</f>
        <v/>
      </c>
      <c r="JL32" s="132">
        <f>IF(OR(JL$4="",$B32=""),0,SUMIF('DADOS BRUTOS'!$A$3:$A$500,$B32,'DADOS BRUTOS'!GL$3:GL$500)+IF($C32="",0,SUMIF('DADOS BRUTOS'!$A$3:$A$500,$C32,'DADOS BRUTOS'!GL$3:GL$500)))</f>
        <v/>
      </c>
      <c r="JM32" s="132">
        <f>IF(OR(JM$4="",$B32=""),0,SUMIF('DADOS BRUTOS'!$A$3:$A$500,$B32,'DADOS BRUTOS'!GM$3:GM$500)+IF($C32="",0,SUMIF('DADOS BRUTOS'!$A$3:$A$500,$C32,'DADOS BRUTOS'!GM$3:GM$500)))</f>
        <v/>
      </c>
      <c r="JN32" s="132">
        <f>IF(OR(JN$4="",$B32=""),0,SUMIF('DADOS BRUTOS'!$A$3:$A$500,$B32,'DADOS BRUTOS'!GN$3:GN$500)+IF($C32="",0,SUMIF('DADOS BRUTOS'!$A$3:$A$500,$C32,'DADOS BRUTOS'!GN$3:GN$500)))</f>
        <v/>
      </c>
      <c r="JO32" s="132">
        <f>IF(OR(JO$4="",$B32=""),0,SUMIF('DADOS BRUTOS'!$A$3:$A$500,$B32,'DADOS BRUTOS'!GO$3:GO$500)+IF($C32="",0,SUMIF('DADOS BRUTOS'!$A$3:$A$500,$C32,'DADOS BRUTOS'!GO$3:GO$500)))</f>
        <v/>
      </c>
      <c r="JP32" s="132">
        <f>IF(OR(JP$4="",$B32=""),0,SUMIF('DADOS BRUTOS'!$A$3:$A$500,$B32,'DADOS BRUTOS'!GP$3:GP$500)+IF($C32="",0,SUMIF('DADOS BRUTOS'!$A$3:$A$500,$C32,'DADOS BRUTOS'!GP$3:GP$500)))</f>
        <v/>
      </c>
      <c r="JQ32" s="132">
        <f>IF(OR(JQ$4="",$B32=""),0,SUMIF('DADOS BRUTOS'!$A$3:$A$500,$B32,'DADOS BRUTOS'!GQ$3:GQ$500)+IF($C32="",0,SUMIF('DADOS BRUTOS'!$A$3:$A$500,$C32,'DADOS BRUTOS'!GQ$3:GQ$500)))</f>
        <v/>
      </c>
      <c r="JR32" s="132">
        <f>IF(OR(JR$4="",$B32=""),0,SUMIF('DADOS BRUTOS'!$A$3:$A$500,$B32,'DADOS BRUTOS'!GR$3:GR$500)+IF($C32="",0,SUMIF('DADOS BRUTOS'!$A$3:$A$500,$C32,'DADOS BRUTOS'!GR$3:GR$500)))</f>
        <v/>
      </c>
      <c r="JS32" s="132">
        <f>IF(OR(JS$4="",$B32=""),0,SUMIF('DADOS BRUTOS'!$A$3:$A$500,$B32,'DADOS BRUTOS'!GS$3:GS$500)+IF($C32="",0,SUMIF('DADOS BRUTOS'!$A$3:$A$500,$C32,'DADOS BRUTOS'!GS$3:GS$500)))</f>
        <v/>
      </c>
    </row>
    <row r="33">
      <c r="A33" s="61">
        <f>'VALOR POR PL'!D39</f>
        <v/>
      </c>
      <c r="B33" s="59" t="inlineStr">
        <is>
          <t>REVESTIMENTOS DE MASSAS EM PAREDES</t>
        </is>
      </c>
      <c r="C33" s="59" t="n"/>
      <c r="D33" s="54">
        <f>SUMIF($CB$4:$JS$4,"&lt;="&amp;D$4,$CB33:$JS33)</f>
        <v/>
      </c>
      <c r="E33" s="54">
        <f>SUMIF($CB$4:$JS$4,E$4,$CB33:$JS33)</f>
        <v/>
      </c>
      <c r="F33" s="54">
        <f>SUMIF($CB$4:$JS$4,F$4,$CB33:$JS33)</f>
        <v/>
      </c>
      <c r="G33" s="54">
        <f>SUMIF($CB$4:$JS$4,G$4,$CB33:$JS33)</f>
        <v/>
      </c>
      <c r="H33" s="54">
        <f>SUMIF($CB$4:$JS$4,H$4,$CB33:$JS33)</f>
        <v/>
      </c>
      <c r="I33" s="54">
        <f>SUMIF($CB$4:$JS$4,I$4,$CB33:$JS33)</f>
        <v/>
      </c>
      <c r="J33" s="54">
        <f>SUMIF($CB$4:$JS$4,J$4,$CB33:$JS33)</f>
        <v/>
      </c>
      <c r="K33" s="54">
        <f>SUMIF($CB$4:$JS$4,K$4,$CB33:$JS33)</f>
        <v/>
      </c>
      <c r="L33" s="54">
        <f>SUMIF($CB$4:$JS$4,L$4,$CB33:$JS33)</f>
        <v/>
      </c>
      <c r="M33" s="54">
        <f>SUMIF($CB$4:$JS$4,M$4,$CB33:$JS33)</f>
        <v/>
      </c>
      <c r="N33" s="54">
        <f>SUMIF($CB$4:$JS$4,N$4,$CB33:$JS33)</f>
        <v/>
      </c>
      <c r="O33" s="54">
        <f>SUMIF($CB$4:$JS$4,O$4,$CB33:$JS33)</f>
        <v/>
      </c>
      <c r="P33" s="54">
        <f>SUMIF($CB$4:$JS$4,P$4,$CB33:$JS33)</f>
        <v/>
      </c>
      <c r="Q33" s="54">
        <f>SUMIF($CB$4:$JS$4,Q$4,$CB33:$JS33)</f>
        <v/>
      </c>
      <c r="R33" s="54">
        <f>SUMIF($CB$4:$JS$4,R$4,$CB33:$JS33)</f>
        <v/>
      </c>
      <c r="S33" s="54">
        <f>SUMIF($CB$4:$JS$4,S$4,$CB33:$JS33)</f>
        <v/>
      </c>
      <c r="T33" s="54">
        <f>SUMIF($CB$4:$JS$4,T$4,$CB33:$JS33)</f>
        <v/>
      </c>
      <c r="U33" s="54">
        <f>SUMIF($CB$4:$JS$4,U$4,$CB33:$JS33)</f>
        <v/>
      </c>
      <c r="V33" s="54">
        <f>SUMIF($CB$4:$JS$4,V$4,$CB33:$JS33)</f>
        <v/>
      </c>
      <c r="W33" s="54">
        <f>SUMIF($CB$4:$JS$4,W$4,$CB33:$JS33)</f>
        <v/>
      </c>
      <c r="X33" s="54">
        <f>SUMIF($CB$4:$JS$4,X$4,$CB33:$JS33)</f>
        <v/>
      </c>
      <c r="Y33" s="54">
        <f>SUMIF($CB$4:$JS$4,Y$4,$CB33:$JS33)</f>
        <v/>
      </c>
      <c r="Z33" s="54">
        <f>SUMIF($CB$4:$JS$4,Z$4,$CB33:$JS33)</f>
        <v/>
      </c>
      <c r="AA33" s="54">
        <f>SUMIF($CB$4:$JS$4,AA$4,$CB33:$JS33)</f>
        <v/>
      </c>
      <c r="AB33" s="54">
        <f>SUMIF($CB$4:$JS$4,AB$4,$CB33:$JS33)</f>
        <v/>
      </c>
      <c r="AC33" s="54">
        <f>SUMIF($CB$4:$JS$4,AC$4,$CB33:$JS33)</f>
        <v/>
      </c>
      <c r="AD33" s="54">
        <f>SUMIF($CB$4:$JS$4,AD$4,$CB33:$JS33)</f>
        <v/>
      </c>
      <c r="AE33" s="54">
        <f>SUMIF($CB$4:$JS$4,AE$4,$CB33:$JS33)</f>
        <v/>
      </c>
      <c r="AF33" s="54">
        <f>SUMIF($CB$4:$JS$4,AF$4,$CB33:$JS33)</f>
        <v/>
      </c>
      <c r="AG33" s="54">
        <f>SUMIF($CB$4:$JS$4,AG$4,$CB33:$JS33)</f>
        <v/>
      </c>
      <c r="AH33" s="54">
        <f>SUMIF($CB$4:$JS$4,AH$4,$CB33:$JS33)</f>
        <v/>
      </c>
      <c r="AI33" s="54">
        <f>SUMIF($CB$4:$JS$4,AI$4,$CB33:$JS33)</f>
        <v/>
      </c>
      <c r="AJ33" s="54">
        <f>SUMIF($CB$4:$JS$4,AJ$4,$CB33:$JS33)</f>
        <v/>
      </c>
      <c r="AK33" s="54">
        <f>SUMIF($CB$4:$JS$4,AK$4,$CB33:$JS33)</f>
        <v/>
      </c>
      <c r="AL33" s="54">
        <f>SUMIF($CB$4:$JS$4,AL$4,$CB33:$JS33)</f>
        <v/>
      </c>
      <c r="AM33" s="54">
        <f>SUMIF($CB$4:$JS$4,AM$4,$CB33:$JS33)</f>
        <v/>
      </c>
      <c r="AN33" s="54">
        <f>SUMIF($CB$4:$JS$4,AN$4,$CB33:$JS33)</f>
        <v/>
      </c>
      <c r="AO33" s="54">
        <f>SUMIF($CB$4:$JS$4,AO$4,$CB33:$JS33)</f>
        <v/>
      </c>
      <c r="AP33" s="54">
        <f>SUMIF($CB$4:$JS$4,AP$4,$CB33:$JS33)</f>
        <v/>
      </c>
      <c r="AQ33" s="54">
        <f>SUMIF($CB$4:$JS$4,AQ$4,$CB33:$JS33)</f>
        <v/>
      </c>
      <c r="AR33" s="54">
        <f>SUMIF($CB$4:$JS$4,AR$4,$CB33:$JS33)</f>
        <v/>
      </c>
      <c r="AS33" s="54">
        <f>SUMIF($CB$4:$JS$4,AS$4,$CB33:$JS33)</f>
        <v/>
      </c>
      <c r="AT33" s="54">
        <f>SUMIF($CB$4:$JS$4,AT$4,$CB33:$JS33)</f>
        <v/>
      </c>
      <c r="AU33" s="54">
        <f>SUMIF($CB$4:$JS$4,AU$4,$CB33:$JS33)</f>
        <v/>
      </c>
      <c r="AV33" s="54">
        <f>SUMIF($CB$4:$JS$4,AV$4,$CB33:$JS33)</f>
        <v/>
      </c>
      <c r="AW33" s="54">
        <f>SUMIF($CB$4:$JS$4,AW$4,$CB33:$JS33)</f>
        <v/>
      </c>
      <c r="AX33" s="54">
        <f>SUMIF($CB$4:$JS$4,AX$4,$CB33:$JS33)</f>
        <v/>
      </c>
      <c r="AY33" s="54">
        <f>SUMIF($CB$4:$JS$4,AY$4,$CB33:$JS33)</f>
        <v/>
      </c>
      <c r="AZ33" s="54">
        <f>SUMIF($CB$4:$JS$4,AZ$4,$CB33:$JS33)</f>
        <v/>
      </c>
      <c r="BA33" s="54">
        <f>SUMIF($CB$4:$JS$4,BA$4,$CB33:$JS33)</f>
        <v/>
      </c>
      <c r="BB33" s="54">
        <f>SUMIF($CB$4:$JS$4,BB$4,$CB33:$JS33)</f>
        <v/>
      </c>
      <c r="BC33" s="54">
        <f>SUMIF($CB$4:$JS$4,BC$4,$CB33:$JS33)</f>
        <v/>
      </c>
      <c r="BD33" s="54">
        <f>SUMIF($CB$4:$JS$4,BD$4,$CB33:$JS33)</f>
        <v/>
      </c>
      <c r="BE33" s="54">
        <f>SUMIF($CB$4:$JS$4,BE$4,$CB33:$JS33)</f>
        <v/>
      </c>
      <c r="BF33" s="54">
        <f>SUMIF($CB$4:$JS$4,BF$4,$CB33:$JS33)</f>
        <v/>
      </c>
      <c r="BG33" s="54">
        <f>SUMIF($CB$4:$JS$4,BG$4,$CB33:$JS33)</f>
        <v/>
      </c>
      <c r="BH33" s="54">
        <f>SUMIF($CB$4:$JS$4,BH$4,$CB33:$JS33)</f>
        <v/>
      </c>
      <c r="BI33" s="54">
        <f>SUMIF($CB$4:$JS$4,BI$4,$CB33:$JS33)</f>
        <v/>
      </c>
      <c r="BJ33" s="54">
        <f>SUMIF($CB$4:$JS$4,BJ$4,$CB33:$JS33)</f>
        <v/>
      </c>
      <c r="BK33" s="54">
        <f>SUMIF($CB$4:$JS$4,BK$4,$CB33:$JS33)</f>
        <v/>
      </c>
      <c r="BL33" s="54">
        <f>SUMIF($CB$4:$JS$4,BL$4,$CB33:$JS33)</f>
        <v/>
      </c>
      <c r="BM33" s="54">
        <f>SUMIF($CB$4:$JS$4,BM$4,$CB33:$JS33)</f>
        <v/>
      </c>
      <c r="BN33" s="54">
        <f>SUMIF($CB$4:$JS$4,BN$4,$CB33:$JS33)</f>
        <v/>
      </c>
      <c r="BO33" s="54">
        <f>SUMIF($CB$4:$JS$4,BO$4,$CB33:$JS33)</f>
        <v/>
      </c>
      <c r="BP33" s="54">
        <f>SUMIF($CB$4:$JS$4,BP$4,$CB33:$JS33)</f>
        <v/>
      </c>
      <c r="BQ33" s="54">
        <f>SUMIF($CB$4:$JS$4,BQ$4,$CB33:$JS33)</f>
        <v/>
      </c>
      <c r="BR33" s="54">
        <f>SUMIF($CB$4:$JS$4,BR$4,$CB33:$JS33)</f>
        <v/>
      </c>
      <c r="BS33" s="54">
        <f>SUMIF($CB$4:$JS$4,BS$4,$CB33:$JS33)</f>
        <v/>
      </c>
      <c r="BT33" s="54">
        <f>SUMIF($CB$4:$JS$4,BT$4,$CB33:$JS33)</f>
        <v/>
      </c>
      <c r="BU33" s="54">
        <f>SUMIF($CB$4:$JS$4,BU$4,$CB33:$JS33)</f>
        <v/>
      </c>
      <c r="BV33" s="54">
        <f>SUMIF($CB$4:$JS$4,BV$4,$CB33:$JS33)</f>
        <v/>
      </c>
      <c r="BW33" s="54">
        <f>SUMIF($CB$4:$JS$4,BW$4,$CB33:$JS33)</f>
        <v/>
      </c>
      <c r="BX33" s="54">
        <f>SUMIF($CB$4:$JS$4,"&gt;"&amp;'VALOR POR PL'!$P$8,$CB33:$JS33)</f>
        <v/>
      </c>
      <c r="BY33" s="54">
        <f>SUM($CB33:$JS33)</f>
        <v/>
      </c>
      <c r="BZ33" s="49">
        <f>SUMPRODUCT(($CB$4:$JS$4&lt;&gt;"")*($CB$4:$JS$4&lt;=$D$4),$CB33:$JS33,$CB$1:$JS$1)</f>
        <v/>
      </c>
      <c r="CB33" s="132">
        <f>IF(OR(CB$4="",$B33=""),0,SUMIF('DADOS BRUTOS'!$A$3:$A$500,$B33,'DADOS BRUTOS'!B$3:B$500)+IF($C33="",0,SUMIF('DADOS BRUTOS'!$A$3:$A$500,$C33,'DADOS BRUTOS'!B$3:B$500)))</f>
        <v/>
      </c>
      <c r="CC33" s="132">
        <f>IF(OR(CC$4="",$B33=""),0,SUMIF('DADOS BRUTOS'!$A$3:$A$500,$B33,'DADOS BRUTOS'!C$3:C$500)+IF($C33="",0,SUMIF('DADOS BRUTOS'!$A$3:$A$500,$C33,'DADOS BRUTOS'!C$3:C$500)))</f>
        <v/>
      </c>
      <c r="CD33" s="132">
        <f>IF(OR(CD$4="",$B33=""),0,SUMIF('DADOS BRUTOS'!$A$3:$A$500,$B33,'DADOS BRUTOS'!D$3:D$500)+IF($C33="",0,SUMIF('DADOS BRUTOS'!$A$3:$A$500,$C33,'DADOS BRUTOS'!D$3:D$500)))</f>
        <v/>
      </c>
      <c r="CE33" s="132">
        <f>IF(OR(CE$4="",$B33=""),0,SUMIF('DADOS BRUTOS'!$A$3:$A$500,$B33,'DADOS BRUTOS'!E$3:E$500)+IF($C33="",0,SUMIF('DADOS BRUTOS'!$A$3:$A$500,$C33,'DADOS BRUTOS'!E$3:E$500)))</f>
        <v/>
      </c>
      <c r="CF33" s="132">
        <f>IF(OR(CF$4="",$B33=""),0,SUMIF('DADOS BRUTOS'!$A$3:$A$500,$B33,'DADOS BRUTOS'!F$3:F$500)+IF($C33="",0,SUMIF('DADOS BRUTOS'!$A$3:$A$500,$C33,'DADOS BRUTOS'!F$3:F$500)))</f>
        <v/>
      </c>
      <c r="CG33" s="132">
        <f>IF(OR(CG$4="",$B33=""),0,SUMIF('DADOS BRUTOS'!$A$3:$A$500,$B33,'DADOS BRUTOS'!G$3:G$500)+IF($C33="",0,SUMIF('DADOS BRUTOS'!$A$3:$A$500,$C33,'DADOS BRUTOS'!G$3:G$500)))</f>
        <v/>
      </c>
      <c r="CH33" s="132">
        <f>IF(OR(CH$4="",$B33=""),0,SUMIF('DADOS BRUTOS'!$A$3:$A$500,$B33,'DADOS BRUTOS'!H$3:H$500)+IF($C33="",0,SUMIF('DADOS BRUTOS'!$A$3:$A$500,$C33,'DADOS BRUTOS'!H$3:H$500)))</f>
        <v/>
      </c>
      <c r="CI33" s="132">
        <f>IF(OR(CI$4="",$B33=""),0,SUMIF('DADOS BRUTOS'!$A$3:$A$500,$B33,'DADOS BRUTOS'!I$3:I$500)+IF($C33="",0,SUMIF('DADOS BRUTOS'!$A$3:$A$500,$C33,'DADOS BRUTOS'!I$3:I$500)))</f>
        <v/>
      </c>
      <c r="CJ33" s="132">
        <f>IF(OR(CJ$4="",$B33=""),0,SUMIF('DADOS BRUTOS'!$A$3:$A$500,$B33,'DADOS BRUTOS'!J$3:J$500)+IF($C33="",0,SUMIF('DADOS BRUTOS'!$A$3:$A$500,$C33,'DADOS BRUTOS'!J$3:J$500)))</f>
        <v/>
      </c>
      <c r="CK33" s="132">
        <f>IF(OR(CK$4="",$B33=""),0,SUMIF('DADOS BRUTOS'!$A$3:$A$500,$B33,'DADOS BRUTOS'!K$3:K$500)+IF($C33="",0,SUMIF('DADOS BRUTOS'!$A$3:$A$500,$C33,'DADOS BRUTOS'!K$3:K$500)))</f>
        <v/>
      </c>
      <c r="CL33" s="132">
        <f>IF(OR(CL$4="",$B33=""),0,SUMIF('DADOS BRUTOS'!$A$3:$A$500,$B33,'DADOS BRUTOS'!L$3:L$500)+IF($C33="",0,SUMIF('DADOS BRUTOS'!$A$3:$A$500,$C33,'DADOS BRUTOS'!L$3:L$500)))</f>
        <v/>
      </c>
      <c r="CM33" s="132">
        <f>IF(OR(CM$4="",$B33=""),0,SUMIF('DADOS BRUTOS'!$A$3:$A$500,$B33,'DADOS BRUTOS'!M$3:M$500)+IF($C33="",0,SUMIF('DADOS BRUTOS'!$A$3:$A$500,$C33,'DADOS BRUTOS'!M$3:M$500)))</f>
        <v/>
      </c>
      <c r="CN33" s="132">
        <f>IF(OR(CN$4="",$B33=""),0,SUMIF('DADOS BRUTOS'!$A$3:$A$500,$B33,'DADOS BRUTOS'!N$3:N$500)+IF($C33="",0,SUMIF('DADOS BRUTOS'!$A$3:$A$500,$C33,'DADOS BRUTOS'!N$3:N$500)))</f>
        <v/>
      </c>
      <c r="CO33" s="132">
        <f>IF(OR(CO$4="",$B33=""),0,SUMIF('DADOS BRUTOS'!$A$3:$A$500,$B33,'DADOS BRUTOS'!O$3:O$500)+IF($C33="",0,SUMIF('DADOS BRUTOS'!$A$3:$A$500,$C33,'DADOS BRUTOS'!O$3:O$500)))</f>
        <v/>
      </c>
      <c r="CP33" s="132">
        <f>IF(OR(CP$4="",$B33=""),0,SUMIF('DADOS BRUTOS'!$A$3:$A$500,$B33,'DADOS BRUTOS'!P$3:P$500)+IF($C33="",0,SUMIF('DADOS BRUTOS'!$A$3:$A$500,$C33,'DADOS BRUTOS'!P$3:P$500)))</f>
        <v/>
      </c>
      <c r="CQ33" s="132">
        <f>IF(OR(CQ$4="",$B33=""),0,SUMIF('DADOS BRUTOS'!$A$3:$A$500,$B33,'DADOS BRUTOS'!Q$3:Q$500)+IF($C33="",0,SUMIF('DADOS BRUTOS'!$A$3:$A$500,$C33,'DADOS BRUTOS'!Q$3:Q$500)))</f>
        <v/>
      </c>
      <c r="CR33" s="132">
        <f>IF(OR(CR$4="",$B33=""),0,SUMIF('DADOS BRUTOS'!$A$3:$A$500,$B33,'DADOS BRUTOS'!R$3:R$500)+IF($C33="",0,SUMIF('DADOS BRUTOS'!$A$3:$A$500,$C33,'DADOS BRUTOS'!R$3:R$500)))</f>
        <v/>
      </c>
      <c r="CS33" s="132">
        <f>IF(OR(CS$4="",$B33=""),0,SUMIF('DADOS BRUTOS'!$A$3:$A$500,$B33,'DADOS BRUTOS'!S$3:S$500)+IF($C33="",0,SUMIF('DADOS BRUTOS'!$A$3:$A$500,$C33,'DADOS BRUTOS'!S$3:S$500)))</f>
        <v/>
      </c>
      <c r="CT33" s="132">
        <f>IF(OR(CT$4="",$B33=""),0,SUMIF('DADOS BRUTOS'!$A$3:$A$500,$B33,'DADOS BRUTOS'!T$3:T$500)+IF($C33="",0,SUMIF('DADOS BRUTOS'!$A$3:$A$500,$C33,'DADOS BRUTOS'!T$3:T$500)))</f>
        <v/>
      </c>
      <c r="CU33" s="132">
        <f>IF(OR(CU$4="",$B33=""),0,SUMIF('DADOS BRUTOS'!$A$3:$A$500,$B33,'DADOS BRUTOS'!U$3:U$500)+IF($C33="",0,SUMIF('DADOS BRUTOS'!$A$3:$A$500,$C33,'DADOS BRUTOS'!U$3:U$500)))</f>
        <v/>
      </c>
      <c r="CV33" s="132">
        <f>IF(OR(CV$4="",$B33=""),0,SUMIF('DADOS BRUTOS'!$A$3:$A$500,$B33,'DADOS BRUTOS'!V$3:V$500)+IF($C33="",0,SUMIF('DADOS BRUTOS'!$A$3:$A$500,$C33,'DADOS BRUTOS'!V$3:V$500)))</f>
        <v/>
      </c>
      <c r="CW33" s="132">
        <f>IF(OR(CW$4="",$B33=""),0,SUMIF('DADOS BRUTOS'!$A$3:$A$500,$B33,'DADOS BRUTOS'!W$3:W$500)+IF($C33="",0,SUMIF('DADOS BRUTOS'!$A$3:$A$500,$C33,'DADOS BRUTOS'!W$3:W$500)))</f>
        <v/>
      </c>
      <c r="CX33" s="132">
        <f>IF(OR(CX$4="",$B33=""),0,SUMIF('DADOS BRUTOS'!$A$3:$A$500,$B33,'DADOS BRUTOS'!X$3:X$500)+IF($C33="",0,SUMIF('DADOS BRUTOS'!$A$3:$A$500,$C33,'DADOS BRUTOS'!X$3:X$500)))</f>
        <v/>
      </c>
      <c r="CY33" s="132">
        <f>IF(OR(CY$4="",$B33=""),0,SUMIF('DADOS BRUTOS'!$A$3:$A$500,$B33,'DADOS BRUTOS'!Y$3:Y$500)+IF($C33="",0,SUMIF('DADOS BRUTOS'!$A$3:$A$500,$C33,'DADOS BRUTOS'!Y$3:Y$500)))</f>
        <v/>
      </c>
      <c r="CZ33" s="132">
        <f>IF(OR(CZ$4="",$B33=""),0,SUMIF('DADOS BRUTOS'!$A$3:$A$500,$B33,'DADOS BRUTOS'!Z$3:Z$500)+IF($C33="",0,SUMIF('DADOS BRUTOS'!$A$3:$A$500,$C33,'DADOS BRUTOS'!Z$3:Z$500)))</f>
        <v/>
      </c>
      <c r="DA33" s="132">
        <f>IF(OR(DA$4="",$B33=""),0,SUMIF('DADOS BRUTOS'!$A$3:$A$500,$B33,'DADOS BRUTOS'!AA$3:AA$500)+IF($C33="",0,SUMIF('DADOS BRUTOS'!$A$3:$A$500,$C33,'DADOS BRUTOS'!AA$3:AA$500)))</f>
        <v/>
      </c>
      <c r="DB33" s="132">
        <f>IF(OR(DB$4="",$B33=""),0,SUMIF('DADOS BRUTOS'!$A$3:$A$500,$B33,'DADOS BRUTOS'!AB$3:AB$500)+IF($C33="",0,SUMIF('DADOS BRUTOS'!$A$3:$A$500,$C33,'DADOS BRUTOS'!AB$3:AB$500)))</f>
        <v/>
      </c>
      <c r="DC33" s="132">
        <f>IF(OR(DC$4="",$B33=""),0,SUMIF('DADOS BRUTOS'!$A$3:$A$500,$B33,'DADOS BRUTOS'!AC$3:AC$500)+IF($C33="",0,SUMIF('DADOS BRUTOS'!$A$3:$A$500,$C33,'DADOS BRUTOS'!AC$3:AC$500)))</f>
        <v/>
      </c>
      <c r="DD33" s="132">
        <f>IF(OR(DD$4="",$B33=""),0,SUMIF('DADOS BRUTOS'!$A$3:$A$500,$B33,'DADOS BRUTOS'!AD$3:AD$500)+IF($C33="",0,SUMIF('DADOS BRUTOS'!$A$3:$A$500,$C33,'DADOS BRUTOS'!AD$3:AD$500)))</f>
        <v/>
      </c>
      <c r="DE33" s="132">
        <f>IF(OR(DE$4="",$B33=""),0,SUMIF('DADOS BRUTOS'!$A$3:$A$500,$B33,'DADOS BRUTOS'!AE$3:AE$500)+IF($C33="",0,SUMIF('DADOS BRUTOS'!$A$3:$A$500,$C33,'DADOS BRUTOS'!AE$3:AE$500)))</f>
        <v/>
      </c>
      <c r="DF33" s="132">
        <f>IF(OR(DF$4="",$B33=""),0,SUMIF('DADOS BRUTOS'!$A$3:$A$500,$B33,'DADOS BRUTOS'!AF$3:AF$500)+IF($C33="",0,SUMIF('DADOS BRUTOS'!$A$3:$A$500,$C33,'DADOS BRUTOS'!AF$3:AF$500)))</f>
        <v/>
      </c>
      <c r="DG33" s="132">
        <f>IF(OR(DG$4="",$B33=""),0,SUMIF('DADOS BRUTOS'!$A$3:$A$500,$B33,'DADOS BRUTOS'!AG$3:AG$500)+IF($C33="",0,SUMIF('DADOS BRUTOS'!$A$3:$A$500,$C33,'DADOS BRUTOS'!AG$3:AG$500)))</f>
        <v/>
      </c>
      <c r="DH33" s="132">
        <f>IF(OR(DH$4="",$B33=""),0,SUMIF('DADOS BRUTOS'!$A$3:$A$500,$B33,'DADOS BRUTOS'!AH$3:AH$500)+IF($C33="",0,SUMIF('DADOS BRUTOS'!$A$3:$A$500,$C33,'DADOS BRUTOS'!AH$3:AH$500)))</f>
        <v/>
      </c>
      <c r="DI33" s="132">
        <f>IF(OR(DI$4="",$B33=""),0,SUMIF('DADOS BRUTOS'!$A$3:$A$500,$B33,'DADOS BRUTOS'!AI$3:AI$500)+IF($C33="",0,SUMIF('DADOS BRUTOS'!$A$3:$A$500,$C33,'DADOS BRUTOS'!AI$3:AI$500)))</f>
        <v/>
      </c>
      <c r="DJ33" s="132">
        <f>IF(OR(DJ$4="",$B33=""),0,SUMIF('DADOS BRUTOS'!$A$3:$A$500,$B33,'DADOS BRUTOS'!AJ$3:AJ$500)+IF($C33="",0,SUMIF('DADOS BRUTOS'!$A$3:$A$500,$C33,'DADOS BRUTOS'!AJ$3:AJ$500)))</f>
        <v/>
      </c>
      <c r="DK33" s="132">
        <f>IF(OR(DK$4="",$B33=""),0,SUMIF('DADOS BRUTOS'!$A$3:$A$500,$B33,'DADOS BRUTOS'!AK$3:AK$500)+IF($C33="",0,SUMIF('DADOS BRUTOS'!$A$3:$A$500,$C33,'DADOS BRUTOS'!AK$3:AK$500)))</f>
        <v/>
      </c>
      <c r="DL33" s="132">
        <f>IF(OR(DL$4="",$B33=""),0,SUMIF('DADOS BRUTOS'!$A$3:$A$500,$B33,'DADOS BRUTOS'!AL$3:AL$500)+IF($C33="",0,SUMIF('DADOS BRUTOS'!$A$3:$A$500,$C33,'DADOS BRUTOS'!AL$3:AL$500)))</f>
        <v/>
      </c>
      <c r="DM33" s="132">
        <f>IF(OR(DM$4="",$B33=""),0,SUMIF('DADOS BRUTOS'!$A$3:$A$500,$B33,'DADOS BRUTOS'!AM$3:AM$500)+IF($C33="",0,SUMIF('DADOS BRUTOS'!$A$3:$A$500,$C33,'DADOS BRUTOS'!AM$3:AM$500)))</f>
        <v/>
      </c>
      <c r="DN33" s="132">
        <f>IF(OR(DN$4="",$B33=""),0,SUMIF('DADOS BRUTOS'!$A$3:$A$500,$B33,'DADOS BRUTOS'!AN$3:AN$500)+IF($C33="",0,SUMIF('DADOS BRUTOS'!$A$3:$A$500,$C33,'DADOS BRUTOS'!AN$3:AN$500)))</f>
        <v/>
      </c>
      <c r="DO33" s="132">
        <f>IF(OR(DO$4="",$B33=""),0,SUMIF('DADOS BRUTOS'!$A$3:$A$500,$B33,'DADOS BRUTOS'!AO$3:AO$500)+IF($C33="",0,SUMIF('DADOS BRUTOS'!$A$3:$A$500,$C33,'DADOS BRUTOS'!AO$3:AO$500)))</f>
        <v/>
      </c>
      <c r="DP33" s="132">
        <f>IF(OR(DP$4="",$B33=""),0,SUMIF('DADOS BRUTOS'!$A$3:$A$500,$B33,'DADOS BRUTOS'!AP$3:AP$500)+IF($C33="",0,SUMIF('DADOS BRUTOS'!$A$3:$A$500,$C33,'DADOS BRUTOS'!AP$3:AP$500)))</f>
        <v/>
      </c>
      <c r="DQ33" s="132">
        <f>IF(OR(DQ$4="",$B33=""),0,SUMIF('DADOS BRUTOS'!$A$3:$A$500,$B33,'DADOS BRUTOS'!AQ$3:AQ$500)+IF($C33="",0,SUMIF('DADOS BRUTOS'!$A$3:$A$500,$C33,'DADOS BRUTOS'!AQ$3:AQ$500)))</f>
        <v/>
      </c>
      <c r="DR33" s="132">
        <f>IF(OR(DR$4="",$B33=""),0,SUMIF('DADOS BRUTOS'!$A$3:$A$500,$B33,'DADOS BRUTOS'!AR$3:AR$500)+IF($C33="",0,SUMIF('DADOS BRUTOS'!$A$3:$A$500,$C33,'DADOS BRUTOS'!AR$3:AR$500)))</f>
        <v/>
      </c>
      <c r="DS33" s="132">
        <f>IF(OR(DS$4="",$B33=""),0,SUMIF('DADOS BRUTOS'!$A$3:$A$500,$B33,'DADOS BRUTOS'!AS$3:AS$500)+IF($C33="",0,SUMIF('DADOS BRUTOS'!$A$3:$A$500,$C33,'DADOS BRUTOS'!AS$3:AS$500)))</f>
        <v/>
      </c>
      <c r="DT33" s="132">
        <f>IF(OR(DT$4="",$B33=""),0,SUMIF('DADOS BRUTOS'!$A$3:$A$500,$B33,'DADOS BRUTOS'!AT$3:AT$500)+IF($C33="",0,SUMIF('DADOS BRUTOS'!$A$3:$A$500,$C33,'DADOS BRUTOS'!AT$3:AT$500)))</f>
        <v/>
      </c>
      <c r="DU33" s="132">
        <f>IF(OR(DU$4="",$B33=""),0,SUMIF('DADOS BRUTOS'!$A$3:$A$500,$B33,'DADOS BRUTOS'!AU$3:AU$500)+IF($C33="",0,SUMIF('DADOS BRUTOS'!$A$3:$A$500,$C33,'DADOS BRUTOS'!AU$3:AU$500)))</f>
        <v/>
      </c>
      <c r="DV33" s="132">
        <f>IF(OR(DV$4="",$B33=""),0,SUMIF('DADOS BRUTOS'!$A$3:$A$500,$B33,'DADOS BRUTOS'!AV$3:AV$500)+IF($C33="",0,SUMIF('DADOS BRUTOS'!$A$3:$A$500,$C33,'DADOS BRUTOS'!AV$3:AV$500)))</f>
        <v/>
      </c>
      <c r="DW33" s="132">
        <f>IF(OR(DW$4="",$B33=""),0,SUMIF('DADOS BRUTOS'!$A$3:$A$500,$B33,'DADOS BRUTOS'!AW$3:AW$500)+IF($C33="",0,SUMIF('DADOS BRUTOS'!$A$3:$A$500,$C33,'DADOS BRUTOS'!AW$3:AW$500)))</f>
        <v/>
      </c>
      <c r="DX33" s="132">
        <f>IF(OR(DX$4="",$B33=""),0,SUMIF('DADOS BRUTOS'!$A$3:$A$500,$B33,'DADOS BRUTOS'!AX$3:AX$500)+IF($C33="",0,SUMIF('DADOS BRUTOS'!$A$3:$A$500,$C33,'DADOS BRUTOS'!AX$3:AX$500)))</f>
        <v/>
      </c>
      <c r="DY33" s="132">
        <f>IF(OR(DY$4="",$B33=""),0,SUMIF('DADOS BRUTOS'!$A$3:$A$500,$B33,'DADOS BRUTOS'!AY$3:AY$500)+IF($C33="",0,SUMIF('DADOS BRUTOS'!$A$3:$A$500,$C33,'DADOS BRUTOS'!AY$3:AY$500)))</f>
        <v/>
      </c>
      <c r="DZ33" s="132">
        <f>IF(OR(DZ$4="",$B33=""),0,SUMIF('DADOS BRUTOS'!$A$3:$A$500,$B33,'DADOS BRUTOS'!AZ$3:AZ$500)+IF($C33="",0,SUMIF('DADOS BRUTOS'!$A$3:$A$500,$C33,'DADOS BRUTOS'!AZ$3:AZ$500)))</f>
        <v/>
      </c>
      <c r="EA33" s="132">
        <f>IF(OR(EA$4="",$B33=""),0,SUMIF('DADOS BRUTOS'!$A$3:$A$500,$B33,'DADOS BRUTOS'!BA$3:BA$500)+IF($C33="",0,SUMIF('DADOS BRUTOS'!$A$3:$A$500,$C33,'DADOS BRUTOS'!BA$3:BA$500)))</f>
        <v/>
      </c>
      <c r="EB33" s="132">
        <f>IF(OR(EB$4="",$B33=""),0,SUMIF('DADOS BRUTOS'!$A$3:$A$500,$B33,'DADOS BRUTOS'!BB$3:BB$500)+IF($C33="",0,SUMIF('DADOS BRUTOS'!$A$3:$A$500,$C33,'DADOS BRUTOS'!BB$3:BB$500)))</f>
        <v/>
      </c>
      <c r="EC33" s="132">
        <f>IF(OR(EC$4="",$B33=""),0,SUMIF('DADOS BRUTOS'!$A$3:$A$500,$B33,'DADOS BRUTOS'!BC$3:BC$500)+IF($C33="",0,SUMIF('DADOS BRUTOS'!$A$3:$A$500,$C33,'DADOS BRUTOS'!BC$3:BC$500)))</f>
        <v/>
      </c>
      <c r="ED33" s="132">
        <f>IF(OR(ED$4="",$B33=""),0,SUMIF('DADOS BRUTOS'!$A$3:$A$500,$B33,'DADOS BRUTOS'!BD$3:BD$500)+IF($C33="",0,SUMIF('DADOS BRUTOS'!$A$3:$A$500,$C33,'DADOS BRUTOS'!BD$3:BD$500)))</f>
        <v/>
      </c>
      <c r="EE33" s="132">
        <f>IF(OR(EE$4="",$B33=""),0,SUMIF('DADOS BRUTOS'!$A$3:$A$500,$B33,'DADOS BRUTOS'!BE$3:BE$500)+IF($C33="",0,SUMIF('DADOS BRUTOS'!$A$3:$A$500,$C33,'DADOS BRUTOS'!BE$3:BE$500)))</f>
        <v/>
      </c>
      <c r="EF33" s="132">
        <f>IF(OR(EF$4="",$B33=""),0,SUMIF('DADOS BRUTOS'!$A$3:$A$500,$B33,'DADOS BRUTOS'!BF$3:BF$500)+IF($C33="",0,SUMIF('DADOS BRUTOS'!$A$3:$A$500,$C33,'DADOS BRUTOS'!BF$3:BF$500)))</f>
        <v/>
      </c>
      <c r="EG33" s="132">
        <f>IF(OR(EG$4="",$B33=""),0,SUMIF('DADOS BRUTOS'!$A$3:$A$500,$B33,'DADOS BRUTOS'!BG$3:BG$500)+IF($C33="",0,SUMIF('DADOS BRUTOS'!$A$3:$A$500,$C33,'DADOS BRUTOS'!BG$3:BG$500)))</f>
        <v/>
      </c>
      <c r="EH33" s="132">
        <f>IF(OR(EH$4="",$B33=""),0,SUMIF('DADOS BRUTOS'!$A$3:$A$500,$B33,'DADOS BRUTOS'!BH$3:BH$500)+IF($C33="",0,SUMIF('DADOS BRUTOS'!$A$3:$A$500,$C33,'DADOS BRUTOS'!BH$3:BH$500)))</f>
        <v/>
      </c>
      <c r="EI33" s="132">
        <f>IF(OR(EI$4="",$B33=""),0,SUMIF('DADOS BRUTOS'!$A$3:$A$500,$B33,'DADOS BRUTOS'!BI$3:BI$500)+IF($C33="",0,SUMIF('DADOS BRUTOS'!$A$3:$A$500,$C33,'DADOS BRUTOS'!BI$3:BI$500)))</f>
        <v/>
      </c>
      <c r="EJ33" s="132">
        <f>IF(OR(EJ$4="",$B33=""),0,SUMIF('DADOS BRUTOS'!$A$3:$A$500,$B33,'DADOS BRUTOS'!BJ$3:BJ$500)+IF($C33="",0,SUMIF('DADOS BRUTOS'!$A$3:$A$500,$C33,'DADOS BRUTOS'!BJ$3:BJ$500)))</f>
        <v/>
      </c>
      <c r="EK33" s="132">
        <f>IF(OR(EK$4="",$B33=""),0,SUMIF('DADOS BRUTOS'!$A$3:$A$500,$B33,'DADOS BRUTOS'!BK$3:BK$500)+IF($C33="",0,SUMIF('DADOS BRUTOS'!$A$3:$A$500,$C33,'DADOS BRUTOS'!BK$3:BK$500)))</f>
        <v/>
      </c>
      <c r="EL33" s="132">
        <f>IF(OR(EL$4="",$B33=""),0,SUMIF('DADOS BRUTOS'!$A$3:$A$500,$B33,'DADOS BRUTOS'!BL$3:BL$500)+IF($C33="",0,SUMIF('DADOS BRUTOS'!$A$3:$A$500,$C33,'DADOS BRUTOS'!BL$3:BL$500)))</f>
        <v/>
      </c>
      <c r="EM33" s="132">
        <f>IF(OR(EM$4="",$B33=""),0,SUMIF('DADOS BRUTOS'!$A$3:$A$500,$B33,'DADOS BRUTOS'!BM$3:BM$500)+IF($C33="",0,SUMIF('DADOS BRUTOS'!$A$3:$A$500,$C33,'DADOS BRUTOS'!BM$3:BM$500)))</f>
        <v/>
      </c>
      <c r="EN33" s="132">
        <f>IF(OR(EN$4="",$B33=""),0,SUMIF('DADOS BRUTOS'!$A$3:$A$500,$B33,'DADOS BRUTOS'!BN$3:BN$500)+IF($C33="",0,SUMIF('DADOS BRUTOS'!$A$3:$A$500,$C33,'DADOS BRUTOS'!BN$3:BN$500)))</f>
        <v/>
      </c>
      <c r="EO33" s="132">
        <f>IF(OR(EO$4="",$B33=""),0,SUMIF('DADOS BRUTOS'!$A$3:$A$500,$B33,'DADOS BRUTOS'!BO$3:BO$500)+IF($C33="",0,SUMIF('DADOS BRUTOS'!$A$3:$A$500,$C33,'DADOS BRUTOS'!BO$3:BO$500)))</f>
        <v/>
      </c>
      <c r="EP33" s="132">
        <f>IF(OR(EP$4="",$B33=""),0,SUMIF('DADOS BRUTOS'!$A$3:$A$500,$B33,'DADOS BRUTOS'!BP$3:BP$500)+IF($C33="",0,SUMIF('DADOS BRUTOS'!$A$3:$A$500,$C33,'DADOS BRUTOS'!BP$3:BP$500)))</f>
        <v/>
      </c>
      <c r="EQ33" s="132">
        <f>IF(OR(EQ$4="",$B33=""),0,SUMIF('DADOS BRUTOS'!$A$3:$A$500,$B33,'DADOS BRUTOS'!BQ$3:BQ$500)+IF($C33="",0,SUMIF('DADOS BRUTOS'!$A$3:$A$500,$C33,'DADOS BRUTOS'!BQ$3:BQ$500)))</f>
        <v/>
      </c>
      <c r="ER33" s="132">
        <f>IF(OR(ER$4="",$B33=""),0,SUMIF('DADOS BRUTOS'!$A$3:$A$500,$B33,'DADOS BRUTOS'!BR$3:BR$500)+IF($C33="",0,SUMIF('DADOS BRUTOS'!$A$3:$A$500,$C33,'DADOS BRUTOS'!BR$3:BR$500)))</f>
        <v/>
      </c>
      <c r="ES33" s="132">
        <f>IF(OR(ES$4="",$B33=""),0,SUMIF('DADOS BRUTOS'!$A$3:$A$500,$B33,'DADOS BRUTOS'!BS$3:BS$500)+IF($C33="",0,SUMIF('DADOS BRUTOS'!$A$3:$A$500,$C33,'DADOS BRUTOS'!BS$3:BS$500)))</f>
        <v/>
      </c>
      <c r="ET33" s="132">
        <f>IF(OR(ET$4="",$B33=""),0,SUMIF('DADOS BRUTOS'!$A$3:$A$500,$B33,'DADOS BRUTOS'!BT$3:BT$500)+IF($C33="",0,SUMIF('DADOS BRUTOS'!$A$3:$A$500,$C33,'DADOS BRUTOS'!BT$3:BT$500)))</f>
        <v/>
      </c>
      <c r="EU33" s="132">
        <f>IF(OR(EU$4="",$B33=""),0,SUMIF('DADOS BRUTOS'!$A$3:$A$500,$B33,'DADOS BRUTOS'!BU$3:BU$500)+IF($C33="",0,SUMIF('DADOS BRUTOS'!$A$3:$A$500,$C33,'DADOS BRUTOS'!BU$3:BU$500)))</f>
        <v/>
      </c>
      <c r="EV33" s="132">
        <f>IF(OR(EV$4="",$B33=""),0,SUMIF('DADOS BRUTOS'!$A$3:$A$500,$B33,'DADOS BRUTOS'!BV$3:BV$500)+IF($C33="",0,SUMIF('DADOS BRUTOS'!$A$3:$A$500,$C33,'DADOS BRUTOS'!BV$3:BV$500)))</f>
        <v/>
      </c>
      <c r="EW33" s="132">
        <f>IF(OR(EW$4="",$B33=""),0,SUMIF('DADOS BRUTOS'!$A$3:$A$500,$B33,'DADOS BRUTOS'!BW$3:BW$500)+IF($C33="",0,SUMIF('DADOS BRUTOS'!$A$3:$A$500,$C33,'DADOS BRUTOS'!BW$3:BW$500)))</f>
        <v/>
      </c>
      <c r="EX33" s="132">
        <f>IF(OR(EX$4="",$B33=""),0,SUMIF('DADOS BRUTOS'!$A$3:$A$500,$B33,'DADOS BRUTOS'!BX$3:BX$500)+IF($C33="",0,SUMIF('DADOS BRUTOS'!$A$3:$A$500,$C33,'DADOS BRUTOS'!BX$3:BX$500)))</f>
        <v/>
      </c>
      <c r="EY33" s="132">
        <f>IF(OR(EY$4="",$B33=""),0,SUMIF('DADOS BRUTOS'!$A$3:$A$500,$B33,'DADOS BRUTOS'!BY$3:BY$500)+IF($C33="",0,SUMIF('DADOS BRUTOS'!$A$3:$A$500,$C33,'DADOS BRUTOS'!BY$3:BY$500)))</f>
        <v/>
      </c>
      <c r="EZ33" s="132">
        <f>IF(OR(EZ$4="",$B33=""),0,SUMIF('DADOS BRUTOS'!$A$3:$A$500,$B33,'DADOS BRUTOS'!BZ$3:BZ$500)+IF($C33="",0,SUMIF('DADOS BRUTOS'!$A$3:$A$500,$C33,'DADOS BRUTOS'!BZ$3:BZ$500)))</f>
        <v/>
      </c>
      <c r="FA33" s="132">
        <f>IF(OR(FA$4="",$B33=""),0,SUMIF('DADOS BRUTOS'!$A$3:$A$500,$B33,'DADOS BRUTOS'!CA$3:CA$500)+IF($C33="",0,SUMIF('DADOS BRUTOS'!$A$3:$A$500,$C33,'DADOS BRUTOS'!CA$3:CA$500)))</f>
        <v/>
      </c>
      <c r="FB33" s="132">
        <f>IF(OR(FB$4="",$B33=""),0,SUMIF('DADOS BRUTOS'!$A$3:$A$500,$B33,'DADOS BRUTOS'!CB$3:CB$500)+IF($C33="",0,SUMIF('DADOS BRUTOS'!$A$3:$A$500,$C33,'DADOS BRUTOS'!CB$3:CB$500)))</f>
        <v/>
      </c>
      <c r="FC33" s="132">
        <f>IF(OR(FC$4="",$B33=""),0,SUMIF('DADOS BRUTOS'!$A$3:$A$500,$B33,'DADOS BRUTOS'!CC$3:CC$500)+IF($C33="",0,SUMIF('DADOS BRUTOS'!$A$3:$A$500,$C33,'DADOS BRUTOS'!CC$3:CC$500)))</f>
        <v/>
      </c>
      <c r="FD33" s="132">
        <f>IF(OR(FD$4="",$B33=""),0,SUMIF('DADOS BRUTOS'!$A$3:$A$500,$B33,'DADOS BRUTOS'!CD$3:CD$500)+IF($C33="",0,SUMIF('DADOS BRUTOS'!$A$3:$A$500,$C33,'DADOS BRUTOS'!CD$3:CD$500)))</f>
        <v/>
      </c>
      <c r="FE33" s="132">
        <f>IF(OR(FE$4="",$B33=""),0,SUMIF('DADOS BRUTOS'!$A$3:$A$500,$B33,'DADOS BRUTOS'!CE$3:CE$500)+IF($C33="",0,SUMIF('DADOS BRUTOS'!$A$3:$A$500,$C33,'DADOS BRUTOS'!CE$3:CE$500)))</f>
        <v/>
      </c>
      <c r="FF33" s="132">
        <f>IF(OR(FF$4="",$B33=""),0,SUMIF('DADOS BRUTOS'!$A$3:$A$500,$B33,'DADOS BRUTOS'!CF$3:CF$500)+IF($C33="",0,SUMIF('DADOS BRUTOS'!$A$3:$A$500,$C33,'DADOS BRUTOS'!CF$3:CF$500)))</f>
        <v/>
      </c>
      <c r="FG33" s="132">
        <f>IF(OR(FG$4="",$B33=""),0,SUMIF('DADOS BRUTOS'!$A$3:$A$500,$B33,'DADOS BRUTOS'!CG$3:CG$500)+IF($C33="",0,SUMIF('DADOS BRUTOS'!$A$3:$A$500,$C33,'DADOS BRUTOS'!CG$3:CG$500)))</f>
        <v/>
      </c>
      <c r="FH33" s="132">
        <f>IF(OR(FH$4="",$B33=""),0,SUMIF('DADOS BRUTOS'!$A$3:$A$500,$B33,'DADOS BRUTOS'!CH$3:CH$500)+IF($C33="",0,SUMIF('DADOS BRUTOS'!$A$3:$A$500,$C33,'DADOS BRUTOS'!CH$3:CH$500)))</f>
        <v/>
      </c>
      <c r="FI33" s="132">
        <f>IF(OR(FI$4="",$B33=""),0,SUMIF('DADOS BRUTOS'!$A$3:$A$500,$B33,'DADOS BRUTOS'!CI$3:CI$500)+IF($C33="",0,SUMIF('DADOS BRUTOS'!$A$3:$A$500,$C33,'DADOS BRUTOS'!CI$3:CI$500)))</f>
        <v/>
      </c>
      <c r="FJ33" s="132">
        <f>IF(OR(FJ$4="",$B33=""),0,SUMIF('DADOS BRUTOS'!$A$3:$A$500,$B33,'DADOS BRUTOS'!CJ$3:CJ$500)+IF($C33="",0,SUMIF('DADOS BRUTOS'!$A$3:$A$500,$C33,'DADOS BRUTOS'!CJ$3:CJ$500)))</f>
        <v/>
      </c>
      <c r="FK33" s="132">
        <f>IF(OR(FK$4="",$B33=""),0,SUMIF('DADOS BRUTOS'!$A$3:$A$500,$B33,'DADOS BRUTOS'!CK$3:CK$500)+IF($C33="",0,SUMIF('DADOS BRUTOS'!$A$3:$A$500,$C33,'DADOS BRUTOS'!CK$3:CK$500)))</f>
        <v/>
      </c>
      <c r="FL33" s="132">
        <f>IF(OR(FL$4="",$B33=""),0,SUMIF('DADOS BRUTOS'!$A$3:$A$500,$B33,'DADOS BRUTOS'!CL$3:CL$500)+IF($C33="",0,SUMIF('DADOS BRUTOS'!$A$3:$A$500,$C33,'DADOS BRUTOS'!CL$3:CL$500)))</f>
        <v/>
      </c>
      <c r="FM33" s="132">
        <f>IF(OR(FM$4="",$B33=""),0,SUMIF('DADOS BRUTOS'!$A$3:$A$500,$B33,'DADOS BRUTOS'!CM$3:CM$500)+IF($C33="",0,SUMIF('DADOS BRUTOS'!$A$3:$A$500,$C33,'DADOS BRUTOS'!CM$3:CM$500)))</f>
        <v/>
      </c>
      <c r="FN33" s="132">
        <f>IF(OR(FN$4="",$B33=""),0,SUMIF('DADOS BRUTOS'!$A$3:$A$500,$B33,'DADOS BRUTOS'!CN$3:CN$500)+IF($C33="",0,SUMIF('DADOS BRUTOS'!$A$3:$A$500,$C33,'DADOS BRUTOS'!CN$3:CN$500)))</f>
        <v/>
      </c>
      <c r="FO33" s="132">
        <f>IF(OR(FO$4="",$B33=""),0,SUMIF('DADOS BRUTOS'!$A$3:$A$500,$B33,'DADOS BRUTOS'!CO$3:CO$500)+IF($C33="",0,SUMIF('DADOS BRUTOS'!$A$3:$A$500,$C33,'DADOS BRUTOS'!CO$3:CO$500)))</f>
        <v/>
      </c>
      <c r="FP33" s="132">
        <f>IF(OR(FP$4="",$B33=""),0,SUMIF('DADOS BRUTOS'!$A$3:$A$500,$B33,'DADOS BRUTOS'!CP$3:CP$500)+IF($C33="",0,SUMIF('DADOS BRUTOS'!$A$3:$A$500,$C33,'DADOS BRUTOS'!CP$3:CP$500)))</f>
        <v/>
      </c>
      <c r="FQ33" s="132">
        <f>IF(OR(FQ$4="",$B33=""),0,SUMIF('DADOS BRUTOS'!$A$3:$A$500,$B33,'DADOS BRUTOS'!CQ$3:CQ$500)+IF($C33="",0,SUMIF('DADOS BRUTOS'!$A$3:$A$500,$C33,'DADOS BRUTOS'!CQ$3:CQ$500)))</f>
        <v/>
      </c>
      <c r="FR33" s="132">
        <f>IF(OR(FR$4="",$B33=""),0,SUMIF('DADOS BRUTOS'!$A$3:$A$500,$B33,'DADOS BRUTOS'!CR$3:CR$500)+IF($C33="",0,SUMIF('DADOS BRUTOS'!$A$3:$A$500,$C33,'DADOS BRUTOS'!CR$3:CR$500)))</f>
        <v/>
      </c>
      <c r="FS33" s="132">
        <f>IF(OR(FS$4="",$B33=""),0,SUMIF('DADOS BRUTOS'!$A$3:$A$500,$B33,'DADOS BRUTOS'!CS$3:CS$500)+IF($C33="",0,SUMIF('DADOS BRUTOS'!$A$3:$A$500,$C33,'DADOS BRUTOS'!CS$3:CS$500)))</f>
        <v/>
      </c>
      <c r="FT33" s="132">
        <f>IF(OR(FT$4="",$B33=""),0,SUMIF('DADOS BRUTOS'!$A$3:$A$500,$B33,'DADOS BRUTOS'!CT$3:CT$500)+IF($C33="",0,SUMIF('DADOS BRUTOS'!$A$3:$A$500,$C33,'DADOS BRUTOS'!CT$3:CT$500)))</f>
        <v/>
      </c>
      <c r="FU33" s="132">
        <f>IF(OR(FU$4="",$B33=""),0,SUMIF('DADOS BRUTOS'!$A$3:$A$500,$B33,'DADOS BRUTOS'!CU$3:CU$500)+IF($C33="",0,SUMIF('DADOS BRUTOS'!$A$3:$A$500,$C33,'DADOS BRUTOS'!CU$3:CU$500)))</f>
        <v/>
      </c>
      <c r="FV33" s="132">
        <f>IF(OR(FV$4="",$B33=""),0,SUMIF('DADOS BRUTOS'!$A$3:$A$500,$B33,'DADOS BRUTOS'!CV$3:CV$500)+IF($C33="",0,SUMIF('DADOS BRUTOS'!$A$3:$A$500,$C33,'DADOS BRUTOS'!CV$3:CV$500)))</f>
        <v/>
      </c>
      <c r="FW33" s="132">
        <f>IF(OR(FW$4="",$B33=""),0,SUMIF('DADOS BRUTOS'!$A$3:$A$500,$B33,'DADOS BRUTOS'!CW$3:CW$500)+IF($C33="",0,SUMIF('DADOS BRUTOS'!$A$3:$A$500,$C33,'DADOS BRUTOS'!CW$3:CW$500)))</f>
        <v/>
      </c>
      <c r="FX33" s="132">
        <f>IF(OR(FX$4="",$B33=""),0,SUMIF('DADOS BRUTOS'!$A$3:$A$500,$B33,'DADOS BRUTOS'!CX$3:CX$500)+IF($C33="",0,SUMIF('DADOS BRUTOS'!$A$3:$A$500,$C33,'DADOS BRUTOS'!CX$3:CX$500)))</f>
        <v/>
      </c>
      <c r="FY33" s="132">
        <f>IF(OR(FY$4="",$B33=""),0,SUMIF('DADOS BRUTOS'!$A$3:$A$500,$B33,'DADOS BRUTOS'!CY$3:CY$500)+IF($C33="",0,SUMIF('DADOS BRUTOS'!$A$3:$A$500,$C33,'DADOS BRUTOS'!CY$3:CY$500)))</f>
        <v/>
      </c>
      <c r="FZ33" s="132">
        <f>IF(OR(FZ$4="",$B33=""),0,SUMIF('DADOS BRUTOS'!$A$3:$A$500,$B33,'DADOS BRUTOS'!CZ$3:CZ$500)+IF($C33="",0,SUMIF('DADOS BRUTOS'!$A$3:$A$500,$C33,'DADOS BRUTOS'!CZ$3:CZ$500)))</f>
        <v/>
      </c>
      <c r="GA33" s="132">
        <f>IF(OR(GA$4="",$B33=""),0,SUMIF('DADOS BRUTOS'!$A$3:$A$500,$B33,'DADOS BRUTOS'!DA$3:DA$500)+IF($C33="",0,SUMIF('DADOS BRUTOS'!$A$3:$A$500,$C33,'DADOS BRUTOS'!DA$3:DA$500)))</f>
        <v/>
      </c>
      <c r="GB33" s="132">
        <f>IF(OR(GB$4="",$B33=""),0,SUMIF('DADOS BRUTOS'!$A$3:$A$500,$B33,'DADOS BRUTOS'!DB$3:DB$500)+IF($C33="",0,SUMIF('DADOS BRUTOS'!$A$3:$A$500,$C33,'DADOS BRUTOS'!DB$3:DB$500)))</f>
        <v/>
      </c>
      <c r="GC33" s="132">
        <f>IF(OR(GC$4="",$B33=""),0,SUMIF('DADOS BRUTOS'!$A$3:$A$500,$B33,'DADOS BRUTOS'!DC$3:DC$500)+IF($C33="",0,SUMIF('DADOS BRUTOS'!$A$3:$A$500,$C33,'DADOS BRUTOS'!DC$3:DC$500)))</f>
        <v/>
      </c>
      <c r="GD33" s="132">
        <f>IF(OR(GD$4="",$B33=""),0,SUMIF('DADOS BRUTOS'!$A$3:$A$500,$B33,'DADOS BRUTOS'!DD$3:DD$500)+IF($C33="",0,SUMIF('DADOS BRUTOS'!$A$3:$A$500,$C33,'DADOS BRUTOS'!DD$3:DD$500)))</f>
        <v/>
      </c>
      <c r="GE33" s="132">
        <f>IF(OR(GE$4="",$B33=""),0,SUMIF('DADOS BRUTOS'!$A$3:$A$500,$B33,'DADOS BRUTOS'!DE$3:DE$500)+IF($C33="",0,SUMIF('DADOS BRUTOS'!$A$3:$A$500,$C33,'DADOS BRUTOS'!DE$3:DE$500)))</f>
        <v/>
      </c>
      <c r="GF33" s="132">
        <f>IF(OR(GF$4="",$B33=""),0,SUMIF('DADOS BRUTOS'!$A$3:$A$500,$B33,'DADOS BRUTOS'!DF$3:DF$500)+IF($C33="",0,SUMIF('DADOS BRUTOS'!$A$3:$A$500,$C33,'DADOS BRUTOS'!DF$3:DF$500)))</f>
        <v/>
      </c>
      <c r="GG33" s="132">
        <f>IF(OR(GG$4="",$B33=""),0,SUMIF('DADOS BRUTOS'!$A$3:$A$500,$B33,'DADOS BRUTOS'!DG$3:DG$500)+IF($C33="",0,SUMIF('DADOS BRUTOS'!$A$3:$A$500,$C33,'DADOS BRUTOS'!DG$3:DG$500)))</f>
        <v/>
      </c>
      <c r="GH33" s="132">
        <f>IF(OR(GH$4="",$B33=""),0,SUMIF('DADOS BRUTOS'!$A$3:$A$500,$B33,'DADOS BRUTOS'!DH$3:DH$500)+IF($C33="",0,SUMIF('DADOS BRUTOS'!$A$3:$A$500,$C33,'DADOS BRUTOS'!DH$3:DH$500)))</f>
        <v/>
      </c>
      <c r="GI33" s="132">
        <f>IF(OR(GI$4="",$B33=""),0,SUMIF('DADOS BRUTOS'!$A$3:$A$500,$B33,'DADOS BRUTOS'!DI$3:DI$500)+IF($C33="",0,SUMIF('DADOS BRUTOS'!$A$3:$A$500,$C33,'DADOS BRUTOS'!DI$3:DI$500)))</f>
        <v/>
      </c>
      <c r="GJ33" s="132">
        <f>IF(OR(GJ$4="",$B33=""),0,SUMIF('DADOS BRUTOS'!$A$3:$A$500,$B33,'DADOS BRUTOS'!DJ$3:DJ$500)+IF($C33="",0,SUMIF('DADOS BRUTOS'!$A$3:$A$500,$C33,'DADOS BRUTOS'!DJ$3:DJ$500)))</f>
        <v/>
      </c>
      <c r="GK33" s="132">
        <f>IF(OR(GK$4="",$B33=""),0,SUMIF('DADOS BRUTOS'!$A$3:$A$500,$B33,'DADOS BRUTOS'!DK$3:DK$500)+IF($C33="",0,SUMIF('DADOS BRUTOS'!$A$3:$A$500,$C33,'DADOS BRUTOS'!DK$3:DK$500)))</f>
        <v/>
      </c>
      <c r="GL33" s="132">
        <f>IF(OR(GL$4="",$B33=""),0,SUMIF('DADOS BRUTOS'!$A$3:$A$500,$B33,'DADOS BRUTOS'!DL$3:DL$500)+IF($C33="",0,SUMIF('DADOS BRUTOS'!$A$3:$A$500,$C33,'DADOS BRUTOS'!DL$3:DL$500)))</f>
        <v/>
      </c>
      <c r="GM33" s="132">
        <f>IF(OR(GM$4="",$B33=""),0,SUMIF('DADOS BRUTOS'!$A$3:$A$500,$B33,'DADOS BRUTOS'!DM$3:DM$500)+IF($C33="",0,SUMIF('DADOS BRUTOS'!$A$3:$A$500,$C33,'DADOS BRUTOS'!DM$3:DM$500)))</f>
        <v/>
      </c>
      <c r="GN33" s="132">
        <f>IF(OR(GN$4="",$B33=""),0,SUMIF('DADOS BRUTOS'!$A$3:$A$500,$B33,'DADOS BRUTOS'!DN$3:DN$500)+IF($C33="",0,SUMIF('DADOS BRUTOS'!$A$3:$A$500,$C33,'DADOS BRUTOS'!DN$3:DN$500)))</f>
        <v/>
      </c>
      <c r="GO33" s="132">
        <f>IF(OR(GO$4="",$B33=""),0,SUMIF('DADOS BRUTOS'!$A$3:$A$500,$B33,'DADOS BRUTOS'!DO$3:DO$500)+IF($C33="",0,SUMIF('DADOS BRUTOS'!$A$3:$A$500,$C33,'DADOS BRUTOS'!DO$3:DO$500)))</f>
        <v/>
      </c>
      <c r="GP33" s="132">
        <f>IF(OR(GP$4="",$B33=""),0,SUMIF('DADOS BRUTOS'!$A$3:$A$500,$B33,'DADOS BRUTOS'!DP$3:DP$500)+IF($C33="",0,SUMIF('DADOS BRUTOS'!$A$3:$A$500,$C33,'DADOS BRUTOS'!DP$3:DP$500)))</f>
        <v/>
      </c>
      <c r="GQ33" s="132">
        <f>IF(OR(GQ$4="",$B33=""),0,SUMIF('DADOS BRUTOS'!$A$3:$A$500,$B33,'DADOS BRUTOS'!DQ$3:DQ$500)+IF($C33="",0,SUMIF('DADOS BRUTOS'!$A$3:$A$500,$C33,'DADOS BRUTOS'!DQ$3:DQ$500)))</f>
        <v/>
      </c>
      <c r="GR33" s="132">
        <f>IF(OR(GR$4="",$B33=""),0,SUMIF('DADOS BRUTOS'!$A$3:$A$500,$B33,'DADOS BRUTOS'!DR$3:DR$500)+IF($C33="",0,SUMIF('DADOS BRUTOS'!$A$3:$A$500,$C33,'DADOS BRUTOS'!DR$3:DR$500)))</f>
        <v/>
      </c>
      <c r="GS33" s="132">
        <f>IF(OR(GS$4="",$B33=""),0,SUMIF('DADOS BRUTOS'!$A$3:$A$500,$B33,'DADOS BRUTOS'!DS$3:DS$500)+IF($C33="",0,SUMIF('DADOS BRUTOS'!$A$3:$A$500,$C33,'DADOS BRUTOS'!DS$3:DS$500)))</f>
        <v/>
      </c>
      <c r="GT33" s="132">
        <f>IF(OR(GT$4="",$B33=""),0,SUMIF('DADOS BRUTOS'!$A$3:$A$500,$B33,'DADOS BRUTOS'!DT$3:DT$500)+IF($C33="",0,SUMIF('DADOS BRUTOS'!$A$3:$A$500,$C33,'DADOS BRUTOS'!DT$3:DT$500)))</f>
        <v/>
      </c>
      <c r="GU33" s="132">
        <f>IF(OR(GU$4="",$B33=""),0,SUMIF('DADOS BRUTOS'!$A$3:$A$500,$B33,'DADOS BRUTOS'!DU$3:DU$500)+IF($C33="",0,SUMIF('DADOS BRUTOS'!$A$3:$A$500,$C33,'DADOS BRUTOS'!DU$3:DU$500)))</f>
        <v/>
      </c>
      <c r="GV33" s="132">
        <f>IF(OR(GV$4="",$B33=""),0,SUMIF('DADOS BRUTOS'!$A$3:$A$500,$B33,'DADOS BRUTOS'!DV$3:DV$500)+IF($C33="",0,SUMIF('DADOS BRUTOS'!$A$3:$A$500,$C33,'DADOS BRUTOS'!DV$3:DV$500)))</f>
        <v/>
      </c>
      <c r="GW33" s="132">
        <f>IF(OR(GW$4="",$B33=""),0,SUMIF('DADOS BRUTOS'!$A$3:$A$500,$B33,'DADOS BRUTOS'!DW$3:DW$500)+IF($C33="",0,SUMIF('DADOS BRUTOS'!$A$3:$A$500,$C33,'DADOS BRUTOS'!DW$3:DW$500)))</f>
        <v/>
      </c>
      <c r="GX33" s="132">
        <f>IF(OR(GX$4="",$B33=""),0,SUMIF('DADOS BRUTOS'!$A$3:$A$500,$B33,'DADOS BRUTOS'!DX$3:DX$500)+IF($C33="",0,SUMIF('DADOS BRUTOS'!$A$3:$A$500,$C33,'DADOS BRUTOS'!DX$3:DX$500)))</f>
        <v/>
      </c>
      <c r="GY33" s="132">
        <f>IF(OR(GY$4="",$B33=""),0,SUMIF('DADOS BRUTOS'!$A$3:$A$500,$B33,'DADOS BRUTOS'!DY$3:DY$500)+IF($C33="",0,SUMIF('DADOS BRUTOS'!$A$3:$A$500,$C33,'DADOS BRUTOS'!DY$3:DY$500)))</f>
        <v/>
      </c>
      <c r="GZ33" s="132">
        <f>IF(OR(GZ$4="",$B33=""),0,SUMIF('DADOS BRUTOS'!$A$3:$A$500,$B33,'DADOS BRUTOS'!DZ$3:DZ$500)+IF($C33="",0,SUMIF('DADOS BRUTOS'!$A$3:$A$500,$C33,'DADOS BRUTOS'!DZ$3:DZ$500)))</f>
        <v/>
      </c>
      <c r="HA33" s="132">
        <f>IF(OR(HA$4="",$B33=""),0,SUMIF('DADOS BRUTOS'!$A$3:$A$500,$B33,'DADOS BRUTOS'!EA$3:EA$500)+IF($C33="",0,SUMIF('DADOS BRUTOS'!$A$3:$A$500,$C33,'DADOS BRUTOS'!EA$3:EA$500)))</f>
        <v/>
      </c>
      <c r="HB33" s="132">
        <f>IF(OR(HB$4="",$B33=""),0,SUMIF('DADOS BRUTOS'!$A$3:$A$500,$B33,'DADOS BRUTOS'!EB$3:EB$500)+IF($C33="",0,SUMIF('DADOS BRUTOS'!$A$3:$A$500,$C33,'DADOS BRUTOS'!EB$3:EB$500)))</f>
        <v/>
      </c>
      <c r="HC33" s="132">
        <f>IF(OR(HC$4="",$B33=""),0,SUMIF('DADOS BRUTOS'!$A$3:$A$500,$B33,'DADOS BRUTOS'!EC$3:EC$500)+IF($C33="",0,SUMIF('DADOS BRUTOS'!$A$3:$A$500,$C33,'DADOS BRUTOS'!EC$3:EC$500)))</f>
        <v/>
      </c>
      <c r="HD33" s="132">
        <f>IF(OR(HD$4="",$B33=""),0,SUMIF('DADOS BRUTOS'!$A$3:$A$500,$B33,'DADOS BRUTOS'!ED$3:ED$500)+IF($C33="",0,SUMIF('DADOS BRUTOS'!$A$3:$A$500,$C33,'DADOS BRUTOS'!ED$3:ED$500)))</f>
        <v/>
      </c>
      <c r="HE33" s="132">
        <f>IF(OR(HE$4="",$B33=""),0,SUMIF('DADOS BRUTOS'!$A$3:$A$500,$B33,'DADOS BRUTOS'!EE$3:EE$500)+IF($C33="",0,SUMIF('DADOS BRUTOS'!$A$3:$A$500,$C33,'DADOS BRUTOS'!EE$3:EE$500)))</f>
        <v/>
      </c>
      <c r="HF33" s="132">
        <f>IF(OR(HF$4="",$B33=""),0,SUMIF('DADOS BRUTOS'!$A$3:$A$500,$B33,'DADOS BRUTOS'!EF$3:EF$500)+IF($C33="",0,SUMIF('DADOS BRUTOS'!$A$3:$A$500,$C33,'DADOS BRUTOS'!EF$3:EF$500)))</f>
        <v/>
      </c>
      <c r="HG33" s="132">
        <f>IF(OR(HG$4="",$B33=""),0,SUMIF('DADOS BRUTOS'!$A$3:$A$500,$B33,'DADOS BRUTOS'!EG$3:EG$500)+IF($C33="",0,SUMIF('DADOS BRUTOS'!$A$3:$A$500,$C33,'DADOS BRUTOS'!EG$3:EG$500)))</f>
        <v/>
      </c>
      <c r="HH33" s="132">
        <f>IF(OR(HH$4="",$B33=""),0,SUMIF('DADOS BRUTOS'!$A$3:$A$500,$B33,'DADOS BRUTOS'!EH$3:EH$500)+IF($C33="",0,SUMIF('DADOS BRUTOS'!$A$3:$A$500,$C33,'DADOS BRUTOS'!EH$3:EH$500)))</f>
        <v/>
      </c>
      <c r="HI33" s="132">
        <f>IF(OR(HI$4="",$B33=""),0,SUMIF('DADOS BRUTOS'!$A$3:$A$500,$B33,'DADOS BRUTOS'!EI$3:EI$500)+IF($C33="",0,SUMIF('DADOS BRUTOS'!$A$3:$A$500,$C33,'DADOS BRUTOS'!EI$3:EI$500)))</f>
        <v/>
      </c>
      <c r="HJ33" s="132">
        <f>IF(OR(HJ$4="",$B33=""),0,SUMIF('DADOS BRUTOS'!$A$3:$A$500,$B33,'DADOS BRUTOS'!EJ$3:EJ$500)+IF($C33="",0,SUMIF('DADOS BRUTOS'!$A$3:$A$500,$C33,'DADOS BRUTOS'!EJ$3:EJ$500)))</f>
        <v/>
      </c>
      <c r="HK33" s="132">
        <f>IF(OR(HK$4="",$B33=""),0,SUMIF('DADOS BRUTOS'!$A$3:$A$500,$B33,'DADOS BRUTOS'!EK$3:EK$500)+IF($C33="",0,SUMIF('DADOS BRUTOS'!$A$3:$A$500,$C33,'DADOS BRUTOS'!EK$3:EK$500)))</f>
        <v/>
      </c>
      <c r="HL33" s="132">
        <f>IF(OR(HL$4="",$B33=""),0,SUMIF('DADOS BRUTOS'!$A$3:$A$500,$B33,'DADOS BRUTOS'!EL$3:EL$500)+IF($C33="",0,SUMIF('DADOS BRUTOS'!$A$3:$A$500,$C33,'DADOS BRUTOS'!EL$3:EL$500)))</f>
        <v/>
      </c>
      <c r="HM33" s="132">
        <f>IF(OR(HM$4="",$B33=""),0,SUMIF('DADOS BRUTOS'!$A$3:$A$500,$B33,'DADOS BRUTOS'!EM$3:EM$500)+IF($C33="",0,SUMIF('DADOS BRUTOS'!$A$3:$A$500,$C33,'DADOS BRUTOS'!EM$3:EM$500)))</f>
        <v/>
      </c>
      <c r="HN33" s="132">
        <f>IF(OR(HN$4="",$B33=""),0,SUMIF('DADOS BRUTOS'!$A$3:$A$500,$B33,'DADOS BRUTOS'!EN$3:EN$500)+IF($C33="",0,SUMIF('DADOS BRUTOS'!$A$3:$A$500,$C33,'DADOS BRUTOS'!EN$3:EN$500)))</f>
        <v/>
      </c>
      <c r="HO33" s="132">
        <f>IF(OR(HO$4="",$B33=""),0,SUMIF('DADOS BRUTOS'!$A$3:$A$500,$B33,'DADOS BRUTOS'!EO$3:EO$500)+IF($C33="",0,SUMIF('DADOS BRUTOS'!$A$3:$A$500,$C33,'DADOS BRUTOS'!EO$3:EO$500)))</f>
        <v/>
      </c>
      <c r="HP33" s="132">
        <f>IF(OR(HP$4="",$B33=""),0,SUMIF('DADOS BRUTOS'!$A$3:$A$500,$B33,'DADOS BRUTOS'!EP$3:EP$500)+IF($C33="",0,SUMIF('DADOS BRUTOS'!$A$3:$A$500,$C33,'DADOS BRUTOS'!EP$3:EP$500)))</f>
        <v/>
      </c>
      <c r="HQ33" s="132">
        <f>IF(OR(HQ$4="",$B33=""),0,SUMIF('DADOS BRUTOS'!$A$3:$A$500,$B33,'DADOS BRUTOS'!EQ$3:EQ$500)+IF($C33="",0,SUMIF('DADOS BRUTOS'!$A$3:$A$500,$C33,'DADOS BRUTOS'!EQ$3:EQ$500)))</f>
        <v/>
      </c>
      <c r="HR33" s="132">
        <f>IF(OR(HR$4="",$B33=""),0,SUMIF('DADOS BRUTOS'!$A$3:$A$500,$B33,'DADOS BRUTOS'!ER$3:ER$500)+IF($C33="",0,SUMIF('DADOS BRUTOS'!$A$3:$A$500,$C33,'DADOS BRUTOS'!ER$3:ER$500)))</f>
        <v/>
      </c>
      <c r="HS33" s="132">
        <f>IF(OR(HS$4="",$B33=""),0,SUMIF('DADOS BRUTOS'!$A$3:$A$500,$B33,'DADOS BRUTOS'!ES$3:ES$500)+IF($C33="",0,SUMIF('DADOS BRUTOS'!$A$3:$A$500,$C33,'DADOS BRUTOS'!ES$3:ES$500)))</f>
        <v/>
      </c>
      <c r="HT33" s="132">
        <f>IF(OR(HT$4="",$B33=""),0,SUMIF('DADOS BRUTOS'!$A$3:$A$500,$B33,'DADOS BRUTOS'!ET$3:ET$500)+IF($C33="",0,SUMIF('DADOS BRUTOS'!$A$3:$A$500,$C33,'DADOS BRUTOS'!ET$3:ET$500)))</f>
        <v/>
      </c>
      <c r="HU33" s="132">
        <f>IF(OR(HU$4="",$B33=""),0,SUMIF('DADOS BRUTOS'!$A$3:$A$500,$B33,'DADOS BRUTOS'!EU$3:EU$500)+IF($C33="",0,SUMIF('DADOS BRUTOS'!$A$3:$A$500,$C33,'DADOS BRUTOS'!EU$3:EU$500)))</f>
        <v/>
      </c>
      <c r="HV33" s="132">
        <f>IF(OR(HV$4="",$B33=""),0,SUMIF('DADOS BRUTOS'!$A$3:$A$500,$B33,'DADOS BRUTOS'!EV$3:EV$500)+IF($C33="",0,SUMIF('DADOS BRUTOS'!$A$3:$A$500,$C33,'DADOS BRUTOS'!EV$3:EV$500)))</f>
        <v/>
      </c>
      <c r="HW33" s="132">
        <f>IF(OR(HW$4="",$B33=""),0,SUMIF('DADOS BRUTOS'!$A$3:$A$500,$B33,'DADOS BRUTOS'!EW$3:EW$500)+IF($C33="",0,SUMIF('DADOS BRUTOS'!$A$3:$A$500,$C33,'DADOS BRUTOS'!EW$3:EW$500)))</f>
        <v/>
      </c>
      <c r="HX33" s="132">
        <f>IF(OR(HX$4="",$B33=""),0,SUMIF('DADOS BRUTOS'!$A$3:$A$500,$B33,'DADOS BRUTOS'!EX$3:EX$500)+IF($C33="",0,SUMIF('DADOS BRUTOS'!$A$3:$A$500,$C33,'DADOS BRUTOS'!EX$3:EX$500)))</f>
        <v/>
      </c>
      <c r="HY33" s="132">
        <f>IF(OR(HY$4="",$B33=""),0,SUMIF('DADOS BRUTOS'!$A$3:$A$500,$B33,'DADOS BRUTOS'!EY$3:EY$500)+IF($C33="",0,SUMIF('DADOS BRUTOS'!$A$3:$A$500,$C33,'DADOS BRUTOS'!EY$3:EY$500)))</f>
        <v/>
      </c>
      <c r="HZ33" s="132">
        <f>IF(OR(HZ$4="",$B33=""),0,SUMIF('DADOS BRUTOS'!$A$3:$A$500,$B33,'DADOS BRUTOS'!EZ$3:EZ$500)+IF($C33="",0,SUMIF('DADOS BRUTOS'!$A$3:$A$500,$C33,'DADOS BRUTOS'!EZ$3:EZ$500)))</f>
        <v/>
      </c>
      <c r="IA33" s="132">
        <f>IF(OR(IA$4="",$B33=""),0,SUMIF('DADOS BRUTOS'!$A$3:$A$500,$B33,'DADOS BRUTOS'!FA$3:FA$500)+IF($C33="",0,SUMIF('DADOS BRUTOS'!$A$3:$A$500,$C33,'DADOS BRUTOS'!FA$3:FA$500)))</f>
        <v/>
      </c>
      <c r="IB33" s="132">
        <f>IF(OR(IB$4="",$B33=""),0,SUMIF('DADOS BRUTOS'!$A$3:$A$500,$B33,'DADOS BRUTOS'!FB$3:FB$500)+IF($C33="",0,SUMIF('DADOS BRUTOS'!$A$3:$A$500,$C33,'DADOS BRUTOS'!FB$3:FB$500)))</f>
        <v/>
      </c>
      <c r="IC33" s="132">
        <f>IF(OR(IC$4="",$B33=""),0,SUMIF('DADOS BRUTOS'!$A$3:$A$500,$B33,'DADOS BRUTOS'!FC$3:FC$500)+IF($C33="",0,SUMIF('DADOS BRUTOS'!$A$3:$A$500,$C33,'DADOS BRUTOS'!FC$3:FC$500)))</f>
        <v/>
      </c>
      <c r="ID33" s="132">
        <f>IF(OR(ID$4="",$B33=""),0,SUMIF('DADOS BRUTOS'!$A$3:$A$500,$B33,'DADOS BRUTOS'!FD$3:FD$500)+IF($C33="",0,SUMIF('DADOS BRUTOS'!$A$3:$A$500,$C33,'DADOS BRUTOS'!FD$3:FD$500)))</f>
        <v/>
      </c>
      <c r="IE33" s="132">
        <f>IF(OR(IE$4="",$B33=""),0,SUMIF('DADOS BRUTOS'!$A$3:$A$500,$B33,'DADOS BRUTOS'!FE$3:FE$500)+IF($C33="",0,SUMIF('DADOS BRUTOS'!$A$3:$A$500,$C33,'DADOS BRUTOS'!FE$3:FE$500)))</f>
        <v/>
      </c>
      <c r="IF33" s="132">
        <f>IF(OR(IF$4="",$B33=""),0,SUMIF('DADOS BRUTOS'!$A$3:$A$500,$B33,'DADOS BRUTOS'!FF$3:FF$500)+IF($C33="",0,SUMIF('DADOS BRUTOS'!$A$3:$A$500,$C33,'DADOS BRUTOS'!FF$3:FF$500)))</f>
        <v/>
      </c>
      <c r="IG33" s="132">
        <f>IF(OR(IG$4="",$B33=""),0,SUMIF('DADOS BRUTOS'!$A$3:$A$500,$B33,'DADOS BRUTOS'!FG$3:FG$500)+IF($C33="",0,SUMIF('DADOS BRUTOS'!$A$3:$A$500,$C33,'DADOS BRUTOS'!FG$3:FG$500)))</f>
        <v/>
      </c>
      <c r="IH33" s="132">
        <f>IF(OR(IH$4="",$B33=""),0,SUMIF('DADOS BRUTOS'!$A$3:$A$500,$B33,'DADOS BRUTOS'!FH$3:FH$500)+IF($C33="",0,SUMIF('DADOS BRUTOS'!$A$3:$A$500,$C33,'DADOS BRUTOS'!FH$3:FH$500)))</f>
        <v/>
      </c>
      <c r="II33" s="132">
        <f>IF(OR(II$4="",$B33=""),0,SUMIF('DADOS BRUTOS'!$A$3:$A$500,$B33,'DADOS BRUTOS'!FI$3:FI$500)+IF($C33="",0,SUMIF('DADOS BRUTOS'!$A$3:$A$500,$C33,'DADOS BRUTOS'!FI$3:FI$500)))</f>
        <v/>
      </c>
      <c r="IJ33" s="132">
        <f>IF(OR(IJ$4="",$B33=""),0,SUMIF('DADOS BRUTOS'!$A$3:$A$500,$B33,'DADOS BRUTOS'!FJ$3:FJ$500)+IF($C33="",0,SUMIF('DADOS BRUTOS'!$A$3:$A$500,$C33,'DADOS BRUTOS'!FJ$3:FJ$500)))</f>
        <v/>
      </c>
      <c r="IK33" s="132">
        <f>IF(OR(IK$4="",$B33=""),0,SUMIF('DADOS BRUTOS'!$A$3:$A$500,$B33,'DADOS BRUTOS'!FK$3:FK$500)+IF($C33="",0,SUMIF('DADOS BRUTOS'!$A$3:$A$500,$C33,'DADOS BRUTOS'!FK$3:FK$500)))</f>
        <v/>
      </c>
      <c r="IL33" s="132">
        <f>IF(OR(IL$4="",$B33=""),0,SUMIF('DADOS BRUTOS'!$A$3:$A$500,$B33,'DADOS BRUTOS'!FL$3:FL$500)+IF($C33="",0,SUMIF('DADOS BRUTOS'!$A$3:$A$500,$C33,'DADOS BRUTOS'!FL$3:FL$500)))</f>
        <v/>
      </c>
      <c r="IM33" s="132">
        <f>IF(OR(IM$4="",$B33=""),0,SUMIF('DADOS BRUTOS'!$A$3:$A$500,$B33,'DADOS BRUTOS'!FM$3:FM$500)+IF($C33="",0,SUMIF('DADOS BRUTOS'!$A$3:$A$500,$C33,'DADOS BRUTOS'!FM$3:FM$500)))</f>
        <v/>
      </c>
      <c r="IN33" s="132">
        <f>IF(OR(IN$4="",$B33=""),0,SUMIF('DADOS BRUTOS'!$A$3:$A$500,$B33,'DADOS BRUTOS'!FN$3:FN$500)+IF($C33="",0,SUMIF('DADOS BRUTOS'!$A$3:$A$500,$C33,'DADOS BRUTOS'!FN$3:FN$500)))</f>
        <v/>
      </c>
      <c r="IO33" s="132">
        <f>IF(OR(IO$4="",$B33=""),0,SUMIF('DADOS BRUTOS'!$A$3:$A$500,$B33,'DADOS BRUTOS'!FO$3:FO$500)+IF($C33="",0,SUMIF('DADOS BRUTOS'!$A$3:$A$500,$C33,'DADOS BRUTOS'!FO$3:FO$500)))</f>
        <v/>
      </c>
      <c r="IP33" s="132">
        <f>IF(OR(IP$4="",$B33=""),0,SUMIF('DADOS BRUTOS'!$A$3:$A$500,$B33,'DADOS BRUTOS'!FP$3:FP$500)+IF($C33="",0,SUMIF('DADOS BRUTOS'!$A$3:$A$500,$C33,'DADOS BRUTOS'!FP$3:FP$500)))</f>
        <v/>
      </c>
      <c r="IQ33" s="132">
        <f>IF(OR(IQ$4="",$B33=""),0,SUMIF('DADOS BRUTOS'!$A$3:$A$500,$B33,'DADOS BRUTOS'!FQ$3:FQ$500)+IF($C33="",0,SUMIF('DADOS BRUTOS'!$A$3:$A$500,$C33,'DADOS BRUTOS'!FQ$3:FQ$500)))</f>
        <v/>
      </c>
      <c r="IR33" s="132">
        <f>IF(OR(IR$4="",$B33=""),0,SUMIF('DADOS BRUTOS'!$A$3:$A$500,$B33,'DADOS BRUTOS'!FR$3:FR$500)+IF($C33="",0,SUMIF('DADOS BRUTOS'!$A$3:$A$500,$C33,'DADOS BRUTOS'!FR$3:FR$500)))</f>
        <v/>
      </c>
      <c r="IS33" s="132">
        <f>IF(OR(IS$4="",$B33=""),0,SUMIF('DADOS BRUTOS'!$A$3:$A$500,$B33,'DADOS BRUTOS'!FS$3:FS$500)+IF($C33="",0,SUMIF('DADOS BRUTOS'!$A$3:$A$500,$C33,'DADOS BRUTOS'!FS$3:FS$500)))</f>
        <v/>
      </c>
      <c r="IT33" s="132">
        <f>IF(OR(IT$4="",$B33=""),0,SUMIF('DADOS BRUTOS'!$A$3:$A$500,$B33,'DADOS BRUTOS'!FT$3:FT$500)+IF($C33="",0,SUMIF('DADOS BRUTOS'!$A$3:$A$500,$C33,'DADOS BRUTOS'!FT$3:FT$500)))</f>
        <v/>
      </c>
      <c r="IU33" s="132">
        <f>IF(OR(IU$4="",$B33=""),0,SUMIF('DADOS BRUTOS'!$A$3:$A$500,$B33,'DADOS BRUTOS'!FU$3:FU$500)+IF($C33="",0,SUMIF('DADOS BRUTOS'!$A$3:$A$500,$C33,'DADOS BRUTOS'!FU$3:FU$500)))</f>
        <v/>
      </c>
      <c r="IV33" s="132">
        <f>IF(OR(IV$4="",$B33=""),0,SUMIF('DADOS BRUTOS'!$A$3:$A$500,$B33,'DADOS BRUTOS'!FV$3:FV$500)+IF($C33="",0,SUMIF('DADOS BRUTOS'!$A$3:$A$500,$C33,'DADOS BRUTOS'!FV$3:FV$500)))</f>
        <v/>
      </c>
      <c r="IW33" s="132">
        <f>IF(OR(IW$4="",$B33=""),0,SUMIF('DADOS BRUTOS'!$A$3:$A$500,$B33,'DADOS BRUTOS'!FW$3:FW$500)+IF($C33="",0,SUMIF('DADOS BRUTOS'!$A$3:$A$500,$C33,'DADOS BRUTOS'!FW$3:FW$500)))</f>
        <v/>
      </c>
      <c r="IX33" s="132">
        <f>IF(OR(IX$4="",$B33=""),0,SUMIF('DADOS BRUTOS'!$A$3:$A$500,$B33,'DADOS BRUTOS'!FX$3:FX$500)+IF($C33="",0,SUMIF('DADOS BRUTOS'!$A$3:$A$500,$C33,'DADOS BRUTOS'!FX$3:FX$500)))</f>
        <v/>
      </c>
      <c r="IY33" s="132">
        <f>IF(OR(IY$4="",$B33=""),0,SUMIF('DADOS BRUTOS'!$A$3:$A$500,$B33,'DADOS BRUTOS'!FY$3:FY$500)+IF($C33="",0,SUMIF('DADOS BRUTOS'!$A$3:$A$500,$C33,'DADOS BRUTOS'!FY$3:FY$500)))</f>
        <v/>
      </c>
      <c r="IZ33" s="132">
        <f>IF(OR(IZ$4="",$B33=""),0,SUMIF('DADOS BRUTOS'!$A$3:$A$500,$B33,'DADOS BRUTOS'!FZ$3:FZ$500)+IF($C33="",0,SUMIF('DADOS BRUTOS'!$A$3:$A$500,$C33,'DADOS BRUTOS'!FZ$3:FZ$500)))</f>
        <v/>
      </c>
      <c r="JA33" s="132">
        <f>IF(OR(JA$4="",$B33=""),0,SUMIF('DADOS BRUTOS'!$A$3:$A$500,$B33,'DADOS BRUTOS'!GA$3:GA$500)+IF($C33="",0,SUMIF('DADOS BRUTOS'!$A$3:$A$500,$C33,'DADOS BRUTOS'!GA$3:GA$500)))</f>
        <v/>
      </c>
      <c r="JB33" s="132">
        <f>IF(OR(JB$4="",$B33=""),0,SUMIF('DADOS BRUTOS'!$A$3:$A$500,$B33,'DADOS BRUTOS'!GB$3:GB$500)+IF($C33="",0,SUMIF('DADOS BRUTOS'!$A$3:$A$500,$C33,'DADOS BRUTOS'!GB$3:GB$500)))</f>
        <v/>
      </c>
      <c r="JC33" s="132">
        <f>IF(OR(JC$4="",$B33=""),0,SUMIF('DADOS BRUTOS'!$A$3:$A$500,$B33,'DADOS BRUTOS'!GC$3:GC$500)+IF($C33="",0,SUMIF('DADOS BRUTOS'!$A$3:$A$500,$C33,'DADOS BRUTOS'!GC$3:GC$500)))</f>
        <v/>
      </c>
      <c r="JD33" s="132">
        <f>IF(OR(JD$4="",$B33=""),0,SUMIF('DADOS BRUTOS'!$A$3:$A$500,$B33,'DADOS BRUTOS'!GD$3:GD$500)+IF($C33="",0,SUMIF('DADOS BRUTOS'!$A$3:$A$500,$C33,'DADOS BRUTOS'!GD$3:GD$500)))</f>
        <v/>
      </c>
      <c r="JE33" s="132">
        <f>IF(OR(JE$4="",$B33=""),0,SUMIF('DADOS BRUTOS'!$A$3:$A$500,$B33,'DADOS BRUTOS'!GE$3:GE$500)+IF($C33="",0,SUMIF('DADOS BRUTOS'!$A$3:$A$500,$C33,'DADOS BRUTOS'!GE$3:GE$500)))</f>
        <v/>
      </c>
      <c r="JF33" s="132">
        <f>IF(OR(JF$4="",$B33=""),0,SUMIF('DADOS BRUTOS'!$A$3:$A$500,$B33,'DADOS BRUTOS'!GF$3:GF$500)+IF($C33="",0,SUMIF('DADOS BRUTOS'!$A$3:$A$500,$C33,'DADOS BRUTOS'!GF$3:GF$500)))</f>
        <v/>
      </c>
      <c r="JG33" s="132">
        <f>IF(OR(JG$4="",$B33=""),0,SUMIF('DADOS BRUTOS'!$A$3:$A$500,$B33,'DADOS BRUTOS'!GG$3:GG$500)+IF($C33="",0,SUMIF('DADOS BRUTOS'!$A$3:$A$500,$C33,'DADOS BRUTOS'!GG$3:GG$500)))</f>
        <v/>
      </c>
      <c r="JH33" s="132">
        <f>IF(OR(JH$4="",$B33=""),0,SUMIF('DADOS BRUTOS'!$A$3:$A$500,$B33,'DADOS BRUTOS'!GH$3:GH$500)+IF($C33="",0,SUMIF('DADOS BRUTOS'!$A$3:$A$500,$C33,'DADOS BRUTOS'!GH$3:GH$500)))</f>
        <v/>
      </c>
      <c r="JI33" s="132">
        <f>IF(OR(JI$4="",$B33=""),0,SUMIF('DADOS BRUTOS'!$A$3:$A$500,$B33,'DADOS BRUTOS'!GI$3:GI$500)+IF($C33="",0,SUMIF('DADOS BRUTOS'!$A$3:$A$500,$C33,'DADOS BRUTOS'!GI$3:GI$500)))</f>
        <v/>
      </c>
      <c r="JJ33" s="132">
        <f>IF(OR(JJ$4="",$B33=""),0,SUMIF('DADOS BRUTOS'!$A$3:$A$500,$B33,'DADOS BRUTOS'!GJ$3:GJ$500)+IF($C33="",0,SUMIF('DADOS BRUTOS'!$A$3:$A$500,$C33,'DADOS BRUTOS'!GJ$3:GJ$500)))</f>
        <v/>
      </c>
      <c r="JK33" s="132">
        <f>IF(OR(JK$4="",$B33=""),0,SUMIF('DADOS BRUTOS'!$A$3:$A$500,$B33,'DADOS BRUTOS'!GK$3:GK$500)+IF($C33="",0,SUMIF('DADOS BRUTOS'!$A$3:$A$500,$C33,'DADOS BRUTOS'!GK$3:GK$500)))</f>
        <v/>
      </c>
      <c r="JL33" s="132">
        <f>IF(OR(JL$4="",$B33=""),0,SUMIF('DADOS BRUTOS'!$A$3:$A$500,$B33,'DADOS BRUTOS'!GL$3:GL$500)+IF($C33="",0,SUMIF('DADOS BRUTOS'!$A$3:$A$500,$C33,'DADOS BRUTOS'!GL$3:GL$500)))</f>
        <v/>
      </c>
      <c r="JM33" s="132">
        <f>IF(OR(JM$4="",$B33=""),0,SUMIF('DADOS BRUTOS'!$A$3:$A$500,$B33,'DADOS BRUTOS'!GM$3:GM$500)+IF($C33="",0,SUMIF('DADOS BRUTOS'!$A$3:$A$500,$C33,'DADOS BRUTOS'!GM$3:GM$500)))</f>
        <v/>
      </c>
      <c r="JN33" s="132">
        <f>IF(OR(JN$4="",$B33=""),0,SUMIF('DADOS BRUTOS'!$A$3:$A$500,$B33,'DADOS BRUTOS'!GN$3:GN$500)+IF($C33="",0,SUMIF('DADOS BRUTOS'!$A$3:$A$500,$C33,'DADOS BRUTOS'!GN$3:GN$500)))</f>
        <v/>
      </c>
      <c r="JO33" s="132">
        <f>IF(OR(JO$4="",$B33=""),0,SUMIF('DADOS BRUTOS'!$A$3:$A$500,$B33,'DADOS BRUTOS'!GO$3:GO$500)+IF($C33="",0,SUMIF('DADOS BRUTOS'!$A$3:$A$500,$C33,'DADOS BRUTOS'!GO$3:GO$500)))</f>
        <v/>
      </c>
      <c r="JP33" s="132">
        <f>IF(OR(JP$4="",$B33=""),0,SUMIF('DADOS BRUTOS'!$A$3:$A$500,$B33,'DADOS BRUTOS'!GP$3:GP$500)+IF($C33="",0,SUMIF('DADOS BRUTOS'!$A$3:$A$500,$C33,'DADOS BRUTOS'!GP$3:GP$500)))</f>
        <v/>
      </c>
      <c r="JQ33" s="132">
        <f>IF(OR(JQ$4="",$B33=""),0,SUMIF('DADOS BRUTOS'!$A$3:$A$500,$B33,'DADOS BRUTOS'!GQ$3:GQ$500)+IF($C33="",0,SUMIF('DADOS BRUTOS'!$A$3:$A$500,$C33,'DADOS BRUTOS'!GQ$3:GQ$500)))</f>
        <v/>
      </c>
      <c r="JR33" s="132">
        <f>IF(OR(JR$4="",$B33=""),0,SUMIF('DADOS BRUTOS'!$A$3:$A$500,$B33,'DADOS BRUTOS'!GR$3:GR$500)+IF($C33="",0,SUMIF('DADOS BRUTOS'!$A$3:$A$500,$C33,'DADOS BRUTOS'!GR$3:GR$500)))</f>
        <v/>
      </c>
      <c r="JS33" s="132">
        <f>IF(OR(JS$4="",$B33=""),0,SUMIF('DADOS BRUTOS'!$A$3:$A$500,$B33,'DADOS BRUTOS'!GS$3:GS$500)+IF($C33="",0,SUMIF('DADOS BRUTOS'!$A$3:$A$500,$C33,'DADOS BRUTOS'!GS$3:GS$500)))</f>
        <v/>
      </c>
    </row>
    <row r="34">
      <c r="A34" s="61">
        <f>'VALOR POR PL'!D40</f>
        <v/>
      </c>
      <c r="B34" s="59" t="inlineStr">
        <is>
          <t>REVESTIMENTOS</t>
        </is>
      </c>
      <c r="C34" s="59" t="n"/>
      <c r="D34" s="54">
        <f>SUMIF($CB$4:$JS$4,"&lt;="&amp;D$4,$CB34:$JS34)</f>
        <v/>
      </c>
      <c r="E34" s="54">
        <f>SUMIF($CB$4:$JS$4,E$4,$CB34:$JS34)</f>
        <v/>
      </c>
      <c r="F34" s="54">
        <f>SUMIF($CB$4:$JS$4,F$4,$CB34:$JS34)</f>
        <v/>
      </c>
      <c r="G34" s="54">
        <f>SUMIF($CB$4:$JS$4,G$4,$CB34:$JS34)</f>
        <v/>
      </c>
      <c r="H34" s="54">
        <f>SUMIF($CB$4:$JS$4,H$4,$CB34:$JS34)</f>
        <v/>
      </c>
      <c r="I34" s="54">
        <f>SUMIF($CB$4:$JS$4,I$4,$CB34:$JS34)</f>
        <v/>
      </c>
      <c r="J34" s="54">
        <f>SUMIF($CB$4:$JS$4,J$4,$CB34:$JS34)</f>
        <v/>
      </c>
      <c r="K34" s="54">
        <f>SUMIF($CB$4:$JS$4,K$4,$CB34:$JS34)</f>
        <v/>
      </c>
      <c r="L34" s="54">
        <f>SUMIF($CB$4:$JS$4,L$4,$CB34:$JS34)</f>
        <v/>
      </c>
      <c r="M34" s="54">
        <f>SUMIF($CB$4:$JS$4,M$4,$CB34:$JS34)</f>
        <v/>
      </c>
      <c r="N34" s="54">
        <f>SUMIF($CB$4:$JS$4,N$4,$CB34:$JS34)</f>
        <v/>
      </c>
      <c r="O34" s="54">
        <f>SUMIF($CB$4:$JS$4,O$4,$CB34:$JS34)</f>
        <v/>
      </c>
      <c r="P34" s="54">
        <f>SUMIF($CB$4:$JS$4,P$4,$CB34:$JS34)</f>
        <v/>
      </c>
      <c r="Q34" s="54">
        <f>SUMIF($CB$4:$JS$4,Q$4,$CB34:$JS34)</f>
        <v/>
      </c>
      <c r="R34" s="54">
        <f>SUMIF($CB$4:$JS$4,R$4,$CB34:$JS34)</f>
        <v/>
      </c>
      <c r="S34" s="54">
        <f>SUMIF($CB$4:$JS$4,S$4,$CB34:$JS34)</f>
        <v/>
      </c>
      <c r="T34" s="54">
        <f>SUMIF($CB$4:$JS$4,T$4,$CB34:$JS34)</f>
        <v/>
      </c>
      <c r="U34" s="54">
        <f>SUMIF($CB$4:$JS$4,U$4,$CB34:$JS34)</f>
        <v/>
      </c>
      <c r="V34" s="54">
        <f>SUMIF($CB$4:$JS$4,V$4,$CB34:$JS34)</f>
        <v/>
      </c>
      <c r="W34" s="54">
        <f>SUMIF($CB$4:$JS$4,W$4,$CB34:$JS34)</f>
        <v/>
      </c>
      <c r="X34" s="54">
        <f>SUMIF($CB$4:$JS$4,X$4,$CB34:$JS34)</f>
        <v/>
      </c>
      <c r="Y34" s="54">
        <f>SUMIF($CB$4:$JS$4,Y$4,$CB34:$JS34)</f>
        <v/>
      </c>
      <c r="Z34" s="54">
        <f>SUMIF($CB$4:$JS$4,Z$4,$CB34:$JS34)</f>
        <v/>
      </c>
      <c r="AA34" s="54">
        <f>SUMIF($CB$4:$JS$4,AA$4,$CB34:$JS34)</f>
        <v/>
      </c>
      <c r="AB34" s="54">
        <f>SUMIF($CB$4:$JS$4,AB$4,$CB34:$JS34)</f>
        <v/>
      </c>
      <c r="AC34" s="54">
        <f>SUMIF($CB$4:$JS$4,AC$4,$CB34:$JS34)</f>
        <v/>
      </c>
      <c r="AD34" s="54">
        <f>SUMIF($CB$4:$JS$4,AD$4,$CB34:$JS34)</f>
        <v/>
      </c>
      <c r="AE34" s="54">
        <f>SUMIF($CB$4:$JS$4,AE$4,$CB34:$JS34)</f>
        <v/>
      </c>
      <c r="AF34" s="54">
        <f>SUMIF($CB$4:$JS$4,AF$4,$CB34:$JS34)</f>
        <v/>
      </c>
      <c r="AG34" s="54">
        <f>SUMIF($CB$4:$JS$4,AG$4,$CB34:$JS34)</f>
        <v/>
      </c>
      <c r="AH34" s="54">
        <f>SUMIF($CB$4:$JS$4,AH$4,$CB34:$JS34)</f>
        <v/>
      </c>
      <c r="AI34" s="54">
        <f>SUMIF($CB$4:$JS$4,AI$4,$CB34:$JS34)</f>
        <v/>
      </c>
      <c r="AJ34" s="54">
        <f>SUMIF($CB$4:$JS$4,AJ$4,$CB34:$JS34)</f>
        <v/>
      </c>
      <c r="AK34" s="54">
        <f>SUMIF($CB$4:$JS$4,AK$4,$CB34:$JS34)</f>
        <v/>
      </c>
      <c r="AL34" s="54">
        <f>SUMIF($CB$4:$JS$4,AL$4,$CB34:$JS34)</f>
        <v/>
      </c>
      <c r="AM34" s="54">
        <f>SUMIF($CB$4:$JS$4,AM$4,$CB34:$JS34)</f>
        <v/>
      </c>
      <c r="AN34" s="54">
        <f>SUMIF($CB$4:$JS$4,AN$4,$CB34:$JS34)</f>
        <v/>
      </c>
      <c r="AO34" s="54">
        <f>SUMIF($CB$4:$JS$4,AO$4,$CB34:$JS34)</f>
        <v/>
      </c>
      <c r="AP34" s="54">
        <f>SUMIF($CB$4:$JS$4,AP$4,$CB34:$JS34)</f>
        <v/>
      </c>
      <c r="AQ34" s="54">
        <f>SUMIF($CB$4:$JS$4,AQ$4,$CB34:$JS34)</f>
        <v/>
      </c>
      <c r="AR34" s="54">
        <f>SUMIF($CB$4:$JS$4,AR$4,$CB34:$JS34)</f>
        <v/>
      </c>
      <c r="AS34" s="54">
        <f>SUMIF($CB$4:$JS$4,AS$4,$CB34:$JS34)</f>
        <v/>
      </c>
      <c r="AT34" s="54">
        <f>SUMIF($CB$4:$JS$4,AT$4,$CB34:$JS34)</f>
        <v/>
      </c>
      <c r="AU34" s="54">
        <f>SUMIF($CB$4:$JS$4,AU$4,$CB34:$JS34)</f>
        <v/>
      </c>
      <c r="AV34" s="54">
        <f>SUMIF($CB$4:$JS$4,AV$4,$CB34:$JS34)</f>
        <v/>
      </c>
      <c r="AW34" s="54">
        <f>SUMIF($CB$4:$JS$4,AW$4,$CB34:$JS34)</f>
        <v/>
      </c>
      <c r="AX34" s="54">
        <f>SUMIF($CB$4:$JS$4,AX$4,$CB34:$JS34)</f>
        <v/>
      </c>
      <c r="AY34" s="54">
        <f>SUMIF($CB$4:$JS$4,AY$4,$CB34:$JS34)</f>
        <v/>
      </c>
      <c r="AZ34" s="54">
        <f>SUMIF($CB$4:$JS$4,AZ$4,$CB34:$JS34)</f>
        <v/>
      </c>
      <c r="BA34" s="54">
        <f>SUMIF($CB$4:$JS$4,BA$4,$CB34:$JS34)</f>
        <v/>
      </c>
      <c r="BB34" s="54">
        <f>SUMIF($CB$4:$JS$4,BB$4,$CB34:$JS34)</f>
        <v/>
      </c>
      <c r="BC34" s="54">
        <f>SUMIF($CB$4:$JS$4,BC$4,$CB34:$JS34)</f>
        <v/>
      </c>
      <c r="BD34" s="54">
        <f>SUMIF($CB$4:$JS$4,BD$4,$CB34:$JS34)</f>
        <v/>
      </c>
      <c r="BE34" s="54">
        <f>SUMIF($CB$4:$JS$4,BE$4,$CB34:$JS34)</f>
        <v/>
      </c>
      <c r="BF34" s="54">
        <f>SUMIF($CB$4:$JS$4,BF$4,$CB34:$JS34)</f>
        <v/>
      </c>
      <c r="BG34" s="54">
        <f>SUMIF($CB$4:$JS$4,BG$4,$CB34:$JS34)</f>
        <v/>
      </c>
      <c r="BH34" s="54">
        <f>SUMIF($CB$4:$JS$4,BH$4,$CB34:$JS34)</f>
        <v/>
      </c>
      <c r="BI34" s="54">
        <f>SUMIF($CB$4:$JS$4,BI$4,$CB34:$JS34)</f>
        <v/>
      </c>
      <c r="BJ34" s="54">
        <f>SUMIF($CB$4:$JS$4,BJ$4,$CB34:$JS34)</f>
        <v/>
      </c>
      <c r="BK34" s="54">
        <f>SUMIF($CB$4:$JS$4,BK$4,$CB34:$JS34)</f>
        <v/>
      </c>
      <c r="BL34" s="54">
        <f>SUMIF($CB$4:$JS$4,BL$4,$CB34:$JS34)</f>
        <v/>
      </c>
      <c r="BM34" s="54">
        <f>SUMIF($CB$4:$JS$4,BM$4,$CB34:$JS34)</f>
        <v/>
      </c>
      <c r="BN34" s="54">
        <f>SUMIF($CB$4:$JS$4,BN$4,$CB34:$JS34)</f>
        <v/>
      </c>
      <c r="BO34" s="54">
        <f>SUMIF($CB$4:$JS$4,BO$4,$CB34:$JS34)</f>
        <v/>
      </c>
      <c r="BP34" s="54">
        <f>SUMIF($CB$4:$JS$4,BP$4,$CB34:$JS34)</f>
        <v/>
      </c>
      <c r="BQ34" s="54">
        <f>SUMIF($CB$4:$JS$4,BQ$4,$CB34:$JS34)</f>
        <v/>
      </c>
      <c r="BR34" s="54">
        <f>SUMIF($CB$4:$JS$4,BR$4,$CB34:$JS34)</f>
        <v/>
      </c>
      <c r="BS34" s="54">
        <f>SUMIF($CB$4:$JS$4,BS$4,$CB34:$JS34)</f>
        <v/>
      </c>
      <c r="BT34" s="54">
        <f>SUMIF($CB$4:$JS$4,BT$4,$CB34:$JS34)</f>
        <v/>
      </c>
      <c r="BU34" s="54">
        <f>SUMIF($CB$4:$JS$4,BU$4,$CB34:$JS34)</f>
        <v/>
      </c>
      <c r="BV34" s="54">
        <f>SUMIF($CB$4:$JS$4,BV$4,$CB34:$JS34)</f>
        <v/>
      </c>
      <c r="BW34" s="54">
        <f>SUMIF($CB$4:$JS$4,BW$4,$CB34:$JS34)</f>
        <v/>
      </c>
      <c r="BX34" s="54">
        <f>SUMIF($CB$4:$JS$4,"&gt;"&amp;'VALOR POR PL'!$P$8,$CB34:$JS34)</f>
        <v/>
      </c>
      <c r="BY34" s="54">
        <f>SUM($CB34:$JS34)</f>
        <v/>
      </c>
      <c r="BZ34" s="49">
        <f>SUMPRODUCT(($CB$4:$JS$4&lt;&gt;"")*($CB$4:$JS$4&lt;=$D$4),$CB34:$JS34,$CB$1:$JS$1)</f>
        <v/>
      </c>
      <c r="CB34" s="132">
        <f>IF(OR(CB$4="",$B34=""),0,SUMIF('DADOS BRUTOS'!$A$3:$A$500,$B34,'DADOS BRUTOS'!B$3:B$500)+IF($C34="",0,SUMIF('DADOS BRUTOS'!$A$3:$A$500,$C34,'DADOS BRUTOS'!B$3:B$500)))</f>
        <v/>
      </c>
      <c r="CC34" s="132">
        <f>IF(OR(CC$4="",$B34=""),0,SUMIF('DADOS BRUTOS'!$A$3:$A$500,$B34,'DADOS BRUTOS'!C$3:C$500)+IF($C34="",0,SUMIF('DADOS BRUTOS'!$A$3:$A$500,$C34,'DADOS BRUTOS'!C$3:C$500)))</f>
        <v/>
      </c>
      <c r="CD34" s="132">
        <f>IF(OR(CD$4="",$B34=""),0,SUMIF('DADOS BRUTOS'!$A$3:$A$500,$B34,'DADOS BRUTOS'!D$3:D$500)+IF($C34="",0,SUMIF('DADOS BRUTOS'!$A$3:$A$500,$C34,'DADOS BRUTOS'!D$3:D$500)))</f>
        <v/>
      </c>
      <c r="CE34" s="132">
        <f>IF(OR(CE$4="",$B34=""),0,SUMIF('DADOS BRUTOS'!$A$3:$A$500,$B34,'DADOS BRUTOS'!E$3:E$500)+IF($C34="",0,SUMIF('DADOS BRUTOS'!$A$3:$A$500,$C34,'DADOS BRUTOS'!E$3:E$500)))</f>
        <v/>
      </c>
      <c r="CF34" s="132">
        <f>IF(OR(CF$4="",$B34=""),0,SUMIF('DADOS BRUTOS'!$A$3:$A$500,$B34,'DADOS BRUTOS'!F$3:F$500)+IF($C34="",0,SUMIF('DADOS BRUTOS'!$A$3:$A$500,$C34,'DADOS BRUTOS'!F$3:F$500)))</f>
        <v/>
      </c>
      <c r="CG34" s="132">
        <f>IF(OR(CG$4="",$B34=""),0,SUMIF('DADOS BRUTOS'!$A$3:$A$500,$B34,'DADOS BRUTOS'!G$3:G$500)+IF($C34="",0,SUMIF('DADOS BRUTOS'!$A$3:$A$500,$C34,'DADOS BRUTOS'!G$3:G$500)))</f>
        <v/>
      </c>
      <c r="CH34" s="132">
        <f>IF(OR(CH$4="",$B34=""),0,SUMIF('DADOS BRUTOS'!$A$3:$A$500,$B34,'DADOS BRUTOS'!H$3:H$500)+IF($C34="",0,SUMIF('DADOS BRUTOS'!$A$3:$A$500,$C34,'DADOS BRUTOS'!H$3:H$500)))</f>
        <v/>
      </c>
      <c r="CI34" s="132">
        <f>IF(OR(CI$4="",$B34=""),0,SUMIF('DADOS BRUTOS'!$A$3:$A$500,$B34,'DADOS BRUTOS'!I$3:I$500)+IF($C34="",0,SUMIF('DADOS BRUTOS'!$A$3:$A$500,$C34,'DADOS BRUTOS'!I$3:I$500)))</f>
        <v/>
      </c>
      <c r="CJ34" s="132">
        <f>IF(OR(CJ$4="",$B34=""),0,SUMIF('DADOS BRUTOS'!$A$3:$A$500,$B34,'DADOS BRUTOS'!J$3:J$500)+IF($C34="",0,SUMIF('DADOS BRUTOS'!$A$3:$A$500,$C34,'DADOS BRUTOS'!J$3:J$500)))</f>
        <v/>
      </c>
      <c r="CK34" s="132">
        <f>IF(OR(CK$4="",$B34=""),0,SUMIF('DADOS BRUTOS'!$A$3:$A$500,$B34,'DADOS BRUTOS'!K$3:K$500)+IF($C34="",0,SUMIF('DADOS BRUTOS'!$A$3:$A$500,$C34,'DADOS BRUTOS'!K$3:K$500)))</f>
        <v/>
      </c>
      <c r="CL34" s="132">
        <f>IF(OR(CL$4="",$B34=""),0,SUMIF('DADOS BRUTOS'!$A$3:$A$500,$B34,'DADOS BRUTOS'!L$3:L$500)+IF($C34="",0,SUMIF('DADOS BRUTOS'!$A$3:$A$500,$C34,'DADOS BRUTOS'!L$3:L$500)))</f>
        <v/>
      </c>
      <c r="CM34" s="132">
        <f>IF(OR(CM$4="",$B34=""),0,SUMIF('DADOS BRUTOS'!$A$3:$A$500,$B34,'DADOS BRUTOS'!M$3:M$500)+IF($C34="",0,SUMIF('DADOS BRUTOS'!$A$3:$A$500,$C34,'DADOS BRUTOS'!M$3:M$500)))</f>
        <v/>
      </c>
      <c r="CN34" s="132">
        <f>IF(OR(CN$4="",$B34=""),0,SUMIF('DADOS BRUTOS'!$A$3:$A$500,$B34,'DADOS BRUTOS'!N$3:N$500)+IF($C34="",0,SUMIF('DADOS BRUTOS'!$A$3:$A$500,$C34,'DADOS BRUTOS'!N$3:N$500)))</f>
        <v/>
      </c>
      <c r="CO34" s="132">
        <f>IF(OR(CO$4="",$B34=""),0,SUMIF('DADOS BRUTOS'!$A$3:$A$500,$B34,'DADOS BRUTOS'!O$3:O$500)+IF($C34="",0,SUMIF('DADOS BRUTOS'!$A$3:$A$500,$C34,'DADOS BRUTOS'!O$3:O$500)))</f>
        <v/>
      </c>
      <c r="CP34" s="132">
        <f>IF(OR(CP$4="",$B34=""),0,SUMIF('DADOS BRUTOS'!$A$3:$A$500,$B34,'DADOS BRUTOS'!P$3:P$500)+IF($C34="",0,SUMIF('DADOS BRUTOS'!$A$3:$A$500,$C34,'DADOS BRUTOS'!P$3:P$500)))</f>
        <v/>
      </c>
      <c r="CQ34" s="132">
        <f>IF(OR(CQ$4="",$B34=""),0,SUMIF('DADOS BRUTOS'!$A$3:$A$500,$B34,'DADOS BRUTOS'!Q$3:Q$500)+IF($C34="",0,SUMIF('DADOS BRUTOS'!$A$3:$A$500,$C34,'DADOS BRUTOS'!Q$3:Q$500)))</f>
        <v/>
      </c>
      <c r="CR34" s="132">
        <f>IF(OR(CR$4="",$B34=""),0,SUMIF('DADOS BRUTOS'!$A$3:$A$500,$B34,'DADOS BRUTOS'!R$3:R$500)+IF($C34="",0,SUMIF('DADOS BRUTOS'!$A$3:$A$500,$C34,'DADOS BRUTOS'!R$3:R$500)))</f>
        <v/>
      </c>
      <c r="CS34" s="132">
        <f>IF(OR(CS$4="",$B34=""),0,SUMIF('DADOS BRUTOS'!$A$3:$A$500,$B34,'DADOS BRUTOS'!S$3:S$500)+IF($C34="",0,SUMIF('DADOS BRUTOS'!$A$3:$A$500,$C34,'DADOS BRUTOS'!S$3:S$500)))</f>
        <v/>
      </c>
      <c r="CT34" s="132">
        <f>IF(OR(CT$4="",$B34=""),0,SUMIF('DADOS BRUTOS'!$A$3:$A$500,$B34,'DADOS BRUTOS'!T$3:T$500)+IF($C34="",0,SUMIF('DADOS BRUTOS'!$A$3:$A$500,$C34,'DADOS BRUTOS'!T$3:T$500)))</f>
        <v/>
      </c>
      <c r="CU34" s="132">
        <f>IF(OR(CU$4="",$B34=""),0,SUMIF('DADOS BRUTOS'!$A$3:$A$500,$B34,'DADOS BRUTOS'!U$3:U$500)+IF($C34="",0,SUMIF('DADOS BRUTOS'!$A$3:$A$500,$C34,'DADOS BRUTOS'!U$3:U$500)))</f>
        <v/>
      </c>
      <c r="CV34" s="132">
        <f>IF(OR(CV$4="",$B34=""),0,SUMIF('DADOS BRUTOS'!$A$3:$A$500,$B34,'DADOS BRUTOS'!V$3:V$500)+IF($C34="",0,SUMIF('DADOS BRUTOS'!$A$3:$A$500,$C34,'DADOS BRUTOS'!V$3:V$500)))</f>
        <v/>
      </c>
      <c r="CW34" s="132">
        <f>IF(OR(CW$4="",$B34=""),0,SUMIF('DADOS BRUTOS'!$A$3:$A$500,$B34,'DADOS BRUTOS'!W$3:W$500)+IF($C34="",0,SUMIF('DADOS BRUTOS'!$A$3:$A$500,$C34,'DADOS BRUTOS'!W$3:W$500)))</f>
        <v/>
      </c>
      <c r="CX34" s="132">
        <f>IF(OR(CX$4="",$B34=""),0,SUMIF('DADOS BRUTOS'!$A$3:$A$500,$B34,'DADOS BRUTOS'!X$3:X$500)+IF($C34="",0,SUMIF('DADOS BRUTOS'!$A$3:$A$500,$C34,'DADOS BRUTOS'!X$3:X$500)))</f>
        <v/>
      </c>
      <c r="CY34" s="132">
        <f>IF(OR(CY$4="",$B34=""),0,SUMIF('DADOS BRUTOS'!$A$3:$A$500,$B34,'DADOS BRUTOS'!Y$3:Y$500)+IF($C34="",0,SUMIF('DADOS BRUTOS'!$A$3:$A$500,$C34,'DADOS BRUTOS'!Y$3:Y$500)))</f>
        <v/>
      </c>
      <c r="CZ34" s="132">
        <f>IF(OR(CZ$4="",$B34=""),0,SUMIF('DADOS BRUTOS'!$A$3:$A$500,$B34,'DADOS BRUTOS'!Z$3:Z$500)+IF($C34="",0,SUMIF('DADOS BRUTOS'!$A$3:$A$500,$C34,'DADOS BRUTOS'!Z$3:Z$500)))</f>
        <v/>
      </c>
      <c r="DA34" s="132">
        <f>IF(OR(DA$4="",$B34=""),0,SUMIF('DADOS BRUTOS'!$A$3:$A$500,$B34,'DADOS BRUTOS'!AA$3:AA$500)+IF($C34="",0,SUMIF('DADOS BRUTOS'!$A$3:$A$500,$C34,'DADOS BRUTOS'!AA$3:AA$500)))</f>
        <v/>
      </c>
      <c r="DB34" s="132">
        <f>IF(OR(DB$4="",$B34=""),0,SUMIF('DADOS BRUTOS'!$A$3:$A$500,$B34,'DADOS BRUTOS'!AB$3:AB$500)+IF($C34="",0,SUMIF('DADOS BRUTOS'!$A$3:$A$500,$C34,'DADOS BRUTOS'!AB$3:AB$500)))</f>
        <v/>
      </c>
      <c r="DC34" s="132">
        <f>IF(OR(DC$4="",$B34=""),0,SUMIF('DADOS BRUTOS'!$A$3:$A$500,$B34,'DADOS BRUTOS'!AC$3:AC$500)+IF($C34="",0,SUMIF('DADOS BRUTOS'!$A$3:$A$500,$C34,'DADOS BRUTOS'!AC$3:AC$500)))</f>
        <v/>
      </c>
      <c r="DD34" s="132">
        <f>IF(OR(DD$4="",$B34=""),0,SUMIF('DADOS BRUTOS'!$A$3:$A$500,$B34,'DADOS BRUTOS'!AD$3:AD$500)+IF($C34="",0,SUMIF('DADOS BRUTOS'!$A$3:$A$500,$C34,'DADOS BRUTOS'!AD$3:AD$500)))</f>
        <v/>
      </c>
      <c r="DE34" s="132">
        <f>IF(OR(DE$4="",$B34=""),0,SUMIF('DADOS BRUTOS'!$A$3:$A$500,$B34,'DADOS BRUTOS'!AE$3:AE$500)+IF($C34="",0,SUMIF('DADOS BRUTOS'!$A$3:$A$500,$C34,'DADOS BRUTOS'!AE$3:AE$500)))</f>
        <v/>
      </c>
      <c r="DF34" s="132">
        <f>IF(OR(DF$4="",$B34=""),0,SUMIF('DADOS BRUTOS'!$A$3:$A$500,$B34,'DADOS BRUTOS'!AF$3:AF$500)+IF($C34="",0,SUMIF('DADOS BRUTOS'!$A$3:$A$500,$C34,'DADOS BRUTOS'!AF$3:AF$500)))</f>
        <v/>
      </c>
      <c r="DG34" s="132">
        <f>IF(OR(DG$4="",$B34=""),0,SUMIF('DADOS BRUTOS'!$A$3:$A$500,$B34,'DADOS BRUTOS'!AG$3:AG$500)+IF($C34="",0,SUMIF('DADOS BRUTOS'!$A$3:$A$500,$C34,'DADOS BRUTOS'!AG$3:AG$500)))</f>
        <v/>
      </c>
      <c r="DH34" s="132">
        <f>IF(OR(DH$4="",$B34=""),0,SUMIF('DADOS BRUTOS'!$A$3:$A$500,$B34,'DADOS BRUTOS'!AH$3:AH$500)+IF($C34="",0,SUMIF('DADOS BRUTOS'!$A$3:$A$500,$C34,'DADOS BRUTOS'!AH$3:AH$500)))</f>
        <v/>
      </c>
      <c r="DI34" s="132">
        <f>IF(OR(DI$4="",$B34=""),0,SUMIF('DADOS BRUTOS'!$A$3:$A$500,$B34,'DADOS BRUTOS'!AI$3:AI$500)+IF($C34="",0,SUMIF('DADOS BRUTOS'!$A$3:$A$500,$C34,'DADOS BRUTOS'!AI$3:AI$500)))</f>
        <v/>
      </c>
      <c r="DJ34" s="132">
        <f>IF(OR(DJ$4="",$B34=""),0,SUMIF('DADOS BRUTOS'!$A$3:$A$500,$B34,'DADOS BRUTOS'!AJ$3:AJ$500)+IF($C34="",0,SUMIF('DADOS BRUTOS'!$A$3:$A$500,$C34,'DADOS BRUTOS'!AJ$3:AJ$500)))</f>
        <v/>
      </c>
      <c r="DK34" s="132">
        <f>IF(OR(DK$4="",$B34=""),0,SUMIF('DADOS BRUTOS'!$A$3:$A$500,$B34,'DADOS BRUTOS'!AK$3:AK$500)+IF($C34="",0,SUMIF('DADOS BRUTOS'!$A$3:$A$500,$C34,'DADOS BRUTOS'!AK$3:AK$500)))</f>
        <v/>
      </c>
      <c r="DL34" s="132">
        <f>IF(OR(DL$4="",$B34=""),0,SUMIF('DADOS BRUTOS'!$A$3:$A$500,$B34,'DADOS BRUTOS'!AL$3:AL$500)+IF($C34="",0,SUMIF('DADOS BRUTOS'!$A$3:$A$500,$C34,'DADOS BRUTOS'!AL$3:AL$500)))</f>
        <v/>
      </c>
      <c r="DM34" s="132">
        <f>IF(OR(DM$4="",$B34=""),0,SUMIF('DADOS BRUTOS'!$A$3:$A$500,$B34,'DADOS BRUTOS'!AM$3:AM$500)+IF($C34="",0,SUMIF('DADOS BRUTOS'!$A$3:$A$500,$C34,'DADOS BRUTOS'!AM$3:AM$500)))</f>
        <v/>
      </c>
      <c r="DN34" s="132">
        <f>IF(OR(DN$4="",$B34=""),0,SUMIF('DADOS BRUTOS'!$A$3:$A$500,$B34,'DADOS BRUTOS'!AN$3:AN$500)+IF($C34="",0,SUMIF('DADOS BRUTOS'!$A$3:$A$500,$C34,'DADOS BRUTOS'!AN$3:AN$500)))</f>
        <v/>
      </c>
      <c r="DO34" s="132">
        <f>IF(OR(DO$4="",$B34=""),0,SUMIF('DADOS BRUTOS'!$A$3:$A$500,$B34,'DADOS BRUTOS'!AO$3:AO$500)+IF($C34="",0,SUMIF('DADOS BRUTOS'!$A$3:$A$500,$C34,'DADOS BRUTOS'!AO$3:AO$500)))</f>
        <v/>
      </c>
      <c r="DP34" s="132">
        <f>IF(OR(DP$4="",$B34=""),0,SUMIF('DADOS BRUTOS'!$A$3:$A$500,$B34,'DADOS BRUTOS'!AP$3:AP$500)+IF($C34="",0,SUMIF('DADOS BRUTOS'!$A$3:$A$500,$C34,'DADOS BRUTOS'!AP$3:AP$500)))</f>
        <v/>
      </c>
      <c r="DQ34" s="132">
        <f>IF(OR(DQ$4="",$B34=""),0,SUMIF('DADOS BRUTOS'!$A$3:$A$500,$B34,'DADOS BRUTOS'!AQ$3:AQ$500)+IF($C34="",0,SUMIF('DADOS BRUTOS'!$A$3:$A$500,$C34,'DADOS BRUTOS'!AQ$3:AQ$500)))</f>
        <v/>
      </c>
      <c r="DR34" s="132">
        <f>IF(OR(DR$4="",$B34=""),0,SUMIF('DADOS BRUTOS'!$A$3:$A$500,$B34,'DADOS BRUTOS'!AR$3:AR$500)+IF($C34="",0,SUMIF('DADOS BRUTOS'!$A$3:$A$500,$C34,'DADOS BRUTOS'!AR$3:AR$500)))</f>
        <v/>
      </c>
      <c r="DS34" s="132">
        <f>IF(OR(DS$4="",$B34=""),0,SUMIF('DADOS BRUTOS'!$A$3:$A$500,$B34,'DADOS BRUTOS'!AS$3:AS$500)+IF($C34="",0,SUMIF('DADOS BRUTOS'!$A$3:$A$500,$C34,'DADOS BRUTOS'!AS$3:AS$500)))</f>
        <v/>
      </c>
      <c r="DT34" s="132">
        <f>IF(OR(DT$4="",$B34=""),0,SUMIF('DADOS BRUTOS'!$A$3:$A$500,$B34,'DADOS BRUTOS'!AT$3:AT$500)+IF($C34="",0,SUMIF('DADOS BRUTOS'!$A$3:$A$500,$C34,'DADOS BRUTOS'!AT$3:AT$500)))</f>
        <v/>
      </c>
      <c r="DU34" s="132">
        <f>IF(OR(DU$4="",$B34=""),0,SUMIF('DADOS BRUTOS'!$A$3:$A$500,$B34,'DADOS BRUTOS'!AU$3:AU$500)+IF($C34="",0,SUMIF('DADOS BRUTOS'!$A$3:$A$500,$C34,'DADOS BRUTOS'!AU$3:AU$500)))</f>
        <v/>
      </c>
      <c r="DV34" s="132">
        <f>IF(OR(DV$4="",$B34=""),0,SUMIF('DADOS BRUTOS'!$A$3:$A$500,$B34,'DADOS BRUTOS'!AV$3:AV$500)+IF($C34="",0,SUMIF('DADOS BRUTOS'!$A$3:$A$500,$C34,'DADOS BRUTOS'!AV$3:AV$500)))</f>
        <v/>
      </c>
      <c r="DW34" s="132">
        <f>IF(OR(DW$4="",$B34=""),0,SUMIF('DADOS BRUTOS'!$A$3:$A$500,$B34,'DADOS BRUTOS'!AW$3:AW$500)+IF($C34="",0,SUMIF('DADOS BRUTOS'!$A$3:$A$500,$C34,'DADOS BRUTOS'!AW$3:AW$500)))</f>
        <v/>
      </c>
      <c r="DX34" s="132">
        <f>IF(OR(DX$4="",$B34=""),0,SUMIF('DADOS BRUTOS'!$A$3:$A$500,$B34,'DADOS BRUTOS'!AX$3:AX$500)+IF($C34="",0,SUMIF('DADOS BRUTOS'!$A$3:$A$500,$C34,'DADOS BRUTOS'!AX$3:AX$500)))</f>
        <v/>
      </c>
      <c r="DY34" s="132">
        <f>IF(OR(DY$4="",$B34=""),0,SUMIF('DADOS BRUTOS'!$A$3:$A$500,$B34,'DADOS BRUTOS'!AY$3:AY$500)+IF($C34="",0,SUMIF('DADOS BRUTOS'!$A$3:$A$500,$C34,'DADOS BRUTOS'!AY$3:AY$500)))</f>
        <v/>
      </c>
      <c r="DZ34" s="132">
        <f>IF(OR(DZ$4="",$B34=""),0,SUMIF('DADOS BRUTOS'!$A$3:$A$500,$B34,'DADOS BRUTOS'!AZ$3:AZ$500)+IF($C34="",0,SUMIF('DADOS BRUTOS'!$A$3:$A$500,$C34,'DADOS BRUTOS'!AZ$3:AZ$500)))</f>
        <v/>
      </c>
      <c r="EA34" s="132">
        <f>IF(OR(EA$4="",$B34=""),0,SUMIF('DADOS BRUTOS'!$A$3:$A$500,$B34,'DADOS BRUTOS'!BA$3:BA$500)+IF($C34="",0,SUMIF('DADOS BRUTOS'!$A$3:$A$500,$C34,'DADOS BRUTOS'!BA$3:BA$500)))</f>
        <v/>
      </c>
      <c r="EB34" s="132">
        <f>IF(OR(EB$4="",$B34=""),0,SUMIF('DADOS BRUTOS'!$A$3:$A$500,$B34,'DADOS BRUTOS'!BB$3:BB$500)+IF($C34="",0,SUMIF('DADOS BRUTOS'!$A$3:$A$500,$C34,'DADOS BRUTOS'!BB$3:BB$500)))</f>
        <v/>
      </c>
      <c r="EC34" s="132">
        <f>IF(OR(EC$4="",$B34=""),0,SUMIF('DADOS BRUTOS'!$A$3:$A$500,$B34,'DADOS BRUTOS'!BC$3:BC$500)+IF($C34="",0,SUMIF('DADOS BRUTOS'!$A$3:$A$500,$C34,'DADOS BRUTOS'!BC$3:BC$500)))</f>
        <v/>
      </c>
      <c r="ED34" s="132">
        <f>IF(OR(ED$4="",$B34=""),0,SUMIF('DADOS BRUTOS'!$A$3:$A$500,$B34,'DADOS BRUTOS'!BD$3:BD$500)+IF($C34="",0,SUMIF('DADOS BRUTOS'!$A$3:$A$500,$C34,'DADOS BRUTOS'!BD$3:BD$500)))</f>
        <v/>
      </c>
      <c r="EE34" s="132">
        <f>IF(OR(EE$4="",$B34=""),0,SUMIF('DADOS BRUTOS'!$A$3:$A$500,$B34,'DADOS BRUTOS'!BE$3:BE$500)+IF($C34="",0,SUMIF('DADOS BRUTOS'!$A$3:$A$500,$C34,'DADOS BRUTOS'!BE$3:BE$500)))</f>
        <v/>
      </c>
      <c r="EF34" s="132">
        <f>IF(OR(EF$4="",$B34=""),0,SUMIF('DADOS BRUTOS'!$A$3:$A$500,$B34,'DADOS BRUTOS'!BF$3:BF$500)+IF($C34="",0,SUMIF('DADOS BRUTOS'!$A$3:$A$500,$C34,'DADOS BRUTOS'!BF$3:BF$500)))</f>
        <v/>
      </c>
      <c r="EG34" s="132">
        <f>IF(OR(EG$4="",$B34=""),0,SUMIF('DADOS BRUTOS'!$A$3:$A$500,$B34,'DADOS BRUTOS'!BG$3:BG$500)+IF($C34="",0,SUMIF('DADOS BRUTOS'!$A$3:$A$500,$C34,'DADOS BRUTOS'!BG$3:BG$500)))</f>
        <v/>
      </c>
      <c r="EH34" s="132">
        <f>IF(OR(EH$4="",$B34=""),0,SUMIF('DADOS BRUTOS'!$A$3:$A$500,$B34,'DADOS BRUTOS'!BH$3:BH$500)+IF($C34="",0,SUMIF('DADOS BRUTOS'!$A$3:$A$500,$C34,'DADOS BRUTOS'!BH$3:BH$500)))</f>
        <v/>
      </c>
      <c r="EI34" s="132">
        <f>IF(OR(EI$4="",$B34=""),0,SUMIF('DADOS BRUTOS'!$A$3:$A$500,$B34,'DADOS BRUTOS'!BI$3:BI$500)+IF($C34="",0,SUMIF('DADOS BRUTOS'!$A$3:$A$500,$C34,'DADOS BRUTOS'!BI$3:BI$500)))</f>
        <v/>
      </c>
      <c r="EJ34" s="132">
        <f>IF(OR(EJ$4="",$B34=""),0,SUMIF('DADOS BRUTOS'!$A$3:$A$500,$B34,'DADOS BRUTOS'!BJ$3:BJ$500)+IF($C34="",0,SUMIF('DADOS BRUTOS'!$A$3:$A$500,$C34,'DADOS BRUTOS'!BJ$3:BJ$500)))</f>
        <v/>
      </c>
      <c r="EK34" s="132">
        <f>IF(OR(EK$4="",$B34=""),0,SUMIF('DADOS BRUTOS'!$A$3:$A$500,$B34,'DADOS BRUTOS'!BK$3:BK$500)+IF($C34="",0,SUMIF('DADOS BRUTOS'!$A$3:$A$500,$C34,'DADOS BRUTOS'!BK$3:BK$500)))</f>
        <v/>
      </c>
      <c r="EL34" s="132">
        <f>IF(OR(EL$4="",$B34=""),0,SUMIF('DADOS BRUTOS'!$A$3:$A$500,$B34,'DADOS BRUTOS'!BL$3:BL$500)+IF($C34="",0,SUMIF('DADOS BRUTOS'!$A$3:$A$500,$C34,'DADOS BRUTOS'!BL$3:BL$500)))</f>
        <v/>
      </c>
      <c r="EM34" s="132">
        <f>IF(OR(EM$4="",$B34=""),0,SUMIF('DADOS BRUTOS'!$A$3:$A$500,$B34,'DADOS BRUTOS'!BM$3:BM$500)+IF($C34="",0,SUMIF('DADOS BRUTOS'!$A$3:$A$500,$C34,'DADOS BRUTOS'!BM$3:BM$500)))</f>
        <v/>
      </c>
      <c r="EN34" s="132">
        <f>IF(OR(EN$4="",$B34=""),0,SUMIF('DADOS BRUTOS'!$A$3:$A$500,$B34,'DADOS BRUTOS'!BN$3:BN$500)+IF($C34="",0,SUMIF('DADOS BRUTOS'!$A$3:$A$500,$C34,'DADOS BRUTOS'!BN$3:BN$500)))</f>
        <v/>
      </c>
      <c r="EO34" s="132">
        <f>IF(OR(EO$4="",$B34=""),0,SUMIF('DADOS BRUTOS'!$A$3:$A$500,$B34,'DADOS BRUTOS'!BO$3:BO$500)+IF($C34="",0,SUMIF('DADOS BRUTOS'!$A$3:$A$500,$C34,'DADOS BRUTOS'!BO$3:BO$500)))</f>
        <v/>
      </c>
      <c r="EP34" s="132">
        <f>IF(OR(EP$4="",$B34=""),0,SUMIF('DADOS BRUTOS'!$A$3:$A$500,$B34,'DADOS BRUTOS'!BP$3:BP$500)+IF($C34="",0,SUMIF('DADOS BRUTOS'!$A$3:$A$500,$C34,'DADOS BRUTOS'!BP$3:BP$500)))</f>
        <v/>
      </c>
      <c r="EQ34" s="132">
        <f>IF(OR(EQ$4="",$B34=""),0,SUMIF('DADOS BRUTOS'!$A$3:$A$500,$B34,'DADOS BRUTOS'!BQ$3:BQ$500)+IF($C34="",0,SUMIF('DADOS BRUTOS'!$A$3:$A$500,$C34,'DADOS BRUTOS'!BQ$3:BQ$500)))</f>
        <v/>
      </c>
      <c r="ER34" s="132">
        <f>IF(OR(ER$4="",$B34=""),0,SUMIF('DADOS BRUTOS'!$A$3:$A$500,$B34,'DADOS BRUTOS'!BR$3:BR$500)+IF($C34="",0,SUMIF('DADOS BRUTOS'!$A$3:$A$500,$C34,'DADOS BRUTOS'!BR$3:BR$500)))</f>
        <v/>
      </c>
      <c r="ES34" s="132">
        <f>IF(OR(ES$4="",$B34=""),0,SUMIF('DADOS BRUTOS'!$A$3:$A$500,$B34,'DADOS BRUTOS'!BS$3:BS$500)+IF($C34="",0,SUMIF('DADOS BRUTOS'!$A$3:$A$500,$C34,'DADOS BRUTOS'!BS$3:BS$500)))</f>
        <v/>
      </c>
      <c r="ET34" s="132">
        <f>IF(OR(ET$4="",$B34=""),0,SUMIF('DADOS BRUTOS'!$A$3:$A$500,$B34,'DADOS BRUTOS'!BT$3:BT$500)+IF($C34="",0,SUMIF('DADOS BRUTOS'!$A$3:$A$500,$C34,'DADOS BRUTOS'!BT$3:BT$500)))</f>
        <v/>
      </c>
      <c r="EU34" s="132">
        <f>IF(OR(EU$4="",$B34=""),0,SUMIF('DADOS BRUTOS'!$A$3:$A$500,$B34,'DADOS BRUTOS'!BU$3:BU$500)+IF($C34="",0,SUMIF('DADOS BRUTOS'!$A$3:$A$500,$C34,'DADOS BRUTOS'!BU$3:BU$500)))</f>
        <v/>
      </c>
      <c r="EV34" s="132">
        <f>IF(OR(EV$4="",$B34=""),0,SUMIF('DADOS BRUTOS'!$A$3:$A$500,$B34,'DADOS BRUTOS'!BV$3:BV$500)+IF($C34="",0,SUMIF('DADOS BRUTOS'!$A$3:$A$500,$C34,'DADOS BRUTOS'!BV$3:BV$500)))</f>
        <v/>
      </c>
      <c r="EW34" s="132">
        <f>IF(OR(EW$4="",$B34=""),0,SUMIF('DADOS BRUTOS'!$A$3:$A$500,$B34,'DADOS BRUTOS'!BW$3:BW$500)+IF($C34="",0,SUMIF('DADOS BRUTOS'!$A$3:$A$500,$C34,'DADOS BRUTOS'!BW$3:BW$500)))</f>
        <v/>
      </c>
      <c r="EX34" s="132">
        <f>IF(OR(EX$4="",$B34=""),0,SUMIF('DADOS BRUTOS'!$A$3:$A$500,$B34,'DADOS BRUTOS'!BX$3:BX$500)+IF($C34="",0,SUMIF('DADOS BRUTOS'!$A$3:$A$500,$C34,'DADOS BRUTOS'!BX$3:BX$500)))</f>
        <v/>
      </c>
      <c r="EY34" s="132">
        <f>IF(OR(EY$4="",$B34=""),0,SUMIF('DADOS BRUTOS'!$A$3:$A$500,$B34,'DADOS BRUTOS'!BY$3:BY$500)+IF($C34="",0,SUMIF('DADOS BRUTOS'!$A$3:$A$500,$C34,'DADOS BRUTOS'!BY$3:BY$500)))</f>
        <v/>
      </c>
      <c r="EZ34" s="132">
        <f>IF(OR(EZ$4="",$B34=""),0,SUMIF('DADOS BRUTOS'!$A$3:$A$500,$B34,'DADOS BRUTOS'!BZ$3:BZ$500)+IF($C34="",0,SUMIF('DADOS BRUTOS'!$A$3:$A$500,$C34,'DADOS BRUTOS'!BZ$3:BZ$500)))</f>
        <v/>
      </c>
      <c r="FA34" s="132">
        <f>IF(OR(FA$4="",$B34=""),0,SUMIF('DADOS BRUTOS'!$A$3:$A$500,$B34,'DADOS BRUTOS'!CA$3:CA$500)+IF($C34="",0,SUMIF('DADOS BRUTOS'!$A$3:$A$500,$C34,'DADOS BRUTOS'!CA$3:CA$500)))</f>
        <v/>
      </c>
      <c r="FB34" s="132">
        <f>IF(OR(FB$4="",$B34=""),0,SUMIF('DADOS BRUTOS'!$A$3:$A$500,$B34,'DADOS BRUTOS'!CB$3:CB$500)+IF($C34="",0,SUMIF('DADOS BRUTOS'!$A$3:$A$500,$C34,'DADOS BRUTOS'!CB$3:CB$500)))</f>
        <v/>
      </c>
      <c r="FC34" s="132">
        <f>IF(OR(FC$4="",$B34=""),0,SUMIF('DADOS BRUTOS'!$A$3:$A$500,$B34,'DADOS BRUTOS'!CC$3:CC$500)+IF($C34="",0,SUMIF('DADOS BRUTOS'!$A$3:$A$500,$C34,'DADOS BRUTOS'!CC$3:CC$500)))</f>
        <v/>
      </c>
      <c r="FD34" s="132">
        <f>IF(OR(FD$4="",$B34=""),0,SUMIF('DADOS BRUTOS'!$A$3:$A$500,$B34,'DADOS BRUTOS'!CD$3:CD$500)+IF($C34="",0,SUMIF('DADOS BRUTOS'!$A$3:$A$500,$C34,'DADOS BRUTOS'!CD$3:CD$500)))</f>
        <v/>
      </c>
      <c r="FE34" s="132">
        <f>IF(OR(FE$4="",$B34=""),0,SUMIF('DADOS BRUTOS'!$A$3:$A$500,$B34,'DADOS BRUTOS'!CE$3:CE$500)+IF($C34="",0,SUMIF('DADOS BRUTOS'!$A$3:$A$500,$C34,'DADOS BRUTOS'!CE$3:CE$500)))</f>
        <v/>
      </c>
      <c r="FF34" s="132">
        <f>IF(OR(FF$4="",$B34=""),0,SUMIF('DADOS BRUTOS'!$A$3:$A$500,$B34,'DADOS BRUTOS'!CF$3:CF$500)+IF($C34="",0,SUMIF('DADOS BRUTOS'!$A$3:$A$500,$C34,'DADOS BRUTOS'!CF$3:CF$500)))</f>
        <v/>
      </c>
      <c r="FG34" s="132">
        <f>IF(OR(FG$4="",$B34=""),0,SUMIF('DADOS BRUTOS'!$A$3:$A$500,$B34,'DADOS BRUTOS'!CG$3:CG$500)+IF($C34="",0,SUMIF('DADOS BRUTOS'!$A$3:$A$500,$C34,'DADOS BRUTOS'!CG$3:CG$500)))</f>
        <v/>
      </c>
      <c r="FH34" s="132">
        <f>IF(OR(FH$4="",$B34=""),0,SUMIF('DADOS BRUTOS'!$A$3:$A$500,$B34,'DADOS BRUTOS'!CH$3:CH$500)+IF($C34="",0,SUMIF('DADOS BRUTOS'!$A$3:$A$500,$C34,'DADOS BRUTOS'!CH$3:CH$500)))</f>
        <v/>
      </c>
      <c r="FI34" s="132">
        <f>IF(OR(FI$4="",$B34=""),0,SUMIF('DADOS BRUTOS'!$A$3:$A$500,$B34,'DADOS BRUTOS'!CI$3:CI$500)+IF($C34="",0,SUMIF('DADOS BRUTOS'!$A$3:$A$500,$C34,'DADOS BRUTOS'!CI$3:CI$500)))</f>
        <v/>
      </c>
      <c r="FJ34" s="132">
        <f>IF(OR(FJ$4="",$B34=""),0,SUMIF('DADOS BRUTOS'!$A$3:$A$500,$B34,'DADOS BRUTOS'!CJ$3:CJ$500)+IF($C34="",0,SUMIF('DADOS BRUTOS'!$A$3:$A$500,$C34,'DADOS BRUTOS'!CJ$3:CJ$500)))</f>
        <v/>
      </c>
      <c r="FK34" s="132">
        <f>IF(OR(FK$4="",$B34=""),0,SUMIF('DADOS BRUTOS'!$A$3:$A$500,$B34,'DADOS BRUTOS'!CK$3:CK$500)+IF($C34="",0,SUMIF('DADOS BRUTOS'!$A$3:$A$500,$C34,'DADOS BRUTOS'!CK$3:CK$500)))</f>
        <v/>
      </c>
      <c r="FL34" s="132">
        <f>IF(OR(FL$4="",$B34=""),0,SUMIF('DADOS BRUTOS'!$A$3:$A$500,$B34,'DADOS BRUTOS'!CL$3:CL$500)+IF($C34="",0,SUMIF('DADOS BRUTOS'!$A$3:$A$500,$C34,'DADOS BRUTOS'!CL$3:CL$500)))</f>
        <v/>
      </c>
      <c r="FM34" s="132">
        <f>IF(OR(FM$4="",$B34=""),0,SUMIF('DADOS BRUTOS'!$A$3:$A$500,$B34,'DADOS BRUTOS'!CM$3:CM$500)+IF($C34="",0,SUMIF('DADOS BRUTOS'!$A$3:$A$500,$C34,'DADOS BRUTOS'!CM$3:CM$500)))</f>
        <v/>
      </c>
      <c r="FN34" s="132">
        <f>IF(OR(FN$4="",$B34=""),0,SUMIF('DADOS BRUTOS'!$A$3:$A$500,$B34,'DADOS BRUTOS'!CN$3:CN$500)+IF($C34="",0,SUMIF('DADOS BRUTOS'!$A$3:$A$500,$C34,'DADOS BRUTOS'!CN$3:CN$500)))</f>
        <v/>
      </c>
      <c r="FO34" s="132">
        <f>IF(OR(FO$4="",$B34=""),0,SUMIF('DADOS BRUTOS'!$A$3:$A$500,$B34,'DADOS BRUTOS'!CO$3:CO$500)+IF($C34="",0,SUMIF('DADOS BRUTOS'!$A$3:$A$500,$C34,'DADOS BRUTOS'!CO$3:CO$500)))</f>
        <v/>
      </c>
      <c r="FP34" s="132">
        <f>IF(OR(FP$4="",$B34=""),0,SUMIF('DADOS BRUTOS'!$A$3:$A$500,$B34,'DADOS BRUTOS'!CP$3:CP$500)+IF($C34="",0,SUMIF('DADOS BRUTOS'!$A$3:$A$500,$C34,'DADOS BRUTOS'!CP$3:CP$500)))</f>
        <v/>
      </c>
      <c r="FQ34" s="132">
        <f>IF(OR(FQ$4="",$B34=""),0,SUMIF('DADOS BRUTOS'!$A$3:$A$500,$B34,'DADOS BRUTOS'!CQ$3:CQ$500)+IF($C34="",0,SUMIF('DADOS BRUTOS'!$A$3:$A$500,$C34,'DADOS BRUTOS'!CQ$3:CQ$500)))</f>
        <v/>
      </c>
      <c r="FR34" s="132">
        <f>IF(OR(FR$4="",$B34=""),0,SUMIF('DADOS BRUTOS'!$A$3:$A$500,$B34,'DADOS BRUTOS'!CR$3:CR$500)+IF($C34="",0,SUMIF('DADOS BRUTOS'!$A$3:$A$500,$C34,'DADOS BRUTOS'!CR$3:CR$500)))</f>
        <v/>
      </c>
      <c r="FS34" s="132">
        <f>IF(OR(FS$4="",$B34=""),0,SUMIF('DADOS BRUTOS'!$A$3:$A$500,$B34,'DADOS BRUTOS'!CS$3:CS$500)+IF($C34="",0,SUMIF('DADOS BRUTOS'!$A$3:$A$500,$C34,'DADOS BRUTOS'!CS$3:CS$500)))</f>
        <v/>
      </c>
      <c r="FT34" s="132">
        <f>IF(OR(FT$4="",$B34=""),0,SUMIF('DADOS BRUTOS'!$A$3:$A$500,$B34,'DADOS BRUTOS'!CT$3:CT$500)+IF($C34="",0,SUMIF('DADOS BRUTOS'!$A$3:$A$500,$C34,'DADOS BRUTOS'!CT$3:CT$500)))</f>
        <v/>
      </c>
      <c r="FU34" s="132">
        <f>IF(OR(FU$4="",$B34=""),0,SUMIF('DADOS BRUTOS'!$A$3:$A$500,$B34,'DADOS BRUTOS'!CU$3:CU$500)+IF($C34="",0,SUMIF('DADOS BRUTOS'!$A$3:$A$500,$C34,'DADOS BRUTOS'!CU$3:CU$500)))</f>
        <v/>
      </c>
      <c r="FV34" s="132">
        <f>IF(OR(FV$4="",$B34=""),0,SUMIF('DADOS BRUTOS'!$A$3:$A$500,$B34,'DADOS BRUTOS'!CV$3:CV$500)+IF($C34="",0,SUMIF('DADOS BRUTOS'!$A$3:$A$500,$C34,'DADOS BRUTOS'!CV$3:CV$500)))</f>
        <v/>
      </c>
      <c r="FW34" s="132">
        <f>IF(OR(FW$4="",$B34=""),0,SUMIF('DADOS BRUTOS'!$A$3:$A$500,$B34,'DADOS BRUTOS'!CW$3:CW$500)+IF($C34="",0,SUMIF('DADOS BRUTOS'!$A$3:$A$500,$C34,'DADOS BRUTOS'!CW$3:CW$500)))</f>
        <v/>
      </c>
      <c r="FX34" s="132">
        <f>IF(OR(FX$4="",$B34=""),0,SUMIF('DADOS BRUTOS'!$A$3:$A$500,$B34,'DADOS BRUTOS'!CX$3:CX$500)+IF($C34="",0,SUMIF('DADOS BRUTOS'!$A$3:$A$500,$C34,'DADOS BRUTOS'!CX$3:CX$500)))</f>
        <v/>
      </c>
      <c r="FY34" s="132">
        <f>IF(OR(FY$4="",$B34=""),0,SUMIF('DADOS BRUTOS'!$A$3:$A$500,$B34,'DADOS BRUTOS'!CY$3:CY$500)+IF($C34="",0,SUMIF('DADOS BRUTOS'!$A$3:$A$500,$C34,'DADOS BRUTOS'!CY$3:CY$500)))</f>
        <v/>
      </c>
      <c r="FZ34" s="132">
        <f>IF(OR(FZ$4="",$B34=""),0,SUMIF('DADOS BRUTOS'!$A$3:$A$500,$B34,'DADOS BRUTOS'!CZ$3:CZ$500)+IF($C34="",0,SUMIF('DADOS BRUTOS'!$A$3:$A$500,$C34,'DADOS BRUTOS'!CZ$3:CZ$500)))</f>
        <v/>
      </c>
      <c r="GA34" s="132">
        <f>IF(OR(GA$4="",$B34=""),0,SUMIF('DADOS BRUTOS'!$A$3:$A$500,$B34,'DADOS BRUTOS'!DA$3:DA$500)+IF($C34="",0,SUMIF('DADOS BRUTOS'!$A$3:$A$500,$C34,'DADOS BRUTOS'!DA$3:DA$500)))</f>
        <v/>
      </c>
      <c r="GB34" s="132">
        <f>IF(OR(GB$4="",$B34=""),0,SUMIF('DADOS BRUTOS'!$A$3:$A$500,$B34,'DADOS BRUTOS'!DB$3:DB$500)+IF($C34="",0,SUMIF('DADOS BRUTOS'!$A$3:$A$500,$C34,'DADOS BRUTOS'!DB$3:DB$500)))</f>
        <v/>
      </c>
      <c r="GC34" s="132">
        <f>IF(OR(GC$4="",$B34=""),0,SUMIF('DADOS BRUTOS'!$A$3:$A$500,$B34,'DADOS BRUTOS'!DC$3:DC$500)+IF($C34="",0,SUMIF('DADOS BRUTOS'!$A$3:$A$500,$C34,'DADOS BRUTOS'!DC$3:DC$500)))</f>
        <v/>
      </c>
      <c r="GD34" s="132">
        <f>IF(OR(GD$4="",$B34=""),0,SUMIF('DADOS BRUTOS'!$A$3:$A$500,$B34,'DADOS BRUTOS'!DD$3:DD$500)+IF($C34="",0,SUMIF('DADOS BRUTOS'!$A$3:$A$500,$C34,'DADOS BRUTOS'!DD$3:DD$500)))</f>
        <v/>
      </c>
      <c r="GE34" s="132">
        <f>IF(OR(GE$4="",$B34=""),0,SUMIF('DADOS BRUTOS'!$A$3:$A$500,$B34,'DADOS BRUTOS'!DE$3:DE$500)+IF($C34="",0,SUMIF('DADOS BRUTOS'!$A$3:$A$500,$C34,'DADOS BRUTOS'!DE$3:DE$500)))</f>
        <v/>
      </c>
      <c r="GF34" s="132">
        <f>IF(OR(GF$4="",$B34=""),0,SUMIF('DADOS BRUTOS'!$A$3:$A$500,$B34,'DADOS BRUTOS'!DF$3:DF$500)+IF($C34="",0,SUMIF('DADOS BRUTOS'!$A$3:$A$500,$C34,'DADOS BRUTOS'!DF$3:DF$500)))</f>
        <v/>
      </c>
      <c r="GG34" s="132">
        <f>IF(OR(GG$4="",$B34=""),0,SUMIF('DADOS BRUTOS'!$A$3:$A$500,$B34,'DADOS BRUTOS'!DG$3:DG$500)+IF($C34="",0,SUMIF('DADOS BRUTOS'!$A$3:$A$500,$C34,'DADOS BRUTOS'!DG$3:DG$500)))</f>
        <v/>
      </c>
      <c r="GH34" s="132">
        <f>IF(OR(GH$4="",$B34=""),0,SUMIF('DADOS BRUTOS'!$A$3:$A$500,$B34,'DADOS BRUTOS'!DH$3:DH$500)+IF($C34="",0,SUMIF('DADOS BRUTOS'!$A$3:$A$500,$C34,'DADOS BRUTOS'!DH$3:DH$500)))</f>
        <v/>
      </c>
      <c r="GI34" s="132">
        <f>IF(OR(GI$4="",$B34=""),0,SUMIF('DADOS BRUTOS'!$A$3:$A$500,$B34,'DADOS BRUTOS'!DI$3:DI$500)+IF($C34="",0,SUMIF('DADOS BRUTOS'!$A$3:$A$500,$C34,'DADOS BRUTOS'!DI$3:DI$500)))</f>
        <v/>
      </c>
      <c r="GJ34" s="132">
        <f>IF(OR(GJ$4="",$B34=""),0,SUMIF('DADOS BRUTOS'!$A$3:$A$500,$B34,'DADOS BRUTOS'!DJ$3:DJ$500)+IF($C34="",0,SUMIF('DADOS BRUTOS'!$A$3:$A$500,$C34,'DADOS BRUTOS'!DJ$3:DJ$500)))</f>
        <v/>
      </c>
      <c r="GK34" s="132">
        <f>IF(OR(GK$4="",$B34=""),0,SUMIF('DADOS BRUTOS'!$A$3:$A$500,$B34,'DADOS BRUTOS'!DK$3:DK$500)+IF($C34="",0,SUMIF('DADOS BRUTOS'!$A$3:$A$500,$C34,'DADOS BRUTOS'!DK$3:DK$500)))</f>
        <v/>
      </c>
      <c r="GL34" s="132">
        <f>IF(OR(GL$4="",$B34=""),0,SUMIF('DADOS BRUTOS'!$A$3:$A$500,$B34,'DADOS BRUTOS'!DL$3:DL$500)+IF($C34="",0,SUMIF('DADOS BRUTOS'!$A$3:$A$500,$C34,'DADOS BRUTOS'!DL$3:DL$500)))</f>
        <v/>
      </c>
      <c r="GM34" s="132">
        <f>IF(OR(GM$4="",$B34=""),0,SUMIF('DADOS BRUTOS'!$A$3:$A$500,$B34,'DADOS BRUTOS'!DM$3:DM$500)+IF($C34="",0,SUMIF('DADOS BRUTOS'!$A$3:$A$500,$C34,'DADOS BRUTOS'!DM$3:DM$500)))</f>
        <v/>
      </c>
      <c r="GN34" s="132">
        <f>IF(OR(GN$4="",$B34=""),0,SUMIF('DADOS BRUTOS'!$A$3:$A$500,$B34,'DADOS BRUTOS'!DN$3:DN$500)+IF($C34="",0,SUMIF('DADOS BRUTOS'!$A$3:$A$500,$C34,'DADOS BRUTOS'!DN$3:DN$500)))</f>
        <v/>
      </c>
      <c r="GO34" s="132">
        <f>IF(OR(GO$4="",$B34=""),0,SUMIF('DADOS BRUTOS'!$A$3:$A$500,$B34,'DADOS BRUTOS'!DO$3:DO$500)+IF($C34="",0,SUMIF('DADOS BRUTOS'!$A$3:$A$500,$C34,'DADOS BRUTOS'!DO$3:DO$500)))</f>
        <v/>
      </c>
      <c r="GP34" s="132">
        <f>IF(OR(GP$4="",$B34=""),0,SUMIF('DADOS BRUTOS'!$A$3:$A$500,$B34,'DADOS BRUTOS'!DP$3:DP$500)+IF($C34="",0,SUMIF('DADOS BRUTOS'!$A$3:$A$500,$C34,'DADOS BRUTOS'!DP$3:DP$500)))</f>
        <v/>
      </c>
      <c r="GQ34" s="132">
        <f>IF(OR(GQ$4="",$B34=""),0,SUMIF('DADOS BRUTOS'!$A$3:$A$500,$B34,'DADOS BRUTOS'!DQ$3:DQ$500)+IF($C34="",0,SUMIF('DADOS BRUTOS'!$A$3:$A$500,$C34,'DADOS BRUTOS'!DQ$3:DQ$500)))</f>
        <v/>
      </c>
      <c r="GR34" s="132">
        <f>IF(OR(GR$4="",$B34=""),0,SUMIF('DADOS BRUTOS'!$A$3:$A$500,$B34,'DADOS BRUTOS'!DR$3:DR$500)+IF($C34="",0,SUMIF('DADOS BRUTOS'!$A$3:$A$500,$C34,'DADOS BRUTOS'!DR$3:DR$500)))</f>
        <v/>
      </c>
      <c r="GS34" s="132">
        <f>IF(OR(GS$4="",$B34=""),0,SUMIF('DADOS BRUTOS'!$A$3:$A$500,$B34,'DADOS BRUTOS'!DS$3:DS$500)+IF($C34="",0,SUMIF('DADOS BRUTOS'!$A$3:$A$500,$C34,'DADOS BRUTOS'!DS$3:DS$500)))</f>
        <v/>
      </c>
      <c r="GT34" s="132">
        <f>IF(OR(GT$4="",$B34=""),0,SUMIF('DADOS BRUTOS'!$A$3:$A$500,$B34,'DADOS BRUTOS'!DT$3:DT$500)+IF($C34="",0,SUMIF('DADOS BRUTOS'!$A$3:$A$500,$C34,'DADOS BRUTOS'!DT$3:DT$500)))</f>
        <v/>
      </c>
      <c r="GU34" s="132">
        <f>IF(OR(GU$4="",$B34=""),0,SUMIF('DADOS BRUTOS'!$A$3:$A$500,$B34,'DADOS BRUTOS'!DU$3:DU$500)+IF($C34="",0,SUMIF('DADOS BRUTOS'!$A$3:$A$500,$C34,'DADOS BRUTOS'!DU$3:DU$500)))</f>
        <v/>
      </c>
      <c r="GV34" s="132">
        <f>IF(OR(GV$4="",$B34=""),0,SUMIF('DADOS BRUTOS'!$A$3:$A$500,$B34,'DADOS BRUTOS'!DV$3:DV$500)+IF($C34="",0,SUMIF('DADOS BRUTOS'!$A$3:$A$500,$C34,'DADOS BRUTOS'!DV$3:DV$500)))</f>
        <v/>
      </c>
      <c r="GW34" s="132">
        <f>IF(OR(GW$4="",$B34=""),0,SUMIF('DADOS BRUTOS'!$A$3:$A$500,$B34,'DADOS BRUTOS'!DW$3:DW$500)+IF($C34="",0,SUMIF('DADOS BRUTOS'!$A$3:$A$500,$C34,'DADOS BRUTOS'!DW$3:DW$500)))</f>
        <v/>
      </c>
      <c r="GX34" s="132">
        <f>IF(OR(GX$4="",$B34=""),0,SUMIF('DADOS BRUTOS'!$A$3:$A$500,$B34,'DADOS BRUTOS'!DX$3:DX$500)+IF($C34="",0,SUMIF('DADOS BRUTOS'!$A$3:$A$500,$C34,'DADOS BRUTOS'!DX$3:DX$500)))</f>
        <v/>
      </c>
      <c r="GY34" s="132">
        <f>IF(OR(GY$4="",$B34=""),0,SUMIF('DADOS BRUTOS'!$A$3:$A$500,$B34,'DADOS BRUTOS'!DY$3:DY$500)+IF($C34="",0,SUMIF('DADOS BRUTOS'!$A$3:$A$500,$C34,'DADOS BRUTOS'!DY$3:DY$500)))</f>
        <v/>
      </c>
      <c r="GZ34" s="132">
        <f>IF(OR(GZ$4="",$B34=""),0,SUMIF('DADOS BRUTOS'!$A$3:$A$500,$B34,'DADOS BRUTOS'!DZ$3:DZ$500)+IF($C34="",0,SUMIF('DADOS BRUTOS'!$A$3:$A$500,$C34,'DADOS BRUTOS'!DZ$3:DZ$500)))</f>
        <v/>
      </c>
      <c r="HA34" s="132">
        <f>IF(OR(HA$4="",$B34=""),0,SUMIF('DADOS BRUTOS'!$A$3:$A$500,$B34,'DADOS BRUTOS'!EA$3:EA$500)+IF($C34="",0,SUMIF('DADOS BRUTOS'!$A$3:$A$500,$C34,'DADOS BRUTOS'!EA$3:EA$500)))</f>
        <v/>
      </c>
      <c r="HB34" s="132">
        <f>IF(OR(HB$4="",$B34=""),0,SUMIF('DADOS BRUTOS'!$A$3:$A$500,$B34,'DADOS BRUTOS'!EB$3:EB$500)+IF($C34="",0,SUMIF('DADOS BRUTOS'!$A$3:$A$500,$C34,'DADOS BRUTOS'!EB$3:EB$500)))</f>
        <v/>
      </c>
      <c r="HC34" s="132">
        <f>IF(OR(HC$4="",$B34=""),0,SUMIF('DADOS BRUTOS'!$A$3:$A$500,$B34,'DADOS BRUTOS'!EC$3:EC$500)+IF($C34="",0,SUMIF('DADOS BRUTOS'!$A$3:$A$500,$C34,'DADOS BRUTOS'!EC$3:EC$500)))</f>
        <v/>
      </c>
      <c r="HD34" s="132">
        <f>IF(OR(HD$4="",$B34=""),0,SUMIF('DADOS BRUTOS'!$A$3:$A$500,$B34,'DADOS BRUTOS'!ED$3:ED$500)+IF($C34="",0,SUMIF('DADOS BRUTOS'!$A$3:$A$500,$C34,'DADOS BRUTOS'!ED$3:ED$500)))</f>
        <v/>
      </c>
      <c r="HE34" s="132">
        <f>IF(OR(HE$4="",$B34=""),0,SUMIF('DADOS BRUTOS'!$A$3:$A$500,$B34,'DADOS BRUTOS'!EE$3:EE$500)+IF($C34="",0,SUMIF('DADOS BRUTOS'!$A$3:$A$500,$C34,'DADOS BRUTOS'!EE$3:EE$500)))</f>
        <v/>
      </c>
      <c r="HF34" s="132">
        <f>IF(OR(HF$4="",$B34=""),0,SUMIF('DADOS BRUTOS'!$A$3:$A$500,$B34,'DADOS BRUTOS'!EF$3:EF$500)+IF($C34="",0,SUMIF('DADOS BRUTOS'!$A$3:$A$500,$C34,'DADOS BRUTOS'!EF$3:EF$500)))</f>
        <v/>
      </c>
      <c r="HG34" s="132">
        <f>IF(OR(HG$4="",$B34=""),0,SUMIF('DADOS BRUTOS'!$A$3:$A$500,$B34,'DADOS BRUTOS'!EG$3:EG$500)+IF($C34="",0,SUMIF('DADOS BRUTOS'!$A$3:$A$500,$C34,'DADOS BRUTOS'!EG$3:EG$500)))</f>
        <v/>
      </c>
      <c r="HH34" s="132">
        <f>IF(OR(HH$4="",$B34=""),0,SUMIF('DADOS BRUTOS'!$A$3:$A$500,$B34,'DADOS BRUTOS'!EH$3:EH$500)+IF($C34="",0,SUMIF('DADOS BRUTOS'!$A$3:$A$500,$C34,'DADOS BRUTOS'!EH$3:EH$500)))</f>
        <v/>
      </c>
      <c r="HI34" s="132">
        <f>IF(OR(HI$4="",$B34=""),0,SUMIF('DADOS BRUTOS'!$A$3:$A$500,$B34,'DADOS BRUTOS'!EI$3:EI$500)+IF($C34="",0,SUMIF('DADOS BRUTOS'!$A$3:$A$500,$C34,'DADOS BRUTOS'!EI$3:EI$500)))</f>
        <v/>
      </c>
      <c r="HJ34" s="132">
        <f>IF(OR(HJ$4="",$B34=""),0,SUMIF('DADOS BRUTOS'!$A$3:$A$500,$B34,'DADOS BRUTOS'!EJ$3:EJ$500)+IF($C34="",0,SUMIF('DADOS BRUTOS'!$A$3:$A$500,$C34,'DADOS BRUTOS'!EJ$3:EJ$500)))</f>
        <v/>
      </c>
      <c r="HK34" s="132">
        <f>IF(OR(HK$4="",$B34=""),0,SUMIF('DADOS BRUTOS'!$A$3:$A$500,$B34,'DADOS BRUTOS'!EK$3:EK$500)+IF($C34="",0,SUMIF('DADOS BRUTOS'!$A$3:$A$500,$C34,'DADOS BRUTOS'!EK$3:EK$500)))</f>
        <v/>
      </c>
      <c r="HL34" s="132">
        <f>IF(OR(HL$4="",$B34=""),0,SUMIF('DADOS BRUTOS'!$A$3:$A$500,$B34,'DADOS BRUTOS'!EL$3:EL$500)+IF($C34="",0,SUMIF('DADOS BRUTOS'!$A$3:$A$500,$C34,'DADOS BRUTOS'!EL$3:EL$500)))</f>
        <v/>
      </c>
      <c r="HM34" s="132">
        <f>IF(OR(HM$4="",$B34=""),0,SUMIF('DADOS BRUTOS'!$A$3:$A$500,$B34,'DADOS BRUTOS'!EM$3:EM$500)+IF($C34="",0,SUMIF('DADOS BRUTOS'!$A$3:$A$500,$C34,'DADOS BRUTOS'!EM$3:EM$500)))</f>
        <v/>
      </c>
      <c r="HN34" s="132">
        <f>IF(OR(HN$4="",$B34=""),0,SUMIF('DADOS BRUTOS'!$A$3:$A$500,$B34,'DADOS BRUTOS'!EN$3:EN$500)+IF($C34="",0,SUMIF('DADOS BRUTOS'!$A$3:$A$500,$C34,'DADOS BRUTOS'!EN$3:EN$500)))</f>
        <v/>
      </c>
      <c r="HO34" s="132">
        <f>IF(OR(HO$4="",$B34=""),0,SUMIF('DADOS BRUTOS'!$A$3:$A$500,$B34,'DADOS BRUTOS'!EO$3:EO$500)+IF($C34="",0,SUMIF('DADOS BRUTOS'!$A$3:$A$500,$C34,'DADOS BRUTOS'!EO$3:EO$500)))</f>
        <v/>
      </c>
      <c r="HP34" s="132">
        <f>IF(OR(HP$4="",$B34=""),0,SUMIF('DADOS BRUTOS'!$A$3:$A$500,$B34,'DADOS BRUTOS'!EP$3:EP$500)+IF($C34="",0,SUMIF('DADOS BRUTOS'!$A$3:$A$500,$C34,'DADOS BRUTOS'!EP$3:EP$500)))</f>
        <v/>
      </c>
      <c r="HQ34" s="132">
        <f>IF(OR(HQ$4="",$B34=""),0,SUMIF('DADOS BRUTOS'!$A$3:$A$500,$B34,'DADOS BRUTOS'!EQ$3:EQ$500)+IF($C34="",0,SUMIF('DADOS BRUTOS'!$A$3:$A$500,$C34,'DADOS BRUTOS'!EQ$3:EQ$500)))</f>
        <v/>
      </c>
      <c r="HR34" s="132">
        <f>IF(OR(HR$4="",$B34=""),0,SUMIF('DADOS BRUTOS'!$A$3:$A$500,$B34,'DADOS BRUTOS'!ER$3:ER$500)+IF($C34="",0,SUMIF('DADOS BRUTOS'!$A$3:$A$500,$C34,'DADOS BRUTOS'!ER$3:ER$500)))</f>
        <v/>
      </c>
      <c r="HS34" s="132">
        <f>IF(OR(HS$4="",$B34=""),0,SUMIF('DADOS BRUTOS'!$A$3:$A$500,$B34,'DADOS BRUTOS'!ES$3:ES$500)+IF($C34="",0,SUMIF('DADOS BRUTOS'!$A$3:$A$500,$C34,'DADOS BRUTOS'!ES$3:ES$500)))</f>
        <v/>
      </c>
      <c r="HT34" s="132">
        <f>IF(OR(HT$4="",$B34=""),0,SUMIF('DADOS BRUTOS'!$A$3:$A$500,$B34,'DADOS BRUTOS'!ET$3:ET$500)+IF($C34="",0,SUMIF('DADOS BRUTOS'!$A$3:$A$500,$C34,'DADOS BRUTOS'!ET$3:ET$500)))</f>
        <v/>
      </c>
      <c r="HU34" s="132">
        <f>IF(OR(HU$4="",$B34=""),0,SUMIF('DADOS BRUTOS'!$A$3:$A$500,$B34,'DADOS BRUTOS'!EU$3:EU$500)+IF($C34="",0,SUMIF('DADOS BRUTOS'!$A$3:$A$500,$C34,'DADOS BRUTOS'!EU$3:EU$500)))</f>
        <v/>
      </c>
      <c r="HV34" s="132">
        <f>IF(OR(HV$4="",$B34=""),0,SUMIF('DADOS BRUTOS'!$A$3:$A$500,$B34,'DADOS BRUTOS'!EV$3:EV$500)+IF($C34="",0,SUMIF('DADOS BRUTOS'!$A$3:$A$500,$C34,'DADOS BRUTOS'!EV$3:EV$500)))</f>
        <v/>
      </c>
      <c r="HW34" s="132">
        <f>IF(OR(HW$4="",$B34=""),0,SUMIF('DADOS BRUTOS'!$A$3:$A$500,$B34,'DADOS BRUTOS'!EW$3:EW$500)+IF($C34="",0,SUMIF('DADOS BRUTOS'!$A$3:$A$500,$C34,'DADOS BRUTOS'!EW$3:EW$500)))</f>
        <v/>
      </c>
      <c r="HX34" s="132">
        <f>IF(OR(HX$4="",$B34=""),0,SUMIF('DADOS BRUTOS'!$A$3:$A$500,$B34,'DADOS BRUTOS'!EX$3:EX$500)+IF($C34="",0,SUMIF('DADOS BRUTOS'!$A$3:$A$500,$C34,'DADOS BRUTOS'!EX$3:EX$500)))</f>
        <v/>
      </c>
      <c r="HY34" s="132">
        <f>IF(OR(HY$4="",$B34=""),0,SUMIF('DADOS BRUTOS'!$A$3:$A$500,$B34,'DADOS BRUTOS'!EY$3:EY$500)+IF($C34="",0,SUMIF('DADOS BRUTOS'!$A$3:$A$500,$C34,'DADOS BRUTOS'!EY$3:EY$500)))</f>
        <v/>
      </c>
      <c r="HZ34" s="132">
        <f>IF(OR(HZ$4="",$B34=""),0,SUMIF('DADOS BRUTOS'!$A$3:$A$500,$B34,'DADOS BRUTOS'!EZ$3:EZ$500)+IF($C34="",0,SUMIF('DADOS BRUTOS'!$A$3:$A$500,$C34,'DADOS BRUTOS'!EZ$3:EZ$500)))</f>
        <v/>
      </c>
      <c r="IA34" s="132">
        <f>IF(OR(IA$4="",$B34=""),0,SUMIF('DADOS BRUTOS'!$A$3:$A$500,$B34,'DADOS BRUTOS'!FA$3:FA$500)+IF($C34="",0,SUMIF('DADOS BRUTOS'!$A$3:$A$500,$C34,'DADOS BRUTOS'!FA$3:FA$500)))</f>
        <v/>
      </c>
      <c r="IB34" s="132">
        <f>IF(OR(IB$4="",$B34=""),0,SUMIF('DADOS BRUTOS'!$A$3:$A$500,$B34,'DADOS BRUTOS'!FB$3:FB$500)+IF($C34="",0,SUMIF('DADOS BRUTOS'!$A$3:$A$500,$C34,'DADOS BRUTOS'!FB$3:FB$500)))</f>
        <v/>
      </c>
      <c r="IC34" s="132">
        <f>IF(OR(IC$4="",$B34=""),0,SUMIF('DADOS BRUTOS'!$A$3:$A$500,$B34,'DADOS BRUTOS'!FC$3:FC$500)+IF($C34="",0,SUMIF('DADOS BRUTOS'!$A$3:$A$500,$C34,'DADOS BRUTOS'!FC$3:FC$500)))</f>
        <v/>
      </c>
      <c r="ID34" s="132">
        <f>IF(OR(ID$4="",$B34=""),0,SUMIF('DADOS BRUTOS'!$A$3:$A$500,$B34,'DADOS BRUTOS'!FD$3:FD$500)+IF($C34="",0,SUMIF('DADOS BRUTOS'!$A$3:$A$500,$C34,'DADOS BRUTOS'!FD$3:FD$500)))</f>
        <v/>
      </c>
      <c r="IE34" s="132">
        <f>IF(OR(IE$4="",$B34=""),0,SUMIF('DADOS BRUTOS'!$A$3:$A$500,$B34,'DADOS BRUTOS'!FE$3:FE$500)+IF($C34="",0,SUMIF('DADOS BRUTOS'!$A$3:$A$500,$C34,'DADOS BRUTOS'!FE$3:FE$500)))</f>
        <v/>
      </c>
      <c r="IF34" s="132">
        <f>IF(OR(IF$4="",$B34=""),0,SUMIF('DADOS BRUTOS'!$A$3:$A$500,$B34,'DADOS BRUTOS'!FF$3:FF$500)+IF($C34="",0,SUMIF('DADOS BRUTOS'!$A$3:$A$500,$C34,'DADOS BRUTOS'!FF$3:FF$500)))</f>
        <v/>
      </c>
      <c r="IG34" s="132">
        <f>IF(OR(IG$4="",$B34=""),0,SUMIF('DADOS BRUTOS'!$A$3:$A$500,$B34,'DADOS BRUTOS'!FG$3:FG$500)+IF($C34="",0,SUMIF('DADOS BRUTOS'!$A$3:$A$500,$C34,'DADOS BRUTOS'!FG$3:FG$500)))</f>
        <v/>
      </c>
      <c r="IH34" s="132">
        <f>IF(OR(IH$4="",$B34=""),0,SUMIF('DADOS BRUTOS'!$A$3:$A$500,$B34,'DADOS BRUTOS'!FH$3:FH$500)+IF($C34="",0,SUMIF('DADOS BRUTOS'!$A$3:$A$500,$C34,'DADOS BRUTOS'!FH$3:FH$500)))</f>
        <v/>
      </c>
      <c r="II34" s="132">
        <f>IF(OR(II$4="",$B34=""),0,SUMIF('DADOS BRUTOS'!$A$3:$A$500,$B34,'DADOS BRUTOS'!FI$3:FI$500)+IF($C34="",0,SUMIF('DADOS BRUTOS'!$A$3:$A$500,$C34,'DADOS BRUTOS'!FI$3:FI$500)))</f>
        <v/>
      </c>
      <c r="IJ34" s="132">
        <f>IF(OR(IJ$4="",$B34=""),0,SUMIF('DADOS BRUTOS'!$A$3:$A$500,$B34,'DADOS BRUTOS'!FJ$3:FJ$500)+IF($C34="",0,SUMIF('DADOS BRUTOS'!$A$3:$A$500,$C34,'DADOS BRUTOS'!FJ$3:FJ$500)))</f>
        <v/>
      </c>
      <c r="IK34" s="132">
        <f>IF(OR(IK$4="",$B34=""),0,SUMIF('DADOS BRUTOS'!$A$3:$A$500,$B34,'DADOS BRUTOS'!FK$3:FK$500)+IF($C34="",0,SUMIF('DADOS BRUTOS'!$A$3:$A$500,$C34,'DADOS BRUTOS'!FK$3:FK$500)))</f>
        <v/>
      </c>
      <c r="IL34" s="132">
        <f>IF(OR(IL$4="",$B34=""),0,SUMIF('DADOS BRUTOS'!$A$3:$A$500,$B34,'DADOS BRUTOS'!FL$3:FL$500)+IF($C34="",0,SUMIF('DADOS BRUTOS'!$A$3:$A$500,$C34,'DADOS BRUTOS'!FL$3:FL$500)))</f>
        <v/>
      </c>
      <c r="IM34" s="132">
        <f>IF(OR(IM$4="",$B34=""),0,SUMIF('DADOS BRUTOS'!$A$3:$A$500,$B34,'DADOS BRUTOS'!FM$3:FM$500)+IF($C34="",0,SUMIF('DADOS BRUTOS'!$A$3:$A$500,$C34,'DADOS BRUTOS'!FM$3:FM$500)))</f>
        <v/>
      </c>
      <c r="IN34" s="132">
        <f>IF(OR(IN$4="",$B34=""),0,SUMIF('DADOS BRUTOS'!$A$3:$A$500,$B34,'DADOS BRUTOS'!FN$3:FN$500)+IF($C34="",0,SUMIF('DADOS BRUTOS'!$A$3:$A$500,$C34,'DADOS BRUTOS'!FN$3:FN$500)))</f>
        <v/>
      </c>
      <c r="IO34" s="132">
        <f>IF(OR(IO$4="",$B34=""),0,SUMIF('DADOS BRUTOS'!$A$3:$A$500,$B34,'DADOS BRUTOS'!FO$3:FO$500)+IF($C34="",0,SUMIF('DADOS BRUTOS'!$A$3:$A$500,$C34,'DADOS BRUTOS'!FO$3:FO$500)))</f>
        <v/>
      </c>
      <c r="IP34" s="132">
        <f>IF(OR(IP$4="",$B34=""),0,SUMIF('DADOS BRUTOS'!$A$3:$A$500,$B34,'DADOS BRUTOS'!FP$3:FP$500)+IF($C34="",0,SUMIF('DADOS BRUTOS'!$A$3:$A$500,$C34,'DADOS BRUTOS'!FP$3:FP$500)))</f>
        <v/>
      </c>
      <c r="IQ34" s="132">
        <f>IF(OR(IQ$4="",$B34=""),0,SUMIF('DADOS BRUTOS'!$A$3:$A$500,$B34,'DADOS BRUTOS'!FQ$3:FQ$500)+IF($C34="",0,SUMIF('DADOS BRUTOS'!$A$3:$A$500,$C34,'DADOS BRUTOS'!FQ$3:FQ$500)))</f>
        <v/>
      </c>
      <c r="IR34" s="132">
        <f>IF(OR(IR$4="",$B34=""),0,SUMIF('DADOS BRUTOS'!$A$3:$A$500,$B34,'DADOS BRUTOS'!FR$3:FR$500)+IF($C34="",0,SUMIF('DADOS BRUTOS'!$A$3:$A$500,$C34,'DADOS BRUTOS'!FR$3:FR$500)))</f>
        <v/>
      </c>
      <c r="IS34" s="132">
        <f>IF(OR(IS$4="",$B34=""),0,SUMIF('DADOS BRUTOS'!$A$3:$A$500,$B34,'DADOS BRUTOS'!FS$3:FS$500)+IF($C34="",0,SUMIF('DADOS BRUTOS'!$A$3:$A$500,$C34,'DADOS BRUTOS'!FS$3:FS$500)))</f>
        <v/>
      </c>
      <c r="IT34" s="132">
        <f>IF(OR(IT$4="",$B34=""),0,SUMIF('DADOS BRUTOS'!$A$3:$A$500,$B34,'DADOS BRUTOS'!FT$3:FT$500)+IF($C34="",0,SUMIF('DADOS BRUTOS'!$A$3:$A$500,$C34,'DADOS BRUTOS'!FT$3:FT$500)))</f>
        <v/>
      </c>
      <c r="IU34" s="132">
        <f>IF(OR(IU$4="",$B34=""),0,SUMIF('DADOS BRUTOS'!$A$3:$A$500,$B34,'DADOS BRUTOS'!FU$3:FU$500)+IF($C34="",0,SUMIF('DADOS BRUTOS'!$A$3:$A$500,$C34,'DADOS BRUTOS'!FU$3:FU$500)))</f>
        <v/>
      </c>
      <c r="IV34" s="132">
        <f>IF(OR(IV$4="",$B34=""),0,SUMIF('DADOS BRUTOS'!$A$3:$A$500,$B34,'DADOS BRUTOS'!FV$3:FV$500)+IF($C34="",0,SUMIF('DADOS BRUTOS'!$A$3:$A$500,$C34,'DADOS BRUTOS'!FV$3:FV$500)))</f>
        <v/>
      </c>
      <c r="IW34" s="132">
        <f>IF(OR(IW$4="",$B34=""),0,SUMIF('DADOS BRUTOS'!$A$3:$A$500,$B34,'DADOS BRUTOS'!FW$3:FW$500)+IF($C34="",0,SUMIF('DADOS BRUTOS'!$A$3:$A$500,$C34,'DADOS BRUTOS'!FW$3:FW$500)))</f>
        <v/>
      </c>
      <c r="IX34" s="132">
        <f>IF(OR(IX$4="",$B34=""),0,SUMIF('DADOS BRUTOS'!$A$3:$A$500,$B34,'DADOS BRUTOS'!FX$3:FX$500)+IF($C34="",0,SUMIF('DADOS BRUTOS'!$A$3:$A$500,$C34,'DADOS BRUTOS'!FX$3:FX$500)))</f>
        <v/>
      </c>
      <c r="IY34" s="132">
        <f>IF(OR(IY$4="",$B34=""),0,SUMIF('DADOS BRUTOS'!$A$3:$A$500,$B34,'DADOS BRUTOS'!FY$3:FY$500)+IF($C34="",0,SUMIF('DADOS BRUTOS'!$A$3:$A$500,$C34,'DADOS BRUTOS'!FY$3:FY$500)))</f>
        <v/>
      </c>
      <c r="IZ34" s="132">
        <f>IF(OR(IZ$4="",$B34=""),0,SUMIF('DADOS BRUTOS'!$A$3:$A$500,$B34,'DADOS BRUTOS'!FZ$3:FZ$500)+IF($C34="",0,SUMIF('DADOS BRUTOS'!$A$3:$A$500,$C34,'DADOS BRUTOS'!FZ$3:FZ$500)))</f>
        <v/>
      </c>
      <c r="JA34" s="132">
        <f>IF(OR(JA$4="",$B34=""),0,SUMIF('DADOS BRUTOS'!$A$3:$A$500,$B34,'DADOS BRUTOS'!GA$3:GA$500)+IF($C34="",0,SUMIF('DADOS BRUTOS'!$A$3:$A$500,$C34,'DADOS BRUTOS'!GA$3:GA$500)))</f>
        <v/>
      </c>
      <c r="JB34" s="132">
        <f>IF(OR(JB$4="",$B34=""),0,SUMIF('DADOS BRUTOS'!$A$3:$A$500,$B34,'DADOS BRUTOS'!GB$3:GB$500)+IF($C34="",0,SUMIF('DADOS BRUTOS'!$A$3:$A$500,$C34,'DADOS BRUTOS'!GB$3:GB$500)))</f>
        <v/>
      </c>
      <c r="JC34" s="132">
        <f>IF(OR(JC$4="",$B34=""),0,SUMIF('DADOS BRUTOS'!$A$3:$A$500,$B34,'DADOS BRUTOS'!GC$3:GC$500)+IF($C34="",0,SUMIF('DADOS BRUTOS'!$A$3:$A$500,$C34,'DADOS BRUTOS'!GC$3:GC$500)))</f>
        <v/>
      </c>
      <c r="JD34" s="132">
        <f>IF(OR(JD$4="",$B34=""),0,SUMIF('DADOS BRUTOS'!$A$3:$A$500,$B34,'DADOS BRUTOS'!GD$3:GD$500)+IF($C34="",0,SUMIF('DADOS BRUTOS'!$A$3:$A$500,$C34,'DADOS BRUTOS'!GD$3:GD$500)))</f>
        <v/>
      </c>
      <c r="JE34" s="132">
        <f>IF(OR(JE$4="",$B34=""),0,SUMIF('DADOS BRUTOS'!$A$3:$A$500,$B34,'DADOS BRUTOS'!GE$3:GE$500)+IF($C34="",0,SUMIF('DADOS BRUTOS'!$A$3:$A$500,$C34,'DADOS BRUTOS'!GE$3:GE$500)))</f>
        <v/>
      </c>
      <c r="JF34" s="132">
        <f>IF(OR(JF$4="",$B34=""),0,SUMIF('DADOS BRUTOS'!$A$3:$A$500,$B34,'DADOS BRUTOS'!GF$3:GF$500)+IF($C34="",0,SUMIF('DADOS BRUTOS'!$A$3:$A$500,$C34,'DADOS BRUTOS'!GF$3:GF$500)))</f>
        <v/>
      </c>
      <c r="JG34" s="132">
        <f>IF(OR(JG$4="",$B34=""),0,SUMIF('DADOS BRUTOS'!$A$3:$A$500,$B34,'DADOS BRUTOS'!GG$3:GG$500)+IF($C34="",0,SUMIF('DADOS BRUTOS'!$A$3:$A$500,$C34,'DADOS BRUTOS'!GG$3:GG$500)))</f>
        <v/>
      </c>
      <c r="JH34" s="132">
        <f>IF(OR(JH$4="",$B34=""),0,SUMIF('DADOS BRUTOS'!$A$3:$A$500,$B34,'DADOS BRUTOS'!GH$3:GH$500)+IF($C34="",0,SUMIF('DADOS BRUTOS'!$A$3:$A$500,$C34,'DADOS BRUTOS'!GH$3:GH$500)))</f>
        <v/>
      </c>
      <c r="JI34" s="132">
        <f>IF(OR(JI$4="",$B34=""),0,SUMIF('DADOS BRUTOS'!$A$3:$A$500,$B34,'DADOS BRUTOS'!GI$3:GI$500)+IF($C34="",0,SUMIF('DADOS BRUTOS'!$A$3:$A$500,$C34,'DADOS BRUTOS'!GI$3:GI$500)))</f>
        <v/>
      </c>
      <c r="JJ34" s="132">
        <f>IF(OR(JJ$4="",$B34=""),0,SUMIF('DADOS BRUTOS'!$A$3:$A$500,$B34,'DADOS BRUTOS'!GJ$3:GJ$500)+IF($C34="",0,SUMIF('DADOS BRUTOS'!$A$3:$A$500,$C34,'DADOS BRUTOS'!GJ$3:GJ$500)))</f>
        <v/>
      </c>
      <c r="JK34" s="132">
        <f>IF(OR(JK$4="",$B34=""),0,SUMIF('DADOS BRUTOS'!$A$3:$A$500,$B34,'DADOS BRUTOS'!GK$3:GK$500)+IF($C34="",0,SUMIF('DADOS BRUTOS'!$A$3:$A$500,$C34,'DADOS BRUTOS'!GK$3:GK$500)))</f>
        <v/>
      </c>
      <c r="JL34" s="132">
        <f>IF(OR(JL$4="",$B34=""),0,SUMIF('DADOS BRUTOS'!$A$3:$A$500,$B34,'DADOS BRUTOS'!GL$3:GL$500)+IF($C34="",0,SUMIF('DADOS BRUTOS'!$A$3:$A$500,$C34,'DADOS BRUTOS'!GL$3:GL$500)))</f>
        <v/>
      </c>
      <c r="JM34" s="132">
        <f>IF(OR(JM$4="",$B34=""),0,SUMIF('DADOS BRUTOS'!$A$3:$A$500,$B34,'DADOS BRUTOS'!GM$3:GM$500)+IF($C34="",0,SUMIF('DADOS BRUTOS'!$A$3:$A$500,$C34,'DADOS BRUTOS'!GM$3:GM$500)))</f>
        <v/>
      </c>
      <c r="JN34" s="132">
        <f>IF(OR(JN$4="",$B34=""),0,SUMIF('DADOS BRUTOS'!$A$3:$A$500,$B34,'DADOS BRUTOS'!GN$3:GN$500)+IF($C34="",0,SUMIF('DADOS BRUTOS'!$A$3:$A$500,$C34,'DADOS BRUTOS'!GN$3:GN$500)))</f>
        <v/>
      </c>
      <c r="JO34" s="132">
        <f>IF(OR(JO$4="",$B34=""),0,SUMIF('DADOS BRUTOS'!$A$3:$A$500,$B34,'DADOS BRUTOS'!GO$3:GO$500)+IF($C34="",0,SUMIF('DADOS BRUTOS'!$A$3:$A$500,$C34,'DADOS BRUTOS'!GO$3:GO$500)))</f>
        <v/>
      </c>
      <c r="JP34" s="132">
        <f>IF(OR(JP$4="",$B34=""),0,SUMIF('DADOS BRUTOS'!$A$3:$A$500,$B34,'DADOS BRUTOS'!GP$3:GP$500)+IF($C34="",0,SUMIF('DADOS BRUTOS'!$A$3:$A$500,$C34,'DADOS BRUTOS'!GP$3:GP$500)))</f>
        <v/>
      </c>
      <c r="JQ34" s="132">
        <f>IF(OR(JQ$4="",$B34=""),0,SUMIF('DADOS BRUTOS'!$A$3:$A$500,$B34,'DADOS BRUTOS'!GQ$3:GQ$500)+IF($C34="",0,SUMIF('DADOS BRUTOS'!$A$3:$A$500,$C34,'DADOS BRUTOS'!GQ$3:GQ$500)))</f>
        <v/>
      </c>
      <c r="JR34" s="132">
        <f>IF(OR(JR$4="",$B34=""),0,SUMIF('DADOS BRUTOS'!$A$3:$A$500,$B34,'DADOS BRUTOS'!GR$3:GR$500)+IF($C34="",0,SUMIF('DADOS BRUTOS'!$A$3:$A$500,$C34,'DADOS BRUTOS'!GR$3:GR$500)))</f>
        <v/>
      </c>
      <c r="JS34" s="132">
        <f>IF(OR(JS$4="",$B34=""),0,SUMIF('DADOS BRUTOS'!$A$3:$A$500,$B34,'DADOS BRUTOS'!GS$3:GS$500)+IF($C34="",0,SUMIF('DADOS BRUTOS'!$A$3:$A$500,$C34,'DADOS BRUTOS'!GS$3:GS$500)))</f>
        <v/>
      </c>
    </row>
    <row r="35">
      <c r="A35" s="61">
        <f>'VALOR POR PL'!D41</f>
        <v/>
      </c>
      <c r="B35" s="59" t="inlineStr">
        <is>
          <t>PAVIMENTAÇÃO</t>
        </is>
      </c>
      <c r="C35" s="59" t="n"/>
      <c r="D35" s="54">
        <f>SUMIF($CB$4:$JS$4,"&lt;="&amp;D$4,$CB35:$JS35)</f>
        <v/>
      </c>
      <c r="E35" s="54">
        <f>SUMIF($CB$4:$JS$4,E$4,$CB35:$JS35)</f>
        <v/>
      </c>
      <c r="F35" s="54">
        <f>SUMIF($CB$4:$JS$4,F$4,$CB35:$JS35)</f>
        <v/>
      </c>
      <c r="G35" s="54">
        <f>SUMIF($CB$4:$JS$4,G$4,$CB35:$JS35)</f>
        <v/>
      </c>
      <c r="H35" s="54">
        <f>SUMIF($CB$4:$JS$4,H$4,$CB35:$JS35)</f>
        <v/>
      </c>
      <c r="I35" s="54">
        <f>SUMIF($CB$4:$JS$4,I$4,$CB35:$JS35)</f>
        <v/>
      </c>
      <c r="J35" s="54">
        <f>SUMIF($CB$4:$JS$4,J$4,$CB35:$JS35)</f>
        <v/>
      </c>
      <c r="K35" s="54">
        <f>SUMIF($CB$4:$JS$4,K$4,$CB35:$JS35)</f>
        <v/>
      </c>
      <c r="L35" s="54">
        <f>SUMIF($CB$4:$JS$4,L$4,$CB35:$JS35)</f>
        <v/>
      </c>
      <c r="M35" s="54">
        <f>SUMIF($CB$4:$JS$4,M$4,$CB35:$JS35)</f>
        <v/>
      </c>
      <c r="N35" s="54">
        <f>SUMIF($CB$4:$JS$4,N$4,$CB35:$JS35)</f>
        <v/>
      </c>
      <c r="O35" s="54">
        <f>SUMIF($CB$4:$JS$4,O$4,$CB35:$JS35)</f>
        <v/>
      </c>
      <c r="P35" s="54">
        <f>SUMIF($CB$4:$JS$4,P$4,$CB35:$JS35)</f>
        <v/>
      </c>
      <c r="Q35" s="54">
        <f>SUMIF($CB$4:$JS$4,Q$4,$CB35:$JS35)</f>
        <v/>
      </c>
      <c r="R35" s="54">
        <f>SUMIF($CB$4:$JS$4,R$4,$CB35:$JS35)</f>
        <v/>
      </c>
      <c r="S35" s="54">
        <f>SUMIF($CB$4:$JS$4,S$4,$CB35:$JS35)</f>
        <v/>
      </c>
      <c r="T35" s="54">
        <f>SUMIF($CB$4:$JS$4,T$4,$CB35:$JS35)</f>
        <v/>
      </c>
      <c r="U35" s="54">
        <f>SUMIF($CB$4:$JS$4,U$4,$CB35:$JS35)</f>
        <v/>
      </c>
      <c r="V35" s="54">
        <f>SUMIF($CB$4:$JS$4,V$4,$CB35:$JS35)</f>
        <v/>
      </c>
      <c r="W35" s="54">
        <f>SUMIF($CB$4:$JS$4,W$4,$CB35:$JS35)</f>
        <v/>
      </c>
      <c r="X35" s="54">
        <f>SUMIF($CB$4:$JS$4,X$4,$CB35:$JS35)</f>
        <v/>
      </c>
      <c r="Y35" s="54">
        <f>SUMIF($CB$4:$JS$4,Y$4,$CB35:$JS35)</f>
        <v/>
      </c>
      <c r="Z35" s="54">
        <f>SUMIF($CB$4:$JS$4,Z$4,$CB35:$JS35)</f>
        <v/>
      </c>
      <c r="AA35" s="54">
        <f>SUMIF($CB$4:$JS$4,AA$4,$CB35:$JS35)</f>
        <v/>
      </c>
      <c r="AB35" s="54">
        <f>SUMIF($CB$4:$JS$4,AB$4,$CB35:$JS35)</f>
        <v/>
      </c>
      <c r="AC35" s="54">
        <f>SUMIF($CB$4:$JS$4,AC$4,$CB35:$JS35)</f>
        <v/>
      </c>
      <c r="AD35" s="54">
        <f>SUMIF($CB$4:$JS$4,AD$4,$CB35:$JS35)</f>
        <v/>
      </c>
      <c r="AE35" s="54">
        <f>SUMIF($CB$4:$JS$4,AE$4,$CB35:$JS35)</f>
        <v/>
      </c>
      <c r="AF35" s="54">
        <f>SUMIF($CB$4:$JS$4,AF$4,$CB35:$JS35)</f>
        <v/>
      </c>
      <c r="AG35" s="54">
        <f>SUMIF($CB$4:$JS$4,AG$4,$CB35:$JS35)</f>
        <v/>
      </c>
      <c r="AH35" s="54">
        <f>SUMIF($CB$4:$JS$4,AH$4,$CB35:$JS35)</f>
        <v/>
      </c>
      <c r="AI35" s="54">
        <f>SUMIF($CB$4:$JS$4,AI$4,$CB35:$JS35)</f>
        <v/>
      </c>
      <c r="AJ35" s="54">
        <f>SUMIF($CB$4:$JS$4,AJ$4,$CB35:$JS35)</f>
        <v/>
      </c>
      <c r="AK35" s="54">
        <f>SUMIF($CB$4:$JS$4,AK$4,$CB35:$JS35)</f>
        <v/>
      </c>
      <c r="AL35" s="54">
        <f>SUMIF($CB$4:$JS$4,AL$4,$CB35:$JS35)</f>
        <v/>
      </c>
      <c r="AM35" s="54">
        <f>SUMIF($CB$4:$JS$4,AM$4,$CB35:$JS35)</f>
        <v/>
      </c>
      <c r="AN35" s="54">
        <f>SUMIF($CB$4:$JS$4,AN$4,$CB35:$JS35)</f>
        <v/>
      </c>
      <c r="AO35" s="54">
        <f>SUMIF($CB$4:$JS$4,AO$4,$CB35:$JS35)</f>
        <v/>
      </c>
      <c r="AP35" s="54">
        <f>SUMIF($CB$4:$JS$4,AP$4,$CB35:$JS35)</f>
        <v/>
      </c>
      <c r="AQ35" s="54">
        <f>SUMIF($CB$4:$JS$4,AQ$4,$CB35:$JS35)</f>
        <v/>
      </c>
      <c r="AR35" s="54">
        <f>SUMIF($CB$4:$JS$4,AR$4,$CB35:$JS35)</f>
        <v/>
      </c>
      <c r="AS35" s="54">
        <f>SUMIF($CB$4:$JS$4,AS$4,$CB35:$JS35)</f>
        <v/>
      </c>
      <c r="AT35" s="54">
        <f>SUMIF($CB$4:$JS$4,AT$4,$CB35:$JS35)</f>
        <v/>
      </c>
      <c r="AU35" s="54">
        <f>SUMIF($CB$4:$JS$4,AU$4,$CB35:$JS35)</f>
        <v/>
      </c>
      <c r="AV35" s="54">
        <f>SUMIF($CB$4:$JS$4,AV$4,$CB35:$JS35)</f>
        <v/>
      </c>
      <c r="AW35" s="54">
        <f>SUMIF($CB$4:$JS$4,AW$4,$CB35:$JS35)</f>
        <v/>
      </c>
      <c r="AX35" s="54">
        <f>SUMIF($CB$4:$JS$4,AX$4,$CB35:$JS35)</f>
        <v/>
      </c>
      <c r="AY35" s="54">
        <f>SUMIF($CB$4:$JS$4,AY$4,$CB35:$JS35)</f>
        <v/>
      </c>
      <c r="AZ35" s="54">
        <f>SUMIF($CB$4:$JS$4,AZ$4,$CB35:$JS35)</f>
        <v/>
      </c>
      <c r="BA35" s="54">
        <f>SUMIF($CB$4:$JS$4,BA$4,$CB35:$JS35)</f>
        <v/>
      </c>
      <c r="BB35" s="54">
        <f>SUMIF($CB$4:$JS$4,BB$4,$CB35:$JS35)</f>
        <v/>
      </c>
      <c r="BC35" s="54">
        <f>SUMIF($CB$4:$JS$4,BC$4,$CB35:$JS35)</f>
        <v/>
      </c>
      <c r="BD35" s="54">
        <f>SUMIF($CB$4:$JS$4,BD$4,$CB35:$JS35)</f>
        <v/>
      </c>
      <c r="BE35" s="54">
        <f>SUMIF($CB$4:$JS$4,BE$4,$CB35:$JS35)</f>
        <v/>
      </c>
      <c r="BF35" s="54">
        <f>SUMIF($CB$4:$JS$4,BF$4,$CB35:$JS35)</f>
        <v/>
      </c>
      <c r="BG35" s="54">
        <f>SUMIF($CB$4:$JS$4,BG$4,$CB35:$JS35)</f>
        <v/>
      </c>
      <c r="BH35" s="54">
        <f>SUMIF($CB$4:$JS$4,BH$4,$CB35:$JS35)</f>
        <v/>
      </c>
      <c r="BI35" s="54">
        <f>SUMIF($CB$4:$JS$4,BI$4,$CB35:$JS35)</f>
        <v/>
      </c>
      <c r="BJ35" s="54">
        <f>SUMIF($CB$4:$JS$4,BJ$4,$CB35:$JS35)</f>
        <v/>
      </c>
      <c r="BK35" s="54">
        <f>SUMIF($CB$4:$JS$4,BK$4,$CB35:$JS35)</f>
        <v/>
      </c>
      <c r="BL35" s="54">
        <f>SUMIF($CB$4:$JS$4,BL$4,$CB35:$JS35)</f>
        <v/>
      </c>
      <c r="BM35" s="54">
        <f>SUMIF($CB$4:$JS$4,BM$4,$CB35:$JS35)</f>
        <v/>
      </c>
      <c r="BN35" s="54">
        <f>SUMIF($CB$4:$JS$4,BN$4,$CB35:$JS35)</f>
        <v/>
      </c>
      <c r="BO35" s="54">
        <f>SUMIF($CB$4:$JS$4,BO$4,$CB35:$JS35)</f>
        <v/>
      </c>
      <c r="BP35" s="54">
        <f>SUMIF($CB$4:$JS$4,BP$4,$CB35:$JS35)</f>
        <v/>
      </c>
      <c r="BQ35" s="54">
        <f>SUMIF($CB$4:$JS$4,BQ$4,$CB35:$JS35)</f>
        <v/>
      </c>
      <c r="BR35" s="54">
        <f>SUMIF($CB$4:$JS$4,BR$4,$CB35:$JS35)</f>
        <v/>
      </c>
      <c r="BS35" s="54">
        <f>SUMIF($CB$4:$JS$4,BS$4,$CB35:$JS35)</f>
        <v/>
      </c>
      <c r="BT35" s="54">
        <f>SUMIF($CB$4:$JS$4,BT$4,$CB35:$JS35)</f>
        <v/>
      </c>
      <c r="BU35" s="54">
        <f>SUMIF($CB$4:$JS$4,BU$4,$CB35:$JS35)</f>
        <v/>
      </c>
      <c r="BV35" s="54">
        <f>SUMIF($CB$4:$JS$4,BV$4,$CB35:$JS35)</f>
        <v/>
      </c>
      <c r="BW35" s="54">
        <f>SUMIF($CB$4:$JS$4,BW$4,$CB35:$JS35)</f>
        <v/>
      </c>
      <c r="BX35" s="54">
        <f>SUMIF($CB$4:$JS$4,"&gt;"&amp;'VALOR POR PL'!$P$8,$CB35:$JS35)</f>
        <v/>
      </c>
      <c r="BY35" s="54">
        <f>SUM($CB35:$JS35)</f>
        <v/>
      </c>
      <c r="BZ35" s="49">
        <f>SUMPRODUCT(($CB$4:$JS$4&lt;&gt;"")*($CB$4:$JS$4&lt;=$D$4),$CB35:$JS35,$CB$1:$JS$1)</f>
        <v/>
      </c>
      <c r="CB35" s="132">
        <f>IF(OR(CB$4="",$B35=""),0,SUMIF('DADOS BRUTOS'!$A$3:$A$500,$B35,'DADOS BRUTOS'!B$3:B$500)+IF($C35="",0,SUMIF('DADOS BRUTOS'!$A$3:$A$500,$C35,'DADOS BRUTOS'!B$3:B$500)))</f>
        <v/>
      </c>
      <c r="CC35" s="132">
        <f>IF(OR(CC$4="",$B35=""),0,SUMIF('DADOS BRUTOS'!$A$3:$A$500,$B35,'DADOS BRUTOS'!C$3:C$500)+IF($C35="",0,SUMIF('DADOS BRUTOS'!$A$3:$A$500,$C35,'DADOS BRUTOS'!C$3:C$500)))</f>
        <v/>
      </c>
      <c r="CD35" s="132">
        <f>IF(OR(CD$4="",$B35=""),0,SUMIF('DADOS BRUTOS'!$A$3:$A$500,$B35,'DADOS BRUTOS'!D$3:D$500)+IF($C35="",0,SUMIF('DADOS BRUTOS'!$A$3:$A$500,$C35,'DADOS BRUTOS'!D$3:D$500)))</f>
        <v/>
      </c>
      <c r="CE35" s="132">
        <f>IF(OR(CE$4="",$B35=""),0,SUMIF('DADOS BRUTOS'!$A$3:$A$500,$B35,'DADOS BRUTOS'!E$3:E$500)+IF($C35="",0,SUMIF('DADOS BRUTOS'!$A$3:$A$500,$C35,'DADOS BRUTOS'!E$3:E$500)))</f>
        <v/>
      </c>
      <c r="CF35" s="132">
        <f>IF(OR(CF$4="",$B35=""),0,SUMIF('DADOS BRUTOS'!$A$3:$A$500,$B35,'DADOS BRUTOS'!F$3:F$500)+IF($C35="",0,SUMIF('DADOS BRUTOS'!$A$3:$A$500,$C35,'DADOS BRUTOS'!F$3:F$500)))</f>
        <v/>
      </c>
      <c r="CG35" s="132">
        <f>IF(OR(CG$4="",$B35=""),0,SUMIF('DADOS BRUTOS'!$A$3:$A$500,$B35,'DADOS BRUTOS'!G$3:G$500)+IF($C35="",0,SUMIF('DADOS BRUTOS'!$A$3:$A$500,$C35,'DADOS BRUTOS'!G$3:G$500)))</f>
        <v/>
      </c>
      <c r="CH35" s="132">
        <f>IF(OR(CH$4="",$B35=""),0,SUMIF('DADOS BRUTOS'!$A$3:$A$500,$B35,'DADOS BRUTOS'!H$3:H$500)+IF($C35="",0,SUMIF('DADOS BRUTOS'!$A$3:$A$500,$C35,'DADOS BRUTOS'!H$3:H$500)))</f>
        <v/>
      </c>
      <c r="CI35" s="132">
        <f>IF(OR(CI$4="",$B35=""),0,SUMIF('DADOS BRUTOS'!$A$3:$A$500,$B35,'DADOS BRUTOS'!I$3:I$500)+IF($C35="",0,SUMIF('DADOS BRUTOS'!$A$3:$A$500,$C35,'DADOS BRUTOS'!I$3:I$500)))</f>
        <v/>
      </c>
      <c r="CJ35" s="132">
        <f>IF(OR(CJ$4="",$B35=""),0,SUMIF('DADOS BRUTOS'!$A$3:$A$500,$B35,'DADOS BRUTOS'!J$3:J$500)+IF($C35="",0,SUMIF('DADOS BRUTOS'!$A$3:$A$500,$C35,'DADOS BRUTOS'!J$3:J$500)))</f>
        <v/>
      </c>
      <c r="CK35" s="132">
        <f>IF(OR(CK$4="",$B35=""),0,SUMIF('DADOS BRUTOS'!$A$3:$A$500,$B35,'DADOS BRUTOS'!K$3:K$500)+IF($C35="",0,SUMIF('DADOS BRUTOS'!$A$3:$A$500,$C35,'DADOS BRUTOS'!K$3:K$500)))</f>
        <v/>
      </c>
      <c r="CL35" s="132">
        <f>IF(OR(CL$4="",$B35=""),0,SUMIF('DADOS BRUTOS'!$A$3:$A$500,$B35,'DADOS BRUTOS'!L$3:L$500)+IF($C35="",0,SUMIF('DADOS BRUTOS'!$A$3:$A$500,$C35,'DADOS BRUTOS'!L$3:L$500)))</f>
        <v/>
      </c>
      <c r="CM35" s="132">
        <f>IF(OR(CM$4="",$B35=""),0,SUMIF('DADOS BRUTOS'!$A$3:$A$500,$B35,'DADOS BRUTOS'!M$3:M$500)+IF($C35="",0,SUMIF('DADOS BRUTOS'!$A$3:$A$500,$C35,'DADOS BRUTOS'!M$3:M$500)))</f>
        <v/>
      </c>
      <c r="CN35" s="132">
        <f>IF(OR(CN$4="",$B35=""),0,SUMIF('DADOS BRUTOS'!$A$3:$A$500,$B35,'DADOS BRUTOS'!N$3:N$500)+IF($C35="",0,SUMIF('DADOS BRUTOS'!$A$3:$A$500,$C35,'DADOS BRUTOS'!N$3:N$500)))</f>
        <v/>
      </c>
      <c r="CO35" s="132">
        <f>IF(OR(CO$4="",$B35=""),0,SUMIF('DADOS BRUTOS'!$A$3:$A$500,$B35,'DADOS BRUTOS'!O$3:O$500)+IF($C35="",0,SUMIF('DADOS BRUTOS'!$A$3:$A$500,$C35,'DADOS BRUTOS'!O$3:O$500)))</f>
        <v/>
      </c>
      <c r="CP35" s="132">
        <f>IF(OR(CP$4="",$B35=""),0,SUMIF('DADOS BRUTOS'!$A$3:$A$500,$B35,'DADOS BRUTOS'!P$3:P$500)+IF($C35="",0,SUMIF('DADOS BRUTOS'!$A$3:$A$500,$C35,'DADOS BRUTOS'!P$3:P$500)))</f>
        <v/>
      </c>
      <c r="CQ35" s="132">
        <f>IF(OR(CQ$4="",$B35=""),0,SUMIF('DADOS BRUTOS'!$A$3:$A$500,$B35,'DADOS BRUTOS'!Q$3:Q$500)+IF($C35="",0,SUMIF('DADOS BRUTOS'!$A$3:$A$500,$C35,'DADOS BRUTOS'!Q$3:Q$500)))</f>
        <v/>
      </c>
      <c r="CR35" s="132">
        <f>IF(OR(CR$4="",$B35=""),0,SUMIF('DADOS BRUTOS'!$A$3:$A$500,$B35,'DADOS BRUTOS'!R$3:R$500)+IF($C35="",0,SUMIF('DADOS BRUTOS'!$A$3:$A$500,$C35,'DADOS BRUTOS'!R$3:R$500)))</f>
        <v/>
      </c>
      <c r="CS35" s="132">
        <f>IF(OR(CS$4="",$B35=""),0,SUMIF('DADOS BRUTOS'!$A$3:$A$500,$B35,'DADOS BRUTOS'!S$3:S$500)+IF($C35="",0,SUMIF('DADOS BRUTOS'!$A$3:$A$500,$C35,'DADOS BRUTOS'!S$3:S$500)))</f>
        <v/>
      </c>
      <c r="CT35" s="132">
        <f>IF(OR(CT$4="",$B35=""),0,SUMIF('DADOS BRUTOS'!$A$3:$A$500,$B35,'DADOS BRUTOS'!T$3:T$500)+IF($C35="",0,SUMIF('DADOS BRUTOS'!$A$3:$A$500,$C35,'DADOS BRUTOS'!T$3:T$500)))</f>
        <v/>
      </c>
      <c r="CU35" s="132">
        <f>IF(OR(CU$4="",$B35=""),0,SUMIF('DADOS BRUTOS'!$A$3:$A$500,$B35,'DADOS BRUTOS'!U$3:U$500)+IF($C35="",0,SUMIF('DADOS BRUTOS'!$A$3:$A$500,$C35,'DADOS BRUTOS'!U$3:U$500)))</f>
        <v/>
      </c>
      <c r="CV35" s="132">
        <f>IF(OR(CV$4="",$B35=""),0,SUMIF('DADOS BRUTOS'!$A$3:$A$500,$B35,'DADOS BRUTOS'!V$3:V$500)+IF($C35="",0,SUMIF('DADOS BRUTOS'!$A$3:$A$500,$C35,'DADOS BRUTOS'!V$3:V$500)))</f>
        <v/>
      </c>
      <c r="CW35" s="132">
        <f>IF(OR(CW$4="",$B35=""),0,SUMIF('DADOS BRUTOS'!$A$3:$A$500,$B35,'DADOS BRUTOS'!W$3:W$500)+IF($C35="",0,SUMIF('DADOS BRUTOS'!$A$3:$A$500,$C35,'DADOS BRUTOS'!W$3:W$500)))</f>
        <v/>
      </c>
      <c r="CX35" s="132">
        <f>IF(OR(CX$4="",$B35=""),0,SUMIF('DADOS BRUTOS'!$A$3:$A$500,$B35,'DADOS BRUTOS'!X$3:X$500)+IF($C35="",0,SUMIF('DADOS BRUTOS'!$A$3:$A$500,$C35,'DADOS BRUTOS'!X$3:X$500)))</f>
        <v/>
      </c>
      <c r="CY35" s="132">
        <f>IF(OR(CY$4="",$B35=""),0,SUMIF('DADOS BRUTOS'!$A$3:$A$500,$B35,'DADOS BRUTOS'!Y$3:Y$500)+IF($C35="",0,SUMIF('DADOS BRUTOS'!$A$3:$A$500,$C35,'DADOS BRUTOS'!Y$3:Y$500)))</f>
        <v/>
      </c>
      <c r="CZ35" s="132">
        <f>IF(OR(CZ$4="",$B35=""),0,SUMIF('DADOS BRUTOS'!$A$3:$A$500,$B35,'DADOS BRUTOS'!Z$3:Z$500)+IF($C35="",0,SUMIF('DADOS BRUTOS'!$A$3:$A$500,$C35,'DADOS BRUTOS'!Z$3:Z$500)))</f>
        <v/>
      </c>
      <c r="DA35" s="132">
        <f>IF(OR(DA$4="",$B35=""),0,SUMIF('DADOS BRUTOS'!$A$3:$A$500,$B35,'DADOS BRUTOS'!AA$3:AA$500)+IF($C35="",0,SUMIF('DADOS BRUTOS'!$A$3:$A$500,$C35,'DADOS BRUTOS'!AA$3:AA$500)))</f>
        <v/>
      </c>
      <c r="DB35" s="132">
        <f>IF(OR(DB$4="",$B35=""),0,SUMIF('DADOS BRUTOS'!$A$3:$A$500,$B35,'DADOS BRUTOS'!AB$3:AB$500)+IF($C35="",0,SUMIF('DADOS BRUTOS'!$A$3:$A$500,$C35,'DADOS BRUTOS'!AB$3:AB$500)))</f>
        <v/>
      </c>
      <c r="DC35" s="132">
        <f>IF(OR(DC$4="",$B35=""),0,SUMIF('DADOS BRUTOS'!$A$3:$A$500,$B35,'DADOS BRUTOS'!AC$3:AC$500)+IF($C35="",0,SUMIF('DADOS BRUTOS'!$A$3:$A$500,$C35,'DADOS BRUTOS'!AC$3:AC$500)))</f>
        <v/>
      </c>
      <c r="DD35" s="132">
        <f>IF(OR(DD$4="",$B35=""),0,SUMIF('DADOS BRUTOS'!$A$3:$A$500,$B35,'DADOS BRUTOS'!AD$3:AD$500)+IF($C35="",0,SUMIF('DADOS BRUTOS'!$A$3:$A$500,$C35,'DADOS BRUTOS'!AD$3:AD$500)))</f>
        <v/>
      </c>
      <c r="DE35" s="132">
        <f>IF(OR(DE$4="",$B35=""),0,SUMIF('DADOS BRUTOS'!$A$3:$A$500,$B35,'DADOS BRUTOS'!AE$3:AE$500)+IF($C35="",0,SUMIF('DADOS BRUTOS'!$A$3:$A$500,$C35,'DADOS BRUTOS'!AE$3:AE$500)))</f>
        <v/>
      </c>
      <c r="DF35" s="132">
        <f>IF(OR(DF$4="",$B35=""),0,SUMIF('DADOS BRUTOS'!$A$3:$A$500,$B35,'DADOS BRUTOS'!AF$3:AF$500)+IF($C35="",0,SUMIF('DADOS BRUTOS'!$A$3:$A$500,$C35,'DADOS BRUTOS'!AF$3:AF$500)))</f>
        <v/>
      </c>
      <c r="DG35" s="132">
        <f>IF(OR(DG$4="",$B35=""),0,SUMIF('DADOS BRUTOS'!$A$3:$A$500,$B35,'DADOS BRUTOS'!AG$3:AG$500)+IF($C35="",0,SUMIF('DADOS BRUTOS'!$A$3:$A$500,$C35,'DADOS BRUTOS'!AG$3:AG$500)))</f>
        <v/>
      </c>
      <c r="DH35" s="132">
        <f>IF(OR(DH$4="",$B35=""),0,SUMIF('DADOS BRUTOS'!$A$3:$A$500,$B35,'DADOS BRUTOS'!AH$3:AH$500)+IF($C35="",0,SUMIF('DADOS BRUTOS'!$A$3:$A$500,$C35,'DADOS BRUTOS'!AH$3:AH$500)))</f>
        <v/>
      </c>
      <c r="DI35" s="132">
        <f>IF(OR(DI$4="",$B35=""),0,SUMIF('DADOS BRUTOS'!$A$3:$A$500,$B35,'DADOS BRUTOS'!AI$3:AI$500)+IF($C35="",0,SUMIF('DADOS BRUTOS'!$A$3:$A$500,$C35,'DADOS BRUTOS'!AI$3:AI$500)))</f>
        <v/>
      </c>
      <c r="DJ35" s="132">
        <f>IF(OR(DJ$4="",$B35=""),0,SUMIF('DADOS BRUTOS'!$A$3:$A$500,$B35,'DADOS BRUTOS'!AJ$3:AJ$500)+IF($C35="",0,SUMIF('DADOS BRUTOS'!$A$3:$A$500,$C35,'DADOS BRUTOS'!AJ$3:AJ$500)))</f>
        <v/>
      </c>
      <c r="DK35" s="132">
        <f>IF(OR(DK$4="",$B35=""),0,SUMIF('DADOS BRUTOS'!$A$3:$A$500,$B35,'DADOS BRUTOS'!AK$3:AK$500)+IF($C35="",0,SUMIF('DADOS BRUTOS'!$A$3:$A$500,$C35,'DADOS BRUTOS'!AK$3:AK$500)))</f>
        <v/>
      </c>
      <c r="DL35" s="132">
        <f>IF(OR(DL$4="",$B35=""),0,SUMIF('DADOS BRUTOS'!$A$3:$A$500,$B35,'DADOS BRUTOS'!AL$3:AL$500)+IF($C35="",0,SUMIF('DADOS BRUTOS'!$A$3:$A$500,$C35,'DADOS BRUTOS'!AL$3:AL$500)))</f>
        <v/>
      </c>
      <c r="DM35" s="132">
        <f>IF(OR(DM$4="",$B35=""),0,SUMIF('DADOS BRUTOS'!$A$3:$A$500,$B35,'DADOS BRUTOS'!AM$3:AM$500)+IF($C35="",0,SUMIF('DADOS BRUTOS'!$A$3:$A$500,$C35,'DADOS BRUTOS'!AM$3:AM$500)))</f>
        <v/>
      </c>
      <c r="DN35" s="132">
        <f>IF(OR(DN$4="",$B35=""),0,SUMIF('DADOS BRUTOS'!$A$3:$A$500,$B35,'DADOS BRUTOS'!AN$3:AN$500)+IF($C35="",0,SUMIF('DADOS BRUTOS'!$A$3:$A$500,$C35,'DADOS BRUTOS'!AN$3:AN$500)))</f>
        <v/>
      </c>
      <c r="DO35" s="132">
        <f>IF(OR(DO$4="",$B35=""),0,SUMIF('DADOS BRUTOS'!$A$3:$A$500,$B35,'DADOS BRUTOS'!AO$3:AO$500)+IF($C35="",0,SUMIF('DADOS BRUTOS'!$A$3:$A$500,$C35,'DADOS BRUTOS'!AO$3:AO$500)))</f>
        <v/>
      </c>
      <c r="DP35" s="132">
        <f>IF(OR(DP$4="",$B35=""),0,SUMIF('DADOS BRUTOS'!$A$3:$A$500,$B35,'DADOS BRUTOS'!AP$3:AP$500)+IF($C35="",0,SUMIF('DADOS BRUTOS'!$A$3:$A$500,$C35,'DADOS BRUTOS'!AP$3:AP$500)))</f>
        <v/>
      </c>
      <c r="DQ35" s="132">
        <f>IF(OR(DQ$4="",$B35=""),0,SUMIF('DADOS BRUTOS'!$A$3:$A$500,$B35,'DADOS BRUTOS'!AQ$3:AQ$500)+IF($C35="",0,SUMIF('DADOS BRUTOS'!$A$3:$A$500,$C35,'DADOS BRUTOS'!AQ$3:AQ$500)))</f>
        <v/>
      </c>
      <c r="DR35" s="132">
        <f>IF(OR(DR$4="",$B35=""),0,SUMIF('DADOS BRUTOS'!$A$3:$A$500,$B35,'DADOS BRUTOS'!AR$3:AR$500)+IF($C35="",0,SUMIF('DADOS BRUTOS'!$A$3:$A$500,$C35,'DADOS BRUTOS'!AR$3:AR$500)))</f>
        <v/>
      </c>
      <c r="DS35" s="132">
        <f>IF(OR(DS$4="",$B35=""),0,SUMIF('DADOS BRUTOS'!$A$3:$A$500,$B35,'DADOS BRUTOS'!AS$3:AS$500)+IF($C35="",0,SUMIF('DADOS BRUTOS'!$A$3:$A$500,$C35,'DADOS BRUTOS'!AS$3:AS$500)))</f>
        <v/>
      </c>
      <c r="DT35" s="132">
        <f>IF(OR(DT$4="",$B35=""),0,SUMIF('DADOS BRUTOS'!$A$3:$A$500,$B35,'DADOS BRUTOS'!AT$3:AT$500)+IF($C35="",0,SUMIF('DADOS BRUTOS'!$A$3:$A$500,$C35,'DADOS BRUTOS'!AT$3:AT$500)))</f>
        <v/>
      </c>
      <c r="DU35" s="132">
        <f>IF(OR(DU$4="",$B35=""),0,SUMIF('DADOS BRUTOS'!$A$3:$A$500,$B35,'DADOS BRUTOS'!AU$3:AU$500)+IF($C35="",0,SUMIF('DADOS BRUTOS'!$A$3:$A$500,$C35,'DADOS BRUTOS'!AU$3:AU$500)))</f>
        <v/>
      </c>
      <c r="DV35" s="132">
        <f>IF(OR(DV$4="",$B35=""),0,SUMIF('DADOS BRUTOS'!$A$3:$A$500,$B35,'DADOS BRUTOS'!AV$3:AV$500)+IF($C35="",0,SUMIF('DADOS BRUTOS'!$A$3:$A$500,$C35,'DADOS BRUTOS'!AV$3:AV$500)))</f>
        <v/>
      </c>
      <c r="DW35" s="132">
        <f>IF(OR(DW$4="",$B35=""),0,SUMIF('DADOS BRUTOS'!$A$3:$A$500,$B35,'DADOS BRUTOS'!AW$3:AW$500)+IF($C35="",0,SUMIF('DADOS BRUTOS'!$A$3:$A$500,$C35,'DADOS BRUTOS'!AW$3:AW$500)))</f>
        <v/>
      </c>
      <c r="DX35" s="132">
        <f>IF(OR(DX$4="",$B35=""),0,SUMIF('DADOS BRUTOS'!$A$3:$A$500,$B35,'DADOS BRUTOS'!AX$3:AX$500)+IF($C35="",0,SUMIF('DADOS BRUTOS'!$A$3:$A$500,$C35,'DADOS BRUTOS'!AX$3:AX$500)))</f>
        <v/>
      </c>
      <c r="DY35" s="132">
        <f>IF(OR(DY$4="",$B35=""),0,SUMIF('DADOS BRUTOS'!$A$3:$A$500,$B35,'DADOS BRUTOS'!AY$3:AY$500)+IF($C35="",0,SUMIF('DADOS BRUTOS'!$A$3:$A$500,$C35,'DADOS BRUTOS'!AY$3:AY$500)))</f>
        <v/>
      </c>
      <c r="DZ35" s="132">
        <f>IF(OR(DZ$4="",$B35=""),0,SUMIF('DADOS BRUTOS'!$A$3:$A$500,$B35,'DADOS BRUTOS'!AZ$3:AZ$500)+IF($C35="",0,SUMIF('DADOS BRUTOS'!$A$3:$A$500,$C35,'DADOS BRUTOS'!AZ$3:AZ$500)))</f>
        <v/>
      </c>
      <c r="EA35" s="132">
        <f>IF(OR(EA$4="",$B35=""),0,SUMIF('DADOS BRUTOS'!$A$3:$A$500,$B35,'DADOS BRUTOS'!BA$3:BA$500)+IF($C35="",0,SUMIF('DADOS BRUTOS'!$A$3:$A$500,$C35,'DADOS BRUTOS'!BA$3:BA$500)))</f>
        <v/>
      </c>
      <c r="EB35" s="132">
        <f>IF(OR(EB$4="",$B35=""),0,SUMIF('DADOS BRUTOS'!$A$3:$A$500,$B35,'DADOS BRUTOS'!BB$3:BB$500)+IF($C35="",0,SUMIF('DADOS BRUTOS'!$A$3:$A$500,$C35,'DADOS BRUTOS'!BB$3:BB$500)))</f>
        <v/>
      </c>
      <c r="EC35" s="132">
        <f>IF(OR(EC$4="",$B35=""),0,SUMIF('DADOS BRUTOS'!$A$3:$A$500,$B35,'DADOS BRUTOS'!BC$3:BC$500)+IF($C35="",0,SUMIF('DADOS BRUTOS'!$A$3:$A$500,$C35,'DADOS BRUTOS'!BC$3:BC$500)))</f>
        <v/>
      </c>
      <c r="ED35" s="132">
        <f>IF(OR(ED$4="",$B35=""),0,SUMIF('DADOS BRUTOS'!$A$3:$A$500,$B35,'DADOS BRUTOS'!BD$3:BD$500)+IF($C35="",0,SUMIF('DADOS BRUTOS'!$A$3:$A$500,$C35,'DADOS BRUTOS'!BD$3:BD$500)))</f>
        <v/>
      </c>
      <c r="EE35" s="132">
        <f>IF(OR(EE$4="",$B35=""),0,SUMIF('DADOS BRUTOS'!$A$3:$A$500,$B35,'DADOS BRUTOS'!BE$3:BE$500)+IF($C35="",0,SUMIF('DADOS BRUTOS'!$A$3:$A$500,$C35,'DADOS BRUTOS'!BE$3:BE$500)))</f>
        <v/>
      </c>
      <c r="EF35" s="132">
        <f>IF(OR(EF$4="",$B35=""),0,SUMIF('DADOS BRUTOS'!$A$3:$A$500,$B35,'DADOS BRUTOS'!BF$3:BF$500)+IF($C35="",0,SUMIF('DADOS BRUTOS'!$A$3:$A$500,$C35,'DADOS BRUTOS'!BF$3:BF$500)))</f>
        <v/>
      </c>
      <c r="EG35" s="132">
        <f>IF(OR(EG$4="",$B35=""),0,SUMIF('DADOS BRUTOS'!$A$3:$A$500,$B35,'DADOS BRUTOS'!BG$3:BG$500)+IF($C35="",0,SUMIF('DADOS BRUTOS'!$A$3:$A$500,$C35,'DADOS BRUTOS'!BG$3:BG$500)))</f>
        <v/>
      </c>
      <c r="EH35" s="132">
        <f>IF(OR(EH$4="",$B35=""),0,SUMIF('DADOS BRUTOS'!$A$3:$A$500,$B35,'DADOS BRUTOS'!BH$3:BH$500)+IF($C35="",0,SUMIF('DADOS BRUTOS'!$A$3:$A$500,$C35,'DADOS BRUTOS'!BH$3:BH$500)))</f>
        <v/>
      </c>
      <c r="EI35" s="132">
        <f>IF(OR(EI$4="",$B35=""),0,SUMIF('DADOS BRUTOS'!$A$3:$A$500,$B35,'DADOS BRUTOS'!BI$3:BI$500)+IF($C35="",0,SUMIF('DADOS BRUTOS'!$A$3:$A$500,$C35,'DADOS BRUTOS'!BI$3:BI$500)))</f>
        <v/>
      </c>
      <c r="EJ35" s="132">
        <f>IF(OR(EJ$4="",$B35=""),0,SUMIF('DADOS BRUTOS'!$A$3:$A$500,$B35,'DADOS BRUTOS'!BJ$3:BJ$500)+IF($C35="",0,SUMIF('DADOS BRUTOS'!$A$3:$A$500,$C35,'DADOS BRUTOS'!BJ$3:BJ$500)))</f>
        <v/>
      </c>
      <c r="EK35" s="132">
        <f>IF(OR(EK$4="",$B35=""),0,SUMIF('DADOS BRUTOS'!$A$3:$A$500,$B35,'DADOS BRUTOS'!BK$3:BK$500)+IF($C35="",0,SUMIF('DADOS BRUTOS'!$A$3:$A$500,$C35,'DADOS BRUTOS'!BK$3:BK$500)))</f>
        <v/>
      </c>
      <c r="EL35" s="132">
        <f>IF(OR(EL$4="",$B35=""),0,SUMIF('DADOS BRUTOS'!$A$3:$A$500,$B35,'DADOS BRUTOS'!BL$3:BL$500)+IF($C35="",0,SUMIF('DADOS BRUTOS'!$A$3:$A$500,$C35,'DADOS BRUTOS'!BL$3:BL$500)))</f>
        <v/>
      </c>
      <c r="EM35" s="132">
        <f>IF(OR(EM$4="",$B35=""),0,SUMIF('DADOS BRUTOS'!$A$3:$A$500,$B35,'DADOS BRUTOS'!BM$3:BM$500)+IF($C35="",0,SUMIF('DADOS BRUTOS'!$A$3:$A$500,$C35,'DADOS BRUTOS'!BM$3:BM$500)))</f>
        <v/>
      </c>
      <c r="EN35" s="132">
        <f>IF(OR(EN$4="",$B35=""),0,SUMIF('DADOS BRUTOS'!$A$3:$A$500,$B35,'DADOS BRUTOS'!BN$3:BN$500)+IF($C35="",0,SUMIF('DADOS BRUTOS'!$A$3:$A$500,$C35,'DADOS BRUTOS'!BN$3:BN$500)))</f>
        <v/>
      </c>
      <c r="EO35" s="132">
        <f>IF(OR(EO$4="",$B35=""),0,SUMIF('DADOS BRUTOS'!$A$3:$A$500,$B35,'DADOS BRUTOS'!BO$3:BO$500)+IF($C35="",0,SUMIF('DADOS BRUTOS'!$A$3:$A$500,$C35,'DADOS BRUTOS'!BO$3:BO$500)))</f>
        <v/>
      </c>
      <c r="EP35" s="132">
        <f>IF(OR(EP$4="",$B35=""),0,SUMIF('DADOS BRUTOS'!$A$3:$A$500,$B35,'DADOS BRUTOS'!BP$3:BP$500)+IF($C35="",0,SUMIF('DADOS BRUTOS'!$A$3:$A$500,$C35,'DADOS BRUTOS'!BP$3:BP$500)))</f>
        <v/>
      </c>
      <c r="EQ35" s="132">
        <f>IF(OR(EQ$4="",$B35=""),0,SUMIF('DADOS BRUTOS'!$A$3:$A$500,$B35,'DADOS BRUTOS'!BQ$3:BQ$500)+IF($C35="",0,SUMIF('DADOS BRUTOS'!$A$3:$A$500,$C35,'DADOS BRUTOS'!BQ$3:BQ$500)))</f>
        <v/>
      </c>
      <c r="ER35" s="132">
        <f>IF(OR(ER$4="",$B35=""),0,SUMIF('DADOS BRUTOS'!$A$3:$A$500,$B35,'DADOS BRUTOS'!BR$3:BR$500)+IF($C35="",0,SUMIF('DADOS BRUTOS'!$A$3:$A$500,$C35,'DADOS BRUTOS'!BR$3:BR$500)))</f>
        <v/>
      </c>
      <c r="ES35" s="132">
        <f>IF(OR(ES$4="",$B35=""),0,SUMIF('DADOS BRUTOS'!$A$3:$A$500,$B35,'DADOS BRUTOS'!BS$3:BS$500)+IF($C35="",0,SUMIF('DADOS BRUTOS'!$A$3:$A$500,$C35,'DADOS BRUTOS'!BS$3:BS$500)))</f>
        <v/>
      </c>
      <c r="ET35" s="132">
        <f>IF(OR(ET$4="",$B35=""),0,SUMIF('DADOS BRUTOS'!$A$3:$A$500,$B35,'DADOS BRUTOS'!BT$3:BT$500)+IF($C35="",0,SUMIF('DADOS BRUTOS'!$A$3:$A$500,$C35,'DADOS BRUTOS'!BT$3:BT$500)))</f>
        <v/>
      </c>
      <c r="EU35" s="132">
        <f>IF(OR(EU$4="",$B35=""),0,SUMIF('DADOS BRUTOS'!$A$3:$A$500,$B35,'DADOS BRUTOS'!BU$3:BU$500)+IF($C35="",0,SUMIF('DADOS BRUTOS'!$A$3:$A$500,$C35,'DADOS BRUTOS'!BU$3:BU$500)))</f>
        <v/>
      </c>
      <c r="EV35" s="132">
        <f>IF(OR(EV$4="",$B35=""),0,SUMIF('DADOS BRUTOS'!$A$3:$A$500,$B35,'DADOS BRUTOS'!BV$3:BV$500)+IF($C35="",0,SUMIF('DADOS BRUTOS'!$A$3:$A$500,$C35,'DADOS BRUTOS'!BV$3:BV$500)))</f>
        <v/>
      </c>
      <c r="EW35" s="132">
        <f>IF(OR(EW$4="",$B35=""),0,SUMIF('DADOS BRUTOS'!$A$3:$A$500,$B35,'DADOS BRUTOS'!BW$3:BW$500)+IF($C35="",0,SUMIF('DADOS BRUTOS'!$A$3:$A$500,$C35,'DADOS BRUTOS'!BW$3:BW$500)))</f>
        <v/>
      </c>
      <c r="EX35" s="132">
        <f>IF(OR(EX$4="",$B35=""),0,SUMIF('DADOS BRUTOS'!$A$3:$A$500,$B35,'DADOS BRUTOS'!BX$3:BX$500)+IF($C35="",0,SUMIF('DADOS BRUTOS'!$A$3:$A$500,$C35,'DADOS BRUTOS'!BX$3:BX$500)))</f>
        <v/>
      </c>
      <c r="EY35" s="132">
        <f>IF(OR(EY$4="",$B35=""),0,SUMIF('DADOS BRUTOS'!$A$3:$A$500,$B35,'DADOS BRUTOS'!BY$3:BY$500)+IF($C35="",0,SUMIF('DADOS BRUTOS'!$A$3:$A$500,$C35,'DADOS BRUTOS'!BY$3:BY$500)))</f>
        <v/>
      </c>
      <c r="EZ35" s="132">
        <f>IF(OR(EZ$4="",$B35=""),0,SUMIF('DADOS BRUTOS'!$A$3:$A$500,$B35,'DADOS BRUTOS'!BZ$3:BZ$500)+IF($C35="",0,SUMIF('DADOS BRUTOS'!$A$3:$A$500,$C35,'DADOS BRUTOS'!BZ$3:BZ$500)))</f>
        <v/>
      </c>
      <c r="FA35" s="132">
        <f>IF(OR(FA$4="",$B35=""),0,SUMIF('DADOS BRUTOS'!$A$3:$A$500,$B35,'DADOS BRUTOS'!CA$3:CA$500)+IF($C35="",0,SUMIF('DADOS BRUTOS'!$A$3:$A$500,$C35,'DADOS BRUTOS'!CA$3:CA$500)))</f>
        <v/>
      </c>
      <c r="FB35" s="132">
        <f>IF(OR(FB$4="",$B35=""),0,SUMIF('DADOS BRUTOS'!$A$3:$A$500,$B35,'DADOS BRUTOS'!CB$3:CB$500)+IF($C35="",0,SUMIF('DADOS BRUTOS'!$A$3:$A$500,$C35,'DADOS BRUTOS'!CB$3:CB$500)))</f>
        <v/>
      </c>
      <c r="FC35" s="132">
        <f>IF(OR(FC$4="",$B35=""),0,SUMIF('DADOS BRUTOS'!$A$3:$A$500,$B35,'DADOS BRUTOS'!CC$3:CC$500)+IF($C35="",0,SUMIF('DADOS BRUTOS'!$A$3:$A$500,$C35,'DADOS BRUTOS'!CC$3:CC$500)))</f>
        <v/>
      </c>
      <c r="FD35" s="132">
        <f>IF(OR(FD$4="",$B35=""),0,SUMIF('DADOS BRUTOS'!$A$3:$A$500,$B35,'DADOS BRUTOS'!CD$3:CD$500)+IF($C35="",0,SUMIF('DADOS BRUTOS'!$A$3:$A$500,$C35,'DADOS BRUTOS'!CD$3:CD$500)))</f>
        <v/>
      </c>
      <c r="FE35" s="132">
        <f>IF(OR(FE$4="",$B35=""),0,SUMIF('DADOS BRUTOS'!$A$3:$A$500,$B35,'DADOS BRUTOS'!CE$3:CE$500)+IF($C35="",0,SUMIF('DADOS BRUTOS'!$A$3:$A$500,$C35,'DADOS BRUTOS'!CE$3:CE$500)))</f>
        <v/>
      </c>
      <c r="FF35" s="132">
        <f>IF(OR(FF$4="",$B35=""),0,SUMIF('DADOS BRUTOS'!$A$3:$A$500,$B35,'DADOS BRUTOS'!CF$3:CF$500)+IF($C35="",0,SUMIF('DADOS BRUTOS'!$A$3:$A$500,$C35,'DADOS BRUTOS'!CF$3:CF$500)))</f>
        <v/>
      </c>
      <c r="FG35" s="132">
        <f>IF(OR(FG$4="",$B35=""),0,SUMIF('DADOS BRUTOS'!$A$3:$A$500,$B35,'DADOS BRUTOS'!CG$3:CG$500)+IF($C35="",0,SUMIF('DADOS BRUTOS'!$A$3:$A$500,$C35,'DADOS BRUTOS'!CG$3:CG$500)))</f>
        <v/>
      </c>
      <c r="FH35" s="132">
        <f>IF(OR(FH$4="",$B35=""),0,SUMIF('DADOS BRUTOS'!$A$3:$A$500,$B35,'DADOS BRUTOS'!CH$3:CH$500)+IF($C35="",0,SUMIF('DADOS BRUTOS'!$A$3:$A$500,$C35,'DADOS BRUTOS'!CH$3:CH$500)))</f>
        <v/>
      </c>
      <c r="FI35" s="132">
        <f>IF(OR(FI$4="",$B35=""),0,SUMIF('DADOS BRUTOS'!$A$3:$A$500,$B35,'DADOS BRUTOS'!CI$3:CI$500)+IF($C35="",0,SUMIF('DADOS BRUTOS'!$A$3:$A$500,$C35,'DADOS BRUTOS'!CI$3:CI$500)))</f>
        <v/>
      </c>
      <c r="FJ35" s="132">
        <f>IF(OR(FJ$4="",$B35=""),0,SUMIF('DADOS BRUTOS'!$A$3:$A$500,$B35,'DADOS BRUTOS'!CJ$3:CJ$500)+IF($C35="",0,SUMIF('DADOS BRUTOS'!$A$3:$A$500,$C35,'DADOS BRUTOS'!CJ$3:CJ$500)))</f>
        <v/>
      </c>
      <c r="FK35" s="132">
        <f>IF(OR(FK$4="",$B35=""),0,SUMIF('DADOS BRUTOS'!$A$3:$A$500,$B35,'DADOS BRUTOS'!CK$3:CK$500)+IF($C35="",0,SUMIF('DADOS BRUTOS'!$A$3:$A$500,$C35,'DADOS BRUTOS'!CK$3:CK$500)))</f>
        <v/>
      </c>
      <c r="FL35" s="132">
        <f>IF(OR(FL$4="",$B35=""),0,SUMIF('DADOS BRUTOS'!$A$3:$A$500,$B35,'DADOS BRUTOS'!CL$3:CL$500)+IF($C35="",0,SUMIF('DADOS BRUTOS'!$A$3:$A$500,$C35,'DADOS BRUTOS'!CL$3:CL$500)))</f>
        <v/>
      </c>
      <c r="FM35" s="132">
        <f>IF(OR(FM$4="",$B35=""),0,SUMIF('DADOS BRUTOS'!$A$3:$A$500,$B35,'DADOS BRUTOS'!CM$3:CM$500)+IF($C35="",0,SUMIF('DADOS BRUTOS'!$A$3:$A$500,$C35,'DADOS BRUTOS'!CM$3:CM$500)))</f>
        <v/>
      </c>
      <c r="FN35" s="132">
        <f>IF(OR(FN$4="",$B35=""),0,SUMIF('DADOS BRUTOS'!$A$3:$A$500,$B35,'DADOS BRUTOS'!CN$3:CN$500)+IF($C35="",0,SUMIF('DADOS BRUTOS'!$A$3:$A$500,$C35,'DADOS BRUTOS'!CN$3:CN$500)))</f>
        <v/>
      </c>
      <c r="FO35" s="132">
        <f>IF(OR(FO$4="",$B35=""),0,SUMIF('DADOS BRUTOS'!$A$3:$A$500,$B35,'DADOS BRUTOS'!CO$3:CO$500)+IF($C35="",0,SUMIF('DADOS BRUTOS'!$A$3:$A$500,$C35,'DADOS BRUTOS'!CO$3:CO$500)))</f>
        <v/>
      </c>
      <c r="FP35" s="132">
        <f>IF(OR(FP$4="",$B35=""),0,SUMIF('DADOS BRUTOS'!$A$3:$A$500,$B35,'DADOS BRUTOS'!CP$3:CP$500)+IF($C35="",0,SUMIF('DADOS BRUTOS'!$A$3:$A$500,$C35,'DADOS BRUTOS'!CP$3:CP$500)))</f>
        <v/>
      </c>
      <c r="FQ35" s="132">
        <f>IF(OR(FQ$4="",$B35=""),0,SUMIF('DADOS BRUTOS'!$A$3:$A$500,$B35,'DADOS BRUTOS'!CQ$3:CQ$500)+IF($C35="",0,SUMIF('DADOS BRUTOS'!$A$3:$A$500,$C35,'DADOS BRUTOS'!CQ$3:CQ$500)))</f>
        <v/>
      </c>
      <c r="FR35" s="132">
        <f>IF(OR(FR$4="",$B35=""),0,SUMIF('DADOS BRUTOS'!$A$3:$A$500,$B35,'DADOS BRUTOS'!CR$3:CR$500)+IF($C35="",0,SUMIF('DADOS BRUTOS'!$A$3:$A$500,$C35,'DADOS BRUTOS'!CR$3:CR$500)))</f>
        <v/>
      </c>
      <c r="FS35" s="132">
        <f>IF(OR(FS$4="",$B35=""),0,SUMIF('DADOS BRUTOS'!$A$3:$A$500,$B35,'DADOS BRUTOS'!CS$3:CS$500)+IF($C35="",0,SUMIF('DADOS BRUTOS'!$A$3:$A$500,$C35,'DADOS BRUTOS'!CS$3:CS$500)))</f>
        <v/>
      </c>
      <c r="FT35" s="132">
        <f>IF(OR(FT$4="",$B35=""),0,SUMIF('DADOS BRUTOS'!$A$3:$A$500,$B35,'DADOS BRUTOS'!CT$3:CT$500)+IF($C35="",0,SUMIF('DADOS BRUTOS'!$A$3:$A$500,$C35,'DADOS BRUTOS'!CT$3:CT$500)))</f>
        <v/>
      </c>
      <c r="FU35" s="132">
        <f>IF(OR(FU$4="",$B35=""),0,SUMIF('DADOS BRUTOS'!$A$3:$A$500,$B35,'DADOS BRUTOS'!CU$3:CU$500)+IF($C35="",0,SUMIF('DADOS BRUTOS'!$A$3:$A$500,$C35,'DADOS BRUTOS'!CU$3:CU$500)))</f>
        <v/>
      </c>
      <c r="FV35" s="132">
        <f>IF(OR(FV$4="",$B35=""),0,SUMIF('DADOS BRUTOS'!$A$3:$A$500,$B35,'DADOS BRUTOS'!CV$3:CV$500)+IF($C35="",0,SUMIF('DADOS BRUTOS'!$A$3:$A$500,$C35,'DADOS BRUTOS'!CV$3:CV$500)))</f>
        <v/>
      </c>
      <c r="FW35" s="132">
        <f>IF(OR(FW$4="",$B35=""),0,SUMIF('DADOS BRUTOS'!$A$3:$A$500,$B35,'DADOS BRUTOS'!CW$3:CW$500)+IF($C35="",0,SUMIF('DADOS BRUTOS'!$A$3:$A$500,$C35,'DADOS BRUTOS'!CW$3:CW$500)))</f>
        <v/>
      </c>
      <c r="FX35" s="132">
        <f>IF(OR(FX$4="",$B35=""),0,SUMIF('DADOS BRUTOS'!$A$3:$A$500,$B35,'DADOS BRUTOS'!CX$3:CX$500)+IF($C35="",0,SUMIF('DADOS BRUTOS'!$A$3:$A$500,$C35,'DADOS BRUTOS'!CX$3:CX$500)))</f>
        <v/>
      </c>
      <c r="FY35" s="132">
        <f>IF(OR(FY$4="",$B35=""),0,SUMIF('DADOS BRUTOS'!$A$3:$A$500,$B35,'DADOS BRUTOS'!CY$3:CY$500)+IF($C35="",0,SUMIF('DADOS BRUTOS'!$A$3:$A$500,$C35,'DADOS BRUTOS'!CY$3:CY$500)))</f>
        <v/>
      </c>
      <c r="FZ35" s="132">
        <f>IF(OR(FZ$4="",$B35=""),0,SUMIF('DADOS BRUTOS'!$A$3:$A$500,$B35,'DADOS BRUTOS'!CZ$3:CZ$500)+IF($C35="",0,SUMIF('DADOS BRUTOS'!$A$3:$A$500,$C35,'DADOS BRUTOS'!CZ$3:CZ$500)))</f>
        <v/>
      </c>
      <c r="GA35" s="132">
        <f>IF(OR(GA$4="",$B35=""),0,SUMIF('DADOS BRUTOS'!$A$3:$A$500,$B35,'DADOS BRUTOS'!DA$3:DA$500)+IF($C35="",0,SUMIF('DADOS BRUTOS'!$A$3:$A$500,$C35,'DADOS BRUTOS'!DA$3:DA$500)))</f>
        <v/>
      </c>
      <c r="GB35" s="132">
        <f>IF(OR(GB$4="",$B35=""),0,SUMIF('DADOS BRUTOS'!$A$3:$A$500,$B35,'DADOS BRUTOS'!DB$3:DB$500)+IF($C35="",0,SUMIF('DADOS BRUTOS'!$A$3:$A$500,$C35,'DADOS BRUTOS'!DB$3:DB$500)))</f>
        <v/>
      </c>
      <c r="GC35" s="132">
        <f>IF(OR(GC$4="",$B35=""),0,SUMIF('DADOS BRUTOS'!$A$3:$A$500,$B35,'DADOS BRUTOS'!DC$3:DC$500)+IF($C35="",0,SUMIF('DADOS BRUTOS'!$A$3:$A$500,$C35,'DADOS BRUTOS'!DC$3:DC$500)))</f>
        <v/>
      </c>
      <c r="GD35" s="132">
        <f>IF(OR(GD$4="",$B35=""),0,SUMIF('DADOS BRUTOS'!$A$3:$A$500,$B35,'DADOS BRUTOS'!DD$3:DD$500)+IF($C35="",0,SUMIF('DADOS BRUTOS'!$A$3:$A$500,$C35,'DADOS BRUTOS'!DD$3:DD$500)))</f>
        <v/>
      </c>
      <c r="GE35" s="132">
        <f>IF(OR(GE$4="",$B35=""),0,SUMIF('DADOS BRUTOS'!$A$3:$A$500,$B35,'DADOS BRUTOS'!DE$3:DE$500)+IF($C35="",0,SUMIF('DADOS BRUTOS'!$A$3:$A$500,$C35,'DADOS BRUTOS'!DE$3:DE$500)))</f>
        <v/>
      </c>
      <c r="GF35" s="132">
        <f>IF(OR(GF$4="",$B35=""),0,SUMIF('DADOS BRUTOS'!$A$3:$A$500,$B35,'DADOS BRUTOS'!DF$3:DF$500)+IF($C35="",0,SUMIF('DADOS BRUTOS'!$A$3:$A$500,$C35,'DADOS BRUTOS'!DF$3:DF$500)))</f>
        <v/>
      </c>
      <c r="GG35" s="132">
        <f>IF(OR(GG$4="",$B35=""),0,SUMIF('DADOS BRUTOS'!$A$3:$A$500,$B35,'DADOS BRUTOS'!DG$3:DG$500)+IF($C35="",0,SUMIF('DADOS BRUTOS'!$A$3:$A$500,$C35,'DADOS BRUTOS'!DG$3:DG$500)))</f>
        <v/>
      </c>
      <c r="GH35" s="132">
        <f>IF(OR(GH$4="",$B35=""),0,SUMIF('DADOS BRUTOS'!$A$3:$A$500,$B35,'DADOS BRUTOS'!DH$3:DH$500)+IF($C35="",0,SUMIF('DADOS BRUTOS'!$A$3:$A$500,$C35,'DADOS BRUTOS'!DH$3:DH$500)))</f>
        <v/>
      </c>
      <c r="GI35" s="132">
        <f>IF(OR(GI$4="",$B35=""),0,SUMIF('DADOS BRUTOS'!$A$3:$A$500,$B35,'DADOS BRUTOS'!DI$3:DI$500)+IF($C35="",0,SUMIF('DADOS BRUTOS'!$A$3:$A$500,$C35,'DADOS BRUTOS'!DI$3:DI$500)))</f>
        <v/>
      </c>
      <c r="GJ35" s="132">
        <f>IF(OR(GJ$4="",$B35=""),0,SUMIF('DADOS BRUTOS'!$A$3:$A$500,$B35,'DADOS BRUTOS'!DJ$3:DJ$500)+IF($C35="",0,SUMIF('DADOS BRUTOS'!$A$3:$A$500,$C35,'DADOS BRUTOS'!DJ$3:DJ$500)))</f>
        <v/>
      </c>
      <c r="GK35" s="132">
        <f>IF(OR(GK$4="",$B35=""),0,SUMIF('DADOS BRUTOS'!$A$3:$A$500,$B35,'DADOS BRUTOS'!DK$3:DK$500)+IF($C35="",0,SUMIF('DADOS BRUTOS'!$A$3:$A$500,$C35,'DADOS BRUTOS'!DK$3:DK$500)))</f>
        <v/>
      </c>
      <c r="GL35" s="132">
        <f>IF(OR(GL$4="",$B35=""),0,SUMIF('DADOS BRUTOS'!$A$3:$A$500,$B35,'DADOS BRUTOS'!DL$3:DL$500)+IF($C35="",0,SUMIF('DADOS BRUTOS'!$A$3:$A$500,$C35,'DADOS BRUTOS'!DL$3:DL$500)))</f>
        <v/>
      </c>
      <c r="GM35" s="132">
        <f>IF(OR(GM$4="",$B35=""),0,SUMIF('DADOS BRUTOS'!$A$3:$A$500,$B35,'DADOS BRUTOS'!DM$3:DM$500)+IF($C35="",0,SUMIF('DADOS BRUTOS'!$A$3:$A$500,$C35,'DADOS BRUTOS'!DM$3:DM$500)))</f>
        <v/>
      </c>
      <c r="GN35" s="132">
        <f>IF(OR(GN$4="",$B35=""),0,SUMIF('DADOS BRUTOS'!$A$3:$A$500,$B35,'DADOS BRUTOS'!DN$3:DN$500)+IF($C35="",0,SUMIF('DADOS BRUTOS'!$A$3:$A$500,$C35,'DADOS BRUTOS'!DN$3:DN$500)))</f>
        <v/>
      </c>
      <c r="GO35" s="132">
        <f>IF(OR(GO$4="",$B35=""),0,SUMIF('DADOS BRUTOS'!$A$3:$A$500,$B35,'DADOS BRUTOS'!DO$3:DO$500)+IF($C35="",0,SUMIF('DADOS BRUTOS'!$A$3:$A$500,$C35,'DADOS BRUTOS'!DO$3:DO$500)))</f>
        <v/>
      </c>
      <c r="GP35" s="132">
        <f>IF(OR(GP$4="",$B35=""),0,SUMIF('DADOS BRUTOS'!$A$3:$A$500,$B35,'DADOS BRUTOS'!DP$3:DP$500)+IF($C35="",0,SUMIF('DADOS BRUTOS'!$A$3:$A$500,$C35,'DADOS BRUTOS'!DP$3:DP$500)))</f>
        <v/>
      </c>
      <c r="GQ35" s="132">
        <f>IF(OR(GQ$4="",$B35=""),0,SUMIF('DADOS BRUTOS'!$A$3:$A$500,$B35,'DADOS BRUTOS'!DQ$3:DQ$500)+IF($C35="",0,SUMIF('DADOS BRUTOS'!$A$3:$A$500,$C35,'DADOS BRUTOS'!DQ$3:DQ$500)))</f>
        <v/>
      </c>
      <c r="GR35" s="132">
        <f>IF(OR(GR$4="",$B35=""),0,SUMIF('DADOS BRUTOS'!$A$3:$A$500,$B35,'DADOS BRUTOS'!DR$3:DR$500)+IF($C35="",0,SUMIF('DADOS BRUTOS'!$A$3:$A$500,$C35,'DADOS BRUTOS'!DR$3:DR$500)))</f>
        <v/>
      </c>
      <c r="GS35" s="132">
        <f>IF(OR(GS$4="",$B35=""),0,SUMIF('DADOS BRUTOS'!$A$3:$A$500,$B35,'DADOS BRUTOS'!DS$3:DS$500)+IF($C35="",0,SUMIF('DADOS BRUTOS'!$A$3:$A$500,$C35,'DADOS BRUTOS'!DS$3:DS$500)))</f>
        <v/>
      </c>
      <c r="GT35" s="132">
        <f>IF(OR(GT$4="",$B35=""),0,SUMIF('DADOS BRUTOS'!$A$3:$A$500,$B35,'DADOS BRUTOS'!DT$3:DT$500)+IF($C35="",0,SUMIF('DADOS BRUTOS'!$A$3:$A$500,$C35,'DADOS BRUTOS'!DT$3:DT$500)))</f>
        <v/>
      </c>
      <c r="GU35" s="132">
        <f>IF(OR(GU$4="",$B35=""),0,SUMIF('DADOS BRUTOS'!$A$3:$A$500,$B35,'DADOS BRUTOS'!DU$3:DU$500)+IF($C35="",0,SUMIF('DADOS BRUTOS'!$A$3:$A$500,$C35,'DADOS BRUTOS'!DU$3:DU$500)))</f>
        <v/>
      </c>
      <c r="GV35" s="132">
        <f>IF(OR(GV$4="",$B35=""),0,SUMIF('DADOS BRUTOS'!$A$3:$A$500,$B35,'DADOS BRUTOS'!DV$3:DV$500)+IF($C35="",0,SUMIF('DADOS BRUTOS'!$A$3:$A$500,$C35,'DADOS BRUTOS'!DV$3:DV$500)))</f>
        <v/>
      </c>
      <c r="GW35" s="132">
        <f>IF(OR(GW$4="",$B35=""),0,SUMIF('DADOS BRUTOS'!$A$3:$A$500,$B35,'DADOS BRUTOS'!DW$3:DW$500)+IF($C35="",0,SUMIF('DADOS BRUTOS'!$A$3:$A$500,$C35,'DADOS BRUTOS'!DW$3:DW$500)))</f>
        <v/>
      </c>
      <c r="GX35" s="132">
        <f>IF(OR(GX$4="",$B35=""),0,SUMIF('DADOS BRUTOS'!$A$3:$A$500,$B35,'DADOS BRUTOS'!DX$3:DX$500)+IF($C35="",0,SUMIF('DADOS BRUTOS'!$A$3:$A$500,$C35,'DADOS BRUTOS'!DX$3:DX$500)))</f>
        <v/>
      </c>
      <c r="GY35" s="132">
        <f>IF(OR(GY$4="",$B35=""),0,SUMIF('DADOS BRUTOS'!$A$3:$A$500,$B35,'DADOS BRUTOS'!DY$3:DY$500)+IF($C35="",0,SUMIF('DADOS BRUTOS'!$A$3:$A$500,$C35,'DADOS BRUTOS'!DY$3:DY$500)))</f>
        <v/>
      </c>
      <c r="GZ35" s="132">
        <f>IF(OR(GZ$4="",$B35=""),0,SUMIF('DADOS BRUTOS'!$A$3:$A$500,$B35,'DADOS BRUTOS'!DZ$3:DZ$500)+IF($C35="",0,SUMIF('DADOS BRUTOS'!$A$3:$A$500,$C35,'DADOS BRUTOS'!DZ$3:DZ$500)))</f>
        <v/>
      </c>
      <c r="HA35" s="132">
        <f>IF(OR(HA$4="",$B35=""),0,SUMIF('DADOS BRUTOS'!$A$3:$A$500,$B35,'DADOS BRUTOS'!EA$3:EA$500)+IF($C35="",0,SUMIF('DADOS BRUTOS'!$A$3:$A$500,$C35,'DADOS BRUTOS'!EA$3:EA$500)))</f>
        <v/>
      </c>
      <c r="HB35" s="132">
        <f>IF(OR(HB$4="",$B35=""),0,SUMIF('DADOS BRUTOS'!$A$3:$A$500,$B35,'DADOS BRUTOS'!EB$3:EB$500)+IF($C35="",0,SUMIF('DADOS BRUTOS'!$A$3:$A$500,$C35,'DADOS BRUTOS'!EB$3:EB$500)))</f>
        <v/>
      </c>
      <c r="HC35" s="132">
        <f>IF(OR(HC$4="",$B35=""),0,SUMIF('DADOS BRUTOS'!$A$3:$A$500,$B35,'DADOS BRUTOS'!EC$3:EC$500)+IF($C35="",0,SUMIF('DADOS BRUTOS'!$A$3:$A$500,$C35,'DADOS BRUTOS'!EC$3:EC$500)))</f>
        <v/>
      </c>
      <c r="HD35" s="132">
        <f>IF(OR(HD$4="",$B35=""),0,SUMIF('DADOS BRUTOS'!$A$3:$A$500,$B35,'DADOS BRUTOS'!ED$3:ED$500)+IF($C35="",0,SUMIF('DADOS BRUTOS'!$A$3:$A$500,$C35,'DADOS BRUTOS'!ED$3:ED$500)))</f>
        <v/>
      </c>
      <c r="HE35" s="132">
        <f>IF(OR(HE$4="",$B35=""),0,SUMIF('DADOS BRUTOS'!$A$3:$A$500,$B35,'DADOS BRUTOS'!EE$3:EE$500)+IF($C35="",0,SUMIF('DADOS BRUTOS'!$A$3:$A$500,$C35,'DADOS BRUTOS'!EE$3:EE$500)))</f>
        <v/>
      </c>
      <c r="HF35" s="132">
        <f>IF(OR(HF$4="",$B35=""),0,SUMIF('DADOS BRUTOS'!$A$3:$A$500,$B35,'DADOS BRUTOS'!EF$3:EF$500)+IF($C35="",0,SUMIF('DADOS BRUTOS'!$A$3:$A$500,$C35,'DADOS BRUTOS'!EF$3:EF$500)))</f>
        <v/>
      </c>
      <c r="HG35" s="132">
        <f>IF(OR(HG$4="",$B35=""),0,SUMIF('DADOS BRUTOS'!$A$3:$A$500,$B35,'DADOS BRUTOS'!EG$3:EG$500)+IF($C35="",0,SUMIF('DADOS BRUTOS'!$A$3:$A$500,$C35,'DADOS BRUTOS'!EG$3:EG$500)))</f>
        <v/>
      </c>
      <c r="HH35" s="132">
        <f>IF(OR(HH$4="",$B35=""),0,SUMIF('DADOS BRUTOS'!$A$3:$A$500,$B35,'DADOS BRUTOS'!EH$3:EH$500)+IF($C35="",0,SUMIF('DADOS BRUTOS'!$A$3:$A$500,$C35,'DADOS BRUTOS'!EH$3:EH$500)))</f>
        <v/>
      </c>
      <c r="HI35" s="132">
        <f>IF(OR(HI$4="",$B35=""),0,SUMIF('DADOS BRUTOS'!$A$3:$A$500,$B35,'DADOS BRUTOS'!EI$3:EI$500)+IF($C35="",0,SUMIF('DADOS BRUTOS'!$A$3:$A$500,$C35,'DADOS BRUTOS'!EI$3:EI$500)))</f>
        <v/>
      </c>
      <c r="HJ35" s="132">
        <f>IF(OR(HJ$4="",$B35=""),0,SUMIF('DADOS BRUTOS'!$A$3:$A$500,$B35,'DADOS BRUTOS'!EJ$3:EJ$500)+IF($C35="",0,SUMIF('DADOS BRUTOS'!$A$3:$A$500,$C35,'DADOS BRUTOS'!EJ$3:EJ$500)))</f>
        <v/>
      </c>
      <c r="HK35" s="132">
        <f>IF(OR(HK$4="",$B35=""),0,SUMIF('DADOS BRUTOS'!$A$3:$A$500,$B35,'DADOS BRUTOS'!EK$3:EK$500)+IF($C35="",0,SUMIF('DADOS BRUTOS'!$A$3:$A$500,$C35,'DADOS BRUTOS'!EK$3:EK$500)))</f>
        <v/>
      </c>
      <c r="HL35" s="132">
        <f>IF(OR(HL$4="",$B35=""),0,SUMIF('DADOS BRUTOS'!$A$3:$A$500,$B35,'DADOS BRUTOS'!EL$3:EL$500)+IF($C35="",0,SUMIF('DADOS BRUTOS'!$A$3:$A$500,$C35,'DADOS BRUTOS'!EL$3:EL$500)))</f>
        <v/>
      </c>
      <c r="HM35" s="132">
        <f>IF(OR(HM$4="",$B35=""),0,SUMIF('DADOS BRUTOS'!$A$3:$A$500,$B35,'DADOS BRUTOS'!EM$3:EM$500)+IF($C35="",0,SUMIF('DADOS BRUTOS'!$A$3:$A$500,$C35,'DADOS BRUTOS'!EM$3:EM$500)))</f>
        <v/>
      </c>
      <c r="HN35" s="132">
        <f>IF(OR(HN$4="",$B35=""),0,SUMIF('DADOS BRUTOS'!$A$3:$A$500,$B35,'DADOS BRUTOS'!EN$3:EN$500)+IF($C35="",0,SUMIF('DADOS BRUTOS'!$A$3:$A$500,$C35,'DADOS BRUTOS'!EN$3:EN$500)))</f>
        <v/>
      </c>
      <c r="HO35" s="132">
        <f>IF(OR(HO$4="",$B35=""),0,SUMIF('DADOS BRUTOS'!$A$3:$A$500,$B35,'DADOS BRUTOS'!EO$3:EO$500)+IF($C35="",0,SUMIF('DADOS BRUTOS'!$A$3:$A$500,$C35,'DADOS BRUTOS'!EO$3:EO$500)))</f>
        <v/>
      </c>
      <c r="HP35" s="132">
        <f>IF(OR(HP$4="",$B35=""),0,SUMIF('DADOS BRUTOS'!$A$3:$A$500,$B35,'DADOS BRUTOS'!EP$3:EP$500)+IF($C35="",0,SUMIF('DADOS BRUTOS'!$A$3:$A$500,$C35,'DADOS BRUTOS'!EP$3:EP$500)))</f>
        <v/>
      </c>
      <c r="HQ35" s="132">
        <f>IF(OR(HQ$4="",$B35=""),0,SUMIF('DADOS BRUTOS'!$A$3:$A$500,$B35,'DADOS BRUTOS'!EQ$3:EQ$500)+IF($C35="",0,SUMIF('DADOS BRUTOS'!$A$3:$A$500,$C35,'DADOS BRUTOS'!EQ$3:EQ$500)))</f>
        <v/>
      </c>
      <c r="HR35" s="132">
        <f>IF(OR(HR$4="",$B35=""),0,SUMIF('DADOS BRUTOS'!$A$3:$A$500,$B35,'DADOS BRUTOS'!ER$3:ER$500)+IF($C35="",0,SUMIF('DADOS BRUTOS'!$A$3:$A$500,$C35,'DADOS BRUTOS'!ER$3:ER$500)))</f>
        <v/>
      </c>
      <c r="HS35" s="132">
        <f>IF(OR(HS$4="",$B35=""),0,SUMIF('DADOS BRUTOS'!$A$3:$A$500,$B35,'DADOS BRUTOS'!ES$3:ES$500)+IF($C35="",0,SUMIF('DADOS BRUTOS'!$A$3:$A$500,$C35,'DADOS BRUTOS'!ES$3:ES$500)))</f>
        <v/>
      </c>
      <c r="HT35" s="132">
        <f>IF(OR(HT$4="",$B35=""),0,SUMIF('DADOS BRUTOS'!$A$3:$A$500,$B35,'DADOS BRUTOS'!ET$3:ET$500)+IF($C35="",0,SUMIF('DADOS BRUTOS'!$A$3:$A$500,$C35,'DADOS BRUTOS'!ET$3:ET$500)))</f>
        <v/>
      </c>
      <c r="HU35" s="132">
        <f>IF(OR(HU$4="",$B35=""),0,SUMIF('DADOS BRUTOS'!$A$3:$A$500,$B35,'DADOS BRUTOS'!EU$3:EU$500)+IF($C35="",0,SUMIF('DADOS BRUTOS'!$A$3:$A$500,$C35,'DADOS BRUTOS'!EU$3:EU$500)))</f>
        <v/>
      </c>
      <c r="HV35" s="132">
        <f>IF(OR(HV$4="",$B35=""),0,SUMIF('DADOS BRUTOS'!$A$3:$A$500,$B35,'DADOS BRUTOS'!EV$3:EV$500)+IF($C35="",0,SUMIF('DADOS BRUTOS'!$A$3:$A$500,$C35,'DADOS BRUTOS'!EV$3:EV$500)))</f>
        <v/>
      </c>
      <c r="HW35" s="132">
        <f>IF(OR(HW$4="",$B35=""),0,SUMIF('DADOS BRUTOS'!$A$3:$A$500,$B35,'DADOS BRUTOS'!EW$3:EW$500)+IF($C35="",0,SUMIF('DADOS BRUTOS'!$A$3:$A$500,$C35,'DADOS BRUTOS'!EW$3:EW$500)))</f>
        <v/>
      </c>
      <c r="HX35" s="132">
        <f>IF(OR(HX$4="",$B35=""),0,SUMIF('DADOS BRUTOS'!$A$3:$A$500,$B35,'DADOS BRUTOS'!EX$3:EX$500)+IF($C35="",0,SUMIF('DADOS BRUTOS'!$A$3:$A$500,$C35,'DADOS BRUTOS'!EX$3:EX$500)))</f>
        <v/>
      </c>
      <c r="HY35" s="132">
        <f>IF(OR(HY$4="",$B35=""),0,SUMIF('DADOS BRUTOS'!$A$3:$A$500,$B35,'DADOS BRUTOS'!EY$3:EY$500)+IF($C35="",0,SUMIF('DADOS BRUTOS'!$A$3:$A$500,$C35,'DADOS BRUTOS'!EY$3:EY$500)))</f>
        <v/>
      </c>
      <c r="HZ35" s="132">
        <f>IF(OR(HZ$4="",$B35=""),0,SUMIF('DADOS BRUTOS'!$A$3:$A$500,$B35,'DADOS BRUTOS'!EZ$3:EZ$500)+IF($C35="",0,SUMIF('DADOS BRUTOS'!$A$3:$A$500,$C35,'DADOS BRUTOS'!EZ$3:EZ$500)))</f>
        <v/>
      </c>
      <c r="IA35" s="132">
        <f>IF(OR(IA$4="",$B35=""),0,SUMIF('DADOS BRUTOS'!$A$3:$A$500,$B35,'DADOS BRUTOS'!FA$3:FA$500)+IF($C35="",0,SUMIF('DADOS BRUTOS'!$A$3:$A$500,$C35,'DADOS BRUTOS'!FA$3:FA$500)))</f>
        <v/>
      </c>
      <c r="IB35" s="132">
        <f>IF(OR(IB$4="",$B35=""),0,SUMIF('DADOS BRUTOS'!$A$3:$A$500,$B35,'DADOS BRUTOS'!FB$3:FB$500)+IF($C35="",0,SUMIF('DADOS BRUTOS'!$A$3:$A$500,$C35,'DADOS BRUTOS'!FB$3:FB$500)))</f>
        <v/>
      </c>
      <c r="IC35" s="132">
        <f>IF(OR(IC$4="",$B35=""),0,SUMIF('DADOS BRUTOS'!$A$3:$A$500,$B35,'DADOS BRUTOS'!FC$3:FC$500)+IF($C35="",0,SUMIF('DADOS BRUTOS'!$A$3:$A$500,$C35,'DADOS BRUTOS'!FC$3:FC$500)))</f>
        <v/>
      </c>
      <c r="ID35" s="132">
        <f>IF(OR(ID$4="",$B35=""),0,SUMIF('DADOS BRUTOS'!$A$3:$A$500,$B35,'DADOS BRUTOS'!FD$3:FD$500)+IF($C35="",0,SUMIF('DADOS BRUTOS'!$A$3:$A$500,$C35,'DADOS BRUTOS'!FD$3:FD$500)))</f>
        <v/>
      </c>
      <c r="IE35" s="132">
        <f>IF(OR(IE$4="",$B35=""),0,SUMIF('DADOS BRUTOS'!$A$3:$A$500,$B35,'DADOS BRUTOS'!FE$3:FE$500)+IF($C35="",0,SUMIF('DADOS BRUTOS'!$A$3:$A$500,$C35,'DADOS BRUTOS'!FE$3:FE$500)))</f>
        <v/>
      </c>
      <c r="IF35" s="132">
        <f>IF(OR(IF$4="",$B35=""),0,SUMIF('DADOS BRUTOS'!$A$3:$A$500,$B35,'DADOS BRUTOS'!FF$3:FF$500)+IF($C35="",0,SUMIF('DADOS BRUTOS'!$A$3:$A$500,$C35,'DADOS BRUTOS'!FF$3:FF$500)))</f>
        <v/>
      </c>
      <c r="IG35" s="132">
        <f>IF(OR(IG$4="",$B35=""),0,SUMIF('DADOS BRUTOS'!$A$3:$A$500,$B35,'DADOS BRUTOS'!FG$3:FG$500)+IF($C35="",0,SUMIF('DADOS BRUTOS'!$A$3:$A$500,$C35,'DADOS BRUTOS'!FG$3:FG$500)))</f>
        <v/>
      </c>
      <c r="IH35" s="132">
        <f>IF(OR(IH$4="",$B35=""),0,SUMIF('DADOS BRUTOS'!$A$3:$A$500,$B35,'DADOS BRUTOS'!FH$3:FH$500)+IF($C35="",0,SUMIF('DADOS BRUTOS'!$A$3:$A$500,$C35,'DADOS BRUTOS'!FH$3:FH$500)))</f>
        <v/>
      </c>
      <c r="II35" s="132">
        <f>IF(OR(II$4="",$B35=""),0,SUMIF('DADOS BRUTOS'!$A$3:$A$500,$B35,'DADOS BRUTOS'!FI$3:FI$500)+IF($C35="",0,SUMIF('DADOS BRUTOS'!$A$3:$A$500,$C35,'DADOS BRUTOS'!FI$3:FI$500)))</f>
        <v/>
      </c>
      <c r="IJ35" s="132">
        <f>IF(OR(IJ$4="",$B35=""),0,SUMIF('DADOS BRUTOS'!$A$3:$A$500,$B35,'DADOS BRUTOS'!FJ$3:FJ$500)+IF($C35="",0,SUMIF('DADOS BRUTOS'!$A$3:$A$500,$C35,'DADOS BRUTOS'!FJ$3:FJ$500)))</f>
        <v/>
      </c>
      <c r="IK35" s="132">
        <f>IF(OR(IK$4="",$B35=""),0,SUMIF('DADOS BRUTOS'!$A$3:$A$500,$B35,'DADOS BRUTOS'!FK$3:FK$500)+IF($C35="",0,SUMIF('DADOS BRUTOS'!$A$3:$A$500,$C35,'DADOS BRUTOS'!FK$3:FK$500)))</f>
        <v/>
      </c>
      <c r="IL35" s="132">
        <f>IF(OR(IL$4="",$B35=""),0,SUMIF('DADOS BRUTOS'!$A$3:$A$500,$B35,'DADOS BRUTOS'!FL$3:FL$500)+IF($C35="",0,SUMIF('DADOS BRUTOS'!$A$3:$A$500,$C35,'DADOS BRUTOS'!FL$3:FL$500)))</f>
        <v/>
      </c>
      <c r="IM35" s="132">
        <f>IF(OR(IM$4="",$B35=""),0,SUMIF('DADOS BRUTOS'!$A$3:$A$500,$B35,'DADOS BRUTOS'!FM$3:FM$500)+IF($C35="",0,SUMIF('DADOS BRUTOS'!$A$3:$A$500,$C35,'DADOS BRUTOS'!FM$3:FM$500)))</f>
        <v/>
      </c>
      <c r="IN35" s="132">
        <f>IF(OR(IN$4="",$B35=""),0,SUMIF('DADOS BRUTOS'!$A$3:$A$500,$B35,'DADOS BRUTOS'!FN$3:FN$500)+IF($C35="",0,SUMIF('DADOS BRUTOS'!$A$3:$A$500,$C35,'DADOS BRUTOS'!FN$3:FN$500)))</f>
        <v/>
      </c>
      <c r="IO35" s="132">
        <f>IF(OR(IO$4="",$B35=""),0,SUMIF('DADOS BRUTOS'!$A$3:$A$500,$B35,'DADOS BRUTOS'!FO$3:FO$500)+IF($C35="",0,SUMIF('DADOS BRUTOS'!$A$3:$A$500,$C35,'DADOS BRUTOS'!FO$3:FO$500)))</f>
        <v/>
      </c>
      <c r="IP35" s="132">
        <f>IF(OR(IP$4="",$B35=""),0,SUMIF('DADOS BRUTOS'!$A$3:$A$500,$B35,'DADOS BRUTOS'!FP$3:FP$500)+IF($C35="",0,SUMIF('DADOS BRUTOS'!$A$3:$A$500,$C35,'DADOS BRUTOS'!FP$3:FP$500)))</f>
        <v/>
      </c>
      <c r="IQ35" s="132">
        <f>IF(OR(IQ$4="",$B35=""),0,SUMIF('DADOS BRUTOS'!$A$3:$A$500,$B35,'DADOS BRUTOS'!FQ$3:FQ$500)+IF($C35="",0,SUMIF('DADOS BRUTOS'!$A$3:$A$500,$C35,'DADOS BRUTOS'!FQ$3:FQ$500)))</f>
        <v/>
      </c>
      <c r="IR35" s="132">
        <f>IF(OR(IR$4="",$B35=""),0,SUMIF('DADOS BRUTOS'!$A$3:$A$500,$B35,'DADOS BRUTOS'!FR$3:FR$500)+IF($C35="",0,SUMIF('DADOS BRUTOS'!$A$3:$A$500,$C35,'DADOS BRUTOS'!FR$3:FR$500)))</f>
        <v/>
      </c>
      <c r="IS35" s="132">
        <f>IF(OR(IS$4="",$B35=""),0,SUMIF('DADOS BRUTOS'!$A$3:$A$500,$B35,'DADOS BRUTOS'!FS$3:FS$500)+IF($C35="",0,SUMIF('DADOS BRUTOS'!$A$3:$A$500,$C35,'DADOS BRUTOS'!FS$3:FS$500)))</f>
        <v/>
      </c>
      <c r="IT35" s="132">
        <f>IF(OR(IT$4="",$B35=""),0,SUMIF('DADOS BRUTOS'!$A$3:$A$500,$B35,'DADOS BRUTOS'!FT$3:FT$500)+IF($C35="",0,SUMIF('DADOS BRUTOS'!$A$3:$A$500,$C35,'DADOS BRUTOS'!FT$3:FT$500)))</f>
        <v/>
      </c>
      <c r="IU35" s="132">
        <f>IF(OR(IU$4="",$B35=""),0,SUMIF('DADOS BRUTOS'!$A$3:$A$500,$B35,'DADOS BRUTOS'!FU$3:FU$500)+IF($C35="",0,SUMIF('DADOS BRUTOS'!$A$3:$A$500,$C35,'DADOS BRUTOS'!FU$3:FU$500)))</f>
        <v/>
      </c>
      <c r="IV35" s="132">
        <f>IF(OR(IV$4="",$B35=""),0,SUMIF('DADOS BRUTOS'!$A$3:$A$500,$B35,'DADOS BRUTOS'!FV$3:FV$500)+IF($C35="",0,SUMIF('DADOS BRUTOS'!$A$3:$A$500,$C35,'DADOS BRUTOS'!FV$3:FV$500)))</f>
        <v/>
      </c>
      <c r="IW35" s="132">
        <f>IF(OR(IW$4="",$B35=""),0,SUMIF('DADOS BRUTOS'!$A$3:$A$500,$B35,'DADOS BRUTOS'!FW$3:FW$500)+IF($C35="",0,SUMIF('DADOS BRUTOS'!$A$3:$A$500,$C35,'DADOS BRUTOS'!FW$3:FW$500)))</f>
        <v/>
      </c>
      <c r="IX35" s="132">
        <f>IF(OR(IX$4="",$B35=""),0,SUMIF('DADOS BRUTOS'!$A$3:$A$500,$B35,'DADOS BRUTOS'!FX$3:FX$500)+IF($C35="",0,SUMIF('DADOS BRUTOS'!$A$3:$A$500,$C35,'DADOS BRUTOS'!FX$3:FX$500)))</f>
        <v/>
      </c>
      <c r="IY35" s="132">
        <f>IF(OR(IY$4="",$B35=""),0,SUMIF('DADOS BRUTOS'!$A$3:$A$500,$B35,'DADOS BRUTOS'!FY$3:FY$500)+IF($C35="",0,SUMIF('DADOS BRUTOS'!$A$3:$A$500,$C35,'DADOS BRUTOS'!FY$3:FY$500)))</f>
        <v/>
      </c>
      <c r="IZ35" s="132">
        <f>IF(OR(IZ$4="",$B35=""),0,SUMIF('DADOS BRUTOS'!$A$3:$A$500,$B35,'DADOS BRUTOS'!FZ$3:FZ$500)+IF($C35="",0,SUMIF('DADOS BRUTOS'!$A$3:$A$500,$C35,'DADOS BRUTOS'!FZ$3:FZ$500)))</f>
        <v/>
      </c>
      <c r="JA35" s="132">
        <f>IF(OR(JA$4="",$B35=""),0,SUMIF('DADOS BRUTOS'!$A$3:$A$500,$B35,'DADOS BRUTOS'!GA$3:GA$500)+IF($C35="",0,SUMIF('DADOS BRUTOS'!$A$3:$A$500,$C35,'DADOS BRUTOS'!GA$3:GA$500)))</f>
        <v/>
      </c>
      <c r="JB35" s="132">
        <f>IF(OR(JB$4="",$B35=""),0,SUMIF('DADOS BRUTOS'!$A$3:$A$500,$B35,'DADOS BRUTOS'!GB$3:GB$500)+IF($C35="",0,SUMIF('DADOS BRUTOS'!$A$3:$A$500,$C35,'DADOS BRUTOS'!GB$3:GB$500)))</f>
        <v/>
      </c>
      <c r="JC35" s="132">
        <f>IF(OR(JC$4="",$B35=""),0,SUMIF('DADOS BRUTOS'!$A$3:$A$500,$B35,'DADOS BRUTOS'!GC$3:GC$500)+IF($C35="",0,SUMIF('DADOS BRUTOS'!$A$3:$A$500,$C35,'DADOS BRUTOS'!GC$3:GC$500)))</f>
        <v/>
      </c>
      <c r="JD35" s="132">
        <f>IF(OR(JD$4="",$B35=""),0,SUMIF('DADOS BRUTOS'!$A$3:$A$500,$B35,'DADOS BRUTOS'!GD$3:GD$500)+IF($C35="",0,SUMIF('DADOS BRUTOS'!$A$3:$A$500,$C35,'DADOS BRUTOS'!GD$3:GD$500)))</f>
        <v/>
      </c>
      <c r="JE35" s="132">
        <f>IF(OR(JE$4="",$B35=""),0,SUMIF('DADOS BRUTOS'!$A$3:$A$500,$B35,'DADOS BRUTOS'!GE$3:GE$500)+IF($C35="",0,SUMIF('DADOS BRUTOS'!$A$3:$A$500,$C35,'DADOS BRUTOS'!GE$3:GE$500)))</f>
        <v/>
      </c>
      <c r="JF35" s="132">
        <f>IF(OR(JF$4="",$B35=""),0,SUMIF('DADOS BRUTOS'!$A$3:$A$500,$B35,'DADOS BRUTOS'!GF$3:GF$500)+IF($C35="",0,SUMIF('DADOS BRUTOS'!$A$3:$A$500,$C35,'DADOS BRUTOS'!GF$3:GF$500)))</f>
        <v/>
      </c>
      <c r="JG35" s="132">
        <f>IF(OR(JG$4="",$B35=""),0,SUMIF('DADOS BRUTOS'!$A$3:$A$500,$B35,'DADOS BRUTOS'!GG$3:GG$500)+IF($C35="",0,SUMIF('DADOS BRUTOS'!$A$3:$A$500,$C35,'DADOS BRUTOS'!GG$3:GG$500)))</f>
        <v/>
      </c>
      <c r="JH35" s="132">
        <f>IF(OR(JH$4="",$B35=""),0,SUMIF('DADOS BRUTOS'!$A$3:$A$500,$B35,'DADOS BRUTOS'!GH$3:GH$500)+IF($C35="",0,SUMIF('DADOS BRUTOS'!$A$3:$A$500,$C35,'DADOS BRUTOS'!GH$3:GH$500)))</f>
        <v/>
      </c>
      <c r="JI35" s="132">
        <f>IF(OR(JI$4="",$B35=""),0,SUMIF('DADOS BRUTOS'!$A$3:$A$500,$B35,'DADOS BRUTOS'!GI$3:GI$500)+IF($C35="",0,SUMIF('DADOS BRUTOS'!$A$3:$A$500,$C35,'DADOS BRUTOS'!GI$3:GI$500)))</f>
        <v/>
      </c>
      <c r="JJ35" s="132">
        <f>IF(OR(JJ$4="",$B35=""),0,SUMIF('DADOS BRUTOS'!$A$3:$A$500,$B35,'DADOS BRUTOS'!GJ$3:GJ$500)+IF($C35="",0,SUMIF('DADOS BRUTOS'!$A$3:$A$500,$C35,'DADOS BRUTOS'!GJ$3:GJ$500)))</f>
        <v/>
      </c>
      <c r="JK35" s="132">
        <f>IF(OR(JK$4="",$B35=""),0,SUMIF('DADOS BRUTOS'!$A$3:$A$500,$B35,'DADOS BRUTOS'!GK$3:GK$500)+IF($C35="",0,SUMIF('DADOS BRUTOS'!$A$3:$A$500,$C35,'DADOS BRUTOS'!GK$3:GK$500)))</f>
        <v/>
      </c>
      <c r="JL35" s="132">
        <f>IF(OR(JL$4="",$B35=""),0,SUMIF('DADOS BRUTOS'!$A$3:$A$500,$B35,'DADOS BRUTOS'!GL$3:GL$500)+IF($C35="",0,SUMIF('DADOS BRUTOS'!$A$3:$A$500,$C35,'DADOS BRUTOS'!GL$3:GL$500)))</f>
        <v/>
      </c>
      <c r="JM35" s="132">
        <f>IF(OR(JM$4="",$B35=""),0,SUMIF('DADOS BRUTOS'!$A$3:$A$500,$B35,'DADOS BRUTOS'!GM$3:GM$500)+IF($C35="",0,SUMIF('DADOS BRUTOS'!$A$3:$A$500,$C35,'DADOS BRUTOS'!GM$3:GM$500)))</f>
        <v/>
      </c>
      <c r="JN35" s="132">
        <f>IF(OR(JN$4="",$B35=""),0,SUMIF('DADOS BRUTOS'!$A$3:$A$500,$B35,'DADOS BRUTOS'!GN$3:GN$500)+IF($C35="",0,SUMIF('DADOS BRUTOS'!$A$3:$A$500,$C35,'DADOS BRUTOS'!GN$3:GN$500)))</f>
        <v/>
      </c>
      <c r="JO35" s="132">
        <f>IF(OR(JO$4="",$B35=""),0,SUMIF('DADOS BRUTOS'!$A$3:$A$500,$B35,'DADOS BRUTOS'!GO$3:GO$500)+IF($C35="",0,SUMIF('DADOS BRUTOS'!$A$3:$A$500,$C35,'DADOS BRUTOS'!GO$3:GO$500)))</f>
        <v/>
      </c>
      <c r="JP35" s="132">
        <f>IF(OR(JP$4="",$B35=""),0,SUMIF('DADOS BRUTOS'!$A$3:$A$500,$B35,'DADOS BRUTOS'!GP$3:GP$500)+IF($C35="",0,SUMIF('DADOS BRUTOS'!$A$3:$A$500,$C35,'DADOS BRUTOS'!GP$3:GP$500)))</f>
        <v/>
      </c>
      <c r="JQ35" s="132">
        <f>IF(OR(JQ$4="",$B35=""),0,SUMIF('DADOS BRUTOS'!$A$3:$A$500,$B35,'DADOS BRUTOS'!GQ$3:GQ$500)+IF($C35="",0,SUMIF('DADOS BRUTOS'!$A$3:$A$500,$C35,'DADOS BRUTOS'!GQ$3:GQ$500)))</f>
        <v/>
      </c>
      <c r="JR35" s="132">
        <f>IF(OR(JR$4="",$B35=""),0,SUMIF('DADOS BRUTOS'!$A$3:$A$500,$B35,'DADOS BRUTOS'!GR$3:GR$500)+IF($C35="",0,SUMIF('DADOS BRUTOS'!$A$3:$A$500,$C35,'DADOS BRUTOS'!GR$3:GR$500)))</f>
        <v/>
      </c>
      <c r="JS35" s="132">
        <f>IF(OR(JS$4="",$B35=""),0,SUMIF('DADOS BRUTOS'!$A$3:$A$500,$B35,'DADOS BRUTOS'!GS$3:GS$500)+IF($C35="",0,SUMIF('DADOS BRUTOS'!$A$3:$A$500,$C35,'DADOS BRUTOS'!GS$3:GS$500)))</f>
        <v/>
      </c>
    </row>
    <row r="36">
      <c r="A36" s="61">
        <f>'VALOR POR PL'!D42</f>
        <v/>
      </c>
      <c r="B36" s="59" t="inlineStr">
        <is>
          <t>REVESTIMENTO DIVERSOS   FACHADA</t>
        </is>
      </c>
      <c r="C36" s="59" t="inlineStr">
        <is>
          <t>REVESTIMENTO DIVERSOS - FACHADA</t>
        </is>
      </c>
      <c r="D36" s="54">
        <f>SUMIF($CB$4:$JS$4,"&lt;="&amp;D$4,$CB36:$JS36)</f>
        <v/>
      </c>
      <c r="E36" s="54">
        <f>SUMIF($CB$4:$JS$4,E$4,$CB36:$JS36)</f>
        <v/>
      </c>
      <c r="F36" s="54">
        <f>SUMIF($CB$4:$JS$4,F$4,$CB36:$JS36)</f>
        <v/>
      </c>
      <c r="G36" s="54">
        <f>SUMIF($CB$4:$JS$4,G$4,$CB36:$JS36)</f>
        <v/>
      </c>
      <c r="H36" s="54">
        <f>SUMIF($CB$4:$JS$4,H$4,$CB36:$JS36)</f>
        <v/>
      </c>
      <c r="I36" s="54">
        <f>SUMIF($CB$4:$JS$4,I$4,$CB36:$JS36)</f>
        <v/>
      </c>
      <c r="J36" s="54">
        <f>SUMIF($CB$4:$JS$4,J$4,$CB36:$JS36)</f>
        <v/>
      </c>
      <c r="K36" s="54">
        <f>SUMIF($CB$4:$JS$4,K$4,$CB36:$JS36)</f>
        <v/>
      </c>
      <c r="L36" s="54">
        <f>SUMIF($CB$4:$JS$4,L$4,$CB36:$JS36)</f>
        <v/>
      </c>
      <c r="M36" s="54">
        <f>SUMIF($CB$4:$JS$4,M$4,$CB36:$JS36)</f>
        <v/>
      </c>
      <c r="N36" s="54">
        <f>SUMIF($CB$4:$JS$4,N$4,$CB36:$JS36)</f>
        <v/>
      </c>
      <c r="O36" s="54">
        <f>SUMIF($CB$4:$JS$4,O$4,$CB36:$JS36)</f>
        <v/>
      </c>
      <c r="P36" s="54">
        <f>SUMIF($CB$4:$JS$4,P$4,$CB36:$JS36)</f>
        <v/>
      </c>
      <c r="Q36" s="54">
        <f>SUMIF($CB$4:$JS$4,Q$4,$CB36:$JS36)</f>
        <v/>
      </c>
      <c r="R36" s="54">
        <f>SUMIF($CB$4:$JS$4,R$4,$CB36:$JS36)</f>
        <v/>
      </c>
      <c r="S36" s="54">
        <f>SUMIF($CB$4:$JS$4,S$4,$CB36:$JS36)</f>
        <v/>
      </c>
      <c r="T36" s="54">
        <f>SUMIF($CB$4:$JS$4,T$4,$CB36:$JS36)</f>
        <v/>
      </c>
      <c r="U36" s="54">
        <f>SUMIF($CB$4:$JS$4,U$4,$CB36:$JS36)</f>
        <v/>
      </c>
      <c r="V36" s="54">
        <f>SUMIF($CB$4:$JS$4,V$4,$CB36:$JS36)</f>
        <v/>
      </c>
      <c r="W36" s="54">
        <f>SUMIF($CB$4:$JS$4,W$4,$CB36:$JS36)</f>
        <v/>
      </c>
      <c r="X36" s="54">
        <f>SUMIF($CB$4:$JS$4,X$4,$CB36:$JS36)</f>
        <v/>
      </c>
      <c r="Y36" s="54">
        <f>SUMIF($CB$4:$JS$4,Y$4,$CB36:$JS36)</f>
        <v/>
      </c>
      <c r="Z36" s="54">
        <f>SUMIF($CB$4:$JS$4,Z$4,$CB36:$JS36)</f>
        <v/>
      </c>
      <c r="AA36" s="54">
        <f>SUMIF($CB$4:$JS$4,AA$4,$CB36:$JS36)</f>
        <v/>
      </c>
      <c r="AB36" s="54">
        <f>SUMIF($CB$4:$JS$4,AB$4,$CB36:$JS36)</f>
        <v/>
      </c>
      <c r="AC36" s="54">
        <f>SUMIF($CB$4:$JS$4,AC$4,$CB36:$JS36)</f>
        <v/>
      </c>
      <c r="AD36" s="54">
        <f>SUMIF($CB$4:$JS$4,AD$4,$CB36:$JS36)</f>
        <v/>
      </c>
      <c r="AE36" s="54">
        <f>SUMIF($CB$4:$JS$4,AE$4,$CB36:$JS36)</f>
        <v/>
      </c>
      <c r="AF36" s="54">
        <f>SUMIF($CB$4:$JS$4,AF$4,$CB36:$JS36)</f>
        <v/>
      </c>
      <c r="AG36" s="54">
        <f>SUMIF($CB$4:$JS$4,AG$4,$CB36:$JS36)</f>
        <v/>
      </c>
      <c r="AH36" s="54">
        <f>SUMIF($CB$4:$JS$4,AH$4,$CB36:$JS36)</f>
        <v/>
      </c>
      <c r="AI36" s="54">
        <f>SUMIF($CB$4:$JS$4,AI$4,$CB36:$JS36)</f>
        <v/>
      </c>
      <c r="AJ36" s="54">
        <f>SUMIF($CB$4:$JS$4,AJ$4,$CB36:$JS36)</f>
        <v/>
      </c>
      <c r="AK36" s="54">
        <f>SUMIF($CB$4:$JS$4,AK$4,$CB36:$JS36)</f>
        <v/>
      </c>
      <c r="AL36" s="54">
        <f>SUMIF($CB$4:$JS$4,AL$4,$CB36:$JS36)</f>
        <v/>
      </c>
      <c r="AM36" s="54">
        <f>SUMIF($CB$4:$JS$4,AM$4,$CB36:$JS36)</f>
        <v/>
      </c>
      <c r="AN36" s="54">
        <f>SUMIF($CB$4:$JS$4,AN$4,$CB36:$JS36)</f>
        <v/>
      </c>
      <c r="AO36" s="54">
        <f>SUMIF($CB$4:$JS$4,AO$4,$CB36:$JS36)</f>
        <v/>
      </c>
      <c r="AP36" s="54">
        <f>SUMIF($CB$4:$JS$4,AP$4,$CB36:$JS36)</f>
        <v/>
      </c>
      <c r="AQ36" s="54">
        <f>SUMIF($CB$4:$JS$4,AQ$4,$CB36:$JS36)</f>
        <v/>
      </c>
      <c r="AR36" s="54">
        <f>SUMIF($CB$4:$JS$4,AR$4,$CB36:$JS36)</f>
        <v/>
      </c>
      <c r="AS36" s="54">
        <f>SUMIF($CB$4:$JS$4,AS$4,$CB36:$JS36)</f>
        <v/>
      </c>
      <c r="AT36" s="54">
        <f>SUMIF($CB$4:$JS$4,AT$4,$CB36:$JS36)</f>
        <v/>
      </c>
      <c r="AU36" s="54">
        <f>SUMIF($CB$4:$JS$4,AU$4,$CB36:$JS36)</f>
        <v/>
      </c>
      <c r="AV36" s="54">
        <f>SUMIF($CB$4:$JS$4,AV$4,$CB36:$JS36)</f>
        <v/>
      </c>
      <c r="AW36" s="54">
        <f>SUMIF($CB$4:$JS$4,AW$4,$CB36:$JS36)</f>
        <v/>
      </c>
      <c r="AX36" s="54">
        <f>SUMIF($CB$4:$JS$4,AX$4,$CB36:$JS36)</f>
        <v/>
      </c>
      <c r="AY36" s="54">
        <f>SUMIF($CB$4:$JS$4,AY$4,$CB36:$JS36)</f>
        <v/>
      </c>
      <c r="AZ36" s="54">
        <f>SUMIF($CB$4:$JS$4,AZ$4,$CB36:$JS36)</f>
        <v/>
      </c>
      <c r="BA36" s="54">
        <f>SUMIF($CB$4:$JS$4,BA$4,$CB36:$JS36)</f>
        <v/>
      </c>
      <c r="BB36" s="54">
        <f>SUMIF($CB$4:$JS$4,BB$4,$CB36:$JS36)</f>
        <v/>
      </c>
      <c r="BC36" s="54">
        <f>SUMIF($CB$4:$JS$4,BC$4,$CB36:$JS36)</f>
        <v/>
      </c>
      <c r="BD36" s="54">
        <f>SUMIF($CB$4:$JS$4,BD$4,$CB36:$JS36)</f>
        <v/>
      </c>
      <c r="BE36" s="54">
        <f>SUMIF($CB$4:$JS$4,BE$4,$CB36:$JS36)</f>
        <v/>
      </c>
      <c r="BF36" s="54">
        <f>SUMIF($CB$4:$JS$4,BF$4,$CB36:$JS36)</f>
        <v/>
      </c>
      <c r="BG36" s="54">
        <f>SUMIF($CB$4:$JS$4,BG$4,$CB36:$JS36)</f>
        <v/>
      </c>
      <c r="BH36" s="54">
        <f>SUMIF($CB$4:$JS$4,BH$4,$CB36:$JS36)</f>
        <v/>
      </c>
      <c r="BI36" s="54">
        <f>SUMIF($CB$4:$JS$4,BI$4,$CB36:$JS36)</f>
        <v/>
      </c>
      <c r="BJ36" s="54">
        <f>SUMIF($CB$4:$JS$4,BJ$4,$CB36:$JS36)</f>
        <v/>
      </c>
      <c r="BK36" s="54">
        <f>SUMIF($CB$4:$JS$4,BK$4,$CB36:$JS36)</f>
        <v/>
      </c>
      <c r="BL36" s="54">
        <f>SUMIF($CB$4:$JS$4,BL$4,$CB36:$JS36)</f>
        <v/>
      </c>
      <c r="BM36" s="54">
        <f>SUMIF($CB$4:$JS$4,BM$4,$CB36:$JS36)</f>
        <v/>
      </c>
      <c r="BN36" s="54">
        <f>SUMIF($CB$4:$JS$4,BN$4,$CB36:$JS36)</f>
        <v/>
      </c>
      <c r="BO36" s="54">
        <f>SUMIF($CB$4:$JS$4,BO$4,$CB36:$JS36)</f>
        <v/>
      </c>
      <c r="BP36" s="54">
        <f>SUMIF($CB$4:$JS$4,BP$4,$CB36:$JS36)</f>
        <v/>
      </c>
      <c r="BQ36" s="54">
        <f>SUMIF($CB$4:$JS$4,BQ$4,$CB36:$JS36)</f>
        <v/>
      </c>
      <c r="BR36" s="54">
        <f>SUMIF($CB$4:$JS$4,BR$4,$CB36:$JS36)</f>
        <v/>
      </c>
      <c r="BS36" s="54">
        <f>SUMIF($CB$4:$JS$4,BS$4,$CB36:$JS36)</f>
        <v/>
      </c>
      <c r="BT36" s="54">
        <f>SUMIF($CB$4:$JS$4,BT$4,$CB36:$JS36)</f>
        <v/>
      </c>
      <c r="BU36" s="54">
        <f>SUMIF($CB$4:$JS$4,BU$4,$CB36:$JS36)</f>
        <v/>
      </c>
      <c r="BV36" s="54">
        <f>SUMIF($CB$4:$JS$4,BV$4,$CB36:$JS36)</f>
        <v/>
      </c>
      <c r="BW36" s="54">
        <f>SUMIF($CB$4:$JS$4,BW$4,$CB36:$JS36)</f>
        <v/>
      </c>
      <c r="BX36" s="54">
        <f>SUMIF($CB$4:$JS$4,"&gt;"&amp;'VALOR POR PL'!$P$8,$CB36:$JS36)</f>
        <v/>
      </c>
      <c r="BY36" s="54">
        <f>SUM($CB36:$JS36)</f>
        <v/>
      </c>
      <c r="BZ36" s="49">
        <f>SUMPRODUCT(($CB$4:$JS$4&lt;&gt;"")*($CB$4:$JS$4&lt;=$D$4),$CB36:$JS36,$CB$1:$JS$1)</f>
        <v/>
      </c>
      <c r="CB36" s="132">
        <f>IF(OR(CB$4="",$B36=""),0,SUMIF('DADOS BRUTOS'!$A$3:$A$500,$B36,'DADOS BRUTOS'!B$3:B$500)+IF($C36="",0,SUMIF('DADOS BRUTOS'!$A$3:$A$500,$C36,'DADOS BRUTOS'!B$3:B$500)))</f>
        <v/>
      </c>
      <c r="CC36" s="132">
        <f>IF(OR(CC$4="",$B36=""),0,SUMIF('DADOS BRUTOS'!$A$3:$A$500,$B36,'DADOS BRUTOS'!C$3:C$500)+IF($C36="",0,SUMIF('DADOS BRUTOS'!$A$3:$A$500,$C36,'DADOS BRUTOS'!C$3:C$500)))</f>
        <v/>
      </c>
      <c r="CD36" s="132">
        <f>IF(OR(CD$4="",$B36=""),0,SUMIF('DADOS BRUTOS'!$A$3:$A$500,$B36,'DADOS BRUTOS'!D$3:D$500)+IF($C36="",0,SUMIF('DADOS BRUTOS'!$A$3:$A$500,$C36,'DADOS BRUTOS'!D$3:D$500)))</f>
        <v/>
      </c>
      <c r="CE36" s="132">
        <f>IF(OR(CE$4="",$B36=""),0,SUMIF('DADOS BRUTOS'!$A$3:$A$500,$B36,'DADOS BRUTOS'!E$3:E$500)+IF($C36="",0,SUMIF('DADOS BRUTOS'!$A$3:$A$500,$C36,'DADOS BRUTOS'!E$3:E$500)))</f>
        <v/>
      </c>
      <c r="CF36" s="132">
        <f>IF(OR(CF$4="",$B36=""),0,SUMIF('DADOS BRUTOS'!$A$3:$A$500,$B36,'DADOS BRUTOS'!F$3:F$500)+IF($C36="",0,SUMIF('DADOS BRUTOS'!$A$3:$A$500,$C36,'DADOS BRUTOS'!F$3:F$500)))</f>
        <v/>
      </c>
      <c r="CG36" s="132">
        <f>IF(OR(CG$4="",$B36=""),0,SUMIF('DADOS BRUTOS'!$A$3:$A$500,$B36,'DADOS BRUTOS'!G$3:G$500)+IF($C36="",0,SUMIF('DADOS BRUTOS'!$A$3:$A$500,$C36,'DADOS BRUTOS'!G$3:G$500)))</f>
        <v/>
      </c>
      <c r="CH36" s="132">
        <f>IF(OR(CH$4="",$B36=""),0,SUMIF('DADOS BRUTOS'!$A$3:$A$500,$B36,'DADOS BRUTOS'!H$3:H$500)+IF($C36="",0,SUMIF('DADOS BRUTOS'!$A$3:$A$500,$C36,'DADOS BRUTOS'!H$3:H$500)))</f>
        <v/>
      </c>
      <c r="CI36" s="132">
        <f>IF(OR(CI$4="",$B36=""),0,SUMIF('DADOS BRUTOS'!$A$3:$A$500,$B36,'DADOS BRUTOS'!I$3:I$500)+IF($C36="",0,SUMIF('DADOS BRUTOS'!$A$3:$A$500,$C36,'DADOS BRUTOS'!I$3:I$500)))</f>
        <v/>
      </c>
      <c r="CJ36" s="132">
        <f>IF(OR(CJ$4="",$B36=""),0,SUMIF('DADOS BRUTOS'!$A$3:$A$500,$B36,'DADOS BRUTOS'!J$3:J$500)+IF($C36="",0,SUMIF('DADOS BRUTOS'!$A$3:$A$500,$C36,'DADOS BRUTOS'!J$3:J$500)))</f>
        <v/>
      </c>
      <c r="CK36" s="132">
        <f>IF(OR(CK$4="",$B36=""),0,SUMIF('DADOS BRUTOS'!$A$3:$A$500,$B36,'DADOS BRUTOS'!K$3:K$500)+IF($C36="",0,SUMIF('DADOS BRUTOS'!$A$3:$A$500,$C36,'DADOS BRUTOS'!K$3:K$500)))</f>
        <v/>
      </c>
      <c r="CL36" s="132">
        <f>IF(OR(CL$4="",$B36=""),0,SUMIF('DADOS BRUTOS'!$A$3:$A$500,$B36,'DADOS BRUTOS'!L$3:L$500)+IF($C36="",0,SUMIF('DADOS BRUTOS'!$A$3:$A$500,$C36,'DADOS BRUTOS'!L$3:L$500)))</f>
        <v/>
      </c>
      <c r="CM36" s="132">
        <f>IF(OR(CM$4="",$B36=""),0,SUMIF('DADOS BRUTOS'!$A$3:$A$500,$B36,'DADOS BRUTOS'!M$3:M$500)+IF($C36="",0,SUMIF('DADOS BRUTOS'!$A$3:$A$500,$C36,'DADOS BRUTOS'!M$3:M$500)))</f>
        <v/>
      </c>
      <c r="CN36" s="132">
        <f>IF(OR(CN$4="",$B36=""),0,SUMIF('DADOS BRUTOS'!$A$3:$A$500,$B36,'DADOS BRUTOS'!N$3:N$500)+IF($C36="",0,SUMIF('DADOS BRUTOS'!$A$3:$A$500,$C36,'DADOS BRUTOS'!N$3:N$500)))</f>
        <v/>
      </c>
      <c r="CO36" s="132">
        <f>IF(OR(CO$4="",$B36=""),0,SUMIF('DADOS BRUTOS'!$A$3:$A$500,$B36,'DADOS BRUTOS'!O$3:O$500)+IF($C36="",0,SUMIF('DADOS BRUTOS'!$A$3:$A$500,$C36,'DADOS BRUTOS'!O$3:O$500)))</f>
        <v/>
      </c>
      <c r="CP36" s="132">
        <f>IF(OR(CP$4="",$B36=""),0,SUMIF('DADOS BRUTOS'!$A$3:$A$500,$B36,'DADOS BRUTOS'!P$3:P$500)+IF($C36="",0,SUMIF('DADOS BRUTOS'!$A$3:$A$500,$C36,'DADOS BRUTOS'!P$3:P$500)))</f>
        <v/>
      </c>
      <c r="CQ36" s="132">
        <f>IF(OR(CQ$4="",$B36=""),0,SUMIF('DADOS BRUTOS'!$A$3:$A$500,$B36,'DADOS BRUTOS'!Q$3:Q$500)+IF($C36="",0,SUMIF('DADOS BRUTOS'!$A$3:$A$500,$C36,'DADOS BRUTOS'!Q$3:Q$500)))</f>
        <v/>
      </c>
      <c r="CR36" s="132">
        <f>IF(OR(CR$4="",$B36=""),0,SUMIF('DADOS BRUTOS'!$A$3:$A$500,$B36,'DADOS BRUTOS'!R$3:R$500)+IF($C36="",0,SUMIF('DADOS BRUTOS'!$A$3:$A$500,$C36,'DADOS BRUTOS'!R$3:R$500)))</f>
        <v/>
      </c>
      <c r="CS36" s="132">
        <f>IF(OR(CS$4="",$B36=""),0,SUMIF('DADOS BRUTOS'!$A$3:$A$500,$B36,'DADOS BRUTOS'!S$3:S$500)+IF($C36="",0,SUMIF('DADOS BRUTOS'!$A$3:$A$500,$C36,'DADOS BRUTOS'!S$3:S$500)))</f>
        <v/>
      </c>
      <c r="CT36" s="132">
        <f>IF(OR(CT$4="",$B36=""),0,SUMIF('DADOS BRUTOS'!$A$3:$A$500,$B36,'DADOS BRUTOS'!T$3:T$500)+IF($C36="",0,SUMIF('DADOS BRUTOS'!$A$3:$A$500,$C36,'DADOS BRUTOS'!T$3:T$500)))</f>
        <v/>
      </c>
      <c r="CU36" s="132">
        <f>IF(OR(CU$4="",$B36=""),0,SUMIF('DADOS BRUTOS'!$A$3:$A$500,$B36,'DADOS BRUTOS'!U$3:U$500)+IF($C36="",0,SUMIF('DADOS BRUTOS'!$A$3:$A$500,$C36,'DADOS BRUTOS'!U$3:U$500)))</f>
        <v/>
      </c>
      <c r="CV36" s="132">
        <f>IF(OR(CV$4="",$B36=""),0,SUMIF('DADOS BRUTOS'!$A$3:$A$500,$B36,'DADOS BRUTOS'!V$3:V$500)+IF($C36="",0,SUMIF('DADOS BRUTOS'!$A$3:$A$500,$C36,'DADOS BRUTOS'!V$3:V$500)))</f>
        <v/>
      </c>
      <c r="CW36" s="132">
        <f>IF(OR(CW$4="",$B36=""),0,SUMIF('DADOS BRUTOS'!$A$3:$A$500,$B36,'DADOS BRUTOS'!W$3:W$500)+IF($C36="",0,SUMIF('DADOS BRUTOS'!$A$3:$A$500,$C36,'DADOS BRUTOS'!W$3:W$500)))</f>
        <v/>
      </c>
      <c r="CX36" s="132">
        <f>IF(OR(CX$4="",$B36=""),0,SUMIF('DADOS BRUTOS'!$A$3:$A$500,$B36,'DADOS BRUTOS'!X$3:X$500)+IF($C36="",0,SUMIF('DADOS BRUTOS'!$A$3:$A$500,$C36,'DADOS BRUTOS'!X$3:X$500)))</f>
        <v/>
      </c>
      <c r="CY36" s="132">
        <f>IF(OR(CY$4="",$B36=""),0,SUMIF('DADOS BRUTOS'!$A$3:$A$500,$B36,'DADOS BRUTOS'!Y$3:Y$500)+IF($C36="",0,SUMIF('DADOS BRUTOS'!$A$3:$A$500,$C36,'DADOS BRUTOS'!Y$3:Y$500)))</f>
        <v/>
      </c>
      <c r="CZ36" s="132">
        <f>IF(OR(CZ$4="",$B36=""),0,SUMIF('DADOS BRUTOS'!$A$3:$A$500,$B36,'DADOS BRUTOS'!Z$3:Z$500)+IF($C36="",0,SUMIF('DADOS BRUTOS'!$A$3:$A$500,$C36,'DADOS BRUTOS'!Z$3:Z$500)))</f>
        <v/>
      </c>
      <c r="DA36" s="132">
        <f>IF(OR(DA$4="",$B36=""),0,SUMIF('DADOS BRUTOS'!$A$3:$A$500,$B36,'DADOS BRUTOS'!AA$3:AA$500)+IF($C36="",0,SUMIF('DADOS BRUTOS'!$A$3:$A$500,$C36,'DADOS BRUTOS'!AA$3:AA$500)))</f>
        <v/>
      </c>
      <c r="DB36" s="132">
        <f>IF(OR(DB$4="",$B36=""),0,SUMIF('DADOS BRUTOS'!$A$3:$A$500,$B36,'DADOS BRUTOS'!AB$3:AB$500)+IF($C36="",0,SUMIF('DADOS BRUTOS'!$A$3:$A$500,$C36,'DADOS BRUTOS'!AB$3:AB$500)))</f>
        <v/>
      </c>
      <c r="DC36" s="132">
        <f>IF(OR(DC$4="",$B36=""),0,SUMIF('DADOS BRUTOS'!$A$3:$A$500,$B36,'DADOS BRUTOS'!AC$3:AC$500)+IF($C36="",0,SUMIF('DADOS BRUTOS'!$A$3:$A$500,$C36,'DADOS BRUTOS'!AC$3:AC$500)))</f>
        <v/>
      </c>
      <c r="DD36" s="132">
        <f>IF(OR(DD$4="",$B36=""),0,SUMIF('DADOS BRUTOS'!$A$3:$A$500,$B36,'DADOS BRUTOS'!AD$3:AD$500)+IF($C36="",0,SUMIF('DADOS BRUTOS'!$A$3:$A$500,$C36,'DADOS BRUTOS'!AD$3:AD$500)))</f>
        <v/>
      </c>
      <c r="DE36" s="132">
        <f>IF(OR(DE$4="",$B36=""),0,SUMIF('DADOS BRUTOS'!$A$3:$A$500,$B36,'DADOS BRUTOS'!AE$3:AE$500)+IF($C36="",0,SUMIF('DADOS BRUTOS'!$A$3:$A$500,$C36,'DADOS BRUTOS'!AE$3:AE$500)))</f>
        <v/>
      </c>
      <c r="DF36" s="132">
        <f>IF(OR(DF$4="",$B36=""),0,SUMIF('DADOS BRUTOS'!$A$3:$A$500,$B36,'DADOS BRUTOS'!AF$3:AF$500)+IF($C36="",0,SUMIF('DADOS BRUTOS'!$A$3:$A$500,$C36,'DADOS BRUTOS'!AF$3:AF$500)))</f>
        <v/>
      </c>
      <c r="DG36" s="132">
        <f>IF(OR(DG$4="",$B36=""),0,SUMIF('DADOS BRUTOS'!$A$3:$A$500,$B36,'DADOS BRUTOS'!AG$3:AG$500)+IF($C36="",0,SUMIF('DADOS BRUTOS'!$A$3:$A$500,$C36,'DADOS BRUTOS'!AG$3:AG$500)))</f>
        <v/>
      </c>
      <c r="DH36" s="132">
        <f>IF(OR(DH$4="",$B36=""),0,SUMIF('DADOS BRUTOS'!$A$3:$A$500,$B36,'DADOS BRUTOS'!AH$3:AH$500)+IF($C36="",0,SUMIF('DADOS BRUTOS'!$A$3:$A$500,$C36,'DADOS BRUTOS'!AH$3:AH$500)))</f>
        <v/>
      </c>
      <c r="DI36" s="132">
        <f>IF(OR(DI$4="",$B36=""),0,SUMIF('DADOS BRUTOS'!$A$3:$A$500,$B36,'DADOS BRUTOS'!AI$3:AI$500)+IF($C36="",0,SUMIF('DADOS BRUTOS'!$A$3:$A$500,$C36,'DADOS BRUTOS'!AI$3:AI$500)))</f>
        <v/>
      </c>
      <c r="DJ36" s="132">
        <f>IF(OR(DJ$4="",$B36=""),0,SUMIF('DADOS BRUTOS'!$A$3:$A$500,$B36,'DADOS BRUTOS'!AJ$3:AJ$500)+IF($C36="",0,SUMIF('DADOS BRUTOS'!$A$3:$A$500,$C36,'DADOS BRUTOS'!AJ$3:AJ$500)))</f>
        <v/>
      </c>
      <c r="DK36" s="132">
        <f>IF(OR(DK$4="",$B36=""),0,SUMIF('DADOS BRUTOS'!$A$3:$A$500,$B36,'DADOS BRUTOS'!AK$3:AK$500)+IF($C36="",0,SUMIF('DADOS BRUTOS'!$A$3:$A$500,$C36,'DADOS BRUTOS'!AK$3:AK$500)))</f>
        <v/>
      </c>
      <c r="DL36" s="132">
        <f>IF(OR(DL$4="",$B36=""),0,SUMIF('DADOS BRUTOS'!$A$3:$A$500,$B36,'DADOS BRUTOS'!AL$3:AL$500)+IF($C36="",0,SUMIF('DADOS BRUTOS'!$A$3:$A$500,$C36,'DADOS BRUTOS'!AL$3:AL$500)))</f>
        <v/>
      </c>
      <c r="DM36" s="132">
        <f>IF(OR(DM$4="",$B36=""),0,SUMIF('DADOS BRUTOS'!$A$3:$A$500,$B36,'DADOS BRUTOS'!AM$3:AM$500)+IF($C36="",0,SUMIF('DADOS BRUTOS'!$A$3:$A$500,$C36,'DADOS BRUTOS'!AM$3:AM$500)))</f>
        <v/>
      </c>
      <c r="DN36" s="132">
        <f>IF(OR(DN$4="",$B36=""),0,SUMIF('DADOS BRUTOS'!$A$3:$A$500,$B36,'DADOS BRUTOS'!AN$3:AN$500)+IF($C36="",0,SUMIF('DADOS BRUTOS'!$A$3:$A$500,$C36,'DADOS BRUTOS'!AN$3:AN$500)))</f>
        <v/>
      </c>
      <c r="DO36" s="132">
        <f>IF(OR(DO$4="",$B36=""),0,SUMIF('DADOS BRUTOS'!$A$3:$A$500,$B36,'DADOS BRUTOS'!AO$3:AO$500)+IF($C36="",0,SUMIF('DADOS BRUTOS'!$A$3:$A$500,$C36,'DADOS BRUTOS'!AO$3:AO$500)))</f>
        <v/>
      </c>
      <c r="DP36" s="132">
        <f>IF(OR(DP$4="",$B36=""),0,SUMIF('DADOS BRUTOS'!$A$3:$A$500,$B36,'DADOS BRUTOS'!AP$3:AP$500)+IF($C36="",0,SUMIF('DADOS BRUTOS'!$A$3:$A$500,$C36,'DADOS BRUTOS'!AP$3:AP$500)))</f>
        <v/>
      </c>
      <c r="DQ36" s="132">
        <f>IF(OR(DQ$4="",$B36=""),0,SUMIF('DADOS BRUTOS'!$A$3:$A$500,$B36,'DADOS BRUTOS'!AQ$3:AQ$500)+IF($C36="",0,SUMIF('DADOS BRUTOS'!$A$3:$A$500,$C36,'DADOS BRUTOS'!AQ$3:AQ$500)))</f>
        <v/>
      </c>
      <c r="DR36" s="132">
        <f>IF(OR(DR$4="",$B36=""),0,SUMIF('DADOS BRUTOS'!$A$3:$A$500,$B36,'DADOS BRUTOS'!AR$3:AR$500)+IF($C36="",0,SUMIF('DADOS BRUTOS'!$A$3:$A$500,$C36,'DADOS BRUTOS'!AR$3:AR$500)))</f>
        <v/>
      </c>
      <c r="DS36" s="132">
        <f>IF(OR(DS$4="",$B36=""),0,SUMIF('DADOS BRUTOS'!$A$3:$A$500,$B36,'DADOS BRUTOS'!AS$3:AS$500)+IF($C36="",0,SUMIF('DADOS BRUTOS'!$A$3:$A$500,$C36,'DADOS BRUTOS'!AS$3:AS$500)))</f>
        <v/>
      </c>
      <c r="DT36" s="132">
        <f>IF(OR(DT$4="",$B36=""),0,SUMIF('DADOS BRUTOS'!$A$3:$A$500,$B36,'DADOS BRUTOS'!AT$3:AT$500)+IF($C36="",0,SUMIF('DADOS BRUTOS'!$A$3:$A$500,$C36,'DADOS BRUTOS'!AT$3:AT$500)))</f>
        <v/>
      </c>
      <c r="DU36" s="132">
        <f>IF(OR(DU$4="",$B36=""),0,SUMIF('DADOS BRUTOS'!$A$3:$A$500,$B36,'DADOS BRUTOS'!AU$3:AU$500)+IF($C36="",0,SUMIF('DADOS BRUTOS'!$A$3:$A$500,$C36,'DADOS BRUTOS'!AU$3:AU$500)))</f>
        <v/>
      </c>
      <c r="DV36" s="132">
        <f>IF(OR(DV$4="",$B36=""),0,SUMIF('DADOS BRUTOS'!$A$3:$A$500,$B36,'DADOS BRUTOS'!AV$3:AV$500)+IF($C36="",0,SUMIF('DADOS BRUTOS'!$A$3:$A$500,$C36,'DADOS BRUTOS'!AV$3:AV$500)))</f>
        <v/>
      </c>
      <c r="DW36" s="132">
        <f>IF(OR(DW$4="",$B36=""),0,SUMIF('DADOS BRUTOS'!$A$3:$A$500,$B36,'DADOS BRUTOS'!AW$3:AW$500)+IF($C36="",0,SUMIF('DADOS BRUTOS'!$A$3:$A$500,$C36,'DADOS BRUTOS'!AW$3:AW$500)))</f>
        <v/>
      </c>
      <c r="DX36" s="132">
        <f>IF(OR(DX$4="",$B36=""),0,SUMIF('DADOS BRUTOS'!$A$3:$A$500,$B36,'DADOS BRUTOS'!AX$3:AX$500)+IF($C36="",0,SUMIF('DADOS BRUTOS'!$A$3:$A$500,$C36,'DADOS BRUTOS'!AX$3:AX$500)))</f>
        <v/>
      </c>
      <c r="DY36" s="132">
        <f>IF(OR(DY$4="",$B36=""),0,SUMIF('DADOS BRUTOS'!$A$3:$A$500,$B36,'DADOS BRUTOS'!AY$3:AY$500)+IF($C36="",0,SUMIF('DADOS BRUTOS'!$A$3:$A$500,$C36,'DADOS BRUTOS'!AY$3:AY$500)))</f>
        <v/>
      </c>
      <c r="DZ36" s="132">
        <f>IF(OR(DZ$4="",$B36=""),0,SUMIF('DADOS BRUTOS'!$A$3:$A$500,$B36,'DADOS BRUTOS'!AZ$3:AZ$500)+IF($C36="",0,SUMIF('DADOS BRUTOS'!$A$3:$A$500,$C36,'DADOS BRUTOS'!AZ$3:AZ$500)))</f>
        <v/>
      </c>
      <c r="EA36" s="132">
        <f>IF(OR(EA$4="",$B36=""),0,SUMIF('DADOS BRUTOS'!$A$3:$A$500,$B36,'DADOS BRUTOS'!BA$3:BA$500)+IF($C36="",0,SUMIF('DADOS BRUTOS'!$A$3:$A$500,$C36,'DADOS BRUTOS'!BA$3:BA$500)))</f>
        <v/>
      </c>
      <c r="EB36" s="132">
        <f>IF(OR(EB$4="",$B36=""),0,SUMIF('DADOS BRUTOS'!$A$3:$A$500,$B36,'DADOS BRUTOS'!BB$3:BB$500)+IF($C36="",0,SUMIF('DADOS BRUTOS'!$A$3:$A$500,$C36,'DADOS BRUTOS'!BB$3:BB$500)))</f>
        <v/>
      </c>
      <c r="EC36" s="132">
        <f>IF(OR(EC$4="",$B36=""),0,SUMIF('DADOS BRUTOS'!$A$3:$A$500,$B36,'DADOS BRUTOS'!BC$3:BC$500)+IF($C36="",0,SUMIF('DADOS BRUTOS'!$A$3:$A$500,$C36,'DADOS BRUTOS'!BC$3:BC$500)))</f>
        <v/>
      </c>
      <c r="ED36" s="132">
        <f>IF(OR(ED$4="",$B36=""),0,SUMIF('DADOS BRUTOS'!$A$3:$A$500,$B36,'DADOS BRUTOS'!BD$3:BD$500)+IF($C36="",0,SUMIF('DADOS BRUTOS'!$A$3:$A$500,$C36,'DADOS BRUTOS'!BD$3:BD$500)))</f>
        <v/>
      </c>
      <c r="EE36" s="132">
        <f>IF(OR(EE$4="",$B36=""),0,SUMIF('DADOS BRUTOS'!$A$3:$A$500,$B36,'DADOS BRUTOS'!BE$3:BE$500)+IF($C36="",0,SUMIF('DADOS BRUTOS'!$A$3:$A$500,$C36,'DADOS BRUTOS'!BE$3:BE$500)))</f>
        <v/>
      </c>
      <c r="EF36" s="132">
        <f>IF(OR(EF$4="",$B36=""),0,SUMIF('DADOS BRUTOS'!$A$3:$A$500,$B36,'DADOS BRUTOS'!BF$3:BF$500)+IF($C36="",0,SUMIF('DADOS BRUTOS'!$A$3:$A$500,$C36,'DADOS BRUTOS'!BF$3:BF$500)))</f>
        <v/>
      </c>
      <c r="EG36" s="132">
        <f>IF(OR(EG$4="",$B36=""),0,SUMIF('DADOS BRUTOS'!$A$3:$A$500,$B36,'DADOS BRUTOS'!BG$3:BG$500)+IF($C36="",0,SUMIF('DADOS BRUTOS'!$A$3:$A$500,$C36,'DADOS BRUTOS'!BG$3:BG$500)))</f>
        <v/>
      </c>
      <c r="EH36" s="132">
        <f>IF(OR(EH$4="",$B36=""),0,SUMIF('DADOS BRUTOS'!$A$3:$A$500,$B36,'DADOS BRUTOS'!BH$3:BH$500)+IF($C36="",0,SUMIF('DADOS BRUTOS'!$A$3:$A$500,$C36,'DADOS BRUTOS'!BH$3:BH$500)))</f>
        <v/>
      </c>
      <c r="EI36" s="132">
        <f>IF(OR(EI$4="",$B36=""),0,SUMIF('DADOS BRUTOS'!$A$3:$A$500,$B36,'DADOS BRUTOS'!BI$3:BI$500)+IF($C36="",0,SUMIF('DADOS BRUTOS'!$A$3:$A$500,$C36,'DADOS BRUTOS'!BI$3:BI$500)))</f>
        <v/>
      </c>
      <c r="EJ36" s="132">
        <f>IF(OR(EJ$4="",$B36=""),0,SUMIF('DADOS BRUTOS'!$A$3:$A$500,$B36,'DADOS BRUTOS'!BJ$3:BJ$500)+IF($C36="",0,SUMIF('DADOS BRUTOS'!$A$3:$A$500,$C36,'DADOS BRUTOS'!BJ$3:BJ$500)))</f>
        <v/>
      </c>
      <c r="EK36" s="132">
        <f>IF(OR(EK$4="",$B36=""),0,SUMIF('DADOS BRUTOS'!$A$3:$A$500,$B36,'DADOS BRUTOS'!BK$3:BK$500)+IF($C36="",0,SUMIF('DADOS BRUTOS'!$A$3:$A$500,$C36,'DADOS BRUTOS'!BK$3:BK$500)))</f>
        <v/>
      </c>
      <c r="EL36" s="132">
        <f>IF(OR(EL$4="",$B36=""),0,SUMIF('DADOS BRUTOS'!$A$3:$A$500,$B36,'DADOS BRUTOS'!BL$3:BL$500)+IF($C36="",0,SUMIF('DADOS BRUTOS'!$A$3:$A$500,$C36,'DADOS BRUTOS'!BL$3:BL$500)))</f>
        <v/>
      </c>
      <c r="EM36" s="132">
        <f>IF(OR(EM$4="",$B36=""),0,SUMIF('DADOS BRUTOS'!$A$3:$A$500,$B36,'DADOS BRUTOS'!BM$3:BM$500)+IF($C36="",0,SUMIF('DADOS BRUTOS'!$A$3:$A$500,$C36,'DADOS BRUTOS'!BM$3:BM$500)))</f>
        <v/>
      </c>
      <c r="EN36" s="132">
        <f>IF(OR(EN$4="",$B36=""),0,SUMIF('DADOS BRUTOS'!$A$3:$A$500,$B36,'DADOS BRUTOS'!BN$3:BN$500)+IF($C36="",0,SUMIF('DADOS BRUTOS'!$A$3:$A$500,$C36,'DADOS BRUTOS'!BN$3:BN$500)))</f>
        <v/>
      </c>
      <c r="EO36" s="132">
        <f>IF(OR(EO$4="",$B36=""),0,SUMIF('DADOS BRUTOS'!$A$3:$A$500,$B36,'DADOS BRUTOS'!BO$3:BO$500)+IF($C36="",0,SUMIF('DADOS BRUTOS'!$A$3:$A$500,$C36,'DADOS BRUTOS'!BO$3:BO$500)))</f>
        <v/>
      </c>
      <c r="EP36" s="132">
        <f>IF(OR(EP$4="",$B36=""),0,SUMIF('DADOS BRUTOS'!$A$3:$A$500,$B36,'DADOS BRUTOS'!BP$3:BP$500)+IF($C36="",0,SUMIF('DADOS BRUTOS'!$A$3:$A$500,$C36,'DADOS BRUTOS'!BP$3:BP$500)))</f>
        <v/>
      </c>
      <c r="EQ36" s="132">
        <f>IF(OR(EQ$4="",$B36=""),0,SUMIF('DADOS BRUTOS'!$A$3:$A$500,$B36,'DADOS BRUTOS'!BQ$3:BQ$500)+IF($C36="",0,SUMIF('DADOS BRUTOS'!$A$3:$A$500,$C36,'DADOS BRUTOS'!BQ$3:BQ$500)))</f>
        <v/>
      </c>
      <c r="ER36" s="132">
        <f>IF(OR(ER$4="",$B36=""),0,SUMIF('DADOS BRUTOS'!$A$3:$A$500,$B36,'DADOS BRUTOS'!BR$3:BR$500)+IF($C36="",0,SUMIF('DADOS BRUTOS'!$A$3:$A$500,$C36,'DADOS BRUTOS'!BR$3:BR$500)))</f>
        <v/>
      </c>
      <c r="ES36" s="132">
        <f>IF(OR(ES$4="",$B36=""),0,SUMIF('DADOS BRUTOS'!$A$3:$A$500,$B36,'DADOS BRUTOS'!BS$3:BS$500)+IF($C36="",0,SUMIF('DADOS BRUTOS'!$A$3:$A$500,$C36,'DADOS BRUTOS'!BS$3:BS$500)))</f>
        <v/>
      </c>
      <c r="ET36" s="132">
        <f>IF(OR(ET$4="",$B36=""),0,SUMIF('DADOS BRUTOS'!$A$3:$A$500,$B36,'DADOS BRUTOS'!BT$3:BT$500)+IF($C36="",0,SUMIF('DADOS BRUTOS'!$A$3:$A$500,$C36,'DADOS BRUTOS'!BT$3:BT$500)))</f>
        <v/>
      </c>
      <c r="EU36" s="132">
        <f>IF(OR(EU$4="",$B36=""),0,SUMIF('DADOS BRUTOS'!$A$3:$A$500,$B36,'DADOS BRUTOS'!BU$3:BU$500)+IF($C36="",0,SUMIF('DADOS BRUTOS'!$A$3:$A$500,$C36,'DADOS BRUTOS'!BU$3:BU$500)))</f>
        <v/>
      </c>
      <c r="EV36" s="132">
        <f>IF(OR(EV$4="",$B36=""),0,SUMIF('DADOS BRUTOS'!$A$3:$A$500,$B36,'DADOS BRUTOS'!BV$3:BV$500)+IF($C36="",0,SUMIF('DADOS BRUTOS'!$A$3:$A$500,$C36,'DADOS BRUTOS'!BV$3:BV$500)))</f>
        <v/>
      </c>
      <c r="EW36" s="132">
        <f>IF(OR(EW$4="",$B36=""),0,SUMIF('DADOS BRUTOS'!$A$3:$A$500,$B36,'DADOS BRUTOS'!BW$3:BW$500)+IF($C36="",0,SUMIF('DADOS BRUTOS'!$A$3:$A$500,$C36,'DADOS BRUTOS'!BW$3:BW$500)))</f>
        <v/>
      </c>
      <c r="EX36" s="132">
        <f>IF(OR(EX$4="",$B36=""),0,SUMIF('DADOS BRUTOS'!$A$3:$A$500,$B36,'DADOS BRUTOS'!BX$3:BX$500)+IF($C36="",0,SUMIF('DADOS BRUTOS'!$A$3:$A$500,$C36,'DADOS BRUTOS'!BX$3:BX$500)))</f>
        <v/>
      </c>
      <c r="EY36" s="132">
        <f>IF(OR(EY$4="",$B36=""),0,SUMIF('DADOS BRUTOS'!$A$3:$A$500,$B36,'DADOS BRUTOS'!BY$3:BY$500)+IF($C36="",0,SUMIF('DADOS BRUTOS'!$A$3:$A$500,$C36,'DADOS BRUTOS'!BY$3:BY$500)))</f>
        <v/>
      </c>
      <c r="EZ36" s="132">
        <f>IF(OR(EZ$4="",$B36=""),0,SUMIF('DADOS BRUTOS'!$A$3:$A$500,$B36,'DADOS BRUTOS'!BZ$3:BZ$500)+IF($C36="",0,SUMIF('DADOS BRUTOS'!$A$3:$A$500,$C36,'DADOS BRUTOS'!BZ$3:BZ$500)))</f>
        <v/>
      </c>
      <c r="FA36" s="132">
        <f>IF(OR(FA$4="",$B36=""),0,SUMIF('DADOS BRUTOS'!$A$3:$A$500,$B36,'DADOS BRUTOS'!CA$3:CA$500)+IF($C36="",0,SUMIF('DADOS BRUTOS'!$A$3:$A$500,$C36,'DADOS BRUTOS'!CA$3:CA$500)))</f>
        <v/>
      </c>
      <c r="FB36" s="132">
        <f>IF(OR(FB$4="",$B36=""),0,SUMIF('DADOS BRUTOS'!$A$3:$A$500,$B36,'DADOS BRUTOS'!CB$3:CB$500)+IF($C36="",0,SUMIF('DADOS BRUTOS'!$A$3:$A$500,$C36,'DADOS BRUTOS'!CB$3:CB$500)))</f>
        <v/>
      </c>
      <c r="FC36" s="132">
        <f>IF(OR(FC$4="",$B36=""),0,SUMIF('DADOS BRUTOS'!$A$3:$A$500,$B36,'DADOS BRUTOS'!CC$3:CC$500)+IF($C36="",0,SUMIF('DADOS BRUTOS'!$A$3:$A$500,$C36,'DADOS BRUTOS'!CC$3:CC$500)))</f>
        <v/>
      </c>
      <c r="FD36" s="132">
        <f>IF(OR(FD$4="",$B36=""),0,SUMIF('DADOS BRUTOS'!$A$3:$A$500,$B36,'DADOS BRUTOS'!CD$3:CD$500)+IF($C36="",0,SUMIF('DADOS BRUTOS'!$A$3:$A$500,$C36,'DADOS BRUTOS'!CD$3:CD$500)))</f>
        <v/>
      </c>
      <c r="FE36" s="132">
        <f>IF(OR(FE$4="",$B36=""),0,SUMIF('DADOS BRUTOS'!$A$3:$A$500,$B36,'DADOS BRUTOS'!CE$3:CE$500)+IF($C36="",0,SUMIF('DADOS BRUTOS'!$A$3:$A$500,$C36,'DADOS BRUTOS'!CE$3:CE$500)))</f>
        <v/>
      </c>
      <c r="FF36" s="132">
        <f>IF(OR(FF$4="",$B36=""),0,SUMIF('DADOS BRUTOS'!$A$3:$A$500,$B36,'DADOS BRUTOS'!CF$3:CF$500)+IF($C36="",0,SUMIF('DADOS BRUTOS'!$A$3:$A$500,$C36,'DADOS BRUTOS'!CF$3:CF$500)))</f>
        <v/>
      </c>
      <c r="FG36" s="132">
        <f>IF(OR(FG$4="",$B36=""),0,SUMIF('DADOS BRUTOS'!$A$3:$A$500,$B36,'DADOS BRUTOS'!CG$3:CG$500)+IF($C36="",0,SUMIF('DADOS BRUTOS'!$A$3:$A$500,$C36,'DADOS BRUTOS'!CG$3:CG$500)))</f>
        <v/>
      </c>
      <c r="FH36" s="132">
        <f>IF(OR(FH$4="",$B36=""),0,SUMIF('DADOS BRUTOS'!$A$3:$A$500,$B36,'DADOS BRUTOS'!CH$3:CH$500)+IF($C36="",0,SUMIF('DADOS BRUTOS'!$A$3:$A$500,$C36,'DADOS BRUTOS'!CH$3:CH$500)))</f>
        <v/>
      </c>
      <c r="FI36" s="132">
        <f>IF(OR(FI$4="",$B36=""),0,SUMIF('DADOS BRUTOS'!$A$3:$A$500,$B36,'DADOS BRUTOS'!CI$3:CI$500)+IF($C36="",0,SUMIF('DADOS BRUTOS'!$A$3:$A$500,$C36,'DADOS BRUTOS'!CI$3:CI$500)))</f>
        <v/>
      </c>
      <c r="FJ36" s="132">
        <f>IF(OR(FJ$4="",$B36=""),0,SUMIF('DADOS BRUTOS'!$A$3:$A$500,$B36,'DADOS BRUTOS'!CJ$3:CJ$500)+IF($C36="",0,SUMIF('DADOS BRUTOS'!$A$3:$A$500,$C36,'DADOS BRUTOS'!CJ$3:CJ$500)))</f>
        <v/>
      </c>
      <c r="FK36" s="132">
        <f>IF(OR(FK$4="",$B36=""),0,SUMIF('DADOS BRUTOS'!$A$3:$A$500,$B36,'DADOS BRUTOS'!CK$3:CK$500)+IF($C36="",0,SUMIF('DADOS BRUTOS'!$A$3:$A$500,$C36,'DADOS BRUTOS'!CK$3:CK$500)))</f>
        <v/>
      </c>
      <c r="FL36" s="132">
        <f>IF(OR(FL$4="",$B36=""),0,SUMIF('DADOS BRUTOS'!$A$3:$A$500,$B36,'DADOS BRUTOS'!CL$3:CL$500)+IF($C36="",0,SUMIF('DADOS BRUTOS'!$A$3:$A$500,$C36,'DADOS BRUTOS'!CL$3:CL$500)))</f>
        <v/>
      </c>
      <c r="FM36" s="132">
        <f>IF(OR(FM$4="",$B36=""),0,SUMIF('DADOS BRUTOS'!$A$3:$A$500,$B36,'DADOS BRUTOS'!CM$3:CM$500)+IF($C36="",0,SUMIF('DADOS BRUTOS'!$A$3:$A$500,$C36,'DADOS BRUTOS'!CM$3:CM$500)))</f>
        <v/>
      </c>
      <c r="FN36" s="132">
        <f>IF(OR(FN$4="",$B36=""),0,SUMIF('DADOS BRUTOS'!$A$3:$A$500,$B36,'DADOS BRUTOS'!CN$3:CN$500)+IF($C36="",0,SUMIF('DADOS BRUTOS'!$A$3:$A$500,$C36,'DADOS BRUTOS'!CN$3:CN$500)))</f>
        <v/>
      </c>
      <c r="FO36" s="132">
        <f>IF(OR(FO$4="",$B36=""),0,SUMIF('DADOS BRUTOS'!$A$3:$A$500,$B36,'DADOS BRUTOS'!CO$3:CO$500)+IF($C36="",0,SUMIF('DADOS BRUTOS'!$A$3:$A$500,$C36,'DADOS BRUTOS'!CO$3:CO$500)))</f>
        <v/>
      </c>
      <c r="FP36" s="132">
        <f>IF(OR(FP$4="",$B36=""),0,SUMIF('DADOS BRUTOS'!$A$3:$A$500,$B36,'DADOS BRUTOS'!CP$3:CP$500)+IF($C36="",0,SUMIF('DADOS BRUTOS'!$A$3:$A$500,$C36,'DADOS BRUTOS'!CP$3:CP$500)))</f>
        <v/>
      </c>
      <c r="FQ36" s="132">
        <f>IF(OR(FQ$4="",$B36=""),0,SUMIF('DADOS BRUTOS'!$A$3:$A$500,$B36,'DADOS BRUTOS'!CQ$3:CQ$500)+IF($C36="",0,SUMIF('DADOS BRUTOS'!$A$3:$A$500,$C36,'DADOS BRUTOS'!CQ$3:CQ$500)))</f>
        <v/>
      </c>
      <c r="FR36" s="132">
        <f>IF(OR(FR$4="",$B36=""),0,SUMIF('DADOS BRUTOS'!$A$3:$A$500,$B36,'DADOS BRUTOS'!CR$3:CR$500)+IF($C36="",0,SUMIF('DADOS BRUTOS'!$A$3:$A$500,$C36,'DADOS BRUTOS'!CR$3:CR$500)))</f>
        <v/>
      </c>
      <c r="FS36" s="132">
        <f>IF(OR(FS$4="",$B36=""),0,SUMIF('DADOS BRUTOS'!$A$3:$A$500,$B36,'DADOS BRUTOS'!CS$3:CS$500)+IF($C36="",0,SUMIF('DADOS BRUTOS'!$A$3:$A$500,$C36,'DADOS BRUTOS'!CS$3:CS$500)))</f>
        <v/>
      </c>
      <c r="FT36" s="132">
        <f>IF(OR(FT$4="",$B36=""),0,SUMIF('DADOS BRUTOS'!$A$3:$A$500,$B36,'DADOS BRUTOS'!CT$3:CT$500)+IF($C36="",0,SUMIF('DADOS BRUTOS'!$A$3:$A$500,$C36,'DADOS BRUTOS'!CT$3:CT$500)))</f>
        <v/>
      </c>
      <c r="FU36" s="132">
        <f>IF(OR(FU$4="",$B36=""),0,SUMIF('DADOS BRUTOS'!$A$3:$A$500,$B36,'DADOS BRUTOS'!CU$3:CU$500)+IF($C36="",0,SUMIF('DADOS BRUTOS'!$A$3:$A$500,$C36,'DADOS BRUTOS'!CU$3:CU$500)))</f>
        <v/>
      </c>
      <c r="FV36" s="132">
        <f>IF(OR(FV$4="",$B36=""),0,SUMIF('DADOS BRUTOS'!$A$3:$A$500,$B36,'DADOS BRUTOS'!CV$3:CV$500)+IF($C36="",0,SUMIF('DADOS BRUTOS'!$A$3:$A$500,$C36,'DADOS BRUTOS'!CV$3:CV$500)))</f>
        <v/>
      </c>
      <c r="FW36" s="132">
        <f>IF(OR(FW$4="",$B36=""),0,SUMIF('DADOS BRUTOS'!$A$3:$A$500,$B36,'DADOS BRUTOS'!CW$3:CW$500)+IF($C36="",0,SUMIF('DADOS BRUTOS'!$A$3:$A$500,$C36,'DADOS BRUTOS'!CW$3:CW$500)))</f>
        <v/>
      </c>
      <c r="FX36" s="132">
        <f>IF(OR(FX$4="",$B36=""),0,SUMIF('DADOS BRUTOS'!$A$3:$A$500,$B36,'DADOS BRUTOS'!CX$3:CX$500)+IF($C36="",0,SUMIF('DADOS BRUTOS'!$A$3:$A$500,$C36,'DADOS BRUTOS'!CX$3:CX$500)))</f>
        <v/>
      </c>
      <c r="FY36" s="132">
        <f>IF(OR(FY$4="",$B36=""),0,SUMIF('DADOS BRUTOS'!$A$3:$A$500,$B36,'DADOS BRUTOS'!CY$3:CY$500)+IF($C36="",0,SUMIF('DADOS BRUTOS'!$A$3:$A$500,$C36,'DADOS BRUTOS'!CY$3:CY$500)))</f>
        <v/>
      </c>
      <c r="FZ36" s="132">
        <f>IF(OR(FZ$4="",$B36=""),0,SUMIF('DADOS BRUTOS'!$A$3:$A$500,$B36,'DADOS BRUTOS'!CZ$3:CZ$500)+IF($C36="",0,SUMIF('DADOS BRUTOS'!$A$3:$A$500,$C36,'DADOS BRUTOS'!CZ$3:CZ$500)))</f>
        <v/>
      </c>
      <c r="GA36" s="132">
        <f>IF(OR(GA$4="",$B36=""),0,SUMIF('DADOS BRUTOS'!$A$3:$A$500,$B36,'DADOS BRUTOS'!DA$3:DA$500)+IF($C36="",0,SUMIF('DADOS BRUTOS'!$A$3:$A$500,$C36,'DADOS BRUTOS'!DA$3:DA$500)))</f>
        <v/>
      </c>
      <c r="GB36" s="132">
        <f>IF(OR(GB$4="",$B36=""),0,SUMIF('DADOS BRUTOS'!$A$3:$A$500,$B36,'DADOS BRUTOS'!DB$3:DB$500)+IF($C36="",0,SUMIF('DADOS BRUTOS'!$A$3:$A$500,$C36,'DADOS BRUTOS'!DB$3:DB$500)))</f>
        <v/>
      </c>
      <c r="GC36" s="132">
        <f>IF(OR(GC$4="",$B36=""),0,SUMIF('DADOS BRUTOS'!$A$3:$A$500,$B36,'DADOS BRUTOS'!DC$3:DC$500)+IF($C36="",0,SUMIF('DADOS BRUTOS'!$A$3:$A$500,$C36,'DADOS BRUTOS'!DC$3:DC$500)))</f>
        <v/>
      </c>
      <c r="GD36" s="132">
        <f>IF(OR(GD$4="",$B36=""),0,SUMIF('DADOS BRUTOS'!$A$3:$A$500,$B36,'DADOS BRUTOS'!DD$3:DD$500)+IF($C36="",0,SUMIF('DADOS BRUTOS'!$A$3:$A$500,$C36,'DADOS BRUTOS'!DD$3:DD$500)))</f>
        <v/>
      </c>
      <c r="GE36" s="132">
        <f>IF(OR(GE$4="",$B36=""),0,SUMIF('DADOS BRUTOS'!$A$3:$A$500,$B36,'DADOS BRUTOS'!DE$3:DE$500)+IF($C36="",0,SUMIF('DADOS BRUTOS'!$A$3:$A$500,$C36,'DADOS BRUTOS'!DE$3:DE$500)))</f>
        <v/>
      </c>
      <c r="GF36" s="132">
        <f>IF(OR(GF$4="",$B36=""),0,SUMIF('DADOS BRUTOS'!$A$3:$A$500,$B36,'DADOS BRUTOS'!DF$3:DF$500)+IF($C36="",0,SUMIF('DADOS BRUTOS'!$A$3:$A$500,$C36,'DADOS BRUTOS'!DF$3:DF$500)))</f>
        <v/>
      </c>
      <c r="GG36" s="132">
        <f>IF(OR(GG$4="",$B36=""),0,SUMIF('DADOS BRUTOS'!$A$3:$A$500,$B36,'DADOS BRUTOS'!DG$3:DG$500)+IF($C36="",0,SUMIF('DADOS BRUTOS'!$A$3:$A$500,$C36,'DADOS BRUTOS'!DG$3:DG$500)))</f>
        <v/>
      </c>
      <c r="GH36" s="132">
        <f>IF(OR(GH$4="",$B36=""),0,SUMIF('DADOS BRUTOS'!$A$3:$A$500,$B36,'DADOS BRUTOS'!DH$3:DH$500)+IF($C36="",0,SUMIF('DADOS BRUTOS'!$A$3:$A$500,$C36,'DADOS BRUTOS'!DH$3:DH$500)))</f>
        <v/>
      </c>
      <c r="GI36" s="132">
        <f>IF(OR(GI$4="",$B36=""),0,SUMIF('DADOS BRUTOS'!$A$3:$A$500,$B36,'DADOS BRUTOS'!DI$3:DI$500)+IF($C36="",0,SUMIF('DADOS BRUTOS'!$A$3:$A$500,$C36,'DADOS BRUTOS'!DI$3:DI$500)))</f>
        <v/>
      </c>
      <c r="GJ36" s="132">
        <f>IF(OR(GJ$4="",$B36=""),0,SUMIF('DADOS BRUTOS'!$A$3:$A$500,$B36,'DADOS BRUTOS'!DJ$3:DJ$500)+IF($C36="",0,SUMIF('DADOS BRUTOS'!$A$3:$A$500,$C36,'DADOS BRUTOS'!DJ$3:DJ$500)))</f>
        <v/>
      </c>
      <c r="GK36" s="132">
        <f>IF(OR(GK$4="",$B36=""),0,SUMIF('DADOS BRUTOS'!$A$3:$A$500,$B36,'DADOS BRUTOS'!DK$3:DK$500)+IF($C36="",0,SUMIF('DADOS BRUTOS'!$A$3:$A$500,$C36,'DADOS BRUTOS'!DK$3:DK$500)))</f>
        <v/>
      </c>
      <c r="GL36" s="132">
        <f>IF(OR(GL$4="",$B36=""),0,SUMIF('DADOS BRUTOS'!$A$3:$A$500,$B36,'DADOS BRUTOS'!DL$3:DL$500)+IF($C36="",0,SUMIF('DADOS BRUTOS'!$A$3:$A$500,$C36,'DADOS BRUTOS'!DL$3:DL$500)))</f>
        <v/>
      </c>
      <c r="GM36" s="132">
        <f>IF(OR(GM$4="",$B36=""),0,SUMIF('DADOS BRUTOS'!$A$3:$A$500,$B36,'DADOS BRUTOS'!DM$3:DM$500)+IF($C36="",0,SUMIF('DADOS BRUTOS'!$A$3:$A$500,$C36,'DADOS BRUTOS'!DM$3:DM$500)))</f>
        <v/>
      </c>
      <c r="GN36" s="132">
        <f>IF(OR(GN$4="",$B36=""),0,SUMIF('DADOS BRUTOS'!$A$3:$A$500,$B36,'DADOS BRUTOS'!DN$3:DN$500)+IF($C36="",0,SUMIF('DADOS BRUTOS'!$A$3:$A$500,$C36,'DADOS BRUTOS'!DN$3:DN$500)))</f>
        <v/>
      </c>
      <c r="GO36" s="132">
        <f>IF(OR(GO$4="",$B36=""),0,SUMIF('DADOS BRUTOS'!$A$3:$A$500,$B36,'DADOS BRUTOS'!DO$3:DO$500)+IF($C36="",0,SUMIF('DADOS BRUTOS'!$A$3:$A$500,$C36,'DADOS BRUTOS'!DO$3:DO$500)))</f>
        <v/>
      </c>
      <c r="GP36" s="132">
        <f>IF(OR(GP$4="",$B36=""),0,SUMIF('DADOS BRUTOS'!$A$3:$A$500,$B36,'DADOS BRUTOS'!DP$3:DP$500)+IF($C36="",0,SUMIF('DADOS BRUTOS'!$A$3:$A$500,$C36,'DADOS BRUTOS'!DP$3:DP$500)))</f>
        <v/>
      </c>
      <c r="GQ36" s="132">
        <f>IF(OR(GQ$4="",$B36=""),0,SUMIF('DADOS BRUTOS'!$A$3:$A$500,$B36,'DADOS BRUTOS'!DQ$3:DQ$500)+IF($C36="",0,SUMIF('DADOS BRUTOS'!$A$3:$A$500,$C36,'DADOS BRUTOS'!DQ$3:DQ$500)))</f>
        <v/>
      </c>
      <c r="GR36" s="132">
        <f>IF(OR(GR$4="",$B36=""),0,SUMIF('DADOS BRUTOS'!$A$3:$A$500,$B36,'DADOS BRUTOS'!DR$3:DR$500)+IF($C36="",0,SUMIF('DADOS BRUTOS'!$A$3:$A$500,$C36,'DADOS BRUTOS'!DR$3:DR$500)))</f>
        <v/>
      </c>
      <c r="GS36" s="132">
        <f>IF(OR(GS$4="",$B36=""),0,SUMIF('DADOS BRUTOS'!$A$3:$A$500,$B36,'DADOS BRUTOS'!DS$3:DS$500)+IF($C36="",0,SUMIF('DADOS BRUTOS'!$A$3:$A$500,$C36,'DADOS BRUTOS'!DS$3:DS$500)))</f>
        <v/>
      </c>
      <c r="GT36" s="132">
        <f>IF(OR(GT$4="",$B36=""),0,SUMIF('DADOS BRUTOS'!$A$3:$A$500,$B36,'DADOS BRUTOS'!DT$3:DT$500)+IF($C36="",0,SUMIF('DADOS BRUTOS'!$A$3:$A$500,$C36,'DADOS BRUTOS'!DT$3:DT$500)))</f>
        <v/>
      </c>
      <c r="GU36" s="132">
        <f>IF(OR(GU$4="",$B36=""),0,SUMIF('DADOS BRUTOS'!$A$3:$A$500,$B36,'DADOS BRUTOS'!DU$3:DU$500)+IF($C36="",0,SUMIF('DADOS BRUTOS'!$A$3:$A$500,$C36,'DADOS BRUTOS'!DU$3:DU$500)))</f>
        <v/>
      </c>
      <c r="GV36" s="132">
        <f>IF(OR(GV$4="",$B36=""),0,SUMIF('DADOS BRUTOS'!$A$3:$A$500,$B36,'DADOS BRUTOS'!DV$3:DV$500)+IF($C36="",0,SUMIF('DADOS BRUTOS'!$A$3:$A$500,$C36,'DADOS BRUTOS'!DV$3:DV$500)))</f>
        <v/>
      </c>
      <c r="GW36" s="132">
        <f>IF(OR(GW$4="",$B36=""),0,SUMIF('DADOS BRUTOS'!$A$3:$A$500,$B36,'DADOS BRUTOS'!DW$3:DW$500)+IF($C36="",0,SUMIF('DADOS BRUTOS'!$A$3:$A$500,$C36,'DADOS BRUTOS'!DW$3:DW$500)))</f>
        <v/>
      </c>
      <c r="GX36" s="132">
        <f>IF(OR(GX$4="",$B36=""),0,SUMIF('DADOS BRUTOS'!$A$3:$A$500,$B36,'DADOS BRUTOS'!DX$3:DX$500)+IF($C36="",0,SUMIF('DADOS BRUTOS'!$A$3:$A$500,$C36,'DADOS BRUTOS'!DX$3:DX$500)))</f>
        <v/>
      </c>
      <c r="GY36" s="132">
        <f>IF(OR(GY$4="",$B36=""),0,SUMIF('DADOS BRUTOS'!$A$3:$A$500,$B36,'DADOS BRUTOS'!DY$3:DY$500)+IF($C36="",0,SUMIF('DADOS BRUTOS'!$A$3:$A$500,$C36,'DADOS BRUTOS'!DY$3:DY$500)))</f>
        <v/>
      </c>
      <c r="GZ36" s="132">
        <f>IF(OR(GZ$4="",$B36=""),0,SUMIF('DADOS BRUTOS'!$A$3:$A$500,$B36,'DADOS BRUTOS'!DZ$3:DZ$500)+IF($C36="",0,SUMIF('DADOS BRUTOS'!$A$3:$A$500,$C36,'DADOS BRUTOS'!DZ$3:DZ$500)))</f>
        <v/>
      </c>
      <c r="HA36" s="132">
        <f>IF(OR(HA$4="",$B36=""),0,SUMIF('DADOS BRUTOS'!$A$3:$A$500,$B36,'DADOS BRUTOS'!EA$3:EA$500)+IF($C36="",0,SUMIF('DADOS BRUTOS'!$A$3:$A$500,$C36,'DADOS BRUTOS'!EA$3:EA$500)))</f>
        <v/>
      </c>
      <c r="HB36" s="132">
        <f>IF(OR(HB$4="",$B36=""),0,SUMIF('DADOS BRUTOS'!$A$3:$A$500,$B36,'DADOS BRUTOS'!EB$3:EB$500)+IF($C36="",0,SUMIF('DADOS BRUTOS'!$A$3:$A$500,$C36,'DADOS BRUTOS'!EB$3:EB$500)))</f>
        <v/>
      </c>
      <c r="HC36" s="132">
        <f>IF(OR(HC$4="",$B36=""),0,SUMIF('DADOS BRUTOS'!$A$3:$A$500,$B36,'DADOS BRUTOS'!EC$3:EC$500)+IF($C36="",0,SUMIF('DADOS BRUTOS'!$A$3:$A$500,$C36,'DADOS BRUTOS'!EC$3:EC$500)))</f>
        <v/>
      </c>
      <c r="HD36" s="132">
        <f>IF(OR(HD$4="",$B36=""),0,SUMIF('DADOS BRUTOS'!$A$3:$A$500,$B36,'DADOS BRUTOS'!ED$3:ED$500)+IF($C36="",0,SUMIF('DADOS BRUTOS'!$A$3:$A$500,$C36,'DADOS BRUTOS'!ED$3:ED$500)))</f>
        <v/>
      </c>
      <c r="HE36" s="132">
        <f>IF(OR(HE$4="",$B36=""),0,SUMIF('DADOS BRUTOS'!$A$3:$A$500,$B36,'DADOS BRUTOS'!EE$3:EE$500)+IF($C36="",0,SUMIF('DADOS BRUTOS'!$A$3:$A$500,$C36,'DADOS BRUTOS'!EE$3:EE$500)))</f>
        <v/>
      </c>
      <c r="HF36" s="132">
        <f>IF(OR(HF$4="",$B36=""),0,SUMIF('DADOS BRUTOS'!$A$3:$A$500,$B36,'DADOS BRUTOS'!EF$3:EF$500)+IF($C36="",0,SUMIF('DADOS BRUTOS'!$A$3:$A$500,$C36,'DADOS BRUTOS'!EF$3:EF$500)))</f>
        <v/>
      </c>
      <c r="HG36" s="132">
        <f>IF(OR(HG$4="",$B36=""),0,SUMIF('DADOS BRUTOS'!$A$3:$A$500,$B36,'DADOS BRUTOS'!EG$3:EG$500)+IF($C36="",0,SUMIF('DADOS BRUTOS'!$A$3:$A$500,$C36,'DADOS BRUTOS'!EG$3:EG$500)))</f>
        <v/>
      </c>
      <c r="HH36" s="132">
        <f>IF(OR(HH$4="",$B36=""),0,SUMIF('DADOS BRUTOS'!$A$3:$A$500,$B36,'DADOS BRUTOS'!EH$3:EH$500)+IF($C36="",0,SUMIF('DADOS BRUTOS'!$A$3:$A$500,$C36,'DADOS BRUTOS'!EH$3:EH$500)))</f>
        <v/>
      </c>
      <c r="HI36" s="132">
        <f>IF(OR(HI$4="",$B36=""),0,SUMIF('DADOS BRUTOS'!$A$3:$A$500,$B36,'DADOS BRUTOS'!EI$3:EI$500)+IF($C36="",0,SUMIF('DADOS BRUTOS'!$A$3:$A$500,$C36,'DADOS BRUTOS'!EI$3:EI$500)))</f>
        <v/>
      </c>
      <c r="HJ36" s="132">
        <f>IF(OR(HJ$4="",$B36=""),0,SUMIF('DADOS BRUTOS'!$A$3:$A$500,$B36,'DADOS BRUTOS'!EJ$3:EJ$500)+IF($C36="",0,SUMIF('DADOS BRUTOS'!$A$3:$A$500,$C36,'DADOS BRUTOS'!EJ$3:EJ$500)))</f>
        <v/>
      </c>
      <c r="HK36" s="132">
        <f>IF(OR(HK$4="",$B36=""),0,SUMIF('DADOS BRUTOS'!$A$3:$A$500,$B36,'DADOS BRUTOS'!EK$3:EK$500)+IF($C36="",0,SUMIF('DADOS BRUTOS'!$A$3:$A$500,$C36,'DADOS BRUTOS'!EK$3:EK$500)))</f>
        <v/>
      </c>
      <c r="HL36" s="132">
        <f>IF(OR(HL$4="",$B36=""),0,SUMIF('DADOS BRUTOS'!$A$3:$A$500,$B36,'DADOS BRUTOS'!EL$3:EL$500)+IF($C36="",0,SUMIF('DADOS BRUTOS'!$A$3:$A$500,$C36,'DADOS BRUTOS'!EL$3:EL$500)))</f>
        <v/>
      </c>
      <c r="HM36" s="132">
        <f>IF(OR(HM$4="",$B36=""),0,SUMIF('DADOS BRUTOS'!$A$3:$A$500,$B36,'DADOS BRUTOS'!EM$3:EM$500)+IF($C36="",0,SUMIF('DADOS BRUTOS'!$A$3:$A$500,$C36,'DADOS BRUTOS'!EM$3:EM$500)))</f>
        <v/>
      </c>
      <c r="HN36" s="132">
        <f>IF(OR(HN$4="",$B36=""),0,SUMIF('DADOS BRUTOS'!$A$3:$A$500,$B36,'DADOS BRUTOS'!EN$3:EN$500)+IF($C36="",0,SUMIF('DADOS BRUTOS'!$A$3:$A$500,$C36,'DADOS BRUTOS'!EN$3:EN$500)))</f>
        <v/>
      </c>
      <c r="HO36" s="132">
        <f>IF(OR(HO$4="",$B36=""),0,SUMIF('DADOS BRUTOS'!$A$3:$A$500,$B36,'DADOS BRUTOS'!EO$3:EO$500)+IF($C36="",0,SUMIF('DADOS BRUTOS'!$A$3:$A$500,$C36,'DADOS BRUTOS'!EO$3:EO$500)))</f>
        <v/>
      </c>
      <c r="HP36" s="132">
        <f>IF(OR(HP$4="",$B36=""),0,SUMIF('DADOS BRUTOS'!$A$3:$A$500,$B36,'DADOS BRUTOS'!EP$3:EP$500)+IF($C36="",0,SUMIF('DADOS BRUTOS'!$A$3:$A$500,$C36,'DADOS BRUTOS'!EP$3:EP$500)))</f>
        <v/>
      </c>
      <c r="HQ36" s="132">
        <f>IF(OR(HQ$4="",$B36=""),0,SUMIF('DADOS BRUTOS'!$A$3:$A$500,$B36,'DADOS BRUTOS'!EQ$3:EQ$500)+IF($C36="",0,SUMIF('DADOS BRUTOS'!$A$3:$A$500,$C36,'DADOS BRUTOS'!EQ$3:EQ$500)))</f>
        <v/>
      </c>
      <c r="HR36" s="132">
        <f>IF(OR(HR$4="",$B36=""),0,SUMIF('DADOS BRUTOS'!$A$3:$A$500,$B36,'DADOS BRUTOS'!ER$3:ER$500)+IF($C36="",0,SUMIF('DADOS BRUTOS'!$A$3:$A$500,$C36,'DADOS BRUTOS'!ER$3:ER$500)))</f>
        <v/>
      </c>
      <c r="HS36" s="132">
        <f>IF(OR(HS$4="",$B36=""),0,SUMIF('DADOS BRUTOS'!$A$3:$A$500,$B36,'DADOS BRUTOS'!ES$3:ES$500)+IF($C36="",0,SUMIF('DADOS BRUTOS'!$A$3:$A$500,$C36,'DADOS BRUTOS'!ES$3:ES$500)))</f>
        <v/>
      </c>
      <c r="HT36" s="132">
        <f>IF(OR(HT$4="",$B36=""),0,SUMIF('DADOS BRUTOS'!$A$3:$A$500,$B36,'DADOS BRUTOS'!ET$3:ET$500)+IF($C36="",0,SUMIF('DADOS BRUTOS'!$A$3:$A$500,$C36,'DADOS BRUTOS'!ET$3:ET$500)))</f>
        <v/>
      </c>
      <c r="HU36" s="132">
        <f>IF(OR(HU$4="",$B36=""),0,SUMIF('DADOS BRUTOS'!$A$3:$A$500,$B36,'DADOS BRUTOS'!EU$3:EU$500)+IF($C36="",0,SUMIF('DADOS BRUTOS'!$A$3:$A$500,$C36,'DADOS BRUTOS'!EU$3:EU$500)))</f>
        <v/>
      </c>
      <c r="HV36" s="132">
        <f>IF(OR(HV$4="",$B36=""),0,SUMIF('DADOS BRUTOS'!$A$3:$A$500,$B36,'DADOS BRUTOS'!EV$3:EV$500)+IF($C36="",0,SUMIF('DADOS BRUTOS'!$A$3:$A$500,$C36,'DADOS BRUTOS'!EV$3:EV$500)))</f>
        <v/>
      </c>
      <c r="HW36" s="132">
        <f>IF(OR(HW$4="",$B36=""),0,SUMIF('DADOS BRUTOS'!$A$3:$A$500,$B36,'DADOS BRUTOS'!EW$3:EW$500)+IF($C36="",0,SUMIF('DADOS BRUTOS'!$A$3:$A$500,$C36,'DADOS BRUTOS'!EW$3:EW$500)))</f>
        <v/>
      </c>
      <c r="HX36" s="132">
        <f>IF(OR(HX$4="",$B36=""),0,SUMIF('DADOS BRUTOS'!$A$3:$A$500,$B36,'DADOS BRUTOS'!EX$3:EX$500)+IF($C36="",0,SUMIF('DADOS BRUTOS'!$A$3:$A$500,$C36,'DADOS BRUTOS'!EX$3:EX$500)))</f>
        <v/>
      </c>
      <c r="HY36" s="132">
        <f>IF(OR(HY$4="",$B36=""),0,SUMIF('DADOS BRUTOS'!$A$3:$A$500,$B36,'DADOS BRUTOS'!EY$3:EY$500)+IF($C36="",0,SUMIF('DADOS BRUTOS'!$A$3:$A$500,$C36,'DADOS BRUTOS'!EY$3:EY$500)))</f>
        <v/>
      </c>
      <c r="HZ36" s="132">
        <f>IF(OR(HZ$4="",$B36=""),0,SUMIF('DADOS BRUTOS'!$A$3:$A$500,$B36,'DADOS BRUTOS'!EZ$3:EZ$500)+IF($C36="",0,SUMIF('DADOS BRUTOS'!$A$3:$A$500,$C36,'DADOS BRUTOS'!EZ$3:EZ$500)))</f>
        <v/>
      </c>
      <c r="IA36" s="132">
        <f>IF(OR(IA$4="",$B36=""),0,SUMIF('DADOS BRUTOS'!$A$3:$A$500,$B36,'DADOS BRUTOS'!FA$3:FA$500)+IF($C36="",0,SUMIF('DADOS BRUTOS'!$A$3:$A$500,$C36,'DADOS BRUTOS'!FA$3:FA$500)))</f>
        <v/>
      </c>
      <c r="IB36" s="132">
        <f>IF(OR(IB$4="",$B36=""),0,SUMIF('DADOS BRUTOS'!$A$3:$A$500,$B36,'DADOS BRUTOS'!FB$3:FB$500)+IF($C36="",0,SUMIF('DADOS BRUTOS'!$A$3:$A$500,$C36,'DADOS BRUTOS'!FB$3:FB$500)))</f>
        <v/>
      </c>
      <c r="IC36" s="132">
        <f>IF(OR(IC$4="",$B36=""),0,SUMIF('DADOS BRUTOS'!$A$3:$A$500,$B36,'DADOS BRUTOS'!FC$3:FC$500)+IF($C36="",0,SUMIF('DADOS BRUTOS'!$A$3:$A$500,$C36,'DADOS BRUTOS'!FC$3:FC$500)))</f>
        <v/>
      </c>
      <c r="ID36" s="132">
        <f>IF(OR(ID$4="",$B36=""),0,SUMIF('DADOS BRUTOS'!$A$3:$A$500,$B36,'DADOS BRUTOS'!FD$3:FD$500)+IF($C36="",0,SUMIF('DADOS BRUTOS'!$A$3:$A$500,$C36,'DADOS BRUTOS'!FD$3:FD$500)))</f>
        <v/>
      </c>
      <c r="IE36" s="132">
        <f>IF(OR(IE$4="",$B36=""),0,SUMIF('DADOS BRUTOS'!$A$3:$A$500,$B36,'DADOS BRUTOS'!FE$3:FE$500)+IF($C36="",0,SUMIF('DADOS BRUTOS'!$A$3:$A$500,$C36,'DADOS BRUTOS'!FE$3:FE$500)))</f>
        <v/>
      </c>
      <c r="IF36" s="132">
        <f>IF(OR(IF$4="",$B36=""),0,SUMIF('DADOS BRUTOS'!$A$3:$A$500,$B36,'DADOS BRUTOS'!FF$3:FF$500)+IF($C36="",0,SUMIF('DADOS BRUTOS'!$A$3:$A$500,$C36,'DADOS BRUTOS'!FF$3:FF$500)))</f>
        <v/>
      </c>
      <c r="IG36" s="132">
        <f>IF(OR(IG$4="",$B36=""),0,SUMIF('DADOS BRUTOS'!$A$3:$A$500,$B36,'DADOS BRUTOS'!FG$3:FG$500)+IF($C36="",0,SUMIF('DADOS BRUTOS'!$A$3:$A$500,$C36,'DADOS BRUTOS'!FG$3:FG$500)))</f>
        <v/>
      </c>
      <c r="IH36" s="132">
        <f>IF(OR(IH$4="",$B36=""),0,SUMIF('DADOS BRUTOS'!$A$3:$A$500,$B36,'DADOS BRUTOS'!FH$3:FH$500)+IF($C36="",0,SUMIF('DADOS BRUTOS'!$A$3:$A$500,$C36,'DADOS BRUTOS'!FH$3:FH$500)))</f>
        <v/>
      </c>
      <c r="II36" s="132">
        <f>IF(OR(II$4="",$B36=""),0,SUMIF('DADOS BRUTOS'!$A$3:$A$500,$B36,'DADOS BRUTOS'!FI$3:FI$500)+IF($C36="",0,SUMIF('DADOS BRUTOS'!$A$3:$A$500,$C36,'DADOS BRUTOS'!FI$3:FI$500)))</f>
        <v/>
      </c>
      <c r="IJ36" s="132">
        <f>IF(OR(IJ$4="",$B36=""),0,SUMIF('DADOS BRUTOS'!$A$3:$A$500,$B36,'DADOS BRUTOS'!FJ$3:FJ$500)+IF($C36="",0,SUMIF('DADOS BRUTOS'!$A$3:$A$500,$C36,'DADOS BRUTOS'!FJ$3:FJ$500)))</f>
        <v/>
      </c>
      <c r="IK36" s="132">
        <f>IF(OR(IK$4="",$B36=""),0,SUMIF('DADOS BRUTOS'!$A$3:$A$500,$B36,'DADOS BRUTOS'!FK$3:FK$500)+IF($C36="",0,SUMIF('DADOS BRUTOS'!$A$3:$A$500,$C36,'DADOS BRUTOS'!FK$3:FK$500)))</f>
        <v/>
      </c>
      <c r="IL36" s="132">
        <f>IF(OR(IL$4="",$B36=""),0,SUMIF('DADOS BRUTOS'!$A$3:$A$500,$B36,'DADOS BRUTOS'!FL$3:FL$500)+IF($C36="",0,SUMIF('DADOS BRUTOS'!$A$3:$A$500,$C36,'DADOS BRUTOS'!FL$3:FL$500)))</f>
        <v/>
      </c>
      <c r="IM36" s="132">
        <f>IF(OR(IM$4="",$B36=""),0,SUMIF('DADOS BRUTOS'!$A$3:$A$500,$B36,'DADOS BRUTOS'!FM$3:FM$500)+IF($C36="",0,SUMIF('DADOS BRUTOS'!$A$3:$A$500,$C36,'DADOS BRUTOS'!FM$3:FM$500)))</f>
        <v/>
      </c>
      <c r="IN36" s="132">
        <f>IF(OR(IN$4="",$B36=""),0,SUMIF('DADOS BRUTOS'!$A$3:$A$500,$B36,'DADOS BRUTOS'!FN$3:FN$500)+IF($C36="",0,SUMIF('DADOS BRUTOS'!$A$3:$A$500,$C36,'DADOS BRUTOS'!FN$3:FN$500)))</f>
        <v/>
      </c>
      <c r="IO36" s="132">
        <f>IF(OR(IO$4="",$B36=""),0,SUMIF('DADOS BRUTOS'!$A$3:$A$500,$B36,'DADOS BRUTOS'!FO$3:FO$500)+IF($C36="",0,SUMIF('DADOS BRUTOS'!$A$3:$A$500,$C36,'DADOS BRUTOS'!FO$3:FO$500)))</f>
        <v/>
      </c>
      <c r="IP36" s="132">
        <f>IF(OR(IP$4="",$B36=""),0,SUMIF('DADOS BRUTOS'!$A$3:$A$500,$B36,'DADOS BRUTOS'!FP$3:FP$500)+IF($C36="",0,SUMIF('DADOS BRUTOS'!$A$3:$A$500,$C36,'DADOS BRUTOS'!FP$3:FP$500)))</f>
        <v/>
      </c>
      <c r="IQ36" s="132">
        <f>IF(OR(IQ$4="",$B36=""),0,SUMIF('DADOS BRUTOS'!$A$3:$A$500,$B36,'DADOS BRUTOS'!FQ$3:FQ$500)+IF($C36="",0,SUMIF('DADOS BRUTOS'!$A$3:$A$500,$C36,'DADOS BRUTOS'!FQ$3:FQ$500)))</f>
        <v/>
      </c>
      <c r="IR36" s="132">
        <f>IF(OR(IR$4="",$B36=""),0,SUMIF('DADOS BRUTOS'!$A$3:$A$500,$B36,'DADOS BRUTOS'!FR$3:FR$500)+IF($C36="",0,SUMIF('DADOS BRUTOS'!$A$3:$A$500,$C36,'DADOS BRUTOS'!FR$3:FR$500)))</f>
        <v/>
      </c>
      <c r="IS36" s="132">
        <f>IF(OR(IS$4="",$B36=""),0,SUMIF('DADOS BRUTOS'!$A$3:$A$500,$B36,'DADOS BRUTOS'!FS$3:FS$500)+IF($C36="",0,SUMIF('DADOS BRUTOS'!$A$3:$A$500,$C36,'DADOS BRUTOS'!FS$3:FS$500)))</f>
        <v/>
      </c>
      <c r="IT36" s="132">
        <f>IF(OR(IT$4="",$B36=""),0,SUMIF('DADOS BRUTOS'!$A$3:$A$500,$B36,'DADOS BRUTOS'!FT$3:FT$500)+IF($C36="",0,SUMIF('DADOS BRUTOS'!$A$3:$A$500,$C36,'DADOS BRUTOS'!FT$3:FT$500)))</f>
        <v/>
      </c>
      <c r="IU36" s="132">
        <f>IF(OR(IU$4="",$B36=""),0,SUMIF('DADOS BRUTOS'!$A$3:$A$500,$B36,'DADOS BRUTOS'!FU$3:FU$500)+IF($C36="",0,SUMIF('DADOS BRUTOS'!$A$3:$A$500,$C36,'DADOS BRUTOS'!FU$3:FU$500)))</f>
        <v/>
      </c>
      <c r="IV36" s="132">
        <f>IF(OR(IV$4="",$B36=""),0,SUMIF('DADOS BRUTOS'!$A$3:$A$500,$B36,'DADOS BRUTOS'!FV$3:FV$500)+IF($C36="",0,SUMIF('DADOS BRUTOS'!$A$3:$A$500,$C36,'DADOS BRUTOS'!FV$3:FV$500)))</f>
        <v/>
      </c>
      <c r="IW36" s="132">
        <f>IF(OR(IW$4="",$B36=""),0,SUMIF('DADOS BRUTOS'!$A$3:$A$500,$B36,'DADOS BRUTOS'!FW$3:FW$500)+IF($C36="",0,SUMIF('DADOS BRUTOS'!$A$3:$A$500,$C36,'DADOS BRUTOS'!FW$3:FW$500)))</f>
        <v/>
      </c>
      <c r="IX36" s="132">
        <f>IF(OR(IX$4="",$B36=""),0,SUMIF('DADOS BRUTOS'!$A$3:$A$500,$B36,'DADOS BRUTOS'!FX$3:FX$500)+IF($C36="",0,SUMIF('DADOS BRUTOS'!$A$3:$A$500,$C36,'DADOS BRUTOS'!FX$3:FX$500)))</f>
        <v/>
      </c>
      <c r="IY36" s="132">
        <f>IF(OR(IY$4="",$B36=""),0,SUMIF('DADOS BRUTOS'!$A$3:$A$500,$B36,'DADOS BRUTOS'!FY$3:FY$500)+IF($C36="",0,SUMIF('DADOS BRUTOS'!$A$3:$A$500,$C36,'DADOS BRUTOS'!FY$3:FY$500)))</f>
        <v/>
      </c>
      <c r="IZ36" s="132">
        <f>IF(OR(IZ$4="",$B36=""),0,SUMIF('DADOS BRUTOS'!$A$3:$A$500,$B36,'DADOS BRUTOS'!FZ$3:FZ$500)+IF($C36="",0,SUMIF('DADOS BRUTOS'!$A$3:$A$500,$C36,'DADOS BRUTOS'!FZ$3:FZ$500)))</f>
        <v/>
      </c>
      <c r="JA36" s="132">
        <f>IF(OR(JA$4="",$B36=""),0,SUMIF('DADOS BRUTOS'!$A$3:$A$500,$B36,'DADOS BRUTOS'!GA$3:GA$500)+IF($C36="",0,SUMIF('DADOS BRUTOS'!$A$3:$A$500,$C36,'DADOS BRUTOS'!GA$3:GA$500)))</f>
        <v/>
      </c>
      <c r="JB36" s="132">
        <f>IF(OR(JB$4="",$B36=""),0,SUMIF('DADOS BRUTOS'!$A$3:$A$500,$B36,'DADOS BRUTOS'!GB$3:GB$500)+IF($C36="",0,SUMIF('DADOS BRUTOS'!$A$3:$A$500,$C36,'DADOS BRUTOS'!GB$3:GB$500)))</f>
        <v/>
      </c>
      <c r="JC36" s="132">
        <f>IF(OR(JC$4="",$B36=""),0,SUMIF('DADOS BRUTOS'!$A$3:$A$500,$B36,'DADOS BRUTOS'!GC$3:GC$500)+IF($C36="",0,SUMIF('DADOS BRUTOS'!$A$3:$A$500,$C36,'DADOS BRUTOS'!GC$3:GC$500)))</f>
        <v/>
      </c>
      <c r="JD36" s="132">
        <f>IF(OR(JD$4="",$B36=""),0,SUMIF('DADOS BRUTOS'!$A$3:$A$500,$B36,'DADOS BRUTOS'!GD$3:GD$500)+IF($C36="",0,SUMIF('DADOS BRUTOS'!$A$3:$A$500,$C36,'DADOS BRUTOS'!GD$3:GD$500)))</f>
        <v/>
      </c>
      <c r="JE36" s="132">
        <f>IF(OR(JE$4="",$B36=""),0,SUMIF('DADOS BRUTOS'!$A$3:$A$500,$B36,'DADOS BRUTOS'!GE$3:GE$500)+IF($C36="",0,SUMIF('DADOS BRUTOS'!$A$3:$A$500,$C36,'DADOS BRUTOS'!GE$3:GE$500)))</f>
        <v/>
      </c>
      <c r="JF36" s="132">
        <f>IF(OR(JF$4="",$B36=""),0,SUMIF('DADOS BRUTOS'!$A$3:$A$500,$B36,'DADOS BRUTOS'!GF$3:GF$500)+IF($C36="",0,SUMIF('DADOS BRUTOS'!$A$3:$A$500,$C36,'DADOS BRUTOS'!GF$3:GF$500)))</f>
        <v/>
      </c>
      <c r="JG36" s="132">
        <f>IF(OR(JG$4="",$B36=""),0,SUMIF('DADOS BRUTOS'!$A$3:$A$500,$B36,'DADOS BRUTOS'!GG$3:GG$500)+IF($C36="",0,SUMIF('DADOS BRUTOS'!$A$3:$A$500,$C36,'DADOS BRUTOS'!GG$3:GG$500)))</f>
        <v/>
      </c>
      <c r="JH36" s="132">
        <f>IF(OR(JH$4="",$B36=""),0,SUMIF('DADOS BRUTOS'!$A$3:$A$500,$B36,'DADOS BRUTOS'!GH$3:GH$500)+IF($C36="",0,SUMIF('DADOS BRUTOS'!$A$3:$A$500,$C36,'DADOS BRUTOS'!GH$3:GH$500)))</f>
        <v/>
      </c>
      <c r="JI36" s="132">
        <f>IF(OR(JI$4="",$B36=""),0,SUMIF('DADOS BRUTOS'!$A$3:$A$500,$B36,'DADOS BRUTOS'!GI$3:GI$500)+IF($C36="",0,SUMIF('DADOS BRUTOS'!$A$3:$A$500,$C36,'DADOS BRUTOS'!GI$3:GI$500)))</f>
        <v/>
      </c>
      <c r="JJ36" s="132">
        <f>IF(OR(JJ$4="",$B36=""),0,SUMIF('DADOS BRUTOS'!$A$3:$A$500,$B36,'DADOS BRUTOS'!GJ$3:GJ$500)+IF($C36="",0,SUMIF('DADOS BRUTOS'!$A$3:$A$500,$C36,'DADOS BRUTOS'!GJ$3:GJ$500)))</f>
        <v/>
      </c>
      <c r="JK36" s="132">
        <f>IF(OR(JK$4="",$B36=""),0,SUMIF('DADOS BRUTOS'!$A$3:$A$500,$B36,'DADOS BRUTOS'!GK$3:GK$500)+IF($C36="",0,SUMIF('DADOS BRUTOS'!$A$3:$A$500,$C36,'DADOS BRUTOS'!GK$3:GK$500)))</f>
        <v/>
      </c>
      <c r="JL36" s="132">
        <f>IF(OR(JL$4="",$B36=""),0,SUMIF('DADOS BRUTOS'!$A$3:$A$500,$B36,'DADOS BRUTOS'!GL$3:GL$500)+IF($C36="",0,SUMIF('DADOS BRUTOS'!$A$3:$A$500,$C36,'DADOS BRUTOS'!GL$3:GL$500)))</f>
        <v/>
      </c>
      <c r="JM36" s="132">
        <f>IF(OR(JM$4="",$B36=""),0,SUMIF('DADOS BRUTOS'!$A$3:$A$500,$B36,'DADOS BRUTOS'!GM$3:GM$500)+IF($C36="",0,SUMIF('DADOS BRUTOS'!$A$3:$A$500,$C36,'DADOS BRUTOS'!GM$3:GM$500)))</f>
        <v/>
      </c>
      <c r="JN36" s="132">
        <f>IF(OR(JN$4="",$B36=""),0,SUMIF('DADOS BRUTOS'!$A$3:$A$500,$B36,'DADOS BRUTOS'!GN$3:GN$500)+IF($C36="",0,SUMIF('DADOS BRUTOS'!$A$3:$A$500,$C36,'DADOS BRUTOS'!GN$3:GN$500)))</f>
        <v/>
      </c>
      <c r="JO36" s="132">
        <f>IF(OR(JO$4="",$B36=""),0,SUMIF('DADOS BRUTOS'!$A$3:$A$500,$B36,'DADOS BRUTOS'!GO$3:GO$500)+IF($C36="",0,SUMIF('DADOS BRUTOS'!$A$3:$A$500,$C36,'DADOS BRUTOS'!GO$3:GO$500)))</f>
        <v/>
      </c>
      <c r="JP36" s="132">
        <f>IF(OR(JP$4="",$B36=""),0,SUMIF('DADOS BRUTOS'!$A$3:$A$500,$B36,'DADOS BRUTOS'!GP$3:GP$500)+IF($C36="",0,SUMIF('DADOS BRUTOS'!$A$3:$A$500,$C36,'DADOS BRUTOS'!GP$3:GP$500)))</f>
        <v/>
      </c>
      <c r="JQ36" s="132">
        <f>IF(OR(JQ$4="",$B36=""),0,SUMIF('DADOS BRUTOS'!$A$3:$A$500,$B36,'DADOS BRUTOS'!GQ$3:GQ$500)+IF($C36="",0,SUMIF('DADOS BRUTOS'!$A$3:$A$500,$C36,'DADOS BRUTOS'!GQ$3:GQ$500)))</f>
        <v/>
      </c>
      <c r="JR36" s="132">
        <f>IF(OR(JR$4="",$B36=""),0,SUMIF('DADOS BRUTOS'!$A$3:$A$500,$B36,'DADOS BRUTOS'!GR$3:GR$500)+IF($C36="",0,SUMIF('DADOS BRUTOS'!$A$3:$A$500,$C36,'DADOS BRUTOS'!GR$3:GR$500)))</f>
        <v/>
      </c>
      <c r="JS36" s="132">
        <f>IF(OR(JS$4="",$B36=""),0,SUMIF('DADOS BRUTOS'!$A$3:$A$500,$B36,'DADOS BRUTOS'!GS$3:GS$500)+IF($C36="",0,SUMIF('DADOS BRUTOS'!$A$3:$A$500,$C36,'DADOS BRUTOS'!GS$3:GS$500)))</f>
        <v/>
      </c>
    </row>
    <row r="37">
      <c r="A37" s="61">
        <f>'VALOR POR PL'!D43</f>
        <v/>
      </c>
      <c r="B37" s="59" t="inlineStr">
        <is>
          <t>FORRO</t>
        </is>
      </c>
      <c r="C37" s="59" t="n"/>
      <c r="D37" s="54">
        <f>SUMIF($CB$4:$JS$4,"&lt;="&amp;D$4,$CB37:$JS37)</f>
        <v/>
      </c>
      <c r="E37" s="54">
        <f>SUMIF($CB$4:$JS$4,E$4,$CB37:$JS37)</f>
        <v/>
      </c>
      <c r="F37" s="54">
        <f>SUMIF($CB$4:$JS$4,F$4,$CB37:$JS37)</f>
        <v/>
      </c>
      <c r="G37" s="54">
        <f>SUMIF($CB$4:$JS$4,G$4,$CB37:$JS37)</f>
        <v/>
      </c>
      <c r="H37" s="54">
        <f>SUMIF($CB$4:$JS$4,H$4,$CB37:$JS37)</f>
        <v/>
      </c>
      <c r="I37" s="54">
        <f>SUMIF($CB$4:$JS$4,I$4,$CB37:$JS37)</f>
        <v/>
      </c>
      <c r="J37" s="54">
        <f>SUMIF($CB$4:$JS$4,J$4,$CB37:$JS37)</f>
        <v/>
      </c>
      <c r="K37" s="54">
        <f>SUMIF($CB$4:$JS$4,K$4,$CB37:$JS37)</f>
        <v/>
      </c>
      <c r="L37" s="54">
        <f>SUMIF($CB$4:$JS$4,L$4,$CB37:$JS37)</f>
        <v/>
      </c>
      <c r="M37" s="54">
        <f>SUMIF($CB$4:$JS$4,M$4,$CB37:$JS37)</f>
        <v/>
      </c>
      <c r="N37" s="54">
        <f>SUMIF($CB$4:$JS$4,N$4,$CB37:$JS37)</f>
        <v/>
      </c>
      <c r="O37" s="54">
        <f>SUMIF($CB$4:$JS$4,O$4,$CB37:$JS37)</f>
        <v/>
      </c>
      <c r="P37" s="54">
        <f>SUMIF($CB$4:$JS$4,P$4,$CB37:$JS37)</f>
        <v/>
      </c>
      <c r="Q37" s="54">
        <f>SUMIF($CB$4:$JS$4,Q$4,$CB37:$JS37)</f>
        <v/>
      </c>
      <c r="R37" s="54">
        <f>SUMIF($CB$4:$JS$4,R$4,$CB37:$JS37)</f>
        <v/>
      </c>
      <c r="S37" s="54">
        <f>SUMIF($CB$4:$JS$4,S$4,$CB37:$JS37)</f>
        <v/>
      </c>
      <c r="T37" s="54">
        <f>SUMIF($CB$4:$JS$4,T$4,$CB37:$JS37)</f>
        <v/>
      </c>
      <c r="U37" s="54">
        <f>SUMIF($CB$4:$JS$4,U$4,$CB37:$JS37)</f>
        <v/>
      </c>
      <c r="V37" s="54">
        <f>SUMIF($CB$4:$JS$4,V$4,$CB37:$JS37)</f>
        <v/>
      </c>
      <c r="W37" s="54">
        <f>SUMIF($CB$4:$JS$4,W$4,$CB37:$JS37)</f>
        <v/>
      </c>
      <c r="X37" s="54">
        <f>SUMIF($CB$4:$JS$4,X$4,$CB37:$JS37)</f>
        <v/>
      </c>
      <c r="Y37" s="54">
        <f>SUMIF($CB$4:$JS$4,Y$4,$CB37:$JS37)</f>
        <v/>
      </c>
      <c r="Z37" s="54">
        <f>SUMIF($CB$4:$JS$4,Z$4,$CB37:$JS37)</f>
        <v/>
      </c>
      <c r="AA37" s="54">
        <f>SUMIF($CB$4:$JS$4,AA$4,$CB37:$JS37)</f>
        <v/>
      </c>
      <c r="AB37" s="54">
        <f>SUMIF($CB$4:$JS$4,AB$4,$CB37:$JS37)</f>
        <v/>
      </c>
      <c r="AC37" s="54">
        <f>SUMIF($CB$4:$JS$4,AC$4,$CB37:$JS37)</f>
        <v/>
      </c>
      <c r="AD37" s="54">
        <f>SUMIF($CB$4:$JS$4,AD$4,$CB37:$JS37)</f>
        <v/>
      </c>
      <c r="AE37" s="54">
        <f>SUMIF($CB$4:$JS$4,AE$4,$CB37:$JS37)</f>
        <v/>
      </c>
      <c r="AF37" s="54">
        <f>SUMIF($CB$4:$JS$4,AF$4,$CB37:$JS37)</f>
        <v/>
      </c>
      <c r="AG37" s="54">
        <f>SUMIF($CB$4:$JS$4,AG$4,$CB37:$JS37)</f>
        <v/>
      </c>
      <c r="AH37" s="54">
        <f>SUMIF($CB$4:$JS$4,AH$4,$CB37:$JS37)</f>
        <v/>
      </c>
      <c r="AI37" s="54">
        <f>SUMIF($CB$4:$JS$4,AI$4,$CB37:$JS37)</f>
        <v/>
      </c>
      <c r="AJ37" s="54">
        <f>SUMIF($CB$4:$JS$4,AJ$4,$CB37:$JS37)</f>
        <v/>
      </c>
      <c r="AK37" s="54">
        <f>SUMIF($CB$4:$JS$4,AK$4,$CB37:$JS37)</f>
        <v/>
      </c>
      <c r="AL37" s="54">
        <f>SUMIF($CB$4:$JS$4,AL$4,$CB37:$JS37)</f>
        <v/>
      </c>
      <c r="AM37" s="54">
        <f>SUMIF($CB$4:$JS$4,AM$4,$CB37:$JS37)</f>
        <v/>
      </c>
      <c r="AN37" s="54">
        <f>SUMIF($CB$4:$JS$4,AN$4,$CB37:$JS37)</f>
        <v/>
      </c>
      <c r="AO37" s="54">
        <f>SUMIF($CB$4:$JS$4,AO$4,$CB37:$JS37)</f>
        <v/>
      </c>
      <c r="AP37" s="54">
        <f>SUMIF($CB$4:$JS$4,AP$4,$CB37:$JS37)</f>
        <v/>
      </c>
      <c r="AQ37" s="54">
        <f>SUMIF($CB$4:$JS$4,AQ$4,$CB37:$JS37)</f>
        <v/>
      </c>
      <c r="AR37" s="54">
        <f>SUMIF($CB$4:$JS$4,AR$4,$CB37:$JS37)</f>
        <v/>
      </c>
      <c r="AS37" s="54">
        <f>SUMIF($CB$4:$JS$4,AS$4,$CB37:$JS37)</f>
        <v/>
      </c>
      <c r="AT37" s="54">
        <f>SUMIF($CB$4:$JS$4,AT$4,$CB37:$JS37)</f>
        <v/>
      </c>
      <c r="AU37" s="54">
        <f>SUMIF($CB$4:$JS$4,AU$4,$CB37:$JS37)</f>
        <v/>
      </c>
      <c r="AV37" s="54">
        <f>SUMIF($CB$4:$JS$4,AV$4,$CB37:$JS37)</f>
        <v/>
      </c>
      <c r="AW37" s="54">
        <f>SUMIF($CB$4:$JS$4,AW$4,$CB37:$JS37)</f>
        <v/>
      </c>
      <c r="AX37" s="54">
        <f>SUMIF($CB$4:$JS$4,AX$4,$CB37:$JS37)</f>
        <v/>
      </c>
      <c r="AY37" s="54">
        <f>SUMIF($CB$4:$JS$4,AY$4,$CB37:$JS37)</f>
        <v/>
      </c>
      <c r="AZ37" s="54">
        <f>SUMIF($CB$4:$JS$4,AZ$4,$CB37:$JS37)</f>
        <v/>
      </c>
      <c r="BA37" s="54">
        <f>SUMIF($CB$4:$JS$4,BA$4,$CB37:$JS37)</f>
        <v/>
      </c>
      <c r="BB37" s="54">
        <f>SUMIF($CB$4:$JS$4,BB$4,$CB37:$JS37)</f>
        <v/>
      </c>
      <c r="BC37" s="54">
        <f>SUMIF($CB$4:$JS$4,BC$4,$CB37:$JS37)</f>
        <v/>
      </c>
      <c r="BD37" s="54">
        <f>SUMIF($CB$4:$JS$4,BD$4,$CB37:$JS37)</f>
        <v/>
      </c>
      <c r="BE37" s="54">
        <f>SUMIF($CB$4:$JS$4,BE$4,$CB37:$JS37)</f>
        <v/>
      </c>
      <c r="BF37" s="54">
        <f>SUMIF($CB$4:$JS$4,BF$4,$CB37:$JS37)</f>
        <v/>
      </c>
      <c r="BG37" s="54">
        <f>SUMIF($CB$4:$JS$4,BG$4,$CB37:$JS37)</f>
        <v/>
      </c>
      <c r="BH37" s="54">
        <f>SUMIF($CB$4:$JS$4,BH$4,$CB37:$JS37)</f>
        <v/>
      </c>
      <c r="BI37" s="54">
        <f>SUMIF($CB$4:$JS$4,BI$4,$CB37:$JS37)</f>
        <v/>
      </c>
      <c r="BJ37" s="54">
        <f>SUMIF($CB$4:$JS$4,BJ$4,$CB37:$JS37)</f>
        <v/>
      </c>
      <c r="BK37" s="54">
        <f>SUMIF($CB$4:$JS$4,BK$4,$CB37:$JS37)</f>
        <v/>
      </c>
      <c r="BL37" s="54">
        <f>SUMIF($CB$4:$JS$4,BL$4,$CB37:$JS37)</f>
        <v/>
      </c>
      <c r="BM37" s="54">
        <f>SUMIF($CB$4:$JS$4,BM$4,$CB37:$JS37)</f>
        <v/>
      </c>
      <c r="BN37" s="54">
        <f>SUMIF($CB$4:$JS$4,BN$4,$CB37:$JS37)</f>
        <v/>
      </c>
      <c r="BO37" s="54">
        <f>SUMIF($CB$4:$JS$4,BO$4,$CB37:$JS37)</f>
        <v/>
      </c>
      <c r="BP37" s="54">
        <f>SUMIF($CB$4:$JS$4,BP$4,$CB37:$JS37)</f>
        <v/>
      </c>
      <c r="BQ37" s="54">
        <f>SUMIF($CB$4:$JS$4,BQ$4,$CB37:$JS37)</f>
        <v/>
      </c>
      <c r="BR37" s="54">
        <f>SUMIF($CB$4:$JS$4,BR$4,$CB37:$JS37)</f>
        <v/>
      </c>
      <c r="BS37" s="54">
        <f>SUMIF($CB$4:$JS$4,BS$4,$CB37:$JS37)</f>
        <v/>
      </c>
      <c r="BT37" s="54">
        <f>SUMIF($CB$4:$JS$4,BT$4,$CB37:$JS37)</f>
        <v/>
      </c>
      <c r="BU37" s="54">
        <f>SUMIF($CB$4:$JS$4,BU$4,$CB37:$JS37)</f>
        <v/>
      </c>
      <c r="BV37" s="54">
        <f>SUMIF($CB$4:$JS$4,BV$4,$CB37:$JS37)</f>
        <v/>
      </c>
      <c r="BW37" s="54">
        <f>SUMIF($CB$4:$JS$4,BW$4,$CB37:$JS37)</f>
        <v/>
      </c>
      <c r="BX37" s="54">
        <f>SUMIF($CB$4:$JS$4,"&gt;"&amp;'VALOR POR PL'!$P$8,$CB37:$JS37)</f>
        <v/>
      </c>
      <c r="BY37" s="54">
        <f>SUM($CB37:$JS37)</f>
        <v/>
      </c>
      <c r="BZ37" s="49">
        <f>SUMPRODUCT(($CB$4:$JS$4&lt;&gt;"")*($CB$4:$JS$4&lt;=$D$4),$CB37:$JS37,$CB$1:$JS$1)</f>
        <v/>
      </c>
      <c r="CB37" s="132">
        <f>IF(OR(CB$4="",$B37=""),0,SUMIF('DADOS BRUTOS'!$A$3:$A$500,$B37,'DADOS BRUTOS'!B$3:B$500)+IF($C37="",0,SUMIF('DADOS BRUTOS'!$A$3:$A$500,$C37,'DADOS BRUTOS'!B$3:B$500)))</f>
        <v/>
      </c>
      <c r="CC37" s="132">
        <f>IF(OR(CC$4="",$B37=""),0,SUMIF('DADOS BRUTOS'!$A$3:$A$500,$B37,'DADOS BRUTOS'!C$3:C$500)+IF($C37="",0,SUMIF('DADOS BRUTOS'!$A$3:$A$500,$C37,'DADOS BRUTOS'!C$3:C$500)))</f>
        <v/>
      </c>
      <c r="CD37" s="132">
        <f>IF(OR(CD$4="",$B37=""),0,SUMIF('DADOS BRUTOS'!$A$3:$A$500,$B37,'DADOS BRUTOS'!D$3:D$500)+IF($C37="",0,SUMIF('DADOS BRUTOS'!$A$3:$A$500,$C37,'DADOS BRUTOS'!D$3:D$500)))</f>
        <v/>
      </c>
      <c r="CE37" s="132">
        <f>IF(OR(CE$4="",$B37=""),0,SUMIF('DADOS BRUTOS'!$A$3:$A$500,$B37,'DADOS BRUTOS'!E$3:E$500)+IF($C37="",0,SUMIF('DADOS BRUTOS'!$A$3:$A$500,$C37,'DADOS BRUTOS'!E$3:E$500)))</f>
        <v/>
      </c>
      <c r="CF37" s="132">
        <f>IF(OR(CF$4="",$B37=""),0,SUMIF('DADOS BRUTOS'!$A$3:$A$500,$B37,'DADOS BRUTOS'!F$3:F$500)+IF($C37="",0,SUMIF('DADOS BRUTOS'!$A$3:$A$500,$C37,'DADOS BRUTOS'!F$3:F$500)))</f>
        <v/>
      </c>
      <c r="CG37" s="132">
        <f>IF(OR(CG$4="",$B37=""),0,SUMIF('DADOS BRUTOS'!$A$3:$A$500,$B37,'DADOS BRUTOS'!G$3:G$500)+IF($C37="",0,SUMIF('DADOS BRUTOS'!$A$3:$A$500,$C37,'DADOS BRUTOS'!G$3:G$500)))</f>
        <v/>
      </c>
      <c r="CH37" s="132">
        <f>IF(OR(CH$4="",$B37=""),0,SUMIF('DADOS BRUTOS'!$A$3:$A$500,$B37,'DADOS BRUTOS'!H$3:H$500)+IF($C37="",0,SUMIF('DADOS BRUTOS'!$A$3:$A$500,$C37,'DADOS BRUTOS'!H$3:H$500)))</f>
        <v/>
      </c>
      <c r="CI37" s="132">
        <f>IF(OR(CI$4="",$B37=""),0,SUMIF('DADOS BRUTOS'!$A$3:$A$500,$B37,'DADOS BRUTOS'!I$3:I$500)+IF($C37="",0,SUMIF('DADOS BRUTOS'!$A$3:$A$500,$C37,'DADOS BRUTOS'!I$3:I$500)))</f>
        <v/>
      </c>
      <c r="CJ37" s="132">
        <f>IF(OR(CJ$4="",$B37=""),0,SUMIF('DADOS BRUTOS'!$A$3:$A$500,$B37,'DADOS BRUTOS'!J$3:J$500)+IF($C37="",0,SUMIF('DADOS BRUTOS'!$A$3:$A$500,$C37,'DADOS BRUTOS'!J$3:J$500)))</f>
        <v/>
      </c>
      <c r="CK37" s="132">
        <f>IF(OR(CK$4="",$B37=""),0,SUMIF('DADOS BRUTOS'!$A$3:$A$500,$B37,'DADOS BRUTOS'!K$3:K$500)+IF($C37="",0,SUMIF('DADOS BRUTOS'!$A$3:$A$500,$C37,'DADOS BRUTOS'!K$3:K$500)))</f>
        <v/>
      </c>
      <c r="CL37" s="132">
        <f>IF(OR(CL$4="",$B37=""),0,SUMIF('DADOS BRUTOS'!$A$3:$A$500,$B37,'DADOS BRUTOS'!L$3:L$500)+IF($C37="",0,SUMIF('DADOS BRUTOS'!$A$3:$A$500,$C37,'DADOS BRUTOS'!L$3:L$500)))</f>
        <v/>
      </c>
      <c r="CM37" s="132">
        <f>IF(OR(CM$4="",$B37=""),0,SUMIF('DADOS BRUTOS'!$A$3:$A$500,$B37,'DADOS BRUTOS'!M$3:M$500)+IF($C37="",0,SUMIF('DADOS BRUTOS'!$A$3:$A$500,$C37,'DADOS BRUTOS'!M$3:M$500)))</f>
        <v/>
      </c>
      <c r="CN37" s="132">
        <f>IF(OR(CN$4="",$B37=""),0,SUMIF('DADOS BRUTOS'!$A$3:$A$500,$B37,'DADOS BRUTOS'!N$3:N$500)+IF($C37="",0,SUMIF('DADOS BRUTOS'!$A$3:$A$500,$C37,'DADOS BRUTOS'!N$3:N$500)))</f>
        <v/>
      </c>
      <c r="CO37" s="132">
        <f>IF(OR(CO$4="",$B37=""),0,SUMIF('DADOS BRUTOS'!$A$3:$A$500,$B37,'DADOS BRUTOS'!O$3:O$500)+IF($C37="",0,SUMIF('DADOS BRUTOS'!$A$3:$A$500,$C37,'DADOS BRUTOS'!O$3:O$500)))</f>
        <v/>
      </c>
      <c r="CP37" s="132">
        <f>IF(OR(CP$4="",$B37=""),0,SUMIF('DADOS BRUTOS'!$A$3:$A$500,$B37,'DADOS BRUTOS'!P$3:P$500)+IF($C37="",0,SUMIF('DADOS BRUTOS'!$A$3:$A$500,$C37,'DADOS BRUTOS'!P$3:P$500)))</f>
        <v/>
      </c>
      <c r="CQ37" s="132">
        <f>IF(OR(CQ$4="",$B37=""),0,SUMIF('DADOS BRUTOS'!$A$3:$A$500,$B37,'DADOS BRUTOS'!Q$3:Q$500)+IF($C37="",0,SUMIF('DADOS BRUTOS'!$A$3:$A$500,$C37,'DADOS BRUTOS'!Q$3:Q$500)))</f>
        <v/>
      </c>
      <c r="CR37" s="132">
        <f>IF(OR(CR$4="",$B37=""),0,SUMIF('DADOS BRUTOS'!$A$3:$A$500,$B37,'DADOS BRUTOS'!R$3:R$500)+IF($C37="",0,SUMIF('DADOS BRUTOS'!$A$3:$A$500,$C37,'DADOS BRUTOS'!R$3:R$500)))</f>
        <v/>
      </c>
      <c r="CS37" s="132">
        <f>IF(OR(CS$4="",$B37=""),0,SUMIF('DADOS BRUTOS'!$A$3:$A$500,$B37,'DADOS BRUTOS'!S$3:S$500)+IF($C37="",0,SUMIF('DADOS BRUTOS'!$A$3:$A$500,$C37,'DADOS BRUTOS'!S$3:S$500)))</f>
        <v/>
      </c>
      <c r="CT37" s="132">
        <f>IF(OR(CT$4="",$B37=""),0,SUMIF('DADOS BRUTOS'!$A$3:$A$500,$B37,'DADOS BRUTOS'!T$3:T$500)+IF($C37="",0,SUMIF('DADOS BRUTOS'!$A$3:$A$500,$C37,'DADOS BRUTOS'!T$3:T$500)))</f>
        <v/>
      </c>
      <c r="CU37" s="132">
        <f>IF(OR(CU$4="",$B37=""),0,SUMIF('DADOS BRUTOS'!$A$3:$A$500,$B37,'DADOS BRUTOS'!U$3:U$500)+IF($C37="",0,SUMIF('DADOS BRUTOS'!$A$3:$A$500,$C37,'DADOS BRUTOS'!U$3:U$500)))</f>
        <v/>
      </c>
      <c r="CV37" s="132">
        <f>IF(OR(CV$4="",$B37=""),0,SUMIF('DADOS BRUTOS'!$A$3:$A$500,$B37,'DADOS BRUTOS'!V$3:V$500)+IF($C37="",0,SUMIF('DADOS BRUTOS'!$A$3:$A$500,$C37,'DADOS BRUTOS'!V$3:V$500)))</f>
        <v/>
      </c>
      <c r="CW37" s="132">
        <f>IF(OR(CW$4="",$B37=""),0,SUMIF('DADOS BRUTOS'!$A$3:$A$500,$B37,'DADOS BRUTOS'!W$3:W$500)+IF($C37="",0,SUMIF('DADOS BRUTOS'!$A$3:$A$500,$C37,'DADOS BRUTOS'!W$3:W$500)))</f>
        <v/>
      </c>
      <c r="CX37" s="132">
        <f>IF(OR(CX$4="",$B37=""),0,SUMIF('DADOS BRUTOS'!$A$3:$A$500,$B37,'DADOS BRUTOS'!X$3:X$500)+IF($C37="",0,SUMIF('DADOS BRUTOS'!$A$3:$A$500,$C37,'DADOS BRUTOS'!X$3:X$500)))</f>
        <v/>
      </c>
      <c r="CY37" s="132">
        <f>IF(OR(CY$4="",$B37=""),0,SUMIF('DADOS BRUTOS'!$A$3:$A$500,$B37,'DADOS BRUTOS'!Y$3:Y$500)+IF($C37="",0,SUMIF('DADOS BRUTOS'!$A$3:$A$500,$C37,'DADOS BRUTOS'!Y$3:Y$500)))</f>
        <v/>
      </c>
      <c r="CZ37" s="132">
        <f>IF(OR(CZ$4="",$B37=""),0,SUMIF('DADOS BRUTOS'!$A$3:$A$500,$B37,'DADOS BRUTOS'!Z$3:Z$500)+IF($C37="",0,SUMIF('DADOS BRUTOS'!$A$3:$A$500,$C37,'DADOS BRUTOS'!Z$3:Z$500)))</f>
        <v/>
      </c>
      <c r="DA37" s="132">
        <f>IF(OR(DA$4="",$B37=""),0,SUMIF('DADOS BRUTOS'!$A$3:$A$500,$B37,'DADOS BRUTOS'!AA$3:AA$500)+IF($C37="",0,SUMIF('DADOS BRUTOS'!$A$3:$A$500,$C37,'DADOS BRUTOS'!AA$3:AA$500)))</f>
        <v/>
      </c>
      <c r="DB37" s="132">
        <f>IF(OR(DB$4="",$B37=""),0,SUMIF('DADOS BRUTOS'!$A$3:$A$500,$B37,'DADOS BRUTOS'!AB$3:AB$500)+IF($C37="",0,SUMIF('DADOS BRUTOS'!$A$3:$A$500,$C37,'DADOS BRUTOS'!AB$3:AB$500)))</f>
        <v/>
      </c>
      <c r="DC37" s="132">
        <f>IF(OR(DC$4="",$B37=""),0,SUMIF('DADOS BRUTOS'!$A$3:$A$500,$B37,'DADOS BRUTOS'!AC$3:AC$500)+IF($C37="",0,SUMIF('DADOS BRUTOS'!$A$3:$A$500,$C37,'DADOS BRUTOS'!AC$3:AC$500)))</f>
        <v/>
      </c>
      <c r="DD37" s="132">
        <f>IF(OR(DD$4="",$B37=""),0,SUMIF('DADOS BRUTOS'!$A$3:$A$500,$B37,'DADOS BRUTOS'!AD$3:AD$500)+IF($C37="",0,SUMIF('DADOS BRUTOS'!$A$3:$A$500,$C37,'DADOS BRUTOS'!AD$3:AD$500)))</f>
        <v/>
      </c>
      <c r="DE37" s="132">
        <f>IF(OR(DE$4="",$B37=""),0,SUMIF('DADOS BRUTOS'!$A$3:$A$500,$B37,'DADOS BRUTOS'!AE$3:AE$500)+IF($C37="",0,SUMIF('DADOS BRUTOS'!$A$3:$A$500,$C37,'DADOS BRUTOS'!AE$3:AE$500)))</f>
        <v/>
      </c>
      <c r="DF37" s="132">
        <f>IF(OR(DF$4="",$B37=""),0,SUMIF('DADOS BRUTOS'!$A$3:$A$500,$B37,'DADOS BRUTOS'!AF$3:AF$500)+IF($C37="",0,SUMIF('DADOS BRUTOS'!$A$3:$A$500,$C37,'DADOS BRUTOS'!AF$3:AF$500)))</f>
        <v/>
      </c>
      <c r="DG37" s="132">
        <f>IF(OR(DG$4="",$B37=""),0,SUMIF('DADOS BRUTOS'!$A$3:$A$500,$B37,'DADOS BRUTOS'!AG$3:AG$500)+IF($C37="",0,SUMIF('DADOS BRUTOS'!$A$3:$A$500,$C37,'DADOS BRUTOS'!AG$3:AG$500)))</f>
        <v/>
      </c>
      <c r="DH37" s="132">
        <f>IF(OR(DH$4="",$B37=""),0,SUMIF('DADOS BRUTOS'!$A$3:$A$500,$B37,'DADOS BRUTOS'!AH$3:AH$500)+IF($C37="",0,SUMIF('DADOS BRUTOS'!$A$3:$A$500,$C37,'DADOS BRUTOS'!AH$3:AH$500)))</f>
        <v/>
      </c>
      <c r="DI37" s="132">
        <f>IF(OR(DI$4="",$B37=""),0,SUMIF('DADOS BRUTOS'!$A$3:$A$500,$B37,'DADOS BRUTOS'!AI$3:AI$500)+IF($C37="",0,SUMIF('DADOS BRUTOS'!$A$3:$A$500,$C37,'DADOS BRUTOS'!AI$3:AI$500)))</f>
        <v/>
      </c>
      <c r="DJ37" s="132">
        <f>IF(OR(DJ$4="",$B37=""),0,SUMIF('DADOS BRUTOS'!$A$3:$A$500,$B37,'DADOS BRUTOS'!AJ$3:AJ$500)+IF($C37="",0,SUMIF('DADOS BRUTOS'!$A$3:$A$500,$C37,'DADOS BRUTOS'!AJ$3:AJ$500)))</f>
        <v/>
      </c>
      <c r="DK37" s="132">
        <f>IF(OR(DK$4="",$B37=""),0,SUMIF('DADOS BRUTOS'!$A$3:$A$500,$B37,'DADOS BRUTOS'!AK$3:AK$500)+IF($C37="",0,SUMIF('DADOS BRUTOS'!$A$3:$A$500,$C37,'DADOS BRUTOS'!AK$3:AK$500)))</f>
        <v/>
      </c>
      <c r="DL37" s="132">
        <f>IF(OR(DL$4="",$B37=""),0,SUMIF('DADOS BRUTOS'!$A$3:$A$500,$B37,'DADOS BRUTOS'!AL$3:AL$500)+IF($C37="",0,SUMIF('DADOS BRUTOS'!$A$3:$A$500,$C37,'DADOS BRUTOS'!AL$3:AL$500)))</f>
        <v/>
      </c>
      <c r="DM37" s="132">
        <f>IF(OR(DM$4="",$B37=""),0,SUMIF('DADOS BRUTOS'!$A$3:$A$500,$B37,'DADOS BRUTOS'!AM$3:AM$500)+IF($C37="",0,SUMIF('DADOS BRUTOS'!$A$3:$A$500,$C37,'DADOS BRUTOS'!AM$3:AM$500)))</f>
        <v/>
      </c>
      <c r="DN37" s="132">
        <f>IF(OR(DN$4="",$B37=""),0,SUMIF('DADOS BRUTOS'!$A$3:$A$500,$B37,'DADOS BRUTOS'!AN$3:AN$500)+IF($C37="",0,SUMIF('DADOS BRUTOS'!$A$3:$A$500,$C37,'DADOS BRUTOS'!AN$3:AN$500)))</f>
        <v/>
      </c>
      <c r="DO37" s="132">
        <f>IF(OR(DO$4="",$B37=""),0,SUMIF('DADOS BRUTOS'!$A$3:$A$500,$B37,'DADOS BRUTOS'!AO$3:AO$500)+IF($C37="",0,SUMIF('DADOS BRUTOS'!$A$3:$A$500,$C37,'DADOS BRUTOS'!AO$3:AO$500)))</f>
        <v/>
      </c>
      <c r="DP37" s="132">
        <f>IF(OR(DP$4="",$B37=""),0,SUMIF('DADOS BRUTOS'!$A$3:$A$500,$B37,'DADOS BRUTOS'!AP$3:AP$500)+IF($C37="",0,SUMIF('DADOS BRUTOS'!$A$3:$A$500,$C37,'DADOS BRUTOS'!AP$3:AP$500)))</f>
        <v/>
      </c>
      <c r="DQ37" s="132">
        <f>IF(OR(DQ$4="",$B37=""),0,SUMIF('DADOS BRUTOS'!$A$3:$A$500,$B37,'DADOS BRUTOS'!AQ$3:AQ$500)+IF($C37="",0,SUMIF('DADOS BRUTOS'!$A$3:$A$500,$C37,'DADOS BRUTOS'!AQ$3:AQ$500)))</f>
        <v/>
      </c>
      <c r="DR37" s="132">
        <f>IF(OR(DR$4="",$B37=""),0,SUMIF('DADOS BRUTOS'!$A$3:$A$500,$B37,'DADOS BRUTOS'!AR$3:AR$500)+IF($C37="",0,SUMIF('DADOS BRUTOS'!$A$3:$A$500,$C37,'DADOS BRUTOS'!AR$3:AR$500)))</f>
        <v/>
      </c>
      <c r="DS37" s="132">
        <f>IF(OR(DS$4="",$B37=""),0,SUMIF('DADOS BRUTOS'!$A$3:$A$500,$B37,'DADOS BRUTOS'!AS$3:AS$500)+IF($C37="",0,SUMIF('DADOS BRUTOS'!$A$3:$A$500,$C37,'DADOS BRUTOS'!AS$3:AS$500)))</f>
        <v/>
      </c>
      <c r="DT37" s="132">
        <f>IF(OR(DT$4="",$B37=""),0,SUMIF('DADOS BRUTOS'!$A$3:$A$500,$B37,'DADOS BRUTOS'!AT$3:AT$500)+IF($C37="",0,SUMIF('DADOS BRUTOS'!$A$3:$A$500,$C37,'DADOS BRUTOS'!AT$3:AT$500)))</f>
        <v/>
      </c>
      <c r="DU37" s="132">
        <f>IF(OR(DU$4="",$B37=""),0,SUMIF('DADOS BRUTOS'!$A$3:$A$500,$B37,'DADOS BRUTOS'!AU$3:AU$500)+IF($C37="",0,SUMIF('DADOS BRUTOS'!$A$3:$A$500,$C37,'DADOS BRUTOS'!AU$3:AU$500)))</f>
        <v/>
      </c>
      <c r="DV37" s="132">
        <f>IF(OR(DV$4="",$B37=""),0,SUMIF('DADOS BRUTOS'!$A$3:$A$500,$B37,'DADOS BRUTOS'!AV$3:AV$500)+IF($C37="",0,SUMIF('DADOS BRUTOS'!$A$3:$A$500,$C37,'DADOS BRUTOS'!AV$3:AV$500)))</f>
        <v/>
      </c>
      <c r="DW37" s="132">
        <f>IF(OR(DW$4="",$B37=""),0,SUMIF('DADOS BRUTOS'!$A$3:$A$500,$B37,'DADOS BRUTOS'!AW$3:AW$500)+IF($C37="",0,SUMIF('DADOS BRUTOS'!$A$3:$A$500,$C37,'DADOS BRUTOS'!AW$3:AW$500)))</f>
        <v/>
      </c>
      <c r="DX37" s="132">
        <f>IF(OR(DX$4="",$B37=""),0,SUMIF('DADOS BRUTOS'!$A$3:$A$500,$B37,'DADOS BRUTOS'!AX$3:AX$500)+IF($C37="",0,SUMIF('DADOS BRUTOS'!$A$3:$A$500,$C37,'DADOS BRUTOS'!AX$3:AX$500)))</f>
        <v/>
      </c>
      <c r="DY37" s="132">
        <f>IF(OR(DY$4="",$B37=""),0,SUMIF('DADOS BRUTOS'!$A$3:$A$500,$B37,'DADOS BRUTOS'!AY$3:AY$500)+IF($C37="",0,SUMIF('DADOS BRUTOS'!$A$3:$A$500,$C37,'DADOS BRUTOS'!AY$3:AY$500)))</f>
        <v/>
      </c>
      <c r="DZ37" s="132">
        <f>IF(OR(DZ$4="",$B37=""),0,SUMIF('DADOS BRUTOS'!$A$3:$A$500,$B37,'DADOS BRUTOS'!AZ$3:AZ$500)+IF($C37="",0,SUMIF('DADOS BRUTOS'!$A$3:$A$500,$C37,'DADOS BRUTOS'!AZ$3:AZ$500)))</f>
        <v/>
      </c>
      <c r="EA37" s="132">
        <f>IF(OR(EA$4="",$B37=""),0,SUMIF('DADOS BRUTOS'!$A$3:$A$500,$B37,'DADOS BRUTOS'!BA$3:BA$500)+IF($C37="",0,SUMIF('DADOS BRUTOS'!$A$3:$A$500,$C37,'DADOS BRUTOS'!BA$3:BA$500)))</f>
        <v/>
      </c>
      <c r="EB37" s="132">
        <f>IF(OR(EB$4="",$B37=""),0,SUMIF('DADOS BRUTOS'!$A$3:$A$500,$B37,'DADOS BRUTOS'!BB$3:BB$500)+IF($C37="",0,SUMIF('DADOS BRUTOS'!$A$3:$A$500,$C37,'DADOS BRUTOS'!BB$3:BB$500)))</f>
        <v/>
      </c>
      <c r="EC37" s="132">
        <f>IF(OR(EC$4="",$B37=""),0,SUMIF('DADOS BRUTOS'!$A$3:$A$500,$B37,'DADOS BRUTOS'!BC$3:BC$500)+IF($C37="",0,SUMIF('DADOS BRUTOS'!$A$3:$A$500,$C37,'DADOS BRUTOS'!BC$3:BC$500)))</f>
        <v/>
      </c>
      <c r="ED37" s="132">
        <f>IF(OR(ED$4="",$B37=""),0,SUMIF('DADOS BRUTOS'!$A$3:$A$500,$B37,'DADOS BRUTOS'!BD$3:BD$500)+IF($C37="",0,SUMIF('DADOS BRUTOS'!$A$3:$A$500,$C37,'DADOS BRUTOS'!BD$3:BD$500)))</f>
        <v/>
      </c>
      <c r="EE37" s="132">
        <f>IF(OR(EE$4="",$B37=""),0,SUMIF('DADOS BRUTOS'!$A$3:$A$500,$B37,'DADOS BRUTOS'!BE$3:BE$500)+IF($C37="",0,SUMIF('DADOS BRUTOS'!$A$3:$A$500,$C37,'DADOS BRUTOS'!BE$3:BE$500)))</f>
        <v/>
      </c>
      <c r="EF37" s="132">
        <f>IF(OR(EF$4="",$B37=""),0,SUMIF('DADOS BRUTOS'!$A$3:$A$500,$B37,'DADOS BRUTOS'!BF$3:BF$500)+IF($C37="",0,SUMIF('DADOS BRUTOS'!$A$3:$A$500,$C37,'DADOS BRUTOS'!BF$3:BF$500)))</f>
        <v/>
      </c>
      <c r="EG37" s="132">
        <f>IF(OR(EG$4="",$B37=""),0,SUMIF('DADOS BRUTOS'!$A$3:$A$500,$B37,'DADOS BRUTOS'!BG$3:BG$500)+IF($C37="",0,SUMIF('DADOS BRUTOS'!$A$3:$A$500,$C37,'DADOS BRUTOS'!BG$3:BG$500)))</f>
        <v/>
      </c>
      <c r="EH37" s="132">
        <f>IF(OR(EH$4="",$B37=""),0,SUMIF('DADOS BRUTOS'!$A$3:$A$500,$B37,'DADOS BRUTOS'!BH$3:BH$500)+IF($C37="",0,SUMIF('DADOS BRUTOS'!$A$3:$A$500,$C37,'DADOS BRUTOS'!BH$3:BH$500)))</f>
        <v/>
      </c>
      <c r="EI37" s="132">
        <f>IF(OR(EI$4="",$B37=""),0,SUMIF('DADOS BRUTOS'!$A$3:$A$500,$B37,'DADOS BRUTOS'!BI$3:BI$500)+IF($C37="",0,SUMIF('DADOS BRUTOS'!$A$3:$A$500,$C37,'DADOS BRUTOS'!BI$3:BI$500)))</f>
        <v/>
      </c>
      <c r="EJ37" s="132">
        <f>IF(OR(EJ$4="",$B37=""),0,SUMIF('DADOS BRUTOS'!$A$3:$A$500,$B37,'DADOS BRUTOS'!BJ$3:BJ$500)+IF($C37="",0,SUMIF('DADOS BRUTOS'!$A$3:$A$500,$C37,'DADOS BRUTOS'!BJ$3:BJ$500)))</f>
        <v/>
      </c>
      <c r="EK37" s="132">
        <f>IF(OR(EK$4="",$B37=""),0,SUMIF('DADOS BRUTOS'!$A$3:$A$500,$B37,'DADOS BRUTOS'!BK$3:BK$500)+IF($C37="",0,SUMIF('DADOS BRUTOS'!$A$3:$A$500,$C37,'DADOS BRUTOS'!BK$3:BK$500)))</f>
        <v/>
      </c>
      <c r="EL37" s="132">
        <f>IF(OR(EL$4="",$B37=""),0,SUMIF('DADOS BRUTOS'!$A$3:$A$500,$B37,'DADOS BRUTOS'!BL$3:BL$500)+IF($C37="",0,SUMIF('DADOS BRUTOS'!$A$3:$A$500,$C37,'DADOS BRUTOS'!BL$3:BL$500)))</f>
        <v/>
      </c>
      <c r="EM37" s="132">
        <f>IF(OR(EM$4="",$B37=""),0,SUMIF('DADOS BRUTOS'!$A$3:$A$500,$B37,'DADOS BRUTOS'!BM$3:BM$500)+IF($C37="",0,SUMIF('DADOS BRUTOS'!$A$3:$A$500,$C37,'DADOS BRUTOS'!BM$3:BM$500)))</f>
        <v/>
      </c>
      <c r="EN37" s="132">
        <f>IF(OR(EN$4="",$B37=""),0,SUMIF('DADOS BRUTOS'!$A$3:$A$500,$B37,'DADOS BRUTOS'!BN$3:BN$500)+IF($C37="",0,SUMIF('DADOS BRUTOS'!$A$3:$A$500,$C37,'DADOS BRUTOS'!BN$3:BN$500)))</f>
        <v/>
      </c>
      <c r="EO37" s="132">
        <f>IF(OR(EO$4="",$B37=""),0,SUMIF('DADOS BRUTOS'!$A$3:$A$500,$B37,'DADOS BRUTOS'!BO$3:BO$500)+IF($C37="",0,SUMIF('DADOS BRUTOS'!$A$3:$A$500,$C37,'DADOS BRUTOS'!BO$3:BO$500)))</f>
        <v/>
      </c>
      <c r="EP37" s="132">
        <f>IF(OR(EP$4="",$B37=""),0,SUMIF('DADOS BRUTOS'!$A$3:$A$500,$B37,'DADOS BRUTOS'!BP$3:BP$500)+IF($C37="",0,SUMIF('DADOS BRUTOS'!$A$3:$A$500,$C37,'DADOS BRUTOS'!BP$3:BP$500)))</f>
        <v/>
      </c>
      <c r="EQ37" s="132">
        <f>IF(OR(EQ$4="",$B37=""),0,SUMIF('DADOS BRUTOS'!$A$3:$A$500,$B37,'DADOS BRUTOS'!BQ$3:BQ$500)+IF($C37="",0,SUMIF('DADOS BRUTOS'!$A$3:$A$500,$C37,'DADOS BRUTOS'!BQ$3:BQ$500)))</f>
        <v/>
      </c>
      <c r="ER37" s="132">
        <f>IF(OR(ER$4="",$B37=""),0,SUMIF('DADOS BRUTOS'!$A$3:$A$500,$B37,'DADOS BRUTOS'!BR$3:BR$500)+IF($C37="",0,SUMIF('DADOS BRUTOS'!$A$3:$A$500,$C37,'DADOS BRUTOS'!BR$3:BR$500)))</f>
        <v/>
      </c>
      <c r="ES37" s="132">
        <f>IF(OR(ES$4="",$B37=""),0,SUMIF('DADOS BRUTOS'!$A$3:$A$500,$B37,'DADOS BRUTOS'!BS$3:BS$500)+IF($C37="",0,SUMIF('DADOS BRUTOS'!$A$3:$A$500,$C37,'DADOS BRUTOS'!BS$3:BS$500)))</f>
        <v/>
      </c>
      <c r="ET37" s="132">
        <f>IF(OR(ET$4="",$B37=""),0,SUMIF('DADOS BRUTOS'!$A$3:$A$500,$B37,'DADOS BRUTOS'!BT$3:BT$500)+IF($C37="",0,SUMIF('DADOS BRUTOS'!$A$3:$A$500,$C37,'DADOS BRUTOS'!BT$3:BT$500)))</f>
        <v/>
      </c>
      <c r="EU37" s="132">
        <f>IF(OR(EU$4="",$B37=""),0,SUMIF('DADOS BRUTOS'!$A$3:$A$500,$B37,'DADOS BRUTOS'!BU$3:BU$500)+IF($C37="",0,SUMIF('DADOS BRUTOS'!$A$3:$A$500,$C37,'DADOS BRUTOS'!BU$3:BU$500)))</f>
        <v/>
      </c>
      <c r="EV37" s="132">
        <f>IF(OR(EV$4="",$B37=""),0,SUMIF('DADOS BRUTOS'!$A$3:$A$500,$B37,'DADOS BRUTOS'!BV$3:BV$500)+IF($C37="",0,SUMIF('DADOS BRUTOS'!$A$3:$A$500,$C37,'DADOS BRUTOS'!BV$3:BV$500)))</f>
        <v/>
      </c>
      <c r="EW37" s="132">
        <f>IF(OR(EW$4="",$B37=""),0,SUMIF('DADOS BRUTOS'!$A$3:$A$500,$B37,'DADOS BRUTOS'!BW$3:BW$500)+IF($C37="",0,SUMIF('DADOS BRUTOS'!$A$3:$A$500,$C37,'DADOS BRUTOS'!BW$3:BW$500)))</f>
        <v/>
      </c>
      <c r="EX37" s="132">
        <f>IF(OR(EX$4="",$B37=""),0,SUMIF('DADOS BRUTOS'!$A$3:$A$500,$B37,'DADOS BRUTOS'!BX$3:BX$500)+IF($C37="",0,SUMIF('DADOS BRUTOS'!$A$3:$A$500,$C37,'DADOS BRUTOS'!BX$3:BX$500)))</f>
        <v/>
      </c>
      <c r="EY37" s="132">
        <f>IF(OR(EY$4="",$B37=""),0,SUMIF('DADOS BRUTOS'!$A$3:$A$500,$B37,'DADOS BRUTOS'!BY$3:BY$500)+IF($C37="",0,SUMIF('DADOS BRUTOS'!$A$3:$A$500,$C37,'DADOS BRUTOS'!BY$3:BY$500)))</f>
        <v/>
      </c>
      <c r="EZ37" s="132">
        <f>IF(OR(EZ$4="",$B37=""),0,SUMIF('DADOS BRUTOS'!$A$3:$A$500,$B37,'DADOS BRUTOS'!BZ$3:BZ$500)+IF($C37="",0,SUMIF('DADOS BRUTOS'!$A$3:$A$500,$C37,'DADOS BRUTOS'!BZ$3:BZ$500)))</f>
        <v/>
      </c>
      <c r="FA37" s="132">
        <f>IF(OR(FA$4="",$B37=""),0,SUMIF('DADOS BRUTOS'!$A$3:$A$500,$B37,'DADOS BRUTOS'!CA$3:CA$500)+IF($C37="",0,SUMIF('DADOS BRUTOS'!$A$3:$A$500,$C37,'DADOS BRUTOS'!CA$3:CA$500)))</f>
        <v/>
      </c>
      <c r="FB37" s="132">
        <f>IF(OR(FB$4="",$B37=""),0,SUMIF('DADOS BRUTOS'!$A$3:$A$500,$B37,'DADOS BRUTOS'!CB$3:CB$500)+IF($C37="",0,SUMIF('DADOS BRUTOS'!$A$3:$A$500,$C37,'DADOS BRUTOS'!CB$3:CB$500)))</f>
        <v/>
      </c>
      <c r="FC37" s="132">
        <f>IF(OR(FC$4="",$B37=""),0,SUMIF('DADOS BRUTOS'!$A$3:$A$500,$B37,'DADOS BRUTOS'!CC$3:CC$500)+IF($C37="",0,SUMIF('DADOS BRUTOS'!$A$3:$A$500,$C37,'DADOS BRUTOS'!CC$3:CC$500)))</f>
        <v/>
      </c>
      <c r="FD37" s="132">
        <f>IF(OR(FD$4="",$B37=""),0,SUMIF('DADOS BRUTOS'!$A$3:$A$500,$B37,'DADOS BRUTOS'!CD$3:CD$500)+IF($C37="",0,SUMIF('DADOS BRUTOS'!$A$3:$A$500,$C37,'DADOS BRUTOS'!CD$3:CD$500)))</f>
        <v/>
      </c>
      <c r="FE37" s="132">
        <f>IF(OR(FE$4="",$B37=""),0,SUMIF('DADOS BRUTOS'!$A$3:$A$500,$B37,'DADOS BRUTOS'!CE$3:CE$500)+IF($C37="",0,SUMIF('DADOS BRUTOS'!$A$3:$A$500,$C37,'DADOS BRUTOS'!CE$3:CE$500)))</f>
        <v/>
      </c>
      <c r="FF37" s="132">
        <f>IF(OR(FF$4="",$B37=""),0,SUMIF('DADOS BRUTOS'!$A$3:$A$500,$B37,'DADOS BRUTOS'!CF$3:CF$500)+IF($C37="",0,SUMIF('DADOS BRUTOS'!$A$3:$A$500,$C37,'DADOS BRUTOS'!CF$3:CF$500)))</f>
        <v/>
      </c>
      <c r="FG37" s="132">
        <f>IF(OR(FG$4="",$B37=""),0,SUMIF('DADOS BRUTOS'!$A$3:$A$500,$B37,'DADOS BRUTOS'!CG$3:CG$500)+IF($C37="",0,SUMIF('DADOS BRUTOS'!$A$3:$A$500,$C37,'DADOS BRUTOS'!CG$3:CG$500)))</f>
        <v/>
      </c>
      <c r="FH37" s="132">
        <f>IF(OR(FH$4="",$B37=""),0,SUMIF('DADOS BRUTOS'!$A$3:$A$500,$B37,'DADOS BRUTOS'!CH$3:CH$500)+IF($C37="",0,SUMIF('DADOS BRUTOS'!$A$3:$A$500,$C37,'DADOS BRUTOS'!CH$3:CH$500)))</f>
        <v/>
      </c>
      <c r="FI37" s="132">
        <f>IF(OR(FI$4="",$B37=""),0,SUMIF('DADOS BRUTOS'!$A$3:$A$500,$B37,'DADOS BRUTOS'!CI$3:CI$500)+IF($C37="",0,SUMIF('DADOS BRUTOS'!$A$3:$A$500,$C37,'DADOS BRUTOS'!CI$3:CI$500)))</f>
        <v/>
      </c>
      <c r="FJ37" s="132">
        <f>IF(OR(FJ$4="",$B37=""),0,SUMIF('DADOS BRUTOS'!$A$3:$A$500,$B37,'DADOS BRUTOS'!CJ$3:CJ$500)+IF($C37="",0,SUMIF('DADOS BRUTOS'!$A$3:$A$500,$C37,'DADOS BRUTOS'!CJ$3:CJ$500)))</f>
        <v/>
      </c>
      <c r="FK37" s="132">
        <f>IF(OR(FK$4="",$B37=""),0,SUMIF('DADOS BRUTOS'!$A$3:$A$500,$B37,'DADOS BRUTOS'!CK$3:CK$500)+IF($C37="",0,SUMIF('DADOS BRUTOS'!$A$3:$A$500,$C37,'DADOS BRUTOS'!CK$3:CK$500)))</f>
        <v/>
      </c>
      <c r="FL37" s="132">
        <f>IF(OR(FL$4="",$B37=""),0,SUMIF('DADOS BRUTOS'!$A$3:$A$500,$B37,'DADOS BRUTOS'!CL$3:CL$500)+IF($C37="",0,SUMIF('DADOS BRUTOS'!$A$3:$A$500,$C37,'DADOS BRUTOS'!CL$3:CL$500)))</f>
        <v/>
      </c>
      <c r="FM37" s="132">
        <f>IF(OR(FM$4="",$B37=""),0,SUMIF('DADOS BRUTOS'!$A$3:$A$500,$B37,'DADOS BRUTOS'!CM$3:CM$500)+IF($C37="",0,SUMIF('DADOS BRUTOS'!$A$3:$A$500,$C37,'DADOS BRUTOS'!CM$3:CM$500)))</f>
        <v/>
      </c>
      <c r="FN37" s="132">
        <f>IF(OR(FN$4="",$B37=""),0,SUMIF('DADOS BRUTOS'!$A$3:$A$500,$B37,'DADOS BRUTOS'!CN$3:CN$500)+IF($C37="",0,SUMIF('DADOS BRUTOS'!$A$3:$A$500,$C37,'DADOS BRUTOS'!CN$3:CN$500)))</f>
        <v/>
      </c>
      <c r="FO37" s="132">
        <f>IF(OR(FO$4="",$B37=""),0,SUMIF('DADOS BRUTOS'!$A$3:$A$500,$B37,'DADOS BRUTOS'!CO$3:CO$500)+IF($C37="",0,SUMIF('DADOS BRUTOS'!$A$3:$A$500,$C37,'DADOS BRUTOS'!CO$3:CO$500)))</f>
        <v/>
      </c>
      <c r="FP37" s="132">
        <f>IF(OR(FP$4="",$B37=""),0,SUMIF('DADOS BRUTOS'!$A$3:$A$500,$B37,'DADOS BRUTOS'!CP$3:CP$500)+IF($C37="",0,SUMIF('DADOS BRUTOS'!$A$3:$A$500,$C37,'DADOS BRUTOS'!CP$3:CP$500)))</f>
        <v/>
      </c>
      <c r="FQ37" s="132">
        <f>IF(OR(FQ$4="",$B37=""),0,SUMIF('DADOS BRUTOS'!$A$3:$A$500,$B37,'DADOS BRUTOS'!CQ$3:CQ$500)+IF($C37="",0,SUMIF('DADOS BRUTOS'!$A$3:$A$500,$C37,'DADOS BRUTOS'!CQ$3:CQ$500)))</f>
        <v/>
      </c>
      <c r="FR37" s="132">
        <f>IF(OR(FR$4="",$B37=""),0,SUMIF('DADOS BRUTOS'!$A$3:$A$500,$B37,'DADOS BRUTOS'!CR$3:CR$500)+IF($C37="",0,SUMIF('DADOS BRUTOS'!$A$3:$A$500,$C37,'DADOS BRUTOS'!CR$3:CR$500)))</f>
        <v/>
      </c>
      <c r="FS37" s="132">
        <f>IF(OR(FS$4="",$B37=""),0,SUMIF('DADOS BRUTOS'!$A$3:$A$500,$B37,'DADOS BRUTOS'!CS$3:CS$500)+IF($C37="",0,SUMIF('DADOS BRUTOS'!$A$3:$A$500,$C37,'DADOS BRUTOS'!CS$3:CS$500)))</f>
        <v/>
      </c>
      <c r="FT37" s="132">
        <f>IF(OR(FT$4="",$B37=""),0,SUMIF('DADOS BRUTOS'!$A$3:$A$500,$B37,'DADOS BRUTOS'!CT$3:CT$500)+IF($C37="",0,SUMIF('DADOS BRUTOS'!$A$3:$A$500,$C37,'DADOS BRUTOS'!CT$3:CT$500)))</f>
        <v/>
      </c>
      <c r="FU37" s="132">
        <f>IF(OR(FU$4="",$B37=""),0,SUMIF('DADOS BRUTOS'!$A$3:$A$500,$B37,'DADOS BRUTOS'!CU$3:CU$500)+IF($C37="",0,SUMIF('DADOS BRUTOS'!$A$3:$A$500,$C37,'DADOS BRUTOS'!CU$3:CU$500)))</f>
        <v/>
      </c>
      <c r="FV37" s="132">
        <f>IF(OR(FV$4="",$B37=""),0,SUMIF('DADOS BRUTOS'!$A$3:$A$500,$B37,'DADOS BRUTOS'!CV$3:CV$500)+IF($C37="",0,SUMIF('DADOS BRUTOS'!$A$3:$A$500,$C37,'DADOS BRUTOS'!CV$3:CV$500)))</f>
        <v/>
      </c>
      <c r="FW37" s="132">
        <f>IF(OR(FW$4="",$B37=""),0,SUMIF('DADOS BRUTOS'!$A$3:$A$500,$B37,'DADOS BRUTOS'!CW$3:CW$500)+IF($C37="",0,SUMIF('DADOS BRUTOS'!$A$3:$A$500,$C37,'DADOS BRUTOS'!CW$3:CW$500)))</f>
        <v/>
      </c>
      <c r="FX37" s="132">
        <f>IF(OR(FX$4="",$B37=""),0,SUMIF('DADOS BRUTOS'!$A$3:$A$500,$B37,'DADOS BRUTOS'!CX$3:CX$500)+IF($C37="",0,SUMIF('DADOS BRUTOS'!$A$3:$A$500,$C37,'DADOS BRUTOS'!CX$3:CX$500)))</f>
        <v/>
      </c>
      <c r="FY37" s="132">
        <f>IF(OR(FY$4="",$B37=""),0,SUMIF('DADOS BRUTOS'!$A$3:$A$500,$B37,'DADOS BRUTOS'!CY$3:CY$500)+IF($C37="",0,SUMIF('DADOS BRUTOS'!$A$3:$A$500,$C37,'DADOS BRUTOS'!CY$3:CY$500)))</f>
        <v/>
      </c>
      <c r="FZ37" s="132">
        <f>IF(OR(FZ$4="",$B37=""),0,SUMIF('DADOS BRUTOS'!$A$3:$A$500,$B37,'DADOS BRUTOS'!CZ$3:CZ$500)+IF($C37="",0,SUMIF('DADOS BRUTOS'!$A$3:$A$500,$C37,'DADOS BRUTOS'!CZ$3:CZ$500)))</f>
        <v/>
      </c>
      <c r="GA37" s="132">
        <f>IF(OR(GA$4="",$B37=""),0,SUMIF('DADOS BRUTOS'!$A$3:$A$500,$B37,'DADOS BRUTOS'!DA$3:DA$500)+IF($C37="",0,SUMIF('DADOS BRUTOS'!$A$3:$A$500,$C37,'DADOS BRUTOS'!DA$3:DA$500)))</f>
        <v/>
      </c>
      <c r="GB37" s="132">
        <f>IF(OR(GB$4="",$B37=""),0,SUMIF('DADOS BRUTOS'!$A$3:$A$500,$B37,'DADOS BRUTOS'!DB$3:DB$500)+IF($C37="",0,SUMIF('DADOS BRUTOS'!$A$3:$A$500,$C37,'DADOS BRUTOS'!DB$3:DB$500)))</f>
        <v/>
      </c>
      <c r="GC37" s="132">
        <f>IF(OR(GC$4="",$B37=""),0,SUMIF('DADOS BRUTOS'!$A$3:$A$500,$B37,'DADOS BRUTOS'!DC$3:DC$500)+IF($C37="",0,SUMIF('DADOS BRUTOS'!$A$3:$A$500,$C37,'DADOS BRUTOS'!DC$3:DC$500)))</f>
        <v/>
      </c>
      <c r="GD37" s="132">
        <f>IF(OR(GD$4="",$B37=""),0,SUMIF('DADOS BRUTOS'!$A$3:$A$500,$B37,'DADOS BRUTOS'!DD$3:DD$500)+IF($C37="",0,SUMIF('DADOS BRUTOS'!$A$3:$A$500,$C37,'DADOS BRUTOS'!DD$3:DD$500)))</f>
        <v/>
      </c>
      <c r="GE37" s="132">
        <f>IF(OR(GE$4="",$B37=""),0,SUMIF('DADOS BRUTOS'!$A$3:$A$500,$B37,'DADOS BRUTOS'!DE$3:DE$500)+IF($C37="",0,SUMIF('DADOS BRUTOS'!$A$3:$A$500,$C37,'DADOS BRUTOS'!DE$3:DE$500)))</f>
        <v/>
      </c>
      <c r="GF37" s="132">
        <f>IF(OR(GF$4="",$B37=""),0,SUMIF('DADOS BRUTOS'!$A$3:$A$500,$B37,'DADOS BRUTOS'!DF$3:DF$500)+IF($C37="",0,SUMIF('DADOS BRUTOS'!$A$3:$A$500,$C37,'DADOS BRUTOS'!DF$3:DF$500)))</f>
        <v/>
      </c>
      <c r="GG37" s="132">
        <f>IF(OR(GG$4="",$B37=""),0,SUMIF('DADOS BRUTOS'!$A$3:$A$500,$B37,'DADOS BRUTOS'!DG$3:DG$500)+IF($C37="",0,SUMIF('DADOS BRUTOS'!$A$3:$A$500,$C37,'DADOS BRUTOS'!DG$3:DG$500)))</f>
        <v/>
      </c>
      <c r="GH37" s="132">
        <f>IF(OR(GH$4="",$B37=""),0,SUMIF('DADOS BRUTOS'!$A$3:$A$500,$B37,'DADOS BRUTOS'!DH$3:DH$500)+IF($C37="",0,SUMIF('DADOS BRUTOS'!$A$3:$A$500,$C37,'DADOS BRUTOS'!DH$3:DH$500)))</f>
        <v/>
      </c>
      <c r="GI37" s="132">
        <f>IF(OR(GI$4="",$B37=""),0,SUMIF('DADOS BRUTOS'!$A$3:$A$500,$B37,'DADOS BRUTOS'!DI$3:DI$500)+IF($C37="",0,SUMIF('DADOS BRUTOS'!$A$3:$A$500,$C37,'DADOS BRUTOS'!DI$3:DI$500)))</f>
        <v/>
      </c>
      <c r="GJ37" s="132">
        <f>IF(OR(GJ$4="",$B37=""),0,SUMIF('DADOS BRUTOS'!$A$3:$A$500,$B37,'DADOS BRUTOS'!DJ$3:DJ$500)+IF($C37="",0,SUMIF('DADOS BRUTOS'!$A$3:$A$500,$C37,'DADOS BRUTOS'!DJ$3:DJ$500)))</f>
        <v/>
      </c>
      <c r="GK37" s="132">
        <f>IF(OR(GK$4="",$B37=""),0,SUMIF('DADOS BRUTOS'!$A$3:$A$500,$B37,'DADOS BRUTOS'!DK$3:DK$500)+IF($C37="",0,SUMIF('DADOS BRUTOS'!$A$3:$A$500,$C37,'DADOS BRUTOS'!DK$3:DK$500)))</f>
        <v/>
      </c>
      <c r="GL37" s="132">
        <f>IF(OR(GL$4="",$B37=""),0,SUMIF('DADOS BRUTOS'!$A$3:$A$500,$B37,'DADOS BRUTOS'!DL$3:DL$500)+IF($C37="",0,SUMIF('DADOS BRUTOS'!$A$3:$A$500,$C37,'DADOS BRUTOS'!DL$3:DL$500)))</f>
        <v/>
      </c>
      <c r="GM37" s="132">
        <f>IF(OR(GM$4="",$B37=""),0,SUMIF('DADOS BRUTOS'!$A$3:$A$500,$B37,'DADOS BRUTOS'!DM$3:DM$500)+IF($C37="",0,SUMIF('DADOS BRUTOS'!$A$3:$A$500,$C37,'DADOS BRUTOS'!DM$3:DM$500)))</f>
        <v/>
      </c>
      <c r="GN37" s="132">
        <f>IF(OR(GN$4="",$B37=""),0,SUMIF('DADOS BRUTOS'!$A$3:$A$500,$B37,'DADOS BRUTOS'!DN$3:DN$500)+IF($C37="",0,SUMIF('DADOS BRUTOS'!$A$3:$A$500,$C37,'DADOS BRUTOS'!DN$3:DN$500)))</f>
        <v/>
      </c>
      <c r="GO37" s="132">
        <f>IF(OR(GO$4="",$B37=""),0,SUMIF('DADOS BRUTOS'!$A$3:$A$500,$B37,'DADOS BRUTOS'!DO$3:DO$500)+IF($C37="",0,SUMIF('DADOS BRUTOS'!$A$3:$A$500,$C37,'DADOS BRUTOS'!DO$3:DO$500)))</f>
        <v/>
      </c>
      <c r="GP37" s="132">
        <f>IF(OR(GP$4="",$B37=""),0,SUMIF('DADOS BRUTOS'!$A$3:$A$500,$B37,'DADOS BRUTOS'!DP$3:DP$500)+IF($C37="",0,SUMIF('DADOS BRUTOS'!$A$3:$A$500,$C37,'DADOS BRUTOS'!DP$3:DP$500)))</f>
        <v/>
      </c>
      <c r="GQ37" s="132">
        <f>IF(OR(GQ$4="",$B37=""),0,SUMIF('DADOS BRUTOS'!$A$3:$A$500,$B37,'DADOS BRUTOS'!DQ$3:DQ$500)+IF($C37="",0,SUMIF('DADOS BRUTOS'!$A$3:$A$500,$C37,'DADOS BRUTOS'!DQ$3:DQ$500)))</f>
        <v/>
      </c>
      <c r="GR37" s="132">
        <f>IF(OR(GR$4="",$B37=""),0,SUMIF('DADOS BRUTOS'!$A$3:$A$500,$B37,'DADOS BRUTOS'!DR$3:DR$500)+IF($C37="",0,SUMIF('DADOS BRUTOS'!$A$3:$A$500,$C37,'DADOS BRUTOS'!DR$3:DR$500)))</f>
        <v/>
      </c>
      <c r="GS37" s="132">
        <f>IF(OR(GS$4="",$B37=""),0,SUMIF('DADOS BRUTOS'!$A$3:$A$500,$B37,'DADOS BRUTOS'!DS$3:DS$500)+IF($C37="",0,SUMIF('DADOS BRUTOS'!$A$3:$A$500,$C37,'DADOS BRUTOS'!DS$3:DS$500)))</f>
        <v/>
      </c>
      <c r="GT37" s="132">
        <f>IF(OR(GT$4="",$B37=""),0,SUMIF('DADOS BRUTOS'!$A$3:$A$500,$B37,'DADOS BRUTOS'!DT$3:DT$500)+IF($C37="",0,SUMIF('DADOS BRUTOS'!$A$3:$A$500,$C37,'DADOS BRUTOS'!DT$3:DT$500)))</f>
        <v/>
      </c>
      <c r="GU37" s="132">
        <f>IF(OR(GU$4="",$B37=""),0,SUMIF('DADOS BRUTOS'!$A$3:$A$500,$B37,'DADOS BRUTOS'!DU$3:DU$500)+IF($C37="",0,SUMIF('DADOS BRUTOS'!$A$3:$A$500,$C37,'DADOS BRUTOS'!DU$3:DU$500)))</f>
        <v/>
      </c>
      <c r="GV37" s="132">
        <f>IF(OR(GV$4="",$B37=""),0,SUMIF('DADOS BRUTOS'!$A$3:$A$500,$B37,'DADOS BRUTOS'!DV$3:DV$500)+IF($C37="",0,SUMIF('DADOS BRUTOS'!$A$3:$A$500,$C37,'DADOS BRUTOS'!DV$3:DV$500)))</f>
        <v/>
      </c>
      <c r="GW37" s="132">
        <f>IF(OR(GW$4="",$B37=""),0,SUMIF('DADOS BRUTOS'!$A$3:$A$500,$B37,'DADOS BRUTOS'!DW$3:DW$500)+IF($C37="",0,SUMIF('DADOS BRUTOS'!$A$3:$A$500,$C37,'DADOS BRUTOS'!DW$3:DW$500)))</f>
        <v/>
      </c>
      <c r="GX37" s="132">
        <f>IF(OR(GX$4="",$B37=""),0,SUMIF('DADOS BRUTOS'!$A$3:$A$500,$B37,'DADOS BRUTOS'!DX$3:DX$500)+IF($C37="",0,SUMIF('DADOS BRUTOS'!$A$3:$A$500,$C37,'DADOS BRUTOS'!DX$3:DX$500)))</f>
        <v/>
      </c>
      <c r="GY37" s="132">
        <f>IF(OR(GY$4="",$B37=""),0,SUMIF('DADOS BRUTOS'!$A$3:$A$500,$B37,'DADOS BRUTOS'!DY$3:DY$500)+IF($C37="",0,SUMIF('DADOS BRUTOS'!$A$3:$A$500,$C37,'DADOS BRUTOS'!DY$3:DY$500)))</f>
        <v/>
      </c>
      <c r="GZ37" s="132">
        <f>IF(OR(GZ$4="",$B37=""),0,SUMIF('DADOS BRUTOS'!$A$3:$A$500,$B37,'DADOS BRUTOS'!DZ$3:DZ$500)+IF($C37="",0,SUMIF('DADOS BRUTOS'!$A$3:$A$500,$C37,'DADOS BRUTOS'!DZ$3:DZ$500)))</f>
        <v/>
      </c>
      <c r="HA37" s="132">
        <f>IF(OR(HA$4="",$B37=""),0,SUMIF('DADOS BRUTOS'!$A$3:$A$500,$B37,'DADOS BRUTOS'!EA$3:EA$500)+IF($C37="",0,SUMIF('DADOS BRUTOS'!$A$3:$A$500,$C37,'DADOS BRUTOS'!EA$3:EA$500)))</f>
        <v/>
      </c>
      <c r="HB37" s="132">
        <f>IF(OR(HB$4="",$B37=""),0,SUMIF('DADOS BRUTOS'!$A$3:$A$500,$B37,'DADOS BRUTOS'!EB$3:EB$500)+IF($C37="",0,SUMIF('DADOS BRUTOS'!$A$3:$A$500,$C37,'DADOS BRUTOS'!EB$3:EB$500)))</f>
        <v/>
      </c>
      <c r="HC37" s="132">
        <f>IF(OR(HC$4="",$B37=""),0,SUMIF('DADOS BRUTOS'!$A$3:$A$500,$B37,'DADOS BRUTOS'!EC$3:EC$500)+IF($C37="",0,SUMIF('DADOS BRUTOS'!$A$3:$A$500,$C37,'DADOS BRUTOS'!EC$3:EC$500)))</f>
        <v/>
      </c>
      <c r="HD37" s="132">
        <f>IF(OR(HD$4="",$B37=""),0,SUMIF('DADOS BRUTOS'!$A$3:$A$500,$B37,'DADOS BRUTOS'!ED$3:ED$500)+IF($C37="",0,SUMIF('DADOS BRUTOS'!$A$3:$A$500,$C37,'DADOS BRUTOS'!ED$3:ED$500)))</f>
        <v/>
      </c>
      <c r="HE37" s="132">
        <f>IF(OR(HE$4="",$B37=""),0,SUMIF('DADOS BRUTOS'!$A$3:$A$500,$B37,'DADOS BRUTOS'!EE$3:EE$500)+IF($C37="",0,SUMIF('DADOS BRUTOS'!$A$3:$A$500,$C37,'DADOS BRUTOS'!EE$3:EE$500)))</f>
        <v/>
      </c>
      <c r="HF37" s="132">
        <f>IF(OR(HF$4="",$B37=""),0,SUMIF('DADOS BRUTOS'!$A$3:$A$500,$B37,'DADOS BRUTOS'!EF$3:EF$500)+IF($C37="",0,SUMIF('DADOS BRUTOS'!$A$3:$A$500,$C37,'DADOS BRUTOS'!EF$3:EF$500)))</f>
        <v/>
      </c>
      <c r="HG37" s="132">
        <f>IF(OR(HG$4="",$B37=""),0,SUMIF('DADOS BRUTOS'!$A$3:$A$500,$B37,'DADOS BRUTOS'!EG$3:EG$500)+IF($C37="",0,SUMIF('DADOS BRUTOS'!$A$3:$A$500,$C37,'DADOS BRUTOS'!EG$3:EG$500)))</f>
        <v/>
      </c>
      <c r="HH37" s="132">
        <f>IF(OR(HH$4="",$B37=""),0,SUMIF('DADOS BRUTOS'!$A$3:$A$500,$B37,'DADOS BRUTOS'!EH$3:EH$500)+IF($C37="",0,SUMIF('DADOS BRUTOS'!$A$3:$A$500,$C37,'DADOS BRUTOS'!EH$3:EH$500)))</f>
        <v/>
      </c>
      <c r="HI37" s="132">
        <f>IF(OR(HI$4="",$B37=""),0,SUMIF('DADOS BRUTOS'!$A$3:$A$500,$B37,'DADOS BRUTOS'!EI$3:EI$500)+IF($C37="",0,SUMIF('DADOS BRUTOS'!$A$3:$A$500,$C37,'DADOS BRUTOS'!EI$3:EI$500)))</f>
        <v/>
      </c>
      <c r="HJ37" s="132">
        <f>IF(OR(HJ$4="",$B37=""),0,SUMIF('DADOS BRUTOS'!$A$3:$A$500,$B37,'DADOS BRUTOS'!EJ$3:EJ$500)+IF($C37="",0,SUMIF('DADOS BRUTOS'!$A$3:$A$500,$C37,'DADOS BRUTOS'!EJ$3:EJ$500)))</f>
        <v/>
      </c>
      <c r="HK37" s="132">
        <f>IF(OR(HK$4="",$B37=""),0,SUMIF('DADOS BRUTOS'!$A$3:$A$500,$B37,'DADOS BRUTOS'!EK$3:EK$500)+IF($C37="",0,SUMIF('DADOS BRUTOS'!$A$3:$A$500,$C37,'DADOS BRUTOS'!EK$3:EK$500)))</f>
        <v/>
      </c>
      <c r="HL37" s="132">
        <f>IF(OR(HL$4="",$B37=""),0,SUMIF('DADOS BRUTOS'!$A$3:$A$500,$B37,'DADOS BRUTOS'!EL$3:EL$500)+IF($C37="",0,SUMIF('DADOS BRUTOS'!$A$3:$A$500,$C37,'DADOS BRUTOS'!EL$3:EL$500)))</f>
        <v/>
      </c>
      <c r="HM37" s="132">
        <f>IF(OR(HM$4="",$B37=""),0,SUMIF('DADOS BRUTOS'!$A$3:$A$500,$B37,'DADOS BRUTOS'!EM$3:EM$500)+IF($C37="",0,SUMIF('DADOS BRUTOS'!$A$3:$A$500,$C37,'DADOS BRUTOS'!EM$3:EM$500)))</f>
        <v/>
      </c>
      <c r="HN37" s="132">
        <f>IF(OR(HN$4="",$B37=""),0,SUMIF('DADOS BRUTOS'!$A$3:$A$500,$B37,'DADOS BRUTOS'!EN$3:EN$500)+IF($C37="",0,SUMIF('DADOS BRUTOS'!$A$3:$A$500,$C37,'DADOS BRUTOS'!EN$3:EN$500)))</f>
        <v/>
      </c>
      <c r="HO37" s="132">
        <f>IF(OR(HO$4="",$B37=""),0,SUMIF('DADOS BRUTOS'!$A$3:$A$500,$B37,'DADOS BRUTOS'!EO$3:EO$500)+IF($C37="",0,SUMIF('DADOS BRUTOS'!$A$3:$A$500,$C37,'DADOS BRUTOS'!EO$3:EO$500)))</f>
        <v/>
      </c>
      <c r="HP37" s="132">
        <f>IF(OR(HP$4="",$B37=""),0,SUMIF('DADOS BRUTOS'!$A$3:$A$500,$B37,'DADOS BRUTOS'!EP$3:EP$500)+IF($C37="",0,SUMIF('DADOS BRUTOS'!$A$3:$A$500,$C37,'DADOS BRUTOS'!EP$3:EP$500)))</f>
        <v/>
      </c>
      <c r="HQ37" s="132">
        <f>IF(OR(HQ$4="",$B37=""),0,SUMIF('DADOS BRUTOS'!$A$3:$A$500,$B37,'DADOS BRUTOS'!EQ$3:EQ$500)+IF($C37="",0,SUMIF('DADOS BRUTOS'!$A$3:$A$500,$C37,'DADOS BRUTOS'!EQ$3:EQ$500)))</f>
        <v/>
      </c>
      <c r="HR37" s="132">
        <f>IF(OR(HR$4="",$B37=""),0,SUMIF('DADOS BRUTOS'!$A$3:$A$500,$B37,'DADOS BRUTOS'!ER$3:ER$500)+IF($C37="",0,SUMIF('DADOS BRUTOS'!$A$3:$A$500,$C37,'DADOS BRUTOS'!ER$3:ER$500)))</f>
        <v/>
      </c>
      <c r="HS37" s="132">
        <f>IF(OR(HS$4="",$B37=""),0,SUMIF('DADOS BRUTOS'!$A$3:$A$500,$B37,'DADOS BRUTOS'!ES$3:ES$500)+IF($C37="",0,SUMIF('DADOS BRUTOS'!$A$3:$A$500,$C37,'DADOS BRUTOS'!ES$3:ES$500)))</f>
        <v/>
      </c>
      <c r="HT37" s="132">
        <f>IF(OR(HT$4="",$B37=""),0,SUMIF('DADOS BRUTOS'!$A$3:$A$500,$B37,'DADOS BRUTOS'!ET$3:ET$500)+IF($C37="",0,SUMIF('DADOS BRUTOS'!$A$3:$A$500,$C37,'DADOS BRUTOS'!ET$3:ET$500)))</f>
        <v/>
      </c>
      <c r="HU37" s="132">
        <f>IF(OR(HU$4="",$B37=""),0,SUMIF('DADOS BRUTOS'!$A$3:$A$500,$B37,'DADOS BRUTOS'!EU$3:EU$500)+IF($C37="",0,SUMIF('DADOS BRUTOS'!$A$3:$A$500,$C37,'DADOS BRUTOS'!EU$3:EU$500)))</f>
        <v/>
      </c>
      <c r="HV37" s="132">
        <f>IF(OR(HV$4="",$B37=""),0,SUMIF('DADOS BRUTOS'!$A$3:$A$500,$B37,'DADOS BRUTOS'!EV$3:EV$500)+IF($C37="",0,SUMIF('DADOS BRUTOS'!$A$3:$A$500,$C37,'DADOS BRUTOS'!EV$3:EV$500)))</f>
        <v/>
      </c>
      <c r="HW37" s="132">
        <f>IF(OR(HW$4="",$B37=""),0,SUMIF('DADOS BRUTOS'!$A$3:$A$500,$B37,'DADOS BRUTOS'!EW$3:EW$500)+IF($C37="",0,SUMIF('DADOS BRUTOS'!$A$3:$A$500,$C37,'DADOS BRUTOS'!EW$3:EW$500)))</f>
        <v/>
      </c>
      <c r="HX37" s="132">
        <f>IF(OR(HX$4="",$B37=""),0,SUMIF('DADOS BRUTOS'!$A$3:$A$500,$B37,'DADOS BRUTOS'!EX$3:EX$500)+IF($C37="",0,SUMIF('DADOS BRUTOS'!$A$3:$A$500,$C37,'DADOS BRUTOS'!EX$3:EX$500)))</f>
        <v/>
      </c>
      <c r="HY37" s="132">
        <f>IF(OR(HY$4="",$B37=""),0,SUMIF('DADOS BRUTOS'!$A$3:$A$500,$B37,'DADOS BRUTOS'!EY$3:EY$500)+IF($C37="",0,SUMIF('DADOS BRUTOS'!$A$3:$A$500,$C37,'DADOS BRUTOS'!EY$3:EY$500)))</f>
        <v/>
      </c>
      <c r="HZ37" s="132">
        <f>IF(OR(HZ$4="",$B37=""),0,SUMIF('DADOS BRUTOS'!$A$3:$A$500,$B37,'DADOS BRUTOS'!EZ$3:EZ$500)+IF($C37="",0,SUMIF('DADOS BRUTOS'!$A$3:$A$500,$C37,'DADOS BRUTOS'!EZ$3:EZ$500)))</f>
        <v/>
      </c>
      <c r="IA37" s="132">
        <f>IF(OR(IA$4="",$B37=""),0,SUMIF('DADOS BRUTOS'!$A$3:$A$500,$B37,'DADOS BRUTOS'!FA$3:FA$500)+IF($C37="",0,SUMIF('DADOS BRUTOS'!$A$3:$A$500,$C37,'DADOS BRUTOS'!FA$3:FA$500)))</f>
        <v/>
      </c>
      <c r="IB37" s="132">
        <f>IF(OR(IB$4="",$B37=""),0,SUMIF('DADOS BRUTOS'!$A$3:$A$500,$B37,'DADOS BRUTOS'!FB$3:FB$500)+IF($C37="",0,SUMIF('DADOS BRUTOS'!$A$3:$A$500,$C37,'DADOS BRUTOS'!FB$3:FB$500)))</f>
        <v/>
      </c>
      <c r="IC37" s="132">
        <f>IF(OR(IC$4="",$B37=""),0,SUMIF('DADOS BRUTOS'!$A$3:$A$500,$B37,'DADOS BRUTOS'!FC$3:FC$500)+IF($C37="",0,SUMIF('DADOS BRUTOS'!$A$3:$A$500,$C37,'DADOS BRUTOS'!FC$3:FC$500)))</f>
        <v/>
      </c>
      <c r="ID37" s="132">
        <f>IF(OR(ID$4="",$B37=""),0,SUMIF('DADOS BRUTOS'!$A$3:$A$500,$B37,'DADOS BRUTOS'!FD$3:FD$500)+IF($C37="",0,SUMIF('DADOS BRUTOS'!$A$3:$A$500,$C37,'DADOS BRUTOS'!FD$3:FD$500)))</f>
        <v/>
      </c>
      <c r="IE37" s="132">
        <f>IF(OR(IE$4="",$B37=""),0,SUMIF('DADOS BRUTOS'!$A$3:$A$500,$B37,'DADOS BRUTOS'!FE$3:FE$500)+IF($C37="",0,SUMIF('DADOS BRUTOS'!$A$3:$A$500,$C37,'DADOS BRUTOS'!FE$3:FE$500)))</f>
        <v/>
      </c>
      <c r="IF37" s="132">
        <f>IF(OR(IF$4="",$B37=""),0,SUMIF('DADOS BRUTOS'!$A$3:$A$500,$B37,'DADOS BRUTOS'!FF$3:FF$500)+IF($C37="",0,SUMIF('DADOS BRUTOS'!$A$3:$A$500,$C37,'DADOS BRUTOS'!FF$3:FF$500)))</f>
        <v/>
      </c>
      <c r="IG37" s="132">
        <f>IF(OR(IG$4="",$B37=""),0,SUMIF('DADOS BRUTOS'!$A$3:$A$500,$B37,'DADOS BRUTOS'!FG$3:FG$500)+IF($C37="",0,SUMIF('DADOS BRUTOS'!$A$3:$A$500,$C37,'DADOS BRUTOS'!FG$3:FG$500)))</f>
        <v/>
      </c>
      <c r="IH37" s="132">
        <f>IF(OR(IH$4="",$B37=""),0,SUMIF('DADOS BRUTOS'!$A$3:$A$500,$B37,'DADOS BRUTOS'!FH$3:FH$500)+IF($C37="",0,SUMIF('DADOS BRUTOS'!$A$3:$A$500,$C37,'DADOS BRUTOS'!FH$3:FH$500)))</f>
        <v/>
      </c>
      <c r="II37" s="132">
        <f>IF(OR(II$4="",$B37=""),0,SUMIF('DADOS BRUTOS'!$A$3:$A$500,$B37,'DADOS BRUTOS'!FI$3:FI$500)+IF($C37="",0,SUMIF('DADOS BRUTOS'!$A$3:$A$500,$C37,'DADOS BRUTOS'!FI$3:FI$500)))</f>
        <v/>
      </c>
      <c r="IJ37" s="132">
        <f>IF(OR(IJ$4="",$B37=""),0,SUMIF('DADOS BRUTOS'!$A$3:$A$500,$B37,'DADOS BRUTOS'!FJ$3:FJ$500)+IF($C37="",0,SUMIF('DADOS BRUTOS'!$A$3:$A$500,$C37,'DADOS BRUTOS'!FJ$3:FJ$500)))</f>
        <v/>
      </c>
      <c r="IK37" s="132">
        <f>IF(OR(IK$4="",$B37=""),0,SUMIF('DADOS BRUTOS'!$A$3:$A$500,$B37,'DADOS BRUTOS'!FK$3:FK$500)+IF($C37="",0,SUMIF('DADOS BRUTOS'!$A$3:$A$500,$C37,'DADOS BRUTOS'!FK$3:FK$500)))</f>
        <v/>
      </c>
      <c r="IL37" s="132">
        <f>IF(OR(IL$4="",$B37=""),0,SUMIF('DADOS BRUTOS'!$A$3:$A$500,$B37,'DADOS BRUTOS'!FL$3:FL$500)+IF($C37="",0,SUMIF('DADOS BRUTOS'!$A$3:$A$500,$C37,'DADOS BRUTOS'!FL$3:FL$500)))</f>
        <v/>
      </c>
      <c r="IM37" s="132">
        <f>IF(OR(IM$4="",$B37=""),0,SUMIF('DADOS BRUTOS'!$A$3:$A$500,$B37,'DADOS BRUTOS'!FM$3:FM$500)+IF($C37="",0,SUMIF('DADOS BRUTOS'!$A$3:$A$500,$C37,'DADOS BRUTOS'!FM$3:FM$500)))</f>
        <v/>
      </c>
      <c r="IN37" s="132">
        <f>IF(OR(IN$4="",$B37=""),0,SUMIF('DADOS BRUTOS'!$A$3:$A$500,$B37,'DADOS BRUTOS'!FN$3:FN$500)+IF($C37="",0,SUMIF('DADOS BRUTOS'!$A$3:$A$500,$C37,'DADOS BRUTOS'!FN$3:FN$500)))</f>
        <v/>
      </c>
      <c r="IO37" s="132">
        <f>IF(OR(IO$4="",$B37=""),0,SUMIF('DADOS BRUTOS'!$A$3:$A$500,$B37,'DADOS BRUTOS'!FO$3:FO$500)+IF($C37="",0,SUMIF('DADOS BRUTOS'!$A$3:$A$500,$C37,'DADOS BRUTOS'!FO$3:FO$500)))</f>
        <v/>
      </c>
      <c r="IP37" s="132">
        <f>IF(OR(IP$4="",$B37=""),0,SUMIF('DADOS BRUTOS'!$A$3:$A$500,$B37,'DADOS BRUTOS'!FP$3:FP$500)+IF($C37="",0,SUMIF('DADOS BRUTOS'!$A$3:$A$500,$C37,'DADOS BRUTOS'!FP$3:FP$500)))</f>
        <v/>
      </c>
      <c r="IQ37" s="132">
        <f>IF(OR(IQ$4="",$B37=""),0,SUMIF('DADOS BRUTOS'!$A$3:$A$500,$B37,'DADOS BRUTOS'!FQ$3:FQ$500)+IF($C37="",0,SUMIF('DADOS BRUTOS'!$A$3:$A$500,$C37,'DADOS BRUTOS'!FQ$3:FQ$500)))</f>
        <v/>
      </c>
      <c r="IR37" s="132">
        <f>IF(OR(IR$4="",$B37=""),0,SUMIF('DADOS BRUTOS'!$A$3:$A$500,$B37,'DADOS BRUTOS'!FR$3:FR$500)+IF($C37="",0,SUMIF('DADOS BRUTOS'!$A$3:$A$500,$C37,'DADOS BRUTOS'!FR$3:FR$500)))</f>
        <v/>
      </c>
      <c r="IS37" s="132">
        <f>IF(OR(IS$4="",$B37=""),0,SUMIF('DADOS BRUTOS'!$A$3:$A$500,$B37,'DADOS BRUTOS'!FS$3:FS$500)+IF($C37="",0,SUMIF('DADOS BRUTOS'!$A$3:$A$500,$C37,'DADOS BRUTOS'!FS$3:FS$500)))</f>
        <v/>
      </c>
      <c r="IT37" s="132">
        <f>IF(OR(IT$4="",$B37=""),0,SUMIF('DADOS BRUTOS'!$A$3:$A$500,$B37,'DADOS BRUTOS'!FT$3:FT$500)+IF($C37="",0,SUMIF('DADOS BRUTOS'!$A$3:$A$500,$C37,'DADOS BRUTOS'!FT$3:FT$500)))</f>
        <v/>
      </c>
      <c r="IU37" s="132">
        <f>IF(OR(IU$4="",$B37=""),0,SUMIF('DADOS BRUTOS'!$A$3:$A$500,$B37,'DADOS BRUTOS'!FU$3:FU$500)+IF($C37="",0,SUMIF('DADOS BRUTOS'!$A$3:$A$500,$C37,'DADOS BRUTOS'!FU$3:FU$500)))</f>
        <v/>
      </c>
      <c r="IV37" s="132">
        <f>IF(OR(IV$4="",$B37=""),0,SUMIF('DADOS BRUTOS'!$A$3:$A$500,$B37,'DADOS BRUTOS'!FV$3:FV$500)+IF($C37="",0,SUMIF('DADOS BRUTOS'!$A$3:$A$500,$C37,'DADOS BRUTOS'!FV$3:FV$500)))</f>
        <v/>
      </c>
      <c r="IW37" s="132">
        <f>IF(OR(IW$4="",$B37=""),0,SUMIF('DADOS BRUTOS'!$A$3:$A$500,$B37,'DADOS BRUTOS'!FW$3:FW$500)+IF($C37="",0,SUMIF('DADOS BRUTOS'!$A$3:$A$500,$C37,'DADOS BRUTOS'!FW$3:FW$500)))</f>
        <v/>
      </c>
      <c r="IX37" s="132">
        <f>IF(OR(IX$4="",$B37=""),0,SUMIF('DADOS BRUTOS'!$A$3:$A$500,$B37,'DADOS BRUTOS'!FX$3:FX$500)+IF($C37="",0,SUMIF('DADOS BRUTOS'!$A$3:$A$500,$C37,'DADOS BRUTOS'!FX$3:FX$500)))</f>
        <v/>
      </c>
      <c r="IY37" s="132">
        <f>IF(OR(IY$4="",$B37=""),0,SUMIF('DADOS BRUTOS'!$A$3:$A$500,$B37,'DADOS BRUTOS'!FY$3:FY$500)+IF($C37="",0,SUMIF('DADOS BRUTOS'!$A$3:$A$500,$C37,'DADOS BRUTOS'!FY$3:FY$500)))</f>
        <v/>
      </c>
      <c r="IZ37" s="132">
        <f>IF(OR(IZ$4="",$B37=""),0,SUMIF('DADOS BRUTOS'!$A$3:$A$500,$B37,'DADOS BRUTOS'!FZ$3:FZ$500)+IF($C37="",0,SUMIF('DADOS BRUTOS'!$A$3:$A$500,$C37,'DADOS BRUTOS'!FZ$3:FZ$500)))</f>
        <v/>
      </c>
      <c r="JA37" s="132">
        <f>IF(OR(JA$4="",$B37=""),0,SUMIF('DADOS BRUTOS'!$A$3:$A$500,$B37,'DADOS BRUTOS'!GA$3:GA$500)+IF($C37="",0,SUMIF('DADOS BRUTOS'!$A$3:$A$500,$C37,'DADOS BRUTOS'!GA$3:GA$500)))</f>
        <v/>
      </c>
      <c r="JB37" s="132">
        <f>IF(OR(JB$4="",$B37=""),0,SUMIF('DADOS BRUTOS'!$A$3:$A$500,$B37,'DADOS BRUTOS'!GB$3:GB$500)+IF($C37="",0,SUMIF('DADOS BRUTOS'!$A$3:$A$500,$C37,'DADOS BRUTOS'!GB$3:GB$500)))</f>
        <v/>
      </c>
      <c r="JC37" s="132">
        <f>IF(OR(JC$4="",$B37=""),0,SUMIF('DADOS BRUTOS'!$A$3:$A$500,$B37,'DADOS BRUTOS'!GC$3:GC$500)+IF($C37="",0,SUMIF('DADOS BRUTOS'!$A$3:$A$500,$C37,'DADOS BRUTOS'!GC$3:GC$500)))</f>
        <v/>
      </c>
      <c r="JD37" s="132">
        <f>IF(OR(JD$4="",$B37=""),0,SUMIF('DADOS BRUTOS'!$A$3:$A$500,$B37,'DADOS BRUTOS'!GD$3:GD$500)+IF($C37="",0,SUMIF('DADOS BRUTOS'!$A$3:$A$500,$C37,'DADOS BRUTOS'!GD$3:GD$500)))</f>
        <v/>
      </c>
      <c r="JE37" s="132">
        <f>IF(OR(JE$4="",$B37=""),0,SUMIF('DADOS BRUTOS'!$A$3:$A$500,$B37,'DADOS BRUTOS'!GE$3:GE$500)+IF($C37="",0,SUMIF('DADOS BRUTOS'!$A$3:$A$500,$C37,'DADOS BRUTOS'!GE$3:GE$500)))</f>
        <v/>
      </c>
      <c r="JF37" s="132">
        <f>IF(OR(JF$4="",$B37=""),0,SUMIF('DADOS BRUTOS'!$A$3:$A$500,$B37,'DADOS BRUTOS'!GF$3:GF$500)+IF($C37="",0,SUMIF('DADOS BRUTOS'!$A$3:$A$500,$C37,'DADOS BRUTOS'!GF$3:GF$500)))</f>
        <v/>
      </c>
      <c r="JG37" s="132">
        <f>IF(OR(JG$4="",$B37=""),0,SUMIF('DADOS BRUTOS'!$A$3:$A$500,$B37,'DADOS BRUTOS'!GG$3:GG$500)+IF($C37="",0,SUMIF('DADOS BRUTOS'!$A$3:$A$500,$C37,'DADOS BRUTOS'!GG$3:GG$500)))</f>
        <v/>
      </c>
      <c r="JH37" s="132">
        <f>IF(OR(JH$4="",$B37=""),0,SUMIF('DADOS BRUTOS'!$A$3:$A$500,$B37,'DADOS BRUTOS'!GH$3:GH$500)+IF($C37="",0,SUMIF('DADOS BRUTOS'!$A$3:$A$500,$C37,'DADOS BRUTOS'!GH$3:GH$500)))</f>
        <v/>
      </c>
      <c r="JI37" s="132">
        <f>IF(OR(JI$4="",$B37=""),0,SUMIF('DADOS BRUTOS'!$A$3:$A$500,$B37,'DADOS BRUTOS'!GI$3:GI$500)+IF($C37="",0,SUMIF('DADOS BRUTOS'!$A$3:$A$500,$C37,'DADOS BRUTOS'!GI$3:GI$500)))</f>
        <v/>
      </c>
      <c r="JJ37" s="132">
        <f>IF(OR(JJ$4="",$B37=""),0,SUMIF('DADOS BRUTOS'!$A$3:$A$500,$B37,'DADOS BRUTOS'!GJ$3:GJ$500)+IF($C37="",0,SUMIF('DADOS BRUTOS'!$A$3:$A$500,$C37,'DADOS BRUTOS'!GJ$3:GJ$500)))</f>
        <v/>
      </c>
      <c r="JK37" s="132">
        <f>IF(OR(JK$4="",$B37=""),0,SUMIF('DADOS BRUTOS'!$A$3:$A$500,$B37,'DADOS BRUTOS'!GK$3:GK$500)+IF($C37="",0,SUMIF('DADOS BRUTOS'!$A$3:$A$500,$C37,'DADOS BRUTOS'!GK$3:GK$500)))</f>
        <v/>
      </c>
      <c r="JL37" s="132">
        <f>IF(OR(JL$4="",$B37=""),0,SUMIF('DADOS BRUTOS'!$A$3:$A$500,$B37,'DADOS BRUTOS'!GL$3:GL$500)+IF($C37="",0,SUMIF('DADOS BRUTOS'!$A$3:$A$500,$C37,'DADOS BRUTOS'!GL$3:GL$500)))</f>
        <v/>
      </c>
      <c r="JM37" s="132">
        <f>IF(OR(JM$4="",$B37=""),0,SUMIF('DADOS BRUTOS'!$A$3:$A$500,$B37,'DADOS BRUTOS'!GM$3:GM$500)+IF($C37="",0,SUMIF('DADOS BRUTOS'!$A$3:$A$500,$C37,'DADOS BRUTOS'!GM$3:GM$500)))</f>
        <v/>
      </c>
      <c r="JN37" s="132">
        <f>IF(OR(JN$4="",$B37=""),0,SUMIF('DADOS BRUTOS'!$A$3:$A$500,$B37,'DADOS BRUTOS'!GN$3:GN$500)+IF($C37="",0,SUMIF('DADOS BRUTOS'!$A$3:$A$500,$C37,'DADOS BRUTOS'!GN$3:GN$500)))</f>
        <v/>
      </c>
      <c r="JO37" s="132">
        <f>IF(OR(JO$4="",$B37=""),0,SUMIF('DADOS BRUTOS'!$A$3:$A$500,$B37,'DADOS BRUTOS'!GO$3:GO$500)+IF($C37="",0,SUMIF('DADOS BRUTOS'!$A$3:$A$500,$C37,'DADOS BRUTOS'!GO$3:GO$500)))</f>
        <v/>
      </c>
      <c r="JP37" s="132">
        <f>IF(OR(JP$4="",$B37=""),0,SUMIF('DADOS BRUTOS'!$A$3:$A$500,$B37,'DADOS BRUTOS'!GP$3:GP$500)+IF($C37="",0,SUMIF('DADOS BRUTOS'!$A$3:$A$500,$C37,'DADOS BRUTOS'!GP$3:GP$500)))</f>
        <v/>
      </c>
      <c r="JQ37" s="132">
        <f>IF(OR(JQ$4="",$B37=""),0,SUMIF('DADOS BRUTOS'!$A$3:$A$500,$B37,'DADOS BRUTOS'!GQ$3:GQ$500)+IF($C37="",0,SUMIF('DADOS BRUTOS'!$A$3:$A$500,$C37,'DADOS BRUTOS'!GQ$3:GQ$500)))</f>
        <v/>
      </c>
      <c r="JR37" s="132">
        <f>IF(OR(JR$4="",$B37=""),0,SUMIF('DADOS BRUTOS'!$A$3:$A$500,$B37,'DADOS BRUTOS'!GR$3:GR$500)+IF($C37="",0,SUMIF('DADOS BRUTOS'!$A$3:$A$500,$C37,'DADOS BRUTOS'!GR$3:GR$500)))</f>
        <v/>
      </c>
      <c r="JS37" s="132">
        <f>IF(OR(JS$4="",$B37=""),0,SUMIF('DADOS BRUTOS'!$A$3:$A$500,$B37,'DADOS BRUTOS'!GS$3:GS$500)+IF($C37="",0,SUMIF('DADOS BRUTOS'!$A$3:$A$500,$C37,'DADOS BRUTOS'!GS$3:GS$500)))</f>
        <v/>
      </c>
    </row>
    <row r="38">
      <c r="A38" s="61">
        <f>'VALOR POR PL'!D44</f>
        <v/>
      </c>
      <c r="B38" s="59" t="inlineStr">
        <is>
          <t>LOUÇAS SANITÁRIAS</t>
        </is>
      </c>
      <c r="C38" s="59" t="n"/>
      <c r="D38" s="54">
        <f>SUMIF($CB$4:$JS$4,"&lt;="&amp;D$4,$CB38:$JS38)</f>
        <v/>
      </c>
      <c r="E38" s="54">
        <f>SUMIF($CB$4:$JS$4,E$4,$CB38:$JS38)</f>
        <v/>
      </c>
      <c r="F38" s="54">
        <f>SUMIF($CB$4:$JS$4,F$4,$CB38:$JS38)</f>
        <v/>
      </c>
      <c r="G38" s="54">
        <f>SUMIF($CB$4:$JS$4,G$4,$CB38:$JS38)</f>
        <v/>
      </c>
      <c r="H38" s="54">
        <f>SUMIF($CB$4:$JS$4,H$4,$CB38:$JS38)</f>
        <v/>
      </c>
      <c r="I38" s="54">
        <f>SUMIF($CB$4:$JS$4,I$4,$CB38:$JS38)</f>
        <v/>
      </c>
      <c r="J38" s="54">
        <f>SUMIF($CB$4:$JS$4,J$4,$CB38:$JS38)</f>
        <v/>
      </c>
      <c r="K38" s="54">
        <f>SUMIF($CB$4:$JS$4,K$4,$CB38:$JS38)</f>
        <v/>
      </c>
      <c r="L38" s="54">
        <f>SUMIF($CB$4:$JS$4,L$4,$CB38:$JS38)</f>
        <v/>
      </c>
      <c r="M38" s="54">
        <f>SUMIF($CB$4:$JS$4,M$4,$CB38:$JS38)</f>
        <v/>
      </c>
      <c r="N38" s="54">
        <f>SUMIF($CB$4:$JS$4,N$4,$CB38:$JS38)</f>
        <v/>
      </c>
      <c r="O38" s="54">
        <f>SUMIF($CB$4:$JS$4,O$4,$CB38:$JS38)</f>
        <v/>
      </c>
      <c r="P38" s="54">
        <f>SUMIF($CB$4:$JS$4,P$4,$CB38:$JS38)</f>
        <v/>
      </c>
      <c r="Q38" s="54">
        <f>SUMIF($CB$4:$JS$4,Q$4,$CB38:$JS38)</f>
        <v/>
      </c>
      <c r="R38" s="54">
        <f>SUMIF($CB$4:$JS$4,R$4,$CB38:$JS38)</f>
        <v/>
      </c>
      <c r="S38" s="54">
        <f>SUMIF($CB$4:$JS$4,S$4,$CB38:$JS38)</f>
        <v/>
      </c>
      <c r="T38" s="54">
        <f>SUMIF($CB$4:$JS$4,T$4,$CB38:$JS38)</f>
        <v/>
      </c>
      <c r="U38" s="54">
        <f>SUMIF($CB$4:$JS$4,U$4,$CB38:$JS38)</f>
        <v/>
      </c>
      <c r="V38" s="54">
        <f>SUMIF($CB$4:$JS$4,V$4,$CB38:$JS38)</f>
        <v/>
      </c>
      <c r="W38" s="54">
        <f>SUMIF($CB$4:$JS$4,W$4,$CB38:$JS38)</f>
        <v/>
      </c>
      <c r="X38" s="54">
        <f>SUMIF($CB$4:$JS$4,X$4,$CB38:$JS38)</f>
        <v/>
      </c>
      <c r="Y38" s="54">
        <f>SUMIF($CB$4:$JS$4,Y$4,$CB38:$JS38)</f>
        <v/>
      </c>
      <c r="Z38" s="54">
        <f>SUMIF($CB$4:$JS$4,Z$4,$CB38:$JS38)</f>
        <v/>
      </c>
      <c r="AA38" s="54">
        <f>SUMIF($CB$4:$JS$4,AA$4,$CB38:$JS38)</f>
        <v/>
      </c>
      <c r="AB38" s="54">
        <f>SUMIF($CB$4:$JS$4,AB$4,$CB38:$JS38)</f>
        <v/>
      </c>
      <c r="AC38" s="54">
        <f>SUMIF($CB$4:$JS$4,AC$4,$CB38:$JS38)</f>
        <v/>
      </c>
      <c r="AD38" s="54">
        <f>SUMIF($CB$4:$JS$4,AD$4,$CB38:$JS38)</f>
        <v/>
      </c>
      <c r="AE38" s="54">
        <f>SUMIF($CB$4:$JS$4,AE$4,$CB38:$JS38)</f>
        <v/>
      </c>
      <c r="AF38" s="54">
        <f>SUMIF($CB$4:$JS$4,AF$4,$CB38:$JS38)</f>
        <v/>
      </c>
      <c r="AG38" s="54">
        <f>SUMIF($CB$4:$JS$4,AG$4,$CB38:$JS38)</f>
        <v/>
      </c>
      <c r="AH38" s="54">
        <f>SUMIF($CB$4:$JS$4,AH$4,$CB38:$JS38)</f>
        <v/>
      </c>
      <c r="AI38" s="54">
        <f>SUMIF($CB$4:$JS$4,AI$4,$CB38:$JS38)</f>
        <v/>
      </c>
      <c r="AJ38" s="54">
        <f>SUMIF($CB$4:$JS$4,AJ$4,$CB38:$JS38)</f>
        <v/>
      </c>
      <c r="AK38" s="54">
        <f>SUMIF($CB$4:$JS$4,AK$4,$CB38:$JS38)</f>
        <v/>
      </c>
      <c r="AL38" s="54">
        <f>SUMIF($CB$4:$JS$4,AL$4,$CB38:$JS38)</f>
        <v/>
      </c>
      <c r="AM38" s="54">
        <f>SUMIF($CB$4:$JS$4,AM$4,$CB38:$JS38)</f>
        <v/>
      </c>
      <c r="AN38" s="54">
        <f>SUMIF($CB$4:$JS$4,AN$4,$CB38:$JS38)</f>
        <v/>
      </c>
      <c r="AO38" s="54">
        <f>SUMIF($CB$4:$JS$4,AO$4,$CB38:$JS38)</f>
        <v/>
      </c>
      <c r="AP38" s="54">
        <f>SUMIF($CB$4:$JS$4,AP$4,$CB38:$JS38)</f>
        <v/>
      </c>
      <c r="AQ38" s="54">
        <f>SUMIF($CB$4:$JS$4,AQ$4,$CB38:$JS38)</f>
        <v/>
      </c>
      <c r="AR38" s="54">
        <f>SUMIF($CB$4:$JS$4,AR$4,$CB38:$JS38)</f>
        <v/>
      </c>
      <c r="AS38" s="54">
        <f>SUMIF($CB$4:$JS$4,AS$4,$CB38:$JS38)</f>
        <v/>
      </c>
      <c r="AT38" s="54">
        <f>SUMIF($CB$4:$JS$4,AT$4,$CB38:$JS38)</f>
        <v/>
      </c>
      <c r="AU38" s="54">
        <f>SUMIF($CB$4:$JS$4,AU$4,$CB38:$JS38)</f>
        <v/>
      </c>
      <c r="AV38" s="54">
        <f>SUMIF($CB$4:$JS$4,AV$4,$CB38:$JS38)</f>
        <v/>
      </c>
      <c r="AW38" s="54">
        <f>SUMIF($CB$4:$JS$4,AW$4,$CB38:$JS38)</f>
        <v/>
      </c>
      <c r="AX38" s="54">
        <f>SUMIF($CB$4:$JS$4,AX$4,$CB38:$JS38)</f>
        <v/>
      </c>
      <c r="AY38" s="54">
        <f>SUMIF($CB$4:$JS$4,AY$4,$CB38:$JS38)</f>
        <v/>
      </c>
      <c r="AZ38" s="54">
        <f>SUMIF($CB$4:$JS$4,AZ$4,$CB38:$JS38)</f>
        <v/>
      </c>
      <c r="BA38" s="54">
        <f>SUMIF($CB$4:$JS$4,BA$4,$CB38:$JS38)</f>
        <v/>
      </c>
      <c r="BB38" s="54">
        <f>SUMIF($CB$4:$JS$4,BB$4,$CB38:$JS38)</f>
        <v/>
      </c>
      <c r="BC38" s="54">
        <f>SUMIF($CB$4:$JS$4,BC$4,$CB38:$JS38)</f>
        <v/>
      </c>
      <c r="BD38" s="54">
        <f>SUMIF($CB$4:$JS$4,BD$4,$CB38:$JS38)</f>
        <v/>
      </c>
      <c r="BE38" s="54">
        <f>SUMIF($CB$4:$JS$4,BE$4,$CB38:$JS38)</f>
        <v/>
      </c>
      <c r="BF38" s="54">
        <f>SUMIF($CB$4:$JS$4,BF$4,$CB38:$JS38)</f>
        <v/>
      </c>
      <c r="BG38" s="54">
        <f>SUMIF($CB$4:$JS$4,BG$4,$CB38:$JS38)</f>
        <v/>
      </c>
      <c r="BH38" s="54">
        <f>SUMIF($CB$4:$JS$4,BH$4,$CB38:$JS38)</f>
        <v/>
      </c>
      <c r="BI38" s="54">
        <f>SUMIF($CB$4:$JS$4,BI$4,$CB38:$JS38)</f>
        <v/>
      </c>
      <c r="BJ38" s="54">
        <f>SUMIF($CB$4:$JS$4,BJ$4,$CB38:$JS38)</f>
        <v/>
      </c>
      <c r="BK38" s="54">
        <f>SUMIF($CB$4:$JS$4,BK$4,$CB38:$JS38)</f>
        <v/>
      </c>
      <c r="BL38" s="54">
        <f>SUMIF($CB$4:$JS$4,BL$4,$CB38:$JS38)</f>
        <v/>
      </c>
      <c r="BM38" s="54">
        <f>SUMIF($CB$4:$JS$4,BM$4,$CB38:$JS38)</f>
        <v/>
      </c>
      <c r="BN38" s="54">
        <f>SUMIF($CB$4:$JS$4,BN$4,$CB38:$JS38)</f>
        <v/>
      </c>
      <c r="BO38" s="54">
        <f>SUMIF($CB$4:$JS$4,BO$4,$CB38:$JS38)</f>
        <v/>
      </c>
      <c r="BP38" s="54">
        <f>SUMIF($CB$4:$JS$4,BP$4,$CB38:$JS38)</f>
        <v/>
      </c>
      <c r="BQ38" s="54">
        <f>SUMIF($CB$4:$JS$4,BQ$4,$CB38:$JS38)</f>
        <v/>
      </c>
      <c r="BR38" s="54">
        <f>SUMIF($CB$4:$JS$4,BR$4,$CB38:$JS38)</f>
        <v/>
      </c>
      <c r="BS38" s="54">
        <f>SUMIF($CB$4:$JS$4,BS$4,$CB38:$JS38)</f>
        <v/>
      </c>
      <c r="BT38" s="54">
        <f>SUMIF($CB$4:$JS$4,BT$4,$CB38:$JS38)</f>
        <v/>
      </c>
      <c r="BU38" s="54">
        <f>SUMIF($CB$4:$JS$4,BU$4,$CB38:$JS38)</f>
        <v/>
      </c>
      <c r="BV38" s="54">
        <f>SUMIF($CB$4:$JS$4,BV$4,$CB38:$JS38)</f>
        <v/>
      </c>
      <c r="BW38" s="54">
        <f>SUMIF($CB$4:$JS$4,BW$4,$CB38:$JS38)</f>
        <v/>
      </c>
      <c r="BX38" s="54">
        <f>SUMIF($CB$4:$JS$4,"&gt;"&amp;'VALOR POR PL'!$P$8,$CB38:$JS38)</f>
        <v/>
      </c>
      <c r="BY38" s="54">
        <f>SUM($CB38:$JS38)</f>
        <v/>
      </c>
      <c r="BZ38" s="49">
        <f>SUMPRODUCT(($CB$4:$JS$4&lt;&gt;"")*($CB$4:$JS$4&lt;=$D$4),$CB38:$JS38,$CB$1:$JS$1)</f>
        <v/>
      </c>
      <c r="CB38" s="132">
        <f>IF(OR(CB$4="",$B38=""),0,SUMIF('DADOS BRUTOS'!$A$3:$A$500,$B38,'DADOS BRUTOS'!B$3:B$500)+IF($C38="",0,SUMIF('DADOS BRUTOS'!$A$3:$A$500,$C38,'DADOS BRUTOS'!B$3:B$500)))</f>
        <v/>
      </c>
      <c r="CC38" s="132">
        <f>IF(OR(CC$4="",$B38=""),0,SUMIF('DADOS BRUTOS'!$A$3:$A$500,$B38,'DADOS BRUTOS'!C$3:C$500)+IF($C38="",0,SUMIF('DADOS BRUTOS'!$A$3:$A$500,$C38,'DADOS BRUTOS'!C$3:C$500)))</f>
        <v/>
      </c>
      <c r="CD38" s="132">
        <f>IF(OR(CD$4="",$B38=""),0,SUMIF('DADOS BRUTOS'!$A$3:$A$500,$B38,'DADOS BRUTOS'!D$3:D$500)+IF($C38="",0,SUMIF('DADOS BRUTOS'!$A$3:$A$500,$C38,'DADOS BRUTOS'!D$3:D$500)))</f>
        <v/>
      </c>
      <c r="CE38" s="132">
        <f>IF(OR(CE$4="",$B38=""),0,SUMIF('DADOS BRUTOS'!$A$3:$A$500,$B38,'DADOS BRUTOS'!E$3:E$500)+IF($C38="",0,SUMIF('DADOS BRUTOS'!$A$3:$A$500,$C38,'DADOS BRUTOS'!E$3:E$500)))</f>
        <v/>
      </c>
      <c r="CF38" s="132">
        <f>IF(OR(CF$4="",$B38=""),0,SUMIF('DADOS BRUTOS'!$A$3:$A$500,$B38,'DADOS BRUTOS'!F$3:F$500)+IF($C38="",0,SUMIF('DADOS BRUTOS'!$A$3:$A$500,$C38,'DADOS BRUTOS'!F$3:F$500)))</f>
        <v/>
      </c>
      <c r="CG38" s="132">
        <f>IF(OR(CG$4="",$B38=""),0,SUMIF('DADOS BRUTOS'!$A$3:$A$500,$B38,'DADOS BRUTOS'!G$3:G$500)+IF($C38="",0,SUMIF('DADOS BRUTOS'!$A$3:$A$500,$C38,'DADOS BRUTOS'!G$3:G$500)))</f>
        <v/>
      </c>
      <c r="CH38" s="132">
        <f>IF(OR(CH$4="",$B38=""),0,SUMIF('DADOS BRUTOS'!$A$3:$A$500,$B38,'DADOS BRUTOS'!H$3:H$500)+IF($C38="",0,SUMIF('DADOS BRUTOS'!$A$3:$A$500,$C38,'DADOS BRUTOS'!H$3:H$500)))</f>
        <v/>
      </c>
      <c r="CI38" s="132">
        <f>IF(OR(CI$4="",$B38=""),0,SUMIF('DADOS BRUTOS'!$A$3:$A$500,$B38,'DADOS BRUTOS'!I$3:I$500)+IF($C38="",0,SUMIF('DADOS BRUTOS'!$A$3:$A$500,$C38,'DADOS BRUTOS'!I$3:I$500)))</f>
        <v/>
      </c>
      <c r="CJ38" s="132">
        <f>IF(OR(CJ$4="",$B38=""),0,SUMIF('DADOS BRUTOS'!$A$3:$A$500,$B38,'DADOS BRUTOS'!J$3:J$500)+IF($C38="",0,SUMIF('DADOS BRUTOS'!$A$3:$A$500,$C38,'DADOS BRUTOS'!J$3:J$500)))</f>
        <v/>
      </c>
      <c r="CK38" s="132">
        <f>IF(OR(CK$4="",$B38=""),0,SUMIF('DADOS BRUTOS'!$A$3:$A$500,$B38,'DADOS BRUTOS'!K$3:K$500)+IF($C38="",0,SUMIF('DADOS BRUTOS'!$A$3:$A$500,$C38,'DADOS BRUTOS'!K$3:K$500)))</f>
        <v/>
      </c>
      <c r="CL38" s="132">
        <f>IF(OR(CL$4="",$B38=""),0,SUMIF('DADOS BRUTOS'!$A$3:$A$500,$B38,'DADOS BRUTOS'!L$3:L$500)+IF($C38="",0,SUMIF('DADOS BRUTOS'!$A$3:$A$500,$C38,'DADOS BRUTOS'!L$3:L$500)))</f>
        <v/>
      </c>
      <c r="CM38" s="132">
        <f>IF(OR(CM$4="",$B38=""),0,SUMIF('DADOS BRUTOS'!$A$3:$A$500,$B38,'DADOS BRUTOS'!M$3:M$500)+IF($C38="",0,SUMIF('DADOS BRUTOS'!$A$3:$A$500,$C38,'DADOS BRUTOS'!M$3:M$500)))</f>
        <v/>
      </c>
      <c r="CN38" s="132">
        <f>IF(OR(CN$4="",$B38=""),0,SUMIF('DADOS BRUTOS'!$A$3:$A$500,$B38,'DADOS BRUTOS'!N$3:N$500)+IF($C38="",0,SUMIF('DADOS BRUTOS'!$A$3:$A$500,$C38,'DADOS BRUTOS'!N$3:N$500)))</f>
        <v/>
      </c>
      <c r="CO38" s="132">
        <f>IF(OR(CO$4="",$B38=""),0,SUMIF('DADOS BRUTOS'!$A$3:$A$500,$B38,'DADOS BRUTOS'!O$3:O$500)+IF($C38="",0,SUMIF('DADOS BRUTOS'!$A$3:$A$500,$C38,'DADOS BRUTOS'!O$3:O$500)))</f>
        <v/>
      </c>
      <c r="CP38" s="132">
        <f>IF(OR(CP$4="",$B38=""),0,SUMIF('DADOS BRUTOS'!$A$3:$A$500,$B38,'DADOS BRUTOS'!P$3:P$500)+IF($C38="",0,SUMIF('DADOS BRUTOS'!$A$3:$A$500,$C38,'DADOS BRUTOS'!P$3:P$500)))</f>
        <v/>
      </c>
      <c r="CQ38" s="132">
        <f>IF(OR(CQ$4="",$B38=""),0,SUMIF('DADOS BRUTOS'!$A$3:$A$500,$B38,'DADOS BRUTOS'!Q$3:Q$500)+IF($C38="",0,SUMIF('DADOS BRUTOS'!$A$3:$A$500,$C38,'DADOS BRUTOS'!Q$3:Q$500)))</f>
        <v/>
      </c>
      <c r="CR38" s="132">
        <f>IF(OR(CR$4="",$B38=""),0,SUMIF('DADOS BRUTOS'!$A$3:$A$500,$B38,'DADOS BRUTOS'!R$3:R$500)+IF($C38="",0,SUMIF('DADOS BRUTOS'!$A$3:$A$500,$C38,'DADOS BRUTOS'!R$3:R$500)))</f>
        <v/>
      </c>
      <c r="CS38" s="132">
        <f>IF(OR(CS$4="",$B38=""),0,SUMIF('DADOS BRUTOS'!$A$3:$A$500,$B38,'DADOS BRUTOS'!S$3:S$500)+IF($C38="",0,SUMIF('DADOS BRUTOS'!$A$3:$A$500,$C38,'DADOS BRUTOS'!S$3:S$500)))</f>
        <v/>
      </c>
      <c r="CT38" s="132">
        <f>IF(OR(CT$4="",$B38=""),0,SUMIF('DADOS BRUTOS'!$A$3:$A$500,$B38,'DADOS BRUTOS'!T$3:T$500)+IF($C38="",0,SUMIF('DADOS BRUTOS'!$A$3:$A$500,$C38,'DADOS BRUTOS'!T$3:T$500)))</f>
        <v/>
      </c>
      <c r="CU38" s="132">
        <f>IF(OR(CU$4="",$B38=""),0,SUMIF('DADOS BRUTOS'!$A$3:$A$500,$B38,'DADOS BRUTOS'!U$3:U$500)+IF($C38="",0,SUMIF('DADOS BRUTOS'!$A$3:$A$500,$C38,'DADOS BRUTOS'!U$3:U$500)))</f>
        <v/>
      </c>
      <c r="CV38" s="132">
        <f>IF(OR(CV$4="",$B38=""),0,SUMIF('DADOS BRUTOS'!$A$3:$A$500,$B38,'DADOS BRUTOS'!V$3:V$500)+IF($C38="",0,SUMIF('DADOS BRUTOS'!$A$3:$A$500,$C38,'DADOS BRUTOS'!V$3:V$500)))</f>
        <v/>
      </c>
      <c r="CW38" s="132">
        <f>IF(OR(CW$4="",$B38=""),0,SUMIF('DADOS BRUTOS'!$A$3:$A$500,$B38,'DADOS BRUTOS'!W$3:W$500)+IF($C38="",0,SUMIF('DADOS BRUTOS'!$A$3:$A$500,$C38,'DADOS BRUTOS'!W$3:W$500)))</f>
        <v/>
      </c>
      <c r="CX38" s="132">
        <f>IF(OR(CX$4="",$B38=""),0,SUMIF('DADOS BRUTOS'!$A$3:$A$500,$B38,'DADOS BRUTOS'!X$3:X$500)+IF($C38="",0,SUMIF('DADOS BRUTOS'!$A$3:$A$500,$C38,'DADOS BRUTOS'!X$3:X$500)))</f>
        <v/>
      </c>
      <c r="CY38" s="132">
        <f>IF(OR(CY$4="",$B38=""),0,SUMIF('DADOS BRUTOS'!$A$3:$A$500,$B38,'DADOS BRUTOS'!Y$3:Y$500)+IF($C38="",0,SUMIF('DADOS BRUTOS'!$A$3:$A$500,$C38,'DADOS BRUTOS'!Y$3:Y$500)))</f>
        <v/>
      </c>
      <c r="CZ38" s="132">
        <f>IF(OR(CZ$4="",$B38=""),0,SUMIF('DADOS BRUTOS'!$A$3:$A$500,$B38,'DADOS BRUTOS'!Z$3:Z$500)+IF($C38="",0,SUMIF('DADOS BRUTOS'!$A$3:$A$500,$C38,'DADOS BRUTOS'!Z$3:Z$500)))</f>
        <v/>
      </c>
      <c r="DA38" s="132">
        <f>IF(OR(DA$4="",$B38=""),0,SUMIF('DADOS BRUTOS'!$A$3:$A$500,$B38,'DADOS BRUTOS'!AA$3:AA$500)+IF($C38="",0,SUMIF('DADOS BRUTOS'!$A$3:$A$500,$C38,'DADOS BRUTOS'!AA$3:AA$500)))</f>
        <v/>
      </c>
      <c r="DB38" s="132">
        <f>IF(OR(DB$4="",$B38=""),0,SUMIF('DADOS BRUTOS'!$A$3:$A$500,$B38,'DADOS BRUTOS'!AB$3:AB$500)+IF($C38="",0,SUMIF('DADOS BRUTOS'!$A$3:$A$500,$C38,'DADOS BRUTOS'!AB$3:AB$500)))</f>
        <v/>
      </c>
      <c r="DC38" s="132">
        <f>IF(OR(DC$4="",$B38=""),0,SUMIF('DADOS BRUTOS'!$A$3:$A$500,$B38,'DADOS BRUTOS'!AC$3:AC$500)+IF($C38="",0,SUMIF('DADOS BRUTOS'!$A$3:$A$500,$C38,'DADOS BRUTOS'!AC$3:AC$500)))</f>
        <v/>
      </c>
      <c r="DD38" s="132">
        <f>IF(OR(DD$4="",$B38=""),0,SUMIF('DADOS BRUTOS'!$A$3:$A$500,$B38,'DADOS BRUTOS'!AD$3:AD$500)+IF($C38="",0,SUMIF('DADOS BRUTOS'!$A$3:$A$500,$C38,'DADOS BRUTOS'!AD$3:AD$500)))</f>
        <v/>
      </c>
      <c r="DE38" s="132">
        <f>IF(OR(DE$4="",$B38=""),0,SUMIF('DADOS BRUTOS'!$A$3:$A$500,$B38,'DADOS BRUTOS'!AE$3:AE$500)+IF($C38="",0,SUMIF('DADOS BRUTOS'!$A$3:$A$500,$C38,'DADOS BRUTOS'!AE$3:AE$500)))</f>
        <v/>
      </c>
      <c r="DF38" s="132">
        <f>IF(OR(DF$4="",$B38=""),0,SUMIF('DADOS BRUTOS'!$A$3:$A$500,$B38,'DADOS BRUTOS'!AF$3:AF$500)+IF($C38="",0,SUMIF('DADOS BRUTOS'!$A$3:$A$500,$C38,'DADOS BRUTOS'!AF$3:AF$500)))</f>
        <v/>
      </c>
      <c r="DG38" s="132">
        <f>IF(OR(DG$4="",$B38=""),0,SUMIF('DADOS BRUTOS'!$A$3:$A$500,$B38,'DADOS BRUTOS'!AG$3:AG$500)+IF($C38="",0,SUMIF('DADOS BRUTOS'!$A$3:$A$500,$C38,'DADOS BRUTOS'!AG$3:AG$500)))</f>
        <v/>
      </c>
      <c r="DH38" s="132">
        <f>IF(OR(DH$4="",$B38=""),0,SUMIF('DADOS BRUTOS'!$A$3:$A$500,$B38,'DADOS BRUTOS'!AH$3:AH$500)+IF($C38="",0,SUMIF('DADOS BRUTOS'!$A$3:$A$500,$C38,'DADOS BRUTOS'!AH$3:AH$500)))</f>
        <v/>
      </c>
      <c r="DI38" s="132">
        <f>IF(OR(DI$4="",$B38=""),0,SUMIF('DADOS BRUTOS'!$A$3:$A$500,$B38,'DADOS BRUTOS'!AI$3:AI$500)+IF($C38="",0,SUMIF('DADOS BRUTOS'!$A$3:$A$500,$C38,'DADOS BRUTOS'!AI$3:AI$500)))</f>
        <v/>
      </c>
      <c r="DJ38" s="132">
        <f>IF(OR(DJ$4="",$B38=""),0,SUMIF('DADOS BRUTOS'!$A$3:$A$500,$B38,'DADOS BRUTOS'!AJ$3:AJ$500)+IF($C38="",0,SUMIF('DADOS BRUTOS'!$A$3:$A$500,$C38,'DADOS BRUTOS'!AJ$3:AJ$500)))</f>
        <v/>
      </c>
      <c r="DK38" s="132">
        <f>IF(OR(DK$4="",$B38=""),0,SUMIF('DADOS BRUTOS'!$A$3:$A$500,$B38,'DADOS BRUTOS'!AK$3:AK$500)+IF($C38="",0,SUMIF('DADOS BRUTOS'!$A$3:$A$500,$C38,'DADOS BRUTOS'!AK$3:AK$500)))</f>
        <v/>
      </c>
      <c r="DL38" s="132">
        <f>IF(OR(DL$4="",$B38=""),0,SUMIF('DADOS BRUTOS'!$A$3:$A$500,$B38,'DADOS BRUTOS'!AL$3:AL$500)+IF($C38="",0,SUMIF('DADOS BRUTOS'!$A$3:$A$500,$C38,'DADOS BRUTOS'!AL$3:AL$500)))</f>
        <v/>
      </c>
      <c r="DM38" s="132">
        <f>IF(OR(DM$4="",$B38=""),0,SUMIF('DADOS BRUTOS'!$A$3:$A$500,$B38,'DADOS BRUTOS'!AM$3:AM$500)+IF($C38="",0,SUMIF('DADOS BRUTOS'!$A$3:$A$500,$C38,'DADOS BRUTOS'!AM$3:AM$500)))</f>
        <v/>
      </c>
      <c r="DN38" s="132">
        <f>IF(OR(DN$4="",$B38=""),0,SUMIF('DADOS BRUTOS'!$A$3:$A$500,$B38,'DADOS BRUTOS'!AN$3:AN$500)+IF($C38="",0,SUMIF('DADOS BRUTOS'!$A$3:$A$500,$C38,'DADOS BRUTOS'!AN$3:AN$500)))</f>
        <v/>
      </c>
      <c r="DO38" s="132">
        <f>IF(OR(DO$4="",$B38=""),0,SUMIF('DADOS BRUTOS'!$A$3:$A$500,$B38,'DADOS BRUTOS'!AO$3:AO$500)+IF($C38="",0,SUMIF('DADOS BRUTOS'!$A$3:$A$500,$C38,'DADOS BRUTOS'!AO$3:AO$500)))</f>
        <v/>
      </c>
      <c r="DP38" s="132">
        <f>IF(OR(DP$4="",$B38=""),0,SUMIF('DADOS BRUTOS'!$A$3:$A$500,$B38,'DADOS BRUTOS'!AP$3:AP$500)+IF($C38="",0,SUMIF('DADOS BRUTOS'!$A$3:$A$500,$C38,'DADOS BRUTOS'!AP$3:AP$500)))</f>
        <v/>
      </c>
      <c r="DQ38" s="132">
        <f>IF(OR(DQ$4="",$B38=""),0,SUMIF('DADOS BRUTOS'!$A$3:$A$500,$B38,'DADOS BRUTOS'!AQ$3:AQ$500)+IF($C38="",0,SUMIF('DADOS BRUTOS'!$A$3:$A$500,$C38,'DADOS BRUTOS'!AQ$3:AQ$500)))</f>
        <v/>
      </c>
      <c r="DR38" s="132">
        <f>IF(OR(DR$4="",$B38=""),0,SUMIF('DADOS BRUTOS'!$A$3:$A$500,$B38,'DADOS BRUTOS'!AR$3:AR$500)+IF($C38="",0,SUMIF('DADOS BRUTOS'!$A$3:$A$500,$C38,'DADOS BRUTOS'!AR$3:AR$500)))</f>
        <v/>
      </c>
      <c r="DS38" s="132">
        <f>IF(OR(DS$4="",$B38=""),0,SUMIF('DADOS BRUTOS'!$A$3:$A$500,$B38,'DADOS BRUTOS'!AS$3:AS$500)+IF($C38="",0,SUMIF('DADOS BRUTOS'!$A$3:$A$500,$C38,'DADOS BRUTOS'!AS$3:AS$500)))</f>
        <v/>
      </c>
      <c r="DT38" s="132">
        <f>IF(OR(DT$4="",$B38=""),0,SUMIF('DADOS BRUTOS'!$A$3:$A$500,$B38,'DADOS BRUTOS'!AT$3:AT$500)+IF($C38="",0,SUMIF('DADOS BRUTOS'!$A$3:$A$500,$C38,'DADOS BRUTOS'!AT$3:AT$500)))</f>
        <v/>
      </c>
      <c r="DU38" s="132">
        <f>IF(OR(DU$4="",$B38=""),0,SUMIF('DADOS BRUTOS'!$A$3:$A$500,$B38,'DADOS BRUTOS'!AU$3:AU$500)+IF($C38="",0,SUMIF('DADOS BRUTOS'!$A$3:$A$500,$C38,'DADOS BRUTOS'!AU$3:AU$500)))</f>
        <v/>
      </c>
      <c r="DV38" s="132">
        <f>IF(OR(DV$4="",$B38=""),0,SUMIF('DADOS BRUTOS'!$A$3:$A$500,$B38,'DADOS BRUTOS'!AV$3:AV$500)+IF($C38="",0,SUMIF('DADOS BRUTOS'!$A$3:$A$500,$C38,'DADOS BRUTOS'!AV$3:AV$500)))</f>
        <v/>
      </c>
      <c r="DW38" s="132">
        <f>IF(OR(DW$4="",$B38=""),0,SUMIF('DADOS BRUTOS'!$A$3:$A$500,$B38,'DADOS BRUTOS'!AW$3:AW$500)+IF($C38="",0,SUMIF('DADOS BRUTOS'!$A$3:$A$500,$C38,'DADOS BRUTOS'!AW$3:AW$500)))</f>
        <v/>
      </c>
      <c r="DX38" s="132">
        <f>IF(OR(DX$4="",$B38=""),0,SUMIF('DADOS BRUTOS'!$A$3:$A$500,$B38,'DADOS BRUTOS'!AX$3:AX$500)+IF($C38="",0,SUMIF('DADOS BRUTOS'!$A$3:$A$500,$C38,'DADOS BRUTOS'!AX$3:AX$500)))</f>
        <v/>
      </c>
      <c r="DY38" s="132">
        <f>IF(OR(DY$4="",$B38=""),0,SUMIF('DADOS BRUTOS'!$A$3:$A$500,$B38,'DADOS BRUTOS'!AY$3:AY$500)+IF($C38="",0,SUMIF('DADOS BRUTOS'!$A$3:$A$500,$C38,'DADOS BRUTOS'!AY$3:AY$500)))</f>
        <v/>
      </c>
      <c r="DZ38" s="132">
        <f>IF(OR(DZ$4="",$B38=""),0,SUMIF('DADOS BRUTOS'!$A$3:$A$500,$B38,'DADOS BRUTOS'!AZ$3:AZ$500)+IF($C38="",0,SUMIF('DADOS BRUTOS'!$A$3:$A$500,$C38,'DADOS BRUTOS'!AZ$3:AZ$500)))</f>
        <v/>
      </c>
      <c r="EA38" s="132">
        <f>IF(OR(EA$4="",$B38=""),0,SUMIF('DADOS BRUTOS'!$A$3:$A$500,$B38,'DADOS BRUTOS'!BA$3:BA$500)+IF($C38="",0,SUMIF('DADOS BRUTOS'!$A$3:$A$500,$C38,'DADOS BRUTOS'!BA$3:BA$500)))</f>
        <v/>
      </c>
      <c r="EB38" s="132">
        <f>IF(OR(EB$4="",$B38=""),0,SUMIF('DADOS BRUTOS'!$A$3:$A$500,$B38,'DADOS BRUTOS'!BB$3:BB$500)+IF($C38="",0,SUMIF('DADOS BRUTOS'!$A$3:$A$500,$C38,'DADOS BRUTOS'!BB$3:BB$500)))</f>
        <v/>
      </c>
      <c r="EC38" s="132">
        <f>IF(OR(EC$4="",$B38=""),0,SUMIF('DADOS BRUTOS'!$A$3:$A$500,$B38,'DADOS BRUTOS'!BC$3:BC$500)+IF($C38="",0,SUMIF('DADOS BRUTOS'!$A$3:$A$500,$C38,'DADOS BRUTOS'!BC$3:BC$500)))</f>
        <v/>
      </c>
      <c r="ED38" s="132">
        <f>IF(OR(ED$4="",$B38=""),0,SUMIF('DADOS BRUTOS'!$A$3:$A$500,$B38,'DADOS BRUTOS'!BD$3:BD$500)+IF($C38="",0,SUMIF('DADOS BRUTOS'!$A$3:$A$500,$C38,'DADOS BRUTOS'!BD$3:BD$500)))</f>
        <v/>
      </c>
      <c r="EE38" s="132">
        <f>IF(OR(EE$4="",$B38=""),0,SUMIF('DADOS BRUTOS'!$A$3:$A$500,$B38,'DADOS BRUTOS'!BE$3:BE$500)+IF($C38="",0,SUMIF('DADOS BRUTOS'!$A$3:$A$500,$C38,'DADOS BRUTOS'!BE$3:BE$500)))</f>
        <v/>
      </c>
      <c r="EF38" s="132">
        <f>IF(OR(EF$4="",$B38=""),0,SUMIF('DADOS BRUTOS'!$A$3:$A$500,$B38,'DADOS BRUTOS'!BF$3:BF$500)+IF($C38="",0,SUMIF('DADOS BRUTOS'!$A$3:$A$500,$C38,'DADOS BRUTOS'!BF$3:BF$500)))</f>
        <v/>
      </c>
      <c r="EG38" s="132">
        <f>IF(OR(EG$4="",$B38=""),0,SUMIF('DADOS BRUTOS'!$A$3:$A$500,$B38,'DADOS BRUTOS'!BG$3:BG$500)+IF($C38="",0,SUMIF('DADOS BRUTOS'!$A$3:$A$500,$C38,'DADOS BRUTOS'!BG$3:BG$500)))</f>
        <v/>
      </c>
      <c r="EH38" s="132">
        <f>IF(OR(EH$4="",$B38=""),0,SUMIF('DADOS BRUTOS'!$A$3:$A$500,$B38,'DADOS BRUTOS'!BH$3:BH$500)+IF($C38="",0,SUMIF('DADOS BRUTOS'!$A$3:$A$500,$C38,'DADOS BRUTOS'!BH$3:BH$500)))</f>
        <v/>
      </c>
      <c r="EI38" s="132">
        <f>IF(OR(EI$4="",$B38=""),0,SUMIF('DADOS BRUTOS'!$A$3:$A$500,$B38,'DADOS BRUTOS'!BI$3:BI$500)+IF($C38="",0,SUMIF('DADOS BRUTOS'!$A$3:$A$500,$C38,'DADOS BRUTOS'!BI$3:BI$500)))</f>
        <v/>
      </c>
      <c r="EJ38" s="132">
        <f>IF(OR(EJ$4="",$B38=""),0,SUMIF('DADOS BRUTOS'!$A$3:$A$500,$B38,'DADOS BRUTOS'!BJ$3:BJ$500)+IF($C38="",0,SUMIF('DADOS BRUTOS'!$A$3:$A$500,$C38,'DADOS BRUTOS'!BJ$3:BJ$500)))</f>
        <v/>
      </c>
      <c r="EK38" s="132">
        <f>IF(OR(EK$4="",$B38=""),0,SUMIF('DADOS BRUTOS'!$A$3:$A$500,$B38,'DADOS BRUTOS'!BK$3:BK$500)+IF($C38="",0,SUMIF('DADOS BRUTOS'!$A$3:$A$500,$C38,'DADOS BRUTOS'!BK$3:BK$500)))</f>
        <v/>
      </c>
      <c r="EL38" s="132">
        <f>IF(OR(EL$4="",$B38=""),0,SUMIF('DADOS BRUTOS'!$A$3:$A$500,$B38,'DADOS BRUTOS'!BL$3:BL$500)+IF($C38="",0,SUMIF('DADOS BRUTOS'!$A$3:$A$500,$C38,'DADOS BRUTOS'!BL$3:BL$500)))</f>
        <v/>
      </c>
      <c r="EM38" s="132">
        <f>IF(OR(EM$4="",$B38=""),0,SUMIF('DADOS BRUTOS'!$A$3:$A$500,$B38,'DADOS BRUTOS'!BM$3:BM$500)+IF($C38="",0,SUMIF('DADOS BRUTOS'!$A$3:$A$500,$C38,'DADOS BRUTOS'!BM$3:BM$500)))</f>
        <v/>
      </c>
      <c r="EN38" s="132">
        <f>IF(OR(EN$4="",$B38=""),0,SUMIF('DADOS BRUTOS'!$A$3:$A$500,$B38,'DADOS BRUTOS'!BN$3:BN$500)+IF($C38="",0,SUMIF('DADOS BRUTOS'!$A$3:$A$500,$C38,'DADOS BRUTOS'!BN$3:BN$500)))</f>
        <v/>
      </c>
      <c r="EO38" s="132">
        <f>IF(OR(EO$4="",$B38=""),0,SUMIF('DADOS BRUTOS'!$A$3:$A$500,$B38,'DADOS BRUTOS'!BO$3:BO$500)+IF($C38="",0,SUMIF('DADOS BRUTOS'!$A$3:$A$500,$C38,'DADOS BRUTOS'!BO$3:BO$500)))</f>
        <v/>
      </c>
      <c r="EP38" s="132">
        <f>IF(OR(EP$4="",$B38=""),0,SUMIF('DADOS BRUTOS'!$A$3:$A$500,$B38,'DADOS BRUTOS'!BP$3:BP$500)+IF($C38="",0,SUMIF('DADOS BRUTOS'!$A$3:$A$500,$C38,'DADOS BRUTOS'!BP$3:BP$500)))</f>
        <v/>
      </c>
      <c r="EQ38" s="132">
        <f>IF(OR(EQ$4="",$B38=""),0,SUMIF('DADOS BRUTOS'!$A$3:$A$500,$B38,'DADOS BRUTOS'!BQ$3:BQ$500)+IF($C38="",0,SUMIF('DADOS BRUTOS'!$A$3:$A$500,$C38,'DADOS BRUTOS'!BQ$3:BQ$500)))</f>
        <v/>
      </c>
      <c r="ER38" s="132">
        <f>IF(OR(ER$4="",$B38=""),0,SUMIF('DADOS BRUTOS'!$A$3:$A$500,$B38,'DADOS BRUTOS'!BR$3:BR$500)+IF($C38="",0,SUMIF('DADOS BRUTOS'!$A$3:$A$500,$C38,'DADOS BRUTOS'!BR$3:BR$500)))</f>
        <v/>
      </c>
      <c r="ES38" s="132">
        <f>IF(OR(ES$4="",$B38=""),0,SUMIF('DADOS BRUTOS'!$A$3:$A$500,$B38,'DADOS BRUTOS'!BS$3:BS$500)+IF($C38="",0,SUMIF('DADOS BRUTOS'!$A$3:$A$500,$C38,'DADOS BRUTOS'!BS$3:BS$500)))</f>
        <v/>
      </c>
      <c r="ET38" s="132">
        <f>IF(OR(ET$4="",$B38=""),0,SUMIF('DADOS BRUTOS'!$A$3:$A$500,$B38,'DADOS BRUTOS'!BT$3:BT$500)+IF($C38="",0,SUMIF('DADOS BRUTOS'!$A$3:$A$500,$C38,'DADOS BRUTOS'!BT$3:BT$500)))</f>
        <v/>
      </c>
      <c r="EU38" s="132">
        <f>IF(OR(EU$4="",$B38=""),0,SUMIF('DADOS BRUTOS'!$A$3:$A$500,$B38,'DADOS BRUTOS'!BU$3:BU$500)+IF($C38="",0,SUMIF('DADOS BRUTOS'!$A$3:$A$500,$C38,'DADOS BRUTOS'!BU$3:BU$500)))</f>
        <v/>
      </c>
      <c r="EV38" s="132">
        <f>IF(OR(EV$4="",$B38=""),0,SUMIF('DADOS BRUTOS'!$A$3:$A$500,$B38,'DADOS BRUTOS'!BV$3:BV$500)+IF($C38="",0,SUMIF('DADOS BRUTOS'!$A$3:$A$500,$C38,'DADOS BRUTOS'!BV$3:BV$500)))</f>
        <v/>
      </c>
      <c r="EW38" s="132">
        <f>IF(OR(EW$4="",$B38=""),0,SUMIF('DADOS BRUTOS'!$A$3:$A$500,$B38,'DADOS BRUTOS'!BW$3:BW$500)+IF($C38="",0,SUMIF('DADOS BRUTOS'!$A$3:$A$500,$C38,'DADOS BRUTOS'!BW$3:BW$500)))</f>
        <v/>
      </c>
      <c r="EX38" s="132">
        <f>IF(OR(EX$4="",$B38=""),0,SUMIF('DADOS BRUTOS'!$A$3:$A$500,$B38,'DADOS BRUTOS'!BX$3:BX$500)+IF($C38="",0,SUMIF('DADOS BRUTOS'!$A$3:$A$500,$C38,'DADOS BRUTOS'!BX$3:BX$500)))</f>
        <v/>
      </c>
      <c r="EY38" s="132">
        <f>IF(OR(EY$4="",$B38=""),0,SUMIF('DADOS BRUTOS'!$A$3:$A$500,$B38,'DADOS BRUTOS'!BY$3:BY$500)+IF($C38="",0,SUMIF('DADOS BRUTOS'!$A$3:$A$500,$C38,'DADOS BRUTOS'!BY$3:BY$500)))</f>
        <v/>
      </c>
      <c r="EZ38" s="132">
        <f>IF(OR(EZ$4="",$B38=""),0,SUMIF('DADOS BRUTOS'!$A$3:$A$500,$B38,'DADOS BRUTOS'!BZ$3:BZ$500)+IF($C38="",0,SUMIF('DADOS BRUTOS'!$A$3:$A$500,$C38,'DADOS BRUTOS'!BZ$3:BZ$500)))</f>
        <v/>
      </c>
      <c r="FA38" s="132">
        <f>IF(OR(FA$4="",$B38=""),0,SUMIF('DADOS BRUTOS'!$A$3:$A$500,$B38,'DADOS BRUTOS'!CA$3:CA$500)+IF($C38="",0,SUMIF('DADOS BRUTOS'!$A$3:$A$500,$C38,'DADOS BRUTOS'!CA$3:CA$500)))</f>
        <v/>
      </c>
      <c r="FB38" s="132">
        <f>IF(OR(FB$4="",$B38=""),0,SUMIF('DADOS BRUTOS'!$A$3:$A$500,$B38,'DADOS BRUTOS'!CB$3:CB$500)+IF($C38="",0,SUMIF('DADOS BRUTOS'!$A$3:$A$500,$C38,'DADOS BRUTOS'!CB$3:CB$500)))</f>
        <v/>
      </c>
      <c r="FC38" s="132">
        <f>IF(OR(FC$4="",$B38=""),0,SUMIF('DADOS BRUTOS'!$A$3:$A$500,$B38,'DADOS BRUTOS'!CC$3:CC$500)+IF($C38="",0,SUMIF('DADOS BRUTOS'!$A$3:$A$500,$C38,'DADOS BRUTOS'!CC$3:CC$500)))</f>
        <v/>
      </c>
      <c r="FD38" s="132">
        <f>IF(OR(FD$4="",$B38=""),0,SUMIF('DADOS BRUTOS'!$A$3:$A$500,$B38,'DADOS BRUTOS'!CD$3:CD$500)+IF($C38="",0,SUMIF('DADOS BRUTOS'!$A$3:$A$500,$C38,'DADOS BRUTOS'!CD$3:CD$500)))</f>
        <v/>
      </c>
      <c r="FE38" s="132">
        <f>IF(OR(FE$4="",$B38=""),0,SUMIF('DADOS BRUTOS'!$A$3:$A$500,$B38,'DADOS BRUTOS'!CE$3:CE$500)+IF($C38="",0,SUMIF('DADOS BRUTOS'!$A$3:$A$500,$C38,'DADOS BRUTOS'!CE$3:CE$500)))</f>
        <v/>
      </c>
      <c r="FF38" s="132">
        <f>IF(OR(FF$4="",$B38=""),0,SUMIF('DADOS BRUTOS'!$A$3:$A$500,$B38,'DADOS BRUTOS'!CF$3:CF$500)+IF($C38="",0,SUMIF('DADOS BRUTOS'!$A$3:$A$500,$C38,'DADOS BRUTOS'!CF$3:CF$500)))</f>
        <v/>
      </c>
      <c r="FG38" s="132">
        <f>IF(OR(FG$4="",$B38=""),0,SUMIF('DADOS BRUTOS'!$A$3:$A$500,$B38,'DADOS BRUTOS'!CG$3:CG$500)+IF($C38="",0,SUMIF('DADOS BRUTOS'!$A$3:$A$500,$C38,'DADOS BRUTOS'!CG$3:CG$500)))</f>
        <v/>
      </c>
      <c r="FH38" s="132">
        <f>IF(OR(FH$4="",$B38=""),0,SUMIF('DADOS BRUTOS'!$A$3:$A$500,$B38,'DADOS BRUTOS'!CH$3:CH$500)+IF($C38="",0,SUMIF('DADOS BRUTOS'!$A$3:$A$500,$C38,'DADOS BRUTOS'!CH$3:CH$500)))</f>
        <v/>
      </c>
      <c r="FI38" s="132">
        <f>IF(OR(FI$4="",$B38=""),0,SUMIF('DADOS BRUTOS'!$A$3:$A$500,$B38,'DADOS BRUTOS'!CI$3:CI$500)+IF($C38="",0,SUMIF('DADOS BRUTOS'!$A$3:$A$500,$C38,'DADOS BRUTOS'!CI$3:CI$500)))</f>
        <v/>
      </c>
      <c r="FJ38" s="132">
        <f>IF(OR(FJ$4="",$B38=""),0,SUMIF('DADOS BRUTOS'!$A$3:$A$500,$B38,'DADOS BRUTOS'!CJ$3:CJ$500)+IF($C38="",0,SUMIF('DADOS BRUTOS'!$A$3:$A$500,$C38,'DADOS BRUTOS'!CJ$3:CJ$500)))</f>
        <v/>
      </c>
      <c r="FK38" s="132">
        <f>IF(OR(FK$4="",$B38=""),0,SUMIF('DADOS BRUTOS'!$A$3:$A$500,$B38,'DADOS BRUTOS'!CK$3:CK$500)+IF($C38="",0,SUMIF('DADOS BRUTOS'!$A$3:$A$500,$C38,'DADOS BRUTOS'!CK$3:CK$500)))</f>
        <v/>
      </c>
      <c r="FL38" s="132">
        <f>IF(OR(FL$4="",$B38=""),0,SUMIF('DADOS BRUTOS'!$A$3:$A$500,$B38,'DADOS BRUTOS'!CL$3:CL$500)+IF($C38="",0,SUMIF('DADOS BRUTOS'!$A$3:$A$500,$C38,'DADOS BRUTOS'!CL$3:CL$500)))</f>
        <v/>
      </c>
      <c r="FM38" s="132">
        <f>IF(OR(FM$4="",$B38=""),0,SUMIF('DADOS BRUTOS'!$A$3:$A$500,$B38,'DADOS BRUTOS'!CM$3:CM$500)+IF($C38="",0,SUMIF('DADOS BRUTOS'!$A$3:$A$500,$C38,'DADOS BRUTOS'!CM$3:CM$500)))</f>
        <v/>
      </c>
      <c r="FN38" s="132">
        <f>IF(OR(FN$4="",$B38=""),0,SUMIF('DADOS BRUTOS'!$A$3:$A$500,$B38,'DADOS BRUTOS'!CN$3:CN$500)+IF($C38="",0,SUMIF('DADOS BRUTOS'!$A$3:$A$500,$C38,'DADOS BRUTOS'!CN$3:CN$500)))</f>
        <v/>
      </c>
      <c r="FO38" s="132">
        <f>IF(OR(FO$4="",$B38=""),0,SUMIF('DADOS BRUTOS'!$A$3:$A$500,$B38,'DADOS BRUTOS'!CO$3:CO$500)+IF($C38="",0,SUMIF('DADOS BRUTOS'!$A$3:$A$500,$C38,'DADOS BRUTOS'!CO$3:CO$500)))</f>
        <v/>
      </c>
      <c r="FP38" s="132">
        <f>IF(OR(FP$4="",$B38=""),0,SUMIF('DADOS BRUTOS'!$A$3:$A$500,$B38,'DADOS BRUTOS'!CP$3:CP$500)+IF($C38="",0,SUMIF('DADOS BRUTOS'!$A$3:$A$500,$C38,'DADOS BRUTOS'!CP$3:CP$500)))</f>
        <v/>
      </c>
      <c r="FQ38" s="132">
        <f>IF(OR(FQ$4="",$B38=""),0,SUMIF('DADOS BRUTOS'!$A$3:$A$500,$B38,'DADOS BRUTOS'!CQ$3:CQ$500)+IF($C38="",0,SUMIF('DADOS BRUTOS'!$A$3:$A$500,$C38,'DADOS BRUTOS'!CQ$3:CQ$500)))</f>
        <v/>
      </c>
      <c r="FR38" s="132">
        <f>IF(OR(FR$4="",$B38=""),0,SUMIF('DADOS BRUTOS'!$A$3:$A$500,$B38,'DADOS BRUTOS'!CR$3:CR$500)+IF($C38="",0,SUMIF('DADOS BRUTOS'!$A$3:$A$500,$C38,'DADOS BRUTOS'!CR$3:CR$500)))</f>
        <v/>
      </c>
      <c r="FS38" s="132">
        <f>IF(OR(FS$4="",$B38=""),0,SUMIF('DADOS BRUTOS'!$A$3:$A$500,$B38,'DADOS BRUTOS'!CS$3:CS$500)+IF($C38="",0,SUMIF('DADOS BRUTOS'!$A$3:$A$500,$C38,'DADOS BRUTOS'!CS$3:CS$500)))</f>
        <v/>
      </c>
      <c r="FT38" s="132">
        <f>IF(OR(FT$4="",$B38=""),0,SUMIF('DADOS BRUTOS'!$A$3:$A$500,$B38,'DADOS BRUTOS'!CT$3:CT$500)+IF($C38="",0,SUMIF('DADOS BRUTOS'!$A$3:$A$500,$C38,'DADOS BRUTOS'!CT$3:CT$500)))</f>
        <v/>
      </c>
      <c r="FU38" s="132">
        <f>IF(OR(FU$4="",$B38=""),0,SUMIF('DADOS BRUTOS'!$A$3:$A$500,$B38,'DADOS BRUTOS'!CU$3:CU$500)+IF($C38="",0,SUMIF('DADOS BRUTOS'!$A$3:$A$500,$C38,'DADOS BRUTOS'!CU$3:CU$500)))</f>
        <v/>
      </c>
      <c r="FV38" s="132">
        <f>IF(OR(FV$4="",$B38=""),0,SUMIF('DADOS BRUTOS'!$A$3:$A$500,$B38,'DADOS BRUTOS'!CV$3:CV$500)+IF($C38="",0,SUMIF('DADOS BRUTOS'!$A$3:$A$500,$C38,'DADOS BRUTOS'!CV$3:CV$500)))</f>
        <v/>
      </c>
      <c r="FW38" s="132">
        <f>IF(OR(FW$4="",$B38=""),0,SUMIF('DADOS BRUTOS'!$A$3:$A$500,$B38,'DADOS BRUTOS'!CW$3:CW$500)+IF($C38="",0,SUMIF('DADOS BRUTOS'!$A$3:$A$500,$C38,'DADOS BRUTOS'!CW$3:CW$500)))</f>
        <v/>
      </c>
      <c r="FX38" s="132">
        <f>IF(OR(FX$4="",$B38=""),0,SUMIF('DADOS BRUTOS'!$A$3:$A$500,$B38,'DADOS BRUTOS'!CX$3:CX$500)+IF($C38="",0,SUMIF('DADOS BRUTOS'!$A$3:$A$500,$C38,'DADOS BRUTOS'!CX$3:CX$500)))</f>
        <v/>
      </c>
      <c r="FY38" s="132">
        <f>IF(OR(FY$4="",$B38=""),0,SUMIF('DADOS BRUTOS'!$A$3:$A$500,$B38,'DADOS BRUTOS'!CY$3:CY$500)+IF($C38="",0,SUMIF('DADOS BRUTOS'!$A$3:$A$500,$C38,'DADOS BRUTOS'!CY$3:CY$500)))</f>
        <v/>
      </c>
      <c r="FZ38" s="132">
        <f>IF(OR(FZ$4="",$B38=""),0,SUMIF('DADOS BRUTOS'!$A$3:$A$500,$B38,'DADOS BRUTOS'!CZ$3:CZ$500)+IF($C38="",0,SUMIF('DADOS BRUTOS'!$A$3:$A$500,$C38,'DADOS BRUTOS'!CZ$3:CZ$500)))</f>
        <v/>
      </c>
      <c r="GA38" s="132">
        <f>IF(OR(GA$4="",$B38=""),0,SUMIF('DADOS BRUTOS'!$A$3:$A$500,$B38,'DADOS BRUTOS'!DA$3:DA$500)+IF($C38="",0,SUMIF('DADOS BRUTOS'!$A$3:$A$500,$C38,'DADOS BRUTOS'!DA$3:DA$500)))</f>
        <v/>
      </c>
      <c r="GB38" s="132">
        <f>IF(OR(GB$4="",$B38=""),0,SUMIF('DADOS BRUTOS'!$A$3:$A$500,$B38,'DADOS BRUTOS'!DB$3:DB$500)+IF($C38="",0,SUMIF('DADOS BRUTOS'!$A$3:$A$500,$C38,'DADOS BRUTOS'!DB$3:DB$500)))</f>
        <v/>
      </c>
      <c r="GC38" s="132">
        <f>IF(OR(GC$4="",$B38=""),0,SUMIF('DADOS BRUTOS'!$A$3:$A$500,$B38,'DADOS BRUTOS'!DC$3:DC$500)+IF($C38="",0,SUMIF('DADOS BRUTOS'!$A$3:$A$500,$C38,'DADOS BRUTOS'!DC$3:DC$500)))</f>
        <v/>
      </c>
      <c r="GD38" s="132">
        <f>IF(OR(GD$4="",$B38=""),0,SUMIF('DADOS BRUTOS'!$A$3:$A$500,$B38,'DADOS BRUTOS'!DD$3:DD$500)+IF($C38="",0,SUMIF('DADOS BRUTOS'!$A$3:$A$500,$C38,'DADOS BRUTOS'!DD$3:DD$500)))</f>
        <v/>
      </c>
      <c r="GE38" s="132">
        <f>IF(OR(GE$4="",$B38=""),0,SUMIF('DADOS BRUTOS'!$A$3:$A$500,$B38,'DADOS BRUTOS'!DE$3:DE$500)+IF($C38="",0,SUMIF('DADOS BRUTOS'!$A$3:$A$500,$C38,'DADOS BRUTOS'!DE$3:DE$500)))</f>
        <v/>
      </c>
      <c r="GF38" s="132">
        <f>IF(OR(GF$4="",$B38=""),0,SUMIF('DADOS BRUTOS'!$A$3:$A$500,$B38,'DADOS BRUTOS'!DF$3:DF$500)+IF($C38="",0,SUMIF('DADOS BRUTOS'!$A$3:$A$500,$C38,'DADOS BRUTOS'!DF$3:DF$500)))</f>
        <v/>
      </c>
      <c r="GG38" s="132">
        <f>IF(OR(GG$4="",$B38=""),0,SUMIF('DADOS BRUTOS'!$A$3:$A$500,$B38,'DADOS BRUTOS'!DG$3:DG$500)+IF($C38="",0,SUMIF('DADOS BRUTOS'!$A$3:$A$500,$C38,'DADOS BRUTOS'!DG$3:DG$500)))</f>
        <v/>
      </c>
      <c r="GH38" s="132">
        <f>IF(OR(GH$4="",$B38=""),0,SUMIF('DADOS BRUTOS'!$A$3:$A$500,$B38,'DADOS BRUTOS'!DH$3:DH$500)+IF($C38="",0,SUMIF('DADOS BRUTOS'!$A$3:$A$500,$C38,'DADOS BRUTOS'!DH$3:DH$500)))</f>
        <v/>
      </c>
      <c r="GI38" s="132">
        <f>IF(OR(GI$4="",$B38=""),0,SUMIF('DADOS BRUTOS'!$A$3:$A$500,$B38,'DADOS BRUTOS'!DI$3:DI$500)+IF($C38="",0,SUMIF('DADOS BRUTOS'!$A$3:$A$500,$C38,'DADOS BRUTOS'!DI$3:DI$500)))</f>
        <v/>
      </c>
      <c r="GJ38" s="132">
        <f>IF(OR(GJ$4="",$B38=""),0,SUMIF('DADOS BRUTOS'!$A$3:$A$500,$B38,'DADOS BRUTOS'!DJ$3:DJ$500)+IF($C38="",0,SUMIF('DADOS BRUTOS'!$A$3:$A$500,$C38,'DADOS BRUTOS'!DJ$3:DJ$500)))</f>
        <v/>
      </c>
      <c r="GK38" s="132">
        <f>IF(OR(GK$4="",$B38=""),0,SUMIF('DADOS BRUTOS'!$A$3:$A$500,$B38,'DADOS BRUTOS'!DK$3:DK$500)+IF($C38="",0,SUMIF('DADOS BRUTOS'!$A$3:$A$500,$C38,'DADOS BRUTOS'!DK$3:DK$500)))</f>
        <v/>
      </c>
      <c r="GL38" s="132">
        <f>IF(OR(GL$4="",$B38=""),0,SUMIF('DADOS BRUTOS'!$A$3:$A$500,$B38,'DADOS BRUTOS'!DL$3:DL$500)+IF($C38="",0,SUMIF('DADOS BRUTOS'!$A$3:$A$500,$C38,'DADOS BRUTOS'!DL$3:DL$500)))</f>
        <v/>
      </c>
      <c r="GM38" s="132">
        <f>IF(OR(GM$4="",$B38=""),0,SUMIF('DADOS BRUTOS'!$A$3:$A$500,$B38,'DADOS BRUTOS'!DM$3:DM$500)+IF($C38="",0,SUMIF('DADOS BRUTOS'!$A$3:$A$500,$C38,'DADOS BRUTOS'!DM$3:DM$500)))</f>
        <v/>
      </c>
      <c r="GN38" s="132">
        <f>IF(OR(GN$4="",$B38=""),0,SUMIF('DADOS BRUTOS'!$A$3:$A$500,$B38,'DADOS BRUTOS'!DN$3:DN$500)+IF($C38="",0,SUMIF('DADOS BRUTOS'!$A$3:$A$500,$C38,'DADOS BRUTOS'!DN$3:DN$500)))</f>
        <v/>
      </c>
      <c r="GO38" s="132">
        <f>IF(OR(GO$4="",$B38=""),0,SUMIF('DADOS BRUTOS'!$A$3:$A$500,$B38,'DADOS BRUTOS'!DO$3:DO$500)+IF($C38="",0,SUMIF('DADOS BRUTOS'!$A$3:$A$500,$C38,'DADOS BRUTOS'!DO$3:DO$500)))</f>
        <v/>
      </c>
      <c r="GP38" s="132">
        <f>IF(OR(GP$4="",$B38=""),0,SUMIF('DADOS BRUTOS'!$A$3:$A$500,$B38,'DADOS BRUTOS'!DP$3:DP$500)+IF($C38="",0,SUMIF('DADOS BRUTOS'!$A$3:$A$500,$C38,'DADOS BRUTOS'!DP$3:DP$500)))</f>
        <v/>
      </c>
      <c r="GQ38" s="132">
        <f>IF(OR(GQ$4="",$B38=""),0,SUMIF('DADOS BRUTOS'!$A$3:$A$500,$B38,'DADOS BRUTOS'!DQ$3:DQ$500)+IF($C38="",0,SUMIF('DADOS BRUTOS'!$A$3:$A$500,$C38,'DADOS BRUTOS'!DQ$3:DQ$500)))</f>
        <v/>
      </c>
      <c r="GR38" s="132">
        <f>IF(OR(GR$4="",$B38=""),0,SUMIF('DADOS BRUTOS'!$A$3:$A$500,$B38,'DADOS BRUTOS'!DR$3:DR$500)+IF($C38="",0,SUMIF('DADOS BRUTOS'!$A$3:$A$500,$C38,'DADOS BRUTOS'!DR$3:DR$500)))</f>
        <v/>
      </c>
      <c r="GS38" s="132">
        <f>IF(OR(GS$4="",$B38=""),0,SUMIF('DADOS BRUTOS'!$A$3:$A$500,$B38,'DADOS BRUTOS'!DS$3:DS$500)+IF($C38="",0,SUMIF('DADOS BRUTOS'!$A$3:$A$500,$C38,'DADOS BRUTOS'!DS$3:DS$500)))</f>
        <v/>
      </c>
      <c r="GT38" s="132">
        <f>IF(OR(GT$4="",$B38=""),0,SUMIF('DADOS BRUTOS'!$A$3:$A$500,$B38,'DADOS BRUTOS'!DT$3:DT$500)+IF($C38="",0,SUMIF('DADOS BRUTOS'!$A$3:$A$500,$C38,'DADOS BRUTOS'!DT$3:DT$500)))</f>
        <v/>
      </c>
      <c r="GU38" s="132">
        <f>IF(OR(GU$4="",$B38=""),0,SUMIF('DADOS BRUTOS'!$A$3:$A$500,$B38,'DADOS BRUTOS'!DU$3:DU$500)+IF($C38="",0,SUMIF('DADOS BRUTOS'!$A$3:$A$500,$C38,'DADOS BRUTOS'!DU$3:DU$500)))</f>
        <v/>
      </c>
      <c r="GV38" s="132">
        <f>IF(OR(GV$4="",$B38=""),0,SUMIF('DADOS BRUTOS'!$A$3:$A$500,$B38,'DADOS BRUTOS'!DV$3:DV$500)+IF($C38="",0,SUMIF('DADOS BRUTOS'!$A$3:$A$500,$C38,'DADOS BRUTOS'!DV$3:DV$500)))</f>
        <v/>
      </c>
      <c r="GW38" s="132">
        <f>IF(OR(GW$4="",$B38=""),0,SUMIF('DADOS BRUTOS'!$A$3:$A$500,$B38,'DADOS BRUTOS'!DW$3:DW$500)+IF($C38="",0,SUMIF('DADOS BRUTOS'!$A$3:$A$500,$C38,'DADOS BRUTOS'!DW$3:DW$500)))</f>
        <v/>
      </c>
      <c r="GX38" s="132">
        <f>IF(OR(GX$4="",$B38=""),0,SUMIF('DADOS BRUTOS'!$A$3:$A$500,$B38,'DADOS BRUTOS'!DX$3:DX$500)+IF($C38="",0,SUMIF('DADOS BRUTOS'!$A$3:$A$500,$C38,'DADOS BRUTOS'!DX$3:DX$500)))</f>
        <v/>
      </c>
      <c r="GY38" s="132">
        <f>IF(OR(GY$4="",$B38=""),0,SUMIF('DADOS BRUTOS'!$A$3:$A$500,$B38,'DADOS BRUTOS'!DY$3:DY$500)+IF($C38="",0,SUMIF('DADOS BRUTOS'!$A$3:$A$500,$C38,'DADOS BRUTOS'!DY$3:DY$500)))</f>
        <v/>
      </c>
      <c r="GZ38" s="132">
        <f>IF(OR(GZ$4="",$B38=""),0,SUMIF('DADOS BRUTOS'!$A$3:$A$500,$B38,'DADOS BRUTOS'!DZ$3:DZ$500)+IF($C38="",0,SUMIF('DADOS BRUTOS'!$A$3:$A$500,$C38,'DADOS BRUTOS'!DZ$3:DZ$500)))</f>
        <v/>
      </c>
      <c r="HA38" s="132">
        <f>IF(OR(HA$4="",$B38=""),0,SUMIF('DADOS BRUTOS'!$A$3:$A$500,$B38,'DADOS BRUTOS'!EA$3:EA$500)+IF($C38="",0,SUMIF('DADOS BRUTOS'!$A$3:$A$500,$C38,'DADOS BRUTOS'!EA$3:EA$500)))</f>
        <v/>
      </c>
      <c r="HB38" s="132">
        <f>IF(OR(HB$4="",$B38=""),0,SUMIF('DADOS BRUTOS'!$A$3:$A$500,$B38,'DADOS BRUTOS'!EB$3:EB$500)+IF($C38="",0,SUMIF('DADOS BRUTOS'!$A$3:$A$500,$C38,'DADOS BRUTOS'!EB$3:EB$500)))</f>
        <v/>
      </c>
      <c r="HC38" s="132">
        <f>IF(OR(HC$4="",$B38=""),0,SUMIF('DADOS BRUTOS'!$A$3:$A$500,$B38,'DADOS BRUTOS'!EC$3:EC$500)+IF($C38="",0,SUMIF('DADOS BRUTOS'!$A$3:$A$500,$C38,'DADOS BRUTOS'!EC$3:EC$500)))</f>
        <v/>
      </c>
      <c r="HD38" s="132">
        <f>IF(OR(HD$4="",$B38=""),0,SUMIF('DADOS BRUTOS'!$A$3:$A$500,$B38,'DADOS BRUTOS'!ED$3:ED$500)+IF($C38="",0,SUMIF('DADOS BRUTOS'!$A$3:$A$500,$C38,'DADOS BRUTOS'!ED$3:ED$500)))</f>
        <v/>
      </c>
      <c r="HE38" s="132">
        <f>IF(OR(HE$4="",$B38=""),0,SUMIF('DADOS BRUTOS'!$A$3:$A$500,$B38,'DADOS BRUTOS'!EE$3:EE$500)+IF($C38="",0,SUMIF('DADOS BRUTOS'!$A$3:$A$500,$C38,'DADOS BRUTOS'!EE$3:EE$500)))</f>
        <v/>
      </c>
      <c r="HF38" s="132">
        <f>IF(OR(HF$4="",$B38=""),0,SUMIF('DADOS BRUTOS'!$A$3:$A$500,$B38,'DADOS BRUTOS'!EF$3:EF$500)+IF($C38="",0,SUMIF('DADOS BRUTOS'!$A$3:$A$500,$C38,'DADOS BRUTOS'!EF$3:EF$500)))</f>
        <v/>
      </c>
      <c r="HG38" s="132">
        <f>IF(OR(HG$4="",$B38=""),0,SUMIF('DADOS BRUTOS'!$A$3:$A$500,$B38,'DADOS BRUTOS'!EG$3:EG$500)+IF($C38="",0,SUMIF('DADOS BRUTOS'!$A$3:$A$500,$C38,'DADOS BRUTOS'!EG$3:EG$500)))</f>
        <v/>
      </c>
      <c r="HH38" s="132">
        <f>IF(OR(HH$4="",$B38=""),0,SUMIF('DADOS BRUTOS'!$A$3:$A$500,$B38,'DADOS BRUTOS'!EH$3:EH$500)+IF($C38="",0,SUMIF('DADOS BRUTOS'!$A$3:$A$500,$C38,'DADOS BRUTOS'!EH$3:EH$500)))</f>
        <v/>
      </c>
      <c r="HI38" s="132">
        <f>IF(OR(HI$4="",$B38=""),0,SUMIF('DADOS BRUTOS'!$A$3:$A$500,$B38,'DADOS BRUTOS'!EI$3:EI$500)+IF($C38="",0,SUMIF('DADOS BRUTOS'!$A$3:$A$500,$C38,'DADOS BRUTOS'!EI$3:EI$500)))</f>
        <v/>
      </c>
      <c r="HJ38" s="132">
        <f>IF(OR(HJ$4="",$B38=""),0,SUMIF('DADOS BRUTOS'!$A$3:$A$500,$B38,'DADOS BRUTOS'!EJ$3:EJ$500)+IF($C38="",0,SUMIF('DADOS BRUTOS'!$A$3:$A$500,$C38,'DADOS BRUTOS'!EJ$3:EJ$500)))</f>
        <v/>
      </c>
      <c r="HK38" s="132">
        <f>IF(OR(HK$4="",$B38=""),0,SUMIF('DADOS BRUTOS'!$A$3:$A$500,$B38,'DADOS BRUTOS'!EK$3:EK$500)+IF($C38="",0,SUMIF('DADOS BRUTOS'!$A$3:$A$500,$C38,'DADOS BRUTOS'!EK$3:EK$500)))</f>
        <v/>
      </c>
      <c r="HL38" s="132">
        <f>IF(OR(HL$4="",$B38=""),0,SUMIF('DADOS BRUTOS'!$A$3:$A$500,$B38,'DADOS BRUTOS'!EL$3:EL$500)+IF($C38="",0,SUMIF('DADOS BRUTOS'!$A$3:$A$500,$C38,'DADOS BRUTOS'!EL$3:EL$500)))</f>
        <v/>
      </c>
      <c r="HM38" s="132">
        <f>IF(OR(HM$4="",$B38=""),0,SUMIF('DADOS BRUTOS'!$A$3:$A$500,$B38,'DADOS BRUTOS'!EM$3:EM$500)+IF($C38="",0,SUMIF('DADOS BRUTOS'!$A$3:$A$500,$C38,'DADOS BRUTOS'!EM$3:EM$500)))</f>
        <v/>
      </c>
      <c r="HN38" s="132">
        <f>IF(OR(HN$4="",$B38=""),0,SUMIF('DADOS BRUTOS'!$A$3:$A$500,$B38,'DADOS BRUTOS'!EN$3:EN$500)+IF($C38="",0,SUMIF('DADOS BRUTOS'!$A$3:$A$500,$C38,'DADOS BRUTOS'!EN$3:EN$500)))</f>
        <v/>
      </c>
      <c r="HO38" s="132">
        <f>IF(OR(HO$4="",$B38=""),0,SUMIF('DADOS BRUTOS'!$A$3:$A$500,$B38,'DADOS BRUTOS'!EO$3:EO$500)+IF($C38="",0,SUMIF('DADOS BRUTOS'!$A$3:$A$500,$C38,'DADOS BRUTOS'!EO$3:EO$500)))</f>
        <v/>
      </c>
      <c r="HP38" s="132">
        <f>IF(OR(HP$4="",$B38=""),0,SUMIF('DADOS BRUTOS'!$A$3:$A$500,$B38,'DADOS BRUTOS'!EP$3:EP$500)+IF($C38="",0,SUMIF('DADOS BRUTOS'!$A$3:$A$500,$C38,'DADOS BRUTOS'!EP$3:EP$500)))</f>
        <v/>
      </c>
      <c r="HQ38" s="132">
        <f>IF(OR(HQ$4="",$B38=""),0,SUMIF('DADOS BRUTOS'!$A$3:$A$500,$B38,'DADOS BRUTOS'!EQ$3:EQ$500)+IF($C38="",0,SUMIF('DADOS BRUTOS'!$A$3:$A$500,$C38,'DADOS BRUTOS'!EQ$3:EQ$500)))</f>
        <v/>
      </c>
      <c r="HR38" s="132">
        <f>IF(OR(HR$4="",$B38=""),0,SUMIF('DADOS BRUTOS'!$A$3:$A$500,$B38,'DADOS BRUTOS'!ER$3:ER$500)+IF($C38="",0,SUMIF('DADOS BRUTOS'!$A$3:$A$500,$C38,'DADOS BRUTOS'!ER$3:ER$500)))</f>
        <v/>
      </c>
      <c r="HS38" s="132">
        <f>IF(OR(HS$4="",$B38=""),0,SUMIF('DADOS BRUTOS'!$A$3:$A$500,$B38,'DADOS BRUTOS'!ES$3:ES$500)+IF($C38="",0,SUMIF('DADOS BRUTOS'!$A$3:$A$500,$C38,'DADOS BRUTOS'!ES$3:ES$500)))</f>
        <v/>
      </c>
      <c r="HT38" s="132">
        <f>IF(OR(HT$4="",$B38=""),0,SUMIF('DADOS BRUTOS'!$A$3:$A$500,$B38,'DADOS BRUTOS'!ET$3:ET$500)+IF($C38="",0,SUMIF('DADOS BRUTOS'!$A$3:$A$500,$C38,'DADOS BRUTOS'!ET$3:ET$500)))</f>
        <v/>
      </c>
      <c r="HU38" s="132">
        <f>IF(OR(HU$4="",$B38=""),0,SUMIF('DADOS BRUTOS'!$A$3:$A$500,$B38,'DADOS BRUTOS'!EU$3:EU$500)+IF($C38="",0,SUMIF('DADOS BRUTOS'!$A$3:$A$500,$C38,'DADOS BRUTOS'!EU$3:EU$500)))</f>
        <v/>
      </c>
      <c r="HV38" s="132">
        <f>IF(OR(HV$4="",$B38=""),0,SUMIF('DADOS BRUTOS'!$A$3:$A$500,$B38,'DADOS BRUTOS'!EV$3:EV$500)+IF($C38="",0,SUMIF('DADOS BRUTOS'!$A$3:$A$500,$C38,'DADOS BRUTOS'!EV$3:EV$500)))</f>
        <v/>
      </c>
      <c r="HW38" s="132">
        <f>IF(OR(HW$4="",$B38=""),0,SUMIF('DADOS BRUTOS'!$A$3:$A$500,$B38,'DADOS BRUTOS'!EW$3:EW$500)+IF($C38="",0,SUMIF('DADOS BRUTOS'!$A$3:$A$500,$C38,'DADOS BRUTOS'!EW$3:EW$500)))</f>
        <v/>
      </c>
      <c r="HX38" s="132">
        <f>IF(OR(HX$4="",$B38=""),0,SUMIF('DADOS BRUTOS'!$A$3:$A$500,$B38,'DADOS BRUTOS'!EX$3:EX$500)+IF($C38="",0,SUMIF('DADOS BRUTOS'!$A$3:$A$500,$C38,'DADOS BRUTOS'!EX$3:EX$500)))</f>
        <v/>
      </c>
      <c r="HY38" s="132">
        <f>IF(OR(HY$4="",$B38=""),0,SUMIF('DADOS BRUTOS'!$A$3:$A$500,$B38,'DADOS BRUTOS'!EY$3:EY$500)+IF($C38="",0,SUMIF('DADOS BRUTOS'!$A$3:$A$500,$C38,'DADOS BRUTOS'!EY$3:EY$500)))</f>
        <v/>
      </c>
      <c r="HZ38" s="132">
        <f>IF(OR(HZ$4="",$B38=""),0,SUMIF('DADOS BRUTOS'!$A$3:$A$500,$B38,'DADOS BRUTOS'!EZ$3:EZ$500)+IF($C38="",0,SUMIF('DADOS BRUTOS'!$A$3:$A$500,$C38,'DADOS BRUTOS'!EZ$3:EZ$500)))</f>
        <v/>
      </c>
      <c r="IA38" s="132">
        <f>IF(OR(IA$4="",$B38=""),0,SUMIF('DADOS BRUTOS'!$A$3:$A$500,$B38,'DADOS BRUTOS'!FA$3:FA$500)+IF($C38="",0,SUMIF('DADOS BRUTOS'!$A$3:$A$500,$C38,'DADOS BRUTOS'!FA$3:FA$500)))</f>
        <v/>
      </c>
      <c r="IB38" s="132">
        <f>IF(OR(IB$4="",$B38=""),0,SUMIF('DADOS BRUTOS'!$A$3:$A$500,$B38,'DADOS BRUTOS'!FB$3:FB$500)+IF($C38="",0,SUMIF('DADOS BRUTOS'!$A$3:$A$500,$C38,'DADOS BRUTOS'!FB$3:FB$500)))</f>
        <v/>
      </c>
      <c r="IC38" s="132">
        <f>IF(OR(IC$4="",$B38=""),0,SUMIF('DADOS BRUTOS'!$A$3:$A$500,$B38,'DADOS BRUTOS'!FC$3:FC$500)+IF($C38="",0,SUMIF('DADOS BRUTOS'!$A$3:$A$500,$C38,'DADOS BRUTOS'!FC$3:FC$500)))</f>
        <v/>
      </c>
      <c r="ID38" s="132">
        <f>IF(OR(ID$4="",$B38=""),0,SUMIF('DADOS BRUTOS'!$A$3:$A$500,$B38,'DADOS BRUTOS'!FD$3:FD$500)+IF($C38="",0,SUMIF('DADOS BRUTOS'!$A$3:$A$500,$C38,'DADOS BRUTOS'!FD$3:FD$500)))</f>
        <v/>
      </c>
      <c r="IE38" s="132">
        <f>IF(OR(IE$4="",$B38=""),0,SUMIF('DADOS BRUTOS'!$A$3:$A$500,$B38,'DADOS BRUTOS'!FE$3:FE$500)+IF($C38="",0,SUMIF('DADOS BRUTOS'!$A$3:$A$500,$C38,'DADOS BRUTOS'!FE$3:FE$500)))</f>
        <v/>
      </c>
      <c r="IF38" s="132">
        <f>IF(OR(IF$4="",$B38=""),0,SUMIF('DADOS BRUTOS'!$A$3:$A$500,$B38,'DADOS BRUTOS'!FF$3:FF$500)+IF($C38="",0,SUMIF('DADOS BRUTOS'!$A$3:$A$500,$C38,'DADOS BRUTOS'!FF$3:FF$500)))</f>
        <v/>
      </c>
      <c r="IG38" s="132">
        <f>IF(OR(IG$4="",$B38=""),0,SUMIF('DADOS BRUTOS'!$A$3:$A$500,$B38,'DADOS BRUTOS'!FG$3:FG$500)+IF($C38="",0,SUMIF('DADOS BRUTOS'!$A$3:$A$500,$C38,'DADOS BRUTOS'!FG$3:FG$500)))</f>
        <v/>
      </c>
      <c r="IH38" s="132">
        <f>IF(OR(IH$4="",$B38=""),0,SUMIF('DADOS BRUTOS'!$A$3:$A$500,$B38,'DADOS BRUTOS'!FH$3:FH$500)+IF($C38="",0,SUMIF('DADOS BRUTOS'!$A$3:$A$500,$C38,'DADOS BRUTOS'!FH$3:FH$500)))</f>
        <v/>
      </c>
      <c r="II38" s="132">
        <f>IF(OR(II$4="",$B38=""),0,SUMIF('DADOS BRUTOS'!$A$3:$A$500,$B38,'DADOS BRUTOS'!FI$3:FI$500)+IF($C38="",0,SUMIF('DADOS BRUTOS'!$A$3:$A$500,$C38,'DADOS BRUTOS'!FI$3:FI$500)))</f>
        <v/>
      </c>
      <c r="IJ38" s="132">
        <f>IF(OR(IJ$4="",$B38=""),0,SUMIF('DADOS BRUTOS'!$A$3:$A$500,$B38,'DADOS BRUTOS'!FJ$3:FJ$500)+IF($C38="",0,SUMIF('DADOS BRUTOS'!$A$3:$A$500,$C38,'DADOS BRUTOS'!FJ$3:FJ$500)))</f>
        <v/>
      </c>
      <c r="IK38" s="132">
        <f>IF(OR(IK$4="",$B38=""),0,SUMIF('DADOS BRUTOS'!$A$3:$A$500,$B38,'DADOS BRUTOS'!FK$3:FK$500)+IF($C38="",0,SUMIF('DADOS BRUTOS'!$A$3:$A$500,$C38,'DADOS BRUTOS'!FK$3:FK$500)))</f>
        <v/>
      </c>
      <c r="IL38" s="132">
        <f>IF(OR(IL$4="",$B38=""),0,SUMIF('DADOS BRUTOS'!$A$3:$A$500,$B38,'DADOS BRUTOS'!FL$3:FL$500)+IF($C38="",0,SUMIF('DADOS BRUTOS'!$A$3:$A$500,$C38,'DADOS BRUTOS'!FL$3:FL$500)))</f>
        <v/>
      </c>
      <c r="IM38" s="132">
        <f>IF(OR(IM$4="",$B38=""),0,SUMIF('DADOS BRUTOS'!$A$3:$A$500,$B38,'DADOS BRUTOS'!FM$3:FM$500)+IF($C38="",0,SUMIF('DADOS BRUTOS'!$A$3:$A$500,$C38,'DADOS BRUTOS'!FM$3:FM$500)))</f>
        <v/>
      </c>
      <c r="IN38" s="132">
        <f>IF(OR(IN$4="",$B38=""),0,SUMIF('DADOS BRUTOS'!$A$3:$A$500,$B38,'DADOS BRUTOS'!FN$3:FN$500)+IF($C38="",0,SUMIF('DADOS BRUTOS'!$A$3:$A$500,$C38,'DADOS BRUTOS'!FN$3:FN$500)))</f>
        <v/>
      </c>
      <c r="IO38" s="132">
        <f>IF(OR(IO$4="",$B38=""),0,SUMIF('DADOS BRUTOS'!$A$3:$A$500,$B38,'DADOS BRUTOS'!FO$3:FO$500)+IF($C38="",0,SUMIF('DADOS BRUTOS'!$A$3:$A$500,$C38,'DADOS BRUTOS'!FO$3:FO$500)))</f>
        <v/>
      </c>
      <c r="IP38" s="132">
        <f>IF(OR(IP$4="",$B38=""),0,SUMIF('DADOS BRUTOS'!$A$3:$A$500,$B38,'DADOS BRUTOS'!FP$3:FP$500)+IF($C38="",0,SUMIF('DADOS BRUTOS'!$A$3:$A$500,$C38,'DADOS BRUTOS'!FP$3:FP$500)))</f>
        <v/>
      </c>
      <c r="IQ38" s="132">
        <f>IF(OR(IQ$4="",$B38=""),0,SUMIF('DADOS BRUTOS'!$A$3:$A$500,$B38,'DADOS BRUTOS'!FQ$3:FQ$500)+IF($C38="",0,SUMIF('DADOS BRUTOS'!$A$3:$A$500,$C38,'DADOS BRUTOS'!FQ$3:FQ$500)))</f>
        <v/>
      </c>
      <c r="IR38" s="132">
        <f>IF(OR(IR$4="",$B38=""),0,SUMIF('DADOS BRUTOS'!$A$3:$A$500,$B38,'DADOS BRUTOS'!FR$3:FR$500)+IF($C38="",0,SUMIF('DADOS BRUTOS'!$A$3:$A$500,$C38,'DADOS BRUTOS'!FR$3:FR$500)))</f>
        <v/>
      </c>
      <c r="IS38" s="132">
        <f>IF(OR(IS$4="",$B38=""),0,SUMIF('DADOS BRUTOS'!$A$3:$A$500,$B38,'DADOS BRUTOS'!FS$3:FS$500)+IF($C38="",0,SUMIF('DADOS BRUTOS'!$A$3:$A$500,$C38,'DADOS BRUTOS'!FS$3:FS$500)))</f>
        <v/>
      </c>
      <c r="IT38" s="132">
        <f>IF(OR(IT$4="",$B38=""),0,SUMIF('DADOS BRUTOS'!$A$3:$A$500,$B38,'DADOS BRUTOS'!FT$3:FT$500)+IF($C38="",0,SUMIF('DADOS BRUTOS'!$A$3:$A$500,$C38,'DADOS BRUTOS'!FT$3:FT$500)))</f>
        <v/>
      </c>
      <c r="IU38" s="132">
        <f>IF(OR(IU$4="",$B38=""),0,SUMIF('DADOS BRUTOS'!$A$3:$A$500,$B38,'DADOS BRUTOS'!FU$3:FU$500)+IF($C38="",0,SUMIF('DADOS BRUTOS'!$A$3:$A$500,$C38,'DADOS BRUTOS'!FU$3:FU$500)))</f>
        <v/>
      </c>
      <c r="IV38" s="132">
        <f>IF(OR(IV$4="",$B38=""),0,SUMIF('DADOS BRUTOS'!$A$3:$A$500,$B38,'DADOS BRUTOS'!FV$3:FV$500)+IF($C38="",0,SUMIF('DADOS BRUTOS'!$A$3:$A$500,$C38,'DADOS BRUTOS'!FV$3:FV$500)))</f>
        <v/>
      </c>
      <c r="IW38" s="132">
        <f>IF(OR(IW$4="",$B38=""),0,SUMIF('DADOS BRUTOS'!$A$3:$A$500,$B38,'DADOS BRUTOS'!FW$3:FW$500)+IF($C38="",0,SUMIF('DADOS BRUTOS'!$A$3:$A$500,$C38,'DADOS BRUTOS'!FW$3:FW$500)))</f>
        <v/>
      </c>
      <c r="IX38" s="132">
        <f>IF(OR(IX$4="",$B38=""),0,SUMIF('DADOS BRUTOS'!$A$3:$A$500,$B38,'DADOS BRUTOS'!FX$3:FX$500)+IF($C38="",0,SUMIF('DADOS BRUTOS'!$A$3:$A$500,$C38,'DADOS BRUTOS'!FX$3:FX$500)))</f>
        <v/>
      </c>
      <c r="IY38" s="132">
        <f>IF(OR(IY$4="",$B38=""),0,SUMIF('DADOS BRUTOS'!$A$3:$A$500,$B38,'DADOS BRUTOS'!FY$3:FY$500)+IF($C38="",0,SUMIF('DADOS BRUTOS'!$A$3:$A$500,$C38,'DADOS BRUTOS'!FY$3:FY$500)))</f>
        <v/>
      </c>
      <c r="IZ38" s="132">
        <f>IF(OR(IZ$4="",$B38=""),0,SUMIF('DADOS BRUTOS'!$A$3:$A$500,$B38,'DADOS BRUTOS'!FZ$3:FZ$500)+IF($C38="",0,SUMIF('DADOS BRUTOS'!$A$3:$A$500,$C38,'DADOS BRUTOS'!FZ$3:FZ$500)))</f>
        <v/>
      </c>
      <c r="JA38" s="132">
        <f>IF(OR(JA$4="",$B38=""),0,SUMIF('DADOS BRUTOS'!$A$3:$A$500,$B38,'DADOS BRUTOS'!GA$3:GA$500)+IF($C38="",0,SUMIF('DADOS BRUTOS'!$A$3:$A$500,$C38,'DADOS BRUTOS'!GA$3:GA$500)))</f>
        <v/>
      </c>
      <c r="JB38" s="132">
        <f>IF(OR(JB$4="",$B38=""),0,SUMIF('DADOS BRUTOS'!$A$3:$A$500,$B38,'DADOS BRUTOS'!GB$3:GB$500)+IF($C38="",0,SUMIF('DADOS BRUTOS'!$A$3:$A$500,$C38,'DADOS BRUTOS'!GB$3:GB$500)))</f>
        <v/>
      </c>
      <c r="JC38" s="132">
        <f>IF(OR(JC$4="",$B38=""),0,SUMIF('DADOS BRUTOS'!$A$3:$A$500,$B38,'DADOS BRUTOS'!GC$3:GC$500)+IF($C38="",0,SUMIF('DADOS BRUTOS'!$A$3:$A$500,$C38,'DADOS BRUTOS'!GC$3:GC$500)))</f>
        <v/>
      </c>
      <c r="JD38" s="132">
        <f>IF(OR(JD$4="",$B38=""),0,SUMIF('DADOS BRUTOS'!$A$3:$A$500,$B38,'DADOS BRUTOS'!GD$3:GD$500)+IF($C38="",0,SUMIF('DADOS BRUTOS'!$A$3:$A$500,$C38,'DADOS BRUTOS'!GD$3:GD$500)))</f>
        <v/>
      </c>
      <c r="JE38" s="132">
        <f>IF(OR(JE$4="",$B38=""),0,SUMIF('DADOS BRUTOS'!$A$3:$A$500,$B38,'DADOS BRUTOS'!GE$3:GE$500)+IF($C38="",0,SUMIF('DADOS BRUTOS'!$A$3:$A$500,$C38,'DADOS BRUTOS'!GE$3:GE$500)))</f>
        <v/>
      </c>
      <c r="JF38" s="132">
        <f>IF(OR(JF$4="",$B38=""),0,SUMIF('DADOS BRUTOS'!$A$3:$A$500,$B38,'DADOS BRUTOS'!GF$3:GF$500)+IF($C38="",0,SUMIF('DADOS BRUTOS'!$A$3:$A$500,$C38,'DADOS BRUTOS'!GF$3:GF$500)))</f>
        <v/>
      </c>
      <c r="JG38" s="132">
        <f>IF(OR(JG$4="",$B38=""),0,SUMIF('DADOS BRUTOS'!$A$3:$A$500,$B38,'DADOS BRUTOS'!GG$3:GG$500)+IF($C38="",0,SUMIF('DADOS BRUTOS'!$A$3:$A$500,$C38,'DADOS BRUTOS'!GG$3:GG$500)))</f>
        <v/>
      </c>
      <c r="JH38" s="132">
        <f>IF(OR(JH$4="",$B38=""),0,SUMIF('DADOS BRUTOS'!$A$3:$A$500,$B38,'DADOS BRUTOS'!GH$3:GH$500)+IF($C38="",0,SUMIF('DADOS BRUTOS'!$A$3:$A$500,$C38,'DADOS BRUTOS'!GH$3:GH$500)))</f>
        <v/>
      </c>
      <c r="JI38" s="132">
        <f>IF(OR(JI$4="",$B38=""),0,SUMIF('DADOS BRUTOS'!$A$3:$A$500,$B38,'DADOS BRUTOS'!GI$3:GI$500)+IF($C38="",0,SUMIF('DADOS BRUTOS'!$A$3:$A$500,$C38,'DADOS BRUTOS'!GI$3:GI$500)))</f>
        <v/>
      </c>
      <c r="JJ38" s="132">
        <f>IF(OR(JJ$4="",$B38=""),0,SUMIF('DADOS BRUTOS'!$A$3:$A$500,$B38,'DADOS BRUTOS'!GJ$3:GJ$500)+IF($C38="",0,SUMIF('DADOS BRUTOS'!$A$3:$A$500,$C38,'DADOS BRUTOS'!GJ$3:GJ$500)))</f>
        <v/>
      </c>
      <c r="JK38" s="132">
        <f>IF(OR(JK$4="",$B38=""),0,SUMIF('DADOS BRUTOS'!$A$3:$A$500,$B38,'DADOS BRUTOS'!GK$3:GK$500)+IF($C38="",0,SUMIF('DADOS BRUTOS'!$A$3:$A$500,$C38,'DADOS BRUTOS'!GK$3:GK$500)))</f>
        <v/>
      </c>
      <c r="JL38" s="132">
        <f>IF(OR(JL$4="",$B38=""),0,SUMIF('DADOS BRUTOS'!$A$3:$A$500,$B38,'DADOS BRUTOS'!GL$3:GL$500)+IF($C38="",0,SUMIF('DADOS BRUTOS'!$A$3:$A$500,$C38,'DADOS BRUTOS'!GL$3:GL$500)))</f>
        <v/>
      </c>
      <c r="JM38" s="132">
        <f>IF(OR(JM$4="",$B38=""),0,SUMIF('DADOS BRUTOS'!$A$3:$A$500,$B38,'DADOS BRUTOS'!GM$3:GM$500)+IF($C38="",0,SUMIF('DADOS BRUTOS'!$A$3:$A$500,$C38,'DADOS BRUTOS'!GM$3:GM$500)))</f>
        <v/>
      </c>
      <c r="JN38" s="132">
        <f>IF(OR(JN$4="",$B38=""),0,SUMIF('DADOS BRUTOS'!$A$3:$A$500,$B38,'DADOS BRUTOS'!GN$3:GN$500)+IF($C38="",0,SUMIF('DADOS BRUTOS'!$A$3:$A$500,$C38,'DADOS BRUTOS'!GN$3:GN$500)))</f>
        <v/>
      </c>
      <c r="JO38" s="132">
        <f>IF(OR(JO$4="",$B38=""),0,SUMIF('DADOS BRUTOS'!$A$3:$A$500,$B38,'DADOS BRUTOS'!GO$3:GO$500)+IF($C38="",0,SUMIF('DADOS BRUTOS'!$A$3:$A$500,$C38,'DADOS BRUTOS'!GO$3:GO$500)))</f>
        <v/>
      </c>
      <c r="JP38" s="132">
        <f>IF(OR(JP$4="",$B38=""),0,SUMIF('DADOS BRUTOS'!$A$3:$A$500,$B38,'DADOS BRUTOS'!GP$3:GP$500)+IF($C38="",0,SUMIF('DADOS BRUTOS'!$A$3:$A$500,$C38,'DADOS BRUTOS'!GP$3:GP$500)))</f>
        <v/>
      </c>
      <c r="JQ38" s="132">
        <f>IF(OR(JQ$4="",$B38=""),0,SUMIF('DADOS BRUTOS'!$A$3:$A$500,$B38,'DADOS BRUTOS'!GQ$3:GQ$500)+IF($C38="",0,SUMIF('DADOS BRUTOS'!$A$3:$A$500,$C38,'DADOS BRUTOS'!GQ$3:GQ$500)))</f>
        <v/>
      </c>
      <c r="JR38" s="132">
        <f>IF(OR(JR$4="",$B38=""),0,SUMIF('DADOS BRUTOS'!$A$3:$A$500,$B38,'DADOS BRUTOS'!GR$3:GR$500)+IF($C38="",0,SUMIF('DADOS BRUTOS'!$A$3:$A$500,$C38,'DADOS BRUTOS'!GR$3:GR$500)))</f>
        <v/>
      </c>
      <c r="JS38" s="132">
        <f>IF(OR(JS$4="",$B38=""),0,SUMIF('DADOS BRUTOS'!$A$3:$A$500,$B38,'DADOS BRUTOS'!GS$3:GS$500)+IF($C38="",0,SUMIF('DADOS BRUTOS'!$A$3:$A$500,$C38,'DADOS BRUTOS'!GS$3:GS$500)))</f>
        <v/>
      </c>
    </row>
    <row r="39">
      <c r="A39" s="61">
        <f>'VALOR POR PL'!D45</f>
        <v/>
      </c>
      <c r="B39" s="59" t="inlineStr">
        <is>
          <t>PINTURA</t>
        </is>
      </c>
      <c r="C39" s="59" t="n"/>
      <c r="D39" s="54">
        <f>SUMIF($CB$4:$JS$4,"&lt;="&amp;D$4,$CB39:$JS39)</f>
        <v/>
      </c>
      <c r="E39" s="54">
        <f>SUMIF($CB$4:$JS$4,E$4,$CB39:$JS39)</f>
        <v/>
      </c>
      <c r="F39" s="54">
        <f>SUMIF($CB$4:$JS$4,F$4,$CB39:$JS39)</f>
        <v/>
      </c>
      <c r="G39" s="54">
        <f>SUMIF($CB$4:$JS$4,G$4,$CB39:$JS39)</f>
        <v/>
      </c>
      <c r="H39" s="54">
        <f>SUMIF($CB$4:$JS$4,H$4,$CB39:$JS39)</f>
        <v/>
      </c>
      <c r="I39" s="54">
        <f>SUMIF($CB$4:$JS$4,I$4,$CB39:$JS39)</f>
        <v/>
      </c>
      <c r="J39" s="54">
        <f>SUMIF($CB$4:$JS$4,J$4,$CB39:$JS39)</f>
        <v/>
      </c>
      <c r="K39" s="54">
        <f>SUMIF($CB$4:$JS$4,K$4,$CB39:$JS39)</f>
        <v/>
      </c>
      <c r="L39" s="54">
        <f>SUMIF($CB$4:$JS$4,L$4,$CB39:$JS39)</f>
        <v/>
      </c>
      <c r="M39" s="54">
        <f>SUMIF($CB$4:$JS$4,M$4,$CB39:$JS39)</f>
        <v/>
      </c>
      <c r="N39" s="54">
        <f>SUMIF($CB$4:$JS$4,N$4,$CB39:$JS39)</f>
        <v/>
      </c>
      <c r="O39" s="54">
        <f>SUMIF($CB$4:$JS$4,O$4,$CB39:$JS39)</f>
        <v/>
      </c>
      <c r="P39" s="54">
        <f>SUMIF($CB$4:$JS$4,P$4,$CB39:$JS39)</f>
        <v/>
      </c>
      <c r="Q39" s="54">
        <f>SUMIF($CB$4:$JS$4,Q$4,$CB39:$JS39)</f>
        <v/>
      </c>
      <c r="R39" s="54">
        <f>SUMIF($CB$4:$JS$4,R$4,$CB39:$JS39)</f>
        <v/>
      </c>
      <c r="S39" s="54">
        <f>SUMIF($CB$4:$JS$4,S$4,$CB39:$JS39)</f>
        <v/>
      </c>
      <c r="T39" s="54">
        <f>SUMIF($CB$4:$JS$4,T$4,$CB39:$JS39)</f>
        <v/>
      </c>
      <c r="U39" s="54">
        <f>SUMIF($CB$4:$JS$4,U$4,$CB39:$JS39)</f>
        <v/>
      </c>
      <c r="V39" s="54">
        <f>SUMIF($CB$4:$JS$4,V$4,$CB39:$JS39)</f>
        <v/>
      </c>
      <c r="W39" s="54">
        <f>SUMIF($CB$4:$JS$4,W$4,$CB39:$JS39)</f>
        <v/>
      </c>
      <c r="X39" s="54">
        <f>SUMIF($CB$4:$JS$4,X$4,$CB39:$JS39)</f>
        <v/>
      </c>
      <c r="Y39" s="54">
        <f>SUMIF($CB$4:$JS$4,Y$4,$CB39:$JS39)</f>
        <v/>
      </c>
      <c r="Z39" s="54">
        <f>SUMIF($CB$4:$JS$4,Z$4,$CB39:$JS39)</f>
        <v/>
      </c>
      <c r="AA39" s="54">
        <f>SUMIF($CB$4:$JS$4,AA$4,$CB39:$JS39)</f>
        <v/>
      </c>
      <c r="AB39" s="54">
        <f>SUMIF($CB$4:$JS$4,AB$4,$CB39:$JS39)</f>
        <v/>
      </c>
      <c r="AC39" s="54">
        <f>SUMIF($CB$4:$JS$4,AC$4,$CB39:$JS39)</f>
        <v/>
      </c>
      <c r="AD39" s="54">
        <f>SUMIF($CB$4:$JS$4,AD$4,$CB39:$JS39)</f>
        <v/>
      </c>
      <c r="AE39" s="54">
        <f>SUMIF($CB$4:$JS$4,AE$4,$CB39:$JS39)</f>
        <v/>
      </c>
      <c r="AF39" s="54">
        <f>SUMIF($CB$4:$JS$4,AF$4,$CB39:$JS39)</f>
        <v/>
      </c>
      <c r="AG39" s="54">
        <f>SUMIF($CB$4:$JS$4,AG$4,$CB39:$JS39)</f>
        <v/>
      </c>
      <c r="AH39" s="54">
        <f>SUMIF($CB$4:$JS$4,AH$4,$CB39:$JS39)</f>
        <v/>
      </c>
      <c r="AI39" s="54">
        <f>SUMIF($CB$4:$JS$4,AI$4,$CB39:$JS39)</f>
        <v/>
      </c>
      <c r="AJ39" s="54">
        <f>SUMIF($CB$4:$JS$4,AJ$4,$CB39:$JS39)</f>
        <v/>
      </c>
      <c r="AK39" s="54">
        <f>SUMIF($CB$4:$JS$4,AK$4,$CB39:$JS39)</f>
        <v/>
      </c>
      <c r="AL39" s="54">
        <f>SUMIF($CB$4:$JS$4,AL$4,$CB39:$JS39)</f>
        <v/>
      </c>
      <c r="AM39" s="54">
        <f>SUMIF($CB$4:$JS$4,AM$4,$CB39:$JS39)</f>
        <v/>
      </c>
      <c r="AN39" s="54">
        <f>SUMIF($CB$4:$JS$4,AN$4,$CB39:$JS39)</f>
        <v/>
      </c>
      <c r="AO39" s="54">
        <f>SUMIF($CB$4:$JS$4,AO$4,$CB39:$JS39)</f>
        <v/>
      </c>
      <c r="AP39" s="54">
        <f>SUMIF($CB$4:$JS$4,AP$4,$CB39:$JS39)</f>
        <v/>
      </c>
      <c r="AQ39" s="54">
        <f>SUMIF($CB$4:$JS$4,AQ$4,$CB39:$JS39)</f>
        <v/>
      </c>
      <c r="AR39" s="54">
        <f>SUMIF($CB$4:$JS$4,AR$4,$CB39:$JS39)</f>
        <v/>
      </c>
      <c r="AS39" s="54">
        <f>SUMIF($CB$4:$JS$4,AS$4,$CB39:$JS39)</f>
        <v/>
      </c>
      <c r="AT39" s="54">
        <f>SUMIF($CB$4:$JS$4,AT$4,$CB39:$JS39)</f>
        <v/>
      </c>
      <c r="AU39" s="54">
        <f>SUMIF($CB$4:$JS$4,AU$4,$CB39:$JS39)</f>
        <v/>
      </c>
      <c r="AV39" s="54">
        <f>SUMIF($CB$4:$JS$4,AV$4,$CB39:$JS39)</f>
        <v/>
      </c>
      <c r="AW39" s="54">
        <f>SUMIF($CB$4:$JS$4,AW$4,$CB39:$JS39)</f>
        <v/>
      </c>
      <c r="AX39" s="54">
        <f>SUMIF($CB$4:$JS$4,AX$4,$CB39:$JS39)</f>
        <v/>
      </c>
      <c r="AY39" s="54">
        <f>SUMIF($CB$4:$JS$4,AY$4,$CB39:$JS39)</f>
        <v/>
      </c>
      <c r="AZ39" s="54">
        <f>SUMIF($CB$4:$JS$4,AZ$4,$CB39:$JS39)</f>
        <v/>
      </c>
      <c r="BA39" s="54">
        <f>SUMIF($CB$4:$JS$4,BA$4,$CB39:$JS39)</f>
        <v/>
      </c>
      <c r="BB39" s="54">
        <f>SUMIF($CB$4:$JS$4,BB$4,$CB39:$JS39)</f>
        <v/>
      </c>
      <c r="BC39" s="54">
        <f>SUMIF($CB$4:$JS$4,BC$4,$CB39:$JS39)</f>
        <v/>
      </c>
      <c r="BD39" s="54">
        <f>SUMIF($CB$4:$JS$4,BD$4,$CB39:$JS39)</f>
        <v/>
      </c>
      <c r="BE39" s="54">
        <f>SUMIF($CB$4:$JS$4,BE$4,$CB39:$JS39)</f>
        <v/>
      </c>
      <c r="BF39" s="54">
        <f>SUMIF($CB$4:$JS$4,BF$4,$CB39:$JS39)</f>
        <v/>
      </c>
      <c r="BG39" s="54">
        <f>SUMIF($CB$4:$JS$4,BG$4,$CB39:$JS39)</f>
        <v/>
      </c>
      <c r="BH39" s="54">
        <f>SUMIF($CB$4:$JS$4,BH$4,$CB39:$JS39)</f>
        <v/>
      </c>
      <c r="BI39" s="54">
        <f>SUMIF($CB$4:$JS$4,BI$4,$CB39:$JS39)</f>
        <v/>
      </c>
      <c r="BJ39" s="54">
        <f>SUMIF($CB$4:$JS$4,BJ$4,$CB39:$JS39)</f>
        <v/>
      </c>
      <c r="BK39" s="54">
        <f>SUMIF($CB$4:$JS$4,BK$4,$CB39:$JS39)</f>
        <v/>
      </c>
      <c r="BL39" s="54">
        <f>SUMIF($CB$4:$JS$4,BL$4,$CB39:$JS39)</f>
        <v/>
      </c>
      <c r="BM39" s="54">
        <f>SUMIF($CB$4:$JS$4,BM$4,$CB39:$JS39)</f>
        <v/>
      </c>
      <c r="BN39" s="54">
        <f>SUMIF($CB$4:$JS$4,BN$4,$CB39:$JS39)</f>
        <v/>
      </c>
      <c r="BO39" s="54">
        <f>SUMIF($CB$4:$JS$4,BO$4,$CB39:$JS39)</f>
        <v/>
      </c>
      <c r="BP39" s="54">
        <f>SUMIF($CB$4:$JS$4,BP$4,$CB39:$JS39)</f>
        <v/>
      </c>
      <c r="BQ39" s="54">
        <f>SUMIF($CB$4:$JS$4,BQ$4,$CB39:$JS39)</f>
        <v/>
      </c>
      <c r="BR39" s="54">
        <f>SUMIF($CB$4:$JS$4,BR$4,$CB39:$JS39)</f>
        <v/>
      </c>
      <c r="BS39" s="54">
        <f>SUMIF($CB$4:$JS$4,BS$4,$CB39:$JS39)</f>
        <v/>
      </c>
      <c r="BT39" s="54">
        <f>SUMIF($CB$4:$JS$4,BT$4,$CB39:$JS39)</f>
        <v/>
      </c>
      <c r="BU39" s="54">
        <f>SUMIF($CB$4:$JS$4,BU$4,$CB39:$JS39)</f>
        <v/>
      </c>
      <c r="BV39" s="54">
        <f>SUMIF($CB$4:$JS$4,BV$4,$CB39:$JS39)</f>
        <v/>
      </c>
      <c r="BW39" s="54">
        <f>SUMIF($CB$4:$JS$4,BW$4,$CB39:$JS39)</f>
        <v/>
      </c>
      <c r="BX39" s="54">
        <f>SUMIF($CB$4:$JS$4,"&gt;"&amp;'VALOR POR PL'!$P$8,$CB39:$JS39)</f>
        <v/>
      </c>
      <c r="BY39" s="54">
        <f>SUM($CB39:$JS39)</f>
        <v/>
      </c>
      <c r="BZ39" s="49">
        <f>SUMPRODUCT(($CB$4:$JS$4&lt;&gt;"")*($CB$4:$JS$4&lt;=$D$4),$CB39:$JS39,$CB$1:$JS$1)</f>
        <v/>
      </c>
      <c r="CB39" s="132">
        <f>IF(OR(CB$4="",$B39=""),0,SUMIF('DADOS BRUTOS'!$A$3:$A$500,$B39,'DADOS BRUTOS'!B$3:B$500)+IF($C39="",0,SUMIF('DADOS BRUTOS'!$A$3:$A$500,$C39,'DADOS BRUTOS'!B$3:B$500)))</f>
        <v/>
      </c>
      <c r="CC39" s="132">
        <f>IF(OR(CC$4="",$B39=""),0,SUMIF('DADOS BRUTOS'!$A$3:$A$500,$B39,'DADOS BRUTOS'!C$3:C$500)+IF($C39="",0,SUMIF('DADOS BRUTOS'!$A$3:$A$500,$C39,'DADOS BRUTOS'!C$3:C$500)))</f>
        <v/>
      </c>
      <c r="CD39" s="132">
        <f>IF(OR(CD$4="",$B39=""),0,SUMIF('DADOS BRUTOS'!$A$3:$A$500,$B39,'DADOS BRUTOS'!D$3:D$500)+IF($C39="",0,SUMIF('DADOS BRUTOS'!$A$3:$A$500,$C39,'DADOS BRUTOS'!D$3:D$500)))</f>
        <v/>
      </c>
      <c r="CE39" s="132">
        <f>IF(OR(CE$4="",$B39=""),0,SUMIF('DADOS BRUTOS'!$A$3:$A$500,$B39,'DADOS BRUTOS'!E$3:E$500)+IF($C39="",0,SUMIF('DADOS BRUTOS'!$A$3:$A$500,$C39,'DADOS BRUTOS'!E$3:E$500)))</f>
        <v/>
      </c>
      <c r="CF39" s="132">
        <f>IF(OR(CF$4="",$B39=""),0,SUMIF('DADOS BRUTOS'!$A$3:$A$500,$B39,'DADOS BRUTOS'!F$3:F$500)+IF($C39="",0,SUMIF('DADOS BRUTOS'!$A$3:$A$500,$C39,'DADOS BRUTOS'!F$3:F$500)))</f>
        <v/>
      </c>
      <c r="CG39" s="132">
        <f>IF(OR(CG$4="",$B39=""),0,SUMIF('DADOS BRUTOS'!$A$3:$A$500,$B39,'DADOS BRUTOS'!G$3:G$500)+IF($C39="",0,SUMIF('DADOS BRUTOS'!$A$3:$A$500,$C39,'DADOS BRUTOS'!G$3:G$500)))</f>
        <v/>
      </c>
      <c r="CH39" s="132">
        <f>IF(OR(CH$4="",$B39=""),0,SUMIF('DADOS BRUTOS'!$A$3:$A$500,$B39,'DADOS BRUTOS'!H$3:H$500)+IF($C39="",0,SUMIF('DADOS BRUTOS'!$A$3:$A$500,$C39,'DADOS BRUTOS'!H$3:H$500)))</f>
        <v/>
      </c>
      <c r="CI39" s="132">
        <f>IF(OR(CI$4="",$B39=""),0,SUMIF('DADOS BRUTOS'!$A$3:$A$500,$B39,'DADOS BRUTOS'!I$3:I$500)+IF($C39="",0,SUMIF('DADOS BRUTOS'!$A$3:$A$500,$C39,'DADOS BRUTOS'!I$3:I$500)))</f>
        <v/>
      </c>
      <c r="CJ39" s="132">
        <f>IF(OR(CJ$4="",$B39=""),0,SUMIF('DADOS BRUTOS'!$A$3:$A$500,$B39,'DADOS BRUTOS'!J$3:J$500)+IF($C39="",0,SUMIF('DADOS BRUTOS'!$A$3:$A$500,$C39,'DADOS BRUTOS'!J$3:J$500)))</f>
        <v/>
      </c>
      <c r="CK39" s="132">
        <f>IF(OR(CK$4="",$B39=""),0,SUMIF('DADOS BRUTOS'!$A$3:$A$500,$B39,'DADOS BRUTOS'!K$3:K$500)+IF($C39="",0,SUMIF('DADOS BRUTOS'!$A$3:$A$500,$C39,'DADOS BRUTOS'!K$3:K$500)))</f>
        <v/>
      </c>
      <c r="CL39" s="132">
        <f>IF(OR(CL$4="",$B39=""),0,SUMIF('DADOS BRUTOS'!$A$3:$A$500,$B39,'DADOS BRUTOS'!L$3:L$500)+IF($C39="",0,SUMIF('DADOS BRUTOS'!$A$3:$A$500,$C39,'DADOS BRUTOS'!L$3:L$500)))</f>
        <v/>
      </c>
      <c r="CM39" s="132">
        <f>IF(OR(CM$4="",$B39=""),0,SUMIF('DADOS BRUTOS'!$A$3:$A$500,$B39,'DADOS BRUTOS'!M$3:M$500)+IF($C39="",0,SUMIF('DADOS BRUTOS'!$A$3:$A$500,$C39,'DADOS BRUTOS'!M$3:M$500)))</f>
        <v/>
      </c>
      <c r="CN39" s="132">
        <f>IF(OR(CN$4="",$B39=""),0,SUMIF('DADOS BRUTOS'!$A$3:$A$500,$B39,'DADOS BRUTOS'!N$3:N$500)+IF($C39="",0,SUMIF('DADOS BRUTOS'!$A$3:$A$500,$C39,'DADOS BRUTOS'!N$3:N$500)))</f>
        <v/>
      </c>
      <c r="CO39" s="132">
        <f>IF(OR(CO$4="",$B39=""),0,SUMIF('DADOS BRUTOS'!$A$3:$A$500,$B39,'DADOS BRUTOS'!O$3:O$500)+IF($C39="",0,SUMIF('DADOS BRUTOS'!$A$3:$A$500,$C39,'DADOS BRUTOS'!O$3:O$500)))</f>
        <v/>
      </c>
      <c r="CP39" s="132">
        <f>IF(OR(CP$4="",$B39=""),0,SUMIF('DADOS BRUTOS'!$A$3:$A$500,$B39,'DADOS BRUTOS'!P$3:P$500)+IF($C39="",0,SUMIF('DADOS BRUTOS'!$A$3:$A$500,$C39,'DADOS BRUTOS'!P$3:P$500)))</f>
        <v/>
      </c>
      <c r="CQ39" s="132">
        <f>IF(OR(CQ$4="",$B39=""),0,SUMIF('DADOS BRUTOS'!$A$3:$A$500,$B39,'DADOS BRUTOS'!Q$3:Q$500)+IF($C39="",0,SUMIF('DADOS BRUTOS'!$A$3:$A$500,$C39,'DADOS BRUTOS'!Q$3:Q$500)))</f>
        <v/>
      </c>
      <c r="CR39" s="132">
        <f>IF(OR(CR$4="",$B39=""),0,SUMIF('DADOS BRUTOS'!$A$3:$A$500,$B39,'DADOS BRUTOS'!R$3:R$500)+IF($C39="",0,SUMIF('DADOS BRUTOS'!$A$3:$A$500,$C39,'DADOS BRUTOS'!R$3:R$500)))</f>
        <v/>
      </c>
      <c r="CS39" s="132">
        <f>IF(OR(CS$4="",$B39=""),0,SUMIF('DADOS BRUTOS'!$A$3:$A$500,$B39,'DADOS BRUTOS'!S$3:S$500)+IF($C39="",0,SUMIF('DADOS BRUTOS'!$A$3:$A$500,$C39,'DADOS BRUTOS'!S$3:S$500)))</f>
        <v/>
      </c>
      <c r="CT39" s="132">
        <f>IF(OR(CT$4="",$B39=""),0,SUMIF('DADOS BRUTOS'!$A$3:$A$500,$B39,'DADOS BRUTOS'!T$3:T$500)+IF($C39="",0,SUMIF('DADOS BRUTOS'!$A$3:$A$500,$C39,'DADOS BRUTOS'!T$3:T$500)))</f>
        <v/>
      </c>
      <c r="CU39" s="132">
        <f>IF(OR(CU$4="",$B39=""),0,SUMIF('DADOS BRUTOS'!$A$3:$A$500,$B39,'DADOS BRUTOS'!U$3:U$500)+IF($C39="",0,SUMIF('DADOS BRUTOS'!$A$3:$A$500,$C39,'DADOS BRUTOS'!U$3:U$500)))</f>
        <v/>
      </c>
      <c r="CV39" s="132">
        <f>IF(OR(CV$4="",$B39=""),0,SUMIF('DADOS BRUTOS'!$A$3:$A$500,$B39,'DADOS BRUTOS'!V$3:V$500)+IF($C39="",0,SUMIF('DADOS BRUTOS'!$A$3:$A$500,$C39,'DADOS BRUTOS'!V$3:V$500)))</f>
        <v/>
      </c>
      <c r="CW39" s="132">
        <f>IF(OR(CW$4="",$B39=""),0,SUMIF('DADOS BRUTOS'!$A$3:$A$500,$B39,'DADOS BRUTOS'!W$3:W$500)+IF($C39="",0,SUMIF('DADOS BRUTOS'!$A$3:$A$500,$C39,'DADOS BRUTOS'!W$3:W$500)))</f>
        <v/>
      </c>
      <c r="CX39" s="132">
        <f>IF(OR(CX$4="",$B39=""),0,SUMIF('DADOS BRUTOS'!$A$3:$A$500,$B39,'DADOS BRUTOS'!X$3:X$500)+IF($C39="",0,SUMIF('DADOS BRUTOS'!$A$3:$A$500,$C39,'DADOS BRUTOS'!X$3:X$500)))</f>
        <v/>
      </c>
      <c r="CY39" s="132">
        <f>IF(OR(CY$4="",$B39=""),0,SUMIF('DADOS BRUTOS'!$A$3:$A$500,$B39,'DADOS BRUTOS'!Y$3:Y$500)+IF($C39="",0,SUMIF('DADOS BRUTOS'!$A$3:$A$500,$C39,'DADOS BRUTOS'!Y$3:Y$500)))</f>
        <v/>
      </c>
      <c r="CZ39" s="132">
        <f>IF(OR(CZ$4="",$B39=""),0,SUMIF('DADOS BRUTOS'!$A$3:$A$500,$B39,'DADOS BRUTOS'!Z$3:Z$500)+IF($C39="",0,SUMIF('DADOS BRUTOS'!$A$3:$A$500,$C39,'DADOS BRUTOS'!Z$3:Z$500)))</f>
        <v/>
      </c>
      <c r="DA39" s="132">
        <f>IF(OR(DA$4="",$B39=""),0,SUMIF('DADOS BRUTOS'!$A$3:$A$500,$B39,'DADOS BRUTOS'!AA$3:AA$500)+IF($C39="",0,SUMIF('DADOS BRUTOS'!$A$3:$A$500,$C39,'DADOS BRUTOS'!AA$3:AA$500)))</f>
        <v/>
      </c>
      <c r="DB39" s="132">
        <f>IF(OR(DB$4="",$B39=""),0,SUMIF('DADOS BRUTOS'!$A$3:$A$500,$B39,'DADOS BRUTOS'!AB$3:AB$500)+IF($C39="",0,SUMIF('DADOS BRUTOS'!$A$3:$A$500,$C39,'DADOS BRUTOS'!AB$3:AB$500)))</f>
        <v/>
      </c>
      <c r="DC39" s="132">
        <f>IF(OR(DC$4="",$B39=""),0,SUMIF('DADOS BRUTOS'!$A$3:$A$500,$B39,'DADOS BRUTOS'!AC$3:AC$500)+IF($C39="",0,SUMIF('DADOS BRUTOS'!$A$3:$A$500,$C39,'DADOS BRUTOS'!AC$3:AC$500)))</f>
        <v/>
      </c>
      <c r="DD39" s="132">
        <f>IF(OR(DD$4="",$B39=""),0,SUMIF('DADOS BRUTOS'!$A$3:$A$500,$B39,'DADOS BRUTOS'!AD$3:AD$500)+IF($C39="",0,SUMIF('DADOS BRUTOS'!$A$3:$A$500,$C39,'DADOS BRUTOS'!AD$3:AD$500)))</f>
        <v/>
      </c>
      <c r="DE39" s="132">
        <f>IF(OR(DE$4="",$B39=""),0,SUMIF('DADOS BRUTOS'!$A$3:$A$500,$B39,'DADOS BRUTOS'!AE$3:AE$500)+IF($C39="",0,SUMIF('DADOS BRUTOS'!$A$3:$A$500,$C39,'DADOS BRUTOS'!AE$3:AE$500)))</f>
        <v/>
      </c>
      <c r="DF39" s="132">
        <f>IF(OR(DF$4="",$B39=""),0,SUMIF('DADOS BRUTOS'!$A$3:$A$500,$B39,'DADOS BRUTOS'!AF$3:AF$500)+IF($C39="",0,SUMIF('DADOS BRUTOS'!$A$3:$A$500,$C39,'DADOS BRUTOS'!AF$3:AF$500)))</f>
        <v/>
      </c>
      <c r="DG39" s="132">
        <f>IF(OR(DG$4="",$B39=""),0,SUMIF('DADOS BRUTOS'!$A$3:$A$500,$B39,'DADOS BRUTOS'!AG$3:AG$500)+IF($C39="",0,SUMIF('DADOS BRUTOS'!$A$3:$A$500,$C39,'DADOS BRUTOS'!AG$3:AG$500)))</f>
        <v/>
      </c>
      <c r="DH39" s="132">
        <f>IF(OR(DH$4="",$B39=""),0,SUMIF('DADOS BRUTOS'!$A$3:$A$500,$B39,'DADOS BRUTOS'!AH$3:AH$500)+IF($C39="",0,SUMIF('DADOS BRUTOS'!$A$3:$A$500,$C39,'DADOS BRUTOS'!AH$3:AH$500)))</f>
        <v/>
      </c>
      <c r="DI39" s="132">
        <f>IF(OR(DI$4="",$B39=""),0,SUMIF('DADOS BRUTOS'!$A$3:$A$500,$B39,'DADOS BRUTOS'!AI$3:AI$500)+IF($C39="",0,SUMIF('DADOS BRUTOS'!$A$3:$A$500,$C39,'DADOS BRUTOS'!AI$3:AI$500)))</f>
        <v/>
      </c>
      <c r="DJ39" s="132">
        <f>IF(OR(DJ$4="",$B39=""),0,SUMIF('DADOS BRUTOS'!$A$3:$A$500,$B39,'DADOS BRUTOS'!AJ$3:AJ$500)+IF($C39="",0,SUMIF('DADOS BRUTOS'!$A$3:$A$500,$C39,'DADOS BRUTOS'!AJ$3:AJ$500)))</f>
        <v/>
      </c>
      <c r="DK39" s="132">
        <f>IF(OR(DK$4="",$B39=""),0,SUMIF('DADOS BRUTOS'!$A$3:$A$500,$B39,'DADOS BRUTOS'!AK$3:AK$500)+IF($C39="",0,SUMIF('DADOS BRUTOS'!$A$3:$A$500,$C39,'DADOS BRUTOS'!AK$3:AK$500)))</f>
        <v/>
      </c>
      <c r="DL39" s="132">
        <f>IF(OR(DL$4="",$B39=""),0,SUMIF('DADOS BRUTOS'!$A$3:$A$500,$B39,'DADOS BRUTOS'!AL$3:AL$500)+IF($C39="",0,SUMIF('DADOS BRUTOS'!$A$3:$A$500,$C39,'DADOS BRUTOS'!AL$3:AL$500)))</f>
        <v/>
      </c>
      <c r="DM39" s="132">
        <f>IF(OR(DM$4="",$B39=""),0,SUMIF('DADOS BRUTOS'!$A$3:$A$500,$B39,'DADOS BRUTOS'!AM$3:AM$500)+IF($C39="",0,SUMIF('DADOS BRUTOS'!$A$3:$A$500,$C39,'DADOS BRUTOS'!AM$3:AM$500)))</f>
        <v/>
      </c>
      <c r="DN39" s="132">
        <f>IF(OR(DN$4="",$B39=""),0,SUMIF('DADOS BRUTOS'!$A$3:$A$500,$B39,'DADOS BRUTOS'!AN$3:AN$500)+IF($C39="",0,SUMIF('DADOS BRUTOS'!$A$3:$A$500,$C39,'DADOS BRUTOS'!AN$3:AN$500)))</f>
        <v/>
      </c>
      <c r="DO39" s="132">
        <f>IF(OR(DO$4="",$B39=""),0,SUMIF('DADOS BRUTOS'!$A$3:$A$500,$B39,'DADOS BRUTOS'!AO$3:AO$500)+IF($C39="",0,SUMIF('DADOS BRUTOS'!$A$3:$A$500,$C39,'DADOS BRUTOS'!AO$3:AO$500)))</f>
        <v/>
      </c>
      <c r="DP39" s="132">
        <f>IF(OR(DP$4="",$B39=""),0,SUMIF('DADOS BRUTOS'!$A$3:$A$500,$B39,'DADOS BRUTOS'!AP$3:AP$500)+IF($C39="",0,SUMIF('DADOS BRUTOS'!$A$3:$A$500,$C39,'DADOS BRUTOS'!AP$3:AP$500)))</f>
        <v/>
      </c>
      <c r="DQ39" s="132">
        <f>IF(OR(DQ$4="",$B39=""),0,SUMIF('DADOS BRUTOS'!$A$3:$A$500,$B39,'DADOS BRUTOS'!AQ$3:AQ$500)+IF($C39="",0,SUMIF('DADOS BRUTOS'!$A$3:$A$500,$C39,'DADOS BRUTOS'!AQ$3:AQ$500)))</f>
        <v/>
      </c>
      <c r="DR39" s="132">
        <f>IF(OR(DR$4="",$B39=""),0,SUMIF('DADOS BRUTOS'!$A$3:$A$500,$B39,'DADOS BRUTOS'!AR$3:AR$500)+IF($C39="",0,SUMIF('DADOS BRUTOS'!$A$3:$A$500,$C39,'DADOS BRUTOS'!AR$3:AR$500)))</f>
        <v/>
      </c>
      <c r="DS39" s="132">
        <f>IF(OR(DS$4="",$B39=""),0,SUMIF('DADOS BRUTOS'!$A$3:$A$500,$B39,'DADOS BRUTOS'!AS$3:AS$500)+IF($C39="",0,SUMIF('DADOS BRUTOS'!$A$3:$A$500,$C39,'DADOS BRUTOS'!AS$3:AS$500)))</f>
        <v/>
      </c>
      <c r="DT39" s="132">
        <f>IF(OR(DT$4="",$B39=""),0,SUMIF('DADOS BRUTOS'!$A$3:$A$500,$B39,'DADOS BRUTOS'!AT$3:AT$500)+IF($C39="",0,SUMIF('DADOS BRUTOS'!$A$3:$A$500,$C39,'DADOS BRUTOS'!AT$3:AT$500)))</f>
        <v/>
      </c>
      <c r="DU39" s="132">
        <f>IF(OR(DU$4="",$B39=""),0,SUMIF('DADOS BRUTOS'!$A$3:$A$500,$B39,'DADOS BRUTOS'!AU$3:AU$500)+IF($C39="",0,SUMIF('DADOS BRUTOS'!$A$3:$A$500,$C39,'DADOS BRUTOS'!AU$3:AU$500)))</f>
        <v/>
      </c>
      <c r="DV39" s="132">
        <f>IF(OR(DV$4="",$B39=""),0,SUMIF('DADOS BRUTOS'!$A$3:$A$500,$B39,'DADOS BRUTOS'!AV$3:AV$500)+IF($C39="",0,SUMIF('DADOS BRUTOS'!$A$3:$A$500,$C39,'DADOS BRUTOS'!AV$3:AV$500)))</f>
        <v/>
      </c>
      <c r="DW39" s="132">
        <f>IF(OR(DW$4="",$B39=""),0,SUMIF('DADOS BRUTOS'!$A$3:$A$500,$B39,'DADOS BRUTOS'!AW$3:AW$500)+IF($C39="",0,SUMIF('DADOS BRUTOS'!$A$3:$A$500,$C39,'DADOS BRUTOS'!AW$3:AW$500)))</f>
        <v/>
      </c>
      <c r="DX39" s="132">
        <f>IF(OR(DX$4="",$B39=""),0,SUMIF('DADOS BRUTOS'!$A$3:$A$500,$B39,'DADOS BRUTOS'!AX$3:AX$500)+IF($C39="",0,SUMIF('DADOS BRUTOS'!$A$3:$A$500,$C39,'DADOS BRUTOS'!AX$3:AX$500)))</f>
        <v/>
      </c>
      <c r="DY39" s="132">
        <f>IF(OR(DY$4="",$B39=""),0,SUMIF('DADOS BRUTOS'!$A$3:$A$500,$B39,'DADOS BRUTOS'!AY$3:AY$500)+IF($C39="",0,SUMIF('DADOS BRUTOS'!$A$3:$A$500,$C39,'DADOS BRUTOS'!AY$3:AY$500)))</f>
        <v/>
      </c>
      <c r="DZ39" s="132">
        <f>IF(OR(DZ$4="",$B39=""),0,SUMIF('DADOS BRUTOS'!$A$3:$A$500,$B39,'DADOS BRUTOS'!AZ$3:AZ$500)+IF($C39="",0,SUMIF('DADOS BRUTOS'!$A$3:$A$500,$C39,'DADOS BRUTOS'!AZ$3:AZ$500)))</f>
        <v/>
      </c>
      <c r="EA39" s="132">
        <f>IF(OR(EA$4="",$B39=""),0,SUMIF('DADOS BRUTOS'!$A$3:$A$500,$B39,'DADOS BRUTOS'!BA$3:BA$500)+IF($C39="",0,SUMIF('DADOS BRUTOS'!$A$3:$A$500,$C39,'DADOS BRUTOS'!BA$3:BA$500)))</f>
        <v/>
      </c>
      <c r="EB39" s="132">
        <f>IF(OR(EB$4="",$B39=""),0,SUMIF('DADOS BRUTOS'!$A$3:$A$500,$B39,'DADOS BRUTOS'!BB$3:BB$500)+IF($C39="",0,SUMIF('DADOS BRUTOS'!$A$3:$A$500,$C39,'DADOS BRUTOS'!BB$3:BB$500)))</f>
        <v/>
      </c>
      <c r="EC39" s="132">
        <f>IF(OR(EC$4="",$B39=""),0,SUMIF('DADOS BRUTOS'!$A$3:$A$500,$B39,'DADOS BRUTOS'!BC$3:BC$500)+IF($C39="",0,SUMIF('DADOS BRUTOS'!$A$3:$A$500,$C39,'DADOS BRUTOS'!BC$3:BC$500)))</f>
        <v/>
      </c>
      <c r="ED39" s="132">
        <f>IF(OR(ED$4="",$B39=""),0,SUMIF('DADOS BRUTOS'!$A$3:$A$500,$B39,'DADOS BRUTOS'!BD$3:BD$500)+IF($C39="",0,SUMIF('DADOS BRUTOS'!$A$3:$A$500,$C39,'DADOS BRUTOS'!BD$3:BD$500)))</f>
        <v/>
      </c>
      <c r="EE39" s="132">
        <f>IF(OR(EE$4="",$B39=""),0,SUMIF('DADOS BRUTOS'!$A$3:$A$500,$B39,'DADOS BRUTOS'!BE$3:BE$500)+IF($C39="",0,SUMIF('DADOS BRUTOS'!$A$3:$A$500,$C39,'DADOS BRUTOS'!BE$3:BE$500)))</f>
        <v/>
      </c>
      <c r="EF39" s="132">
        <f>IF(OR(EF$4="",$B39=""),0,SUMIF('DADOS BRUTOS'!$A$3:$A$500,$B39,'DADOS BRUTOS'!BF$3:BF$500)+IF($C39="",0,SUMIF('DADOS BRUTOS'!$A$3:$A$500,$C39,'DADOS BRUTOS'!BF$3:BF$500)))</f>
        <v/>
      </c>
      <c r="EG39" s="132">
        <f>IF(OR(EG$4="",$B39=""),0,SUMIF('DADOS BRUTOS'!$A$3:$A$500,$B39,'DADOS BRUTOS'!BG$3:BG$500)+IF($C39="",0,SUMIF('DADOS BRUTOS'!$A$3:$A$500,$C39,'DADOS BRUTOS'!BG$3:BG$500)))</f>
        <v/>
      </c>
      <c r="EH39" s="132">
        <f>IF(OR(EH$4="",$B39=""),0,SUMIF('DADOS BRUTOS'!$A$3:$A$500,$B39,'DADOS BRUTOS'!BH$3:BH$500)+IF($C39="",0,SUMIF('DADOS BRUTOS'!$A$3:$A$500,$C39,'DADOS BRUTOS'!BH$3:BH$500)))</f>
        <v/>
      </c>
      <c r="EI39" s="132">
        <f>IF(OR(EI$4="",$B39=""),0,SUMIF('DADOS BRUTOS'!$A$3:$A$500,$B39,'DADOS BRUTOS'!BI$3:BI$500)+IF($C39="",0,SUMIF('DADOS BRUTOS'!$A$3:$A$500,$C39,'DADOS BRUTOS'!BI$3:BI$500)))</f>
        <v/>
      </c>
      <c r="EJ39" s="132">
        <f>IF(OR(EJ$4="",$B39=""),0,SUMIF('DADOS BRUTOS'!$A$3:$A$500,$B39,'DADOS BRUTOS'!BJ$3:BJ$500)+IF($C39="",0,SUMIF('DADOS BRUTOS'!$A$3:$A$500,$C39,'DADOS BRUTOS'!BJ$3:BJ$500)))</f>
        <v/>
      </c>
      <c r="EK39" s="132">
        <f>IF(OR(EK$4="",$B39=""),0,SUMIF('DADOS BRUTOS'!$A$3:$A$500,$B39,'DADOS BRUTOS'!BK$3:BK$500)+IF($C39="",0,SUMIF('DADOS BRUTOS'!$A$3:$A$500,$C39,'DADOS BRUTOS'!BK$3:BK$500)))</f>
        <v/>
      </c>
      <c r="EL39" s="132">
        <f>IF(OR(EL$4="",$B39=""),0,SUMIF('DADOS BRUTOS'!$A$3:$A$500,$B39,'DADOS BRUTOS'!BL$3:BL$500)+IF($C39="",0,SUMIF('DADOS BRUTOS'!$A$3:$A$500,$C39,'DADOS BRUTOS'!BL$3:BL$500)))</f>
        <v/>
      </c>
      <c r="EM39" s="132">
        <f>IF(OR(EM$4="",$B39=""),0,SUMIF('DADOS BRUTOS'!$A$3:$A$500,$B39,'DADOS BRUTOS'!BM$3:BM$500)+IF($C39="",0,SUMIF('DADOS BRUTOS'!$A$3:$A$500,$C39,'DADOS BRUTOS'!BM$3:BM$500)))</f>
        <v/>
      </c>
      <c r="EN39" s="132">
        <f>IF(OR(EN$4="",$B39=""),0,SUMIF('DADOS BRUTOS'!$A$3:$A$500,$B39,'DADOS BRUTOS'!BN$3:BN$500)+IF($C39="",0,SUMIF('DADOS BRUTOS'!$A$3:$A$500,$C39,'DADOS BRUTOS'!BN$3:BN$500)))</f>
        <v/>
      </c>
      <c r="EO39" s="132">
        <f>IF(OR(EO$4="",$B39=""),0,SUMIF('DADOS BRUTOS'!$A$3:$A$500,$B39,'DADOS BRUTOS'!BO$3:BO$500)+IF($C39="",0,SUMIF('DADOS BRUTOS'!$A$3:$A$500,$C39,'DADOS BRUTOS'!BO$3:BO$500)))</f>
        <v/>
      </c>
      <c r="EP39" s="132">
        <f>IF(OR(EP$4="",$B39=""),0,SUMIF('DADOS BRUTOS'!$A$3:$A$500,$B39,'DADOS BRUTOS'!BP$3:BP$500)+IF($C39="",0,SUMIF('DADOS BRUTOS'!$A$3:$A$500,$C39,'DADOS BRUTOS'!BP$3:BP$500)))</f>
        <v/>
      </c>
      <c r="EQ39" s="132">
        <f>IF(OR(EQ$4="",$B39=""),0,SUMIF('DADOS BRUTOS'!$A$3:$A$500,$B39,'DADOS BRUTOS'!BQ$3:BQ$500)+IF($C39="",0,SUMIF('DADOS BRUTOS'!$A$3:$A$500,$C39,'DADOS BRUTOS'!BQ$3:BQ$500)))</f>
        <v/>
      </c>
      <c r="ER39" s="132">
        <f>IF(OR(ER$4="",$B39=""),0,SUMIF('DADOS BRUTOS'!$A$3:$A$500,$B39,'DADOS BRUTOS'!BR$3:BR$500)+IF($C39="",0,SUMIF('DADOS BRUTOS'!$A$3:$A$500,$C39,'DADOS BRUTOS'!BR$3:BR$500)))</f>
        <v/>
      </c>
      <c r="ES39" s="132">
        <f>IF(OR(ES$4="",$B39=""),0,SUMIF('DADOS BRUTOS'!$A$3:$A$500,$B39,'DADOS BRUTOS'!BS$3:BS$500)+IF($C39="",0,SUMIF('DADOS BRUTOS'!$A$3:$A$500,$C39,'DADOS BRUTOS'!BS$3:BS$500)))</f>
        <v/>
      </c>
      <c r="ET39" s="132">
        <f>IF(OR(ET$4="",$B39=""),0,SUMIF('DADOS BRUTOS'!$A$3:$A$500,$B39,'DADOS BRUTOS'!BT$3:BT$500)+IF($C39="",0,SUMIF('DADOS BRUTOS'!$A$3:$A$500,$C39,'DADOS BRUTOS'!BT$3:BT$500)))</f>
        <v/>
      </c>
      <c r="EU39" s="132">
        <f>IF(OR(EU$4="",$B39=""),0,SUMIF('DADOS BRUTOS'!$A$3:$A$500,$B39,'DADOS BRUTOS'!BU$3:BU$500)+IF($C39="",0,SUMIF('DADOS BRUTOS'!$A$3:$A$500,$C39,'DADOS BRUTOS'!BU$3:BU$500)))</f>
        <v/>
      </c>
      <c r="EV39" s="132">
        <f>IF(OR(EV$4="",$B39=""),0,SUMIF('DADOS BRUTOS'!$A$3:$A$500,$B39,'DADOS BRUTOS'!BV$3:BV$500)+IF($C39="",0,SUMIF('DADOS BRUTOS'!$A$3:$A$500,$C39,'DADOS BRUTOS'!BV$3:BV$500)))</f>
        <v/>
      </c>
      <c r="EW39" s="132">
        <f>IF(OR(EW$4="",$B39=""),0,SUMIF('DADOS BRUTOS'!$A$3:$A$500,$B39,'DADOS BRUTOS'!BW$3:BW$500)+IF($C39="",0,SUMIF('DADOS BRUTOS'!$A$3:$A$500,$C39,'DADOS BRUTOS'!BW$3:BW$500)))</f>
        <v/>
      </c>
      <c r="EX39" s="132">
        <f>IF(OR(EX$4="",$B39=""),0,SUMIF('DADOS BRUTOS'!$A$3:$A$500,$B39,'DADOS BRUTOS'!BX$3:BX$500)+IF($C39="",0,SUMIF('DADOS BRUTOS'!$A$3:$A$500,$C39,'DADOS BRUTOS'!BX$3:BX$500)))</f>
        <v/>
      </c>
      <c r="EY39" s="132">
        <f>IF(OR(EY$4="",$B39=""),0,SUMIF('DADOS BRUTOS'!$A$3:$A$500,$B39,'DADOS BRUTOS'!BY$3:BY$500)+IF($C39="",0,SUMIF('DADOS BRUTOS'!$A$3:$A$500,$C39,'DADOS BRUTOS'!BY$3:BY$500)))</f>
        <v/>
      </c>
      <c r="EZ39" s="132">
        <f>IF(OR(EZ$4="",$B39=""),0,SUMIF('DADOS BRUTOS'!$A$3:$A$500,$B39,'DADOS BRUTOS'!BZ$3:BZ$500)+IF($C39="",0,SUMIF('DADOS BRUTOS'!$A$3:$A$500,$C39,'DADOS BRUTOS'!BZ$3:BZ$500)))</f>
        <v/>
      </c>
      <c r="FA39" s="132">
        <f>IF(OR(FA$4="",$B39=""),0,SUMIF('DADOS BRUTOS'!$A$3:$A$500,$B39,'DADOS BRUTOS'!CA$3:CA$500)+IF($C39="",0,SUMIF('DADOS BRUTOS'!$A$3:$A$500,$C39,'DADOS BRUTOS'!CA$3:CA$500)))</f>
        <v/>
      </c>
      <c r="FB39" s="132">
        <f>IF(OR(FB$4="",$B39=""),0,SUMIF('DADOS BRUTOS'!$A$3:$A$500,$B39,'DADOS BRUTOS'!CB$3:CB$500)+IF($C39="",0,SUMIF('DADOS BRUTOS'!$A$3:$A$500,$C39,'DADOS BRUTOS'!CB$3:CB$500)))</f>
        <v/>
      </c>
      <c r="FC39" s="132">
        <f>IF(OR(FC$4="",$B39=""),0,SUMIF('DADOS BRUTOS'!$A$3:$A$500,$B39,'DADOS BRUTOS'!CC$3:CC$500)+IF($C39="",0,SUMIF('DADOS BRUTOS'!$A$3:$A$500,$C39,'DADOS BRUTOS'!CC$3:CC$500)))</f>
        <v/>
      </c>
      <c r="FD39" s="132">
        <f>IF(OR(FD$4="",$B39=""),0,SUMIF('DADOS BRUTOS'!$A$3:$A$500,$B39,'DADOS BRUTOS'!CD$3:CD$500)+IF($C39="",0,SUMIF('DADOS BRUTOS'!$A$3:$A$500,$C39,'DADOS BRUTOS'!CD$3:CD$500)))</f>
        <v/>
      </c>
      <c r="FE39" s="132">
        <f>IF(OR(FE$4="",$B39=""),0,SUMIF('DADOS BRUTOS'!$A$3:$A$500,$B39,'DADOS BRUTOS'!CE$3:CE$500)+IF($C39="",0,SUMIF('DADOS BRUTOS'!$A$3:$A$500,$C39,'DADOS BRUTOS'!CE$3:CE$500)))</f>
        <v/>
      </c>
      <c r="FF39" s="132">
        <f>IF(OR(FF$4="",$B39=""),0,SUMIF('DADOS BRUTOS'!$A$3:$A$500,$B39,'DADOS BRUTOS'!CF$3:CF$500)+IF($C39="",0,SUMIF('DADOS BRUTOS'!$A$3:$A$500,$C39,'DADOS BRUTOS'!CF$3:CF$500)))</f>
        <v/>
      </c>
      <c r="FG39" s="132">
        <f>IF(OR(FG$4="",$B39=""),0,SUMIF('DADOS BRUTOS'!$A$3:$A$500,$B39,'DADOS BRUTOS'!CG$3:CG$500)+IF($C39="",0,SUMIF('DADOS BRUTOS'!$A$3:$A$500,$C39,'DADOS BRUTOS'!CG$3:CG$500)))</f>
        <v/>
      </c>
      <c r="FH39" s="132">
        <f>IF(OR(FH$4="",$B39=""),0,SUMIF('DADOS BRUTOS'!$A$3:$A$500,$B39,'DADOS BRUTOS'!CH$3:CH$500)+IF($C39="",0,SUMIF('DADOS BRUTOS'!$A$3:$A$500,$C39,'DADOS BRUTOS'!CH$3:CH$500)))</f>
        <v/>
      </c>
      <c r="FI39" s="132">
        <f>IF(OR(FI$4="",$B39=""),0,SUMIF('DADOS BRUTOS'!$A$3:$A$500,$B39,'DADOS BRUTOS'!CI$3:CI$500)+IF($C39="",0,SUMIF('DADOS BRUTOS'!$A$3:$A$500,$C39,'DADOS BRUTOS'!CI$3:CI$500)))</f>
        <v/>
      </c>
      <c r="FJ39" s="132">
        <f>IF(OR(FJ$4="",$B39=""),0,SUMIF('DADOS BRUTOS'!$A$3:$A$500,$B39,'DADOS BRUTOS'!CJ$3:CJ$500)+IF($C39="",0,SUMIF('DADOS BRUTOS'!$A$3:$A$500,$C39,'DADOS BRUTOS'!CJ$3:CJ$500)))</f>
        <v/>
      </c>
      <c r="FK39" s="132">
        <f>IF(OR(FK$4="",$B39=""),0,SUMIF('DADOS BRUTOS'!$A$3:$A$500,$B39,'DADOS BRUTOS'!CK$3:CK$500)+IF($C39="",0,SUMIF('DADOS BRUTOS'!$A$3:$A$500,$C39,'DADOS BRUTOS'!CK$3:CK$500)))</f>
        <v/>
      </c>
      <c r="FL39" s="132">
        <f>IF(OR(FL$4="",$B39=""),0,SUMIF('DADOS BRUTOS'!$A$3:$A$500,$B39,'DADOS BRUTOS'!CL$3:CL$500)+IF($C39="",0,SUMIF('DADOS BRUTOS'!$A$3:$A$500,$C39,'DADOS BRUTOS'!CL$3:CL$500)))</f>
        <v/>
      </c>
      <c r="FM39" s="132">
        <f>IF(OR(FM$4="",$B39=""),0,SUMIF('DADOS BRUTOS'!$A$3:$A$500,$B39,'DADOS BRUTOS'!CM$3:CM$500)+IF($C39="",0,SUMIF('DADOS BRUTOS'!$A$3:$A$500,$C39,'DADOS BRUTOS'!CM$3:CM$500)))</f>
        <v/>
      </c>
      <c r="FN39" s="132">
        <f>IF(OR(FN$4="",$B39=""),0,SUMIF('DADOS BRUTOS'!$A$3:$A$500,$B39,'DADOS BRUTOS'!CN$3:CN$500)+IF($C39="",0,SUMIF('DADOS BRUTOS'!$A$3:$A$500,$C39,'DADOS BRUTOS'!CN$3:CN$500)))</f>
        <v/>
      </c>
      <c r="FO39" s="132">
        <f>IF(OR(FO$4="",$B39=""),0,SUMIF('DADOS BRUTOS'!$A$3:$A$500,$B39,'DADOS BRUTOS'!CO$3:CO$500)+IF($C39="",0,SUMIF('DADOS BRUTOS'!$A$3:$A$500,$C39,'DADOS BRUTOS'!CO$3:CO$500)))</f>
        <v/>
      </c>
      <c r="FP39" s="132">
        <f>IF(OR(FP$4="",$B39=""),0,SUMIF('DADOS BRUTOS'!$A$3:$A$500,$B39,'DADOS BRUTOS'!CP$3:CP$500)+IF($C39="",0,SUMIF('DADOS BRUTOS'!$A$3:$A$500,$C39,'DADOS BRUTOS'!CP$3:CP$500)))</f>
        <v/>
      </c>
      <c r="FQ39" s="132">
        <f>IF(OR(FQ$4="",$B39=""),0,SUMIF('DADOS BRUTOS'!$A$3:$A$500,$B39,'DADOS BRUTOS'!CQ$3:CQ$500)+IF($C39="",0,SUMIF('DADOS BRUTOS'!$A$3:$A$500,$C39,'DADOS BRUTOS'!CQ$3:CQ$500)))</f>
        <v/>
      </c>
      <c r="FR39" s="132">
        <f>IF(OR(FR$4="",$B39=""),0,SUMIF('DADOS BRUTOS'!$A$3:$A$500,$B39,'DADOS BRUTOS'!CR$3:CR$500)+IF($C39="",0,SUMIF('DADOS BRUTOS'!$A$3:$A$500,$C39,'DADOS BRUTOS'!CR$3:CR$500)))</f>
        <v/>
      </c>
      <c r="FS39" s="132">
        <f>IF(OR(FS$4="",$B39=""),0,SUMIF('DADOS BRUTOS'!$A$3:$A$500,$B39,'DADOS BRUTOS'!CS$3:CS$500)+IF($C39="",0,SUMIF('DADOS BRUTOS'!$A$3:$A$500,$C39,'DADOS BRUTOS'!CS$3:CS$500)))</f>
        <v/>
      </c>
      <c r="FT39" s="132">
        <f>IF(OR(FT$4="",$B39=""),0,SUMIF('DADOS BRUTOS'!$A$3:$A$500,$B39,'DADOS BRUTOS'!CT$3:CT$500)+IF($C39="",0,SUMIF('DADOS BRUTOS'!$A$3:$A$500,$C39,'DADOS BRUTOS'!CT$3:CT$500)))</f>
        <v/>
      </c>
      <c r="FU39" s="132">
        <f>IF(OR(FU$4="",$B39=""),0,SUMIF('DADOS BRUTOS'!$A$3:$A$500,$B39,'DADOS BRUTOS'!CU$3:CU$500)+IF($C39="",0,SUMIF('DADOS BRUTOS'!$A$3:$A$500,$C39,'DADOS BRUTOS'!CU$3:CU$500)))</f>
        <v/>
      </c>
      <c r="FV39" s="132">
        <f>IF(OR(FV$4="",$B39=""),0,SUMIF('DADOS BRUTOS'!$A$3:$A$500,$B39,'DADOS BRUTOS'!CV$3:CV$500)+IF($C39="",0,SUMIF('DADOS BRUTOS'!$A$3:$A$500,$C39,'DADOS BRUTOS'!CV$3:CV$500)))</f>
        <v/>
      </c>
      <c r="FW39" s="132">
        <f>IF(OR(FW$4="",$B39=""),0,SUMIF('DADOS BRUTOS'!$A$3:$A$500,$B39,'DADOS BRUTOS'!CW$3:CW$500)+IF($C39="",0,SUMIF('DADOS BRUTOS'!$A$3:$A$500,$C39,'DADOS BRUTOS'!CW$3:CW$500)))</f>
        <v/>
      </c>
      <c r="FX39" s="132">
        <f>IF(OR(FX$4="",$B39=""),0,SUMIF('DADOS BRUTOS'!$A$3:$A$500,$B39,'DADOS BRUTOS'!CX$3:CX$500)+IF($C39="",0,SUMIF('DADOS BRUTOS'!$A$3:$A$500,$C39,'DADOS BRUTOS'!CX$3:CX$500)))</f>
        <v/>
      </c>
      <c r="FY39" s="132">
        <f>IF(OR(FY$4="",$B39=""),0,SUMIF('DADOS BRUTOS'!$A$3:$A$500,$B39,'DADOS BRUTOS'!CY$3:CY$500)+IF($C39="",0,SUMIF('DADOS BRUTOS'!$A$3:$A$500,$C39,'DADOS BRUTOS'!CY$3:CY$500)))</f>
        <v/>
      </c>
      <c r="FZ39" s="132">
        <f>IF(OR(FZ$4="",$B39=""),0,SUMIF('DADOS BRUTOS'!$A$3:$A$500,$B39,'DADOS BRUTOS'!CZ$3:CZ$500)+IF($C39="",0,SUMIF('DADOS BRUTOS'!$A$3:$A$500,$C39,'DADOS BRUTOS'!CZ$3:CZ$500)))</f>
        <v/>
      </c>
      <c r="GA39" s="132">
        <f>IF(OR(GA$4="",$B39=""),0,SUMIF('DADOS BRUTOS'!$A$3:$A$500,$B39,'DADOS BRUTOS'!DA$3:DA$500)+IF($C39="",0,SUMIF('DADOS BRUTOS'!$A$3:$A$500,$C39,'DADOS BRUTOS'!DA$3:DA$500)))</f>
        <v/>
      </c>
      <c r="GB39" s="132">
        <f>IF(OR(GB$4="",$B39=""),0,SUMIF('DADOS BRUTOS'!$A$3:$A$500,$B39,'DADOS BRUTOS'!DB$3:DB$500)+IF($C39="",0,SUMIF('DADOS BRUTOS'!$A$3:$A$500,$C39,'DADOS BRUTOS'!DB$3:DB$500)))</f>
        <v/>
      </c>
      <c r="GC39" s="132">
        <f>IF(OR(GC$4="",$B39=""),0,SUMIF('DADOS BRUTOS'!$A$3:$A$500,$B39,'DADOS BRUTOS'!DC$3:DC$500)+IF($C39="",0,SUMIF('DADOS BRUTOS'!$A$3:$A$500,$C39,'DADOS BRUTOS'!DC$3:DC$500)))</f>
        <v/>
      </c>
      <c r="GD39" s="132">
        <f>IF(OR(GD$4="",$B39=""),0,SUMIF('DADOS BRUTOS'!$A$3:$A$500,$B39,'DADOS BRUTOS'!DD$3:DD$500)+IF($C39="",0,SUMIF('DADOS BRUTOS'!$A$3:$A$500,$C39,'DADOS BRUTOS'!DD$3:DD$500)))</f>
        <v/>
      </c>
      <c r="GE39" s="132">
        <f>IF(OR(GE$4="",$B39=""),0,SUMIF('DADOS BRUTOS'!$A$3:$A$500,$B39,'DADOS BRUTOS'!DE$3:DE$500)+IF($C39="",0,SUMIF('DADOS BRUTOS'!$A$3:$A$500,$C39,'DADOS BRUTOS'!DE$3:DE$500)))</f>
        <v/>
      </c>
      <c r="GF39" s="132">
        <f>IF(OR(GF$4="",$B39=""),0,SUMIF('DADOS BRUTOS'!$A$3:$A$500,$B39,'DADOS BRUTOS'!DF$3:DF$500)+IF($C39="",0,SUMIF('DADOS BRUTOS'!$A$3:$A$500,$C39,'DADOS BRUTOS'!DF$3:DF$500)))</f>
        <v/>
      </c>
      <c r="GG39" s="132">
        <f>IF(OR(GG$4="",$B39=""),0,SUMIF('DADOS BRUTOS'!$A$3:$A$500,$B39,'DADOS BRUTOS'!DG$3:DG$500)+IF($C39="",0,SUMIF('DADOS BRUTOS'!$A$3:$A$500,$C39,'DADOS BRUTOS'!DG$3:DG$500)))</f>
        <v/>
      </c>
      <c r="GH39" s="132">
        <f>IF(OR(GH$4="",$B39=""),0,SUMIF('DADOS BRUTOS'!$A$3:$A$500,$B39,'DADOS BRUTOS'!DH$3:DH$500)+IF($C39="",0,SUMIF('DADOS BRUTOS'!$A$3:$A$500,$C39,'DADOS BRUTOS'!DH$3:DH$500)))</f>
        <v/>
      </c>
      <c r="GI39" s="132">
        <f>IF(OR(GI$4="",$B39=""),0,SUMIF('DADOS BRUTOS'!$A$3:$A$500,$B39,'DADOS BRUTOS'!DI$3:DI$500)+IF($C39="",0,SUMIF('DADOS BRUTOS'!$A$3:$A$500,$C39,'DADOS BRUTOS'!DI$3:DI$500)))</f>
        <v/>
      </c>
      <c r="GJ39" s="132">
        <f>IF(OR(GJ$4="",$B39=""),0,SUMIF('DADOS BRUTOS'!$A$3:$A$500,$B39,'DADOS BRUTOS'!DJ$3:DJ$500)+IF($C39="",0,SUMIF('DADOS BRUTOS'!$A$3:$A$500,$C39,'DADOS BRUTOS'!DJ$3:DJ$500)))</f>
        <v/>
      </c>
      <c r="GK39" s="132">
        <f>IF(OR(GK$4="",$B39=""),0,SUMIF('DADOS BRUTOS'!$A$3:$A$500,$B39,'DADOS BRUTOS'!DK$3:DK$500)+IF($C39="",0,SUMIF('DADOS BRUTOS'!$A$3:$A$500,$C39,'DADOS BRUTOS'!DK$3:DK$500)))</f>
        <v/>
      </c>
      <c r="GL39" s="132">
        <f>IF(OR(GL$4="",$B39=""),0,SUMIF('DADOS BRUTOS'!$A$3:$A$500,$B39,'DADOS BRUTOS'!DL$3:DL$500)+IF($C39="",0,SUMIF('DADOS BRUTOS'!$A$3:$A$500,$C39,'DADOS BRUTOS'!DL$3:DL$500)))</f>
        <v/>
      </c>
      <c r="GM39" s="132">
        <f>IF(OR(GM$4="",$B39=""),0,SUMIF('DADOS BRUTOS'!$A$3:$A$500,$B39,'DADOS BRUTOS'!DM$3:DM$500)+IF($C39="",0,SUMIF('DADOS BRUTOS'!$A$3:$A$500,$C39,'DADOS BRUTOS'!DM$3:DM$500)))</f>
        <v/>
      </c>
      <c r="GN39" s="132">
        <f>IF(OR(GN$4="",$B39=""),0,SUMIF('DADOS BRUTOS'!$A$3:$A$500,$B39,'DADOS BRUTOS'!DN$3:DN$500)+IF($C39="",0,SUMIF('DADOS BRUTOS'!$A$3:$A$500,$C39,'DADOS BRUTOS'!DN$3:DN$500)))</f>
        <v/>
      </c>
      <c r="GO39" s="132">
        <f>IF(OR(GO$4="",$B39=""),0,SUMIF('DADOS BRUTOS'!$A$3:$A$500,$B39,'DADOS BRUTOS'!DO$3:DO$500)+IF($C39="",0,SUMIF('DADOS BRUTOS'!$A$3:$A$500,$C39,'DADOS BRUTOS'!DO$3:DO$500)))</f>
        <v/>
      </c>
      <c r="GP39" s="132">
        <f>IF(OR(GP$4="",$B39=""),0,SUMIF('DADOS BRUTOS'!$A$3:$A$500,$B39,'DADOS BRUTOS'!DP$3:DP$500)+IF($C39="",0,SUMIF('DADOS BRUTOS'!$A$3:$A$500,$C39,'DADOS BRUTOS'!DP$3:DP$500)))</f>
        <v/>
      </c>
      <c r="GQ39" s="132">
        <f>IF(OR(GQ$4="",$B39=""),0,SUMIF('DADOS BRUTOS'!$A$3:$A$500,$B39,'DADOS BRUTOS'!DQ$3:DQ$500)+IF($C39="",0,SUMIF('DADOS BRUTOS'!$A$3:$A$500,$C39,'DADOS BRUTOS'!DQ$3:DQ$500)))</f>
        <v/>
      </c>
      <c r="GR39" s="132">
        <f>IF(OR(GR$4="",$B39=""),0,SUMIF('DADOS BRUTOS'!$A$3:$A$500,$B39,'DADOS BRUTOS'!DR$3:DR$500)+IF($C39="",0,SUMIF('DADOS BRUTOS'!$A$3:$A$500,$C39,'DADOS BRUTOS'!DR$3:DR$500)))</f>
        <v/>
      </c>
      <c r="GS39" s="132">
        <f>IF(OR(GS$4="",$B39=""),0,SUMIF('DADOS BRUTOS'!$A$3:$A$500,$B39,'DADOS BRUTOS'!DS$3:DS$500)+IF($C39="",0,SUMIF('DADOS BRUTOS'!$A$3:$A$500,$C39,'DADOS BRUTOS'!DS$3:DS$500)))</f>
        <v/>
      </c>
      <c r="GT39" s="132">
        <f>IF(OR(GT$4="",$B39=""),0,SUMIF('DADOS BRUTOS'!$A$3:$A$500,$B39,'DADOS BRUTOS'!DT$3:DT$500)+IF($C39="",0,SUMIF('DADOS BRUTOS'!$A$3:$A$500,$C39,'DADOS BRUTOS'!DT$3:DT$500)))</f>
        <v/>
      </c>
      <c r="GU39" s="132">
        <f>IF(OR(GU$4="",$B39=""),0,SUMIF('DADOS BRUTOS'!$A$3:$A$500,$B39,'DADOS BRUTOS'!DU$3:DU$500)+IF($C39="",0,SUMIF('DADOS BRUTOS'!$A$3:$A$500,$C39,'DADOS BRUTOS'!DU$3:DU$500)))</f>
        <v/>
      </c>
      <c r="GV39" s="132">
        <f>IF(OR(GV$4="",$B39=""),0,SUMIF('DADOS BRUTOS'!$A$3:$A$500,$B39,'DADOS BRUTOS'!DV$3:DV$500)+IF($C39="",0,SUMIF('DADOS BRUTOS'!$A$3:$A$500,$C39,'DADOS BRUTOS'!DV$3:DV$500)))</f>
        <v/>
      </c>
      <c r="GW39" s="132">
        <f>IF(OR(GW$4="",$B39=""),0,SUMIF('DADOS BRUTOS'!$A$3:$A$500,$B39,'DADOS BRUTOS'!DW$3:DW$500)+IF($C39="",0,SUMIF('DADOS BRUTOS'!$A$3:$A$500,$C39,'DADOS BRUTOS'!DW$3:DW$500)))</f>
        <v/>
      </c>
      <c r="GX39" s="132">
        <f>IF(OR(GX$4="",$B39=""),0,SUMIF('DADOS BRUTOS'!$A$3:$A$500,$B39,'DADOS BRUTOS'!DX$3:DX$500)+IF($C39="",0,SUMIF('DADOS BRUTOS'!$A$3:$A$500,$C39,'DADOS BRUTOS'!DX$3:DX$500)))</f>
        <v/>
      </c>
      <c r="GY39" s="132">
        <f>IF(OR(GY$4="",$B39=""),0,SUMIF('DADOS BRUTOS'!$A$3:$A$500,$B39,'DADOS BRUTOS'!DY$3:DY$500)+IF($C39="",0,SUMIF('DADOS BRUTOS'!$A$3:$A$500,$C39,'DADOS BRUTOS'!DY$3:DY$500)))</f>
        <v/>
      </c>
      <c r="GZ39" s="132">
        <f>IF(OR(GZ$4="",$B39=""),0,SUMIF('DADOS BRUTOS'!$A$3:$A$500,$B39,'DADOS BRUTOS'!DZ$3:DZ$500)+IF($C39="",0,SUMIF('DADOS BRUTOS'!$A$3:$A$500,$C39,'DADOS BRUTOS'!DZ$3:DZ$500)))</f>
        <v/>
      </c>
      <c r="HA39" s="132">
        <f>IF(OR(HA$4="",$B39=""),0,SUMIF('DADOS BRUTOS'!$A$3:$A$500,$B39,'DADOS BRUTOS'!EA$3:EA$500)+IF($C39="",0,SUMIF('DADOS BRUTOS'!$A$3:$A$500,$C39,'DADOS BRUTOS'!EA$3:EA$500)))</f>
        <v/>
      </c>
      <c r="HB39" s="132">
        <f>IF(OR(HB$4="",$B39=""),0,SUMIF('DADOS BRUTOS'!$A$3:$A$500,$B39,'DADOS BRUTOS'!EB$3:EB$500)+IF($C39="",0,SUMIF('DADOS BRUTOS'!$A$3:$A$500,$C39,'DADOS BRUTOS'!EB$3:EB$500)))</f>
        <v/>
      </c>
      <c r="HC39" s="132">
        <f>IF(OR(HC$4="",$B39=""),0,SUMIF('DADOS BRUTOS'!$A$3:$A$500,$B39,'DADOS BRUTOS'!EC$3:EC$500)+IF($C39="",0,SUMIF('DADOS BRUTOS'!$A$3:$A$500,$C39,'DADOS BRUTOS'!EC$3:EC$500)))</f>
        <v/>
      </c>
      <c r="HD39" s="132">
        <f>IF(OR(HD$4="",$B39=""),0,SUMIF('DADOS BRUTOS'!$A$3:$A$500,$B39,'DADOS BRUTOS'!ED$3:ED$500)+IF($C39="",0,SUMIF('DADOS BRUTOS'!$A$3:$A$500,$C39,'DADOS BRUTOS'!ED$3:ED$500)))</f>
        <v/>
      </c>
      <c r="HE39" s="132">
        <f>IF(OR(HE$4="",$B39=""),0,SUMIF('DADOS BRUTOS'!$A$3:$A$500,$B39,'DADOS BRUTOS'!EE$3:EE$500)+IF($C39="",0,SUMIF('DADOS BRUTOS'!$A$3:$A$500,$C39,'DADOS BRUTOS'!EE$3:EE$500)))</f>
        <v/>
      </c>
      <c r="HF39" s="132">
        <f>IF(OR(HF$4="",$B39=""),0,SUMIF('DADOS BRUTOS'!$A$3:$A$500,$B39,'DADOS BRUTOS'!EF$3:EF$500)+IF($C39="",0,SUMIF('DADOS BRUTOS'!$A$3:$A$500,$C39,'DADOS BRUTOS'!EF$3:EF$500)))</f>
        <v/>
      </c>
      <c r="HG39" s="132">
        <f>IF(OR(HG$4="",$B39=""),0,SUMIF('DADOS BRUTOS'!$A$3:$A$500,$B39,'DADOS BRUTOS'!EG$3:EG$500)+IF($C39="",0,SUMIF('DADOS BRUTOS'!$A$3:$A$500,$C39,'DADOS BRUTOS'!EG$3:EG$500)))</f>
        <v/>
      </c>
      <c r="HH39" s="132">
        <f>IF(OR(HH$4="",$B39=""),0,SUMIF('DADOS BRUTOS'!$A$3:$A$500,$B39,'DADOS BRUTOS'!EH$3:EH$500)+IF($C39="",0,SUMIF('DADOS BRUTOS'!$A$3:$A$500,$C39,'DADOS BRUTOS'!EH$3:EH$500)))</f>
        <v/>
      </c>
      <c r="HI39" s="132">
        <f>IF(OR(HI$4="",$B39=""),0,SUMIF('DADOS BRUTOS'!$A$3:$A$500,$B39,'DADOS BRUTOS'!EI$3:EI$500)+IF($C39="",0,SUMIF('DADOS BRUTOS'!$A$3:$A$500,$C39,'DADOS BRUTOS'!EI$3:EI$500)))</f>
        <v/>
      </c>
      <c r="HJ39" s="132">
        <f>IF(OR(HJ$4="",$B39=""),0,SUMIF('DADOS BRUTOS'!$A$3:$A$500,$B39,'DADOS BRUTOS'!EJ$3:EJ$500)+IF($C39="",0,SUMIF('DADOS BRUTOS'!$A$3:$A$500,$C39,'DADOS BRUTOS'!EJ$3:EJ$500)))</f>
        <v/>
      </c>
      <c r="HK39" s="132">
        <f>IF(OR(HK$4="",$B39=""),0,SUMIF('DADOS BRUTOS'!$A$3:$A$500,$B39,'DADOS BRUTOS'!EK$3:EK$500)+IF($C39="",0,SUMIF('DADOS BRUTOS'!$A$3:$A$500,$C39,'DADOS BRUTOS'!EK$3:EK$500)))</f>
        <v/>
      </c>
      <c r="HL39" s="132">
        <f>IF(OR(HL$4="",$B39=""),0,SUMIF('DADOS BRUTOS'!$A$3:$A$500,$B39,'DADOS BRUTOS'!EL$3:EL$500)+IF($C39="",0,SUMIF('DADOS BRUTOS'!$A$3:$A$500,$C39,'DADOS BRUTOS'!EL$3:EL$500)))</f>
        <v/>
      </c>
      <c r="HM39" s="132">
        <f>IF(OR(HM$4="",$B39=""),0,SUMIF('DADOS BRUTOS'!$A$3:$A$500,$B39,'DADOS BRUTOS'!EM$3:EM$500)+IF($C39="",0,SUMIF('DADOS BRUTOS'!$A$3:$A$500,$C39,'DADOS BRUTOS'!EM$3:EM$500)))</f>
        <v/>
      </c>
      <c r="HN39" s="132">
        <f>IF(OR(HN$4="",$B39=""),0,SUMIF('DADOS BRUTOS'!$A$3:$A$500,$B39,'DADOS BRUTOS'!EN$3:EN$500)+IF($C39="",0,SUMIF('DADOS BRUTOS'!$A$3:$A$500,$C39,'DADOS BRUTOS'!EN$3:EN$500)))</f>
        <v/>
      </c>
      <c r="HO39" s="132">
        <f>IF(OR(HO$4="",$B39=""),0,SUMIF('DADOS BRUTOS'!$A$3:$A$500,$B39,'DADOS BRUTOS'!EO$3:EO$500)+IF($C39="",0,SUMIF('DADOS BRUTOS'!$A$3:$A$500,$C39,'DADOS BRUTOS'!EO$3:EO$500)))</f>
        <v/>
      </c>
      <c r="HP39" s="132">
        <f>IF(OR(HP$4="",$B39=""),0,SUMIF('DADOS BRUTOS'!$A$3:$A$500,$B39,'DADOS BRUTOS'!EP$3:EP$500)+IF($C39="",0,SUMIF('DADOS BRUTOS'!$A$3:$A$500,$C39,'DADOS BRUTOS'!EP$3:EP$500)))</f>
        <v/>
      </c>
      <c r="HQ39" s="132">
        <f>IF(OR(HQ$4="",$B39=""),0,SUMIF('DADOS BRUTOS'!$A$3:$A$500,$B39,'DADOS BRUTOS'!EQ$3:EQ$500)+IF($C39="",0,SUMIF('DADOS BRUTOS'!$A$3:$A$500,$C39,'DADOS BRUTOS'!EQ$3:EQ$500)))</f>
        <v/>
      </c>
      <c r="HR39" s="132">
        <f>IF(OR(HR$4="",$B39=""),0,SUMIF('DADOS BRUTOS'!$A$3:$A$500,$B39,'DADOS BRUTOS'!ER$3:ER$500)+IF($C39="",0,SUMIF('DADOS BRUTOS'!$A$3:$A$500,$C39,'DADOS BRUTOS'!ER$3:ER$500)))</f>
        <v/>
      </c>
      <c r="HS39" s="132">
        <f>IF(OR(HS$4="",$B39=""),0,SUMIF('DADOS BRUTOS'!$A$3:$A$500,$B39,'DADOS BRUTOS'!ES$3:ES$500)+IF($C39="",0,SUMIF('DADOS BRUTOS'!$A$3:$A$500,$C39,'DADOS BRUTOS'!ES$3:ES$500)))</f>
        <v/>
      </c>
      <c r="HT39" s="132">
        <f>IF(OR(HT$4="",$B39=""),0,SUMIF('DADOS BRUTOS'!$A$3:$A$500,$B39,'DADOS BRUTOS'!ET$3:ET$500)+IF($C39="",0,SUMIF('DADOS BRUTOS'!$A$3:$A$500,$C39,'DADOS BRUTOS'!ET$3:ET$500)))</f>
        <v/>
      </c>
      <c r="HU39" s="132">
        <f>IF(OR(HU$4="",$B39=""),0,SUMIF('DADOS BRUTOS'!$A$3:$A$500,$B39,'DADOS BRUTOS'!EU$3:EU$500)+IF($C39="",0,SUMIF('DADOS BRUTOS'!$A$3:$A$500,$C39,'DADOS BRUTOS'!EU$3:EU$500)))</f>
        <v/>
      </c>
      <c r="HV39" s="132">
        <f>IF(OR(HV$4="",$B39=""),0,SUMIF('DADOS BRUTOS'!$A$3:$A$500,$B39,'DADOS BRUTOS'!EV$3:EV$500)+IF($C39="",0,SUMIF('DADOS BRUTOS'!$A$3:$A$500,$C39,'DADOS BRUTOS'!EV$3:EV$500)))</f>
        <v/>
      </c>
      <c r="HW39" s="132">
        <f>IF(OR(HW$4="",$B39=""),0,SUMIF('DADOS BRUTOS'!$A$3:$A$500,$B39,'DADOS BRUTOS'!EW$3:EW$500)+IF($C39="",0,SUMIF('DADOS BRUTOS'!$A$3:$A$500,$C39,'DADOS BRUTOS'!EW$3:EW$500)))</f>
        <v/>
      </c>
      <c r="HX39" s="132">
        <f>IF(OR(HX$4="",$B39=""),0,SUMIF('DADOS BRUTOS'!$A$3:$A$500,$B39,'DADOS BRUTOS'!EX$3:EX$500)+IF($C39="",0,SUMIF('DADOS BRUTOS'!$A$3:$A$500,$C39,'DADOS BRUTOS'!EX$3:EX$500)))</f>
        <v/>
      </c>
      <c r="HY39" s="132">
        <f>IF(OR(HY$4="",$B39=""),0,SUMIF('DADOS BRUTOS'!$A$3:$A$500,$B39,'DADOS BRUTOS'!EY$3:EY$500)+IF($C39="",0,SUMIF('DADOS BRUTOS'!$A$3:$A$500,$C39,'DADOS BRUTOS'!EY$3:EY$500)))</f>
        <v/>
      </c>
      <c r="HZ39" s="132">
        <f>IF(OR(HZ$4="",$B39=""),0,SUMIF('DADOS BRUTOS'!$A$3:$A$500,$B39,'DADOS BRUTOS'!EZ$3:EZ$500)+IF($C39="",0,SUMIF('DADOS BRUTOS'!$A$3:$A$500,$C39,'DADOS BRUTOS'!EZ$3:EZ$500)))</f>
        <v/>
      </c>
      <c r="IA39" s="132">
        <f>IF(OR(IA$4="",$B39=""),0,SUMIF('DADOS BRUTOS'!$A$3:$A$500,$B39,'DADOS BRUTOS'!FA$3:FA$500)+IF($C39="",0,SUMIF('DADOS BRUTOS'!$A$3:$A$500,$C39,'DADOS BRUTOS'!FA$3:FA$500)))</f>
        <v/>
      </c>
      <c r="IB39" s="132">
        <f>IF(OR(IB$4="",$B39=""),0,SUMIF('DADOS BRUTOS'!$A$3:$A$500,$B39,'DADOS BRUTOS'!FB$3:FB$500)+IF($C39="",0,SUMIF('DADOS BRUTOS'!$A$3:$A$500,$C39,'DADOS BRUTOS'!FB$3:FB$500)))</f>
        <v/>
      </c>
      <c r="IC39" s="132">
        <f>IF(OR(IC$4="",$B39=""),0,SUMIF('DADOS BRUTOS'!$A$3:$A$500,$B39,'DADOS BRUTOS'!FC$3:FC$500)+IF($C39="",0,SUMIF('DADOS BRUTOS'!$A$3:$A$500,$C39,'DADOS BRUTOS'!FC$3:FC$500)))</f>
        <v/>
      </c>
      <c r="ID39" s="132">
        <f>IF(OR(ID$4="",$B39=""),0,SUMIF('DADOS BRUTOS'!$A$3:$A$500,$B39,'DADOS BRUTOS'!FD$3:FD$500)+IF($C39="",0,SUMIF('DADOS BRUTOS'!$A$3:$A$500,$C39,'DADOS BRUTOS'!FD$3:FD$500)))</f>
        <v/>
      </c>
      <c r="IE39" s="132">
        <f>IF(OR(IE$4="",$B39=""),0,SUMIF('DADOS BRUTOS'!$A$3:$A$500,$B39,'DADOS BRUTOS'!FE$3:FE$500)+IF($C39="",0,SUMIF('DADOS BRUTOS'!$A$3:$A$500,$C39,'DADOS BRUTOS'!FE$3:FE$500)))</f>
        <v/>
      </c>
      <c r="IF39" s="132">
        <f>IF(OR(IF$4="",$B39=""),0,SUMIF('DADOS BRUTOS'!$A$3:$A$500,$B39,'DADOS BRUTOS'!FF$3:FF$500)+IF($C39="",0,SUMIF('DADOS BRUTOS'!$A$3:$A$500,$C39,'DADOS BRUTOS'!FF$3:FF$500)))</f>
        <v/>
      </c>
      <c r="IG39" s="132">
        <f>IF(OR(IG$4="",$B39=""),0,SUMIF('DADOS BRUTOS'!$A$3:$A$500,$B39,'DADOS BRUTOS'!FG$3:FG$500)+IF($C39="",0,SUMIF('DADOS BRUTOS'!$A$3:$A$500,$C39,'DADOS BRUTOS'!FG$3:FG$500)))</f>
        <v/>
      </c>
      <c r="IH39" s="132">
        <f>IF(OR(IH$4="",$B39=""),0,SUMIF('DADOS BRUTOS'!$A$3:$A$500,$B39,'DADOS BRUTOS'!FH$3:FH$500)+IF($C39="",0,SUMIF('DADOS BRUTOS'!$A$3:$A$500,$C39,'DADOS BRUTOS'!FH$3:FH$500)))</f>
        <v/>
      </c>
      <c r="II39" s="132">
        <f>IF(OR(II$4="",$B39=""),0,SUMIF('DADOS BRUTOS'!$A$3:$A$500,$B39,'DADOS BRUTOS'!FI$3:FI$500)+IF($C39="",0,SUMIF('DADOS BRUTOS'!$A$3:$A$500,$C39,'DADOS BRUTOS'!FI$3:FI$500)))</f>
        <v/>
      </c>
      <c r="IJ39" s="132">
        <f>IF(OR(IJ$4="",$B39=""),0,SUMIF('DADOS BRUTOS'!$A$3:$A$500,$B39,'DADOS BRUTOS'!FJ$3:FJ$500)+IF($C39="",0,SUMIF('DADOS BRUTOS'!$A$3:$A$500,$C39,'DADOS BRUTOS'!FJ$3:FJ$500)))</f>
        <v/>
      </c>
      <c r="IK39" s="132">
        <f>IF(OR(IK$4="",$B39=""),0,SUMIF('DADOS BRUTOS'!$A$3:$A$500,$B39,'DADOS BRUTOS'!FK$3:FK$500)+IF($C39="",0,SUMIF('DADOS BRUTOS'!$A$3:$A$500,$C39,'DADOS BRUTOS'!FK$3:FK$500)))</f>
        <v/>
      </c>
      <c r="IL39" s="132">
        <f>IF(OR(IL$4="",$B39=""),0,SUMIF('DADOS BRUTOS'!$A$3:$A$500,$B39,'DADOS BRUTOS'!FL$3:FL$500)+IF($C39="",0,SUMIF('DADOS BRUTOS'!$A$3:$A$500,$C39,'DADOS BRUTOS'!FL$3:FL$500)))</f>
        <v/>
      </c>
      <c r="IM39" s="132">
        <f>IF(OR(IM$4="",$B39=""),0,SUMIF('DADOS BRUTOS'!$A$3:$A$500,$B39,'DADOS BRUTOS'!FM$3:FM$500)+IF($C39="",0,SUMIF('DADOS BRUTOS'!$A$3:$A$500,$C39,'DADOS BRUTOS'!FM$3:FM$500)))</f>
        <v/>
      </c>
      <c r="IN39" s="132">
        <f>IF(OR(IN$4="",$B39=""),0,SUMIF('DADOS BRUTOS'!$A$3:$A$500,$B39,'DADOS BRUTOS'!FN$3:FN$500)+IF($C39="",0,SUMIF('DADOS BRUTOS'!$A$3:$A$500,$C39,'DADOS BRUTOS'!FN$3:FN$500)))</f>
        <v/>
      </c>
      <c r="IO39" s="132">
        <f>IF(OR(IO$4="",$B39=""),0,SUMIF('DADOS BRUTOS'!$A$3:$A$500,$B39,'DADOS BRUTOS'!FO$3:FO$500)+IF($C39="",0,SUMIF('DADOS BRUTOS'!$A$3:$A$500,$C39,'DADOS BRUTOS'!FO$3:FO$500)))</f>
        <v/>
      </c>
      <c r="IP39" s="132">
        <f>IF(OR(IP$4="",$B39=""),0,SUMIF('DADOS BRUTOS'!$A$3:$A$500,$B39,'DADOS BRUTOS'!FP$3:FP$500)+IF($C39="",0,SUMIF('DADOS BRUTOS'!$A$3:$A$500,$C39,'DADOS BRUTOS'!FP$3:FP$500)))</f>
        <v/>
      </c>
      <c r="IQ39" s="132">
        <f>IF(OR(IQ$4="",$B39=""),0,SUMIF('DADOS BRUTOS'!$A$3:$A$500,$B39,'DADOS BRUTOS'!FQ$3:FQ$500)+IF($C39="",0,SUMIF('DADOS BRUTOS'!$A$3:$A$500,$C39,'DADOS BRUTOS'!FQ$3:FQ$500)))</f>
        <v/>
      </c>
      <c r="IR39" s="132">
        <f>IF(OR(IR$4="",$B39=""),0,SUMIF('DADOS BRUTOS'!$A$3:$A$500,$B39,'DADOS BRUTOS'!FR$3:FR$500)+IF($C39="",0,SUMIF('DADOS BRUTOS'!$A$3:$A$500,$C39,'DADOS BRUTOS'!FR$3:FR$500)))</f>
        <v/>
      </c>
      <c r="IS39" s="132">
        <f>IF(OR(IS$4="",$B39=""),0,SUMIF('DADOS BRUTOS'!$A$3:$A$500,$B39,'DADOS BRUTOS'!FS$3:FS$500)+IF($C39="",0,SUMIF('DADOS BRUTOS'!$A$3:$A$500,$C39,'DADOS BRUTOS'!FS$3:FS$500)))</f>
        <v/>
      </c>
      <c r="IT39" s="132">
        <f>IF(OR(IT$4="",$B39=""),0,SUMIF('DADOS BRUTOS'!$A$3:$A$500,$B39,'DADOS BRUTOS'!FT$3:FT$500)+IF($C39="",0,SUMIF('DADOS BRUTOS'!$A$3:$A$500,$C39,'DADOS BRUTOS'!FT$3:FT$500)))</f>
        <v/>
      </c>
      <c r="IU39" s="132">
        <f>IF(OR(IU$4="",$B39=""),0,SUMIF('DADOS BRUTOS'!$A$3:$A$500,$B39,'DADOS BRUTOS'!FU$3:FU$500)+IF($C39="",0,SUMIF('DADOS BRUTOS'!$A$3:$A$500,$C39,'DADOS BRUTOS'!FU$3:FU$500)))</f>
        <v/>
      </c>
      <c r="IV39" s="132">
        <f>IF(OR(IV$4="",$B39=""),0,SUMIF('DADOS BRUTOS'!$A$3:$A$500,$B39,'DADOS BRUTOS'!FV$3:FV$500)+IF($C39="",0,SUMIF('DADOS BRUTOS'!$A$3:$A$500,$C39,'DADOS BRUTOS'!FV$3:FV$500)))</f>
        <v/>
      </c>
      <c r="IW39" s="132">
        <f>IF(OR(IW$4="",$B39=""),0,SUMIF('DADOS BRUTOS'!$A$3:$A$500,$B39,'DADOS BRUTOS'!FW$3:FW$500)+IF($C39="",0,SUMIF('DADOS BRUTOS'!$A$3:$A$500,$C39,'DADOS BRUTOS'!FW$3:FW$500)))</f>
        <v/>
      </c>
      <c r="IX39" s="132">
        <f>IF(OR(IX$4="",$B39=""),0,SUMIF('DADOS BRUTOS'!$A$3:$A$500,$B39,'DADOS BRUTOS'!FX$3:FX$500)+IF($C39="",0,SUMIF('DADOS BRUTOS'!$A$3:$A$500,$C39,'DADOS BRUTOS'!FX$3:FX$500)))</f>
        <v/>
      </c>
      <c r="IY39" s="132">
        <f>IF(OR(IY$4="",$B39=""),0,SUMIF('DADOS BRUTOS'!$A$3:$A$500,$B39,'DADOS BRUTOS'!FY$3:FY$500)+IF($C39="",0,SUMIF('DADOS BRUTOS'!$A$3:$A$500,$C39,'DADOS BRUTOS'!FY$3:FY$500)))</f>
        <v/>
      </c>
      <c r="IZ39" s="132">
        <f>IF(OR(IZ$4="",$B39=""),0,SUMIF('DADOS BRUTOS'!$A$3:$A$500,$B39,'DADOS BRUTOS'!FZ$3:FZ$500)+IF($C39="",0,SUMIF('DADOS BRUTOS'!$A$3:$A$500,$C39,'DADOS BRUTOS'!FZ$3:FZ$500)))</f>
        <v/>
      </c>
      <c r="JA39" s="132">
        <f>IF(OR(JA$4="",$B39=""),0,SUMIF('DADOS BRUTOS'!$A$3:$A$500,$B39,'DADOS BRUTOS'!GA$3:GA$500)+IF($C39="",0,SUMIF('DADOS BRUTOS'!$A$3:$A$500,$C39,'DADOS BRUTOS'!GA$3:GA$500)))</f>
        <v/>
      </c>
      <c r="JB39" s="132">
        <f>IF(OR(JB$4="",$B39=""),0,SUMIF('DADOS BRUTOS'!$A$3:$A$500,$B39,'DADOS BRUTOS'!GB$3:GB$500)+IF($C39="",0,SUMIF('DADOS BRUTOS'!$A$3:$A$500,$C39,'DADOS BRUTOS'!GB$3:GB$500)))</f>
        <v/>
      </c>
      <c r="JC39" s="132">
        <f>IF(OR(JC$4="",$B39=""),0,SUMIF('DADOS BRUTOS'!$A$3:$A$500,$B39,'DADOS BRUTOS'!GC$3:GC$500)+IF($C39="",0,SUMIF('DADOS BRUTOS'!$A$3:$A$500,$C39,'DADOS BRUTOS'!GC$3:GC$500)))</f>
        <v/>
      </c>
      <c r="JD39" s="132">
        <f>IF(OR(JD$4="",$B39=""),0,SUMIF('DADOS BRUTOS'!$A$3:$A$500,$B39,'DADOS BRUTOS'!GD$3:GD$500)+IF($C39="",0,SUMIF('DADOS BRUTOS'!$A$3:$A$500,$C39,'DADOS BRUTOS'!GD$3:GD$500)))</f>
        <v/>
      </c>
      <c r="JE39" s="132">
        <f>IF(OR(JE$4="",$B39=""),0,SUMIF('DADOS BRUTOS'!$A$3:$A$500,$B39,'DADOS BRUTOS'!GE$3:GE$500)+IF($C39="",0,SUMIF('DADOS BRUTOS'!$A$3:$A$500,$C39,'DADOS BRUTOS'!GE$3:GE$500)))</f>
        <v/>
      </c>
      <c r="JF39" s="132">
        <f>IF(OR(JF$4="",$B39=""),0,SUMIF('DADOS BRUTOS'!$A$3:$A$500,$B39,'DADOS BRUTOS'!GF$3:GF$500)+IF($C39="",0,SUMIF('DADOS BRUTOS'!$A$3:$A$500,$C39,'DADOS BRUTOS'!GF$3:GF$500)))</f>
        <v/>
      </c>
      <c r="JG39" s="132">
        <f>IF(OR(JG$4="",$B39=""),0,SUMIF('DADOS BRUTOS'!$A$3:$A$500,$B39,'DADOS BRUTOS'!GG$3:GG$500)+IF($C39="",0,SUMIF('DADOS BRUTOS'!$A$3:$A$500,$C39,'DADOS BRUTOS'!GG$3:GG$500)))</f>
        <v/>
      </c>
      <c r="JH39" s="132">
        <f>IF(OR(JH$4="",$B39=""),0,SUMIF('DADOS BRUTOS'!$A$3:$A$500,$B39,'DADOS BRUTOS'!GH$3:GH$500)+IF($C39="",0,SUMIF('DADOS BRUTOS'!$A$3:$A$500,$C39,'DADOS BRUTOS'!GH$3:GH$500)))</f>
        <v/>
      </c>
      <c r="JI39" s="132">
        <f>IF(OR(JI$4="",$B39=""),0,SUMIF('DADOS BRUTOS'!$A$3:$A$500,$B39,'DADOS BRUTOS'!GI$3:GI$500)+IF($C39="",0,SUMIF('DADOS BRUTOS'!$A$3:$A$500,$C39,'DADOS BRUTOS'!GI$3:GI$500)))</f>
        <v/>
      </c>
      <c r="JJ39" s="132">
        <f>IF(OR(JJ$4="",$B39=""),0,SUMIF('DADOS BRUTOS'!$A$3:$A$500,$B39,'DADOS BRUTOS'!GJ$3:GJ$500)+IF($C39="",0,SUMIF('DADOS BRUTOS'!$A$3:$A$500,$C39,'DADOS BRUTOS'!GJ$3:GJ$500)))</f>
        <v/>
      </c>
      <c r="JK39" s="132">
        <f>IF(OR(JK$4="",$B39=""),0,SUMIF('DADOS BRUTOS'!$A$3:$A$500,$B39,'DADOS BRUTOS'!GK$3:GK$500)+IF($C39="",0,SUMIF('DADOS BRUTOS'!$A$3:$A$500,$C39,'DADOS BRUTOS'!GK$3:GK$500)))</f>
        <v/>
      </c>
      <c r="JL39" s="132">
        <f>IF(OR(JL$4="",$B39=""),0,SUMIF('DADOS BRUTOS'!$A$3:$A$500,$B39,'DADOS BRUTOS'!GL$3:GL$500)+IF($C39="",0,SUMIF('DADOS BRUTOS'!$A$3:$A$500,$C39,'DADOS BRUTOS'!GL$3:GL$500)))</f>
        <v/>
      </c>
      <c r="JM39" s="132">
        <f>IF(OR(JM$4="",$B39=""),0,SUMIF('DADOS BRUTOS'!$A$3:$A$500,$B39,'DADOS BRUTOS'!GM$3:GM$500)+IF($C39="",0,SUMIF('DADOS BRUTOS'!$A$3:$A$500,$C39,'DADOS BRUTOS'!GM$3:GM$500)))</f>
        <v/>
      </c>
      <c r="JN39" s="132">
        <f>IF(OR(JN$4="",$B39=""),0,SUMIF('DADOS BRUTOS'!$A$3:$A$500,$B39,'DADOS BRUTOS'!GN$3:GN$500)+IF($C39="",0,SUMIF('DADOS BRUTOS'!$A$3:$A$500,$C39,'DADOS BRUTOS'!GN$3:GN$500)))</f>
        <v/>
      </c>
      <c r="JO39" s="132">
        <f>IF(OR(JO$4="",$B39=""),0,SUMIF('DADOS BRUTOS'!$A$3:$A$500,$B39,'DADOS BRUTOS'!GO$3:GO$500)+IF($C39="",0,SUMIF('DADOS BRUTOS'!$A$3:$A$500,$C39,'DADOS BRUTOS'!GO$3:GO$500)))</f>
        <v/>
      </c>
      <c r="JP39" s="132">
        <f>IF(OR(JP$4="",$B39=""),0,SUMIF('DADOS BRUTOS'!$A$3:$A$500,$B39,'DADOS BRUTOS'!GP$3:GP$500)+IF($C39="",0,SUMIF('DADOS BRUTOS'!$A$3:$A$500,$C39,'DADOS BRUTOS'!GP$3:GP$500)))</f>
        <v/>
      </c>
      <c r="JQ39" s="132">
        <f>IF(OR(JQ$4="",$B39=""),0,SUMIF('DADOS BRUTOS'!$A$3:$A$500,$B39,'DADOS BRUTOS'!GQ$3:GQ$500)+IF($C39="",0,SUMIF('DADOS BRUTOS'!$A$3:$A$500,$C39,'DADOS BRUTOS'!GQ$3:GQ$500)))</f>
        <v/>
      </c>
      <c r="JR39" s="132">
        <f>IF(OR(JR$4="",$B39=""),0,SUMIF('DADOS BRUTOS'!$A$3:$A$500,$B39,'DADOS BRUTOS'!GR$3:GR$500)+IF($C39="",0,SUMIF('DADOS BRUTOS'!$A$3:$A$500,$C39,'DADOS BRUTOS'!GR$3:GR$500)))</f>
        <v/>
      </c>
      <c r="JS39" s="132">
        <f>IF(OR(JS$4="",$B39=""),0,SUMIF('DADOS BRUTOS'!$A$3:$A$500,$B39,'DADOS BRUTOS'!GS$3:GS$500)+IF($C39="",0,SUMIF('DADOS BRUTOS'!$A$3:$A$500,$C39,'DADOS BRUTOS'!GS$3:GS$500)))</f>
        <v/>
      </c>
    </row>
    <row r="40">
      <c r="A40" s="61">
        <f>'VALOR POR PL'!D46</f>
        <v/>
      </c>
      <c r="B40" s="59" t="inlineStr">
        <is>
          <t>PAISAGISMO</t>
        </is>
      </c>
      <c r="C40" s="59" t="n"/>
      <c r="D40" s="54">
        <f>SUMIF($CB$4:$JS$4,"&lt;="&amp;D$4,$CB40:$JS40)</f>
        <v/>
      </c>
      <c r="E40" s="54">
        <f>SUMIF($CB$4:$JS$4,E$4,$CB40:$JS40)</f>
        <v/>
      </c>
      <c r="F40" s="54">
        <f>SUMIF($CB$4:$JS$4,F$4,$CB40:$JS40)</f>
        <v/>
      </c>
      <c r="G40" s="54">
        <f>SUMIF($CB$4:$JS$4,G$4,$CB40:$JS40)</f>
        <v/>
      </c>
      <c r="H40" s="54">
        <f>SUMIF($CB$4:$JS$4,H$4,$CB40:$JS40)</f>
        <v/>
      </c>
      <c r="I40" s="54">
        <f>SUMIF($CB$4:$JS$4,I$4,$CB40:$JS40)</f>
        <v/>
      </c>
      <c r="J40" s="54">
        <f>SUMIF($CB$4:$JS$4,J$4,$CB40:$JS40)</f>
        <v/>
      </c>
      <c r="K40" s="54">
        <f>SUMIF($CB$4:$JS$4,K$4,$CB40:$JS40)</f>
        <v/>
      </c>
      <c r="L40" s="54">
        <f>SUMIF($CB$4:$JS$4,L$4,$CB40:$JS40)</f>
        <v/>
      </c>
      <c r="M40" s="54">
        <f>SUMIF($CB$4:$JS$4,M$4,$CB40:$JS40)</f>
        <v/>
      </c>
      <c r="N40" s="54">
        <f>SUMIF($CB$4:$JS$4,N$4,$CB40:$JS40)</f>
        <v/>
      </c>
      <c r="O40" s="54">
        <f>SUMIF($CB$4:$JS$4,O$4,$CB40:$JS40)</f>
        <v/>
      </c>
      <c r="P40" s="54">
        <f>SUMIF($CB$4:$JS$4,P$4,$CB40:$JS40)</f>
        <v/>
      </c>
      <c r="Q40" s="54">
        <f>SUMIF($CB$4:$JS$4,Q$4,$CB40:$JS40)</f>
        <v/>
      </c>
      <c r="R40" s="54">
        <f>SUMIF($CB$4:$JS$4,R$4,$CB40:$JS40)</f>
        <v/>
      </c>
      <c r="S40" s="54">
        <f>SUMIF($CB$4:$JS$4,S$4,$CB40:$JS40)</f>
        <v/>
      </c>
      <c r="T40" s="54">
        <f>SUMIF($CB$4:$JS$4,T$4,$CB40:$JS40)</f>
        <v/>
      </c>
      <c r="U40" s="54">
        <f>SUMIF($CB$4:$JS$4,U$4,$CB40:$JS40)</f>
        <v/>
      </c>
      <c r="V40" s="54">
        <f>SUMIF($CB$4:$JS$4,V$4,$CB40:$JS40)</f>
        <v/>
      </c>
      <c r="W40" s="54">
        <f>SUMIF($CB$4:$JS$4,W$4,$CB40:$JS40)</f>
        <v/>
      </c>
      <c r="X40" s="54">
        <f>SUMIF($CB$4:$JS$4,X$4,$CB40:$JS40)</f>
        <v/>
      </c>
      <c r="Y40" s="54">
        <f>SUMIF($CB$4:$JS$4,Y$4,$CB40:$JS40)</f>
        <v/>
      </c>
      <c r="Z40" s="54">
        <f>SUMIF($CB$4:$JS$4,Z$4,$CB40:$JS40)</f>
        <v/>
      </c>
      <c r="AA40" s="54">
        <f>SUMIF($CB$4:$JS$4,AA$4,$CB40:$JS40)</f>
        <v/>
      </c>
      <c r="AB40" s="54">
        <f>SUMIF($CB$4:$JS$4,AB$4,$CB40:$JS40)</f>
        <v/>
      </c>
      <c r="AC40" s="54">
        <f>SUMIF($CB$4:$JS$4,AC$4,$CB40:$JS40)</f>
        <v/>
      </c>
      <c r="AD40" s="54">
        <f>SUMIF($CB$4:$JS$4,AD$4,$CB40:$JS40)</f>
        <v/>
      </c>
      <c r="AE40" s="54">
        <f>SUMIF($CB$4:$JS$4,AE$4,$CB40:$JS40)</f>
        <v/>
      </c>
      <c r="AF40" s="54">
        <f>SUMIF($CB$4:$JS$4,AF$4,$CB40:$JS40)</f>
        <v/>
      </c>
      <c r="AG40" s="54">
        <f>SUMIF($CB$4:$JS$4,AG$4,$CB40:$JS40)</f>
        <v/>
      </c>
      <c r="AH40" s="54">
        <f>SUMIF($CB$4:$JS$4,AH$4,$CB40:$JS40)</f>
        <v/>
      </c>
      <c r="AI40" s="54">
        <f>SUMIF($CB$4:$JS$4,AI$4,$CB40:$JS40)</f>
        <v/>
      </c>
      <c r="AJ40" s="54">
        <f>SUMIF($CB$4:$JS$4,AJ$4,$CB40:$JS40)</f>
        <v/>
      </c>
      <c r="AK40" s="54">
        <f>SUMIF($CB$4:$JS$4,AK$4,$CB40:$JS40)</f>
        <v/>
      </c>
      <c r="AL40" s="54">
        <f>SUMIF($CB$4:$JS$4,AL$4,$CB40:$JS40)</f>
        <v/>
      </c>
      <c r="AM40" s="54">
        <f>SUMIF($CB$4:$JS$4,AM$4,$CB40:$JS40)</f>
        <v/>
      </c>
      <c r="AN40" s="54">
        <f>SUMIF($CB$4:$JS$4,AN$4,$CB40:$JS40)</f>
        <v/>
      </c>
      <c r="AO40" s="54">
        <f>SUMIF($CB$4:$JS$4,AO$4,$CB40:$JS40)</f>
        <v/>
      </c>
      <c r="AP40" s="54">
        <f>SUMIF($CB$4:$JS$4,AP$4,$CB40:$JS40)</f>
        <v/>
      </c>
      <c r="AQ40" s="54">
        <f>SUMIF($CB$4:$JS$4,AQ$4,$CB40:$JS40)</f>
        <v/>
      </c>
      <c r="AR40" s="54">
        <f>SUMIF($CB$4:$JS$4,AR$4,$CB40:$JS40)</f>
        <v/>
      </c>
      <c r="AS40" s="54">
        <f>SUMIF($CB$4:$JS$4,AS$4,$CB40:$JS40)</f>
        <v/>
      </c>
      <c r="AT40" s="54">
        <f>SUMIF($CB$4:$JS$4,AT$4,$CB40:$JS40)</f>
        <v/>
      </c>
      <c r="AU40" s="54">
        <f>SUMIF($CB$4:$JS$4,AU$4,$CB40:$JS40)</f>
        <v/>
      </c>
      <c r="AV40" s="54">
        <f>SUMIF($CB$4:$JS$4,AV$4,$CB40:$JS40)</f>
        <v/>
      </c>
      <c r="AW40" s="54">
        <f>SUMIF($CB$4:$JS$4,AW$4,$CB40:$JS40)</f>
        <v/>
      </c>
      <c r="AX40" s="54">
        <f>SUMIF($CB$4:$JS$4,AX$4,$CB40:$JS40)</f>
        <v/>
      </c>
      <c r="AY40" s="54">
        <f>SUMIF($CB$4:$JS$4,AY$4,$CB40:$JS40)</f>
        <v/>
      </c>
      <c r="AZ40" s="54">
        <f>SUMIF($CB$4:$JS$4,AZ$4,$CB40:$JS40)</f>
        <v/>
      </c>
      <c r="BA40" s="54">
        <f>SUMIF($CB$4:$JS$4,BA$4,$CB40:$JS40)</f>
        <v/>
      </c>
      <c r="BB40" s="54">
        <f>SUMIF($CB$4:$JS$4,BB$4,$CB40:$JS40)</f>
        <v/>
      </c>
      <c r="BC40" s="54">
        <f>SUMIF($CB$4:$JS$4,BC$4,$CB40:$JS40)</f>
        <v/>
      </c>
      <c r="BD40" s="54">
        <f>SUMIF($CB$4:$JS$4,BD$4,$CB40:$JS40)</f>
        <v/>
      </c>
      <c r="BE40" s="54">
        <f>SUMIF($CB$4:$JS$4,BE$4,$CB40:$JS40)</f>
        <v/>
      </c>
      <c r="BF40" s="54">
        <f>SUMIF($CB$4:$JS$4,BF$4,$CB40:$JS40)</f>
        <v/>
      </c>
      <c r="BG40" s="54">
        <f>SUMIF($CB$4:$JS$4,BG$4,$CB40:$JS40)</f>
        <v/>
      </c>
      <c r="BH40" s="54">
        <f>SUMIF($CB$4:$JS$4,BH$4,$CB40:$JS40)</f>
        <v/>
      </c>
      <c r="BI40" s="54">
        <f>SUMIF($CB$4:$JS$4,BI$4,$CB40:$JS40)</f>
        <v/>
      </c>
      <c r="BJ40" s="54">
        <f>SUMIF($CB$4:$JS$4,BJ$4,$CB40:$JS40)</f>
        <v/>
      </c>
      <c r="BK40" s="54">
        <f>SUMIF($CB$4:$JS$4,BK$4,$CB40:$JS40)</f>
        <v/>
      </c>
      <c r="BL40" s="54">
        <f>SUMIF($CB$4:$JS$4,BL$4,$CB40:$JS40)</f>
        <v/>
      </c>
      <c r="BM40" s="54">
        <f>SUMIF($CB$4:$JS$4,BM$4,$CB40:$JS40)</f>
        <v/>
      </c>
      <c r="BN40" s="54">
        <f>SUMIF($CB$4:$JS$4,BN$4,$CB40:$JS40)</f>
        <v/>
      </c>
      <c r="BO40" s="54">
        <f>SUMIF($CB$4:$JS$4,BO$4,$CB40:$JS40)</f>
        <v/>
      </c>
      <c r="BP40" s="54">
        <f>SUMIF($CB$4:$JS$4,BP$4,$CB40:$JS40)</f>
        <v/>
      </c>
      <c r="BQ40" s="54">
        <f>SUMIF($CB$4:$JS$4,BQ$4,$CB40:$JS40)</f>
        <v/>
      </c>
      <c r="BR40" s="54">
        <f>SUMIF($CB$4:$JS$4,BR$4,$CB40:$JS40)</f>
        <v/>
      </c>
      <c r="BS40" s="54">
        <f>SUMIF($CB$4:$JS$4,BS$4,$CB40:$JS40)</f>
        <v/>
      </c>
      <c r="BT40" s="54">
        <f>SUMIF($CB$4:$JS$4,BT$4,$CB40:$JS40)</f>
        <v/>
      </c>
      <c r="BU40" s="54">
        <f>SUMIF($CB$4:$JS$4,BU$4,$CB40:$JS40)</f>
        <v/>
      </c>
      <c r="BV40" s="54">
        <f>SUMIF($CB$4:$JS$4,BV$4,$CB40:$JS40)</f>
        <v/>
      </c>
      <c r="BW40" s="54">
        <f>SUMIF($CB$4:$JS$4,BW$4,$CB40:$JS40)</f>
        <v/>
      </c>
      <c r="BX40" s="54">
        <f>SUMIF($CB$4:$JS$4,"&gt;"&amp;'VALOR POR PL'!$P$8,$CB40:$JS40)</f>
        <v/>
      </c>
      <c r="BY40" s="54">
        <f>SUM($CB40:$JS40)</f>
        <v/>
      </c>
      <c r="BZ40" s="49">
        <f>SUMPRODUCT(($CB$4:$JS$4&lt;&gt;"")*($CB$4:$JS$4&lt;=$D$4),$CB40:$JS40,$CB$1:$JS$1)</f>
        <v/>
      </c>
      <c r="CB40" s="132">
        <f>IF(OR(CB$4="",$B40=""),0,SUMIF('DADOS BRUTOS'!$A$3:$A$500,$B40,'DADOS BRUTOS'!B$3:B$500)+IF($C40="",0,SUMIF('DADOS BRUTOS'!$A$3:$A$500,$C40,'DADOS BRUTOS'!B$3:B$500)))</f>
        <v/>
      </c>
      <c r="CC40" s="132">
        <f>IF(OR(CC$4="",$B40=""),0,SUMIF('DADOS BRUTOS'!$A$3:$A$500,$B40,'DADOS BRUTOS'!C$3:C$500)+IF($C40="",0,SUMIF('DADOS BRUTOS'!$A$3:$A$500,$C40,'DADOS BRUTOS'!C$3:C$500)))</f>
        <v/>
      </c>
      <c r="CD40" s="132">
        <f>IF(OR(CD$4="",$B40=""),0,SUMIF('DADOS BRUTOS'!$A$3:$A$500,$B40,'DADOS BRUTOS'!D$3:D$500)+IF($C40="",0,SUMIF('DADOS BRUTOS'!$A$3:$A$500,$C40,'DADOS BRUTOS'!D$3:D$500)))</f>
        <v/>
      </c>
      <c r="CE40" s="132">
        <f>IF(OR(CE$4="",$B40=""),0,SUMIF('DADOS BRUTOS'!$A$3:$A$500,$B40,'DADOS BRUTOS'!E$3:E$500)+IF($C40="",0,SUMIF('DADOS BRUTOS'!$A$3:$A$500,$C40,'DADOS BRUTOS'!E$3:E$500)))</f>
        <v/>
      </c>
      <c r="CF40" s="132">
        <f>IF(OR(CF$4="",$B40=""),0,SUMIF('DADOS BRUTOS'!$A$3:$A$500,$B40,'DADOS BRUTOS'!F$3:F$500)+IF($C40="",0,SUMIF('DADOS BRUTOS'!$A$3:$A$500,$C40,'DADOS BRUTOS'!F$3:F$500)))</f>
        <v/>
      </c>
      <c r="CG40" s="132">
        <f>IF(OR(CG$4="",$B40=""),0,SUMIF('DADOS BRUTOS'!$A$3:$A$500,$B40,'DADOS BRUTOS'!G$3:G$500)+IF($C40="",0,SUMIF('DADOS BRUTOS'!$A$3:$A$500,$C40,'DADOS BRUTOS'!G$3:G$500)))</f>
        <v/>
      </c>
      <c r="CH40" s="132">
        <f>IF(OR(CH$4="",$B40=""),0,SUMIF('DADOS BRUTOS'!$A$3:$A$500,$B40,'DADOS BRUTOS'!H$3:H$500)+IF($C40="",0,SUMIF('DADOS BRUTOS'!$A$3:$A$500,$C40,'DADOS BRUTOS'!H$3:H$500)))</f>
        <v/>
      </c>
      <c r="CI40" s="132">
        <f>IF(OR(CI$4="",$B40=""),0,SUMIF('DADOS BRUTOS'!$A$3:$A$500,$B40,'DADOS BRUTOS'!I$3:I$500)+IF($C40="",0,SUMIF('DADOS BRUTOS'!$A$3:$A$500,$C40,'DADOS BRUTOS'!I$3:I$500)))</f>
        <v/>
      </c>
      <c r="CJ40" s="132">
        <f>IF(OR(CJ$4="",$B40=""),0,SUMIF('DADOS BRUTOS'!$A$3:$A$500,$B40,'DADOS BRUTOS'!J$3:J$500)+IF($C40="",0,SUMIF('DADOS BRUTOS'!$A$3:$A$500,$C40,'DADOS BRUTOS'!J$3:J$500)))</f>
        <v/>
      </c>
      <c r="CK40" s="132">
        <f>IF(OR(CK$4="",$B40=""),0,SUMIF('DADOS BRUTOS'!$A$3:$A$500,$B40,'DADOS BRUTOS'!K$3:K$500)+IF($C40="",0,SUMIF('DADOS BRUTOS'!$A$3:$A$500,$C40,'DADOS BRUTOS'!K$3:K$500)))</f>
        <v/>
      </c>
      <c r="CL40" s="132">
        <f>IF(OR(CL$4="",$B40=""),0,SUMIF('DADOS BRUTOS'!$A$3:$A$500,$B40,'DADOS BRUTOS'!L$3:L$500)+IF($C40="",0,SUMIF('DADOS BRUTOS'!$A$3:$A$500,$C40,'DADOS BRUTOS'!L$3:L$500)))</f>
        <v/>
      </c>
      <c r="CM40" s="132">
        <f>IF(OR(CM$4="",$B40=""),0,SUMIF('DADOS BRUTOS'!$A$3:$A$500,$B40,'DADOS BRUTOS'!M$3:M$500)+IF($C40="",0,SUMIF('DADOS BRUTOS'!$A$3:$A$500,$C40,'DADOS BRUTOS'!M$3:M$500)))</f>
        <v/>
      </c>
      <c r="CN40" s="132">
        <f>IF(OR(CN$4="",$B40=""),0,SUMIF('DADOS BRUTOS'!$A$3:$A$500,$B40,'DADOS BRUTOS'!N$3:N$500)+IF($C40="",0,SUMIF('DADOS BRUTOS'!$A$3:$A$500,$C40,'DADOS BRUTOS'!N$3:N$500)))</f>
        <v/>
      </c>
      <c r="CO40" s="132">
        <f>IF(OR(CO$4="",$B40=""),0,SUMIF('DADOS BRUTOS'!$A$3:$A$500,$B40,'DADOS BRUTOS'!O$3:O$500)+IF($C40="",0,SUMIF('DADOS BRUTOS'!$A$3:$A$500,$C40,'DADOS BRUTOS'!O$3:O$500)))</f>
        <v/>
      </c>
      <c r="CP40" s="132">
        <f>IF(OR(CP$4="",$B40=""),0,SUMIF('DADOS BRUTOS'!$A$3:$A$500,$B40,'DADOS BRUTOS'!P$3:P$500)+IF($C40="",0,SUMIF('DADOS BRUTOS'!$A$3:$A$500,$C40,'DADOS BRUTOS'!P$3:P$500)))</f>
        <v/>
      </c>
      <c r="CQ40" s="132">
        <f>IF(OR(CQ$4="",$B40=""),0,SUMIF('DADOS BRUTOS'!$A$3:$A$500,$B40,'DADOS BRUTOS'!Q$3:Q$500)+IF($C40="",0,SUMIF('DADOS BRUTOS'!$A$3:$A$500,$C40,'DADOS BRUTOS'!Q$3:Q$500)))</f>
        <v/>
      </c>
      <c r="CR40" s="132">
        <f>IF(OR(CR$4="",$B40=""),0,SUMIF('DADOS BRUTOS'!$A$3:$A$500,$B40,'DADOS BRUTOS'!R$3:R$500)+IF($C40="",0,SUMIF('DADOS BRUTOS'!$A$3:$A$500,$C40,'DADOS BRUTOS'!R$3:R$500)))</f>
        <v/>
      </c>
      <c r="CS40" s="132">
        <f>IF(OR(CS$4="",$B40=""),0,SUMIF('DADOS BRUTOS'!$A$3:$A$500,$B40,'DADOS BRUTOS'!S$3:S$500)+IF($C40="",0,SUMIF('DADOS BRUTOS'!$A$3:$A$500,$C40,'DADOS BRUTOS'!S$3:S$500)))</f>
        <v/>
      </c>
      <c r="CT40" s="132">
        <f>IF(OR(CT$4="",$B40=""),0,SUMIF('DADOS BRUTOS'!$A$3:$A$500,$B40,'DADOS BRUTOS'!T$3:T$500)+IF($C40="",0,SUMIF('DADOS BRUTOS'!$A$3:$A$500,$C40,'DADOS BRUTOS'!T$3:T$500)))</f>
        <v/>
      </c>
      <c r="CU40" s="132">
        <f>IF(OR(CU$4="",$B40=""),0,SUMIF('DADOS BRUTOS'!$A$3:$A$500,$B40,'DADOS BRUTOS'!U$3:U$500)+IF($C40="",0,SUMIF('DADOS BRUTOS'!$A$3:$A$500,$C40,'DADOS BRUTOS'!U$3:U$500)))</f>
        <v/>
      </c>
      <c r="CV40" s="132">
        <f>IF(OR(CV$4="",$B40=""),0,SUMIF('DADOS BRUTOS'!$A$3:$A$500,$B40,'DADOS BRUTOS'!V$3:V$500)+IF($C40="",0,SUMIF('DADOS BRUTOS'!$A$3:$A$500,$C40,'DADOS BRUTOS'!V$3:V$500)))</f>
        <v/>
      </c>
      <c r="CW40" s="132">
        <f>IF(OR(CW$4="",$B40=""),0,SUMIF('DADOS BRUTOS'!$A$3:$A$500,$B40,'DADOS BRUTOS'!W$3:W$500)+IF($C40="",0,SUMIF('DADOS BRUTOS'!$A$3:$A$500,$C40,'DADOS BRUTOS'!W$3:W$500)))</f>
        <v/>
      </c>
      <c r="CX40" s="132">
        <f>IF(OR(CX$4="",$B40=""),0,SUMIF('DADOS BRUTOS'!$A$3:$A$500,$B40,'DADOS BRUTOS'!X$3:X$500)+IF($C40="",0,SUMIF('DADOS BRUTOS'!$A$3:$A$500,$C40,'DADOS BRUTOS'!X$3:X$500)))</f>
        <v/>
      </c>
      <c r="CY40" s="132">
        <f>IF(OR(CY$4="",$B40=""),0,SUMIF('DADOS BRUTOS'!$A$3:$A$500,$B40,'DADOS BRUTOS'!Y$3:Y$500)+IF($C40="",0,SUMIF('DADOS BRUTOS'!$A$3:$A$500,$C40,'DADOS BRUTOS'!Y$3:Y$500)))</f>
        <v/>
      </c>
      <c r="CZ40" s="132">
        <f>IF(OR(CZ$4="",$B40=""),0,SUMIF('DADOS BRUTOS'!$A$3:$A$500,$B40,'DADOS BRUTOS'!Z$3:Z$500)+IF($C40="",0,SUMIF('DADOS BRUTOS'!$A$3:$A$500,$C40,'DADOS BRUTOS'!Z$3:Z$500)))</f>
        <v/>
      </c>
      <c r="DA40" s="132">
        <f>IF(OR(DA$4="",$B40=""),0,SUMIF('DADOS BRUTOS'!$A$3:$A$500,$B40,'DADOS BRUTOS'!AA$3:AA$500)+IF($C40="",0,SUMIF('DADOS BRUTOS'!$A$3:$A$500,$C40,'DADOS BRUTOS'!AA$3:AA$500)))</f>
        <v/>
      </c>
      <c r="DB40" s="132">
        <f>IF(OR(DB$4="",$B40=""),0,SUMIF('DADOS BRUTOS'!$A$3:$A$500,$B40,'DADOS BRUTOS'!AB$3:AB$500)+IF($C40="",0,SUMIF('DADOS BRUTOS'!$A$3:$A$500,$C40,'DADOS BRUTOS'!AB$3:AB$500)))</f>
        <v/>
      </c>
      <c r="DC40" s="132">
        <f>IF(OR(DC$4="",$B40=""),0,SUMIF('DADOS BRUTOS'!$A$3:$A$500,$B40,'DADOS BRUTOS'!AC$3:AC$500)+IF($C40="",0,SUMIF('DADOS BRUTOS'!$A$3:$A$500,$C40,'DADOS BRUTOS'!AC$3:AC$500)))</f>
        <v/>
      </c>
      <c r="DD40" s="132">
        <f>IF(OR(DD$4="",$B40=""),0,SUMIF('DADOS BRUTOS'!$A$3:$A$500,$B40,'DADOS BRUTOS'!AD$3:AD$500)+IF($C40="",0,SUMIF('DADOS BRUTOS'!$A$3:$A$500,$C40,'DADOS BRUTOS'!AD$3:AD$500)))</f>
        <v/>
      </c>
      <c r="DE40" s="132">
        <f>IF(OR(DE$4="",$B40=""),0,SUMIF('DADOS BRUTOS'!$A$3:$A$500,$B40,'DADOS BRUTOS'!AE$3:AE$500)+IF($C40="",0,SUMIF('DADOS BRUTOS'!$A$3:$A$500,$C40,'DADOS BRUTOS'!AE$3:AE$500)))</f>
        <v/>
      </c>
      <c r="DF40" s="132">
        <f>IF(OR(DF$4="",$B40=""),0,SUMIF('DADOS BRUTOS'!$A$3:$A$500,$B40,'DADOS BRUTOS'!AF$3:AF$500)+IF($C40="",0,SUMIF('DADOS BRUTOS'!$A$3:$A$500,$C40,'DADOS BRUTOS'!AF$3:AF$500)))</f>
        <v/>
      </c>
      <c r="DG40" s="132">
        <f>IF(OR(DG$4="",$B40=""),0,SUMIF('DADOS BRUTOS'!$A$3:$A$500,$B40,'DADOS BRUTOS'!AG$3:AG$500)+IF($C40="",0,SUMIF('DADOS BRUTOS'!$A$3:$A$500,$C40,'DADOS BRUTOS'!AG$3:AG$500)))</f>
        <v/>
      </c>
      <c r="DH40" s="132">
        <f>IF(OR(DH$4="",$B40=""),0,SUMIF('DADOS BRUTOS'!$A$3:$A$500,$B40,'DADOS BRUTOS'!AH$3:AH$500)+IF($C40="",0,SUMIF('DADOS BRUTOS'!$A$3:$A$500,$C40,'DADOS BRUTOS'!AH$3:AH$500)))</f>
        <v/>
      </c>
      <c r="DI40" s="132">
        <f>IF(OR(DI$4="",$B40=""),0,SUMIF('DADOS BRUTOS'!$A$3:$A$500,$B40,'DADOS BRUTOS'!AI$3:AI$500)+IF($C40="",0,SUMIF('DADOS BRUTOS'!$A$3:$A$500,$C40,'DADOS BRUTOS'!AI$3:AI$500)))</f>
        <v/>
      </c>
      <c r="DJ40" s="132">
        <f>IF(OR(DJ$4="",$B40=""),0,SUMIF('DADOS BRUTOS'!$A$3:$A$500,$B40,'DADOS BRUTOS'!AJ$3:AJ$500)+IF($C40="",0,SUMIF('DADOS BRUTOS'!$A$3:$A$500,$C40,'DADOS BRUTOS'!AJ$3:AJ$500)))</f>
        <v/>
      </c>
      <c r="DK40" s="132">
        <f>IF(OR(DK$4="",$B40=""),0,SUMIF('DADOS BRUTOS'!$A$3:$A$500,$B40,'DADOS BRUTOS'!AK$3:AK$500)+IF($C40="",0,SUMIF('DADOS BRUTOS'!$A$3:$A$500,$C40,'DADOS BRUTOS'!AK$3:AK$500)))</f>
        <v/>
      </c>
      <c r="DL40" s="132">
        <f>IF(OR(DL$4="",$B40=""),0,SUMIF('DADOS BRUTOS'!$A$3:$A$500,$B40,'DADOS BRUTOS'!AL$3:AL$500)+IF($C40="",0,SUMIF('DADOS BRUTOS'!$A$3:$A$500,$C40,'DADOS BRUTOS'!AL$3:AL$500)))</f>
        <v/>
      </c>
      <c r="DM40" s="132">
        <f>IF(OR(DM$4="",$B40=""),0,SUMIF('DADOS BRUTOS'!$A$3:$A$500,$B40,'DADOS BRUTOS'!AM$3:AM$500)+IF($C40="",0,SUMIF('DADOS BRUTOS'!$A$3:$A$500,$C40,'DADOS BRUTOS'!AM$3:AM$500)))</f>
        <v/>
      </c>
      <c r="DN40" s="132">
        <f>IF(OR(DN$4="",$B40=""),0,SUMIF('DADOS BRUTOS'!$A$3:$A$500,$B40,'DADOS BRUTOS'!AN$3:AN$500)+IF($C40="",0,SUMIF('DADOS BRUTOS'!$A$3:$A$500,$C40,'DADOS BRUTOS'!AN$3:AN$500)))</f>
        <v/>
      </c>
      <c r="DO40" s="132">
        <f>IF(OR(DO$4="",$B40=""),0,SUMIF('DADOS BRUTOS'!$A$3:$A$500,$B40,'DADOS BRUTOS'!AO$3:AO$500)+IF($C40="",0,SUMIF('DADOS BRUTOS'!$A$3:$A$500,$C40,'DADOS BRUTOS'!AO$3:AO$500)))</f>
        <v/>
      </c>
      <c r="DP40" s="132">
        <f>IF(OR(DP$4="",$B40=""),0,SUMIF('DADOS BRUTOS'!$A$3:$A$500,$B40,'DADOS BRUTOS'!AP$3:AP$500)+IF($C40="",0,SUMIF('DADOS BRUTOS'!$A$3:$A$500,$C40,'DADOS BRUTOS'!AP$3:AP$500)))</f>
        <v/>
      </c>
      <c r="DQ40" s="132">
        <f>IF(OR(DQ$4="",$B40=""),0,SUMIF('DADOS BRUTOS'!$A$3:$A$500,$B40,'DADOS BRUTOS'!AQ$3:AQ$500)+IF($C40="",0,SUMIF('DADOS BRUTOS'!$A$3:$A$500,$C40,'DADOS BRUTOS'!AQ$3:AQ$500)))</f>
        <v/>
      </c>
      <c r="DR40" s="132">
        <f>IF(OR(DR$4="",$B40=""),0,SUMIF('DADOS BRUTOS'!$A$3:$A$500,$B40,'DADOS BRUTOS'!AR$3:AR$500)+IF($C40="",0,SUMIF('DADOS BRUTOS'!$A$3:$A$500,$C40,'DADOS BRUTOS'!AR$3:AR$500)))</f>
        <v/>
      </c>
      <c r="DS40" s="132">
        <f>IF(OR(DS$4="",$B40=""),0,SUMIF('DADOS BRUTOS'!$A$3:$A$500,$B40,'DADOS BRUTOS'!AS$3:AS$500)+IF($C40="",0,SUMIF('DADOS BRUTOS'!$A$3:$A$500,$C40,'DADOS BRUTOS'!AS$3:AS$500)))</f>
        <v/>
      </c>
      <c r="DT40" s="132">
        <f>IF(OR(DT$4="",$B40=""),0,SUMIF('DADOS BRUTOS'!$A$3:$A$500,$B40,'DADOS BRUTOS'!AT$3:AT$500)+IF($C40="",0,SUMIF('DADOS BRUTOS'!$A$3:$A$500,$C40,'DADOS BRUTOS'!AT$3:AT$500)))</f>
        <v/>
      </c>
      <c r="DU40" s="132">
        <f>IF(OR(DU$4="",$B40=""),0,SUMIF('DADOS BRUTOS'!$A$3:$A$500,$B40,'DADOS BRUTOS'!AU$3:AU$500)+IF($C40="",0,SUMIF('DADOS BRUTOS'!$A$3:$A$500,$C40,'DADOS BRUTOS'!AU$3:AU$500)))</f>
        <v/>
      </c>
      <c r="DV40" s="132">
        <f>IF(OR(DV$4="",$B40=""),0,SUMIF('DADOS BRUTOS'!$A$3:$A$500,$B40,'DADOS BRUTOS'!AV$3:AV$500)+IF($C40="",0,SUMIF('DADOS BRUTOS'!$A$3:$A$500,$C40,'DADOS BRUTOS'!AV$3:AV$500)))</f>
        <v/>
      </c>
      <c r="DW40" s="132">
        <f>IF(OR(DW$4="",$B40=""),0,SUMIF('DADOS BRUTOS'!$A$3:$A$500,$B40,'DADOS BRUTOS'!AW$3:AW$500)+IF($C40="",0,SUMIF('DADOS BRUTOS'!$A$3:$A$500,$C40,'DADOS BRUTOS'!AW$3:AW$500)))</f>
        <v/>
      </c>
      <c r="DX40" s="132">
        <f>IF(OR(DX$4="",$B40=""),0,SUMIF('DADOS BRUTOS'!$A$3:$A$500,$B40,'DADOS BRUTOS'!AX$3:AX$500)+IF($C40="",0,SUMIF('DADOS BRUTOS'!$A$3:$A$500,$C40,'DADOS BRUTOS'!AX$3:AX$500)))</f>
        <v/>
      </c>
      <c r="DY40" s="132">
        <f>IF(OR(DY$4="",$B40=""),0,SUMIF('DADOS BRUTOS'!$A$3:$A$500,$B40,'DADOS BRUTOS'!AY$3:AY$500)+IF($C40="",0,SUMIF('DADOS BRUTOS'!$A$3:$A$500,$C40,'DADOS BRUTOS'!AY$3:AY$500)))</f>
        <v/>
      </c>
      <c r="DZ40" s="132">
        <f>IF(OR(DZ$4="",$B40=""),0,SUMIF('DADOS BRUTOS'!$A$3:$A$500,$B40,'DADOS BRUTOS'!AZ$3:AZ$500)+IF($C40="",0,SUMIF('DADOS BRUTOS'!$A$3:$A$500,$C40,'DADOS BRUTOS'!AZ$3:AZ$500)))</f>
        <v/>
      </c>
      <c r="EA40" s="132">
        <f>IF(OR(EA$4="",$B40=""),0,SUMIF('DADOS BRUTOS'!$A$3:$A$500,$B40,'DADOS BRUTOS'!BA$3:BA$500)+IF($C40="",0,SUMIF('DADOS BRUTOS'!$A$3:$A$500,$C40,'DADOS BRUTOS'!BA$3:BA$500)))</f>
        <v/>
      </c>
      <c r="EB40" s="132">
        <f>IF(OR(EB$4="",$B40=""),0,SUMIF('DADOS BRUTOS'!$A$3:$A$500,$B40,'DADOS BRUTOS'!BB$3:BB$500)+IF($C40="",0,SUMIF('DADOS BRUTOS'!$A$3:$A$500,$C40,'DADOS BRUTOS'!BB$3:BB$500)))</f>
        <v/>
      </c>
      <c r="EC40" s="132">
        <f>IF(OR(EC$4="",$B40=""),0,SUMIF('DADOS BRUTOS'!$A$3:$A$500,$B40,'DADOS BRUTOS'!BC$3:BC$500)+IF($C40="",0,SUMIF('DADOS BRUTOS'!$A$3:$A$500,$C40,'DADOS BRUTOS'!BC$3:BC$500)))</f>
        <v/>
      </c>
      <c r="ED40" s="132">
        <f>IF(OR(ED$4="",$B40=""),0,SUMIF('DADOS BRUTOS'!$A$3:$A$500,$B40,'DADOS BRUTOS'!BD$3:BD$500)+IF($C40="",0,SUMIF('DADOS BRUTOS'!$A$3:$A$500,$C40,'DADOS BRUTOS'!BD$3:BD$500)))</f>
        <v/>
      </c>
      <c r="EE40" s="132">
        <f>IF(OR(EE$4="",$B40=""),0,SUMIF('DADOS BRUTOS'!$A$3:$A$500,$B40,'DADOS BRUTOS'!BE$3:BE$500)+IF($C40="",0,SUMIF('DADOS BRUTOS'!$A$3:$A$500,$C40,'DADOS BRUTOS'!BE$3:BE$500)))</f>
        <v/>
      </c>
      <c r="EF40" s="132">
        <f>IF(OR(EF$4="",$B40=""),0,SUMIF('DADOS BRUTOS'!$A$3:$A$500,$B40,'DADOS BRUTOS'!BF$3:BF$500)+IF($C40="",0,SUMIF('DADOS BRUTOS'!$A$3:$A$500,$C40,'DADOS BRUTOS'!BF$3:BF$500)))</f>
        <v/>
      </c>
      <c r="EG40" s="132">
        <f>IF(OR(EG$4="",$B40=""),0,SUMIF('DADOS BRUTOS'!$A$3:$A$500,$B40,'DADOS BRUTOS'!BG$3:BG$500)+IF($C40="",0,SUMIF('DADOS BRUTOS'!$A$3:$A$500,$C40,'DADOS BRUTOS'!BG$3:BG$500)))</f>
        <v/>
      </c>
      <c r="EH40" s="132">
        <f>IF(OR(EH$4="",$B40=""),0,SUMIF('DADOS BRUTOS'!$A$3:$A$500,$B40,'DADOS BRUTOS'!BH$3:BH$500)+IF($C40="",0,SUMIF('DADOS BRUTOS'!$A$3:$A$500,$C40,'DADOS BRUTOS'!BH$3:BH$500)))</f>
        <v/>
      </c>
      <c r="EI40" s="132">
        <f>IF(OR(EI$4="",$B40=""),0,SUMIF('DADOS BRUTOS'!$A$3:$A$500,$B40,'DADOS BRUTOS'!BI$3:BI$500)+IF($C40="",0,SUMIF('DADOS BRUTOS'!$A$3:$A$500,$C40,'DADOS BRUTOS'!BI$3:BI$500)))</f>
        <v/>
      </c>
      <c r="EJ40" s="132">
        <f>IF(OR(EJ$4="",$B40=""),0,SUMIF('DADOS BRUTOS'!$A$3:$A$500,$B40,'DADOS BRUTOS'!BJ$3:BJ$500)+IF($C40="",0,SUMIF('DADOS BRUTOS'!$A$3:$A$500,$C40,'DADOS BRUTOS'!BJ$3:BJ$500)))</f>
        <v/>
      </c>
      <c r="EK40" s="132">
        <f>IF(OR(EK$4="",$B40=""),0,SUMIF('DADOS BRUTOS'!$A$3:$A$500,$B40,'DADOS BRUTOS'!BK$3:BK$500)+IF($C40="",0,SUMIF('DADOS BRUTOS'!$A$3:$A$500,$C40,'DADOS BRUTOS'!BK$3:BK$500)))</f>
        <v/>
      </c>
      <c r="EL40" s="132">
        <f>IF(OR(EL$4="",$B40=""),0,SUMIF('DADOS BRUTOS'!$A$3:$A$500,$B40,'DADOS BRUTOS'!BL$3:BL$500)+IF($C40="",0,SUMIF('DADOS BRUTOS'!$A$3:$A$500,$C40,'DADOS BRUTOS'!BL$3:BL$500)))</f>
        <v/>
      </c>
      <c r="EM40" s="132">
        <f>IF(OR(EM$4="",$B40=""),0,SUMIF('DADOS BRUTOS'!$A$3:$A$500,$B40,'DADOS BRUTOS'!BM$3:BM$500)+IF($C40="",0,SUMIF('DADOS BRUTOS'!$A$3:$A$500,$C40,'DADOS BRUTOS'!BM$3:BM$500)))</f>
        <v/>
      </c>
      <c r="EN40" s="132">
        <f>IF(OR(EN$4="",$B40=""),0,SUMIF('DADOS BRUTOS'!$A$3:$A$500,$B40,'DADOS BRUTOS'!BN$3:BN$500)+IF($C40="",0,SUMIF('DADOS BRUTOS'!$A$3:$A$500,$C40,'DADOS BRUTOS'!BN$3:BN$500)))</f>
        <v/>
      </c>
      <c r="EO40" s="132">
        <f>IF(OR(EO$4="",$B40=""),0,SUMIF('DADOS BRUTOS'!$A$3:$A$500,$B40,'DADOS BRUTOS'!BO$3:BO$500)+IF($C40="",0,SUMIF('DADOS BRUTOS'!$A$3:$A$500,$C40,'DADOS BRUTOS'!BO$3:BO$500)))</f>
        <v/>
      </c>
      <c r="EP40" s="132">
        <f>IF(OR(EP$4="",$B40=""),0,SUMIF('DADOS BRUTOS'!$A$3:$A$500,$B40,'DADOS BRUTOS'!BP$3:BP$500)+IF($C40="",0,SUMIF('DADOS BRUTOS'!$A$3:$A$500,$C40,'DADOS BRUTOS'!BP$3:BP$500)))</f>
        <v/>
      </c>
      <c r="EQ40" s="132">
        <f>IF(OR(EQ$4="",$B40=""),0,SUMIF('DADOS BRUTOS'!$A$3:$A$500,$B40,'DADOS BRUTOS'!BQ$3:BQ$500)+IF($C40="",0,SUMIF('DADOS BRUTOS'!$A$3:$A$500,$C40,'DADOS BRUTOS'!BQ$3:BQ$500)))</f>
        <v/>
      </c>
      <c r="ER40" s="132">
        <f>IF(OR(ER$4="",$B40=""),0,SUMIF('DADOS BRUTOS'!$A$3:$A$500,$B40,'DADOS BRUTOS'!BR$3:BR$500)+IF($C40="",0,SUMIF('DADOS BRUTOS'!$A$3:$A$500,$C40,'DADOS BRUTOS'!BR$3:BR$500)))</f>
        <v/>
      </c>
      <c r="ES40" s="132">
        <f>IF(OR(ES$4="",$B40=""),0,SUMIF('DADOS BRUTOS'!$A$3:$A$500,$B40,'DADOS BRUTOS'!BS$3:BS$500)+IF($C40="",0,SUMIF('DADOS BRUTOS'!$A$3:$A$500,$C40,'DADOS BRUTOS'!BS$3:BS$500)))</f>
        <v/>
      </c>
      <c r="ET40" s="132">
        <f>IF(OR(ET$4="",$B40=""),0,SUMIF('DADOS BRUTOS'!$A$3:$A$500,$B40,'DADOS BRUTOS'!BT$3:BT$500)+IF($C40="",0,SUMIF('DADOS BRUTOS'!$A$3:$A$500,$C40,'DADOS BRUTOS'!BT$3:BT$500)))</f>
        <v/>
      </c>
      <c r="EU40" s="132">
        <f>IF(OR(EU$4="",$B40=""),0,SUMIF('DADOS BRUTOS'!$A$3:$A$500,$B40,'DADOS BRUTOS'!BU$3:BU$500)+IF($C40="",0,SUMIF('DADOS BRUTOS'!$A$3:$A$500,$C40,'DADOS BRUTOS'!BU$3:BU$500)))</f>
        <v/>
      </c>
      <c r="EV40" s="132">
        <f>IF(OR(EV$4="",$B40=""),0,SUMIF('DADOS BRUTOS'!$A$3:$A$500,$B40,'DADOS BRUTOS'!BV$3:BV$500)+IF($C40="",0,SUMIF('DADOS BRUTOS'!$A$3:$A$500,$C40,'DADOS BRUTOS'!BV$3:BV$500)))</f>
        <v/>
      </c>
      <c r="EW40" s="132">
        <f>IF(OR(EW$4="",$B40=""),0,SUMIF('DADOS BRUTOS'!$A$3:$A$500,$B40,'DADOS BRUTOS'!BW$3:BW$500)+IF($C40="",0,SUMIF('DADOS BRUTOS'!$A$3:$A$500,$C40,'DADOS BRUTOS'!BW$3:BW$500)))</f>
        <v/>
      </c>
      <c r="EX40" s="132">
        <f>IF(OR(EX$4="",$B40=""),0,SUMIF('DADOS BRUTOS'!$A$3:$A$500,$B40,'DADOS BRUTOS'!BX$3:BX$500)+IF($C40="",0,SUMIF('DADOS BRUTOS'!$A$3:$A$500,$C40,'DADOS BRUTOS'!BX$3:BX$500)))</f>
        <v/>
      </c>
      <c r="EY40" s="132">
        <f>IF(OR(EY$4="",$B40=""),0,SUMIF('DADOS BRUTOS'!$A$3:$A$500,$B40,'DADOS BRUTOS'!BY$3:BY$500)+IF($C40="",0,SUMIF('DADOS BRUTOS'!$A$3:$A$500,$C40,'DADOS BRUTOS'!BY$3:BY$500)))</f>
        <v/>
      </c>
      <c r="EZ40" s="132">
        <f>IF(OR(EZ$4="",$B40=""),0,SUMIF('DADOS BRUTOS'!$A$3:$A$500,$B40,'DADOS BRUTOS'!BZ$3:BZ$500)+IF($C40="",0,SUMIF('DADOS BRUTOS'!$A$3:$A$500,$C40,'DADOS BRUTOS'!BZ$3:BZ$500)))</f>
        <v/>
      </c>
      <c r="FA40" s="132">
        <f>IF(OR(FA$4="",$B40=""),0,SUMIF('DADOS BRUTOS'!$A$3:$A$500,$B40,'DADOS BRUTOS'!CA$3:CA$500)+IF($C40="",0,SUMIF('DADOS BRUTOS'!$A$3:$A$500,$C40,'DADOS BRUTOS'!CA$3:CA$500)))</f>
        <v/>
      </c>
      <c r="FB40" s="132">
        <f>IF(OR(FB$4="",$B40=""),0,SUMIF('DADOS BRUTOS'!$A$3:$A$500,$B40,'DADOS BRUTOS'!CB$3:CB$500)+IF($C40="",0,SUMIF('DADOS BRUTOS'!$A$3:$A$500,$C40,'DADOS BRUTOS'!CB$3:CB$500)))</f>
        <v/>
      </c>
      <c r="FC40" s="132">
        <f>IF(OR(FC$4="",$B40=""),0,SUMIF('DADOS BRUTOS'!$A$3:$A$500,$B40,'DADOS BRUTOS'!CC$3:CC$500)+IF($C40="",0,SUMIF('DADOS BRUTOS'!$A$3:$A$500,$C40,'DADOS BRUTOS'!CC$3:CC$500)))</f>
        <v/>
      </c>
      <c r="FD40" s="132">
        <f>IF(OR(FD$4="",$B40=""),0,SUMIF('DADOS BRUTOS'!$A$3:$A$500,$B40,'DADOS BRUTOS'!CD$3:CD$500)+IF($C40="",0,SUMIF('DADOS BRUTOS'!$A$3:$A$500,$C40,'DADOS BRUTOS'!CD$3:CD$500)))</f>
        <v/>
      </c>
      <c r="FE40" s="132">
        <f>IF(OR(FE$4="",$B40=""),0,SUMIF('DADOS BRUTOS'!$A$3:$A$500,$B40,'DADOS BRUTOS'!CE$3:CE$500)+IF($C40="",0,SUMIF('DADOS BRUTOS'!$A$3:$A$500,$C40,'DADOS BRUTOS'!CE$3:CE$500)))</f>
        <v/>
      </c>
      <c r="FF40" s="132">
        <f>IF(OR(FF$4="",$B40=""),0,SUMIF('DADOS BRUTOS'!$A$3:$A$500,$B40,'DADOS BRUTOS'!CF$3:CF$500)+IF($C40="",0,SUMIF('DADOS BRUTOS'!$A$3:$A$500,$C40,'DADOS BRUTOS'!CF$3:CF$500)))</f>
        <v/>
      </c>
      <c r="FG40" s="132">
        <f>IF(OR(FG$4="",$B40=""),0,SUMIF('DADOS BRUTOS'!$A$3:$A$500,$B40,'DADOS BRUTOS'!CG$3:CG$500)+IF($C40="",0,SUMIF('DADOS BRUTOS'!$A$3:$A$500,$C40,'DADOS BRUTOS'!CG$3:CG$500)))</f>
        <v/>
      </c>
      <c r="FH40" s="132">
        <f>IF(OR(FH$4="",$B40=""),0,SUMIF('DADOS BRUTOS'!$A$3:$A$500,$B40,'DADOS BRUTOS'!CH$3:CH$500)+IF($C40="",0,SUMIF('DADOS BRUTOS'!$A$3:$A$500,$C40,'DADOS BRUTOS'!CH$3:CH$500)))</f>
        <v/>
      </c>
      <c r="FI40" s="132">
        <f>IF(OR(FI$4="",$B40=""),0,SUMIF('DADOS BRUTOS'!$A$3:$A$500,$B40,'DADOS BRUTOS'!CI$3:CI$500)+IF($C40="",0,SUMIF('DADOS BRUTOS'!$A$3:$A$500,$C40,'DADOS BRUTOS'!CI$3:CI$500)))</f>
        <v/>
      </c>
      <c r="FJ40" s="132">
        <f>IF(OR(FJ$4="",$B40=""),0,SUMIF('DADOS BRUTOS'!$A$3:$A$500,$B40,'DADOS BRUTOS'!CJ$3:CJ$500)+IF($C40="",0,SUMIF('DADOS BRUTOS'!$A$3:$A$500,$C40,'DADOS BRUTOS'!CJ$3:CJ$500)))</f>
        <v/>
      </c>
      <c r="FK40" s="132">
        <f>IF(OR(FK$4="",$B40=""),0,SUMIF('DADOS BRUTOS'!$A$3:$A$500,$B40,'DADOS BRUTOS'!CK$3:CK$500)+IF($C40="",0,SUMIF('DADOS BRUTOS'!$A$3:$A$500,$C40,'DADOS BRUTOS'!CK$3:CK$500)))</f>
        <v/>
      </c>
      <c r="FL40" s="132">
        <f>IF(OR(FL$4="",$B40=""),0,SUMIF('DADOS BRUTOS'!$A$3:$A$500,$B40,'DADOS BRUTOS'!CL$3:CL$500)+IF($C40="",0,SUMIF('DADOS BRUTOS'!$A$3:$A$500,$C40,'DADOS BRUTOS'!CL$3:CL$500)))</f>
        <v/>
      </c>
      <c r="FM40" s="132">
        <f>IF(OR(FM$4="",$B40=""),0,SUMIF('DADOS BRUTOS'!$A$3:$A$500,$B40,'DADOS BRUTOS'!CM$3:CM$500)+IF($C40="",0,SUMIF('DADOS BRUTOS'!$A$3:$A$500,$C40,'DADOS BRUTOS'!CM$3:CM$500)))</f>
        <v/>
      </c>
      <c r="FN40" s="132">
        <f>IF(OR(FN$4="",$B40=""),0,SUMIF('DADOS BRUTOS'!$A$3:$A$500,$B40,'DADOS BRUTOS'!CN$3:CN$500)+IF($C40="",0,SUMIF('DADOS BRUTOS'!$A$3:$A$500,$C40,'DADOS BRUTOS'!CN$3:CN$500)))</f>
        <v/>
      </c>
      <c r="FO40" s="132">
        <f>IF(OR(FO$4="",$B40=""),0,SUMIF('DADOS BRUTOS'!$A$3:$A$500,$B40,'DADOS BRUTOS'!CO$3:CO$500)+IF($C40="",0,SUMIF('DADOS BRUTOS'!$A$3:$A$500,$C40,'DADOS BRUTOS'!CO$3:CO$500)))</f>
        <v/>
      </c>
      <c r="FP40" s="132">
        <f>IF(OR(FP$4="",$B40=""),0,SUMIF('DADOS BRUTOS'!$A$3:$A$500,$B40,'DADOS BRUTOS'!CP$3:CP$500)+IF($C40="",0,SUMIF('DADOS BRUTOS'!$A$3:$A$500,$C40,'DADOS BRUTOS'!CP$3:CP$500)))</f>
        <v/>
      </c>
      <c r="FQ40" s="132">
        <f>IF(OR(FQ$4="",$B40=""),0,SUMIF('DADOS BRUTOS'!$A$3:$A$500,$B40,'DADOS BRUTOS'!CQ$3:CQ$500)+IF($C40="",0,SUMIF('DADOS BRUTOS'!$A$3:$A$500,$C40,'DADOS BRUTOS'!CQ$3:CQ$500)))</f>
        <v/>
      </c>
      <c r="FR40" s="132">
        <f>IF(OR(FR$4="",$B40=""),0,SUMIF('DADOS BRUTOS'!$A$3:$A$500,$B40,'DADOS BRUTOS'!CR$3:CR$500)+IF($C40="",0,SUMIF('DADOS BRUTOS'!$A$3:$A$500,$C40,'DADOS BRUTOS'!CR$3:CR$500)))</f>
        <v/>
      </c>
      <c r="FS40" s="132">
        <f>IF(OR(FS$4="",$B40=""),0,SUMIF('DADOS BRUTOS'!$A$3:$A$500,$B40,'DADOS BRUTOS'!CS$3:CS$500)+IF($C40="",0,SUMIF('DADOS BRUTOS'!$A$3:$A$500,$C40,'DADOS BRUTOS'!CS$3:CS$500)))</f>
        <v/>
      </c>
      <c r="FT40" s="132">
        <f>IF(OR(FT$4="",$B40=""),0,SUMIF('DADOS BRUTOS'!$A$3:$A$500,$B40,'DADOS BRUTOS'!CT$3:CT$500)+IF($C40="",0,SUMIF('DADOS BRUTOS'!$A$3:$A$500,$C40,'DADOS BRUTOS'!CT$3:CT$500)))</f>
        <v/>
      </c>
      <c r="FU40" s="132">
        <f>IF(OR(FU$4="",$B40=""),0,SUMIF('DADOS BRUTOS'!$A$3:$A$500,$B40,'DADOS BRUTOS'!CU$3:CU$500)+IF($C40="",0,SUMIF('DADOS BRUTOS'!$A$3:$A$500,$C40,'DADOS BRUTOS'!CU$3:CU$500)))</f>
        <v/>
      </c>
      <c r="FV40" s="132">
        <f>IF(OR(FV$4="",$B40=""),0,SUMIF('DADOS BRUTOS'!$A$3:$A$500,$B40,'DADOS BRUTOS'!CV$3:CV$500)+IF($C40="",0,SUMIF('DADOS BRUTOS'!$A$3:$A$500,$C40,'DADOS BRUTOS'!CV$3:CV$500)))</f>
        <v/>
      </c>
      <c r="FW40" s="132">
        <f>IF(OR(FW$4="",$B40=""),0,SUMIF('DADOS BRUTOS'!$A$3:$A$500,$B40,'DADOS BRUTOS'!CW$3:CW$500)+IF($C40="",0,SUMIF('DADOS BRUTOS'!$A$3:$A$500,$C40,'DADOS BRUTOS'!CW$3:CW$500)))</f>
        <v/>
      </c>
      <c r="FX40" s="132">
        <f>IF(OR(FX$4="",$B40=""),0,SUMIF('DADOS BRUTOS'!$A$3:$A$500,$B40,'DADOS BRUTOS'!CX$3:CX$500)+IF($C40="",0,SUMIF('DADOS BRUTOS'!$A$3:$A$500,$C40,'DADOS BRUTOS'!CX$3:CX$500)))</f>
        <v/>
      </c>
      <c r="FY40" s="132">
        <f>IF(OR(FY$4="",$B40=""),0,SUMIF('DADOS BRUTOS'!$A$3:$A$500,$B40,'DADOS BRUTOS'!CY$3:CY$500)+IF($C40="",0,SUMIF('DADOS BRUTOS'!$A$3:$A$500,$C40,'DADOS BRUTOS'!CY$3:CY$500)))</f>
        <v/>
      </c>
      <c r="FZ40" s="132">
        <f>IF(OR(FZ$4="",$B40=""),0,SUMIF('DADOS BRUTOS'!$A$3:$A$500,$B40,'DADOS BRUTOS'!CZ$3:CZ$500)+IF($C40="",0,SUMIF('DADOS BRUTOS'!$A$3:$A$500,$C40,'DADOS BRUTOS'!CZ$3:CZ$500)))</f>
        <v/>
      </c>
      <c r="GA40" s="132">
        <f>IF(OR(GA$4="",$B40=""),0,SUMIF('DADOS BRUTOS'!$A$3:$A$500,$B40,'DADOS BRUTOS'!DA$3:DA$500)+IF($C40="",0,SUMIF('DADOS BRUTOS'!$A$3:$A$500,$C40,'DADOS BRUTOS'!DA$3:DA$500)))</f>
        <v/>
      </c>
      <c r="GB40" s="132">
        <f>IF(OR(GB$4="",$B40=""),0,SUMIF('DADOS BRUTOS'!$A$3:$A$500,$B40,'DADOS BRUTOS'!DB$3:DB$500)+IF($C40="",0,SUMIF('DADOS BRUTOS'!$A$3:$A$500,$C40,'DADOS BRUTOS'!DB$3:DB$500)))</f>
        <v/>
      </c>
      <c r="GC40" s="132">
        <f>IF(OR(GC$4="",$B40=""),0,SUMIF('DADOS BRUTOS'!$A$3:$A$500,$B40,'DADOS BRUTOS'!DC$3:DC$500)+IF($C40="",0,SUMIF('DADOS BRUTOS'!$A$3:$A$500,$C40,'DADOS BRUTOS'!DC$3:DC$500)))</f>
        <v/>
      </c>
      <c r="GD40" s="132">
        <f>IF(OR(GD$4="",$B40=""),0,SUMIF('DADOS BRUTOS'!$A$3:$A$500,$B40,'DADOS BRUTOS'!DD$3:DD$500)+IF($C40="",0,SUMIF('DADOS BRUTOS'!$A$3:$A$500,$C40,'DADOS BRUTOS'!DD$3:DD$500)))</f>
        <v/>
      </c>
      <c r="GE40" s="132">
        <f>IF(OR(GE$4="",$B40=""),0,SUMIF('DADOS BRUTOS'!$A$3:$A$500,$B40,'DADOS BRUTOS'!DE$3:DE$500)+IF($C40="",0,SUMIF('DADOS BRUTOS'!$A$3:$A$500,$C40,'DADOS BRUTOS'!DE$3:DE$500)))</f>
        <v/>
      </c>
      <c r="GF40" s="132">
        <f>IF(OR(GF$4="",$B40=""),0,SUMIF('DADOS BRUTOS'!$A$3:$A$500,$B40,'DADOS BRUTOS'!DF$3:DF$500)+IF($C40="",0,SUMIF('DADOS BRUTOS'!$A$3:$A$500,$C40,'DADOS BRUTOS'!DF$3:DF$500)))</f>
        <v/>
      </c>
      <c r="GG40" s="132">
        <f>IF(OR(GG$4="",$B40=""),0,SUMIF('DADOS BRUTOS'!$A$3:$A$500,$B40,'DADOS BRUTOS'!DG$3:DG$500)+IF($C40="",0,SUMIF('DADOS BRUTOS'!$A$3:$A$500,$C40,'DADOS BRUTOS'!DG$3:DG$500)))</f>
        <v/>
      </c>
      <c r="GH40" s="132">
        <f>IF(OR(GH$4="",$B40=""),0,SUMIF('DADOS BRUTOS'!$A$3:$A$500,$B40,'DADOS BRUTOS'!DH$3:DH$500)+IF($C40="",0,SUMIF('DADOS BRUTOS'!$A$3:$A$500,$C40,'DADOS BRUTOS'!DH$3:DH$500)))</f>
        <v/>
      </c>
      <c r="GI40" s="132">
        <f>IF(OR(GI$4="",$B40=""),0,SUMIF('DADOS BRUTOS'!$A$3:$A$500,$B40,'DADOS BRUTOS'!DI$3:DI$500)+IF($C40="",0,SUMIF('DADOS BRUTOS'!$A$3:$A$500,$C40,'DADOS BRUTOS'!DI$3:DI$500)))</f>
        <v/>
      </c>
      <c r="GJ40" s="132">
        <f>IF(OR(GJ$4="",$B40=""),0,SUMIF('DADOS BRUTOS'!$A$3:$A$500,$B40,'DADOS BRUTOS'!DJ$3:DJ$500)+IF($C40="",0,SUMIF('DADOS BRUTOS'!$A$3:$A$500,$C40,'DADOS BRUTOS'!DJ$3:DJ$500)))</f>
        <v/>
      </c>
      <c r="GK40" s="132">
        <f>IF(OR(GK$4="",$B40=""),0,SUMIF('DADOS BRUTOS'!$A$3:$A$500,$B40,'DADOS BRUTOS'!DK$3:DK$500)+IF($C40="",0,SUMIF('DADOS BRUTOS'!$A$3:$A$500,$C40,'DADOS BRUTOS'!DK$3:DK$500)))</f>
        <v/>
      </c>
      <c r="GL40" s="132">
        <f>IF(OR(GL$4="",$B40=""),0,SUMIF('DADOS BRUTOS'!$A$3:$A$500,$B40,'DADOS BRUTOS'!DL$3:DL$500)+IF($C40="",0,SUMIF('DADOS BRUTOS'!$A$3:$A$500,$C40,'DADOS BRUTOS'!DL$3:DL$500)))</f>
        <v/>
      </c>
      <c r="GM40" s="132">
        <f>IF(OR(GM$4="",$B40=""),0,SUMIF('DADOS BRUTOS'!$A$3:$A$500,$B40,'DADOS BRUTOS'!DM$3:DM$500)+IF($C40="",0,SUMIF('DADOS BRUTOS'!$A$3:$A$500,$C40,'DADOS BRUTOS'!DM$3:DM$500)))</f>
        <v/>
      </c>
      <c r="GN40" s="132">
        <f>IF(OR(GN$4="",$B40=""),0,SUMIF('DADOS BRUTOS'!$A$3:$A$500,$B40,'DADOS BRUTOS'!DN$3:DN$500)+IF($C40="",0,SUMIF('DADOS BRUTOS'!$A$3:$A$500,$C40,'DADOS BRUTOS'!DN$3:DN$500)))</f>
        <v/>
      </c>
      <c r="GO40" s="132">
        <f>IF(OR(GO$4="",$B40=""),0,SUMIF('DADOS BRUTOS'!$A$3:$A$500,$B40,'DADOS BRUTOS'!DO$3:DO$500)+IF($C40="",0,SUMIF('DADOS BRUTOS'!$A$3:$A$500,$C40,'DADOS BRUTOS'!DO$3:DO$500)))</f>
        <v/>
      </c>
      <c r="GP40" s="132">
        <f>IF(OR(GP$4="",$B40=""),0,SUMIF('DADOS BRUTOS'!$A$3:$A$500,$B40,'DADOS BRUTOS'!DP$3:DP$500)+IF($C40="",0,SUMIF('DADOS BRUTOS'!$A$3:$A$500,$C40,'DADOS BRUTOS'!DP$3:DP$500)))</f>
        <v/>
      </c>
      <c r="GQ40" s="132">
        <f>IF(OR(GQ$4="",$B40=""),0,SUMIF('DADOS BRUTOS'!$A$3:$A$500,$B40,'DADOS BRUTOS'!DQ$3:DQ$500)+IF($C40="",0,SUMIF('DADOS BRUTOS'!$A$3:$A$500,$C40,'DADOS BRUTOS'!DQ$3:DQ$500)))</f>
        <v/>
      </c>
      <c r="GR40" s="132">
        <f>IF(OR(GR$4="",$B40=""),0,SUMIF('DADOS BRUTOS'!$A$3:$A$500,$B40,'DADOS BRUTOS'!DR$3:DR$500)+IF($C40="",0,SUMIF('DADOS BRUTOS'!$A$3:$A$500,$C40,'DADOS BRUTOS'!DR$3:DR$500)))</f>
        <v/>
      </c>
      <c r="GS40" s="132">
        <f>IF(OR(GS$4="",$B40=""),0,SUMIF('DADOS BRUTOS'!$A$3:$A$500,$B40,'DADOS BRUTOS'!DS$3:DS$500)+IF($C40="",0,SUMIF('DADOS BRUTOS'!$A$3:$A$500,$C40,'DADOS BRUTOS'!DS$3:DS$500)))</f>
        <v/>
      </c>
      <c r="GT40" s="132">
        <f>IF(OR(GT$4="",$B40=""),0,SUMIF('DADOS BRUTOS'!$A$3:$A$500,$B40,'DADOS BRUTOS'!DT$3:DT$500)+IF($C40="",0,SUMIF('DADOS BRUTOS'!$A$3:$A$500,$C40,'DADOS BRUTOS'!DT$3:DT$500)))</f>
        <v/>
      </c>
      <c r="GU40" s="132">
        <f>IF(OR(GU$4="",$B40=""),0,SUMIF('DADOS BRUTOS'!$A$3:$A$500,$B40,'DADOS BRUTOS'!DU$3:DU$500)+IF($C40="",0,SUMIF('DADOS BRUTOS'!$A$3:$A$500,$C40,'DADOS BRUTOS'!DU$3:DU$500)))</f>
        <v/>
      </c>
      <c r="GV40" s="132">
        <f>IF(OR(GV$4="",$B40=""),0,SUMIF('DADOS BRUTOS'!$A$3:$A$500,$B40,'DADOS BRUTOS'!DV$3:DV$500)+IF($C40="",0,SUMIF('DADOS BRUTOS'!$A$3:$A$500,$C40,'DADOS BRUTOS'!DV$3:DV$500)))</f>
        <v/>
      </c>
      <c r="GW40" s="132">
        <f>IF(OR(GW$4="",$B40=""),0,SUMIF('DADOS BRUTOS'!$A$3:$A$500,$B40,'DADOS BRUTOS'!DW$3:DW$500)+IF($C40="",0,SUMIF('DADOS BRUTOS'!$A$3:$A$500,$C40,'DADOS BRUTOS'!DW$3:DW$500)))</f>
        <v/>
      </c>
      <c r="GX40" s="132">
        <f>IF(OR(GX$4="",$B40=""),0,SUMIF('DADOS BRUTOS'!$A$3:$A$500,$B40,'DADOS BRUTOS'!DX$3:DX$500)+IF($C40="",0,SUMIF('DADOS BRUTOS'!$A$3:$A$500,$C40,'DADOS BRUTOS'!DX$3:DX$500)))</f>
        <v/>
      </c>
      <c r="GY40" s="132">
        <f>IF(OR(GY$4="",$B40=""),0,SUMIF('DADOS BRUTOS'!$A$3:$A$500,$B40,'DADOS BRUTOS'!DY$3:DY$500)+IF($C40="",0,SUMIF('DADOS BRUTOS'!$A$3:$A$500,$C40,'DADOS BRUTOS'!DY$3:DY$500)))</f>
        <v/>
      </c>
      <c r="GZ40" s="132">
        <f>IF(OR(GZ$4="",$B40=""),0,SUMIF('DADOS BRUTOS'!$A$3:$A$500,$B40,'DADOS BRUTOS'!DZ$3:DZ$500)+IF($C40="",0,SUMIF('DADOS BRUTOS'!$A$3:$A$500,$C40,'DADOS BRUTOS'!DZ$3:DZ$500)))</f>
        <v/>
      </c>
      <c r="HA40" s="132">
        <f>IF(OR(HA$4="",$B40=""),0,SUMIF('DADOS BRUTOS'!$A$3:$A$500,$B40,'DADOS BRUTOS'!EA$3:EA$500)+IF($C40="",0,SUMIF('DADOS BRUTOS'!$A$3:$A$500,$C40,'DADOS BRUTOS'!EA$3:EA$500)))</f>
        <v/>
      </c>
      <c r="HB40" s="132">
        <f>IF(OR(HB$4="",$B40=""),0,SUMIF('DADOS BRUTOS'!$A$3:$A$500,$B40,'DADOS BRUTOS'!EB$3:EB$500)+IF($C40="",0,SUMIF('DADOS BRUTOS'!$A$3:$A$500,$C40,'DADOS BRUTOS'!EB$3:EB$500)))</f>
        <v/>
      </c>
      <c r="HC40" s="132">
        <f>IF(OR(HC$4="",$B40=""),0,SUMIF('DADOS BRUTOS'!$A$3:$A$500,$B40,'DADOS BRUTOS'!EC$3:EC$500)+IF($C40="",0,SUMIF('DADOS BRUTOS'!$A$3:$A$500,$C40,'DADOS BRUTOS'!EC$3:EC$500)))</f>
        <v/>
      </c>
      <c r="HD40" s="132">
        <f>IF(OR(HD$4="",$B40=""),0,SUMIF('DADOS BRUTOS'!$A$3:$A$500,$B40,'DADOS BRUTOS'!ED$3:ED$500)+IF($C40="",0,SUMIF('DADOS BRUTOS'!$A$3:$A$500,$C40,'DADOS BRUTOS'!ED$3:ED$500)))</f>
        <v/>
      </c>
      <c r="HE40" s="132">
        <f>IF(OR(HE$4="",$B40=""),0,SUMIF('DADOS BRUTOS'!$A$3:$A$500,$B40,'DADOS BRUTOS'!EE$3:EE$500)+IF($C40="",0,SUMIF('DADOS BRUTOS'!$A$3:$A$500,$C40,'DADOS BRUTOS'!EE$3:EE$500)))</f>
        <v/>
      </c>
      <c r="HF40" s="132">
        <f>IF(OR(HF$4="",$B40=""),0,SUMIF('DADOS BRUTOS'!$A$3:$A$500,$B40,'DADOS BRUTOS'!EF$3:EF$500)+IF($C40="",0,SUMIF('DADOS BRUTOS'!$A$3:$A$500,$C40,'DADOS BRUTOS'!EF$3:EF$500)))</f>
        <v/>
      </c>
      <c r="HG40" s="132">
        <f>IF(OR(HG$4="",$B40=""),0,SUMIF('DADOS BRUTOS'!$A$3:$A$500,$B40,'DADOS BRUTOS'!EG$3:EG$500)+IF($C40="",0,SUMIF('DADOS BRUTOS'!$A$3:$A$500,$C40,'DADOS BRUTOS'!EG$3:EG$500)))</f>
        <v/>
      </c>
      <c r="HH40" s="132">
        <f>IF(OR(HH$4="",$B40=""),0,SUMIF('DADOS BRUTOS'!$A$3:$A$500,$B40,'DADOS BRUTOS'!EH$3:EH$500)+IF($C40="",0,SUMIF('DADOS BRUTOS'!$A$3:$A$500,$C40,'DADOS BRUTOS'!EH$3:EH$500)))</f>
        <v/>
      </c>
      <c r="HI40" s="132">
        <f>IF(OR(HI$4="",$B40=""),0,SUMIF('DADOS BRUTOS'!$A$3:$A$500,$B40,'DADOS BRUTOS'!EI$3:EI$500)+IF($C40="",0,SUMIF('DADOS BRUTOS'!$A$3:$A$500,$C40,'DADOS BRUTOS'!EI$3:EI$500)))</f>
        <v/>
      </c>
      <c r="HJ40" s="132">
        <f>IF(OR(HJ$4="",$B40=""),0,SUMIF('DADOS BRUTOS'!$A$3:$A$500,$B40,'DADOS BRUTOS'!EJ$3:EJ$500)+IF($C40="",0,SUMIF('DADOS BRUTOS'!$A$3:$A$500,$C40,'DADOS BRUTOS'!EJ$3:EJ$500)))</f>
        <v/>
      </c>
      <c r="HK40" s="132">
        <f>IF(OR(HK$4="",$B40=""),0,SUMIF('DADOS BRUTOS'!$A$3:$A$500,$B40,'DADOS BRUTOS'!EK$3:EK$500)+IF($C40="",0,SUMIF('DADOS BRUTOS'!$A$3:$A$500,$C40,'DADOS BRUTOS'!EK$3:EK$500)))</f>
        <v/>
      </c>
      <c r="HL40" s="132">
        <f>IF(OR(HL$4="",$B40=""),0,SUMIF('DADOS BRUTOS'!$A$3:$A$500,$B40,'DADOS BRUTOS'!EL$3:EL$500)+IF($C40="",0,SUMIF('DADOS BRUTOS'!$A$3:$A$500,$C40,'DADOS BRUTOS'!EL$3:EL$500)))</f>
        <v/>
      </c>
      <c r="HM40" s="132">
        <f>IF(OR(HM$4="",$B40=""),0,SUMIF('DADOS BRUTOS'!$A$3:$A$500,$B40,'DADOS BRUTOS'!EM$3:EM$500)+IF($C40="",0,SUMIF('DADOS BRUTOS'!$A$3:$A$500,$C40,'DADOS BRUTOS'!EM$3:EM$500)))</f>
        <v/>
      </c>
      <c r="HN40" s="132">
        <f>IF(OR(HN$4="",$B40=""),0,SUMIF('DADOS BRUTOS'!$A$3:$A$500,$B40,'DADOS BRUTOS'!EN$3:EN$500)+IF($C40="",0,SUMIF('DADOS BRUTOS'!$A$3:$A$500,$C40,'DADOS BRUTOS'!EN$3:EN$500)))</f>
        <v/>
      </c>
      <c r="HO40" s="132">
        <f>IF(OR(HO$4="",$B40=""),0,SUMIF('DADOS BRUTOS'!$A$3:$A$500,$B40,'DADOS BRUTOS'!EO$3:EO$500)+IF($C40="",0,SUMIF('DADOS BRUTOS'!$A$3:$A$500,$C40,'DADOS BRUTOS'!EO$3:EO$500)))</f>
        <v/>
      </c>
      <c r="HP40" s="132">
        <f>IF(OR(HP$4="",$B40=""),0,SUMIF('DADOS BRUTOS'!$A$3:$A$500,$B40,'DADOS BRUTOS'!EP$3:EP$500)+IF($C40="",0,SUMIF('DADOS BRUTOS'!$A$3:$A$500,$C40,'DADOS BRUTOS'!EP$3:EP$500)))</f>
        <v/>
      </c>
      <c r="HQ40" s="132">
        <f>IF(OR(HQ$4="",$B40=""),0,SUMIF('DADOS BRUTOS'!$A$3:$A$500,$B40,'DADOS BRUTOS'!EQ$3:EQ$500)+IF($C40="",0,SUMIF('DADOS BRUTOS'!$A$3:$A$500,$C40,'DADOS BRUTOS'!EQ$3:EQ$500)))</f>
        <v/>
      </c>
      <c r="HR40" s="132">
        <f>IF(OR(HR$4="",$B40=""),0,SUMIF('DADOS BRUTOS'!$A$3:$A$500,$B40,'DADOS BRUTOS'!ER$3:ER$500)+IF($C40="",0,SUMIF('DADOS BRUTOS'!$A$3:$A$500,$C40,'DADOS BRUTOS'!ER$3:ER$500)))</f>
        <v/>
      </c>
      <c r="HS40" s="132">
        <f>IF(OR(HS$4="",$B40=""),0,SUMIF('DADOS BRUTOS'!$A$3:$A$500,$B40,'DADOS BRUTOS'!ES$3:ES$500)+IF($C40="",0,SUMIF('DADOS BRUTOS'!$A$3:$A$500,$C40,'DADOS BRUTOS'!ES$3:ES$500)))</f>
        <v/>
      </c>
      <c r="HT40" s="132">
        <f>IF(OR(HT$4="",$B40=""),0,SUMIF('DADOS BRUTOS'!$A$3:$A$500,$B40,'DADOS BRUTOS'!ET$3:ET$500)+IF($C40="",0,SUMIF('DADOS BRUTOS'!$A$3:$A$500,$C40,'DADOS BRUTOS'!ET$3:ET$500)))</f>
        <v/>
      </c>
      <c r="HU40" s="132">
        <f>IF(OR(HU$4="",$B40=""),0,SUMIF('DADOS BRUTOS'!$A$3:$A$500,$B40,'DADOS BRUTOS'!EU$3:EU$500)+IF($C40="",0,SUMIF('DADOS BRUTOS'!$A$3:$A$500,$C40,'DADOS BRUTOS'!EU$3:EU$500)))</f>
        <v/>
      </c>
      <c r="HV40" s="132">
        <f>IF(OR(HV$4="",$B40=""),0,SUMIF('DADOS BRUTOS'!$A$3:$A$500,$B40,'DADOS BRUTOS'!EV$3:EV$500)+IF($C40="",0,SUMIF('DADOS BRUTOS'!$A$3:$A$500,$C40,'DADOS BRUTOS'!EV$3:EV$500)))</f>
        <v/>
      </c>
      <c r="HW40" s="132">
        <f>IF(OR(HW$4="",$B40=""),0,SUMIF('DADOS BRUTOS'!$A$3:$A$500,$B40,'DADOS BRUTOS'!EW$3:EW$500)+IF($C40="",0,SUMIF('DADOS BRUTOS'!$A$3:$A$500,$C40,'DADOS BRUTOS'!EW$3:EW$500)))</f>
        <v/>
      </c>
      <c r="HX40" s="132">
        <f>IF(OR(HX$4="",$B40=""),0,SUMIF('DADOS BRUTOS'!$A$3:$A$500,$B40,'DADOS BRUTOS'!EX$3:EX$500)+IF($C40="",0,SUMIF('DADOS BRUTOS'!$A$3:$A$500,$C40,'DADOS BRUTOS'!EX$3:EX$500)))</f>
        <v/>
      </c>
      <c r="HY40" s="132">
        <f>IF(OR(HY$4="",$B40=""),0,SUMIF('DADOS BRUTOS'!$A$3:$A$500,$B40,'DADOS BRUTOS'!EY$3:EY$500)+IF($C40="",0,SUMIF('DADOS BRUTOS'!$A$3:$A$500,$C40,'DADOS BRUTOS'!EY$3:EY$500)))</f>
        <v/>
      </c>
      <c r="HZ40" s="132">
        <f>IF(OR(HZ$4="",$B40=""),0,SUMIF('DADOS BRUTOS'!$A$3:$A$500,$B40,'DADOS BRUTOS'!EZ$3:EZ$500)+IF($C40="",0,SUMIF('DADOS BRUTOS'!$A$3:$A$500,$C40,'DADOS BRUTOS'!EZ$3:EZ$500)))</f>
        <v/>
      </c>
      <c r="IA40" s="132">
        <f>IF(OR(IA$4="",$B40=""),0,SUMIF('DADOS BRUTOS'!$A$3:$A$500,$B40,'DADOS BRUTOS'!FA$3:FA$500)+IF($C40="",0,SUMIF('DADOS BRUTOS'!$A$3:$A$500,$C40,'DADOS BRUTOS'!FA$3:FA$500)))</f>
        <v/>
      </c>
      <c r="IB40" s="132">
        <f>IF(OR(IB$4="",$B40=""),0,SUMIF('DADOS BRUTOS'!$A$3:$A$500,$B40,'DADOS BRUTOS'!FB$3:FB$500)+IF($C40="",0,SUMIF('DADOS BRUTOS'!$A$3:$A$500,$C40,'DADOS BRUTOS'!FB$3:FB$500)))</f>
        <v/>
      </c>
      <c r="IC40" s="132">
        <f>IF(OR(IC$4="",$B40=""),0,SUMIF('DADOS BRUTOS'!$A$3:$A$500,$B40,'DADOS BRUTOS'!FC$3:FC$500)+IF($C40="",0,SUMIF('DADOS BRUTOS'!$A$3:$A$500,$C40,'DADOS BRUTOS'!FC$3:FC$500)))</f>
        <v/>
      </c>
      <c r="ID40" s="132">
        <f>IF(OR(ID$4="",$B40=""),0,SUMIF('DADOS BRUTOS'!$A$3:$A$500,$B40,'DADOS BRUTOS'!FD$3:FD$500)+IF($C40="",0,SUMIF('DADOS BRUTOS'!$A$3:$A$500,$C40,'DADOS BRUTOS'!FD$3:FD$500)))</f>
        <v/>
      </c>
      <c r="IE40" s="132">
        <f>IF(OR(IE$4="",$B40=""),0,SUMIF('DADOS BRUTOS'!$A$3:$A$500,$B40,'DADOS BRUTOS'!FE$3:FE$500)+IF($C40="",0,SUMIF('DADOS BRUTOS'!$A$3:$A$500,$C40,'DADOS BRUTOS'!FE$3:FE$500)))</f>
        <v/>
      </c>
      <c r="IF40" s="132">
        <f>IF(OR(IF$4="",$B40=""),0,SUMIF('DADOS BRUTOS'!$A$3:$A$500,$B40,'DADOS BRUTOS'!FF$3:FF$500)+IF($C40="",0,SUMIF('DADOS BRUTOS'!$A$3:$A$500,$C40,'DADOS BRUTOS'!FF$3:FF$500)))</f>
        <v/>
      </c>
      <c r="IG40" s="132">
        <f>IF(OR(IG$4="",$B40=""),0,SUMIF('DADOS BRUTOS'!$A$3:$A$500,$B40,'DADOS BRUTOS'!FG$3:FG$500)+IF($C40="",0,SUMIF('DADOS BRUTOS'!$A$3:$A$500,$C40,'DADOS BRUTOS'!FG$3:FG$500)))</f>
        <v/>
      </c>
      <c r="IH40" s="132">
        <f>IF(OR(IH$4="",$B40=""),0,SUMIF('DADOS BRUTOS'!$A$3:$A$500,$B40,'DADOS BRUTOS'!FH$3:FH$500)+IF($C40="",0,SUMIF('DADOS BRUTOS'!$A$3:$A$500,$C40,'DADOS BRUTOS'!FH$3:FH$500)))</f>
        <v/>
      </c>
      <c r="II40" s="132">
        <f>IF(OR(II$4="",$B40=""),0,SUMIF('DADOS BRUTOS'!$A$3:$A$500,$B40,'DADOS BRUTOS'!FI$3:FI$500)+IF($C40="",0,SUMIF('DADOS BRUTOS'!$A$3:$A$500,$C40,'DADOS BRUTOS'!FI$3:FI$500)))</f>
        <v/>
      </c>
      <c r="IJ40" s="132">
        <f>IF(OR(IJ$4="",$B40=""),0,SUMIF('DADOS BRUTOS'!$A$3:$A$500,$B40,'DADOS BRUTOS'!FJ$3:FJ$500)+IF($C40="",0,SUMIF('DADOS BRUTOS'!$A$3:$A$500,$C40,'DADOS BRUTOS'!FJ$3:FJ$500)))</f>
        <v/>
      </c>
      <c r="IK40" s="132">
        <f>IF(OR(IK$4="",$B40=""),0,SUMIF('DADOS BRUTOS'!$A$3:$A$500,$B40,'DADOS BRUTOS'!FK$3:FK$500)+IF($C40="",0,SUMIF('DADOS BRUTOS'!$A$3:$A$500,$C40,'DADOS BRUTOS'!FK$3:FK$500)))</f>
        <v/>
      </c>
      <c r="IL40" s="132">
        <f>IF(OR(IL$4="",$B40=""),0,SUMIF('DADOS BRUTOS'!$A$3:$A$500,$B40,'DADOS BRUTOS'!FL$3:FL$500)+IF($C40="",0,SUMIF('DADOS BRUTOS'!$A$3:$A$500,$C40,'DADOS BRUTOS'!FL$3:FL$500)))</f>
        <v/>
      </c>
      <c r="IM40" s="132">
        <f>IF(OR(IM$4="",$B40=""),0,SUMIF('DADOS BRUTOS'!$A$3:$A$500,$B40,'DADOS BRUTOS'!FM$3:FM$500)+IF($C40="",0,SUMIF('DADOS BRUTOS'!$A$3:$A$500,$C40,'DADOS BRUTOS'!FM$3:FM$500)))</f>
        <v/>
      </c>
      <c r="IN40" s="132">
        <f>IF(OR(IN$4="",$B40=""),0,SUMIF('DADOS BRUTOS'!$A$3:$A$500,$B40,'DADOS BRUTOS'!FN$3:FN$500)+IF($C40="",0,SUMIF('DADOS BRUTOS'!$A$3:$A$500,$C40,'DADOS BRUTOS'!FN$3:FN$500)))</f>
        <v/>
      </c>
      <c r="IO40" s="132">
        <f>IF(OR(IO$4="",$B40=""),0,SUMIF('DADOS BRUTOS'!$A$3:$A$500,$B40,'DADOS BRUTOS'!FO$3:FO$500)+IF($C40="",0,SUMIF('DADOS BRUTOS'!$A$3:$A$500,$C40,'DADOS BRUTOS'!FO$3:FO$500)))</f>
        <v/>
      </c>
      <c r="IP40" s="132">
        <f>IF(OR(IP$4="",$B40=""),0,SUMIF('DADOS BRUTOS'!$A$3:$A$500,$B40,'DADOS BRUTOS'!FP$3:FP$500)+IF($C40="",0,SUMIF('DADOS BRUTOS'!$A$3:$A$500,$C40,'DADOS BRUTOS'!FP$3:FP$500)))</f>
        <v/>
      </c>
      <c r="IQ40" s="132">
        <f>IF(OR(IQ$4="",$B40=""),0,SUMIF('DADOS BRUTOS'!$A$3:$A$500,$B40,'DADOS BRUTOS'!FQ$3:FQ$500)+IF($C40="",0,SUMIF('DADOS BRUTOS'!$A$3:$A$500,$C40,'DADOS BRUTOS'!FQ$3:FQ$500)))</f>
        <v/>
      </c>
      <c r="IR40" s="132">
        <f>IF(OR(IR$4="",$B40=""),0,SUMIF('DADOS BRUTOS'!$A$3:$A$500,$B40,'DADOS BRUTOS'!FR$3:FR$500)+IF($C40="",0,SUMIF('DADOS BRUTOS'!$A$3:$A$500,$C40,'DADOS BRUTOS'!FR$3:FR$500)))</f>
        <v/>
      </c>
      <c r="IS40" s="132">
        <f>IF(OR(IS$4="",$B40=""),0,SUMIF('DADOS BRUTOS'!$A$3:$A$500,$B40,'DADOS BRUTOS'!FS$3:FS$500)+IF($C40="",0,SUMIF('DADOS BRUTOS'!$A$3:$A$500,$C40,'DADOS BRUTOS'!FS$3:FS$500)))</f>
        <v/>
      </c>
      <c r="IT40" s="132">
        <f>IF(OR(IT$4="",$B40=""),0,SUMIF('DADOS BRUTOS'!$A$3:$A$500,$B40,'DADOS BRUTOS'!FT$3:FT$500)+IF($C40="",0,SUMIF('DADOS BRUTOS'!$A$3:$A$500,$C40,'DADOS BRUTOS'!FT$3:FT$500)))</f>
        <v/>
      </c>
      <c r="IU40" s="132">
        <f>IF(OR(IU$4="",$B40=""),0,SUMIF('DADOS BRUTOS'!$A$3:$A$500,$B40,'DADOS BRUTOS'!FU$3:FU$500)+IF($C40="",0,SUMIF('DADOS BRUTOS'!$A$3:$A$500,$C40,'DADOS BRUTOS'!FU$3:FU$500)))</f>
        <v/>
      </c>
      <c r="IV40" s="132">
        <f>IF(OR(IV$4="",$B40=""),0,SUMIF('DADOS BRUTOS'!$A$3:$A$500,$B40,'DADOS BRUTOS'!FV$3:FV$500)+IF($C40="",0,SUMIF('DADOS BRUTOS'!$A$3:$A$500,$C40,'DADOS BRUTOS'!FV$3:FV$500)))</f>
        <v/>
      </c>
      <c r="IW40" s="132">
        <f>IF(OR(IW$4="",$B40=""),0,SUMIF('DADOS BRUTOS'!$A$3:$A$500,$B40,'DADOS BRUTOS'!FW$3:FW$500)+IF($C40="",0,SUMIF('DADOS BRUTOS'!$A$3:$A$500,$C40,'DADOS BRUTOS'!FW$3:FW$500)))</f>
        <v/>
      </c>
      <c r="IX40" s="132">
        <f>IF(OR(IX$4="",$B40=""),0,SUMIF('DADOS BRUTOS'!$A$3:$A$500,$B40,'DADOS BRUTOS'!FX$3:FX$500)+IF($C40="",0,SUMIF('DADOS BRUTOS'!$A$3:$A$500,$C40,'DADOS BRUTOS'!FX$3:FX$500)))</f>
        <v/>
      </c>
      <c r="IY40" s="132">
        <f>IF(OR(IY$4="",$B40=""),0,SUMIF('DADOS BRUTOS'!$A$3:$A$500,$B40,'DADOS BRUTOS'!FY$3:FY$500)+IF($C40="",0,SUMIF('DADOS BRUTOS'!$A$3:$A$500,$C40,'DADOS BRUTOS'!FY$3:FY$500)))</f>
        <v/>
      </c>
      <c r="IZ40" s="132">
        <f>IF(OR(IZ$4="",$B40=""),0,SUMIF('DADOS BRUTOS'!$A$3:$A$500,$B40,'DADOS BRUTOS'!FZ$3:FZ$500)+IF($C40="",0,SUMIF('DADOS BRUTOS'!$A$3:$A$500,$C40,'DADOS BRUTOS'!FZ$3:FZ$500)))</f>
        <v/>
      </c>
      <c r="JA40" s="132">
        <f>IF(OR(JA$4="",$B40=""),0,SUMIF('DADOS BRUTOS'!$A$3:$A$500,$B40,'DADOS BRUTOS'!GA$3:GA$500)+IF($C40="",0,SUMIF('DADOS BRUTOS'!$A$3:$A$500,$C40,'DADOS BRUTOS'!GA$3:GA$500)))</f>
        <v/>
      </c>
      <c r="JB40" s="132">
        <f>IF(OR(JB$4="",$B40=""),0,SUMIF('DADOS BRUTOS'!$A$3:$A$500,$B40,'DADOS BRUTOS'!GB$3:GB$500)+IF($C40="",0,SUMIF('DADOS BRUTOS'!$A$3:$A$500,$C40,'DADOS BRUTOS'!GB$3:GB$500)))</f>
        <v/>
      </c>
      <c r="JC40" s="132">
        <f>IF(OR(JC$4="",$B40=""),0,SUMIF('DADOS BRUTOS'!$A$3:$A$500,$B40,'DADOS BRUTOS'!GC$3:GC$500)+IF($C40="",0,SUMIF('DADOS BRUTOS'!$A$3:$A$500,$C40,'DADOS BRUTOS'!GC$3:GC$500)))</f>
        <v/>
      </c>
      <c r="JD40" s="132">
        <f>IF(OR(JD$4="",$B40=""),0,SUMIF('DADOS BRUTOS'!$A$3:$A$500,$B40,'DADOS BRUTOS'!GD$3:GD$500)+IF($C40="",0,SUMIF('DADOS BRUTOS'!$A$3:$A$500,$C40,'DADOS BRUTOS'!GD$3:GD$500)))</f>
        <v/>
      </c>
      <c r="JE40" s="132">
        <f>IF(OR(JE$4="",$B40=""),0,SUMIF('DADOS BRUTOS'!$A$3:$A$500,$B40,'DADOS BRUTOS'!GE$3:GE$500)+IF($C40="",0,SUMIF('DADOS BRUTOS'!$A$3:$A$500,$C40,'DADOS BRUTOS'!GE$3:GE$500)))</f>
        <v/>
      </c>
      <c r="JF40" s="132">
        <f>IF(OR(JF$4="",$B40=""),0,SUMIF('DADOS BRUTOS'!$A$3:$A$500,$B40,'DADOS BRUTOS'!GF$3:GF$500)+IF($C40="",0,SUMIF('DADOS BRUTOS'!$A$3:$A$500,$C40,'DADOS BRUTOS'!GF$3:GF$500)))</f>
        <v/>
      </c>
      <c r="JG40" s="132">
        <f>IF(OR(JG$4="",$B40=""),0,SUMIF('DADOS BRUTOS'!$A$3:$A$500,$B40,'DADOS BRUTOS'!GG$3:GG$500)+IF($C40="",0,SUMIF('DADOS BRUTOS'!$A$3:$A$500,$C40,'DADOS BRUTOS'!GG$3:GG$500)))</f>
        <v/>
      </c>
      <c r="JH40" s="132">
        <f>IF(OR(JH$4="",$B40=""),0,SUMIF('DADOS BRUTOS'!$A$3:$A$500,$B40,'DADOS BRUTOS'!GH$3:GH$500)+IF($C40="",0,SUMIF('DADOS BRUTOS'!$A$3:$A$500,$C40,'DADOS BRUTOS'!GH$3:GH$500)))</f>
        <v/>
      </c>
      <c r="JI40" s="132">
        <f>IF(OR(JI$4="",$B40=""),0,SUMIF('DADOS BRUTOS'!$A$3:$A$500,$B40,'DADOS BRUTOS'!GI$3:GI$500)+IF($C40="",0,SUMIF('DADOS BRUTOS'!$A$3:$A$500,$C40,'DADOS BRUTOS'!GI$3:GI$500)))</f>
        <v/>
      </c>
      <c r="JJ40" s="132">
        <f>IF(OR(JJ$4="",$B40=""),0,SUMIF('DADOS BRUTOS'!$A$3:$A$500,$B40,'DADOS BRUTOS'!GJ$3:GJ$500)+IF($C40="",0,SUMIF('DADOS BRUTOS'!$A$3:$A$500,$C40,'DADOS BRUTOS'!GJ$3:GJ$500)))</f>
        <v/>
      </c>
      <c r="JK40" s="132">
        <f>IF(OR(JK$4="",$B40=""),0,SUMIF('DADOS BRUTOS'!$A$3:$A$500,$B40,'DADOS BRUTOS'!GK$3:GK$500)+IF($C40="",0,SUMIF('DADOS BRUTOS'!$A$3:$A$500,$C40,'DADOS BRUTOS'!GK$3:GK$500)))</f>
        <v/>
      </c>
      <c r="JL40" s="132">
        <f>IF(OR(JL$4="",$B40=""),0,SUMIF('DADOS BRUTOS'!$A$3:$A$500,$B40,'DADOS BRUTOS'!GL$3:GL$500)+IF($C40="",0,SUMIF('DADOS BRUTOS'!$A$3:$A$500,$C40,'DADOS BRUTOS'!GL$3:GL$500)))</f>
        <v/>
      </c>
      <c r="JM40" s="132">
        <f>IF(OR(JM$4="",$B40=""),0,SUMIF('DADOS BRUTOS'!$A$3:$A$500,$B40,'DADOS BRUTOS'!GM$3:GM$500)+IF($C40="",0,SUMIF('DADOS BRUTOS'!$A$3:$A$500,$C40,'DADOS BRUTOS'!GM$3:GM$500)))</f>
        <v/>
      </c>
      <c r="JN40" s="132">
        <f>IF(OR(JN$4="",$B40=""),0,SUMIF('DADOS BRUTOS'!$A$3:$A$500,$B40,'DADOS BRUTOS'!GN$3:GN$500)+IF($C40="",0,SUMIF('DADOS BRUTOS'!$A$3:$A$500,$C40,'DADOS BRUTOS'!GN$3:GN$500)))</f>
        <v/>
      </c>
      <c r="JO40" s="132">
        <f>IF(OR(JO$4="",$B40=""),0,SUMIF('DADOS BRUTOS'!$A$3:$A$500,$B40,'DADOS BRUTOS'!GO$3:GO$500)+IF($C40="",0,SUMIF('DADOS BRUTOS'!$A$3:$A$500,$C40,'DADOS BRUTOS'!GO$3:GO$500)))</f>
        <v/>
      </c>
      <c r="JP40" s="132">
        <f>IF(OR(JP$4="",$B40=""),0,SUMIF('DADOS BRUTOS'!$A$3:$A$500,$B40,'DADOS BRUTOS'!GP$3:GP$500)+IF($C40="",0,SUMIF('DADOS BRUTOS'!$A$3:$A$500,$C40,'DADOS BRUTOS'!GP$3:GP$500)))</f>
        <v/>
      </c>
      <c r="JQ40" s="132">
        <f>IF(OR(JQ$4="",$B40=""),0,SUMIF('DADOS BRUTOS'!$A$3:$A$500,$B40,'DADOS BRUTOS'!GQ$3:GQ$500)+IF($C40="",0,SUMIF('DADOS BRUTOS'!$A$3:$A$500,$C40,'DADOS BRUTOS'!GQ$3:GQ$500)))</f>
        <v/>
      </c>
      <c r="JR40" s="132">
        <f>IF(OR(JR$4="",$B40=""),0,SUMIF('DADOS BRUTOS'!$A$3:$A$500,$B40,'DADOS BRUTOS'!GR$3:GR$500)+IF($C40="",0,SUMIF('DADOS BRUTOS'!$A$3:$A$500,$C40,'DADOS BRUTOS'!GR$3:GR$500)))</f>
        <v/>
      </c>
      <c r="JS40" s="132">
        <f>IF(OR(JS$4="",$B40=""),0,SUMIF('DADOS BRUTOS'!$A$3:$A$500,$B40,'DADOS BRUTOS'!GS$3:GS$500)+IF($C40="",0,SUMIF('DADOS BRUTOS'!$A$3:$A$500,$C40,'DADOS BRUTOS'!GS$3:GS$500)))</f>
        <v/>
      </c>
    </row>
    <row r="41">
      <c r="A41" s="61">
        <f>'VALOR POR PL'!D47</f>
        <v/>
      </c>
      <c r="B41" s="59" t="inlineStr">
        <is>
          <t>LIMPEZA FINAL DE OBRA</t>
        </is>
      </c>
      <c r="C41" s="59" t="n"/>
      <c r="D41" s="54">
        <f>SUMIF($CB$4:$JS$4,"&lt;="&amp;D$4,$CB41:$JS41)</f>
        <v/>
      </c>
      <c r="E41" s="54">
        <f>SUMIF($CB$4:$JS$4,E$4,$CB41:$JS41)</f>
        <v/>
      </c>
      <c r="F41" s="54">
        <f>SUMIF($CB$4:$JS$4,F$4,$CB41:$JS41)</f>
        <v/>
      </c>
      <c r="G41" s="54">
        <f>SUMIF($CB$4:$JS$4,G$4,$CB41:$JS41)</f>
        <v/>
      </c>
      <c r="H41" s="54">
        <f>SUMIF($CB$4:$JS$4,H$4,$CB41:$JS41)</f>
        <v/>
      </c>
      <c r="I41" s="54">
        <f>SUMIF($CB$4:$JS$4,I$4,$CB41:$JS41)</f>
        <v/>
      </c>
      <c r="J41" s="54">
        <f>SUMIF($CB$4:$JS$4,J$4,$CB41:$JS41)</f>
        <v/>
      </c>
      <c r="K41" s="54">
        <f>SUMIF($CB$4:$JS$4,K$4,$CB41:$JS41)</f>
        <v/>
      </c>
      <c r="L41" s="54">
        <f>SUMIF($CB$4:$JS$4,L$4,$CB41:$JS41)</f>
        <v/>
      </c>
      <c r="M41" s="54">
        <f>SUMIF($CB$4:$JS$4,M$4,$CB41:$JS41)</f>
        <v/>
      </c>
      <c r="N41" s="54">
        <f>SUMIF($CB$4:$JS$4,N$4,$CB41:$JS41)</f>
        <v/>
      </c>
      <c r="O41" s="54">
        <f>SUMIF($CB$4:$JS$4,O$4,$CB41:$JS41)</f>
        <v/>
      </c>
      <c r="P41" s="54">
        <f>SUMIF($CB$4:$JS$4,P$4,$CB41:$JS41)</f>
        <v/>
      </c>
      <c r="Q41" s="54">
        <f>SUMIF($CB$4:$JS$4,Q$4,$CB41:$JS41)</f>
        <v/>
      </c>
      <c r="R41" s="54">
        <f>SUMIF($CB$4:$JS$4,R$4,$CB41:$JS41)</f>
        <v/>
      </c>
      <c r="S41" s="54">
        <f>SUMIF($CB$4:$JS$4,S$4,$CB41:$JS41)</f>
        <v/>
      </c>
      <c r="T41" s="54">
        <f>SUMIF($CB$4:$JS$4,T$4,$CB41:$JS41)</f>
        <v/>
      </c>
      <c r="U41" s="54">
        <f>SUMIF($CB$4:$JS$4,U$4,$CB41:$JS41)</f>
        <v/>
      </c>
      <c r="V41" s="54">
        <f>SUMIF($CB$4:$JS$4,V$4,$CB41:$JS41)</f>
        <v/>
      </c>
      <c r="W41" s="54">
        <f>SUMIF($CB$4:$JS$4,W$4,$CB41:$JS41)</f>
        <v/>
      </c>
      <c r="X41" s="54">
        <f>SUMIF($CB$4:$JS$4,X$4,$CB41:$JS41)</f>
        <v/>
      </c>
      <c r="Y41" s="54">
        <f>SUMIF($CB$4:$JS$4,Y$4,$CB41:$JS41)</f>
        <v/>
      </c>
      <c r="Z41" s="54">
        <f>SUMIF($CB$4:$JS$4,Z$4,$CB41:$JS41)</f>
        <v/>
      </c>
      <c r="AA41" s="54">
        <f>SUMIF($CB$4:$JS$4,AA$4,$CB41:$JS41)</f>
        <v/>
      </c>
      <c r="AB41" s="54">
        <f>SUMIF($CB$4:$JS$4,AB$4,$CB41:$JS41)</f>
        <v/>
      </c>
      <c r="AC41" s="54">
        <f>SUMIF($CB$4:$JS$4,AC$4,$CB41:$JS41)</f>
        <v/>
      </c>
      <c r="AD41" s="54">
        <f>SUMIF($CB$4:$JS$4,AD$4,$CB41:$JS41)</f>
        <v/>
      </c>
      <c r="AE41" s="54">
        <f>SUMIF($CB$4:$JS$4,AE$4,$CB41:$JS41)</f>
        <v/>
      </c>
      <c r="AF41" s="54">
        <f>SUMIF($CB$4:$JS$4,AF$4,$CB41:$JS41)</f>
        <v/>
      </c>
      <c r="AG41" s="54">
        <f>SUMIF($CB$4:$JS$4,AG$4,$CB41:$JS41)</f>
        <v/>
      </c>
      <c r="AH41" s="54">
        <f>SUMIF($CB$4:$JS$4,AH$4,$CB41:$JS41)</f>
        <v/>
      </c>
      <c r="AI41" s="54">
        <f>SUMIF($CB$4:$JS$4,AI$4,$CB41:$JS41)</f>
        <v/>
      </c>
      <c r="AJ41" s="54">
        <f>SUMIF($CB$4:$JS$4,AJ$4,$CB41:$JS41)</f>
        <v/>
      </c>
      <c r="AK41" s="54">
        <f>SUMIF($CB$4:$JS$4,AK$4,$CB41:$JS41)</f>
        <v/>
      </c>
      <c r="AL41" s="54">
        <f>SUMIF($CB$4:$JS$4,AL$4,$CB41:$JS41)</f>
        <v/>
      </c>
      <c r="AM41" s="54">
        <f>SUMIF($CB$4:$JS$4,AM$4,$CB41:$JS41)</f>
        <v/>
      </c>
      <c r="AN41" s="54">
        <f>SUMIF($CB$4:$JS$4,AN$4,$CB41:$JS41)</f>
        <v/>
      </c>
      <c r="AO41" s="54">
        <f>SUMIF($CB$4:$JS$4,AO$4,$CB41:$JS41)</f>
        <v/>
      </c>
      <c r="AP41" s="54">
        <f>SUMIF($CB$4:$JS$4,AP$4,$CB41:$JS41)</f>
        <v/>
      </c>
      <c r="AQ41" s="54">
        <f>SUMIF($CB$4:$JS$4,AQ$4,$CB41:$JS41)</f>
        <v/>
      </c>
      <c r="AR41" s="54">
        <f>SUMIF($CB$4:$JS$4,AR$4,$CB41:$JS41)</f>
        <v/>
      </c>
      <c r="AS41" s="54">
        <f>SUMIF($CB$4:$JS$4,AS$4,$CB41:$JS41)</f>
        <v/>
      </c>
      <c r="AT41" s="54">
        <f>SUMIF($CB$4:$JS$4,AT$4,$CB41:$JS41)</f>
        <v/>
      </c>
      <c r="AU41" s="54">
        <f>SUMIF($CB$4:$JS$4,AU$4,$CB41:$JS41)</f>
        <v/>
      </c>
      <c r="AV41" s="54">
        <f>SUMIF($CB$4:$JS$4,AV$4,$CB41:$JS41)</f>
        <v/>
      </c>
      <c r="AW41" s="54">
        <f>SUMIF($CB$4:$JS$4,AW$4,$CB41:$JS41)</f>
        <v/>
      </c>
      <c r="AX41" s="54">
        <f>SUMIF($CB$4:$JS$4,AX$4,$CB41:$JS41)</f>
        <v/>
      </c>
      <c r="AY41" s="54">
        <f>SUMIF($CB$4:$JS$4,AY$4,$CB41:$JS41)</f>
        <v/>
      </c>
      <c r="AZ41" s="54">
        <f>SUMIF($CB$4:$JS$4,AZ$4,$CB41:$JS41)</f>
        <v/>
      </c>
      <c r="BA41" s="54">
        <f>SUMIF($CB$4:$JS$4,BA$4,$CB41:$JS41)</f>
        <v/>
      </c>
      <c r="BB41" s="54">
        <f>SUMIF($CB$4:$JS$4,BB$4,$CB41:$JS41)</f>
        <v/>
      </c>
      <c r="BC41" s="54">
        <f>SUMIF($CB$4:$JS$4,BC$4,$CB41:$JS41)</f>
        <v/>
      </c>
      <c r="BD41" s="54">
        <f>SUMIF($CB$4:$JS$4,BD$4,$CB41:$JS41)</f>
        <v/>
      </c>
      <c r="BE41" s="54">
        <f>SUMIF($CB$4:$JS$4,BE$4,$CB41:$JS41)</f>
        <v/>
      </c>
      <c r="BF41" s="54">
        <f>SUMIF($CB$4:$JS$4,BF$4,$CB41:$JS41)</f>
        <v/>
      </c>
      <c r="BG41" s="54">
        <f>SUMIF($CB$4:$JS$4,BG$4,$CB41:$JS41)</f>
        <v/>
      </c>
      <c r="BH41" s="54">
        <f>SUMIF($CB$4:$JS$4,BH$4,$CB41:$JS41)</f>
        <v/>
      </c>
      <c r="BI41" s="54">
        <f>SUMIF($CB$4:$JS$4,BI$4,$CB41:$JS41)</f>
        <v/>
      </c>
      <c r="BJ41" s="54">
        <f>SUMIF($CB$4:$JS$4,BJ$4,$CB41:$JS41)</f>
        <v/>
      </c>
      <c r="BK41" s="54">
        <f>SUMIF($CB$4:$JS$4,BK$4,$CB41:$JS41)</f>
        <v/>
      </c>
      <c r="BL41" s="54">
        <f>SUMIF($CB$4:$JS$4,BL$4,$CB41:$JS41)</f>
        <v/>
      </c>
      <c r="BM41" s="54">
        <f>SUMIF($CB$4:$JS$4,BM$4,$CB41:$JS41)</f>
        <v/>
      </c>
      <c r="BN41" s="54">
        <f>SUMIF($CB$4:$JS$4,BN$4,$CB41:$JS41)</f>
        <v/>
      </c>
      <c r="BO41" s="54">
        <f>SUMIF($CB$4:$JS$4,BO$4,$CB41:$JS41)</f>
        <v/>
      </c>
      <c r="BP41" s="54">
        <f>SUMIF($CB$4:$JS$4,BP$4,$CB41:$JS41)</f>
        <v/>
      </c>
      <c r="BQ41" s="54">
        <f>SUMIF($CB$4:$JS$4,BQ$4,$CB41:$JS41)</f>
        <v/>
      </c>
      <c r="BR41" s="54">
        <f>SUMIF($CB$4:$JS$4,BR$4,$CB41:$JS41)</f>
        <v/>
      </c>
      <c r="BS41" s="54">
        <f>SUMIF($CB$4:$JS$4,BS$4,$CB41:$JS41)</f>
        <v/>
      </c>
      <c r="BT41" s="54">
        <f>SUMIF($CB$4:$JS$4,BT$4,$CB41:$JS41)</f>
        <v/>
      </c>
      <c r="BU41" s="54">
        <f>SUMIF($CB$4:$JS$4,BU$4,$CB41:$JS41)</f>
        <v/>
      </c>
      <c r="BV41" s="54">
        <f>SUMIF($CB$4:$JS$4,BV$4,$CB41:$JS41)</f>
        <v/>
      </c>
      <c r="BW41" s="54">
        <f>SUMIF($CB$4:$JS$4,BW$4,$CB41:$JS41)</f>
        <v/>
      </c>
      <c r="BX41" s="54">
        <f>SUMIF($CB$4:$JS$4,"&gt;"&amp;'VALOR POR PL'!$P$8,$CB41:$JS41)</f>
        <v/>
      </c>
      <c r="BY41" s="54">
        <f>SUM($CB41:$JS41)</f>
        <v/>
      </c>
      <c r="BZ41" s="49">
        <f>SUMPRODUCT(($CB$4:$JS$4&lt;&gt;"")*($CB$4:$JS$4&lt;=$D$4),$CB41:$JS41,$CB$1:$JS$1)</f>
        <v/>
      </c>
      <c r="CB41" s="132">
        <f>IF(OR(CB$4="",$B41=""),0,SUMIF('DADOS BRUTOS'!$A$3:$A$500,$B41,'DADOS BRUTOS'!B$3:B$500)+IF($C41="",0,SUMIF('DADOS BRUTOS'!$A$3:$A$500,$C41,'DADOS BRUTOS'!B$3:B$500)))</f>
        <v/>
      </c>
      <c r="CC41" s="132">
        <f>IF(OR(CC$4="",$B41=""),0,SUMIF('DADOS BRUTOS'!$A$3:$A$500,$B41,'DADOS BRUTOS'!C$3:C$500)+IF($C41="",0,SUMIF('DADOS BRUTOS'!$A$3:$A$500,$C41,'DADOS BRUTOS'!C$3:C$500)))</f>
        <v/>
      </c>
      <c r="CD41" s="132">
        <f>IF(OR(CD$4="",$B41=""),0,SUMIF('DADOS BRUTOS'!$A$3:$A$500,$B41,'DADOS BRUTOS'!D$3:D$500)+IF($C41="",0,SUMIF('DADOS BRUTOS'!$A$3:$A$500,$C41,'DADOS BRUTOS'!D$3:D$500)))</f>
        <v/>
      </c>
      <c r="CE41" s="132">
        <f>IF(OR(CE$4="",$B41=""),0,SUMIF('DADOS BRUTOS'!$A$3:$A$500,$B41,'DADOS BRUTOS'!E$3:E$500)+IF($C41="",0,SUMIF('DADOS BRUTOS'!$A$3:$A$500,$C41,'DADOS BRUTOS'!E$3:E$500)))</f>
        <v/>
      </c>
      <c r="CF41" s="132">
        <f>IF(OR(CF$4="",$B41=""),0,SUMIF('DADOS BRUTOS'!$A$3:$A$500,$B41,'DADOS BRUTOS'!F$3:F$500)+IF($C41="",0,SUMIF('DADOS BRUTOS'!$A$3:$A$500,$C41,'DADOS BRUTOS'!F$3:F$500)))</f>
        <v/>
      </c>
      <c r="CG41" s="132">
        <f>IF(OR(CG$4="",$B41=""),0,SUMIF('DADOS BRUTOS'!$A$3:$A$500,$B41,'DADOS BRUTOS'!G$3:G$500)+IF($C41="",0,SUMIF('DADOS BRUTOS'!$A$3:$A$500,$C41,'DADOS BRUTOS'!G$3:G$500)))</f>
        <v/>
      </c>
      <c r="CH41" s="132">
        <f>IF(OR(CH$4="",$B41=""),0,SUMIF('DADOS BRUTOS'!$A$3:$A$500,$B41,'DADOS BRUTOS'!H$3:H$500)+IF($C41="",0,SUMIF('DADOS BRUTOS'!$A$3:$A$500,$C41,'DADOS BRUTOS'!H$3:H$500)))</f>
        <v/>
      </c>
      <c r="CI41" s="132">
        <f>IF(OR(CI$4="",$B41=""),0,SUMIF('DADOS BRUTOS'!$A$3:$A$500,$B41,'DADOS BRUTOS'!I$3:I$500)+IF($C41="",0,SUMIF('DADOS BRUTOS'!$A$3:$A$500,$C41,'DADOS BRUTOS'!I$3:I$500)))</f>
        <v/>
      </c>
      <c r="CJ41" s="132">
        <f>IF(OR(CJ$4="",$B41=""),0,SUMIF('DADOS BRUTOS'!$A$3:$A$500,$B41,'DADOS BRUTOS'!J$3:J$500)+IF($C41="",0,SUMIF('DADOS BRUTOS'!$A$3:$A$500,$C41,'DADOS BRUTOS'!J$3:J$500)))</f>
        <v/>
      </c>
      <c r="CK41" s="132">
        <f>IF(OR(CK$4="",$B41=""),0,SUMIF('DADOS BRUTOS'!$A$3:$A$500,$B41,'DADOS BRUTOS'!K$3:K$500)+IF($C41="",0,SUMIF('DADOS BRUTOS'!$A$3:$A$500,$C41,'DADOS BRUTOS'!K$3:K$500)))</f>
        <v/>
      </c>
      <c r="CL41" s="132">
        <f>IF(OR(CL$4="",$B41=""),0,SUMIF('DADOS BRUTOS'!$A$3:$A$500,$B41,'DADOS BRUTOS'!L$3:L$500)+IF($C41="",0,SUMIF('DADOS BRUTOS'!$A$3:$A$500,$C41,'DADOS BRUTOS'!L$3:L$500)))</f>
        <v/>
      </c>
      <c r="CM41" s="132">
        <f>IF(OR(CM$4="",$B41=""),0,SUMIF('DADOS BRUTOS'!$A$3:$A$500,$B41,'DADOS BRUTOS'!M$3:M$500)+IF($C41="",0,SUMIF('DADOS BRUTOS'!$A$3:$A$500,$C41,'DADOS BRUTOS'!M$3:M$500)))</f>
        <v/>
      </c>
      <c r="CN41" s="132">
        <f>IF(OR(CN$4="",$B41=""),0,SUMIF('DADOS BRUTOS'!$A$3:$A$500,$B41,'DADOS BRUTOS'!N$3:N$500)+IF($C41="",0,SUMIF('DADOS BRUTOS'!$A$3:$A$500,$C41,'DADOS BRUTOS'!N$3:N$500)))</f>
        <v/>
      </c>
      <c r="CO41" s="132">
        <f>IF(OR(CO$4="",$B41=""),0,SUMIF('DADOS BRUTOS'!$A$3:$A$500,$B41,'DADOS BRUTOS'!O$3:O$500)+IF($C41="",0,SUMIF('DADOS BRUTOS'!$A$3:$A$500,$C41,'DADOS BRUTOS'!O$3:O$500)))</f>
        <v/>
      </c>
      <c r="CP41" s="132">
        <f>IF(OR(CP$4="",$B41=""),0,SUMIF('DADOS BRUTOS'!$A$3:$A$500,$B41,'DADOS BRUTOS'!P$3:P$500)+IF($C41="",0,SUMIF('DADOS BRUTOS'!$A$3:$A$500,$C41,'DADOS BRUTOS'!P$3:P$500)))</f>
        <v/>
      </c>
      <c r="CQ41" s="132">
        <f>IF(OR(CQ$4="",$B41=""),0,SUMIF('DADOS BRUTOS'!$A$3:$A$500,$B41,'DADOS BRUTOS'!Q$3:Q$500)+IF($C41="",0,SUMIF('DADOS BRUTOS'!$A$3:$A$500,$C41,'DADOS BRUTOS'!Q$3:Q$500)))</f>
        <v/>
      </c>
      <c r="CR41" s="132">
        <f>IF(OR(CR$4="",$B41=""),0,SUMIF('DADOS BRUTOS'!$A$3:$A$500,$B41,'DADOS BRUTOS'!R$3:R$500)+IF($C41="",0,SUMIF('DADOS BRUTOS'!$A$3:$A$500,$C41,'DADOS BRUTOS'!R$3:R$500)))</f>
        <v/>
      </c>
      <c r="CS41" s="132">
        <f>IF(OR(CS$4="",$B41=""),0,SUMIF('DADOS BRUTOS'!$A$3:$A$500,$B41,'DADOS BRUTOS'!S$3:S$500)+IF($C41="",0,SUMIF('DADOS BRUTOS'!$A$3:$A$500,$C41,'DADOS BRUTOS'!S$3:S$500)))</f>
        <v/>
      </c>
      <c r="CT41" s="132">
        <f>IF(OR(CT$4="",$B41=""),0,SUMIF('DADOS BRUTOS'!$A$3:$A$500,$B41,'DADOS BRUTOS'!T$3:T$500)+IF($C41="",0,SUMIF('DADOS BRUTOS'!$A$3:$A$500,$C41,'DADOS BRUTOS'!T$3:T$500)))</f>
        <v/>
      </c>
      <c r="CU41" s="132">
        <f>IF(OR(CU$4="",$B41=""),0,SUMIF('DADOS BRUTOS'!$A$3:$A$500,$B41,'DADOS BRUTOS'!U$3:U$500)+IF($C41="",0,SUMIF('DADOS BRUTOS'!$A$3:$A$500,$C41,'DADOS BRUTOS'!U$3:U$500)))</f>
        <v/>
      </c>
      <c r="CV41" s="132">
        <f>IF(OR(CV$4="",$B41=""),0,SUMIF('DADOS BRUTOS'!$A$3:$A$500,$B41,'DADOS BRUTOS'!V$3:V$500)+IF($C41="",0,SUMIF('DADOS BRUTOS'!$A$3:$A$500,$C41,'DADOS BRUTOS'!V$3:V$500)))</f>
        <v/>
      </c>
      <c r="CW41" s="132">
        <f>IF(OR(CW$4="",$B41=""),0,SUMIF('DADOS BRUTOS'!$A$3:$A$500,$B41,'DADOS BRUTOS'!W$3:W$500)+IF($C41="",0,SUMIF('DADOS BRUTOS'!$A$3:$A$500,$C41,'DADOS BRUTOS'!W$3:W$500)))</f>
        <v/>
      </c>
      <c r="CX41" s="132">
        <f>IF(OR(CX$4="",$B41=""),0,SUMIF('DADOS BRUTOS'!$A$3:$A$500,$B41,'DADOS BRUTOS'!X$3:X$500)+IF($C41="",0,SUMIF('DADOS BRUTOS'!$A$3:$A$500,$C41,'DADOS BRUTOS'!X$3:X$500)))</f>
        <v/>
      </c>
      <c r="CY41" s="132">
        <f>IF(OR(CY$4="",$B41=""),0,SUMIF('DADOS BRUTOS'!$A$3:$A$500,$B41,'DADOS BRUTOS'!Y$3:Y$500)+IF($C41="",0,SUMIF('DADOS BRUTOS'!$A$3:$A$500,$C41,'DADOS BRUTOS'!Y$3:Y$500)))</f>
        <v/>
      </c>
      <c r="CZ41" s="132">
        <f>IF(OR(CZ$4="",$B41=""),0,SUMIF('DADOS BRUTOS'!$A$3:$A$500,$B41,'DADOS BRUTOS'!Z$3:Z$500)+IF($C41="",0,SUMIF('DADOS BRUTOS'!$A$3:$A$500,$C41,'DADOS BRUTOS'!Z$3:Z$500)))</f>
        <v/>
      </c>
      <c r="DA41" s="132">
        <f>IF(OR(DA$4="",$B41=""),0,SUMIF('DADOS BRUTOS'!$A$3:$A$500,$B41,'DADOS BRUTOS'!AA$3:AA$500)+IF($C41="",0,SUMIF('DADOS BRUTOS'!$A$3:$A$500,$C41,'DADOS BRUTOS'!AA$3:AA$500)))</f>
        <v/>
      </c>
      <c r="DB41" s="132">
        <f>IF(OR(DB$4="",$B41=""),0,SUMIF('DADOS BRUTOS'!$A$3:$A$500,$B41,'DADOS BRUTOS'!AB$3:AB$500)+IF($C41="",0,SUMIF('DADOS BRUTOS'!$A$3:$A$500,$C41,'DADOS BRUTOS'!AB$3:AB$500)))</f>
        <v/>
      </c>
      <c r="DC41" s="132">
        <f>IF(OR(DC$4="",$B41=""),0,SUMIF('DADOS BRUTOS'!$A$3:$A$500,$B41,'DADOS BRUTOS'!AC$3:AC$500)+IF($C41="",0,SUMIF('DADOS BRUTOS'!$A$3:$A$500,$C41,'DADOS BRUTOS'!AC$3:AC$500)))</f>
        <v/>
      </c>
      <c r="DD41" s="132">
        <f>IF(OR(DD$4="",$B41=""),0,SUMIF('DADOS BRUTOS'!$A$3:$A$500,$B41,'DADOS BRUTOS'!AD$3:AD$500)+IF($C41="",0,SUMIF('DADOS BRUTOS'!$A$3:$A$500,$C41,'DADOS BRUTOS'!AD$3:AD$500)))</f>
        <v/>
      </c>
      <c r="DE41" s="132">
        <f>IF(OR(DE$4="",$B41=""),0,SUMIF('DADOS BRUTOS'!$A$3:$A$500,$B41,'DADOS BRUTOS'!AE$3:AE$500)+IF($C41="",0,SUMIF('DADOS BRUTOS'!$A$3:$A$500,$C41,'DADOS BRUTOS'!AE$3:AE$500)))</f>
        <v/>
      </c>
      <c r="DF41" s="132">
        <f>IF(OR(DF$4="",$B41=""),0,SUMIF('DADOS BRUTOS'!$A$3:$A$500,$B41,'DADOS BRUTOS'!AF$3:AF$500)+IF($C41="",0,SUMIF('DADOS BRUTOS'!$A$3:$A$500,$C41,'DADOS BRUTOS'!AF$3:AF$500)))</f>
        <v/>
      </c>
      <c r="DG41" s="132">
        <f>IF(OR(DG$4="",$B41=""),0,SUMIF('DADOS BRUTOS'!$A$3:$A$500,$B41,'DADOS BRUTOS'!AG$3:AG$500)+IF($C41="",0,SUMIF('DADOS BRUTOS'!$A$3:$A$500,$C41,'DADOS BRUTOS'!AG$3:AG$500)))</f>
        <v/>
      </c>
      <c r="DH41" s="132">
        <f>IF(OR(DH$4="",$B41=""),0,SUMIF('DADOS BRUTOS'!$A$3:$A$500,$B41,'DADOS BRUTOS'!AH$3:AH$500)+IF($C41="",0,SUMIF('DADOS BRUTOS'!$A$3:$A$500,$C41,'DADOS BRUTOS'!AH$3:AH$500)))</f>
        <v/>
      </c>
      <c r="DI41" s="132">
        <f>IF(OR(DI$4="",$B41=""),0,SUMIF('DADOS BRUTOS'!$A$3:$A$500,$B41,'DADOS BRUTOS'!AI$3:AI$500)+IF($C41="",0,SUMIF('DADOS BRUTOS'!$A$3:$A$500,$C41,'DADOS BRUTOS'!AI$3:AI$500)))</f>
        <v/>
      </c>
      <c r="DJ41" s="132">
        <f>IF(OR(DJ$4="",$B41=""),0,SUMIF('DADOS BRUTOS'!$A$3:$A$500,$B41,'DADOS BRUTOS'!AJ$3:AJ$500)+IF($C41="",0,SUMIF('DADOS BRUTOS'!$A$3:$A$500,$C41,'DADOS BRUTOS'!AJ$3:AJ$500)))</f>
        <v/>
      </c>
      <c r="DK41" s="132">
        <f>IF(OR(DK$4="",$B41=""),0,SUMIF('DADOS BRUTOS'!$A$3:$A$500,$B41,'DADOS BRUTOS'!AK$3:AK$500)+IF($C41="",0,SUMIF('DADOS BRUTOS'!$A$3:$A$500,$C41,'DADOS BRUTOS'!AK$3:AK$500)))</f>
        <v/>
      </c>
      <c r="DL41" s="132">
        <f>IF(OR(DL$4="",$B41=""),0,SUMIF('DADOS BRUTOS'!$A$3:$A$500,$B41,'DADOS BRUTOS'!AL$3:AL$500)+IF($C41="",0,SUMIF('DADOS BRUTOS'!$A$3:$A$500,$C41,'DADOS BRUTOS'!AL$3:AL$500)))</f>
        <v/>
      </c>
      <c r="DM41" s="132">
        <f>IF(OR(DM$4="",$B41=""),0,SUMIF('DADOS BRUTOS'!$A$3:$A$500,$B41,'DADOS BRUTOS'!AM$3:AM$500)+IF($C41="",0,SUMIF('DADOS BRUTOS'!$A$3:$A$500,$C41,'DADOS BRUTOS'!AM$3:AM$500)))</f>
        <v/>
      </c>
      <c r="DN41" s="132">
        <f>IF(OR(DN$4="",$B41=""),0,SUMIF('DADOS BRUTOS'!$A$3:$A$500,$B41,'DADOS BRUTOS'!AN$3:AN$500)+IF($C41="",0,SUMIF('DADOS BRUTOS'!$A$3:$A$500,$C41,'DADOS BRUTOS'!AN$3:AN$500)))</f>
        <v/>
      </c>
      <c r="DO41" s="132">
        <f>IF(OR(DO$4="",$B41=""),0,SUMIF('DADOS BRUTOS'!$A$3:$A$500,$B41,'DADOS BRUTOS'!AO$3:AO$500)+IF($C41="",0,SUMIF('DADOS BRUTOS'!$A$3:$A$500,$C41,'DADOS BRUTOS'!AO$3:AO$500)))</f>
        <v/>
      </c>
      <c r="DP41" s="132">
        <f>IF(OR(DP$4="",$B41=""),0,SUMIF('DADOS BRUTOS'!$A$3:$A$500,$B41,'DADOS BRUTOS'!AP$3:AP$500)+IF($C41="",0,SUMIF('DADOS BRUTOS'!$A$3:$A$500,$C41,'DADOS BRUTOS'!AP$3:AP$500)))</f>
        <v/>
      </c>
      <c r="DQ41" s="132">
        <f>IF(OR(DQ$4="",$B41=""),0,SUMIF('DADOS BRUTOS'!$A$3:$A$500,$B41,'DADOS BRUTOS'!AQ$3:AQ$500)+IF($C41="",0,SUMIF('DADOS BRUTOS'!$A$3:$A$500,$C41,'DADOS BRUTOS'!AQ$3:AQ$500)))</f>
        <v/>
      </c>
      <c r="DR41" s="132">
        <f>IF(OR(DR$4="",$B41=""),0,SUMIF('DADOS BRUTOS'!$A$3:$A$500,$B41,'DADOS BRUTOS'!AR$3:AR$500)+IF($C41="",0,SUMIF('DADOS BRUTOS'!$A$3:$A$500,$C41,'DADOS BRUTOS'!AR$3:AR$500)))</f>
        <v/>
      </c>
      <c r="DS41" s="132">
        <f>IF(OR(DS$4="",$B41=""),0,SUMIF('DADOS BRUTOS'!$A$3:$A$500,$B41,'DADOS BRUTOS'!AS$3:AS$500)+IF($C41="",0,SUMIF('DADOS BRUTOS'!$A$3:$A$500,$C41,'DADOS BRUTOS'!AS$3:AS$500)))</f>
        <v/>
      </c>
      <c r="DT41" s="132">
        <f>IF(OR(DT$4="",$B41=""),0,SUMIF('DADOS BRUTOS'!$A$3:$A$500,$B41,'DADOS BRUTOS'!AT$3:AT$500)+IF($C41="",0,SUMIF('DADOS BRUTOS'!$A$3:$A$500,$C41,'DADOS BRUTOS'!AT$3:AT$500)))</f>
        <v/>
      </c>
      <c r="DU41" s="132">
        <f>IF(OR(DU$4="",$B41=""),0,SUMIF('DADOS BRUTOS'!$A$3:$A$500,$B41,'DADOS BRUTOS'!AU$3:AU$500)+IF($C41="",0,SUMIF('DADOS BRUTOS'!$A$3:$A$500,$C41,'DADOS BRUTOS'!AU$3:AU$500)))</f>
        <v/>
      </c>
      <c r="DV41" s="132">
        <f>IF(OR(DV$4="",$B41=""),0,SUMIF('DADOS BRUTOS'!$A$3:$A$500,$B41,'DADOS BRUTOS'!AV$3:AV$500)+IF($C41="",0,SUMIF('DADOS BRUTOS'!$A$3:$A$500,$C41,'DADOS BRUTOS'!AV$3:AV$500)))</f>
        <v/>
      </c>
      <c r="DW41" s="132">
        <f>IF(OR(DW$4="",$B41=""),0,SUMIF('DADOS BRUTOS'!$A$3:$A$500,$B41,'DADOS BRUTOS'!AW$3:AW$500)+IF($C41="",0,SUMIF('DADOS BRUTOS'!$A$3:$A$500,$C41,'DADOS BRUTOS'!AW$3:AW$500)))</f>
        <v/>
      </c>
      <c r="DX41" s="132">
        <f>IF(OR(DX$4="",$B41=""),0,SUMIF('DADOS BRUTOS'!$A$3:$A$500,$B41,'DADOS BRUTOS'!AX$3:AX$500)+IF($C41="",0,SUMIF('DADOS BRUTOS'!$A$3:$A$500,$C41,'DADOS BRUTOS'!AX$3:AX$500)))</f>
        <v/>
      </c>
      <c r="DY41" s="132">
        <f>IF(OR(DY$4="",$B41=""),0,SUMIF('DADOS BRUTOS'!$A$3:$A$500,$B41,'DADOS BRUTOS'!AY$3:AY$500)+IF($C41="",0,SUMIF('DADOS BRUTOS'!$A$3:$A$500,$C41,'DADOS BRUTOS'!AY$3:AY$500)))</f>
        <v/>
      </c>
      <c r="DZ41" s="132">
        <f>IF(OR(DZ$4="",$B41=""),0,SUMIF('DADOS BRUTOS'!$A$3:$A$500,$B41,'DADOS BRUTOS'!AZ$3:AZ$500)+IF($C41="",0,SUMIF('DADOS BRUTOS'!$A$3:$A$500,$C41,'DADOS BRUTOS'!AZ$3:AZ$500)))</f>
        <v/>
      </c>
      <c r="EA41" s="132">
        <f>IF(OR(EA$4="",$B41=""),0,SUMIF('DADOS BRUTOS'!$A$3:$A$500,$B41,'DADOS BRUTOS'!BA$3:BA$500)+IF($C41="",0,SUMIF('DADOS BRUTOS'!$A$3:$A$500,$C41,'DADOS BRUTOS'!BA$3:BA$500)))</f>
        <v/>
      </c>
      <c r="EB41" s="132">
        <f>IF(OR(EB$4="",$B41=""),0,SUMIF('DADOS BRUTOS'!$A$3:$A$500,$B41,'DADOS BRUTOS'!BB$3:BB$500)+IF($C41="",0,SUMIF('DADOS BRUTOS'!$A$3:$A$500,$C41,'DADOS BRUTOS'!BB$3:BB$500)))</f>
        <v/>
      </c>
      <c r="EC41" s="132">
        <f>IF(OR(EC$4="",$B41=""),0,SUMIF('DADOS BRUTOS'!$A$3:$A$500,$B41,'DADOS BRUTOS'!BC$3:BC$500)+IF($C41="",0,SUMIF('DADOS BRUTOS'!$A$3:$A$500,$C41,'DADOS BRUTOS'!BC$3:BC$500)))</f>
        <v/>
      </c>
      <c r="ED41" s="132">
        <f>IF(OR(ED$4="",$B41=""),0,SUMIF('DADOS BRUTOS'!$A$3:$A$500,$B41,'DADOS BRUTOS'!BD$3:BD$500)+IF($C41="",0,SUMIF('DADOS BRUTOS'!$A$3:$A$500,$C41,'DADOS BRUTOS'!BD$3:BD$500)))</f>
        <v/>
      </c>
      <c r="EE41" s="132">
        <f>IF(OR(EE$4="",$B41=""),0,SUMIF('DADOS BRUTOS'!$A$3:$A$500,$B41,'DADOS BRUTOS'!BE$3:BE$500)+IF($C41="",0,SUMIF('DADOS BRUTOS'!$A$3:$A$500,$C41,'DADOS BRUTOS'!BE$3:BE$500)))</f>
        <v/>
      </c>
      <c r="EF41" s="132">
        <f>IF(OR(EF$4="",$B41=""),0,SUMIF('DADOS BRUTOS'!$A$3:$A$500,$B41,'DADOS BRUTOS'!BF$3:BF$500)+IF($C41="",0,SUMIF('DADOS BRUTOS'!$A$3:$A$500,$C41,'DADOS BRUTOS'!BF$3:BF$500)))</f>
        <v/>
      </c>
      <c r="EG41" s="132">
        <f>IF(OR(EG$4="",$B41=""),0,SUMIF('DADOS BRUTOS'!$A$3:$A$500,$B41,'DADOS BRUTOS'!BG$3:BG$500)+IF($C41="",0,SUMIF('DADOS BRUTOS'!$A$3:$A$500,$C41,'DADOS BRUTOS'!BG$3:BG$500)))</f>
        <v/>
      </c>
      <c r="EH41" s="132">
        <f>IF(OR(EH$4="",$B41=""),0,SUMIF('DADOS BRUTOS'!$A$3:$A$500,$B41,'DADOS BRUTOS'!BH$3:BH$500)+IF($C41="",0,SUMIF('DADOS BRUTOS'!$A$3:$A$500,$C41,'DADOS BRUTOS'!BH$3:BH$500)))</f>
        <v/>
      </c>
      <c r="EI41" s="132">
        <f>IF(OR(EI$4="",$B41=""),0,SUMIF('DADOS BRUTOS'!$A$3:$A$500,$B41,'DADOS BRUTOS'!BI$3:BI$500)+IF($C41="",0,SUMIF('DADOS BRUTOS'!$A$3:$A$500,$C41,'DADOS BRUTOS'!BI$3:BI$500)))</f>
        <v/>
      </c>
      <c r="EJ41" s="132">
        <f>IF(OR(EJ$4="",$B41=""),0,SUMIF('DADOS BRUTOS'!$A$3:$A$500,$B41,'DADOS BRUTOS'!BJ$3:BJ$500)+IF($C41="",0,SUMIF('DADOS BRUTOS'!$A$3:$A$500,$C41,'DADOS BRUTOS'!BJ$3:BJ$500)))</f>
        <v/>
      </c>
      <c r="EK41" s="132">
        <f>IF(OR(EK$4="",$B41=""),0,SUMIF('DADOS BRUTOS'!$A$3:$A$500,$B41,'DADOS BRUTOS'!BK$3:BK$500)+IF($C41="",0,SUMIF('DADOS BRUTOS'!$A$3:$A$500,$C41,'DADOS BRUTOS'!BK$3:BK$500)))</f>
        <v/>
      </c>
      <c r="EL41" s="132">
        <f>IF(OR(EL$4="",$B41=""),0,SUMIF('DADOS BRUTOS'!$A$3:$A$500,$B41,'DADOS BRUTOS'!BL$3:BL$500)+IF($C41="",0,SUMIF('DADOS BRUTOS'!$A$3:$A$500,$C41,'DADOS BRUTOS'!BL$3:BL$500)))</f>
        <v/>
      </c>
      <c r="EM41" s="132">
        <f>IF(OR(EM$4="",$B41=""),0,SUMIF('DADOS BRUTOS'!$A$3:$A$500,$B41,'DADOS BRUTOS'!BM$3:BM$500)+IF($C41="",0,SUMIF('DADOS BRUTOS'!$A$3:$A$500,$C41,'DADOS BRUTOS'!BM$3:BM$500)))</f>
        <v/>
      </c>
      <c r="EN41" s="132">
        <f>IF(OR(EN$4="",$B41=""),0,SUMIF('DADOS BRUTOS'!$A$3:$A$500,$B41,'DADOS BRUTOS'!BN$3:BN$500)+IF($C41="",0,SUMIF('DADOS BRUTOS'!$A$3:$A$500,$C41,'DADOS BRUTOS'!BN$3:BN$500)))</f>
        <v/>
      </c>
      <c r="EO41" s="132">
        <f>IF(OR(EO$4="",$B41=""),0,SUMIF('DADOS BRUTOS'!$A$3:$A$500,$B41,'DADOS BRUTOS'!BO$3:BO$500)+IF($C41="",0,SUMIF('DADOS BRUTOS'!$A$3:$A$500,$C41,'DADOS BRUTOS'!BO$3:BO$500)))</f>
        <v/>
      </c>
      <c r="EP41" s="132">
        <f>IF(OR(EP$4="",$B41=""),0,SUMIF('DADOS BRUTOS'!$A$3:$A$500,$B41,'DADOS BRUTOS'!BP$3:BP$500)+IF($C41="",0,SUMIF('DADOS BRUTOS'!$A$3:$A$500,$C41,'DADOS BRUTOS'!BP$3:BP$500)))</f>
        <v/>
      </c>
      <c r="EQ41" s="132">
        <f>IF(OR(EQ$4="",$B41=""),0,SUMIF('DADOS BRUTOS'!$A$3:$A$500,$B41,'DADOS BRUTOS'!BQ$3:BQ$500)+IF($C41="",0,SUMIF('DADOS BRUTOS'!$A$3:$A$500,$C41,'DADOS BRUTOS'!BQ$3:BQ$500)))</f>
        <v/>
      </c>
      <c r="ER41" s="132">
        <f>IF(OR(ER$4="",$B41=""),0,SUMIF('DADOS BRUTOS'!$A$3:$A$500,$B41,'DADOS BRUTOS'!BR$3:BR$500)+IF($C41="",0,SUMIF('DADOS BRUTOS'!$A$3:$A$500,$C41,'DADOS BRUTOS'!BR$3:BR$500)))</f>
        <v/>
      </c>
      <c r="ES41" s="132">
        <f>IF(OR(ES$4="",$B41=""),0,SUMIF('DADOS BRUTOS'!$A$3:$A$500,$B41,'DADOS BRUTOS'!BS$3:BS$500)+IF($C41="",0,SUMIF('DADOS BRUTOS'!$A$3:$A$500,$C41,'DADOS BRUTOS'!BS$3:BS$500)))</f>
        <v/>
      </c>
      <c r="ET41" s="132">
        <f>IF(OR(ET$4="",$B41=""),0,SUMIF('DADOS BRUTOS'!$A$3:$A$500,$B41,'DADOS BRUTOS'!BT$3:BT$500)+IF($C41="",0,SUMIF('DADOS BRUTOS'!$A$3:$A$500,$C41,'DADOS BRUTOS'!BT$3:BT$500)))</f>
        <v/>
      </c>
      <c r="EU41" s="132">
        <f>IF(OR(EU$4="",$B41=""),0,SUMIF('DADOS BRUTOS'!$A$3:$A$500,$B41,'DADOS BRUTOS'!BU$3:BU$500)+IF($C41="",0,SUMIF('DADOS BRUTOS'!$A$3:$A$500,$C41,'DADOS BRUTOS'!BU$3:BU$500)))</f>
        <v/>
      </c>
      <c r="EV41" s="132">
        <f>IF(OR(EV$4="",$B41=""),0,SUMIF('DADOS BRUTOS'!$A$3:$A$500,$B41,'DADOS BRUTOS'!BV$3:BV$500)+IF($C41="",0,SUMIF('DADOS BRUTOS'!$A$3:$A$500,$C41,'DADOS BRUTOS'!BV$3:BV$500)))</f>
        <v/>
      </c>
      <c r="EW41" s="132">
        <f>IF(OR(EW$4="",$B41=""),0,SUMIF('DADOS BRUTOS'!$A$3:$A$500,$B41,'DADOS BRUTOS'!BW$3:BW$500)+IF($C41="",0,SUMIF('DADOS BRUTOS'!$A$3:$A$500,$C41,'DADOS BRUTOS'!BW$3:BW$500)))</f>
        <v/>
      </c>
      <c r="EX41" s="132">
        <f>IF(OR(EX$4="",$B41=""),0,SUMIF('DADOS BRUTOS'!$A$3:$A$500,$B41,'DADOS BRUTOS'!BX$3:BX$500)+IF($C41="",0,SUMIF('DADOS BRUTOS'!$A$3:$A$500,$C41,'DADOS BRUTOS'!BX$3:BX$500)))</f>
        <v/>
      </c>
      <c r="EY41" s="132">
        <f>IF(OR(EY$4="",$B41=""),0,SUMIF('DADOS BRUTOS'!$A$3:$A$500,$B41,'DADOS BRUTOS'!BY$3:BY$500)+IF($C41="",0,SUMIF('DADOS BRUTOS'!$A$3:$A$500,$C41,'DADOS BRUTOS'!BY$3:BY$500)))</f>
        <v/>
      </c>
      <c r="EZ41" s="132">
        <f>IF(OR(EZ$4="",$B41=""),0,SUMIF('DADOS BRUTOS'!$A$3:$A$500,$B41,'DADOS BRUTOS'!BZ$3:BZ$500)+IF($C41="",0,SUMIF('DADOS BRUTOS'!$A$3:$A$500,$C41,'DADOS BRUTOS'!BZ$3:BZ$500)))</f>
        <v/>
      </c>
      <c r="FA41" s="132">
        <f>IF(OR(FA$4="",$B41=""),0,SUMIF('DADOS BRUTOS'!$A$3:$A$500,$B41,'DADOS BRUTOS'!CA$3:CA$500)+IF($C41="",0,SUMIF('DADOS BRUTOS'!$A$3:$A$500,$C41,'DADOS BRUTOS'!CA$3:CA$500)))</f>
        <v/>
      </c>
      <c r="FB41" s="132">
        <f>IF(OR(FB$4="",$B41=""),0,SUMIF('DADOS BRUTOS'!$A$3:$A$500,$B41,'DADOS BRUTOS'!CB$3:CB$500)+IF($C41="",0,SUMIF('DADOS BRUTOS'!$A$3:$A$500,$C41,'DADOS BRUTOS'!CB$3:CB$500)))</f>
        <v/>
      </c>
      <c r="FC41" s="132">
        <f>IF(OR(FC$4="",$B41=""),0,SUMIF('DADOS BRUTOS'!$A$3:$A$500,$B41,'DADOS BRUTOS'!CC$3:CC$500)+IF($C41="",0,SUMIF('DADOS BRUTOS'!$A$3:$A$500,$C41,'DADOS BRUTOS'!CC$3:CC$500)))</f>
        <v/>
      </c>
      <c r="FD41" s="132">
        <f>IF(OR(FD$4="",$B41=""),0,SUMIF('DADOS BRUTOS'!$A$3:$A$500,$B41,'DADOS BRUTOS'!CD$3:CD$500)+IF($C41="",0,SUMIF('DADOS BRUTOS'!$A$3:$A$500,$C41,'DADOS BRUTOS'!CD$3:CD$500)))</f>
        <v/>
      </c>
      <c r="FE41" s="132">
        <f>IF(OR(FE$4="",$B41=""),0,SUMIF('DADOS BRUTOS'!$A$3:$A$500,$B41,'DADOS BRUTOS'!CE$3:CE$500)+IF($C41="",0,SUMIF('DADOS BRUTOS'!$A$3:$A$500,$C41,'DADOS BRUTOS'!CE$3:CE$500)))</f>
        <v/>
      </c>
      <c r="FF41" s="132">
        <f>IF(OR(FF$4="",$B41=""),0,SUMIF('DADOS BRUTOS'!$A$3:$A$500,$B41,'DADOS BRUTOS'!CF$3:CF$500)+IF($C41="",0,SUMIF('DADOS BRUTOS'!$A$3:$A$500,$C41,'DADOS BRUTOS'!CF$3:CF$500)))</f>
        <v/>
      </c>
      <c r="FG41" s="132">
        <f>IF(OR(FG$4="",$B41=""),0,SUMIF('DADOS BRUTOS'!$A$3:$A$500,$B41,'DADOS BRUTOS'!CG$3:CG$500)+IF($C41="",0,SUMIF('DADOS BRUTOS'!$A$3:$A$500,$C41,'DADOS BRUTOS'!CG$3:CG$500)))</f>
        <v/>
      </c>
      <c r="FH41" s="132">
        <f>IF(OR(FH$4="",$B41=""),0,SUMIF('DADOS BRUTOS'!$A$3:$A$500,$B41,'DADOS BRUTOS'!CH$3:CH$500)+IF($C41="",0,SUMIF('DADOS BRUTOS'!$A$3:$A$500,$C41,'DADOS BRUTOS'!CH$3:CH$500)))</f>
        <v/>
      </c>
      <c r="FI41" s="132">
        <f>IF(OR(FI$4="",$B41=""),0,SUMIF('DADOS BRUTOS'!$A$3:$A$500,$B41,'DADOS BRUTOS'!CI$3:CI$500)+IF($C41="",0,SUMIF('DADOS BRUTOS'!$A$3:$A$500,$C41,'DADOS BRUTOS'!CI$3:CI$500)))</f>
        <v/>
      </c>
      <c r="FJ41" s="132">
        <f>IF(OR(FJ$4="",$B41=""),0,SUMIF('DADOS BRUTOS'!$A$3:$A$500,$B41,'DADOS BRUTOS'!CJ$3:CJ$500)+IF($C41="",0,SUMIF('DADOS BRUTOS'!$A$3:$A$500,$C41,'DADOS BRUTOS'!CJ$3:CJ$500)))</f>
        <v/>
      </c>
      <c r="FK41" s="132">
        <f>IF(OR(FK$4="",$B41=""),0,SUMIF('DADOS BRUTOS'!$A$3:$A$500,$B41,'DADOS BRUTOS'!CK$3:CK$500)+IF($C41="",0,SUMIF('DADOS BRUTOS'!$A$3:$A$500,$C41,'DADOS BRUTOS'!CK$3:CK$500)))</f>
        <v/>
      </c>
      <c r="FL41" s="132">
        <f>IF(OR(FL$4="",$B41=""),0,SUMIF('DADOS BRUTOS'!$A$3:$A$500,$B41,'DADOS BRUTOS'!CL$3:CL$500)+IF($C41="",0,SUMIF('DADOS BRUTOS'!$A$3:$A$500,$C41,'DADOS BRUTOS'!CL$3:CL$500)))</f>
        <v/>
      </c>
      <c r="FM41" s="132">
        <f>IF(OR(FM$4="",$B41=""),0,SUMIF('DADOS BRUTOS'!$A$3:$A$500,$B41,'DADOS BRUTOS'!CM$3:CM$500)+IF($C41="",0,SUMIF('DADOS BRUTOS'!$A$3:$A$500,$C41,'DADOS BRUTOS'!CM$3:CM$500)))</f>
        <v/>
      </c>
      <c r="FN41" s="132">
        <f>IF(OR(FN$4="",$B41=""),0,SUMIF('DADOS BRUTOS'!$A$3:$A$500,$B41,'DADOS BRUTOS'!CN$3:CN$500)+IF($C41="",0,SUMIF('DADOS BRUTOS'!$A$3:$A$500,$C41,'DADOS BRUTOS'!CN$3:CN$500)))</f>
        <v/>
      </c>
      <c r="FO41" s="132">
        <f>IF(OR(FO$4="",$B41=""),0,SUMIF('DADOS BRUTOS'!$A$3:$A$500,$B41,'DADOS BRUTOS'!CO$3:CO$500)+IF($C41="",0,SUMIF('DADOS BRUTOS'!$A$3:$A$500,$C41,'DADOS BRUTOS'!CO$3:CO$500)))</f>
        <v/>
      </c>
      <c r="FP41" s="132">
        <f>IF(OR(FP$4="",$B41=""),0,SUMIF('DADOS BRUTOS'!$A$3:$A$500,$B41,'DADOS BRUTOS'!CP$3:CP$500)+IF($C41="",0,SUMIF('DADOS BRUTOS'!$A$3:$A$500,$C41,'DADOS BRUTOS'!CP$3:CP$500)))</f>
        <v/>
      </c>
      <c r="FQ41" s="132">
        <f>IF(OR(FQ$4="",$B41=""),0,SUMIF('DADOS BRUTOS'!$A$3:$A$500,$B41,'DADOS BRUTOS'!CQ$3:CQ$500)+IF($C41="",0,SUMIF('DADOS BRUTOS'!$A$3:$A$500,$C41,'DADOS BRUTOS'!CQ$3:CQ$500)))</f>
        <v/>
      </c>
      <c r="FR41" s="132">
        <f>IF(OR(FR$4="",$B41=""),0,SUMIF('DADOS BRUTOS'!$A$3:$A$500,$B41,'DADOS BRUTOS'!CR$3:CR$500)+IF($C41="",0,SUMIF('DADOS BRUTOS'!$A$3:$A$500,$C41,'DADOS BRUTOS'!CR$3:CR$500)))</f>
        <v/>
      </c>
      <c r="FS41" s="132">
        <f>IF(OR(FS$4="",$B41=""),0,SUMIF('DADOS BRUTOS'!$A$3:$A$500,$B41,'DADOS BRUTOS'!CS$3:CS$500)+IF($C41="",0,SUMIF('DADOS BRUTOS'!$A$3:$A$500,$C41,'DADOS BRUTOS'!CS$3:CS$500)))</f>
        <v/>
      </c>
      <c r="FT41" s="132">
        <f>IF(OR(FT$4="",$B41=""),0,SUMIF('DADOS BRUTOS'!$A$3:$A$500,$B41,'DADOS BRUTOS'!CT$3:CT$500)+IF($C41="",0,SUMIF('DADOS BRUTOS'!$A$3:$A$500,$C41,'DADOS BRUTOS'!CT$3:CT$500)))</f>
        <v/>
      </c>
      <c r="FU41" s="132">
        <f>IF(OR(FU$4="",$B41=""),0,SUMIF('DADOS BRUTOS'!$A$3:$A$500,$B41,'DADOS BRUTOS'!CU$3:CU$500)+IF($C41="",0,SUMIF('DADOS BRUTOS'!$A$3:$A$500,$C41,'DADOS BRUTOS'!CU$3:CU$500)))</f>
        <v/>
      </c>
      <c r="FV41" s="132">
        <f>IF(OR(FV$4="",$B41=""),0,SUMIF('DADOS BRUTOS'!$A$3:$A$500,$B41,'DADOS BRUTOS'!CV$3:CV$500)+IF($C41="",0,SUMIF('DADOS BRUTOS'!$A$3:$A$500,$C41,'DADOS BRUTOS'!CV$3:CV$500)))</f>
        <v/>
      </c>
      <c r="FW41" s="132">
        <f>IF(OR(FW$4="",$B41=""),0,SUMIF('DADOS BRUTOS'!$A$3:$A$500,$B41,'DADOS BRUTOS'!CW$3:CW$500)+IF($C41="",0,SUMIF('DADOS BRUTOS'!$A$3:$A$500,$C41,'DADOS BRUTOS'!CW$3:CW$500)))</f>
        <v/>
      </c>
      <c r="FX41" s="132">
        <f>IF(OR(FX$4="",$B41=""),0,SUMIF('DADOS BRUTOS'!$A$3:$A$500,$B41,'DADOS BRUTOS'!CX$3:CX$500)+IF($C41="",0,SUMIF('DADOS BRUTOS'!$A$3:$A$500,$C41,'DADOS BRUTOS'!CX$3:CX$500)))</f>
        <v/>
      </c>
      <c r="FY41" s="132">
        <f>IF(OR(FY$4="",$B41=""),0,SUMIF('DADOS BRUTOS'!$A$3:$A$500,$B41,'DADOS BRUTOS'!CY$3:CY$500)+IF($C41="",0,SUMIF('DADOS BRUTOS'!$A$3:$A$500,$C41,'DADOS BRUTOS'!CY$3:CY$500)))</f>
        <v/>
      </c>
      <c r="FZ41" s="132">
        <f>IF(OR(FZ$4="",$B41=""),0,SUMIF('DADOS BRUTOS'!$A$3:$A$500,$B41,'DADOS BRUTOS'!CZ$3:CZ$500)+IF($C41="",0,SUMIF('DADOS BRUTOS'!$A$3:$A$500,$C41,'DADOS BRUTOS'!CZ$3:CZ$500)))</f>
        <v/>
      </c>
      <c r="GA41" s="132">
        <f>IF(OR(GA$4="",$B41=""),0,SUMIF('DADOS BRUTOS'!$A$3:$A$500,$B41,'DADOS BRUTOS'!DA$3:DA$500)+IF($C41="",0,SUMIF('DADOS BRUTOS'!$A$3:$A$500,$C41,'DADOS BRUTOS'!DA$3:DA$500)))</f>
        <v/>
      </c>
      <c r="GB41" s="132">
        <f>IF(OR(GB$4="",$B41=""),0,SUMIF('DADOS BRUTOS'!$A$3:$A$500,$B41,'DADOS BRUTOS'!DB$3:DB$500)+IF($C41="",0,SUMIF('DADOS BRUTOS'!$A$3:$A$500,$C41,'DADOS BRUTOS'!DB$3:DB$500)))</f>
        <v/>
      </c>
      <c r="GC41" s="132">
        <f>IF(OR(GC$4="",$B41=""),0,SUMIF('DADOS BRUTOS'!$A$3:$A$500,$B41,'DADOS BRUTOS'!DC$3:DC$500)+IF($C41="",0,SUMIF('DADOS BRUTOS'!$A$3:$A$500,$C41,'DADOS BRUTOS'!DC$3:DC$500)))</f>
        <v/>
      </c>
      <c r="GD41" s="132">
        <f>IF(OR(GD$4="",$B41=""),0,SUMIF('DADOS BRUTOS'!$A$3:$A$500,$B41,'DADOS BRUTOS'!DD$3:DD$500)+IF($C41="",0,SUMIF('DADOS BRUTOS'!$A$3:$A$500,$C41,'DADOS BRUTOS'!DD$3:DD$500)))</f>
        <v/>
      </c>
      <c r="GE41" s="132">
        <f>IF(OR(GE$4="",$B41=""),0,SUMIF('DADOS BRUTOS'!$A$3:$A$500,$B41,'DADOS BRUTOS'!DE$3:DE$500)+IF($C41="",0,SUMIF('DADOS BRUTOS'!$A$3:$A$500,$C41,'DADOS BRUTOS'!DE$3:DE$500)))</f>
        <v/>
      </c>
      <c r="GF41" s="132">
        <f>IF(OR(GF$4="",$B41=""),0,SUMIF('DADOS BRUTOS'!$A$3:$A$500,$B41,'DADOS BRUTOS'!DF$3:DF$500)+IF($C41="",0,SUMIF('DADOS BRUTOS'!$A$3:$A$500,$C41,'DADOS BRUTOS'!DF$3:DF$500)))</f>
        <v/>
      </c>
      <c r="GG41" s="132">
        <f>IF(OR(GG$4="",$B41=""),0,SUMIF('DADOS BRUTOS'!$A$3:$A$500,$B41,'DADOS BRUTOS'!DG$3:DG$500)+IF($C41="",0,SUMIF('DADOS BRUTOS'!$A$3:$A$500,$C41,'DADOS BRUTOS'!DG$3:DG$500)))</f>
        <v/>
      </c>
      <c r="GH41" s="132">
        <f>IF(OR(GH$4="",$B41=""),0,SUMIF('DADOS BRUTOS'!$A$3:$A$500,$B41,'DADOS BRUTOS'!DH$3:DH$500)+IF($C41="",0,SUMIF('DADOS BRUTOS'!$A$3:$A$500,$C41,'DADOS BRUTOS'!DH$3:DH$500)))</f>
        <v/>
      </c>
      <c r="GI41" s="132">
        <f>IF(OR(GI$4="",$B41=""),0,SUMIF('DADOS BRUTOS'!$A$3:$A$500,$B41,'DADOS BRUTOS'!DI$3:DI$500)+IF($C41="",0,SUMIF('DADOS BRUTOS'!$A$3:$A$500,$C41,'DADOS BRUTOS'!DI$3:DI$500)))</f>
        <v/>
      </c>
      <c r="GJ41" s="132">
        <f>IF(OR(GJ$4="",$B41=""),0,SUMIF('DADOS BRUTOS'!$A$3:$A$500,$B41,'DADOS BRUTOS'!DJ$3:DJ$500)+IF($C41="",0,SUMIF('DADOS BRUTOS'!$A$3:$A$500,$C41,'DADOS BRUTOS'!DJ$3:DJ$500)))</f>
        <v/>
      </c>
      <c r="GK41" s="132">
        <f>IF(OR(GK$4="",$B41=""),0,SUMIF('DADOS BRUTOS'!$A$3:$A$500,$B41,'DADOS BRUTOS'!DK$3:DK$500)+IF($C41="",0,SUMIF('DADOS BRUTOS'!$A$3:$A$500,$C41,'DADOS BRUTOS'!DK$3:DK$500)))</f>
        <v/>
      </c>
      <c r="GL41" s="132">
        <f>IF(OR(GL$4="",$B41=""),0,SUMIF('DADOS BRUTOS'!$A$3:$A$500,$B41,'DADOS BRUTOS'!DL$3:DL$500)+IF($C41="",0,SUMIF('DADOS BRUTOS'!$A$3:$A$500,$C41,'DADOS BRUTOS'!DL$3:DL$500)))</f>
        <v/>
      </c>
      <c r="GM41" s="132">
        <f>IF(OR(GM$4="",$B41=""),0,SUMIF('DADOS BRUTOS'!$A$3:$A$500,$B41,'DADOS BRUTOS'!DM$3:DM$500)+IF($C41="",0,SUMIF('DADOS BRUTOS'!$A$3:$A$500,$C41,'DADOS BRUTOS'!DM$3:DM$500)))</f>
        <v/>
      </c>
      <c r="GN41" s="132">
        <f>IF(OR(GN$4="",$B41=""),0,SUMIF('DADOS BRUTOS'!$A$3:$A$500,$B41,'DADOS BRUTOS'!DN$3:DN$500)+IF($C41="",0,SUMIF('DADOS BRUTOS'!$A$3:$A$500,$C41,'DADOS BRUTOS'!DN$3:DN$500)))</f>
        <v/>
      </c>
      <c r="GO41" s="132">
        <f>IF(OR(GO$4="",$B41=""),0,SUMIF('DADOS BRUTOS'!$A$3:$A$500,$B41,'DADOS BRUTOS'!DO$3:DO$500)+IF($C41="",0,SUMIF('DADOS BRUTOS'!$A$3:$A$500,$C41,'DADOS BRUTOS'!DO$3:DO$500)))</f>
        <v/>
      </c>
      <c r="GP41" s="132">
        <f>IF(OR(GP$4="",$B41=""),0,SUMIF('DADOS BRUTOS'!$A$3:$A$500,$B41,'DADOS BRUTOS'!DP$3:DP$500)+IF($C41="",0,SUMIF('DADOS BRUTOS'!$A$3:$A$500,$C41,'DADOS BRUTOS'!DP$3:DP$500)))</f>
        <v/>
      </c>
      <c r="GQ41" s="132">
        <f>IF(OR(GQ$4="",$B41=""),0,SUMIF('DADOS BRUTOS'!$A$3:$A$500,$B41,'DADOS BRUTOS'!DQ$3:DQ$500)+IF($C41="",0,SUMIF('DADOS BRUTOS'!$A$3:$A$500,$C41,'DADOS BRUTOS'!DQ$3:DQ$500)))</f>
        <v/>
      </c>
      <c r="GR41" s="132">
        <f>IF(OR(GR$4="",$B41=""),0,SUMIF('DADOS BRUTOS'!$A$3:$A$500,$B41,'DADOS BRUTOS'!DR$3:DR$500)+IF($C41="",0,SUMIF('DADOS BRUTOS'!$A$3:$A$500,$C41,'DADOS BRUTOS'!DR$3:DR$500)))</f>
        <v/>
      </c>
      <c r="GS41" s="132">
        <f>IF(OR(GS$4="",$B41=""),0,SUMIF('DADOS BRUTOS'!$A$3:$A$500,$B41,'DADOS BRUTOS'!DS$3:DS$500)+IF($C41="",0,SUMIF('DADOS BRUTOS'!$A$3:$A$500,$C41,'DADOS BRUTOS'!DS$3:DS$500)))</f>
        <v/>
      </c>
      <c r="GT41" s="132">
        <f>IF(OR(GT$4="",$B41=""),0,SUMIF('DADOS BRUTOS'!$A$3:$A$500,$B41,'DADOS BRUTOS'!DT$3:DT$500)+IF($C41="",0,SUMIF('DADOS BRUTOS'!$A$3:$A$500,$C41,'DADOS BRUTOS'!DT$3:DT$500)))</f>
        <v/>
      </c>
      <c r="GU41" s="132">
        <f>IF(OR(GU$4="",$B41=""),0,SUMIF('DADOS BRUTOS'!$A$3:$A$500,$B41,'DADOS BRUTOS'!DU$3:DU$500)+IF($C41="",0,SUMIF('DADOS BRUTOS'!$A$3:$A$500,$C41,'DADOS BRUTOS'!DU$3:DU$500)))</f>
        <v/>
      </c>
      <c r="GV41" s="132">
        <f>IF(OR(GV$4="",$B41=""),0,SUMIF('DADOS BRUTOS'!$A$3:$A$500,$B41,'DADOS BRUTOS'!DV$3:DV$500)+IF($C41="",0,SUMIF('DADOS BRUTOS'!$A$3:$A$500,$C41,'DADOS BRUTOS'!DV$3:DV$500)))</f>
        <v/>
      </c>
      <c r="GW41" s="132">
        <f>IF(OR(GW$4="",$B41=""),0,SUMIF('DADOS BRUTOS'!$A$3:$A$500,$B41,'DADOS BRUTOS'!DW$3:DW$500)+IF($C41="",0,SUMIF('DADOS BRUTOS'!$A$3:$A$500,$C41,'DADOS BRUTOS'!DW$3:DW$500)))</f>
        <v/>
      </c>
      <c r="GX41" s="132">
        <f>IF(OR(GX$4="",$B41=""),0,SUMIF('DADOS BRUTOS'!$A$3:$A$500,$B41,'DADOS BRUTOS'!DX$3:DX$500)+IF($C41="",0,SUMIF('DADOS BRUTOS'!$A$3:$A$500,$C41,'DADOS BRUTOS'!DX$3:DX$500)))</f>
        <v/>
      </c>
      <c r="GY41" s="132">
        <f>IF(OR(GY$4="",$B41=""),0,SUMIF('DADOS BRUTOS'!$A$3:$A$500,$B41,'DADOS BRUTOS'!DY$3:DY$500)+IF($C41="",0,SUMIF('DADOS BRUTOS'!$A$3:$A$500,$C41,'DADOS BRUTOS'!DY$3:DY$500)))</f>
        <v/>
      </c>
      <c r="GZ41" s="132">
        <f>IF(OR(GZ$4="",$B41=""),0,SUMIF('DADOS BRUTOS'!$A$3:$A$500,$B41,'DADOS BRUTOS'!DZ$3:DZ$500)+IF($C41="",0,SUMIF('DADOS BRUTOS'!$A$3:$A$500,$C41,'DADOS BRUTOS'!DZ$3:DZ$500)))</f>
        <v/>
      </c>
      <c r="HA41" s="132">
        <f>IF(OR(HA$4="",$B41=""),0,SUMIF('DADOS BRUTOS'!$A$3:$A$500,$B41,'DADOS BRUTOS'!EA$3:EA$500)+IF($C41="",0,SUMIF('DADOS BRUTOS'!$A$3:$A$500,$C41,'DADOS BRUTOS'!EA$3:EA$500)))</f>
        <v/>
      </c>
      <c r="HB41" s="132">
        <f>IF(OR(HB$4="",$B41=""),0,SUMIF('DADOS BRUTOS'!$A$3:$A$500,$B41,'DADOS BRUTOS'!EB$3:EB$500)+IF($C41="",0,SUMIF('DADOS BRUTOS'!$A$3:$A$500,$C41,'DADOS BRUTOS'!EB$3:EB$500)))</f>
        <v/>
      </c>
      <c r="HC41" s="132">
        <f>IF(OR(HC$4="",$B41=""),0,SUMIF('DADOS BRUTOS'!$A$3:$A$500,$B41,'DADOS BRUTOS'!EC$3:EC$500)+IF($C41="",0,SUMIF('DADOS BRUTOS'!$A$3:$A$500,$C41,'DADOS BRUTOS'!EC$3:EC$500)))</f>
        <v/>
      </c>
      <c r="HD41" s="132">
        <f>IF(OR(HD$4="",$B41=""),0,SUMIF('DADOS BRUTOS'!$A$3:$A$500,$B41,'DADOS BRUTOS'!ED$3:ED$500)+IF($C41="",0,SUMIF('DADOS BRUTOS'!$A$3:$A$500,$C41,'DADOS BRUTOS'!ED$3:ED$500)))</f>
        <v/>
      </c>
      <c r="HE41" s="132">
        <f>IF(OR(HE$4="",$B41=""),0,SUMIF('DADOS BRUTOS'!$A$3:$A$500,$B41,'DADOS BRUTOS'!EE$3:EE$500)+IF($C41="",0,SUMIF('DADOS BRUTOS'!$A$3:$A$500,$C41,'DADOS BRUTOS'!EE$3:EE$500)))</f>
        <v/>
      </c>
      <c r="HF41" s="132">
        <f>IF(OR(HF$4="",$B41=""),0,SUMIF('DADOS BRUTOS'!$A$3:$A$500,$B41,'DADOS BRUTOS'!EF$3:EF$500)+IF($C41="",0,SUMIF('DADOS BRUTOS'!$A$3:$A$500,$C41,'DADOS BRUTOS'!EF$3:EF$500)))</f>
        <v/>
      </c>
      <c r="HG41" s="132">
        <f>IF(OR(HG$4="",$B41=""),0,SUMIF('DADOS BRUTOS'!$A$3:$A$500,$B41,'DADOS BRUTOS'!EG$3:EG$500)+IF($C41="",0,SUMIF('DADOS BRUTOS'!$A$3:$A$500,$C41,'DADOS BRUTOS'!EG$3:EG$500)))</f>
        <v/>
      </c>
      <c r="HH41" s="132">
        <f>IF(OR(HH$4="",$B41=""),0,SUMIF('DADOS BRUTOS'!$A$3:$A$500,$B41,'DADOS BRUTOS'!EH$3:EH$500)+IF($C41="",0,SUMIF('DADOS BRUTOS'!$A$3:$A$500,$C41,'DADOS BRUTOS'!EH$3:EH$500)))</f>
        <v/>
      </c>
      <c r="HI41" s="132">
        <f>IF(OR(HI$4="",$B41=""),0,SUMIF('DADOS BRUTOS'!$A$3:$A$500,$B41,'DADOS BRUTOS'!EI$3:EI$500)+IF($C41="",0,SUMIF('DADOS BRUTOS'!$A$3:$A$500,$C41,'DADOS BRUTOS'!EI$3:EI$500)))</f>
        <v/>
      </c>
      <c r="HJ41" s="132">
        <f>IF(OR(HJ$4="",$B41=""),0,SUMIF('DADOS BRUTOS'!$A$3:$A$500,$B41,'DADOS BRUTOS'!EJ$3:EJ$500)+IF($C41="",0,SUMIF('DADOS BRUTOS'!$A$3:$A$500,$C41,'DADOS BRUTOS'!EJ$3:EJ$500)))</f>
        <v/>
      </c>
      <c r="HK41" s="132">
        <f>IF(OR(HK$4="",$B41=""),0,SUMIF('DADOS BRUTOS'!$A$3:$A$500,$B41,'DADOS BRUTOS'!EK$3:EK$500)+IF($C41="",0,SUMIF('DADOS BRUTOS'!$A$3:$A$500,$C41,'DADOS BRUTOS'!EK$3:EK$500)))</f>
        <v/>
      </c>
      <c r="HL41" s="132">
        <f>IF(OR(HL$4="",$B41=""),0,SUMIF('DADOS BRUTOS'!$A$3:$A$500,$B41,'DADOS BRUTOS'!EL$3:EL$500)+IF($C41="",0,SUMIF('DADOS BRUTOS'!$A$3:$A$500,$C41,'DADOS BRUTOS'!EL$3:EL$500)))</f>
        <v/>
      </c>
      <c r="HM41" s="132">
        <f>IF(OR(HM$4="",$B41=""),0,SUMIF('DADOS BRUTOS'!$A$3:$A$500,$B41,'DADOS BRUTOS'!EM$3:EM$500)+IF($C41="",0,SUMIF('DADOS BRUTOS'!$A$3:$A$500,$C41,'DADOS BRUTOS'!EM$3:EM$500)))</f>
        <v/>
      </c>
      <c r="HN41" s="132">
        <f>IF(OR(HN$4="",$B41=""),0,SUMIF('DADOS BRUTOS'!$A$3:$A$500,$B41,'DADOS BRUTOS'!EN$3:EN$500)+IF($C41="",0,SUMIF('DADOS BRUTOS'!$A$3:$A$500,$C41,'DADOS BRUTOS'!EN$3:EN$500)))</f>
        <v/>
      </c>
      <c r="HO41" s="132">
        <f>IF(OR(HO$4="",$B41=""),0,SUMIF('DADOS BRUTOS'!$A$3:$A$500,$B41,'DADOS BRUTOS'!EO$3:EO$500)+IF($C41="",0,SUMIF('DADOS BRUTOS'!$A$3:$A$500,$C41,'DADOS BRUTOS'!EO$3:EO$500)))</f>
        <v/>
      </c>
      <c r="HP41" s="132">
        <f>IF(OR(HP$4="",$B41=""),0,SUMIF('DADOS BRUTOS'!$A$3:$A$500,$B41,'DADOS BRUTOS'!EP$3:EP$500)+IF($C41="",0,SUMIF('DADOS BRUTOS'!$A$3:$A$500,$C41,'DADOS BRUTOS'!EP$3:EP$500)))</f>
        <v/>
      </c>
      <c r="HQ41" s="132">
        <f>IF(OR(HQ$4="",$B41=""),0,SUMIF('DADOS BRUTOS'!$A$3:$A$500,$B41,'DADOS BRUTOS'!EQ$3:EQ$500)+IF($C41="",0,SUMIF('DADOS BRUTOS'!$A$3:$A$500,$C41,'DADOS BRUTOS'!EQ$3:EQ$500)))</f>
        <v/>
      </c>
      <c r="HR41" s="132">
        <f>IF(OR(HR$4="",$B41=""),0,SUMIF('DADOS BRUTOS'!$A$3:$A$500,$B41,'DADOS BRUTOS'!ER$3:ER$500)+IF($C41="",0,SUMIF('DADOS BRUTOS'!$A$3:$A$500,$C41,'DADOS BRUTOS'!ER$3:ER$500)))</f>
        <v/>
      </c>
      <c r="HS41" s="132">
        <f>IF(OR(HS$4="",$B41=""),0,SUMIF('DADOS BRUTOS'!$A$3:$A$500,$B41,'DADOS BRUTOS'!ES$3:ES$500)+IF($C41="",0,SUMIF('DADOS BRUTOS'!$A$3:$A$500,$C41,'DADOS BRUTOS'!ES$3:ES$500)))</f>
        <v/>
      </c>
      <c r="HT41" s="132">
        <f>IF(OR(HT$4="",$B41=""),0,SUMIF('DADOS BRUTOS'!$A$3:$A$500,$B41,'DADOS BRUTOS'!ET$3:ET$500)+IF($C41="",0,SUMIF('DADOS BRUTOS'!$A$3:$A$500,$C41,'DADOS BRUTOS'!ET$3:ET$500)))</f>
        <v/>
      </c>
      <c r="HU41" s="132">
        <f>IF(OR(HU$4="",$B41=""),0,SUMIF('DADOS BRUTOS'!$A$3:$A$500,$B41,'DADOS BRUTOS'!EU$3:EU$500)+IF($C41="",0,SUMIF('DADOS BRUTOS'!$A$3:$A$500,$C41,'DADOS BRUTOS'!EU$3:EU$500)))</f>
        <v/>
      </c>
      <c r="HV41" s="132">
        <f>IF(OR(HV$4="",$B41=""),0,SUMIF('DADOS BRUTOS'!$A$3:$A$500,$B41,'DADOS BRUTOS'!EV$3:EV$500)+IF($C41="",0,SUMIF('DADOS BRUTOS'!$A$3:$A$500,$C41,'DADOS BRUTOS'!EV$3:EV$500)))</f>
        <v/>
      </c>
      <c r="HW41" s="132">
        <f>IF(OR(HW$4="",$B41=""),0,SUMIF('DADOS BRUTOS'!$A$3:$A$500,$B41,'DADOS BRUTOS'!EW$3:EW$500)+IF($C41="",0,SUMIF('DADOS BRUTOS'!$A$3:$A$500,$C41,'DADOS BRUTOS'!EW$3:EW$500)))</f>
        <v/>
      </c>
      <c r="HX41" s="132">
        <f>IF(OR(HX$4="",$B41=""),0,SUMIF('DADOS BRUTOS'!$A$3:$A$500,$B41,'DADOS BRUTOS'!EX$3:EX$500)+IF($C41="",0,SUMIF('DADOS BRUTOS'!$A$3:$A$500,$C41,'DADOS BRUTOS'!EX$3:EX$500)))</f>
        <v/>
      </c>
      <c r="HY41" s="132">
        <f>IF(OR(HY$4="",$B41=""),0,SUMIF('DADOS BRUTOS'!$A$3:$A$500,$B41,'DADOS BRUTOS'!EY$3:EY$500)+IF($C41="",0,SUMIF('DADOS BRUTOS'!$A$3:$A$500,$C41,'DADOS BRUTOS'!EY$3:EY$500)))</f>
        <v/>
      </c>
      <c r="HZ41" s="132">
        <f>IF(OR(HZ$4="",$B41=""),0,SUMIF('DADOS BRUTOS'!$A$3:$A$500,$B41,'DADOS BRUTOS'!EZ$3:EZ$500)+IF($C41="",0,SUMIF('DADOS BRUTOS'!$A$3:$A$500,$C41,'DADOS BRUTOS'!EZ$3:EZ$500)))</f>
        <v/>
      </c>
      <c r="IA41" s="132">
        <f>IF(OR(IA$4="",$B41=""),0,SUMIF('DADOS BRUTOS'!$A$3:$A$500,$B41,'DADOS BRUTOS'!FA$3:FA$500)+IF($C41="",0,SUMIF('DADOS BRUTOS'!$A$3:$A$500,$C41,'DADOS BRUTOS'!FA$3:FA$500)))</f>
        <v/>
      </c>
      <c r="IB41" s="132">
        <f>IF(OR(IB$4="",$B41=""),0,SUMIF('DADOS BRUTOS'!$A$3:$A$500,$B41,'DADOS BRUTOS'!FB$3:FB$500)+IF($C41="",0,SUMIF('DADOS BRUTOS'!$A$3:$A$500,$C41,'DADOS BRUTOS'!FB$3:FB$500)))</f>
        <v/>
      </c>
      <c r="IC41" s="132">
        <f>IF(OR(IC$4="",$B41=""),0,SUMIF('DADOS BRUTOS'!$A$3:$A$500,$B41,'DADOS BRUTOS'!FC$3:FC$500)+IF($C41="",0,SUMIF('DADOS BRUTOS'!$A$3:$A$500,$C41,'DADOS BRUTOS'!FC$3:FC$500)))</f>
        <v/>
      </c>
      <c r="ID41" s="132">
        <f>IF(OR(ID$4="",$B41=""),0,SUMIF('DADOS BRUTOS'!$A$3:$A$500,$B41,'DADOS BRUTOS'!FD$3:FD$500)+IF($C41="",0,SUMIF('DADOS BRUTOS'!$A$3:$A$500,$C41,'DADOS BRUTOS'!FD$3:FD$500)))</f>
        <v/>
      </c>
      <c r="IE41" s="132">
        <f>IF(OR(IE$4="",$B41=""),0,SUMIF('DADOS BRUTOS'!$A$3:$A$500,$B41,'DADOS BRUTOS'!FE$3:FE$500)+IF($C41="",0,SUMIF('DADOS BRUTOS'!$A$3:$A$500,$C41,'DADOS BRUTOS'!FE$3:FE$500)))</f>
        <v/>
      </c>
      <c r="IF41" s="132">
        <f>IF(OR(IF$4="",$B41=""),0,SUMIF('DADOS BRUTOS'!$A$3:$A$500,$B41,'DADOS BRUTOS'!FF$3:FF$500)+IF($C41="",0,SUMIF('DADOS BRUTOS'!$A$3:$A$500,$C41,'DADOS BRUTOS'!FF$3:FF$500)))</f>
        <v/>
      </c>
      <c r="IG41" s="132">
        <f>IF(OR(IG$4="",$B41=""),0,SUMIF('DADOS BRUTOS'!$A$3:$A$500,$B41,'DADOS BRUTOS'!FG$3:FG$500)+IF($C41="",0,SUMIF('DADOS BRUTOS'!$A$3:$A$500,$C41,'DADOS BRUTOS'!FG$3:FG$500)))</f>
        <v/>
      </c>
      <c r="IH41" s="132">
        <f>IF(OR(IH$4="",$B41=""),0,SUMIF('DADOS BRUTOS'!$A$3:$A$500,$B41,'DADOS BRUTOS'!FH$3:FH$500)+IF($C41="",0,SUMIF('DADOS BRUTOS'!$A$3:$A$500,$C41,'DADOS BRUTOS'!FH$3:FH$500)))</f>
        <v/>
      </c>
      <c r="II41" s="132">
        <f>IF(OR(II$4="",$B41=""),0,SUMIF('DADOS BRUTOS'!$A$3:$A$500,$B41,'DADOS BRUTOS'!FI$3:FI$500)+IF($C41="",0,SUMIF('DADOS BRUTOS'!$A$3:$A$500,$C41,'DADOS BRUTOS'!FI$3:FI$500)))</f>
        <v/>
      </c>
      <c r="IJ41" s="132">
        <f>IF(OR(IJ$4="",$B41=""),0,SUMIF('DADOS BRUTOS'!$A$3:$A$500,$B41,'DADOS BRUTOS'!FJ$3:FJ$500)+IF($C41="",0,SUMIF('DADOS BRUTOS'!$A$3:$A$500,$C41,'DADOS BRUTOS'!FJ$3:FJ$500)))</f>
        <v/>
      </c>
      <c r="IK41" s="132">
        <f>IF(OR(IK$4="",$B41=""),0,SUMIF('DADOS BRUTOS'!$A$3:$A$500,$B41,'DADOS BRUTOS'!FK$3:FK$500)+IF($C41="",0,SUMIF('DADOS BRUTOS'!$A$3:$A$500,$C41,'DADOS BRUTOS'!FK$3:FK$500)))</f>
        <v/>
      </c>
      <c r="IL41" s="132">
        <f>IF(OR(IL$4="",$B41=""),0,SUMIF('DADOS BRUTOS'!$A$3:$A$500,$B41,'DADOS BRUTOS'!FL$3:FL$500)+IF($C41="",0,SUMIF('DADOS BRUTOS'!$A$3:$A$500,$C41,'DADOS BRUTOS'!FL$3:FL$500)))</f>
        <v/>
      </c>
      <c r="IM41" s="132">
        <f>IF(OR(IM$4="",$B41=""),0,SUMIF('DADOS BRUTOS'!$A$3:$A$500,$B41,'DADOS BRUTOS'!FM$3:FM$500)+IF($C41="",0,SUMIF('DADOS BRUTOS'!$A$3:$A$500,$C41,'DADOS BRUTOS'!FM$3:FM$500)))</f>
        <v/>
      </c>
      <c r="IN41" s="132">
        <f>IF(OR(IN$4="",$B41=""),0,SUMIF('DADOS BRUTOS'!$A$3:$A$500,$B41,'DADOS BRUTOS'!FN$3:FN$500)+IF($C41="",0,SUMIF('DADOS BRUTOS'!$A$3:$A$500,$C41,'DADOS BRUTOS'!FN$3:FN$500)))</f>
        <v/>
      </c>
      <c r="IO41" s="132">
        <f>IF(OR(IO$4="",$B41=""),0,SUMIF('DADOS BRUTOS'!$A$3:$A$500,$B41,'DADOS BRUTOS'!FO$3:FO$500)+IF($C41="",0,SUMIF('DADOS BRUTOS'!$A$3:$A$500,$C41,'DADOS BRUTOS'!FO$3:FO$500)))</f>
        <v/>
      </c>
      <c r="IP41" s="132">
        <f>IF(OR(IP$4="",$B41=""),0,SUMIF('DADOS BRUTOS'!$A$3:$A$500,$B41,'DADOS BRUTOS'!FP$3:FP$500)+IF($C41="",0,SUMIF('DADOS BRUTOS'!$A$3:$A$500,$C41,'DADOS BRUTOS'!FP$3:FP$500)))</f>
        <v/>
      </c>
      <c r="IQ41" s="132">
        <f>IF(OR(IQ$4="",$B41=""),0,SUMIF('DADOS BRUTOS'!$A$3:$A$500,$B41,'DADOS BRUTOS'!FQ$3:FQ$500)+IF($C41="",0,SUMIF('DADOS BRUTOS'!$A$3:$A$500,$C41,'DADOS BRUTOS'!FQ$3:FQ$500)))</f>
        <v/>
      </c>
      <c r="IR41" s="132">
        <f>IF(OR(IR$4="",$B41=""),0,SUMIF('DADOS BRUTOS'!$A$3:$A$500,$B41,'DADOS BRUTOS'!FR$3:FR$500)+IF($C41="",0,SUMIF('DADOS BRUTOS'!$A$3:$A$500,$C41,'DADOS BRUTOS'!FR$3:FR$500)))</f>
        <v/>
      </c>
      <c r="IS41" s="132">
        <f>IF(OR(IS$4="",$B41=""),0,SUMIF('DADOS BRUTOS'!$A$3:$A$500,$B41,'DADOS BRUTOS'!FS$3:FS$500)+IF($C41="",0,SUMIF('DADOS BRUTOS'!$A$3:$A$500,$C41,'DADOS BRUTOS'!FS$3:FS$500)))</f>
        <v/>
      </c>
      <c r="IT41" s="132">
        <f>IF(OR(IT$4="",$B41=""),0,SUMIF('DADOS BRUTOS'!$A$3:$A$500,$B41,'DADOS BRUTOS'!FT$3:FT$500)+IF($C41="",0,SUMIF('DADOS BRUTOS'!$A$3:$A$500,$C41,'DADOS BRUTOS'!FT$3:FT$500)))</f>
        <v/>
      </c>
      <c r="IU41" s="132">
        <f>IF(OR(IU$4="",$B41=""),0,SUMIF('DADOS BRUTOS'!$A$3:$A$500,$B41,'DADOS BRUTOS'!FU$3:FU$500)+IF($C41="",0,SUMIF('DADOS BRUTOS'!$A$3:$A$500,$C41,'DADOS BRUTOS'!FU$3:FU$500)))</f>
        <v/>
      </c>
      <c r="IV41" s="132">
        <f>IF(OR(IV$4="",$B41=""),0,SUMIF('DADOS BRUTOS'!$A$3:$A$500,$B41,'DADOS BRUTOS'!FV$3:FV$500)+IF($C41="",0,SUMIF('DADOS BRUTOS'!$A$3:$A$500,$C41,'DADOS BRUTOS'!FV$3:FV$500)))</f>
        <v/>
      </c>
      <c r="IW41" s="132">
        <f>IF(OR(IW$4="",$B41=""),0,SUMIF('DADOS BRUTOS'!$A$3:$A$500,$B41,'DADOS BRUTOS'!FW$3:FW$500)+IF($C41="",0,SUMIF('DADOS BRUTOS'!$A$3:$A$500,$C41,'DADOS BRUTOS'!FW$3:FW$500)))</f>
        <v/>
      </c>
      <c r="IX41" s="132">
        <f>IF(OR(IX$4="",$B41=""),0,SUMIF('DADOS BRUTOS'!$A$3:$A$500,$B41,'DADOS BRUTOS'!FX$3:FX$500)+IF($C41="",0,SUMIF('DADOS BRUTOS'!$A$3:$A$500,$C41,'DADOS BRUTOS'!FX$3:FX$500)))</f>
        <v/>
      </c>
      <c r="IY41" s="132">
        <f>IF(OR(IY$4="",$B41=""),0,SUMIF('DADOS BRUTOS'!$A$3:$A$500,$B41,'DADOS BRUTOS'!FY$3:FY$500)+IF($C41="",0,SUMIF('DADOS BRUTOS'!$A$3:$A$500,$C41,'DADOS BRUTOS'!FY$3:FY$500)))</f>
        <v/>
      </c>
      <c r="IZ41" s="132">
        <f>IF(OR(IZ$4="",$B41=""),0,SUMIF('DADOS BRUTOS'!$A$3:$A$500,$B41,'DADOS BRUTOS'!FZ$3:FZ$500)+IF($C41="",0,SUMIF('DADOS BRUTOS'!$A$3:$A$500,$C41,'DADOS BRUTOS'!FZ$3:FZ$500)))</f>
        <v/>
      </c>
      <c r="JA41" s="132">
        <f>IF(OR(JA$4="",$B41=""),0,SUMIF('DADOS BRUTOS'!$A$3:$A$500,$B41,'DADOS BRUTOS'!GA$3:GA$500)+IF($C41="",0,SUMIF('DADOS BRUTOS'!$A$3:$A$500,$C41,'DADOS BRUTOS'!GA$3:GA$500)))</f>
        <v/>
      </c>
      <c r="JB41" s="132">
        <f>IF(OR(JB$4="",$B41=""),0,SUMIF('DADOS BRUTOS'!$A$3:$A$500,$B41,'DADOS BRUTOS'!GB$3:GB$500)+IF($C41="",0,SUMIF('DADOS BRUTOS'!$A$3:$A$500,$C41,'DADOS BRUTOS'!GB$3:GB$500)))</f>
        <v/>
      </c>
      <c r="JC41" s="132">
        <f>IF(OR(JC$4="",$B41=""),0,SUMIF('DADOS BRUTOS'!$A$3:$A$500,$B41,'DADOS BRUTOS'!GC$3:GC$500)+IF($C41="",0,SUMIF('DADOS BRUTOS'!$A$3:$A$500,$C41,'DADOS BRUTOS'!GC$3:GC$500)))</f>
        <v/>
      </c>
      <c r="JD41" s="132">
        <f>IF(OR(JD$4="",$B41=""),0,SUMIF('DADOS BRUTOS'!$A$3:$A$500,$B41,'DADOS BRUTOS'!GD$3:GD$500)+IF($C41="",0,SUMIF('DADOS BRUTOS'!$A$3:$A$500,$C41,'DADOS BRUTOS'!GD$3:GD$500)))</f>
        <v/>
      </c>
      <c r="JE41" s="132">
        <f>IF(OR(JE$4="",$B41=""),0,SUMIF('DADOS BRUTOS'!$A$3:$A$500,$B41,'DADOS BRUTOS'!GE$3:GE$500)+IF($C41="",0,SUMIF('DADOS BRUTOS'!$A$3:$A$500,$C41,'DADOS BRUTOS'!GE$3:GE$500)))</f>
        <v/>
      </c>
      <c r="JF41" s="132">
        <f>IF(OR(JF$4="",$B41=""),0,SUMIF('DADOS BRUTOS'!$A$3:$A$500,$B41,'DADOS BRUTOS'!GF$3:GF$500)+IF($C41="",0,SUMIF('DADOS BRUTOS'!$A$3:$A$500,$C41,'DADOS BRUTOS'!GF$3:GF$500)))</f>
        <v/>
      </c>
      <c r="JG41" s="132">
        <f>IF(OR(JG$4="",$B41=""),0,SUMIF('DADOS BRUTOS'!$A$3:$A$500,$B41,'DADOS BRUTOS'!GG$3:GG$500)+IF($C41="",0,SUMIF('DADOS BRUTOS'!$A$3:$A$500,$C41,'DADOS BRUTOS'!GG$3:GG$500)))</f>
        <v/>
      </c>
      <c r="JH41" s="132">
        <f>IF(OR(JH$4="",$B41=""),0,SUMIF('DADOS BRUTOS'!$A$3:$A$500,$B41,'DADOS BRUTOS'!GH$3:GH$500)+IF($C41="",0,SUMIF('DADOS BRUTOS'!$A$3:$A$500,$C41,'DADOS BRUTOS'!GH$3:GH$500)))</f>
        <v/>
      </c>
      <c r="JI41" s="132">
        <f>IF(OR(JI$4="",$B41=""),0,SUMIF('DADOS BRUTOS'!$A$3:$A$500,$B41,'DADOS BRUTOS'!GI$3:GI$500)+IF($C41="",0,SUMIF('DADOS BRUTOS'!$A$3:$A$500,$C41,'DADOS BRUTOS'!GI$3:GI$500)))</f>
        <v/>
      </c>
      <c r="JJ41" s="132">
        <f>IF(OR(JJ$4="",$B41=""),0,SUMIF('DADOS BRUTOS'!$A$3:$A$500,$B41,'DADOS BRUTOS'!GJ$3:GJ$500)+IF($C41="",0,SUMIF('DADOS BRUTOS'!$A$3:$A$500,$C41,'DADOS BRUTOS'!GJ$3:GJ$500)))</f>
        <v/>
      </c>
      <c r="JK41" s="132">
        <f>IF(OR(JK$4="",$B41=""),0,SUMIF('DADOS BRUTOS'!$A$3:$A$500,$B41,'DADOS BRUTOS'!GK$3:GK$500)+IF($C41="",0,SUMIF('DADOS BRUTOS'!$A$3:$A$500,$C41,'DADOS BRUTOS'!GK$3:GK$500)))</f>
        <v/>
      </c>
      <c r="JL41" s="132">
        <f>IF(OR(JL$4="",$B41=""),0,SUMIF('DADOS BRUTOS'!$A$3:$A$500,$B41,'DADOS BRUTOS'!GL$3:GL$500)+IF($C41="",0,SUMIF('DADOS BRUTOS'!$A$3:$A$500,$C41,'DADOS BRUTOS'!GL$3:GL$500)))</f>
        <v/>
      </c>
      <c r="JM41" s="132">
        <f>IF(OR(JM$4="",$B41=""),0,SUMIF('DADOS BRUTOS'!$A$3:$A$500,$B41,'DADOS BRUTOS'!GM$3:GM$500)+IF($C41="",0,SUMIF('DADOS BRUTOS'!$A$3:$A$500,$C41,'DADOS BRUTOS'!GM$3:GM$500)))</f>
        <v/>
      </c>
      <c r="JN41" s="132">
        <f>IF(OR(JN$4="",$B41=""),0,SUMIF('DADOS BRUTOS'!$A$3:$A$500,$B41,'DADOS BRUTOS'!GN$3:GN$500)+IF($C41="",0,SUMIF('DADOS BRUTOS'!$A$3:$A$500,$C41,'DADOS BRUTOS'!GN$3:GN$500)))</f>
        <v/>
      </c>
      <c r="JO41" s="132">
        <f>IF(OR(JO$4="",$B41=""),0,SUMIF('DADOS BRUTOS'!$A$3:$A$500,$B41,'DADOS BRUTOS'!GO$3:GO$500)+IF($C41="",0,SUMIF('DADOS BRUTOS'!$A$3:$A$500,$C41,'DADOS BRUTOS'!GO$3:GO$500)))</f>
        <v/>
      </c>
      <c r="JP41" s="132">
        <f>IF(OR(JP$4="",$B41=""),0,SUMIF('DADOS BRUTOS'!$A$3:$A$500,$B41,'DADOS BRUTOS'!GP$3:GP$500)+IF($C41="",0,SUMIF('DADOS BRUTOS'!$A$3:$A$500,$C41,'DADOS BRUTOS'!GP$3:GP$500)))</f>
        <v/>
      </c>
      <c r="JQ41" s="132">
        <f>IF(OR(JQ$4="",$B41=""),0,SUMIF('DADOS BRUTOS'!$A$3:$A$500,$B41,'DADOS BRUTOS'!GQ$3:GQ$500)+IF($C41="",0,SUMIF('DADOS BRUTOS'!$A$3:$A$500,$C41,'DADOS BRUTOS'!GQ$3:GQ$500)))</f>
        <v/>
      </c>
      <c r="JR41" s="132">
        <f>IF(OR(JR$4="",$B41=""),0,SUMIF('DADOS BRUTOS'!$A$3:$A$500,$B41,'DADOS BRUTOS'!GR$3:GR$500)+IF($C41="",0,SUMIF('DADOS BRUTOS'!$A$3:$A$500,$C41,'DADOS BRUTOS'!GR$3:GR$500)))</f>
        <v/>
      </c>
      <c r="JS41" s="132">
        <f>IF(OR(JS$4="",$B41=""),0,SUMIF('DADOS BRUTOS'!$A$3:$A$500,$B41,'DADOS BRUTOS'!GS$3:GS$500)+IF($C41="",0,SUMIF('DADOS BRUTOS'!$A$3:$A$500,$C41,'DADOS BRUTOS'!GS$3:GS$500)))</f>
        <v/>
      </c>
    </row>
    <row r="42">
      <c r="A42" s="61">
        <f>'VALOR POR PL'!D48</f>
        <v/>
      </c>
      <c r="B42" s="59" t="inlineStr">
        <is>
          <t>TAXA DE ADMINISTRAÇÃO</t>
        </is>
      </c>
      <c r="C42" s="59" t="n"/>
      <c r="D42" s="54">
        <f>SUMIF($CB$4:$JS$4,"&lt;="&amp;D$4,$CB42:$JS42)</f>
        <v/>
      </c>
      <c r="E42" s="54">
        <f>SUMIF($CB$4:$JS$4,E$4,$CB42:$JS42)</f>
        <v/>
      </c>
      <c r="F42" s="54">
        <f>SUMIF($CB$4:$JS$4,F$4,$CB42:$JS42)</f>
        <v/>
      </c>
      <c r="G42" s="54">
        <f>SUMIF($CB$4:$JS$4,G$4,$CB42:$JS42)</f>
        <v/>
      </c>
      <c r="H42" s="54">
        <f>SUMIF($CB$4:$JS$4,H$4,$CB42:$JS42)</f>
        <v/>
      </c>
      <c r="I42" s="54">
        <f>SUMIF($CB$4:$JS$4,I$4,$CB42:$JS42)</f>
        <v/>
      </c>
      <c r="J42" s="54">
        <f>SUMIF($CB$4:$JS$4,J$4,$CB42:$JS42)</f>
        <v/>
      </c>
      <c r="K42" s="54">
        <f>SUMIF($CB$4:$JS$4,K$4,$CB42:$JS42)</f>
        <v/>
      </c>
      <c r="L42" s="54">
        <f>SUMIF($CB$4:$JS$4,L$4,$CB42:$JS42)</f>
        <v/>
      </c>
      <c r="M42" s="54">
        <f>SUMIF($CB$4:$JS$4,M$4,$CB42:$JS42)</f>
        <v/>
      </c>
      <c r="N42" s="54">
        <f>SUMIF($CB$4:$JS$4,N$4,$CB42:$JS42)</f>
        <v/>
      </c>
      <c r="O42" s="54">
        <f>SUMIF($CB$4:$JS$4,O$4,$CB42:$JS42)</f>
        <v/>
      </c>
      <c r="P42" s="54">
        <f>SUMIF($CB$4:$JS$4,P$4,$CB42:$JS42)</f>
        <v/>
      </c>
      <c r="Q42" s="54">
        <f>SUMIF($CB$4:$JS$4,Q$4,$CB42:$JS42)</f>
        <v/>
      </c>
      <c r="R42" s="54">
        <f>SUMIF($CB$4:$JS$4,R$4,$CB42:$JS42)</f>
        <v/>
      </c>
      <c r="S42" s="54">
        <f>SUMIF($CB$4:$JS$4,S$4,$CB42:$JS42)</f>
        <v/>
      </c>
      <c r="T42" s="54">
        <f>SUMIF($CB$4:$JS$4,T$4,$CB42:$JS42)</f>
        <v/>
      </c>
      <c r="U42" s="54">
        <f>SUMIF($CB$4:$JS$4,U$4,$CB42:$JS42)</f>
        <v/>
      </c>
      <c r="V42" s="54">
        <f>SUMIF($CB$4:$JS$4,V$4,$CB42:$JS42)</f>
        <v/>
      </c>
      <c r="W42" s="54">
        <f>SUMIF($CB$4:$JS$4,W$4,$CB42:$JS42)</f>
        <v/>
      </c>
      <c r="X42" s="54">
        <f>SUMIF($CB$4:$JS$4,X$4,$CB42:$JS42)</f>
        <v/>
      </c>
      <c r="Y42" s="54">
        <f>SUMIF($CB$4:$JS$4,Y$4,$CB42:$JS42)</f>
        <v/>
      </c>
      <c r="Z42" s="54">
        <f>SUMIF($CB$4:$JS$4,Z$4,$CB42:$JS42)</f>
        <v/>
      </c>
      <c r="AA42" s="54">
        <f>SUMIF($CB$4:$JS$4,AA$4,$CB42:$JS42)</f>
        <v/>
      </c>
      <c r="AB42" s="54">
        <f>SUMIF($CB$4:$JS$4,AB$4,$CB42:$JS42)</f>
        <v/>
      </c>
      <c r="AC42" s="54">
        <f>SUMIF($CB$4:$JS$4,AC$4,$CB42:$JS42)</f>
        <v/>
      </c>
      <c r="AD42" s="54">
        <f>SUMIF($CB$4:$JS$4,AD$4,$CB42:$JS42)</f>
        <v/>
      </c>
      <c r="AE42" s="54">
        <f>SUMIF($CB$4:$JS$4,AE$4,$CB42:$JS42)</f>
        <v/>
      </c>
      <c r="AF42" s="54">
        <f>SUMIF($CB$4:$JS$4,AF$4,$CB42:$JS42)</f>
        <v/>
      </c>
      <c r="AG42" s="54">
        <f>SUMIF($CB$4:$JS$4,AG$4,$CB42:$JS42)</f>
        <v/>
      </c>
      <c r="AH42" s="54">
        <f>SUMIF($CB$4:$JS$4,AH$4,$CB42:$JS42)</f>
        <v/>
      </c>
      <c r="AI42" s="54">
        <f>SUMIF($CB$4:$JS$4,AI$4,$CB42:$JS42)</f>
        <v/>
      </c>
      <c r="AJ42" s="54">
        <f>SUMIF($CB$4:$JS$4,AJ$4,$CB42:$JS42)</f>
        <v/>
      </c>
      <c r="AK42" s="54">
        <f>SUMIF($CB$4:$JS$4,AK$4,$CB42:$JS42)</f>
        <v/>
      </c>
      <c r="AL42" s="54">
        <f>SUMIF($CB$4:$JS$4,AL$4,$CB42:$JS42)</f>
        <v/>
      </c>
      <c r="AM42" s="54">
        <f>SUMIF($CB$4:$JS$4,AM$4,$CB42:$JS42)</f>
        <v/>
      </c>
      <c r="AN42" s="54">
        <f>SUMIF($CB$4:$JS$4,AN$4,$CB42:$JS42)</f>
        <v/>
      </c>
      <c r="AO42" s="54">
        <f>SUMIF($CB$4:$JS$4,AO$4,$CB42:$JS42)</f>
        <v/>
      </c>
      <c r="AP42" s="54">
        <f>SUMIF($CB$4:$JS$4,AP$4,$CB42:$JS42)</f>
        <v/>
      </c>
      <c r="AQ42" s="54">
        <f>SUMIF($CB$4:$JS$4,AQ$4,$CB42:$JS42)</f>
        <v/>
      </c>
      <c r="AR42" s="54">
        <f>SUMIF($CB$4:$JS$4,AR$4,$CB42:$JS42)</f>
        <v/>
      </c>
      <c r="AS42" s="54">
        <f>SUMIF($CB$4:$JS$4,AS$4,$CB42:$JS42)</f>
        <v/>
      </c>
      <c r="AT42" s="54">
        <f>SUMIF($CB$4:$JS$4,AT$4,$CB42:$JS42)</f>
        <v/>
      </c>
      <c r="AU42" s="54">
        <f>SUMIF($CB$4:$JS$4,AU$4,$CB42:$JS42)</f>
        <v/>
      </c>
      <c r="AV42" s="54">
        <f>SUMIF($CB$4:$JS$4,AV$4,$CB42:$JS42)</f>
        <v/>
      </c>
      <c r="AW42" s="54">
        <f>SUMIF($CB$4:$JS$4,AW$4,$CB42:$JS42)</f>
        <v/>
      </c>
      <c r="AX42" s="54">
        <f>SUMIF($CB$4:$JS$4,AX$4,$CB42:$JS42)</f>
        <v/>
      </c>
      <c r="AY42" s="54">
        <f>SUMIF($CB$4:$JS$4,AY$4,$CB42:$JS42)</f>
        <v/>
      </c>
      <c r="AZ42" s="54">
        <f>SUMIF($CB$4:$JS$4,AZ$4,$CB42:$JS42)</f>
        <v/>
      </c>
      <c r="BA42" s="54">
        <f>SUMIF($CB$4:$JS$4,BA$4,$CB42:$JS42)</f>
        <v/>
      </c>
      <c r="BB42" s="54">
        <f>SUMIF($CB$4:$JS$4,BB$4,$CB42:$JS42)</f>
        <v/>
      </c>
      <c r="BC42" s="54">
        <f>SUMIF($CB$4:$JS$4,BC$4,$CB42:$JS42)</f>
        <v/>
      </c>
      <c r="BD42" s="54">
        <f>SUMIF($CB$4:$JS$4,BD$4,$CB42:$JS42)</f>
        <v/>
      </c>
      <c r="BE42" s="54">
        <f>SUMIF($CB$4:$JS$4,BE$4,$CB42:$JS42)</f>
        <v/>
      </c>
      <c r="BF42" s="54">
        <f>SUMIF($CB$4:$JS$4,BF$4,$CB42:$JS42)</f>
        <v/>
      </c>
      <c r="BG42" s="54">
        <f>SUMIF($CB$4:$JS$4,BG$4,$CB42:$JS42)</f>
        <v/>
      </c>
      <c r="BH42" s="54">
        <f>SUMIF($CB$4:$JS$4,BH$4,$CB42:$JS42)</f>
        <v/>
      </c>
      <c r="BI42" s="54">
        <f>SUMIF($CB$4:$JS$4,BI$4,$CB42:$JS42)</f>
        <v/>
      </c>
      <c r="BJ42" s="54">
        <f>SUMIF($CB$4:$JS$4,BJ$4,$CB42:$JS42)</f>
        <v/>
      </c>
      <c r="BK42" s="54">
        <f>SUMIF($CB$4:$JS$4,BK$4,$CB42:$JS42)</f>
        <v/>
      </c>
      <c r="BL42" s="54">
        <f>SUMIF($CB$4:$JS$4,BL$4,$CB42:$JS42)</f>
        <v/>
      </c>
      <c r="BM42" s="54">
        <f>SUMIF($CB$4:$JS$4,BM$4,$CB42:$JS42)</f>
        <v/>
      </c>
      <c r="BN42" s="54">
        <f>SUMIF($CB$4:$JS$4,BN$4,$CB42:$JS42)</f>
        <v/>
      </c>
      <c r="BO42" s="54">
        <f>SUMIF($CB$4:$JS$4,BO$4,$CB42:$JS42)</f>
        <v/>
      </c>
      <c r="BP42" s="54">
        <f>SUMIF($CB$4:$JS$4,BP$4,$CB42:$JS42)</f>
        <v/>
      </c>
      <c r="BQ42" s="54">
        <f>SUMIF($CB$4:$JS$4,BQ$4,$CB42:$JS42)</f>
        <v/>
      </c>
      <c r="BR42" s="54">
        <f>SUMIF($CB$4:$JS$4,BR$4,$CB42:$JS42)</f>
        <v/>
      </c>
      <c r="BS42" s="54">
        <f>SUMIF($CB$4:$JS$4,BS$4,$CB42:$JS42)</f>
        <v/>
      </c>
      <c r="BT42" s="54">
        <f>SUMIF($CB$4:$JS$4,BT$4,$CB42:$JS42)</f>
        <v/>
      </c>
      <c r="BU42" s="54">
        <f>SUMIF($CB$4:$JS$4,BU$4,$CB42:$JS42)</f>
        <v/>
      </c>
      <c r="BV42" s="54">
        <f>SUMIF($CB$4:$JS$4,BV$4,$CB42:$JS42)</f>
        <v/>
      </c>
      <c r="BW42" s="54">
        <f>SUMIF($CB$4:$JS$4,BW$4,$CB42:$JS42)</f>
        <v/>
      </c>
      <c r="BX42" s="54">
        <f>SUMIF($CB$4:$JS$4,"&gt;"&amp;'VALOR POR PL'!$P$8,$CB42:$JS42)</f>
        <v/>
      </c>
      <c r="BY42" s="54">
        <f>SUM($CB42:$JS42)</f>
        <v/>
      </c>
      <c r="BZ42" s="49">
        <f>SUMPRODUCT(($CB$4:$JS$4&lt;&gt;"")*($CB$4:$JS$4&lt;=$D$4),$CB42:$JS42,$CB$1:$JS$1)</f>
        <v/>
      </c>
      <c r="CB42" s="132">
        <f>IF(OR(CB$4="",$B42=""),0,SUMIF('DADOS BRUTOS'!$A$3:$A$500,$B42,'DADOS BRUTOS'!B$3:B$500)+IF($C42="",0,SUMIF('DADOS BRUTOS'!$A$3:$A$500,$C42,'DADOS BRUTOS'!B$3:B$500)))</f>
        <v/>
      </c>
      <c r="CC42" s="132">
        <f>IF(OR(CC$4="",$B42=""),0,SUMIF('DADOS BRUTOS'!$A$3:$A$500,$B42,'DADOS BRUTOS'!C$3:C$500)+IF($C42="",0,SUMIF('DADOS BRUTOS'!$A$3:$A$500,$C42,'DADOS BRUTOS'!C$3:C$500)))</f>
        <v/>
      </c>
      <c r="CD42" s="132">
        <f>IF(OR(CD$4="",$B42=""),0,SUMIF('DADOS BRUTOS'!$A$3:$A$500,$B42,'DADOS BRUTOS'!D$3:D$500)+IF($C42="",0,SUMIF('DADOS BRUTOS'!$A$3:$A$500,$C42,'DADOS BRUTOS'!D$3:D$500)))</f>
        <v/>
      </c>
      <c r="CE42" s="132">
        <f>IF(OR(CE$4="",$B42=""),0,SUMIF('DADOS BRUTOS'!$A$3:$A$500,$B42,'DADOS BRUTOS'!E$3:E$500)+IF($C42="",0,SUMIF('DADOS BRUTOS'!$A$3:$A$500,$C42,'DADOS BRUTOS'!E$3:E$500)))</f>
        <v/>
      </c>
      <c r="CF42" s="132">
        <f>IF(OR(CF$4="",$B42=""),0,SUMIF('DADOS BRUTOS'!$A$3:$A$500,$B42,'DADOS BRUTOS'!F$3:F$500)+IF($C42="",0,SUMIF('DADOS BRUTOS'!$A$3:$A$500,$C42,'DADOS BRUTOS'!F$3:F$500)))</f>
        <v/>
      </c>
      <c r="CG42" s="132">
        <f>IF(OR(CG$4="",$B42=""),0,SUMIF('DADOS BRUTOS'!$A$3:$A$500,$B42,'DADOS BRUTOS'!G$3:G$500)+IF($C42="",0,SUMIF('DADOS BRUTOS'!$A$3:$A$500,$C42,'DADOS BRUTOS'!G$3:G$500)))</f>
        <v/>
      </c>
      <c r="CH42" s="132">
        <f>IF(OR(CH$4="",$B42=""),0,SUMIF('DADOS BRUTOS'!$A$3:$A$500,$B42,'DADOS BRUTOS'!H$3:H$500)+IF($C42="",0,SUMIF('DADOS BRUTOS'!$A$3:$A$500,$C42,'DADOS BRUTOS'!H$3:H$500)))</f>
        <v/>
      </c>
      <c r="CI42" s="132">
        <f>IF(OR(CI$4="",$B42=""),0,SUMIF('DADOS BRUTOS'!$A$3:$A$500,$B42,'DADOS BRUTOS'!I$3:I$500)+IF($C42="",0,SUMIF('DADOS BRUTOS'!$A$3:$A$500,$C42,'DADOS BRUTOS'!I$3:I$500)))</f>
        <v/>
      </c>
      <c r="CJ42" s="132">
        <f>IF(OR(CJ$4="",$B42=""),0,SUMIF('DADOS BRUTOS'!$A$3:$A$500,$B42,'DADOS BRUTOS'!J$3:J$500)+IF($C42="",0,SUMIF('DADOS BRUTOS'!$A$3:$A$500,$C42,'DADOS BRUTOS'!J$3:J$500)))</f>
        <v/>
      </c>
      <c r="CK42" s="132">
        <f>IF(OR(CK$4="",$B42=""),0,SUMIF('DADOS BRUTOS'!$A$3:$A$500,$B42,'DADOS BRUTOS'!K$3:K$500)+IF($C42="",0,SUMIF('DADOS BRUTOS'!$A$3:$A$500,$C42,'DADOS BRUTOS'!K$3:K$500)))</f>
        <v/>
      </c>
      <c r="CL42" s="132">
        <f>IF(OR(CL$4="",$B42=""),0,SUMIF('DADOS BRUTOS'!$A$3:$A$500,$B42,'DADOS BRUTOS'!L$3:L$500)+IF($C42="",0,SUMIF('DADOS BRUTOS'!$A$3:$A$500,$C42,'DADOS BRUTOS'!L$3:L$500)))</f>
        <v/>
      </c>
      <c r="CM42" s="132">
        <f>IF(OR(CM$4="",$B42=""),0,SUMIF('DADOS BRUTOS'!$A$3:$A$500,$B42,'DADOS BRUTOS'!M$3:M$500)+IF($C42="",0,SUMIF('DADOS BRUTOS'!$A$3:$A$500,$C42,'DADOS BRUTOS'!M$3:M$500)))</f>
        <v/>
      </c>
      <c r="CN42" s="132">
        <f>IF(OR(CN$4="",$B42=""),0,SUMIF('DADOS BRUTOS'!$A$3:$A$500,$B42,'DADOS BRUTOS'!N$3:N$500)+IF($C42="",0,SUMIF('DADOS BRUTOS'!$A$3:$A$500,$C42,'DADOS BRUTOS'!N$3:N$500)))</f>
        <v/>
      </c>
      <c r="CO42" s="132">
        <f>IF(OR(CO$4="",$B42=""),0,SUMIF('DADOS BRUTOS'!$A$3:$A$500,$B42,'DADOS BRUTOS'!O$3:O$500)+IF($C42="",0,SUMIF('DADOS BRUTOS'!$A$3:$A$500,$C42,'DADOS BRUTOS'!O$3:O$500)))</f>
        <v/>
      </c>
      <c r="CP42" s="132">
        <f>IF(OR(CP$4="",$B42=""),0,SUMIF('DADOS BRUTOS'!$A$3:$A$500,$B42,'DADOS BRUTOS'!P$3:P$500)+IF($C42="",0,SUMIF('DADOS BRUTOS'!$A$3:$A$500,$C42,'DADOS BRUTOS'!P$3:P$500)))</f>
        <v/>
      </c>
      <c r="CQ42" s="132">
        <f>IF(OR(CQ$4="",$B42=""),0,SUMIF('DADOS BRUTOS'!$A$3:$A$500,$B42,'DADOS BRUTOS'!Q$3:Q$500)+IF($C42="",0,SUMIF('DADOS BRUTOS'!$A$3:$A$500,$C42,'DADOS BRUTOS'!Q$3:Q$500)))</f>
        <v/>
      </c>
      <c r="CR42" s="132">
        <f>IF(OR(CR$4="",$B42=""),0,SUMIF('DADOS BRUTOS'!$A$3:$A$500,$B42,'DADOS BRUTOS'!R$3:R$500)+IF($C42="",0,SUMIF('DADOS BRUTOS'!$A$3:$A$500,$C42,'DADOS BRUTOS'!R$3:R$500)))</f>
        <v/>
      </c>
      <c r="CS42" s="132">
        <f>IF(OR(CS$4="",$B42=""),0,SUMIF('DADOS BRUTOS'!$A$3:$A$500,$B42,'DADOS BRUTOS'!S$3:S$500)+IF($C42="",0,SUMIF('DADOS BRUTOS'!$A$3:$A$500,$C42,'DADOS BRUTOS'!S$3:S$500)))</f>
        <v/>
      </c>
      <c r="CT42" s="132">
        <f>IF(OR(CT$4="",$B42=""),0,SUMIF('DADOS BRUTOS'!$A$3:$A$500,$B42,'DADOS BRUTOS'!T$3:T$500)+IF($C42="",0,SUMIF('DADOS BRUTOS'!$A$3:$A$500,$C42,'DADOS BRUTOS'!T$3:T$500)))</f>
        <v/>
      </c>
      <c r="CU42" s="132">
        <f>IF(OR(CU$4="",$B42=""),0,SUMIF('DADOS BRUTOS'!$A$3:$A$500,$B42,'DADOS BRUTOS'!U$3:U$500)+IF($C42="",0,SUMIF('DADOS BRUTOS'!$A$3:$A$500,$C42,'DADOS BRUTOS'!U$3:U$500)))</f>
        <v/>
      </c>
      <c r="CV42" s="132">
        <f>IF(OR(CV$4="",$B42=""),0,SUMIF('DADOS BRUTOS'!$A$3:$A$500,$B42,'DADOS BRUTOS'!V$3:V$500)+IF($C42="",0,SUMIF('DADOS BRUTOS'!$A$3:$A$500,$C42,'DADOS BRUTOS'!V$3:V$500)))</f>
        <v/>
      </c>
      <c r="CW42" s="132">
        <f>IF(OR(CW$4="",$B42=""),0,SUMIF('DADOS BRUTOS'!$A$3:$A$500,$B42,'DADOS BRUTOS'!W$3:W$500)+IF($C42="",0,SUMIF('DADOS BRUTOS'!$A$3:$A$500,$C42,'DADOS BRUTOS'!W$3:W$500)))</f>
        <v/>
      </c>
      <c r="CX42" s="132">
        <f>IF(OR(CX$4="",$B42=""),0,SUMIF('DADOS BRUTOS'!$A$3:$A$500,$B42,'DADOS BRUTOS'!X$3:X$500)+IF($C42="",0,SUMIF('DADOS BRUTOS'!$A$3:$A$500,$C42,'DADOS BRUTOS'!X$3:X$500)))</f>
        <v/>
      </c>
      <c r="CY42" s="132">
        <f>IF(OR(CY$4="",$B42=""),0,SUMIF('DADOS BRUTOS'!$A$3:$A$500,$B42,'DADOS BRUTOS'!Y$3:Y$500)+IF($C42="",0,SUMIF('DADOS BRUTOS'!$A$3:$A$500,$C42,'DADOS BRUTOS'!Y$3:Y$500)))</f>
        <v/>
      </c>
      <c r="CZ42" s="132">
        <f>IF(OR(CZ$4="",$B42=""),0,SUMIF('DADOS BRUTOS'!$A$3:$A$500,$B42,'DADOS BRUTOS'!Z$3:Z$500)+IF($C42="",0,SUMIF('DADOS BRUTOS'!$A$3:$A$500,$C42,'DADOS BRUTOS'!Z$3:Z$500)))</f>
        <v/>
      </c>
      <c r="DA42" s="132">
        <f>IF(OR(DA$4="",$B42=""),0,SUMIF('DADOS BRUTOS'!$A$3:$A$500,$B42,'DADOS BRUTOS'!AA$3:AA$500)+IF($C42="",0,SUMIF('DADOS BRUTOS'!$A$3:$A$500,$C42,'DADOS BRUTOS'!AA$3:AA$500)))</f>
        <v/>
      </c>
      <c r="DB42" s="132">
        <f>IF(OR(DB$4="",$B42=""),0,SUMIF('DADOS BRUTOS'!$A$3:$A$500,$B42,'DADOS BRUTOS'!AB$3:AB$500)+IF($C42="",0,SUMIF('DADOS BRUTOS'!$A$3:$A$500,$C42,'DADOS BRUTOS'!AB$3:AB$500)))</f>
        <v/>
      </c>
      <c r="DC42" s="132">
        <f>IF(OR(DC$4="",$B42=""),0,SUMIF('DADOS BRUTOS'!$A$3:$A$500,$B42,'DADOS BRUTOS'!AC$3:AC$500)+IF($C42="",0,SUMIF('DADOS BRUTOS'!$A$3:$A$500,$C42,'DADOS BRUTOS'!AC$3:AC$500)))</f>
        <v/>
      </c>
      <c r="DD42" s="132">
        <f>IF(OR(DD$4="",$B42=""),0,SUMIF('DADOS BRUTOS'!$A$3:$A$500,$B42,'DADOS BRUTOS'!AD$3:AD$500)+IF($C42="",0,SUMIF('DADOS BRUTOS'!$A$3:$A$500,$C42,'DADOS BRUTOS'!AD$3:AD$500)))</f>
        <v/>
      </c>
      <c r="DE42" s="132">
        <f>IF(OR(DE$4="",$B42=""),0,SUMIF('DADOS BRUTOS'!$A$3:$A$500,$B42,'DADOS BRUTOS'!AE$3:AE$500)+IF($C42="",0,SUMIF('DADOS BRUTOS'!$A$3:$A$500,$C42,'DADOS BRUTOS'!AE$3:AE$500)))</f>
        <v/>
      </c>
      <c r="DF42" s="132">
        <f>IF(OR(DF$4="",$B42=""),0,SUMIF('DADOS BRUTOS'!$A$3:$A$500,$B42,'DADOS BRUTOS'!AF$3:AF$500)+IF($C42="",0,SUMIF('DADOS BRUTOS'!$A$3:$A$500,$C42,'DADOS BRUTOS'!AF$3:AF$500)))</f>
        <v/>
      </c>
      <c r="DG42" s="132">
        <f>IF(OR(DG$4="",$B42=""),0,SUMIF('DADOS BRUTOS'!$A$3:$A$500,$B42,'DADOS BRUTOS'!AG$3:AG$500)+IF($C42="",0,SUMIF('DADOS BRUTOS'!$A$3:$A$500,$C42,'DADOS BRUTOS'!AG$3:AG$500)))</f>
        <v/>
      </c>
      <c r="DH42" s="132">
        <f>IF(OR(DH$4="",$B42=""),0,SUMIF('DADOS BRUTOS'!$A$3:$A$500,$B42,'DADOS BRUTOS'!AH$3:AH$500)+IF($C42="",0,SUMIF('DADOS BRUTOS'!$A$3:$A$500,$C42,'DADOS BRUTOS'!AH$3:AH$500)))</f>
        <v/>
      </c>
      <c r="DI42" s="132">
        <f>IF(OR(DI$4="",$B42=""),0,SUMIF('DADOS BRUTOS'!$A$3:$A$500,$B42,'DADOS BRUTOS'!AI$3:AI$500)+IF($C42="",0,SUMIF('DADOS BRUTOS'!$A$3:$A$500,$C42,'DADOS BRUTOS'!AI$3:AI$500)))</f>
        <v/>
      </c>
      <c r="DJ42" s="132">
        <f>IF(OR(DJ$4="",$B42=""),0,SUMIF('DADOS BRUTOS'!$A$3:$A$500,$B42,'DADOS BRUTOS'!AJ$3:AJ$500)+IF($C42="",0,SUMIF('DADOS BRUTOS'!$A$3:$A$500,$C42,'DADOS BRUTOS'!AJ$3:AJ$500)))</f>
        <v/>
      </c>
      <c r="DK42" s="132">
        <f>IF(OR(DK$4="",$B42=""),0,SUMIF('DADOS BRUTOS'!$A$3:$A$500,$B42,'DADOS BRUTOS'!AK$3:AK$500)+IF($C42="",0,SUMIF('DADOS BRUTOS'!$A$3:$A$500,$C42,'DADOS BRUTOS'!AK$3:AK$500)))</f>
        <v/>
      </c>
      <c r="DL42" s="132">
        <f>IF(OR(DL$4="",$B42=""),0,SUMIF('DADOS BRUTOS'!$A$3:$A$500,$B42,'DADOS BRUTOS'!AL$3:AL$500)+IF($C42="",0,SUMIF('DADOS BRUTOS'!$A$3:$A$500,$C42,'DADOS BRUTOS'!AL$3:AL$500)))</f>
        <v/>
      </c>
      <c r="DM42" s="132">
        <f>IF(OR(DM$4="",$B42=""),0,SUMIF('DADOS BRUTOS'!$A$3:$A$500,$B42,'DADOS BRUTOS'!AM$3:AM$500)+IF($C42="",0,SUMIF('DADOS BRUTOS'!$A$3:$A$500,$C42,'DADOS BRUTOS'!AM$3:AM$500)))</f>
        <v/>
      </c>
      <c r="DN42" s="132">
        <f>IF(OR(DN$4="",$B42=""),0,SUMIF('DADOS BRUTOS'!$A$3:$A$500,$B42,'DADOS BRUTOS'!AN$3:AN$500)+IF($C42="",0,SUMIF('DADOS BRUTOS'!$A$3:$A$500,$C42,'DADOS BRUTOS'!AN$3:AN$500)))</f>
        <v/>
      </c>
      <c r="DO42" s="132">
        <f>IF(OR(DO$4="",$B42=""),0,SUMIF('DADOS BRUTOS'!$A$3:$A$500,$B42,'DADOS BRUTOS'!AO$3:AO$500)+IF($C42="",0,SUMIF('DADOS BRUTOS'!$A$3:$A$500,$C42,'DADOS BRUTOS'!AO$3:AO$500)))</f>
        <v/>
      </c>
      <c r="DP42" s="132">
        <f>IF(OR(DP$4="",$B42=""),0,SUMIF('DADOS BRUTOS'!$A$3:$A$500,$B42,'DADOS BRUTOS'!AP$3:AP$500)+IF($C42="",0,SUMIF('DADOS BRUTOS'!$A$3:$A$500,$C42,'DADOS BRUTOS'!AP$3:AP$500)))</f>
        <v/>
      </c>
      <c r="DQ42" s="132">
        <f>IF(OR(DQ$4="",$B42=""),0,SUMIF('DADOS BRUTOS'!$A$3:$A$500,$B42,'DADOS BRUTOS'!AQ$3:AQ$500)+IF($C42="",0,SUMIF('DADOS BRUTOS'!$A$3:$A$500,$C42,'DADOS BRUTOS'!AQ$3:AQ$500)))</f>
        <v/>
      </c>
      <c r="DR42" s="132">
        <f>IF(OR(DR$4="",$B42=""),0,SUMIF('DADOS BRUTOS'!$A$3:$A$500,$B42,'DADOS BRUTOS'!AR$3:AR$500)+IF($C42="",0,SUMIF('DADOS BRUTOS'!$A$3:$A$500,$C42,'DADOS BRUTOS'!AR$3:AR$500)))</f>
        <v/>
      </c>
      <c r="DS42" s="132">
        <f>IF(OR(DS$4="",$B42=""),0,SUMIF('DADOS BRUTOS'!$A$3:$A$500,$B42,'DADOS BRUTOS'!AS$3:AS$500)+IF($C42="",0,SUMIF('DADOS BRUTOS'!$A$3:$A$500,$C42,'DADOS BRUTOS'!AS$3:AS$500)))</f>
        <v/>
      </c>
      <c r="DT42" s="132">
        <f>IF(OR(DT$4="",$B42=""),0,SUMIF('DADOS BRUTOS'!$A$3:$A$500,$B42,'DADOS BRUTOS'!AT$3:AT$500)+IF($C42="",0,SUMIF('DADOS BRUTOS'!$A$3:$A$500,$C42,'DADOS BRUTOS'!AT$3:AT$500)))</f>
        <v/>
      </c>
      <c r="DU42" s="132">
        <f>IF(OR(DU$4="",$B42=""),0,SUMIF('DADOS BRUTOS'!$A$3:$A$500,$B42,'DADOS BRUTOS'!AU$3:AU$500)+IF($C42="",0,SUMIF('DADOS BRUTOS'!$A$3:$A$500,$C42,'DADOS BRUTOS'!AU$3:AU$500)))</f>
        <v/>
      </c>
      <c r="DV42" s="132">
        <f>IF(OR(DV$4="",$B42=""),0,SUMIF('DADOS BRUTOS'!$A$3:$A$500,$B42,'DADOS BRUTOS'!AV$3:AV$500)+IF($C42="",0,SUMIF('DADOS BRUTOS'!$A$3:$A$500,$C42,'DADOS BRUTOS'!AV$3:AV$500)))</f>
        <v/>
      </c>
      <c r="DW42" s="132">
        <f>IF(OR(DW$4="",$B42=""),0,SUMIF('DADOS BRUTOS'!$A$3:$A$500,$B42,'DADOS BRUTOS'!AW$3:AW$500)+IF($C42="",0,SUMIF('DADOS BRUTOS'!$A$3:$A$500,$C42,'DADOS BRUTOS'!AW$3:AW$500)))</f>
        <v/>
      </c>
      <c r="DX42" s="132">
        <f>IF(OR(DX$4="",$B42=""),0,SUMIF('DADOS BRUTOS'!$A$3:$A$500,$B42,'DADOS BRUTOS'!AX$3:AX$500)+IF($C42="",0,SUMIF('DADOS BRUTOS'!$A$3:$A$500,$C42,'DADOS BRUTOS'!AX$3:AX$500)))</f>
        <v/>
      </c>
      <c r="DY42" s="132">
        <f>IF(OR(DY$4="",$B42=""),0,SUMIF('DADOS BRUTOS'!$A$3:$A$500,$B42,'DADOS BRUTOS'!AY$3:AY$500)+IF($C42="",0,SUMIF('DADOS BRUTOS'!$A$3:$A$500,$C42,'DADOS BRUTOS'!AY$3:AY$500)))</f>
        <v/>
      </c>
      <c r="DZ42" s="132">
        <f>IF(OR(DZ$4="",$B42=""),0,SUMIF('DADOS BRUTOS'!$A$3:$A$500,$B42,'DADOS BRUTOS'!AZ$3:AZ$500)+IF($C42="",0,SUMIF('DADOS BRUTOS'!$A$3:$A$500,$C42,'DADOS BRUTOS'!AZ$3:AZ$500)))</f>
        <v/>
      </c>
      <c r="EA42" s="132">
        <f>IF(OR(EA$4="",$B42=""),0,SUMIF('DADOS BRUTOS'!$A$3:$A$500,$B42,'DADOS BRUTOS'!BA$3:BA$500)+IF($C42="",0,SUMIF('DADOS BRUTOS'!$A$3:$A$500,$C42,'DADOS BRUTOS'!BA$3:BA$500)))</f>
        <v/>
      </c>
      <c r="EB42" s="132">
        <f>IF(OR(EB$4="",$B42=""),0,SUMIF('DADOS BRUTOS'!$A$3:$A$500,$B42,'DADOS BRUTOS'!BB$3:BB$500)+IF($C42="",0,SUMIF('DADOS BRUTOS'!$A$3:$A$500,$C42,'DADOS BRUTOS'!BB$3:BB$500)))</f>
        <v/>
      </c>
      <c r="EC42" s="132">
        <f>IF(OR(EC$4="",$B42=""),0,SUMIF('DADOS BRUTOS'!$A$3:$A$500,$B42,'DADOS BRUTOS'!BC$3:BC$500)+IF($C42="",0,SUMIF('DADOS BRUTOS'!$A$3:$A$500,$C42,'DADOS BRUTOS'!BC$3:BC$500)))</f>
        <v/>
      </c>
      <c r="ED42" s="132">
        <f>IF(OR(ED$4="",$B42=""),0,SUMIF('DADOS BRUTOS'!$A$3:$A$500,$B42,'DADOS BRUTOS'!BD$3:BD$500)+IF($C42="",0,SUMIF('DADOS BRUTOS'!$A$3:$A$500,$C42,'DADOS BRUTOS'!BD$3:BD$500)))</f>
        <v/>
      </c>
      <c r="EE42" s="132">
        <f>IF(OR(EE$4="",$B42=""),0,SUMIF('DADOS BRUTOS'!$A$3:$A$500,$B42,'DADOS BRUTOS'!BE$3:BE$500)+IF($C42="",0,SUMIF('DADOS BRUTOS'!$A$3:$A$500,$C42,'DADOS BRUTOS'!BE$3:BE$500)))</f>
        <v/>
      </c>
      <c r="EF42" s="132">
        <f>IF(OR(EF$4="",$B42=""),0,SUMIF('DADOS BRUTOS'!$A$3:$A$500,$B42,'DADOS BRUTOS'!BF$3:BF$500)+IF($C42="",0,SUMIF('DADOS BRUTOS'!$A$3:$A$500,$C42,'DADOS BRUTOS'!BF$3:BF$500)))</f>
        <v/>
      </c>
      <c r="EG42" s="132">
        <f>IF(OR(EG$4="",$B42=""),0,SUMIF('DADOS BRUTOS'!$A$3:$A$500,$B42,'DADOS BRUTOS'!BG$3:BG$500)+IF($C42="",0,SUMIF('DADOS BRUTOS'!$A$3:$A$500,$C42,'DADOS BRUTOS'!BG$3:BG$500)))</f>
        <v/>
      </c>
      <c r="EH42" s="132">
        <f>IF(OR(EH$4="",$B42=""),0,SUMIF('DADOS BRUTOS'!$A$3:$A$500,$B42,'DADOS BRUTOS'!BH$3:BH$500)+IF($C42="",0,SUMIF('DADOS BRUTOS'!$A$3:$A$500,$C42,'DADOS BRUTOS'!BH$3:BH$500)))</f>
        <v/>
      </c>
      <c r="EI42" s="132">
        <f>IF(OR(EI$4="",$B42=""),0,SUMIF('DADOS BRUTOS'!$A$3:$A$500,$B42,'DADOS BRUTOS'!BI$3:BI$500)+IF($C42="",0,SUMIF('DADOS BRUTOS'!$A$3:$A$500,$C42,'DADOS BRUTOS'!BI$3:BI$500)))</f>
        <v/>
      </c>
      <c r="EJ42" s="132">
        <f>IF(OR(EJ$4="",$B42=""),0,SUMIF('DADOS BRUTOS'!$A$3:$A$500,$B42,'DADOS BRUTOS'!BJ$3:BJ$500)+IF($C42="",0,SUMIF('DADOS BRUTOS'!$A$3:$A$500,$C42,'DADOS BRUTOS'!BJ$3:BJ$500)))</f>
        <v/>
      </c>
      <c r="EK42" s="132">
        <f>IF(OR(EK$4="",$B42=""),0,SUMIF('DADOS BRUTOS'!$A$3:$A$500,$B42,'DADOS BRUTOS'!BK$3:BK$500)+IF($C42="",0,SUMIF('DADOS BRUTOS'!$A$3:$A$500,$C42,'DADOS BRUTOS'!BK$3:BK$500)))</f>
        <v/>
      </c>
      <c r="EL42" s="132">
        <f>IF(OR(EL$4="",$B42=""),0,SUMIF('DADOS BRUTOS'!$A$3:$A$500,$B42,'DADOS BRUTOS'!BL$3:BL$500)+IF($C42="",0,SUMIF('DADOS BRUTOS'!$A$3:$A$500,$C42,'DADOS BRUTOS'!BL$3:BL$500)))</f>
        <v/>
      </c>
      <c r="EM42" s="132">
        <f>IF(OR(EM$4="",$B42=""),0,SUMIF('DADOS BRUTOS'!$A$3:$A$500,$B42,'DADOS BRUTOS'!BM$3:BM$500)+IF($C42="",0,SUMIF('DADOS BRUTOS'!$A$3:$A$500,$C42,'DADOS BRUTOS'!BM$3:BM$500)))</f>
        <v/>
      </c>
      <c r="EN42" s="132">
        <f>IF(OR(EN$4="",$B42=""),0,SUMIF('DADOS BRUTOS'!$A$3:$A$500,$B42,'DADOS BRUTOS'!BN$3:BN$500)+IF($C42="",0,SUMIF('DADOS BRUTOS'!$A$3:$A$500,$C42,'DADOS BRUTOS'!BN$3:BN$500)))</f>
        <v/>
      </c>
      <c r="EO42" s="132">
        <f>IF(OR(EO$4="",$B42=""),0,SUMIF('DADOS BRUTOS'!$A$3:$A$500,$B42,'DADOS BRUTOS'!BO$3:BO$500)+IF($C42="",0,SUMIF('DADOS BRUTOS'!$A$3:$A$500,$C42,'DADOS BRUTOS'!BO$3:BO$500)))</f>
        <v/>
      </c>
      <c r="EP42" s="132">
        <f>IF(OR(EP$4="",$B42=""),0,SUMIF('DADOS BRUTOS'!$A$3:$A$500,$B42,'DADOS BRUTOS'!BP$3:BP$500)+IF($C42="",0,SUMIF('DADOS BRUTOS'!$A$3:$A$500,$C42,'DADOS BRUTOS'!BP$3:BP$500)))</f>
        <v/>
      </c>
      <c r="EQ42" s="132">
        <f>IF(OR(EQ$4="",$B42=""),0,SUMIF('DADOS BRUTOS'!$A$3:$A$500,$B42,'DADOS BRUTOS'!BQ$3:BQ$500)+IF($C42="",0,SUMIF('DADOS BRUTOS'!$A$3:$A$500,$C42,'DADOS BRUTOS'!BQ$3:BQ$500)))</f>
        <v/>
      </c>
      <c r="ER42" s="132">
        <f>IF(OR(ER$4="",$B42=""),0,SUMIF('DADOS BRUTOS'!$A$3:$A$500,$B42,'DADOS BRUTOS'!BR$3:BR$500)+IF($C42="",0,SUMIF('DADOS BRUTOS'!$A$3:$A$500,$C42,'DADOS BRUTOS'!BR$3:BR$500)))</f>
        <v/>
      </c>
      <c r="ES42" s="132">
        <f>IF(OR(ES$4="",$B42=""),0,SUMIF('DADOS BRUTOS'!$A$3:$A$500,$B42,'DADOS BRUTOS'!BS$3:BS$500)+IF($C42="",0,SUMIF('DADOS BRUTOS'!$A$3:$A$500,$C42,'DADOS BRUTOS'!BS$3:BS$500)))</f>
        <v/>
      </c>
      <c r="ET42" s="132">
        <f>IF(OR(ET$4="",$B42=""),0,SUMIF('DADOS BRUTOS'!$A$3:$A$500,$B42,'DADOS BRUTOS'!BT$3:BT$500)+IF($C42="",0,SUMIF('DADOS BRUTOS'!$A$3:$A$500,$C42,'DADOS BRUTOS'!BT$3:BT$500)))</f>
        <v/>
      </c>
      <c r="EU42" s="132">
        <f>IF(OR(EU$4="",$B42=""),0,SUMIF('DADOS BRUTOS'!$A$3:$A$500,$B42,'DADOS BRUTOS'!BU$3:BU$500)+IF($C42="",0,SUMIF('DADOS BRUTOS'!$A$3:$A$500,$C42,'DADOS BRUTOS'!BU$3:BU$500)))</f>
        <v/>
      </c>
      <c r="EV42" s="132">
        <f>IF(OR(EV$4="",$B42=""),0,SUMIF('DADOS BRUTOS'!$A$3:$A$500,$B42,'DADOS BRUTOS'!BV$3:BV$500)+IF($C42="",0,SUMIF('DADOS BRUTOS'!$A$3:$A$500,$C42,'DADOS BRUTOS'!BV$3:BV$500)))</f>
        <v/>
      </c>
      <c r="EW42" s="132">
        <f>IF(OR(EW$4="",$B42=""),0,SUMIF('DADOS BRUTOS'!$A$3:$A$500,$B42,'DADOS BRUTOS'!BW$3:BW$500)+IF($C42="",0,SUMIF('DADOS BRUTOS'!$A$3:$A$500,$C42,'DADOS BRUTOS'!BW$3:BW$500)))</f>
        <v/>
      </c>
      <c r="EX42" s="132">
        <f>IF(OR(EX$4="",$B42=""),0,SUMIF('DADOS BRUTOS'!$A$3:$A$500,$B42,'DADOS BRUTOS'!BX$3:BX$500)+IF($C42="",0,SUMIF('DADOS BRUTOS'!$A$3:$A$500,$C42,'DADOS BRUTOS'!BX$3:BX$500)))</f>
        <v/>
      </c>
      <c r="EY42" s="132">
        <f>IF(OR(EY$4="",$B42=""),0,SUMIF('DADOS BRUTOS'!$A$3:$A$500,$B42,'DADOS BRUTOS'!BY$3:BY$500)+IF($C42="",0,SUMIF('DADOS BRUTOS'!$A$3:$A$500,$C42,'DADOS BRUTOS'!BY$3:BY$500)))</f>
        <v/>
      </c>
      <c r="EZ42" s="132">
        <f>IF(OR(EZ$4="",$B42=""),0,SUMIF('DADOS BRUTOS'!$A$3:$A$500,$B42,'DADOS BRUTOS'!BZ$3:BZ$500)+IF($C42="",0,SUMIF('DADOS BRUTOS'!$A$3:$A$500,$C42,'DADOS BRUTOS'!BZ$3:BZ$500)))</f>
        <v/>
      </c>
      <c r="FA42" s="132">
        <f>IF(OR(FA$4="",$B42=""),0,SUMIF('DADOS BRUTOS'!$A$3:$A$500,$B42,'DADOS BRUTOS'!CA$3:CA$500)+IF($C42="",0,SUMIF('DADOS BRUTOS'!$A$3:$A$500,$C42,'DADOS BRUTOS'!CA$3:CA$500)))</f>
        <v/>
      </c>
      <c r="FB42" s="132">
        <f>IF(OR(FB$4="",$B42=""),0,SUMIF('DADOS BRUTOS'!$A$3:$A$500,$B42,'DADOS BRUTOS'!CB$3:CB$500)+IF($C42="",0,SUMIF('DADOS BRUTOS'!$A$3:$A$500,$C42,'DADOS BRUTOS'!CB$3:CB$500)))</f>
        <v/>
      </c>
      <c r="FC42" s="132">
        <f>IF(OR(FC$4="",$B42=""),0,SUMIF('DADOS BRUTOS'!$A$3:$A$500,$B42,'DADOS BRUTOS'!CC$3:CC$500)+IF($C42="",0,SUMIF('DADOS BRUTOS'!$A$3:$A$500,$C42,'DADOS BRUTOS'!CC$3:CC$500)))</f>
        <v/>
      </c>
      <c r="FD42" s="132">
        <f>IF(OR(FD$4="",$B42=""),0,SUMIF('DADOS BRUTOS'!$A$3:$A$500,$B42,'DADOS BRUTOS'!CD$3:CD$500)+IF($C42="",0,SUMIF('DADOS BRUTOS'!$A$3:$A$500,$C42,'DADOS BRUTOS'!CD$3:CD$500)))</f>
        <v/>
      </c>
      <c r="FE42" s="132">
        <f>IF(OR(FE$4="",$B42=""),0,SUMIF('DADOS BRUTOS'!$A$3:$A$500,$B42,'DADOS BRUTOS'!CE$3:CE$500)+IF($C42="",0,SUMIF('DADOS BRUTOS'!$A$3:$A$500,$C42,'DADOS BRUTOS'!CE$3:CE$500)))</f>
        <v/>
      </c>
      <c r="FF42" s="132">
        <f>IF(OR(FF$4="",$B42=""),0,SUMIF('DADOS BRUTOS'!$A$3:$A$500,$B42,'DADOS BRUTOS'!CF$3:CF$500)+IF($C42="",0,SUMIF('DADOS BRUTOS'!$A$3:$A$500,$C42,'DADOS BRUTOS'!CF$3:CF$500)))</f>
        <v/>
      </c>
      <c r="FG42" s="132">
        <f>IF(OR(FG$4="",$B42=""),0,SUMIF('DADOS BRUTOS'!$A$3:$A$500,$B42,'DADOS BRUTOS'!CG$3:CG$500)+IF($C42="",0,SUMIF('DADOS BRUTOS'!$A$3:$A$500,$C42,'DADOS BRUTOS'!CG$3:CG$500)))</f>
        <v/>
      </c>
      <c r="FH42" s="132">
        <f>IF(OR(FH$4="",$B42=""),0,SUMIF('DADOS BRUTOS'!$A$3:$A$500,$B42,'DADOS BRUTOS'!CH$3:CH$500)+IF($C42="",0,SUMIF('DADOS BRUTOS'!$A$3:$A$500,$C42,'DADOS BRUTOS'!CH$3:CH$500)))</f>
        <v/>
      </c>
      <c r="FI42" s="132">
        <f>IF(OR(FI$4="",$B42=""),0,SUMIF('DADOS BRUTOS'!$A$3:$A$500,$B42,'DADOS BRUTOS'!CI$3:CI$500)+IF($C42="",0,SUMIF('DADOS BRUTOS'!$A$3:$A$500,$C42,'DADOS BRUTOS'!CI$3:CI$500)))</f>
        <v/>
      </c>
      <c r="FJ42" s="132">
        <f>IF(OR(FJ$4="",$B42=""),0,SUMIF('DADOS BRUTOS'!$A$3:$A$500,$B42,'DADOS BRUTOS'!CJ$3:CJ$500)+IF($C42="",0,SUMIF('DADOS BRUTOS'!$A$3:$A$500,$C42,'DADOS BRUTOS'!CJ$3:CJ$500)))</f>
        <v/>
      </c>
      <c r="FK42" s="132">
        <f>IF(OR(FK$4="",$B42=""),0,SUMIF('DADOS BRUTOS'!$A$3:$A$500,$B42,'DADOS BRUTOS'!CK$3:CK$500)+IF($C42="",0,SUMIF('DADOS BRUTOS'!$A$3:$A$500,$C42,'DADOS BRUTOS'!CK$3:CK$500)))</f>
        <v/>
      </c>
      <c r="FL42" s="132">
        <f>IF(OR(FL$4="",$B42=""),0,SUMIF('DADOS BRUTOS'!$A$3:$A$500,$B42,'DADOS BRUTOS'!CL$3:CL$500)+IF($C42="",0,SUMIF('DADOS BRUTOS'!$A$3:$A$500,$C42,'DADOS BRUTOS'!CL$3:CL$500)))</f>
        <v/>
      </c>
      <c r="FM42" s="132">
        <f>IF(OR(FM$4="",$B42=""),0,SUMIF('DADOS BRUTOS'!$A$3:$A$500,$B42,'DADOS BRUTOS'!CM$3:CM$500)+IF($C42="",0,SUMIF('DADOS BRUTOS'!$A$3:$A$500,$C42,'DADOS BRUTOS'!CM$3:CM$500)))</f>
        <v/>
      </c>
      <c r="FN42" s="132">
        <f>IF(OR(FN$4="",$B42=""),0,SUMIF('DADOS BRUTOS'!$A$3:$A$500,$B42,'DADOS BRUTOS'!CN$3:CN$500)+IF($C42="",0,SUMIF('DADOS BRUTOS'!$A$3:$A$500,$C42,'DADOS BRUTOS'!CN$3:CN$500)))</f>
        <v/>
      </c>
      <c r="FO42" s="132">
        <f>IF(OR(FO$4="",$B42=""),0,SUMIF('DADOS BRUTOS'!$A$3:$A$500,$B42,'DADOS BRUTOS'!CO$3:CO$500)+IF($C42="",0,SUMIF('DADOS BRUTOS'!$A$3:$A$500,$C42,'DADOS BRUTOS'!CO$3:CO$500)))</f>
        <v/>
      </c>
      <c r="FP42" s="132">
        <f>IF(OR(FP$4="",$B42=""),0,SUMIF('DADOS BRUTOS'!$A$3:$A$500,$B42,'DADOS BRUTOS'!CP$3:CP$500)+IF($C42="",0,SUMIF('DADOS BRUTOS'!$A$3:$A$500,$C42,'DADOS BRUTOS'!CP$3:CP$500)))</f>
        <v/>
      </c>
      <c r="FQ42" s="132">
        <f>IF(OR(FQ$4="",$B42=""),0,SUMIF('DADOS BRUTOS'!$A$3:$A$500,$B42,'DADOS BRUTOS'!CQ$3:CQ$500)+IF($C42="",0,SUMIF('DADOS BRUTOS'!$A$3:$A$500,$C42,'DADOS BRUTOS'!CQ$3:CQ$500)))</f>
        <v/>
      </c>
      <c r="FR42" s="132">
        <f>IF(OR(FR$4="",$B42=""),0,SUMIF('DADOS BRUTOS'!$A$3:$A$500,$B42,'DADOS BRUTOS'!CR$3:CR$500)+IF($C42="",0,SUMIF('DADOS BRUTOS'!$A$3:$A$500,$C42,'DADOS BRUTOS'!CR$3:CR$500)))</f>
        <v/>
      </c>
      <c r="FS42" s="132">
        <f>IF(OR(FS$4="",$B42=""),0,SUMIF('DADOS BRUTOS'!$A$3:$A$500,$B42,'DADOS BRUTOS'!CS$3:CS$500)+IF($C42="",0,SUMIF('DADOS BRUTOS'!$A$3:$A$500,$C42,'DADOS BRUTOS'!CS$3:CS$500)))</f>
        <v/>
      </c>
      <c r="FT42" s="132">
        <f>IF(OR(FT$4="",$B42=""),0,SUMIF('DADOS BRUTOS'!$A$3:$A$500,$B42,'DADOS BRUTOS'!CT$3:CT$500)+IF($C42="",0,SUMIF('DADOS BRUTOS'!$A$3:$A$500,$C42,'DADOS BRUTOS'!CT$3:CT$500)))</f>
        <v/>
      </c>
      <c r="FU42" s="132">
        <f>IF(OR(FU$4="",$B42=""),0,SUMIF('DADOS BRUTOS'!$A$3:$A$500,$B42,'DADOS BRUTOS'!CU$3:CU$500)+IF($C42="",0,SUMIF('DADOS BRUTOS'!$A$3:$A$500,$C42,'DADOS BRUTOS'!CU$3:CU$500)))</f>
        <v/>
      </c>
      <c r="FV42" s="132">
        <f>IF(OR(FV$4="",$B42=""),0,SUMIF('DADOS BRUTOS'!$A$3:$A$500,$B42,'DADOS BRUTOS'!CV$3:CV$500)+IF($C42="",0,SUMIF('DADOS BRUTOS'!$A$3:$A$500,$C42,'DADOS BRUTOS'!CV$3:CV$500)))</f>
        <v/>
      </c>
      <c r="FW42" s="132">
        <f>IF(OR(FW$4="",$B42=""),0,SUMIF('DADOS BRUTOS'!$A$3:$A$500,$B42,'DADOS BRUTOS'!CW$3:CW$500)+IF($C42="",0,SUMIF('DADOS BRUTOS'!$A$3:$A$500,$C42,'DADOS BRUTOS'!CW$3:CW$500)))</f>
        <v/>
      </c>
      <c r="FX42" s="132">
        <f>IF(OR(FX$4="",$B42=""),0,SUMIF('DADOS BRUTOS'!$A$3:$A$500,$B42,'DADOS BRUTOS'!CX$3:CX$500)+IF($C42="",0,SUMIF('DADOS BRUTOS'!$A$3:$A$500,$C42,'DADOS BRUTOS'!CX$3:CX$500)))</f>
        <v/>
      </c>
      <c r="FY42" s="132">
        <f>IF(OR(FY$4="",$B42=""),0,SUMIF('DADOS BRUTOS'!$A$3:$A$500,$B42,'DADOS BRUTOS'!CY$3:CY$500)+IF($C42="",0,SUMIF('DADOS BRUTOS'!$A$3:$A$500,$C42,'DADOS BRUTOS'!CY$3:CY$500)))</f>
        <v/>
      </c>
      <c r="FZ42" s="132">
        <f>IF(OR(FZ$4="",$B42=""),0,SUMIF('DADOS BRUTOS'!$A$3:$A$500,$B42,'DADOS BRUTOS'!CZ$3:CZ$500)+IF($C42="",0,SUMIF('DADOS BRUTOS'!$A$3:$A$500,$C42,'DADOS BRUTOS'!CZ$3:CZ$500)))</f>
        <v/>
      </c>
      <c r="GA42" s="132">
        <f>IF(OR(GA$4="",$B42=""),0,SUMIF('DADOS BRUTOS'!$A$3:$A$500,$B42,'DADOS BRUTOS'!DA$3:DA$500)+IF($C42="",0,SUMIF('DADOS BRUTOS'!$A$3:$A$500,$C42,'DADOS BRUTOS'!DA$3:DA$500)))</f>
        <v/>
      </c>
      <c r="GB42" s="132">
        <f>IF(OR(GB$4="",$B42=""),0,SUMIF('DADOS BRUTOS'!$A$3:$A$500,$B42,'DADOS BRUTOS'!DB$3:DB$500)+IF($C42="",0,SUMIF('DADOS BRUTOS'!$A$3:$A$500,$C42,'DADOS BRUTOS'!DB$3:DB$500)))</f>
        <v/>
      </c>
      <c r="GC42" s="132">
        <f>IF(OR(GC$4="",$B42=""),0,SUMIF('DADOS BRUTOS'!$A$3:$A$500,$B42,'DADOS BRUTOS'!DC$3:DC$500)+IF($C42="",0,SUMIF('DADOS BRUTOS'!$A$3:$A$500,$C42,'DADOS BRUTOS'!DC$3:DC$500)))</f>
        <v/>
      </c>
      <c r="GD42" s="132">
        <f>IF(OR(GD$4="",$B42=""),0,SUMIF('DADOS BRUTOS'!$A$3:$A$500,$B42,'DADOS BRUTOS'!DD$3:DD$500)+IF($C42="",0,SUMIF('DADOS BRUTOS'!$A$3:$A$500,$C42,'DADOS BRUTOS'!DD$3:DD$500)))</f>
        <v/>
      </c>
      <c r="GE42" s="132">
        <f>IF(OR(GE$4="",$B42=""),0,SUMIF('DADOS BRUTOS'!$A$3:$A$500,$B42,'DADOS BRUTOS'!DE$3:DE$500)+IF($C42="",0,SUMIF('DADOS BRUTOS'!$A$3:$A$500,$C42,'DADOS BRUTOS'!DE$3:DE$500)))</f>
        <v/>
      </c>
      <c r="GF42" s="132">
        <f>IF(OR(GF$4="",$B42=""),0,SUMIF('DADOS BRUTOS'!$A$3:$A$500,$B42,'DADOS BRUTOS'!DF$3:DF$500)+IF($C42="",0,SUMIF('DADOS BRUTOS'!$A$3:$A$500,$C42,'DADOS BRUTOS'!DF$3:DF$500)))</f>
        <v/>
      </c>
      <c r="GG42" s="132">
        <f>IF(OR(GG$4="",$B42=""),0,SUMIF('DADOS BRUTOS'!$A$3:$A$500,$B42,'DADOS BRUTOS'!DG$3:DG$500)+IF($C42="",0,SUMIF('DADOS BRUTOS'!$A$3:$A$500,$C42,'DADOS BRUTOS'!DG$3:DG$500)))</f>
        <v/>
      </c>
      <c r="GH42" s="132">
        <f>IF(OR(GH$4="",$B42=""),0,SUMIF('DADOS BRUTOS'!$A$3:$A$500,$B42,'DADOS BRUTOS'!DH$3:DH$500)+IF($C42="",0,SUMIF('DADOS BRUTOS'!$A$3:$A$500,$C42,'DADOS BRUTOS'!DH$3:DH$500)))</f>
        <v/>
      </c>
      <c r="GI42" s="132">
        <f>IF(OR(GI$4="",$B42=""),0,SUMIF('DADOS BRUTOS'!$A$3:$A$500,$B42,'DADOS BRUTOS'!DI$3:DI$500)+IF($C42="",0,SUMIF('DADOS BRUTOS'!$A$3:$A$500,$C42,'DADOS BRUTOS'!DI$3:DI$500)))</f>
        <v/>
      </c>
      <c r="GJ42" s="132">
        <f>IF(OR(GJ$4="",$B42=""),0,SUMIF('DADOS BRUTOS'!$A$3:$A$500,$B42,'DADOS BRUTOS'!DJ$3:DJ$500)+IF($C42="",0,SUMIF('DADOS BRUTOS'!$A$3:$A$500,$C42,'DADOS BRUTOS'!DJ$3:DJ$500)))</f>
        <v/>
      </c>
      <c r="GK42" s="132">
        <f>IF(OR(GK$4="",$B42=""),0,SUMIF('DADOS BRUTOS'!$A$3:$A$500,$B42,'DADOS BRUTOS'!DK$3:DK$500)+IF($C42="",0,SUMIF('DADOS BRUTOS'!$A$3:$A$500,$C42,'DADOS BRUTOS'!DK$3:DK$500)))</f>
        <v/>
      </c>
      <c r="GL42" s="132">
        <f>IF(OR(GL$4="",$B42=""),0,SUMIF('DADOS BRUTOS'!$A$3:$A$500,$B42,'DADOS BRUTOS'!DL$3:DL$500)+IF($C42="",0,SUMIF('DADOS BRUTOS'!$A$3:$A$500,$C42,'DADOS BRUTOS'!DL$3:DL$500)))</f>
        <v/>
      </c>
      <c r="GM42" s="132">
        <f>IF(OR(GM$4="",$B42=""),0,SUMIF('DADOS BRUTOS'!$A$3:$A$500,$B42,'DADOS BRUTOS'!DM$3:DM$500)+IF($C42="",0,SUMIF('DADOS BRUTOS'!$A$3:$A$500,$C42,'DADOS BRUTOS'!DM$3:DM$500)))</f>
        <v/>
      </c>
      <c r="GN42" s="132">
        <f>IF(OR(GN$4="",$B42=""),0,SUMIF('DADOS BRUTOS'!$A$3:$A$500,$B42,'DADOS BRUTOS'!DN$3:DN$500)+IF($C42="",0,SUMIF('DADOS BRUTOS'!$A$3:$A$500,$C42,'DADOS BRUTOS'!DN$3:DN$500)))</f>
        <v/>
      </c>
      <c r="GO42" s="132">
        <f>IF(OR(GO$4="",$B42=""),0,SUMIF('DADOS BRUTOS'!$A$3:$A$500,$B42,'DADOS BRUTOS'!DO$3:DO$500)+IF($C42="",0,SUMIF('DADOS BRUTOS'!$A$3:$A$500,$C42,'DADOS BRUTOS'!DO$3:DO$500)))</f>
        <v/>
      </c>
      <c r="GP42" s="132">
        <f>IF(OR(GP$4="",$B42=""),0,SUMIF('DADOS BRUTOS'!$A$3:$A$500,$B42,'DADOS BRUTOS'!DP$3:DP$500)+IF($C42="",0,SUMIF('DADOS BRUTOS'!$A$3:$A$500,$C42,'DADOS BRUTOS'!DP$3:DP$500)))</f>
        <v/>
      </c>
      <c r="GQ42" s="132">
        <f>IF(OR(GQ$4="",$B42=""),0,SUMIF('DADOS BRUTOS'!$A$3:$A$500,$B42,'DADOS BRUTOS'!DQ$3:DQ$500)+IF($C42="",0,SUMIF('DADOS BRUTOS'!$A$3:$A$500,$C42,'DADOS BRUTOS'!DQ$3:DQ$500)))</f>
        <v/>
      </c>
      <c r="GR42" s="132">
        <f>IF(OR(GR$4="",$B42=""),0,SUMIF('DADOS BRUTOS'!$A$3:$A$500,$B42,'DADOS BRUTOS'!DR$3:DR$500)+IF($C42="",0,SUMIF('DADOS BRUTOS'!$A$3:$A$500,$C42,'DADOS BRUTOS'!DR$3:DR$500)))</f>
        <v/>
      </c>
      <c r="GS42" s="132">
        <f>IF(OR(GS$4="",$B42=""),0,SUMIF('DADOS BRUTOS'!$A$3:$A$500,$B42,'DADOS BRUTOS'!DS$3:DS$500)+IF($C42="",0,SUMIF('DADOS BRUTOS'!$A$3:$A$500,$C42,'DADOS BRUTOS'!DS$3:DS$500)))</f>
        <v/>
      </c>
      <c r="GT42" s="132">
        <f>IF(OR(GT$4="",$B42=""),0,SUMIF('DADOS BRUTOS'!$A$3:$A$500,$B42,'DADOS BRUTOS'!DT$3:DT$500)+IF($C42="",0,SUMIF('DADOS BRUTOS'!$A$3:$A$500,$C42,'DADOS BRUTOS'!DT$3:DT$500)))</f>
        <v/>
      </c>
      <c r="GU42" s="132">
        <f>IF(OR(GU$4="",$B42=""),0,SUMIF('DADOS BRUTOS'!$A$3:$A$500,$B42,'DADOS BRUTOS'!DU$3:DU$500)+IF($C42="",0,SUMIF('DADOS BRUTOS'!$A$3:$A$500,$C42,'DADOS BRUTOS'!DU$3:DU$500)))</f>
        <v/>
      </c>
      <c r="GV42" s="132">
        <f>IF(OR(GV$4="",$B42=""),0,SUMIF('DADOS BRUTOS'!$A$3:$A$500,$B42,'DADOS BRUTOS'!DV$3:DV$500)+IF($C42="",0,SUMIF('DADOS BRUTOS'!$A$3:$A$500,$C42,'DADOS BRUTOS'!DV$3:DV$500)))</f>
        <v/>
      </c>
      <c r="GW42" s="132">
        <f>IF(OR(GW$4="",$B42=""),0,SUMIF('DADOS BRUTOS'!$A$3:$A$500,$B42,'DADOS BRUTOS'!DW$3:DW$500)+IF($C42="",0,SUMIF('DADOS BRUTOS'!$A$3:$A$500,$C42,'DADOS BRUTOS'!DW$3:DW$500)))</f>
        <v/>
      </c>
      <c r="GX42" s="132">
        <f>IF(OR(GX$4="",$B42=""),0,SUMIF('DADOS BRUTOS'!$A$3:$A$500,$B42,'DADOS BRUTOS'!DX$3:DX$500)+IF($C42="",0,SUMIF('DADOS BRUTOS'!$A$3:$A$500,$C42,'DADOS BRUTOS'!DX$3:DX$500)))</f>
        <v/>
      </c>
      <c r="GY42" s="132">
        <f>IF(OR(GY$4="",$B42=""),0,SUMIF('DADOS BRUTOS'!$A$3:$A$500,$B42,'DADOS BRUTOS'!DY$3:DY$500)+IF($C42="",0,SUMIF('DADOS BRUTOS'!$A$3:$A$500,$C42,'DADOS BRUTOS'!DY$3:DY$500)))</f>
        <v/>
      </c>
      <c r="GZ42" s="132">
        <f>IF(OR(GZ$4="",$B42=""),0,SUMIF('DADOS BRUTOS'!$A$3:$A$500,$B42,'DADOS BRUTOS'!DZ$3:DZ$500)+IF($C42="",0,SUMIF('DADOS BRUTOS'!$A$3:$A$500,$C42,'DADOS BRUTOS'!DZ$3:DZ$500)))</f>
        <v/>
      </c>
      <c r="HA42" s="132">
        <f>IF(OR(HA$4="",$B42=""),0,SUMIF('DADOS BRUTOS'!$A$3:$A$500,$B42,'DADOS BRUTOS'!EA$3:EA$500)+IF($C42="",0,SUMIF('DADOS BRUTOS'!$A$3:$A$500,$C42,'DADOS BRUTOS'!EA$3:EA$500)))</f>
        <v/>
      </c>
      <c r="HB42" s="132">
        <f>IF(OR(HB$4="",$B42=""),0,SUMIF('DADOS BRUTOS'!$A$3:$A$500,$B42,'DADOS BRUTOS'!EB$3:EB$500)+IF($C42="",0,SUMIF('DADOS BRUTOS'!$A$3:$A$500,$C42,'DADOS BRUTOS'!EB$3:EB$500)))</f>
        <v/>
      </c>
      <c r="HC42" s="132">
        <f>IF(OR(HC$4="",$B42=""),0,SUMIF('DADOS BRUTOS'!$A$3:$A$500,$B42,'DADOS BRUTOS'!EC$3:EC$500)+IF($C42="",0,SUMIF('DADOS BRUTOS'!$A$3:$A$500,$C42,'DADOS BRUTOS'!EC$3:EC$500)))</f>
        <v/>
      </c>
      <c r="HD42" s="132">
        <f>IF(OR(HD$4="",$B42=""),0,SUMIF('DADOS BRUTOS'!$A$3:$A$500,$B42,'DADOS BRUTOS'!ED$3:ED$500)+IF($C42="",0,SUMIF('DADOS BRUTOS'!$A$3:$A$500,$C42,'DADOS BRUTOS'!ED$3:ED$500)))</f>
        <v/>
      </c>
      <c r="HE42" s="132">
        <f>IF(OR(HE$4="",$B42=""),0,SUMIF('DADOS BRUTOS'!$A$3:$A$500,$B42,'DADOS BRUTOS'!EE$3:EE$500)+IF($C42="",0,SUMIF('DADOS BRUTOS'!$A$3:$A$500,$C42,'DADOS BRUTOS'!EE$3:EE$500)))</f>
        <v/>
      </c>
      <c r="HF42" s="132">
        <f>IF(OR(HF$4="",$B42=""),0,SUMIF('DADOS BRUTOS'!$A$3:$A$500,$B42,'DADOS BRUTOS'!EF$3:EF$500)+IF($C42="",0,SUMIF('DADOS BRUTOS'!$A$3:$A$500,$C42,'DADOS BRUTOS'!EF$3:EF$500)))</f>
        <v/>
      </c>
      <c r="HG42" s="132">
        <f>IF(OR(HG$4="",$B42=""),0,SUMIF('DADOS BRUTOS'!$A$3:$A$500,$B42,'DADOS BRUTOS'!EG$3:EG$500)+IF($C42="",0,SUMIF('DADOS BRUTOS'!$A$3:$A$500,$C42,'DADOS BRUTOS'!EG$3:EG$500)))</f>
        <v/>
      </c>
      <c r="HH42" s="132">
        <f>IF(OR(HH$4="",$B42=""),0,SUMIF('DADOS BRUTOS'!$A$3:$A$500,$B42,'DADOS BRUTOS'!EH$3:EH$500)+IF($C42="",0,SUMIF('DADOS BRUTOS'!$A$3:$A$500,$C42,'DADOS BRUTOS'!EH$3:EH$500)))</f>
        <v/>
      </c>
      <c r="HI42" s="132">
        <f>IF(OR(HI$4="",$B42=""),0,SUMIF('DADOS BRUTOS'!$A$3:$A$500,$B42,'DADOS BRUTOS'!EI$3:EI$500)+IF($C42="",0,SUMIF('DADOS BRUTOS'!$A$3:$A$500,$C42,'DADOS BRUTOS'!EI$3:EI$500)))</f>
        <v/>
      </c>
      <c r="HJ42" s="132">
        <f>IF(OR(HJ$4="",$B42=""),0,SUMIF('DADOS BRUTOS'!$A$3:$A$500,$B42,'DADOS BRUTOS'!EJ$3:EJ$500)+IF($C42="",0,SUMIF('DADOS BRUTOS'!$A$3:$A$500,$C42,'DADOS BRUTOS'!EJ$3:EJ$500)))</f>
        <v/>
      </c>
      <c r="HK42" s="132">
        <f>IF(OR(HK$4="",$B42=""),0,SUMIF('DADOS BRUTOS'!$A$3:$A$500,$B42,'DADOS BRUTOS'!EK$3:EK$500)+IF($C42="",0,SUMIF('DADOS BRUTOS'!$A$3:$A$500,$C42,'DADOS BRUTOS'!EK$3:EK$500)))</f>
        <v/>
      </c>
      <c r="HL42" s="132">
        <f>IF(OR(HL$4="",$B42=""),0,SUMIF('DADOS BRUTOS'!$A$3:$A$500,$B42,'DADOS BRUTOS'!EL$3:EL$500)+IF($C42="",0,SUMIF('DADOS BRUTOS'!$A$3:$A$500,$C42,'DADOS BRUTOS'!EL$3:EL$500)))</f>
        <v/>
      </c>
      <c r="HM42" s="132">
        <f>IF(OR(HM$4="",$B42=""),0,SUMIF('DADOS BRUTOS'!$A$3:$A$500,$B42,'DADOS BRUTOS'!EM$3:EM$500)+IF($C42="",0,SUMIF('DADOS BRUTOS'!$A$3:$A$500,$C42,'DADOS BRUTOS'!EM$3:EM$500)))</f>
        <v/>
      </c>
      <c r="HN42" s="132">
        <f>IF(OR(HN$4="",$B42=""),0,SUMIF('DADOS BRUTOS'!$A$3:$A$500,$B42,'DADOS BRUTOS'!EN$3:EN$500)+IF($C42="",0,SUMIF('DADOS BRUTOS'!$A$3:$A$500,$C42,'DADOS BRUTOS'!EN$3:EN$500)))</f>
        <v/>
      </c>
      <c r="HO42" s="132">
        <f>IF(OR(HO$4="",$B42=""),0,SUMIF('DADOS BRUTOS'!$A$3:$A$500,$B42,'DADOS BRUTOS'!EO$3:EO$500)+IF($C42="",0,SUMIF('DADOS BRUTOS'!$A$3:$A$500,$C42,'DADOS BRUTOS'!EO$3:EO$500)))</f>
        <v/>
      </c>
      <c r="HP42" s="132">
        <f>IF(OR(HP$4="",$B42=""),0,SUMIF('DADOS BRUTOS'!$A$3:$A$500,$B42,'DADOS BRUTOS'!EP$3:EP$500)+IF($C42="",0,SUMIF('DADOS BRUTOS'!$A$3:$A$500,$C42,'DADOS BRUTOS'!EP$3:EP$500)))</f>
        <v/>
      </c>
      <c r="HQ42" s="132">
        <f>IF(OR(HQ$4="",$B42=""),0,SUMIF('DADOS BRUTOS'!$A$3:$A$500,$B42,'DADOS BRUTOS'!EQ$3:EQ$500)+IF($C42="",0,SUMIF('DADOS BRUTOS'!$A$3:$A$500,$C42,'DADOS BRUTOS'!EQ$3:EQ$500)))</f>
        <v/>
      </c>
      <c r="HR42" s="132">
        <f>IF(OR(HR$4="",$B42=""),0,SUMIF('DADOS BRUTOS'!$A$3:$A$500,$B42,'DADOS BRUTOS'!ER$3:ER$500)+IF($C42="",0,SUMIF('DADOS BRUTOS'!$A$3:$A$500,$C42,'DADOS BRUTOS'!ER$3:ER$500)))</f>
        <v/>
      </c>
      <c r="HS42" s="132">
        <f>IF(OR(HS$4="",$B42=""),0,SUMIF('DADOS BRUTOS'!$A$3:$A$500,$B42,'DADOS BRUTOS'!ES$3:ES$500)+IF($C42="",0,SUMIF('DADOS BRUTOS'!$A$3:$A$500,$C42,'DADOS BRUTOS'!ES$3:ES$500)))</f>
        <v/>
      </c>
      <c r="HT42" s="132">
        <f>IF(OR(HT$4="",$B42=""),0,SUMIF('DADOS BRUTOS'!$A$3:$A$500,$B42,'DADOS BRUTOS'!ET$3:ET$500)+IF($C42="",0,SUMIF('DADOS BRUTOS'!$A$3:$A$500,$C42,'DADOS BRUTOS'!ET$3:ET$500)))</f>
        <v/>
      </c>
      <c r="HU42" s="132">
        <f>IF(OR(HU$4="",$B42=""),0,SUMIF('DADOS BRUTOS'!$A$3:$A$500,$B42,'DADOS BRUTOS'!EU$3:EU$500)+IF($C42="",0,SUMIF('DADOS BRUTOS'!$A$3:$A$500,$C42,'DADOS BRUTOS'!EU$3:EU$500)))</f>
        <v/>
      </c>
      <c r="HV42" s="132">
        <f>IF(OR(HV$4="",$B42=""),0,SUMIF('DADOS BRUTOS'!$A$3:$A$500,$B42,'DADOS BRUTOS'!EV$3:EV$500)+IF($C42="",0,SUMIF('DADOS BRUTOS'!$A$3:$A$500,$C42,'DADOS BRUTOS'!EV$3:EV$500)))</f>
        <v/>
      </c>
      <c r="HW42" s="132">
        <f>IF(OR(HW$4="",$B42=""),0,SUMIF('DADOS BRUTOS'!$A$3:$A$500,$B42,'DADOS BRUTOS'!EW$3:EW$500)+IF($C42="",0,SUMIF('DADOS BRUTOS'!$A$3:$A$500,$C42,'DADOS BRUTOS'!EW$3:EW$500)))</f>
        <v/>
      </c>
      <c r="HX42" s="132">
        <f>IF(OR(HX$4="",$B42=""),0,SUMIF('DADOS BRUTOS'!$A$3:$A$500,$B42,'DADOS BRUTOS'!EX$3:EX$500)+IF($C42="",0,SUMIF('DADOS BRUTOS'!$A$3:$A$500,$C42,'DADOS BRUTOS'!EX$3:EX$500)))</f>
        <v/>
      </c>
      <c r="HY42" s="132">
        <f>IF(OR(HY$4="",$B42=""),0,SUMIF('DADOS BRUTOS'!$A$3:$A$500,$B42,'DADOS BRUTOS'!EY$3:EY$500)+IF($C42="",0,SUMIF('DADOS BRUTOS'!$A$3:$A$500,$C42,'DADOS BRUTOS'!EY$3:EY$500)))</f>
        <v/>
      </c>
      <c r="HZ42" s="132">
        <f>IF(OR(HZ$4="",$B42=""),0,SUMIF('DADOS BRUTOS'!$A$3:$A$500,$B42,'DADOS BRUTOS'!EZ$3:EZ$500)+IF($C42="",0,SUMIF('DADOS BRUTOS'!$A$3:$A$500,$C42,'DADOS BRUTOS'!EZ$3:EZ$500)))</f>
        <v/>
      </c>
      <c r="IA42" s="132">
        <f>IF(OR(IA$4="",$B42=""),0,SUMIF('DADOS BRUTOS'!$A$3:$A$500,$B42,'DADOS BRUTOS'!FA$3:FA$500)+IF($C42="",0,SUMIF('DADOS BRUTOS'!$A$3:$A$500,$C42,'DADOS BRUTOS'!FA$3:FA$500)))</f>
        <v/>
      </c>
      <c r="IB42" s="132">
        <f>IF(OR(IB$4="",$B42=""),0,SUMIF('DADOS BRUTOS'!$A$3:$A$500,$B42,'DADOS BRUTOS'!FB$3:FB$500)+IF($C42="",0,SUMIF('DADOS BRUTOS'!$A$3:$A$500,$C42,'DADOS BRUTOS'!FB$3:FB$500)))</f>
        <v/>
      </c>
      <c r="IC42" s="132">
        <f>IF(OR(IC$4="",$B42=""),0,SUMIF('DADOS BRUTOS'!$A$3:$A$500,$B42,'DADOS BRUTOS'!FC$3:FC$500)+IF($C42="",0,SUMIF('DADOS BRUTOS'!$A$3:$A$500,$C42,'DADOS BRUTOS'!FC$3:FC$500)))</f>
        <v/>
      </c>
      <c r="ID42" s="132">
        <f>IF(OR(ID$4="",$B42=""),0,SUMIF('DADOS BRUTOS'!$A$3:$A$500,$B42,'DADOS BRUTOS'!FD$3:FD$500)+IF($C42="",0,SUMIF('DADOS BRUTOS'!$A$3:$A$500,$C42,'DADOS BRUTOS'!FD$3:FD$500)))</f>
        <v/>
      </c>
      <c r="IE42" s="132">
        <f>IF(OR(IE$4="",$B42=""),0,SUMIF('DADOS BRUTOS'!$A$3:$A$500,$B42,'DADOS BRUTOS'!FE$3:FE$500)+IF($C42="",0,SUMIF('DADOS BRUTOS'!$A$3:$A$500,$C42,'DADOS BRUTOS'!FE$3:FE$500)))</f>
        <v/>
      </c>
      <c r="IF42" s="132">
        <f>IF(OR(IF$4="",$B42=""),0,SUMIF('DADOS BRUTOS'!$A$3:$A$500,$B42,'DADOS BRUTOS'!FF$3:FF$500)+IF($C42="",0,SUMIF('DADOS BRUTOS'!$A$3:$A$500,$C42,'DADOS BRUTOS'!FF$3:FF$500)))</f>
        <v/>
      </c>
      <c r="IG42" s="132">
        <f>IF(OR(IG$4="",$B42=""),0,SUMIF('DADOS BRUTOS'!$A$3:$A$500,$B42,'DADOS BRUTOS'!FG$3:FG$500)+IF($C42="",0,SUMIF('DADOS BRUTOS'!$A$3:$A$500,$C42,'DADOS BRUTOS'!FG$3:FG$500)))</f>
        <v/>
      </c>
      <c r="IH42" s="132">
        <f>IF(OR(IH$4="",$B42=""),0,SUMIF('DADOS BRUTOS'!$A$3:$A$500,$B42,'DADOS BRUTOS'!FH$3:FH$500)+IF($C42="",0,SUMIF('DADOS BRUTOS'!$A$3:$A$500,$C42,'DADOS BRUTOS'!FH$3:FH$500)))</f>
        <v/>
      </c>
      <c r="II42" s="132">
        <f>IF(OR(II$4="",$B42=""),0,SUMIF('DADOS BRUTOS'!$A$3:$A$500,$B42,'DADOS BRUTOS'!FI$3:FI$500)+IF($C42="",0,SUMIF('DADOS BRUTOS'!$A$3:$A$500,$C42,'DADOS BRUTOS'!FI$3:FI$500)))</f>
        <v/>
      </c>
      <c r="IJ42" s="132">
        <f>IF(OR(IJ$4="",$B42=""),0,SUMIF('DADOS BRUTOS'!$A$3:$A$500,$B42,'DADOS BRUTOS'!FJ$3:FJ$500)+IF($C42="",0,SUMIF('DADOS BRUTOS'!$A$3:$A$500,$C42,'DADOS BRUTOS'!FJ$3:FJ$500)))</f>
        <v/>
      </c>
      <c r="IK42" s="132">
        <f>IF(OR(IK$4="",$B42=""),0,SUMIF('DADOS BRUTOS'!$A$3:$A$500,$B42,'DADOS BRUTOS'!FK$3:FK$500)+IF($C42="",0,SUMIF('DADOS BRUTOS'!$A$3:$A$500,$C42,'DADOS BRUTOS'!FK$3:FK$500)))</f>
        <v/>
      </c>
      <c r="IL42" s="132">
        <f>IF(OR(IL$4="",$B42=""),0,SUMIF('DADOS BRUTOS'!$A$3:$A$500,$B42,'DADOS BRUTOS'!FL$3:FL$500)+IF($C42="",0,SUMIF('DADOS BRUTOS'!$A$3:$A$500,$C42,'DADOS BRUTOS'!FL$3:FL$500)))</f>
        <v/>
      </c>
      <c r="IM42" s="132">
        <f>IF(OR(IM$4="",$B42=""),0,SUMIF('DADOS BRUTOS'!$A$3:$A$500,$B42,'DADOS BRUTOS'!FM$3:FM$500)+IF($C42="",0,SUMIF('DADOS BRUTOS'!$A$3:$A$500,$C42,'DADOS BRUTOS'!FM$3:FM$500)))</f>
        <v/>
      </c>
      <c r="IN42" s="132">
        <f>IF(OR(IN$4="",$B42=""),0,SUMIF('DADOS BRUTOS'!$A$3:$A$500,$B42,'DADOS BRUTOS'!FN$3:FN$500)+IF($C42="",0,SUMIF('DADOS BRUTOS'!$A$3:$A$500,$C42,'DADOS BRUTOS'!FN$3:FN$500)))</f>
        <v/>
      </c>
      <c r="IO42" s="132">
        <f>IF(OR(IO$4="",$B42=""),0,SUMIF('DADOS BRUTOS'!$A$3:$A$500,$B42,'DADOS BRUTOS'!FO$3:FO$500)+IF($C42="",0,SUMIF('DADOS BRUTOS'!$A$3:$A$500,$C42,'DADOS BRUTOS'!FO$3:FO$500)))</f>
        <v/>
      </c>
      <c r="IP42" s="132">
        <f>IF(OR(IP$4="",$B42=""),0,SUMIF('DADOS BRUTOS'!$A$3:$A$500,$B42,'DADOS BRUTOS'!FP$3:FP$500)+IF($C42="",0,SUMIF('DADOS BRUTOS'!$A$3:$A$500,$C42,'DADOS BRUTOS'!FP$3:FP$500)))</f>
        <v/>
      </c>
      <c r="IQ42" s="132">
        <f>IF(OR(IQ$4="",$B42=""),0,SUMIF('DADOS BRUTOS'!$A$3:$A$500,$B42,'DADOS BRUTOS'!FQ$3:FQ$500)+IF($C42="",0,SUMIF('DADOS BRUTOS'!$A$3:$A$500,$C42,'DADOS BRUTOS'!FQ$3:FQ$500)))</f>
        <v/>
      </c>
      <c r="IR42" s="132">
        <f>IF(OR(IR$4="",$B42=""),0,SUMIF('DADOS BRUTOS'!$A$3:$A$500,$B42,'DADOS BRUTOS'!FR$3:FR$500)+IF($C42="",0,SUMIF('DADOS BRUTOS'!$A$3:$A$500,$C42,'DADOS BRUTOS'!FR$3:FR$500)))</f>
        <v/>
      </c>
      <c r="IS42" s="132">
        <f>IF(OR(IS$4="",$B42=""),0,SUMIF('DADOS BRUTOS'!$A$3:$A$500,$B42,'DADOS BRUTOS'!FS$3:FS$500)+IF($C42="",0,SUMIF('DADOS BRUTOS'!$A$3:$A$500,$C42,'DADOS BRUTOS'!FS$3:FS$500)))</f>
        <v/>
      </c>
      <c r="IT42" s="132">
        <f>IF(OR(IT$4="",$B42=""),0,SUMIF('DADOS BRUTOS'!$A$3:$A$500,$B42,'DADOS BRUTOS'!FT$3:FT$500)+IF($C42="",0,SUMIF('DADOS BRUTOS'!$A$3:$A$500,$C42,'DADOS BRUTOS'!FT$3:FT$500)))</f>
        <v/>
      </c>
      <c r="IU42" s="132">
        <f>IF(OR(IU$4="",$B42=""),0,SUMIF('DADOS BRUTOS'!$A$3:$A$500,$B42,'DADOS BRUTOS'!FU$3:FU$500)+IF($C42="",0,SUMIF('DADOS BRUTOS'!$A$3:$A$500,$C42,'DADOS BRUTOS'!FU$3:FU$500)))</f>
        <v/>
      </c>
      <c r="IV42" s="132">
        <f>IF(OR(IV$4="",$B42=""),0,SUMIF('DADOS BRUTOS'!$A$3:$A$500,$B42,'DADOS BRUTOS'!FV$3:FV$500)+IF($C42="",0,SUMIF('DADOS BRUTOS'!$A$3:$A$500,$C42,'DADOS BRUTOS'!FV$3:FV$500)))</f>
        <v/>
      </c>
      <c r="IW42" s="132">
        <f>IF(OR(IW$4="",$B42=""),0,SUMIF('DADOS BRUTOS'!$A$3:$A$500,$B42,'DADOS BRUTOS'!FW$3:FW$500)+IF($C42="",0,SUMIF('DADOS BRUTOS'!$A$3:$A$500,$C42,'DADOS BRUTOS'!FW$3:FW$500)))</f>
        <v/>
      </c>
      <c r="IX42" s="132">
        <f>IF(OR(IX$4="",$B42=""),0,SUMIF('DADOS BRUTOS'!$A$3:$A$500,$B42,'DADOS BRUTOS'!FX$3:FX$500)+IF($C42="",0,SUMIF('DADOS BRUTOS'!$A$3:$A$500,$C42,'DADOS BRUTOS'!FX$3:FX$500)))</f>
        <v/>
      </c>
      <c r="IY42" s="132">
        <f>IF(OR(IY$4="",$B42=""),0,SUMIF('DADOS BRUTOS'!$A$3:$A$500,$B42,'DADOS BRUTOS'!FY$3:FY$500)+IF($C42="",0,SUMIF('DADOS BRUTOS'!$A$3:$A$500,$C42,'DADOS BRUTOS'!FY$3:FY$500)))</f>
        <v/>
      </c>
      <c r="IZ42" s="132">
        <f>IF(OR(IZ$4="",$B42=""),0,SUMIF('DADOS BRUTOS'!$A$3:$A$500,$B42,'DADOS BRUTOS'!FZ$3:FZ$500)+IF($C42="",0,SUMIF('DADOS BRUTOS'!$A$3:$A$500,$C42,'DADOS BRUTOS'!FZ$3:FZ$500)))</f>
        <v/>
      </c>
      <c r="JA42" s="132">
        <f>IF(OR(JA$4="",$B42=""),0,SUMIF('DADOS BRUTOS'!$A$3:$A$500,$B42,'DADOS BRUTOS'!GA$3:GA$500)+IF($C42="",0,SUMIF('DADOS BRUTOS'!$A$3:$A$500,$C42,'DADOS BRUTOS'!GA$3:GA$500)))</f>
        <v/>
      </c>
      <c r="JB42" s="132">
        <f>IF(OR(JB$4="",$B42=""),0,SUMIF('DADOS BRUTOS'!$A$3:$A$500,$B42,'DADOS BRUTOS'!GB$3:GB$500)+IF($C42="",0,SUMIF('DADOS BRUTOS'!$A$3:$A$500,$C42,'DADOS BRUTOS'!GB$3:GB$500)))</f>
        <v/>
      </c>
      <c r="JC42" s="132">
        <f>IF(OR(JC$4="",$B42=""),0,SUMIF('DADOS BRUTOS'!$A$3:$A$500,$B42,'DADOS BRUTOS'!GC$3:GC$500)+IF($C42="",0,SUMIF('DADOS BRUTOS'!$A$3:$A$500,$C42,'DADOS BRUTOS'!GC$3:GC$500)))</f>
        <v/>
      </c>
      <c r="JD42" s="132">
        <f>IF(OR(JD$4="",$B42=""),0,SUMIF('DADOS BRUTOS'!$A$3:$A$500,$B42,'DADOS BRUTOS'!GD$3:GD$500)+IF($C42="",0,SUMIF('DADOS BRUTOS'!$A$3:$A$500,$C42,'DADOS BRUTOS'!GD$3:GD$500)))</f>
        <v/>
      </c>
      <c r="JE42" s="132">
        <f>IF(OR(JE$4="",$B42=""),0,SUMIF('DADOS BRUTOS'!$A$3:$A$500,$B42,'DADOS BRUTOS'!GE$3:GE$500)+IF($C42="",0,SUMIF('DADOS BRUTOS'!$A$3:$A$500,$C42,'DADOS BRUTOS'!GE$3:GE$500)))</f>
        <v/>
      </c>
      <c r="JF42" s="132">
        <f>IF(OR(JF$4="",$B42=""),0,SUMIF('DADOS BRUTOS'!$A$3:$A$500,$B42,'DADOS BRUTOS'!GF$3:GF$500)+IF($C42="",0,SUMIF('DADOS BRUTOS'!$A$3:$A$500,$C42,'DADOS BRUTOS'!GF$3:GF$500)))</f>
        <v/>
      </c>
      <c r="JG42" s="132">
        <f>IF(OR(JG$4="",$B42=""),0,SUMIF('DADOS BRUTOS'!$A$3:$A$500,$B42,'DADOS BRUTOS'!GG$3:GG$500)+IF($C42="",0,SUMIF('DADOS BRUTOS'!$A$3:$A$500,$C42,'DADOS BRUTOS'!GG$3:GG$500)))</f>
        <v/>
      </c>
      <c r="JH42" s="132">
        <f>IF(OR(JH$4="",$B42=""),0,SUMIF('DADOS BRUTOS'!$A$3:$A$500,$B42,'DADOS BRUTOS'!GH$3:GH$500)+IF($C42="",0,SUMIF('DADOS BRUTOS'!$A$3:$A$500,$C42,'DADOS BRUTOS'!GH$3:GH$500)))</f>
        <v/>
      </c>
      <c r="JI42" s="132">
        <f>IF(OR(JI$4="",$B42=""),0,SUMIF('DADOS BRUTOS'!$A$3:$A$500,$B42,'DADOS BRUTOS'!GI$3:GI$500)+IF($C42="",0,SUMIF('DADOS BRUTOS'!$A$3:$A$500,$C42,'DADOS BRUTOS'!GI$3:GI$500)))</f>
        <v/>
      </c>
      <c r="JJ42" s="132">
        <f>IF(OR(JJ$4="",$B42=""),0,SUMIF('DADOS BRUTOS'!$A$3:$A$500,$B42,'DADOS BRUTOS'!GJ$3:GJ$500)+IF($C42="",0,SUMIF('DADOS BRUTOS'!$A$3:$A$500,$C42,'DADOS BRUTOS'!GJ$3:GJ$500)))</f>
        <v/>
      </c>
      <c r="JK42" s="132">
        <f>IF(OR(JK$4="",$B42=""),0,SUMIF('DADOS BRUTOS'!$A$3:$A$500,$B42,'DADOS BRUTOS'!GK$3:GK$500)+IF($C42="",0,SUMIF('DADOS BRUTOS'!$A$3:$A$500,$C42,'DADOS BRUTOS'!GK$3:GK$500)))</f>
        <v/>
      </c>
      <c r="JL42" s="132">
        <f>IF(OR(JL$4="",$B42=""),0,SUMIF('DADOS BRUTOS'!$A$3:$A$500,$B42,'DADOS BRUTOS'!GL$3:GL$500)+IF($C42="",0,SUMIF('DADOS BRUTOS'!$A$3:$A$500,$C42,'DADOS BRUTOS'!GL$3:GL$500)))</f>
        <v/>
      </c>
      <c r="JM42" s="132">
        <f>IF(OR(JM$4="",$B42=""),0,SUMIF('DADOS BRUTOS'!$A$3:$A$500,$B42,'DADOS BRUTOS'!GM$3:GM$500)+IF($C42="",0,SUMIF('DADOS BRUTOS'!$A$3:$A$500,$C42,'DADOS BRUTOS'!GM$3:GM$500)))</f>
        <v/>
      </c>
      <c r="JN42" s="132">
        <f>IF(OR(JN$4="",$B42=""),0,SUMIF('DADOS BRUTOS'!$A$3:$A$500,$B42,'DADOS BRUTOS'!GN$3:GN$500)+IF($C42="",0,SUMIF('DADOS BRUTOS'!$A$3:$A$500,$C42,'DADOS BRUTOS'!GN$3:GN$500)))</f>
        <v/>
      </c>
      <c r="JO42" s="132">
        <f>IF(OR(JO$4="",$B42=""),0,SUMIF('DADOS BRUTOS'!$A$3:$A$500,$B42,'DADOS BRUTOS'!GO$3:GO$500)+IF($C42="",0,SUMIF('DADOS BRUTOS'!$A$3:$A$500,$C42,'DADOS BRUTOS'!GO$3:GO$500)))</f>
        <v/>
      </c>
      <c r="JP42" s="132">
        <f>IF(OR(JP$4="",$B42=""),0,SUMIF('DADOS BRUTOS'!$A$3:$A$500,$B42,'DADOS BRUTOS'!GP$3:GP$500)+IF($C42="",0,SUMIF('DADOS BRUTOS'!$A$3:$A$500,$C42,'DADOS BRUTOS'!GP$3:GP$500)))</f>
        <v/>
      </c>
      <c r="JQ42" s="132">
        <f>IF(OR(JQ$4="",$B42=""),0,SUMIF('DADOS BRUTOS'!$A$3:$A$500,$B42,'DADOS BRUTOS'!GQ$3:GQ$500)+IF($C42="",0,SUMIF('DADOS BRUTOS'!$A$3:$A$500,$C42,'DADOS BRUTOS'!GQ$3:GQ$500)))</f>
        <v/>
      </c>
      <c r="JR42" s="132">
        <f>IF(OR(JR$4="",$B42=""),0,SUMIF('DADOS BRUTOS'!$A$3:$A$500,$B42,'DADOS BRUTOS'!GR$3:GR$500)+IF($C42="",0,SUMIF('DADOS BRUTOS'!$A$3:$A$500,$C42,'DADOS BRUTOS'!GR$3:GR$500)))</f>
        <v/>
      </c>
      <c r="JS42" s="132">
        <f>IF(OR(JS$4="",$B42=""),0,SUMIF('DADOS BRUTOS'!$A$3:$A$500,$B42,'DADOS BRUTOS'!GS$3:GS$500)+IF($C42="",0,SUMIF('DADOS BRUTOS'!$A$3:$A$500,$C42,'DADOS BRUTOS'!GS$3:GS$500)))</f>
        <v/>
      </c>
    </row>
    <row r="44">
      <c r="A44" s="46" t="inlineStr">
        <is>
          <t>TOTAL</t>
        </is>
      </c>
      <c r="D44" s="133">
        <f>SUM(D5:D42)</f>
        <v/>
      </c>
      <c r="E44" s="133">
        <f>SUM(E5:E42)</f>
        <v/>
      </c>
      <c r="F44" s="133">
        <f>SUM(F5:F42)</f>
        <v/>
      </c>
      <c r="G44" s="133">
        <f>SUM(G5:G42)</f>
        <v/>
      </c>
      <c r="H44" s="133">
        <f>SUM(H5:H42)</f>
        <v/>
      </c>
      <c r="I44" s="133">
        <f>SUM(I5:I42)</f>
        <v/>
      </c>
      <c r="J44" s="133">
        <f>SUM(J5:J42)</f>
        <v/>
      </c>
      <c r="K44" s="133">
        <f>SUM(K5:K42)</f>
        <v/>
      </c>
      <c r="L44" s="133">
        <f>SUM(L5:L42)</f>
        <v/>
      </c>
      <c r="M44" s="133">
        <f>SUM(M5:M42)</f>
        <v/>
      </c>
      <c r="N44" s="133">
        <f>SUM(N5:N42)</f>
        <v/>
      </c>
      <c r="O44" s="133">
        <f>SUM(O5:O42)</f>
        <v/>
      </c>
      <c r="P44" s="133">
        <f>SUM(P5:P42)</f>
        <v/>
      </c>
      <c r="Q44" s="133">
        <f>SUM(Q5:Q42)</f>
        <v/>
      </c>
      <c r="R44" s="133">
        <f>SUM(R5:R42)</f>
        <v/>
      </c>
      <c r="S44" s="133">
        <f>SUM(S5:S42)</f>
        <v/>
      </c>
      <c r="T44" s="133">
        <f>SUM(T5:T42)</f>
        <v/>
      </c>
      <c r="U44" s="133">
        <f>SUM(U5:U42)</f>
        <v/>
      </c>
      <c r="V44" s="133">
        <f>SUM(V5:V42)</f>
        <v/>
      </c>
      <c r="W44" s="133">
        <f>SUM(W5:W42)</f>
        <v/>
      </c>
      <c r="X44" s="133">
        <f>SUM(X5:X42)</f>
        <v/>
      </c>
      <c r="Y44" s="133">
        <f>SUM(Y5:Y42)</f>
        <v/>
      </c>
      <c r="Z44" s="133">
        <f>SUM(Z5:Z42)</f>
        <v/>
      </c>
      <c r="AA44" s="133">
        <f>SUM(AA5:AA42)</f>
        <v/>
      </c>
      <c r="AB44" s="133">
        <f>SUM(AB5:AB42)</f>
        <v/>
      </c>
      <c r="AC44" s="133">
        <f>SUM(AC5:AC42)</f>
        <v/>
      </c>
      <c r="AD44" s="133">
        <f>SUM(AD5:AD42)</f>
        <v/>
      </c>
      <c r="AE44" s="133">
        <f>SUM(AE5:AE42)</f>
        <v/>
      </c>
      <c r="AF44" s="133">
        <f>SUM(AF5:AF42)</f>
        <v/>
      </c>
      <c r="AG44" s="133">
        <f>SUM(AG5:AG42)</f>
        <v/>
      </c>
      <c r="AH44" s="133">
        <f>SUM(AH5:AH42)</f>
        <v/>
      </c>
      <c r="AI44" s="133">
        <f>SUM(AI5:AI42)</f>
        <v/>
      </c>
      <c r="AJ44" s="133">
        <f>SUM(AJ5:AJ42)</f>
        <v/>
      </c>
      <c r="AK44" s="133">
        <f>SUM(AK5:AK42)</f>
        <v/>
      </c>
      <c r="AL44" s="133">
        <f>SUM(AL5:AL42)</f>
        <v/>
      </c>
      <c r="AM44" s="133">
        <f>SUM(AM5:AM42)</f>
        <v/>
      </c>
      <c r="AN44" s="133">
        <f>SUM(AN5:AN42)</f>
        <v/>
      </c>
      <c r="AO44" s="133">
        <f>SUM(AO5:AO42)</f>
        <v/>
      </c>
      <c r="AP44" s="133">
        <f>SUM(AP5:AP42)</f>
        <v/>
      </c>
      <c r="AQ44" s="133">
        <f>SUM(AQ5:AQ42)</f>
        <v/>
      </c>
      <c r="AR44" s="133">
        <f>SUM(AR5:AR42)</f>
        <v/>
      </c>
      <c r="AS44" s="133">
        <f>SUM(AS5:AS42)</f>
        <v/>
      </c>
      <c r="AT44" s="133">
        <f>SUM(AT5:AT42)</f>
        <v/>
      </c>
      <c r="AU44" s="133">
        <f>SUM(AU5:AU42)</f>
        <v/>
      </c>
      <c r="AV44" s="133">
        <f>SUM(AV5:AV42)</f>
        <v/>
      </c>
      <c r="AW44" s="133">
        <f>SUM(AW5:AW42)</f>
        <v/>
      </c>
      <c r="AX44" s="133">
        <f>SUM(AX5:AX42)</f>
        <v/>
      </c>
      <c r="AY44" s="133">
        <f>SUM(AY5:AY42)</f>
        <v/>
      </c>
      <c r="AZ44" s="133">
        <f>SUM(AZ5:AZ42)</f>
        <v/>
      </c>
      <c r="BA44" s="133">
        <f>SUM(BA5:BA42)</f>
        <v/>
      </c>
      <c r="BB44" s="133">
        <f>SUM(BB5:BB42)</f>
        <v/>
      </c>
      <c r="BC44" s="133">
        <f>SUM(BC5:BC42)</f>
        <v/>
      </c>
      <c r="BD44" s="133">
        <f>SUM(BD5:BD42)</f>
        <v/>
      </c>
      <c r="BE44" s="133">
        <f>SUM(BE5:BE42)</f>
        <v/>
      </c>
      <c r="BF44" s="133">
        <f>SUM(BF5:BF42)</f>
        <v/>
      </c>
      <c r="BG44" s="133">
        <f>SUM(BG5:BG42)</f>
        <v/>
      </c>
      <c r="BH44" s="133">
        <f>SUM(BH5:BH42)</f>
        <v/>
      </c>
      <c r="BI44" s="133">
        <f>SUM(BI5:BI42)</f>
        <v/>
      </c>
      <c r="BJ44" s="133">
        <f>SUM(BJ5:BJ42)</f>
        <v/>
      </c>
      <c r="BK44" s="133">
        <f>SUM(BK5:BK42)</f>
        <v/>
      </c>
      <c r="BL44" s="133">
        <f>SUM(BL5:BL42)</f>
        <v/>
      </c>
      <c r="BM44" s="133">
        <f>SUM(BM5:BM42)</f>
        <v/>
      </c>
      <c r="BN44" s="133">
        <f>SUM(BN5:BN42)</f>
        <v/>
      </c>
      <c r="BO44" s="133">
        <f>SUM(BO5:BO42)</f>
        <v/>
      </c>
      <c r="BP44" s="133">
        <f>SUM(BP5:BP42)</f>
        <v/>
      </c>
      <c r="BQ44" s="133">
        <f>SUM(BQ5:BQ42)</f>
        <v/>
      </c>
      <c r="BR44" s="133">
        <f>SUM(BR5:BR42)</f>
        <v/>
      </c>
      <c r="BS44" s="133">
        <f>SUM(BS5:BS42)</f>
        <v/>
      </c>
      <c r="BT44" s="133">
        <f>SUM(BT5:BT42)</f>
        <v/>
      </c>
      <c r="BU44" s="133">
        <f>SUM(BU5:BU42)</f>
        <v/>
      </c>
      <c r="BV44" s="133">
        <f>SUM(BV5:BV42)</f>
        <v/>
      </c>
      <c r="BW44" s="133">
        <f>SUM(BW5:BW42)</f>
        <v/>
      </c>
      <c r="BX44" s="133">
        <f>SUM(BX5:BX42)</f>
        <v/>
      </c>
      <c r="BY44" s="133">
        <f>SUM(BY5:BY42)</f>
        <v/>
      </c>
      <c r="BZ44" s="133">
        <f>SUM(BZ5:BZ42)</f>
        <v/>
      </c>
      <c r="CB44" s="132">
        <f>SUM(CB5:CB42)</f>
        <v/>
      </c>
      <c r="CC44" s="132">
        <f>SUM(CC5:CC42)</f>
        <v/>
      </c>
      <c r="CD44" s="132">
        <f>SUM(CD5:CD42)</f>
        <v/>
      </c>
      <c r="CE44" s="132">
        <f>SUM(CE5:CE42)</f>
        <v/>
      </c>
      <c r="CF44" s="132">
        <f>SUM(CF5:CF42)</f>
        <v/>
      </c>
      <c r="CG44" s="132">
        <f>SUM(CG5:CG42)</f>
        <v/>
      </c>
      <c r="CH44" s="132">
        <f>SUM(CH5:CH42)</f>
        <v/>
      </c>
      <c r="CI44" s="132">
        <f>SUM(CI5:CI42)</f>
        <v/>
      </c>
      <c r="CJ44" s="132">
        <f>SUM(CJ5:CJ42)</f>
        <v/>
      </c>
      <c r="CK44" s="132">
        <f>SUM(CK5:CK42)</f>
        <v/>
      </c>
      <c r="CL44" s="132">
        <f>SUM(CL5:CL42)</f>
        <v/>
      </c>
      <c r="CM44" s="132">
        <f>SUM(CM5:CM42)</f>
        <v/>
      </c>
      <c r="CN44" s="132">
        <f>SUM(CN5:CN42)</f>
        <v/>
      </c>
      <c r="CO44" s="132">
        <f>SUM(CO5:CO42)</f>
        <v/>
      </c>
      <c r="CP44" s="132">
        <f>SUM(CP5:CP42)</f>
        <v/>
      </c>
      <c r="CQ44" s="132">
        <f>SUM(CQ5:CQ42)</f>
        <v/>
      </c>
      <c r="CR44" s="132">
        <f>SUM(CR5:CR42)</f>
        <v/>
      </c>
      <c r="CS44" s="132">
        <f>SUM(CS5:CS42)</f>
        <v/>
      </c>
      <c r="CT44" s="132">
        <f>SUM(CT5:CT42)</f>
        <v/>
      </c>
      <c r="CU44" s="132">
        <f>SUM(CU5:CU42)</f>
        <v/>
      </c>
      <c r="CV44" s="132">
        <f>SUM(CV5:CV42)</f>
        <v/>
      </c>
      <c r="CW44" s="132">
        <f>SUM(CW5:CW42)</f>
        <v/>
      </c>
      <c r="CX44" s="132">
        <f>SUM(CX5:CX42)</f>
        <v/>
      </c>
      <c r="CY44" s="132">
        <f>SUM(CY5:CY42)</f>
        <v/>
      </c>
      <c r="CZ44" s="132">
        <f>SUM(CZ5:CZ42)</f>
        <v/>
      </c>
      <c r="DA44" s="132">
        <f>SUM(DA5:DA42)</f>
        <v/>
      </c>
      <c r="DB44" s="132">
        <f>SUM(DB5:DB42)</f>
        <v/>
      </c>
      <c r="DC44" s="132">
        <f>SUM(DC5:DC42)</f>
        <v/>
      </c>
      <c r="DD44" s="132">
        <f>SUM(DD5:DD42)</f>
        <v/>
      </c>
      <c r="DE44" s="132">
        <f>SUM(DE5:DE42)</f>
        <v/>
      </c>
      <c r="DF44" s="132">
        <f>SUM(DF5:DF42)</f>
        <v/>
      </c>
      <c r="DG44" s="132">
        <f>SUM(DG5:DG42)</f>
        <v/>
      </c>
      <c r="DH44" s="132">
        <f>SUM(DH5:DH42)</f>
        <v/>
      </c>
      <c r="DI44" s="132">
        <f>SUM(DI5:DI42)</f>
        <v/>
      </c>
      <c r="DJ44" s="132">
        <f>SUM(DJ5:DJ42)</f>
        <v/>
      </c>
      <c r="DK44" s="132">
        <f>SUM(DK5:DK42)</f>
        <v/>
      </c>
      <c r="DL44" s="132">
        <f>SUM(DL5:DL42)</f>
        <v/>
      </c>
      <c r="DM44" s="132">
        <f>SUM(DM5:DM42)</f>
        <v/>
      </c>
      <c r="DN44" s="132">
        <f>SUM(DN5:DN42)</f>
        <v/>
      </c>
      <c r="DO44" s="132">
        <f>SUM(DO5:DO42)</f>
        <v/>
      </c>
      <c r="DP44" s="132">
        <f>SUM(DP5:DP42)</f>
        <v/>
      </c>
      <c r="DQ44" s="132">
        <f>SUM(DQ5:DQ42)</f>
        <v/>
      </c>
      <c r="DR44" s="132">
        <f>SUM(DR5:DR42)</f>
        <v/>
      </c>
      <c r="DS44" s="132">
        <f>SUM(DS5:DS42)</f>
        <v/>
      </c>
      <c r="DT44" s="132">
        <f>SUM(DT5:DT42)</f>
        <v/>
      </c>
      <c r="DU44" s="132">
        <f>SUM(DU5:DU42)</f>
        <v/>
      </c>
      <c r="DV44" s="132">
        <f>SUM(DV5:DV42)</f>
        <v/>
      </c>
      <c r="DW44" s="132">
        <f>SUM(DW5:DW42)</f>
        <v/>
      </c>
      <c r="DX44" s="132">
        <f>SUM(DX5:DX42)</f>
        <v/>
      </c>
      <c r="DY44" s="132">
        <f>SUM(DY5:DY42)</f>
        <v/>
      </c>
      <c r="DZ44" s="132">
        <f>SUM(DZ5:DZ42)</f>
        <v/>
      </c>
      <c r="EA44" s="132">
        <f>SUM(EA5:EA42)</f>
        <v/>
      </c>
      <c r="EB44" s="132">
        <f>SUM(EB5:EB42)</f>
        <v/>
      </c>
      <c r="EC44" s="132">
        <f>SUM(EC5:EC42)</f>
        <v/>
      </c>
      <c r="ED44" s="132">
        <f>SUM(ED5:ED42)</f>
        <v/>
      </c>
      <c r="EE44" s="132">
        <f>SUM(EE5:EE42)</f>
        <v/>
      </c>
      <c r="EF44" s="132">
        <f>SUM(EF5:EF42)</f>
        <v/>
      </c>
      <c r="EG44" s="132">
        <f>SUM(EG5:EG42)</f>
        <v/>
      </c>
      <c r="EH44" s="132">
        <f>SUM(EH5:EH42)</f>
        <v/>
      </c>
      <c r="EI44" s="132">
        <f>SUM(EI5:EI42)</f>
        <v/>
      </c>
      <c r="EJ44" s="132">
        <f>SUM(EJ5:EJ42)</f>
        <v/>
      </c>
      <c r="EK44" s="132">
        <f>SUM(EK5:EK42)</f>
        <v/>
      </c>
      <c r="EL44" s="132">
        <f>SUM(EL5:EL42)</f>
        <v/>
      </c>
      <c r="EM44" s="132">
        <f>SUM(EM5:EM42)</f>
        <v/>
      </c>
      <c r="EN44" s="132">
        <f>SUM(EN5:EN42)</f>
        <v/>
      </c>
      <c r="EO44" s="132">
        <f>SUM(EO5:EO42)</f>
        <v/>
      </c>
      <c r="EP44" s="132">
        <f>SUM(EP5:EP42)</f>
        <v/>
      </c>
      <c r="EQ44" s="132">
        <f>SUM(EQ5:EQ42)</f>
        <v/>
      </c>
      <c r="ER44" s="132">
        <f>SUM(ER5:ER42)</f>
        <v/>
      </c>
      <c r="ES44" s="132">
        <f>SUM(ES5:ES42)</f>
        <v/>
      </c>
      <c r="ET44" s="132">
        <f>SUM(ET5:ET42)</f>
        <v/>
      </c>
      <c r="EU44" s="132">
        <f>SUM(EU5:EU42)</f>
        <v/>
      </c>
      <c r="EV44" s="132">
        <f>SUM(EV5:EV42)</f>
        <v/>
      </c>
      <c r="EW44" s="132">
        <f>SUM(EW5:EW42)</f>
        <v/>
      </c>
      <c r="EX44" s="132">
        <f>SUM(EX5:EX42)</f>
        <v/>
      </c>
      <c r="EY44" s="132">
        <f>SUM(EY5:EY42)</f>
        <v/>
      </c>
      <c r="EZ44" s="132">
        <f>SUM(EZ5:EZ42)</f>
        <v/>
      </c>
      <c r="FA44" s="132">
        <f>SUM(FA5:FA42)</f>
        <v/>
      </c>
      <c r="FB44" s="132">
        <f>SUM(FB5:FB42)</f>
        <v/>
      </c>
      <c r="FC44" s="132">
        <f>SUM(FC5:FC42)</f>
        <v/>
      </c>
      <c r="FD44" s="132">
        <f>SUM(FD5:FD42)</f>
        <v/>
      </c>
      <c r="FE44" s="132">
        <f>SUM(FE5:FE42)</f>
        <v/>
      </c>
      <c r="FF44" s="132">
        <f>SUM(FF5:FF42)</f>
        <v/>
      </c>
      <c r="FG44" s="132">
        <f>SUM(FG5:FG42)</f>
        <v/>
      </c>
      <c r="FH44" s="132">
        <f>SUM(FH5:FH42)</f>
        <v/>
      </c>
      <c r="FI44" s="132">
        <f>SUM(FI5:FI42)</f>
        <v/>
      </c>
      <c r="FJ44" s="132">
        <f>SUM(FJ5:FJ42)</f>
        <v/>
      </c>
      <c r="FK44" s="132">
        <f>SUM(FK5:FK42)</f>
        <v/>
      </c>
      <c r="FL44" s="132">
        <f>SUM(FL5:FL42)</f>
        <v/>
      </c>
      <c r="FM44" s="132">
        <f>SUM(FM5:FM42)</f>
        <v/>
      </c>
      <c r="FN44" s="132">
        <f>SUM(FN5:FN42)</f>
        <v/>
      </c>
      <c r="FO44" s="132">
        <f>SUM(FO5:FO42)</f>
        <v/>
      </c>
      <c r="FP44" s="132">
        <f>SUM(FP5:FP42)</f>
        <v/>
      </c>
      <c r="FQ44" s="132">
        <f>SUM(FQ5:FQ42)</f>
        <v/>
      </c>
      <c r="FR44" s="132">
        <f>SUM(FR5:FR42)</f>
        <v/>
      </c>
      <c r="FS44" s="132">
        <f>SUM(FS5:FS42)</f>
        <v/>
      </c>
      <c r="FT44" s="132">
        <f>SUM(FT5:FT42)</f>
        <v/>
      </c>
      <c r="FU44" s="132">
        <f>SUM(FU5:FU42)</f>
        <v/>
      </c>
      <c r="FV44" s="132">
        <f>SUM(FV5:FV42)</f>
        <v/>
      </c>
      <c r="FW44" s="132">
        <f>SUM(FW5:FW42)</f>
        <v/>
      </c>
      <c r="FX44" s="132">
        <f>SUM(FX5:FX42)</f>
        <v/>
      </c>
      <c r="FY44" s="132">
        <f>SUM(FY5:FY42)</f>
        <v/>
      </c>
      <c r="FZ44" s="132">
        <f>SUM(FZ5:FZ42)</f>
        <v/>
      </c>
      <c r="GA44" s="132">
        <f>SUM(GA5:GA42)</f>
        <v/>
      </c>
      <c r="GB44" s="132">
        <f>SUM(GB5:GB42)</f>
        <v/>
      </c>
      <c r="GC44" s="132">
        <f>SUM(GC5:GC42)</f>
        <v/>
      </c>
      <c r="GD44" s="132">
        <f>SUM(GD5:GD42)</f>
        <v/>
      </c>
      <c r="GE44" s="132">
        <f>SUM(GE5:GE42)</f>
        <v/>
      </c>
      <c r="GF44" s="132">
        <f>SUM(GF5:GF42)</f>
        <v/>
      </c>
      <c r="GG44" s="132">
        <f>SUM(GG5:GG42)</f>
        <v/>
      </c>
      <c r="GH44" s="132">
        <f>SUM(GH5:GH42)</f>
        <v/>
      </c>
      <c r="GI44" s="132">
        <f>SUM(GI5:GI42)</f>
        <v/>
      </c>
      <c r="GJ44" s="132">
        <f>SUM(GJ5:GJ42)</f>
        <v/>
      </c>
      <c r="GK44" s="132">
        <f>SUM(GK5:GK42)</f>
        <v/>
      </c>
      <c r="GL44" s="132">
        <f>SUM(GL5:GL42)</f>
        <v/>
      </c>
      <c r="GM44" s="132">
        <f>SUM(GM5:GM42)</f>
        <v/>
      </c>
      <c r="GN44" s="132">
        <f>SUM(GN5:GN42)</f>
        <v/>
      </c>
      <c r="GO44" s="132">
        <f>SUM(GO5:GO42)</f>
        <v/>
      </c>
      <c r="GP44" s="132">
        <f>SUM(GP5:GP42)</f>
        <v/>
      </c>
      <c r="GQ44" s="132">
        <f>SUM(GQ5:GQ42)</f>
        <v/>
      </c>
      <c r="GR44" s="132">
        <f>SUM(GR5:GR42)</f>
        <v/>
      </c>
      <c r="GS44" s="132">
        <f>SUM(GS5:GS42)</f>
        <v/>
      </c>
      <c r="GT44" s="132">
        <f>SUM(GT5:GT42)</f>
        <v/>
      </c>
      <c r="GU44" s="132">
        <f>SUM(GU5:GU42)</f>
        <v/>
      </c>
      <c r="GV44" s="132">
        <f>SUM(GV5:GV42)</f>
        <v/>
      </c>
      <c r="GW44" s="132">
        <f>SUM(GW5:GW42)</f>
        <v/>
      </c>
      <c r="GX44" s="132">
        <f>SUM(GX5:GX42)</f>
        <v/>
      </c>
      <c r="GY44" s="132">
        <f>SUM(GY5:GY42)</f>
        <v/>
      </c>
      <c r="GZ44" s="132">
        <f>SUM(GZ5:GZ42)</f>
        <v/>
      </c>
      <c r="HA44" s="132">
        <f>SUM(HA5:HA42)</f>
        <v/>
      </c>
      <c r="HB44" s="132">
        <f>SUM(HB5:HB42)</f>
        <v/>
      </c>
      <c r="HC44" s="132">
        <f>SUM(HC5:HC42)</f>
        <v/>
      </c>
      <c r="HD44" s="132">
        <f>SUM(HD5:HD42)</f>
        <v/>
      </c>
      <c r="HE44" s="132">
        <f>SUM(HE5:HE42)</f>
        <v/>
      </c>
      <c r="HF44" s="132">
        <f>SUM(HF5:HF42)</f>
        <v/>
      </c>
      <c r="HG44" s="132">
        <f>SUM(HG5:HG42)</f>
        <v/>
      </c>
      <c r="HH44" s="132">
        <f>SUM(HH5:HH42)</f>
        <v/>
      </c>
      <c r="HI44" s="132">
        <f>SUM(HI5:HI42)</f>
        <v/>
      </c>
      <c r="HJ44" s="132">
        <f>SUM(HJ5:HJ42)</f>
        <v/>
      </c>
      <c r="HK44" s="132">
        <f>SUM(HK5:HK42)</f>
        <v/>
      </c>
      <c r="HL44" s="132">
        <f>SUM(HL5:HL42)</f>
        <v/>
      </c>
      <c r="HM44" s="132">
        <f>SUM(HM5:HM42)</f>
        <v/>
      </c>
      <c r="HN44" s="132">
        <f>SUM(HN5:HN42)</f>
        <v/>
      </c>
      <c r="HO44" s="132">
        <f>SUM(HO5:HO42)</f>
        <v/>
      </c>
      <c r="HP44" s="132">
        <f>SUM(HP5:HP42)</f>
        <v/>
      </c>
      <c r="HQ44" s="132">
        <f>SUM(HQ5:HQ42)</f>
        <v/>
      </c>
      <c r="HR44" s="132">
        <f>SUM(HR5:HR42)</f>
        <v/>
      </c>
      <c r="HS44" s="132">
        <f>SUM(HS5:HS42)</f>
        <v/>
      </c>
      <c r="HT44" s="132">
        <f>SUM(HT5:HT42)</f>
        <v/>
      </c>
      <c r="HU44" s="132">
        <f>SUM(HU5:HU42)</f>
        <v/>
      </c>
      <c r="HV44" s="132">
        <f>SUM(HV5:HV42)</f>
        <v/>
      </c>
      <c r="HW44" s="132">
        <f>SUM(HW5:HW42)</f>
        <v/>
      </c>
      <c r="HX44" s="132">
        <f>SUM(HX5:HX42)</f>
        <v/>
      </c>
      <c r="HY44" s="132">
        <f>SUM(HY5:HY42)</f>
        <v/>
      </c>
      <c r="HZ44" s="132">
        <f>SUM(HZ5:HZ42)</f>
        <v/>
      </c>
      <c r="IA44" s="132">
        <f>SUM(IA5:IA42)</f>
        <v/>
      </c>
      <c r="IB44" s="132">
        <f>SUM(IB5:IB42)</f>
        <v/>
      </c>
      <c r="IC44" s="132">
        <f>SUM(IC5:IC42)</f>
        <v/>
      </c>
      <c r="ID44" s="132">
        <f>SUM(ID5:ID42)</f>
        <v/>
      </c>
      <c r="IE44" s="132">
        <f>SUM(IE5:IE42)</f>
        <v/>
      </c>
      <c r="IF44" s="132">
        <f>SUM(IF5:IF42)</f>
        <v/>
      </c>
      <c r="IG44" s="132">
        <f>SUM(IG5:IG42)</f>
        <v/>
      </c>
      <c r="IH44" s="132">
        <f>SUM(IH5:IH42)</f>
        <v/>
      </c>
      <c r="II44" s="132">
        <f>SUM(II5:II42)</f>
        <v/>
      </c>
      <c r="IJ44" s="132">
        <f>SUM(IJ5:IJ42)</f>
        <v/>
      </c>
      <c r="IK44" s="132">
        <f>SUM(IK5:IK42)</f>
        <v/>
      </c>
      <c r="IL44" s="132">
        <f>SUM(IL5:IL42)</f>
        <v/>
      </c>
      <c r="IM44" s="132">
        <f>SUM(IM5:IM42)</f>
        <v/>
      </c>
      <c r="IN44" s="132">
        <f>SUM(IN5:IN42)</f>
        <v/>
      </c>
      <c r="IO44" s="132">
        <f>SUM(IO5:IO42)</f>
        <v/>
      </c>
      <c r="IP44" s="132">
        <f>SUM(IP5:IP42)</f>
        <v/>
      </c>
      <c r="IQ44" s="132">
        <f>SUM(IQ5:IQ42)</f>
        <v/>
      </c>
      <c r="IR44" s="132">
        <f>SUM(IR5:IR42)</f>
        <v/>
      </c>
      <c r="IS44" s="132">
        <f>SUM(IS5:IS42)</f>
        <v/>
      </c>
      <c r="IT44" s="132">
        <f>SUM(IT5:IT42)</f>
        <v/>
      </c>
      <c r="IU44" s="132">
        <f>SUM(IU5:IU42)</f>
        <v/>
      </c>
      <c r="IV44" s="132">
        <f>SUM(IV5:IV42)</f>
        <v/>
      </c>
      <c r="IW44" s="132">
        <f>SUM(IW5:IW42)</f>
        <v/>
      </c>
      <c r="IX44" s="132">
        <f>SUM(IX5:IX42)</f>
        <v/>
      </c>
      <c r="IY44" s="132">
        <f>SUM(IY5:IY42)</f>
        <v/>
      </c>
      <c r="IZ44" s="132">
        <f>SUM(IZ5:IZ42)</f>
        <v/>
      </c>
      <c r="JA44" s="132">
        <f>SUM(JA5:JA42)</f>
        <v/>
      </c>
      <c r="JB44" s="132">
        <f>SUM(JB5:JB42)</f>
        <v/>
      </c>
      <c r="JC44" s="132">
        <f>SUM(JC5:JC42)</f>
        <v/>
      </c>
      <c r="JD44" s="132">
        <f>SUM(JD5:JD42)</f>
        <v/>
      </c>
      <c r="JE44" s="132">
        <f>SUM(JE5:JE42)</f>
        <v/>
      </c>
      <c r="JF44" s="132">
        <f>SUM(JF5:JF42)</f>
        <v/>
      </c>
      <c r="JG44" s="132">
        <f>SUM(JG5:JG42)</f>
        <v/>
      </c>
      <c r="JH44" s="132">
        <f>SUM(JH5:JH42)</f>
        <v/>
      </c>
      <c r="JI44" s="132">
        <f>SUM(JI5:JI42)</f>
        <v/>
      </c>
      <c r="JJ44" s="132">
        <f>SUM(JJ5:JJ42)</f>
        <v/>
      </c>
      <c r="JK44" s="132">
        <f>SUM(JK5:JK42)</f>
        <v/>
      </c>
      <c r="JL44" s="132">
        <f>SUM(JL5:JL42)</f>
        <v/>
      </c>
      <c r="JM44" s="132">
        <f>SUM(JM5:JM42)</f>
        <v/>
      </c>
      <c r="JN44" s="132">
        <f>SUM(JN5:JN42)</f>
        <v/>
      </c>
      <c r="JO44" s="132">
        <f>SUM(JO5:JO42)</f>
        <v/>
      </c>
      <c r="JP44" s="132">
        <f>SUM(JP5:JP42)</f>
        <v/>
      </c>
      <c r="JQ44" s="132">
        <f>SUM(JQ5:JQ42)</f>
        <v/>
      </c>
      <c r="JR44" s="132">
        <f>SUM(JR5:JR42)</f>
        <v/>
      </c>
      <c r="JS44" s="132">
        <f>SUM(JS5:JS42)</f>
        <v/>
      </c>
    </row>
    <row r="45">
      <c r="A45" s="46" t="inlineStr">
        <is>
          <t>TOTAL ACUMULADO</t>
        </is>
      </c>
      <c r="D45" s="116">
        <f>D44</f>
        <v/>
      </c>
      <c r="E45" s="116">
        <f>D45+E44</f>
        <v/>
      </c>
      <c r="F45" s="116">
        <f>E45+F44</f>
        <v/>
      </c>
      <c r="G45" s="116">
        <f>F45+G44</f>
        <v/>
      </c>
      <c r="H45" s="116">
        <f>G45+H44</f>
        <v/>
      </c>
      <c r="I45" s="116">
        <f>H45+I44</f>
        <v/>
      </c>
      <c r="J45" s="116">
        <f>I45+J44</f>
        <v/>
      </c>
      <c r="K45" s="116">
        <f>J45+K44</f>
        <v/>
      </c>
      <c r="L45" s="116">
        <f>K45+L44</f>
        <v/>
      </c>
      <c r="M45" s="116">
        <f>L45+M44</f>
        <v/>
      </c>
      <c r="N45" s="116">
        <f>M45+N44</f>
        <v/>
      </c>
      <c r="O45" s="116">
        <f>N45+O44</f>
        <v/>
      </c>
      <c r="P45" s="116">
        <f>O45+P44</f>
        <v/>
      </c>
      <c r="Q45" s="116">
        <f>P45+Q44</f>
        <v/>
      </c>
      <c r="R45" s="116">
        <f>Q45+R44</f>
        <v/>
      </c>
      <c r="S45" s="116">
        <f>R45+S44</f>
        <v/>
      </c>
      <c r="T45" s="116">
        <f>S45+T44</f>
        <v/>
      </c>
      <c r="U45" s="116">
        <f>T45+U44</f>
        <v/>
      </c>
      <c r="V45" s="116">
        <f>U45+V44</f>
        <v/>
      </c>
      <c r="W45" s="116">
        <f>V45+W44</f>
        <v/>
      </c>
      <c r="X45" s="116">
        <f>W45+X44</f>
        <v/>
      </c>
      <c r="Y45" s="116">
        <f>X45+Y44</f>
        <v/>
      </c>
      <c r="Z45" s="116">
        <f>Y45+Z44</f>
        <v/>
      </c>
      <c r="AA45" s="116">
        <f>Z45+AA44</f>
        <v/>
      </c>
      <c r="AB45" s="116">
        <f>AA45+AB44</f>
        <v/>
      </c>
      <c r="AC45" s="116">
        <f>AB45+AC44</f>
        <v/>
      </c>
      <c r="AD45" s="116">
        <f>AC45+AD44</f>
        <v/>
      </c>
      <c r="AE45" s="116">
        <f>AD45+AE44</f>
        <v/>
      </c>
      <c r="AF45" s="116">
        <f>AE45+AF44</f>
        <v/>
      </c>
      <c r="AG45" s="116">
        <f>AF45+AG44</f>
        <v/>
      </c>
      <c r="AH45" s="116">
        <f>AG45+AH44</f>
        <v/>
      </c>
      <c r="AI45" s="116">
        <f>AH45+AI44</f>
        <v/>
      </c>
      <c r="AJ45" s="116">
        <f>AI45+AJ44</f>
        <v/>
      </c>
      <c r="AK45" s="116">
        <f>AJ45+AK44</f>
        <v/>
      </c>
      <c r="AL45" s="116">
        <f>AK45+AL44</f>
        <v/>
      </c>
      <c r="AM45" s="116">
        <f>AL45+AM44</f>
        <v/>
      </c>
      <c r="AN45" s="116">
        <f>AM45+AN44</f>
        <v/>
      </c>
      <c r="AO45" s="116">
        <f>AN45+AO44</f>
        <v/>
      </c>
      <c r="AP45" s="116">
        <f>AO45+AP44</f>
        <v/>
      </c>
      <c r="AQ45" s="116">
        <f>AP45+AQ44</f>
        <v/>
      </c>
      <c r="AR45" s="116">
        <f>AQ45+AR44</f>
        <v/>
      </c>
      <c r="AS45" s="116">
        <f>AR45+AS44</f>
        <v/>
      </c>
      <c r="AT45" s="116">
        <f>AS45+AT44</f>
        <v/>
      </c>
      <c r="AU45" s="116">
        <f>AT45+AU44</f>
        <v/>
      </c>
      <c r="AV45" s="116">
        <f>AU45+AV44</f>
        <v/>
      </c>
      <c r="AW45" s="116">
        <f>AV45+AW44</f>
        <v/>
      </c>
      <c r="AX45" s="116">
        <f>AW45+AX44</f>
        <v/>
      </c>
      <c r="AY45" s="116">
        <f>AX45+AY44</f>
        <v/>
      </c>
      <c r="AZ45" s="116">
        <f>AY45+AZ44</f>
        <v/>
      </c>
      <c r="BA45" s="116">
        <f>AZ45+BA44</f>
        <v/>
      </c>
      <c r="BB45" s="116">
        <f>BA45+BB44</f>
        <v/>
      </c>
      <c r="BC45" s="116">
        <f>BB45+BC44</f>
        <v/>
      </c>
      <c r="BD45" s="116">
        <f>BC45+BD44</f>
        <v/>
      </c>
      <c r="BE45" s="116">
        <f>BD45+BE44</f>
        <v/>
      </c>
      <c r="BF45" s="116">
        <f>BE45+BF44</f>
        <v/>
      </c>
      <c r="BG45" s="116">
        <f>BF45+BG44</f>
        <v/>
      </c>
      <c r="BH45" s="116">
        <f>BG45+BH44</f>
        <v/>
      </c>
      <c r="BI45" s="116">
        <f>BH45+BI44</f>
        <v/>
      </c>
      <c r="BJ45" s="116">
        <f>BI45+BJ44</f>
        <v/>
      </c>
      <c r="BK45" s="116">
        <f>BJ45+BK44</f>
        <v/>
      </c>
      <c r="BL45" s="116">
        <f>BK45+BL44</f>
        <v/>
      </c>
      <c r="BM45" s="116">
        <f>BL45+BM44</f>
        <v/>
      </c>
      <c r="BN45" s="116">
        <f>BM45+BN44</f>
        <v/>
      </c>
      <c r="BO45" s="116">
        <f>BN45+BO44</f>
        <v/>
      </c>
      <c r="BP45" s="116">
        <f>BO45+BP44</f>
        <v/>
      </c>
      <c r="BQ45" s="116">
        <f>BP45+BQ44</f>
        <v/>
      </c>
      <c r="BR45" s="116">
        <f>BQ45+BR44</f>
        <v/>
      </c>
      <c r="BS45" s="116">
        <f>BR45+BS44</f>
        <v/>
      </c>
      <c r="BT45" s="116">
        <f>BS45+BT44</f>
        <v/>
      </c>
      <c r="BU45" s="116">
        <f>BT45+BU44</f>
        <v/>
      </c>
      <c r="BV45" s="116">
        <f>BU45+BV44</f>
        <v/>
      </c>
      <c r="BW45" s="116">
        <f>BV45+BW44</f>
        <v/>
      </c>
    </row>
    <row r="49">
      <c r="A49" s="66" t="inlineStr">
        <is>
          <t>NOMES DO ERP A IGNORAR (títulos, subtotais, grupos fora do orçamento)</t>
        </is>
      </c>
      <c r="B49" s="67" t="n"/>
      <c r="C49" s="68" t="n"/>
    </row>
    <row r="50">
      <c r="A50" s="59" t="inlineStr">
        <is>
          <t>APORTES</t>
        </is>
      </c>
    </row>
    <row r="51">
      <c r="A51" s="59" t="inlineStr">
        <is>
          <t>CUSTOS COM OBRAS</t>
        </is>
      </c>
    </row>
    <row r="52">
      <c r="A52" s="59" t="inlineStr">
        <is>
          <t>MATERIAIS E SERVIÇOS PRESTADOS</t>
        </is>
      </c>
    </row>
    <row r="53">
      <c r="A53" s="59" t="inlineStr">
        <is>
          <t>Total Geral</t>
        </is>
      </c>
    </row>
    <row r="54">
      <c r="A54" s="59" t="inlineStr">
        <is>
          <t>REEMBOLSO MATERIAIS E SERVIÇOS</t>
        </is>
      </c>
    </row>
    <row r="55">
      <c r="A55" s="59" t="inlineStr">
        <is>
          <t>DEDUÇÕES DA RECEITA</t>
        </is>
      </c>
    </row>
    <row r="56">
      <c r="A56" s="59" t="inlineStr">
        <is>
          <t>MAIS COPY GRAFICA RAPIDA E COPIADORA LTDA</t>
        </is>
      </c>
    </row>
    <row r="57">
      <c r="A57" s="59" t="inlineStr">
        <is>
          <t>EMPRESARIAL TRANSPORTES E LOGISTICA ES LTDA</t>
        </is>
      </c>
    </row>
    <row r="58">
      <c r="A58" s="59" t="n"/>
    </row>
    <row r="59">
      <c r="A59" s="59" t="n"/>
    </row>
    <row r="60">
      <c r="A60" s="59" t="n"/>
    </row>
    <row r="61">
      <c r="A61" s="59" t="n"/>
    </row>
    <row r="62">
      <c r="A62" s="59" t="n"/>
    </row>
    <row r="63">
      <c r="A63" s="59" t="n"/>
    </row>
    <row r="64">
      <c r="A64" s="59" t="n"/>
    </row>
    <row r="65">
      <c r="A65" s="59" t="n"/>
    </row>
    <row r="66">
      <c r="A66" s="59" t="n"/>
    </row>
    <row r="67">
      <c r="A67" s="59" t="n"/>
    </row>
    <row r="68">
      <c r="A68" s="59" t="n"/>
    </row>
    <row r="69">
      <c r="A69" s="59" t="n"/>
    </row>
  </sheetData>
  <mergeCells count="1">
    <mergeCell ref="A49:C49"/>
  </mergeCells>
  <conditionalFormatting sqref="C2">
    <cfRule type="cellIs" priority="1" operator="greaterThan" dxfId="3">
      <formula>0</formula>
    </cfRule>
  </conditionalFormatting>
  <conditionalFormatting sqref="D5:BW42">
    <cfRule type="expression" priority="2" dxfId="7">
      <formula>D$4&lt;='VALOR POR PL'!$P$5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FFC000"/>
    <outlinePr summaryBelow="1" summaryRight="1"/>
    <pageSetUpPr/>
  </sheetPr>
  <dimension ref="A1:CH50"/>
  <sheetViews>
    <sheetView tabSelected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</cols>
  <sheetData>
    <row r="1">
      <c r="A1" s="4" t="inlineStr">
        <is>
          <t>Soma de [VALOR REAL]</t>
        </is>
      </c>
      <c r="B1" s="4" t="inlineStr">
        <is>
          <t>Rótulos de Coluna</t>
        </is>
      </c>
    </row>
    <row r="2">
      <c r="A2" s="4" t="inlineStr">
        <is>
          <t>Rótulos de Linha</t>
        </is>
      </c>
      <c r="B2" s="134" t="n">
        <v>45047</v>
      </c>
      <c r="C2" s="134" t="n">
        <v>45078</v>
      </c>
      <c r="D2" s="134" t="n">
        <v>45108</v>
      </c>
      <c r="E2" s="134" t="n">
        <v>45139</v>
      </c>
      <c r="F2" s="134" t="n">
        <v>45170</v>
      </c>
      <c r="G2" s="134" t="n">
        <v>45200</v>
      </c>
      <c r="H2" s="134" t="n">
        <v>45231</v>
      </c>
      <c r="I2" s="134" t="n">
        <v>45261</v>
      </c>
      <c r="J2" s="134" t="n">
        <v>45292</v>
      </c>
      <c r="K2" s="134" t="n">
        <v>45323</v>
      </c>
      <c r="L2" s="134" t="n">
        <v>45352</v>
      </c>
      <c r="M2" s="134" t="n">
        <v>45383</v>
      </c>
      <c r="N2" s="134" t="n">
        <v>45413</v>
      </c>
      <c r="O2" s="134" t="n">
        <v>45444</v>
      </c>
      <c r="P2" s="134" t="n">
        <v>45474</v>
      </c>
      <c r="Q2" s="134" t="n">
        <v>45505</v>
      </c>
      <c r="R2" s="134" t="n">
        <v>45536</v>
      </c>
      <c r="S2" s="134" t="n">
        <v>45566</v>
      </c>
      <c r="T2" s="134" t="n">
        <v>45597</v>
      </c>
      <c r="U2" s="134" t="n">
        <v>45627</v>
      </c>
      <c r="V2" s="134" t="n">
        <v>45658</v>
      </c>
      <c r="W2" s="134" t="n">
        <v>45689</v>
      </c>
      <c r="X2" s="134" t="n">
        <v>45717</v>
      </c>
      <c r="Y2" s="134" t="n">
        <v>45748</v>
      </c>
      <c r="Z2" s="134" t="n">
        <v>45778</v>
      </c>
      <c r="AA2" s="134" t="n">
        <v>45809</v>
      </c>
      <c r="AB2" s="134" t="n">
        <v>45839</v>
      </c>
      <c r="AC2" s="134" t="n">
        <v>45870</v>
      </c>
      <c r="AD2" s="134" t="n">
        <v>45901</v>
      </c>
      <c r="AE2" s="134" t="n">
        <v>45931</v>
      </c>
      <c r="AF2" s="134" t="n">
        <v>45962</v>
      </c>
      <c r="AG2" s="134" t="n">
        <v>45992</v>
      </c>
      <c r="AH2" s="134" t="n">
        <v>46023</v>
      </c>
      <c r="AI2" s="134" t="n">
        <v>46054</v>
      </c>
      <c r="AJ2" s="134" t="n">
        <v>46082</v>
      </c>
      <c r="AK2" s="134" t="n">
        <v>46113</v>
      </c>
      <c r="AL2" s="134" t="n">
        <v>46143</v>
      </c>
      <c r="AM2" s="134" t="n">
        <v>46174</v>
      </c>
      <c r="AN2" s="134" t="n">
        <v>46204</v>
      </c>
      <c r="AO2" s="134" t="n">
        <v>46235</v>
      </c>
      <c r="AP2" s="134" t="n">
        <v>46266</v>
      </c>
      <c r="AQ2" s="134" t="n">
        <v>46296</v>
      </c>
      <c r="AR2" s="134" t="n">
        <v>46327</v>
      </c>
      <c r="AS2" s="134" t="n">
        <v>46357</v>
      </c>
      <c r="AT2" s="134" t="n">
        <v>46388</v>
      </c>
      <c r="AU2" s="134" t="n">
        <v>46419</v>
      </c>
      <c r="AV2" s="134" t="n">
        <v>46447</v>
      </c>
      <c r="AW2" s="134" t="n">
        <v>46478</v>
      </c>
      <c r="AX2" s="134" t="n">
        <v>46508</v>
      </c>
      <c r="AY2" s="134" t="n">
        <v>46539</v>
      </c>
      <c r="AZ2" s="134" t="n">
        <v>46569</v>
      </c>
      <c r="BA2" s="134" t="n">
        <v>46600</v>
      </c>
      <c r="BB2" s="134" t="n">
        <v>46631</v>
      </c>
      <c r="BC2" s="134" t="n">
        <v>46661</v>
      </c>
      <c r="BD2" s="134" t="n">
        <v>46692</v>
      </c>
      <c r="BE2" s="134" t="n">
        <v>46722</v>
      </c>
      <c r="BF2" s="134" t="n">
        <v>46753</v>
      </c>
      <c r="BG2" s="134" t="n">
        <v>46784</v>
      </c>
      <c r="BH2" s="134" t="n">
        <v>46813</v>
      </c>
      <c r="BI2" s="134" t="n">
        <v>46844</v>
      </c>
      <c r="BJ2" s="134" t="n">
        <v>46874</v>
      </c>
      <c r="BK2" s="134" t="n">
        <v>46905</v>
      </c>
      <c r="BL2" s="134" t="n">
        <v>46935</v>
      </c>
      <c r="BM2" s="134" t="n">
        <v>46966</v>
      </c>
      <c r="BN2" s="134" t="n">
        <v>46997</v>
      </c>
      <c r="BO2" s="134" t="n">
        <v>47027</v>
      </c>
      <c r="BP2" s="134" t="n">
        <v>47058</v>
      </c>
      <c r="BQ2" s="134" t="n">
        <v>47088</v>
      </c>
      <c r="BR2" s="134" t="n">
        <v>47119</v>
      </c>
      <c r="BS2" s="134" t="n">
        <v>47150</v>
      </c>
      <c r="BT2" s="134" t="n">
        <v>47178</v>
      </c>
      <c r="BU2" s="134" t="n">
        <v>47209</v>
      </c>
      <c r="BV2" s="134" t="n">
        <v>47239</v>
      </c>
      <c r="BW2" s="134" t="n">
        <v>47270</v>
      </c>
      <c r="BX2" s="134" t="n">
        <v>47300</v>
      </c>
      <c r="BY2" s="134" t="n">
        <v>47331</v>
      </c>
      <c r="BZ2" s="134" t="n">
        <v>47362</v>
      </c>
      <c r="CA2" s="134" t="n">
        <v>47392</v>
      </c>
      <c r="CB2" s="134" t="n">
        <v>47423</v>
      </c>
      <c r="CC2" s="134" t="n">
        <v>47453</v>
      </c>
      <c r="CD2" s="134" t="n">
        <v>47484</v>
      </c>
      <c r="CE2" s="134" t="n">
        <v>47515</v>
      </c>
      <c r="CF2" s="134" t="n">
        <v>54789</v>
      </c>
      <c r="CG2" s="134" t="n">
        <v>47818</v>
      </c>
      <c r="CH2" s="134" t="n">
        <v>47788</v>
      </c>
    </row>
    <row r="3">
      <c r="A3" s="4" t="inlineStr">
        <is>
          <t>APORTES</t>
        </is>
      </c>
      <c r="N3" s="135" t="n">
        <v>50000</v>
      </c>
      <c r="P3" s="135" t="n">
        <v>-20000</v>
      </c>
      <c r="Q3" s="135" t="n">
        <v>-10000</v>
      </c>
      <c r="S3" s="135" t="n">
        <v>-20000</v>
      </c>
      <c r="U3" s="135" t="n">
        <v>-20000</v>
      </c>
      <c r="V3" s="135" t="n">
        <v>-62500</v>
      </c>
      <c r="W3" s="135" t="n">
        <v>-10000</v>
      </c>
      <c r="X3" s="135" t="n">
        <v>-10000</v>
      </c>
      <c r="Y3" s="135" t="n">
        <v>-10000</v>
      </c>
      <c r="Z3" s="135" t="n">
        <v>-10000</v>
      </c>
      <c r="AB3" s="135" t="n">
        <v>-10000</v>
      </c>
      <c r="AC3" s="135" t="n">
        <v>-10000</v>
      </c>
      <c r="AE3" s="135" t="n">
        <v>-20000</v>
      </c>
    </row>
    <row r="4">
      <c r="A4" s="4" t="inlineStr">
        <is>
          <t>APORTES</t>
        </is>
      </c>
      <c r="N4" s="135" t="n">
        <v>50000</v>
      </c>
      <c r="P4" s="135" t="n">
        <v>-20000</v>
      </c>
      <c r="Q4" s="135" t="n">
        <v>-10000</v>
      </c>
      <c r="S4" s="135" t="n">
        <v>-20000</v>
      </c>
      <c r="U4" s="135" t="n">
        <v>-20000</v>
      </c>
      <c r="V4" s="135" t="n">
        <v>-62500</v>
      </c>
      <c r="W4" s="135" t="n">
        <v>-10000</v>
      </c>
      <c r="X4" s="135" t="n">
        <v>-10000</v>
      </c>
      <c r="Y4" s="135" t="n">
        <v>-10000</v>
      </c>
      <c r="Z4" s="135" t="n">
        <v>-10000</v>
      </c>
      <c r="AB4" s="135" t="n">
        <v>-10000</v>
      </c>
      <c r="AC4" s="135" t="n">
        <v>-10000</v>
      </c>
      <c r="AE4" s="135" t="n">
        <v>-20000</v>
      </c>
    </row>
    <row r="5">
      <c r="A5" s="4" t="inlineStr">
        <is>
          <t>APORTES</t>
        </is>
      </c>
      <c r="N5" s="135" t="n">
        <v>50000</v>
      </c>
      <c r="P5" s="135" t="n">
        <v>-20000</v>
      </c>
      <c r="Q5" s="135" t="n">
        <v>-10000</v>
      </c>
      <c r="S5" s="135" t="n">
        <v>-20000</v>
      </c>
      <c r="U5" s="135" t="n">
        <v>-20000</v>
      </c>
      <c r="V5" s="135" t="n">
        <v>-62500</v>
      </c>
      <c r="W5" s="135" t="n">
        <v>-10000</v>
      </c>
      <c r="X5" s="135" t="n">
        <v>-10000</v>
      </c>
      <c r="Y5" s="135" t="n">
        <v>-10000</v>
      </c>
      <c r="Z5" s="135" t="n">
        <v>-10000</v>
      </c>
      <c r="AB5" s="135" t="n">
        <v>-10000</v>
      </c>
      <c r="AC5" s="135" t="n">
        <v>-10000</v>
      </c>
      <c r="AE5" s="135" t="n">
        <v>-20000</v>
      </c>
    </row>
    <row r="6">
      <c r="A6" s="4" t="inlineStr">
        <is>
          <t>CUSTOS COM OBRAS</t>
        </is>
      </c>
      <c r="C6" s="135" t="n">
        <v>2437.9</v>
      </c>
      <c r="H6" s="135" t="n">
        <v>2253.3</v>
      </c>
      <c r="K6" s="135" t="n">
        <v>8527.6</v>
      </c>
      <c r="L6" s="135" t="n">
        <v>164529.3</v>
      </c>
      <c r="M6" s="135" t="n">
        <v>73952</v>
      </c>
      <c r="N6" s="135" t="n">
        <v>86798.39999999999</v>
      </c>
      <c r="O6" s="135" t="n">
        <v>91882.8</v>
      </c>
      <c r="P6" s="135" t="n">
        <v>150391.6</v>
      </c>
      <c r="Q6" s="135" t="n">
        <v>119483.1</v>
      </c>
      <c r="R6" s="135" t="n">
        <v>143785.1</v>
      </c>
      <c r="S6" s="135" t="n">
        <v>62913.1</v>
      </c>
      <c r="T6" s="135" t="n">
        <v>95975.7</v>
      </c>
      <c r="U6" s="135" t="n">
        <v>76634.39999999999</v>
      </c>
      <c r="V6" s="135" t="n">
        <v>54750.1</v>
      </c>
      <c r="W6" s="135" t="n">
        <v>339691.8</v>
      </c>
      <c r="X6" s="135" t="n">
        <v>270556.5</v>
      </c>
      <c r="Y6" s="135" t="n">
        <v>226944.6</v>
      </c>
      <c r="Z6" s="135" t="n">
        <v>298199.8</v>
      </c>
      <c r="AA6" s="135" t="n">
        <v>190147.2</v>
      </c>
      <c r="AB6" s="135" t="n">
        <v>221993.7</v>
      </c>
      <c r="AC6" s="135" t="n">
        <v>395625.4</v>
      </c>
      <c r="AD6" s="135" t="n">
        <v>708213.5</v>
      </c>
      <c r="AE6" s="135" t="n">
        <v>1253058.8</v>
      </c>
      <c r="AF6" s="135" t="n">
        <v>2178783.1</v>
      </c>
      <c r="AG6" s="135" t="n">
        <v>1568106.2</v>
      </c>
      <c r="AH6" s="135" t="n">
        <v>1972982.1</v>
      </c>
      <c r="AI6" s="135" t="n">
        <v>1105526.6</v>
      </c>
      <c r="AJ6" s="135" t="n">
        <v>1636768.8</v>
      </c>
      <c r="AK6" s="135" t="n">
        <v>1444679.8</v>
      </c>
      <c r="AL6" s="135" t="n">
        <v>956706.5</v>
      </c>
      <c r="AM6" s="135" t="n">
        <v>1340691.3</v>
      </c>
      <c r="AN6" s="135" t="n">
        <v>2331705.6</v>
      </c>
      <c r="AO6" s="135" t="n">
        <v>1709644.9</v>
      </c>
      <c r="AP6" s="135" t="n">
        <v>2109166.5</v>
      </c>
      <c r="AQ6" s="135" t="n">
        <v>894399.6</v>
      </c>
      <c r="AR6" s="135" t="n">
        <v>727723.6</v>
      </c>
      <c r="AS6" s="135" t="n">
        <v>175958.5</v>
      </c>
      <c r="AT6" s="135" t="n">
        <v>43739.8</v>
      </c>
      <c r="AU6" s="135" t="n">
        <v>26708.6</v>
      </c>
      <c r="AV6" s="135" t="n">
        <v>55965</v>
      </c>
      <c r="AW6" s="135" t="n">
        <v>1183.8</v>
      </c>
      <c r="AX6" s="135" t="n">
        <v>159.9</v>
      </c>
      <c r="AY6" s="135" t="n">
        <v>159.9</v>
      </c>
      <c r="AZ6" s="135" t="n">
        <v>159.9</v>
      </c>
      <c r="BA6" s="135" t="n">
        <v>159.9</v>
      </c>
      <c r="BB6" s="135" t="n">
        <v>3859.9</v>
      </c>
      <c r="BC6" s="135" t="n">
        <v>1023.4</v>
      </c>
      <c r="BD6" s="135" t="n">
        <v>159.9</v>
      </c>
      <c r="BE6" s="135" t="n">
        <v>11516.6</v>
      </c>
      <c r="BF6" s="135" t="n">
        <v>159.9</v>
      </c>
      <c r="BG6" s="135" t="n">
        <v>159.9</v>
      </c>
      <c r="BH6" s="135" t="n">
        <v>159.9</v>
      </c>
      <c r="BI6" s="135" t="n">
        <v>159.9</v>
      </c>
      <c r="BJ6" s="135" t="n">
        <v>159.9</v>
      </c>
      <c r="BK6" s="135" t="n">
        <v>159.9</v>
      </c>
      <c r="BL6" s="135" t="n">
        <v>33974.8</v>
      </c>
      <c r="BM6" s="135" t="n">
        <v>159.9</v>
      </c>
      <c r="BN6" s="135" t="n">
        <v>159.9</v>
      </c>
      <c r="BO6" s="135" t="n">
        <v>159.9</v>
      </c>
      <c r="BP6" s="135" t="n">
        <v>387.4</v>
      </c>
      <c r="BQ6" s="135" t="n">
        <v>159.9</v>
      </c>
      <c r="BR6" s="135" t="n">
        <v>159.9</v>
      </c>
      <c r="BS6" s="135" t="n">
        <v>14678.4</v>
      </c>
      <c r="BT6" s="135" t="n">
        <v>159.9</v>
      </c>
      <c r="BU6" s="135" t="n">
        <v>159.9</v>
      </c>
      <c r="BV6" s="135" t="n">
        <v>159.9</v>
      </c>
      <c r="BW6" s="135" t="n">
        <v>159.9</v>
      </c>
    </row>
    <row r="7">
      <c r="A7" s="4" t="inlineStr">
        <is>
          <t>MATERIAIS E SERVIÇOS PRESTADOS</t>
        </is>
      </c>
      <c r="C7" s="135" t="n">
        <v>2437.9</v>
      </c>
      <c r="H7" s="135" t="n">
        <v>2253.3</v>
      </c>
      <c r="K7" s="135" t="n">
        <v>8527.6</v>
      </c>
      <c r="L7" s="135" t="n">
        <v>164529.3</v>
      </c>
      <c r="M7" s="135" t="n">
        <v>73952</v>
      </c>
      <c r="N7" s="135" t="n">
        <v>86798.39999999999</v>
      </c>
      <c r="O7" s="135" t="n">
        <v>91882.8</v>
      </c>
      <c r="P7" s="135" t="n">
        <v>150391.6</v>
      </c>
      <c r="Q7" s="135" t="n">
        <v>119483.1</v>
      </c>
      <c r="R7" s="135" t="n">
        <v>143785.1</v>
      </c>
      <c r="S7" s="135" t="n">
        <v>62913.1</v>
      </c>
      <c r="T7" s="135" t="n">
        <v>95975.7</v>
      </c>
      <c r="U7" s="135" t="n">
        <v>76634.39999999999</v>
      </c>
      <c r="V7" s="135" t="n">
        <v>54750.1</v>
      </c>
      <c r="W7" s="135" t="n">
        <v>339691.8</v>
      </c>
      <c r="X7" s="135" t="n">
        <v>270556.5</v>
      </c>
      <c r="Y7" s="135" t="n">
        <v>226944.6</v>
      </c>
      <c r="Z7" s="135" t="n">
        <v>298199.8</v>
      </c>
      <c r="AA7" s="135" t="n">
        <v>190147.2</v>
      </c>
      <c r="AB7" s="135" t="n">
        <v>221993.7</v>
      </c>
      <c r="AC7" s="135" t="n">
        <v>395625.4</v>
      </c>
      <c r="AD7" s="135" t="n">
        <v>708213.5</v>
      </c>
      <c r="AE7" s="135" t="n">
        <v>1253058.8</v>
      </c>
      <c r="AF7" s="135" t="n">
        <v>2178783.1</v>
      </c>
      <c r="AG7" s="135" t="n">
        <v>1568106.2</v>
      </c>
      <c r="AH7" s="135" t="n">
        <v>1972982.1</v>
      </c>
      <c r="AI7" s="135" t="n">
        <v>1105526.6</v>
      </c>
      <c r="AJ7" s="135" t="n">
        <v>1636768.8</v>
      </c>
      <c r="AK7" s="135" t="n">
        <v>1444679.8</v>
      </c>
      <c r="AL7" s="135" t="n">
        <v>956706.5</v>
      </c>
      <c r="AM7" s="135" t="n">
        <v>1340691.3</v>
      </c>
      <c r="AN7" s="135" t="n">
        <v>2331705.6</v>
      </c>
      <c r="AO7" s="135" t="n">
        <v>1709644.9</v>
      </c>
      <c r="AP7" s="135" t="n">
        <v>2109166.5</v>
      </c>
      <c r="AQ7" s="135" t="n">
        <v>894399.6</v>
      </c>
      <c r="AR7" s="135" t="n">
        <v>727723.6</v>
      </c>
      <c r="AS7" s="135" t="n">
        <v>175958.5</v>
      </c>
      <c r="AT7" s="135" t="n">
        <v>43739.8</v>
      </c>
      <c r="AU7" s="135" t="n">
        <v>26708.6</v>
      </c>
      <c r="AV7" s="135" t="n">
        <v>55965</v>
      </c>
      <c r="AW7" s="135" t="n">
        <v>1183.8</v>
      </c>
      <c r="AX7" s="135" t="n">
        <v>159.9</v>
      </c>
      <c r="AY7" s="135" t="n">
        <v>159.9</v>
      </c>
      <c r="AZ7" s="135" t="n">
        <v>159.9</v>
      </c>
      <c r="BA7" s="135" t="n">
        <v>159.9</v>
      </c>
      <c r="BB7" s="135" t="n">
        <v>3859.9</v>
      </c>
      <c r="BC7" s="135" t="n">
        <v>1023.4</v>
      </c>
      <c r="BD7" s="135" t="n">
        <v>159.9</v>
      </c>
      <c r="BE7" s="135" t="n">
        <v>11516.6</v>
      </c>
      <c r="BF7" s="135" t="n">
        <v>159.9</v>
      </c>
      <c r="BG7" s="135" t="n">
        <v>159.9</v>
      </c>
      <c r="BH7" s="135" t="n">
        <v>159.9</v>
      </c>
      <c r="BI7" s="135" t="n">
        <v>159.9</v>
      </c>
      <c r="BJ7" s="135" t="n">
        <v>159.9</v>
      </c>
      <c r="BK7" s="135" t="n">
        <v>159.9</v>
      </c>
      <c r="BL7" s="135" t="n">
        <v>33974.8</v>
      </c>
      <c r="BM7" s="135" t="n">
        <v>159.9</v>
      </c>
      <c r="BN7" s="135" t="n">
        <v>159.9</v>
      </c>
      <c r="BO7" s="135" t="n">
        <v>159.9</v>
      </c>
      <c r="BP7" s="135" t="n">
        <v>387.4</v>
      </c>
      <c r="BQ7" s="135" t="n">
        <v>159.9</v>
      </c>
      <c r="BR7" s="135" t="n">
        <v>159.9</v>
      </c>
      <c r="BS7" s="135" t="n">
        <v>14678.4</v>
      </c>
      <c r="BT7" s="135" t="n">
        <v>159.9</v>
      </c>
      <c r="BU7" s="135" t="n">
        <v>159.9</v>
      </c>
      <c r="BV7" s="135" t="n">
        <v>159.9</v>
      </c>
      <c r="BW7" s="135" t="n">
        <v>159.9</v>
      </c>
    </row>
    <row r="8">
      <c r="A8" s="4" t="inlineStr">
        <is>
          <t>ALVENARIA</t>
        </is>
      </c>
    </row>
    <row r="9">
      <c r="A9" s="4" t="inlineStr">
        <is>
          <t>BARRACAO DE OBRA</t>
        </is>
      </c>
      <c r="P9" s="135" t="n">
        <v>1566.9</v>
      </c>
      <c r="Q9" s="135" t="n">
        <v>22290.2</v>
      </c>
      <c r="R9" s="135" t="n">
        <v>36188.3</v>
      </c>
      <c r="S9" s="135" t="n">
        <v>585.7</v>
      </c>
      <c r="T9" s="135" t="n">
        <v>750</v>
      </c>
      <c r="AA9" s="135" t="n">
        <v>61557.8</v>
      </c>
      <c r="AB9" s="135" t="n">
        <v>70633</v>
      </c>
      <c r="AC9" s="135" t="n">
        <v>66792.5</v>
      </c>
      <c r="AD9" s="135" t="n">
        <v>71201.39999999999</v>
      </c>
      <c r="AE9" s="135" t="n">
        <v>59244.3</v>
      </c>
      <c r="AF9" s="135" t="n">
        <v>40715.6</v>
      </c>
      <c r="AG9" s="135" t="n">
        <v>51460</v>
      </c>
      <c r="AH9" s="135" t="n">
        <v>22683.9</v>
      </c>
      <c r="AI9" s="135" t="n">
        <v>17563.7</v>
      </c>
      <c r="AJ9" s="135" t="n">
        <v>14403.5</v>
      </c>
      <c r="AK9" s="135" t="n">
        <v>13639.3</v>
      </c>
      <c r="AL9" s="135" t="n">
        <v>19885.2</v>
      </c>
      <c r="AM9" s="135" t="n">
        <v>14872.4</v>
      </c>
      <c r="AN9" s="135" t="n">
        <v>28641.9</v>
      </c>
      <c r="AO9" s="135" t="n">
        <v>16434.1</v>
      </c>
      <c r="AP9" s="135" t="n">
        <v>16494.6</v>
      </c>
      <c r="AQ9" s="135" t="n">
        <v>11198.2</v>
      </c>
      <c r="AR9" s="135" t="n">
        <v>2117.9</v>
      </c>
      <c r="AS9" s="135" t="n">
        <v>3543.1</v>
      </c>
      <c r="AV9" s="135" t="n">
        <v>665</v>
      </c>
      <c r="BB9" s="135" t="n">
        <v>3700</v>
      </c>
    </row>
    <row r="10">
      <c r="A10" s="4" t="inlineStr">
        <is>
          <t>CONSULTORIAS (OBRAS)</t>
        </is>
      </c>
      <c r="N10" s="135" t="n">
        <v>6616.4</v>
      </c>
      <c r="O10" s="135" t="n">
        <v>433.6</v>
      </c>
      <c r="R10" s="135" t="n">
        <v>21110.5</v>
      </c>
      <c r="S10" s="135" t="n">
        <v>14927.6</v>
      </c>
      <c r="W10" s="135" t="n">
        <v>14421.7</v>
      </c>
      <c r="X10" s="135" t="n">
        <v>608.7</v>
      </c>
      <c r="AB10" s="135" t="n">
        <v>20182</v>
      </c>
      <c r="AC10" s="135" t="n">
        <v>6015.9</v>
      </c>
      <c r="AD10" s="135" t="n">
        <v>9715.4</v>
      </c>
      <c r="AE10" s="135" t="n">
        <v>28769</v>
      </c>
      <c r="AF10" s="135" t="n">
        <v>255492.3</v>
      </c>
      <c r="AG10" s="135" t="n">
        <v>61293.8</v>
      </c>
      <c r="AH10" s="135" t="n">
        <v>26405</v>
      </c>
      <c r="AI10" s="135" t="n">
        <v>27423.9</v>
      </c>
      <c r="AJ10" s="135" t="n">
        <v>42680</v>
      </c>
      <c r="AK10" s="135" t="n">
        <v>22203.9</v>
      </c>
      <c r="AL10" s="135" t="n">
        <v>22652.8</v>
      </c>
      <c r="AM10" s="135" t="n">
        <v>18615.9</v>
      </c>
      <c r="AN10" s="135" t="n">
        <v>42382.6</v>
      </c>
      <c r="AO10" s="135" t="n">
        <v>32608.8</v>
      </c>
      <c r="AP10" s="135" t="n">
        <v>28595.4</v>
      </c>
      <c r="AQ10" s="135" t="n">
        <v>9922.5</v>
      </c>
    </row>
    <row r="11">
      <c r="A11" s="4" t="inlineStr">
        <is>
          <t>CONSUMO DE ÁGUA, ENERGIA, ETC.</t>
        </is>
      </c>
      <c r="AE11" s="135" t="n">
        <v>452</v>
      </c>
      <c r="AF11" s="135" t="n">
        <v>2796.3</v>
      </c>
      <c r="AG11" s="135" t="n">
        <v>159.9</v>
      </c>
      <c r="AH11" s="135" t="n">
        <v>2417.1</v>
      </c>
      <c r="AI11" s="135" t="n">
        <v>1957.6</v>
      </c>
      <c r="AJ11" s="135" t="n">
        <v>2936</v>
      </c>
      <c r="AK11" s="135" t="n">
        <v>1594.4</v>
      </c>
      <c r="AL11" s="135" t="n">
        <v>6340</v>
      </c>
      <c r="AM11" s="135" t="n">
        <v>2360.6</v>
      </c>
      <c r="AN11" s="135" t="n">
        <v>4502.7</v>
      </c>
      <c r="AO11" s="135" t="n">
        <v>10541.5</v>
      </c>
      <c r="AP11" s="135" t="n">
        <v>2742.1</v>
      </c>
      <c r="AQ11" s="135" t="n">
        <v>2339.1</v>
      </c>
      <c r="AR11" s="135" t="n">
        <v>159.9</v>
      </c>
      <c r="AS11" s="135" t="n">
        <v>159.9</v>
      </c>
      <c r="AT11" s="135" t="n">
        <v>159.9</v>
      </c>
      <c r="AU11" s="135" t="n">
        <v>159.9</v>
      </c>
      <c r="AV11" s="135" t="n">
        <v>159.9</v>
      </c>
      <c r="AW11" s="135" t="n">
        <v>159.9</v>
      </c>
      <c r="AX11" s="135" t="n">
        <v>159.9</v>
      </c>
      <c r="AY11" s="135" t="n">
        <v>159.9</v>
      </c>
      <c r="AZ11" s="135" t="n">
        <v>159.9</v>
      </c>
      <c r="BA11" s="135" t="n">
        <v>159.9</v>
      </c>
      <c r="BB11" s="135" t="n">
        <v>159.9</v>
      </c>
      <c r="BC11" s="135" t="n">
        <v>159.9</v>
      </c>
      <c r="BD11" s="135" t="n">
        <v>159.9</v>
      </c>
      <c r="BE11" s="135" t="n">
        <v>159.9</v>
      </c>
      <c r="BF11" s="135" t="n">
        <v>159.9</v>
      </c>
      <c r="BG11" s="135" t="n">
        <v>159.9</v>
      </c>
      <c r="BH11" s="135" t="n">
        <v>159.9</v>
      </c>
      <c r="BI11" s="135" t="n">
        <v>159.9</v>
      </c>
      <c r="BJ11" s="135" t="n">
        <v>159.9</v>
      </c>
      <c r="BK11" s="135" t="n">
        <v>159.9</v>
      </c>
      <c r="BL11" s="135" t="n">
        <v>159.9</v>
      </c>
      <c r="BM11" s="135" t="n">
        <v>159.9</v>
      </c>
      <c r="BN11" s="135" t="n">
        <v>159.9</v>
      </c>
      <c r="BO11" s="135" t="n">
        <v>159.9</v>
      </c>
      <c r="BP11" s="135" t="n">
        <v>159.9</v>
      </c>
      <c r="BQ11" s="135" t="n">
        <v>159.9</v>
      </c>
      <c r="BR11" s="135" t="n">
        <v>159.9</v>
      </c>
      <c r="BS11" s="135" t="n">
        <v>159.9</v>
      </c>
      <c r="BT11" s="135" t="n">
        <v>159.9</v>
      </c>
      <c r="BU11" s="135" t="n">
        <v>159.9</v>
      </c>
      <c r="BV11" s="135" t="n">
        <v>159.9</v>
      </c>
      <c r="BW11" s="135" t="n">
        <v>159.9</v>
      </c>
    </row>
    <row r="12">
      <c r="A12" s="4" t="inlineStr">
        <is>
          <t>CONTENÇÃO</t>
        </is>
      </c>
      <c r="AB12" s="135" t="n">
        <v>12009.9</v>
      </c>
      <c r="AC12" s="135" t="n">
        <v>107814</v>
      </c>
      <c r="AD12" s="135" t="n">
        <v>236848</v>
      </c>
      <c r="AE12" s="135" t="n">
        <v>285810.9</v>
      </c>
      <c r="AF12" s="135" t="n">
        <v>200940.6</v>
      </c>
      <c r="AG12" s="135" t="n">
        <v>135306</v>
      </c>
      <c r="AH12" s="135" t="n">
        <v>4650</v>
      </c>
      <c r="AI12" s="135" t="n">
        <v>860</v>
      </c>
      <c r="AJ12" s="135" t="n">
        <v>44182</v>
      </c>
      <c r="AK12" s="135" t="n">
        <v>346.9</v>
      </c>
      <c r="AL12" s="135" t="n">
        <v>4280</v>
      </c>
      <c r="AM12" s="135" t="n">
        <v>6148</v>
      </c>
      <c r="AN12" s="135" t="n">
        <v>36106.1</v>
      </c>
      <c r="AR12" s="135" t="n">
        <v>5763.4</v>
      </c>
      <c r="AS12" s="135" t="n">
        <v>1803.3</v>
      </c>
      <c r="AV12" s="135" t="n">
        <v>8549.4</v>
      </c>
    </row>
    <row r="13">
      <c r="A13" s="4" t="inlineStr">
        <is>
          <t>DIVERSOS</t>
        </is>
      </c>
      <c r="N13" s="135" t="n">
        <v>10.6</v>
      </c>
      <c r="P13" s="135" t="n">
        <v>823.8</v>
      </c>
      <c r="Q13" s="135" t="n">
        <v>650</v>
      </c>
      <c r="R13" s="135" t="n">
        <v>284.7</v>
      </c>
      <c r="S13" s="135" t="n">
        <v>1.3</v>
      </c>
      <c r="U13" s="135" t="n">
        <v>5847.4</v>
      </c>
      <c r="V13" s="135" t="n">
        <v>1467.7</v>
      </c>
      <c r="Y13" s="135" t="n">
        <v>66.59999999999999</v>
      </c>
      <c r="AD13" s="135" t="n">
        <v>850.2</v>
      </c>
      <c r="AE13" s="135" t="n">
        <v>4204.1</v>
      </c>
      <c r="AF13" s="135" t="n">
        <v>713.4</v>
      </c>
      <c r="AG13" s="135" t="n">
        <v>1784.1</v>
      </c>
      <c r="AH13" s="135" t="n">
        <v>1123</v>
      </c>
      <c r="AI13" s="135" t="n">
        <v>1161</v>
      </c>
      <c r="AJ13" s="135" t="n">
        <v>2280.6</v>
      </c>
      <c r="AK13" s="135" t="n">
        <v>1594.8</v>
      </c>
      <c r="AL13" s="135" t="n">
        <v>1922.4</v>
      </c>
      <c r="AM13" s="135" t="n">
        <v>1559.2</v>
      </c>
      <c r="AN13" s="135" t="n">
        <v>2538.4</v>
      </c>
      <c r="AO13" s="135" t="n">
        <v>5139.7</v>
      </c>
      <c r="AP13" s="135" t="n">
        <v>5760.1</v>
      </c>
      <c r="AQ13" s="135" t="n">
        <v>1176.2</v>
      </c>
    </row>
    <row r="14">
      <c r="A14" s="4" t="inlineStr">
        <is>
          <t>ELEVADORES</t>
        </is>
      </c>
    </row>
    <row r="15">
      <c r="A15" s="4" t="inlineStr">
        <is>
          <t>EQUIPAMENTOS E FERRAMENTAS</t>
        </is>
      </c>
      <c r="AB15" s="135" t="n">
        <v>672.9</v>
      </c>
      <c r="AC15" s="135" t="n">
        <v>5281.4</v>
      </c>
      <c r="AD15" s="135" t="n">
        <v>6232.5</v>
      </c>
      <c r="AE15" s="135" t="n">
        <v>9500.200000000001</v>
      </c>
      <c r="AF15" s="135" t="n">
        <v>55945.4</v>
      </c>
      <c r="AG15" s="135" t="n">
        <v>58948.9</v>
      </c>
      <c r="AH15" s="135" t="n">
        <v>144547.6</v>
      </c>
      <c r="AI15" s="135" t="n">
        <v>11787.6</v>
      </c>
      <c r="AJ15" s="135" t="n">
        <v>6734.8</v>
      </c>
      <c r="AK15" s="135" t="n">
        <v>2323.6</v>
      </c>
      <c r="AL15" s="135" t="n">
        <v>28516</v>
      </c>
      <c r="AM15" s="135" t="n">
        <v>24451.3</v>
      </c>
      <c r="AN15" s="135" t="n">
        <v>63176.6</v>
      </c>
      <c r="AO15" s="135" t="n">
        <v>125549</v>
      </c>
      <c r="AP15" s="135" t="n">
        <v>109352.2</v>
      </c>
      <c r="AQ15" s="135" t="n">
        <v>48241.5</v>
      </c>
      <c r="AR15" s="135" t="n">
        <v>5666.2</v>
      </c>
      <c r="AU15" s="135" t="n">
        <v>1456.4</v>
      </c>
      <c r="AV15" s="135" t="n">
        <v>624.6</v>
      </c>
      <c r="BL15" s="135" t="n">
        <v>4026.2</v>
      </c>
    </row>
    <row r="16">
      <c r="A16" s="4" t="inlineStr">
        <is>
          <t>ESQUADRIAS</t>
        </is>
      </c>
    </row>
    <row r="17">
      <c r="A17" s="4" t="inlineStr">
        <is>
          <t>FORRO</t>
        </is>
      </c>
    </row>
    <row r="18">
      <c r="A18" s="4" t="inlineStr">
        <is>
          <t>FUNDAÇÃO PROFUNDA</t>
        </is>
      </c>
      <c r="AC18" s="135" t="n">
        <v>1930</v>
      </c>
      <c r="AD18" s="135" t="n">
        <v>145877.6</v>
      </c>
      <c r="AE18" s="135" t="n">
        <v>521095.7</v>
      </c>
      <c r="AF18" s="135" t="n">
        <v>1121245.4</v>
      </c>
      <c r="AG18" s="135" t="n">
        <v>887025.6</v>
      </c>
      <c r="AH18" s="135" t="n">
        <v>1371139.5</v>
      </c>
      <c r="AI18" s="135" t="n">
        <v>644213.9</v>
      </c>
      <c r="AJ18" s="135" t="n">
        <v>1191477.3</v>
      </c>
      <c r="AK18" s="135" t="n">
        <v>606377.7</v>
      </c>
      <c r="AL18" s="135" t="n">
        <v>43774.2</v>
      </c>
      <c r="AM18" s="135" t="n">
        <v>15692.9</v>
      </c>
      <c r="AN18" s="135" t="n">
        <v>78401.39999999999</v>
      </c>
      <c r="AO18" s="135" t="n">
        <v>37660.5</v>
      </c>
      <c r="AP18" s="135" t="n">
        <v>58167</v>
      </c>
      <c r="AQ18" s="135" t="n">
        <v>34599.7</v>
      </c>
      <c r="AR18" s="135" t="n">
        <v>6125.7</v>
      </c>
      <c r="AS18" s="135" t="n">
        <v>5768</v>
      </c>
      <c r="AU18" s="135" t="n">
        <v>2828</v>
      </c>
      <c r="AV18" s="135" t="n">
        <v>10291.9</v>
      </c>
      <c r="BL18" s="135" t="n">
        <v>2044</v>
      </c>
    </row>
    <row r="19">
      <c r="A19" s="4" t="inlineStr">
        <is>
          <t>FUNDAÇÃO SUPERFICIAL</t>
        </is>
      </c>
      <c r="AK19" s="135" t="n">
        <v>20138.3</v>
      </c>
      <c r="AL19" s="135" t="n">
        <v>304245.2</v>
      </c>
      <c r="AM19" s="135" t="n">
        <v>700460.7</v>
      </c>
      <c r="AN19" s="135" t="n">
        <v>1471948.1</v>
      </c>
      <c r="AO19" s="135" t="n">
        <v>480698.8</v>
      </c>
      <c r="AP19" s="135" t="n">
        <v>50605.8</v>
      </c>
      <c r="AQ19" s="135" t="n">
        <v>8615.5</v>
      </c>
      <c r="AS19" s="135" t="n">
        <v>19943.1</v>
      </c>
      <c r="AT19" s="135" t="n">
        <v>22778.6</v>
      </c>
      <c r="AU19" s="135" t="n">
        <v>2356.5</v>
      </c>
      <c r="AV19" s="135" t="n">
        <v>2007.3</v>
      </c>
      <c r="BL19" s="135" t="n">
        <v>3768.9</v>
      </c>
      <c r="BS19" s="135" t="n">
        <v>225.8</v>
      </c>
    </row>
    <row r="20">
      <c r="A20" s="4" t="inlineStr">
        <is>
          <t>IMPERMEABILIZAÇÃO</t>
        </is>
      </c>
    </row>
    <row r="21">
      <c r="A21" s="4" t="inlineStr">
        <is>
          <t>INSTALAÇÕES COMBATE INCÊNDIO</t>
        </is>
      </c>
    </row>
    <row r="22">
      <c r="A22" s="4" t="inlineStr">
        <is>
          <t>INSTALAÇÕES ELÉTRICAS</t>
        </is>
      </c>
      <c r="AE22" s="135" t="n">
        <v>2235.2</v>
      </c>
      <c r="AK22" s="135" t="n">
        <v>209001.6</v>
      </c>
      <c r="AL22" s="135" t="n">
        <v>3214.7</v>
      </c>
      <c r="AM22" s="135" t="n">
        <v>94109.10000000001</v>
      </c>
      <c r="AN22" s="135" t="n">
        <v>6139.3</v>
      </c>
      <c r="AO22" s="135" t="n">
        <v>6662.7</v>
      </c>
      <c r="AP22" s="135" t="n">
        <v>4679</v>
      </c>
    </row>
    <row r="23">
      <c r="A23" s="4" t="inlineStr">
        <is>
          <t>INSTALAÇÕES ESPECIAIS</t>
        </is>
      </c>
    </row>
    <row r="24">
      <c r="A24" s="4" t="inlineStr">
        <is>
          <t>INSTALAÇÕES HIDROSANITÁRIAS</t>
        </is>
      </c>
      <c r="AP24" s="135" t="n">
        <v>13965</v>
      </c>
      <c r="AQ24" s="135" t="n">
        <v>13965</v>
      </c>
    </row>
    <row r="25">
      <c r="A25" s="4" t="inlineStr">
        <is>
          <t>LIGAÇÕES PROVISÓRIAS AGUA, ENERGIA,TELEFONIA, ESGOTO</t>
        </is>
      </c>
      <c r="AB25" s="135" t="n">
        <v>625.4</v>
      </c>
      <c r="AC25" s="135" t="n">
        <v>357.7</v>
      </c>
      <c r="AD25" s="135" t="n">
        <v>1634.3</v>
      </c>
      <c r="AE25" s="135" t="n">
        <v>14678.5</v>
      </c>
      <c r="AF25" s="135" t="n">
        <v>8642.6</v>
      </c>
      <c r="AG25" s="135" t="n">
        <v>1681.6</v>
      </c>
      <c r="AH25" s="135" t="n">
        <v>525.8</v>
      </c>
      <c r="AI25" s="135" t="n">
        <v>5117.4</v>
      </c>
      <c r="AK25" s="135" t="n">
        <v>6926.9</v>
      </c>
      <c r="AL25" s="135" t="n">
        <v>18523.3</v>
      </c>
      <c r="AM25" s="135" t="n">
        <v>20.8</v>
      </c>
      <c r="AQ25" s="135" t="n">
        <v>620.4</v>
      </c>
      <c r="AR25" s="135" t="n">
        <v>167.1</v>
      </c>
    </row>
    <row r="26">
      <c r="A26" s="4" t="inlineStr">
        <is>
          <t>LIMPEZA FINAL DE OBRA</t>
        </is>
      </c>
    </row>
    <row r="27">
      <c r="A27" s="4" t="inlineStr">
        <is>
          <t>LOUÇAS SANITÁRIAS</t>
        </is>
      </c>
    </row>
    <row r="28">
      <c r="A28" s="4" t="inlineStr">
        <is>
          <t>MÃO DE OBRA PRÓPRIA</t>
        </is>
      </c>
      <c r="C28" s="135" t="n">
        <v>2437.9</v>
      </c>
      <c r="H28" s="135" t="n">
        <v>2253.3</v>
      </c>
      <c r="K28" s="135" t="n">
        <v>8527.6</v>
      </c>
      <c r="L28" s="135" t="n">
        <v>35000</v>
      </c>
      <c r="M28" s="135" t="n">
        <v>35655</v>
      </c>
      <c r="N28" s="135" t="n">
        <v>35655</v>
      </c>
      <c r="O28" s="135" t="n">
        <v>36678.6</v>
      </c>
      <c r="P28" s="135" t="n">
        <v>39561.3</v>
      </c>
      <c r="Q28" s="135" t="n">
        <v>39540.4</v>
      </c>
      <c r="R28" s="135" t="n">
        <v>39540.4</v>
      </c>
      <c r="S28" s="135" t="n">
        <v>39790.4</v>
      </c>
      <c r="T28" s="135" t="n">
        <v>36732</v>
      </c>
      <c r="U28" s="135" t="n">
        <v>35837</v>
      </c>
      <c r="V28" s="135" t="n">
        <v>940</v>
      </c>
      <c r="W28" s="135" t="n">
        <v>61357.4</v>
      </c>
      <c r="X28" s="135" t="n">
        <v>118973.1</v>
      </c>
      <c r="Y28" s="135" t="n">
        <v>60617.4</v>
      </c>
      <c r="Z28" s="135" t="n">
        <v>23912.8</v>
      </c>
      <c r="AA28" s="135" t="n">
        <v>27131.8</v>
      </c>
      <c r="AB28" s="135" t="n">
        <v>51487.6</v>
      </c>
      <c r="AC28" s="135" t="n">
        <v>89901.3</v>
      </c>
      <c r="AD28" s="135" t="n">
        <v>109406.5</v>
      </c>
      <c r="AE28" s="135" t="n">
        <v>164098.3</v>
      </c>
      <c r="AF28" s="135" t="n">
        <v>234224.1</v>
      </c>
      <c r="AG28" s="135" t="n">
        <v>187300.5</v>
      </c>
      <c r="AH28" s="135" t="n">
        <v>207035.1</v>
      </c>
      <c r="AI28" s="135" t="n">
        <v>189783.7</v>
      </c>
      <c r="AJ28" s="135" t="n">
        <v>215160.7</v>
      </c>
      <c r="AK28" s="135" t="n">
        <v>203548.1</v>
      </c>
      <c r="AL28" s="135" t="n">
        <v>207785.7</v>
      </c>
      <c r="AM28" s="135" t="n">
        <v>205254.2</v>
      </c>
      <c r="AN28" s="135" t="n">
        <v>256382.4</v>
      </c>
      <c r="AO28" s="135" t="n">
        <v>298850.7</v>
      </c>
      <c r="AP28" s="135" t="n">
        <v>251179.9</v>
      </c>
      <c r="AQ28" s="135" t="n">
        <v>88015.3</v>
      </c>
      <c r="AR28" s="135" t="n">
        <v>92297.2</v>
      </c>
      <c r="AS28" s="135" t="n">
        <v>92720.8</v>
      </c>
      <c r="AT28" s="135" t="n">
        <v>1930.9</v>
      </c>
      <c r="AU28" s="135" t="n">
        <v>1037.4</v>
      </c>
      <c r="AV28" s="135" t="n">
        <v>4340.2</v>
      </c>
      <c r="BC28" s="135" t="n">
        <v>863.5</v>
      </c>
      <c r="BE28" s="135" t="n">
        <v>8451.700000000001</v>
      </c>
    </row>
    <row r="29">
      <c r="A29" s="4" t="inlineStr">
        <is>
          <t>MARCENARIA</t>
        </is>
      </c>
      <c r="AP29" s="135" t="n">
        <v>7000</v>
      </c>
    </row>
    <row r="30">
      <c r="A30" s="4" t="inlineStr">
        <is>
          <t>PAISAGISMO</t>
        </is>
      </c>
    </row>
    <row r="31">
      <c r="A31" s="4" t="inlineStr">
        <is>
          <t>PAVIMENTAÇÃO</t>
        </is>
      </c>
    </row>
    <row r="32">
      <c r="A32" s="4" t="inlineStr">
        <is>
          <t>PINTURA</t>
        </is>
      </c>
    </row>
    <row r="33">
      <c r="A33" s="4" t="inlineStr">
        <is>
          <t>PROJETOS</t>
        </is>
      </c>
      <c r="L33" s="135" t="n">
        <v>129412.7</v>
      </c>
      <c r="M33" s="135" t="n">
        <v>38211</v>
      </c>
      <c r="N33" s="135" t="n">
        <v>44489.7</v>
      </c>
      <c r="O33" s="135" t="n">
        <v>9769.9</v>
      </c>
      <c r="P33" s="135" t="n">
        <v>53439.6</v>
      </c>
      <c r="Q33" s="135" t="n">
        <v>56848.5</v>
      </c>
      <c r="R33" s="135" t="n">
        <v>9211.200000000001</v>
      </c>
      <c r="S33" s="135" t="n">
        <v>7608.1</v>
      </c>
      <c r="T33" s="135" t="n">
        <v>34653.4</v>
      </c>
      <c r="U33" s="135" t="n">
        <v>34950</v>
      </c>
      <c r="V33" s="135" t="n">
        <v>10917</v>
      </c>
      <c r="W33" s="135" t="n">
        <v>263811.1</v>
      </c>
      <c r="X33" s="135" t="n">
        <v>95377.60000000001</v>
      </c>
      <c r="Y33" s="135" t="n">
        <v>152105.9</v>
      </c>
      <c r="Z33" s="135" t="n">
        <v>202477.1</v>
      </c>
      <c r="AA33" s="135" t="n">
        <v>65133.6</v>
      </c>
      <c r="AB33" s="135" t="n">
        <v>46336.4</v>
      </c>
      <c r="AC33" s="135" t="n">
        <v>89390.7</v>
      </c>
      <c r="AD33" s="135" t="n">
        <v>31201.1</v>
      </c>
      <c r="AE33" s="135" t="n">
        <v>59081.8</v>
      </c>
      <c r="AF33" s="135" t="n">
        <v>118743.3</v>
      </c>
      <c r="AG33" s="135" t="n">
        <v>73812.7</v>
      </c>
      <c r="AH33" s="135" t="n">
        <v>141055.8</v>
      </c>
      <c r="AI33" s="135" t="n">
        <v>93013.10000000001</v>
      </c>
      <c r="AJ33" s="135" t="n">
        <v>46600</v>
      </c>
      <c r="AK33" s="135" t="n">
        <v>145577.7</v>
      </c>
      <c r="AL33" s="135" t="n">
        <v>925</v>
      </c>
      <c r="AM33" s="135" t="n">
        <v>925</v>
      </c>
      <c r="AN33" s="135" t="n">
        <v>17537.9</v>
      </c>
      <c r="AO33" s="135" t="n">
        <v>33676.7</v>
      </c>
      <c r="AP33" s="135" t="n">
        <v>54437.2</v>
      </c>
    </row>
    <row r="34">
      <c r="A34" s="4" t="inlineStr">
        <is>
          <t>REEMBOLSO MATERIAIS E SERVIÇOS</t>
        </is>
      </c>
      <c r="T34" s="135" t="n">
        <v>23840.3</v>
      </c>
      <c r="V34" s="135" t="n">
        <v>4462.3</v>
      </c>
      <c r="X34" s="135" t="n">
        <v>21548.3</v>
      </c>
      <c r="AC34" s="135" t="n">
        <v>26.3</v>
      </c>
      <c r="AE34" s="135" t="n">
        <v>196.2</v>
      </c>
      <c r="AF34" s="135" t="n">
        <v>196.2</v>
      </c>
    </row>
    <row r="35">
      <c r="A35" s="4" t="inlineStr">
        <is>
          <t>REVESTIMENTO DIVERSOS - FACHADA</t>
        </is>
      </c>
    </row>
    <row r="36">
      <c r="A36" s="4" t="inlineStr">
        <is>
          <t>REVESTIMENTOS</t>
        </is>
      </c>
    </row>
    <row r="37">
      <c r="A37" s="4" t="inlineStr">
        <is>
          <t>REVESTIMENTOS DE MASSA EM PISOS</t>
        </is>
      </c>
    </row>
    <row r="38">
      <c r="A38" s="4" t="inlineStr">
        <is>
          <t>REVESTIMENTOS DE MASSAS EM PAREDES</t>
        </is>
      </c>
    </row>
    <row r="39">
      <c r="A39" s="4" t="inlineStr">
        <is>
          <t>SEGUROS</t>
        </is>
      </c>
      <c r="AD39" s="135" t="n">
        <v>29594.4</v>
      </c>
      <c r="AE39" s="135" t="n">
        <v>15763.1</v>
      </c>
      <c r="AF39" s="135" t="n">
        <v>1931.9</v>
      </c>
      <c r="AG39" s="135" t="n">
        <v>29895.5</v>
      </c>
      <c r="AH39" s="135" t="n">
        <v>16064.3</v>
      </c>
      <c r="AI39" s="135" t="n">
        <v>2233</v>
      </c>
      <c r="AJ39" s="135" t="n">
        <v>29895.5</v>
      </c>
      <c r="AK39" s="135" t="n">
        <v>2233</v>
      </c>
      <c r="AL39" s="135" t="n">
        <v>301.2</v>
      </c>
      <c r="AQ39" s="135" t="n">
        <v>18870.4</v>
      </c>
      <c r="AR39" s="135" t="n">
        <v>18870.4</v>
      </c>
      <c r="AS39" s="135" t="n">
        <v>18870.4</v>
      </c>
      <c r="AT39" s="135" t="n">
        <v>18870.4</v>
      </c>
      <c r="AU39" s="135" t="n">
        <v>18870.4</v>
      </c>
      <c r="AV39" s="135" t="n">
        <v>18871.4</v>
      </c>
    </row>
    <row r="40">
      <c r="A40" s="4" t="inlineStr">
        <is>
          <t>SERRALHERIA</t>
        </is>
      </c>
    </row>
    <row r="41">
      <c r="A41" s="4" t="inlineStr">
        <is>
          <t>SERVIÇOS INICIAIS</t>
        </is>
      </c>
      <c r="AA41" s="135" t="n">
        <v>29688.1</v>
      </c>
      <c r="AB41" s="135" t="n">
        <v>5465.9</v>
      </c>
      <c r="AD41" s="135" t="n">
        <v>15003.1</v>
      </c>
      <c r="AE41" s="135" t="n">
        <v>8525.9</v>
      </c>
      <c r="AF41" s="135" t="n">
        <v>9755.9</v>
      </c>
      <c r="AG41" s="135" t="n">
        <v>13712.6</v>
      </c>
      <c r="AH41" s="135" t="n">
        <v>9641.4</v>
      </c>
      <c r="AI41" s="135" t="n">
        <v>1604.1</v>
      </c>
      <c r="AJ41" s="135" t="n">
        <v>10303</v>
      </c>
      <c r="AK41" s="135" t="n">
        <v>3859.6</v>
      </c>
      <c r="AL41" s="135" t="n">
        <v>140.4</v>
      </c>
      <c r="AM41" s="135" t="n">
        <v>665</v>
      </c>
      <c r="AR41" s="135" t="n">
        <v>3801</v>
      </c>
      <c r="BE41" s="135" t="n">
        <v>2905</v>
      </c>
    </row>
    <row r="42">
      <c r="A42" s="4" t="inlineStr">
        <is>
          <t>TAXA DE ADMINISTRAÇÃO</t>
        </is>
      </c>
      <c r="O42" s="135" t="n">
        <v>45000</v>
      </c>
      <c r="P42" s="135" t="n">
        <v>55000</v>
      </c>
      <c r="R42" s="135" t="n">
        <v>37450</v>
      </c>
      <c r="V42" s="135" t="n">
        <v>36922.5</v>
      </c>
      <c r="X42" s="135" t="n">
        <v>34045.5</v>
      </c>
      <c r="Y42" s="135" t="n">
        <v>14154.8</v>
      </c>
      <c r="Z42" s="135" t="n">
        <v>71756.7</v>
      </c>
      <c r="AA42" s="135" t="n">
        <v>6521.5</v>
      </c>
      <c r="AB42" s="135" t="n">
        <v>13570.6</v>
      </c>
      <c r="AC42" s="135" t="n">
        <v>26242.3</v>
      </c>
      <c r="AD42" s="135" t="n">
        <v>34986.5</v>
      </c>
      <c r="AE42" s="135" t="n">
        <v>70987.2</v>
      </c>
      <c r="AF42" s="135" t="n">
        <v>119467.7</v>
      </c>
    </row>
    <row r="43">
      <c r="A43" s="4" t="inlineStr">
        <is>
          <t>TAXAS DIVERSAS</t>
        </is>
      </c>
      <c r="Q43" s="135" t="n">
        <v>154.1</v>
      </c>
      <c r="V43" s="135" t="n">
        <v>40.6</v>
      </c>
      <c r="AA43" s="135" t="n">
        <v>64.2</v>
      </c>
      <c r="AF43" s="135" t="n">
        <v>103</v>
      </c>
      <c r="AO43" s="135" t="n">
        <v>5543.2</v>
      </c>
    </row>
    <row r="44">
      <c r="A44" s="4" t="inlineStr">
        <is>
          <t>TERRAPLENAGEM</t>
        </is>
      </c>
      <c r="AF44" s="135" t="n">
        <v>3866</v>
      </c>
      <c r="AG44" s="135" t="n">
        <v>58166.5</v>
      </c>
      <c r="AH44" s="135" t="n">
        <v>21398.5</v>
      </c>
      <c r="AI44" s="135" t="n">
        <v>104829.7</v>
      </c>
      <c r="AJ44" s="135" t="n">
        <v>21701.5</v>
      </c>
      <c r="AK44" s="135" t="n">
        <v>203306.4</v>
      </c>
      <c r="AL44" s="135" t="n">
        <v>269416.5</v>
      </c>
      <c r="AM44" s="135" t="n">
        <v>202541.2</v>
      </c>
      <c r="AN44" s="135" t="n">
        <v>53252.6</v>
      </c>
      <c r="AP44" s="135" t="n">
        <v>100529.6</v>
      </c>
      <c r="AV44" s="135" t="n">
        <v>2100</v>
      </c>
      <c r="AW44" s="135" t="n">
        <v>1023.9</v>
      </c>
    </row>
    <row r="45">
      <c r="A45" s="4" t="inlineStr">
        <is>
          <t>TRANSPORTES</t>
        </is>
      </c>
      <c r="L45" s="135" t="n">
        <v>116.6</v>
      </c>
      <c r="M45" s="135" t="n">
        <v>86</v>
      </c>
      <c r="N45" s="135" t="n">
        <v>26.7</v>
      </c>
      <c r="O45" s="135" t="n">
        <v>0.7</v>
      </c>
      <c r="W45" s="135" t="n">
        <v>101.6</v>
      </c>
      <c r="X45" s="135" t="n">
        <v>3.4</v>
      </c>
      <c r="Z45" s="135" t="n">
        <v>53.2</v>
      </c>
      <c r="AA45" s="135" t="n">
        <v>50.2</v>
      </c>
      <c r="AB45" s="135" t="n">
        <v>1010.1</v>
      </c>
      <c r="AC45" s="135" t="n">
        <v>1873.3</v>
      </c>
      <c r="AD45" s="135" t="n">
        <v>15662.6</v>
      </c>
      <c r="AE45" s="135" t="n">
        <v>8416.6</v>
      </c>
      <c r="AF45" s="135" t="n">
        <v>4003.5</v>
      </c>
      <c r="AG45" s="135" t="n">
        <v>7558.5</v>
      </c>
      <c r="AH45" s="135" t="n">
        <v>4295.2</v>
      </c>
      <c r="AI45" s="135" t="n">
        <v>3978</v>
      </c>
      <c r="AJ45" s="135" t="n">
        <v>8413.9</v>
      </c>
      <c r="AK45" s="135" t="n">
        <v>2007.6</v>
      </c>
      <c r="AL45" s="135" t="n">
        <v>2550</v>
      </c>
      <c r="AM45" s="135" t="n">
        <v>3240.6</v>
      </c>
      <c r="AN45" s="135" t="n">
        <v>1114.3</v>
      </c>
      <c r="AO45" s="135" t="n">
        <v>5722.1</v>
      </c>
      <c r="AP45" s="135" t="n">
        <v>13920.1</v>
      </c>
      <c r="AQ45" s="135" t="n">
        <v>2311.7</v>
      </c>
    </row>
    <row r="46">
      <c r="A46" s="4" t="inlineStr">
        <is>
          <t>ESTRUTURA EM CONCRETO ARMADO</t>
        </is>
      </c>
      <c r="AL46" s="135" t="n">
        <v>22233.8</v>
      </c>
      <c r="AM46" s="135" t="n">
        <v>49774.5</v>
      </c>
      <c r="AN46" s="135" t="n">
        <v>269581.2</v>
      </c>
      <c r="AO46" s="135" t="n">
        <v>650557</v>
      </c>
      <c r="AP46" s="135" t="n">
        <v>1391202.9</v>
      </c>
      <c r="AQ46" s="135" t="n">
        <v>654509</v>
      </c>
      <c r="AR46" s="135" t="n">
        <v>592754.9</v>
      </c>
      <c r="AS46" s="135" t="n">
        <v>33150</v>
      </c>
      <c r="AV46" s="135" t="n">
        <v>8355.299999999999</v>
      </c>
      <c r="BL46" s="135" t="n">
        <v>23975.8</v>
      </c>
      <c r="BP46" s="135" t="n">
        <v>227.5</v>
      </c>
      <c r="BS46" s="135" t="n">
        <v>14292.7</v>
      </c>
    </row>
    <row r="47">
      <c r="A47" s="4" t="inlineStr">
        <is>
          <t>SERVIÇOS TERCEIRIZADOS</t>
        </is>
      </c>
      <c r="AP47" s="135" t="n">
        <v>535.6</v>
      </c>
      <c r="AQ47" s="135" t="n">
        <v>15.2</v>
      </c>
    </row>
    <row r="48">
      <c r="A48" s="4" t="inlineStr">
        <is>
          <t>MAIS COPY GRAFICA RAPIDA E COPIADORA LTDA</t>
        </is>
      </c>
      <c r="AP48" s="135" t="n">
        <v>360.8</v>
      </c>
      <c r="AQ48" s="135" t="n">
        <v>15.2</v>
      </c>
    </row>
    <row r="49">
      <c r="A49" s="4" t="inlineStr">
        <is>
          <t>EMPRESARIAL TRANSPORTES E LOGISTICA ES LTDA</t>
        </is>
      </c>
      <c r="AP49" s="135" t="n">
        <v>174.8</v>
      </c>
    </row>
    <row r="50">
      <c r="A50" s="4" t="inlineStr">
        <is>
          <t>DEDUÇÕES DA RECEITA</t>
        </is>
      </c>
      <c r="B50" s="135" t="n">
        <v>90000</v>
      </c>
      <c r="C50" s="135" t="n">
        <v>266814.8</v>
      </c>
      <c r="D50" s="135" t="n">
        <v>120415.2</v>
      </c>
      <c r="E50" s="135" t="n">
        <v>21000</v>
      </c>
      <c r="F50" s="135" t="n">
        <v>14700</v>
      </c>
      <c r="G50" s="135" t="n">
        <v>339340</v>
      </c>
      <c r="H50" s="135" t="n">
        <v>57608.8</v>
      </c>
      <c r="I50" s="135" t="n">
        <v>28088.5</v>
      </c>
      <c r="J50" s="135" t="n">
        <v>203980.7</v>
      </c>
      <c r="K50" s="135" t="n">
        <v>74850</v>
      </c>
      <c r="L50" s="135" t="n">
        <v>112727.9</v>
      </c>
      <c r="M50" s="135" t="n">
        <v>108446</v>
      </c>
      <c r="N50" s="135" t="n">
        <v>56638</v>
      </c>
      <c r="O50" s="135" t="n">
        <v>116843.5</v>
      </c>
      <c r="P50" s="135" t="n">
        <v>204167.9</v>
      </c>
      <c r="Q50" s="135" t="n">
        <v>265387.4</v>
      </c>
      <c r="R50" s="135" t="n">
        <v>181405.7</v>
      </c>
      <c r="S50" s="135" t="n">
        <v>127645.3</v>
      </c>
      <c r="T50" s="135" t="n">
        <v>363727.4</v>
      </c>
      <c r="U50" s="135" t="n">
        <v>298339.1</v>
      </c>
      <c r="V50" s="135" t="n">
        <v>346569.8</v>
      </c>
      <c r="W50" s="135" t="n">
        <v>47482.7</v>
      </c>
      <c r="X50" s="135" t="n">
        <v>194767.1</v>
      </c>
      <c r="Y50" s="135" t="n">
        <v>438722.7</v>
      </c>
      <c r="Z50" s="135" t="n">
        <v>278009.3</v>
      </c>
      <c r="AA50" s="135" t="n">
        <v>353161.8</v>
      </c>
      <c r="AB50" s="135" t="n">
        <v>298759.5</v>
      </c>
      <c r="AC50" s="135" t="n">
        <v>630541</v>
      </c>
      <c r="AD50" s="135" t="n">
        <v>423371.2</v>
      </c>
      <c r="AE50" s="135" t="n">
        <v>499962.2</v>
      </c>
      <c r="AF50" s="135" t="n">
        <v>347065.6</v>
      </c>
      <c r="AG50" s="135" t="n">
        <v>479067.1</v>
      </c>
      <c r="AH50" s="135" t="n">
        <v>76099.10000000001</v>
      </c>
      <c r="AI50" s="135" t="n">
        <v>34816</v>
      </c>
      <c r="AJ50" s="135" t="n">
        <v>34118.3</v>
      </c>
      <c r="AK50" s="135" t="n">
        <v>48839.9</v>
      </c>
      <c r="AL50" s="135" t="n">
        <v>291786.4</v>
      </c>
      <c r="AM50" s="135" t="n">
        <v>91501.39999999999</v>
      </c>
      <c r="AN50" s="135" t="n">
        <v>194447.8</v>
      </c>
      <c r="AO50" s="135" t="n">
        <v>113711.3</v>
      </c>
      <c r="AP50" s="135" t="n">
        <v>34814.4</v>
      </c>
      <c r="AQ50" s="135" t="n">
        <v>1827.4</v>
      </c>
      <c r="AR50" s="135" t="n">
        <v>1360.9</v>
      </c>
    </row>
  </sheetData>
  <conditionalFormatting sqref="A3:A500">
    <cfRule type="expression" priority="1" dxfId="3">
      <formula>AND($A3&lt;&gt;"",COUNTIF('DADOS HISTORICOS'!$B$5:$C$42,$A3)=0,COUNTIF('DADOS HISTORICOS'!$A$50:$A$69,$A3)=0)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19"/>
  <sheetViews>
    <sheetView tabSelected="0" workbookViewId="0">
      <selection activeCell="A1" sqref="A1"/>
    </sheetView>
  </sheetViews>
  <sheetFormatPr baseColWidth="8" defaultRowHeight="15"/>
  <cols>
    <col width="90" customWidth="1" min="2" max="2"/>
  </cols>
  <sheetData>
    <row r="2">
      <c r="B2" s="2" t="inlineStr">
        <is>
          <t>PARÂMETROS</t>
        </is>
      </c>
    </row>
    <row r="3">
      <c r="B3" s="2" t="inlineStr">
        <is>
          <t xml:space="preserve">MDO e Equipamentos -&gt; histograma. </t>
        </is>
      </c>
    </row>
    <row r="4">
      <c r="B4" s="2" t="inlineStr">
        <is>
          <t>Taxa de administração é 10% sobre o custo do mês (sem incorrido).</t>
        </is>
      </c>
    </row>
    <row r="5">
      <c r="B5" s="2" t="inlineStr">
        <is>
          <t>Para os indiretos seguir uma curva linear.</t>
        </is>
      </c>
    </row>
    <row r="6">
      <c r="B6" s="2" t="inlineStr">
        <is>
          <t>Atividades diretas: Andamento do Prevision.</t>
        </is>
      </c>
    </row>
    <row r="7">
      <c r="B7" s="2" t="inlineStr">
        <is>
          <t xml:space="preserve">Elevador </t>
        </is>
      </c>
    </row>
    <row r="8">
      <c r="B8" s="2" t="inlineStr">
        <is>
          <t>1 ano antes - 12 pagamentos</t>
        </is>
      </c>
    </row>
    <row r="10">
      <c r="B10" s="2" t="inlineStr">
        <is>
          <t>Esquadrias  (Ex.: Confiança)</t>
        </is>
      </c>
    </row>
    <row r="11">
      <c r="B11" s="2" t="inlineStr">
        <is>
          <t>60% em 10 pagtos (modelo Astro)</t>
        </is>
      </c>
    </row>
    <row r="12">
      <c r="B12" s="2" t="inlineStr">
        <is>
          <t>40% medição direta</t>
        </is>
      </c>
    </row>
    <row r="14">
      <c r="B14" s="2" t="inlineStr">
        <is>
          <t xml:space="preserve">Louças e metais </t>
        </is>
      </c>
    </row>
    <row r="15">
      <c r="B15" s="2" t="inlineStr">
        <is>
          <t>40 a 180 dias no pedido</t>
        </is>
      </c>
    </row>
    <row r="16">
      <c r="B16" s="2" t="inlineStr">
        <is>
          <t>pagto - 28/56/84</t>
        </is>
      </c>
    </row>
    <row r="18">
      <c r="B18" s="2" t="inlineStr">
        <is>
          <t>Acabamentos</t>
        </is>
      </c>
    </row>
    <row r="19">
      <c r="B19" s="2" t="inlineStr">
        <is>
          <t>pagto - 3X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PL'!D11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HISTORICOS'!D5)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PL'!F11</f>
        <v/>
      </c>
      <c r="K5" s="60">
        <f>'VALOR POR PL'!G11</f>
        <v/>
      </c>
      <c r="L5" s="60">
        <f>'DADOS HISTORICOS'!$BZ$5</f>
        <v/>
      </c>
      <c r="M5" s="138">
        <f>'CP RESUMO'!D5</f>
        <v/>
      </c>
      <c r="N5" s="139" t="n">
        <v>0</v>
      </c>
      <c r="O5" s="138">
        <f>IF(B5&lt;='VALOR POR PL'!$P$5,'CP RESUMO'!D47,"")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HISTORICOS'!E5)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PL'!H11</f>
        <v/>
      </c>
      <c r="L6" s="49">
        <f>C6/IF(B6&lt;='VALOR POR PL'!$P$5,IFERROR(INDEX('"INCC-FGV"'!$B$2:$B$800,MATCH(B6,'"INCC-FGV"'!$A$2:$A$800,0)),$K$2),$K$2)</f>
        <v/>
      </c>
      <c r="M6" s="138">
        <f>'CP RESUMO'!E5</f>
        <v/>
      </c>
      <c r="N6" s="139">
        <f>MAX(0,M6-M5)</f>
        <v/>
      </c>
      <c r="O6" s="138">
        <f>IF(B6&lt;='VALOR POR PL'!$P$5,'CP RESUMO'!E47,"")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HISTORICOS'!F5)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RESUMO'!F5</f>
        <v/>
      </c>
      <c r="N7" s="139">
        <f>MAX(0,M7-M6)</f>
        <v/>
      </c>
      <c r="O7" s="138">
        <f>IF(B7&lt;='VALOR POR PL'!$P$5,'CP RESUMO'!F47,"")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HISTORICOS'!G5)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RESUMO'!G5</f>
        <v/>
      </c>
      <c r="N8" s="139">
        <f>MAX(0,M8-M7)</f>
        <v/>
      </c>
      <c r="O8" s="138">
        <f>IF(B8&lt;='VALOR POR PL'!$P$5,'CP RESUMO'!G47,"")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HISTORICOS'!H5)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RESUMO'!H5</f>
        <v/>
      </c>
      <c r="N9" s="139">
        <f>MAX(0,M9-M8)</f>
        <v/>
      </c>
      <c r="O9" s="138">
        <f>IF(B9&lt;='VALOR POR PL'!$P$5,'CP RESUMO'!H47,"")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HISTORICOS'!I5)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RESUMO'!I5</f>
        <v/>
      </c>
      <c r="N10" s="139">
        <f>MAX(0,M10-M9)</f>
        <v/>
      </c>
      <c r="O10" s="138">
        <f>IF(B10&lt;='VALOR POR PL'!$P$5,'CP RESUMO'!I47,"")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HISTORICOS'!J5)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RESUMO'!J5</f>
        <v/>
      </c>
      <c r="N11" s="139">
        <f>MAX(0,M11-M10)</f>
        <v/>
      </c>
      <c r="O11" s="138">
        <f>IF(B11&lt;='VALOR POR PL'!$P$5,'CP RESUMO'!J47,"")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HISTORICOS'!K5)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RESUMO'!K5</f>
        <v/>
      </c>
      <c r="N12" s="139">
        <f>MAX(0,M12-M11)</f>
        <v/>
      </c>
      <c r="O12" s="138">
        <f>IF(B12&lt;='VALOR POR PL'!$P$5,'CP RESUMO'!K47,"")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HISTORICOS'!L5)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PL'!I11</f>
        <v/>
      </c>
      <c r="L13" s="49">
        <f>C13/IF(B13&lt;='VALOR POR PL'!$P$5,IFERROR(INDEX('"INCC-FGV"'!$B$2:$B$800,MATCH(B13,'"INCC-FGV"'!$A$2:$A$800,0)),$K$2),$K$2)</f>
        <v/>
      </c>
      <c r="M13" s="138">
        <f>'CP RESUMO'!L5</f>
        <v/>
      </c>
      <c r="N13" s="139">
        <f>MAX(0,M13-M12)</f>
        <v/>
      </c>
      <c r="O13" s="138">
        <f>IF(B13&lt;='VALOR POR PL'!$P$5,'CP RESUMO'!L47,"")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HISTORICOS'!M5)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RESUMO'!$D$47:$BW$47,MATCH('VALOR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RESUMO'!M5</f>
        <v/>
      </c>
      <c r="N14" s="139">
        <f>MAX(0,M14-M13)</f>
        <v/>
      </c>
      <c r="O14" s="138">
        <f>IF(B14&lt;='VALOR POR PL'!$P$5,'CP RESUMO'!M47,"")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HISTORICOS'!N5)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RESUMO'!N5</f>
        <v/>
      </c>
      <c r="N15" s="139">
        <f>MAX(0,M15-M14)</f>
        <v/>
      </c>
      <c r="O15" s="138">
        <f>IF(B15&lt;='VALOR POR PL'!$P$5,'CP RESUMO'!N47,"")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HISTORICOS'!O5)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RESUMO'!O5</f>
        <v/>
      </c>
      <c r="N16" s="139">
        <f>MAX(0,M16-M15)</f>
        <v/>
      </c>
      <c r="O16" s="138">
        <f>IF(B16&lt;='VALOR POR PL'!$P$5,'CP RESUMO'!O47,"")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HISTORICOS'!P5)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RESUMO'!P5</f>
        <v/>
      </c>
      <c r="N17" s="139">
        <f>MAX(0,M17-M16)</f>
        <v/>
      </c>
      <c r="O17" s="138">
        <f>IF(B17&lt;='VALOR POR PL'!$P$5,'CP RESUMO'!P47,"")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HISTORICOS'!Q5)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RESUMO'!Q5</f>
        <v/>
      </c>
      <c r="N18" s="139">
        <f>MAX(0,M18-M17)</f>
        <v/>
      </c>
      <c r="O18" s="138">
        <f>IF(B18&lt;='VALOR POR PL'!$P$5,'CP RESUMO'!Q47,"")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HISTORICOS'!R5)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RESUMO'!R5</f>
        <v/>
      </c>
      <c r="N19" s="139">
        <f>MAX(0,M19-M18)</f>
        <v/>
      </c>
      <c r="O19" s="138">
        <f>IF(B19&lt;='VALOR POR PL'!$P$5,'CP RESUMO'!R47,"")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HISTORICOS'!S5)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RESUMO'!S5</f>
        <v/>
      </c>
      <c r="N20" s="139">
        <f>MAX(0,M20-M19)</f>
        <v/>
      </c>
      <c r="O20" s="138">
        <f>IF(B20&lt;='VALOR POR PL'!$P$5,'CP RESUMO'!S47,"")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HISTORICOS'!T5)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RESUMO'!T5</f>
        <v/>
      </c>
      <c r="N21" s="139">
        <f>MAX(0,M21-M20)</f>
        <v/>
      </c>
      <c r="O21" s="138">
        <f>IF(B21&lt;='VALOR POR PL'!$P$5,'CP RESUMO'!T47,"")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HISTORICOS'!U5)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RESUMO'!U5</f>
        <v/>
      </c>
      <c r="N22" s="139">
        <f>MAX(0,M22-M21)</f>
        <v/>
      </c>
      <c r="O22" s="138">
        <f>IF(B22&lt;='VALOR POR PL'!$P$5,'CP RESUMO'!U47,"")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HISTORICOS'!V5)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RESUMO'!V5</f>
        <v/>
      </c>
      <c r="N23" s="139">
        <f>MAX(0,M23-M22)</f>
        <v/>
      </c>
      <c r="O23" s="138">
        <f>IF(B23&lt;='VALOR POR PL'!$P$5,'CP RESUMO'!V47,"")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HISTORICOS'!W5)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RESUMO'!W5</f>
        <v/>
      </c>
      <c r="N24" s="139">
        <f>MAX(0,M24-M23)</f>
        <v/>
      </c>
      <c r="O24" s="138">
        <f>IF(B24&lt;='VALOR POR PL'!$P$5,'CP RESUMO'!W47,"")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HISTORICOS'!X5)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RESUMO'!X5</f>
        <v/>
      </c>
      <c r="N25" s="139">
        <f>MAX(0,M25-M24)</f>
        <v/>
      </c>
      <c r="O25" s="138">
        <f>IF(B25&lt;='VALOR POR PL'!$P$5,'CP RESUMO'!X47,"")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HISTORICOS'!Y5)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>
        <v>14833</v>
      </c>
      <c r="L26" s="49">
        <f>C26/IF(B26&lt;='VALOR POR PL'!$P$5,IFERROR(INDEX('"INCC-FGV"'!$B$2:$B$800,MATCH(B26,'"INCC-FGV"'!$A$2:$A$800,0)),$K$2),$K$2)</f>
        <v/>
      </c>
      <c r="M26" s="138">
        <f>'CP RESUMO'!Y5</f>
        <v/>
      </c>
      <c r="N26" s="139">
        <f>MAX(0,M26-M25)</f>
        <v/>
      </c>
      <c r="O26" s="138">
        <f>IF(B26&lt;='VALOR POR PL'!$P$5,'CP RESUMO'!Y47,"")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HISTORICOS'!Z5)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100000</v>
      </c>
      <c r="L27" s="49">
        <f>C27/IF(B27&lt;='VALOR POR PL'!$P$5,IFERROR(INDEX('"INCC-FGV"'!$B$2:$B$800,MATCH(B27,'"INCC-FGV"'!$A$2:$A$800,0)),$K$2),$K$2)</f>
        <v/>
      </c>
      <c r="M27" s="138">
        <f>'CP RESUMO'!Z5</f>
        <v/>
      </c>
      <c r="N27" s="139">
        <f>MAX(0,M27-M26)</f>
        <v/>
      </c>
      <c r="O27" s="138">
        <f>IF(B27&lt;='VALOR POR PL'!$P$5,'CP RESUMO'!Z47,"")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HISTORICOS'!AA5)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100000</v>
      </c>
      <c r="L28" s="49">
        <f>C28/IF(B28&lt;='VALOR POR PL'!$P$5,IFERROR(INDEX('"INCC-FGV"'!$B$2:$B$800,MATCH(B28,'"INCC-FGV"'!$A$2:$A$800,0)),$K$2),$K$2)</f>
        <v/>
      </c>
      <c r="M28" s="138">
        <f>'CP RESUMO'!AA5</f>
        <v/>
      </c>
      <c r="N28" s="139">
        <f>MAX(0,M28-M27)</f>
        <v/>
      </c>
      <c r="O28" s="138">
        <f>IF(B28&lt;='VALOR POR PL'!$P$5,'CP RESUMO'!AA47,"")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HISTORICOS'!AB5)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14833</v>
      </c>
      <c r="L29" s="49">
        <f>C29/IF(B29&lt;='VALOR POR PL'!$P$5,IFERROR(INDEX('"INCC-FGV"'!$B$2:$B$800,MATCH(B29,'"INCC-FGV"'!$A$2:$A$800,0)),$K$2),$K$2)</f>
        <v/>
      </c>
      <c r="M29" s="138">
        <f>'CP RESUMO'!AB5</f>
        <v/>
      </c>
      <c r="N29" s="139">
        <f>MAX(0,M29-M28)</f>
        <v/>
      </c>
      <c r="O29" s="138">
        <f>IF(B29&lt;='VALOR POR PL'!$P$5,'CP RESUMO'!AB47,"")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HISTORICOS'!AC5)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>
        <v>14833</v>
      </c>
      <c r="L30" s="49">
        <f>C30/IF(B30&lt;='VALOR POR PL'!$P$5,IFERROR(INDEX('"INCC-FGV"'!$B$2:$B$800,MATCH(B30,'"INCC-FGV"'!$A$2:$A$800,0)),$K$2),$K$2)</f>
        <v/>
      </c>
      <c r="M30" s="138">
        <f>'CP RESUMO'!AC5</f>
        <v/>
      </c>
      <c r="N30" s="139">
        <f>MAX(0,M30-M29)</f>
        <v/>
      </c>
      <c r="O30" s="138">
        <f>IF(B30&lt;='VALOR POR PL'!$P$5,'CP RESUMO'!AC47,"")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HISTORICOS'!AD5)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>
        <v>1100</v>
      </c>
      <c r="L31" s="49">
        <f>C31/IF(B31&lt;='VALOR POR PL'!$P$5,IFERROR(INDEX('"INCC-FGV"'!$B$2:$B$800,MATCH(B31,'"INCC-FGV"'!$A$2:$A$800,0)),$K$2),$K$2)</f>
        <v/>
      </c>
      <c r="M31" s="138">
        <f>'CP RESUMO'!AD5</f>
        <v/>
      </c>
      <c r="N31" s="139">
        <f>MAX(0,M31-M30)</f>
        <v/>
      </c>
      <c r="O31" s="138">
        <f>IF(B31&lt;='VALOR POR PL'!$P$5,'CP RESUMO'!AD47,"")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HISTORICOS'!AE5)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1100</v>
      </c>
      <c r="L32" s="49">
        <f>C32/IF(B32&lt;='VALOR POR PL'!$P$5,IFERROR(INDEX('"INCC-FGV"'!$B$2:$B$800,MATCH(B32,'"INCC-FGV"'!$A$2:$A$800,0)),$K$2),$K$2)</f>
        <v/>
      </c>
      <c r="M32" s="138">
        <f>'CP RESUMO'!AE5</f>
        <v/>
      </c>
      <c r="N32" s="139">
        <f>MAX(0,M32-M31)</f>
        <v/>
      </c>
      <c r="O32" s="138">
        <f>IF(B32&lt;='VALOR POR PL'!$P$5,'CP RESUMO'!AE47,"")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HISTORICOS'!AF5)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1100</v>
      </c>
      <c r="L33" s="49">
        <f>C33/IF(B33&lt;='VALOR POR PL'!$P$5,IFERROR(INDEX('"INCC-FGV"'!$B$2:$B$800,MATCH(B33,'"INCC-FGV"'!$A$2:$A$800,0)),$K$2),$K$2)</f>
        <v/>
      </c>
      <c r="M33" s="138">
        <f>'CP RESUMO'!AF5</f>
        <v/>
      </c>
      <c r="N33" s="139">
        <f>MAX(0,M33-M32)</f>
        <v/>
      </c>
      <c r="O33" s="138">
        <f>IF(B33&lt;='VALOR POR PL'!$P$5,'CP RESUMO'!AF47,"")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HISTORICOS'!AG5)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1100</v>
      </c>
      <c r="L34" s="49">
        <f>C34/IF(B34&lt;='VALOR POR PL'!$P$5,IFERROR(INDEX('"INCC-FGV"'!$B$2:$B$800,MATCH(B34,'"INCC-FGV"'!$A$2:$A$800,0)),$K$2),$K$2)</f>
        <v/>
      </c>
      <c r="M34" s="138">
        <f>'CP RESUMO'!AG5</f>
        <v/>
      </c>
      <c r="N34" s="139">
        <f>MAX(0,M34-M33)</f>
        <v/>
      </c>
      <c r="O34" s="138">
        <f>IF(B34&lt;='VALOR POR PL'!$P$5,'CP RESUMO'!AG47,"")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HISTORICOS'!AH5)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1100</v>
      </c>
      <c r="L35" s="49">
        <f>C35/IF(B35&lt;='VALOR POR PL'!$P$5,IFERROR(INDEX('"INCC-FGV"'!$B$2:$B$800,MATCH(B35,'"INCC-FGV"'!$A$2:$A$800,0)),$K$2),$K$2)</f>
        <v/>
      </c>
      <c r="M35" s="138">
        <f>'CP RESUMO'!AH5</f>
        <v/>
      </c>
      <c r="N35" s="139">
        <f>MAX(0,M35-M34)</f>
        <v/>
      </c>
      <c r="O35" s="138">
        <f>IF(B35&lt;='VALOR POR PL'!$P$5,'CP RESUMO'!AH47,"")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HISTORICOS'!AI5)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1100</v>
      </c>
      <c r="L36" s="49">
        <f>C36/IF(B36&lt;='VALOR POR PL'!$P$5,IFERROR(INDEX('"INCC-FGV"'!$B$2:$B$800,MATCH(B36,'"INCC-FGV"'!$A$2:$A$800,0)),$K$2),$K$2)</f>
        <v/>
      </c>
      <c r="M36" s="138">
        <f>'CP RESUMO'!AI5</f>
        <v/>
      </c>
      <c r="N36" s="139">
        <f>MAX(0,M36-M35)</f>
        <v/>
      </c>
      <c r="O36" s="138">
        <f>IF(B36&lt;='VALOR POR PL'!$P$5,'CP RESUMO'!AI47,"")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HISTORICOS'!AJ5)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1100</v>
      </c>
      <c r="L37" s="49">
        <f>C37/IF(B37&lt;='VALOR POR PL'!$P$5,IFERROR(INDEX('"INCC-FGV"'!$B$2:$B$800,MATCH(B37,'"INCC-FGV"'!$A$2:$A$800,0)),$K$2),$K$2)</f>
        <v/>
      </c>
      <c r="M37" s="138">
        <f>'CP RESUMO'!AJ5</f>
        <v/>
      </c>
      <c r="N37" s="139">
        <f>MAX(0,M37-M36)</f>
        <v/>
      </c>
      <c r="O37" s="138">
        <f>IF(B37&lt;='VALOR POR PL'!$P$5,'CP RESUMO'!AJ47,"")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HISTORICOS'!AK5)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1100</v>
      </c>
      <c r="L38" s="49">
        <f>C38/IF(B38&lt;='VALOR POR PL'!$P$5,IFERROR(INDEX('"INCC-FGV"'!$B$2:$B$800,MATCH(B38,'"INCC-FGV"'!$A$2:$A$800,0)),$K$2),$K$2)</f>
        <v/>
      </c>
      <c r="M38" s="138">
        <f>'CP RESUMO'!AK5</f>
        <v/>
      </c>
      <c r="N38" s="139">
        <f>MAX(0,M38-M37)</f>
        <v/>
      </c>
      <c r="O38" s="138">
        <f>IF(B38&lt;='VALOR POR PL'!$P$5,'CP RESUMO'!AK47,"")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HISTORICOS'!AL5)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1100</v>
      </c>
      <c r="L39" s="49">
        <f>C39/IF(B39&lt;='VALOR POR PL'!$P$5,IFERROR(INDEX('"INCC-FGV"'!$B$2:$B$800,MATCH(B39,'"INCC-FGV"'!$A$2:$A$800,0)),$K$2),$K$2)</f>
        <v/>
      </c>
      <c r="M39" s="138">
        <f>'CP RESUMO'!AL5</f>
        <v/>
      </c>
      <c r="N39" s="139">
        <f>MAX(0,M39-M38)</f>
        <v/>
      </c>
      <c r="O39" s="138">
        <f>IF(B39&lt;='VALOR POR PL'!$P$5,'CP RESUMO'!AL47,"")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HISTORICOS'!AM5)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1100</v>
      </c>
      <c r="L40" s="49">
        <f>C40/IF(B40&lt;='VALOR POR PL'!$P$5,IFERROR(INDEX('"INCC-FGV"'!$B$2:$B$800,MATCH(B40,'"INCC-FGV"'!$A$2:$A$800,0)),$K$2),$K$2)</f>
        <v/>
      </c>
      <c r="M40" s="138">
        <f>'CP RESUMO'!AM5</f>
        <v/>
      </c>
      <c r="N40" s="139">
        <f>MAX(0,M40-M39)</f>
        <v/>
      </c>
      <c r="O40" s="138">
        <f>IF(B40&lt;='VALOR POR PL'!$P$5,'CP RESUMO'!AM47,"")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HISTORICOS'!AN5)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1100</v>
      </c>
      <c r="L41" s="49">
        <f>C41/IF(B41&lt;='VALOR POR PL'!$P$5,IFERROR(INDEX('"INCC-FGV"'!$B$2:$B$800,MATCH(B41,'"INCC-FGV"'!$A$2:$A$800,0)),$K$2),$K$2)</f>
        <v/>
      </c>
      <c r="M41" s="138">
        <f>'CP RESUMO'!AN5</f>
        <v/>
      </c>
      <c r="N41" s="139">
        <f>MAX(0,M41-M40)</f>
        <v/>
      </c>
      <c r="O41" s="138">
        <f>IF(B41&lt;='VALOR POR PL'!$P$5,'CP RESUMO'!AN47,"")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HISTORICOS'!AO5)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1100</v>
      </c>
      <c r="L42" s="49">
        <f>C42/IF(B42&lt;='VALOR POR PL'!$P$5,IFERROR(INDEX('"INCC-FGV"'!$B$2:$B$800,MATCH(B42,'"INCC-FGV"'!$A$2:$A$800,0)),$K$2),$K$2)</f>
        <v/>
      </c>
      <c r="M42" s="138">
        <f>'CP RESUMO'!AO5</f>
        <v/>
      </c>
      <c r="N42" s="139">
        <f>MAX(0,M42-M41)</f>
        <v/>
      </c>
      <c r="O42" s="138">
        <f>IF(B42&lt;='VALOR POR PL'!$P$5,'CP RESUMO'!AO47,"")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HISTORICOS'!AP5)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1100</v>
      </c>
      <c r="L43" s="49">
        <f>C43/IF(B43&lt;='VALOR POR PL'!$P$5,IFERROR(INDEX('"INCC-FGV"'!$B$2:$B$800,MATCH(B43,'"INCC-FGV"'!$A$2:$A$800,0)),$K$2),$K$2)</f>
        <v/>
      </c>
      <c r="M43" s="138">
        <f>'CP RESUMO'!AP5</f>
        <v/>
      </c>
      <c r="N43" s="139">
        <f>MAX(0,M43-M42)</f>
        <v/>
      </c>
      <c r="O43" s="138">
        <f>IF(B43&lt;='VALOR POR PL'!$P$5,'CP RESUMO'!AP47,"")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HISTORICOS'!AQ5)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1100</v>
      </c>
      <c r="L44" s="49">
        <f>C44/IF(B44&lt;='VALOR POR PL'!$P$5,IFERROR(INDEX('"INCC-FGV"'!$B$2:$B$800,MATCH(B44,'"INCC-FGV"'!$A$2:$A$800,0)),$K$2),$K$2)</f>
        <v/>
      </c>
      <c r="M44" s="138">
        <f>'CP RESUMO'!AQ5</f>
        <v/>
      </c>
      <c r="N44" s="139">
        <f>MAX(0,M44-M43)</f>
        <v/>
      </c>
      <c r="O44" s="138">
        <f>IF(B44&lt;='VALOR POR PL'!$P$5,'CP RESUMO'!AQ47,"")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HISTORICOS'!AR5)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1100</v>
      </c>
      <c r="L45" s="49">
        <f>C45/IF(B45&lt;='VALOR POR PL'!$P$5,IFERROR(INDEX('"INCC-FGV"'!$B$2:$B$800,MATCH(B45,'"INCC-FGV"'!$A$2:$A$800,0)),$K$2),$K$2)</f>
        <v/>
      </c>
      <c r="M45" s="138">
        <f>'CP RESUMO'!AR5</f>
        <v/>
      </c>
      <c r="N45" s="139">
        <f>MAX(0,M45-M44)</f>
        <v/>
      </c>
      <c r="O45" s="138">
        <f>IF(B45&lt;='VALOR POR PL'!$P$5,'CP RESUMO'!AR47,"")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HISTORICOS'!AS5)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1100</v>
      </c>
      <c r="L46" s="49">
        <f>C46/IF(B46&lt;='VALOR POR PL'!$P$5,IFERROR(INDEX('"INCC-FGV"'!$B$2:$B$800,MATCH(B46,'"INCC-FGV"'!$A$2:$A$800,0)),$K$2),$K$2)</f>
        <v/>
      </c>
      <c r="M46" s="138">
        <f>'CP RESUMO'!AS5</f>
        <v/>
      </c>
      <c r="N46" s="139">
        <f>MAX(0,M46-M45)</f>
        <v/>
      </c>
      <c r="O46" s="138">
        <f>IF(B46&lt;='VALOR POR PL'!$P$5,'CP RESUMO'!AS47,"")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HISTORICOS'!AT5)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1100</v>
      </c>
      <c r="L47" s="49">
        <f>C47/IF(B47&lt;='VALOR POR PL'!$P$5,IFERROR(INDEX('"INCC-FGV"'!$B$2:$B$800,MATCH(B47,'"INCC-FGV"'!$A$2:$A$800,0)),$K$2),$K$2)</f>
        <v/>
      </c>
      <c r="M47" s="138">
        <f>'CP RESUMO'!AT5</f>
        <v/>
      </c>
      <c r="N47" s="139">
        <f>MAX(0,M47-M46)</f>
        <v/>
      </c>
      <c r="O47" s="138">
        <f>IF(B47&lt;='VALOR POR PL'!$P$5,'CP RESUMO'!AT47,"")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HISTORICOS'!AU5)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1100</v>
      </c>
      <c r="L48" s="49">
        <f>C48/IF(B48&lt;='VALOR POR PL'!$P$5,IFERROR(INDEX('"INCC-FGV"'!$B$2:$B$800,MATCH(B48,'"INCC-FGV"'!$A$2:$A$800,0)),$K$2),$K$2)</f>
        <v/>
      </c>
      <c r="M48" s="138">
        <f>'CP RESUMO'!AU5</f>
        <v/>
      </c>
      <c r="N48" s="139">
        <f>MAX(0,M48-M47)</f>
        <v/>
      </c>
      <c r="O48" s="138">
        <f>IF(B48&lt;='VALOR POR PL'!$P$5,'CP RESUMO'!AU47,"")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HISTORICOS'!AV5)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1100</v>
      </c>
      <c r="L49" s="49">
        <f>C49/IF(B49&lt;='VALOR POR PL'!$P$5,IFERROR(INDEX('"INCC-FGV"'!$B$2:$B$800,MATCH(B49,'"INCC-FGV"'!$A$2:$A$800,0)),$K$2),$K$2)</f>
        <v/>
      </c>
      <c r="M49" s="138">
        <f>'CP RESUMO'!AV5</f>
        <v/>
      </c>
      <c r="N49" s="139">
        <f>MAX(0,M49-M48)</f>
        <v/>
      </c>
      <c r="O49" s="138">
        <f>IF(B49&lt;='VALOR POR PL'!$P$5,'CP RESUMO'!AV47,"")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HISTORICOS'!AW5)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1100</v>
      </c>
      <c r="L50" s="49">
        <f>C50/IF(B50&lt;='VALOR POR PL'!$P$5,IFERROR(INDEX('"INCC-FGV"'!$B$2:$B$800,MATCH(B50,'"INCC-FGV"'!$A$2:$A$800,0)),$K$2),$K$2)</f>
        <v/>
      </c>
      <c r="M50" s="138">
        <f>'CP RESUMO'!AW5</f>
        <v/>
      </c>
      <c r="N50" s="139">
        <f>MAX(0,M50-M49)</f>
        <v/>
      </c>
      <c r="O50" s="138">
        <f>IF(B50&lt;='VALOR POR PL'!$P$5,'CP RESUMO'!AW47,"")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HISTORICOS'!AX5)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1100</v>
      </c>
      <c r="L51" s="49">
        <f>C51/IF(B51&lt;='VALOR POR PL'!$P$5,IFERROR(INDEX('"INCC-FGV"'!$B$2:$B$800,MATCH(B51,'"INCC-FGV"'!$A$2:$A$800,0)),$K$2),$K$2)</f>
        <v/>
      </c>
      <c r="M51" s="138">
        <f>'CP RESUMO'!AX5</f>
        <v/>
      </c>
      <c r="N51" s="139">
        <f>MAX(0,M51-M50)</f>
        <v/>
      </c>
      <c r="O51" s="138">
        <f>IF(B51&lt;='VALOR POR PL'!$P$5,'CP RESUMO'!AX47,"")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HISTORICOS'!AY5)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264616.27</v>
      </c>
      <c r="L52" s="49">
        <f>C52/IF(B52&lt;='VALOR POR PL'!$P$5,IFERROR(INDEX('"INCC-FGV"'!$B$2:$B$800,MATCH(B52,'"INCC-FGV"'!$A$2:$A$800,0)),$K$2),$K$2)</f>
        <v/>
      </c>
      <c r="M52" s="138">
        <f>'CP RESUMO'!AY5</f>
        <v/>
      </c>
      <c r="N52" s="139">
        <f>MAX(0,M52-M51)</f>
        <v/>
      </c>
      <c r="O52" s="138">
        <f>IF(B52&lt;='VALOR POR PL'!$P$5,'CP RESUMO'!AY47,"")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HISTORICOS'!AZ5)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1100</v>
      </c>
      <c r="L53" s="49">
        <f>C53/IF(B53&lt;='VALOR POR PL'!$P$5,IFERROR(INDEX('"INCC-FGV"'!$B$2:$B$800,MATCH(B53,'"INCC-FGV"'!$A$2:$A$800,0)),$K$2),$K$2)</f>
        <v/>
      </c>
      <c r="M53" s="138">
        <f>'CP RESUMO'!AZ5</f>
        <v/>
      </c>
      <c r="N53" s="139">
        <f>MAX(0,M53-M52)</f>
        <v/>
      </c>
      <c r="O53" s="138">
        <f>IF(B53&lt;='VALOR POR PL'!$P$5,'CP RESUMO'!AZ47,"")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HISTORICOS'!BA5)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RESUMO'!BA5</f>
        <v/>
      </c>
      <c r="N54" s="139">
        <f>MAX(0,M54-M53)</f>
        <v/>
      </c>
      <c r="O54" s="138">
        <f>IF(B54&lt;='VALOR POR PL'!$P$5,'CP RESUMO'!BA47,"")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HISTORICOS'!BB5)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RESUMO'!BB5</f>
        <v/>
      </c>
      <c r="N55" s="139">
        <f>MAX(0,M55-M54)</f>
        <v/>
      </c>
      <c r="O55" s="138">
        <f>IF(B55&lt;='VALOR POR PL'!$P$5,'CP RESUMO'!BB47,"")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HISTORICOS'!BC5)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RESUMO'!BC5</f>
        <v/>
      </c>
      <c r="N56" s="139">
        <f>MAX(0,M56-M55)</f>
        <v/>
      </c>
      <c r="O56" s="138">
        <f>IF(B56&lt;='VALOR POR PL'!$P$5,'CP RESUMO'!BC47,"")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HISTORICOS'!BD5)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RESUMO'!BD5</f>
        <v/>
      </c>
      <c r="N57" s="139">
        <f>MAX(0,M57-M56)</f>
        <v/>
      </c>
      <c r="O57" s="138">
        <f>IF(B57&lt;='VALOR POR PL'!$P$5,'CP RESUMO'!BD47,"")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HISTORICOS'!BE5)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RESUMO'!BE5</f>
        <v/>
      </c>
      <c r="N58" s="139">
        <f>MAX(0,M58-M57)</f>
        <v/>
      </c>
      <c r="O58" s="138">
        <f>IF(B58&lt;='VALOR POR PL'!$P$5,'CP RESUMO'!BE47,"")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HISTORICOS'!BF5)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RESUMO'!BF5</f>
        <v/>
      </c>
      <c r="N59" s="139">
        <f>MAX(0,M59-M58)</f>
        <v/>
      </c>
      <c r="O59" s="138">
        <f>IF(B59&lt;='VALOR POR PL'!$P$5,'CP RESUMO'!BF47,"")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HISTORICOS'!BG5)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RESUMO'!BG5</f>
        <v/>
      </c>
      <c r="N60" s="139">
        <f>MAX(0,M60-M59)</f>
        <v/>
      </c>
      <c r="O60" s="138">
        <f>IF(B60&lt;='VALOR POR PL'!$P$5,'CP RESUMO'!BG47,"")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HISTORICOS'!BH5)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RESUMO'!BH5</f>
        <v/>
      </c>
      <c r="N61" s="139">
        <f>MAX(0,M61-M60)</f>
        <v/>
      </c>
      <c r="O61" s="138">
        <f>IF(B61&lt;='VALOR POR PL'!$P$5,'CP RESUMO'!BH47,"")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HISTORICOS'!BI5)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RESUMO'!BI5</f>
        <v/>
      </c>
      <c r="N62" s="139">
        <f>MAX(0,M62-M61)</f>
        <v/>
      </c>
      <c r="O62" s="138">
        <f>IF(B62&lt;='VALOR POR PL'!$P$5,'CP RESUMO'!BI47,"")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HISTORICOS'!BJ5)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RESUMO'!BJ5</f>
        <v/>
      </c>
      <c r="N63" s="139">
        <f>MAX(0,M63-M62)</f>
        <v/>
      </c>
      <c r="O63" s="138">
        <f>IF(B63&lt;='VALOR POR PL'!$P$5,'CP RESUMO'!BJ47,"")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HISTORICOS'!BK5)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RESUMO'!BK5</f>
        <v/>
      </c>
      <c r="N64" s="139">
        <f>MAX(0,M64-M63)</f>
        <v/>
      </c>
      <c r="O64" s="138">
        <f>IF(B64&lt;='VALOR POR PL'!$P$5,'CP RESUMO'!BK47,"")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HISTORICOS'!BL5)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RESUMO'!BL5</f>
        <v/>
      </c>
      <c r="N65" s="139">
        <f>MAX(0,M65-M64)</f>
        <v/>
      </c>
      <c r="O65" s="138">
        <f>IF(B65&lt;='VALOR POR PL'!$P$5,'CP RESUMO'!BL47,"")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HISTORICOS'!BM5)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RESUMO'!BM5</f>
        <v/>
      </c>
      <c r="N66" s="139">
        <f>MAX(0,M66-M65)</f>
        <v/>
      </c>
      <c r="O66" s="138">
        <f>IF(B66&lt;='VALOR POR PL'!$P$5,'CP RESUMO'!BM47,"")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HISTORICOS'!BN5)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RESUMO'!BN5</f>
        <v/>
      </c>
      <c r="N67" s="139">
        <f>MAX(0,M67-M66)</f>
        <v/>
      </c>
      <c r="O67" s="138">
        <f>IF(B67&lt;='VALOR POR PL'!$P$5,'CP RESUMO'!BN47,"")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HISTORICOS'!BO5)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RESUMO'!BO5</f>
        <v/>
      </c>
      <c r="N68" s="139">
        <f>MAX(0,M68-M67)</f>
        <v/>
      </c>
      <c r="O68" s="138">
        <f>IF(B68&lt;='VALOR POR PL'!$P$5,'CP RESUMO'!BO47,"")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HISTORICOS'!BP5)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RESUMO'!BP5</f>
        <v/>
      </c>
      <c r="N69" s="139">
        <f>MAX(0,M69-M68)</f>
        <v/>
      </c>
      <c r="O69" s="138">
        <f>IF(B69&lt;='VALOR POR PL'!$P$5,'CP RESUMO'!BP47,"")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HISTORICOS'!BQ5)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RESUMO'!BQ5</f>
        <v/>
      </c>
      <c r="N70" s="139">
        <f>MAX(0,M70-M69)</f>
        <v/>
      </c>
      <c r="O70" s="138">
        <f>IF(B70&lt;='VALOR POR PL'!$P$5,'CP RESUMO'!BQ47,"")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HISTORICOS'!BR5)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RESUMO'!BR5</f>
        <v/>
      </c>
      <c r="N71" s="139">
        <f>MAX(0,M71-M70)</f>
        <v/>
      </c>
      <c r="O71" s="138">
        <f>IF(B71&lt;='VALOR POR PL'!$P$5,'CP RESUMO'!BR47,"")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HISTORICOS'!BS5)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RESUMO'!BS5</f>
        <v/>
      </c>
      <c r="N72" s="139">
        <f>MAX(0,M72-M71)</f>
        <v/>
      </c>
      <c r="O72" s="138">
        <f>IF(B72&lt;='VALOR POR PL'!$P$5,'CP RESUMO'!BS47,"")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HISTORICOS'!BT5)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RESUMO'!BT5</f>
        <v/>
      </c>
      <c r="N73" s="139">
        <f>MAX(0,M73-M72)</f>
        <v/>
      </c>
      <c r="O73" s="138">
        <f>IF(B73&lt;='VALOR POR PL'!$P$5,'CP RESUMO'!BT47,"")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HISTORICOS'!BU5)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RESUMO'!BU5</f>
        <v/>
      </c>
      <c r="N74" s="139">
        <f>MAX(0,M74-M73)</f>
        <v/>
      </c>
      <c r="O74" s="138">
        <f>IF(B74&lt;='VALOR POR PL'!$P$5,'CP RESUMO'!BU47,"")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HISTORICOS'!BV5)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RESUMO'!BV5</f>
        <v/>
      </c>
      <c r="N75" s="139">
        <f>MAX(0,M75-M74)</f>
        <v/>
      </c>
      <c r="O75" s="138">
        <f>IF(B75&lt;='VALOR POR PL'!$P$5,'CP RESUMO'!BV47,"")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HISTORICOS'!BW5)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RESUMO'!BW5</f>
        <v/>
      </c>
      <c r="N76" s="139">
        <f>MAX(0,M76-M75)</f>
        <v/>
      </c>
      <c r="O76" s="138">
        <f>IF(B76&lt;='VALOR POR PL'!$P$5,'CP RESUMO'!BW47,"")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PL'!D48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HISTORICOS'!D42)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PL'!F48</f>
        <v/>
      </c>
      <c r="K5" s="60">
        <f>'VALOR POR PL'!G48</f>
        <v/>
      </c>
      <c r="L5" s="60">
        <f>'DADOS HISTORICOS'!$BZ$42</f>
        <v/>
      </c>
      <c r="M5" s="138">
        <f>'CP RESUMO'!D42</f>
        <v/>
      </c>
      <c r="N5" s="139" t="n">
        <v>0</v>
      </c>
      <c r="O5" s="138">
        <f>IF(B5&lt;='VALOR POR PL'!$P$5,'CP RESUMO'!D84,"")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HISTORICOS'!E42)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PL'!H48</f>
        <v/>
      </c>
      <c r="L6" s="49">
        <f>C6/IF(B6&lt;='VALOR POR PL'!$P$5,IFERROR(INDEX('"INCC-FGV"'!$B$2:$B$800,MATCH(B6,'"INCC-FGV"'!$A$2:$A$800,0)),$K$2),$K$2)</f>
        <v/>
      </c>
      <c r="M6" s="138">
        <f>'CP RESUMO'!E42</f>
        <v/>
      </c>
      <c r="N6" s="139">
        <f>MAX(0,M6-M5)</f>
        <v/>
      </c>
      <c r="O6" s="138">
        <f>IF(B6&lt;='VALOR POR PL'!$P$5,'CP RESUMO'!E84,"")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HISTORICOS'!F42)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RESUMO'!F42</f>
        <v/>
      </c>
      <c r="N7" s="139">
        <f>MAX(0,M7-M6)</f>
        <v/>
      </c>
      <c r="O7" s="138">
        <f>IF(B7&lt;='VALOR POR PL'!$P$5,'CP RESUMO'!F84,"")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HISTORICOS'!G42)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RESUMO'!G42</f>
        <v/>
      </c>
      <c r="N8" s="139">
        <f>MAX(0,M8-M7)</f>
        <v/>
      </c>
      <c r="O8" s="138">
        <f>IF(B8&lt;='VALOR POR PL'!$P$5,'CP RESUMO'!G84,"")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HISTORICOS'!H42)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RESUMO'!H42</f>
        <v/>
      </c>
      <c r="N9" s="139">
        <f>MAX(0,M9-M8)</f>
        <v/>
      </c>
      <c r="O9" s="138">
        <f>IF(B9&lt;='VALOR POR PL'!$P$5,'CP RESUMO'!H84,"")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HISTORICOS'!I42)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RESUMO'!I42</f>
        <v/>
      </c>
      <c r="N10" s="139">
        <f>MAX(0,M10-M9)</f>
        <v/>
      </c>
      <c r="O10" s="138">
        <f>IF(B10&lt;='VALOR POR PL'!$P$5,'CP RESUMO'!I84,"")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HISTORICOS'!J42)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RESUMO'!J42</f>
        <v/>
      </c>
      <c r="N11" s="139">
        <f>MAX(0,M11-M10)</f>
        <v/>
      </c>
      <c r="O11" s="138">
        <f>IF(B11&lt;='VALOR POR PL'!$P$5,'CP RESUMO'!J84,"")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HISTORICOS'!K42)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RESUMO'!K42</f>
        <v/>
      </c>
      <c r="N12" s="139">
        <f>MAX(0,M12-M11)</f>
        <v/>
      </c>
      <c r="O12" s="138">
        <f>IF(B12&lt;='VALOR POR PL'!$P$5,'CP RESUMO'!K84,"")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HISTORICOS'!L42)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PL'!I48</f>
        <v/>
      </c>
      <c r="L13" s="49">
        <f>C13/IF(B13&lt;='VALOR POR PL'!$P$5,IFERROR(INDEX('"INCC-FGV"'!$B$2:$B$800,MATCH(B13,'"INCC-FGV"'!$A$2:$A$800,0)),$K$2),$K$2)</f>
        <v/>
      </c>
      <c r="M13" s="138">
        <f>'CP RESUMO'!L42</f>
        <v/>
      </c>
      <c r="N13" s="139">
        <f>MAX(0,M13-M12)</f>
        <v/>
      </c>
      <c r="O13" s="138">
        <f>IF(B13&lt;='VALOR POR PL'!$P$5,'CP RESUMO'!L84,"")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HISTORICOS'!M42)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RESUMO'!$D$84:$BW$84,MATCH('VALOR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RESUMO'!M42</f>
        <v/>
      </c>
      <c r="N14" s="139">
        <f>MAX(0,M14-M13)</f>
        <v/>
      </c>
      <c r="O14" s="138">
        <f>IF(B14&lt;='VALOR POR PL'!$P$5,'CP RESUMO'!M84,"")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HISTORICOS'!N42)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RESUMO'!N42</f>
        <v/>
      </c>
      <c r="N15" s="139">
        <f>MAX(0,M15-M14)</f>
        <v/>
      </c>
      <c r="O15" s="138">
        <f>IF(B15&lt;='VALOR POR PL'!$P$5,'CP RESUMO'!N84,"")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HISTORICOS'!O42)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RESUMO'!O42</f>
        <v/>
      </c>
      <c r="N16" s="139">
        <f>MAX(0,M16-M15)</f>
        <v/>
      </c>
      <c r="O16" s="138">
        <f>IF(B16&lt;='VALOR POR PL'!$P$5,'CP RESUMO'!O84,"")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HISTORICOS'!P42)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RESUMO'!P42</f>
        <v/>
      </c>
      <c r="N17" s="139">
        <f>MAX(0,M17-M16)</f>
        <v/>
      </c>
      <c r="O17" s="138">
        <f>IF(B17&lt;='VALOR POR PL'!$P$5,'CP RESUMO'!P84,"")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HISTORICOS'!Q42)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RESUMO'!Q42</f>
        <v/>
      </c>
      <c r="N18" s="139">
        <f>MAX(0,M18-M17)</f>
        <v/>
      </c>
      <c r="O18" s="138">
        <f>IF(B18&lt;='VALOR POR PL'!$P$5,'CP RESUMO'!Q84,"")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HISTORICOS'!R42)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RESUMO'!R42</f>
        <v/>
      </c>
      <c r="N19" s="139">
        <f>MAX(0,M19-M18)</f>
        <v/>
      </c>
      <c r="O19" s="138">
        <f>IF(B19&lt;='VALOR POR PL'!$P$5,'CP RESUMO'!R84,"")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HISTORICOS'!S42)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RESUMO'!S42</f>
        <v/>
      </c>
      <c r="N20" s="139">
        <f>MAX(0,M20-M19)</f>
        <v/>
      </c>
      <c r="O20" s="138">
        <f>IF(B20&lt;='VALOR POR PL'!$P$5,'CP RESUMO'!S84,"")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HISTORICOS'!T42)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RESUMO'!T42</f>
        <v/>
      </c>
      <c r="N21" s="139">
        <f>MAX(0,M21-M20)</f>
        <v/>
      </c>
      <c r="O21" s="138">
        <f>IF(B21&lt;='VALOR POR PL'!$P$5,'CP RESUMO'!T84,"")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HISTORICOS'!U42)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RESUMO'!U42</f>
        <v/>
      </c>
      <c r="N22" s="139">
        <f>MAX(0,M22-M21)</f>
        <v/>
      </c>
      <c r="O22" s="138">
        <f>IF(B22&lt;='VALOR POR PL'!$P$5,'CP RESUMO'!U84,"")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HISTORICOS'!V42)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RESUMO'!V42</f>
        <v/>
      </c>
      <c r="N23" s="139">
        <f>MAX(0,M23-M22)</f>
        <v/>
      </c>
      <c r="O23" s="138">
        <f>IF(B23&lt;='VALOR POR PL'!$P$5,'CP RESUMO'!V84,"")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HISTORICOS'!W42)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inlineStr">
        <is>
          <t>Somente o incorrido no ERP: a meta em INCC (VALOR POR PL!H48) é o próprio incorrido em INCC, sem previsão futura.</t>
        </is>
      </c>
      <c r="L24" s="49">
        <f>C24/IF(B24&lt;='VALOR POR PL'!$P$5,IFERROR(INDEX('"INCC-FGV"'!$B$2:$B$800,MATCH(B24,'"INCC-FGV"'!$A$2:$A$800,0)),$K$2),$K$2)</f>
        <v/>
      </c>
      <c r="M24" s="138">
        <f>'CP RESUMO'!W42</f>
        <v/>
      </c>
      <c r="N24" s="139">
        <f>MAX(0,M24-M23)</f>
        <v/>
      </c>
      <c r="O24" s="138">
        <f>IF(B24&lt;='VALOR POR PL'!$P$5,'CP RESUMO'!W84,"")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HISTORICOS'!X42)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RESUMO'!X42</f>
        <v/>
      </c>
      <c r="N25" s="139">
        <f>MAX(0,M25-M24)</f>
        <v/>
      </c>
      <c r="O25" s="138">
        <f>IF(B25&lt;='VALOR POR PL'!$P$5,'CP RESUMO'!X84,"")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HISTORICOS'!Y42)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RESUMO'!Y42</f>
        <v/>
      </c>
      <c r="N26" s="139">
        <f>MAX(0,M26-M25)</f>
        <v/>
      </c>
      <c r="O26" s="138">
        <f>IF(B26&lt;='VALOR POR PL'!$P$5,'CP RESUMO'!Y84,"")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HISTORICOS'!Z42)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RESUMO'!Z42</f>
        <v/>
      </c>
      <c r="N27" s="139">
        <f>MAX(0,M27-M26)</f>
        <v/>
      </c>
      <c r="O27" s="138">
        <f>IF(B27&lt;='VALOR POR PL'!$P$5,'CP RESUMO'!Z84,"")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HISTORICOS'!AA42)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RESUMO'!AA42</f>
        <v/>
      </c>
      <c r="N28" s="139">
        <f>MAX(0,M28-M27)</f>
        <v/>
      </c>
      <c r="O28" s="138">
        <f>IF(B28&lt;='VALOR POR PL'!$P$5,'CP RESUMO'!AA84,"")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HISTORICOS'!AB42)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RESUMO'!AB42</f>
        <v/>
      </c>
      <c r="N29" s="139">
        <f>MAX(0,M29-M28)</f>
        <v/>
      </c>
      <c r="O29" s="138">
        <f>IF(B29&lt;='VALOR POR PL'!$P$5,'CP RESUMO'!AB84,"")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HISTORICOS'!AC42)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RESUMO'!AC42</f>
        <v/>
      </c>
      <c r="N30" s="139">
        <f>MAX(0,M30-M29)</f>
        <v/>
      </c>
      <c r="O30" s="138">
        <f>IF(B30&lt;='VALOR POR PL'!$P$5,'CP RESUMO'!AC84,"")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HISTORICOS'!AD42)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RESUMO'!AD42</f>
        <v/>
      </c>
      <c r="N31" s="139">
        <f>MAX(0,M31-M30)</f>
        <v/>
      </c>
      <c r="O31" s="138">
        <f>IF(B31&lt;='VALOR POR PL'!$P$5,'CP RESUMO'!AD84,"")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HISTORICOS'!AE42)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RESUMO'!AE42</f>
        <v/>
      </c>
      <c r="N32" s="139">
        <f>MAX(0,M32-M31)</f>
        <v/>
      </c>
      <c r="O32" s="138">
        <f>IF(B32&lt;='VALOR POR PL'!$P$5,'CP RESUMO'!AE84,"")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HISTORICOS'!AF42)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RESUMO'!AF42</f>
        <v/>
      </c>
      <c r="N33" s="139">
        <f>MAX(0,M33-M32)</f>
        <v/>
      </c>
      <c r="O33" s="138">
        <f>IF(B33&lt;='VALOR POR PL'!$P$5,'CP RESUMO'!AF84,"")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HISTORICOS'!AG42)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RESUMO'!AG42</f>
        <v/>
      </c>
      <c r="N34" s="139">
        <f>MAX(0,M34-M33)</f>
        <v/>
      </c>
      <c r="O34" s="138">
        <f>IF(B34&lt;='VALOR POR PL'!$P$5,'CP RESUMO'!AG84,"")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HISTORICOS'!AH42)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RESUMO'!AH42</f>
        <v/>
      </c>
      <c r="N35" s="139">
        <f>MAX(0,M35-M34)</f>
        <v/>
      </c>
      <c r="O35" s="138">
        <f>IF(B35&lt;='VALOR POR PL'!$P$5,'CP RESUMO'!AH84,"")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HISTORICOS'!AI42)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RESUMO'!AI42</f>
        <v/>
      </c>
      <c r="N36" s="139">
        <f>MAX(0,M36-M35)</f>
        <v/>
      </c>
      <c r="O36" s="138">
        <f>IF(B36&lt;='VALOR POR PL'!$P$5,'CP RESUMO'!AI84,"")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HISTORICOS'!AJ42)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RESUMO'!AJ42</f>
        <v/>
      </c>
      <c r="N37" s="139">
        <f>MAX(0,M37-M36)</f>
        <v/>
      </c>
      <c r="O37" s="138">
        <f>IF(B37&lt;='VALOR POR PL'!$P$5,'CP RESUMO'!AJ84,"")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HISTORICOS'!AK42)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RESUMO'!AK42</f>
        <v/>
      </c>
      <c r="N38" s="139">
        <f>MAX(0,M38-M37)</f>
        <v/>
      </c>
      <c r="O38" s="138">
        <f>IF(B38&lt;='VALOR POR PL'!$P$5,'CP RESUMO'!AK84,"")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HISTORICOS'!AL42)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RESUMO'!AL42</f>
        <v/>
      </c>
      <c r="N39" s="139">
        <f>MAX(0,M39-M38)</f>
        <v/>
      </c>
      <c r="O39" s="138">
        <f>IF(B39&lt;='VALOR POR PL'!$P$5,'CP RESUMO'!AL84,"")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HISTORICOS'!AM42)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RESUMO'!AM42</f>
        <v/>
      </c>
      <c r="N40" s="139">
        <f>MAX(0,M40-M39)</f>
        <v/>
      </c>
      <c r="O40" s="138">
        <f>IF(B40&lt;='VALOR POR PL'!$P$5,'CP RESUMO'!AM84,"")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HISTORICOS'!AN42)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RESUMO'!AN42</f>
        <v/>
      </c>
      <c r="N41" s="139">
        <f>MAX(0,M41-M40)</f>
        <v/>
      </c>
      <c r="O41" s="138">
        <f>IF(B41&lt;='VALOR POR PL'!$P$5,'CP RESUMO'!AN84,"")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HISTORICOS'!AO42)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RESUMO'!AO42</f>
        <v/>
      </c>
      <c r="N42" s="139">
        <f>MAX(0,M42-M41)</f>
        <v/>
      </c>
      <c r="O42" s="138">
        <f>IF(B42&lt;='VALOR POR PL'!$P$5,'CP RESUMO'!AO84,"")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HISTORICOS'!AP42)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RESUMO'!AP42</f>
        <v/>
      </c>
      <c r="N43" s="139">
        <f>MAX(0,M43-M42)</f>
        <v/>
      </c>
      <c r="O43" s="138">
        <f>IF(B43&lt;='VALOR POR PL'!$P$5,'CP RESUMO'!AP84,"")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HISTORICOS'!AQ42)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/>
      <c r="L44" s="49">
        <f>C44/IF(B44&lt;='VALOR POR PL'!$P$5,IFERROR(INDEX('"INCC-FGV"'!$B$2:$B$800,MATCH(B44,'"INCC-FGV"'!$A$2:$A$800,0)),$K$2),$K$2)</f>
        <v/>
      </c>
      <c r="M44" s="138">
        <f>'CP RESUMO'!AQ42</f>
        <v/>
      </c>
      <c r="N44" s="139">
        <f>MAX(0,M44-M43)</f>
        <v/>
      </c>
      <c r="O44" s="138">
        <f>IF(B44&lt;='VALOR POR PL'!$P$5,'CP RESUMO'!AQ84,"")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HISTORICOS'!AR42)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/>
      <c r="L45" s="49">
        <f>C45/IF(B45&lt;='VALOR POR PL'!$P$5,IFERROR(INDEX('"INCC-FGV"'!$B$2:$B$800,MATCH(B45,'"INCC-FGV"'!$A$2:$A$800,0)),$K$2),$K$2)</f>
        <v/>
      </c>
      <c r="M45" s="138">
        <f>'CP RESUMO'!AR42</f>
        <v/>
      </c>
      <c r="N45" s="139">
        <f>MAX(0,M45-M44)</f>
        <v/>
      </c>
      <c r="O45" s="138">
        <f>IF(B45&lt;='VALOR POR PL'!$P$5,'CP RESUMO'!AR84,"")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HISTORICOS'!AS42)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RESUMO'!AS42</f>
        <v/>
      </c>
      <c r="N46" s="139">
        <f>MAX(0,M46-M45)</f>
        <v/>
      </c>
      <c r="O46" s="138">
        <f>IF(B46&lt;='VALOR POR PL'!$P$5,'CP RESUMO'!AS84,"")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HISTORICOS'!AT42)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RESUMO'!AT42</f>
        <v/>
      </c>
      <c r="N47" s="139">
        <f>MAX(0,M47-M46)</f>
        <v/>
      </c>
      <c r="O47" s="138">
        <f>IF(B47&lt;='VALOR POR PL'!$P$5,'CP RESUMO'!AT84,"")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HISTORICOS'!AU42)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RESUMO'!AU42</f>
        <v/>
      </c>
      <c r="N48" s="139">
        <f>MAX(0,M48-M47)</f>
        <v/>
      </c>
      <c r="O48" s="138">
        <f>IF(B48&lt;='VALOR POR PL'!$P$5,'CP RESUMO'!AU84,"")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HISTORICOS'!AV42)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RESUMO'!AV42</f>
        <v/>
      </c>
      <c r="N49" s="139">
        <f>MAX(0,M49-M48)</f>
        <v/>
      </c>
      <c r="O49" s="138">
        <f>IF(B49&lt;='VALOR POR PL'!$P$5,'CP RESUMO'!AV84,"")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HISTORICOS'!AW42)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RESUMO'!AW42</f>
        <v/>
      </c>
      <c r="N50" s="139">
        <f>MAX(0,M50-M49)</f>
        <v/>
      </c>
      <c r="O50" s="138">
        <f>IF(B50&lt;='VALOR POR PL'!$P$5,'CP RESUMO'!AW84,"")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HISTORICOS'!AX42)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RESUMO'!AX42</f>
        <v/>
      </c>
      <c r="N51" s="139">
        <f>MAX(0,M51-M50)</f>
        <v/>
      </c>
      <c r="O51" s="138">
        <f>IF(B51&lt;='VALOR POR PL'!$P$5,'CP RESUMO'!AX84,"")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HISTORICOS'!AY42)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RESUMO'!AY42</f>
        <v/>
      </c>
      <c r="N52" s="139">
        <f>MAX(0,M52-M51)</f>
        <v/>
      </c>
      <c r="O52" s="138">
        <f>IF(B52&lt;='VALOR POR PL'!$P$5,'CP RESUMO'!AY84,"")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HISTORICOS'!AZ42)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RESUMO'!AZ42</f>
        <v/>
      </c>
      <c r="N53" s="139">
        <f>MAX(0,M53-M52)</f>
        <v/>
      </c>
      <c r="O53" s="138">
        <f>IF(B53&lt;='VALOR POR PL'!$P$5,'CP RESUMO'!AZ84,"")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HISTORICOS'!BA42)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RESUMO'!BA42</f>
        <v/>
      </c>
      <c r="N54" s="139">
        <f>MAX(0,M54-M53)</f>
        <v/>
      </c>
      <c r="O54" s="138">
        <f>IF(B54&lt;='VALOR POR PL'!$P$5,'CP RESUMO'!BA84,"")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HISTORICOS'!BB42)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RESUMO'!BB42</f>
        <v/>
      </c>
      <c r="N55" s="139">
        <f>MAX(0,M55-M54)</f>
        <v/>
      </c>
      <c r="O55" s="138">
        <f>IF(B55&lt;='VALOR POR PL'!$P$5,'CP RESUMO'!BB84,"")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HISTORICOS'!BC42)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RESUMO'!BC42</f>
        <v/>
      </c>
      <c r="N56" s="139">
        <f>MAX(0,M56-M55)</f>
        <v/>
      </c>
      <c r="O56" s="138">
        <f>IF(B56&lt;='VALOR POR PL'!$P$5,'CP RESUMO'!BC84,"")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HISTORICOS'!BD42)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RESUMO'!BD42</f>
        <v/>
      </c>
      <c r="N57" s="139">
        <f>MAX(0,M57-M56)</f>
        <v/>
      </c>
      <c r="O57" s="138">
        <f>IF(B57&lt;='VALOR POR PL'!$P$5,'CP RESUMO'!BD84,"")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HISTORICOS'!BE42)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RESUMO'!BE42</f>
        <v/>
      </c>
      <c r="N58" s="139">
        <f>MAX(0,M58-M57)</f>
        <v/>
      </c>
      <c r="O58" s="138">
        <f>IF(B58&lt;='VALOR POR PL'!$P$5,'CP RESUMO'!BE84,"")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HISTORICOS'!BF42)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RESUMO'!BF42</f>
        <v/>
      </c>
      <c r="N59" s="139">
        <f>MAX(0,M59-M58)</f>
        <v/>
      </c>
      <c r="O59" s="138">
        <f>IF(B59&lt;='VALOR POR PL'!$P$5,'CP RESUMO'!BF84,"")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HISTORICOS'!BG42)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RESUMO'!BG42</f>
        <v/>
      </c>
      <c r="N60" s="139">
        <f>MAX(0,M60-M59)</f>
        <v/>
      </c>
      <c r="O60" s="138">
        <f>IF(B60&lt;='VALOR POR PL'!$P$5,'CP RESUMO'!BG84,"")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HISTORICOS'!BH42)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RESUMO'!BH42</f>
        <v/>
      </c>
      <c r="N61" s="139">
        <f>MAX(0,M61-M60)</f>
        <v/>
      </c>
      <c r="O61" s="138">
        <f>IF(B61&lt;='VALOR POR PL'!$P$5,'CP RESUMO'!BH84,"")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HISTORICOS'!BI42)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RESUMO'!BI42</f>
        <v/>
      </c>
      <c r="N62" s="139">
        <f>MAX(0,M62-M61)</f>
        <v/>
      </c>
      <c r="O62" s="138">
        <f>IF(B62&lt;='VALOR POR PL'!$P$5,'CP RESUMO'!BI84,"")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HISTORICOS'!BJ42)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RESUMO'!BJ42</f>
        <v/>
      </c>
      <c r="N63" s="139">
        <f>MAX(0,M63-M62)</f>
        <v/>
      </c>
      <c r="O63" s="138">
        <f>IF(B63&lt;='VALOR POR PL'!$P$5,'CP RESUMO'!BJ84,"")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HISTORICOS'!BK42)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RESUMO'!BK42</f>
        <v/>
      </c>
      <c r="N64" s="139">
        <f>MAX(0,M64-M63)</f>
        <v/>
      </c>
      <c r="O64" s="138">
        <f>IF(B64&lt;='VALOR POR PL'!$P$5,'CP RESUMO'!BK84,"")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HISTORICOS'!BL42)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RESUMO'!BL42</f>
        <v/>
      </c>
      <c r="N65" s="139">
        <f>MAX(0,M65-M64)</f>
        <v/>
      </c>
      <c r="O65" s="138">
        <f>IF(B65&lt;='VALOR POR PL'!$P$5,'CP RESUMO'!BL84,"")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HISTORICOS'!BM42)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RESUMO'!BM42</f>
        <v/>
      </c>
      <c r="N66" s="139">
        <f>MAX(0,M66-M65)</f>
        <v/>
      </c>
      <c r="O66" s="138">
        <f>IF(B66&lt;='VALOR POR PL'!$P$5,'CP RESUMO'!BM84,"")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HISTORICOS'!BN42)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RESUMO'!BN42</f>
        <v/>
      </c>
      <c r="N67" s="139">
        <f>MAX(0,M67-M66)</f>
        <v/>
      </c>
      <c r="O67" s="138">
        <f>IF(B67&lt;='VALOR POR PL'!$P$5,'CP RESUMO'!BN84,"")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HISTORICOS'!BO42)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RESUMO'!BO42</f>
        <v/>
      </c>
      <c r="N68" s="139">
        <f>MAX(0,M68-M67)</f>
        <v/>
      </c>
      <c r="O68" s="138">
        <f>IF(B68&lt;='VALOR POR PL'!$P$5,'CP RESUMO'!BO84,"")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HISTORICOS'!BP42)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RESUMO'!BP42</f>
        <v/>
      </c>
      <c r="N69" s="139">
        <f>MAX(0,M69-M68)</f>
        <v/>
      </c>
      <c r="O69" s="138">
        <f>IF(B69&lt;='VALOR POR PL'!$P$5,'CP RESUMO'!BP84,"")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HISTORICOS'!BQ42)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RESUMO'!BQ42</f>
        <v/>
      </c>
      <c r="N70" s="139">
        <f>MAX(0,M70-M69)</f>
        <v/>
      </c>
      <c r="O70" s="138">
        <f>IF(B70&lt;='VALOR POR PL'!$P$5,'CP RESUMO'!BQ84,"")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HISTORICOS'!BR42)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RESUMO'!BR42</f>
        <v/>
      </c>
      <c r="N71" s="139">
        <f>MAX(0,M71-M70)</f>
        <v/>
      </c>
      <c r="O71" s="138">
        <f>IF(B71&lt;='VALOR POR PL'!$P$5,'CP RESUMO'!BR84,"")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HISTORICOS'!BS42)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RESUMO'!BS42</f>
        <v/>
      </c>
      <c r="N72" s="139">
        <f>MAX(0,M72-M71)</f>
        <v/>
      </c>
      <c r="O72" s="138">
        <f>IF(B72&lt;='VALOR POR PL'!$P$5,'CP RESUMO'!BS84,"")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HISTORICOS'!BT42)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RESUMO'!BT42</f>
        <v/>
      </c>
      <c r="N73" s="139">
        <f>MAX(0,M73-M72)</f>
        <v/>
      </c>
      <c r="O73" s="138">
        <f>IF(B73&lt;='VALOR POR PL'!$P$5,'CP RESUMO'!BT84,"")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HISTORICOS'!BU42)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RESUMO'!BU42</f>
        <v/>
      </c>
      <c r="N74" s="139">
        <f>MAX(0,M74-M73)</f>
        <v/>
      </c>
      <c r="O74" s="138">
        <f>IF(B74&lt;='VALOR POR PL'!$P$5,'CP RESUMO'!BU84,"")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HISTORICOS'!BV42)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RESUMO'!BV42</f>
        <v/>
      </c>
      <c r="N75" s="139">
        <f>MAX(0,M75-M74)</f>
        <v/>
      </c>
      <c r="O75" s="138">
        <f>IF(B75&lt;='VALOR POR PL'!$P$5,'CP RESUMO'!BV84,"")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HISTORICOS'!BW42)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RESUMO'!BW42</f>
        <v/>
      </c>
      <c r="N76" s="139">
        <f>MAX(0,M76-M75)</f>
        <v/>
      </c>
      <c r="O76" s="138">
        <f>IF(B76&lt;='VALOR POR PL'!$P$5,'CP RESUMO'!BW84,"")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PL'!D12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HISTORICOS'!D6)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PL'!F12</f>
        <v/>
      </c>
      <c r="K5" s="60">
        <f>'VALOR POR PL'!G12</f>
        <v/>
      </c>
      <c r="L5" s="60">
        <f>'DADOS HISTORICOS'!$BZ$6</f>
        <v/>
      </c>
      <c r="M5" s="138">
        <f>'CP RESUMO'!D6</f>
        <v/>
      </c>
      <c r="N5" s="139" t="n">
        <v>0</v>
      </c>
      <c r="O5" s="138">
        <f>IF(B5&lt;='VALOR POR PL'!$P$5,'CP RESUMO'!D48,"")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HISTORICOS'!E6)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PL'!H12</f>
        <v/>
      </c>
      <c r="L6" s="49">
        <f>C6/IF(B6&lt;='VALOR POR PL'!$P$5,IFERROR(INDEX('"INCC-FGV"'!$B$2:$B$800,MATCH(B6,'"INCC-FGV"'!$A$2:$A$800,0)),$K$2),$K$2)</f>
        <v/>
      </c>
      <c r="M6" s="138">
        <f>'CP RESUMO'!E6</f>
        <v/>
      </c>
      <c r="N6" s="139">
        <f>MAX(0,M6-M5)</f>
        <v/>
      </c>
      <c r="O6" s="138">
        <f>IF(B6&lt;='VALOR POR PL'!$P$5,'CP RESUMO'!E48,"")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HISTORICOS'!F6)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RESUMO'!F6</f>
        <v/>
      </c>
      <c r="N7" s="139">
        <f>MAX(0,M7-M6)</f>
        <v/>
      </c>
      <c r="O7" s="138">
        <f>IF(B7&lt;='VALOR POR PL'!$P$5,'CP RESUMO'!F48,"")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HISTORICOS'!G6)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RESUMO'!G6</f>
        <v/>
      </c>
      <c r="N8" s="139">
        <f>MAX(0,M8-M7)</f>
        <v/>
      </c>
      <c r="O8" s="138">
        <f>IF(B8&lt;='VALOR POR PL'!$P$5,'CP RESUMO'!G48,"")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HISTORICOS'!H6)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RESUMO'!H6</f>
        <v/>
      </c>
      <c r="N9" s="139">
        <f>MAX(0,M9-M8)</f>
        <v/>
      </c>
      <c r="O9" s="138">
        <f>IF(B9&lt;='VALOR POR PL'!$P$5,'CP RESUMO'!H48,"")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HISTORICOS'!I6)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RESUMO'!I6</f>
        <v/>
      </c>
      <c r="N10" s="139">
        <f>MAX(0,M10-M9)</f>
        <v/>
      </c>
      <c r="O10" s="138">
        <f>IF(B10&lt;='VALOR POR PL'!$P$5,'CP RESUMO'!I48,"")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HISTORICOS'!J6)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RESUMO'!J6</f>
        <v/>
      </c>
      <c r="N11" s="139">
        <f>MAX(0,M11-M10)</f>
        <v/>
      </c>
      <c r="O11" s="138">
        <f>IF(B11&lt;='VALOR POR PL'!$P$5,'CP RESUMO'!J48,"")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HISTORICOS'!K6)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RESUMO'!K6</f>
        <v/>
      </c>
      <c r="N12" s="139">
        <f>MAX(0,M12-M11)</f>
        <v/>
      </c>
      <c r="O12" s="138">
        <f>IF(B12&lt;='VALOR POR PL'!$P$5,'CP RESUMO'!K48,"")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HISTORICOS'!L6)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PL'!I12</f>
        <v/>
      </c>
      <c r="L13" s="49">
        <f>C13/IF(B13&lt;='VALOR POR PL'!$P$5,IFERROR(INDEX('"INCC-FGV"'!$B$2:$B$800,MATCH(B13,'"INCC-FGV"'!$A$2:$A$800,0)),$K$2),$K$2)</f>
        <v/>
      </c>
      <c r="M13" s="138">
        <f>'CP RESUMO'!L6</f>
        <v/>
      </c>
      <c r="N13" s="139">
        <f>MAX(0,M13-M12)</f>
        <v/>
      </c>
      <c r="O13" s="138">
        <f>IF(B13&lt;='VALOR POR PL'!$P$5,'CP RESUMO'!L48,"")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HISTORICOS'!M6)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RESUMO'!$D$48:$BW$48,MATCH('VALOR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RESUMO'!M6</f>
        <v/>
      </c>
      <c r="N14" s="139">
        <f>MAX(0,M14-M13)</f>
        <v/>
      </c>
      <c r="O14" s="138">
        <f>IF(B14&lt;='VALOR POR PL'!$P$5,'CP RESUMO'!M48,"")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HISTORICOS'!N6)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RESUMO'!N6</f>
        <v/>
      </c>
      <c r="N15" s="139">
        <f>MAX(0,M15-M14)</f>
        <v/>
      </c>
      <c r="O15" s="138">
        <f>IF(B15&lt;='VALOR POR PL'!$P$5,'CP RESUMO'!N48,"")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HISTORICOS'!O6)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RESUMO'!O6</f>
        <v/>
      </c>
      <c r="N16" s="139">
        <f>MAX(0,M16-M15)</f>
        <v/>
      </c>
      <c r="O16" s="138">
        <f>IF(B16&lt;='VALOR POR PL'!$P$5,'CP RESUMO'!O48,"")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HISTORICOS'!P6)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RESUMO'!P6</f>
        <v/>
      </c>
      <c r="N17" s="139">
        <f>MAX(0,M17-M16)</f>
        <v/>
      </c>
      <c r="O17" s="138">
        <f>IF(B17&lt;='VALOR POR PL'!$P$5,'CP RESUMO'!P48,"")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HISTORICOS'!Q6)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RESUMO'!Q6</f>
        <v/>
      </c>
      <c r="N18" s="139">
        <f>MAX(0,M18-M17)</f>
        <v/>
      </c>
      <c r="O18" s="138">
        <f>IF(B18&lt;='VALOR POR PL'!$P$5,'CP RESUMO'!Q48,"")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HISTORICOS'!R6)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RESUMO'!R6</f>
        <v/>
      </c>
      <c r="N19" s="139">
        <f>MAX(0,M19-M18)</f>
        <v/>
      </c>
      <c r="O19" s="138">
        <f>IF(B19&lt;='VALOR POR PL'!$P$5,'CP RESUMO'!R48,"")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HISTORICOS'!S6)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RESUMO'!S6</f>
        <v/>
      </c>
      <c r="N20" s="139">
        <f>MAX(0,M20-M19)</f>
        <v/>
      </c>
      <c r="O20" s="138">
        <f>IF(B20&lt;='VALOR POR PL'!$P$5,'CP RESUMO'!S48,"")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HISTORICOS'!T6)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RESUMO'!T6</f>
        <v/>
      </c>
      <c r="N21" s="139">
        <f>MAX(0,M21-M20)</f>
        <v/>
      </c>
      <c r="O21" s="138">
        <f>IF(B21&lt;='VALOR POR PL'!$P$5,'CP RESUMO'!T48,"")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HISTORICOS'!U6)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RESUMO'!U6</f>
        <v/>
      </c>
      <c r="N22" s="139">
        <f>MAX(0,M22-M21)</f>
        <v/>
      </c>
      <c r="O22" s="138">
        <f>IF(B22&lt;='VALOR POR PL'!$P$5,'CP RESUMO'!U48,"")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HISTORICOS'!V6)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RESUMO'!V6</f>
        <v/>
      </c>
      <c r="N23" s="139">
        <f>MAX(0,M23-M22)</f>
        <v/>
      </c>
      <c r="O23" s="138">
        <f>IF(B23&lt;='VALOR POR PL'!$P$5,'CP RESUMO'!V48,"")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HISTORICOS'!W6)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RESUMO'!W6</f>
        <v/>
      </c>
      <c r="N24" s="139">
        <f>MAX(0,M24-M23)</f>
        <v/>
      </c>
      <c r="O24" s="138">
        <f>IF(B24&lt;='VALOR POR PL'!$P$5,'CP RESUMO'!W48,"")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HISTORICOS'!X6)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RESUMO'!X6</f>
        <v/>
      </c>
      <c r="N25" s="139">
        <f>MAX(0,M25-M24)</f>
        <v/>
      </c>
      <c r="O25" s="138">
        <f>IF(B25&lt;='VALOR POR PL'!$P$5,'CP RESUMO'!X48,"")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HISTORICOS'!Y6)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RESUMO'!Y6</f>
        <v/>
      </c>
      <c r="N26" s="139">
        <f>MAX(0,M26-M25)</f>
        <v/>
      </c>
      <c r="O26" s="138">
        <f>IF(B26&lt;='VALOR POR PL'!$P$5,'CP RESUMO'!Y48,"")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HISTORICOS'!Z6)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RESUMO'!Z6</f>
        <v/>
      </c>
      <c r="N27" s="139">
        <f>MAX(0,M27-M26)</f>
        <v/>
      </c>
      <c r="O27" s="138">
        <f>IF(B27&lt;='VALOR POR PL'!$P$5,'CP RESUMO'!Z48,"")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HISTORICOS'!AA6)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RESUMO'!AA6</f>
        <v/>
      </c>
      <c r="N28" s="139">
        <f>MAX(0,M28-M27)</f>
        <v/>
      </c>
      <c r="O28" s="138">
        <f>IF(B28&lt;='VALOR POR PL'!$P$5,'CP RESUMO'!AA48,"")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HISTORICOS'!AB6)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RESUMO'!AB6</f>
        <v/>
      </c>
      <c r="N29" s="139">
        <f>MAX(0,M29-M28)</f>
        <v/>
      </c>
      <c r="O29" s="138">
        <f>IF(B29&lt;='VALOR POR PL'!$P$5,'CP RESUMO'!AB48,"")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HISTORICOS'!AC6)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RESUMO'!AC6</f>
        <v/>
      </c>
      <c r="N30" s="139">
        <f>MAX(0,M30-M29)</f>
        <v/>
      </c>
      <c r="O30" s="138">
        <f>IF(B30&lt;='VALOR POR PL'!$P$5,'CP RESUMO'!AC48,"")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HISTORICOS'!AD6)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RESUMO'!AD6</f>
        <v/>
      </c>
      <c r="N31" s="139">
        <f>MAX(0,M31-M30)</f>
        <v/>
      </c>
      <c r="O31" s="138">
        <f>IF(B31&lt;='VALOR POR PL'!$P$5,'CP RESUMO'!AD48,"")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HISTORICOS'!AE6)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RESUMO'!AE6</f>
        <v/>
      </c>
      <c r="N32" s="139">
        <f>MAX(0,M32-M31)</f>
        <v/>
      </c>
      <c r="O32" s="138">
        <f>IF(B32&lt;='VALOR POR PL'!$P$5,'CP RESUMO'!AE48,"")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HISTORICOS'!AF6)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RESUMO'!AF6</f>
        <v/>
      </c>
      <c r="N33" s="139">
        <f>MAX(0,M33-M32)</f>
        <v/>
      </c>
      <c r="O33" s="138">
        <f>IF(B33&lt;='VALOR POR PL'!$P$5,'CP RESUMO'!AF48,"")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HISTORICOS'!AG6)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RESUMO'!AG6</f>
        <v/>
      </c>
      <c r="N34" s="139">
        <f>MAX(0,M34-M33)</f>
        <v/>
      </c>
      <c r="O34" s="138">
        <f>IF(B34&lt;='VALOR POR PL'!$P$5,'CP RESUMO'!AG48,"")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HISTORICOS'!AH6)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RESUMO'!AH6</f>
        <v/>
      </c>
      <c r="N35" s="139">
        <f>MAX(0,M35-M34)</f>
        <v/>
      </c>
      <c r="O35" s="138">
        <f>IF(B35&lt;='VALOR POR PL'!$P$5,'CP RESUMO'!AH48,"")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HISTORICOS'!AI6)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RESUMO'!AI6</f>
        <v/>
      </c>
      <c r="N36" s="139">
        <f>MAX(0,M36-M35)</f>
        <v/>
      </c>
      <c r="O36" s="138">
        <f>IF(B36&lt;='VALOR POR PL'!$P$5,'CP RESUMO'!AI48,"")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HISTORICOS'!AJ6)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RESUMO'!AJ6</f>
        <v/>
      </c>
      <c r="N37" s="139">
        <f>MAX(0,M37-M36)</f>
        <v/>
      </c>
      <c r="O37" s="138">
        <f>IF(B37&lt;='VALOR POR PL'!$P$5,'CP RESUMO'!AJ48,"")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HISTORICOS'!AK6)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RESUMO'!AK6</f>
        <v/>
      </c>
      <c r="N38" s="139">
        <f>MAX(0,M38-M37)</f>
        <v/>
      </c>
      <c r="O38" s="138">
        <f>IF(B38&lt;='VALOR POR PL'!$P$5,'CP RESUMO'!AK48,"")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HISTORICOS'!AL6)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RESUMO'!AL6</f>
        <v/>
      </c>
      <c r="N39" s="139">
        <f>MAX(0,M39-M38)</f>
        <v/>
      </c>
      <c r="O39" s="138">
        <f>IF(B39&lt;='VALOR POR PL'!$P$5,'CP RESUMO'!AL48,"")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HISTORICOS'!AM6)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RESUMO'!AM6</f>
        <v/>
      </c>
      <c r="N40" s="139">
        <f>MAX(0,M40-M39)</f>
        <v/>
      </c>
      <c r="O40" s="138">
        <f>IF(B40&lt;='VALOR POR PL'!$P$5,'CP RESUMO'!AM48,"")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HISTORICOS'!AN6)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RESUMO'!AN6</f>
        <v/>
      </c>
      <c r="N41" s="139">
        <f>MAX(0,M41-M40)</f>
        <v/>
      </c>
      <c r="O41" s="138">
        <f>IF(B41&lt;='VALOR POR PL'!$P$5,'CP RESUMO'!AN48,"")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HISTORICOS'!AO6)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RESUMO'!AO6</f>
        <v/>
      </c>
      <c r="N42" s="139">
        <f>MAX(0,M42-M41)</f>
        <v/>
      </c>
      <c r="O42" s="138">
        <f>IF(B42&lt;='VALOR POR PL'!$P$5,'CP RESUMO'!AO48,"")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HISTORICOS'!AP6)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RESUMO'!AP6</f>
        <v/>
      </c>
      <c r="N43" s="139">
        <f>MAX(0,M43-M42)</f>
        <v/>
      </c>
      <c r="O43" s="138">
        <f>IF(B43&lt;='VALOR POR PL'!$P$5,'CP RESUMO'!AP48,"")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HISTORICOS'!AQ6)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/>
      <c r="L44" s="49">
        <f>C44/IF(B44&lt;='VALOR POR PL'!$P$5,IFERROR(INDEX('"INCC-FGV"'!$B$2:$B$800,MATCH(B44,'"INCC-FGV"'!$A$2:$A$800,0)),$K$2),$K$2)</f>
        <v/>
      </c>
      <c r="M44" s="138">
        <f>'CP RESUMO'!AQ6</f>
        <v/>
      </c>
      <c r="N44" s="139">
        <f>MAX(0,M44-M43)</f>
        <v/>
      </c>
      <c r="O44" s="138">
        <f>IF(B44&lt;='VALOR POR PL'!$P$5,'CP RESUMO'!AQ48,"")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HISTORICOS'!AR6)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/>
      <c r="L45" s="49">
        <f>C45/IF(B45&lt;='VALOR POR PL'!$P$5,IFERROR(INDEX('"INCC-FGV"'!$B$2:$B$800,MATCH(B45,'"INCC-FGV"'!$A$2:$A$800,0)),$K$2),$K$2)</f>
        <v/>
      </c>
      <c r="M45" s="138">
        <f>'CP RESUMO'!AR6</f>
        <v/>
      </c>
      <c r="N45" s="139">
        <f>MAX(0,M45-M44)</f>
        <v/>
      </c>
      <c r="O45" s="138">
        <f>IF(B45&lt;='VALOR POR PL'!$P$5,'CP RESUMO'!AR48,"")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HISTORICOS'!AS6)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RESUMO'!AS6</f>
        <v/>
      </c>
      <c r="N46" s="139">
        <f>MAX(0,M46-M45)</f>
        <v/>
      </c>
      <c r="O46" s="138">
        <f>IF(B46&lt;='VALOR POR PL'!$P$5,'CP RESUMO'!AS48,"")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HISTORICOS'!AT6)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RESUMO'!AT6</f>
        <v/>
      </c>
      <c r="N47" s="139">
        <f>MAX(0,M47-M46)</f>
        <v/>
      </c>
      <c r="O47" s="138">
        <f>IF(B47&lt;='VALOR POR PL'!$P$5,'CP RESUMO'!AT48,"")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HISTORICOS'!AU6)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RESUMO'!AU6</f>
        <v/>
      </c>
      <c r="N48" s="139">
        <f>MAX(0,M48-M47)</f>
        <v/>
      </c>
      <c r="O48" s="138">
        <f>IF(B48&lt;='VALOR POR PL'!$P$5,'CP RESUMO'!AU48,"")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HISTORICOS'!AV6)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RESUMO'!AV6</f>
        <v/>
      </c>
      <c r="N49" s="139">
        <f>MAX(0,M49-M48)</f>
        <v/>
      </c>
      <c r="O49" s="138">
        <f>IF(B49&lt;='VALOR POR PL'!$P$5,'CP RESUMO'!AV48,"")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HISTORICOS'!AW6)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RESUMO'!AW6</f>
        <v/>
      </c>
      <c r="N50" s="139">
        <f>MAX(0,M50-M49)</f>
        <v/>
      </c>
      <c r="O50" s="138">
        <f>IF(B50&lt;='VALOR POR PL'!$P$5,'CP RESUMO'!AW48,"")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HISTORICOS'!AX6)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RESUMO'!AX6</f>
        <v/>
      </c>
      <c r="N51" s="139">
        <f>MAX(0,M51-M50)</f>
        <v/>
      </c>
      <c r="O51" s="138">
        <f>IF(B51&lt;='VALOR POR PL'!$P$5,'CP RESUMO'!AX48,"")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HISTORICOS'!AY6)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RESUMO'!AY6</f>
        <v/>
      </c>
      <c r="N52" s="139">
        <f>MAX(0,M52-M51)</f>
        <v/>
      </c>
      <c r="O52" s="138">
        <f>IF(B52&lt;='VALOR POR PL'!$P$5,'CP RESUMO'!AY48,"")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HISTORICOS'!AZ6)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RESUMO'!AZ6</f>
        <v/>
      </c>
      <c r="N53" s="139">
        <f>MAX(0,M53-M52)</f>
        <v/>
      </c>
      <c r="O53" s="138">
        <f>IF(B53&lt;='VALOR POR PL'!$P$5,'CP RESUMO'!AZ48,"")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HISTORICOS'!BA6)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RESUMO'!BA6</f>
        <v/>
      </c>
      <c r="N54" s="139">
        <f>MAX(0,M54-M53)</f>
        <v/>
      </c>
      <c r="O54" s="138">
        <f>IF(B54&lt;='VALOR POR PL'!$P$5,'CP RESUMO'!BA48,"")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HISTORICOS'!BB6)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RESUMO'!BB6</f>
        <v/>
      </c>
      <c r="N55" s="139">
        <f>MAX(0,M55-M54)</f>
        <v/>
      </c>
      <c r="O55" s="138">
        <f>IF(B55&lt;='VALOR POR PL'!$P$5,'CP RESUMO'!BB48,"")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HISTORICOS'!BC6)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RESUMO'!BC6</f>
        <v/>
      </c>
      <c r="N56" s="139">
        <f>MAX(0,M56-M55)</f>
        <v/>
      </c>
      <c r="O56" s="138">
        <f>IF(B56&lt;='VALOR POR PL'!$P$5,'CP RESUMO'!BC48,"")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HISTORICOS'!BD6)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RESUMO'!BD6</f>
        <v/>
      </c>
      <c r="N57" s="139">
        <f>MAX(0,M57-M56)</f>
        <v/>
      </c>
      <c r="O57" s="138">
        <f>IF(B57&lt;='VALOR POR PL'!$P$5,'CP RESUMO'!BD48,"")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HISTORICOS'!BE6)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RESUMO'!BE6</f>
        <v/>
      </c>
      <c r="N58" s="139">
        <f>MAX(0,M58-M57)</f>
        <v/>
      </c>
      <c r="O58" s="138">
        <f>IF(B58&lt;='VALOR POR PL'!$P$5,'CP RESUMO'!BE48,"")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HISTORICOS'!BF6)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RESUMO'!BF6</f>
        <v/>
      </c>
      <c r="N59" s="139">
        <f>MAX(0,M59-M58)</f>
        <v/>
      </c>
      <c r="O59" s="138">
        <f>IF(B59&lt;='VALOR POR PL'!$P$5,'CP RESUMO'!BF48,"")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HISTORICOS'!BG6)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RESUMO'!BG6</f>
        <v/>
      </c>
      <c r="N60" s="139">
        <f>MAX(0,M60-M59)</f>
        <v/>
      </c>
      <c r="O60" s="138">
        <f>IF(B60&lt;='VALOR POR PL'!$P$5,'CP RESUMO'!BG48,"")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HISTORICOS'!BH6)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RESUMO'!BH6</f>
        <v/>
      </c>
      <c r="N61" s="139">
        <f>MAX(0,M61-M60)</f>
        <v/>
      </c>
      <c r="O61" s="138">
        <f>IF(B61&lt;='VALOR POR PL'!$P$5,'CP RESUMO'!BH48,"")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HISTORICOS'!BI6)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RESUMO'!BI6</f>
        <v/>
      </c>
      <c r="N62" s="139">
        <f>MAX(0,M62-M61)</f>
        <v/>
      </c>
      <c r="O62" s="138">
        <f>IF(B62&lt;='VALOR POR PL'!$P$5,'CP RESUMO'!BI48,"")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HISTORICOS'!BJ6)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RESUMO'!BJ6</f>
        <v/>
      </c>
      <c r="N63" s="139">
        <f>MAX(0,M63-M62)</f>
        <v/>
      </c>
      <c r="O63" s="138">
        <f>IF(B63&lt;='VALOR POR PL'!$P$5,'CP RESUMO'!BJ48,"")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HISTORICOS'!BK6)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RESUMO'!BK6</f>
        <v/>
      </c>
      <c r="N64" s="139">
        <f>MAX(0,M64-M63)</f>
        <v/>
      </c>
      <c r="O64" s="138">
        <f>IF(B64&lt;='VALOR POR PL'!$P$5,'CP RESUMO'!BK48,"")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HISTORICOS'!BL6)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RESUMO'!BL6</f>
        <v/>
      </c>
      <c r="N65" s="139">
        <f>MAX(0,M65-M64)</f>
        <v/>
      </c>
      <c r="O65" s="138">
        <f>IF(B65&lt;='VALOR POR PL'!$P$5,'CP RESUMO'!BL48,"")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HISTORICOS'!BM6)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RESUMO'!BM6</f>
        <v/>
      </c>
      <c r="N66" s="139">
        <f>MAX(0,M66-M65)</f>
        <v/>
      </c>
      <c r="O66" s="138">
        <f>IF(B66&lt;='VALOR POR PL'!$P$5,'CP RESUMO'!BM48,"")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HISTORICOS'!BN6)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RESUMO'!BN6</f>
        <v/>
      </c>
      <c r="N67" s="139">
        <f>MAX(0,M67-M66)</f>
        <v/>
      </c>
      <c r="O67" s="138">
        <f>IF(B67&lt;='VALOR POR PL'!$P$5,'CP RESUMO'!BN48,"")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HISTORICOS'!BO6)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RESUMO'!BO6</f>
        <v/>
      </c>
      <c r="N68" s="139">
        <f>MAX(0,M68-M67)</f>
        <v/>
      </c>
      <c r="O68" s="138">
        <f>IF(B68&lt;='VALOR POR PL'!$P$5,'CP RESUMO'!BO48,"")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HISTORICOS'!BP6)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RESUMO'!BP6</f>
        <v/>
      </c>
      <c r="N69" s="139">
        <f>MAX(0,M69-M68)</f>
        <v/>
      </c>
      <c r="O69" s="138">
        <f>IF(B69&lt;='VALOR POR PL'!$P$5,'CP RESUMO'!BP48,"")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HISTORICOS'!BQ6)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RESUMO'!BQ6</f>
        <v/>
      </c>
      <c r="N70" s="139">
        <f>MAX(0,M70-M69)</f>
        <v/>
      </c>
      <c r="O70" s="138">
        <f>IF(B70&lt;='VALOR POR PL'!$P$5,'CP RESUMO'!BQ48,"")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HISTORICOS'!BR6)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RESUMO'!BR6</f>
        <v/>
      </c>
      <c r="N71" s="139">
        <f>MAX(0,M71-M70)</f>
        <v/>
      </c>
      <c r="O71" s="138">
        <f>IF(B71&lt;='VALOR POR PL'!$P$5,'CP RESUMO'!BR48,"")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HISTORICOS'!BS6)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RESUMO'!BS6</f>
        <v/>
      </c>
      <c r="N72" s="139">
        <f>MAX(0,M72-M71)</f>
        <v/>
      </c>
      <c r="O72" s="138">
        <f>IF(B72&lt;='VALOR POR PL'!$P$5,'CP RESUMO'!BS48,"")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HISTORICOS'!BT6)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RESUMO'!BT6</f>
        <v/>
      </c>
      <c r="N73" s="139">
        <f>MAX(0,M73-M72)</f>
        <v/>
      </c>
      <c r="O73" s="138">
        <f>IF(B73&lt;='VALOR POR PL'!$P$5,'CP RESUMO'!BT48,"")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HISTORICOS'!BU6)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RESUMO'!BU6</f>
        <v/>
      </c>
      <c r="N74" s="139">
        <f>MAX(0,M74-M73)</f>
        <v/>
      </c>
      <c r="O74" s="138">
        <f>IF(B74&lt;='VALOR POR PL'!$P$5,'CP RESUMO'!BU48,"")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HISTORICOS'!BV6)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RESUMO'!BV6</f>
        <v/>
      </c>
      <c r="N75" s="139">
        <f>MAX(0,M75-M74)</f>
        <v/>
      </c>
      <c r="O75" s="138">
        <f>IF(B75&lt;='VALOR POR PL'!$P$5,'CP RESUMO'!BV48,"")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HISTORICOS'!BW6)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RESUMO'!BW6</f>
        <v/>
      </c>
      <c r="N76" s="139">
        <f>MAX(0,M76-M75)</f>
        <v/>
      </c>
      <c r="O76" s="138">
        <f>IF(B76&lt;='VALOR POR PL'!$P$5,'CP RESUMO'!BW48,"")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PL'!D13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HISTORICOS'!D7)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PL'!F13</f>
        <v/>
      </c>
      <c r="K5" s="60">
        <f>'VALOR POR PL'!G13</f>
        <v/>
      </c>
      <c r="L5" s="60">
        <f>'DADOS HISTORICOS'!$BZ$7</f>
        <v/>
      </c>
      <c r="M5" s="138">
        <f>'CP RESUMO'!D7</f>
        <v/>
      </c>
      <c r="N5" s="139" t="n">
        <v>0</v>
      </c>
      <c r="O5" s="138">
        <f>IF(B5&lt;='VALOR POR PL'!$P$5,'CP RESUMO'!D49,"")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HISTORICOS'!E7)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PL'!H13</f>
        <v/>
      </c>
      <c r="L6" s="49">
        <f>C6/IF(B6&lt;='VALOR POR PL'!$P$5,IFERROR(INDEX('"INCC-FGV"'!$B$2:$B$800,MATCH(B6,'"INCC-FGV"'!$A$2:$A$800,0)),$K$2),$K$2)</f>
        <v/>
      </c>
      <c r="M6" s="138">
        <f>'CP RESUMO'!E7</f>
        <v/>
      </c>
      <c r="N6" s="139">
        <f>MAX(0,M6-M5)</f>
        <v/>
      </c>
      <c r="O6" s="138">
        <f>IF(B6&lt;='VALOR POR PL'!$P$5,'CP RESUMO'!E49,"")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HISTORICOS'!F7)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RESUMO'!F7</f>
        <v/>
      </c>
      <c r="N7" s="139">
        <f>MAX(0,M7-M6)</f>
        <v/>
      </c>
      <c r="O7" s="138">
        <f>IF(B7&lt;='VALOR POR PL'!$P$5,'CP RESUMO'!F49,"")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HISTORICOS'!G7)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RESUMO'!G7</f>
        <v/>
      </c>
      <c r="N8" s="139">
        <f>MAX(0,M8-M7)</f>
        <v/>
      </c>
      <c r="O8" s="138">
        <f>IF(B8&lt;='VALOR POR PL'!$P$5,'CP RESUMO'!G49,"")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HISTORICOS'!H7)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RESUMO'!H7</f>
        <v/>
      </c>
      <c r="N9" s="139">
        <f>MAX(0,M9-M8)</f>
        <v/>
      </c>
      <c r="O9" s="138">
        <f>IF(B9&lt;='VALOR POR PL'!$P$5,'CP RESUMO'!H49,"")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HISTORICOS'!I7)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RESUMO'!I7</f>
        <v/>
      </c>
      <c r="N10" s="139">
        <f>MAX(0,M10-M9)</f>
        <v/>
      </c>
      <c r="O10" s="138">
        <f>IF(B10&lt;='VALOR POR PL'!$P$5,'CP RESUMO'!I49,"")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HISTORICOS'!J7)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RESUMO'!J7</f>
        <v/>
      </c>
      <c r="N11" s="139">
        <f>MAX(0,M11-M10)</f>
        <v/>
      </c>
      <c r="O11" s="138">
        <f>IF(B11&lt;='VALOR POR PL'!$P$5,'CP RESUMO'!J49,"")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HISTORICOS'!K7)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RESUMO'!K7</f>
        <v/>
      </c>
      <c r="N12" s="139">
        <f>MAX(0,M12-M11)</f>
        <v/>
      </c>
      <c r="O12" s="138">
        <f>IF(B12&lt;='VALOR POR PL'!$P$5,'CP RESUMO'!K49,"")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HISTORICOS'!L7)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PL'!I13</f>
        <v/>
      </c>
      <c r="L13" s="49">
        <f>C13/IF(B13&lt;='VALOR POR PL'!$P$5,IFERROR(INDEX('"INCC-FGV"'!$B$2:$B$800,MATCH(B13,'"INCC-FGV"'!$A$2:$A$800,0)),$K$2),$K$2)</f>
        <v/>
      </c>
      <c r="M13" s="138">
        <f>'CP RESUMO'!L7</f>
        <v/>
      </c>
      <c r="N13" s="139">
        <f>MAX(0,M13-M12)</f>
        <v/>
      </c>
      <c r="O13" s="138">
        <f>IF(B13&lt;='VALOR POR PL'!$P$5,'CP RESUMO'!L49,"")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HISTORICOS'!M7)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RESUMO'!$D$49:$BW$49,MATCH('VALOR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RESUMO'!M7</f>
        <v/>
      </c>
      <c r="N14" s="139">
        <f>MAX(0,M14-M13)</f>
        <v/>
      </c>
      <c r="O14" s="138">
        <f>IF(B14&lt;='VALOR POR PL'!$P$5,'CP RESUMO'!M49,"")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HISTORICOS'!N7)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RESUMO'!N7</f>
        <v/>
      </c>
      <c r="N15" s="139">
        <f>MAX(0,M15-M14)</f>
        <v/>
      </c>
      <c r="O15" s="138">
        <f>IF(B15&lt;='VALOR POR PL'!$P$5,'CP RESUMO'!N49,"")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HISTORICOS'!O7)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RESUMO'!O7</f>
        <v/>
      </c>
      <c r="N16" s="139">
        <f>MAX(0,M16-M15)</f>
        <v/>
      </c>
      <c r="O16" s="138">
        <f>IF(B16&lt;='VALOR POR PL'!$P$5,'CP RESUMO'!O49,"")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HISTORICOS'!P7)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RESUMO'!P7</f>
        <v/>
      </c>
      <c r="N17" s="139">
        <f>MAX(0,M17-M16)</f>
        <v/>
      </c>
      <c r="O17" s="138">
        <f>IF(B17&lt;='VALOR POR PL'!$P$5,'CP RESUMO'!P49,"")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HISTORICOS'!Q7)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RESUMO'!Q7</f>
        <v/>
      </c>
      <c r="N18" s="139">
        <f>MAX(0,M18-M17)</f>
        <v/>
      </c>
      <c r="O18" s="138">
        <f>IF(B18&lt;='VALOR POR PL'!$P$5,'CP RESUMO'!Q49,"")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HISTORICOS'!R7)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RESUMO'!R7</f>
        <v/>
      </c>
      <c r="N19" s="139">
        <f>MAX(0,M19-M18)</f>
        <v/>
      </c>
      <c r="O19" s="138">
        <f>IF(B19&lt;='VALOR POR PL'!$P$5,'CP RESUMO'!R49,"")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HISTORICOS'!S7)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RESUMO'!S7</f>
        <v/>
      </c>
      <c r="N20" s="139">
        <f>MAX(0,M20-M19)</f>
        <v/>
      </c>
      <c r="O20" s="138">
        <f>IF(B20&lt;='VALOR POR PL'!$P$5,'CP RESUMO'!S49,"")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HISTORICOS'!T7)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RESUMO'!T7</f>
        <v/>
      </c>
      <c r="N21" s="139">
        <f>MAX(0,M21-M20)</f>
        <v/>
      </c>
      <c r="O21" s="138">
        <f>IF(B21&lt;='VALOR POR PL'!$P$5,'CP RESUMO'!T49,"")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HISTORICOS'!U7)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RESUMO'!U7</f>
        <v/>
      </c>
      <c r="N22" s="139">
        <f>MAX(0,M22-M21)</f>
        <v/>
      </c>
      <c r="O22" s="138">
        <f>IF(B22&lt;='VALOR POR PL'!$P$5,'CP RESUMO'!U49,"")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HISTORICOS'!V7)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RESUMO'!V7</f>
        <v/>
      </c>
      <c r="N23" s="139">
        <f>MAX(0,M23-M22)</f>
        <v/>
      </c>
      <c r="O23" s="138">
        <f>IF(B23&lt;='VALOR POR PL'!$P$5,'CP RESUMO'!V49,"")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HISTORICOS'!W7)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RESUMO'!W7</f>
        <v/>
      </c>
      <c r="N24" s="139">
        <f>MAX(0,M24-M23)</f>
        <v/>
      </c>
      <c r="O24" s="138">
        <f>IF(B24&lt;='VALOR POR PL'!$P$5,'CP RESUMO'!W49,"")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HISTORICOS'!X7)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RESUMO'!X7</f>
        <v/>
      </c>
      <c r="N25" s="139">
        <f>MAX(0,M25-M24)</f>
        <v/>
      </c>
      <c r="O25" s="138">
        <f>IF(B25&lt;='VALOR POR PL'!$P$5,'CP RESUMO'!X49,"")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HISTORICOS'!Y7)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>
        <v>924.76</v>
      </c>
      <c r="L26" s="49">
        <f>C26/IF(B26&lt;='VALOR POR PL'!$P$5,IFERROR(INDEX('"INCC-FGV"'!$B$2:$B$800,MATCH(B26,'"INCC-FGV"'!$A$2:$A$800,0)),$K$2),$K$2)</f>
        <v/>
      </c>
      <c r="M26" s="138">
        <f>'CP RESUMO'!Y7</f>
        <v/>
      </c>
      <c r="N26" s="139">
        <f>MAX(0,M26-M25)</f>
        <v/>
      </c>
      <c r="O26" s="138">
        <f>IF(B26&lt;='VALOR POR PL'!$P$5,'CP RESUMO'!Y49,"")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HISTORICOS'!Z7)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RESUMO'!Z7</f>
        <v/>
      </c>
      <c r="N27" s="139">
        <f>MAX(0,M27-M26)</f>
        <v/>
      </c>
      <c r="O27" s="138">
        <f>IF(B27&lt;='VALOR POR PL'!$P$5,'CP RESUMO'!Z49,"")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HISTORICOS'!AA7)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RESUMO'!AA7</f>
        <v/>
      </c>
      <c r="N28" s="139">
        <f>MAX(0,M28-M27)</f>
        <v/>
      </c>
      <c r="O28" s="138">
        <f>IF(B28&lt;='VALOR POR PL'!$P$5,'CP RESUMO'!AA49,"")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HISTORICOS'!AB7)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924.76</v>
      </c>
      <c r="L29" s="49">
        <f>C29/IF(B29&lt;='VALOR POR PL'!$P$5,IFERROR(INDEX('"INCC-FGV"'!$B$2:$B$800,MATCH(B29,'"INCC-FGV"'!$A$2:$A$800,0)),$K$2),$K$2)</f>
        <v/>
      </c>
      <c r="M29" s="138">
        <f>'CP RESUMO'!AB7</f>
        <v/>
      </c>
      <c r="N29" s="139">
        <f>MAX(0,M29-M28)</f>
        <v/>
      </c>
      <c r="O29" s="138">
        <f>IF(B29&lt;='VALOR POR PL'!$P$5,'CP RESUMO'!AB49,"")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HISTORICOS'!AC7)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RESUMO'!AC7</f>
        <v/>
      </c>
      <c r="N30" s="139">
        <f>MAX(0,M30-M29)</f>
        <v/>
      </c>
      <c r="O30" s="138">
        <f>IF(B30&lt;='VALOR POR PL'!$P$5,'CP RESUMO'!AC49,"")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HISTORICOS'!AD7)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RESUMO'!AD7</f>
        <v/>
      </c>
      <c r="N31" s="139">
        <f>MAX(0,M31-M30)</f>
        <v/>
      </c>
      <c r="O31" s="138">
        <f>IF(B31&lt;='VALOR POR PL'!$P$5,'CP RESUMO'!AD49,"")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HISTORICOS'!AE7)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924.76</v>
      </c>
      <c r="L32" s="49">
        <f>C32/IF(B32&lt;='VALOR POR PL'!$P$5,IFERROR(INDEX('"INCC-FGV"'!$B$2:$B$800,MATCH(B32,'"INCC-FGV"'!$A$2:$A$800,0)),$K$2),$K$2)</f>
        <v/>
      </c>
      <c r="M32" s="138">
        <f>'CP RESUMO'!AE7</f>
        <v/>
      </c>
      <c r="N32" s="139">
        <f>MAX(0,M32-M31)</f>
        <v/>
      </c>
      <c r="O32" s="138">
        <f>IF(B32&lt;='VALOR POR PL'!$P$5,'CP RESUMO'!AE49,"")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HISTORICOS'!AF7)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RESUMO'!AF7</f>
        <v/>
      </c>
      <c r="N33" s="139">
        <f>MAX(0,M33-M32)</f>
        <v/>
      </c>
      <c r="O33" s="138">
        <f>IF(B33&lt;='VALOR POR PL'!$P$5,'CP RESUMO'!AF49,"")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HISTORICOS'!AG7)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RESUMO'!AG7</f>
        <v/>
      </c>
      <c r="N34" s="139">
        <f>MAX(0,M34-M33)</f>
        <v/>
      </c>
      <c r="O34" s="138">
        <f>IF(B34&lt;='VALOR POR PL'!$P$5,'CP RESUMO'!AG49,"")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HISTORICOS'!AH7)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924.76</v>
      </c>
      <c r="L35" s="49">
        <f>C35/IF(B35&lt;='VALOR POR PL'!$P$5,IFERROR(INDEX('"INCC-FGV"'!$B$2:$B$800,MATCH(B35,'"INCC-FGV"'!$A$2:$A$800,0)),$K$2),$K$2)</f>
        <v/>
      </c>
      <c r="M35" s="138">
        <f>'CP RESUMO'!AH7</f>
        <v/>
      </c>
      <c r="N35" s="139">
        <f>MAX(0,M35-M34)</f>
        <v/>
      </c>
      <c r="O35" s="138">
        <f>IF(B35&lt;='VALOR POR PL'!$P$5,'CP RESUMO'!AH49,"")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HISTORICOS'!AI7)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RESUMO'!AI7</f>
        <v/>
      </c>
      <c r="N36" s="139">
        <f>MAX(0,M36-M35)</f>
        <v/>
      </c>
      <c r="O36" s="138">
        <f>IF(B36&lt;='VALOR POR PL'!$P$5,'CP RESUMO'!AI49,"")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HISTORICOS'!AJ7)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RESUMO'!AJ7</f>
        <v/>
      </c>
      <c r="N37" s="139">
        <f>MAX(0,M37-M36)</f>
        <v/>
      </c>
      <c r="O37" s="138">
        <f>IF(B37&lt;='VALOR POR PL'!$P$5,'CP RESUMO'!AJ49,"")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HISTORICOS'!AK7)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924.76</v>
      </c>
      <c r="L38" s="49">
        <f>C38/IF(B38&lt;='VALOR POR PL'!$P$5,IFERROR(INDEX('"INCC-FGV"'!$B$2:$B$800,MATCH(B38,'"INCC-FGV"'!$A$2:$A$800,0)),$K$2),$K$2)</f>
        <v/>
      </c>
      <c r="M38" s="138">
        <f>'CP RESUMO'!AK7</f>
        <v/>
      </c>
      <c r="N38" s="139">
        <f>MAX(0,M38-M37)</f>
        <v/>
      </c>
      <c r="O38" s="138">
        <f>IF(B38&lt;='VALOR POR PL'!$P$5,'CP RESUMO'!AK49,"")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HISTORICOS'!AL7)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RESUMO'!AL7</f>
        <v/>
      </c>
      <c r="N39" s="139">
        <f>MAX(0,M39-M38)</f>
        <v/>
      </c>
      <c r="O39" s="138">
        <f>IF(B39&lt;='VALOR POR PL'!$P$5,'CP RESUMO'!AL49,"")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HISTORICOS'!AM7)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RESUMO'!AM7</f>
        <v/>
      </c>
      <c r="N40" s="139">
        <f>MAX(0,M40-M39)</f>
        <v/>
      </c>
      <c r="O40" s="138">
        <f>IF(B40&lt;='VALOR POR PL'!$P$5,'CP RESUMO'!AM49,"")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HISTORICOS'!AN7)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RESUMO'!AN7</f>
        <v/>
      </c>
      <c r="N41" s="139">
        <f>MAX(0,M41-M40)</f>
        <v/>
      </c>
      <c r="O41" s="138">
        <f>IF(B41&lt;='VALOR POR PL'!$P$5,'CP RESUMO'!AN49,"")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HISTORICOS'!AO7)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RESUMO'!AO7</f>
        <v/>
      </c>
      <c r="N42" s="139">
        <f>MAX(0,M42-M41)</f>
        <v/>
      </c>
      <c r="O42" s="138">
        <f>IF(B42&lt;='VALOR POR PL'!$P$5,'CP RESUMO'!AO49,"")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HISTORICOS'!AP7)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RESUMO'!AP7</f>
        <v/>
      </c>
      <c r="N43" s="139">
        <f>MAX(0,M43-M42)</f>
        <v/>
      </c>
      <c r="O43" s="138">
        <f>IF(B43&lt;='VALOR POR PL'!$P$5,'CP RESUMO'!AP49,"")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HISTORICOS'!AQ7)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/>
      <c r="L44" s="49">
        <f>C44/IF(B44&lt;='VALOR POR PL'!$P$5,IFERROR(INDEX('"INCC-FGV"'!$B$2:$B$800,MATCH(B44,'"INCC-FGV"'!$A$2:$A$800,0)),$K$2),$K$2)</f>
        <v/>
      </c>
      <c r="M44" s="138">
        <f>'CP RESUMO'!AQ7</f>
        <v/>
      </c>
      <c r="N44" s="139">
        <f>MAX(0,M44-M43)</f>
        <v/>
      </c>
      <c r="O44" s="138">
        <f>IF(B44&lt;='VALOR POR PL'!$P$5,'CP RESUMO'!AQ49,"")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HISTORICOS'!AR7)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/>
      <c r="L45" s="49">
        <f>C45/IF(B45&lt;='VALOR POR PL'!$P$5,IFERROR(INDEX('"INCC-FGV"'!$B$2:$B$800,MATCH(B45,'"INCC-FGV"'!$A$2:$A$800,0)),$K$2),$K$2)</f>
        <v/>
      </c>
      <c r="M45" s="138">
        <f>'CP RESUMO'!AR7</f>
        <v/>
      </c>
      <c r="N45" s="139">
        <f>MAX(0,M45-M44)</f>
        <v/>
      </c>
      <c r="O45" s="138">
        <f>IF(B45&lt;='VALOR POR PL'!$P$5,'CP RESUMO'!AR49,"")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HISTORICOS'!AS7)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RESUMO'!AS7</f>
        <v/>
      </c>
      <c r="N46" s="139">
        <f>MAX(0,M46-M45)</f>
        <v/>
      </c>
      <c r="O46" s="138">
        <f>IF(B46&lt;='VALOR POR PL'!$P$5,'CP RESUMO'!AS49,"")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HISTORICOS'!AT7)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RESUMO'!AT7</f>
        <v/>
      </c>
      <c r="N47" s="139">
        <f>MAX(0,M47-M46)</f>
        <v/>
      </c>
      <c r="O47" s="138">
        <f>IF(B47&lt;='VALOR POR PL'!$P$5,'CP RESUMO'!AT49,"")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HISTORICOS'!AU7)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RESUMO'!AU7</f>
        <v/>
      </c>
      <c r="N48" s="139">
        <f>MAX(0,M48-M47)</f>
        <v/>
      </c>
      <c r="O48" s="138">
        <f>IF(B48&lt;='VALOR POR PL'!$P$5,'CP RESUMO'!AU49,"")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HISTORICOS'!AV7)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RESUMO'!AV7</f>
        <v/>
      </c>
      <c r="N49" s="139">
        <f>MAX(0,M49-M48)</f>
        <v/>
      </c>
      <c r="O49" s="138">
        <f>IF(B49&lt;='VALOR POR PL'!$P$5,'CP RESUMO'!AV49,"")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HISTORICOS'!AW7)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RESUMO'!AW7</f>
        <v/>
      </c>
      <c r="N50" s="139">
        <f>MAX(0,M50-M49)</f>
        <v/>
      </c>
      <c r="O50" s="138">
        <f>IF(B50&lt;='VALOR POR PL'!$P$5,'CP RESUMO'!AW49,"")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HISTORICOS'!AX7)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15961.4</v>
      </c>
      <c r="L51" s="49">
        <f>C51/IF(B51&lt;='VALOR POR PL'!$P$5,IFERROR(INDEX('"INCC-FGV"'!$B$2:$B$800,MATCH(B51,'"INCC-FGV"'!$A$2:$A$800,0)),$K$2),$K$2)</f>
        <v/>
      </c>
      <c r="M51" s="138">
        <f>'CP RESUMO'!AX7</f>
        <v/>
      </c>
      <c r="N51" s="139">
        <f>MAX(0,M51-M50)</f>
        <v/>
      </c>
      <c r="O51" s="138">
        <f>IF(B51&lt;='VALOR POR PL'!$P$5,'CP RESUMO'!AX49,"")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HISTORICOS'!AY7)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24939.69</v>
      </c>
      <c r="L52" s="49">
        <f>C52/IF(B52&lt;='VALOR POR PL'!$P$5,IFERROR(INDEX('"INCC-FGV"'!$B$2:$B$800,MATCH(B52,'"INCC-FGV"'!$A$2:$A$800,0)),$K$2),$K$2)</f>
        <v/>
      </c>
      <c r="M52" s="138">
        <f>'CP RESUMO'!AY7</f>
        <v/>
      </c>
      <c r="N52" s="139">
        <f>MAX(0,M52-M51)</f>
        <v/>
      </c>
      <c r="O52" s="138">
        <f>IF(B52&lt;='VALOR POR PL'!$P$5,'CP RESUMO'!AY49,"")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HISTORICOS'!AZ7)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299.28</v>
      </c>
      <c r="L53" s="49">
        <f>C53/IF(B53&lt;='VALOR POR PL'!$P$5,IFERROR(INDEX('"INCC-FGV"'!$B$2:$B$800,MATCH(B53,'"INCC-FGV"'!$A$2:$A$800,0)),$K$2),$K$2)</f>
        <v/>
      </c>
      <c r="M53" s="138">
        <f>'CP RESUMO'!AZ7</f>
        <v/>
      </c>
      <c r="N53" s="139">
        <f>MAX(0,M53-M52)</f>
        <v/>
      </c>
      <c r="O53" s="138">
        <f>IF(B53&lt;='VALOR POR PL'!$P$5,'CP RESUMO'!AZ49,"")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HISTORICOS'!BA7)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44891.44</v>
      </c>
      <c r="L54" s="49">
        <f>C54/IF(B54&lt;='VALOR POR PL'!$P$5,IFERROR(INDEX('"INCC-FGV"'!$B$2:$B$800,MATCH(B54,'"INCC-FGV"'!$A$2:$A$800,0)),$K$2),$K$2)</f>
        <v/>
      </c>
      <c r="M54" s="138">
        <f>'CP RESUMO'!BA7</f>
        <v/>
      </c>
      <c r="N54" s="139">
        <f>MAX(0,M54-M53)</f>
        <v/>
      </c>
      <c r="O54" s="138">
        <f>IF(B54&lt;='VALOR POR PL'!$P$5,'CP RESUMO'!BA49,"")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HISTORICOS'!BB7)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60501.89</v>
      </c>
      <c r="L55" s="49">
        <f>C55/IF(B55&lt;='VALOR POR PL'!$P$5,IFERROR(INDEX('"INCC-FGV"'!$B$2:$B$800,MATCH(B55,'"INCC-FGV"'!$A$2:$A$800,0)),$K$2),$K$2)</f>
        <v/>
      </c>
      <c r="M55" s="138">
        <f>'CP RESUMO'!BB7</f>
        <v/>
      </c>
      <c r="N55" s="139">
        <f>MAX(0,M55-M54)</f>
        <v/>
      </c>
      <c r="O55" s="138">
        <f>IF(B55&lt;='VALOR POR PL'!$P$5,'CP RESUMO'!BB49,"")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HISTORICOS'!BC7)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RESUMO'!BC7</f>
        <v/>
      </c>
      <c r="N56" s="139">
        <f>MAX(0,M56-M55)</f>
        <v/>
      </c>
      <c r="O56" s="138">
        <f>IF(B56&lt;='VALOR POR PL'!$P$5,'CP RESUMO'!BC49,"")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HISTORICOS'!BD7)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RESUMO'!BD7</f>
        <v/>
      </c>
      <c r="N57" s="139">
        <f>MAX(0,M57-M56)</f>
        <v/>
      </c>
      <c r="O57" s="138">
        <f>IF(B57&lt;='VALOR POR PL'!$P$5,'CP RESUMO'!BD49,"")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HISTORICOS'!BE7)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RESUMO'!BE7</f>
        <v/>
      </c>
      <c r="N58" s="139">
        <f>MAX(0,M58-M57)</f>
        <v/>
      </c>
      <c r="O58" s="138">
        <f>IF(B58&lt;='VALOR POR PL'!$P$5,'CP RESUMO'!BE49,"")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HISTORICOS'!BF7)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RESUMO'!BF7</f>
        <v/>
      </c>
      <c r="N59" s="139">
        <f>MAX(0,M59-M58)</f>
        <v/>
      </c>
      <c r="O59" s="138">
        <f>IF(B59&lt;='VALOR POR PL'!$P$5,'CP RESUMO'!BF49,"")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HISTORICOS'!BG7)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RESUMO'!BG7</f>
        <v/>
      </c>
      <c r="N60" s="139">
        <f>MAX(0,M60-M59)</f>
        <v/>
      </c>
      <c r="O60" s="138">
        <f>IF(B60&lt;='VALOR POR PL'!$P$5,'CP RESUMO'!BG49,"")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HISTORICOS'!BH7)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RESUMO'!BH7</f>
        <v/>
      </c>
      <c r="N61" s="139">
        <f>MAX(0,M61-M60)</f>
        <v/>
      </c>
      <c r="O61" s="138">
        <f>IF(B61&lt;='VALOR POR PL'!$P$5,'CP RESUMO'!BH49,"")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HISTORICOS'!BI7)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RESUMO'!BI7</f>
        <v/>
      </c>
      <c r="N62" s="139">
        <f>MAX(0,M62-M61)</f>
        <v/>
      </c>
      <c r="O62" s="138">
        <f>IF(B62&lt;='VALOR POR PL'!$P$5,'CP RESUMO'!BI49,"")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HISTORICOS'!BJ7)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RESUMO'!BJ7</f>
        <v/>
      </c>
      <c r="N63" s="139">
        <f>MAX(0,M63-M62)</f>
        <v/>
      </c>
      <c r="O63" s="138">
        <f>IF(B63&lt;='VALOR POR PL'!$P$5,'CP RESUMO'!BJ49,"")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HISTORICOS'!BK7)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RESUMO'!BK7</f>
        <v/>
      </c>
      <c r="N64" s="139">
        <f>MAX(0,M64-M63)</f>
        <v/>
      </c>
      <c r="O64" s="138">
        <f>IF(B64&lt;='VALOR POR PL'!$P$5,'CP RESUMO'!BK49,"")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HISTORICOS'!BL7)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RESUMO'!BL7</f>
        <v/>
      </c>
      <c r="N65" s="139">
        <f>MAX(0,M65-M64)</f>
        <v/>
      </c>
      <c r="O65" s="138">
        <f>IF(B65&lt;='VALOR POR PL'!$P$5,'CP RESUMO'!BL49,"")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HISTORICOS'!BM7)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RESUMO'!BM7</f>
        <v/>
      </c>
      <c r="N66" s="139">
        <f>MAX(0,M66-M65)</f>
        <v/>
      </c>
      <c r="O66" s="138">
        <f>IF(B66&lt;='VALOR POR PL'!$P$5,'CP RESUMO'!BM49,"")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HISTORICOS'!BN7)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RESUMO'!BN7</f>
        <v/>
      </c>
      <c r="N67" s="139">
        <f>MAX(0,M67-M66)</f>
        <v/>
      </c>
      <c r="O67" s="138">
        <f>IF(B67&lt;='VALOR POR PL'!$P$5,'CP RESUMO'!BN49,"")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HISTORICOS'!BO7)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RESUMO'!BO7</f>
        <v/>
      </c>
      <c r="N68" s="139">
        <f>MAX(0,M68-M67)</f>
        <v/>
      </c>
      <c r="O68" s="138">
        <f>IF(B68&lt;='VALOR POR PL'!$P$5,'CP RESUMO'!BO49,"")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HISTORICOS'!BP7)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RESUMO'!BP7</f>
        <v/>
      </c>
      <c r="N69" s="139">
        <f>MAX(0,M69-M68)</f>
        <v/>
      </c>
      <c r="O69" s="138">
        <f>IF(B69&lt;='VALOR POR PL'!$P$5,'CP RESUMO'!BP49,"")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HISTORICOS'!BQ7)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RESUMO'!BQ7</f>
        <v/>
      </c>
      <c r="N70" s="139">
        <f>MAX(0,M70-M69)</f>
        <v/>
      </c>
      <c r="O70" s="138">
        <f>IF(B70&lt;='VALOR POR PL'!$P$5,'CP RESUMO'!BQ49,"")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HISTORICOS'!BR7)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RESUMO'!BR7</f>
        <v/>
      </c>
      <c r="N71" s="139">
        <f>MAX(0,M71-M70)</f>
        <v/>
      </c>
      <c r="O71" s="138">
        <f>IF(B71&lt;='VALOR POR PL'!$P$5,'CP RESUMO'!BR49,"")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HISTORICOS'!BS7)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RESUMO'!BS7</f>
        <v/>
      </c>
      <c r="N72" s="139">
        <f>MAX(0,M72-M71)</f>
        <v/>
      </c>
      <c r="O72" s="138">
        <f>IF(B72&lt;='VALOR POR PL'!$P$5,'CP RESUMO'!BS49,"")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HISTORICOS'!BT7)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RESUMO'!BT7</f>
        <v/>
      </c>
      <c r="N73" s="139">
        <f>MAX(0,M73-M72)</f>
        <v/>
      </c>
      <c r="O73" s="138">
        <f>IF(B73&lt;='VALOR POR PL'!$P$5,'CP RESUMO'!BT49,"")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HISTORICOS'!BU7)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RESUMO'!BU7</f>
        <v/>
      </c>
      <c r="N74" s="139">
        <f>MAX(0,M74-M73)</f>
        <v/>
      </c>
      <c r="O74" s="138">
        <f>IF(B74&lt;='VALOR POR PL'!$P$5,'CP RESUMO'!BU49,"")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HISTORICOS'!BV7)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RESUMO'!BV7</f>
        <v/>
      </c>
      <c r="N75" s="139">
        <f>MAX(0,M75-M74)</f>
        <v/>
      </c>
      <c r="O75" s="138">
        <f>IF(B75&lt;='VALOR POR PL'!$P$5,'CP RESUMO'!BV49,"")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HISTORICOS'!BW7)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RESUMO'!BW7</f>
        <v/>
      </c>
      <c r="N76" s="139">
        <f>MAX(0,M76-M75)</f>
        <v/>
      </c>
      <c r="O76" s="138">
        <f>IF(B76&lt;='VALOR POR PL'!$P$5,'CP RESUMO'!BW49,"")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PL'!D14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HISTORICOS'!D8)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PL'!F14</f>
        <v/>
      </c>
      <c r="K5" s="60">
        <f>'VALOR POR PL'!G14</f>
        <v/>
      </c>
      <c r="L5" s="60">
        <f>'DADOS HISTORICOS'!$BZ$8</f>
        <v/>
      </c>
      <c r="M5" s="138">
        <f>'CP RESUMO'!D8</f>
        <v/>
      </c>
      <c r="N5" s="139" t="n">
        <v>0</v>
      </c>
      <c r="O5" s="138">
        <f>IF(B5&lt;='VALOR POR PL'!$P$5,'CP RESUMO'!D50,"")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HISTORICOS'!E8)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PL'!H14</f>
        <v/>
      </c>
      <c r="L6" s="49">
        <f>C6/IF(B6&lt;='VALOR POR PL'!$P$5,IFERROR(INDEX('"INCC-FGV"'!$B$2:$B$800,MATCH(B6,'"INCC-FGV"'!$A$2:$A$800,0)),$K$2),$K$2)</f>
        <v/>
      </c>
      <c r="M6" s="138">
        <f>'CP RESUMO'!E8</f>
        <v/>
      </c>
      <c r="N6" s="139">
        <f>MAX(0,M6-M5)</f>
        <v/>
      </c>
      <c r="O6" s="138">
        <f>IF(B6&lt;='VALOR POR PL'!$P$5,'CP RESUMO'!E50,"")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HISTORICOS'!F8)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RESUMO'!F8</f>
        <v/>
      </c>
      <c r="N7" s="139">
        <f>MAX(0,M7-M6)</f>
        <v/>
      </c>
      <c r="O7" s="138">
        <f>IF(B7&lt;='VALOR POR PL'!$P$5,'CP RESUMO'!F50,"")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HISTORICOS'!G8)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RESUMO'!G8</f>
        <v/>
      </c>
      <c r="N8" s="139">
        <f>MAX(0,M8-M7)</f>
        <v/>
      </c>
      <c r="O8" s="138">
        <f>IF(B8&lt;='VALOR POR PL'!$P$5,'CP RESUMO'!G50,"")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HISTORICOS'!H8)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RESUMO'!H8</f>
        <v/>
      </c>
      <c r="N9" s="139">
        <f>MAX(0,M9-M8)</f>
        <v/>
      </c>
      <c r="O9" s="138">
        <f>IF(B9&lt;='VALOR POR PL'!$P$5,'CP RESUMO'!H50,"")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HISTORICOS'!I8)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RESUMO'!I8</f>
        <v/>
      </c>
      <c r="N10" s="139">
        <f>MAX(0,M10-M9)</f>
        <v/>
      </c>
      <c r="O10" s="138">
        <f>IF(B10&lt;='VALOR POR PL'!$P$5,'CP RESUMO'!I50,"")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HISTORICOS'!J8)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RESUMO'!J8</f>
        <v/>
      </c>
      <c r="N11" s="139">
        <f>MAX(0,M11-M10)</f>
        <v/>
      </c>
      <c r="O11" s="138">
        <f>IF(B11&lt;='VALOR POR PL'!$P$5,'CP RESUMO'!J50,"")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HISTORICOS'!K8)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RESUMO'!K8</f>
        <v/>
      </c>
      <c r="N12" s="139">
        <f>MAX(0,M12-M11)</f>
        <v/>
      </c>
      <c r="O12" s="138">
        <f>IF(B12&lt;='VALOR POR PL'!$P$5,'CP RESUMO'!K50,"")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HISTORICOS'!L8)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PL'!I14</f>
        <v/>
      </c>
      <c r="L13" s="49">
        <f>C13/IF(B13&lt;='VALOR POR PL'!$P$5,IFERROR(INDEX('"INCC-FGV"'!$B$2:$B$800,MATCH(B13,'"INCC-FGV"'!$A$2:$A$800,0)),$K$2),$K$2)</f>
        <v/>
      </c>
      <c r="M13" s="138">
        <f>'CP RESUMO'!L8</f>
        <v/>
      </c>
      <c r="N13" s="139">
        <f>MAX(0,M13-M12)</f>
        <v/>
      </c>
      <c r="O13" s="138">
        <f>IF(B13&lt;='VALOR POR PL'!$P$5,'CP RESUMO'!L50,"")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HISTORICOS'!M8)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RESUMO'!$D$50:$BW$50,MATCH('VALOR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RESUMO'!M8</f>
        <v/>
      </c>
      <c r="N14" s="139">
        <f>MAX(0,M14-M13)</f>
        <v/>
      </c>
      <c r="O14" s="138">
        <f>IF(B14&lt;='VALOR POR PL'!$P$5,'CP RESUMO'!M50,"")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HISTORICOS'!N8)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RESUMO'!N8</f>
        <v/>
      </c>
      <c r="N15" s="139">
        <f>MAX(0,M15-M14)</f>
        <v/>
      </c>
      <c r="O15" s="138">
        <f>IF(B15&lt;='VALOR POR PL'!$P$5,'CP RESUMO'!N50,"")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HISTORICOS'!O8)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RESUMO'!O8</f>
        <v/>
      </c>
      <c r="N16" s="139">
        <f>MAX(0,M16-M15)</f>
        <v/>
      </c>
      <c r="O16" s="138">
        <f>IF(B16&lt;='VALOR POR PL'!$P$5,'CP RESUMO'!O50,"")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HISTORICOS'!P8)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RESUMO'!P8</f>
        <v/>
      </c>
      <c r="N17" s="139">
        <f>MAX(0,M17-M16)</f>
        <v/>
      </c>
      <c r="O17" s="138">
        <f>IF(B17&lt;='VALOR POR PL'!$P$5,'CP RESUMO'!P50,"")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HISTORICOS'!Q8)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RESUMO'!Q8</f>
        <v/>
      </c>
      <c r="N18" s="139">
        <f>MAX(0,M18-M17)</f>
        <v/>
      </c>
      <c r="O18" s="138">
        <f>IF(B18&lt;='VALOR POR PL'!$P$5,'CP RESUMO'!Q50,"")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HISTORICOS'!R8)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RESUMO'!R8</f>
        <v/>
      </c>
      <c r="N19" s="139">
        <f>MAX(0,M19-M18)</f>
        <v/>
      </c>
      <c r="O19" s="138">
        <f>IF(B19&lt;='VALOR POR PL'!$P$5,'CP RESUMO'!R50,"")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HISTORICOS'!S8)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RESUMO'!S8</f>
        <v/>
      </c>
      <c r="N20" s="139">
        <f>MAX(0,M20-M19)</f>
        <v/>
      </c>
      <c r="O20" s="138">
        <f>IF(B20&lt;='VALOR POR PL'!$P$5,'CP RESUMO'!S50,"")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HISTORICOS'!T8)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RESUMO'!T8</f>
        <v/>
      </c>
      <c r="N21" s="139">
        <f>MAX(0,M21-M20)</f>
        <v/>
      </c>
      <c r="O21" s="138">
        <f>IF(B21&lt;='VALOR POR PL'!$P$5,'CP RESUMO'!T50,"")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HISTORICOS'!U8)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RESUMO'!U8</f>
        <v/>
      </c>
      <c r="N22" s="139">
        <f>MAX(0,M22-M21)</f>
        <v/>
      </c>
      <c r="O22" s="138">
        <f>IF(B22&lt;='VALOR POR PL'!$P$5,'CP RESUMO'!U50,"")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HISTORICOS'!V8)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RESUMO'!V8</f>
        <v/>
      </c>
      <c r="N23" s="139">
        <f>MAX(0,M23-M22)</f>
        <v/>
      </c>
      <c r="O23" s="138">
        <f>IF(B23&lt;='VALOR POR PL'!$P$5,'CP RESUMO'!V50,"")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HISTORICOS'!W8)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RESUMO'!W8</f>
        <v/>
      </c>
      <c r="N24" s="139">
        <f>MAX(0,M24-M23)</f>
        <v/>
      </c>
      <c r="O24" s="138">
        <f>IF(B24&lt;='VALOR POR PL'!$P$5,'CP RESUMO'!W50,"")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HISTORICOS'!X8)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RESUMO'!X8</f>
        <v/>
      </c>
      <c r="N25" s="139">
        <f>MAX(0,M25-M24)</f>
        <v/>
      </c>
      <c r="O25" s="138">
        <f>IF(B25&lt;='VALOR POR PL'!$P$5,'CP RESUMO'!X50,"")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HISTORICOS'!Y8)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>
        <v>12388.74</v>
      </c>
      <c r="L26" s="49">
        <f>C26/IF(B26&lt;='VALOR POR PL'!$P$5,IFERROR(INDEX('"INCC-FGV"'!$B$2:$B$800,MATCH(B26,'"INCC-FGV"'!$A$2:$A$800,0)),$K$2),$K$2)</f>
        <v/>
      </c>
      <c r="M26" s="138">
        <f>'CP RESUMO'!Y8</f>
        <v/>
      </c>
      <c r="N26" s="139">
        <f>MAX(0,M26-M25)</f>
        <v/>
      </c>
      <c r="O26" s="138">
        <f>IF(B26&lt;='VALOR POR PL'!$P$5,'CP RESUMO'!Y50,"")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HISTORICOS'!Z8)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12388.74</v>
      </c>
      <c r="L27" s="49">
        <f>C27/IF(B27&lt;='VALOR POR PL'!$P$5,IFERROR(INDEX('"INCC-FGV"'!$B$2:$B$800,MATCH(B27,'"INCC-FGV"'!$A$2:$A$800,0)),$K$2),$K$2)</f>
        <v/>
      </c>
      <c r="M27" s="138">
        <f>'CP RESUMO'!Z8</f>
        <v/>
      </c>
      <c r="N27" s="139">
        <f>MAX(0,M27-M26)</f>
        <v/>
      </c>
      <c r="O27" s="138">
        <f>IF(B27&lt;='VALOR POR PL'!$P$5,'CP RESUMO'!Z50,"")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HISTORICOS'!AA8)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12388.74</v>
      </c>
      <c r="L28" s="49">
        <f>C28/IF(B28&lt;='VALOR POR PL'!$P$5,IFERROR(INDEX('"INCC-FGV"'!$B$2:$B$800,MATCH(B28,'"INCC-FGV"'!$A$2:$A$800,0)),$K$2),$K$2)</f>
        <v/>
      </c>
      <c r="M28" s="138">
        <f>'CP RESUMO'!AA8</f>
        <v/>
      </c>
      <c r="N28" s="139">
        <f>MAX(0,M28-M27)</f>
        <v/>
      </c>
      <c r="O28" s="138">
        <f>IF(B28&lt;='VALOR POR PL'!$P$5,'CP RESUMO'!AA50,"")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HISTORICOS'!AB8)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12388.74</v>
      </c>
      <c r="L29" s="49">
        <f>C29/IF(B29&lt;='VALOR POR PL'!$P$5,IFERROR(INDEX('"INCC-FGV"'!$B$2:$B$800,MATCH(B29,'"INCC-FGV"'!$A$2:$A$800,0)),$K$2),$K$2)</f>
        <v/>
      </c>
      <c r="M29" s="138">
        <f>'CP RESUMO'!AB8</f>
        <v/>
      </c>
      <c r="N29" s="139">
        <f>MAX(0,M29-M28)</f>
        <v/>
      </c>
      <c r="O29" s="138">
        <f>IF(B29&lt;='VALOR POR PL'!$P$5,'CP RESUMO'!AB50,"")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HISTORICOS'!AC8)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>
        <v>12388.74</v>
      </c>
      <c r="L30" s="49">
        <f>C30/IF(B30&lt;='VALOR POR PL'!$P$5,IFERROR(INDEX('"INCC-FGV"'!$B$2:$B$800,MATCH(B30,'"INCC-FGV"'!$A$2:$A$800,0)),$K$2),$K$2)</f>
        <v/>
      </c>
      <c r="M30" s="138">
        <f>'CP RESUMO'!AC8</f>
        <v/>
      </c>
      <c r="N30" s="139">
        <f>MAX(0,M30-M29)</f>
        <v/>
      </c>
      <c r="O30" s="138">
        <f>IF(B30&lt;='VALOR POR PL'!$P$5,'CP RESUMO'!AC50,"")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HISTORICOS'!AD8)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>
        <v>102388.74</v>
      </c>
      <c r="L31" s="49">
        <f>C31/IF(B31&lt;='VALOR POR PL'!$P$5,IFERROR(INDEX('"INCC-FGV"'!$B$2:$B$800,MATCH(B31,'"INCC-FGV"'!$A$2:$A$800,0)),$K$2),$K$2)</f>
        <v/>
      </c>
      <c r="M31" s="138">
        <f>'CP RESUMO'!AD8</f>
        <v/>
      </c>
      <c r="N31" s="139">
        <f>MAX(0,M31-M30)</f>
        <v/>
      </c>
      <c r="O31" s="138">
        <f>IF(B31&lt;='VALOR POR PL'!$P$5,'CP RESUMO'!AD50,"")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HISTORICOS'!AE8)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102388.74</v>
      </c>
      <c r="L32" s="49">
        <f>C32/IF(B32&lt;='VALOR POR PL'!$P$5,IFERROR(INDEX('"INCC-FGV"'!$B$2:$B$800,MATCH(B32,'"INCC-FGV"'!$A$2:$A$800,0)),$K$2),$K$2)</f>
        <v/>
      </c>
      <c r="M32" s="138">
        <f>'CP RESUMO'!AE8</f>
        <v/>
      </c>
      <c r="N32" s="139">
        <f>MAX(0,M32-M31)</f>
        <v/>
      </c>
      <c r="O32" s="138">
        <f>IF(B32&lt;='VALOR POR PL'!$P$5,'CP RESUMO'!AE50,"")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HISTORICOS'!AF8)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52388.74</v>
      </c>
      <c r="L33" s="49">
        <f>C33/IF(B33&lt;='VALOR POR PL'!$P$5,IFERROR(INDEX('"INCC-FGV"'!$B$2:$B$800,MATCH(B33,'"INCC-FGV"'!$A$2:$A$800,0)),$K$2),$K$2)</f>
        <v/>
      </c>
      <c r="M33" s="138">
        <f>'CP RESUMO'!AF8</f>
        <v/>
      </c>
      <c r="N33" s="139">
        <f>MAX(0,M33-M32)</f>
        <v/>
      </c>
      <c r="O33" s="138">
        <f>IF(B33&lt;='VALOR POR PL'!$P$5,'CP RESUMO'!AF50,"")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HISTORICOS'!AG8)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12388.74</v>
      </c>
      <c r="L34" s="49">
        <f>C34/IF(B34&lt;='VALOR POR PL'!$P$5,IFERROR(INDEX('"INCC-FGV"'!$B$2:$B$800,MATCH(B34,'"INCC-FGV"'!$A$2:$A$800,0)),$K$2),$K$2)</f>
        <v/>
      </c>
      <c r="M34" s="138">
        <f>'CP RESUMO'!AG8</f>
        <v/>
      </c>
      <c r="N34" s="139">
        <f>MAX(0,M34-M33)</f>
        <v/>
      </c>
      <c r="O34" s="138">
        <f>IF(B34&lt;='VALOR POR PL'!$P$5,'CP RESUMO'!AG50,"")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HISTORICOS'!AH8)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12388.74</v>
      </c>
      <c r="L35" s="49">
        <f>C35/IF(B35&lt;='VALOR POR PL'!$P$5,IFERROR(INDEX('"INCC-FGV"'!$B$2:$B$800,MATCH(B35,'"INCC-FGV"'!$A$2:$A$800,0)),$K$2),$K$2)</f>
        <v/>
      </c>
      <c r="M35" s="138">
        <f>'CP RESUMO'!AH8</f>
        <v/>
      </c>
      <c r="N35" s="139">
        <f>MAX(0,M35-M34)</f>
        <v/>
      </c>
      <c r="O35" s="138">
        <f>IF(B35&lt;='VALOR POR PL'!$P$5,'CP RESUMO'!AH50,"")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HISTORICOS'!AI8)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12388.74</v>
      </c>
      <c r="L36" s="49">
        <f>C36/IF(B36&lt;='VALOR POR PL'!$P$5,IFERROR(INDEX('"INCC-FGV"'!$B$2:$B$800,MATCH(B36,'"INCC-FGV"'!$A$2:$A$800,0)),$K$2),$K$2)</f>
        <v/>
      </c>
      <c r="M36" s="138">
        <f>'CP RESUMO'!AI8</f>
        <v/>
      </c>
      <c r="N36" s="139">
        <f>MAX(0,M36-M35)</f>
        <v/>
      </c>
      <c r="O36" s="138">
        <f>IF(B36&lt;='VALOR POR PL'!$P$5,'CP RESUMO'!AI50,"")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HISTORICOS'!AJ8)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12388.74</v>
      </c>
      <c r="L37" s="49">
        <f>C37/IF(B37&lt;='VALOR POR PL'!$P$5,IFERROR(INDEX('"INCC-FGV"'!$B$2:$B$800,MATCH(B37,'"INCC-FGV"'!$A$2:$A$800,0)),$K$2),$K$2)</f>
        <v/>
      </c>
      <c r="M37" s="138">
        <f>'CP RESUMO'!AJ8</f>
        <v/>
      </c>
      <c r="N37" s="139">
        <f>MAX(0,M37-M36)</f>
        <v/>
      </c>
      <c r="O37" s="138">
        <f>IF(B37&lt;='VALOR POR PL'!$P$5,'CP RESUMO'!AJ50,"")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HISTORICOS'!AK8)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12388.74</v>
      </c>
      <c r="L38" s="49">
        <f>C38/IF(B38&lt;='VALOR POR PL'!$P$5,IFERROR(INDEX('"INCC-FGV"'!$B$2:$B$800,MATCH(B38,'"INCC-FGV"'!$A$2:$A$800,0)),$K$2),$K$2)</f>
        <v/>
      </c>
      <c r="M38" s="138">
        <f>'CP RESUMO'!AK8</f>
        <v/>
      </c>
      <c r="N38" s="139">
        <f>MAX(0,M38-M37)</f>
        <v/>
      </c>
      <c r="O38" s="138">
        <f>IF(B38&lt;='VALOR POR PL'!$P$5,'CP RESUMO'!AK50,"")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HISTORICOS'!AL8)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12388.74</v>
      </c>
      <c r="L39" s="49">
        <f>C39/IF(B39&lt;='VALOR POR PL'!$P$5,IFERROR(INDEX('"INCC-FGV"'!$B$2:$B$800,MATCH(B39,'"INCC-FGV"'!$A$2:$A$800,0)),$K$2),$K$2)</f>
        <v/>
      </c>
      <c r="M39" s="138">
        <f>'CP RESUMO'!AL8</f>
        <v/>
      </c>
      <c r="N39" s="139">
        <f>MAX(0,M39-M38)</f>
        <v/>
      </c>
      <c r="O39" s="138">
        <f>IF(B39&lt;='VALOR POR PL'!$P$5,'CP RESUMO'!AL50,"")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HISTORICOS'!AM8)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12388.74</v>
      </c>
      <c r="L40" s="49">
        <f>C40/IF(B40&lt;='VALOR POR PL'!$P$5,IFERROR(INDEX('"INCC-FGV"'!$B$2:$B$800,MATCH(B40,'"INCC-FGV"'!$A$2:$A$800,0)),$K$2),$K$2)</f>
        <v/>
      </c>
      <c r="M40" s="138">
        <f>'CP RESUMO'!AM8</f>
        <v/>
      </c>
      <c r="N40" s="139">
        <f>MAX(0,M40-M39)</f>
        <v/>
      </c>
      <c r="O40" s="138">
        <f>IF(B40&lt;='VALOR POR PL'!$P$5,'CP RESUMO'!AM50,"")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HISTORICOS'!AN8)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12388.74</v>
      </c>
      <c r="L41" s="49">
        <f>C41/IF(B41&lt;='VALOR POR PL'!$P$5,IFERROR(INDEX('"INCC-FGV"'!$B$2:$B$800,MATCH(B41,'"INCC-FGV"'!$A$2:$A$800,0)),$K$2),$K$2)</f>
        <v/>
      </c>
      <c r="M41" s="138">
        <f>'CP RESUMO'!AN8</f>
        <v/>
      </c>
      <c r="N41" s="139">
        <f>MAX(0,M41-M40)</f>
        <v/>
      </c>
      <c r="O41" s="138">
        <f>IF(B41&lt;='VALOR POR PL'!$P$5,'CP RESUMO'!AN50,"")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HISTORICOS'!AO8)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12388.74</v>
      </c>
      <c r="L42" s="49">
        <f>C42/IF(B42&lt;='VALOR POR PL'!$P$5,IFERROR(INDEX('"INCC-FGV"'!$B$2:$B$800,MATCH(B42,'"INCC-FGV"'!$A$2:$A$800,0)),$K$2),$K$2)</f>
        <v/>
      </c>
      <c r="M42" s="138">
        <f>'CP RESUMO'!AO8</f>
        <v/>
      </c>
      <c r="N42" s="139">
        <f>MAX(0,M42-M41)</f>
        <v/>
      </c>
      <c r="O42" s="138">
        <f>IF(B42&lt;='VALOR POR PL'!$P$5,'CP RESUMO'!AO50,"")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HISTORICOS'!AP8)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12388.74</v>
      </c>
      <c r="L43" s="49">
        <f>C43/IF(B43&lt;='VALOR POR PL'!$P$5,IFERROR(INDEX('"INCC-FGV"'!$B$2:$B$800,MATCH(B43,'"INCC-FGV"'!$A$2:$A$800,0)),$K$2),$K$2)</f>
        <v/>
      </c>
      <c r="M43" s="138">
        <f>'CP RESUMO'!AP8</f>
        <v/>
      </c>
      <c r="N43" s="139">
        <f>MAX(0,M43-M42)</f>
        <v/>
      </c>
      <c r="O43" s="138">
        <f>IF(B43&lt;='VALOR POR PL'!$P$5,'CP RESUMO'!AP50,"")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HISTORICOS'!AQ8)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12388.74</v>
      </c>
      <c r="L44" s="49">
        <f>C44/IF(B44&lt;='VALOR POR PL'!$P$5,IFERROR(INDEX('"INCC-FGV"'!$B$2:$B$800,MATCH(B44,'"INCC-FGV"'!$A$2:$A$800,0)),$K$2),$K$2)</f>
        <v/>
      </c>
      <c r="M44" s="138">
        <f>'CP RESUMO'!AQ8</f>
        <v/>
      </c>
      <c r="N44" s="139">
        <f>MAX(0,M44-M43)</f>
        <v/>
      </c>
      <c r="O44" s="138">
        <f>IF(B44&lt;='VALOR POR PL'!$P$5,'CP RESUMO'!AQ50,"")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HISTORICOS'!AR8)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12388.74</v>
      </c>
      <c r="L45" s="49">
        <f>C45/IF(B45&lt;='VALOR POR PL'!$P$5,IFERROR(INDEX('"INCC-FGV"'!$B$2:$B$800,MATCH(B45,'"INCC-FGV"'!$A$2:$A$800,0)),$K$2),$K$2)</f>
        <v/>
      </c>
      <c r="M45" s="138">
        <f>'CP RESUMO'!AR8</f>
        <v/>
      </c>
      <c r="N45" s="139">
        <f>MAX(0,M45-M44)</f>
        <v/>
      </c>
      <c r="O45" s="138">
        <f>IF(B45&lt;='VALOR POR PL'!$P$5,'CP RESUMO'!AR50,"")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HISTORICOS'!AS8)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12388.74</v>
      </c>
      <c r="L46" s="49">
        <f>C46/IF(B46&lt;='VALOR POR PL'!$P$5,IFERROR(INDEX('"INCC-FGV"'!$B$2:$B$800,MATCH(B46,'"INCC-FGV"'!$A$2:$A$800,0)),$K$2),$K$2)</f>
        <v/>
      </c>
      <c r="M46" s="138">
        <f>'CP RESUMO'!AS8</f>
        <v/>
      </c>
      <c r="N46" s="139">
        <f>MAX(0,M46-M45)</f>
        <v/>
      </c>
      <c r="O46" s="138">
        <f>IF(B46&lt;='VALOR POR PL'!$P$5,'CP RESUMO'!AS50,"")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HISTORICOS'!AT8)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12388.74</v>
      </c>
      <c r="L47" s="49">
        <f>C47/IF(B47&lt;='VALOR POR PL'!$P$5,IFERROR(INDEX('"INCC-FGV"'!$B$2:$B$800,MATCH(B47,'"INCC-FGV"'!$A$2:$A$800,0)),$K$2),$K$2)</f>
        <v/>
      </c>
      <c r="M47" s="138">
        <f>'CP RESUMO'!AT8</f>
        <v/>
      </c>
      <c r="N47" s="139">
        <f>MAX(0,M47-M46)</f>
        <v/>
      </c>
      <c r="O47" s="138">
        <f>IF(B47&lt;='VALOR POR PL'!$P$5,'CP RESUMO'!AT50,"")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HISTORICOS'!AU8)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12388.74</v>
      </c>
      <c r="L48" s="49">
        <f>C48/IF(B48&lt;='VALOR POR PL'!$P$5,IFERROR(INDEX('"INCC-FGV"'!$B$2:$B$800,MATCH(B48,'"INCC-FGV"'!$A$2:$A$800,0)),$K$2),$K$2)</f>
        <v/>
      </c>
      <c r="M48" s="138">
        <f>'CP RESUMO'!AU8</f>
        <v/>
      </c>
      <c r="N48" s="139">
        <f>MAX(0,M48-M47)</f>
        <v/>
      </c>
      <c r="O48" s="138">
        <f>IF(B48&lt;='VALOR POR PL'!$P$5,'CP RESUMO'!AU50,"")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HISTORICOS'!AV8)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12388.74</v>
      </c>
      <c r="L49" s="49">
        <f>C49/IF(B49&lt;='VALOR POR PL'!$P$5,IFERROR(INDEX('"INCC-FGV"'!$B$2:$B$800,MATCH(B49,'"INCC-FGV"'!$A$2:$A$800,0)),$K$2),$K$2)</f>
        <v/>
      </c>
      <c r="M49" s="138">
        <f>'CP RESUMO'!AV8</f>
        <v/>
      </c>
      <c r="N49" s="139">
        <f>MAX(0,M49-M48)</f>
        <v/>
      </c>
      <c r="O49" s="138">
        <f>IF(B49&lt;='VALOR POR PL'!$P$5,'CP RESUMO'!AV50,"")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HISTORICOS'!AW8)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1300</v>
      </c>
      <c r="L50" s="49">
        <f>C50/IF(B50&lt;='VALOR POR PL'!$P$5,IFERROR(INDEX('"INCC-FGV"'!$B$2:$B$800,MATCH(B50,'"INCC-FGV"'!$A$2:$A$800,0)),$K$2),$K$2)</f>
        <v/>
      </c>
      <c r="M50" s="138">
        <f>'CP RESUMO'!AW8</f>
        <v/>
      </c>
      <c r="N50" s="139">
        <f>MAX(0,M50-M49)</f>
        <v/>
      </c>
      <c r="O50" s="138">
        <f>IF(B50&lt;='VALOR POR PL'!$P$5,'CP RESUMO'!AW50,"")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HISTORICOS'!AX8)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1300</v>
      </c>
      <c r="L51" s="49">
        <f>C51/IF(B51&lt;='VALOR POR PL'!$P$5,IFERROR(INDEX('"INCC-FGV"'!$B$2:$B$800,MATCH(B51,'"INCC-FGV"'!$A$2:$A$800,0)),$K$2),$K$2)</f>
        <v/>
      </c>
      <c r="M51" s="138">
        <f>'CP RESUMO'!AX8</f>
        <v/>
      </c>
      <c r="N51" s="139">
        <f>MAX(0,M51-M50)</f>
        <v/>
      </c>
      <c r="O51" s="138">
        <f>IF(B51&lt;='VALOR POR PL'!$P$5,'CP RESUMO'!AX50,"")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HISTORICOS'!AY8)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1300</v>
      </c>
      <c r="L52" s="49">
        <f>C52/IF(B52&lt;='VALOR POR PL'!$P$5,IFERROR(INDEX('"INCC-FGV"'!$B$2:$B$800,MATCH(B52,'"INCC-FGV"'!$A$2:$A$800,0)),$K$2),$K$2)</f>
        <v/>
      </c>
      <c r="M52" s="138">
        <f>'CP RESUMO'!AY8</f>
        <v/>
      </c>
      <c r="N52" s="139">
        <f>MAX(0,M52-M51)</f>
        <v/>
      </c>
      <c r="O52" s="138">
        <f>IF(B52&lt;='VALOR POR PL'!$P$5,'CP RESUMO'!AY50,"")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HISTORICOS'!AZ8)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1771.78</v>
      </c>
      <c r="L53" s="49">
        <f>C53/IF(B53&lt;='VALOR POR PL'!$P$5,IFERROR(INDEX('"INCC-FGV"'!$B$2:$B$800,MATCH(B53,'"INCC-FGV"'!$A$2:$A$800,0)),$K$2),$K$2)</f>
        <v/>
      </c>
      <c r="M53" s="138">
        <f>'CP RESUMO'!AZ8</f>
        <v/>
      </c>
      <c r="N53" s="139">
        <f>MAX(0,M53-M52)</f>
        <v/>
      </c>
      <c r="O53" s="138">
        <f>IF(B53&lt;='VALOR POR PL'!$P$5,'CP RESUMO'!AZ50,"")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HISTORICOS'!BA8)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1729.71</v>
      </c>
      <c r="L54" s="49">
        <f>C54/IF(B54&lt;='VALOR POR PL'!$P$5,IFERROR(INDEX('"INCC-FGV"'!$B$2:$B$800,MATCH(B54,'"INCC-FGV"'!$A$2:$A$800,0)),$K$2),$K$2)</f>
        <v/>
      </c>
      <c r="M54" s="138">
        <f>'CP RESUMO'!BA8</f>
        <v/>
      </c>
      <c r="N54" s="139">
        <f>MAX(0,M54-M53)</f>
        <v/>
      </c>
      <c r="O54" s="138">
        <f>IF(B54&lt;='VALOR POR PL'!$P$5,'CP RESUMO'!BA50,"")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HISTORICOS'!BB8)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1729.71</v>
      </c>
      <c r="L55" s="49">
        <f>C55/IF(B55&lt;='VALOR POR PL'!$P$5,IFERROR(INDEX('"INCC-FGV"'!$B$2:$B$800,MATCH(B55,'"INCC-FGV"'!$A$2:$A$800,0)),$K$2),$K$2)</f>
        <v/>
      </c>
      <c r="M55" s="138">
        <f>'CP RESUMO'!BB8</f>
        <v/>
      </c>
      <c r="N55" s="139">
        <f>MAX(0,M55-M54)</f>
        <v/>
      </c>
      <c r="O55" s="138">
        <f>IF(B55&lt;='VALOR POR PL'!$P$5,'CP RESUMO'!BB50,"")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HISTORICOS'!BC8)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70650.34</v>
      </c>
      <c r="L56" s="49">
        <f>C56/IF(B56&lt;='VALOR POR PL'!$P$5,IFERROR(INDEX('"INCC-FGV"'!$B$2:$B$800,MATCH(B56,'"INCC-FGV"'!$A$2:$A$800,0)),$K$2),$K$2)</f>
        <v/>
      </c>
      <c r="M56" s="138">
        <f>'CP RESUMO'!BC8</f>
        <v/>
      </c>
      <c r="N56" s="139">
        <f>MAX(0,M56-M55)</f>
        <v/>
      </c>
      <c r="O56" s="138">
        <f>IF(B56&lt;='VALOR POR PL'!$P$5,'CP RESUMO'!BC50,"")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HISTORICOS'!BD8)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RESUMO'!BD8</f>
        <v/>
      </c>
      <c r="N57" s="139">
        <f>MAX(0,M57-M56)</f>
        <v/>
      </c>
      <c r="O57" s="138">
        <f>IF(B57&lt;='VALOR POR PL'!$P$5,'CP RESUMO'!BD50,"")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HISTORICOS'!BE8)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RESUMO'!BE8</f>
        <v/>
      </c>
      <c r="N58" s="139">
        <f>MAX(0,M58-M57)</f>
        <v/>
      </c>
      <c r="O58" s="138">
        <f>IF(B58&lt;='VALOR POR PL'!$P$5,'CP RESUMO'!BE50,"")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HISTORICOS'!BF8)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RESUMO'!BF8</f>
        <v/>
      </c>
      <c r="N59" s="139">
        <f>MAX(0,M59-M58)</f>
        <v/>
      </c>
      <c r="O59" s="138">
        <f>IF(B59&lt;='VALOR POR PL'!$P$5,'CP RESUMO'!BF50,"")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HISTORICOS'!BG8)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RESUMO'!BG8</f>
        <v/>
      </c>
      <c r="N60" s="139">
        <f>MAX(0,M60-M59)</f>
        <v/>
      </c>
      <c r="O60" s="138">
        <f>IF(B60&lt;='VALOR POR PL'!$P$5,'CP RESUMO'!BG50,"")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HISTORICOS'!BH8)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RESUMO'!BH8</f>
        <v/>
      </c>
      <c r="N61" s="139">
        <f>MAX(0,M61-M60)</f>
        <v/>
      </c>
      <c r="O61" s="138">
        <f>IF(B61&lt;='VALOR POR PL'!$P$5,'CP RESUMO'!BH50,"")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HISTORICOS'!BI8)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RESUMO'!BI8</f>
        <v/>
      </c>
      <c r="N62" s="139">
        <f>MAX(0,M62-M61)</f>
        <v/>
      </c>
      <c r="O62" s="138">
        <f>IF(B62&lt;='VALOR POR PL'!$P$5,'CP RESUMO'!BI50,"")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HISTORICOS'!BJ8)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RESUMO'!BJ8</f>
        <v/>
      </c>
      <c r="N63" s="139">
        <f>MAX(0,M63-M62)</f>
        <v/>
      </c>
      <c r="O63" s="138">
        <f>IF(B63&lt;='VALOR POR PL'!$P$5,'CP RESUMO'!BJ50,"")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HISTORICOS'!BK8)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RESUMO'!BK8</f>
        <v/>
      </c>
      <c r="N64" s="139">
        <f>MAX(0,M64-M63)</f>
        <v/>
      </c>
      <c r="O64" s="138">
        <f>IF(B64&lt;='VALOR POR PL'!$P$5,'CP RESUMO'!BK50,"")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HISTORICOS'!BL8)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RESUMO'!BL8</f>
        <v/>
      </c>
      <c r="N65" s="139">
        <f>MAX(0,M65-M64)</f>
        <v/>
      </c>
      <c r="O65" s="138">
        <f>IF(B65&lt;='VALOR POR PL'!$P$5,'CP RESUMO'!BL50,"")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HISTORICOS'!BM8)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RESUMO'!BM8</f>
        <v/>
      </c>
      <c r="N66" s="139">
        <f>MAX(0,M66-M65)</f>
        <v/>
      </c>
      <c r="O66" s="138">
        <f>IF(B66&lt;='VALOR POR PL'!$P$5,'CP RESUMO'!BM50,"")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HISTORICOS'!BN8)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RESUMO'!BN8</f>
        <v/>
      </c>
      <c r="N67" s="139">
        <f>MAX(0,M67-M66)</f>
        <v/>
      </c>
      <c r="O67" s="138">
        <f>IF(B67&lt;='VALOR POR PL'!$P$5,'CP RESUMO'!BN50,"")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HISTORICOS'!BO8)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RESUMO'!BO8</f>
        <v/>
      </c>
      <c r="N68" s="139">
        <f>MAX(0,M68-M67)</f>
        <v/>
      </c>
      <c r="O68" s="138">
        <f>IF(B68&lt;='VALOR POR PL'!$P$5,'CP RESUMO'!BO50,"")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HISTORICOS'!BP8)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RESUMO'!BP8</f>
        <v/>
      </c>
      <c r="N69" s="139">
        <f>MAX(0,M69-M68)</f>
        <v/>
      </c>
      <c r="O69" s="138">
        <f>IF(B69&lt;='VALOR POR PL'!$P$5,'CP RESUMO'!BP50,"")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HISTORICOS'!BQ8)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RESUMO'!BQ8</f>
        <v/>
      </c>
      <c r="N70" s="139">
        <f>MAX(0,M70-M69)</f>
        <v/>
      </c>
      <c r="O70" s="138">
        <f>IF(B70&lt;='VALOR POR PL'!$P$5,'CP RESUMO'!BQ50,"")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HISTORICOS'!BR8)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RESUMO'!BR8</f>
        <v/>
      </c>
      <c r="N71" s="139">
        <f>MAX(0,M71-M70)</f>
        <v/>
      </c>
      <c r="O71" s="138">
        <f>IF(B71&lt;='VALOR POR PL'!$P$5,'CP RESUMO'!BR50,"")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HISTORICOS'!BS8)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RESUMO'!BS8</f>
        <v/>
      </c>
      <c r="N72" s="139">
        <f>MAX(0,M72-M71)</f>
        <v/>
      </c>
      <c r="O72" s="138">
        <f>IF(B72&lt;='VALOR POR PL'!$P$5,'CP RESUMO'!BS50,"")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HISTORICOS'!BT8)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RESUMO'!BT8</f>
        <v/>
      </c>
      <c r="N73" s="139">
        <f>MAX(0,M73-M72)</f>
        <v/>
      </c>
      <c r="O73" s="138">
        <f>IF(B73&lt;='VALOR POR PL'!$P$5,'CP RESUMO'!BT50,"")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HISTORICOS'!BU8)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RESUMO'!BU8</f>
        <v/>
      </c>
      <c r="N74" s="139">
        <f>MAX(0,M74-M73)</f>
        <v/>
      </c>
      <c r="O74" s="138">
        <f>IF(B74&lt;='VALOR POR PL'!$P$5,'CP RESUMO'!BU50,"")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HISTORICOS'!BV8)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RESUMO'!BV8</f>
        <v/>
      </c>
      <c r="N75" s="139">
        <f>MAX(0,M75-M74)</f>
        <v/>
      </c>
      <c r="O75" s="138">
        <f>IF(B75&lt;='VALOR POR PL'!$P$5,'CP RESUMO'!BV50,"")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HISTORICOS'!BW8)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RESUMO'!BW8</f>
        <v/>
      </c>
      <c r="N76" s="139">
        <f>MAX(0,M76-M75)</f>
        <v/>
      </c>
      <c r="O76" s="138">
        <f>IF(B76&lt;='VALOR POR PL'!$P$5,'CP RESUMO'!BW50,"")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PL'!D15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HISTORICOS'!D9)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PL'!F15</f>
        <v/>
      </c>
      <c r="K5" s="60">
        <f>'VALOR POR PL'!G15</f>
        <v/>
      </c>
      <c r="L5" s="60">
        <f>'DADOS HISTORICOS'!$BZ$9</f>
        <v/>
      </c>
      <c r="M5" s="138">
        <f>'CP RESUMO'!D9</f>
        <v/>
      </c>
      <c r="N5" s="139" t="n">
        <v>0</v>
      </c>
      <c r="O5" s="138">
        <f>IF(B5&lt;='VALOR POR PL'!$P$5,'CP RESUMO'!D51,"")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HISTORICOS'!E9)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PL'!H15</f>
        <v/>
      </c>
      <c r="L6" s="49">
        <f>C6/IF(B6&lt;='VALOR POR PL'!$P$5,IFERROR(INDEX('"INCC-FGV"'!$B$2:$B$800,MATCH(B6,'"INCC-FGV"'!$A$2:$A$800,0)),$K$2),$K$2)</f>
        <v/>
      </c>
      <c r="M6" s="138">
        <f>'CP RESUMO'!E9</f>
        <v/>
      </c>
      <c r="N6" s="139">
        <f>MAX(0,M6-M5)</f>
        <v/>
      </c>
      <c r="O6" s="138">
        <f>IF(B6&lt;='VALOR POR PL'!$P$5,'CP RESUMO'!E51,"")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HISTORICOS'!F9)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RESUMO'!F9</f>
        <v/>
      </c>
      <c r="N7" s="139">
        <f>MAX(0,M7-M6)</f>
        <v/>
      </c>
      <c r="O7" s="138">
        <f>IF(B7&lt;='VALOR POR PL'!$P$5,'CP RESUMO'!F51,"")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HISTORICOS'!G9)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RESUMO'!G9</f>
        <v/>
      </c>
      <c r="N8" s="139">
        <f>MAX(0,M8-M7)</f>
        <v/>
      </c>
      <c r="O8" s="138">
        <f>IF(B8&lt;='VALOR POR PL'!$P$5,'CP RESUMO'!G51,"")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HISTORICOS'!H9)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RESUMO'!H9</f>
        <v/>
      </c>
      <c r="N9" s="139">
        <f>MAX(0,M9-M8)</f>
        <v/>
      </c>
      <c r="O9" s="138">
        <f>IF(B9&lt;='VALOR POR PL'!$P$5,'CP RESUMO'!H51,"")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HISTORICOS'!I9)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RESUMO'!I9</f>
        <v/>
      </c>
      <c r="N10" s="139">
        <f>MAX(0,M10-M9)</f>
        <v/>
      </c>
      <c r="O10" s="138">
        <f>IF(B10&lt;='VALOR POR PL'!$P$5,'CP RESUMO'!I51,"")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HISTORICOS'!J9)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RESUMO'!J9</f>
        <v/>
      </c>
      <c r="N11" s="139">
        <f>MAX(0,M11-M10)</f>
        <v/>
      </c>
      <c r="O11" s="138">
        <f>IF(B11&lt;='VALOR POR PL'!$P$5,'CP RESUMO'!J51,"")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HISTORICOS'!K9)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RESUMO'!K9</f>
        <v/>
      </c>
      <c r="N12" s="139">
        <f>MAX(0,M12-M11)</f>
        <v/>
      </c>
      <c r="O12" s="138">
        <f>IF(B12&lt;='VALOR POR PL'!$P$5,'CP RESUMO'!K51,"")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HISTORICOS'!L9)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PL'!I15</f>
        <v/>
      </c>
      <c r="L13" s="49">
        <f>C13/IF(B13&lt;='VALOR POR PL'!$P$5,IFERROR(INDEX('"INCC-FGV"'!$B$2:$B$800,MATCH(B13,'"INCC-FGV"'!$A$2:$A$800,0)),$K$2),$K$2)</f>
        <v/>
      </c>
      <c r="M13" s="138">
        <f>'CP RESUMO'!L9</f>
        <v/>
      </c>
      <c r="N13" s="139">
        <f>MAX(0,M13-M12)</f>
        <v/>
      </c>
      <c r="O13" s="138">
        <f>IF(B13&lt;='VALOR POR PL'!$P$5,'CP RESUMO'!L51,"")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HISTORICOS'!M9)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RESUMO'!$D$51:$BW$51,MATCH('VALOR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RESUMO'!M9</f>
        <v/>
      </c>
      <c r="N14" s="139">
        <f>MAX(0,M14-M13)</f>
        <v/>
      </c>
      <c r="O14" s="138">
        <f>IF(B14&lt;='VALOR POR PL'!$P$5,'CP RESUMO'!M51,"")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HISTORICOS'!N9)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RESUMO'!N9</f>
        <v/>
      </c>
      <c r="N15" s="139">
        <f>MAX(0,M15-M14)</f>
        <v/>
      </c>
      <c r="O15" s="138">
        <f>IF(B15&lt;='VALOR POR PL'!$P$5,'CP RESUMO'!N51,"")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HISTORICOS'!O9)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RESUMO'!O9</f>
        <v/>
      </c>
      <c r="N16" s="139">
        <f>MAX(0,M16-M15)</f>
        <v/>
      </c>
      <c r="O16" s="138">
        <f>IF(B16&lt;='VALOR POR PL'!$P$5,'CP RESUMO'!O51,"")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HISTORICOS'!P9)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RESUMO'!P9</f>
        <v/>
      </c>
      <c r="N17" s="139">
        <f>MAX(0,M17-M16)</f>
        <v/>
      </c>
      <c r="O17" s="138">
        <f>IF(B17&lt;='VALOR POR PL'!$P$5,'CP RESUMO'!P51,"")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HISTORICOS'!Q9)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RESUMO'!Q9</f>
        <v/>
      </c>
      <c r="N18" s="139">
        <f>MAX(0,M18-M17)</f>
        <v/>
      </c>
      <c r="O18" s="138">
        <f>IF(B18&lt;='VALOR POR PL'!$P$5,'CP RESUMO'!Q51,"")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HISTORICOS'!R9)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RESUMO'!R9</f>
        <v/>
      </c>
      <c r="N19" s="139">
        <f>MAX(0,M19-M18)</f>
        <v/>
      </c>
      <c r="O19" s="138">
        <f>IF(B19&lt;='VALOR POR PL'!$P$5,'CP RESUMO'!R51,"")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HISTORICOS'!S9)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RESUMO'!S9</f>
        <v/>
      </c>
      <c r="N20" s="139">
        <f>MAX(0,M20-M19)</f>
        <v/>
      </c>
      <c r="O20" s="138">
        <f>IF(B20&lt;='VALOR POR PL'!$P$5,'CP RESUMO'!S51,"")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HISTORICOS'!T9)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RESUMO'!T9</f>
        <v/>
      </c>
      <c r="N21" s="139">
        <f>MAX(0,M21-M20)</f>
        <v/>
      </c>
      <c r="O21" s="138">
        <f>IF(B21&lt;='VALOR POR PL'!$P$5,'CP RESUMO'!T51,"")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HISTORICOS'!U9)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RESUMO'!U9</f>
        <v/>
      </c>
      <c r="N22" s="139">
        <f>MAX(0,M22-M21)</f>
        <v/>
      </c>
      <c r="O22" s="138">
        <f>IF(B22&lt;='VALOR POR PL'!$P$5,'CP RESUMO'!U51,"")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HISTORICOS'!V9)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RESUMO'!V9</f>
        <v/>
      </c>
      <c r="N23" s="139">
        <f>MAX(0,M23-M22)</f>
        <v/>
      </c>
      <c r="O23" s="138">
        <f>IF(B23&lt;='VALOR POR PL'!$P$5,'CP RESUMO'!V51,"")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HISTORICOS'!W9)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RESUMO'!W9</f>
        <v/>
      </c>
      <c r="N24" s="139">
        <f>MAX(0,M24-M23)</f>
        <v/>
      </c>
      <c r="O24" s="138">
        <f>IF(B24&lt;='VALOR POR PL'!$P$5,'CP RESUMO'!W51,"")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HISTORICOS'!X9)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RESUMO'!X9</f>
        <v/>
      </c>
      <c r="N25" s="139">
        <f>MAX(0,M25-M24)</f>
        <v/>
      </c>
      <c r="O25" s="138">
        <f>IF(B25&lt;='VALOR POR PL'!$P$5,'CP RESUMO'!X51,"")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HISTORICOS'!Y9)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RESUMO'!Y9</f>
        <v/>
      </c>
      <c r="N26" s="139">
        <f>MAX(0,M26-M25)</f>
        <v/>
      </c>
      <c r="O26" s="138">
        <f>IF(B26&lt;='VALOR POR PL'!$P$5,'CP RESUMO'!Y51,"")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HISTORICOS'!Z9)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RESUMO'!Z9</f>
        <v/>
      </c>
      <c r="N27" s="139">
        <f>MAX(0,M27-M26)</f>
        <v/>
      </c>
      <c r="O27" s="138">
        <f>IF(B27&lt;='VALOR POR PL'!$P$5,'CP RESUMO'!Z51,"")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HISTORICOS'!AA9)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RESUMO'!AA9</f>
        <v/>
      </c>
      <c r="N28" s="139">
        <f>MAX(0,M28-M27)</f>
        <v/>
      </c>
      <c r="O28" s="138">
        <f>IF(B28&lt;='VALOR POR PL'!$P$5,'CP RESUMO'!AA51,"")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HISTORICOS'!AB9)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RESUMO'!AB9</f>
        <v/>
      </c>
      <c r="N29" s="139">
        <f>MAX(0,M29-M28)</f>
        <v/>
      </c>
      <c r="O29" s="138">
        <f>IF(B29&lt;='VALOR POR PL'!$P$5,'CP RESUMO'!AB51,"")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HISTORICOS'!AC9)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RESUMO'!AC9</f>
        <v/>
      </c>
      <c r="N30" s="139">
        <f>MAX(0,M30-M29)</f>
        <v/>
      </c>
      <c r="O30" s="138">
        <f>IF(B30&lt;='VALOR POR PL'!$P$5,'CP RESUMO'!AC51,"")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HISTORICOS'!AD9)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RESUMO'!AD9</f>
        <v/>
      </c>
      <c r="N31" s="139">
        <f>MAX(0,M31-M30)</f>
        <v/>
      </c>
      <c r="O31" s="138">
        <f>IF(B31&lt;='VALOR POR PL'!$P$5,'CP RESUMO'!AD51,"")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HISTORICOS'!AE9)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RESUMO'!AE9</f>
        <v/>
      </c>
      <c r="N32" s="139">
        <f>MAX(0,M32-M31)</f>
        <v/>
      </c>
      <c r="O32" s="138">
        <f>IF(B32&lt;='VALOR POR PL'!$P$5,'CP RESUMO'!AE51,"")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HISTORICOS'!AF9)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RESUMO'!AF9</f>
        <v/>
      </c>
      <c r="N33" s="139">
        <f>MAX(0,M33-M32)</f>
        <v/>
      </c>
      <c r="O33" s="138">
        <f>IF(B33&lt;='VALOR POR PL'!$P$5,'CP RESUMO'!AF51,"")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HISTORICOS'!AG9)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RESUMO'!AG9</f>
        <v/>
      </c>
      <c r="N34" s="139">
        <f>MAX(0,M34-M33)</f>
        <v/>
      </c>
      <c r="O34" s="138">
        <f>IF(B34&lt;='VALOR POR PL'!$P$5,'CP RESUMO'!AG51,"")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HISTORICOS'!AH9)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RESUMO'!AH9</f>
        <v/>
      </c>
      <c r="N35" s="139">
        <f>MAX(0,M35-M34)</f>
        <v/>
      </c>
      <c r="O35" s="138">
        <f>IF(B35&lt;='VALOR POR PL'!$P$5,'CP RESUMO'!AH51,"")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HISTORICOS'!AI9)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RESUMO'!AI9</f>
        <v/>
      </c>
      <c r="N36" s="139">
        <f>MAX(0,M36-M35)</f>
        <v/>
      </c>
      <c r="O36" s="138">
        <f>IF(B36&lt;='VALOR POR PL'!$P$5,'CP RESUMO'!AI51,"")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HISTORICOS'!AJ9)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RESUMO'!AJ9</f>
        <v/>
      </c>
      <c r="N37" s="139">
        <f>MAX(0,M37-M36)</f>
        <v/>
      </c>
      <c r="O37" s="138">
        <f>IF(B37&lt;='VALOR POR PL'!$P$5,'CP RESUMO'!AJ51,"")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HISTORICOS'!AK9)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RESUMO'!AK9</f>
        <v/>
      </c>
      <c r="N38" s="139">
        <f>MAX(0,M38-M37)</f>
        <v/>
      </c>
      <c r="O38" s="138">
        <f>IF(B38&lt;='VALOR POR PL'!$P$5,'CP RESUMO'!AK51,"")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HISTORICOS'!AL9)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RESUMO'!AL9</f>
        <v/>
      </c>
      <c r="N39" s="139">
        <f>MAX(0,M39-M38)</f>
        <v/>
      </c>
      <c r="O39" s="138">
        <f>IF(B39&lt;='VALOR POR PL'!$P$5,'CP RESUMO'!AL51,"")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HISTORICOS'!AM9)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RESUMO'!AM9</f>
        <v/>
      </c>
      <c r="N40" s="139">
        <f>MAX(0,M40-M39)</f>
        <v/>
      </c>
      <c r="O40" s="138">
        <f>IF(B40&lt;='VALOR POR PL'!$P$5,'CP RESUMO'!AM51,"")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HISTORICOS'!AN9)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RESUMO'!AN9</f>
        <v/>
      </c>
      <c r="N41" s="139">
        <f>MAX(0,M41-M40)</f>
        <v/>
      </c>
      <c r="O41" s="138">
        <f>IF(B41&lt;='VALOR POR PL'!$P$5,'CP RESUMO'!AN51,"")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HISTORICOS'!AO9)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RESUMO'!AO9</f>
        <v/>
      </c>
      <c r="N42" s="139">
        <f>MAX(0,M42-M41)</f>
        <v/>
      </c>
      <c r="O42" s="138">
        <f>IF(B42&lt;='VALOR POR PL'!$P$5,'CP RESUMO'!AO51,"")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HISTORICOS'!AP9)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RESUMO'!AP9</f>
        <v/>
      </c>
      <c r="N43" s="139">
        <f>MAX(0,M43-M42)</f>
        <v/>
      </c>
      <c r="O43" s="138">
        <f>IF(B43&lt;='VALOR POR PL'!$P$5,'CP RESUMO'!AP51,"")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HISTORICOS'!AQ9)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/>
      <c r="L44" s="49">
        <f>C44/IF(B44&lt;='VALOR POR PL'!$P$5,IFERROR(INDEX('"INCC-FGV"'!$B$2:$B$800,MATCH(B44,'"INCC-FGV"'!$A$2:$A$800,0)),$K$2),$K$2)</f>
        <v/>
      </c>
      <c r="M44" s="138">
        <f>'CP RESUMO'!AQ9</f>
        <v/>
      </c>
      <c r="N44" s="139">
        <f>MAX(0,M44-M43)</f>
        <v/>
      </c>
      <c r="O44" s="138">
        <f>IF(B44&lt;='VALOR POR PL'!$P$5,'CP RESUMO'!AQ51,"")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HISTORICOS'!AR9)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/>
      <c r="L45" s="49">
        <f>C45/IF(B45&lt;='VALOR POR PL'!$P$5,IFERROR(INDEX('"INCC-FGV"'!$B$2:$B$800,MATCH(B45,'"INCC-FGV"'!$A$2:$A$800,0)),$K$2),$K$2)</f>
        <v/>
      </c>
      <c r="M45" s="138">
        <f>'CP RESUMO'!AR9</f>
        <v/>
      </c>
      <c r="N45" s="139">
        <f>MAX(0,M45-M44)</f>
        <v/>
      </c>
      <c r="O45" s="138">
        <f>IF(B45&lt;='VALOR POR PL'!$P$5,'CP RESUMO'!AR51,"")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HISTORICOS'!AS9)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RESUMO'!AS9</f>
        <v/>
      </c>
      <c r="N46" s="139">
        <f>MAX(0,M46-M45)</f>
        <v/>
      </c>
      <c r="O46" s="138">
        <f>IF(B46&lt;='VALOR POR PL'!$P$5,'CP RESUMO'!AS51,"")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HISTORICOS'!AT9)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RESUMO'!AT9</f>
        <v/>
      </c>
      <c r="N47" s="139">
        <f>MAX(0,M47-M46)</f>
        <v/>
      </c>
      <c r="O47" s="138">
        <f>IF(B47&lt;='VALOR POR PL'!$P$5,'CP RESUMO'!AT51,"")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HISTORICOS'!AU9)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RESUMO'!AU9</f>
        <v/>
      </c>
      <c r="N48" s="139">
        <f>MAX(0,M48-M47)</f>
        <v/>
      </c>
      <c r="O48" s="138">
        <f>IF(B48&lt;='VALOR POR PL'!$P$5,'CP RESUMO'!AU51,"")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HISTORICOS'!AV9)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RESUMO'!AV9</f>
        <v/>
      </c>
      <c r="N49" s="139">
        <f>MAX(0,M49-M48)</f>
        <v/>
      </c>
      <c r="O49" s="138">
        <f>IF(B49&lt;='VALOR POR PL'!$P$5,'CP RESUMO'!AV51,"")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HISTORICOS'!AW9)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RESUMO'!AW9</f>
        <v/>
      </c>
      <c r="N50" s="139">
        <f>MAX(0,M50-M49)</f>
        <v/>
      </c>
      <c r="O50" s="138">
        <f>IF(B50&lt;='VALOR POR PL'!$P$5,'CP RESUMO'!AW51,"")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HISTORICOS'!AX9)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RESUMO'!AX9</f>
        <v/>
      </c>
      <c r="N51" s="139">
        <f>MAX(0,M51-M50)</f>
        <v/>
      </c>
      <c r="O51" s="138">
        <f>IF(B51&lt;='VALOR POR PL'!$P$5,'CP RESUMO'!AX51,"")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HISTORICOS'!AY9)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RESUMO'!AY9</f>
        <v/>
      </c>
      <c r="N52" s="139">
        <f>MAX(0,M52-M51)</f>
        <v/>
      </c>
      <c r="O52" s="138">
        <f>IF(B52&lt;='VALOR POR PL'!$P$5,'CP RESUMO'!AY51,"")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HISTORICOS'!AZ9)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RESUMO'!AZ9</f>
        <v/>
      </c>
      <c r="N53" s="139">
        <f>MAX(0,M53-M52)</f>
        <v/>
      </c>
      <c r="O53" s="138">
        <f>IF(B53&lt;='VALOR POR PL'!$P$5,'CP RESUMO'!AZ51,"")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HISTORICOS'!BA9)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RESUMO'!BA9</f>
        <v/>
      </c>
      <c r="N54" s="139">
        <f>MAX(0,M54-M53)</f>
        <v/>
      </c>
      <c r="O54" s="138">
        <f>IF(B54&lt;='VALOR POR PL'!$P$5,'CP RESUMO'!BA51,"")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HISTORICOS'!BB9)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RESUMO'!BB9</f>
        <v/>
      </c>
      <c r="N55" s="139">
        <f>MAX(0,M55-M54)</f>
        <v/>
      </c>
      <c r="O55" s="138">
        <f>IF(B55&lt;='VALOR POR PL'!$P$5,'CP RESUMO'!BB51,"")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HISTORICOS'!BC9)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RESUMO'!BC9</f>
        <v/>
      </c>
      <c r="N56" s="139">
        <f>MAX(0,M56-M55)</f>
        <v/>
      </c>
      <c r="O56" s="138">
        <f>IF(B56&lt;='VALOR POR PL'!$P$5,'CP RESUMO'!BC51,"")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HISTORICOS'!BD9)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RESUMO'!BD9</f>
        <v/>
      </c>
      <c r="N57" s="139">
        <f>MAX(0,M57-M56)</f>
        <v/>
      </c>
      <c r="O57" s="138">
        <f>IF(B57&lt;='VALOR POR PL'!$P$5,'CP RESUMO'!BD51,"")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HISTORICOS'!BE9)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RESUMO'!BE9</f>
        <v/>
      </c>
      <c r="N58" s="139">
        <f>MAX(0,M58-M57)</f>
        <v/>
      </c>
      <c r="O58" s="138">
        <f>IF(B58&lt;='VALOR POR PL'!$P$5,'CP RESUMO'!BE51,"")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HISTORICOS'!BF9)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RESUMO'!BF9</f>
        <v/>
      </c>
      <c r="N59" s="139">
        <f>MAX(0,M59-M58)</f>
        <v/>
      </c>
      <c r="O59" s="138">
        <f>IF(B59&lt;='VALOR POR PL'!$P$5,'CP RESUMO'!BF51,"")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HISTORICOS'!BG9)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RESUMO'!BG9</f>
        <v/>
      </c>
      <c r="N60" s="139">
        <f>MAX(0,M60-M59)</f>
        <v/>
      </c>
      <c r="O60" s="138">
        <f>IF(B60&lt;='VALOR POR PL'!$P$5,'CP RESUMO'!BG51,"")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HISTORICOS'!BH9)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RESUMO'!BH9</f>
        <v/>
      </c>
      <c r="N61" s="139">
        <f>MAX(0,M61-M60)</f>
        <v/>
      </c>
      <c r="O61" s="138">
        <f>IF(B61&lt;='VALOR POR PL'!$P$5,'CP RESUMO'!BH51,"")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HISTORICOS'!BI9)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RESUMO'!BI9</f>
        <v/>
      </c>
      <c r="N62" s="139">
        <f>MAX(0,M62-M61)</f>
        <v/>
      </c>
      <c r="O62" s="138">
        <f>IF(B62&lt;='VALOR POR PL'!$P$5,'CP RESUMO'!BI51,"")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HISTORICOS'!BJ9)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RESUMO'!BJ9</f>
        <v/>
      </c>
      <c r="N63" s="139">
        <f>MAX(0,M63-M62)</f>
        <v/>
      </c>
      <c r="O63" s="138">
        <f>IF(B63&lt;='VALOR POR PL'!$P$5,'CP RESUMO'!BJ51,"")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HISTORICOS'!BK9)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RESUMO'!BK9</f>
        <v/>
      </c>
      <c r="N64" s="139">
        <f>MAX(0,M64-M63)</f>
        <v/>
      </c>
      <c r="O64" s="138">
        <f>IF(B64&lt;='VALOR POR PL'!$P$5,'CP RESUMO'!BK51,"")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HISTORICOS'!BL9)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RESUMO'!BL9</f>
        <v/>
      </c>
      <c r="N65" s="139">
        <f>MAX(0,M65-M64)</f>
        <v/>
      </c>
      <c r="O65" s="138">
        <f>IF(B65&lt;='VALOR POR PL'!$P$5,'CP RESUMO'!BL51,"")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HISTORICOS'!BM9)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RESUMO'!BM9</f>
        <v/>
      </c>
      <c r="N66" s="139">
        <f>MAX(0,M66-M65)</f>
        <v/>
      </c>
      <c r="O66" s="138">
        <f>IF(B66&lt;='VALOR POR PL'!$P$5,'CP RESUMO'!BM51,"")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HISTORICOS'!BN9)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RESUMO'!BN9</f>
        <v/>
      </c>
      <c r="N67" s="139">
        <f>MAX(0,M67-M66)</f>
        <v/>
      </c>
      <c r="O67" s="138">
        <f>IF(B67&lt;='VALOR POR PL'!$P$5,'CP RESUMO'!BN51,"")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HISTORICOS'!BO9)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RESUMO'!BO9</f>
        <v/>
      </c>
      <c r="N68" s="139">
        <f>MAX(0,M68-M67)</f>
        <v/>
      </c>
      <c r="O68" s="138">
        <f>IF(B68&lt;='VALOR POR PL'!$P$5,'CP RESUMO'!BO51,"")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HISTORICOS'!BP9)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RESUMO'!BP9</f>
        <v/>
      </c>
      <c r="N69" s="139">
        <f>MAX(0,M69-M68)</f>
        <v/>
      </c>
      <c r="O69" s="138">
        <f>IF(B69&lt;='VALOR POR PL'!$P$5,'CP RESUMO'!BP51,"")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HISTORICOS'!BQ9)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RESUMO'!BQ9</f>
        <v/>
      </c>
      <c r="N70" s="139">
        <f>MAX(0,M70-M69)</f>
        <v/>
      </c>
      <c r="O70" s="138">
        <f>IF(B70&lt;='VALOR POR PL'!$P$5,'CP RESUMO'!BQ51,"")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HISTORICOS'!BR9)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RESUMO'!BR9</f>
        <v/>
      </c>
      <c r="N71" s="139">
        <f>MAX(0,M71-M70)</f>
        <v/>
      </c>
      <c r="O71" s="138">
        <f>IF(B71&lt;='VALOR POR PL'!$P$5,'CP RESUMO'!BR51,"")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HISTORICOS'!BS9)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RESUMO'!BS9</f>
        <v/>
      </c>
      <c r="N72" s="139">
        <f>MAX(0,M72-M71)</f>
        <v/>
      </c>
      <c r="O72" s="138">
        <f>IF(B72&lt;='VALOR POR PL'!$P$5,'CP RESUMO'!BS51,"")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HISTORICOS'!BT9)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RESUMO'!BT9</f>
        <v/>
      </c>
      <c r="N73" s="139">
        <f>MAX(0,M73-M72)</f>
        <v/>
      </c>
      <c r="O73" s="138">
        <f>IF(B73&lt;='VALOR POR PL'!$P$5,'CP RESUMO'!BT51,"")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HISTORICOS'!BU9)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RESUMO'!BU9</f>
        <v/>
      </c>
      <c r="N74" s="139">
        <f>MAX(0,M74-M73)</f>
        <v/>
      </c>
      <c r="O74" s="138">
        <f>IF(B74&lt;='VALOR POR PL'!$P$5,'CP RESUMO'!BU51,"")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HISTORICOS'!BV9)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RESUMO'!BV9</f>
        <v/>
      </c>
      <c r="N75" s="139">
        <f>MAX(0,M75-M74)</f>
        <v/>
      </c>
      <c r="O75" s="138">
        <f>IF(B75&lt;='VALOR POR PL'!$P$5,'CP RESUMO'!BV51,"")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HISTORICOS'!BW9)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RESUMO'!BW9</f>
        <v/>
      </c>
      <c r="N76" s="139">
        <f>MAX(0,M76-M75)</f>
        <v/>
      </c>
      <c r="O76" s="138">
        <f>IF(B76&lt;='VALOR POR PL'!$P$5,'CP RESUMO'!BW51,"")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PL'!D16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HISTORICOS'!D10)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PL'!F16</f>
        <v/>
      </c>
      <c r="K5" s="60">
        <f>'VALOR POR PL'!G16</f>
        <v/>
      </c>
      <c r="L5" s="60">
        <f>'DADOS HISTORICOS'!$BZ$10</f>
        <v/>
      </c>
      <c r="M5" s="138">
        <f>'CP RESUMO'!D10</f>
        <v/>
      </c>
      <c r="N5" s="139" t="n">
        <v>0</v>
      </c>
      <c r="O5" s="138">
        <f>IF(B5&lt;='VALOR POR PL'!$P$5,'CP RESUMO'!D52,"")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HISTORICOS'!E10)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PL'!H16</f>
        <v/>
      </c>
      <c r="L6" s="49">
        <f>C6/IF(B6&lt;='VALOR POR PL'!$P$5,IFERROR(INDEX('"INCC-FGV"'!$B$2:$B$800,MATCH(B6,'"INCC-FGV"'!$A$2:$A$800,0)),$K$2),$K$2)</f>
        <v/>
      </c>
      <c r="M6" s="138">
        <f>'CP RESUMO'!E10</f>
        <v/>
      </c>
      <c r="N6" s="139">
        <f>MAX(0,M6-M5)</f>
        <v/>
      </c>
      <c r="O6" s="138">
        <f>IF(B6&lt;='VALOR POR PL'!$P$5,'CP RESUMO'!E52,"")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HISTORICOS'!F10)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RESUMO'!F10</f>
        <v/>
      </c>
      <c r="N7" s="139">
        <f>MAX(0,M7-M6)</f>
        <v/>
      </c>
      <c r="O7" s="138">
        <f>IF(B7&lt;='VALOR POR PL'!$P$5,'CP RESUMO'!F52,"")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HISTORICOS'!G10)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RESUMO'!G10</f>
        <v/>
      </c>
      <c r="N8" s="139">
        <f>MAX(0,M8-M7)</f>
        <v/>
      </c>
      <c r="O8" s="138">
        <f>IF(B8&lt;='VALOR POR PL'!$P$5,'CP RESUMO'!G52,"")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HISTORICOS'!H10)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RESUMO'!H10</f>
        <v/>
      </c>
      <c r="N9" s="139">
        <f>MAX(0,M9-M8)</f>
        <v/>
      </c>
      <c r="O9" s="138">
        <f>IF(B9&lt;='VALOR POR PL'!$P$5,'CP RESUMO'!H52,"")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HISTORICOS'!I10)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RESUMO'!I10</f>
        <v/>
      </c>
      <c r="N10" s="139">
        <f>MAX(0,M10-M9)</f>
        <v/>
      </c>
      <c r="O10" s="138">
        <f>IF(B10&lt;='VALOR POR PL'!$P$5,'CP RESUMO'!I52,"")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HISTORICOS'!J10)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RESUMO'!J10</f>
        <v/>
      </c>
      <c r="N11" s="139">
        <f>MAX(0,M11-M10)</f>
        <v/>
      </c>
      <c r="O11" s="138">
        <f>IF(B11&lt;='VALOR POR PL'!$P$5,'CP RESUMO'!J52,"")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HISTORICOS'!K10)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RESUMO'!K10</f>
        <v/>
      </c>
      <c r="N12" s="139">
        <f>MAX(0,M12-M11)</f>
        <v/>
      </c>
      <c r="O12" s="138">
        <f>IF(B12&lt;='VALOR POR PL'!$P$5,'CP RESUMO'!K52,"")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HISTORICOS'!L10)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PL'!I16</f>
        <v/>
      </c>
      <c r="L13" s="49">
        <f>C13/IF(B13&lt;='VALOR POR PL'!$P$5,IFERROR(INDEX('"INCC-FGV"'!$B$2:$B$800,MATCH(B13,'"INCC-FGV"'!$A$2:$A$800,0)),$K$2),$K$2)</f>
        <v/>
      </c>
      <c r="M13" s="138">
        <f>'CP RESUMO'!L10</f>
        <v/>
      </c>
      <c r="N13" s="139">
        <f>MAX(0,M13-M12)</f>
        <v/>
      </c>
      <c r="O13" s="138">
        <f>IF(B13&lt;='VALOR POR PL'!$P$5,'CP RESUMO'!L52,"")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HISTORICOS'!M10)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RESUMO'!$D$52:$BW$52,MATCH('VALOR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RESUMO'!M10</f>
        <v/>
      </c>
      <c r="N14" s="139">
        <f>MAX(0,M14-M13)</f>
        <v/>
      </c>
      <c r="O14" s="138">
        <f>IF(B14&lt;='VALOR POR PL'!$P$5,'CP RESUMO'!M52,"")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HISTORICOS'!N10)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RESUMO'!N10</f>
        <v/>
      </c>
      <c r="N15" s="139">
        <f>MAX(0,M15-M14)</f>
        <v/>
      </c>
      <c r="O15" s="138">
        <f>IF(B15&lt;='VALOR POR PL'!$P$5,'CP RESUMO'!N52,"")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HISTORICOS'!O10)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RESUMO'!O10</f>
        <v/>
      </c>
      <c r="N16" s="139">
        <f>MAX(0,M16-M15)</f>
        <v/>
      </c>
      <c r="O16" s="138">
        <f>IF(B16&lt;='VALOR POR PL'!$P$5,'CP RESUMO'!O52,"")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HISTORICOS'!P10)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RESUMO'!P10</f>
        <v/>
      </c>
      <c r="N17" s="139">
        <f>MAX(0,M17-M16)</f>
        <v/>
      </c>
      <c r="O17" s="138">
        <f>IF(B17&lt;='VALOR POR PL'!$P$5,'CP RESUMO'!P52,"")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HISTORICOS'!Q10)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RESUMO'!Q10</f>
        <v/>
      </c>
      <c r="N18" s="139">
        <f>MAX(0,M18-M17)</f>
        <v/>
      </c>
      <c r="O18" s="138">
        <f>IF(B18&lt;='VALOR POR PL'!$P$5,'CP RESUMO'!Q52,"")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HISTORICOS'!R10)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RESUMO'!R10</f>
        <v/>
      </c>
      <c r="N19" s="139">
        <f>MAX(0,M19-M18)</f>
        <v/>
      </c>
      <c r="O19" s="138">
        <f>IF(B19&lt;='VALOR POR PL'!$P$5,'CP RESUMO'!R52,"")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HISTORICOS'!S10)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RESUMO'!S10</f>
        <v/>
      </c>
      <c r="N20" s="139">
        <f>MAX(0,M20-M19)</f>
        <v/>
      </c>
      <c r="O20" s="138">
        <f>IF(B20&lt;='VALOR POR PL'!$P$5,'CP RESUMO'!S52,"")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HISTORICOS'!T10)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RESUMO'!T10</f>
        <v/>
      </c>
      <c r="N21" s="139">
        <f>MAX(0,M21-M20)</f>
        <v/>
      </c>
      <c r="O21" s="138">
        <f>IF(B21&lt;='VALOR POR PL'!$P$5,'CP RESUMO'!T52,"")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HISTORICOS'!U10)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RESUMO'!U10</f>
        <v/>
      </c>
      <c r="N22" s="139">
        <f>MAX(0,M22-M21)</f>
        <v/>
      </c>
      <c r="O22" s="138">
        <f>IF(B22&lt;='VALOR POR PL'!$P$5,'CP RESUMO'!U52,"")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HISTORICOS'!V10)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RESUMO'!V10</f>
        <v/>
      </c>
      <c r="N23" s="139">
        <f>MAX(0,M23-M22)</f>
        <v/>
      </c>
      <c r="O23" s="138">
        <f>IF(B23&lt;='VALOR POR PL'!$P$5,'CP RESUMO'!V52,"")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HISTORICOS'!W10)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RESUMO'!W10</f>
        <v/>
      </c>
      <c r="N24" s="139">
        <f>MAX(0,M24-M23)</f>
        <v/>
      </c>
      <c r="O24" s="138">
        <f>IF(B24&lt;='VALOR POR PL'!$P$5,'CP RESUMO'!W52,"")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HISTORICOS'!X10)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RESUMO'!X10</f>
        <v/>
      </c>
      <c r="N25" s="139">
        <f>MAX(0,M25-M24)</f>
        <v/>
      </c>
      <c r="O25" s="138">
        <f>IF(B25&lt;='VALOR POR PL'!$P$5,'CP RESUMO'!X52,"")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HISTORICOS'!Y10)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>
        <v>10541.48</v>
      </c>
      <c r="L26" s="49">
        <f>C26/IF(B26&lt;='VALOR POR PL'!$P$5,IFERROR(INDEX('"INCC-FGV"'!$B$2:$B$800,MATCH(B26,'"INCC-FGV"'!$A$2:$A$800,0)),$K$2),$K$2)</f>
        <v/>
      </c>
      <c r="M26" s="138">
        <f>'CP RESUMO'!Y10</f>
        <v/>
      </c>
      <c r="N26" s="139">
        <f>MAX(0,M26-M25)</f>
        <v/>
      </c>
      <c r="O26" s="138">
        <f>IF(B26&lt;='VALOR POR PL'!$P$5,'CP RESUMO'!Y52,"")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HISTORICOS'!Z10)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11379.4</v>
      </c>
      <c r="L27" s="49">
        <f>C27/IF(B27&lt;='VALOR POR PL'!$P$5,IFERROR(INDEX('"INCC-FGV"'!$B$2:$B$800,MATCH(B27,'"INCC-FGV"'!$A$2:$A$800,0)),$K$2),$K$2)</f>
        <v/>
      </c>
      <c r="M27" s="138">
        <f>'CP RESUMO'!Z10</f>
        <v/>
      </c>
      <c r="N27" s="139">
        <f>MAX(0,M27-M26)</f>
        <v/>
      </c>
      <c r="O27" s="138">
        <f>IF(B27&lt;='VALOR POR PL'!$P$5,'CP RESUMO'!Z52,"")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HISTORICOS'!AA10)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11128.35</v>
      </c>
      <c r="L28" s="49">
        <f>C28/IF(B28&lt;='VALOR POR PL'!$P$5,IFERROR(INDEX('"INCC-FGV"'!$B$2:$B$800,MATCH(B28,'"INCC-FGV"'!$A$2:$A$800,0)),$K$2),$K$2)</f>
        <v/>
      </c>
      <c r="M28" s="138">
        <f>'CP RESUMO'!AA10</f>
        <v/>
      </c>
      <c r="N28" s="139">
        <f>MAX(0,M28-M27)</f>
        <v/>
      </c>
      <c r="O28" s="138">
        <f>IF(B28&lt;='VALOR POR PL'!$P$5,'CP RESUMO'!AA52,"")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HISTORICOS'!AB10)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10642.17</v>
      </c>
      <c r="L29" s="49">
        <f>C29/IF(B29&lt;='VALOR POR PL'!$P$5,IFERROR(INDEX('"INCC-FGV"'!$B$2:$B$800,MATCH(B29,'"INCC-FGV"'!$A$2:$A$800,0)),$K$2),$K$2)</f>
        <v/>
      </c>
      <c r="M29" s="138">
        <f>'CP RESUMO'!AB10</f>
        <v/>
      </c>
      <c r="N29" s="139">
        <f>MAX(0,M29-M28)</f>
        <v/>
      </c>
      <c r="O29" s="138">
        <f>IF(B29&lt;='VALOR POR PL'!$P$5,'CP RESUMO'!AB52,"")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HISTORICOS'!AC10)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>
        <v>10269.24</v>
      </c>
      <c r="L30" s="49">
        <f>C30/IF(B30&lt;='VALOR POR PL'!$P$5,IFERROR(INDEX('"INCC-FGV"'!$B$2:$B$800,MATCH(B30,'"INCC-FGV"'!$A$2:$A$800,0)),$K$2),$K$2)</f>
        <v/>
      </c>
      <c r="M30" s="138">
        <f>'CP RESUMO'!AC10</f>
        <v/>
      </c>
      <c r="N30" s="139">
        <f>MAX(0,M30-M29)</f>
        <v/>
      </c>
      <c r="O30" s="138">
        <f>IF(B30&lt;='VALOR POR PL'!$P$5,'CP RESUMO'!AC52,"")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HISTORICOS'!AD10)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>
        <v>11105.6</v>
      </c>
      <c r="L31" s="49">
        <f>C31/IF(B31&lt;='VALOR POR PL'!$P$5,IFERROR(INDEX('"INCC-FGV"'!$B$2:$B$800,MATCH(B31,'"INCC-FGV"'!$A$2:$A$800,0)),$K$2),$K$2)</f>
        <v/>
      </c>
      <c r="M31" s="138">
        <f>'CP RESUMO'!AD10</f>
        <v/>
      </c>
      <c r="N31" s="139">
        <f>MAX(0,M31-M30)</f>
        <v/>
      </c>
      <c r="O31" s="138">
        <f>IF(B31&lt;='VALOR POR PL'!$P$5,'CP RESUMO'!AD52,"")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HISTORICOS'!AE10)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11301.04</v>
      </c>
      <c r="L32" s="49">
        <f>C32/IF(B32&lt;='VALOR POR PL'!$P$5,IFERROR(INDEX('"INCC-FGV"'!$B$2:$B$800,MATCH(B32,'"INCC-FGV"'!$A$2:$A$800,0)),$K$2),$K$2)</f>
        <v/>
      </c>
      <c r="M32" s="138">
        <f>'CP RESUMO'!AE10</f>
        <v/>
      </c>
      <c r="N32" s="139">
        <f>MAX(0,M32-M31)</f>
        <v/>
      </c>
      <c r="O32" s="138">
        <f>IF(B32&lt;='VALOR POR PL'!$P$5,'CP RESUMO'!AE52,"")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HISTORICOS'!AF10)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10888.96</v>
      </c>
      <c r="L33" s="49">
        <f>C33/IF(B33&lt;='VALOR POR PL'!$P$5,IFERROR(INDEX('"INCC-FGV"'!$B$2:$B$800,MATCH(B33,'"INCC-FGV"'!$A$2:$A$800,0)),$K$2),$K$2)</f>
        <v/>
      </c>
      <c r="M33" s="138">
        <f>'CP RESUMO'!AF10</f>
        <v/>
      </c>
      <c r="N33" s="139">
        <f>MAX(0,M33-M32)</f>
        <v/>
      </c>
      <c r="O33" s="138">
        <f>IF(B33&lt;='VALOR POR PL'!$P$5,'CP RESUMO'!AF52,"")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HISTORICOS'!AG10)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11189.99</v>
      </c>
      <c r="L34" s="49">
        <f>C34/IF(B34&lt;='VALOR POR PL'!$P$5,IFERROR(INDEX('"INCC-FGV"'!$B$2:$B$800,MATCH(B34,'"INCC-FGV"'!$A$2:$A$800,0)),$K$2),$K$2)</f>
        <v/>
      </c>
      <c r="M34" s="138">
        <f>'CP RESUMO'!AG10</f>
        <v/>
      </c>
      <c r="N34" s="139">
        <f>MAX(0,M34-M33)</f>
        <v/>
      </c>
      <c r="O34" s="138">
        <f>IF(B34&lt;='VALOR POR PL'!$P$5,'CP RESUMO'!AG52,"")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HISTORICOS'!AH10)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11332.57</v>
      </c>
      <c r="L35" s="49">
        <f>C35/IF(B35&lt;='VALOR POR PL'!$P$5,IFERROR(INDEX('"INCC-FGV"'!$B$2:$B$800,MATCH(B35,'"INCC-FGV"'!$A$2:$A$800,0)),$K$2),$K$2)</f>
        <v/>
      </c>
      <c r="M35" s="138">
        <f>'CP RESUMO'!AH10</f>
        <v/>
      </c>
      <c r="N35" s="139">
        <f>MAX(0,M35-M34)</f>
        <v/>
      </c>
      <c r="O35" s="138">
        <f>IF(B35&lt;='VALOR POR PL'!$P$5,'CP RESUMO'!AH52,"")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HISTORICOS'!AI10)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11583.14</v>
      </c>
      <c r="L36" s="49">
        <f>C36/IF(B36&lt;='VALOR POR PL'!$P$5,IFERROR(INDEX('"INCC-FGV"'!$B$2:$B$800,MATCH(B36,'"INCC-FGV"'!$A$2:$A$800,0)),$K$2),$K$2)</f>
        <v/>
      </c>
      <c r="M36" s="138">
        <f>'CP RESUMO'!AI10</f>
        <v/>
      </c>
      <c r="N36" s="139">
        <f>MAX(0,M36-M35)</f>
        <v/>
      </c>
      <c r="O36" s="138">
        <f>IF(B36&lt;='VALOR POR PL'!$P$5,'CP RESUMO'!AI52,"")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HISTORICOS'!AJ10)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11935.17</v>
      </c>
      <c r="L37" s="49">
        <f>C37/IF(B37&lt;='VALOR POR PL'!$P$5,IFERROR(INDEX('"INCC-FGV"'!$B$2:$B$800,MATCH(B37,'"INCC-FGV"'!$A$2:$A$800,0)),$K$2),$K$2)</f>
        <v/>
      </c>
      <c r="M37" s="138">
        <f>'CP RESUMO'!AJ10</f>
        <v/>
      </c>
      <c r="N37" s="139">
        <f>MAX(0,M37-M36)</f>
        <v/>
      </c>
      <c r="O37" s="138">
        <f>IF(B37&lt;='VALOR POR PL'!$P$5,'CP RESUMO'!AJ52,"")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HISTORICOS'!AK10)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12480.22</v>
      </c>
      <c r="L38" s="49">
        <f>C38/IF(B38&lt;='VALOR POR PL'!$P$5,IFERROR(INDEX('"INCC-FGV"'!$B$2:$B$800,MATCH(B38,'"INCC-FGV"'!$A$2:$A$800,0)),$K$2),$K$2)</f>
        <v/>
      </c>
      <c r="M38" s="138">
        <f>'CP RESUMO'!AK10</f>
        <v/>
      </c>
      <c r="N38" s="139">
        <f>MAX(0,M38-M37)</f>
        <v/>
      </c>
      <c r="O38" s="138">
        <f>IF(B38&lt;='VALOR POR PL'!$P$5,'CP RESUMO'!AK52,"")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HISTORICOS'!AL10)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12867.83</v>
      </c>
      <c r="L39" s="49">
        <f>C39/IF(B39&lt;='VALOR POR PL'!$P$5,IFERROR(INDEX('"INCC-FGV"'!$B$2:$B$800,MATCH(B39,'"INCC-FGV"'!$A$2:$A$800,0)),$K$2),$K$2)</f>
        <v/>
      </c>
      <c r="M39" s="138">
        <f>'CP RESUMO'!AL10</f>
        <v/>
      </c>
      <c r="N39" s="139">
        <f>MAX(0,M39-M38)</f>
        <v/>
      </c>
      <c r="O39" s="138">
        <f>IF(B39&lt;='VALOR POR PL'!$P$5,'CP RESUMO'!AL52,"")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HISTORICOS'!AM10)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12853.32</v>
      </c>
      <c r="L40" s="49">
        <f>C40/IF(B40&lt;='VALOR POR PL'!$P$5,IFERROR(INDEX('"INCC-FGV"'!$B$2:$B$800,MATCH(B40,'"INCC-FGV"'!$A$2:$A$800,0)),$K$2),$K$2)</f>
        <v/>
      </c>
      <c r="M40" s="138">
        <f>'CP RESUMO'!AM10</f>
        <v/>
      </c>
      <c r="N40" s="139">
        <f>MAX(0,M40-M39)</f>
        <v/>
      </c>
      <c r="O40" s="138">
        <f>IF(B40&lt;='VALOR POR PL'!$P$5,'CP RESUMO'!AM52,"")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HISTORICOS'!AN10)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13195.68</v>
      </c>
      <c r="L41" s="49">
        <f>C41/IF(B41&lt;='VALOR POR PL'!$P$5,IFERROR(INDEX('"INCC-FGV"'!$B$2:$B$800,MATCH(B41,'"INCC-FGV"'!$A$2:$A$800,0)),$K$2),$K$2)</f>
        <v/>
      </c>
      <c r="M41" s="138">
        <f>'CP RESUMO'!AN10</f>
        <v/>
      </c>
      <c r="N41" s="139">
        <f>MAX(0,M41-M40)</f>
        <v/>
      </c>
      <c r="O41" s="138">
        <f>IF(B41&lt;='VALOR POR PL'!$P$5,'CP RESUMO'!AN52,"")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HISTORICOS'!AO10)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12006.76</v>
      </c>
      <c r="L42" s="49">
        <f>C42/IF(B42&lt;='VALOR POR PL'!$P$5,IFERROR(INDEX('"INCC-FGV"'!$B$2:$B$800,MATCH(B42,'"INCC-FGV"'!$A$2:$A$800,0)),$K$2),$K$2)</f>
        <v/>
      </c>
      <c r="M42" s="138">
        <f>'CP RESUMO'!AO10</f>
        <v/>
      </c>
      <c r="N42" s="139">
        <f>MAX(0,M42-M41)</f>
        <v/>
      </c>
      <c r="O42" s="138">
        <f>IF(B42&lt;='VALOR POR PL'!$P$5,'CP RESUMO'!AO52,"")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HISTORICOS'!AP10)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12952.12</v>
      </c>
      <c r="L43" s="49">
        <f>C43/IF(B43&lt;='VALOR POR PL'!$P$5,IFERROR(INDEX('"INCC-FGV"'!$B$2:$B$800,MATCH(B43,'"INCC-FGV"'!$A$2:$A$800,0)),$K$2),$K$2)</f>
        <v/>
      </c>
      <c r="M43" s="138">
        <f>'CP RESUMO'!AP10</f>
        <v/>
      </c>
      <c r="N43" s="139">
        <f>MAX(0,M43-M42)</f>
        <v/>
      </c>
      <c r="O43" s="138">
        <f>IF(B43&lt;='VALOR POR PL'!$P$5,'CP RESUMO'!AP52,"")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HISTORICOS'!AQ10)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12741.85</v>
      </c>
      <c r="L44" s="49">
        <f>C44/IF(B44&lt;='VALOR POR PL'!$P$5,IFERROR(INDEX('"INCC-FGV"'!$B$2:$B$800,MATCH(B44,'"INCC-FGV"'!$A$2:$A$800,0)),$K$2),$K$2)</f>
        <v/>
      </c>
      <c r="M44" s="138">
        <f>'CP RESUMO'!AQ10</f>
        <v/>
      </c>
      <c r="N44" s="139">
        <f>MAX(0,M44-M43)</f>
        <v/>
      </c>
      <c r="O44" s="138">
        <f>IF(B44&lt;='VALOR POR PL'!$P$5,'CP RESUMO'!AQ52,"")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HISTORICOS'!AR10)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12613.6</v>
      </c>
      <c r="L45" s="49">
        <f>C45/IF(B45&lt;='VALOR POR PL'!$P$5,IFERROR(INDEX('"INCC-FGV"'!$B$2:$B$800,MATCH(B45,'"INCC-FGV"'!$A$2:$A$800,0)),$K$2),$K$2)</f>
        <v/>
      </c>
      <c r="M45" s="138">
        <f>'CP RESUMO'!AR10</f>
        <v/>
      </c>
      <c r="N45" s="139">
        <f>MAX(0,M45-M44)</f>
        <v/>
      </c>
      <c r="O45" s="138">
        <f>IF(B45&lt;='VALOR POR PL'!$P$5,'CP RESUMO'!AR52,"")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HISTORICOS'!AS10)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12214.28</v>
      </c>
      <c r="L46" s="49">
        <f>C46/IF(B46&lt;='VALOR POR PL'!$P$5,IFERROR(INDEX('"INCC-FGV"'!$B$2:$B$800,MATCH(B46,'"INCC-FGV"'!$A$2:$A$800,0)),$K$2),$K$2)</f>
        <v/>
      </c>
      <c r="M46" s="138">
        <f>'CP RESUMO'!AS10</f>
        <v/>
      </c>
      <c r="N46" s="139">
        <f>MAX(0,M46-M45)</f>
        <v/>
      </c>
      <c r="O46" s="138">
        <f>IF(B46&lt;='VALOR POR PL'!$P$5,'CP RESUMO'!AS52,"")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HISTORICOS'!AT10)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12961.71</v>
      </c>
      <c r="L47" s="49">
        <f>C47/IF(B47&lt;='VALOR POR PL'!$P$5,IFERROR(INDEX('"INCC-FGV"'!$B$2:$B$800,MATCH(B47,'"INCC-FGV"'!$A$2:$A$800,0)),$K$2),$K$2)</f>
        <v/>
      </c>
      <c r="M47" s="138">
        <f>'CP RESUMO'!AT10</f>
        <v/>
      </c>
      <c r="N47" s="139">
        <f>MAX(0,M47-M46)</f>
        <v/>
      </c>
      <c r="O47" s="138">
        <f>IF(B47&lt;='VALOR POR PL'!$P$5,'CP RESUMO'!AT52,"")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HISTORICOS'!AU10)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12457.67</v>
      </c>
      <c r="L48" s="49">
        <f>C48/IF(B48&lt;='VALOR POR PL'!$P$5,IFERROR(INDEX('"INCC-FGV"'!$B$2:$B$800,MATCH(B48,'"INCC-FGV"'!$A$2:$A$800,0)),$K$2),$K$2)</f>
        <v/>
      </c>
      <c r="M48" s="138">
        <f>'CP RESUMO'!AU10</f>
        <v/>
      </c>
      <c r="N48" s="139">
        <f>MAX(0,M48-M47)</f>
        <v/>
      </c>
      <c r="O48" s="138">
        <f>IF(B48&lt;='VALOR POR PL'!$P$5,'CP RESUMO'!AU52,"")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HISTORICOS'!AV10)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12316.4</v>
      </c>
      <c r="L49" s="49">
        <f>C49/IF(B49&lt;='VALOR POR PL'!$P$5,IFERROR(INDEX('"INCC-FGV"'!$B$2:$B$800,MATCH(B49,'"INCC-FGV"'!$A$2:$A$800,0)),$K$2),$K$2)</f>
        <v/>
      </c>
      <c r="M49" s="138">
        <f>'CP RESUMO'!AV10</f>
        <v/>
      </c>
      <c r="N49" s="139">
        <f>MAX(0,M49-M48)</f>
        <v/>
      </c>
      <c r="O49" s="138">
        <f>IF(B49&lt;='VALOR POR PL'!$P$5,'CP RESUMO'!AV52,"")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HISTORICOS'!AW10)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12207.86</v>
      </c>
      <c r="L50" s="49">
        <f>C50/IF(B50&lt;='VALOR POR PL'!$P$5,IFERROR(INDEX('"INCC-FGV"'!$B$2:$B$800,MATCH(B50,'"INCC-FGV"'!$A$2:$A$800,0)),$K$2),$K$2)</f>
        <v/>
      </c>
      <c r="M50" s="138">
        <f>'CP RESUMO'!AW10</f>
        <v/>
      </c>
      <c r="N50" s="139">
        <f>MAX(0,M50-M49)</f>
        <v/>
      </c>
      <c r="O50" s="138">
        <f>IF(B50&lt;='VALOR POR PL'!$P$5,'CP RESUMO'!AW52,"")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HISTORICOS'!AX10)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11610.73</v>
      </c>
      <c r="L51" s="49">
        <f>C51/IF(B51&lt;='VALOR POR PL'!$P$5,IFERROR(INDEX('"INCC-FGV"'!$B$2:$B$800,MATCH(B51,'"INCC-FGV"'!$A$2:$A$800,0)),$K$2),$K$2)</f>
        <v/>
      </c>
      <c r="M51" s="138">
        <f>'CP RESUMO'!AX10</f>
        <v/>
      </c>
      <c r="N51" s="139">
        <f>MAX(0,M51-M50)</f>
        <v/>
      </c>
      <c r="O51" s="138">
        <f>IF(B51&lt;='VALOR POR PL'!$P$5,'CP RESUMO'!AX52,"")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HISTORICOS'!AY10)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11025.61</v>
      </c>
      <c r="L52" s="49">
        <f>C52/IF(B52&lt;='VALOR POR PL'!$P$5,IFERROR(INDEX('"INCC-FGV"'!$B$2:$B$800,MATCH(B52,'"INCC-FGV"'!$A$2:$A$800,0)),$K$2),$K$2)</f>
        <v/>
      </c>
      <c r="M52" s="138">
        <f>'CP RESUMO'!AY10</f>
        <v/>
      </c>
      <c r="N52" s="139">
        <f>MAX(0,M52-M51)</f>
        <v/>
      </c>
      <c r="O52" s="138">
        <f>IF(B52&lt;='VALOR POR PL'!$P$5,'CP RESUMO'!AY52,"")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HISTORICOS'!AZ10)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10312.1</v>
      </c>
      <c r="L53" s="49">
        <f>C53/IF(B53&lt;='VALOR POR PL'!$P$5,IFERROR(INDEX('"INCC-FGV"'!$B$2:$B$800,MATCH(B53,'"INCC-FGV"'!$A$2:$A$800,0)),$K$2),$K$2)</f>
        <v/>
      </c>
      <c r="M53" s="138">
        <f>'CP RESUMO'!AZ10</f>
        <v/>
      </c>
      <c r="N53" s="139">
        <f>MAX(0,M53-M52)</f>
        <v/>
      </c>
      <c r="O53" s="138">
        <f>IF(B53&lt;='VALOR POR PL'!$P$5,'CP RESUMO'!AZ52,"")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HISTORICOS'!BA10)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9972.52</v>
      </c>
      <c r="L54" s="49">
        <f>C54/IF(B54&lt;='VALOR POR PL'!$P$5,IFERROR(INDEX('"INCC-FGV"'!$B$2:$B$800,MATCH(B54,'"INCC-FGV"'!$A$2:$A$800,0)),$K$2),$K$2)</f>
        <v/>
      </c>
      <c r="M54" s="138">
        <f>'CP RESUMO'!BA10</f>
        <v/>
      </c>
      <c r="N54" s="139">
        <f>MAX(0,M54-M53)</f>
        <v/>
      </c>
      <c r="O54" s="138">
        <f>IF(B54&lt;='VALOR POR PL'!$P$5,'CP RESUMO'!BA52,"")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HISTORICOS'!BB10)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9937.309999999999</v>
      </c>
      <c r="L55" s="49">
        <f>C55/IF(B55&lt;='VALOR POR PL'!$P$5,IFERROR(INDEX('"INCC-FGV"'!$B$2:$B$800,MATCH(B55,'"INCC-FGV"'!$A$2:$A$800,0)),$K$2),$K$2)</f>
        <v/>
      </c>
      <c r="M55" s="138">
        <f>'CP RESUMO'!BB10</f>
        <v/>
      </c>
      <c r="N55" s="139">
        <f>MAX(0,M55-M54)</f>
        <v/>
      </c>
      <c r="O55" s="138">
        <f>IF(B55&lt;='VALOR POR PL'!$P$5,'CP RESUMO'!BB52,"")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HISTORICOS'!BC10)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9524.9</v>
      </c>
      <c r="L56" s="49">
        <f>C56/IF(B56&lt;='VALOR POR PL'!$P$5,IFERROR(INDEX('"INCC-FGV"'!$B$2:$B$800,MATCH(B56,'"INCC-FGV"'!$A$2:$A$800,0)),$K$2),$K$2)</f>
        <v/>
      </c>
      <c r="M56" s="138">
        <f>'CP RESUMO'!BC10</f>
        <v/>
      </c>
      <c r="N56" s="139">
        <f>MAX(0,M56-M55)</f>
        <v/>
      </c>
      <c r="O56" s="138">
        <f>IF(B56&lt;='VALOR POR PL'!$P$5,'CP RESUMO'!BC52,"")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HISTORICOS'!BD10)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>
        <v>9124.110000000001</v>
      </c>
      <c r="L57" s="49">
        <f>C57/IF(B57&lt;='VALOR POR PL'!$P$5,IFERROR(INDEX('"INCC-FGV"'!$B$2:$B$800,MATCH(B57,'"INCC-FGV"'!$A$2:$A$800,0)),$K$2),$K$2)</f>
        <v/>
      </c>
      <c r="M57" s="138">
        <f>'CP RESUMO'!BD10</f>
        <v/>
      </c>
      <c r="N57" s="139">
        <f>MAX(0,M57-M56)</f>
        <v/>
      </c>
      <c r="O57" s="138">
        <f>IF(B57&lt;='VALOR POR PL'!$P$5,'CP RESUMO'!BD52,"")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HISTORICOS'!BE10)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>
        <v>9124.110000000001</v>
      </c>
      <c r="L58" s="49">
        <f>C58/IF(B58&lt;='VALOR POR PL'!$P$5,IFERROR(INDEX('"INCC-FGV"'!$B$2:$B$800,MATCH(B58,'"INCC-FGV"'!$A$2:$A$800,0)),$K$2),$K$2)</f>
        <v/>
      </c>
      <c r="M58" s="138">
        <f>'CP RESUMO'!BE10</f>
        <v/>
      </c>
      <c r="N58" s="139">
        <f>MAX(0,M58-M57)</f>
        <v/>
      </c>
      <c r="O58" s="138">
        <f>IF(B58&lt;='VALOR POR PL'!$P$5,'CP RESUMO'!BE52,"")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HISTORICOS'!BF10)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>
        <v>9124.110000000001</v>
      </c>
      <c r="L59" s="49">
        <f>C59/IF(B59&lt;='VALOR POR PL'!$P$5,IFERROR(INDEX('"INCC-FGV"'!$B$2:$B$800,MATCH(B59,'"INCC-FGV"'!$A$2:$A$800,0)),$K$2),$K$2)</f>
        <v/>
      </c>
      <c r="M59" s="138">
        <f>'CP RESUMO'!BF10</f>
        <v/>
      </c>
      <c r="N59" s="139">
        <f>MAX(0,M59-M58)</f>
        <v/>
      </c>
      <c r="O59" s="138">
        <f>IF(B59&lt;='VALOR POR PL'!$P$5,'CP RESUMO'!BF52,"")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HISTORICOS'!BG10)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RESUMO'!BG10</f>
        <v/>
      </c>
      <c r="N60" s="139">
        <f>MAX(0,M60-M59)</f>
        <v/>
      </c>
      <c r="O60" s="138">
        <f>IF(B60&lt;='VALOR POR PL'!$P$5,'CP RESUMO'!BG52,"")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HISTORICOS'!BH10)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>
        <v>107586.39</v>
      </c>
      <c r="L61" s="49">
        <f>C61/IF(B61&lt;='VALOR POR PL'!$P$5,IFERROR(INDEX('"INCC-FGV"'!$B$2:$B$800,MATCH(B61,'"INCC-FGV"'!$A$2:$A$800,0)),$K$2),$K$2)</f>
        <v/>
      </c>
      <c r="M61" s="138">
        <f>'CP RESUMO'!BH10</f>
        <v/>
      </c>
      <c r="N61" s="139">
        <f>MAX(0,M61-M60)</f>
        <v/>
      </c>
      <c r="O61" s="138">
        <f>IF(B61&lt;='VALOR POR PL'!$P$5,'CP RESUMO'!BH52,"")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HISTORICOS'!BI10)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RESUMO'!BI10</f>
        <v/>
      </c>
      <c r="N62" s="139">
        <f>MAX(0,M62-M61)</f>
        <v/>
      </c>
      <c r="O62" s="138">
        <f>IF(B62&lt;='VALOR POR PL'!$P$5,'CP RESUMO'!BI52,"")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HISTORICOS'!BJ10)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RESUMO'!BJ10</f>
        <v/>
      </c>
      <c r="N63" s="139">
        <f>MAX(0,M63-M62)</f>
        <v/>
      </c>
      <c r="O63" s="138">
        <f>IF(B63&lt;='VALOR POR PL'!$P$5,'CP RESUMO'!BJ52,"")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HISTORICOS'!BK10)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RESUMO'!BK10</f>
        <v/>
      </c>
      <c r="N64" s="139">
        <f>MAX(0,M64-M63)</f>
        <v/>
      </c>
      <c r="O64" s="138">
        <f>IF(B64&lt;='VALOR POR PL'!$P$5,'CP RESUMO'!BK52,"")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HISTORICOS'!BL10)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RESUMO'!BL10</f>
        <v/>
      </c>
      <c r="N65" s="139">
        <f>MAX(0,M65-M64)</f>
        <v/>
      </c>
      <c r="O65" s="138">
        <f>IF(B65&lt;='VALOR POR PL'!$P$5,'CP RESUMO'!BL52,"")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HISTORICOS'!BM10)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RESUMO'!BM10</f>
        <v/>
      </c>
      <c r="N66" s="139">
        <f>MAX(0,M66-M65)</f>
        <v/>
      </c>
      <c r="O66" s="138">
        <f>IF(B66&lt;='VALOR POR PL'!$P$5,'CP RESUMO'!BM52,"")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HISTORICOS'!BN10)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RESUMO'!BN10</f>
        <v/>
      </c>
      <c r="N67" s="139">
        <f>MAX(0,M67-M66)</f>
        <v/>
      </c>
      <c r="O67" s="138">
        <f>IF(B67&lt;='VALOR POR PL'!$P$5,'CP RESUMO'!BN52,"")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HISTORICOS'!BO10)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RESUMO'!BO10</f>
        <v/>
      </c>
      <c r="N68" s="139">
        <f>MAX(0,M68-M67)</f>
        <v/>
      </c>
      <c r="O68" s="138">
        <f>IF(B68&lt;='VALOR POR PL'!$P$5,'CP RESUMO'!BO52,"")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HISTORICOS'!BP10)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RESUMO'!BP10</f>
        <v/>
      </c>
      <c r="N69" s="139">
        <f>MAX(0,M69-M68)</f>
        <v/>
      </c>
      <c r="O69" s="138">
        <f>IF(B69&lt;='VALOR POR PL'!$P$5,'CP RESUMO'!BP52,"")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HISTORICOS'!BQ10)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RESUMO'!BQ10</f>
        <v/>
      </c>
      <c r="N70" s="139">
        <f>MAX(0,M70-M69)</f>
        <v/>
      </c>
      <c r="O70" s="138">
        <f>IF(B70&lt;='VALOR POR PL'!$P$5,'CP RESUMO'!BQ52,"")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HISTORICOS'!BR10)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RESUMO'!BR10</f>
        <v/>
      </c>
      <c r="N71" s="139">
        <f>MAX(0,M71-M70)</f>
        <v/>
      </c>
      <c r="O71" s="138">
        <f>IF(B71&lt;='VALOR POR PL'!$P$5,'CP RESUMO'!BR52,"")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HISTORICOS'!BS10)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RESUMO'!BS10</f>
        <v/>
      </c>
      <c r="N72" s="139">
        <f>MAX(0,M72-M71)</f>
        <v/>
      </c>
      <c r="O72" s="138">
        <f>IF(B72&lt;='VALOR POR PL'!$P$5,'CP RESUMO'!BS52,"")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HISTORICOS'!BT10)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RESUMO'!BT10</f>
        <v/>
      </c>
      <c r="N73" s="139">
        <f>MAX(0,M73-M72)</f>
        <v/>
      </c>
      <c r="O73" s="138">
        <f>IF(B73&lt;='VALOR POR PL'!$P$5,'CP RESUMO'!BT52,"")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HISTORICOS'!BU10)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RESUMO'!BU10</f>
        <v/>
      </c>
      <c r="N74" s="139">
        <f>MAX(0,M74-M73)</f>
        <v/>
      </c>
      <c r="O74" s="138">
        <f>IF(B74&lt;='VALOR POR PL'!$P$5,'CP RESUMO'!BU52,"")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HISTORICOS'!BV10)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RESUMO'!BV10</f>
        <v/>
      </c>
      <c r="N75" s="139">
        <f>MAX(0,M75-M74)</f>
        <v/>
      </c>
      <c r="O75" s="138">
        <f>IF(B75&lt;='VALOR POR PL'!$P$5,'CP RESUMO'!BV52,"")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HISTORICOS'!BW10)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RESUMO'!BW10</f>
        <v/>
      </c>
      <c r="N76" s="139">
        <f>MAX(0,M76-M75)</f>
        <v/>
      </c>
      <c r="O76" s="138">
        <f>IF(B76&lt;='VALOR POR PL'!$P$5,'CP RESUMO'!BW52,"")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PL'!D17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HISTORICOS'!D11)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PL'!F17</f>
        <v/>
      </c>
      <c r="K5" s="60">
        <f>'VALOR POR PL'!G17</f>
        <v/>
      </c>
      <c r="L5" s="60">
        <f>'DADOS HISTORICOS'!$BZ$11</f>
        <v/>
      </c>
      <c r="M5" s="138">
        <f>'CP RESUMO'!D11</f>
        <v/>
      </c>
      <c r="N5" s="139" t="n">
        <v>0</v>
      </c>
      <c r="O5" s="138">
        <f>IF(B5&lt;='VALOR POR PL'!$P$5,'CP RESUMO'!D53,"")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HISTORICOS'!E11)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PL'!H17</f>
        <v/>
      </c>
      <c r="L6" s="49">
        <f>C6/IF(B6&lt;='VALOR POR PL'!$P$5,IFERROR(INDEX('"INCC-FGV"'!$B$2:$B$800,MATCH(B6,'"INCC-FGV"'!$A$2:$A$800,0)),$K$2),$K$2)</f>
        <v/>
      </c>
      <c r="M6" s="138">
        <f>'CP RESUMO'!E11</f>
        <v/>
      </c>
      <c r="N6" s="139">
        <f>MAX(0,M6-M5)</f>
        <v/>
      </c>
      <c r="O6" s="138">
        <f>IF(B6&lt;='VALOR POR PL'!$P$5,'CP RESUMO'!E53,"")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HISTORICOS'!F11)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RESUMO'!F11</f>
        <v/>
      </c>
      <c r="N7" s="139">
        <f>MAX(0,M7-M6)</f>
        <v/>
      </c>
      <c r="O7" s="138">
        <f>IF(B7&lt;='VALOR POR PL'!$P$5,'CP RESUMO'!F53,"")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HISTORICOS'!G11)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RESUMO'!G11</f>
        <v/>
      </c>
      <c r="N8" s="139">
        <f>MAX(0,M8-M7)</f>
        <v/>
      </c>
      <c r="O8" s="138">
        <f>IF(B8&lt;='VALOR POR PL'!$P$5,'CP RESUMO'!G53,"")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HISTORICOS'!H11)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RESUMO'!H11</f>
        <v/>
      </c>
      <c r="N9" s="139">
        <f>MAX(0,M9-M8)</f>
        <v/>
      </c>
      <c r="O9" s="138">
        <f>IF(B9&lt;='VALOR POR PL'!$P$5,'CP RESUMO'!H53,"")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HISTORICOS'!I11)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RESUMO'!I11</f>
        <v/>
      </c>
      <c r="N10" s="139">
        <f>MAX(0,M10-M9)</f>
        <v/>
      </c>
      <c r="O10" s="138">
        <f>IF(B10&lt;='VALOR POR PL'!$P$5,'CP RESUMO'!I53,"")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HISTORICOS'!J11)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RESUMO'!J11</f>
        <v/>
      </c>
      <c r="N11" s="139">
        <f>MAX(0,M11-M10)</f>
        <v/>
      </c>
      <c r="O11" s="138">
        <f>IF(B11&lt;='VALOR POR PL'!$P$5,'CP RESUMO'!J53,"")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HISTORICOS'!K11)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RESUMO'!K11</f>
        <v/>
      </c>
      <c r="N12" s="139">
        <f>MAX(0,M12-M11)</f>
        <v/>
      </c>
      <c r="O12" s="138">
        <f>IF(B12&lt;='VALOR POR PL'!$P$5,'CP RESUMO'!K53,"")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HISTORICOS'!L11)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PL'!I17</f>
        <v/>
      </c>
      <c r="L13" s="49">
        <f>C13/IF(B13&lt;='VALOR POR PL'!$P$5,IFERROR(INDEX('"INCC-FGV"'!$B$2:$B$800,MATCH(B13,'"INCC-FGV"'!$A$2:$A$800,0)),$K$2),$K$2)</f>
        <v/>
      </c>
      <c r="M13" s="138">
        <f>'CP RESUMO'!L11</f>
        <v/>
      </c>
      <c r="N13" s="139">
        <f>MAX(0,M13-M12)</f>
        <v/>
      </c>
      <c r="O13" s="138">
        <f>IF(B13&lt;='VALOR POR PL'!$P$5,'CP RESUMO'!L53,"")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HISTORICOS'!M11)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RESUMO'!$D$53:$BW$53,MATCH('VALOR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RESUMO'!M11</f>
        <v/>
      </c>
      <c r="N14" s="139">
        <f>MAX(0,M14-M13)</f>
        <v/>
      </c>
      <c r="O14" s="138">
        <f>IF(B14&lt;='VALOR POR PL'!$P$5,'CP RESUMO'!M53,"")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HISTORICOS'!N11)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RESUMO'!N11</f>
        <v/>
      </c>
      <c r="N15" s="139">
        <f>MAX(0,M15-M14)</f>
        <v/>
      </c>
      <c r="O15" s="138">
        <f>IF(B15&lt;='VALOR POR PL'!$P$5,'CP RESUMO'!N53,"")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HISTORICOS'!O11)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RESUMO'!O11</f>
        <v/>
      </c>
      <c r="N16" s="139">
        <f>MAX(0,M16-M15)</f>
        <v/>
      </c>
      <c r="O16" s="138">
        <f>IF(B16&lt;='VALOR POR PL'!$P$5,'CP RESUMO'!O53,"")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HISTORICOS'!P11)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RESUMO'!P11</f>
        <v/>
      </c>
      <c r="N17" s="139">
        <f>MAX(0,M17-M16)</f>
        <v/>
      </c>
      <c r="O17" s="138">
        <f>IF(B17&lt;='VALOR POR PL'!$P$5,'CP RESUMO'!P53,"")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HISTORICOS'!Q11)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RESUMO'!Q11</f>
        <v/>
      </c>
      <c r="N18" s="139">
        <f>MAX(0,M18-M17)</f>
        <v/>
      </c>
      <c r="O18" s="138">
        <f>IF(B18&lt;='VALOR POR PL'!$P$5,'CP RESUMO'!Q53,"")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HISTORICOS'!R11)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RESUMO'!R11</f>
        <v/>
      </c>
      <c r="N19" s="139">
        <f>MAX(0,M19-M18)</f>
        <v/>
      </c>
      <c r="O19" s="138">
        <f>IF(B19&lt;='VALOR POR PL'!$P$5,'CP RESUMO'!R53,"")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HISTORICOS'!S11)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RESUMO'!S11</f>
        <v/>
      </c>
      <c r="N20" s="139">
        <f>MAX(0,M20-M19)</f>
        <v/>
      </c>
      <c r="O20" s="138">
        <f>IF(B20&lt;='VALOR POR PL'!$P$5,'CP RESUMO'!S53,"")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HISTORICOS'!T11)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RESUMO'!T11</f>
        <v/>
      </c>
      <c r="N21" s="139">
        <f>MAX(0,M21-M20)</f>
        <v/>
      </c>
      <c r="O21" s="138">
        <f>IF(B21&lt;='VALOR POR PL'!$P$5,'CP RESUMO'!T53,"")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HISTORICOS'!U11)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RESUMO'!U11</f>
        <v/>
      </c>
      <c r="N22" s="139">
        <f>MAX(0,M22-M21)</f>
        <v/>
      </c>
      <c r="O22" s="138">
        <f>IF(B22&lt;='VALOR POR PL'!$P$5,'CP RESUMO'!U53,"")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HISTORICOS'!V11)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RESUMO'!V11</f>
        <v/>
      </c>
      <c r="N23" s="139">
        <f>MAX(0,M23-M22)</f>
        <v/>
      </c>
      <c r="O23" s="138">
        <f>IF(B23&lt;='VALOR POR PL'!$P$5,'CP RESUMO'!V53,"")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HISTORICOS'!W11)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RESUMO'!W11</f>
        <v/>
      </c>
      <c r="N24" s="139">
        <f>MAX(0,M24-M23)</f>
        <v/>
      </c>
      <c r="O24" s="138">
        <f>IF(B24&lt;='VALOR POR PL'!$P$5,'CP RESUMO'!W53,"")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HISTORICOS'!X11)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RESUMO'!X11</f>
        <v/>
      </c>
      <c r="N25" s="139">
        <f>MAX(0,M25-M24)</f>
        <v/>
      </c>
      <c r="O25" s="138">
        <f>IF(B25&lt;='VALOR POR PL'!$P$5,'CP RESUMO'!X53,"")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HISTORICOS'!Y11)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>
        <v>860.64</v>
      </c>
      <c r="L26" s="49">
        <f>C26/IF(B26&lt;='VALOR POR PL'!$P$5,IFERROR(INDEX('"INCC-FGV"'!$B$2:$B$800,MATCH(B26,'"INCC-FGV"'!$A$2:$A$800,0)),$K$2),$K$2)</f>
        <v/>
      </c>
      <c r="M26" s="138">
        <f>'CP RESUMO'!Y11</f>
        <v/>
      </c>
      <c r="N26" s="139">
        <f>MAX(0,M26-M25)</f>
        <v/>
      </c>
      <c r="O26" s="138">
        <f>IF(B26&lt;='VALOR POR PL'!$P$5,'CP RESUMO'!Y53,"")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HISTORICOS'!Z11)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3259.22</v>
      </c>
      <c r="L27" s="49">
        <f>C27/IF(B27&lt;='VALOR POR PL'!$P$5,IFERROR(INDEX('"INCC-FGV"'!$B$2:$B$800,MATCH(B27,'"INCC-FGV"'!$A$2:$A$800,0)),$K$2),$K$2)</f>
        <v/>
      </c>
      <c r="M27" s="138">
        <f>'CP RESUMO'!Z11</f>
        <v/>
      </c>
      <c r="N27" s="139">
        <f>MAX(0,M27-M26)</f>
        <v/>
      </c>
      <c r="O27" s="138">
        <f>IF(B27&lt;='VALOR POR PL'!$P$5,'CP RESUMO'!Z53,"")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HISTORICOS'!AA11)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4542.16</v>
      </c>
      <c r="L28" s="49">
        <f>C28/IF(B28&lt;='VALOR POR PL'!$P$5,IFERROR(INDEX('"INCC-FGV"'!$B$2:$B$800,MATCH(B28,'"INCC-FGV"'!$A$2:$A$800,0)),$K$2),$K$2)</f>
        <v/>
      </c>
      <c r="M28" s="138">
        <f>'CP RESUMO'!AA11</f>
        <v/>
      </c>
      <c r="N28" s="139">
        <f>MAX(0,M28-M27)</f>
        <v/>
      </c>
      <c r="O28" s="138">
        <f>IF(B28&lt;='VALOR POR PL'!$P$5,'CP RESUMO'!AA53,"")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HISTORICOS'!AB11)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4253.68</v>
      </c>
      <c r="L29" s="49">
        <f>C29/IF(B29&lt;='VALOR POR PL'!$P$5,IFERROR(INDEX('"INCC-FGV"'!$B$2:$B$800,MATCH(B29,'"INCC-FGV"'!$A$2:$A$800,0)),$K$2),$K$2)</f>
        <v/>
      </c>
      <c r="M29" s="138">
        <f>'CP RESUMO'!AB11</f>
        <v/>
      </c>
      <c r="N29" s="139">
        <f>MAX(0,M29-M28)</f>
        <v/>
      </c>
      <c r="O29" s="138">
        <f>IF(B29&lt;='VALOR POR PL'!$P$5,'CP RESUMO'!AB53,"")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HISTORICOS'!AC11)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>
        <v>4032.4</v>
      </c>
      <c r="L30" s="49">
        <f>C30/IF(B30&lt;='VALOR POR PL'!$P$5,IFERROR(INDEX('"INCC-FGV"'!$B$2:$B$800,MATCH(B30,'"INCC-FGV"'!$A$2:$A$800,0)),$K$2),$K$2)</f>
        <v/>
      </c>
      <c r="M30" s="138">
        <f>'CP RESUMO'!AC11</f>
        <v/>
      </c>
      <c r="N30" s="139">
        <f>MAX(0,M30-M29)</f>
        <v/>
      </c>
      <c r="O30" s="138">
        <f>IF(B30&lt;='VALOR POR PL'!$P$5,'CP RESUMO'!AC53,"")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HISTORICOS'!AD11)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>
        <v>4890.72</v>
      </c>
      <c r="L31" s="49">
        <f>C31/IF(B31&lt;='VALOR POR PL'!$P$5,IFERROR(INDEX('"INCC-FGV"'!$B$2:$B$800,MATCH(B31,'"INCC-FGV"'!$A$2:$A$800,0)),$K$2),$K$2)</f>
        <v/>
      </c>
      <c r="M31" s="138">
        <f>'CP RESUMO'!AD11</f>
        <v/>
      </c>
      <c r="N31" s="139">
        <f>MAX(0,M31-M30)</f>
        <v/>
      </c>
      <c r="O31" s="138">
        <f>IF(B31&lt;='VALOR POR PL'!$P$5,'CP RESUMO'!AD53,"")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HISTORICOS'!AE11)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5097.2</v>
      </c>
      <c r="L32" s="49">
        <f>C32/IF(B32&lt;='VALOR POR PL'!$P$5,IFERROR(INDEX('"INCC-FGV"'!$B$2:$B$800,MATCH(B32,'"INCC-FGV"'!$A$2:$A$800,0)),$K$2),$K$2)</f>
        <v/>
      </c>
      <c r="M32" s="138">
        <f>'CP RESUMO'!AE11</f>
        <v/>
      </c>
      <c r="N32" s="139">
        <f>MAX(0,M32-M31)</f>
        <v/>
      </c>
      <c r="O32" s="138">
        <f>IF(B32&lt;='VALOR POR PL'!$P$5,'CP RESUMO'!AE53,"")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HISTORICOS'!AF11)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4852.69</v>
      </c>
      <c r="L33" s="49">
        <f>C33/IF(B33&lt;='VALOR POR PL'!$P$5,IFERROR(INDEX('"INCC-FGV"'!$B$2:$B$800,MATCH(B33,'"INCC-FGV"'!$A$2:$A$800,0)),$K$2),$K$2)</f>
        <v/>
      </c>
      <c r="M33" s="138">
        <f>'CP RESUMO'!AF11</f>
        <v/>
      </c>
      <c r="N33" s="139">
        <f>MAX(0,M33-M32)</f>
        <v/>
      </c>
      <c r="O33" s="138">
        <f>IF(B33&lt;='VALOR POR PL'!$P$5,'CP RESUMO'!AF53,"")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HISTORICOS'!AG11)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5121.82</v>
      </c>
      <c r="L34" s="49">
        <f>C34/IF(B34&lt;='VALOR POR PL'!$P$5,IFERROR(INDEX('"INCC-FGV"'!$B$2:$B$800,MATCH(B34,'"INCC-FGV"'!$A$2:$A$800,0)),$K$2),$K$2)</f>
        <v/>
      </c>
      <c r="M34" s="138">
        <f>'CP RESUMO'!AG11</f>
        <v/>
      </c>
      <c r="N34" s="139">
        <f>MAX(0,M34-M33)</f>
        <v/>
      </c>
      <c r="O34" s="138">
        <f>IF(B34&lt;='VALOR POR PL'!$P$5,'CP RESUMO'!AG53,"")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HISTORICOS'!AH11)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5296.94</v>
      </c>
      <c r="L35" s="49">
        <f>C35/IF(B35&lt;='VALOR POR PL'!$P$5,IFERROR(INDEX('"INCC-FGV"'!$B$2:$B$800,MATCH(B35,'"INCC-FGV"'!$A$2:$A$800,0)),$K$2),$K$2)</f>
        <v/>
      </c>
      <c r="M35" s="138">
        <f>'CP RESUMO'!AH11</f>
        <v/>
      </c>
      <c r="N35" s="139">
        <f>MAX(0,M35-M34)</f>
        <v/>
      </c>
      <c r="O35" s="138">
        <f>IF(B35&lt;='VALOR POR PL'!$P$5,'CP RESUMO'!AH53,"")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HISTORICOS'!AI11)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5355.1</v>
      </c>
      <c r="L36" s="49">
        <f>C36/IF(B36&lt;='VALOR POR PL'!$P$5,IFERROR(INDEX('"INCC-FGV"'!$B$2:$B$800,MATCH(B36,'"INCC-FGV"'!$A$2:$A$800,0)),$K$2),$K$2)</f>
        <v/>
      </c>
      <c r="M36" s="138">
        <f>'CP RESUMO'!AI11</f>
        <v/>
      </c>
      <c r="N36" s="139">
        <f>MAX(0,M36-M35)</f>
        <v/>
      </c>
      <c r="O36" s="138">
        <f>IF(B36&lt;='VALOR POR PL'!$P$5,'CP RESUMO'!AI53,"")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HISTORICOS'!AJ11)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5563.98</v>
      </c>
      <c r="L37" s="49">
        <f>C37/IF(B37&lt;='VALOR POR PL'!$P$5,IFERROR(INDEX('"INCC-FGV"'!$B$2:$B$800,MATCH(B37,'"INCC-FGV"'!$A$2:$A$800,0)),$K$2),$K$2)</f>
        <v/>
      </c>
      <c r="M37" s="138">
        <f>'CP RESUMO'!AJ11</f>
        <v/>
      </c>
      <c r="N37" s="139">
        <f>MAX(0,M37-M36)</f>
        <v/>
      </c>
      <c r="O37" s="138">
        <f>IF(B37&lt;='VALOR POR PL'!$P$5,'CP RESUMO'!AJ53,"")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HISTORICOS'!AK11)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5977.91</v>
      </c>
      <c r="L38" s="49">
        <f>C38/IF(B38&lt;='VALOR POR PL'!$P$5,IFERROR(INDEX('"INCC-FGV"'!$B$2:$B$800,MATCH(B38,'"INCC-FGV"'!$A$2:$A$800,0)),$K$2),$K$2)</f>
        <v/>
      </c>
      <c r="M38" s="138">
        <f>'CP RESUMO'!AK11</f>
        <v/>
      </c>
      <c r="N38" s="139">
        <f>MAX(0,M38-M37)</f>
        <v/>
      </c>
      <c r="O38" s="138">
        <f>IF(B38&lt;='VALOR POR PL'!$P$5,'CP RESUMO'!AK53,"")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HISTORICOS'!AL11)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6207.91</v>
      </c>
      <c r="L39" s="49">
        <f>C39/IF(B39&lt;='VALOR POR PL'!$P$5,IFERROR(INDEX('"INCC-FGV"'!$B$2:$B$800,MATCH(B39,'"INCC-FGV"'!$A$2:$A$800,0)),$K$2),$K$2)</f>
        <v/>
      </c>
      <c r="M39" s="138">
        <f>'CP RESUMO'!AL11</f>
        <v/>
      </c>
      <c r="N39" s="139">
        <f>MAX(0,M39-M38)</f>
        <v/>
      </c>
      <c r="O39" s="138">
        <f>IF(B39&lt;='VALOR POR PL'!$P$5,'CP RESUMO'!AL53,"")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HISTORICOS'!AM11)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6018.27</v>
      </c>
      <c r="L40" s="49">
        <f>C40/IF(B40&lt;='VALOR POR PL'!$P$5,IFERROR(INDEX('"INCC-FGV"'!$B$2:$B$800,MATCH(B40,'"INCC-FGV"'!$A$2:$A$800,0)),$K$2),$K$2)</f>
        <v/>
      </c>
      <c r="M40" s="138">
        <f>'CP RESUMO'!AM11</f>
        <v/>
      </c>
      <c r="N40" s="139">
        <f>MAX(0,M40-M39)</f>
        <v/>
      </c>
      <c r="O40" s="138">
        <f>IF(B40&lt;='VALOR POR PL'!$P$5,'CP RESUMO'!AM53,"")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HISTORICOS'!AN11)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6221.41</v>
      </c>
      <c r="L41" s="49">
        <f>C41/IF(B41&lt;='VALOR POR PL'!$P$5,IFERROR(INDEX('"INCC-FGV"'!$B$2:$B$800,MATCH(B41,'"INCC-FGV"'!$A$2:$A$800,0)),$K$2),$K$2)</f>
        <v/>
      </c>
      <c r="M41" s="138">
        <f>'CP RESUMO'!AN11</f>
        <v/>
      </c>
      <c r="N41" s="139">
        <f>MAX(0,M41-M40)</f>
        <v/>
      </c>
      <c r="O41" s="138">
        <f>IF(B41&lt;='VALOR POR PL'!$P$5,'CP RESUMO'!AN53,"")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HISTORICOS'!AO11)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5515.95</v>
      </c>
      <c r="L42" s="49">
        <f>C42/IF(B42&lt;='VALOR POR PL'!$P$5,IFERROR(INDEX('"INCC-FGV"'!$B$2:$B$800,MATCH(B42,'"INCC-FGV"'!$A$2:$A$800,0)),$K$2),$K$2)</f>
        <v/>
      </c>
      <c r="M42" s="138">
        <f>'CP RESUMO'!AO11</f>
        <v/>
      </c>
      <c r="N42" s="139">
        <f>MAX(0,M42-M41)</f>
        <v/>
      </c>
      <c r="O42" s="138">
        <f>IF(B42&lt;='VALOR POR PL'!$P$5,'CP RESUMO'!AO53,"")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HISTORICOS'!AP11)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6076.89</v>
      </c>
      <c r="L43" s="49">
        <f>C43/IF(B43&lt;='VALOR POR PL'!$P$5,IFERROR(INDEX('"INCC-FGV"'!$B$2:$B$800,MATCH(B43,'"INCC-FGV"'!$A$2:$A$800,0)),$K$2),$K$2)</f>
        <v/>
      </c>
      <c r="M43" s="138">
        <f>'CP RESUMO'!AP11</f>
        <v/>
      </c>
      <c r="N43" s="139">
        <f>MAX(0,M43-M42)</f>
        <v/>
      </c>
      <c r="O43" s="138">
        <f>IF(B43&lt;='VALOR POR PL'!$P$5,'CP RESUMO'!AP53,"")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HISTORICOS'!AQ11)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5861.61</v>
      </c>
      <c r="L44" s="49">
        <f>C44/IF(B44&lt;='VALOR POR PL'!$P$5,IFERROR(INDEX('"INCC-FGV"'!$B$2:$B$800,MATCH(B44,'"INCC-FGV"'!$A$2:$A$800,0)),$K$2),$K$2)</f>
        <v/>
      </c>
      <c r="M44" s="138">
        <f>'CP RESUMO'!AQ11</f>
        <v/>
      </c>
      <c r="N44" s="139">
        <f>MAX(0,M44-M43)</f>
        <v/>
      </c>
      <c r="O44" s="138">
        <f>IF(B44&lt;='VALOR POR PL'!$P$5,'CP RESUMO'!AQ53,"")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HISTORICOS'!AR11)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5785.51</v>
      </c>
      <c r="L45" s="49">
        <f>C45/IF(B45&lt;='VALOR POR PL'!$P$5,IFERROR(INDEX('"INCC-FGV"'!$B$2:$B$800,MATCH(B45,'"INCC-FGV"'!$A$2:$A$800,0)),$K$2),$K$2)</f>
        <v/>
      </c>
      <c r="M45" s="138">
        <f>'CP RESUMO'!AR11</f>
        <v/>
      </c>
      <c r="N45" s="139">
        <f>MAX(0,M45-M44)</f>
        <v/>
      </c>
      <c r="O45" s="138">
        <f>IF(B45&lt;='VALOR POR PL'!$P$5,'CP RESUMO'!AR53,"")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HISTORICOS'!AS11)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5458.06</v>
      </c>
      <c r="L46" s="49">
        <f>C46/IF(B46&lt;='VALOR POR PL'!$P$5,IFERROR(INDEX('"INCC-FGV"'!$B$2:$B$800,MATCH(B46,'"INCC-FGV"'!$A$2:$A$800,0)),$K$2),$K$2)</f>
        <v/>
      </c>
      <c r="M46" s="138">
        <f>'CP RESUMO'!AS11</f>
        <v/>
      </c>
      <c r="N46" s="139">
        <f>MAX(0,M46-M45)</f>
        <v/>
      </c>
      <c r="O46" s="138">
        <f>IF(B46&lt;='VALOR POR PL'!$P$5,'CP RESUMO'!AS53,"")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HISTORICOS'!AT11)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5901.55</v>
      </c>
      <c r="L47" s="49">
        <f>C47/IF(B47&lt;='VALOR POR PL'!$P$5,IFERROR(INDEX('"INCC-FGV"'!$B$2:$B$800,MATCH(B47,'"INCC-FGV"'!$A$2:$A$800,0)),$K$2),$K$2)</f>
        <v/>
      </c>
      <c r="M47" s="138">
        <f>'CP RESUMO'!AT11</f>
        <v/>
      </c>
      <c r="N47" s="139">
        <f>MAX(0,M47-M46)</f>
        <v/>
      </c>
      <c r="O47" s="138">
        <f>IF(B47&lt;='VALOR POR PL'!$P$5,'CP RESUMO'!AT53,"")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HISTORICOS'!AU11)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5602.48</v>
      </c>
      <c r="L48" s="49">
        <f>C48/IF(B48&lt;='VALOR POR PL'!$P$5,IFERROR(INDEX('"INCC-FGV"'!$B$2:$B$800,MATCH(B48,'"INCC-FGV"'!$A$2:$A$800,0)),$K$2),$K$2)</f>
        <v/>
      </c>
      <c r="M48" s="138">
        <f>'CP RESUMO'!AU11</f>
        <v/>
      </c>
      <c r="N48" s="139">
        <f>MAX(0,M48-M47)</f>
        <v/>
      </c>
      <c r="O48" s="138">
        <f>IF(B48&lt;='VALOR POR PL'!$P$5,'CP RESUMO'!AU53,"")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HISTORICOS'!AV11)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5518.65</v>
      </c>
      <c r="L49" s="49">
        <f>C49/IF(B49&lt;='VALOR POR PL'!$P$5,IFERROR(INDEX('"INCC-FGV"'!$B$2:$B$800,MATCH(B49,'"INCC-FGV"'!$A$2:$A$800,0)),$K$2),$K$2)</f>
        <v/>
      </c>
      <c r="M49" s="138">
        <f>'CP RESUMO'!AV11</f>
        <v/>
      </c>
      <c r="N49" s="139">
        <f>MAX(0,M49-M48)</f>
        <v/>
      </c>
      <c r="O49" s="138">
        <f>IF(B49&lt;='VALOR POR PL'!$P$5,'CP RESUMO'!AV53,"")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HISTORICOS'!AW11)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5273.22</v>
      </c>
      <c r="L50" s="49">
        <f>C50/IF(B50&lt;='VALOR POR PL'!$P$5,IFERROR(INDEX('"INCC-FGV"'!$B$2:$B$800,MATCH(B50,'"INCC-FGV"'!$A$2:$A$800,0)),$K$2),$K$2)</f>
        <v/>
      </c>
      <c r="M50" s="138">
        <f>'CP RESUMO'!AW11</f>
        <v/>
      </c>
      <c r="N50" s="139">
        <f>MAX(0,M50-M49)</f>
        <v/>
      </c>
      <c r="O50" s="138">
        <f>IF(B50&lt;='VALOR POR PL'!$P$5,'CP RESUMO'!AW53,"")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HISTORICOS'!AX11)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4918.9</v>
      </c>
      <c r="L51" s="49">
        <f>C51/IF(B51&lt;='VALOR POR PL'!$P$5,IFERROR(INDEX('"INCC-FGV"'!$B$2:$B$800,MATCH(B51,'"INCC-FGV"'!$A$2:$A$800,0)),$K$2),$K$2)</f>
        <v/>
      </c>
      <c r="M51" s="138">
        <f>'CP RESUMO'!AX11</f>
        <v/>
      </c>
      <c r="N51" s="139">
        <f>MAX(0,M51-M50)</f>
        <v/>
      </c>
      <c r="O51" s="138">
        <f>IF(B51&lt;='VALOR POR PL'!$P$5,'CP RESUMO'!AX53,"")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HISTORICOS'!AY11)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4571.72</v>
      </c>
      <c r="L52" s="49">
        <f>C52/IF(B52&lt;='VALOR POR PL'!$P$5,IFERROR(INDEX('"INCC-FGV"'!$B$2:$B$800,MATCH(B52,'"INCC-FGV"'!$A$2:$A$800,0)),$K$2),$K$2)</f>
        <v/>
      </c>
      <c r="M52" s="138">
        <f>'CP RESUMO'!AY11</f>
        <v/>
      </c>
      <c r="N52" s="139">
        <f>MAX(0,M52-M51)</f>
        <v/>
      </c>
      <c r="O52" s="138">
        <f>IF(B52&lt;='VALOR POR PL'!$P$5,'CP RESUMO'!AY53,"")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HISTORICOS'!AZ11)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3695.77</v>
      </c>
      <c r="L53" s="49">
        <f>C53/IF(B53&lt;='VALOR POR PL'!$P$5,IFERROR(INDEX('"INCC-FGV"'!$B$2:$B$800,MATCH(B53,'"INCC-FGV"'!$A$2:$A$800,0)),$K$2),$K$2)</f>
        <v/>
      </c>
      <c r="M53" s="138">
        <f>'CP RESUMO'!AZ11</f>
        <v/>
      </c>
      <c r="N53" s="139">
        <f>MAX(0,M53-M52)</f>
        <v/>
      </c>
      <c r="O53" s="138">
        <f>IF(B53&lt;='VALOR POR PL'!$P$5,'CP RESUMO'!AZ53,"")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HISTORICOS'!BA11)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3222.74</v>
      </c>
      <c r="L54" s="49">
        <f>C54/IF(B54&lt;='VALOR POR PL'!$P$5,IFERROR(INDEX('"INCC-FGV"'!$B$2:$B$800,MATCH(B54,'"INCC-FGV"'!$A$2:$A$800,0)),$K$2),$K$2)</f>
        <v/>
      </c>
      <c r="M54" s="138">
        <f>'CP RESUMO'!BA11</f>
        <v/>
      </c>
      <c r="N54" s="139">
        <f>MAX(0,M54-M53)</f>
        <v/>
      </c>
      <c r="O54" s="138">
        <f>IF(B54&lt;='VALOR POR PL'!$P$5,'CP RESUMO'!BA53,"")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HISTORICOS'!BB11)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3201.84</v>
      </c>
      <c r="L55" s="49">
        <f>C55/IF(B55&lt;='VALOR POR PL'!$P$5,IFERROR(INDEX('"INCC-FGV"'!$B$2:$B$800,MATCH(B55,'"INCC-FGV"'!$A$2:$A$800,0)),$K$2),$K$2)</f>
        <v/>
      </c>
      <c r="M55" s="138">
        <f>'CP RESUMO'!BB11</f>
        <v/>
      </c>
      <c r="N55" s="139">
        <f>MAX(0,M55-M54)</f>
        <v/>
      </c>
      <c r="O55" s="138">
        <f>IF(B55&lt;='VALOR POR PL'!$P$5,'CP RESUMO'!BB53,"")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HISTORICOS'!BC11)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2504.57</v>
      </c>
      <c r="L56" s="49">
        <f>C56/IF(B56&lt;='VALOR POR PL'!$P$5,IFERROR(INDEX('"INCC-FGV"'!$B$2:$B$800,MATCH(B56,'"INCC-FGV"'!$A$2:$A$800,0)),$K$2),$K$2)</f>
        <v/>
      </c>
      <c r="M56" s="138">
        <f>'CP RESUMO'!BC11</f>
        <v/>
      </c>
      <c r="N56" s="139">
        <f>MAX(0,M56-M55)</f>
        <v/>
      </c>
      <c r="O56" s="138">
        <f>IF(B56&lt;='VALOR POR PL'!$P$5,'CP RESUMO'!BC53,"")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HISTORICOS'!BD11)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>
        <v>4419.96</v>
      </c>
      <c r="L57" s="49">
        <f>C57/IF(B57&lt;='VALOR POR PL'!$P$5,IFERROR(INDEX('"INCC-FGV"'!$B$2:$B$800,MATCH(B57,'"INCC-FGV"'!$A$2:$A$800,0)),$K$2),$K$2)</f>
        <v/>
      </c>
      <c r="M57" s="138">
        <f>'CP RESUMO'!BD11</f>
        <v/>
      </c>
      <c r="N57" s="139">
        <f>MAX(0,M57-M56)</f>
        <v/>
      </c>
      <c r="O57" s="138">
        <f>IF(B57&lt;='VALOR POR PL'!$P$5,'CP RESUMO'!BD53,"")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HISTORICOS'!BE11)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RESUMO'!BE11</f>
        <v/>
      </c>
      <c r="N58" s="139">
        <f>MAX(0,M58-M57)</f>
        <v/>
      </c>
      <c r="O58" s="138">
        <f>IF(B58&lt;='VALOR POR PL'!$P$5,'CP RESUMO'!BE53,"")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HISTORICOS'!BF11)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RESUMO'!BF11</f>
        <v/>
      </c>
      <c r="N59" s="139">
        <f>MAX(0,M59-M58)</f>
        <v/>
      </c>
      <c r="O59" s="138">
        <f>IF(B59&lt;='VALOR POR PL'!$P$5,'CP RESUMO'!BF53,"")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HISTORICOS'!BG11)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RESUMO'!BG11</f>
        <v/>
      </c>
      <c r="N60" s="139">
        <f>MAX(0,M60-M59)</f>
        <v/>
      </c>
      <c r="O60" s="138">
        <f>IF(B60&lt;='VALOR POR PL'!$P$5,'CP RESUMO'!BG53,"")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HISTORICOS'!BH11)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RESUMO'!BH11</f>
        <v/>
      </c>
      <c r="N61" s="139">
        <f>MAX(0,M61-M60)</f>
        <v/>
      </c>
      <c r="O61" s="138">
        <f>IF(B61&lt;='VALOR POR PL'!$P$5,'CP RESUMO'!BH53,"")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HISTORICOS'!BI11)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RESUMO'!BI11</f>
        <v/>
      </c>
      <c r="N62" s="139">
        <f>MAX(0,M62-M61)</f>
        <v/>
      </c>
      <c r="O62" s="138">
        <f>IF(B62&lt;='VALOR POR PL'!$P$5,'CP RESUMO'!BI53,"")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HISTORICOS'!BJ11)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RESUMO'!BJ11</f>
        <v/>
      </c>
      <c r="N63" s="139">
        <f>MAX(0,M63-M62)</f>
        <v/>
      </c>
      <c r="O63" s="138">
        <f>IF(B63&lt;='VALOR POR PL'!$P$5,'CP RESUMO'!BJ53,"")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HISTORICOS'!BK11)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RESUMO'!BK11</f>
        <v/>
      </c>
      <c r="N64" s="139">
        <f>MAX(0,M64-M63)</f>
        <v/>
      </c>
      <c r="O64" s="138">
        <f>IF(B64&lt;='VALOR POR PL'!$P$5,'CP RESUMO'!BK53,"")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HISTORICOS'!BL11)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RESUMO'!BL11</f>
        <v/>
      </c>
      <c r="N65" s="139">
        <f>MAX(0,M65-M64)</f>
        <v/>
      </c>
      <c r="O65" s="138">
        <f>IF(B65&lt;='VALOR POR PL'!$P$5,'CP RESUMO'!BL53,"")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HISTORICOS'!BM11)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RESUMO'!BM11</f>
        <v/>
      </c>
      <c r="N66" s="139">
        <f>MAX(0,M66-M65)</f>
        <v/>
      </c>
      <c r="O66" s="138">
        <f>IF(B66&lt;='VALOR POR PL'!$P$5,'CP RESUMO'!BM53,"")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HISTORICOS'!BN11)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RESUMO'!BN11</f>
        <v/>
      </c>
      <c r="N67" s="139">
        <f>MAX(0,M67-M66)</f>
        <v/>
      </c>
      <c r="O67" s="138">
        <f>IF(B67&lt;='VALOR POR PL'!$P$5,'CP RESUMO'!BN53,"")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HISTORICOS'!BO11)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RESUMO'!BO11</f>
        <v/>
      </c>
      <c r="N68" s="139">
        <f>MAX(0,M68-M67)</f>
        <v/>
      </c>
      <c r="O68" s="138">
        <f>IF(B68&lt;='VALOR POR PL'!$P$5,'CP RESUMO'!BO53,"")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HISTORICOS'!BP11)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RESUMO'!BP11</f>
        <v/>
      </c>
      <c r="N69" s="139">
        <f>MAX(0,M69-M68)</f>
        <v/>
      </c>
      <c r="O69" s="138">
        <f>IF(B69&lt;='VALOR POR PL'!$P$5,'CP RESUMO'!BP53,"")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HISTORICOS'!BQ11)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RESUMO'!BQ11</f>
        <v/>
      </c>
      <c r="N70" s="139">
        <f>MAX(0,M70-M69)</f>
        <v/>
      </c>
      <c r="O70" s="138">
        <f>IF(B70&lt;='VALOR POR PL'!$P$5,'CP RESUMO'!BQ53,"")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HISTORICOS'!BR11)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RESUMO'!BR11</f>
        <v/>
      </c>
      <c r="N71" s="139">
        <f>MAX(0,M71-M70)</f>
        <v/>
      </c>
      <c r="O71" s="138">
        <f>IF(B71&lt;='VALOR POR PL'!$P$5,'CP RESUMO'!BR53,"")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HISTORICOS'!BS11)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RESUMO'!BS11</f>
        <v/>
      </c>
      <c r="N72" s="139">
        <f>MAX(0,M72-M71)</f>
        <v/>
      </c>
      <c r="O72" s="138">
        <f>IF(B72&lt;='VALOR POR PL'!$P$5,'CP RESUMO'!BS53,"")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HISTORICOS'!BT11)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RESUMO'!BT11</f>
        <v/>
      </c>
      <c r="N73" s="139">
        <f>MAX(0,M73-M72)</f>
        <v/>
      </c>
      <c r="O73" s="138">
        <f>IF(B73&lt;='VALOR POR PL'!$P$5,'CP RESUMO'!BT53,"")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HISTORICOS'!BU11)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RESUMO'!BU11</f>
        <v/>
      </c>
      <c r="N74" s="139">
        <f>MAX(0,M74-M73)</f>
        <v/>
      </c>
      <c r="O74" s="138">
        <f>IF(B74&lt;='VALOR POR PL'!$P$5,'CP RESUMO'!BU53,"")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HISTORICOS'!BV11)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RESUMO'!BV11</f>
        <v/>
      </c>
      <c r="N75" s="139">
        <f>MAX(0,M75-M74)</f>
        <v/>
      </c>
      <c r="O75" s="138">
        <f>IF(B75&lt;='VALOR POR PL'!$P$5,'CP RESUMO'!BV53,"")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HISTORICOS'!BW11)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RESUMO'!BW11</f>
        <v/>
      </c>
      <c r="N76" s="139">
        <f>MAX(0,M76-M75)</f>
        <v/>
      </c>
      <c r="O76" s="138">
        <f>IF(B76&lt;='VALOR POR PL'!$P$5,'CP RESUMO'!BW53,"")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PL'!D18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HISTORICOS'!D12)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PL'!F18</f>
        <v/>
      </c>
      <c r="K5" s="60">
        <f>'VALOR POR PL'!G18</f>
        <v/>
      </c>
      <c r="L5" s="60">
        <f>'DADOS HISTORICOS'!$BZ$12</f>
        <v/>
      </c>
      <c r="M5" s="138">
        <f>'CP RESUMO'!D12</f>
        <v/>
      </c>
      <c r="N5" s="139" t="n">
        <v>0</v>
      </c>
      <c r="O5" s="138">
        <f>IF(B5&lt;='VALOR POR PL'!$P$5,'CP RESUMO'!D54,"")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HISTORICOS'!E12)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PL'!H18</f>
        <v/>
      </c>
      <c r="L6" s="49">
        <f>C6/IF(B6&lt;='VALOR POR PL'!$P$5,IFERROR(INDEX('"INCC-FGV"'!$B$2:$B$800,MATCH(B6,'"INCC-FGV"'!$A$2:$A$800,0)),$K$2),$K$2)</f>
        <v/>
      </c>
      <c r="M6" s="138">
        <f>'CP RESUMO'!E12</f>
        <v/>
      </c>
      <c r="N6" s="139">
        <f>MAX(0,M6-M5)</f>
        <v/>
      </c>
      <c r="O6" s="138">
        <f>IF(B6&lt;='VALOR POR PL'!$P$5,'CP RESUMO'!E54,"")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HISTORICOS'!F12)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RESUMO'!F12</f>
        <v/>
      </c>
      <c r="N7" s="139">
        <f>MAX(0,M7-M6)</f>
        <v/>
      </c>
      <c r="O7" s="138">
        <f>IF(B7&lt;='VALOR POR PL'!$P$5,'CP RESUMO'!F54,"")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HISTORICOS'!G12)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RESUMO'!G12</f>
        <v/>
      </c>
      <c r="N8" s="139">
        <f>MAX(0,M8-M7)</f>
        <v/>
      </c>
      <c r="O8" s="138">
        <f>IF(B8&lt;='VALOR POR PL'!$P$5,'CP RESUMO'!G54,"")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HISTORICOS'!H12)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RESUMO'!H12</f>
        <v/>
      </c>
      <c r="N9" s="139">
        <f>MAX(0,M9-M8)</f>
        <v/>
      </c>
      <c r="O9" s="138">
        <f>IF(B9&lt;='VALOR POR PL'!$P$5,'CP RESUMO'!H54,"")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HISTORICOS'!I12)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RESUMO'!I12</f>
        <v/>
      </c>
      <c r="N10" s="139">
        <f>MAX(0,M10-M9)</f>
        <v/>
      </c>
      <c r="O10" s="138">
        <f>IF(B10&lt;='VALOR POR PL'!$P$5,'CP RESUMO'!I54,"")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HISTORICOS'!J12)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RESUMO'!J12</f>
        <v/>
      </c>
      <c r="N11" s="139">
        <f>MAX(0,M11-M10)</f>
        <v/>
      </c>
      <c r="O11" s="138">
        <f>IF(B11&lt;='VALOR POR PL'!$P$5,'CP RESUMO'!J54,"")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HISTORICOS'!K12)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RESUMO'!K12</f>
        <v/>
      </c>
      <c r="N12" s="139">
        <f>MAX(0,M12-M11)</f>
        <v/>
      </c>
      <c r="O12" s="138">
        <f>IF(B12&lt;='VALOR POR PL'!$P$5,'CP RESUMO'!K54,"")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HISTORICOS'!L12)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PL'!I18</f>
        <v/>
      </c>
      <c r="L13" s="49">
        <f>C13/IF(B13&lt;='VALOR POR PL'!$P$5,IFERROR(INDEX('"INCC-FGV"'!$B$2:$B$800,MATCH(B13,'"INCC-FGV"'!$A$2:$A$800,0)),$K$2),$K$2)</f>
        <v/>
      </c>
      <c r="M13" s="138">
        <f>'CP RESUMO'!L12</f>
        <v/>
      </c>
      <c r="N13" s="139">
        <f>MAX(0,M13-M12)</f>
        <v/>
      </c>
      <c r="O13" s="138">
        <f>IF(B13&lt;='VALOR POR PL'!$P$5,'CP RESUMO'!L54,"")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HISTORICOS'!M12)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RESUMO'!$D$54:$BW$54,MATCH('VALOR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RESUMO'!M12</f>
        <v/>
      </c>
      <c r="N14" s="139">
        <f>MAX(0,M14-M13)</f>
        <v/>
      </c>
      <c r="O14" s="138">
        <f>IF(B14&lt;='VALOR POR PL'!$P$5,'CP RESUMO'!M54,"")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HISTORICOS'!N12)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RESUMO'!N12</f>
        <v/>
      </c>
      <c r="N15" s="139">
        <f>MAX(0,M15-M14)</f>
        <v/>
      </c>
      <c r="O15" s="138">
        <f>IF(B15&lt;='VALOR POR PL'!$P$5,'CP RESUMO'!N54,"")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HISTORICOS'!O12)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RESUMO'!O12</f>
        <v/>
      </c>
      <c r="N16" s="139">
        <f>MAX(0,M16-M15)</f>
        <v/>
      </c>
      <c r="O16" s="138">
        <f>IF(B16&lt;='VALOR POR PL'!$P$5,'CP RESUMO'!O54,"")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HISTORICOS'!P12)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RESUMO'!P12</f>
        <v/>
      </c>
      <c r="N17" s="139">
        <f>MAX(0,M17-M16)</f>
        <v/>
      </c>
      <c r="O17" s="138">
        <f>IF(B17&lt;='VALOR POR PL'!$P$5,'CP RESUMO'!P54,"")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HISTORICOS'!Q12)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RESUMO'!Q12</f>
        <v/>
      </c>
      <c r="N18" s="139">
        <f>MAX(0,M18-M17)</f>
        <v/>
      </c>
      <c r="O18" s="138">
        <f>IF(B18&lt;='VALOR POR PL'!$P$5,'CP RESUMO'!Q54,"")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HISTORICOS'!R12)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RESUMO'!R12</f>
        <v/>
      </c>
      <c r="N19" s="139">
        <f>MAX(0,M19-M18)</f>
        <v/>
      </c>
      <c r="O19" s="138">
        <f>IF(B19&lt;='VALOR POR PL'!$P$5,'CP RESUMO'!R54,"")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HISTORICOS'!S12)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RESUMO'!S12</f>
        <v/>
      </c>
      <c r="N20" s="139">
        <f>MAX(0,M20-M19)</f>
        <v/>
      </c>
      <c r="O20" s="138">
        <f>IF(B20&lt;='VALOR POR PL'!$P$5,'CP RESUMO'!S54,"")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HISTORICOS'!T12)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RESUMO'!T12</f>
        <v/>
      </c>
      <c r="N21" s="139">
        <f>MAX(0,M21-M20)</f>
        <v/>
      </c>
      <c r="O21" s="138">
        <f>IF(B21&lt;='VALOR POR PL'!$P$5,'CP RESUMO'!T54,"")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HISTORICOS'!U12)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RESUMO'!U12</f>
        <v/>
      </c>
      <c r="N22" s="139">
        <f>MAX(0,M22-M21)</f>
        <v/>
      </c>
      <c r="O22" s="138">
        <f>IF(B22&lt;='VALOR POR PL'!$P$5,'CP RESUMO'!U54,"")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HISTORICOS'!V12)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RESUMO'!V12</f>
        <v/>
      </c>
      <c r="N23" s="139">
        <f>MAX(0,M23-M22)</f>
        <v/>
      </c>
      <c r="O23" s="138">
        <f>IF(B23&lt;='VALOR POR PL'!$P$5,'CP RESUMO'!V54,"")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HISTORICOS'!W12)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RESUMO'!W12</f>
        <v/>
      </c>
      <c r="N24" s="139">
        <f>MAX(0,M24-M23)</f>
        <v/>
      </c>
      <c r="O24" s="138">
        <f>IF(B24&lt;='VALOR POR PL'!$P$5,'CP RESUMO'!W54,"")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HISTORICOS'!X12)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RESUMO'!X12</f>
        <v/>
      </c>
      <c r="N25" s="139">
        <f>MAX(0,M25-M24)</f>
        <v/>
      </c>
      <c r="O25" s="138">
        <f>IF(B25&lt;='VALOR POR PL'!$P$5,'CP RESUMO'!X54,"")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HISTORICOS'!Y12)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>
        <v>14226.77</v>
      </c>
      <c r="L26" s="49">
        <f>C26/IF(B26&lt;='VALOR POR PL'!$P$5,IFERROR(INDEX('"INCC-FGV"'!$B$2:$B$800,MATCH(B26,'"INCC-FGV"'!$A$2:$A$800,0)),$K$2),$K$2)</f>
        <v/>
      </c>
      <c r="M26" s="138">
        <f>'CP RESUMO'!Y12</f>
        <v/>
      </c>
      <c r="N26" s="139">
        <f>MAX(0,M26-M25)</f>
        <v/>
      </c>
      <c r="O26" s="138">
        <f>IF(B26&lt;='VALOR POR PL'!$P$5,'CP RESUMO'!Y54,"")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HISTORICOS'!Z12)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17910.28</v>
      </c>
      <c r="L27" s="49">
        <f>C27/IF(B27&lt;='VALOR POR PL'!$P$5,IFERROR(INDEX('"INCC-FGV"'!$B$2:$B$800,MATCH(B27,'"INCC-FGV"'!$A$2:$A$800,0)),$K$2),$K$2)</f>
        <v/>
      </c>
      <c r="M27" s="138">
        <f>'CP RESUMO'!Z12</f>
        <v/>
      </c>
      <c r="N27" s="139">
        <f>MAX(0,M27-M26)</f>
        <v/>
      </c>
      <c r="O27" s="138">
        <f>IF(B27&lt;='VALOR POR PL'!$P$5,'CP RESUMO'!Z54,"")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HISTORICOS'!AA12)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12060.18</v>
      </c>
      <c r="L28" s="49">
        <f>C28/IF(B28&lt;='VALOR POR PL'!$P$5,IFERROR(INDEX('"INCC-FGV"'!$B$2:$B$800,MATCH(B28,'"INCC-FGV"'!$A$2:$A$800,0)),$K$2),$K$2)</f>
        <v/>
      </c>
      <c r="M28" s="138">
        <f>'CP RESUMO'!AA12</f>
        <v/>
      </c>
      <c r="N28" s="139">
        <f>MAX(0,M28-M27)</f>
        <v/>
      </c>
      <c r="O28" s="138">
        <f>IF(B28&lt;='VALOR POR PL'!$P$5,'CP RESUMO'!AA54,"")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HISTORICOS'!AB12)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12369.16</v>
      </c>
      <c r="L29" s="49">
        <f>C29/IF(B29&lt;='VALOR POR PL'!$P$5,IFERROR(INDEX('"INCC-FGV"'!$B$2:$B$800,MATCH(B29,'"INCC-FGV"'!$A$2:$A$800,0)),$K$2),$K$2)</f>
        <v/>
      </c>
      <c r="M29" s="138">
        <f>'CP RESUMO'!AB12</f>
        <v/>
      </c>
      <c r="N29" s="139">
        <f>MAX(0,M29-M28)</f>
        <v/>
      </c>
      <c r="O29" s="138">
        <f>IF(B29&lt;='VALOR POR PL'!$P$5,'CP RESUMO'!AB54,"")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HISTORICOS'!AC12)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>
        <v>16309.5</v>
      </c>
      <c r="L30" s="49">
        <f>C30/IF(B30&lt;='VALOR POR PL'!$P$5,IFERROR(INDEX('"INCC-FGV"'!$B$2:$B$800,MATCH(B30,'"INCC-FGV"'!$A$2:$A$800,0)),$K$2),$K$2)</f>
        <v/>
      </c>
      <c r="M30" s="138">
        <f>'CP RESUMO'!AC12</f>
        <v/>
      </c>
      <c r="N30" s="139">
        <f>MAX(0,M30-M29)</f>
        <v/>
      </c>
      <c r="O30" s="138">
        <f>IF(B30&lt;='VALOR POR PL'!$P$5,'CP RESUMO'!AC54,"")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HISTORICOS'!AD12)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>
        <v>28235.87</v>
      </c>
      <c r="L31" s="49">
        <f>C31/IF(B31&lt;='VALOR POR PL'!$P$5,IFERROR(INDEX('"INCC-FGV"'!$B$2:$B$800,MATCH(B31,'"INCC-FGV"'!$A$2:$A$800,0)),$K$2),$K$2)</f>
        <v/>
      </c>
      <c r="M31" s="138">
        <f>'CP RESUMO'!AD12</f>
        <v/>
      </c>
      <c r="N31" s="139">
        <f>MAX(0,M31-M30)</f>
        <v/>
      </c>
      <c r="O31" s="138">
        <f>IF(B31&lt;='VALOR POR PL'!$P$5,'CP RESUMO'!AD54,"")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HISTORICOS'!AE12)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25515.02</v>
      </c>
      <c r="L32" s="49">
        <f>C32/IF(B32&lt;='VALOR POR PL'!$P$5,IFERROR(INDEX('"INCC-FGV"'!$B$2:$B$800,MATCH(B32,'"INCC-FGV"'!$A$2:$A$800,0)),$K$2),$K$2)</f>
        <v/>
      </c>
      <c r="M32" s="138">
        <f>'CP RESUMO'!AE12</f>
        <v/>
      </c>
      <c r="N32" s="139">
        <f>MAX(0,M32-M31)</f>
        <v/>
      </c>
      <c r="O32" s="138">
        <f>IF(B32&lt;='VALOR POR PL'!$P$5,'CP RESUMO'!AE54,"")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HISTORICOS'!AF12)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29900.88</v>
      </c>
      <c r="L33" s="49">
        <f>C33/IF(B33&lt;='VALOR POR PL'!$P$5,IFERROR(INDEX('"INCC-FGV"'!$B$2:$B$800,MATCH(B33,'"INCC-FGV"'!$A$2:$A$800,0)),$K$2),$K$2)</f>
        <v/>
      </c>
      <c r="M33" s="138">
        <f>'CP RESUMO'!AF12</f>
        <v/>
      </c>
      <c r="N33" s="139">
        <f>MAX(0,M33-M32)</f>
        <v/>
      </c>
      <c r="O33" s="138">
        <f>IF(B33&lt;='VALOR POR PL'!$P$5,'CP RESUMO'!AF54,"")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HISTORICOS'!AG12)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30199.63</v>
      </c>
      <c r="L34" s="49">
        <f>C34/IF(B34&lt;='VALOR POR PL'!$P$5,IFERROR(INDEX('"INCC-FGV"'!$B$2:$B$800,MATCH(B34,'"INCC-FGV"'!$A$2:$A$800,0)),$K$2),$K$2)</f>
        <v/>
      </c>
      <c r="M34" s="138">
        <f>'CP RESUMO'!AG12</f>
        <v/>
      </c>
      <c r="N34" s="139">
        <f>MAX(0,M34-M33)</f>
        <v/>
      </c>
      <c r="O34" s="138">
        <f>IF(B34&lt;='VALOR POR PL'!$P$5,'CP RESUMO'!AG54,"")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HISTORICOS'!AH12)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34501.02</v>
      </c>
      <c r="L35" s="49">
        <f>C35/IF(B35&lt;='VALOR POR PL'!$P$5,IFERROR(INDEX('"INCC-FGV"'!$B$2:$B$800,MATCH(B35,'"INCC-FGV"'!$A$2:$A$800,0)),$K$2),$K$2)</f>
        <v/>
      </c>
      <c r="M35" s="138">
        <f>'CP RESUMO'!AH12</f>
        <v/>
      </c>
      <c r="N35" s="139">
        <f>MAX(0,M35-M34)</f>
        <v/>
      </c>
      <c r="O35" s="138">
        <f>IF(B35&lt;='VALOR POR PL'!$P$5,'CP RESUMO'!AH54,"")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HISTORICOS'!AI12)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32780.44</v>
      </c>
      <c r="L36" s="49">
        <f>C36/IF(B36&lt;='VALOR POR PL'!$P$5,IFERROR(INDEX('"INCC-FGV"'!$B$2:$B$800,MATCH(B36,'"INCC-FGV"'!$A$2:$A$800,0)),$K$2),$K$2)</f>
        <v/>
      </c>
      <c r="M36" s="138">
        <f>'CP RESUMO'!AI12</f>
        <v/>
      </c>
      <c r="N36" s="139">
        <f>MAX(0,M36-M35)</f>
        <v/>
      </c>
      <c r="O36" s="138">
        <f>IF(B36&lt;='VALOR POR PL'!$P$5,'CP RESUMO'!AI54,"")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HISTORICOS'!AJ12)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31177.91</v>
      </c>
      <c r="L37" s="49">
        <f>C37/IF(B37&lt;='VALOR POR PL'!$P$5,IFERROR(INDEX('"INCC-FGV"'!$B$2:$B$800,MATCH(B37,'"INCC-FGV"'!$A$2:$A$800,0)),$K$2),$K$2)</f>
        <v/>
      </c>
      <c r="M37" s="138">
        <f>'CP RESUMO'!AJ12</f>
        <v/>
      </c>
      <c r="N37" s="139">
        <f>MAX(0,M37-M36)</f>
        <v/>
      </c>
      <c r="O37" s="138">
        <f>IF(B37&lt;='VALOR POR PL'!$P$5,'CP RESUMO'!AJ54,"")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HISTORICOS'!AK12)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34021.99</v>
      </c>
      <c r="L38" s="49">
        <f>C38/IF(B38&lt;='VALOR POR PL'!$P$5,IFERROR(INDEX('"INCC-FGV"'!$B$2:$B$800,MATCH(B38,'"INCC-FGV"'!$A$2:$A$800,0)),$K$2),$K$2)</f>
        <v/>
      </c>
      <c r="M38" s="138">
        <f>'CP RESUMO'!AK12</f>
        <v/>
      </c>
      <c r="N38" s="139">
        <f>MAX(0,M38-M37)</f>
        <v/>
      </c>
      <c r="O38" s="138">
        <f>IF(B38&lt;='VALOR POR PL'!$P$5,'CP RESUMO'!AK54,"")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HISTORICOS'!AL12)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29443.74</v>
      </c>
      <c r="L39" s="49">
        <f>C39/IF(B39&lt;='VALOR POR PL'!$P$5,IFERROR(INDEX('"INCC-FGV"'!$B$2:$B$800,MATCH(B39,'"INCC-FGV"'!$A$2:$A$800,0)),$K$2),$K$2)</f>
        <v/>
      </c>
      <c r="M39" s="138">
        <f>'CP RESUMO'!AL12</f>
        <v/>
      </c>
      <c r="N39" s="139">
        <f>MAX(0,M39-M38)</f>
        <v/>
      </c>
      <c r="O39" s="138">
        <f>IF(B39&lt;='VALOR POR PL'!$P$5,'CP RESUMO'!AL54,"")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HISTORICOS'!AM12)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26464.19</v>
      </c>
      <c r="L40" s="49">
        <f>C40/IF(B40&lt;='VALOR POR PL'!$P$5,IFERROR(INDEX('"INCC-FGV"'!$B$2:$B$800,MATCH(B40,'"INCC-FGV"'!$A$2:$A$800,0)),$K$2),$K$2)</f>
        <v/>
      </c>
      <c r="M40" s="138">
        <f>'CP RESUMO'!AM12</f>
        <v/>
      </c>
      <c r="N40" s="139">
        <f>MAX(0,M40-M39)</f>
        <v/>
      </c>
      <c r="O40" s="138">
        <f>IF(B40&lt;='VALOR POR PL'!$P$5,'CP RESUMO'!AM54,"")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HISTORICOS'!AN12)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29004.48</v>
      </c>
      <c r="L41" s="49">
        <f>C41/IF(B41&lt;='VALOR POR PL'!$P$5,IFERROR(INDEX('"INCC-FGV"'!$B$2:$B$800,MATCH(B41,'"INCC-FGV"'!$A$2:$A$800,0)),$K$2),$K$2)</f>
        <v/>
      </c>
      <c r="M41" s="138">
        <f>'CP RESUMO'!AN12</f>
        <v/>
      </c>
      <c r="N41" s="139">
        <f>MAX(0,M41-M40)</f>
        <v/>
      </c>
      <c r="O41" s="138">
        <f>IF(B41&lt;='VALOR POR PL'!$P$5,'CP RESUMO'!AN54,"")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HISTORICOS'!AO12)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31522.3</v>
      </c>
      <c r="L42" s="49">
        <f>C42/IF(B42&lt;='VALOR POR PL'!$P$5,IFERROR(INDEX('"INCC-FGV"'!$B$2:$B$800,MATCH(B42,'"INCC-FGV"'!$A$2:$A$800,0)),$K$2),$K$2)</f>
        <v/>
      </c>
      <c r="M42" s="138">
        <f>'CP RESUMO'!AO12</f>
        <v/>
      </c>
      <c r="N42" s="139">
        <f>MAX(0,M42-M41)</f>
        <v/>
      </c>
      <c r="O42" s="138">
        <f>IF(B42&lt;='VALOR POR PL'!$P$5,'CP RESUMO'!AO54,"")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HISTORICOS'!AP12)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31011.94</v>
      </c>
      <c r="L43" s="49">
        <f>C43/IF(B43&lt;='VALOR POR PL'!$P$5,IFERROR(INDEX('"INCC-FGV"'!$B$2:$B$800,MATCH(B43,'"INCC-FGV"'!$A$2:$A$800,0)),$K$2),$K$2)</f>
        <v/>
      </c>
      <c r="M43" s="138">
        <f>'CP RESUMO'!AP12</f>
        <v/>
      </c>
      <c r="N43" s="139">
        <f>MAX(0,M43-M42)</f>
        <v/>
      </c>
      <c r="O43" s="138">
        <f>IF(B43&lt;='VALOR POR PL'!$P$5,'CP RESUMO'!AP54,"")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HISTORICOS'!AQ12)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20653.6</v>
      </c>
      <c r="L44" s="49">
        <f>C44/IF(B44&lt;='VALOR POR PL'!$P$5,IFERROR(INDEX('"INCC-FGV"'!$B$2:$B$800,MATCH(B44,'"INCC-FGV"'!$A$2:$A$800,0)),$K$2),$K$2)</f>
        <v/>
      </c>
      <c r="M44" s="138">
        <f>'CP RESUMO'!AQ12</f>
        <v/>
      </c>
      <c r="N44" s="139">
        <f>MAX(0,M44-M43)</f>
        <v/>
      </c>
      <c r="O44" s="138">
        <f>IF(B44&lt;='VALOR POR PL'!$P$5,'CP RESUMO'!AQ54,"")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HISTORICOS'!AR12)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12928.22</v>
      </c>
      <c r="L45" s="49">
        <f>C45/IF(B45&lt;='VALOR POR PL'!$P$5,IFERROR(INDEX('"INCC-FGV"'!$B$2:$B$800,MATCH(B45,'"INCC-FGV"'!$A$2:$A$800,0)),$K$2),$K$2)</f>
        <v/>
      </c>
      <c r="M45" s="138">
        <f>'CP RESUMO'!AR12</f>
        <v/>
      </c>
      <c r="N45" s="139">
        <f>MAX(0,M45-M44)</f>
        <v/>
      </c>
      <c r="O45" s="138">
        <f>IF(B45&lt;='VALOR POR PL'!$P$5,'CP RESUMO'!AR54,"")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HISTORICOS'!AS12)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12928.22</v>
      </c>
      <c r="L46" s="49">
        <f>C46/IF(B46&lt;='VALOR POR PL'!$P$5,IFERROR(INDEX('"INCC-FGV"'!$B$2:$B$800,MATCH(B46,'"INCC-FGV"'!$A$2:$A$800,0)),$K$2),$K$2)</f>
        <v/>
      </c>
      <c r="M46" s="138">
        <f>'CP RESUMO'!AS12</f>
        <v/>
      </c>
      <c r="N46" s="139">
        <f>MAX(0,M46-M45)</f>
        <v/>
      </c>
      <c r="O46" s="138">
        <f>IF(B46&lt;='VALOR POR PL'!$P$5,'CP RESUMO'!AS54,"")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HISTORICOS'!AT12)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12928.22</v>
      </c>
      <c r="L47" s="49">
        <f>C47/IF(B47&lt;='VALOR POR PL'!$P$5,IFERROR(INDEX('"INCC-FGV"'!$B$2:$B$800,MATCH(B47,'"INCC-FGV"'!$A$2:$A$800,0)),$K$2),$K$2)</f>
        <v/>
      </c>
      <c r="M47" s="138">
        <f>'CP RESUMO'!AT12</f>
        <v/>
      </c>
      <c r="N47" s="139">
        <f>MAX(0,M47-M46)</f>
        <v/>
      </c>
      <c r="O47" s="138">
        <f>IF(B47&lt;='VALOR POR PL'!$P$5,'CP RESUMO'!AT54,"")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HISTORICOS'!AU12)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12928.22</v>
      </c>
      <c r="L48" s="49">
        <f>C48/IF(B48&lt;='VALOR POR PL'!$P$5,IFERROR(INDEX('"INCC-FGV"'!$B$2:$B$800,MATCH(B48,'"INCC-FGV"'!$A$2:$A$800,0)),$K$2),$K$2)</f>
        <v/>
      </c>
      <c r="M48" s="138">
        <f>'CP RESUMO'!AU12</f>
        <v/>
      </c>
      <c r="N48" s="139">
        <f>MAX(0,M48-M47)</f>
        <v/>
      </c>
      <c r="O48" s="138">
        <f>IF(B48&lt;='VALOR POR PL'!$P$5,'CP RESUMO'!AU54,"")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HISTORICOS'!AV12)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12928.22</v>
      </c>
      <c r="L49" s="49">
        <f>C49/IF(B49&lt;='VALOR POR PL'!$P$5,IFERROR(INDEX('"INCC-FGV"'!$B$2:$B$800,MATCH(B49,'"INCC-FGV"'!$A$2:$A$800,0)),$K$2),$K$2)</f>
        <v/>
      </c>
      <c r="M49" s="138">
        <f>'CP RESUMO'!AV12</f>
        <v/>
      </c>
      <c r="N49" s="139">
        <f>MAX(0,M49-M48)</f>
        <v/>
      </c>
      <c r="O49" s="138">
        <f>IF(B49&lt;='VALOR POR PL'!$P$5,'CP RESUMO'!AV54,"")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HISTORICOS'!AW12)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12928.22</v>
      </c>
      <c r="L50" s="49">
        <f>C50/IF(B50&lt;='VALOR POR PL'!$P$5,IFERROR(INDEX('"INCC-FGV"'!$B$2:$B$800,MATCH(B50,'"INCC-FGV"'!$A$2:$A$800,0)),$K$2),$K$2)</f>
        <v/>
      </c>
      <c r="M50" s="138">
        <f>'CP RESUMO'!AW12</f>
        <v/>
      </c>
      <c r="N50" s="139">
        <f>MAX(0,M50-M49)</f>
        <v/>
      </c>
      <c r="O50" s="138">
        <f>IF(B50&lt;='VALOR POR PL'!$P$5,'CP RESUMO'!AW54,"")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HISTORICOS'!AX12)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12928.22</v>
      </c>
      <c r="L51" s="49">
        <f>C51/IF(B51&lt;='VALOR POR PL'!$P$5,IFERROR(INDEX('"INCC-FGV"'!$B$2:$B$800,MATCH(B51,'"INCC-FGV"'!$A$2:$A$800,0)),$K$2),$K$2)</f>
        <v/>
      </c>
      <c r="M51" s="138">
        <f>'CP RESUMO'!AX12</f>
        <v/>
      </c>
      <c r="N51" s="139">
        <f>MAX(0,M51-M50)</f>
        <v/>
      </c>
      <c r="O51" s="138">
        <f>IF(B51&lt;='VALOR POR PL'!$P$5,'CP RESUMO'!AX54,"")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HISTORICOS'!AY12)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12928.22</v>
      </c>
      <c r="L52" s="49">
        <f>C52/IF(B52&lt;='VALOR POR PL'!$P$5,IFERROR(INDEX('"INCC-FGV"'!$B$2:$B$800,MATCH(B52,'"INCC-FGV"'!$A$2:$A$800,0)),$K$2),$K$2)</f>
        <v/>
      </c>
      <c r="M52" s="138">
        <f>'CP RESUMO'!AY12</f>
        <v/>
      </c>
      <c r="N52" s="139">
        <f>MAX(0,M52-M51)</f>
        <v/>
      </c>
      <c r="O52" s="138">
        <f>IF(B52&lt;='VALOR POR PL'!$P$5,'CP RESUMO'!AY54,"")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HISTORICOS'!AZ12)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12928.22</v>
      </c>
      <c r="L53" s="49">
        <f>C53/IF(B53&lt;='VALOR POR PL'!$P$5,IFERROR(INDEX('"INCC-FGV"'!$B$2:$B$800,MATCH(B53,'"INCC-FGV"'!$A$2:$A$800,0)),$K$2),$K$2)</f>
        <v/>
      </c>
      <c r="M53" s="138">
        <f>'CP RESUMO'!AZ12</f>
        <v/>
      </c>
      <c r="N53" s="139">
        <f>MAX(0,M53-M52)</f>
        <v/>
      </c>
      <c r="O53" s="138">
        <f>IF(B53&lt;='VALOR POR PL'!$P$5,'CP RESUMO'!AZ54,"")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HISTORICOS'!BA12)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12928.22</v>
      </c>
      <c r="L54" s="49">
        <f>C54/IF(B54&lt;='VALOR POR PL'!$P$5,IFERROR(INDEX('"INCC-FGV"'!$B$2:$B$800,MATCH(B54,'"INCC-FGV"'!$A$2:$A$800,0)),$K$2),$K$2)</f>
        <v/>
      </c>
      <c r="M54" s="138">
        <f>'CP RESUMO'!BA12</f>
        <v/>
      </c>
      <c r="N54" s="139">
        <f>MAX(0,M54-M53)</f>
        <v/>
      </c>
      <c r="O54" s="138">
        <f>IF(B54&lt;='VALOR POR PL'!$P$5,'CP RESUMO'!BA54,"")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HISTORICOS'!BB12)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6000</v>
      </c>
      <c r="L55" s="49">
        <f>C55/IF(B55&lt;='VALOR POR PL'!$P$5,IFERROR(INDEX('"INCC-FGV"'!$B$2:$B$800,MATCH(B55,'"INCC-FGV"'!$A$2:$A$800,0)),$K$2),$K$2)</f>
        <v/>
      </c>
      <c r="M55" s="138">
        <f>'CP RESUMO'!BB12</f>
        <v/>
      </c>
      <c r="N55" s="139">
        <f>MAX(0,M55-M54)</f>
        <v/>
      </c>
      <c r="O55" s="138">
        <f>IF(B55&lt;='VALOR POR PL'!$P$5,'CP RESUMO'!BB54,"")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HISTORICOS'!BC12)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65559.00999999999</v>
      </c>
      <c r="L56" s="49">
        <f>C56/IF(B56&lt;='VALOR POR PL'!$P$5,IFERROR(INDEX('"INCC-FGV"'!$B$2:$B$800,MATCH(B56,'"INCC-FGV"'!$A$2:$A$800,0)),$K$2),$K$2)</f>
        <v/>
      </c>
      <c r="M56" s="138">
        <f>'CP RESUMO'!BC12</f>
        <v/>
      </c>
      <c r="N56" s="139">
        <f>MAX(0,M56-M55)</f>
        <v/>
      </c>
      <c r="O56" s="138">
        <f>IF(B56&lt;='VALOR POR PL'!$P$5,'CP RESUMO'!BC54,"")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HISTORICOS'!BD12)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>
        <v>19438.3</v>
      </c>
      <c r="L57" s="49">
        <f>C57/IF(B57&lt;='VALOR POR PL'!$P$5,IFERROR(INDEX('"INCC-FGV"'!$B$2:$B$800,MATCH(B57,'"INCC-FGV"'!$A$2:$A$800,0)),$K$2),$K$2)</f>
        <v/>
      </c>
      <c r="M57" s="138">
        <f>'CP RESUMO'!BD12</f>
        <v/>
      </c>
      <c r="N57" s="139">
        <f>MAX(0,M57-M56)</f>
        <v/>
      </c>
      <c r="O57" s="138">
        <f>IF(B57&lt;='VALOR POR PL'!$P$5,'CP RESUMO'!BD54,"")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HISTORICOS'!BE12)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>
        <v>37708.87</v>
      </c>
      <c r="L58" s="49">
        <f>C58/IF(B58&lt;='VALOR POR PL'!$P$5,IFERROR(INDEX('"INCC-FGV"'!$B$2:$B$800,MATCH(B58,'"INCC-FGV"'!$A$2:$A$800,0)),$K$2),$K$2)</f>
        <v/>
      </c>
      <c r="M58" s="138">
        <f>'CP RESUMO'!BE12</f>
        <v/>
      </c>
      <c r="N58" s="139">
        <f>MAX(0,M58-M57)</f>
        <v/>
      </c>
      <c r="O58" s="138">
        <f>IF(B58&lt;='VALOR POR PL'!$P$5,'CP RESUMO'!BE54,"")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HISTORICOS'!BF12)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RESUMO'!BF12</f>
        <v/>
      </c>
      <c r="N59" s="139">
        <f>MAX(0,M59-M58)</f>
        <v/>
      </c>
      <c r="O59" s="138">
        <f>IF(B59&lt;='VALOR POR PL'!$P$5,'CP RESUMO'!BF54,"")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HISTORICOS'!BG12)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RESUMO'!BG12</f>
        <v/>
      </c>
      <c r="N60" s="139">
        <f>MAX(0,M60-M59)</f>
        <v/>
      </c>
      <c r="O60" s="138">
        <f>IF(B60&lt;='VALOR POR PL'!$P$5,'CP RESUMO'!BG54,"")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HISTORICOS'!BH12)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RESUMO'!BH12</f>
        <v/>
      </c>
      <c r="N61" s="139">
        <f>MAX(0,M61-M60)</f>
        <v/>
      </c>
      <c r="O61" s="138">
        <f>IF(B61&lt;='VALOR POR PL'!$P$5,'CP RESUMO'!BH54,"")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HISTORICOS'!BI12)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RESUMO'!BI12</f>
        <v/>
      </c>
      <c r="N62" s="139">
        <f>MAX(0,M62-M61)</f>
        <v/>
      </c>
      <c r="O62" s="138">
        <f>IF(B62&lt;='VALOR POR PL'!$P$5,'CP RESUMO'!BI54,"")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HISTORICOS'!BJ12)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RESUMO'!BJ12</f>
        <v/>
      </c>
      <c r="N63" s="139">
        <f>MAX(0,M63-M62)</f>
        <v/>
      </c>
      <c r="O63" s="138">
        <f>IF(B63&lt;='VALOR POR PL'!$P$5,'CP RESUMO'!BJ54,"")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HISTORICOS'!BK12)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RESUMO'!BK12</f>
        <v/>
      </c>
      <c r="N64" s="139">
        <f>MAX(0,M64-M63)</f>
        <v/>
      </c>
      <c r="O64" s="138">
        <f>IF(B64&lt;='VALOR POR PL'!$P$5,'CP RESUMO'!BK54,"")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HISTORICOS'!BL12)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RESUMO'!BL12</f>
        <v/>
      </c>
      <c r="N65" s="139">
        <f>MAX(0,M65-M64)</f>
        <v/>
      </c>
      <c r="O65" s="138">
        <f>IF(B65&lt;='VALOR POR PL'!$P$5,'CP RESUMO'!BL54,"")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HISTORICOS'!BM12)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RESUMO'!BM12</f>
        <v/>
      </c>
      <c r="N66" s="139">
        <f>MAX(0,M66-M65)</f>
        <v/>
      </c>
      <c r="O66" s="138">
        <f>IF(B66&lt;='VALOR POR PL'!$P$5,'CP RESUMO'!BM54,"")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HISTORICOS'!BN12)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RESUMO'!BN12</f>
        <v/>
      </c>
      <c r="N67" s="139">
        <f>MAX(0,M67-M66)</f>
        <v/>
      </c>
      <c r="O67" s="138">
        <f>IF(B67&lt;='VALOR POR PL'!$P$5,'CP RESUMO'!BN54,"")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HISTORICOS'!BO12)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RESUMO'!BO12</f>
        <v/>
      </c>
      <c r="N68" s="139">
        <f>MAX(0,M68-M67)</f>
        <v/>
      </c>
      <c r="O68" s="138">
        <f>IF(B68&lt;='VALOR POR PL'!$P$5,'CP RESUMO'!BO54,"")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HISTORICOS'!BP12)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RESUMO'!BP12</f>
        <v/>
      </c>
      <c r="N69" s="139">
        <f>MAX(0,M69-M68)</f>
        <v/>
      </c>
      <c r="O69" s="138">
        <f>IF(B69&lt;='VALOR POR PL'!$P$5,'CP RESUMO'!BP54,"")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HISTORICOS'!BQ12)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RESUMO'!BQ12</f>
        <v/>
      </c>
      <c r="N70" s="139">
        <f>MAX(0,M70-M69)</f>
        <v/>
      </c>
      <c r="O70" s="138">
        <f>IF(B70&lt;='VALOR POR PL'!$P$5,'CP RESUMO'!BQ54,"")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HISTORICOS'!BR12)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RESUMO'!BR12</f>
        <v/>
      </c>
      <c r="N71" s="139">
        <f>MAX(0,M71-M70)</f>
        <v/>
      </c>
      <c r="O71" s="138">
        <f>IF(B71&lt;='VALOR POR PL'!$P$5,'CP RESUMO'!BR54,"")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HISTORICOS'!BS12)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RESUMO'!BS12</f>
        <v/>
      </c>
      <c r="N72" s="139">
        <f>MAX(0,M72-M71)</f>
        <v/>
      </c>
      <c r="O72" s="138">
        <f>IF(B72&lt;='VALOR POR PL'!$P$5,'CP RESUMO'!BS54,"")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HISTORICOS'!BT12)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RESUMO'!BT12</f>
        <v/>
      </c>
      <c r="N73" s="139">
        <f>MAX(0,M73-M72)</f>
        <v/>
      </c>
      <c r="O73" s="138">
        <f>IF(B73&lt;='VALOR POR PL'!$P$5,'CP RESUMO'!BT54,"")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HISTORICOS'!BU12)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RESUMO'!BU12</f>
        <v/>
      </c>
      <c r="N74" s="139">
        <f>MAX(0,M74-M73)</f>
        <v/>
      </c>
      <c r="O74" s="138">
        <f>IF(B74&lt;='VALOR POR PL'!$P$5,'CP RESUMO'!BU54,"")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HISTORICOS'!BV12)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RESUMO'!BV12</f>
        <v/>
      </c>
      <c r="N75" s="139">
        <f>MAX(0,M75-M74)</f>
        <v/>
      </c>
      <c r="O75" s="138">
        <f>IF(B75&lt;='VALOR POR PL'!$P$5,'CP RESUMO'!BV54,"")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HISTORICOS'!BW12)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RESUMO'!BW12</f>
        <v/>
      </c>
      <c r="N76" s="139">
        <f>MAX(0,M76-M75)</f>
        <v/>
      </c>
      <c r="O76" s="138">
        <f>IF(B76&lt;='VALOR POR PL'!$P$5,'CP RESUMO'!BW54,"")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PL'!D19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HISTORICOS'!D13)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PL'!F19</f>
        <v/>
      </c>
      <c r="K5" s="60">
        <f>'VALOR POR PL'!G19</f>
        <v/>
      </c>
      <c r="L5" s="60">
        <f>'DADOS HISTORICOS'!$BZ$13</f>
        <v/>
      </c>
      <c r="M5" s="138">
        <f>'CP RESUMO'!D13</f>
        <v/>
      </c>
      <c r="N5" s="139" t="n">
        <v>0</v>
      </c>
      <c r="O5" s="138">
        <f>IF(B5&lt;='VALOR POR PL'!$P$5,'CP RESUMO'!D55,"")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HISTORICOS'!E13)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PL'!H19</f>
        <v/>
      </c>
      <c r="L6" s="49">
        <f>C6/IF(B6&lt;='VALOR POR PL'!$P$5,IFERROR(INDEX('"INCC-FGV"'!$B$2:$B$800,MATCH(B6,'"INCC-FGV"'!$A$2:$A$800,0)),$K$2),$K$2)</f>
        <v/>
      </c>
      <c r="M6" s="138">
        <f>'CP RESUMO'!E13</f>
        <v/>
      </c>
      <c r="N6" s="139">
        <f>MAX(0,M6-M5)</f>
        <v/>
      </c>
      <c r="O6" s="138">
        <f>IF(B6&lt;='VALOR POR PL'!$P$5,'CP RESUMO'!E55,"")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HISTORICOS'!F13)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RESUMO'!F13</f>
        <v/>
      </c>
      <c r="N7" s="139">
        <f>MAX(0,M7-M6)</f>
        <v/>
      </c>
      <c r="O7" s="138">
        <f>IF(B7&lt;='VALOR POR PL'!$P$5,'CP RESUMO'!F55,"")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HISTORICOS'!G13)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RESUMO'!G13</f>
        <v/>
      </c>
      <c r="N8" s="139">
        <f>MAX(0,M8-M7)</f>
        <v/>
      </c>
      <c r="O8" s="138">
        <f>IF(B8&lt;='VALOR POR PL'!$P$5,'CP RESUMO'!G55,"")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HISTORICOS'!H13)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RESUMO'!H13</f>
        <v/>
      </c>
      <c r="N9" s="139">
        <f>MAX(0,M9-M8)</f>
        <v/>
      </c>
      <c r="O9" s="138">
        <f>IF(B9&lt;='VALOR POR PL'!$P$5,'CP RESUMO'!H55,"")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HISTORICOS'!I13)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RESUMO'!I13</f>
        <v/>
      </c>
      <c r="N10" s="139">
        <f>MAX(0,M10-M9)</f>
        <v/>
      </c>
      <c r="O10" s="138">
        <f>IF(B10&lt;='VALOR POR PL'!$P$5,'CP RESUMO'!I55,"")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HISTORICOS'!J13)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RESUMO'!J13</f>
        <v/>
      </c>
      <c r="N11" s="139">
        <f>MAX(0,M11-M10)</f>
        <v/>
      </c>
      <c r="O11" s="138">
        <f>IF(B11&lt;='VALOR POR PL'!$P$5,'CP RESUMO'!J55,"")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HISTORICOS'!K13)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RESUMO'!K13</f>
        <v/>
      </c>
      <c r="N12" s="139">
        <f>MAX(0,M12-M11)</f>
        <v/>
      </c>
      <c r="O12" s="138">
        <f>IF(B12&lt;='VALOR POR PL'!$P$5,'CP RESUMO'!K55,"")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HISTORICOS'!L13)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PL'!I19</f>
        <v/>
      </c>
      <c r="L13" s="49">
        <f>C13/IF(B13&lt;='VALOR POR PL'!$P$5,IFERROR(INDEX('"INCC-FGV"'!$B$2:$B$800,MATCH(B13,'"INCC-FGV"'!$A$2:$A$800,0)),$K$2),$K$2)</f>
        <v/>
      </c>
      <c r="M13" s="138">
        <f>'CP RESUMO'!L13</f>
        <v/>
      </c>
      <c r="N13" s="139">
        <f>MAX(0,M13-M12)</f>
        <v/>
      </c>
      <c r="O13" s="138">
        <f>IF(B13&lt;='VALOR POR PL'!$P$5,'CP RESUMO'!L55,"")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HISTORICOS'!M13)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RESUMO'!$D$55:$BW$55,MATCH('VALOR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RESUMO'!M13</f>
        <v/>
      </c>
      <c r="N14" s="139">
        <f>MAX(0,M14-M13)</f>
        <v/>
      </c>
      <c r="O14" s="138">
        <f>IF(B14&lt;='VALOR POR PL'!$P$5,'CP RESUMO'!M55,"")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HISTORICOS'!N13)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RESUMO'!N13</f>
        <v/>
      </c>
      <c r="N15" s="139">
        <f>MAX(0,M15-M14)</f>
        <v/>
      </c>
      <c r="O15" s="138">
        <f>IF(B15&lt;='VALOR POR PL'!$P$5,'CP RESUMO'!N55,"")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HISTORICOS'!O13)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RESUMO'!O13</f>
        <v/>
      </c>
      <c r="N16" s="139">
        <f>MAX(0,M16-M15)</f>
        <v/>
      </c>
      <c r="O16" s="138">
        <f>IF(B16&lt;='VALOR POR PL'!$P$5,'CP RESUMO'!O55,"")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HISTORICOS'!P13)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RESUMO'!P13</f>
        <v/>
      </c>
      <c r="N17" s="139">
        <f>MAX(0,M17-M16)</f>
        <v/>
      </c>
      <c r="O17" s="138">
        <f>IF(B17&lt;='VALOR POR PL'!$P$5,'CP RESUMO'!P55,"")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HISTORICOS'!Q13)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RESUMO'!Q13</f>
        <v/>
      </c>
      <c r="N18" s="139">
        <f>MAX(0,M18-M17)</f>
        <v/>
      </c>
      <c r="O18" s="138">
        <f>IF(B18&lt;='VALOR POR PL'!$P$5,'CP RESUMO'!Q55,"")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HISTORICOS'!R13)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RESUMO'!R13</f>
        <v/>
      </c>
      <c r="N19" s="139">
        <f>MAX(0,M19-M18)</f>
        <v/>
      </c>
      <c r="O19" s="138">
        <f>IF(B19&lt;='VALOR POR PL'!$P$5,'CP RESUMO'!R55,"")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HISTORICOS'!S13)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RESUMO'!S13</f>
        <v/>
      </c>
      <c r="N20" s="139">
        <f>MAX(0,M20-M19)</f>
        <v/>
      </c>
      <c r="O20" s="138">
        <f>IF(B20&lt;='VALOR POR PL'!$P$5,'CP RESUMO'!S55,"")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HISTORICOS'!T13)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RESUMO'!T13</f>
        <v/>
      </c>
      <c r="N21" s="139">
        <f>MAX(0,M21-M20)</f>
        <v/>
      </c>
      <c r="O21" s="138">
        <f>IF(B21&lt;='VALOR POR PL'!$P$5,'CP RESUMO'!T55,"")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HISTORICOS'!U13)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RESUMO'!U13</f>
        <v/>
      </c>
      <c r="N22" s="139">
        <f>MAX(0,M22-M21)</f>
        <v/>
      </c>
      <c r="O22" s="138">
        <f>IF(B22&lt;='VALOR POR PL'!$P$5,'CP RESUMO'!U55,"")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HISTORICOS'!V13)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RESUMO'!V13</f>
        <v/>
      </c>
      <c r="N23" s="139">
        <f>MAX(0,M23-M22)</f>
        <v/>
      </c>
      <c r="O23" s="138">
        <f>IF(B23&lt;='VALOR POR PL'!$P$5,'CP RESUMO'!V55,"")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HISTORICOS'!W13)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RESUMO'!W13</f>
        <v/>
      </c>
      <c r="N24" s="139">
        <f>MAX(0,M24-M23)</f>
        <v/>
      </c>
      <c r="O24" s="138">
        <f>IF(B24&lt;='VALOR POR PL'!$P$5,'CP RESUMO'!W55,"")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HISTORICOS'!X13)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RESUMO'!X13</f>
        <v/>
      </c>
      <c r="N25" s="139">
        <f>MAX(0,M25-M24)</f>
        <v/>
      </c>
      <c r="O25" s="138">
        <f>IF(B25&lt;='VALOR POR PL'!$P$5,'CP RESUMO'!X55,"")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HISTORICOS'!Y13)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>
        <v>29236.97</v>
      </c>
      <c r="L26" s="49">
        <f>C26/IF(B26&lt;='VALOR POR PL'!$P$5,IFERROR(INDEX('"INCC-FGV"'!$B$2:$B$800,MATCH(B26,'"INCC-FGV"'!$A$2:$A$800,0)),$K$2),$K$2)</f>
        <v/>
      </c>
      <c r="M26" s="138">
        <f>'CP RESUMO'!Y13</f>
        <v/>
      </c>
      <c r="N26" s="139">
        <f>MAX(0,M26-M25)</f>
        <v/>
      </c>
      <c r="O26" s="138">
        <f>IF(B26&lt;='VALOR POR PL'!$P$5,'CP RESUMO'!Y55,"")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HISTORICOS'!Z13)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24991.46</v>
      </c>
      <c r="L27" s="49">
        <f>C27/IF(B27&lt;='VALOR POR PL'!$P$5,IFERROR(INDEX('"INCC-FGV"'!$B$2:$B$800,MATCH(B27,'"INCC-FGV"'!$A$2:$A$800,0)),$K$2),$K$2)</f>
        <v/>
      </c>
      <c r="M27" s="138">
        <f>'CP RESUMO'!Z13</f>
        <v/>
      </c>
      <c r="N27" s="139">
        <f>MAX(0,M27-M26)</f>
        <v/>
      </c>
      <c r="O27" s="138">
        <f>IF(B27&lt;='VALOR POR PL'!$P$5,'CP RESUMO'!Z55,"")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HISTORICOS'!AA13)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22791.46</v>
      </c>
      <c r="L28" s="49">
        <f>C28/IF(B28&lt;='VALOR POR PL'!$P$5,IFERROR(INDEX('"INCC-FGV"'!$B$2:$B$800,MATCH(B28,'"INCC-FGV"'!$A$2:$A$800,0)),$K$2),$K$2)</f>
        <v/>
      </c>
      <c r="M28" s="138">
        <f>'CP RESUMO'!AA13</f>
        <v/>
      </c>
      <c r="N28" s="139">
        <f>MAX(0,M28-M27)</f>
        <v/>
      </c>
      <c r="O28" s="138">
        <f>IF(B28&lt;='VALOR POR PL'!$P$5,'CP RESUMO'!AA55,"")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HISTORICOS'!AB13)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22791.46</v>
      </c>
      <c r="L29" s="49">
        <f>C29/IF(B29&lt;='VALOR POR PL'!$P$5,IFERROR(INDEX('"INCC-FGV"'!$B$2:$B$800,MATCH(B29,'"INCC-FGV"'!$A$2:$A$800,0)),$K$2),$K$2)</f>
        <v/>
      </c>
      <c r="M29" s="138">
        <f>'CP RESUMO'!AB13</f>
        <v/>
      </c>
      <c r="N29" s="139">
        <f>MAX(0,M29-M28)</f>
        <v/>
      </c>
      <c r="O29" s="138">
        <f>IF(B29&lt;='VALOR POR PL'!$P$5,'CP RESUMO'!AB55,"")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HISTORICOS'!AC13)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>
        <v>25692.74</v>
      </c>
      <c r="L30" s="49">
        <f>C30/IF(B30&lt;='VALOR POR PL'!$P$5,IFERROR(INDEX('"INCC-FGV"'!$B$2:$B$800,MATCH(B30,'"INCC-FGV"'!$A$2:$A$800,0)),$K$2),$K$2)</f>
        <v/>
      </c>
      <c r="M30" s="138">
        <f>'CP RESUMO'!AC13</f>
        <v/>
      </c>
      <c r="N30" s="139">
        <f>MAX(0,M30-M29)</f>
        <v/>
      </c>
      <c r="O30" s="138">
        <f>IF(B30&lt;='VALOR POR PL'!$P$5,'CP RESUMO'!AC55,"")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HISTORICOS'!AD13)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>
        <v>19492.74</v>
      </c>
      <c r="L31" s="49">
        <f>C31/IF(B31&lt;='VALOR POR PL'!$P$5,IFERROR(INDEX('"INCC-FGV"'!$B$2:$B$800,MATCH(B31,'"INCC-FGV"'!$A$2:$A$800,0)),$K$2),$K$2)</f>
        <v/>
      </c>
      <c r="M31" s="138">
        <f>'CP RESUMO'!AD13</f>
        <v/>
      </c>
      <c r="N31" s="139">
        <f>MAX(0,M31-M30)</f>
        <v/>
      </c>
      <c r="O31" s="138">
        <f>IF(B31&lt;='VALOR POR PL'!$P$5,'CP RESUMO'!AD55,"")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HISTORICOS'!AE13)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19492.74</v>
      </c>
      <c r="L32" s="49">
        <f>C32/IF(B32&lt;='VALOR POR PL'!$P$5,IFERROR(INDEX('"INCC-FGV"'!$B$2:$B$800,MATCH(B32,'"INCC-FGV"'!$A$2:$A$800,0)),$K$2),$K$2)</f>
        <v/>
      </c>
      <c r="M32" s="138">
        <f>'CP RESUMO'!AE13</f>
        <v/>
      </c>
      <c r="N32" s="139">
        <f>MAX(0,M32-M31)</f>
        <v/>
      </c>
      <c r="O32" s="138">
        <f>IF(B32&lt;='VALOR POR PL'!$P$5,'CP RESUMO'!AE55,"")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HISTORICOS'!AF13)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21692.74</v>
      </c>
      <c r="L33" s="49">
        <f>C33/IF(B33&lt;='VALOR POR PL'!$P$5,IFERROR(INDEX('"INCC-FGV"'!$B$2:$B$800,MATCH(B33,'"INCC-FGV"'!$A$2:$A$800,0)),$K$2),$K$2)</f>
        <v/>
      </c>
      <c r="M33" s="138">
        <f>'CP RESUMO'!AF13</f>
        <v/>
      </c>
      <c r="N33" s="139">
        <f>MAX(0,M33-M32)</f>
        <v/>
      </c>
      <c r="O33" s="138">
        <f>IF(B33&lt;='VALOR POR PL'!$P$5,'CP RESUMO'!AF55,"")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HISTORICOS'!AG13)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19492.74</v>
      </c>
      <c r="L34" s="49">
        <f>C34/IF(B34&lt;='VALOR POR PL'!$P$5,IFERROR(INDEX('"INCC-FGV"'!$B$2:$B$800,MATCH(B34,'"INCC-FGV"'!$A$2:$A$800,0)),$K$2),$K$2)</f>
        <v/>
      </c>
      <c r="M34" s="138">
        <f>'CP RESUMO'!AG13</f>
        <v/>
      </c>
      <c r="N34" s="139">
        <f>MAX(0,M34-M33)</f>
        <v/>
      </c>
      <c r="O34" s="138">
        <f>IF(B34&lt;='VALOR POR PL'!$P$5,'CP RESUMO'!AG55,"")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HISTORICOS'!AH13)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24517.74</v>
      </c>
      <c r="L35" s="49">
        <f>C35/IF(B35&lt;='VALOR POR PL'!$P$5,IFERROR(INDEX('"INCC-FGV"'!$B$2:$B$800,MATCH(B35,'"INCC-FGV"'!$A$2:$A$800,0)),$K$2),$K$2)</f>
        <v/>
      </c>
      <c r="M35" s="138">
        <f>'CP RESUMO'!AH13</f>
        <v/>
      </c>
      <c r="N35" s="139">
        <f>MAX(0,M35-M34)</f>
        <v/>
      </c>
      <c r="O35" s="138">
        <f>IF(B35&lt;='VALOR POR PL'!$P$5,'CP RESUMO'!AH55,"")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HISTORICOS'!AI13)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21692.74</v>
      </c>
      <c r="L36" s="49">
        <f>C36/IF(B36&lt;='VALOR POR PL'!$P$5,IFERROR(INDEX('"INCC-FGV"'!$B$2:$B$800,MATCH(B36,'"INCC-FGV"'!$A$2:$A$800,0)),$K$2),$K$2)</f>
        <v/>
      </c>
      <c r="M36" s="138">
        <f>'CP RESUMO'!AI13</f>
        <v/>
      </c>
      <c r="N36" s="139">
        <f>MAX(0,M36-M35)</f>
        <v/>
      </c>
      <c r="O36" s="138">
        <f>IF(B36&lt;='VALOR POR PL'!$P$5,'CP RESUMO'!AI55,"")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HISTORICOS'!AJ13)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19492.74</v>
      </c>
      <c r="L37" s="49">
        <f>C37/IF(B37&lt;='VALOR POR PL'!$P$5,IFERROR(INDEX('"INCC-FGV"'!$B$2:$B$800,MATCH(B37,'"INCC-FGV"'!$A$2:$A$800,0)),$K$2),$K$2)</f>
        <v/>
      </c>
      <c r="M37" s="138">
        <f>'CP RESUMO'!AJ13</f>
        <v/>
      </c>
      <c r="N37" s="139">
        <f>MAX(0,M37-M36)</f>
        <v/>
      </c>
      <c r="O37" s="138">
        <f>IF(B37&lt;='VALOR POR PL'!$P$5,'CP RESUMO'!AJ55,"")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HISTORICOS'!AK13)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19492.74</v>
      </c>
      <c r="L38" s="49">
        <f>C38/IF(B38&lt;='VALOR POR PL'!$P$5,IFERROR(INDEX('"INCC-FGV"'!$B$2:$B$800,MATCH(B38,'"INCC-FGV"'!$A$2:$A$800,0)),$K$2),$K$2)</f>
        <v/>
      </c>
      <c r="M38" s="138">
        <f>'CP RESUMO'!AK13</f>
        <v/>
      </c>
      <c r="N38" s="139">
        <f>MAX(0,M38-M37)</f>
        <v/>
      </c>
      <c r="O38" s="138">
        <f>IF(B38&lt;='VALOR POR PL'!$P$5,'CP RESUMO'!AK55,"")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HISTORICOS'!AL13)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21692.74</v>
      </c>
      <c r="L39" s="49">
        <f>C39/IF(B39&lt;='VALOR POR PL'!$P$5,IFERROR(INDEX('"INCC-FGV"'!$B$2:$B$800,MATCH(B39,'"INCC-FGV"'!$A$2:$A$800,0)),$K$2),$K$2)</f>
        <v/>
      </c>
      <c r="M39" s="138">
        <f>'CP RESUMO'!AL13</f>
        <v/>
      </c>
      <c r="N39" s="139">
        <f>MAX(0,M39-M38)</f>
        <v/>
      </c>
      <c r="O39" s="138">
        <f>IF(B39&lt;='VALOR POR PL'!$P$5,'CP RESUMO'!AL55,"")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HISTORICOS'!AM13)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19492.74</v>
      </c>
      <c r="L40" s="49">
        <f>C40/IF(B40&lt;='VALOR POR PL'!$P$5,IFERROR(INDEX('"INCC-FGV"'!$B$2:$B$800,MATCH(B40,'"INCC-FGV"'!$A$2:$A$800,0)),$K$2),$K$2)</f>
        <v/>
      </c>
      <c r="M40" s="138">
        <f>'CP RESUMO'!AM13</f>
        <v/>
      </c>
      <c r="N40" s="139">
        <f>MAX(0,M40-M39)</f>
        <v/>
      </c>
      <c r="O40" s="138">
        <f>IF(B40&lt;='VALOR POR PL'!$P$5,'CP RESUMO'!AM55,"")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HISTORICOS'!AN13)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15610.78</v>
      </c>
      <c r="L41" s="49">
        <f>C41/IF(B41&lt;='VALOR POR PL'!$P$5,IFERROR(INDEX('"INCC-FGV"'!$B$2:$B$800,MATCH(B41,'"INCC-FGV"'!$A$2:$A$800,0)),$K$2),$K$2)</f>
        <v/>
      </c>
      <c r="M41" s="138">
        <f>'CP RESUMO'!AN13</f>
        <v/>
      </c>
      <c r="N41" s="139">
        <f>MAX(0,M41-M40)</f>
        <v/>
      </c>
      <c r="O41" s="138">
        <f>IF(B41&lt;='VALOR POR PL'!$P$5,'CP RESUMO'!AN55,"")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HISTORICOS'!AO13)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17385.68</v>
      </c>
      <c r="L42" s="49">
        <f>C42/IF(B42&lt;='VALOR POR PL'!$P$5,IFERROR(INDEX('"INCC-FGV"'!$B$2:$B$800,MATCH(B42,'"INCC-FGV"'!$A$2:$A$800,0)),$K$2),$K$2)</f>
        <v/>
      </c>
      <c r="M42" s="138">
        <f>'CP RESUMO'!AO13</f>
        <v/>
      </c>
      <c r="N42" s="139">
        <f>MAX(0,M42-M41)</f>
        <v/>
      </c>
      <c r="O42" s="138">
        <f>IF(B42&lt;='VALOR POR PL'!$P$5,'CP RESUMO'!AO55,"")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HISTORICOS'!AP13)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15185.68</v>
      </c>
      <c r="L43" s="49">
        <f>C43/IF(B43&lt;='VALOR POR PL'!$P$5,IFERROR(INDEX('"INCC-FGV"'!$B$2:$B$800,MATCH(B43,'"INCC-FGV"'!$A$2:$A$800,0)),$K$2),$K$2)</f>
        <v/>
      </c>
      <c r="M43" s="138">
        <f>'CP RESUMO'!AP13</f>
        <v/>
      </c>
      <c r="N43" s="139">
        <f>MAX(0,M43-M42)</f>
        <v/>
      </c>
      <c r="O43" s="138">
        <f>IF(B43&lt;='VALOR POR PL'!$P$5,'CP RESUMO'!AP55,"")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HISTORICOS'!AQ13)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11185.68</v>
      </c>
      <c r="L44" s="49">
        <f>C44/IF(B44&lt;='VALOR POR PL'!$P$5,IFERROR(INDEX('"INCC-FGV"'!$B$2:$B$800,MATCH(B44,'"INCC-FGV"'!$A$2:$A$800,0)),$K$2),$K$2)</f>
        <v/>
      </c>
      <c r="M44" s="138">
        <f>'CP RESUMO'!AQ13</f>
        <v/>
      </c>
      <c r="N44" s="139">
        <f>MAX(0,M44-M43)</f>
        <v/>
      </c>
      <c r="O44" s="138">
        <f>IF(B44&lt;='VALOR POR PL'!$P$5,'CP RESUMO'!AQ55,"")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HISTORICOS'!AR13)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13385.68</v>
      </c>
      <c r="L45" s="49">
        <f>C45/IF(B45&lt;='VALOR POR PL'!$P$5,IFERROR(INDEX('"INCC-FGV"'!$B$2:$B$800,MATCH(B45,'"INCC-FGV"'!$A$2:$A$800,0)),$K$2),$K$2)</f>
        <v/>
      </c>
      <c r="M45" s="138">
        <f>'CP RESUMO'!AR13</f>
        <v/>
      </c>
      <c r="N45" s="139">
        <f>MAX(0,M45-M44)</f>
        <v/>
      </c>
      <c r="O45" s="138">
        <f>IF(B45&lt;='VALOR POR PL'!$P$5,'CP RESUMO'!AR55,"")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HISTORICOS'!AS13)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11185.68</v>
      </c>
      <c r="L46" s="49">
        <f>C46/IF(B46&lt;='VALOR POR PL'!$P$5,IFERROR(INDEX('"INCC-FGV"'!$B$2:$B$800,MATCH(B46,'"INCC-FGV"'!$A$2:$A$800,0)),$K$2),$K$2)</f>
        <v/>
      </c>
      <c r="M46" s="138">
        <f>'CP RESUMO'!AS13</f>
        <v/>
      </c>
      <c r="N46" s="139">
        <f>MAX(0,M46-M45)</f>
        <v/>
      </c>
      <c r="O46" s="138">
        <f>IF(B46&lt;='VALOR POR PL'!$P$5,'CP RESUMO'!AS55,"")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HISTORICOS'!AT13)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16210.68</v>
      </c>
      <c r="L47" s="49">
        <f>C47/IF(B47&lt;='VALOR POR PL'!$P$5,IFERROR(INDEX('"INCC-FGV"'!$B$2:$B$800,MATCH(B47,'"INCC-FGV"'!$A$2:$A$800,0)),$K$2),$K$2)</f>
        <v/>
      </c>
      <c r="M47" s="138">
        <f>'CP RESUMO'!AT13</f>
        <v/>
      </c>
      <c r="N47" s="139">
        <f>MAX(0,M47-M46)</f>
        <v/>
      </c>
      <c r="O47" s="138">
        <f>IF(B47&lt;='VALOR POR PL'!$P$5,'CP RESUMO'!AT55,"")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HISTORICOS'!AU13)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13385.68</v>
      </c>
      <c r="L48" s="49">
        <f>C48/IF(B48&lt;='VALOR POR PL'!$P$5,IFERROR(INDEX('"INCC-FGV"'!$B$2:$B$800,MATCH(B48,'"INCC-FGV"'!$A$2:$A$800,0)),$K$2),$K$2)</f>
        <v/>
      </c>
      <c r="M48" s="138">
        <f>'CP RESUMO'!AU13</f>
        <v/>
      </c>
      <c r="N48" s="139">
        <f>MAX(0,M48-M47)</f>
        <v/>
      </c>
      <c r="O48" s="138">
        <f>IF(B48&lt;='VALOR POR PL'!$P$5,'CP RESUMO'!AU55,"")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HISTORICOS'!AV13)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48685.68</v>
      </c>
      <c r="L49" s="49">
        <f>C49/IF(B49&lt;='VALOR POR PL'!$P$5,IFERROR(INDEX('"INCC-FGV"'!$B$2:$B$800,MATCH(B49,'"INCC-FGV"'!$A$2:$A$800,0)),$K$2),$K$2)</f>
        <v/>
      </c>
      <c r="M49" s="138">
        <f>'CP RESUMO'!AV13</f>
        <v/>
      </c>
      <c r="N49" s="139">
        <f>MAX(0,M49-M48)</f>
        <v/>
      </c>
      <c r="O49" s="138">
        <f>IF(B49&lt;='VALOR POR PL'!$P$5,'CP RESUMO'!AV55,"")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HISTORICOS'!AW13)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50885.68</v>
      </c>
      <c r="L50" s="49">
        <f>C50/IF(B50&lt;='VALOR POR PL'!$P$5,IFERROR(INDEX('"INCC-FGV"'!$B$2:$B$800,MATCH(B50,'"INCC-FGV"'!$A$2:$A$800,0)),$K$2),$K$2)</f>
        <v/>
      </c>
      <c r="M50" s="138">
        <f>'CP RESUMO'!AW13</f>
        <v/>
      </c>
      <c r="N50" s="139">
        <f>MAX(0,M50-M49)</f>
        <v/>
      </c>
      <c r="O50" s="138">
        <f>IF(B50&lt;='VALOR POR PL'!$P$5,'CP RESUMO'!AW55,"")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HISTORICOS'!AX13)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11185.68</v>
      </c>
      <c r="L51" s="49">
        <f>C51/IF(B51&lt;='VALOR POR PL'!$P$5,IFERROR(INDEX('"INCC-FGV"'!$B$2:$B$800,MATCH(B51,'"INCC-FGV"'!$A$2:$A$800,0)),$K$2),$K$2)</f>
        <v/>
      </c>
      <c r="M51" s="138">
        <f>'CP RESUMO'!AX13</f>
        <v/>
      </c>
      <c r="N51" s="139">
        <f>MAX(0,M51-M50)</f>
        <v/>
      </c>
      <c r="O51" s="138">
        <f>IF(B51&lt;='VALOR POR PL'!$P$5,'CP RESUMO'!AX55,"")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HISTORICOS'!AY13)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10483.68</v>
      </c>
      <c r="L52" s="49">
        <f>C52/IF(B52&lt;='VALOR POR PL'!$P$5,IFERROR(INDEX('"INCC-FGV"'!$B$2:$B$800,MATCH(B52,'"INCC-FGV"'!$A$2:$A$800,0)),$K$2),$K$2)</f>
        <v/>
      </c>
      <c r="M52" s="138">
        <f>'CP RESUMO'!AY13</f>
        <v/>
      </c>
      <c r="N52" s="139">
        <f>MAX(0,M52-M51)</f>
        <v/>
      </c>
      <c r="O52" s="138">
        <f>IF(B52&lt;='VALOR POR PL'!$P$5,'CP RESUMO'!AY55,"")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HISTORICOS'!AZ13)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12683.68</v>
      </c>
      <c r="L53" s="49">
        <f>C53/IF(B53&lt;='VALOR POR PL'!$P$5,IFERROR(INDEX('"INCC-FGV"'!$B$2:$B$800,MATCH(B53,'"INCC-FGV"'!$A$2:$A$800,0)),$K$2),$K$2)</f>
        <v/>
      </c>
      <c r="M53" s="138">
        <f>'CP RESUMO'!AZ13</f>
        <v/>
      </c>
      <c r="N53" s="139">
        <f>MAX(0,M53-M52)</f>
        <v/>
      </c>
      <c r="O53" s="138">
        <f>IF(B53&lt;='VALOR POR PL'!$P$5,'CP RESUMO'!AZ55,"")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HISTORICOS'!BA13)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9485.68</v>
      </c>
      <c r="L54" s="49">
        <f>C54/IF(B54&lt;='VALOR POR PL'!$P$5,IFERROR(INDEX('"INCC-FGV"'!$B$2:$B$800,MATCH(B54,'"INCC-FGV"'!$A$2:$A$800,0)),$K$2),$K$2)</f>
        <v/>
      </c>
      <c r="M54" s="138">
        <f>'CP RESUMO'!BA13</f>
        <v/>
      </c>
      <c r="N54" s="139">
        <f>MAX(0,M54-M53)</f>
        <v/>
      </c>
      <c r="O54" s="138">
        <f>IF(B54&lt;='VALOR POR PL'!$P$5,'CP RESUMO'!BA55,"")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HISTORICOS'!BB13)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5685.68</v>
      </c>
      <c r="L55" s="49">
        <f>C55/IF(B55&lt;='VALOR POR PL'!$P$5,IFERROR(INDEX('"INCC-FGV"'!$B$2:$B$800,MATCH(B55,'"INCC-FGV"'!$A$2:$A$800,0)),$K$2),$K$2)</f>
        <v/>
      </c>
      <c r="M55" s="138">
        <f>'CP RESUMO'!BB13</f>
        <v/>
      </c>
      <c r="N55" s="139">
        <f>MAX(0,M55-M54)</f>
        <v/>
      </c>
      <c r="O55" s="138">
        <f>IF(B55&lt;='VALOR POR PL'!$P$5,'CP RESUMO'!BB55,"")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HISTORICOS'!BC13)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77255.59</v>
      </c>
      <c r="L56" s="49">
        <f>C56/IF(B56&lt;='VALOR POR PL'!$P$5,IFERROR(INDEX('"INCC-FGV"'!$B$2:$B$800,MATCH(B56,'"INCC-FGV"'!$A$2:$A$800,0)),$K$2),$K$2)</f>
        <v/>
      </c>
      <c r="M56" s="138">
        <f>'CP RESUMO'!BC13</f>
        <v/>
      </c>
      <c r="N56" s="139">
        <f>MAX(0,M56-M55)</f>
        <v/>
      </c>
      <c r="O56" s="138">
        <f>IF(B56&lt;='VALOR POR PL'!$P$5,'CP RESUMO'!BC55,"")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HISTORICOS'!BD13)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RESUMO'!BD13</f>
        <v/>
      </c>
      <c r="N57" s="139">
        <f>MAX(0,M57-M56)</f>
        <v/>
      </c>
      <c r="O57" s="138">
        <f>IF(B57&lt;='VALOR POR PL'!$P$5,'CP RESUMO'!BD55,"")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HISTORICOS'!BE13)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RESUMO'!BE13</f>
        <v/>
      </c>
      <c r="N58" s="139">
        <f>MAX(0,M58-M57)</f>
        <v/>
      </c>
      <c r="O58" s="138">
        <f>IF(B58&lt;='VALOR POR PL'!$P$5,'CP RESUMO'!BE55,"")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HISTORICOS'!BF13)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RESUMO'!BF13</f>
        <v/>
      </c>
      <c r="N59" s="139">
        <f>MAX(0,M59-M58)</f>
        <v/>
      </c>
      <c r="O59" s="138">
        <f>IF(B59&lt;='VALOR POR PL'!$P$5,'CP RESUMO'!BF55,"")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HISTORICOS'!BG13)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RESUMO'!BG13</f>
        <v/>
      </c>
      <c r="N60" s="139">
        <f>MAX(0,M60-M59)</f>
        <v/>
      </c>
      <c r="O60" s="138">
        <f>IF(B60&lt;='VALOR POR PL'!$P$5,'CP RESUMO'!BG55,"")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HISTORICOS'!BH13)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RESUMO'!BH13</f>
        <v/>
      </c>
      <c r="N61" s="139">
        <f>MAX(0,M61-M60)</f>
        <v/>
      </c>
      <c r="O61" s="138">
        <f>IF(B61&lt;='VALOR POR PL'!$P$5,'CP RESUMO'!BH55,"")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HISTORICOS'!BI13)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RESUMO'!BI13</f>
        <v/>
      </c>
      <c r="N62" s="139">
        <f>MAX(0,M62-M61)</f>
        <v/>
      </c>
      <c r="O62" s="138">
        <f>IF(B62&lt;='VALOR POR PL'!$P$5,'CP RESUMO'!BI55,"")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HISTORICOS'!BJ13)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RESUMO'!BJ13</f>
        <v/>
      </c>
      <c r="N63" s="139">
        <f>MAX(0,M63-M62)</f>
        <v/>
      </c>
      <c r="O63" s="138">
        <f>IF(B63&lt;='VALOR POR PL'!$P$5,'CP RESUMO'!BJ55,"")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HISTORICOS'!BK13)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RESUMO'!BK13</f>
        <v/>
      </c>
      <c r="N64" s="139">
        <f>MAX(0,M64-M63)</f>
        <v/>
      </c>
      <c r="O64" s="138">
        <f>IF(B64&lt;='VALOR POR PL'!$P$5,'CP RESUMO'!BK55,"")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HISTORICOS'!BL13)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RESUMO'!BL13</f>
        <v/>
      </c>
      <c r="N65" s="139">
        <f>MAX(0,M65-M64)</f>
        <v/>
      </c>
      <c r="O65" s="138">
        <f>IF(B65&lt;='VALOR POR PL'!$P$5,'CP RESUMO'!BL55,"")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HISTORICOS'!BM13)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RESUMO'!BM13</f>
        <v/>
      </c>
      <c r="N66" s="139">
        <f>MAX(0,M66-M65)</f>
        <v/>
      </c>
      <c r="O66" s="138">
        <f>IF(B66&lt;='VALOR POR PL'!$P$5,'CP RESUMO'!BM55,"")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HISTORICOS'!BN13)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RESUMO'!BN13</f>
        <v/>
      </c>
      <c r="N67" s="139">
        <f>MAX(0,M67-M66)</f>
        <v/>
      </c>
      <c r="O67" s="138">
        <f>IF(B67&lt;='VALOR POR PL'!$P$5,'CP RESUMO'!BN55,"")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HISTORICOS'!BO13)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RESUMO'!BO13</f>
        <v/>
      </c>
      <c r="N68" s="139">
        <f>MAX(0,M68-M67)</f>
        <v/>
      </c>
      <c r="O68" s="138">
        <f>IF(B68&lt;='VALOR POR PL'!$P$5,'CP RESUMO'!BO55,"")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HISTORICOS'!BP13)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RESUMO'!BP13</f>
        <v/>
      </c>
      <c r="N69" s="139">
        <f>MAX(0,M69-M68)</f>
        <v/>
      </c>
      <c r="O69" s="138">
        <f>IF(B69&lt;='VALOR POR PL'!$P$5,'CP RESUMO'!BP55,"")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HISTORICOS'!BQ13)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RESUMO'!BQ13</f>
        <v/>
      </c>
      <c r="N70" s="139">
        <f>MAX(0,M70-M69)</f>
        <v/>
      </c>
      <c r="O70" s="138">
        <f>IF(B70&lt;='VALOR POR PL'!$P$5,'CP RESUMO'!BQ55,"")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HISTORICOS'!BR13)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RESUMO'!BR13</f>
        <v/>
      </c>
      <c r="N71" s="139">
        <f>MAX(0,M71-M70)</f>
        <v/>
      </c>
      <c r="O71" s="138">
        <f>IF(B71&lt;='VALOR POR PL'!$P$5,'CP RESUMO'!BR55,"")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HISTORICOS'!BS13)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RESUMO'!BS13</f>
        <v/>
      </c>
      <c r="N72" s="139">
        <f>MAX(0,M72-M71)</f>
        <v/>
      </c>
      <c r="O72" s="138">
        <f>IF(B72&lt;='VALOR POR PL'!$P$5,'CP RESUMO'!BS55,"")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HISTORICOS'!BT13)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RESUMO'!BT13</f>
        <v/>
      </c>
      <c r="N73" s="139">
        <f>MAX(0,M73-M72)</f>
        <v/>
      </c>
      <c r="O73" s="138">
        <f>IF(B73&lt;='VALOR POR PL'!$P$5,'CP RESUMO'!BT55,"")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HISTORICOS'!BU13)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RESUMO'!BU13</f>
        <v/>
      </c>
      <c r="N74" s="139">
        <f>MAX(0,M74-M73)</f>
        <v/>
      </c>
      <c r="O74" s="138">
        <f>IF(B74&lt;='VALOR POR PL'!$P$5,'CP RESUMO'!BU55,"")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HISTORICOS'!BV13)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RESUMO'!BV13</f>
        <v/>
      </c>
      <c r="N75" s="139">
        <f>MAX(0,M75-M74)</f>
        <v/>
      </c>
      <c r="O75" s="138">
        <f>IF(B75&lt;='VALOR POR PL'!$P$5,'CP RESUMO'!BV55,"")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HISTORICOS'!BW13)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RESUMO'!BW13</f>
        <v/>
      </c>
      <c r="N76" s="139">
        <f>MAX(0,M76-M75)</f>
        <v/>
      </c>
      <c r="O76" s="138">
        <f>IF(B76&lt;='VALOR POR PL'!$P$5,'CP RESUMO'!BW55,"")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PL'!D20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HISTORICOS'!D14)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PL'!F20</f>
        <v/>
      </c>
      <c r="K5" s="60">
        <f>'VALOR POR PL'!G20</f>
        <v/>
      </c>
      <c r="L5" s="60">
        <f>'DADOS HISTORICOS'!$BZ$14</f>
        <v/>
      </c>
      <c r="M5" s="138">
        <f>'CP RESUMO'!D14</f>
        <v/>
      </c>
      <c r="N5" s="139" t="n">
        <v>0</v>
      </c>
      <c r="O5" s="138">
        <f>IF(B5&lt;='VALOR POR PL'!$P$5,'CP RESUMO'!D56,"")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HISTORICOS'!E14)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PL'!H20</f>
        <v/>
      </c>
      <c r="L6" s="49">
        <f>C6/IF(B6&lt;='VALOR POR PL'!$P$5,IFERROR(INDEX('"INCC-FGV"'!$B$2:$B$800,MATCH(B6,'"INCC-FGV"'!$A$2:$A$800,0)),$K$2),$K$2)</f>
        <v/>
      </c>
      <c r="M6" s="138">
        <f>'CP RESUMO'!E14</f>
        <v/>
      </c>
      <c r="N6" s="139">
        <f>MAX(0,M6-M5)</f>
        <v/>
      </c>
      <c r="O6" s="138">
        <f>IF(B6&lt;='VALOR POR PL'!$P$5,'CP RESUMO'!E56,"")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HISTORICOS'!F14)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RESUMO'!F14</f>
        <v/>
      </c>
      <c r="N7" s="139">
        <f>MAX(0,M7-M6)</f>
        <v/>
      </c>
      <c r="O7" s="138">
        <f>IF(B7&lt;='VALOR POR PL'!$P$5,'CP RESUMO'!F56,"")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HISTORICOS'!G14)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RESUMO'!G14</f>
        <v/>
      </c>
      <c r="N8" s="139">
        <f>MAX(0,M8-M7)</f>
        <v/>
      </c>
      <c r="O8" s="138">
        <f>IF(B8&lt;='VALOR POR PL'!$P$5,'CP RESUMO'!G56,"")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HISTORICOS'!H14)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RESUMO'!H14</f>
        <v/>
      </c>
      <c r="N9" s="139">
        <f>MAX(0,M9-M8)</f>
        <v/>
      </c>
      <c r="O9" s="138">
        <f>IF(B9&lt;='VALOR POR PL'!$P$5,'CP RESUMO'!H56,"")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HISTORICOS'!I14)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RESUMO'!I14</f>
        <v/>
      </c>
      <c r="N10" s="139">
        <f>MAX(0,M10-M9)</f>
        <v/>
      </c>
      <c r="O10" s="138">
        <f>IF(B10&lt;='VALOR POR PL'!$P$5,'CP RESUMO'!I56,"")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HISTORICOS'!J14)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RESUMO'!J14</f>
        <v/>
      </c>
      <c r="N11" s="139">
        <f>MAX(0,M11-M10)</f>
        <v/>
      </c>
      <c r="O11" s="138">
        <f>IF(B11&lt;='VALOR POR PL'!$P$5,'CP RESUMO'!J56,"")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HISTORICOS'!K14)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RESUMO'!K14</f>
        <v/>
      </c>
      <c r="N12" s="139">
        <f>MAX(0,M12-M11)</f>
        <v/>
      </c>
      <c r="O12" s="138">
        <f>IF(B12&lt;='VALOR POR PL'!$P$5,'CP RESUMO'!K56,"")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HISTORICOS'!L14)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PL'!I20</f>
        <v/>
      </c>
      <c r="L13" s="49">
        <f>C13/IF(B13&lt;='VALOR POR PL'!$P$5,IFERROR(INDEX('"INCC-FGV"'!$B$2:$B$800,MATCH(B13,'"INCC-FGV"'!$A$2:$A$800,0)),$K$2),$K$2)</f>
        <v/>
      </c>
      <c r="M13" s="138">
        <f>'CP RESUMO'!L14</f>
        <v/>
      </c>
      <c r="N13" s="139">
        <f>MAX(0,M13-M12)</f>
        <v/>
      </c>
      <c r="O13" s="138">
        <f>IF(B13&lt;='VALOR POR PL'!$P$5,'CP RESUMO'!L56,"")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HISTORICOS'!M14)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RESUMO'!$D$56:$BW$56,MATCH('VALOR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RESUMO'!M14</f>
        <v/>
      </c>
      <c r="N14" s="139">
        <f>MAX(0,M14-M13)</f>
        <v/>
      </c>
      <c r="O14" s="138">
        <f>IF(B14&lt;='VALOR POR PL'!$P$5,'CP RESUMO'!M56,"")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HISTORICOS'!N14)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RESUMO'!N14</f>
        <v/>
      </c>
      <c r="N15" s="139">
        <f>MAX(0,M15-M14)</f>
        <v/>
      </c>
      <c r="O15" s="138">
        <f>IF(B15&lt;='VALOR POR PL'!$P$5,'CP RESUMO'!N56,"")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HISTORICOS'!O14)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RESUMO'!O14</f>
        <v/>
      </c>
      <c r="N16" s="139">
        <f>MAX(0,M16-M15)</f>
        <v/>
      </c>
      <c r="O16" s="138">
        <f>IF(B16&lt;='VALOR POR PL'!$P$5,'CP RESUMO'!O56,"")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HISTORICOS'!P14)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RESUMO'!P14</f>
        <v/>
      </c>
      <c r="N17" s="139">
        <f>MAX(0,M17-M16)</f>
        <v/>
      </c>
      <c r="O17" s="138">
        <f>IF(B17&lt;='VALOR POR PL'!$P$5,'CP RESUMO'!P56,"")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HISTORICOS'!Q14)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RESUMO'!Q14</f>
        <v/>
      </c>
      <c r="N18" s="139">
        <f>MAX(0,M18-M17)</f>
        <v/>
      </c>
      <c r="O18" s="138">
        <f>IF(B18&lt;='VALOR POR PL'!$P$5,'CP RESUMO'!Q56,"")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HISTORICOS'!R14)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RESUMO'!R14</f>
        <v/>
      </c>
      <c r="N19" s="139">
        <f>MAX(0,M19-M18)</f>
        <v/>
      </c>
      <c r="O19" s="138">
        <f>IF(B19&lt;='VALOR POR PL'!$P$5,'CP RESUMO'!R56,"")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HISTORICOS'!S14)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RESUMO'!S14</f>
        <v/>
      </c>
      <c r="N20" s="139">
        <f>MAX(0,M20-M19)</f>
        <v/>
      </c>
      <c r="O20" s="138">
        <f>IF(B20&lt;='VALOR POR PL'!$P$5,'CP RESUMO'!S56,"")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HISTORICOS'!T14)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RESUMO'!T14</f>
        <v/>
      </c>
      <c r="N21" s="139">
        <f>MAX(0,M21-M20)</f>
        <v/>
      </c>
      <c r="O21" s="138">
        <f>IF(B21&lt;='VALOR POR PL'!$P$5,'CP RESUMO'!T56,"")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HISTORICOS'!U14)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RESUMO'!U14</f>
        <v/>
      </c>
      <c r="N22" s="139">
        <f>MAX(0,M22-M21)</f>
        <v/>
      </c>
      <c r="O22" s="138">
        <f>IF(B22&lt;='VALOR POR PL'!$P$5,'CP RESUMO'!U56,"")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HISTORICOS'!V14)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RESUMO'!V14</f>
        <v/>
      </c>
      <c r="N23" s="139">
        <f>MAX(0,M23-M22)</f>
        <v/>
      </c>
      <c r="O23" s="138">
        <f>IF(B23&lt;='VALOR POR PL'!$P$5,'CP RESUMO'!V56,"")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HISTORICOS'!W14)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RESUMO'!W14</f>
        <v/>
      </c>
      <c r="N24" s="139">
        <f>MAX(0,M24-M23)</f>
        <v/>
      </c>
      <c r="O24" s="138">
        <f>IF(B24&lt;='VALOR POR PL'!$P$5,'CP RESUMO'!W56,"")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HISTORICOS'!X14)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RESUMO'!X14</f>
        <v/>
      </c>
      <c r="N25" s="139">
        <f>MAX(0,M25-M24)</f>
        <v/>
      </c>
      <c r="O25" s="138">
        <f>IF(B25&lt;='VALOR POR PL'!$P$5,'CP RESUMO'!X56,"")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HISTORICOS'!Y14)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>
        <v>140080.31</v>
      </c>
      <c r="L26" s="49">
        <f>C26/IF(B26&lt;='VALOR POR PL'!$P$5,IFERROR(INDEX('"INCC-FGV"'!$B$2:$B$800,MATCH(B26,'"INCC-FGV"'!$A$2:$A$800,0)),$K$2),$K$2)</f>
        <v/>
      </c>
      <c r="M26" s="138">
        <f>'CP RESUMO'!Y14</f>
        <v/>
      </c>
      <c r="N26" s="139">
        <f>MAX(0,M26-M25)</f>
        <v/>
      </c>
      <c r="O26" s="138">
        <f>IF(B26&lt;='VALOR POR PL'!$P$5,'CP RESUMO'!Y56,"")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HISTORICOS'!Z14)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252136.45</v>
      </c>
      <c r="L27" s="49">
        <f>C27/IF(B27&lt;='VALOR POR PL'!$P$5,IFERROR(INDEX('"INCC-FGV"'!$B$2:$B$800,MATCH(B27,'"INCC-FGV"'!$A$2:$A$800,0)),$K$2),$K$2)</f>
        <v/>
      </c>
      <c r="M27" s="138">
        <f>'CP RESUMO'!Z14</f>
        <v/>
      </c>
      <c r="N27" s="139">
        <f>MAX(0,M27-M26)</f>
        <v/>
      </c>
      <c r="O27" s="138">
        <f>IF(B27&lt;='VALOR POR PL'!$P$5,'CP RESUMO'!Z56,"")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HISTORICOS'!AA14)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284644.73</v>
      </c>
      <c r="L28" s="49">
        <f>C28/IF(B28&lt;='VALOR POR PL'!$P$5,IFERROR(INDEX('"INCC-FGV"'!$B$2:$B$800,MATCH(B28,'"INCC-FGV"'!$A$2:$A$800,0)),$K$2),$K$2)</f>
        <v/>
      </c>
      <c r="M28" s="138">
        <f>'CP RESUMO'!AA14</f>
        <v/>
      </c>
      <c r="N28" s="139">
        <f>MAX(0,M28-M27)</f>
        <v/>
      </c>
      <c r="O28" s="138">
        <f>IF(B28&lt;='VALOR POR PL'!$P$5,'CP RESUMO'!AA56,"")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HISTORICOS'!AB14)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328768.1</v>
      </c>
      <c r="L29" s="49">
        <f>C29/IF(B29&lt;='VALOR POR PL'!$P$5,IFERROR(INDEX('"INCC-FGV"'!$B$2:$B$800,MATCH(B29,'"INCC-FGV"'!$A$2:$A$800,0)),$K$2),$K$2)</f>
        <v/>
      </c>
      <c r="M29" s="138">
        <f>'CP RESUMO'!AB14</f>
        <v/>
      </c>
      <c r="N29" s="139">
        <f>MAX(0,M29-M28)</f>
        <v/>
      </c>
      <c r="O29" s="138">
        <f>IF(B29&lt;='VALOR POR PL'!$P$5,'CP RESUMO'!AB56,"")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HISTORICOS'!AC14)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>
        <v>488589.71</v>
      </c>
      <c r="L30" s="49">
        <f>C30/IF(B30&lt;='VALOR POR PL'!$P$5,IFERROR(INDEX('"INCC-FGV"'!$B$2:$B$800,MATCH(B30,'"INCC-FGV"'!$A$2:$A$800,0)),$K$2),$K$2)</f>
        <v/>
      </c>
      <c r="M30" s="138">
        <f>'CP RESUMO'!AC14</f>
        <v/>
      </c>
      <c r="N30" s="139">
        <f>MAX(0,M30-M29)</f>
        <v/>
      </c>
      <c r="O30" s="138">
        <f>IF(B30&lt;='VALOR POR PL'!$P$5,'CP RESUMO'!AC56,"")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HISTORICOS'!AD14)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>
        <v>439669.52</v>
      </c>
      <c r="L31" s="49">
        <f>C31/IF(B31&lt;='VALOR POR PL'!$P$5,IFERROR(INDEX('"INCC-FGV"'!$B$2:$B$800,MATCH(B31,'"INCC-FGV"'!$A$2:$A$800,0)),$K$2),$K$2)</f>
        <v/>
      </c>
      <c r="M31" s="138">
        <f>'CP RESUMO'!AD14</f>
        <v/>
      </c>
      <c r="N31" s="139">
        <f>MAX(0,M31-M30)</f>
        <v/>
      </c>
      <c r="O31" s="138">
        <f>IF(B31&lt;='VALOR POR PL'!$P$5,'CP RESUMO'!AD56,"")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HISTORICOS'!AE14)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437483.96</v>
      </c>
      <c r="L32" s="49">
        <f>C32/IF(B32&lt;='VALOR POR PL'!$P$5,IFERROR(INDEX('"INCC-FGV"'!$B$2:$B$800,MATCH(B32,'"INCC-FGV"'!$A$2:$A$800,0)),$K$2),$K$2)</f>
        <v/>
      </c>
      <c r="M32" s="138">
        <f>'CP RESUMO'!AE14</f>
        <v/>
      </c>
      <c r="N32" s="139">
        <f>MAX(0,M32-M31)</f>
        <v/>
      </c>
      <c r="O32" s="138">
        <f>IF(B32&lt;='VALOR POR PL'!$P$5,'CP RESUMO'!AE56,"")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HISTORICOS'!AF14)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450976.08</v>
      </c>
      <c r="L33" s="49">
        <f>C33/IF(B33&lt;='VALOR POR PL'!$P$5,IFERROR(INDEX('"INCC-FGV"'!$B$2:$B$800,MATCH(B33,'"INCC-FGV"'!$A$2:$A$800,0)),$K$2),$K$2)</f>
        <v/>
      </c>
      <c r="M33" s="138">
        <f>'CP RESUMO'!AF14</f>
        <v/>
      </c>
      <c r="N33" s="139">
        <f>MAX(0,M33-M32)</f>
        <v/>
      </c>
      <c r="O33" s="138">
        <f>IF(B33&lt;='VALOR POR PL'!$P$5,'CP RESUMO'!AF56,"")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HISTORICOS'!AG14)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456518.18</v>
      </c>
      <c r="L34" s="49">
        <f>C34/IF(B34&lt;='VALOR POR PL'!$P$5,IFERROR(INDEX('"INCC-FGV"'!$B$2:$B$800,MATCH(B34,'"INCC-FGV"'!$A$2:$A$800,0)),$K$2),$K$2)</f>
        <v/>
      </c>
      <c r="M34" s="138">
        <f>'CP RESUMO'!AG14</f>
        <v/>
      </c>
      <c r="N34" s="139">
        <f>MAX(0,M34-M33)</f>
        <v/>
      </c>
      <c r="O34" s="138">
        <f>IF(B34&lt;='VALOR POR PL'!$P$5,'CP RESUMO'!AG56,"")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HISTORICOS'!AH14)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456518.18</v>
      </c>
      <c r="L35" s="49">
        <f>C35/IF(B35&lt;='VALOR POR PL'!$P$5,IFERROR(INDEX('"INCC-FGV"'!$B$2:$B$800,MATCH(B35,'"INCC-FGV"'!$A$2:$A$800,0)),$K$2),$K$2)</f>
        <v/>
      </c>
      <c r="M35" s="138">
        <f>'CP RESUMO'!AH14</f>
        <v/>
      </c>
      <c r="N35" s="139">
        <f>MAX(0,M35-M34)</f>
        <v/>
      </c>
      <c r="O35" s="138">
        <f>IF(B35&lt;='VALOR POR PL'!$P$5,'CP RESUMO'!AH56,"")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HISTORICOS'!AI14)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456518.18</v>
      </c>
      <c r="L36" s="49">
        <f>C36/IF(B36&lt;='VALOR POR PL'!$P$5,IFERROR(INDEX('"INCC-FGV"'!$B$2:$B$800,MATCH(B36,'"INCC-FGV"'!$A$2:$A$800,0)),$K$2),$K$2)</f>
        <v/>
      </c>
      <c r="M36" s="138">
        <f>'CP RESUMO'!AI14</f>
        <v/>
      </c>
      <c r="N36" s="139">
        <f>MAX(0,M36-M35)</f>
        <v/>
      </c>
      <c r="O36" s="138">
        <f>IF(B36&lt;='VALOR POR PL'!$P$5,'CP RESUMO'!AI56,"")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HISTORICOS'!AJ14)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464593.44</v>
      </c>
      <c r="L37" s="49">
        <f>C37/IF(B37&lt;='VALOR POR PL'!$P$5,IFERROR(INDEX('"INCC-FGV"'!$B$2:$B$800,MATCH(B37,'"INCC-FGV"'!$A$2:$A$800,0)),$K$2),$K$2)</f>
        <v/>
      </c>
      <c r="M37" s="138">
        <f>'CP RESUMO'!AJ14</f>
        <v/>
      </c>
      <c r="N37" s="139">
        <f>MAX(0,M37-M36)</f>
        <v/>
      </c>
      <c r="O37" s="138">
        <f>IF(B37&lt;='VALOR POR PL'!$P$5,'CP RESUMO'!AJ56,"")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HISTORICOS'!AK14)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464593.44</v>
      </c>
      <c r="L38" s="49">
        <f>C38/IF(B38&lt;='VALOR POR PL'!$P$5,IFERROR(INDEX('"INCC-FGV"'!$B$2:$B$800,MATCH(B38,'"INCC-FGV"'!$A$2:$A$800,0)),$K$2),$K$2)</f>
        <v/>
      </c>
      <c r="M38" s="138">
        <f>'CP RESUMO'!AK14</f>
        <v/>
      </c>
      <c r="N38" s="139">
        <f>MAX(0,M38-M37)</f>
        <v/>
      </c>
      <c r="O38" s="138">
        <f>IF(B38&lt;='VALOR POR PL'!$P$5,'CP RESUMO'!AK56,"")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HISTORICOS'!AL14)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463729.92</v>
      </c>
      <c r="L39" s="49">
        <f>C39/IF(B39&lt;='VALOR POR PL'!$P$5,IFERROR(INDEX('"INCC-FGV"'!$B$2:$B$800,MATCH(B39,'"INCC-FGV"'!$A$2:$A$800,0)),$K$2),$K$2)</f>
        <v/>
      </c>
      <c r="M39" s="138">
        <f>'CP RESUMO'!AL14</f>
        <v/>
      </c>
      <c r="N39" s="139">
        <f>MAX(0,M39-M38)</f>
        <v/>
      </c>
      <c r="O39" s="138">
        <f>IF(B39&lt;='VALOR POR PL'!$P$5,'CP RESUMO'!AL56,"")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HISTORICOS'!AM14)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592235.9300000001</v>
      </c>
      <c r="L40" s="49">
        <f>C40/IF(B40&lt;='VALOR POR PL'!$P$5,IFERROR(INDEX('"INCC-FGV"'!$B$2:$B$800,MATCH(B40,'"INCC-FGV"'!$A$2:$A$800,0)),$K$2),$K$2)</f>
        <v/>
      </c>
      <c r="M40" s="138">
        <f>'CP RESUMO'!AM14</f>
        <v/>
      </c>
      <c r="N40" s="139">
        <f>MAX(0,M40-M39)</f>
        <v/>
      </c>
      <c r="O40" s="138">
        <f>IF(B40&lt;='VALOR POR PL'!$P$5,'CP RESUMO'!AM56,"")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HISTORICOS'!AN14)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583784.24</v>
      </c>
      <c r="L41" s="49">
        <f>C41/IF(B41&lt;='VALOR POR PL'!$P$5,IFERROR(INDEX('"INCC-FGV"'!$B$2:$B$800,MATCH(B41,'"INCC-FGV"'!$A$2:$A$800,0)),$K$2),$K$2)</f>
        <v/>
      </c>
      <c r="M41" s="138">
        <f>'CP RESUMO'!AN14</f>
        <v/>
      </c>
      <c r="N41" s="139">
        <f>MAX(0,M41-M40)</f>
        <v/>
      </c>
      <c r="O41" s="138">
        <f>IF(B41&lt;='VALOR POR PL'!$P$5,'CP RESUMO'!AN56,"")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HISTORICOS'!AO14)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464593.44</v>
      </c>
      <c r="L42" s="49">
        <f>C42/IF(B42&lt;='VALOR POR PL'!$P$5,IFERROR(INDEX('"INCC-FGV"'!$B$2:$B$800,MATCH(B42,'"INCC-FGV"'!$A$2:$A$800,0)),$K$2),$K$2)</f>
        <v/>
      </c>
      <c r="M42" s="138">
        <f>'CP RESUMO'!AO14</f>
        <v/>
      </c>
      <c r="N42" s="139">
        <f>MAX(0,M42-M41)</f>
        <v/>
      </c>
      <c r="O42" s="138">
        <f>IF(B42&lt;='VALOR POR PL'!$P$5,'CP RESUMO'!AO56,"")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HISTORICOS'!AP14)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464593.44</v>
      </c>
      <c r="L43" s="49">
        <f>C43/IF(B43&lt;='VALOR POR PL'!$P$5,IFERROR(INDEX('"INCC-FGV"'!$B$2:$B$800,MATCH(B43,'"INCC-FGV"'!$A$2:$A$800,0)),$K$2),$K$2)</f>
        <v/>
      </c>
      <c r="M43" s="138">
        <f>'CP RESUMO'!AP14</f>
        <v/>
      </c>
      <c r="N43" s="139">
        <f>MAX(0,M43-M42)</f>
        <v/>
      </c>
      <c r="O43" s="138">
        <f>IF(B43&lt;='VALOR POR PL'!$P$5,'CP RESUMO'!AP56,"")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HISTORICOS'!AQ14)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464593.44</v>
      </c>
      <c r="L44" s="49">
        <f>C44/IF(B44&lt;='VALOR POR PL'!$P$5,IFERROR(INDEX('"INCC-FGV"'!$B$2:$B$800,MATCH(B44,'"INCC-FGV"'!$A$2:$A$800,0)),$K$2),$K$2)</f>
        <v/>
      </c>
      <c r="M44" s="138">
        <f>'CP RESUMO'!AQ14</f>
        <v/>
      </c>
      <c r="N44" s="139">
        <f>MAX(0,M44-M43)</f>
        <v/>
      </c>
      <c r="O44" s="138">
        <f>IF(B44&lt;='VALOR POR PL'!$P$5,'CP RESUMO'!AQ56,"")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HISTORICOS'!AR14)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446460.19</v>
      </c>
      <c r="L45" s="49">
        <f>C45/IF(B45&lt;='VALOR POR PL'!$P$5,IFERROR(INDEX('"INCC-FGV"'!$B$2:$B$800,MATCH(B45,'"INCC-FGV"'!$A$2:$A$800,0)),$K$2),$K$2)</f>
        <v/>
      </c>
      <c r="M45" s="138">
        <f>'CP RESUMO'!AR14</f>
        <v/>
      </c>
      <c r="N45" s="139">
        <f>MAX(0,M45-M44)</f>
        <v/>
      </c>
      <c r="O45" s="138">
        <f>IF(B45&lt;='VALOR POR PL'!$P$5,'CP RESUMO'!AR56,"")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HISTORICOS'!AS14)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446460.19</v>
      </c>
      <c r="L46" s="49">
        <f>C46/IF(B46&lt;='VALOR POR PL'!$P$5,IFERROR(INDEX('"INCC-FGV"'!$B$2:$B$800,MATCH(B46,'"INCC-FGV"'!$A$2:$A$800,0)),$K$2),$K$2)</f>
        <v/>
      </c>
      <c r="M46" s="138">
        <f>'CP RESUMO'!AS14</f>
        <v/>
      </c>
      <c r="N46" s="139">
        <f>MAX(0,M46-M45)</f>
        <v/>
      </c>
      <c r="O46" s="138">
        <f>IF(B46&lt;='VALOR POR PL'!$P$5,'CP RESUMO'!AS56,"")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HISTORICOS'!AT14)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446460.19</v>
      </c>
      <c r="L47" s="49">
        <f>C47/IF(B47&lt;='VALOR POR PL'!$P$5,IFERROR(INDEX('"INCC-FGV"'!$B$2:$B$800,MATCH(B47,'"INCC-FGV"'!$A$2:$A$800,0)),$K$2),$K$2)</f>
        <v/>
      </c>
      <c r="M47" s="138">
        <f>'CP RESUMO'!AT14</f>
        <v/>
      </c>
      <c r="N47" s="139">
        <f>MAX(0,M47-M46)</f>
        <v/>
      </c>
      <c r="O47" s="138">
        <f>IF(B47&lt;='VALOR POR PL'!$P$5,'CP RESUMO'!AT56,"")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HISTORICOS'!AU14)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430208.77</v>
      </c>
      <c r="L48" s="49">
        <f>C48/IF(B48&lt;='VALOR POR PL'!$P$5,IFERROR(INDEX('"INCC-FGV"'!$B$2:$B$800,MATCH(B48,'"INCC-FGV"'!$A$2:$A$800,0)),$K$2),$K$2)</f>
        <v/>
      </c>
      <c r="M48" s="138">
        <f>'CP RESUMO'!AU14</f>
        <v/>
      </c>
      <c r="N48" s="139">
        <f>MAX(0,M48-M47)</f>
        <v/>
      </c>
      <c r="O48" s="138">
        <f>IF(B48&lt;='VALOR POR PL'!$P$5,'CP RESUMO'!AU56,"")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HISTORICOS'!AV14)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409025.96</v>
      </c>
      <c r="L49" s="49">
        <f>C49/IF(B49&lt;='VALOR POR PL'!$P$5,IFERROR(INDEX('"INCC-FGV"'!$B$2:$B$800,MATCH(B49,'"INCC-FGV"'!$A$2:$A$800,0)),$K$2),$K$2)</f>
        <v/>
      </c>
      <c r="M49" s="138">
        <f>'CP RESUMO'!AV14</f>
        <v/>
      </c>
      <c r="N49" s="139">
        <f>MAX(0,M49-M48)</f>
        <v/>
      </c>
      <c r="O49" s="138">
        <f>IF(B49&lt;='VALOR POR PL'!$P$5,'CP RESUMO'!AV56,"")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HISTORICOS'!AW14)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409025.96</v>
      </c>
      <c r="L50" s="49">
        <f>C50/IF(B50&lt;='VALOR POR PL'!$P$5,IFERROR(INDEX('"INCC-FGV"'!$B$2:$B$800,MATCH(B50,'"INCC-FGV"'!$A$2:$A$800,0)),$K$2),$K$2)</f>
        <v/>
      </c>
      <c r="M50" s="138">
        <f>'CP RESUMO'!AW14</f>
        <v/>
      </c>
      <c r="N50" s="139">
        <f>MAX(0,M50-M49)</f>
        <v/>
      </c>
      <c r="O50" s="138">
        <f>IF(B50&lt;='VALOR POR PL'!$P$5,'CP RESUMO'!AW56,"")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HISTORICOS'!AX14)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409025.96</v>
      </c>
      <c r="L51" s="49">
        <f>C51/IF(B51&lt;='VALOR POR PL'!$P$5,IFERROR(INDEX('"INCC-FGV"'!$B$2:$B$800,MATCH(B51,'"INCC-FGV"'!$A$2:$A$800,0)),$K$2),$K$2)</f>
        <v/>
      </c>
      <c r="M51" s="138">
        <f>'CP RESUMO'!AX14</f>
        <v/>
      </c>
      <c r="N51" s="139">
        <f>MAX(0,M51-M50)</f>
        <v/>
      </c>
      <c r="O51" s="138">
        <f>IF(B51&lt;='VALOR POR PL'!$P$5,'CP RESUMO'!AX56,"")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HISTORICOS'!AY14)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580495.28</v>
      </c>
      <c r="L52" s="49">
        <f>C52/IF(B52&lt;='VALOR POR PL'!$P$5,IFERROR(INDEX('"INCC-FGV"'!$B$2:$B$800,MATCH(B52,'"INCC-FGV"'!$A$2:$A$800,0)),$K$2),$K$2)</f>
        <v/>
      </c>
      <c r="M52" s="138">
        <f>'CP RESUMO'!AY14</f>
        <v/>
      </c>
      <c r="N52" s="139">
        <f>MAX(0,M52-M51)</f>
        <v/>
      </c>
      <c r="O52" s="138">
        <f>IF(B52&lt;='VALOR POR PL'!$P$5,'CP RESUMO'!AY56,"")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HISTORICOS'!AZ14)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605762.34</v>
      </c>
      <c r="L53" s="49">
        <f>C53/IF(B53&lt;='VALOR POR PL'!$P$5,IFERROR(INDEX('"INCC-FGV"'!$B$2:$B$800,MATCH(B53,'"INCC-FGV"'!$A$2:$A$800,0)),$K$2),$K$2)</f>
        <v/>
      </c>
      <c r="M53" s="138">
        <f>'CP RESUMO'!AZ14</f>
        <v/>
      </c>
      <c r="N53" s="139">
        <f>MAX(0,M53-M52)</f>
        <v/>
      </c>
      <c r="O53" s="138">
        <f>IF(B53&lt;='VALOR POR PL'!$P$5,'CP RESUMO'!AZ56,"")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HISTORICOS'!BA14)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473473.39</v>
      </c>
      <c r="L54" s="49">
        <f>C54/IF(B54&lt;='VALOR POR PL'!$P$5,IFERROR(INDEX('"INCC-FGV"'!$B$2:$B$800,MATCH(B54,'"INCC-FGV"'!$A$2:$A$800,0)),$K$2),$K$2)</f>
        <v/>
      </c>
      <c r="M54" s="138">
        <f>'CP RESUMO'!BA14</f>
        <v/>
      </c>
      <c r="N54" s="139">
        <f>MAX(0,M54-M53)</f>
        <v/>
      </c>
      <c r="O54" s="138">
        <f>IF(B54&lt;='VALOR POR PL'!$P$5,'CP RESUMO'!BA56,"")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HISTORICOS'!BB14)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437920</v>
      </c>
      <c r="L55" s="49">
        <f>C55/IF(B55&lt;='VALOR POR PL'!$P$5,IFERROR(INDEX('"INCC-FGV"'!$B$2:$B$800,MATCH(B55,'"INCC-FGV"'!$A$2:$A$800,0)),$K$2),$K$2)</f>
        <v/>
      </c>
      <c r="M55" s="138">
        <f>'CP RESUMO'!BB14</f>
        <v/>
      </c>
      <c r="N55" s="139">
        <f>MAX(0,M55-M54)</f>
        <v/>
      </c>
      <c r="O55" s="138">
        <f>IF(B55&lt;='VALOR POR PL'!$P$5,'CP RESUMO'!BB56,"")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HISTORICOS'!BC14)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437920</v>
      </c>
      <c r="L56" s="49">
        <f>C56/IF(B56&lt;='VALOR POR PL'!$P$5,IFERROR(INDEX('"INCC-FGV"'!$B$2:$B$800,MATCH(B56,'"INCC-FGV"'!$A$2:$A$800,0)),$K$2),$K$2)</f>
        <v/>
      </c>
      <c r="M56" s="138">
        <f>'CP RESUMO'!BC14</f>
        <v/>
      </c>
      <c r="N56" s="139">
        <f>MAX(0,M56-M55)</f>
        <v/>
      </c>
      <c r="O56" s="138">
        <f>IF(B56&lt;='VALOR POR PL'!$P$5,'CP RESUMO'!BC56,"")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HISTORICOS'!BD14)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>
        <v>615518.9300000001</v>
      </c>
      <c r="L57" s="49">
        <f>C57/IF(B57&lt;='VALOR POR PL'!$P$5,IFERROR(INDEX('"INCC-FGV"'!$B$2:$B$800,MATCH(B57,'"INCC-FGV"'!$A$2:$A$800,0)),$K$2),$K$2)</f>
        <v/>
      </c>
      <c r="M57" s="138">
        <f>'CP RESUMO'!BD14</f>
        <v/>
      </c>
      <c r="N57" s="139">
        <f>MAX(0,M57-M56)</f>
        <v/>
      </c>
      <c r="O57" s="138">
        <f>IF(B57&lt;='VALOR POR PL'!$P$5,'CP RESUMO'!BD56,"")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HISTORICOS'!BE14)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>
        <v>163135.14</v>
      </c>
      <c r="L58" s="49">
        <f>C58/IF(B58&lt;='VALOR POR PL'!$P$5,IFERROR(INDEX('"INCC-FGV"'!$B$2:$B$800,MATCH(B58,'"INCC-FGV"'!$A$2:$A$800,0)),$K$2),$K$2)</f>
        <v/>
      </c>
      <c r="M58" s="138">
        <f>'CP RESUMO'!BE14</f>
        <v/>
      </c>
      <c r="N58" s="139">
        <f>MAX(0,M58-M57)</f>
        <v/>
      </c>
      <c r="O58" s="138">
        <f>IF(B58&lt;='VALOR POR PL'!$P$5,'CP RESUMO'!BE56,"")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HISTORICOS'!BF14)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>
        <v>63372.54</v>
      </c>
      <c r="L59" s="49">
        <f>C59/IF(B59&lt;='VALOR POR PL'!$P$5,IFERROR(INDEX('"INCC-FGV"'!$B$2:$B$800,MATCH(B59,'"INCC-FGV"'!$A$2:$A$800,0)),$K$2),$K$2)</f>
        <v/>
      </c>
      <c r="M59" s="138">
        <f>'CP RESUMO'!BF14</f>
        <v/>
      </c>
      <c r="N59" s="139">
        <f>MAX(0,M59-M58)</f>
        <v/>
      </c>
      <c r="O59" s="138">
        <f>IF(B59&lt;='VALOR POR PL'!$P$5,'CP RESUMO'!BF56,"")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HISTORICOS'!BG14)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>
        <v>63372.54</v>
      </c>
      <c r="L60" s="49">
        <f>C60/IF(B60&lt;='VALOR POR PL'!$P$5,IFERROR(INDEX('"INCC-FGV"'!$B$2:$B$800,MATCH(B60,'"INCC-FGV"'!$A$2:$A$800,0)),$K$2),$K$2)</f>
        <v/>
      </c>
      <c r="M60" s="138">
        <f>'CP RESUMO'!BG14</f>
        <v/>
      </c>
      <c r="N60" s="139">
        <f>MAX(0,M60-M59)</f>
        <v/>
      </c>
      <c r="O60" s="138">
        <f>IF(B60&lt;='VALOR POR PL'!$P$5,'CP RESUMO'!BG56,"")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HISTORICOS'!BH14)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RESUMO'!BH14</f>
        <v/>
      </c>
      <c r="N61" s="139">
        <f>MAX(0,M61-M60)</f>
        <v/>
      </c>
      <c r="O61" s="138">
        <f>IF(B61&lt;='VALOR POR PL'!$P$5,'CP RESUMO'!BH56,"")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HISTORICOS'!BI14)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RESUMO'!BI14</f>
        <v/>
      </c>
      <c r="N62" s="139">
        <f>MAX(0,M62-M61)</f>
        <v/>
      </c>
      <c r="O62" s="138">
        <f>IF(B62&lt;='VALOR POR PL'!$P$5,'CP RESUMO'!BI56,"")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HISTORICOS'!BJ14)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>
        <v>2465795.78</v>
      </c>
      <c r="L63" s="49">
        <f>C63/IF(B63&lt;='VALOR POR PL'!$P$5,IFERROR(INDEX('"INCC-FGV"'!$B$2:$B$800,MATCH(B63,'"INCC-FGV"'!$A$2:$A$800,0)),$K$2),$K$2)</f>
        <v/>
      </c>
      <c r="M63" s="138">
        <f>'CP RESUMO'!BJ14</f>
        <v/>
      </c>
      <c r="N63" s="139">
        <f>MAX(0,M63-M62)</f>
        <v/>
      </c>
      <c r="O63" s="138">
        <f>IF(B63&lt;='VALOR POR PL'!$P$5,'CP RESUMO'!BJ56,"")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HISTORICOS'!BK14)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RESUMO'!BK14</f>
        <v/>
      </c>
      <c r="N64" s="139">
        <f>MAX(0,M64-M63)</f>
        <v/>
      </c>
      <c r="O64" s="138">
        <f>IF(B64&lt;='VALOR POR PL'!$P$5,'CP RESUMO'!BK56,"")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HISTORICOS'!BL14)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RESUMO'!BL14</f>
        <v/>
      </c>
      <c r="N65" s="139">
        <f>MAX(0,M65-M64)</f>
        <v/>
      </c>
      <c r="O65" s="138">
        <f>IF(B65&lt;='VALOR POR PL'!$P$5,'CP RESUMO'!BL56,"")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HISTORICOS'!BM14)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RESUMO'!BM14</f>
        <v/>
      </c>
      <c r="N66" s="139">
        <f>MAX(0,M66-M65)</f>
        <v/>
      </c>
      <c r="O66" s="138">
        <f>IF(B66&lt;='VALOR POR PL'!$P$5,'CP RESUMO'!BM56,"")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HISTORICOS'!BN14)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RESUMO'!BN14</f>
        <v/>
      </c>
      <c r="N67" s="139">
        <f>MAX(0,M67-M66)</f>
        <v/>
      </c>
      <c r="O67" s="138">
        <f>IF(B67&lt;='VALOR POR PL'!$P$5,'CP RESUMO'!BN56,"")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HISTORICOS'!BO14)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RESUMO'!BO14</f>
        <v/>
      </c>
      <c r="N68" s="139">
        <f>MAX(0,M68-M67)</f>
        <v/>
      </c>
      <c r="O68" s="138">
        <f>IF(B68&lt;='VALOR POR PL'!$P$5,'CP RESUMO'!BO56,"")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HISTORICOS'!BP14)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RESUMO'!BP14</f>
        <v/>
      </c>
      <c r="N69" s="139">
        <f>MAX(0,M69-M68)</f>
        <v/>
      </c>
      <c r="O69" s="138">
        <f>IF(B69&lt;='VALOR POR PL'!$P$5,'CP RESUMO'!BP56,"")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HISTORICOS'!BQ14)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RESUMO'!BQ14</f>
        <v/>
      </c>
      <c r="N70" s="139">
        <f>MAX(0,M70-M69)</f>
        <v/>
      </c>
      <c r="O70" s="138">
        <f>IF(B70&lt;='VALOR POR PL'!$P$5,'CP RESUMO'!BQ56,"")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HISTORICOS'!BR14)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RESUMO'!BR14</f>
        <v/>
      </c>
      <c r="N71" s="139">
        <f>MAX(0,M71-M70)</f>
        <v/>
      </c>
      <c r="O71" s="138">
        <f>IF(B71&lt;='VALOR POR PL'!$P$5,'CP RESUMO'!BR56,"")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HISTORICOS'!BS14)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RESUMO'!BS14</f>
        <v/>
      </c>
      <c r="N72" s="139">
        <f>MAX(0,M72-M71)</f>
        <v/>
      </c>
      <c r="O72" s="138">
        <f>IF(B72&lt;='VALOR POR PL'!$P$5,'CP RESUMO'!BS56,"")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HISTORICOS'!BT14)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RESUMO'!BT14</f>
        <v/>
      </c>
      <c r="N73" s="139">
        <f>MAX(0,M73-M72)</f>
        <v/>
      </c>
      <c r="O73" s="138">
        <f>IF(B73&lt;='VALOR POR PL'!$P$5,'CP RESUMO'!BT56,"")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HISTORICOS'!BU14)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RESUMO'!BU14</f>
        <v/>
      </c>
      <c r="N74" s="139">
        <f>MAX(0,M74-M73)</f>
        <v/>
      </c>
      <c r="O74" s="138">
        <f>IF(B74&lt;='VALOR POR PL'!$P$5,'CP RESUMO'!BU56,"")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HISTORICOS'!BV14)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RESUMO'!BV14</f>
        <v/>
      </c>
      <c r="N75" s="139">
        <f>MAX(0,M75-M74)</f>
        <v/>
      </c>
      <c r="O75" s="138">
        <f>IF(B75&lt;='VALOR POR PL'!$P$5,'CP RESUMO'!BV56,"")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HISTORICOS'!BW14)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RESUMO'!BW14</f>
        <v/>
      </c>
      <c r="N76" s="139">
        <f>MAX(0,M76-M75)</f>
        <v/>
      </c>
      <c r="O76" s="138">
        <f>IF(B76&lt;='VALOR POR PL'!$P$5,'CP RESUMO'!BW56,"")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PL'!D21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HISTORICOS'!D15)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PL'!F21</f>
        <v/>
      </c>
      <c r="K5" s="60">
        <f>'VALOR POR PL'!G21</f>
        <v/>
      </c>
      <c r="L5" s="60">
        <f>'DADOS HISTORICOS'!$BZ$15</f>
        <v/>
      </c>
      <c r="M5" s="138">
        <f>'CP RESUMO'!D15</f>
        <v/>
      </c>
      <c r="N5" s="139" t="n">
        <v>0</v>
      </c>
      <c r="O5" s="138">
        <f>IF(B5&lt;='VALOR POR PL'!$P$5,'CP RESUMO'!D57,"")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HISTORICOS'!E15)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PL'!H21</f>
        <v/>
      </c>
      <c r="L6" s="49">
        <f>C6/IF(B6&lt;='VALOR POR PL'!$P$5,IFERROR(INDEX('"INCC-FGV"'!$B$2:$B$800,MATCH(B6,'"INCC-FGV"'!$A$2:$A$800,0)),$K$2),$K$2)</f>
        <v/>
      </c>
      <c r="M6" s="138">
        <f>'CP RESUMO'!E15</f>
        <v/>
      </c>
      <c r="N6" s="139">
        <f>MAX(0,M6-M5)</f>
        <v/>
      </c>
      <c r="O6" s="138">
        <f>IF(B6&lt;='VALOR POR PL'!$P$5,'CP RESUMO'!E57,"")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HISTORICOS'!F15)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RESUMO'!F15</f>
        <v/>
      </c>
      <c r="N7" s="139">
        <f>MAX(0,M7-M6)</f>
        <v/>
      </c>
      <c r="O7" s="138">
        <f>IF(B7&lt;='VALOR POR PL'!$P$5,'CP RESUMO'!F57,"")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HISTORICOS'!G15)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RESUMO'!G15</f>
        <v/>
      </c>
      <c r="N8" s="139">
        <f>MAX(0,M8-M7)</f>
        <v/>
      </c>
      <c r="O8" s="138">
        <f>IF(B8&lt;='VALOR POR PL'!$P$5,'CP RESUMO'!G57,"")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HISTORICOS'!H15)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RESUMO'!H15</f>
        <v/>
      </c>
      <c r="N9" s="139">
        <f>MAX(0,M9-M8)</f>
        <v/>
      </c>
      <c r="O9" s="138">
        <f>IF(B9&lt;='VALOR POR PL'!$P$5,'CP RESUMO'!H57,"")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HISTORICOS'!I15)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RESUMO'!I15</f>
        <v/>
      </c>
      <c r="N10" s="139">
        <f>MAX(0,M10-M9)</f>
        <v/>
      </c>
      <c r="O10" s="138">
        <f>IF(B10&lt;='VALOR POR PL'!$P$5,'CP RESUMO'!I57,"")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HISTORICOS'!J15)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RESUMO'!J15</f>
        <v/>
      </c>
      <c r="N11" s="139">
        <f>MAX(0,M11-M10)</f>
        <v/>
      </c>
      <c r="O11" s="138">
        <f>IF(B11&lt;='VALOR POR PL'!$P$5,'CP RESUMO'!J57,"")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HISTORICOS'!K15)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RESUMO'!K15</f>
        <v/>
      </c>
      <c r="N12" s="139">
        <f>MAX(0,M12-M11)</f>
        <v/>
      </c>
      <c r="O12" s="138">
        <f>IF(B12&lt;='VALOR POR PL'!$P$5,'CP RESUMO'!K57,"")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HISTORICOS'!L15)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PL'!I21</f>
        <v/>
      </c>
      <c r="L13" s="49">
        <f>C13/IF(B13&lt;='VALOR POR PL'!$P$5,IFERROR(INDEX('"INCC-FGV"'!$B$2:$B$800,MATCH(B13,'"INCC-FGV"'!$A$2:$A$800,0)),$K$2),$K$2)</f>
        <v/>
      </c>
      <c r="M13" s="138">
        <f>'CP RESUMO'!L15</f>
        <v/>
      </c>
      <c r="N13" s="139">
        <f>MAX(0,M13-M12)</f>
        <v/>
      </c>
      <c r="O13" s="138">
        <f>IF(B13&lt;='VALOR POR PL'!$P$5,'CP RESUMO'!L57,"")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HISTORICOS'!M15)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RESUMO'!$D$57:$BW$57,MATCH('VALOR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RESUMO'!M15</f>
        <v/>
      </c>
      <c r="N14" s="139">
        <f>MAX(0,M14-M13)</f>
        <v/>
      </c>
      <c r="O14" s="138">
        <f>IF(B14&lt;='VALOR POR PL'!$P$5,'CP RESUMO'!M57,"")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HISTORICOS'!N15)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RESUMO'!N15</f>
        <v/>
      </c>
      <c r="N15" s="139">
        <f>MAX(0,M15-M14)</f>
        <v/>
      </c>
      <c r="O15" s="138">
        <f>IF(B15&lt;='VALOR POR PL'!$P$5,'CP RESUMO'!N57,"")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HISTORICOS'!O15)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RESUMO'!O15</f>
        <v/>
      </c>
      <c r="N16" s="139">
        <f>MAX(0,M16-M15)</f>
        <v/>
      </c>
      <c r="O16" s="138">
        <f>IF(B16&lt;='VALOR POR PL'!$P$5,'CP RESUMO'!O57,"")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HISTORICOS'!P15)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RESUMO'!P15</f>
        <v/>
      </c>
      <c r="N17" s="139">
        <f>MAX(0,M17-M16)</f>
        <v/>
      </c>
      <c r="O17" s="138">
        <f>IF(B17&lt;='VALOR POR PL'!$P$5,'CP RESUMO'!P57,"")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HISTORICOS'!Q15)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RESUMO'!Q15</f>
        <v/>
      </c>
      <c r="N18" s="139">
        <f>MAX(0,M18-M17)</f>
        <v/>
      </c>
      <c r="O18" s="138">
        <f>IF(B18&lt;='VALOR POR PL'!$P$5,'CP RESUMO'!Q57,"")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HISTORICOS'!R15)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RESUMO'!R15</f>
        <v/>
      </c>
      <c r="N19" s="139">
        <f>MAX(0,M19-M18)</f>
        <v/>
      </c>
      <c r="O19" s="138">
        <f>IF(B19&lt;='VALOR POR PL'!$P$5,'CP RESUMO'!R57,"")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HISTORICOS'!S15)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RESUMO'!S15</f>
        <v/>
      </c>
      <c r="N20" s="139">
        <f>MAX(0,M20-M19)</f>
        <v/>
      </c>
      <c r="O20" s="138">
        <f>IF(B20&lt;='VALOR POR PL'!$P$5,'CP RESUMO'!S57,"")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HISTORICOS'!T15)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RESUMO'!T15</f>
        <v/>
      </c>
      <c r="N21" s="139">
        <f>MAX(0,M21-M20)</f>
        <v/>
      </c>
      <c r="O21" s="138">
        <f>IF(B21&lt;='VALOR POR PL'!$P$5,'CP RESUMO'!T57,"")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HISTORICOS'!U15)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RESUMO'!U15</f>
        <v/>
      </c>
      <c r="N22" s="139">
        <f>MAX(0,M22-M21)</f>
        <v/>
      </c>
      <c r="O22" s="138">
        <f>IF(B22&lt;='VALOR POR PL'!$P$5,'CP RESUMO'!U57,"")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HISTORICOS'!V15)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RESUMO'!V15</f>
        <v/>
      </c>
      <c r="N23" s="139">
        <f>MAX(0,M23-M22)</f>
        <v/>
      </c>
      <c r="O23" s="138">
        <f>IF(B23&lt;='VALOR POR PL'!$P$5,'CP RESUMO'!V57,"")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HISTORICOS'!W15)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RESUMO'!W15</f>
        <v/>
      </c>
      <c r="N24" s="139">
        <f>MAX(0,M24-M23)</f>
        <v/>
      </c>
      <c r="O24" s="138">
        <f>IF(B24&lt;='VALOR POR PL'!$P$5,'CP RESUMO'!W57,"")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HISTORICOS'!X15)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RESUMO'!X15</f>
        <v/>
      </c>
      <c r="N25" s="139">
        <f>MAX(0,M25-M24)</f>
        <v/>
      </c>
      <c r="O25" s="138">
        <f>IF(B25&lt;='VALOR POR PL'!$P$5,'CP RESUMO'!X57,"")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HISTORICOS'!Y15)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>
        <v>94939.97</v>
      </c>
      <c r="L26" s="49">
        <f>C26/IF(B26&lt;='VALOR POR PL'!$P$5,IFERROR(INDEX('"INCC-FGV"'!$B$2:$B$800,MATCH(B26,'"INCC-FGV"'!$A$2:$A$800,0)),$K$2),$K$2)</f>
        <v/>
      </c>
      <c r="M26" s="138">
        <f>'CP RESUMO'!Y15</f>
        <v/>
      </c>
      <c r="N26" s="139">
        <f>MAX(0,M26-M25)</f>
        <v/>
      </c>
      <c r="O26" s="138">
        <f>IF(B26&lt;='VALOR POR PL'!$P$5,'CP RESUMO'!Y57,"")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HISTORICOS'!Z15)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158564.58</v>
      </c>
      <c r="L27" s="49">
        <f>C27/IF(B27&lt;='VALOR POR PL'!$P$5,IFERROR(INDEX('"INCC-FGV"'!$B$2:$B$800,MATCH(B27,'"INCC-FGV"'!$A$2:$A$800,0)),$K$2),$K$2)</f>
        <v/>
      </c>
      <c r="M27" s="138">
        <f>'CP RESUMO'!Z15</f>
        <v/>
      </c>
      <c r="N27" s="139">
        <f>MAX(0,M27-M26)</f>
        <v/>
      </c>
      <c r="O27" s="138">
        <f>IF(B27&lt;='VALOR POR PL'!$P$5,'CP RESUMO'!Z57,"")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HISTORICOS'!AA15)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95745</v>
      </c>
      <c r="L28" s="49">
        <f>C28/IF(B28&lt;='VALOR POR PL'!$P$5,IFERROR(INDEX('"INCC-FGV"'!$B$2:$B$800,MATCH(B28,'"INCC-FGV"'!$A$2:$A$800,0)),$K$2),$K$2)</f>
        <v/>
      </c>
      <c r="M28" s="138">
        <f>'CP RESUMO'!AA15</f>
        <v/>
      </c>
      <c r="N28" s="139">
        <f>MAX(0,M28-M27)</f>
        <v/>
      </c>
      <c r="O28" s="138">
        <f>IF(B28&lt;='VALOR POR PL'!$P$5,'CP RESUMO'!AA57,"")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HISTORICOS'!AB15)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201083.08</v>
      </c>
      <c r="L29" s="49">
        <f>C29/IF(B29&lt;='VALOR POR PL'!$P$5,IFERROR(INDEX('"INCC-FGV"'!$B$2:$B$800,MATCH(B29,'"INCC-FGV"'!$A$2:$A$800,0)),$K$2),$K$2)</f>
        <v/>
      </c>
      <c r="M29" s="138">
        <f>'CP RESUMO'!AB15</f>
        <v/>
      </c>
      <c r="N29" s="139">
        <f>MAX(0,M29-M28)</f>
        <v/>
      </c>
      <c r="O29" s="138">
        <f>IF(B29&lt;='VALOR POR PL'!$P$5,'CP RESUMO'!AB57,"")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HISTORICOS'!AC15)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>
        <v>98138.38</v>
      </c>
      <c r="L30" s="49">
        <f>C30/IF(B30&lt;='VALOR POR PL'!$P$5,IFERROR(INDEX('"INCC-FGV"'!$B$2:$B$800,MATCH(B30,'"INCC-FGV"'!$A$2:$A$800,0)),$K$2),$K$2)</f>
        <v/>
      </c>
      <c r="M30" s="138">
        <f>'CP RESUMO'!AC15</f>
        <v/>
      </c>
      <c r="N30" s="139">
        <f>MAX(0,M30-M29)</f>
        <v/>
      </c>
      <c r="O30" s="138">
        <f>IF(B30&lt;='VALOR POR PL'!$P$5,'CP RESUMO'!AC57,"")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HISTORICOS'!AD15)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>
        <v>197907.52</v>
      </c>
      <c r="L31" s="49">
        <f>C31/IF(B31&lt;='VALOR POR PL'!$P$5,IFERROR(INDEX('"INCC-FGV"'!$B$2:$B$800,MATCH(B31,'"INCC-FGV"'!$A$2:$A$800,0)),$K$2),$K$2)</f>
        <v/>
      </c>
      <c r="M31" s="138">
        <f>'CP RESUMO'!AD15</f>
        <v/>
      </c>
      <c r="N31" s="139">
        <f>MAX(0,M31-M30)</f>
        <v/>
      </c>
      <c r="O31" s="138">
        <f>IF(B31&lt;='VALOR POR PL'!$P$5,'CP RESUMO'!AD57,"")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HISTORICOS'!AE15)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162918.89</v>
      </c>
      <c r="L32" s="49">
        <f>C32/IF(B32&lt;='VALOR POR PL'!$P$5,IFERROR(INDEX('"INCC-FGV"'!$B$2:$B$800,MATCH(B32,'"INCC-FGV"'!$A$2:$A$800,0)),$K$2),$K$2)</f>
        <v/>
      </c>
      <c r="M32" s="138">
        <f>'CP RESUMO'!AE15</f>
        <v/>
      </c>
      <c r="N32" s="139">
        <f>MAX(0,M32-M31)</f>
        <v/>
      </c>
      <c r="O32" s="138">
        <f>IF(B32&lt;='VALOR POR PL'!$P$5,'CP RESUMO'!AE57,"")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HISTORICOS'!AF15)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169058.89</v>
      </c>
      <c r="L33" s="49">
        <f>C33/IF(B33&lt;='VALOR POR PL'!$P$5,IFERROR(INDEX('"INCC-FGV"'!$B$2:$B$800,MATCH(B33,'"INCC-FGV"'!$A$2:$A$800,0)),$K$2),$K$2)</f>
        <v/>
      </c>
      <c r="M33" s="138">
        <f>'CP RESUMO'!AF15</f>
        <v/>
      </c>
      <c r="N33" s="139">
        <f>MAX(0,M33-M32)</f>
        <v/>
      </c>
      <c r="O33" s="138">
        <f>IF(B33&lt;='VALOR POR PL'!$P$5,'CP RESUMO'!AF57,"")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HISTORICOS'!AG15)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273009.59</v>
      </c>
      <c r="L34" s="49">
        <f>C34/IF(B34&lt;='VALOR POR PL'!$P$5,IFERROR(INDEX('"INCC-FGV"'!$B$2:$B$800,MATCH(B34,'"INCC-FGV"'!$A$2:$A$800,0)),$K$2),$K$2)</f>
        <v/>
      </c>
      <c r="M34" s="138">
        <f>'CP RESUMO'!AG15</f>
        <v/>
      </c>
      <c r="N34" s="139">
        <f>MAX(0,M34-M33)</f>
        <v/>
      </c>
      <c r="O34" s="138">
        <f>IF(B34&lt;='VALOR POR PL'!$P$5,'CP RESUMO'!AG57,"")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HISTORICOS'!AH15)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218406.22</v>
      </c>
      <c r="L35" s="49">
        <f>C35/IF(B35&lt;='VALOR POR PL'!$P$5,IFERROR(INDEX('"INCC-FGV"'!$B$2:$B$800,MATCH(B35,'"INCC-FGV"'!$A$2:$A$800,0)),$K$2),$K$2)</f>
        <v/>
      </c>
      <c r="M35" s="138">
        <f>'CP RESUMO'!AH15</f>
        <v/>
      </c>
      <c r="N35" s="139">
        <f>MAX(0,M35-M34)</f>
        <v/>
      </c>
      <c r="O35" s="138">
        <f>IF(B35&lt;='VALOR POR PL'!$P$5,'CP RESUMO'!AH57,"")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HISTORICOS'!AI15)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267270.57</v>
      </c>
      <c r="L36" s="49">
        <f>C36/IF(B36&lt;='VALOR POR PL'!$P$5,IFERROR(INDEX('"INCC-FGV"'!$B$2:$B$800,MATCH(B36,'"INCC-FGV"'!$A$2:$A$800,0)),$K$2),$K$2)</f>
        <v/>
      </c>
      <c r="M36" s="138">
        <f>'CP RESUMO'!AI15</f>
        <v/>
      </c>
      <c r="N36" s="139">
        <f>MAX(0,M36-M35)</f>
        <v/>
      </c>
      <c r="O36" s="138">
        <f>IF(B36&lt;='VALOR POR PL'!$P$5,'CP RESUMO'!AI57,"")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HISTORICOS'!AJ15)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233262.22</v>
      </c>
      <c r="L37" s="49">
        <f>C37/IF(B37&lt;='VALOR POR PL'!$P$5,IFERROR(INDEX('"INCC-FGV"'!$B$2:$B$800,MATCH(B37,'"INCC-FGV"'!$A$2:$A$800,0)),$K$2),$K$2)</f>
        <v/>
      </c>
      <c r="M37" s="138">
        <f>'CP RESUMO'!AJ15</f>
        <v/>
      </c>
      <c r="N37" s="139">
        <f>MAX(0,M37-M36)</f>
        <v/>
      </c>
      <c r="O37" s="138">
        <f>IF(B37&lt;='VALOR POR PL'!$P$5,'CP RESUMO'!AJ57,"")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HISTORICOS'!AK15)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229592.22</v>
      </c>
      <c r="L38" s="49">
        <f>C38/IF(B38&lt;='VALOR POR PL'!$P$5,IFERROR(INDEX('"INCC-FGV"'!$B$2:$B$800,MATCH(B38,'"INCC-FGV"'!$A$2:$A$800,0)),$K$2),$K$2)</f>
        <v/>
      </c>
      <c r="M38" s="138">
        <f>'CP RESUMO'!AK15</f>
        <v/>
      </c>
      <c r="N38" s="139">
        <f>MAX(0,M38-M37)</f>
        <v/>
      </c>
      <c r="O38" s="138">
        <f>IF(B38&lt;='VALOR POR PL'!$P$5,'CP RESUMO'!AK57,"")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HISTORICOS'!AL15)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286769.57</v>
      </c>
      <c r="L39" s="49">
        <f>C39/IF(B39&lt;='VALOR POR PL'!$P$5,IFERROR(INDEX('"INCC-FGV"'!$B$2:$B$800,MATCH(B39,'"INCC-FGV"'!$A$2:$A$800,0)),$K$2),$K$2)</f>
        <v/>
      </c>
      <c r="M39" s="138">
        <f>'CP RESUMO'!AL15</f>
        <v/>
      </c>
      <c r="N39" s="139">
        <f>MAX(0,M39-M38)</f>
        <v/>
      </c>
      <c r="O39" s="138">
        <f>IF(B39&lt;='VALOR POR PL'!$P$5,'CP RESUMO'!AL57,"")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HISTORICOS'!AM15)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327219.86</v>
      </c>
      <c r="L40" s="49">
        <f>C40/IF(B40&lt;='VALOR POR PL'!$P$5,IFERROR(INDEX('"INCC-FGV"'!$B$2:$B$800,MATCH(B40,'"INCC-FGV"'!$A$2:$A$800,0)),$K$2),$K$2)</f>
        <v/>
      </c>
      <c r="M40" s="138">
        <f>'CP RESUMO'!AM15</f>
        <v/>
      </c>
      <c r="N40" s="139">
        <f>MAX(0,M40-M39)</f>
        <v/>
      </c>
      <c r="O40" s="138">
        <f>IF(B40&lt;='VALOR POR PL'!$P$5,'CP RESUMO'!AM57,"")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HISTORICOS'!AN15)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263647.68</v>
      </c>
      <c r="L41" s="49">
        <f>C41/IF(B41&lt;='VALOR POR PL'!$P$5,IFERROR(INDEX('"INCC-FGV"'!$B$2:$B$800,MATCH(B41,'"INCC-FGV"'!$A$2:$A$800,0)),$K$2),$K$2)</f>
        <v/>
      </c>
      <c r="M41" s="138">
        <f>'CP RESUMO'!AN15</f>
        <v/>
      </c>
      <c r="N41" s="139">
        <f>MAX(0,M41-M40)</f>
        <v/>
      </c>
      <c r="O41" s="138">
        <f>IF(B41&lt;='VALOR POR PL'!$P$5,'CP RESUMO'!AN57,"")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HISTORICOS'!AO15)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245007.68</v>
      </c>
      <c r="L42" s="49">
        <f>C42/IF(B42&lt;='VALOR POR PL'!$P$5,IFERROR(INDEX('"INCC-FGV"'!$B$2:$B$800,MATCH(B42,'"INCC-FGV"'!$A$2:$A$800,0)),$K$2),$K$2)</f>
        <v/>
      </c>
      <c r="M42" s="138">
        <f>'CP RESUMO'!AO15</f>
        <v/>
      </c>
      <c r="N42" s="139">
        <f>MAX(0,M42-M41)</f>
        <v/>
      </c>
      <c r="O42" s="138">
        <f>IF(B42&lt;='VALOR POR PL'!$P$5,'CP RESUMO'!AO57,"")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HISTORICOS'!AP15)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249007.68</v>
      </c>
      <c r="L43" s="49">
        <f>C43/IF(B43&lt;='VALOR POR PL'!$P$5,IFERROR(INDEX('"INCC-FGV"'!$B$2:$B$800,MATCH(B43,'"INCC-FGV"'!$A$2:$A$800,0)),$K$2),$K$2)</f>
        <v/>
      </c>
      <c r="M43" s="138">
        <f>'CP RESUMO'!AP15</f>
        <v/>
      </c>
      <c r="N43" s="139">
        <f>MAX(0,M43-M42)</f>
        <v/>
      </c>
      <c r="O43" s="138">
        <f>IF(B43&lt;='VALOR POR PL'!$P$5,'CP RESUMO'!AP57,"")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HISTORICOS'!AQ15)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239688.68</v>
      </c>
      <c r="L44" s="49">
        <f>C44/IF(B44&lt;='VALOR POR PL'!$P$5,IFERROR(INDEX('"INCC-FGV"'!$B$2:$B$800,MATCH(B44,'"INCC-FGV"'!$A$2:$A$800,0)),$K$2),$K$2)</f>
        <v/>
      </c>
      <c r="M44" s="138">
        <f>'CP RESUMO'!AQ15</f>
        <v/>
      </c>
      <c r="N44" s="139">
        <f>MAX(0,M44-M43)</f>
        <v/>
      </c>
      <c r="O44" s="138">
        <f>IF(B44&lt;='VALOR POR PL'!$P$5,'CP RESUMO'!AQ57,"")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HISTORICOS'!AR15)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250628.68</v>
      </c>
      <c r="L45" s="49">
        <f>C45/IF(B45&lt;='VALOR POR PL'!$P$5,IFERROR(INDEX('"INCC-FGV"'!$B$2:$B$800,MATCH(B45,'"INCC-FGV"'!$A$2:$A$800,0)),$K$2),$K$2)</f>
        <v/>
      </c>
      <c r="M45" s="138">
        <f>'CP RESUMO'!AR15</f>
        <v/>
      </c>
      <c r="N45" s="139">
        <f>MAX(0,M45-M44)</f>
        <v/>
      </c>
      <c r="O45" s="138">
        <f>IF(B45&lt;='VALOR POR PL'!$P$5,'CP RESUMO'!AR57,"")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HISTORICOS'!AS15)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263254.68</v>
      </c>
      <c r="L46" s="49">
        <f>C46/IF(B46&lt;='VALOR POR PL'!$P$5,IFERROR(INDEX('"INCC-FGV"'!$B$2:$B$800,MATCH(B46,'"INCC-FGV"'!$A$2:$A$800,0)),$K$2),$K$2)</f>
        <v/>
      </c>
      <c r="M46" s="138">
        <f>'CP RESUMO'!AS15</f>
        <v/>
      </c>
      <c r="N46" s="139">
        <f>MAX(0,M46-M45)</f>
        <v/>
      </c>
      <c r="O46" s="138">
        <f>IF(B46&lt;='VALOR POR PL'!$P$5,'CP RESUMO'!AS57,"")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HISTORICOS'!AT15)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249749.3</v>
      </c>
      <c r="L47" s="49">
        <f>C47/IF(B47&lt;='VALOR POR PL'!$P$5,IFERROR(INDEX('"INCC-FGV"'!$B$2:$B$800,MATCH(B47,'"INCC-FGV"'!$A$2:$A$800,0)),$K$2),$K$2)</f>
        <v/>
      </c>
      <c r="M47" s="138">
        <f>'CP RESUMO'!AT15</f>
        <v/>
      </c>
      <c r="N47" s="139">
        <f>MAX(0,M47-M46)</f>
        <v/>
      </c>
      <c r="O47" s="138">
        <f>IF(B47&lt;='VALOR POR PL'!$P$5,'CP RESUMO'!AT57,"")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HISTORICOS'!AU15)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260865.91</v>
      </c>
      <c r="L48" s="49">
        <f>C48/IF(B48&lt;='VALOR POR PL'!$P$5,IFERROR(INDEX('"INCC-FGV"'!$B$2:$B$800,MATCH(B48,'"INCC-FGV"'!$A$2:$A$800,0)),$K$2),$K$2)</f>
        <v/>
      </c>
      <c r="M48" s="138">
        <f>'CP RESUMO'!AU15</f>
        <v/>
      </c>
      <c r="N48" s="139">
        <f>MAX(0,M48-M47)</f>
        <v/>
      </c>
      <c r="O48" s="138">
        <f>IF(B48&lt;='VALOR POR PL'!$P$5,'CP RESUMO'!AU57,"")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HISTORICOS'!AV15)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318689.62</v>
      </c>
      <c r="L49" s="49">
        <f>C49/IF(B49&lt;='VALOR POR PL'!$P$5,IFERROR(INDEX('"INCC-FGV"'!$B$2:$B$800,MATCH(B49,'"INCC-FGV"'!$A$2:$A$800,0)),$K$2),$K$2)</f>
        <v/>
      </c>
      <c r="M49" s="138">
        <f>'CP RESUMO'!AV15</f>
        <v/>
      </c>
      <c r="N49" s="139">
        <f>MAX(0,M49-M48)</f>
        <v/>
      </c>
      <c r="O49" s="138">
        <f>IF(B49&lt;='VALOR POR PL'!$P$5,'CP RESUMO'!AV57,"")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HISTORICOS'!AW15)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209920.3</v>
      </c>
      <c r="L50" s="49">
        <f>C50/IF(B50&lt;='VALOR POR PL'!$P$5,IFERROR(INDEX('"INCC-FGV"'!$B$2:$B$800,MATCH(B50,'"INCC-FGV"'!$A$2:$A$800,0)),$K$2),$K$2)</f>
        <v/>
      </c>
      <c r="M50" s="138">
        <f>'CP RESUMO'!AW15</f>
        <v/>
      </c>
      <c r="N50" s="139">
        <f>MAX(0,M50-M49)</f>
        <v/>
      </c>
      <c r="O50" s="138">
        <f>IF(B50&lt;='VALOR POR PL'!$P$5,'CP RESUMO'!AW57,"")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HISTORICOS'!AX15)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233466.97</v>
      </c>
      <c r="L51" s="49">
        <f>C51/IF(B51&lt;='VALOR POR PL'!$P$5,IFERROR(INDEX('"INCC-FGV"'!$B$2:$B$800,MATCH(B51,'"INCC-FGV"'!$A$2:$A$800,0)),$K$2),$K$2)</f>
        <v/>
      </c>
      <c r="M51" s="138">
        <f>'CP RESUMO'!AX15</f>
        <v/>
      </c>
      <c r="N51" s="139">
        <f>MAX(0,M51-M50)</f>
        <v/>
      </c>
      <c r="O51" s="138">
        <f>IF(B51&lt;='VALOR POR PL'!$P$5,'CP RESUMO'!AX57,"")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HISTORICOS'!AY15)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18744.2</v>
      </c>
      <c r="L52" s="49">
        <f>C52/IF(B52&lt;='VALOR POR PL'!$P$5,IFERROR(INDEX('"INCC-FGV"'!$B$2:$B$800,MATCH(B52,'"INCC-FGV"'!$A$2:$A$800,0)),$K$2),$K$2)</f>
        <v/>
      </c>
      <c r="M52" s="138">
        <f>'CP RESUMO'!AY15</f>
        <v/>
      </c>
      <c r="N52" s="139">
        <f>MAX(0,M52-M51)</f>
        <v/>
      </c>
      <c r="O52" s="138">
        <f>IF(B52&lt;='VALOR POR PL'!$P$5,'CP RESUMO'!AY57,"")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HISTORICOS'!AZ15)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109412.33</v>
      </c>
      <c r="L53" s="49">
        <f>C53/IF(B53&lt;='VALOR POR PL'!$P$5,IFERROR(INDEX('"INCC-FGV"'!$B$2:$B$800,MATCH(B53,'"INCC-FGV"'!$A$2:$A$800,0)),$K$2),$K$2)</f>
        <v/>
      </c>
      <c r="M53" s="138">
        <f>'CP RESUMO'!AZ15</f>
        <v/>
      </c>
      <c r="N53" s="139">
        <f>MAX(0,M53-M52)</f>
        <v/>
      </c>
      <c r="O53" s="138">
        <f>IF(B53&lt;='VALOR POR PL'!$P$5,'CP RESUMO'!AZ57,"")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HISTORICOS'!BA15)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104432.33</v>
      </c>
      <c r="L54" s="49">
        <f>C54/IF(B54&lt;='VALOR POR PL'!$P$5,IFERROR(INDEX('"INCC-FGV"'!$B$2:$B$800,MATCH(B54,'"INCC-FGV"'!$A$2:$A$800,0)),$K$2),$K$2)</f>
        <v/>
      </c>
      <c r="M54" s="138">
        <f>'CP RESUMO'!BA15</f>
        <v/>
      </c>
      <c r="N54" s="139">
        <f>MAX(0,M54-M53)</f>
        <v/>
      </c>
      <c r="O54" s="138">
        <f>IF(B54&lt;='VALOR POR PL'!$P$5,'CP RESUMO'!BA57,"")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HISTORICOS'!BB15)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86124.89</v>
      </c>
      <c r="L55" s="49">
        <f>C55/IF(B55&lt;='VALOR POR PL'!$P$5,IFERROR(INDEX('"INCC-FGV"'!$B$2:$B$800,MATCH(B55,'"INCC-FGV"'!$A$2:$A$800,0)),$K$2),$K$2)</f>
        <v/>
      </c>
      <c r="M55" s="138">
        <f>'CP RESUMO'!BB15</f>
        <v/>
      </c>
      <c r="N55" s="139">
        <f>MAX(0,M55-M54)</f>
        <v/>
      </c>
      <c r="O55" s="138">
        <f>IF(B55&lt;='VALOR POR PL'!$P$5,'CP RESUMO'!BB57,"")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HISTORICOS'!BC15)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6352.27</v>
      </c>
      <c r="L56" s="49">
        <f>C56/IF(B56&lt;='VALOR POR PL'!$P$5,IFERROR(INDEX('"INCC-FGV"'!$B$2:$B$800,MATCH(B56,'"INCC-FGV"'!$A$2:$A$800,0)),$K$2),$K$2)</f>
        <v/>
      </c>
      <c r="M56" s="138">
        <f>'CP RESUMO'!BC15</f>
        <v/>
      </c>
      <c r="N56" s="139">
        <f>MAX(0,M56-M55)</f>
        <v/>
      </c>
      <c r="O56" s="138">
        <f>IF(B56&lt;='VALOR POR PL'!$P$5,'CP RESUMO'!BC57,"")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HISTORICOS'!BD15)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>
        <v>2864.27</v>
      </c>
      <c r="L57" s="49">
        <f>C57/IF(B57&lt;='VALOR POR PL'!$P$5,IFERROR(INDEX('"INCC-FGV"'!$B$2:$B$800,MATCH(B57,'"INCC-FGV"'!$A$2:$A$800,0)),$K$2),$K$2)</f>
        <v/>
      </c>
      <c r="M57" s="138">
        <f>'CP RESUMO'!BD15</f>
        <v/>
      </c>
      <c r="N57" s="139">
        <f>MAX(0,M57-M56)</f>
        <v/>
      </c>
      <c r="O57" s="138">
        <f>IF(B57&lt;='VALOR POR PL'!$P$5,'CP RESUMO'!BD57,"")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HISTORICOS'!BE15)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>
        <v>2864.27</v>
      </c>
      <c r="L58" s="49">
        <f>C58/IF(B58&lt;='VALOR POR PL'!$P$5,IFERROR(INDEX('"INCC-FGV"'!$B$2:$B$800,MATCH(B58,'"INCC-FGV"'!$A$2:$A$800,0)),$K$2),$K$2)</f>
        <v/>
      </c>
      <c r="M58" s="138">
        <f>'CP RESUMO'!BE15</f>
        <v/>
      </c>
      <c r="N58" s="139">
        <f>MAX(0,M58-M57)</f>
        <v/>
      </c>
      <c r="O58" s="138">
        <f>IF(B58&lt;='VALOR POR PL'!$P$5,'CP RESUMO'!BE57,"")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HISTORICOS'!BF15)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RESUMO'!BF15</f>
        <v/>
      </c>
      <c r="N59" s="139">
        <f>MAX(0,M59-M58)</f>
        <v/>
      </c>
      <c r="O59" s="138">
        <f>IF(B59&lt;='VALOR POR PL'!$P$5,'CP RESUMO'!BF57,"")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HISTORICOS'!BG15)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RESUMO'!BG15</f>
        <v/>
      </c>
      <c r="N60" s="139">
        <f>MAX(0,M60-M59)</f>
        <v/>
      </c>
      <c r="O60" s="138">
        <f>IF(B60&lt;='VALOR POR PL'!$P$5,'CP RESUMO'!BG57,"")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HISTORICOS'!BH15)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RESUMO'!BH15</f>
        <v/>
      </c>
      <c r="N61" s="139">
        <f>MAX(0,M61-M60)</f>
        <v/>
      </c>
      <c r="O61" s="138">
        <f>IF(B61&lt;='VALOR POR PL'!$P$5,'CP RESUMO'!BH57,"")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HISTORICOS'!BI15)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RESUMO'!BI15</f>
        <v/>
      </c>
      <c r="N62" s="139">
        <f>MAX(0,M62-M61)</f>
        <v/>
      </c>
      <c r="O62" s="138">
        <f>IF(B62&lt;='VALOR POR PL'!$P$5,'CP RESUMO'!BI57,"")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HISTORICOS'!BJ15)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RESUMO'!BJ15</f>
        <v/>
      </c>
      <c r="N63" s="139">
        <f>MAX(0,M63-M62)</f>
        <v/>
      </c>
      <c r="O63" s="138">
        <f>IF(B63&lt;='VALOR POR PL'!$P$5,'CP RESUMO'!BJ57,"")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HISTORICOS'!BK15)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RESUMO'!BK15</f>
        <v/>
      </c>
      <c r="N64" s="139">
        <f>MAX(0,M64-M63)</f>
        <v/>
      </c>
      <c r="O64" s="138">
        <f>IF(B64&lt;='VALOR POR PL'!$P$5,'CP RESUMO'!BK57,"")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HISTORICOS'!BL15)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RESUMO'!BL15</f>
        <v/>
      </c>
      <c r="N65" s="139">
        <f>MAX(0,M65-M64)</f>
        <v/>
      </c>
      <c r="O65" s="138">
        <f>IF(B65&lt;='VALOR POR PL'!$P$5,'CP RESUMO'!BL57,"")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HISTORICOS'!BM15)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RESUMO'!BM15</f>
        <v/>
      </c>
      <c r="N66" s="139">
        <f>MAX(0,M66-M65)</f>
        <v/>
      </c>
      <c r="O66" s="138">
        <f>IF(B66&lt;='VALOR POR PL'!$P$5,'CP RESUMO'!BM57,"")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HISTORICOS'!BN15)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RESUMO'!BN15</f>
        <v/>
      </c>
      <c r="N67" s="139">
        <f>MAX(0,M67-M66)</f>
        <v/>
      </c>
      <c r="O67" s="138">
        <f>IF(B67&lt;='VALOR POR PL'!$P$5,'CP RESUMO'!BN57,"")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HISTORICOS'!BO15)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RESUMO'!BO15</f>
        <v/>
      </c>
      <c r="N68" s="139">
        <f>MAX(0,M68-M67)</f>
        <v/>
      </c>
      <c r="O68" s="138">
        <f>IF(B68&lt;='VALOR POR PL'!$P$5,'CP RESUMO'!BO57,"")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HISTORICOS'!BP15)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RESUMO'!BP15</f>
        <v/>
      </c>
      <c r="N69" s="139">
        <f>MAX(0,M69-M68)</f>
        <v/>
      </c>
      <c r="O69" s="138">
        <f>IF(B69&lt;='VALOR POR PL'!$P$5,'CP RESUMO'!BP57,"")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HISTORICOS'!BQ15)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RESUMO'!BQ15</f>
        <v/>
      </c>
      <c r="N70" s="139">
        <f>MAX(0,M70-M69)</f>
        <v/>
      </c>
      <c r="O70" s="138">
        <f>IF(B70&lt;='VALOR POR PL'!$P$5,'CP RESUMO'!BQ57,"")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HISTORICOS'!BR15)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RESUMO'!BR15</f>
        <v/>
      </c>
      <c r="N71" s="139">
        <f>MAX(0,M71-M70)</f>
        <v/>
      </c>
      <c r="O71" s="138">
        <f>IF(B71&lt;='VALOR POR PL'!$P$5,'CP RESUMO'!BR57,"")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HISTORICOS'!BS15)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RESUMO'!BS15</f>
        <v/>
      </c>
      <c r="N72" s="139">
        <f>MAX(0,M72-M71)</f>
        <v/>
      </c>
      <c r="O72" s="138">
        <f>IF(B72&lt;='VALOR POR PL'!$P$5,'CP RESUMO'!BS57,"")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HISTORICOS'!BT15)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RESUMO'!BT15</f>
        <v/>
      </c>
      <c r="N73" s="139">
        <f>MAX(0,M73-M72)</f>
        <v/>
      </c>
      <c r="O73" s="138">
        <f>IF(B73&lt;='VALOR POR PL'!$P$5,'CP RESUMO'!BT57,"")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HISTORICOS'!BU15)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RESUMO'!BU15</f>
        <v/>
      </c>
      <c r="N74" s="139">
        <f>MAX(0,M74-M73)</f>
        <v/>
      </c>
      <c r="O74" s="138">
        <f>IF(B74&lt;='VALOR POR PL'!$P$5,'CP RESUMO'!BU57,"")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HISTORICOS'!BV15)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RESUMO'!BV15</f>
        <v/>
      </c>
      <c r="N75" s="139">
        <f>MAX(0,M75-M74)</f>
        <v/>
      </c>
      <c r="O75" s="138">
        <f>IF(B75&lt;='VALOR POR PL'!$P$5,'CP RESUMO'!BV57,"")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HISTORICOS'!BW15)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RESUMO'!BW15</f>
        <v/>
      </c>
      <c r="N76" s="139">
        <f>MAX(0,M76-M75)</f>
        <v/>
      </c>
      <c r="O76" s="138">
        <f>IF(B76&lt;='VALOR POR PL'!$P$5,'CP RESUMO'!BW57,"")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PL'!D22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HISTORICOS'!D16)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PL'!F22</f>
        <v/>
      </c>
      <c r="K5" s="60">
        <f>'VALOR POR PL'!G22</f>
        <v/>
      </c>
      <c r="L5" s="60">
        <f>'DADOS HISTORICOS'!$BZ$16</f>
        <v/>
      </c>
      <c r="M5" s="138">
        <f>'CP RESUMO'!D16</f>
        <v/>
      </c>
      <c r="N5" s="139" t="n">
        <v>0</v>
      </c>
      <c r="O5" s="138">
        <f>IF(B5&lt;='VALOR POR PL'!$P$5,'CP RESUMO'!D58,"")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HISTORICOS'!E16)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PL'!H22</f>
        <v/>
      </c>
      <c r="L6" s="49">
        <f>C6/IF(B6&lt;='VALOR POR PL'!$P$5,IFERROR(INDEX('"INCC-FGV"'!$B$2:$B$800,MATCH(B6,'"INCC-FGV"'!$A$2:$A$800,0)),$K$2),$K$2)</f>
        <v/>
      </c>
      <c r="M6" s="138">
        <f>'CP RESUMO'!E16</f>
        <v/>
      </c>
      <c r="N6" s="139">
        <f>MAX(0,M6-M5)</f>
        <v/>
      </c>
      <c r="O6" s="138">
        <f>IF(B6&lt;='VALOR POR PL'!$P$5,'CP RESUMO'!E58,"")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HISTORICOS'!F16)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RESUMO'!F16</f>
        <v/>
      </c>
      <c r="N7" s="139">
        <f>MAX(0,M7-M6)</f>
        <v/>
      </c>
      <c r="O7" s="138">
        <f>IF(B7&lt;='VALOR POR PL'!$P$5,'CP RESUMO'!F58,"")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HISTORICOS'!G16)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RESUMO'!G16</f>
        <v/>
      </c>
      <c r="N8" s="139">
        <f>MAX(0,M8-M7)</f>
        <v/>
      </c>
      <c r="O8" s="138">
        <f>IF(B8&lt;='VALOR POR PL'!$P$5,'CP RESUMO'!G58,"")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HISTORICOS'!H16)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RESUMO'!H16</f>
        <v/>
      </c>
      <c r="N9" s="139">
        <f>MAX(0,M9-M8)</f>
        <v/>
      </c>
      <c r="O9" s="138">
        <f>IF(B9&lt;='VALOR POR PL'!$P$5,'CP RESUMO'!H58,"")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HISTORICOS'!I16)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RESUMO'!I16</f>
        <v/>
      </c>
      <c r="N10" s="139">
        <f>MAX(0,M10-M9)</f>
        <v/>
      </c>
      <c r="O10" s="138">
        <f>IF(B10&lt;='VALOR POR PL'!$P$5,'CP RESUMO'!I58,"")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HISTORICOS'!J16)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RESUMO'!J16</f>
        <v/>
      </c>
      <c r="N11" s="139">
        <f>MAX(0,M11-M10)</f>
        <v/>
      </c>
      <c r="O11" s="138">
        <f>IF(B11&lt;='VALOR POR PL'!$P$5,'CP RESUMO'!J58,"")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HISTORICOS'!K16)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RESUMO'!K16</f>
        <v/>
      </c>
      <c r="N12" s="139">
        <f>MAX(0,M12-M11)</f>
        <v/>
      </c>
      <c r="O12" s="138">
        <f>IF(B12&lt;='VALOR POR PL'!$P$5,'CP RESUMO'!K58,"")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HISTORICOS'!L16)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PL'!I22</f>
        <v/>
      </c>
      <c r="L13" s="49">
        <f>C13/IF(B13&lt;='VALOR POR PL'!$P$5,IFERROR(INDEX('"INCC-FGV"'!$B$2:$B$800,MATCH(B13,'"INCC-FGV"'!$A$2:$A$800,0)),$K$2),$K$2)</f>
        <v/>
      </c>
      <c r="M13" s="138">
        <f>'CP RESUMO'!L16</f>
        <v/>
      </c>
      <c r="N13" s="139">
        <f>MAX(0,M13-M12)</f>
        <v/>
      </c>
      <c r="O13" s="138">
        <f>IF(B13&lt;='VALOR POR PL'!$P$5,'CP RESUMO'!L58,"")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HISTORICOS'!M16)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RESUMO'!$D$58:$BW$58,MATCH('VALOR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RESUMO'!M16</f>
        <v/>
      </c>
      <c r="N14" s="139">
        <f>MAX(0,M14-M13)</f>
        <v/>
      </c>
      <c r="O14" s="138">
        <f>IF(B14&lt;='VALOR POR PL'!$P$5,'CP RESUMO'!M58,"")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HISTORICOS'!N16)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RESUMO'!N16</f>
        <v/>
      </c>
      <c r="N15" s="139">
        <f>MAX(0,M15-M14)</f>
        <v/>
      </c>
      <c r="O15" s="138">
        <f>IF(B15&lt;='VALOR POR PL'!$P$5,'CP RESUMO'!N58,"")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HISTORICOS'!O16)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RESUMO'!O16</f>
        <v/>
      </c>
      <c r="N16" s="139">
        <f>MAX(0,M16-M15)</f>
        <v/>
      </c>
      <c r="O16" s="138">
        <f>IF(B16&lt;='VALOR POR PL'!$P$5,'CP RESUMO'!O58,"")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HISTORICOS'!P16)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RESUMO'!P16</f>
        <v/>
      </c>
      <c r="N17" s="139">
        <f>MAX(0,M17-M16)</f>
        <v/>
      </c>
      <c r="O17" s="138">
        <f>IF(B17&lt;='VALOR POR PL'!$P$5,'CP RESUMO'!P58,"")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HISTORICOS'!Q16)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RESUMO'!Q16</f>
        <v/>
      </c>
      <c r="N18" s="139">
        <f>MAX(0,M18-M17)</f>
        <v/>
      </c>
      <c r="O18" s="138">
        <f>IF(B18&lt;='VALOR POR PL'!$P$5,'CP RESUMO'!Q58,"")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HISTORICOS'!R16)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RESUMO'!R16</f>
        <v/>
      </c>
      <c r="N19" s="139">
        <f>MAX(0,M19-M18)</f>
        <v/>
      </c>
      <c r="O19" s="138">
        <f>IF(B19&lt;='VALOR POR PL'!$P$5,'CP RESUMO'!R58,"")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HISTORICOS'!S16)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RESUMO'!S16</f>
        <v/>
      </c>
      <c r="N20" s="139">
        <f>MAX(0,M20-M19)</f>
        <v/>
      </c>
      <c r="O20" s="138">
        <f>IF(B20&lt;='VALOR POR PL'!$P$5,'CP RESUMO'!S58,"")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HISTORICOS'!T16)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RESUMO'!T16</f>
        <v/>
      </c>
      <c r="N21" s="139">
        <f>MAX(0,M21-M20)</f>
        <v/>
      </c>
      <c r="O21" s="138">
        <f>IF(B21&lt;='VALOR POR PL'!$P$5,'CP RESUMO'!T58,"")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HISTORICOS'!U16)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RESUMO'!U16</f>
        <v/>
      </c>
      <c r="N22" s="139">
        <f>MAX(0,M22-M21)</f>
        <v/>
      </c>
      <c r="O22" s="138">
        <f>IF(B22&lt;='VALOR POR PL'!$P$5,'CP RESUMO'!U58,"")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HISTORICOS'!V16)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RESUMO'!V16</f>
        <v/>
      </c>
      <c r="N23" s="139">
        <f>MAX(0,M23-M22)</f>
        <v/>
      </c>
      <c r="O23" s="138">
        <f>IF(B23&lt;='VALOR POR PL'!$P$5,'CP RESUMO'!V58,"")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HISTORICOS'!W16)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RESUMO'!W16</f>
        <v/>
      </c>
      <c r="N24" s="139">
        <f>MAX(0,M24-M23)</f>
        <v/>
      </c>
      <c r="O24" s="138">
        <f>IF(B24&lt;='VALOR POR PL'!$P$5,'CP RESUMO'!W58,"")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HISTORICOS'!X16)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RESUMO'!X16</f>
        <v/>
      </c>
      <c r="N25" s="139">
        <f>MAX(0,M25-M24)</f>
        <v/>
      </c>
      <c r="O25" s="138">
        <f>IF(B25&lt;='VALOR POR PL'!$P$5,'CP RESUMO'!X58,"")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HISTORICOS'!Y16)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RESUMO'!Y16</f>
        <v/>
      </c>
      <c r="N26" s="139">
        <f>MAX(0,M26-M25)</f>
        <v/>
      </c>
      <c r="O26" s="138">
        <f>IF(B26&lt;='VALOR POR PL'!$P$5,'CP RESUMO'!Y58,"")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HISTORICOS'!Z16)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RESUMO'!Z16</f>
        <v/>
      </c>
      <c r="N27" s="139">
        <f>MAX(0,M27-M26)</f>
        <v/>
      </c>
      <c r="O27" s="138">
        <f>IF(B27&lt;='VALOR POR PL'!$P$5,'CP RESUMO'!Z58,"")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HISTORICOS'!AA16)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RESUMO'!AA16</f>
        <v/>
      </c>
      <c r="N28" s="139">
        <f>MAX(0,M28-M27)</f>
        <v/>
      </c>
      <c r="O28" s="138">
        <f>IF(B28&lt;='VALOR POR PL'!$P$5,'CP RESUMO'!AA58,"")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HISTORICOS'!AB16)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RESUMO'!AB16</f>
        <v/>
      </c>
      <c r="N29" s="139">
        <f>MAX(0,M29-M28)</f>
        <v/>
      </c>
      <c r="O29" s="138">
        <f>IF(B29&lt;='VALOR POR PL'!$P$5,'CP RESUMO'!AB58,"")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HISTORICOS'!AC16)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RESUMO'!AC16</f>
        <v/>
      </c>
      <c r="N30" s="139">
        <f>MAX(0,M30-M29)</f>
        <v/>
      </c>
      <c r="O30" s="138">
        <f>IF(B30&lt;='VALOR POR PL'!$P$5,'CP RESUMO'!AC58,"")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HISTORICOS'!AD16)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RESUMO'!AD16</f>
        <v/>
      </c>
      <c r="N31" s="139">
        <f>MAX(0,M31-M30)</f>
        <v/>
      </c>
      <c r="O31" s="138">
        <f>IF(B31&lt;='VALOR POR PL'!$P$5,'CP RESUMO'!AD58,"")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HISTORICOS'!AE16)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RESUMO'!AE16</f>
        <v/>
      </c>
      <c r="N32" s="139">
        <f>MAX(0,M32-M31)</f>
        <v/>
      </c>
      <c r="O32" s="138">
        <f>IF(B32&lt;='VALOR POR PL'!$P$5,'CP RESUMO'!AE58,"")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HISTORICOS'!AF16)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56654.6</v>
      </c>
      <c r="L33" s="49">
        <f>C33/IF(B33&lt;='VALOR POR PL'!$P$5,IFERROR(INDEX('"INCC-FGV"'!$B$2:$B$800,MATCH(B33,'"INCC-FGV"'!$A$2:$A$800,0)),$K$2),$K$2)</f>
        <v/>
      </c>
      <c r="M33" s="138">
        <f>'CP RESUMO'!AF16</f>
        <v/>
      </c>
      <c r="N33" s="139">
        <f>MAX(0,M33-M32)</f>
        <v/>
      </c>
      <c r="O33" s="138">
        <f>IF(B33&lt;='VALOR POR PL'!$P$5,'CP RESUMO'!AF58,"")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HISTORICOS'!AG16)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RESUMO'!AG16</f>
        <v/>
      </c>
      <c r="N34" s="139">
        <f>MAX(0,M34-M33)</f>
        <v/>
      </c>
      <c r="O34" s="138">
        <f>IF(B34&lt;='VALOR POR PL'!$P$5,'CP RESUMO'!AG58,"")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HISTORICOS'!AH16)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RESUMO'!AH16</f>
        <v/>
      </c>
      <c r="N35" s="139">
        <f>MAX(0,M35-M34)</f>
        <v/>
      </c>
      <c r="O35" s="138">
        <f>IF(B35&lt;='VALOR POR PL'!$P$5,'CP RESUMO'!AH58,"")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HISTORICOS'!AI16)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RESUMO'!AI16</f>
        <v/>
      </c>
      <c r="N36" s="139">
        <f>MAX(0,M36-M35)</f>
        <v/>
      </c>
      <c r="O36" s="138">
        <f>IF(B36&lt;='VALOR POR PL'!$P$5,'CP RESUMO'!AI58,"")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HISTORICOS'!AJ16)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RESUMO'!AJ16</f>
        <v/>
      </c>
      <c r="N37" s="139">
        <f>MAX(0,M37-M36)</f>
        <v/>
      </c>
      <c r="O37" s="138">
        <f>IF(B37&lt;='VALOR POR PL'!$P$5,'CP RESUMO'!AJ58,"")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HISTORICOS'!AK16)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RESUMO'!AK16</f>
        <v/>
      </c>
      <c r="N38" s="139">
        <f>MAX(0,M38-M37)</f>
        <v/>
      </c>
      <c r="O38" s="138">
        <f>IF(B38&lt;='VALOR POR PL'!$P$5,'CP RESUMO'!AK58,"")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HISTORICOS'!AL16)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RESUMO'!AL16</f>
        <v/>
      </c>
      <c r="N39" s="139">
        <f>MAX(0,M39-M38)</f>
        <v/>
      </c>
      <c r="O39" s="138">
        <f>IF(B39&lt;='VALOR POR PL'!$P$5,'CP RESUMO'!AL58,"")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HISTORICOS'!AM16)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RESUMO'!AM16</f>
        <v/>
      </c>
      <c r="N40" s="139">
        <f>MAX(0,M40-M39)</f>
        <v/>
      </c>
      <c r="O40" s="138">
        <f>IF(B40&lt;='VALOR POR PL'!$P$5,'CP RESUMO'!AM58,"")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HISTORICOS'!AN16)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RESUMO'!AN16</f>
        <v/>
      </c>
      <c r="N41" s="139">
        <f>MAX(0,M41-M40)</f>
        <v/>
      </c>
      <c r="O41" s="138">
        <f>IF(B41&lt;='VALOR POR PL'!$P$5,'CP RESUMO'!AN58,"")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HISTORICOS'!AO16)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RESUMO'!AO16</f>
        <v/>
      </c>
      <c r="N42" s="139">
        <f>MAX(0,M42-M41)</f>
        <v/>
      </c>
      <c r="O42" s="138">
        <f>IF(B42&lt;='VALOR POR PL'!$P$5,'CP RESUMO'!AO58,"")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HISTORICOS'!AP16)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RESUMO'!AP16</f>
        <v/>
      </c>
      <c r="N43" s="139">
        <f>MAX(0,M43-M42)</f>
        <v/>
      </c>
      <c r="O43" s="138">
        <f>IF(B43&lt;='VALOR POR PL'!$P$5,'CP RESUMO'!AP58,"")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HISTORICOS'!AQ16)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/>
      <c r="L44" s="49">
        <f>C44/IF(B44&lt;='VALOR POR PL'!$P$5,IFERROR(INDEX('"INCC-FGV"'!$B$2:$B$800,MATCH(B44,'"INCC-FGV"'!$A$2:$A$800,0)),$K$2),$K$2)</f>
        <v/>
      </c>
      <c r="M44" s="138">
        <f>'CP RESUMO'!AQ16</f>
        <v/>
      </c>
      <c r="N44" s="139">
        <f>MAX(0,M44-M43)</f>
        <v/>
      </c>
      <c r="O44" s="138">
        <f>IF(B44&lt;='VALOR POR PL'!$P$5,'CP RESUMO'!AQ58,"")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HISTORICOS'!AR16)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/>
      <c r="L45" s="49">
        <f>C45/IF(B45&lt;='VALOR POR PL'!$P$5,IFERROR(INDEX('"INCC-FGV"'!$B$2:$B$800,MATCH(B45,'"INCC-FGV"'!$A$2:$A$800,0)),$K$2),$K$2)</f>
        <v/>
      </c>
      <c r="M45" s="138">
        <f>'CP RESUMO'!AR16</f>
        <v/>
      </c>
      <c r="N45" s="139">
        <f>MAX(0,M45-M44)</f>
        <v/>
      </c>
      <c r="O45" s="138">
        <f>IF(B45&lt;='VALOR POR PL'!$P$5,'CP RESUMO'!AR58,"")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HISTORICOS'!AS16)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RESUMO'!AS16</f>
        <v/>
      </c>
      <c r="N46" s="139">
        <f>MAX(0,M46-M45)</f>
        <v/>
      </c>
      <c r="O46" s="138">
        <f>IF(B46&lt;='VALOR POR PL'!$P$5,'CP RESUMO'!AS58,"")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HISTORICOS'!AT16)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RESUMO'!AT16</f>
        <v/>
      </c>
      <c r="N47" s="139">
        <f>MAX(0,M47-M46)</f>
        <v/>
      </c>
      <c r="O47" s="138">
        <f>IF(B47&lt;='VALOR POR PL'!$P$5,'CP RESUMO'!AT58,"")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HISTORICOS'!AU16)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RESUMO'!AU16</f>
        <v/>
      </c>
      <c r="N48" s="139">
        <f>MAX(0,M48-M47)</f>
        <v/>
      </c>
      <c r="O48" s="138">
        <f>IF(B48&lt;='VALOR POR PL'!$P$5,'CP RESUMO'!AU58,"")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HISTORICOS'!AV16)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RESUMO'!AV16</f>
        <v/>
      </c>
      <c r="N49" s="139">
        <f>MAX(0,M49-M48)</f>
        <v/>
      </c>
      <c r="O49" s="138">
        <f>IF(B49&lt;='VALOR POR PL'!$P$5,'CP RESUMO'!AV58,"")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HISTORICOS'!AW16)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RESUMO'!AW16</f>
        <v/>
      </c>
      <c r="N50" s="139">
        <f>MAX(0,M50-M49)</f>
        <v/>
      </c>
      <c r="O50" s="138">
        <f>IF(B50&lt;='VALOR POR PL'!$P$5,'CP RESUMO'!AW58,"")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HISTORICOS'!AX16)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RESUMO'!AX16</f>
        <v/>
      </c>
      <c r="N51" s="139">
        <f>MAX(0,M51-M50)</f>
        <v/>
      </c>
      <c r="O51" s="138">
        <f>IF(B51&lt;='VALOR POR PL'!$P$5,'CP RESUMO'!AX58,"")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HISTORICOS'!AY16)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RESUMO'!AY16</f>
        <v/>
      </c>
      <c r="N52" s="139">
        <f>MAX(0,M52-M51)</f>
        <v/>
      </c>
      <c r="O52" s="138">
        <f>IF(B52&lt;='VALOR POR PL'!$P$5,'CP RESUMO'!AY58,"")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HISTORICOS'!AZ16)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RESUMO'!AZ16</f>
        <v/>
      </c>
      <c r="N53" s="139">
        <f>MAX(0,M53-M52)</f>
        <v/>
      </c>
      <c r="O53" s="138">
        <f>IF(B53&lt;='VALOR POR PL'!$P$5,'CP RESUMO'!AZ58,"")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HISTORICOS'!BA16)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RESUMO'!BA16</f>
        <v/>
      </c>
      <c r="N54" s="139">
        <f>MAX(0,M54-M53)</f>
        <v/>
      </c>
      <c r="O54" s="138">
        <f>IF(B54&lt;='VALOR POR PL'!$P$5,'CP RESUMO'!BA58,"")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HISTORICOS'!BB16)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RESUMO'!BB16</f>
        <v/>
      </c>
      <c r="N55" s="139">
        <f>MAX(0,M55-M54)</f>
        <v/>
      </c>
      <c r="O55" s="138">
        <f>IF(B55&lt;='VALOR POR PL'!$P$5,'CP RESUMO'!BB58,"")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HISTORICOS'!BC16)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RESUMO'!BC16</f>
        <v/>
      </c>
      <c r="N56" s="139">
        <f>MAX(0,M56-M55)</f>
        <v/>
      </c>
      <c r="O56" s="138">
        <f>IF(B56&lt;='VALOR POR PL'!$P$5,'CP RESUMO'!BC58,"")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HISTORICOS'!BD16)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RESUMO'!BD16</f>
        <v/>
      </c>
      <c r="N57" s="139">
        <f>MAX(0,M57-M56)</f>
        <v/>
      </c>
      <c r="O57" s="138">
        <f>IF(B57&lt;='VALOR POR PL'!$P$5,'CP RESUMO'!BD58,"")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HISTORICOS'!BE16)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RESUMO'!BE16</f>
        <v/>
      </c>
      <c r="N58" s="139">
        <f>MAX(0,M58-M57)</f>
        <v/>
      </c>
      <c r="O58" s="138">
        <f>IF(B58&lt;='VALOR POR PL'!$P$5,'CP RESUMO'!BE58,"")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HISTORICOS'!BF16)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RESUMO'!BF16</f>
        <v/>
      </c>
      <c r="N59" s="139">
        <f>MAX(0,M59-M58)</f>
        <v/>
      </c>
      <c r="O59" s="138">
        <f>IF(B59&lt;='VALOR POR PL'!$P$5,'CP RESUMO'!BF58,"")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HISTORICOS'!BG16)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RESUMO'!BG16</f>
        <v/>
      </c>
      <c r="N60" s="139">
        <f>MAX(0,M60-M59)</f>
        <v/>
      </c>
      <c r="O60" s="138">
        <f>IF(B60&lt;='VALOR POR PL'!$P$5,'CP RESUMO'!BG58,"")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HISTORICOS'!BH16)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RESUMO'!BH16</f>
        <v/>
      </c>
      <c r="N61" s="139">
        <f>MAX(0,M61-M60)</f>
        <v/>
      </c>
      <c r="O61" s="138">
        <f>IF(B61&lt;='VALOR POR PL'!$P$5,'CP RESUMO'!BH58,"")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HISTORICOS'!BI16)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RESUMO'!BI16</f>
        <v/>
      </c>
      <c r="N62" s="139">
        <f>MAX(0,M62-M61)</f>
        <v/>
      </c>
      <c r="O62" s="138">
        <f>IF(B62&lt;='VALOR POR PL'!$P$5,'CP RESUMO'!BI58,"")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HISTORICOS'!BJ16)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RESUMO'!BJ16</f>
        <v/>
      </c>
      <c r="N63" s="139">
        <f>MAX(0,M63-M62)</f>
        <v/>
      </c>
      <c r="O63" s="138">
        <f>IF(B63&lt;='VALOR POR PL'!$P$5,'CP RESUMO'!BJ58,"")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HISTORICOS'!BK16)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RESUMO'!BK16</f>
        <v/>
      </c>
      <c r="N64" s="139">
        <f>MAX(0,M64-M63)</f>
        <v/>
      </c>
      <c r="O64" s="138">
        <f>IF(B64&lt;='VALOR POR PL'!$P$5,'CP RESUMO'!BK58,"")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HISTORICOS'!BL16)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RESUMO'!BL16</f>
        <v/>
      </c>
      <c r="N65" s="139">
        <f>MAX(0,M65-M64)</f>
        <v/>
      </c>
      <c r="O65" s="138">
        <f>IF(B65&lt;='VALOR POR PL'!$P$5,'CP RESUMO'!BL58,"")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HISTORICOS'!BM16)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RESUMO'!BM16</f>
        <v/>
      </c>
      <c r="N66" s="139">
        <f>MAX(0,M66-M65)</f>
        <v/>
      </c>
      <c r="O66" s="138">
        <f>IF(B66&lt;='VALOR POR PL'!$P$5,'CP RESUMO'!BM58,"")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HISTORICOS'!BN16)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RESUMO'!BN16</f>
        <v/>
      </c>
      <c r="N67" s="139">
        <f>MAX(0,M67-M66)</f>
        <v/>
      </c>
      <c r="O67" s="138">
        <f>IF(B67&lt;='VALOR POR PL'!$P$5,'CP RESUMO'!BN58,"")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HISTORICOS'!BO16)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RESUMO'!BO16</f>
        <v/>
      </c>
      <c r="N68" s="139">
        <f>MAX(0,M68-M67)</f>
        <v/>
      </c>
      <c r="O68" s="138">
        <f>IF(B68&lt;='VALOR POR PL'!$P$5,'CP RESUMO'!BO58,"")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HISTORICOS'!BP16)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RESUMO'!BP16</f>
        <v/>
      </c>
      <c r="N69" s="139">
        <f>MAX(0,M69-M68)</f>
        <v/>
      </c>
      <c r="O69" s="138">
        <f>IF(B69&lt;='VALOR POR PL'!$P$5,'CP RESUMO'!BP58,"")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HISTORICOS'!BQ16)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RESUMO'!BQ16</f>
        <v/>
      </c>
      <c r="N70" s="139">
        <f>MAX(0,M70-M69)</f>
        <v/>
      </c>
      <c r="O70" s="138">
        <f>IF(B70&lt;='VALOR POR PL'!$P$5,'CP RESUMO'!BQ58,"")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HISTORICOS'!BR16)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RESUMO'!BR16</f>
        <v/>
      </c>
      <c r="N71" s="139">
        <f>MAX(0,M71-M70)</f>
        <v/>
      </c>
      <c r="O71" s="138">
        <f>IF(B71&lt;='VALOR POR PL'!$P$5,'CP RESUMO'!BR58,"")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HISTORICOS'!BS16)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RESUMO'!BS16</f>
        <v/>
      </c>
      <c r="N72" s="139">
        <f>MAX(0,M72-M71)</f>
        <v/>
      </c>
      <c r="O72" s="138">
        <f>IF(B72&lt;='VALOR POR PL'!$P$5,'CP RESUMO'!BS58,"")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HISTORICOS'!BT16)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RESUMO'!BT16</f>
        <v/>
      </c>
      <c r="N73" s="139">
        <f>MAX(0,M73-M72)</f>
        <v/>
      </c>
      <c r="O73" s="138">
        <f>IF(B73&lt;='VALOR POR PL'!$P$5,'CP RESUMO'!BT58,"")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HISTORICOS'!BU16)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RESUMO'!BU16</f>
        <v/>
      </c>
      <c r="N74" s="139">
        <f>MAX(0,M74-M73)</f>
        <v/>
      </c>
      <c r="O74" s="138">
        <f>IF(B74&lt;='VALOR POR PL'!$P$5,'CP RESUMO'!BU58,"")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HISTORICOS'!BV16)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RESUMO'!BV16</f>
        <v/>
      </c>
      <c r="N75" s="139">
        <f>MAX(0,M75-M74)</f>
        <v/>
      </c>
      <c r="O75" s="138">
        <f>IF(B75&lt;='VALOR POR PL'!$P$5,'CP RESUMO'!BV58,"")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HISTORICOS'!BW16)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RESUMO'!BW16</f>
        <v/>
      </c>
      <c r="N76" s="139">
        <f>MAX(0,M76-M75)</f>
        <v/>
      </c>
      <c r="O76" s="138">
        <f>IF(B76&lt;='VALOR POR PL'!$P$5,'CP RESUMO'!BW58,"")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PL'!D23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HISTORICOS'!D17)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PL'!F23</f>
        <v/>
      </c>
      <c r="K5" s="60">
        <f>'VALOR POR PL'!G23</f>
        <v/>
      </c>
      <c r="L5" s="60">
        <f>'DADOS HISTORICOS'!$BZ$17</f>
        <v/>
      </c>
      <c r="M5" s="138">
        <f>'CP RESUMO'!D17</f>
        <v/>
      </c>
      <c r="N5" s="139" t="n">
        <v>0</v>
      </c>
      <c r="O5" s="138">
        <f>IF(B5&lt;='VALOR POR PL'!$P$5,'CP RESUMO'!D59,"")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HISTORICOS'!E17)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PL'!H23</f>
        <v/>
      </c>
      <c r="L6" s="49">
        <f>C6/IF(B6&lt;='VALOR POR PL'!$P$5,IFERROR(INDEX('"INCC-FGV"'!$B$2:$B$800,MATCH(B6,'"INCC-FGV"'!$A$2:$A$800,0)),$K$2),$K$2)</f>
        <v/>
      </c>
      <c r="M6" s="138">
        <f>'CP RESUMO'!E17</f>
        <v/>
      </c>
      <c r="N6" s="139">
        <f>MAX(0,M6-M5)</f>
        <v/>
      </c>
      <c r="O6" s="138">
        <f>IF(B6&lt;='VALOR POR PL'!$P$5,'CP RESUMO'!E59,"")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HISTORICOS'!F17)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RESUMO'!F17</f>
        <v/>
      </c>
      <c r="N7" s="139">
        <f>MAX(0,M7-M6)</f>
        <v/>
      </c>
      <c r="O7" s="138">
        <f>IF(B7&lt;='VALOR POR PL'!$P$5,'CP RESUMO'!F59,"")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HISTORICOS'!G17)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RESUMO'!G17</f>
        <v/>
      </c>
      <c r="N8" s="139">
        <f>MAX(0,M8-M7)</f>
        <v/>
      </c>
      <c r="O8" s="138">
        <f>IF(B8&lt;='VALOR POR PL'!$P$5,'CP RESUMO'!G59,"")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HISTORICOS'!H17)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RESUMO'!H17</f>
        <v/>
      </c>
      <c r="N9" s="139">
        <f>MAX(0,M9-M8)</f>
        <v/>
      </c>
      <c r="O9" s="138">
        <f>IF(B9&lt;='VALOR POR PL'!$P$5,'CP RESUMO'!H59,"")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HISTORICOS'!I17)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RESUMO'!I17</f>
        <v/>
      </c>
      <c r="N10" s="139">
        <f>MAX(0,M10-M9)</f>
        <v/>
      </c>
      <c r="O10" s="138">
        <f>IF(B10&lt;='VALOR POR PL'!$P$5,'CP RESUMO'!I59,"")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HISTORICOS'!J17)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RESUMO'!J17</f>
        <v/>
      </c>
      <c r="N11" s="139">
        <f>MAX(0,M11-M10)</f>
        <v/>
      </c>
      <c r="O11" s="138">
        <f>IF(B11&lt;='VALOR POR PL'!$P$5,'CP RESUMO'!J59,"")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HISTORICOS'!K17)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RESUMO'!K17</f>
        <v/>
      </c>
      <c r="N12" s="139">
        <f>MAX(0,M12-M11)</f>
        <v/>
      </c>
      <c r="O12" s="138">
        <f>IF(B12&lt;='VALOR POR PL'!$P$5,'CP RESUMO'!K59,"")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HISTORICOS'!L17)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PL'!I23</f>
        <v/>
      </c>
      <c r="L13" s="49">
        <f>C13/IF(B13&lt;='VALOR POR PL'!$P$5,IFERROR(INDEX('"INCC-FGV"'!$B$2:$B$800,MATCH(B13,'"INCC-FGV"'!$A$2:$A$800,0)),$K$2),$K$2)</f>
        <v/>
      </c>
      <c r="M13" s="138">
        <f>'CP RESUMO'!L17</f>
        <v/>
      </c>
      <c r="N13" s="139">
        <f>MAX(0,M13-M12)</f>
        <v/>
      </c>
      <c r="O13" s="138">
        <f>IF(B13&lt;='VALOR POR PL'!$P$5,'CP RESUMO'!L59,"")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HISTORICOS'!M17)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RESUMO'!$D$59:$BW$59,MATCH('VALOR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RESUMO'!M17</f>
        <v/>
      </c>
      <c r="N14" s="139">
        <f>MAX(0,M14-M13)</f>
        <v/>
      </c>
      <c r="O14" s="138">
        <f>IF(B14&lt;='VALOR POR PL'!$P$5,'CP RESUMO'!M59,"")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HISTORICOS'!N17)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RESUMO'!N17</f>
        <v/>
      </c>
      <c r="N15" s="139">
        <f>MAX(0,M15-M14)</f>
        <v/>
      </c>
      <c r="O15" s="138">
        <f>IF(B15&lt;='VALOR POR PL'!$P$5,'CP RESUMO'!N59,"")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HISTORICOS'!O17)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RESUMO'!O17</f>
        <v/>
      </c>
      <c r="N16" s="139">
        <f>MAX(0,M16-M15)</f>
        <v/>
      </c>
      <c r="O16" s="138">
        <f>IF(B16&lt;='VALOR POR PL'!$P$5,'CP RESUMO'!O59,"")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HISTORICOS'!P17)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RESUMO'!P17</f>
        <v/>
      </c>
      <c r="N17" s="139">
        <f>MAX(0,M17-M16)</f>
        <v/>
      </c>
      <c r="O17" s="138">
        <f>IF(B17&lt;='VALOR POR PL'!$P$5,'CP RESUMO'!P59,"")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HISTORICOS'!Q17)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RESUMO'!Q17</f>
        <v/>
      </c>
      <c r="N18" s="139">
        <f>MAX(0,M18-M17)</f>
        <v/>
      </c>
      <c r="O18" s="138">
        <f>IF(B18&lt;='VALOR POR PL'!$P$5,'CP RESUMO'!Q59,"")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HISTORICOS'!R17)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RESUMO'!R17</f>
        <v/>
      </c>
      <c r="N19" s="139">
        <f>MAX(0,M19-M18)</f>
        <v/>
      </c>
      <c r="O19" s="138">
        <f>IF(B19&lt;='VALOR POR PL'!$P$5,'CP RESUMO'!R59,"")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HISTORICOS'!S17)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RESUMO'!S17</f>
        <v/>
      </c>
      <c r="N20" s="139">
        <f>MAX(0,M20-M19)</f>
        <v/>
      </c>
      <c r="O20" s="138">
        <f>IF(B20&lt;='VALOR POR PL'!$P$5,'CP RESUMO'!S59,"")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HISTORICOS'!T17)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RESUMO'!T17</f>
        <v/>
      </c>
      <c r="N21" s="139">
        <f>MAX(0,M21-M20)</f>
        <v/>
      </c>
      <c r="O21" s="138">
        <f>IF(B21&lt;='VALOR POR PL'!$P$5,'CP RESUMO'!T59,"")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HISTORICOS'!U17)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RESUMO'!U17</f>
        <v/>
      </c>
      <c r="N22" s="139">
        <f>MAX(0,M22-M21)</f>
        <v/>
      </c>
      <c r="O22" s="138">
        <f>IF(B22&lt;='VALOR POR PL'!$P$5,'CP RESUMO'!U59,"")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HISTORICOS'!V17)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RESUMO'!V17</f>
        <v/>
      </c>
      <c r="N23" s="139">
        <f>MAX(0,M23-M22)</f>
        <v/>
      </c>
      <c r="O23" s="138">
        <f>IF(B23&lt;='VALOR POR PL'!$P$5,'CP RESUMO'!V59,"")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HISTORICOS'!W17)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RESUMO'!W17</f>
        <v/>
      </c>
      <c r="N24" s="139">
        <f>MAX(0,M24-M23)</f>
        <v/>
      </c>
      <c r="O24" s="138">
        <f>IF(B24&lt;='VALOR POR PL'!$P$5,'CP RESUMO'!W59,"")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HISTORICOS'!X17)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RESUMO'!X17</f>
        <v/>
      </c>
      <c r="N25" s="139">
        <f>MAX(0,M25-M24)</f>
        <v/>
      </c>
      <c r="O25" s="138">
        <f>IF(B25&lt;='VALOR POR PL'!$P$5,'CP RESUMO'!X59,"")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HISTORICOS'!Y17)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RESUMO'!Y17</f>
        <v/>
      </c>
      <c r="N26" s="139">
        <f>MAX(0,M26-M25)</f>
        <v/>
      </c>
      <c r="O26" s="138">
        <f>IF(B26&lt;='VALOR POR PL'!$P$5,'CP RESUMO'!Y59,"")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HISTORICOS'!Z17)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70000</v>
      </c>
      <c r="L27" s="49">
        <f>C27/IF(B27&lt;='VALOR POR PL'!$P$5,IFERROR(INDEX('"INCC-FGV"'!$B$2:$B$800,MATCH(B27,'"INCC-FGV"'!$A$2:$A$800,0)),$K$2),$K$2)</f>
        <v/>
      </c>
      <c r="M27" s="138">
        <f>'CP RESUMO'!Z17</f>
        <v/>
      </c>
      <c r="N27" s="139">
        <f>MAX(0,M27-M26)</f>
        <v/>
      </c>
      <c r="O27" s="138">
        <f>IF(B27&lt;='VALOR POR PL'!$P$5,'CP RESUMO'!Z59,"")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HISTORICOS'!AA17)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70000</v>
      </c>
      <c r="L28" s="49">
        <f>C28/IF(B28&lt;='VALOR POR PL'!$P$5,IFERROR(INDEX('"INCC-FGV"'!$B$2:$B$800,MATCH(B28,'"INCC-FGV"'!$A$2:$A$800,0)),$K$2),$K$2)</f>
        <v/>
      </c>
      <c r="M28" s="138">
        <f>'CP RESUMO'!AA17</f>
        <v/>
      </c>
      <c r="N28" s="139">
        <f>MAX(0,M28-M27)</f>
        <v/>
      </c>
      <c r="O28" s="138">
        <f>IF(B28&lt;='VALOR POR PL'!$P$5,'CP RESUMO'!AA59,"")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HISTORICOS'!AB17)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RESUMO'!AB17</f>
        <v/>
      </c>
      <c r="N29" s="139">
        <f>MAX(0,M29-M28)</f>
        <v/>
      </c>
      <c r="O29" s="138">
        <f>IF(B29&lt;='VALOR POR PL'!$P$5,'CP RESUMO'!AB59,"")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HISTORICOS'!AC17)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>
        <v>130000</v>
      </c>
      <c r="L30" s="49">
        <f>C30/IF(B30&lt;='VALOR POR PL'!$P$5,IFERROR(INDEX('"INCC-FGV"'!$B$2:$B$800,MATCH(B30,'"INCC-FGV"'!$A$2:$A$800,0)),$K$2),$K$2)</f>
        <v/>
      </c>
      <c r="M30" s="138">
        <f>'CP RESUMO'!AC17</f>
        <v/>
      </c>
      <c r="N30" s="139">
        <f>MAX(0,M30-M29)</f>
        <v/>
      </c>
      <c r="O30" s="138">
        <f>IF(B30&lt;='VALOR POR PL'!$P$5,'CP RESUMO'!AC59,"")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HISTORICOS'!AD17)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>
        <v>114571.25</v>
      </c>
      <c r="L31" s="49">
        <f>C31/IF(B31&lt;='VALOR POR PL'!$P$5,IFERROR(INDEX('"INCC-FGV"'!$B$2:$B$800,MATCH(B31,'"INCC-FGV"'!$A$2:$A$800,0)),$K$2),$K$2)</f>
        <v/>
      </c>
      <c r="M31" s="138">
        <f>'CP RESUMO'!AD17</f>
        <v/>
      </c>
      <c r="N31" s="139">
        <f>MAX(0,M31-M30)</f>
        <v/>
      </c>
      <c r="O31" s="138">
        <f>IF(B31&lt;='VALOR POR PL'!$P$5,'CP RESUMO'!AD59,"")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HISTORICOS'!AE17)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RESUMO'!AE17</f>
        <v/>
      </c>
      <c r="N32" s="139">
        <f>MAX(0,M32-M31)</f>
        <v/>
      </c>
      <c r="O32" s="138">
        <f>IF(B32&lt;='VALOR POR PL'!$P$5,'CP RESUMO'!AE59,"")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HISTORICOS'!AF17)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RESUMO'!AF17</f>
        <v/>
      </c>
      <c r="N33" s="139">
        <f>MAX(0,M33-M32)</f>
        <v/>
      </c>
      <c r="O33" s="138">
        <f>IF(B33&lt;='VALOR POR PL'!$P$5,'CP RESUMO'!AF59,"")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HISTORICOS'!AG17)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RESUMO'!AG17</f>
        <v/>
      </c>
      <c r="N34" s="139">
        <f>MAX(0,M34-M33)</f>
        <v/>
      </c>
      <c r="O34" s="138">
        <f>IF(B34&lt;='VALOR POR PL'!$P$5,'CP RESUMO'!AG59,"")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HISTORICOS'!AH17)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RESUMO'!AH17</f>
        <v/>
      </c>
      <c r="N35" s="139">
        <f>MAX(0,M35-M34)</f>
        <v/>
      </c>
      <c r="O35" s="138">
        <f>IF(B35&lt;='VALOR POR PL'!$P$5,'CP RESUMO'!AH59,"")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HISTORICOS'!AI17)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RESUMO'!AI17</f>
        <v/>
      </c>
      <c r="N36" s="139">
        <f>MAX(0,M36-M35)</f>
        <v/>
      </c>
      <c r="O36" s="138">
        <f>IF(B36&lt;='VALOR POR PL'!$P$5,'CP RESUMO'!AI59,"")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HISTORICOS'!AJ17)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RESUMO'!AJ17</f>
        <v/>
      </c>
      <c r="N37" s="139">
        <f>MAX(0,M37-M36)</f>
        <v/>
      </c>
      <c r="O37" s="138">
        <f>IF(B37&lt;='VALOR POR PL'!$P$5,'CP RESUMO'!AJ59,"")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HISTORICOS'!AK17)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RESUMO'!AK17</f>
        <v/>
      </c>
      <c r="N38" s="139">
        <f>MAX(0,M38-M37)</f>
        <v/>
      </c>
      <c r="O38" s="138">
        <f>IF(B38&lt;='VALOR POR PL'!$P$5,'CP RESUMO'!AK59,"")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HISTORICOS'!AL17)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RESUMO'!AL17</f>
        <v/>
      </c>
      <c r="N39" s="139">
        <f>MAX(0,M39-M38)</f>
        <v/>
      </c>
      <c r="O39" s="138">
        <f>IF(B39&lt;='VALOR POR PL'!$P$5,'CP RESUMO'!AL59,"")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HISTORICOS'!AM17)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RESUMO'!AM17</f>
        <v/>
      </c>
      <c r="N40" s="139">
        <f>MAX(0,M40-M39)</f>
        <v/>
      </c>
      <c r="O40" s="138">
        <f>IF(B40&lt;='VALOR POR PL'!$P$5,'CP RESUMO'!AM59,"")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HISTORICOS'!AN17)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RESUMO'!AN17</f>
        <v/>
      </c>
      <c r="N41" s="139">
        <f>MAX(0,M41-M40)</f>
        <v/>
      </c>
      <c r="O41" s="138">
        <f>IF(B41&lt;='VALOR POR PL'!$P$5,'CP RESUMO'!AN59,"")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HISTORICOS'!AO17)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RESUMO'!AO17</f>
        <v/>
      </c>
      <c r="N42" s="139">
        <f>MAX(0,M42-M41)</f>
        <v/>
      </c>
      <c r="O42" s="138">
        <f>IF(B42&lt;='VALOR POR PL'!$P$5,'CP RESUMO'!AO59,"")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HISTORICOS'!AP17)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RESUMO'!AP17</f>
        <v/>
      </c>
      <c r="N43" s="139">
        <f>MAX(0,M43-M42)</f>
        <v/>
      </c>
      <c r="O43" s="138">
        <f>IF(B43&lt;='VALOR POR PL'!$P$5,'CP RESUMO'!AP59,"")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HISTORICOS'!AQ17)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/>
      <c r="L44" s="49">
        <f>C44/IF(B44&lt;='VALOR POR PL'!$P$5,IFERROR(INDEX('"INCC-FGV"'!$B$2:$B$800,MATCH(B44,'"INCC-FGV"'!$A$2:$A$800,0)),$K$2),$K$2)</f>
        <v/>
      </c>
      <c r="M44" s="138">
        <f>'CP RESUMO'!AQ17</f>
        <v/>
      </c>
      <c r="N44" s="139">
        <f>MAX(0,M44-M43)</f>
        <v/>
      </c>
      <c r="O44" s="138">
        <f>IF(B44&lt;='VALOR POR PL'!$P$5,'CP RESUMO'!AQ59,"")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HISTORICOS'!AR17)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/>
      <c r="L45" s="49">
        <f>C45/IF(B45&lt;='VALOR POR PL'!$P$5,IFERROR(INDEX('"INCC-FGV"'!$B$2:$B$800,MATCH(B45,'"INCC-FGV"'!$A$2:$A$800,0)),$K$2),$K$2)</f>
        <v/>
      </c>
      <c r="M45" s="138">
        <f>'CP RESUMO'!AR17</f>
        <v/>
      </c>
      <c r="N45" s="139">
        <f>MAX(0,M45-M44)</f>
        <v/>
      </c>
      <c r="O45" s="138">
        <f>IF(B45&lt;='VALOR POR PL'!$P$5,'CP RESUMO'!AR59,"")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HISTORICOS'!AS17)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RESUMO'!AS17</f>
        <v/>
      </c>
      <c r="N46" s="139">
        <f>MAX(0,M46-M45)</f>
        <v/>
      </c>
      <c r="O46" s="138">
        <f>IF(B46&lt;='VALOR POR PL'!$P$5,'CP RESUMO'!AS59,"")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HISTORICOS'!AT17)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RESUMO'!AT17</f>
        <v/>
      </c>
      <c r="N47" s="139">
        <f>MAX(0,M47-M46)</f>
        <v/>
      </c>
      <c r="O47" s="138">
        <f>IF(B47&lt;='VALOR POR PL'!$P$5,'CP RESUMO'!AT59,"")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HISTORICOS'!AU17)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RESUMO'!AU17</f>
        <v/>
      </c>
      <c r="N48" s="139">
        <f>MAX(0,M48-M47)</f>
        <v/>
      </c>
      <c r="O48" s="138">
        <f>IF(B48&lt;='VALOR POR PL'!$P$5,'CP RESUMO'!AU59,"")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HISTORICOS'!AV17)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RESUMO'!AV17</f>
        <v/>
      </c>
      <c r="N49" s="139">
        <f>MAX(0,M49-M48)</f>
        <v/>
      </c>
      <c r="O49" s="138">
        <f>IF(B49&lt;='VALOR POR PL'!$P$5,'CP RESUMO'!AV59,"")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HISTORICOS'!AW17)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RESUMO'!AW17</f>
        <v/>
      </c>
      <c r="N50" s="139">
        <f>MAX(0,M50-M49)</f>
        <v/>
      </c>
      <c r="O50" s="138">
        <f>IF(B50&lt;='VALOR POR PL'!$P$5,'CP RESUMO'!AW59,"")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HISTORICOS'!AX17)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RESUMO'!AX17</f>
        <v/>
      </c>
      <c r="N51" s="139">
        <f>MAX(0,M51-M50)</f>
        <v/>
      </c>
      <c r="O51" s="138">
        <f>IF(B51&lt;='VALOR POR PL'!$P$5,'CP RESUMO'!AX59,"")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HISTORICOS'!AY17)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RESUMO'!AY17</f>
        <v/>
      </c>
      <c r="N52" s="139">
        <f>MAX(0,M52-M51)</f>
        <v/>
      </c>
      <c r="O52" s="138">
        <f>IF(B52&lt;='VALOR POR PL'!$P$5,'CP RESUMO'!AY59,"")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HISTORICOS'!AZ17)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RESUMO'!AZ17</f>
        <v/>
      </c>
      <c r="N53" s="139">
        <f>MAX(0,M53-M52)</f>
        <v/>
      </c>
      <c r="O53" s="138">
        <f>IF(B53&lt;='VALOR POR PL'!$P$5,'CP RESUMO'!AZ59,"")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HISTORICOS'!BA17)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RESUMO'!BA17</f>
        <v/>
      </c>
      <c r="N54" s="139">
        <f>MAX(0,M54-M53)</f>
        <v/>
      </c>
      <c r="O54" s="138">
        <f>IF(B54&lt;='VALOR POR PL'!$P$5,'CP RESUMO'!BA59,"")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HISTORICOS'!BB17)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RESUMO'!BB17</f>
        <v/>
      </c>
      <c r="N55" s="139">
        <f>MAX(0,M55-M54)</f>
        <v/>
      </c>
      <c r="O55" s="138">
        <f>IF(B55&lt;='VALOR POR PL'!$P$5,'CP RESUMO'!BB59,"")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HISTORICOS'!BC17)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RESUMO'!BC17</f>
        <v/>
      </c>
      <c r="N56" s="139">
        <f>MAX(0,M56-M55)</f>
        <v/>
      </c>
      <c r="O56" s="138">
        <f>IF(B56&lt;='VALOR POR PL'!$P$5,'CP RESUMO'!BC59,"")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HISTORICOS'!BD17)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RESUMO'!BD17</f>
        <v/>
      </c>
      <c r="N57" s="139">
        <f>MAX(0,M57-M56)</f>
        <v/>
      </c>
      <c r="O57" s="138">
        <f>IF(B57&lt;='VALOR POR PL'!$P$5,'CP RESUMO'!BD59,"")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HISTORICOS'!BE17)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RESUMO'!BE17</f>
        <v/>
      </c>
      <c r="N58" s="139">
        <f>MAX(0,M58-M57)</f>
        <v/>
      </c>
      <c r="O58" s="138">
        <f>IF(B58&lt;='VALOR POR PL'!$P$5,'CP RESUMO'!BE59,"")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HISTORICOS'!BF17)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RESUMO'!BF17</f>
        <v/>
      </c>
      <c r="N59" s="139">
        <f>MAX(0,M59-M58)</f>
        <v/>
      </c>
      <c r="O59" s="138">
        <f>IF(B59&lt;='VALOR POR PL'!$P$5,'CP RESUMO'!BF59,"")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HISTORICOS'!BG17)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RESUMO'!BG17</f>
        <v/>
      </c>
      <c r="N60" s="139">
        <f>MAX(0,M60-M59)</f>
        <v/>
      </c>
      <c r="O60" s="138">
        <f>IF(B60&lt;='VALOR POR PL'!$P$5,'CP RESUMO'!BG59,"")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HISTORICOS'!BH17)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RESUMO'!BH17</f>
        <v/>
      </c>
      <c r="N61" s="139">
        <f>MAX(0,M61-M60)</f>
        <v/>
      </c>
      <c r="O61" s="138">
        <f>IF(B61&lt;='VALOR POR PL'!$P$5,'CP RESUMO'!BH59,"")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HISTORICOS'!BI17)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RESUMO'!BI17</f>
        <v/>
      </c>
      <c r="N62" s="139">
        <f>MAX(0,M62-M61)</f>
        <v/>
      </c>
      <c r="O62" s="138">
        <f>IF(B62&lt;='VALOR POR PL'!$P$5,'CP RESUMO'!BI59,"")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HISTORICOS'!BJ17)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RESUMO'!BJ17</f>
        <v/>
      </c>
      <c r="N63" s="139">
        <f>MAX(0,M63-M62)</f>
        <v/>
      </c>
      <c r="O63" s="138">
        <f>IF(B63&lt;='VALOR POR PL'!$P$5,'CP RESUMO'!BJ59,"")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HISTORICOS'!BK17)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RESUMO'!BK17</f>
        <v/>
      </c>
      <c r="N64" s="139">
        <f>MAX(0,M64-M63)</f>
        <v/>
      </c>
      <c r="O64" s="138">
        <f>IF(B64&lt;='VALOR POR PL'!$P$5,'CP RESUMO'!BK59,"")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HISTORICOS'!BL17)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RESUMO'!BL17</f>
        <v/>
      </c>
      <c r="N65" s="139">
        <f>MAX(0,M65-M64)</f>
        <v/>
      </c>
      <c r="O65" s="138">
        <f>IF(B65&lt;='VALOR POR PL'!$P$5,'CP RESUMO'!BL59,"")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HISTORICOS'!BM17)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RESUMO'!BM17</f>
        <v/>
      </c>
      <c r="N66" s="139">
        <f>MAX(0,M66-M65)</f>
        <v/>
      </c>
      <c r="O66" s="138">
        <f>IF(B66&lt;='VALOR POR PL'!$P$5,'CP RESUMO'!BM59,"")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HISTORICOS'!BN17)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RESUMO'!BN17</f>
        <v/>
      </c>
      <c r="N67" s="139">
        <f>MAX(0,M67-M66)</f>
        <v/>
      </c>
      <c r="O67" s="138">
        <f>IF(B67&lt;='VALOR POR PL'!$P$5,'CP RESUMO'!BN59,"")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HISTORICOS'!BO17)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RESUMO'!BO17</f>
        <v/>
      </c>
      <c r="N68" s="139">
        <f>MAX(0,M68-M67)</f>
        <v/>
      </c>
      <c r="O68" s="138">
        <f>IF(B68&lt;='VALOR POR PL'!$P$5,'CP RESUMO'!BO59,"")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HISTORICOS'!BP17)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RESUMO'!BP17</f>
        <v/>
      </c>
      <c r="N69" s="139">
        <f>MAX(0,M69-M68)</f>
        <v/>
      </c>
      <c r="O69" s="138">
        <f>IF(B69&lt;='VALOR POR PL'!$P$5,'CP RESUMO'!BP59,"")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HISTORICOS'!BQ17)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RESUMO'!BQ17</f>
        <v/>
      </c>
      <c r="N70" s="139">
        <f>MAX(0,M70-M69)</f>
        <v/>
      </c>
      <c r="O70" s="138">
        <f>IF(B70&lt;='VALOR POR PL'!$P$5,'CP RESUMO'!BQ59,"")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HISTORICOS'!BR17)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RESUMO'!BR17</f>
        <v/>
      </c>
      <c r="N71" s="139">
        <f>MAX(0,M71-M70)</f>
        <v/>
      </c>
      <c r="O71" s="138">
        <f>IF(B71&lt;='VALOR POR PL'!$P$5,'CP RESUMO'!BR59,"")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HISTORICOS'!BS17)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RESUMO'!BS17</f>
        <v/>
      </c>
      <c r="N72" s="139">
        <f>MAX(0,M72-M71)</f>
        <v/>
      </c>
      <c r="O72" s="138">
        <f>IF(B72&lt;='VALOR POR PL'!$P$5,'CP RESUMO'!BS59,"")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HISTORICOS'!BT17)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RESUMO'!BT17</f>
        <v/>
      </c>
      <c r="N73" s="139">
        <f>MAX(0,M73-M72)</f>
        <v/>
      </c>
      <c r="O73" s="138">
        <f>IF(B73&lt;='VALOR POR PL'!$P$5,'CP RESUMO'!BT59,"")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HISTORICOS'!BU17)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RESUMO'!BU17</f>
        <v/>
      </c>
      <c r="N74" s="139">
        <f>MAX(0,M74-M73)</f>
        <v/>
      </c>
      <c r="O74" s="138">
        <f>IF(B74&lt;='VALOR POR PL'!$P$5,'CP RESUMO'!BU59,"")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HISTORICOS'!BV17)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RESUMO'!BV17</f>
        <v/>
      </c>
      <c r="N75" s="139">
        <f>MAX(0,M75-M74)</f>
        <v/>
      </c>
      <c r="O75" s="138">
        <f>IF(B75&lt;='VALOR POR PL'!$P$5,'CP RESUMO'!BV59,"")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HISTORICOS'!BW17)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RESUMO'!BW17</f>
        <v/>
      </c>
      <c r="N76" s="139">
        <f>MAX(0,M76-M75)</f>
        <v/>
      </c>
      <c r="O76" s="138">
        <f>IF(B76&lt;='VALOR POR PL'!$P$5,'CP RESUMO'!BW59,"")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PL'!D24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HISTORICOS'!D18)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PL'!F24</f>
        <v/>
      </c>
      <c r="K5" s="60">
        <f>'VALOR POR PL'!G24</f>
        <v/>
      </c>
      <c r="L5" s="60">
        <f>'DADOS HISTORICOS'!$BZ$18</f>
        <v/>
      </c>
      <c r="M5" s="138">
        <f>'CP RESUMO'!D18</f>
        <v/>
      </c>
      <c r="N5" s="139" t="n">
        <v>0</v>
      </c>
      <c r="O5" s="138">
        <f>IF(B5&lt;='VALOR POR PL'!$P$5,'CP RESUMO'!D60,"")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HISTORICOS'!E18)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PL'!H24</f>
        <v/>
      </c>
      <c r="L6" s="49">
        <f>C6/IF(B6&lt;='VALOR POR PL'!$P$5,IFERROR(INDEX('"INCC-FGV"'!$B$2:$B$800,MATCH(B6,'"INCC-FGV"'!$A$2:$A$800,0)),$K$2),$K$2)</f>
        <v/>
      </c>
      <c r="M6" s="138">
        <f>'CP RESUMO'!E18</f>
        <v/>
      </c>
      <c r="N6" s="139">
        <f>MAX(0,M6-M5)</f>
        <v/>
      </c>
      <c r="O6" s="138">
        <f>IF(B6&lt;='VALOR POR PL'!$P$5,'CP RESUMO'!E60,"")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HISTORICOS'!F18)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RESUMO'!F18</f>
        <v/>
      </c>
      <c r="N7" s="139">
        <f>MAX(0,M7-M6)</f>
        <v/>
      </c>
      <c r="O7" s="138">
        <f>IF(B7&lt;='VALOR POR PL'!$P$5,'CP RESUMO'!F60,"")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HISTORICOS'!G18)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RESUMO'!G18</f>
        <v/>
      </c>
      <c r="N8" s="139">
        <f>MAX(0,M8-M7)</f>
        <v/>
      </c>
      <c r="O8" s="138">
        <f>IF(B8&lt;='VALOR POR PL'!$P$5,'CP RESUMO'!G60,"")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HISTORICOS'!H18)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RESUMO'!H18</f>
        <v/>
      </c>
      <c r="N9" s="139">
        <f>MAX(0,M9-M8)</f>
        <v/>
      </c>
      <c r="O9" s="138">
        <f>IF(B9&lt;='VALOR POR PL'!$P$5,'CP RESUMO'!H60,"")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HISTORICOS'!I18)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RESUMO'!I18</f>
        <v/>
      </c>
      <c r="N10" s="139">
        <f>MAX(0,M10-M9)</f>
        <v/>
      </c>
      <c r="O10" s="138">
        <f>IF(B10&lt;='VALOR POR PL'!$P$5,'CP RESUMO'!I60,"")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HISTORICOS'!J18)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RESUMO'!J18</f>
        <v/>
      </c>
      <c r="N11" s="139">
        <f>MAX(0,M11-M10)</f>
        <v/>
      </c>
      <c r="O11" s="138">
        <f>IF(B11&lt;='VALOR POR PL'!$P$5,'CP RESUMO'!J60,"")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HISTORICOS'!K18)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RESUMO'!K18</f>
        <v/>
      </c>
      <c r="N12" s="139">
        <f>MAX(0,M12-M11)</f>
        <v/>
      </c>
      <c r="O12" s="138">
        <f>IF(B12&lt;='VALOR POR PL'!$P$5,'CP RESUMO'!K60,"")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HISTORICOS'!L18)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PL'!I24</f>
        <v/>
      </c>
      <c r="L13" s="49">
        <f>C13/IF(B13&lt;='VALOR POR PL'!$P$5,IFERROR(INDEX('"INCC-FGV"'!$B$2:$B$800,MATCH(B13,'"INCC-FGV"'!$A$2:$A$800,0)),$K$2),$K$2)</f>
        <v/>
      </c>
      <c r="M13" s="138">
        <f>'CP RESUMO'!L18</f>
        <v/>
      </c>
      <c r="N13" s="139">
        <f>MAX(0,M13-M12)</f>
        <v/>
      </c>
      <c r="O13" s="138">
        <f>IF(B13&lt;='VALOR POR PL'!$P$5,'CP RESUMO'!L60,"")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HISTORICOS'!M18)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RESUMO'!$D$60:$BW$60,MATCH('VALOR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RESUMO'!M18</f>
        <v/>
      </c>
      <c r="N14" s="139">
        <f>MAX(0,M14-M13)</f>
        <v/>
      </c>
      <c r="O14" s="138">
        <f>IF(B14&lt;='VALOR POR PL'!$P$5,'CP RESUMO'!M60,"")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HISTORICOS'!N18)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RESUMO'!N18</f>
        <v/>
      </c>
      <c r="N15" s="139">
        <f>MAX(0,M15-M14)</f>
        <v/>
      </c>
      <c r="O15" s="138">
        <f>IF(B15&lt;='VALOR POR PL'!$P$5,'CP RESUMO'!N60,"")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HISTORICOS'!O18)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RESUMO'!O18</f>
        <v/>
      </c>
      <c r="N16" s="139">
        <f>MAX(0,M16-M15)</f>
        <v/>
      </c>
      <c r="O16" s="138">
        <f>IF(B16&lt;='VALOR POR PL'!$P$5,'CP RESUMO'!O60,"")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HISTORICOS'!P18)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RESUMO'!P18</f>
        <v/>
      </c>
      <c r="N17" s="139">
        <f>MAX(0,M17-M16)</f>
        <v/>
      </c>
      <c r="O17" s="138">
        <f>IF(B17&lt;='VALOR POR PL'!$P$5,'CP RESUMO'!P60,"")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HISTORICOS'!Q18)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RESUMO'!Q18</f>
        <v/>
      </c>
      <c r="N18" s="139">
        <f>MAX(0,M18-M17)</f>
        <v/>
      </c>
      <c r="O18" s="138">
        <f>IF(B18&lt;='VALOR POR PL'!$P$5,'CP RESUMO'!Q60,"")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HISTORICOS'!R18)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RESUMO'!R18</f>
        <v/>
      </c>
      <c r="N19" s="139">
        <f>MAX(0,M19-M18)</f>
        <v/>
      </c>
      <c r="O19" s="138">
        <f>IF(B19&lt;='VALOR POR PL'!$P$5,'CP RESUMO'!R60,"")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HISTORICOS'!S18)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RESUMO'!S18</f>
        <v/>
      </c>
      <c r="N20" s="139">
        <f>MAX(0,M20-M19)</f>
        <v/>
      </c>
      <c r="O20" s="138">
        <f>IF(B20&lt;='VALOR POR PL'!$P$5,'CP RESUMO'!S60,"")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HISTORICOS'!T18)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RESUMO'!T18</f>
        <v/>
      </c>
      <c r="N21" s="139">
        <f>MAX(0,M21-M20)</f>
        <v/>
      </c>
      <c r="O21" s="138">
        <f>IF(B21&lt;='VALOR POR PL'!$P$5,'CP RESUMO'!T60,"")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HISTORICOS'!U18)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RESUMO'!U18</f>
        <v/>
      </c>
      <c r="N22" s="139">
        <f>MAX(0,M22-M21)</f>
        <v/>
      </c>
      <c r="O22" s="138">
        <f>IF(B22&lt;='VALOR POR PL'!$P$5,'CP RESUMO'!U60,"")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HISTORICOS'!V18)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RESUMO'!V18</f>
        <v/>
      </c>
      <c r="N23" s="139">
        <f>MAX(0,M23-M22)</f>
        <v/>
      </c>
      <c r="O23" s="138">
        <f>IF(B23&lt;='VALOR POR PL'!$P$5,'CP RESUMO'!V60,"")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HISTORICOS'!W18)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RESUMO'!W18</f>
        <v/>
      </c>
      <c r="N24" s="139">
        <f>MAX(0,M24-M23)</f>
        <v/>
      </c>
      <c r="O24" s="138">
        <f>IF(B24&lt;='VALOR POR PL'!$P$5,'CP RESUMO'!W60,"")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HISTORICOS'!X18)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RESUMO'!X18</f>
        <v/>
      </c>
      <c r="N25" s="139">
        <f>MAX(0,M25-M24)</f>
        <v/>
      </c>
      <c r="O25" s="138">
        <f>IF(B25&lt;='VALOR POR PL'!$P$5,'CP RESUMO'!X60,"")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HISTORICOS'!Y18)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>
        <v>50000</v>
      </c>
      <c r="L26" s="49">
        <f>C26/IF(B26&lt;='VALOR POR PL'!$P$5,IFERROR(INDEX('"INCC-FGV"'!$B$2:$B$800,MATCH(B26,'"INCC-FGV"'!$A$2:$A$800,0)),$K$2),$K$2)</f>
        <v/>
      </c>
      <c r="M26" s="138">
        <f>'CP RESUMO'!Y18</f>
        <v/>
      </c>
      <c r="N26" s="139">
        <f>MAX(0,M26-M25)</f>
        <v/>
      </c>
      <c r="O26" s="138">
        <f>IF(B26&lt;='VALOR POR PL'!$P$5,'CP RESUMO'!Y60,"")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HISTORICOS'!Z18)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75000</v>
      </c>
      <c r="L27" s="49">
        <f>C27/IF(B27&lt;='VALOR POR PL'!$P$5,IFERROR(INDEX('"INCC-FGV"'!$B$2:$B$800,MATCH(B27,'"INCC-FGV"'!$A$2:$A$800,0)),$K$2),$K$2)</f>
        <v/>
      </c>
      <c r="M27" s="138">
        <f>'CP RESUMO'!Z18</f>
        <v/>
      </c>
      <c r="N27" s="139">
        <f>MAX(0,M27-M26)</f>
        <v/>
      </c>
      <c r="O27" s="138">
        <f>IF(B27&lt;='VALOR POR PL'!$P$5,'CP RESUMO'!Z60,"")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HISTORICOS'!AA18)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75000</v>
      </c>
      <c r="L28" s="49">
        <f>C28/IF(B28&lt;='VALOR POR PL'!$P$5,IFERROR(INDEX('"INCC-FGV"'!$B$2:$B$800,MATCH(B28,'"INCC-FGV"'!$A$2:$A$800,0)),$K$2),$K$2)</f>
        <v/>
      </c>
      <c r="M28" s="138">
        <f>'CP RESUMO'!AA18</f>
        <v/>
      </c>
      <c r="N28" s="139">
        <f>MAX(0,M28-M27)</f>
        <v/>
      </c>
      <c r="O28" s="138">
        <f>IF(B28&lt;='VALOR POR PL'!$P$5,'CP RESUMO'!AA60,"")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HISTORICOS'!AB18)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RESUMO'!AB18</f>
        <v/>
      </c>
      <c r="N29" s="139">
        <f>MAX(0,M29-M28)</f>
        <v/>
      </c>
      <c r="O29" s="138">
        <f>IF(B29&lt;='VALOR POR PL'!$P$5,'CP RESUMO'!AB60,"")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HISTORICOS'!AC18)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RESUMO'!AC18</f>
        <v/>
      </c>
      <c r="N30" s="139">
        <f>MAX(0,M30-M29)</f>
        <v/>
      </c>
      <c r="O30" s="138">
        <f>IF(B30&lt;='VALOR POR PL'!$P$5,'CP RESUMO'!AC60,"")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HISTORICOS'!AD18)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RESUMO'!AD18</f>
        <v/>
      </c>
      <c r="N31" s="139">
        <f>MAX(0,M31-M30)</f>
        <v/>
      </c>
      <c r="O31" s="138">
        <f>IF(B31&lt;='VALOR POR PL'!$P$5,'CP RESUMO'!AD60,"")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HISTORICOS'!AE18)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RESUMO'!AE18</f>
        <v/>
      </c>
      <c r="N32" s="139">
        <f>MAX(0,M32-M31)</f>
        <v/>
      </c>
      <c r="O32" s="138">
        <f>IF(B32&lt;='VALOR POR PL'!$P$5,'CP RESUMO'!AE60,"")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HISTORICOS'!AF18)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51741.15</v>
      </c>
      <c r="L33" s="49">
        <f>C33/IF(B33&lt;='VALOR POR PL'!$P$5,IFERROR(INDEX('"INCC-FGV"'!$B$2:$B$800,MATCH(B33,'"INCC-FGV"'!$A$2:$A$800,0)),$K$2),$K$2)</f>
        <v/>
      </c>
      <c r="M33" s="138">
        <f>'CP RESUMO'!AF18</f>
        <v/>
      </c>
      <c r="N33" s="139">
        <f>MAX(0,M33-M32)</f>
        <v/>
      </c>
      <c r="O33" s="138">
        <f>IF(B33&lt;='VALOR POR PL'!$P$5,'CP RESUMO'!AF60,"")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HISTORICOS'!AG18)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RESUMO'!AG18</f>
        <v/>
      </c>
      <c r="N34" s="139">
        <f>MAX(0,M34-M33)</f>
        <v/>
      </c>
      <c r="O34" s="138">
        <f>IF(B34&lt;='VALOR POR PL'!$P$5,'CP RESUMO'!AG60,"")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HISTORICOS'!AH18)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RESUMO'!AH18</f>
        <v/>
      </c>
      <c r="N35" s="139">
        <f>MAX(0,M35-M34)</f>
        <v/>
      </c>
      <c r="O35" s="138">
        <f>IF(B35&lt;='VALOR POR PL'!$P$5,'CP RESUMO'!AH60,"")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HISTORICOS'!AI18)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RESUMO'!AI18</f>
        <v/>
      </c>
      <c r="N36" s="139">
        <f>MAX(0,M36-M35)</f>
        <v/>
      </c>
      <c r="O36" s="138">
        <f>IF(B36&lt;='VALOR POR PL'!$P$5,'CP RESUMO'!AI60,"")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HISTORICOS'!AJ18)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RESUMO'!AJ18</f>
        <v/>
      </c>
      <c r="N37" s="139">
        <f>MAX(0,M37-M36)</f>
        <v/>
      </c>
      <c r="O37" s="138">
        <f>IF(B37&lt;='VALOR POR PL'!$P$5,'CP RESUMO'!AJ60,"")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HISTORICOS'!AK18)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RESUMO'!AK18</f>
        <v/>
      </c>
      <c r="N38" s="139">
        <f>MAX(0,M38-M37)</f>
        <v/>
      </c>
      <c r="O38" s="138">
        <f>IF(B38&lt;='VALOR POR PL'!$P$5,'CP RESUMO'!AK60,"")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HISTORICOS'!AL18)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RESUMO'!AL18</f>
        <v/>
      </c>
      <c r="N39" s="139">
        <f>MAX(0,M39-M38)</f>
        <v/>
      </c>
      <c r="O39" s="138">
        <f>IF(B39&lt;='VALOR POR PL'!$P$5,'CP RESUMO'!AL60,"")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HISTORICOS'!AM18)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RESUMO'!AM18</f>
        <v/>
      </c>
      <c r="N40" s="139">
        <f>MAX(0,M40-M39)</f>
        <v/>
      </c>
      <c r="O40" s="138">
        <f>IF(B40&lt;='VALOR POR PL'!$P$5,'CP RESUMO'!AM60,"")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HISTORICOS'!AN18)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RESUMO'!AN18</f>
        <v/>
      </c>
      <c r="N41" s="139">
        <f>MAX(0,M41-M40)</f>
        <v/>
      </c>
      <c r="O41" s="138">
        <f>IF(B41&lt;='VALOR POR PL'!$P$5,'CP RESUMO'!AN60,"")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HISTORICOS'!AO18)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RESUMO'!AO18</f>
        <v/>
      </c>
      <c r="N42" s="139">
        <f>MAX(0,M42-M41)</f>
        <v/>
      </c>
      <c r="O42" s="138">
        <f>IF(B42&lt;='VALOR POR PL'!$P$5,'CP RESUMO'!AO60,"")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HISTORICOS'!AP18)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RESUMO'!AP18</f>
        <v/>
      </c>
      <c r="N43" s="139">
        <f>MAX(0,M43-M42)</f>
        <v/>
      </c>
      <c r="O43" s="138">
        <f>IF(B43&lt;='VALOR POR PL'!$P$5,'CP RESUMO'!AP60,"")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HISTORICOS'!AQ18)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/>
      <c r="L44" s="49">
        <f>C44/IF(B44&lt;='VALOR POR PL'!$P$5,IFERROR(INDEX('"INCC-FGV"'!$B$2:$B$800,MATCH(B44,'"INCC-FGV"'!$A$2:$A$800,0)),$K$2),$K$2)</f>
        <v/>
      </c>
      <c r="M44" s="138">
        <f>'CP RESUMO'!AQ18</f>
        <v/>
      </c>
      <c r="N44" s="139">
        <f>MAX(0,M44-M43)</f>
        <v/>
      </c>
      <c r="O44" s="138">
        <f>IF(B44&lt;='VALOR POR PL'!$P$5,'CP RESUMO'!AQ60,"")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HISTORICOS'!AR18)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/>
      <c r="L45" s="49">
        <f>C45/IF(B45&lt;='VALOR POR PL'!$P$5,IFERROR(INDEX('"INCC-FGV"'!$B$2:$B$800,MATCH(B45,'"INCC-FGV"'!$A$2:$A$800,0)),$K$2),$K$2)</f>
        <v/>
      </c>
      <c r="M45" s="138">
        <f>'CP RESUMO'!AR18</f>
        <v/>
      </c>
      <c r="N45" s="139">
        <f>MAX(0,M45-M44)</f>
        <v/>
      </c>
      <c r="O45" s="138">
        <f>IF(B45&lt;='VALOR POR PL'!$P$5,'CP RESUMO'!AR60,"")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HISTORICOS'!AS18)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RESUMO'!AS18</f>
        <v/>
      </c>
      <c r="N46" s="139">
        <f>MAX(0,M46-M45)</f>
        <v/>
      </c>
      <c r="O46" s="138">
        <f>IF(B46&lt;='VALOR POR PL'!$P$5,'CP RESUMO'!AS60,"")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HISTORICOS'!AT18)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RESUMO'!AT18</f>
        <v/>
      </c>
      <c r="N47" s="139">
        <f>MAX(0,M47-M46)</f>
        <v/>
      </c>
      <c r="O47" s="138">
        <f>IF(B47&lt;='VALOR POR PL'!$P$5,'CP RESUMO'!AT60,"")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HISTORICOS'!AU18)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RESUMO'!AU18</f>
        <v/>
      </c>
      <c r="N48" s="139">
        <f>MAX(0,M48-M47)</f>
        <v/>
      </c>
      <c r="O48" s="138">
        <f>IF(B48&lt;='VALOR POR PL'!$P$5,'CP RESUMO'!AU60,"")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HISTORICOS'!AV18)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RESUMO'!AV18</f>
        <v/>
      </c>
      <c r="N49" s="139">
        <f>MAX(0,M49-M48)</f>
        <v/>
      </c>
      <c r="O49" s="138">
        <f>IF(B49&lt;='VALOR POR PL'!$P$5,'CP RESUMO'!AV60,"")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HISTORICOS'!AW18)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RESUMO'!AW18</f>
        <v/>
      </c>
      <c r="N50" s="139">
        <f>MAX(0,M50-M49)</f>
        <v/>
      </c>
      <c r="O50" s="138">
        <f>IF(B50&lt;='VALOR POR PL'!$P$5,'CP RESUMO'!AW60,"")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HISTORICOS'!AX18)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RESUMO'!AX18</f>
        <v/>
      </c>
      <c r="N51" s="139">
        <f>MAX(0,M51-M50)</f>
        <v/>
      </c>
      <c r="O51" s="138">
        <f>IF(B51&lt;='VALOR POR PL'!$P$5,'CP RESUMO'!AX60,"")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HISTORICOS'!AY18)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RESUMO'!AY18</f>
        <v/>
      </c>
      <c r="N52" s="139">
        <f>MAX(0,M52-M51)</f>
        <v/>
      </c>
      <c r="O52" s="138">
        <f>IF(B52&lt;='VALOR POR PL'!$P$5,'CP RESUMO'!AY60,"")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HISTORICOS'!AZ18)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RESUMO'!AZ18</f>
        <v/>
      </c>
      <c r="N53" s="139">
        <f>MAX(0,M53-M52)</f>
        <v/>
      </c>
      <c r="O53" s="138">
        <f>IF(B53&lt;='VALOR POR PL'!$P$5,'CP RESUMO'!AZ60,"")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HISTORICOS'!BA18)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RESUMO'!BA18</f>
        <v/>
      </c>
      <c r="N54" s="139">
        <f>MAX(0,M54-M53)</f>
        <v/>
      </c>
      <c r="O54" s="138">
        <f>IF(B54&lt;='VALOR POR PL'!$P$5,'CP RESUMO'!BA60,"")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HISTORICOS'!BB18)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RESUMO'!BB18</f>
        <v/>
      </c>
      <c r="N55" s="139">
        <f>MAX(0,M55-M54)</f>
        <v/>
      </c>
      <c r="O55" s="138">
        <f>IF(B55&lt;='VALOR POR PL'!$P$5,'CP RESUMO'!BB60,"")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HISTORICOS'!BC18)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RESUMO'!BC18</f>
        <v/>
      </c>
      <c r="N56" s="139">
        <f>MAX(0,M56-M55)</f>
        <v/>
      </c>
      <c r="O56" s="138">
        <f>IF(B56&lt;='VALOR POR PL'!$P$5,'CP RESUMO'!BC60,"")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HISTORICOS'!BD18)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RESUMO'!BD18</f>
        <v/>
      </c>
      <c r="N57" s="139">
        <f>MAX(0,M57-M56)</f>
        <v/>
      </c>
      <c r="O57" s="138">
        <f>IF(B57&lt;='VALOR POR PL'!$P$5,'CP RESUMO'!BD60,"")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HISTORICOS'!BE18)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RESUMO'!BE18</f>
        <v/>
      </c>
      <c r="N58" s="139">
        <f>MAX(0,M58-M57)</f>
        <v/>
      </c>
      <c r="O58" s="138">
        <f>IF(B58&lt;='VALOR POR PL'!$P$5,'CP RESUMO'!BE60,"")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HISTORICOS'!BF18)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RESUMO'!BF18</f>
        <v/>
      </c>
      <c r="N59" s="139">
        <f>MAX(0,M59-M58)</f>
        <v/>
      </c>
      <c r="O59" s="138">
        <f>IF(B59&lt;='VALOR POR PL'!$P$5,'CP RESUMO'!BF60,"")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HISTORICOS'!BG18)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RESUMO'!BG18</f>
        <v/>
      </c>
      <c r="N60" s="139">
        <f>MAX(0,M60-M59)</f>
        <v/>
      </c>
      <c r="O60" s="138">
        <f>IF(B60&lt;='VALOR POR PL'!$P$5,'CP RESUMO'!BG60,"")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HISTORICOS'!BH18)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RESUMO'!BH18</f>
        <v/>
      </c>
      <c r="N61" s="139">
        <f>MAX(0,M61-M60)</f>
        <v/>
      </c>
      <c r="O61" s="138">
        <f>IF(B61&lt;='VALOR POR PL'!$P$5,'CP RESUMO'!BH60,"")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HISTORICOS'!BI18)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RESUMO'!BI18</f>
        <v/>
      </c>
      <c r="N62" s="139">
        <f>MAX(0,M62-M61)</f>
        <v/>
      </c>
      <c r="O62" s="138">
        <f>IF(B62&lt;='VALOR POR PL'!$P$5,'CP RESUMO'!BI60,"")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HISTORICOS'!BJ18)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RESUMO'!BJ18</f>
        <v/>
      </c>
      <c r="N63" s="139">
        <f>MAX(0,M63-M62)</f>
        <v/>
      </c>
      <c r="O63" s="138">
        <f>IF(B63&lt;='VALOR POR PL'!$P$5,'CP RESUMO'!BJ60,"")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HISTORICOS'!BK18)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RESUMO'!BK18</f>
        <v/>
      </c>
      <c r="N64" s="139">
        <f>MAX(0,M64-M63)</f>
        <v/>
      </c>
      <c r="O64" s="138">
        <f>IF(B64&lt;='VALOR POR PL'!$P$5,'CP RESUMO'!BK60,"")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HISTORICOS'!BL18)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RESUMO'!BL18</f>
        <v/>
      </c>
      <c r="N65" s="139">
        <f>MAX(0,M65-M64)</f>
        <v/>
      </c>
      <c r="O65" s="138">
        <f>IF(B65&lt;='VALOR POR PL'!$P$5,'CP RESUMO'!BL60,"")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HISTORICOS'!BM18)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RESUMO'!BM18</f>
        <v/>
      </c>
      <c r="N66" s="139">
        <f>MAX(0,M66-M65)</f>
        <v/>
      </c>
      <c r="O66" s="138">
        <f>IF(B66&lt;='VALOR POR PL'!$P$5,'CP RESUMO'!BM60,"")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HISTORICOS'!BN18)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RESUMO'!BN18</f>
        <v/>
      </c>
      <c r="N67" s="139">
        <f>MAX(0,M67-M66)</f>
        <v/>
      </c>
      <c r="O67" s="138">
        <f>IF(B67&lt;='VALOR POR PL'!$P$5,'CP RESUMO'!BN60,"")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HISTORICOS'!BO18)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RESUMO'!BO18</f>
        <v/>
      </c>
      <c r="N68" s="139">
        <f>MAX(0,M68-M67)</f>
        <v/>
      </c>
      <c r="O68" s="138">
        <f>IF(B68&lt;='VALOR POR PL'!$P$5,'CP RESUMO'!BO60,"")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HISTORICOS'!BP18)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RESUMO'!BP18</f>
        <v/>
      </c>
      <c r="N69" s="139">
        <f>MAX(0,M69-M68)</f>
        <v/>
      </c>
      <c r="O69" s="138">
        <f>IF(B69&lt;='VALOR POR PL'!$P$5,'CP RESUMO'!BP60,"")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HISTORICOS'!BQ18)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RESUMO'!BQ18</f>
        <v/>
      </c>
      <c r="N70" s="139">
        <f>MAX(0,M70-M69)</f>
        <v/>
      </c>
      <c r="O70" s="138">
        <f>IF(B70&lt;='VALOR POR PL'!$P$5,'CP RESUMO'!BQ60,"")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HISTORICOS'!BR18)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RESUMO'!BR18</f>
        <v/>
      </c>
      <c r="N71" s="139">
        <f>MAX(0,M71-M70)</f>
        <v/>
      </c>
      <c r="O71" s="138">
        <f>IF(B71&lt;='VALOR POR PL'!$P$5,'CP RESUMO'!BR60,"")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HISTORICOS'!BS18)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RESUMO'!BS18</f>
        <v/>
      </c>
      <c r="N72" s="139">
        <f>MAX(0,M72-M71)</f>
        <v/>
      </c>
      <c r="O72" s="138">
        <f>IF(B72&lt;='VALOR POR PL'!$P$5,'CP RESUMO'!BS60,"")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HISTORICOS'!BT18)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RESUMO'!BT18</f>
        <v/>
      </c>
      <c r="N73" s="139">
        <f>MAX(0,M73-M72)</f>
        <v/>
      </c>
      <c r="O73" s="138">
        <f>IF(B73&lt;='VALOR POR PL'!$P$5,'CP RESUMO'!BT60,"")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HISTORICOS'!BU18)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RESUMO'!BU18</f>
        <v/>
      </c>
      <c r="N74" s="139">
        <f>MAX(0,M74-M73)</f>
        <v/>
      </c>
      <c r="O74" s="138">
        <f>IF(B74&lt;='VALOR POR PL'!$P$5,'CP RESUMO'!BU60,"")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HISTORICOS'!BV18)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RESUMO'!BV18</f>
        <v/>
      </c>
      <c r="N75" s="139">
        <f>MAX(0,M75-M74)</f>
        <v/>
      </c>
      <c r="O75" s="138">
        <f>IF(B75&lt;='VALOR POR PL'!$P$5,'CP RESUMO'!BV60,"")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HISTORICOS'!BW18)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RESUMO'!BW18</f>
        <v/>
      </c>
      <c r="N76" s="139">
        <f>MAX(0,M76-M75)</f>
        <v/>
      </c>
      <c r="O76" s="138">
        <f>IF(B76&lt;='VALOR POR PL'!$P$5,'CP RESUMO'!BW60,"")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PL'!D25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HISTORICOS'!D19)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PL'!F25</f>
        <v/>
      </c>
      <c r="K5" s="60">
        <f>'VALOR POR PL'!G25</f>
        <v/>
      </c>
      <c r="L5" s="60">
        <f>'DADOS HISTORICOS'!$BZ$19</f>
        <v/>
      </c>
      <c r="M5" s="138">
        <f>'CP RESUMO'!D19</f>
        <v/>
      </c>
      <c r="N5" s="139" t="n">
        <v>0</v>
      </c>
      <c r="O5" s="138">
        <f>IF(B5&lt;='VALOR POR PL'!$P$5,'CP RESUMO'!D61,"")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HISTORICOS'!E19)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PL'!H25</f>
        <v/>
      </c>
      <c r="L6" s="49">
        <f>C6/IF(B6&lt;='VALOR POR PL'!$P$5,IFERROR(INDEX('"INCC-FGV"'!$B$2:$B$800,MATCH(B6,'"INCC-FGV"'!$A$2:$A$800,0)),$K$2),$K$2)</f>
        <v/>
      </c>
      <c r="M6" s="138">
        <f>'CP RESUMO'!E19</f>
        <v/>
      </c>
      <c r="N6" s="139">
        <f>MAX(0,M6-M5)</f>
        <v/>
      </c>
      <c r="O6" s="138">
        <f>IF(B6&lt;='VALOR POR PL'!$P$5,'CP RESUMO'!E61,"")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HISTORICOS'!F19)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RESUMO'!F19</f>
        <v/>
      </c>
      <c r="N7" s="139">
        <f>MAX(0,M7-M6)</f>
        <v/>
      </c>
      <c r="O7" s="138">
        <f>IF(B7&lt;='VALOR POR PL'!$P$5,'CP RESUMO'!F61,"")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HISTORICOS'!G19)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RESUMO'!G19</f>
        <v/>
      </c>
      <c r="N8" s="139">
        <f>MAX(0,M8-M7)</f>
        <v/>
      </c>
      <c r="O8" s="138">
        <f>IF(B8&lt;='VALOR POR PL'!$P$5,'CP RESUMO'!G61,"")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HISTORICOS'!H19)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RESUMO'!H19</f>
        <v/>
      </c>
      <c r="N9" s="139">
        <f>MAX(0,M9-M8)</f>
        <v/>
      </c>
      <c r="O9" s="138">
        <f>IF(B9&lt;='VALOR POR PL'!$P$5,'CP RESUMO'!H61,"")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HISTORICOS'!I19)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RESUMO'!I19</f>
        <v/>
      </c>
      <c r="N10" s="139">
        <f>MAX(0,M10-M9)</f>
        <v/>
      </c>
      <c r="O10" s="138">
        <f>IF(B10&lt;='VALOR POR PL'!$P$5,'CP RESUMO'!I61,"")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HISTORICOS'!J19)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RESUMO'!J19</f>
        <v/>
      </c>
      <c r="N11" s="139">
        <f>MAX(0,M11-M10)</f>
        <v/>
      </c>
      <c r="O11" s="138">
        <f>IF(B11&lt;='VALOR POR PL'!$P$5,'CP RESUMO'!J61,"")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HISTORICOS'!K19)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RESUMO'!K19</f>
        <v/>
      </c>
      <c r="N12" s="139">
        <f>MAX(0,M12-M11)</f>
        <v/>
      </c>
      <c r="O12" s="138">
        <f>IF(B12&lt;='VALOR POR PL'!$P$5,'CP RESUMO'!K61,"")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HISTORICOS'!L19)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PL'!I25</f>
        <v/>
      </c>
      <c r="L13" s="49">
        <f>C13/IF(B13&lt;='VALOR POR PL'!$P$5,IFERROR(INDEX('"INCC-FGV"'!$B$2:$B$800,MATCH(B13,'"INCC-FGV"'!$A$2:$A$800,0)),$K$2),$K$2)</f>
        <v/>
      </c>
      <c r="M13" s="138">
        <f>'CP RESUMO'!L19</f>
        <v/>
      </c>
      <c r="N13" s="139">
        <f>MAX(0,M13-M12)</f>
        <v/>
      </c>
      <c r="O13" s="138">
        <f>IF(B13&lt;='VALOR POR PL'!$P$5,'CP RESUMO'!L61,"")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HISTORICOS'!M19)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RESUMO'!$D$61:$BW$61,MATCH('VALOR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RESUMO'!M19</f>
        <v/>
      </c>
      <c r="N14" s="139">
        <f>MAX(0,M14-M13)</f>
        <v/>
      </c>
      <c r="O14" s="138">
        <f>IF(B14&lt;='VALOR POR PL'!$P$5,'CP RESUMO'!M61,"")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HISTORICOS'!N19)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RESUMO'!N19</f>
        <v/>
      </c>
      <c r="N15" s="139">
        <f>MAX(0,M15-M14)</f>
        <v/>
      </c>
      <c r="O15" s="138">
        <f>IF(B15&lt;='VALOR POR PL'!$P$5,'CP RESUMO'!N61,"")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HISTORICOS'!O19)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RESUMO'!O19</f>
        <v/>
      </c>
      <c r="N16" s="139">
        <f>MAX(0,M16-M15)</f>
        <v/>
      </c>
      <c r="O16" s="138">
        <f>IF(B16&lt;='VALOR POR PL'!$P$5,'CP RESUMO'!O61,"")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HISTORICOS'!P19)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RESUMO'!P19</f>
        <v/>
      </c>
      <c r="N17" s="139">
        <f>MAX(0,M17-M16)</f>
        <v/>
      </c>
      <c r="O17" s="138">
        <f>IF(B17&lt;='VALOR POR PL'!$P$5,'CP RESUMO'!P61,"")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HISTORICOS'!Q19)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RESUMO'!Q19</f>
        <v/>
      </c>
      <c r="N18" s="139">
        <f>MAX(0,M18-M17)</f>
        <v/>
      </c>
      <c r="O18" s="138">
        <f>IF(B18&lt;='VALOR POR PL'!$P$5,'CP RESUMO'!Q61,"")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HISTORICOS'!R19)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RESUMO'!R19</f>
        <v/>
      </c>
      <c r="N19" s="139">
        <f>MAX(0,M19-M18)</f>
        <v/>
      </c>
      <c r="O19" s="138">
        <f>IF(B19&lt;='VALOR POR PL'!$P$5,'CP RESUMO'!R61,"")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HISTORICOS'!S19)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RESUMO'!S19</f>
        <v/>
      </c>
      <c r="N20" s="139">
        <f>MAX(0,M20-M19)</f>
        <v/>
      </c>
      <c r="O20" s="138">
        <f>IF(B20&lt;='VALOR POR PL'!$P$5,'CP RESUMO'!S61,"")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HISTORICOS'!T19)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RESUMO'!T19</f>
        <v/>
      </c>
      <c r="N21" s="139">
        <f>MAX(0,M21-M20)</f>
        <v/>
      </c>
      <c r="O21" s="138">
        <f>IF(B21&lt;='VALOR POR PL'!$P$5,'CP RESUMO'!T61,"")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HISTORICOS'!U19)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RESUMO'!U19</f>
        <v/>
      </c>
      <c r="N22" s="139">
        <f>MAX(0,M22-M21)</f>
        <v/>
      </c>
      <c r="O22" s="138">
        <f>IF(B22&lt;='VALOR POR PL'!$P$5,'CP RESUMO'!U61,"")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HISTORICOS'!V19)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RESUMO'!V19</f>
        <v/>
      </c>
      <c r="N23" s="139">
        <f>MAX(0,M23-M22)</f>
        <v/>
      </c>
      <c r="O23" s="138">
        <f>IF(B23&lt;='VALOR POR PL'!$P$5,'CP RESUMO'!V61,"")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HISTORICOS'!W19)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RESUMO'!W19</f>
        <v/>
      </c>
      <c r="N24" s="139">
        <f>MAX(0,M24-M23)</f>
        <v/>
      </c>
      <c r="O24" s="138">
        <f>IF(B24&lt;='VALOR POR PL'!$P$5,'CP RESUMO'!W61,"")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HISTORICOS'!X19)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RESUMO'!X19</f>
        <v/>
      </c>
      <c r="N25" s="139">
        <f>MAX(0,M25-M24)</f>
        <v/>
      </c>
      <c r="O25" s="138">
        <f>IF(B25&lt;='VALOR POR PL'!$P$5,'CP RESUMO'!X61,"")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HISTORICOS'!Y19)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RESUMO'!Y19</f>
        <v/>
      </c>
      <c r="N26" s="139">
        <f>MAX(0,M26-M25)</f>
        <v/>
      </c>
      <c r="O26" s="138">
        <f>IF(B26&lt;='VALOR POR PL'!$P$5,'CP RESUMO'!Y61,"")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HISTORICOS'!Z19)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RESUMO'!Z19</f>
        <v/>
      </c>
      <c r="N27" s="139">
        <f>MAX(0,M27-M26)</f>
        <v/>
      </c>
      <c r="O27" s="138">
        <f>IF(B27&lt;='VALOR POR PL'!$P$5,'CP RESUMO'!Z61,"")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HISTORICOS'!AA19)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RESUMO'!AA19</f>
        <v/>
      </c>
      <c r="N28" s="139">
        <f>MAX(0,M28-M27)</f>
        <v/>
      </c>
      <c r="O28" s="138">
        <f>IF(B28&lt;='VALOR POR PL'!$P$5,'CP RESUMO'!AA61,"")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HISTORICOS'!AB19)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RESUMO'!AB19</f>
        <v/>
      </c>
      <c r="N29" s="139">
        <f>MAX(0,M29-M28)</f>
        <v/>
      </c>
      <c r="O29" s="138">
        <f>IF(B29&lt;='VALOR POR PL'!$P$5,'CP RESUMO'!AB61,"")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HISTORICOS'!AC19)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RESUMO'!AC19</f>
        <v/>
      </c>
      <c r="N30" s="139">
        <f>MAX(0,M30-M29)</f>
        <v/>
      </c>
      <c r="O30" s="138">
        <f>IF(B30&lt;='VALOR POR PL'!$P$5,'CP RESUMO'!AC61,"")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HISTORICOS'!AD19)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RESUMO'!AD19</f>
        <v/>
      </c>
      <c r="N31" s="139">
        <f>MAX(0,M31-M30)</f>
        <v/>
      </c>
      <c r="O31" s="138">
        <f>IF(B31&lt;='VALOR POR PL'!$P$5,'CP RESUMO'!AD61,"")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HISTORICOS'!AE19)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RESUMO'!AE19</f>
        <v/>
      </c>
      <c r="N32" s="139">
        <f>MAX(0,M32-M31)</f>
        <v/>
      </c>
      <c r="O32" s="138">
        <f>IF(B32&lt;='VALOR POR PL'!$P$5,'CP RESUMO'!AE61,"")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HISTORICOS'!AF19)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RESUMO'!AF19</f>
        <v/>
      </c>
      <c r="N33" s="139">
        <f>MAX(0,M33-M32)</f>
        <v/>
      </c>
      <c r="O33" s="138">
        <f>IF(B33&lt;='VALOR POR PL'!$P$5,'CP RESUMO'!AF61,"")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HISTORICOS'!AG19)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RESUMO'!AG19</f>
        <v/>
      </c>
      <c r="N34" s="139">
        <f>MAX(0,M34-M33)</f>
        <v/>
      </c>
      <c r="O34" s="138">
        <f>IF(B34&lt;='VALOR POR PL'!$P$5,'CP RESUMO'!AG61,"")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HISTORICOS'!AH19)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RESUMO'!AH19</f>
        <v/>
      </c>
      <c r="N35" s="139">
        <f>MAX(0,M35-M34)</f>
        <v/>
      </c>
      <c r="O35" s="138">
        <f>IF(B35&lt;='VALOR POR PL'!$P$5,'CP RESUMO'!AH61,"")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HISTORICOS'!AI19)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RESUMO'!AI19</f>
        <v/>
      </c>
      <c r="N36" s="139">
        <f>MAX(0,M36-M35)</f>
        <v/>
      </c>
      <c r="O36" s="138">
        <f>IF(B36&lt;='VALOR POR PL'!$P$5,'CP RESUMO'!AI61,"")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HISTORICOS'!AJ19)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RESUMO'!AJ19</f>
        <v/>
      </c>
      <c r="N37" s="139">
        <f>MAX(0,M37-M36)</f>
        <v/>
      </c>
      <c r="O37" s="138">
        <f>IF(B37&lt;='VALOR POR PL'!$P$5,'CP RESUMO'!AJ61,"")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HISTORICOS'!AK19)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RESUMO'!AK19</f>
        <v/>
      </c>
      <c r="N38" s="139">
        <f>MAX(0,M38-M37)</f>
        <v/>
      </c>
      <c r="O38" s="138">
        <f>IF(B38&lt;='VALOR POR PL'!$P$5,'CP RESUMO'!AK61,"")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HISTORICOS'!AL19)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RESUMO'!AL19</f>
        <v/>
      </c>
      <c r="N39" s="139">
        <f>MAX(0,M39-M38)</f>
        <v/>
      </c>
      <c r="O39" s="138">
        <f>IF(B39&lt;='VALOR POR PL'!$P$5,'CP RESUMO'!AL61,"")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HISTORICOS'!AM19)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RESUMO'!AM19</f>
        <v/>
      </c>
      <c r="N40" s="139">
        <f>MAX(0,M40-M39)</f>
        <v/>
      </c>
      <c r="O40" s="138">
        <f>IF(B40&lt;='VALOR POR PL'!$P$5,'CP RESUMO'!AM61,"")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HISTORICOS'!AN19)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RESUMO'!AN19</f>
        <v/>
      </c>
      <c r="N41" s="139">
        <f>MAX(0,M41-M40)</f>
        <v/>
      </c>
      <c r="O41" s="138">
        <f>IF(B41&lt;='VALOR POR PL'!$P$5,'CP RESUMO'!AN61,"")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HISTORICOS'!AO19)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RESUMO'!AO19</f>
        <v/>
      </c>
      <c r="N42" s="139">
        <f>MAX(0,M42-M41)</f>
        <v/>
      </c>
      <c r="O42" s="138">
        <f>IF(B42&lt;='VALOR POR PL'!$P$5,'CP RESUMO'!AO61,"")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HISTORICOS'!AP19)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RESUMO'!AP19</f>
        <v/>
      </c>
      <c r="N43" s="139">
        <f>MAX(0,M43-M42)</f>
        <v/>
      </c>
      <c r="O43" s="138">
        <f>IF(B43&lt;='VALOR POR PL'!$P$5,'CP RESUMO'!AP61,"")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HISTORICOS'!AQ19)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/>
      <c r="L44" s="49">
        <f>C44/IF(B44&lt;='VALOR POR PL'!$P$5,IFERROR(INDEX('"INCC-FGV"'!$B$2:$B$800,MATCH(B44,'"INCC-FGV"'!$A$2:$A$800,0)),$K$2),$K$2)</f>
        <v/>
      </c>
      <c r="M44" s="138">
        <f>'CP RESUMO'!AQ19</f>
        <v/>
      </c>
      <c r="N44" s="139">
        <f>MAX(0,M44-M43)</f>
        <v/>
      </c>
      <c r="O44" s="138">
        <f>IF(B44&lt;='VALOR POR PL'!$P$5,'CP RESUMO'!AQ61,"")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HISTORICOS'!AR19)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/>
      <c r="L45" s="49">
        <f>C45/IF(B45&lt;='VALOR POR PL'!$P$5,IFERROR(INDEX('"INCC-FGV"'!$B$2:$B$800,MATCH(B45,'"INCC-FGV"'!$A$2:$A$800,0)),$K$2),$K$2)</f>
        <v/>
      </c>
      <c r="M45" s="138">
        <f>'CP RESUMO'!AR19</f>
        <v/>
      </c>
      <c r="N45" s="139">
        <f>MAX(0,M45-M44)</f>
        <v/>
      </c>
      <c r="O45" s="138">
        <f>IF(B45&lt;='VALOR POR PL'!$P$5,'CP RESUMO'!AR61,"")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HISTORICOS'!AS19)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RESUMO'!AS19</f>
        <v/>
      </c>
      <c r="N46" s="139">
        <f>MAX(0,M46-M45)</f>
        <v/>
      </c>
      <c r="O46" s="138">
        <f>IF(B46&lt;='VALOR POR PL'!$P$5,'CP RESUMO'!AS61,"")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HISTORICOS'!AT19)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RESUMO'!AT19</f>
        <v/>
      </c>
      <c r="N47" s="139">
        <f>MAX(0,M47-M46)</f>
        <v/>
      </c>
      <c r="O47" s="138">
        <f>IF(B47&lt;='VALOR POR PL'!$P$5,'CP RESUMO'!AT61,"")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HISTORICOS'!AU19)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RESUMO'!AU19</f>
        <v/>
      </c>
      <c r="N48" s="139">
        <f>MAX(0,M48-M47)</f>
        <v/>
      </c>
      <c r="O48" s="138">
        <f>IF(B48&lt;='VALOR POR PL'!$P$5,'CP RESUMO'!AU61,"")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HISTORICOS'!AV19)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RESUMO'!AV19</f>
        <v/>
      </c>
      <c r="N49" s="139">
        <f>MAX(0,M49-M48)</f>
        <v/>
      </c>
      <c r="O49" s="138">
        <f>IF(B49&lt;='VALOR POR PL'!$P$5,'CP RESUMO'!AV61,"")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HISTORICOS'!AW19)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RESUMO'!AW19</f>
        <v/>
      </c>
      <c r="N50" s="139">
        <f>MAX(0,M50-M49)</f>
        <v/>
      </c>
      <c r="O50" s="138">
        <f>IF(B50&lt;='VALOR POR PL'!$P$5,'CP RESUMO'!AW61,"")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HISTORICOS'!AX19)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RESUMO'!AX19</f>
        <v/>
      </c>
      <c r="N51" s="139">
        <f>MAX(0,M51-M50)</f>
        <v/>
      </c>
      <c r="O51" s="138">
        <f>IF(B51&lt;='VALOR POR PL'!$P$5,'CP RESUMO'!AX61,"")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HISTORICOS'!AY19)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RESUMO'!AY19</f>
        <v/>
      </c>
      <c r="N52" s="139">
        <f>MAX(0,M52-M51)</f>
        <v/>
      </c>
      <c r="O52" s="138">
        <f>IF(B52&lt;='VALOR POR PL'!$P$5,'CP RESUMO'!AY61,"")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HISTORICOS'!AZ19)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RESUMO'!AZ19</f>
        <v/>
      </c>
      <c r="N53" s="139">
        <f>MAX(0,M53-M52)</f>
        <v/>
      </c>
      <c r="O53" s="138">
        <f>IF(B53&lt;='VALOR POR PL'!$P$5,'CP RESUMO'!AZ61,"")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HISTORICOS'!BA19)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RESUMO'!BA19</f>
        <v/>
      </c>
      <c r="N54" s="139">
        <f>MAX(0,M54-M53)</f>
        <v/>
      </c>
      <c r="O54" s="138">
        <f>IF(B54&lt;='VALOR POR PL'!$P$5,'CP RESUMO'!BA61,"")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HISTORICOS'!BB19)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RESUMO'!BB19</f>
        <v/>
      </c>
      <c r="N55" s="139">
        <f>MAX(0,M55-M54)</f>
        <v/>
      </c>
      <c r="O55" s="138">
        <f>IF(B55&lt;='VALOR POR PL'!$P$5,'CP RESUMO'!BB61,"")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HISTORICOS'!BC19)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RESUMO'!BC19</f>
        <v/>
      </c>
      <c r="N56" s="139">
        <f>MAX(0,M56-M55)</f>
        <v/>
      </c>
      <c r="O56" s="138">
        <f>IF(B56&lt;='VALOR POR PL'!$P$5,'CP RESUMO'!BC61,"")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HISTORICOS'!BD19)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RESUMO'!BD19</f>
        <v/>
      </c>
      <c r="N57" s="139">
        <f>MAX(0,M57-M56)</f>
        <v/>
      </c>
      <c r="O57" s="138">
        <f>IF(B57&lt;='VALOR POR PL'!$P$5,'CP RESUMO'!BD61,"")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HISTORICOS'!BE19)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RESUMO'!BE19</f>
        <v/>
      </c>
      <c r="N58" s="139">
        <f>MAX(0,M58-M57)</f>
        <v/>
      </c>
      <c r="O58" s="138">
        <f>IF(B58&lt;='VALOR POR PL'!$P$5,'CP RESUMO'!BE61,"")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HISTORICOS'!BF19)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RESUMO'!BF19</f>
        <v/>
      </c>
      <c r="N59" s="139">
        <f>MAX(0,M59-M58)</f>
        <v/>
      </c>
      <c r="O59" s="138">
        <f>IF(B59&lt;='VALOR POR PL'!$P$5,'CP RESUMO'!BF61,"")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HISTORICOS'!BG19)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RESUMO'!BG19</f>
        <v/>
      </c>
      <c r="N60" s="139">
        <f>MAX(0,M60-M59)</f>
        <v/>
      </c>
      <c r="O60" s="138">
        <f>IF(B60&lt;='VALOR POR PL'!$P$5,'CP RESUMO'!BG61,"")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HISTORICOS'!BH19)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RESUMO'!BH19</f>
        <v/>
      </c>
      <c r="N61" s="139">
        <f>MAX(0,M61-M60)</f>
        <v/>
      </c>
      <c r="O61" s="138">
        <f>IF(B61&lt;='VALOR POR PL'!$P$5,'CP RESUMO'!BH61,"")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HISTORICOS'!BI19)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RESUMO'!BI19</f>
        <v/>
      </c>
      <c r="N62" s="139">
        <f>MAX(0,M62-M61)</f>
        <v/>
      </c>
      <c r="O62" s="138">
        <f>IF(B62&lt;='VALOR POR PL'!$P$5,'CP RESUMO'!BI61,"")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HISTORICOS'!BJ19)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RESUMO'!BJ19</f>
        <v/>
      </c>
      <c r="N63" s="139">
        <f>MAX(0,M63-M62)</f>
        <v/>
      </c>
      <c r="O63" s="138">
        <f>IF(B63&lt;='VALOR POR PL'!$P$5,'CP RESUMO'!BJ61,"")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HISTORICOS'!BK19)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RESUMO'!BK19</f>
        <v/>
      </c>
      <c r="N64" s="139">
        <f>MAX(0,M64-M63)</f>
        <v/>
      </c>
      <c r="O64" s="138">
        <f>IF(B64&lt;='VALOR POR PL'!$P$5,'CP RESUMO'!BK61,"")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HISTORICOS'!BL19)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RESUMO'!BL19</f>
        <v/>
      </c>
      <c r="N65" s="139">
        <f>MAX(0,M65-M64)</f>
        <v/>
      </c>
      <c r="O65" s="138">
        <f>IF(B65&lt;='VALOR POR PL'!$P$5,'CP RESUMO'!BL61,"")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HISTORICOS'!BM19)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RESUMO'!BM19</f>
        <v/>
      </c>
      <c r="N66" s="139">
        <f>MAX(0,M66-M65)</f>
        <v/>
      </c>
      <c r="O66" s="138">
        <f>IF(B66&lt;='VALOR POR PL'!$P$5,'CP RESUMO'!BM61,"")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HISTORICOS'!BN19)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RESUMO'!BN19</f>
        <v/>
      </c>
      <c r="N67" s="139">
        <f>MAX(0,M67-M66)</f>
        <v/>
      </c>
      <c r="O67" s="138">
        <f>IF(B67&lt;='VALOR POR PL'!$P$5,'CP RESUMO'!BN61,"")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HISTORICOS'!BO19)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RESUMO'!BO19</f>
        <v/>
      </c>
      <c r="N68" s="139">
        <f>MAX(0,M68-M67)</f>
        <v/>
      </c>
      <c r="O68" s="138">
        <f>IF(B68&lt;='VALOR POR PL'!$P$5,'CP RESUMO'!BO61,"")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HISTORICOS'!BP19)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RESUMO'!BP19</f>
        <v/>
      </c>
      <c r="N69" s="139">
        <f>MAX(0,M69-M68)</f>
        <v/>
      </c>
      <c r="O69" s="138">
        <f>IF(B69&lt;='VALOR POR PL'!$P$5,'CP RESUMO'!BP61,"")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HISTORICOS'!BQ19)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RESUMO'!BQ19</f>
        <v/>
      </c>
      <c r="N70" s="139">
        <f>MAX(0,M70-M69)</f>
        <v/>
      </c>
      <c r="O70" s="138">
        <f>IF(B70&lt;='VALOR POR PL'!$P$5,'CP RESUMO'!BQ61,"")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HISTORICOS'!BR19)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RESUMO'!BR19</f>
        <v/>
      </c>
      <c r="N71" s="139">
        <f>MAX(0,M71-M70)</f>
        <v/>
      </c>
      <c r="O71" s="138">
        <f>IF(B71&lt;='VALOR POR PL'!$P$5,'CP RESUMO'!BR61,"")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HISTORICOS'!BS19)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RESUMO'!BS19</f>
        <v/>
      </c>
      <c r="N72" s="139">
        <f>MAX(0,M72-M71)</f>
        <v/>
      </c>
      <c r="O72" s="138">
        <f>IF(B72&lt;='VALOR POR PL'!$P$5,'CP RESUMO'!BS61,"")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HISTORICOS'!BT19)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RESUMO'!BT19</f>
        <v/>
      </c>
      <c r="N73" s="139">
        <f>MAX(0,M73-M72)</f>
        <v/>
      </c>
      <c r="O73" s="138">
        <f>IF(B73&lt;='VALOR POR PL'!$P$5,'CP RESUMO'!BT61,"")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HISTORICOS'!BU19)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RESUMO'!BU19</f>
        <v/>
      </c>
      <c r="N74" s="139">
        <f>MAX(0,M74-M73)</f>
        <v/>
      </c>
      <c r="O74" s="138">
        <f>IF(B74&lt;='VALOR POR PL'!$P$5,'CP RESUMO'!BU61,"")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HISTORICOS'!BV19)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RESUMO'!BV19</f>
        <v/>
      </c>
      <c r="N75" s="139">
        <f>MAX(0,M75-M74)</f>
        <v/>
      </c>
      <c r="O75" s="138">
        <f>IF(B75&lt;='VALOR POR PL'!$P$5,'CP RESUMO'!BV61,"")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HISTORICOS'!BW19)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RESUMO'!BW19</f>
        <v/>
      </c>
      <c r="N76" s="139">
        <f>MAX(0,M76-M75)</f>
        <v/>
      </c>
      <c r="O76" s="138">
        <f>IF(B76&lt;='VALOR POR PL'!$P$5,'CP RESUMO'!BW61,"")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PL'!D26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HISTORICOS'!D20)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PL'!F26</f>
        <v/>
      </c>
      <c r="K5" s="60">
        <f>'VALOR POR PL'!G26</f>
        <v/>
      </c>
      <c r="L5" s="60">
        <f>'DADOS HISTORICOS'!$BZ$20</f>
        <v/>
      </c>
      <c r="M5" s="138">
        <f>'CP RESUMO'!D20</f>
        <v/>
      </c>
      <c r="N5" s="139" t="n">
        <v>0</v>
      </c>
      <c r="O5" s="138">
        <f>IF(B5&lt;='VALOR POR PL'!$P$5,'CP RESUMO'!D62,"")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HISTORICOS'!E20)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PL'!H26</f>
        <v/>
      </c>
      <c r="L6" s="49">
        <f>C6/IF(B6&lt;='VALOR POR PL'!$P$5,IFERROR(INDEX('"INCC-FGV"'!$B$2:$B$800,MATCH(B6,'"INCC-FGV"'!$A$2:$A$800,0)),$K$2),$K$2)</f>
        <v/>
      </c>
      <c r="M6" s="138">
        <f>'CP RESUMO'!E20</f>
        <v/>
      </c>
      <c r="N6" s="139">
        <f>MAX(0,M6-M5)</f>
        <v/>
      </c>
      <c r="O6" s="138">
        <f>IF(B6&lt;='VALOR POR PL'!$P$5,'CP RESUMO'!E62,"")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HISTORICOS'!F20)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RESUMO'!F20</f>
        <v/>
      </c>
      <c r="N7" s="139">
        <f>MAX(0,M7-M6)</f>
        <v/>
      </c>
      <c r="O7" s="138">
        <f>IF(B7&lt;='VALOR POR PL'!$P$5,'CP RESUMO'!F62,"")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HISTORICOS'!G20)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RESUMO'!G20</f>
        <v/>
      </c>
      <c r="N8" s="139">
        <f>MAX(0,M8-M7)</f>
        <v/>
      </c>
      <c r="O8" s="138">
        <f>IF(B8&lt;='VALOR POR PL'!$P$5,'CP RESUMO'!G62,"")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HISTORICOS'!H20)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RESUMO'!H20</f>
        <v/>
      </c>
      <c r="N9" s="139">
        <f>MAX(0,M9-M8)</f>
        <v/>
      </c>
      <c r="O9" s="138">
        <f>IF(B9&lt;='VALOR POR PL'!$P$5,'CP RESUMO'!H62,"")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HISTORICOS'!I20)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RESUMO'!I20</f>
        <v/>
      </c>
      <c r="N10" s="139">
        <f>MAX(0,M10-M9)</f>
        <v/>
      </c>
      <c r="O10" s="138">
        <f>IF(B10&lt;='VALOR POR PL'!$P$5,'CP RESUMO'!I62,"")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HISTORICOS'!J20)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RESUMO'!J20</f>
        <v/>
      </c>
      <c r="N11" s="139">
        <f>MAX(0,M11-M10)</f>
        <v/>
      </c>
      <c r="O11" s="138">
        <f>IF(B11&lt;='VALOR POR PL'!$P$5,'CP RESUMO'!J62,"")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HISTORICOS'!K20)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RESUMO'!K20</f>
        <v/>
      </c>
      <c r="N12" s="139">
        <f>MAX(0,M12-M11)</f>
        <v/>
      </c>
      <c r="O12" s="138">
        <f>IF(B12&lt;='VALOR POR PL'!$P$5,'CP RESUMO'!K62,"")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HISTORICOS'!L20)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PL'!I26</f>
        <v/>
      </c>
      <c r="L13" s="49">
        <f>C13/IF(B13&lt;='VALOR POR PL'!$P$5,IFERROR(INDEX('"INCC-FGV"'!$B$2:$B$800,MATCH(B13,'"INCC-FGV"'!$A$2:$A$800,0)),$K$2),$K$2)</f>
        <v/>
      </c>
      <c r="M13" s="138">
        <f>'CP RESUMO'!L20</f>
        <v/>
      </c>
      <c r="N13" s="139">
        <f>MAX(0,M13-M12)</f>
        <v/>
      </c>
      <c r="O13" s="138">
        <f>IF(B13&lt;='VALOR POR PL'!$P$5,'CP RESUMO'!L62,"")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HISTORICOS'!M20)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RESUMO'!$D$62:$BW$62,MATCH('VALOR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RESUMO'!M20</f>
        <v/>
      </c>
      <c r="N14" s="139">
        <f>MAX(0,M14-M13)</f>
        <v/>
      </c>
      <c r="O14" s="138">
        <f>IF(B14&lt;='VALOR POR PL'!$P$5,'CP RESUMO'!M62,"")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HISTORICOS'!N20)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RESUMO'!N20</f>
        <v/>
      </c>
      <c r="N15" s="139">
        <f>MAX(0,M15-M14)</f>
        <v/>
      </c>
      <c r="O15" s="138">
        <f>IF(B15&lt;='VALOR POR PL'!$P$5,'CP RESUMO'!N62,"")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HISTORICOS'!O20)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RESUMO'!O20</f>
        <v/>
      </c>
      <c r="N16" s="139">
        <f>MAX(0,M16-M15)</f>
        <v/>
      </c>
      <c r="O16" s="138">
        <f>IF(B16&lt;='VALOR POR PL'!$P$5,'CP RESUMO'!O62,"")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HISTORICOS'!P20)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RESUMO'!P20</f>
        <v/>
      </c>
      <c r="N17" s="139">
        <f>MAX(0,M17-M16)</f>
        <v/>
      </c>
      <c r="O17" s="138">
        <f>IF(B17&lt;='VALOR POR PL'!$P$5,'CP RESUMO'!P62,"")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HISTORICOS'!Q20)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RESUMO'!Q20</f>
        <v/>
      </c>
      <c r="N18" s="139">
        <f>MAX(0,M18-M17)</f>
        <v/>
      </c>
      <c r="O18" s="138">
        <f>IF(B18&lt;='VALOR POR PL'!$P$5,'CP RESUMO'!Q62,"")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HISTORICOS'!R20)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RESUMO'!R20</f>
        <v/>
      </c>
      <c r="N19" s="139">
        <f>MAX(0,M19-M18)</f>
        <v/>
      </c>
      <c r="O19" s="138">
        <f>IF(B19&lt;='VALOR POR PL'!$P$5,'CP RESUMO'!R62,"")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HISTORICOS'!S20)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RESUMO'!S20</f>
        <v/>
      </c>
      <c r="N20" s="139">
        <f>MAX(0,M20-M19)</f>
        <v/>
      </c>
      <c r="O20" s="138">
        <f>IF(B20&lt;='VALOR POR PL'!$P$5,'CP RESUMO'!S62,"")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HISTORICOS'!T20)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RESUMO'!T20</f>
        <v/>
      </c>
      <c r="N21" s="139">
        <f>MAX(0,M21-M20)</f>
        <v/>
      </c>
      <c r="O21" s="138">
        <f>IF(B21&lt;='VALOR POR PL'!$P$5,'CP RESUMO'!T62,"")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HISTORICOS'!U20)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RESUMO'!U20</f>
        <v/>
      </c>
      <c r="N22" s="139">
        <f>MAX(0,M22-M21)</f>
        <v/>
      </c>
      <c r="O22" s="138">
        <f>IF(B22&lt;='VALOR POR PL'!$P$5,'CP RESUMO'!U62,"")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HISTORICOS'!V20)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RESUMO'!V20</f>
        <v/>
      </c>
      <c r="N23" s="139">
        <f>MAX(0,M23-M22)</f>
        <v/>
      </c>
      <c r="O23" s="138">
        <f>IF(B23&lt;='VALOR POR PL'!$P$5,'CP RESUMO'!V62,"")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HISTORICOS'!W20)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RESUMO'!W20</f>
        <v/>
      </c>
      <c r="N24" s="139">
        <f>MAX(0,M24-M23)</f>
        <v/>
      </c>
      <c r="O24" s="138">
        <f>IF(B24&lt;='VALOR POR PL'!$P$5,'CP RESUMO'!W62,"")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HISTORICOS'!X20)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RESUMO'!X20</f>
        <v/>
      </c>
      <c r="N25" s="139">
        <f>MAX(0,M25-M24)</f>
        <v/>
      </c>
      <c r="O25" s="138">
        <f>IF(B25&lt;='VALOR POR PL'!$P$5,'CP RESUMO'!X62,"")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HISTORICOS'!Y20)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RESUMO'!Y20</f>
        <v/>
      </c>
      <c r="N26" s="139">
        <f>MAX(0,M26-M25)</f>
        <v/>
      </c>
      <c r="O26" s="138">
        <f>IF(B26&lt;='VALOR POR PL'!$P$5,'CP RESUMO'!Y62,"")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HISTORICOS'!Z20)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50000</v>
      </c>
      <c r="L27" s="49">
        <f>C27/IF(B27&lt;='VALOR POR PL'!$P$5,IFERROR(INDEX('"INCC-FGV"'!$B$2:$B$800,MATCH(B27,'"INCC-FGV"'!$A$2:$A$800,0)),$K$2),$K$2)</f>
        <v/>
      </c>
      <c r="M27" s="138">
        <f>'CP RESUMO'!Z20</f>
        <v/>
      </c>
      <c r="N27" s="139">
        <f>MAX(0,M27-M26)</f>
        <v/>
      </c>
      <c r="O27" s="138">
        <f>IF(B27&lt;='VALOR POR PL'!$P$5,'CP RESUMO'!Z62,"")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HISTORICOS'!AA20)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50000</v>
      </c>
      <c r="L28" s="49">
        <f>C28/IF(B28&lt;='VALOR POR PL'!$P$5,IFERROR(INDEX('"INCC-FGV"'!$B$2:$B$800,MATCH(B28,'"INCC-FGV"'!$A$2:$A$800,0)),$K$2),$K$2)</f>
        <v/>
      </c>
      <c r="M28" s="138">
        <f>'CP RESUMO'!AA20</f>
        <v/>
      </c>
      <c r="N28" s="139">
        <f>MAX(0,M28-M27)</f>
        <v/>
      </c>
      <c r="O28" s="138">
        <f>IF(B28&lt;='VALOR POR PL'!$P$5,'CP RESUMO'!AA62,"")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HISTORICOS'!AB20)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RESUMO'!AB20</f>
        <v/>
      </c>
      <c r="N29" s="139">
        <f>MAX(0,M29-M28)</f>
        <v/>
      </c>
      <c r="O29" s="138">
        <f>IF(B29&lt;='VALOR POR PL'!$P$5,'CP RESUMO'!AB62,"")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HISTORICOS'!AC20)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RESUMO'!AC20</f>
        <v/>
      </c>
      <c r="N30" s="139">
        <f>MAX(0,M30-M29)</f>
        <v/>
      </c>
      <c r="O30" s="138">
        <f>IF(B30&lt;='VALOR POR PL'!$P$5,'CP RESUMO'!AC62,"")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HISTORICOS'!AD20)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RESUMO'!AD20</f>
        <v/>
      </c>
      <c r="N31" s="139">
        <f>MAX(0,M31-M30)</f>
        <v/>
      </c>
      <c r="O31" s="138">
        <f>IF(B31&lt;='VALOR POR PL'!$P$5,'CP RESUMO'!AD62,"")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HISTORICOS'!AE20)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RESUMO'!AE20</f>
        <v/>
      </c>
      <c r="N32" s="139">
        <f>MAX(0,M32-M31)</f>
        <v/>
      </c>
      <c r="O32" s="138">
        <f>IF(B32&lt;='VALOR POR PL'!$P$5,'CP RESUMO'!AE62,"")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HISTORICOS'!AF20)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250000</v>
      </c>
      <c r="L33" s="49">
        <f>C33/IF(B33&lt;='VALOR POR PL'!$P$5,IFERROR(INDEX('"INCC-FGV"'!$B$2:$B$800,MATCH(B33,'"INCC-FGV"'!$A$2:$A$800,0)),$K$2),$K$2)</f>
        <v/>
      </c>
      <c r="M33" s="138">
        <f>'CP RESUMO'!AF20</f>
        <v/>
      </c>
      <c r="N33" s="139">
        <f>MAX(0,M33-M32)</f>
        <v/>
      </c>
      <c r="O33" s="138">
        <f>IF(B33&lt;='VALOR POR PL'!$P$5,'CP RESUMO'!AF62,"")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HISTORICOS'!AG20)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250000</v>
      </c>
      <c r="L34" s="49">
        <f>C34/IF(B34&lt;='VALOR POR PL'!$P$5,IFERROR(INDEX('"INCC-FGV"'!$B$2:$B$800,MATCH(B34,'"INCC-FGV"'!$A$2:$A$800,0)),$K$2),$K$2)</f>
        <v/>
      </c>
      <c r="M34" s="138">
        <f>'CP RESUMO'!AG20</f>
        <v/>
      </c>
      <c r="N34" s="139">
        <f>MAX(0,M34-M33)</f>
        <v/>
      </c>
      <c r="O34" s="138">
        <f>IF(B34&lt;='VALOR POR PL'!$P$5,'CP RESUMO'!AG62,"")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HISTORICOS'!AH20)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200000</v>
      </c>
      <c r="L35" s="49">
        <f>C35/IF(B35&lt;='VALOR POR PL'!$P$5,IFERROR(INDEX('"INCC-FGV"'!$B$2:$B$800,MATCH(B35,'"INCC-FGV"'!$A$2:$A$800,0)),$K$2),$K$2)</f>
        <v/>
      </c>
      <c r="M35" s="138">
        <f>'CP RESUMO'!AH20</f>
        <v/>
      </c>
      <c r="N35" s="139">
        <f>MAX(0,M35-M34)</f>
        <v/>
      </c>
      <c r="O35" s="138">
        <f>IF(B35&lt;='VALOR POR PL'!$P$5,'CP RESUMO'!AH62,"")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HISTORICOS'!AI20)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125000</v>
      </c>
      <c r="L36" s="49">
        <f>C36/IF(B36&lt;='VALOR POR PL'!$P$5,IFERROR(INDEX('"INCC-FGV"'!$B$2:$B$800,MATCH(B36,'"INCC-FGV"'!$A$2:$A$800,0)),$K$2),$K$2)</f>
        <v/>
      </c>
      <c r="M36" s="138">
        <f>'CP RESUMO'!AI20</f>
        <v/>
      </c>
      <c r="N36" s="139">
        <f>MAX(0,M36-M35)</f>
        <v/>
      </c>
      <c r="O36" s="138">
        <f>IF(B36&lt;='VALOR POR PL'!$P$5,'CP RESUMO'!AI62,"")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HISTORICOS'!AJ20)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RESUMO'!AJ20</f>
        <v/>
      </c>
      <c r="N37" s="139">
        <f>MAX(0,M37-M36)</f>
        <v/>
      </c>
      <c r="O37" s="138">
        <f>IF(B37&lt;='VALOR POR PL'!$P$5,'CP RESUMO'!AJ62,"")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HISTORICOS'!AK20)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RESUMO'!AK20</f>
        <v/>
      </c>
      <c r="N38" s="139">
        <f>MAX(0,M38-M37)</f>
        <v/>
      </c>
      <c r="O38" s="138">
        <f>IF(B38&lt;='VALOR POR PL'!$P$5,'CP RESUMO'!AK62,"")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HISTORICOS'!AL20)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RESUMO'!AL20</f>
        <v/>
      </c>
      <c r="N39" s="139">
        <f>MAX(0,M39-M38)</f>
        <v/>
      </c>
      <c r="O39" s="138">
        <f>IF(B39&lt;='VALOR POR PL'!$P$5,'CP RESUMO'!AL62,"")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HISTORICOS'!AM20)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92971.37</v>
      </c>
      <c r="L40" s="49">
        <f>C40/IF(B40&lt;='VALOR POR PL'!$P$5,IFERROR(INDEX('"INCC-FGV"'!$B$2:$B$800,MATCH(B40,'"INCC-FGV"'!$A$2:$A$800,0)),$K$2),$K$2)</f>
        <v/>
      </c>
      <c r="M40" s="138">
        <f>'CP RESUMO'!AM20</f>
        <v/>
      </c>
      <c r="N40" s="139">
        <f>MAX(0,M40-M39)</f>
        <v/>
      </c>
      <c r="O40" s="138">
        <f>IF(B40&lt;='VALOR POR PL'!$P$5,'CP RESUMO'!AM62,"")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HISTORICOS'!AN20)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RESUMO'!AN20</f>
        <v/>
      </c>
      <c r="N41" s="139">
        <f>MAX(0,M41-M40)</f>
        <v/>
      </c>
      <c r="O41" s="138">
        <f>IF(B41&lt;='VALOR POR PL'!$P$5,'CP RESUMO'!AN62,"")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HISTORICOS'!AO20)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RESUMO'!AO20</f>
        <v/>
      </c>
      <c r="N42" s="139">
        <f>MAX(0,M42-M41)</f>
        <v/>
      </c>
      <c r="O42" s="138">
        <f>IF(B42&lt;='VALOR POR PL'!$P$5,'CP RESUMO'!AO62,"")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HISTORICOS'!AP20)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RESUMO'!AP20</f>
        <v/>
      </c>
      <c r="N43" s="139">
        <f>MAX(0,M43-M42)</f>
        <v/>
      </c>
      <c r="O43" s="138">
        <f>IF(B43&lt;='VALOR POR PL'!$P$5,'CP RESUMO'!AP62,"")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HISTORICOS'!AQ20)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125000</v>
      </c>
      <c r="L44" s="49">
        <f>C44/IF(B44&lt;='VALOR POR PL'!$P$5,IFERROR(INDEX('"INCC-FGV"'!$B$2:$B$800,MATCH(B44,'"INCC-FGV"'!$A$2:$A$800,0)),$K$2),$K$2)</f>
        <v/>
      </c>
      <c r="M44" s="138">
        <f>'CP RESUMO'!AQ20</f>
        <v/>
      </c>
      <c r="N44" s="139">
        <f>MAX(0,M44-M43)</f>
        <v/>
      </c>
      <c r="O44" s="138">
        <f>IF(B44&lt;='VALOR POR PL'!$P$5,'CP RESUMO'!AQ62,"")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HISTORICOS'!AR20)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124994.68</v>
      </c>
      <c r="L45" s="49">
        <f>C45/IF(B45&lt;='VALOR POR PL'!$P$5,IFERROR(INDEX('"INCC-FGV"'!$B$2:$B$800,MATCH(B45,'"INCC-FGV"'!$A$2:$A$800,0)),$K$2),$K$2)</f>
        <v/>
      </c>
      <c r="M45" s="138">
        <f>'CP RESUMO'!AR20</f>
        <v/>
      </c>
      <c r="N45" s="139">
        <f>MAX(0,M45-M44)</f>
        <v/>
      </c>
      <c r="O45" s="138">
        <f>IF(B45&lt;='VALOR POR PL'!$P$5,'CP RESUMO'!AR62,"")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HISTORICOS'!AS20)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RESUMO'!AS20</f>
        <v/>
      </c>
      <c r="N46" s="139">
        <f>MAX(0,M46-M45)</f>
        <v/>
      </c>
      <c r="O46" s="138">
        <f>IF(B46&lt;='VALOR POR PL'!$P$5,'CP RESUMO'!AS62,"")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HISTORICOS'!AT20)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RESUMO'!AT20</f>
        <v/>
      </c>
      <c r="N47" s="139">
        <f>MAX(0,M47-M46)</f>
        <v/>
      </c>
      <c r="O47" s="138">
        <f>IF(B47&lt;='VALOR POR PL'!$P$5,'CP RESUMO'!AT62,"")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HISTORICOS'!AU20)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RESUMO'!AU20</f>
        <v/>
      </c>
      <c r="N48" s="139">
        <f>MAX(0,M48-M47)</f>
        <v/>
      </c>
      <c r="O48" s="138">
        <f>IF(B48&lt;='VALOR POR PL'!$P$5,'CP RESUMO'!AU62,"")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HISTORICOS'!AV20)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RESUMO'!AV20</f>
        <v/>
      </c>
      <c r="N49" s="139">
        <f>MAX(0,M49-M48)</f>
        <v/>
      </c>
      <c r="O49" s="138">
        <f>IF(B49&lt;='VALOR POR PL'!$P$5,'CP RESUMO'!AV62,"")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HISTORICOS'!AW20)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RESUMO'!AW20</f>
        <v/>
      </c>
      <c r="N50" s="139">
        <f>MAX(0,M50-M49)</f>
        <v/>
      </c>
      <c r="O50" s="138">
        <f>IF(B50&lt;='VALOR POR PL'!$P$5,'CP RESUMO'!AW62,"")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HISTORICOS'!AX20)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RESUMO'!AX20</f>
        <v/>
      </c>
      <c r="N51" s="139">
        <f>MAX(0,M51-M50)</f>
        <v/>
      </c>
      <c r="O51" s="138">
        <f>IF(B51&lt;='VALOR POR PL'!$P$5,'CP RESUMO'!AX62,"")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HISTORICOS'!AY20)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RESUMO'!AY20</f>
        <v/>
      </c>
      <c r="N52" s="139">
        <f>MAX(0,M52-M51)</f>
        <v/>
      </c>
      <c r="O52" s="138">
        <f>IF(B52&lt;='VALOR POR PL'!$P$5,'CP RESUMO'!AY62,"")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HISTORICOS'!AZ20)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RESUMO'!AZ20</f>
        <v/>
      </c>
      <c r="N53" s="139">
        <f>MAX(0,M53-M52)</f>
        <v/>
      </c>
      <c r="O53" s="138">
        <f>IF(B53&lt;='VALOR POR PL'!$P$5,'CP RESUMO'!AZ62,"")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HISTORICOS'!BA20)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RESUMO'!BA20</f>
        <v/>
      </c>
      <c r="N54" s="139">
        <f>MAX(0,M54-M53)</f>
        <v/>
      </c>
      <c r="O54" s="138">
        <f>IF(B54&lt;='VALOR POR PL'!$P$5,'CP RESUMO'!BA62,"")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HISTORICOS'!BB20)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RESUMO'!BB20</f>
        <v/>
      </c>
      <c r="N55" s="139">
        <f>MAX(0,M55-M54)</f>
        <v/>
      </c>
      <c r="O55" s="138">
        <f>IF(B55&lt;='VALOR POR PL'!$P$5,'CP RESUMO'!BB62,"")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HISTORICOS'!BC20)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RESUMO'!BC20</f>
        <v/>
      </c>
      <c r="N56" s="139">
        <f>MAX(0,M56-M55)</f>
        <v/>
      </c>
      <c r="O56" s="138">
        <f>IF(B56&lt;='VALOR POR PL'!$P$5,'CP RESUMO'!BC62,"")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HISTORICOS'!BD20)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RESUMO'!BD20</f>
        <v/>
      </c>
      <c r="N57" s="139">
        <f>MAX(0,M57-M56)</f>
        <v/>
      </c>
      <c r="O57" s="138">
        <f>IF(B57&lt;='VALOR POR PL'!$P$5,'CP RESUMO'!BD62,"")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HISTORICOS'!BE20)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RESUMO'!BE20</f>
        <v/>
      </c>
      <c r="N58" s="139">
        <f>MAX(0,M58-M57)</f>
        <v/>
      </c>
      <c r="O58" s="138">
        <f>IF(B58&lt;='VALOR POR PL'!$P$5,'CP RESUMO'!BE62,"")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HISTORICOS'!BF20)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RESUMO'!BF20</f>
        <v/>
      </c>
      <c r="N59" s="139">
        <f>MAX(0,M59-M58)</f>
        <v/>
      </c>
      <c r="O59" s="138">
        <f>IF(B59&lt;='VALOR POR PL'!$P$5,'CP RESUMO'!BF62,"")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HISTORICOS'!BG20)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RESUMO'!BG20</f>
        <v/>
      </c>
      <c r="N60" s="139">
        <f>MAX(0,M60-M59)</f>
        <v/>
      </c>
      <c r="O60" s="138">
        <f>IF(B60&lt;='VALOR POR PL'!$P$5,'CP RESUMO'!BG62,"")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HISTORICOS'!BH20)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RESUMO'!BH20</f>
        <v/>
      </c>
      <c r="N61" s="139">
        <f>MAX(0,M61-M60)</f>
        <v/>
      </c>
      <c r="O61" s="138">
        <f>IF(B61&lt;='VALOR POR PL'!$P$5,'CP RESUMO'!BH62,"")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HISTORICOS'!BI20)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RESUMO'!BI20</f>
        <v/>
      </c>
      <c r="N62" s="139">
        <f>MAX(0,M62-M61)</f>
        <v/>
      </c>
      <c r="O62" s="138">
        <f>IF(B62&lt;='VALOR POR PL'!$P$5,'CP RESUMO'!BI62,"")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HISTORICOS'!BJ20)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RESUMO'!BJ20</f>
        <v/>
      </c>
      <c r="N63" s="139">
        <f>MAX(0,M63-M62)</f>
        <v/>
      </c>
      <c r="O63" s="138">
        <f>IF(B63&lt;='VALOR POR PL'!$P$5,'CP RESUMO'!BJ62,"")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HISTORICOS'!BK20)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RESUMO'!BK20</f>
        <v/>
      </c>
      <c r="N64" s="139">
        <f>MAX(0,M64-M63)</f>
        <v/>
      </c>
      <c r="O64" s="138">
        <f>IF(B64&lt;='VALOR POR PL'!$P$5,'CP RESUMO'!BK62,"")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HISTORICOS'!BL20)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RESUMO'!BL20</f>
        <v/>
      </c>
      <c r="N65" s="139">
        <f>MAX(0,M65-M64)</f>
        <v/>
      </c>
      <c r="O65" s="138">
        <f>IF(B65&lt;='VALOR POR PL'!$P$5,'CP RESUMO'!BL62,"")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HISTORICOS'!BM20)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RESUMO'!BM20</f>
        <v/>
      </c>
      <c r="N66" s="139">
        <f>MAX(0,M66-M65)</f>
        <v/>
      </c>
      <c r="O66" s="138">
        <f>IF(B66&lt;='VALOR POR PL'!$P$5,'CP RESUMO'!BM62,"")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HISTORICOS'!BN20)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RESUMO'!BN20</f>
        <v/>
      </c>
      <c r="N67" s="139">
        <f>MAX(0,M67-M66)</f>
        <v/>
      </c>
      <c r="O67" s="138">
        <f>IF(B67&lt;='VALOR POR PL'!$P$5,'CP RESUMO'!BN62,"")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HISTORICOS'!BO20)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RESUMO'!BO20</f>
        <v/>
      </c>
      <c r="N68" s="139">
        <f>MAX(0,M68-M67)</f>
        <v/>
      </c>
      <c r="O68" s="138">
        <f>IF(B68&lt;='VALOR POR PL'!$P$5,'CP RESUMO'!BO62,"")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HISTORICOS'!BP20)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RESUMO'!BP20</f>
        <v/>
      </c>
      <c r="N69" s="139">
        <f>MAX(0,M69-M68)</f>
        <v/>
      </c>
      <c r="O69" s="138">
        <f>IF(B69&lt;='VALOR POR PL'!$P$5,'CP RESUMO'!BP62,"")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HISTORICOS'!BQ20)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RESUMO'!BQ20</f>
        <v/>
      </c>
      <c r="N70" s="139">
        <f>MAX(0,M70-M69)</f>
        <v/>
      </c>
      <c r="O70" s="138">
        <f>IF(B70&lt;='VALOR POR PL'!$P$5,'CP RESUMO'!BQ62,"")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HISTORICOS'!BR20)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RESUMO'!BR20</f>
        <v/>
      </c>
      <c r="N71" s="139">
        <f>MAX(0,M71-M70)</f>
        <v/>
      </c>
      <c r="O71" s="138">
        <f>IF(B71&lt;='VALOR POR PL'!$P$5,'CP RESUMO'!BR62,"")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HISTORICOS'!BS20)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RESUMO'!BS20</f>
        <v/>
      </c>
      <c r="N72" s="139">
        <f>MAX(0,M72-M71)</f>
        <v/>
      </c>
      <c r="O72" s="138">
        <f>IF(B72&lt;='VALOR POR PL'!$P$5,'CP RESUMO'!BS62,"")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HISTORICOS'!BT20)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RESUMO'!BT20</f>
        <v/>
      </c>
      <c r="N73" s="139">
        <f>MAX(0,M73-M72)</f>
        <v/>
      </c>
      <c r="O73" s="138">
        <f>IF(B73&lt;='VALOR POR PL'!$P$5,'CP RESUMO'!BT62,"")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HISTORICOS'!BU20)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RESUMO'!BU20</f>
        <v/>
      </c>
      <c r="N74" s="139">
        <f>MAX(0,M74-M73)</f>
        <v/>
      </c>
      <c r="O74" s="138">
        <f>IF(B74&lt;='VALOR POR PL'!$P$5,'CP RESUMO'!BU62,"")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HISTORICOS'!BV20)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RESUMO'!BV20</f>
        <v/>
      </c>
      <c r="N75" s="139">
        <f>MAX(0,M75-M74)</f>
        <v/>
      </c>
      <c r="O75" s="138">
        <f>IF(B75&lt;='VALOR POR PL'!$P$5,'CP RESUMO'!BV62,"")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HISTORICOS'!BW20)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RESUMO'!BW20</f>
        <v/>
      </c>
      <c r="N76" s="139">
        <f>MAX(0,M76-M75)</f>
        <v/>
      </c>
      <c r="O76" s="138">
        <f>IF(B76&lt;='VALOR POR PL'!$P$5,'CP RESUMO'!BW62,"")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PL'!D27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HISTORICOS'!D21)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PL'!F27</f>
        <v/>
      </c>
      <c r="K5" s="60">
        <f>'VALOR POR PL'!G27</f>
        <v/>
      </c>
      <c r="L5" s="60">
        <f>'DADOS HISTORICOS'!$BZ$21</f>
        <v/>
      </c>
      <c r="M5" s="138">
        <f>'CP RESUMO'!D21</f>
        <v/>
      </c>
      <c r="N5" s="139" t="n">
        <v>0</v>
      </c>
      <c r="O5" s="138">
        <f>IF(B5&lt;='VALOR POR PL'!$P$5,'CP RESUMO'!D63,"")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HISTORICOS'!E21)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PL'!H27</f>
        <v/>
      </c>
      <c r="L6" s="49">
        <f>C6/IF(B6&lt;='VALOR POR PL'!$P$5,IFERROR(INDEX('"INCC-FGV"'!$B$2:$B$800,MATCH(B6,'"INCC-FGV"'!$A$2:$A$800,0)),$K$2),$K$2)</f>
        <v/>
      </c>
      <c r="M6" s="138">
        <f>'CP RESUMO'!E21</f>
        <v/>
      </c>
      <c r="N6" s="139">
        <f>MAX(0,M6-M5)</f>
        <v/>
      </c>
      <c r="O6" s="138">
        <f>IF(B6&lt;='VALOR POR PL'!$P$5,'CP RESUMO'!E63,"")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HISTORICOS'!F21)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RESUMO'!F21</f>
        <v/>
      </c>
      <c r="N7" s="139">
        <f>MAX(0,M7-M6)</f>
        <v/>
      </c>
      <c r="O7" s="138">
        <f>IF(B7&lt;='VALOR POR PL'!$P$5,'CP RESUMO'!F63,"")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HISTORICOS'!G21)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RESUMO'!G21</f>
        <v/>
      </c>
      <c r="N8" s="139">
        <f>MAX(0,M8-M7)</f>
        <v/>
      </c>
      <c r="O8" s="138">
        <f>IF(B8&lt;='VALOR POR PL'!$P$5,'CP RESUMO'!G63,"")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HISTORICOS'!H21)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RESUMO'!H21</f>
        <v/>
      </c>
      <c r="N9" s="139">
        <f>MAX(0,M9-M8)</f>
        <v/>
      </c>
      <c r="O9" s="138">
        <f>IF(B9&lt;='VALOR POR PL'!$P$5,'CP RESUMO'!H63,"")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HISTORICOS'!I21)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RESUMO'!I21</f>
        <v/>
      </c>
      <c r="N10" s="139">
        <f>MAX(0,M10-M9)</f>
        <v/>
      </c>
      <c r="O10" s="138">
        <f>IF(B10&lt;='VALOR POR PL'!$P$5,'CP RESUMO'!I63,"")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HISTORICOS'!J21)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RESUMO'!J21</f>
        <v/>
      </c>
      <c r="N11" s="139">
        <f>MAX(0,M11-M10)</f>
        <v/>
      </c>
      <c r="O11" s="138">
        <f>IF(B11&lt;='VALOR POR PL'!$P$5,'CP RESUMO'!J63,"")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HISTORICOS'!K21)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RESUMO'!K21</f>
        <v/>
      </c>
      <c r="N12" s="139">
        <f>MAX(0,M12-M11)</f>
        <v/>
      </c>
      <c r="O12" s="138">
        <f>IF(B12&lt;='VALOR POR PL'!$P$5,'CP RESUMO'!K63,"")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HISTORICOS'!L21)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PL'!I27</f>
        <v/>
      </c>
      <c r="L13" s="49">
        <f>C13/IF(B13&lt;='VALOR POR PL'!$P$5,IFERROR(INDEX('"INCC-FGV"'!$B$2:$B$800,MATCH(B13,'"INCC-FGV"'!$A$2:$A$800,0)),$K$2),$K$2)</f>
        <v/>
      </c>
      <c r="M13" s="138">
        <f>'CP RESUMO'!L21</f>
        <v/>
      </c>
      <c r="N13" s="139">
        <f>MAX(0,M13-M12)</f>
        <v/>
      </c>
      <c r="O13" s="138">
        <f>IF(B13&lt;='VALOR POR PL'!$P$5,'CP RESUMO'!L63,"")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HISTORICOS'!M21)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RESUMO'!$D$63:$BW$63,MATCH('VALOR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RESUMO'!M21</f>
        <v/>
      </c>
      <c r="N14" s="139">
        <f>MAX(0,M14-M13)</f>
        <v/>
      </c>
      <c r="O14" s="138">
        <f>IF(B14&lt;='VALOR POR PL'!$P$5,'CP RESUMO'!M63,"")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HISTORICOS'!N21)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RESUMO'!N21</f>
        <v/>
      </c>
      <c r="N15" s="139">
        <f>MAX(0,M15-M14)</f>
        <v/>
      </c>
      <c r="O15" s="138">
        <f>IF(B15&lt;='VALOR POR PL'!$P$5,'CP RESUMO'!N63,"")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HISTORICOS'!O21)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RESUMO'!O21</f>
        <v/>
      </c>
      <c r="N16" s="139">
        <f>MAX(0,M16-M15)</f>
        <v/>
      </c>
      <c r="O16" s="138">
        <f>IF(B16&lt;='VALOR POR PL'!$P$5,'CP RESUMO'!O63,"")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HISTORICOS'!P21)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RESUMO'!P21</f>
        <v/>
      </c>
      <c r="N17" s="139">
        <f>MAX(0,M17-M16)</f>
        <v/>
      </c>
      <c r="O17" s="138">
        <f>IF(B17&lt;='VALOR POR PL'!$P$5,'CP RESUMO'!P63,"")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HISTORICOS'!Q21)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RESUMO'!Q21</f>
        <v/>
      </c>
      <c r="N18" s="139">
        <f>MAX(0,M18-M17)</f>
        <v/>
      </c>
      <c r="O18" s="138">
        <f>IF(B18&lt;='VALOR POR PL'!$P$5,'CP RESUMO'!Q63,"")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HISTORICOS'!R21)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RESUMO'!R21</f>
        <v/>
      </c>
      <c r="N19" s="139">
        <f>MAX(0,M19-M18)</f>
        <v/>
      </c>
      <c r="O19" s="138">
        <f>IF(B19&lt;='VALOR POR PL'!$P$5,'CP RESUMO'!R63,"")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HISTORICOS'!S21)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RESUMO'!S21</f>
        <v/>
      </c>
      <c r="N20" s="139">
        <f>MAX(0,M20-M19)</f>
        <v/>
      </c>
      <c r="O20" s="138">
        <f>IF(B20&lt;='VALOR POR PL'!$P$5,'CP RESUMO'!S63,"")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HISTORICOS'!T21)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RESUMO'!T21</f>
        <v/>
      </c>
      <c r="N21" s="139">
        <f>MAX(0,M21-M20)</f>
        <v/>
      </c>
      <c r="O21" s="138">
        <f>IF(B21&lt;='VALOR POR PL'!$P$5,'CP RESUMO'!T63,"")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HISTORICOS'!U21)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RESUMO'!U21</f>
        <v/>
      </c>
      <c r="N22" s="139">
        <f>MAX(0,M22-M21)</f>
        <v/>
      </c>
      <c r="O22" s="138">
        <f>IF(B22&lt;='VALOR POR PL'!$P$5,'CP RESUMO'!U63,"")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HISTORICOS'!V21)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RESUMO'!V21</f>
        <v/>
      </c>
      <c r="N23" s="139">
        <f>MAX(0,M23-M22)</f>
        <v/>
      </c>
      <c r="O23" s="138">
        <f>IF(B23&lt;='VALOR POR PL'!$P$5,'CP RESUMO'!V63,"")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HISTORICOS'!W21)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RESUMO'!W21</f>
        <v/>
      </c>
      <c r="N24" s="139">
        <f>MAX(0,M24-M23)</f>
        <v/>
      </c>
      <c r="O24" s="138">
        <f>IF(B24&lt;='VALOR POR PL'!$P$5,'CP RESUMO'!W63,"")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HISTORICOS'!X21)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RESUMO'!X21</f>
        <v/>
      </c>
      <c r="N25" s="139">
        <f>MAX(0,M25-M24)</f>
        <v/>
      </c>
      <c r="O25" s="138">
        <f>IF(B25&lt;='VALOR POR PL'!$P$5,'CP RESUMO'!X63,"")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HISTORICOS'!Y21)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RESUMO'!Y21</f>
        <v/>
      </c>
      <c r="N26" s="139">
        <f>MAX(0,M26-M25)</f>
        <v/>
      </c>
      <c r="O26" s="138">
        <f>IF(B26&lt;='VALOR POR PL'!$P$5,'CP RESUMO'!Y63,"")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HISTORICOS'!Z21)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686964.52</v>
      </c>
      <c r="L27" s="49">
        <f>C27/IF(B27&lt;='VALOR POR PL'!$P$5,IFERROR(INDEX('"INCC-FGV"'!$B$2:$B$800,MATCH(B27,'"INCC-FGV"'!$A$2:$A$800,0)),$K$2),$K$2)</f>
        <v/>
      </c>
      <c r="M27" s="138">
        <f>'CP RESUMO'!Z21</f>
        <v/>
      </c>
      <c r="N27" s="139">
        <f>MAX(0,M27-M26)</f>
        <v/>
      </c>
      <c r="O27" s="138">
        <f>IF(B27&lt;='VALOR POR PL'!$P$5,'CP RESUMO'!Z63,"")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HISTORICOS'!AA21)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1047212.71</v>
      </c>
      <c r="L28" s="49">
        <f>C28/IF(B28&lt;='VALOR POR PL'!$P$5,IFERROR(INDEX('"INCC-FGV"'!$B$2:$B$800,MATCH(B28,'"INCC-FGV"'!$A$2:$A$800,0)),$K$2),$K$2)</f>
        <v/>
      </c>
      <c r="M28" s="138">
        <f>'CP RESUMO'!AA21</f>
        <v/>
      </c>
      <c r="N28" s="139">
        <f>MAX(0,M28-M27)</f>
        <v/>
      </c>
      <c r="O28" s="138">
        <f>IF(B28&lt;='VALOR POR PL'!$P$5,'CP RESUMO'!AA63,"")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HISTORICOS'!AB21)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1620508.15</v>
      </c>
      <c r="L29" s="49">
        <f>C29/IF(B29&lt;='VALOR POR PL'!$P$5,IFERROR(INDEX('"INCC-FGV"'!$B$2:$B$800,MATCH(B29,'"INCC-FGV"'!$A$2:$A$800,0)),$K$2),$K$2)</f>
        <v/>
      </c>
      <c r="M29" s="138">
        <f>'CP RESUMO'!AB21</f>
        <v/>
      </c>
      <c r="N29" s="139">
        <f>MAX(0,M29-M28)</f>
        <v/>
      </c>
      <c r="O29" s="138">
        <f>IF(B29&lt;='VALOR POR PL'!$P$5,'CP RESUMO'!AB63,"")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HISTORICOS'!AC21)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>
        <v>1912666.93</v>
      </c>
      <c r="L30" s="49">
        <f>C30/IF(B30&lt;='VALOR POR PL'!$P$5,IFERROR(INDEX('"INCC-FGV"'!$B$2:$B$800,MATCH(B30,'"INCC-FGV"'!$A$2:$A$800,0)),$K$2),$K$2)</f>
        <v/>
      </c>
      <c r="M30" s="138">
        <f>'CP RESUMO'!AC21</f>
        <v/>
      </c>
      <c r="N30" s="139">
        <f>MAX(0,M30-M29)</f>
        <v/>
      </c>
      <c r="O30" s="138">
        <f>IF(B30&lt;='VALOR POR PL'!$P$5,'CP RESUMO'!AC63,"")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HISTORICOS'!AD21)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>
        <v>1716911.78</v>
      </c>
      <c r="L31" s="49">
        <f>C31/IF(B31&lt;='VALOR POR PL'!$P$5,IFERROR(INDEX('"INCC-FGV"'!$B$2:$B$800,MATCH(B31,'"INCC-FGV"'!$A$2:$A$800,0)),$K$2),$K$2)</f>
        <v/>
      </c>
      <c r="M31" s="138">
        <f>'CP RESUMO'!AD21</f>
        <v/>
      </c>
      <c r="N31" s="139">
        <f>MAX(0,M31-M30)</f>
        <v/>
      </c>
      <c r="O31" s="138">
        <f>IF(B31&lt;='VALOR POR PL'!$P$5,'CP RESUMO'!AD63,"")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HISTORICOS'!AE21)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1724029.04</v>
      </c>
      <c r="L32" s="49">
        <f>C32/IF(B32&lt;='VALOR POR PL'!$P$5,IFERROR(INDEX('"INCC-FGV"'!$B$2:$B$800,MATCH(B32,'"INCC-FGV"'!$A$2:$A$800,0)),$K$2),$K$2)</f>
        <v/>
      </c>
      <c r="M32" s="138">
        <f>'CP RESUMO'!AE21</f>
        <v/>
      </c>
      <c r="N32" s="139">
        <f>MAX(0,M32-M31)</f>
        <v/>
      </c>
      <c r="O32" s="138">
        <f>IF(B32&lt;='VALOR POR PL'!$P$5,'CP RESUMO'!AE63,"")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HISTORICOS'!AF21)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1240873.84</v>
      </c>
      <c r="L33" s="49">
        <f>C33/IF(B33&lt;='VALOR POR PL'!$P$5,IFERROR(INDEX('"INCC-FGV"'!$B$2:$B$800,MATCH(B33,'"INCC-FGV"'!$A$2:$A$800,0)),$K$2),$K$2)</f>
        <v/>
      </c>
      <c r="M33" s="138">
        <f>'CP RESUMO'!AF21</f>
        <v/>
      </c>
      <c r="N33" s="139">
        <f>MAX(0,M33-M32)</f>
        <v/>
      </c>
      <c r="O33" s="138">
        <f>IF(B33&lt;='VALOR POR PL'!$P$5,'CP RESUMO'!AF63,"")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HISTORICOS'!AG21)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1377375.67</v>
      </c>
      <c r="L34" s="49">
        <f>C34/IF(B34&lt;='VALOR POR PL'!$P$5,IFERROR(INDEX('"INCC-FGV"'!$B$2:$B$800,MATCH(B34,'"INCC-FGV"'!$A$2:$A$800,0)),$K$2),$K$2)</f>
        <v/>
      </c>
      <c r="M34" s="138">
        <f>'CP RESUMO'!AG21</f>
        <v/>
      </c>
      <c r="N34" s="139">
        <f>MAX(0,M34-M33)</f>
        <v/>
      </c>
      <c r="O34" s="138">
        <f>IF(B34&lt;='VALOR POR PL'!$P$5,'CP RESUMO'!AG63,"")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HISTORICOS'!AH21)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1690022.9</v>
      </c>
      <c r="L35" s="49">
        <f>C35/IF(B35&lt;='VALOR POR PL'!$P$5,IFERROR(INDEX('"INCC-FGV"'!$B$2:$B$800,MATCH(B35,'"INCC-FGV"'!$A$2:$A$800,0)),$K$2),$K$2)</f>
        <v/>
      </c>
      <c r="M35" s="138">
        <f>'CP RESUMO'!AH21</f>
        <v/>
      </c>
      <c r="N35" s="139">
        <f>MAX(0,M35-M34)</f>
        <v/>
      </c>
      <c r="O35" s="138">
        <f>IF(B35&lt;='VALOR POR PL'!$P$5,'CP RESUMO'!AH63,"")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HISTORICOS'!AI21)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1533152.88</v>
      </c>
      <c r="L36" s="49">
        <f>C36/IF(B36&lt;='VALOR POR PL'!$P$5,IFERROR(INDEX('"INCC-FGV"'!$B$2:$B$800,MATCH(B36,'"INCC-FGV"'!$A$2:$A$800,0)),$K$2),$K$2)</f>
        <v/>
      </c>
      <c r="M36" s="138">
        <f>'CP RESUMO'!AI21</f>
        <v/>
      </c>
      <c r="N36" s="139">
        <f>MAX(0,M36-M35)</f>
        <v/>
      </c>
      <c r="O36" s="138">
        <f>IF(B36&lt;='VALOR POR PL'!$P$5,'CP RESUMO'!AI63,"")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HISTORICOS'!AJ21)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1541765.8</v>
      </c>
      <c r="L37" s="49">
        <f>C37/IF(B37&lt;='VALOR POR PL'!$P$5,IFERROR(INDEX('"INCC-FGV"'!$B$2:$B$800,MATCH(B37,'"INCC-FGV"'!$A$2:$A$800,0)),$K$2),$K$2)</f>
        <v/>
      </c>
      <c r="M37" s="138">
        <f>'CP RESUMO'!AJ21</f>
        <v/>
      </c>
      <c r="N37" s="139">
        <f>MAX(0,M37-M36)</f>
        <v/>
      </c>
      <c r="O37" s="138">
        <f>IF(B37&lt;='VALOR POR PL'!$P$5,'CP RESUMO'!AJ63,"")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HISTORICOS'!AK21)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1266058.13</v>
      </c>
      <c r="L38" s="49">
        <f>C38/IF(B38&lt;='VALOR POR PL'!$P$5,IFERROR(INDEX('"INCC-FGV"'!$B$2:$B$800,MATCH(B38,'"INCC-FGV"'!$A$2:$A$800,0)),$K$2),$K$2)</f>
        <v/>
      </c>
      <c r="M38" s="138">
        <f>'CP RESUMO'!AK21</f>
        <v/>
      </c>
      <c r="N38" s="139">
        <f>MAX(0,M38-M37)</f>
        <v/>
      </c>
      <c r="O38" s="138">
        <f>IF(B38&lt;='VALOR POR PL'!$P$5,'CP RESUMO'!AK63,"")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HISTORICOS'!AL21)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1261900.44</v>
      </c>
      <c r="L39" s="49">
        <f>C39/IF(B39&lt;='VALOR POR PL'!$P$5,IFERROR(INDEX('"INCC-FGV"'!$B$2:$B$800,MATCH(B39,'"INCC-FGV"'!$A$2:$A$800,0)),$K$2),$K$2)</f>
        <v/>
      </c>
      <c r="M39" s="138">
        <f>'CP RESUMO'!AL21</f>
        <v/>
      </c>
      <c r="N39" s="139">
        <f>MAX(0,M39-M38)</f>
        <v/>
      </c>
      <c r="O39" s="138">
        <f>IF(B39&lt;='VALOR POR PL'!$P$5,'CP RESUMO'!AL63,"")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HISTORICOS'!AM21)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1261551.82</v>
      </c>
      <c r="L40" s="49">
        <f>C40/IF(B40&lt;='VALOR POR PL'!$P$5,IFERROR(INDEX('"INCC-FGV"'!$B$2:$B$800,MATCH(B40,'"INCC-FGV"'!$A$2:$A$800,0)),$K$2),$K$2)</f>
        <v/>
      </c>
      <c r="M40" s="138">
        <f>'CP RESUMO'!AM21</f>
        <v/>
      </c>
      <c r="N40" s="139">
        <f>MAX(0,M40-M39)</f>
        <v/>
      </c>
      <c r="O40" s="138">
        <f>IF(B40&lt;='VALOR POR PL'!$P$5,'CP RESUMO'!AM63,"")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HISTORICOS'!AN21)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1261500.17</v>
      </c>
      <c r="L41" s="49">
        <f>C41/IF(B41&lt;='VALOR POR PL'!$P$5,IFERROR(INDEX('"INCC-FGV"'!$B$2:$B$800,MATCH(B41,'"INCC-FGV"'!$A$2:$A$800,0)),$K$2),$K$2)</f>
        <v/>
      </c>
      <c r="M41" s="138">
        <f>'CP RESUMO'!AN21</f>
        <v/>
      </c>
      <c r="N41" s="139">
        <f>MAX(0,M41-M40)</f>
        <v/>
      </c>
      <c r="O41" s="138">
        <f>IF(B41&lt;='VALOR POR PL'!$P$5,'CP RESUMO'!AN63,"")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HISTORICOS'!AO21)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374755.37</v>
      </c>
      <c r="L42" s="49">
        <f>C42/IF(B42&lt;='VALOR POR PL'!$P$5,IFERROR(INDEX('"INCC-FGV"'!$B$2:$B$800,MATCH(B42,'"INCC-FGV"'!$A$2:$A$800,0)),$K$2),$K$2)</f>
        <v/>
      </c>
      <c r="M42" s="138">
        <f>'CP RESUMO'!AO21</f>
        <v/>
      </c>
      <c r="N42" s="139">
        <f>MAX(0,M42-M41)</f>
        <v/>
      </c>
      <c r="O42" s="138">
        <f>IF(B42&lt;='VALOR POR PL'!$P$5,'CP RESUMO'!AO63,"")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HISTORICOS'!AP21)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374517.08</v>
      </c>
      <c r="L43" s="49">
        <f>C43/IF(B43&lt;='VALOR POR PL'!$P$5,IFERROR(INDEX('"INCC-FGV"'!$B$2:$B$800,MATCH(B43,'"INCC-FGV"'!$A$2:$A$800,0)),$K$2),$K$2)</f>
        <v/>
      </c>
      <c r="M43" s="138">
        <f>'CP RESUMO'!AP21</f>
        <v/>
      </c>
      <c r="N43" s="139">
        <f>MAX(0,M43-M42)</f>
        <v/>
      </c>
      <c r="O43" s="138">
        <f>IF(B43&lt;='VALOR POR PL'!$P$5,'CP RESUMO'!AP63,"")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HISTORICOS'!AQ21)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361591.02</v>
      </c>
      <c r="L44" s="49">
        <f>C44/IF(B44&lt;='VALOR POR PL'!$P$5,IFERROR(INDEX('"INCC-FGV"'!$B$2:$B$800,MATCH(B44,'"INCC-FGV"'!$A$2:$A$800,0)),$K$2),$K$2)</f>
        <v/>
      </c>
      <c r="M44" s="138">
        <f>'CP RESUMO'!AQ21</f>
        <v/>
      </c>
      <c r="N44" s="139">
        <f>MAX(0,M44-M43)</f>
        <v/>
      </c>
      <c r="O44" s="138">
        <f>IF(B44&lt;='VALOR POR PL'!$P$5,'CP RESUMO'!AQ63,"")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HISTORICOS'!AR21)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340999.31</v>
      </c>
      <c r="L45" s="49">
        <f>C45/IF(B45&lt;='VALOR POR PL'!$P$5,IFERROR(INDEX('"INCC-FGV"'!$B$2:$B$800,MATCH(B45,'"INCC-FGV"'!$A$2:$A$800,0)),$K$2),$K$2)</f>
        <v/>
      </c>
      <c r="M45" s="138">
        <f>'CP RESUMO'!AR21</f>
        <v/>
      </c>
      <c r="N45" s="139">
        <f>MAX(0,M45-M44)</f>
        <v/>
      </c>
      <c r="O45" s="138">
        <f>IF(B45&lt;='VALOR POR PL'!$P$5,'CP RESUMO'!AR63,"")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HISTORICOS'!AS21)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RESUMO'!AS21</f>
        <v/>
      </c>
      <c r="N46" s="139">
        <f>MAX(0,M46-M45)</f>
        <v/>
      </c>
      <c r="O46" s="138">
        <f>IF(B46&lt;='VALOR POR PL'!$P$5,'CP RESUMO'!AS63,"")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HISTORICOS'!AT21)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RESUMO'!AT21</f>
        <v/>
      </c>
      <c r="N47" s="139">
        <f>MAX(0,M47-M46)</f>
        <v/>
      </c>
      <c r="O47" s="138">
        <f>IF(B47&lt;='VALOR POR PL'!$P$5,'CP RESUMO'!AT63,"")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HISTORICOS'!AU21)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RESUMO'!AU21</f>
        <v/>
      </c>
      <c r="N48" s="139">
        <f>MAX(0,M48-M47)</f>
        <v/>
      </c>
      <c r="O48" s="138">
        <f>IF(B48&lt;='VALOR POR PL'!$P$5,'CP RESUMO'!AU63,"")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HISTORICOS'!AV21)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RESUMO'!AV21</f>
        <v/>
      </c>
      <c r="N49" s="139">
        <f>MAX(0,M49-M48)</f>
        <v/>
      </c>
      <c r="O49" s="138">
        <f>IF(B49&lt;='VALOR POR PL'!$P$5,'CP RESUMO'!AV63,"")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HISTORICOS'!AW21)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RESUMO'!AW21</f>
        <v/>
      </c>
      <c r="N50" s="139">
        <f>MAX(0,M50-M49)</f>
        <v/>
      </c>
      <c r="O50" s="138">
        <f>IF(B50&lt;='VALOR POR PL'!$P$5,'CP RESUMO'!AW63,"")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HISTORICOS'!AX21)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RESUMO'!AX21</f>
        <v/>
      </c>
      <c r="N51" s="139">
        <f>MAX(0,M51-M50)</f>
        <v/>
      </c>
      <c r="O51" s="138">
        <f>IF(B51&lt;='VALOR POR PL'!$P$5,'CP RESUMO'!AX63,"")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HISTORICOS'!AY21)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RESUMO'!AY21</f>
        <v/>
      </c>
      <c r="N52" s="139">
        <f>MAX(0,M52-M51)</f>
        <v/>
      </c>
      <c r="O52" s="138">
        <f>IF(B52&lt;='VALOR POR PL'!$P$5,'CP RESUMO'!AY63,"")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HISTORICOS'!AZ21)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RESUMO'!AZ21</f>
        <v/>
      </c>
      <c r="N53" s="139">
        <f>MAX(0,M53-M52)</f>
        <v/>
      </c>
      <c r="O53" s="138">
        <f>IF(B53&lt;='VALOR POR PL'!$P$5,'CP RESUMO'!AZ63,"")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HISTORICOS'!BA21)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RESUMO'!BA21</f>
        <v/>
      </c>
      <c r="N54" s="139">
        <f>MAX(0,M54-M53)</f>
        <v/>
      </c>
      <c r="O54" s="138">
        <f>IF(B54&lt;='VALOR POR PL'!$P$5,'CP RESUMO'!BA63,"")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HISTORICOS'!BB21)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1178940.16</v>
      </c>
      <c r="L55" s="49">
        <f>C55/IF(B55&lt;='VALOR POR PL'!$P$5,IFERROR(INDEX('"INCC-FGV"'!$B$2:$B$800,MATCH(B55,'"INCC-FGV"'!$A$2:$A$800,0)),$K$2),$K$2)</f>
        <v/>
      </c>
      <c r="M55" s="138">
        <f>'CP RESUMO'!BB21</f>
        <v/>
      </c>
      <c r="N55" s="139">
        <f>MAX(0,M55-M54)</f>
        <v/>
      </c>
      <c r="O55" s="138">
        <f>IF(B55&lt;='VALOR POR PL'!$P$5,'CP RESUMO'!BB63,"")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HISTORICOS'!BC21)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RESUMO'!BC21</f>
        <v/>
      </c>
      <c r="N56" s="139">
        <f>MAX(0,M56-M55)</f>
        <v/>
      </c>
      <c r="O56" s="138">
        <f>IF(B56&lt;='VALOR POR PL'!$P$5,'CP RESUMO'!BC63,"")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HISTORICOS'!BD21)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RESUMO'!BD21</f>
        <v/>
      </c>
      <c r="N57" s="139">
        <f>MAX(0,M57-M56)</f>
        <v/>
      </c>
      <c r="O57" s="138">
        <f>IF(B57&lt;='VALOR POR PL'!$P$5,'CP RESUMO'!BD63,"")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HISTORICOS'!BE21)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RESUMO'!BE21</f>
        <v/>
      </c>
      <c r="N58" s="139">
        <f>MAX(0,M58-M57)</f>
        <v/>
      </c>
      <c r="O58" s="138">
        <f>IF(B58&lt;='VALOR POR PL'!$P$5,'CP RESUMO'!BE63,"")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HISTORICOS'!BF21)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RESUMO'!BF21</f>
        <v/>
      </c>
      <c r="N59" s="139">
        <f>MAX(0,M59-M58)</f>
        <v/>
      </c>
      <c r="O59" s="138">
        <f>IF(B59&lt;='VALOR POR PL'!$P$5,'CP RESUMO'!BF63,"")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HISTORICOS'!BG21)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RESUMO'!BG21</f>
        <v/>
      </c>
      <c r="N60" s="139">
        <f>MAX(0,M60-M59)</f>
        <v/>
      </c>
      <c r="O60" s="138">
        <f>IF(B60&lt;='VALOR POR PL'!$P$5,'CP RESUMO'!BG63,"")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HISTORICOS'!BH21)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RESUMO'!BH21</f>
        <v/>
      </c>
      <c r="N61" s="139">
        <f>MAX(0,M61-M60)</f>
        <v/>
      </c>
      <c r="O61" s="138">
        <f>IF(B61&lt;='VALOR POR PL'!$P$5,'CP RESUMO'!BH63,"")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HISTORICOS'!BI21)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RESUMO'!BI21</f>
        <v/>
      </c>
      <c r="N62" s="139">
        <f>MAX(0,M62-M61)</f>
        <v/>
      </c>
      <c r="O62" s="138">
        <f>IF(B62&lt;='VALOR POR PL'!$P$5,'CP RESUMO'!BI63,"")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HISTORICOS'!BJ21)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RESUMO'!BJ21</f>
        <v/>
      </c>
      <c r="N63" s="139">
        <f>MAX(0,M63-M62)</f>
        <v/>
      </c>
      <c r="O63" s="138">
        <f>IF(B63&lt;='VALOR POR PL'!$P$5,'CP RESUMO'!BJ63,"")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HISTORICOS'!BK21)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RESUMO'!BK21</f>
        <v/>
      </c>
      <c r="N64" s="139">
        <f>MAX(0,M64-M63)</f>
        <v/>
      </c>
      <c r="O64" s="138">
        <f>IF(B64&lt;='VALOR POR PL'!$P$5,'CP RESUMO'!BK63,"")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HISTORICOS'!BL21)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RESUMO'!BL21</f>
        <v/>
      </c>
      <c r="N65" s="139">
        <f>MAX(0,M65-M64)</f>
        <v/>
      </c>
      <c r="O65" s="138">
        <f>IF(B65&lt;='VALOR POR PL'!$P$5,'CP RESUMO'!BL63,"")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HISTORICOS'!BM21)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RESUMO'!BM21</f>
        <v/>
      </c>
      <c r="N66" s="139">
        <f>MAX(0,M66-M65)</f>
        <v/>
      </c>
      <c r="O66" s="138">
        <f>IF(B66&lt;='VALOR POR PL'!$P$5,'CP RESUMO'!BM63,"")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HISTORICOS'!BN21)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RESUMO'!BN21</f>
        <v/>
      </c>
      <c r="N67" s="139">
        <f>MAX(0,M67-M66)</f>
        <v/>
      </c>
      <c r="O67" s="138">
        <f>IF(B67&lt;='VALOR POR PL'!$P$5,'CP RESUMO'!BN63,"")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HISTORICOS'!BO21)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RESUMO'!BO21</f>
        <v/>
      </c>
      <c r="N68" s="139">
        <f>MAX(0,M68-M67)</f>
        <v/>
      </c>
      <c r="O68" s="138">
        <f>IF(B68&lt;='VALOR POR PL'!$P$5,'CP RESUMO'!BO63,"")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HISTORICOS'!BP21)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RESUMO'!BP21</f>
        <v/>
      </c>
      <c r="N69" s="139">
        <f>MAX(0,M69-M68)</f>
        <v/>
      </c>
      <c r="O69" s="138">
        <f>IF(B69&lt;='VALOR POR PL'!$P$5,'CP RESUMO'!BP63,"")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HISTORICOS'!BQ21)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RESUMO'!BQ21</f>
        <v/>
      </c>
      <c r="N70" s="139">
        <f>MAX(0,M70-M69)</f>
        <v/>
      </c>
      <c r="O70" s="138">
        <f>IF(B70&lt;='VALOR POR PL'!$P$5,'CP RESUMO'!BQ63,"")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HISTORICOS'!BR21)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RESUMO'!BR21</f>
        <v/>
      </c>
      <c r="N71" s="139">
        <f>MAX(0,M71-M70)</f>
        <v/>
      </c>
      <c r="O71" s="138">
        <f>IF(B71&lt;='VALOR POR PL'!$P$5,'CP RESUMO'!BR63,"")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HISTORICOS'!BS21)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RESUMO'!BS21</f>
        <v/>
      </c>
      <c r="N72" s="139">
        <f>MAX(0,M72-M71)</f>
        <v/>
      </c>
      <c r="O72" s="138">
        <f>IF(B72&lt;='VALOR POR PL'!$P$5,'CP RESUMO'!BS63,"")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HISTORICOS'!BT21)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RESUMO'!BT21</f>
        <v/>
      </c>
      <c r="N73" s="139">
        <f>MAX(0,M73-M72)</f>
        <v/>
      </c>
      <c r="O73" s="138">
        <f>IF(B73&lt;='VALOR POR PL'!$P$5,'CP RESUMO'!BT63,"")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HISTORICOS'!BU21)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RESUMO'!BU21</f>
        <v/>
      </c>
      <c r="N74" s="139">
        <f>MAX(0,M74-M73)</f>
        <v/>
      </c>
      <c r="O74" s="138">
        <f>IF(B74&lt;='VALOR POR PL'!$P$5,'CP RESUMO'!BU63,"")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HISTORICOS'!BV21)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RESUMO'!BV21</f>
        <v/>
      </c>
      <c r="N75" s="139">
        <f>MAX(0,M75-M74)</f>
        <v/>
      </c>
      <c r="O75" s="138">
        <f>IF(B75&lt;='VALOR POR PL'!$P$5,'CP RESUMO'!BV63,"")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HISTORICOS'!BW21)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RESUMO'!BW21</f>
        <v/>
      </c>
      <c r="N76" s="139">
        <f>MAX(0,M76-M75)</f>
        <v/>
      </c>
      <c r="O76" s="138">
        <f>IF(B76&lt;='VALOR POR PL'!$P$5,'CP RESUMO'!BW63,"")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X68"/>
  <sheetViews>
    <sheetView tabSelected="0" workbookViewId="0">
      <selection activeCell="A1" sqref="A1"/>
    </sheetView>
  </sheetViews>
  <sheetFormatPr baseColWidth="8" defaultRowHeight="15"/>
  <sheetData>
    <row r="1">
      <c r="J1" s="2" t="n">
        <v>31139.1758</v>
      </c>
      <c r="K1" s="2" t="n">
        <v>10452</v>
      </c>
      <c r="L1" s="2" t="n">
        <v>48906.62882985351</v>
      </c>
      <c r="M1" s="2" t="n">
        <v>11385.4721142</v>
      </c>
      <c r="N1" s="2" t="n">
        <v>42054</v>
      </c>
      <c r="O1" s="2" t="n">
        <v>997552</v>
      </c>
      <c r="P1" s="2" t="n">
        <v>18198.6211</v>
      </c>
      <c r="Q1" s="2" t="n">
        <v>10103.4725</v>
      </c>
      <c r="X1" s="2" t="n">
        <v>22.98</v>
      </c>
      <c r="Y1" s="2" t="n">
        <v>12.5</v>
      </c>
      <c r="AA1" s="2" t="n">
        <v>25098272.88902724</v>
      </c>
    </row>
    <row r="2">
      <c r="B2" s="2" t="inlineStr">
        <is>
          <t>CORTE ESQUEMÁTICO</t>
        </is>
      </c>
      <c r="H2" s="2" t="inlineStr">
        <is>
          <t>PAVIMENTOS</t>
        </is>
      </c>
      <c r="J2" s="2" t="inlineStr">
        <is>
          <t>ÁREA DE PROJEÇÃO DO PAVIMENTO</t>
        </is>
      </c>
      <c r="K2" s="2" t="inlineStr">
        <is>
          <t>CONCRETO TORRE (m³)</t>
        </is>
      </c>
      <c r="L2" s="2" t="inlineStr">
        <is>
          <t>FORMA
Plana</t>
        </is>
      </c>
      <c r="M2" s="2" t="inlineStr">
        <is>
          <t>FORMA
Nervurada</t>
        </is>
      </c>
      <c r="N2" s="2" t="inlineStr">
        <is>
          <t>PROTENÇÃO</t>
        </is>
      </c>
      <c r="O2" s="2" t="inlineStr">
        <is>
          <t xml:space="preserve">AÇO </t>
        </is>
      </c>
      <c r="P2" s="2" t="inlineStr">
        <is>
          <t>Área de sarrafeamento</t>
        </is>
      </c>
      <c r="Q2" s="2" t="inlineStr">
        <is>
          <t>Área de Camurça</t>
        </is>
      </c>
      <c r="S2" s="2" t="inlineStr">
        <is>
          <t>CONCRETO 
R$</t>
        </is>
      </c>
      <c r="T2" s="2" t="inlineStr">
        <is>
          <t>FORMA
Plana</t>
        </is>
      </c>
      <c r="U2" s="2" t="inlineStr">
        <is>
          <t>FORMA
Nervurada</t>
        </is>
      </c>
      <c r="V2" s="2" t="inlineStr">
        <is>
          <t>AÇO (mat)
R$</t>
        </is>
      </c>
      <c r="W2" s="2" t="inlineStr">
        <is>
          <t>AÇO (mdo)
R$</t>
        </is>
      </c>
      <c r="X2" s="2" t="inlineStr">
        <is>
          <t>PROTENÇÃO
R$</t>
        </is>
      </c>
      <c r="Y2" s="2" t="inlineStr">
        <is>
          <t>TRATAMENTO R$</t>
        </is>
      </c>
      <c r="AA2" s="2" t="inlineStr">
        <is>
          <t>TOTAL</t>
        </is>
      </c>
      <c r="AC2" s="2" t="n">
        <v>46174</v>
      </c>
      <c r="AD2" s="2" t="n">
        <v>46204</v>
      </c>
      <c r="AE2" s="2" t="n">
        <v>46235</v>
      </c>
      <c r="AF2" s="2" t="n">
        <v>46266</v>
      </c>
      <c r="AG2" s="2" t="n">
        <v>46296</v>
      </c>
      <c r="AH2" s="2" t="n">
        <v>46327</v>
      </c>
      <c r="AI2" s="2" t="n">
        <v>46357</v>
      </c>
      <c r="AJ2" s="2" t="n">
        <v>46388</v>
      </c>
      <c r="AK2" s="2" t="n">
        <v>46419</v>
      </c>
      <c r="AL2" s="2" t="n">
        <v>46447</v>
      </c>
      <c r="AM2" s="2" t="n">
        <v>46478</v>
      </c>
      <c r="AN2" s="2" t="n">
        <v>46508</v>
      </c>
      <c r="AO2" s="2" t="n">
        <v>46539</v>
      </c>
      <c r="AP2" s="2" t="n">
        <v>46569</v>
      </c>
      <c r="AQ2" s="2" t="n">
        <v>46600</v>
      </c>
      <c r="AR2" s="2" t="n">
        <v>46631</v>
      </c>
      <c r="AS2" s="2" t="n">
        <v>46661</v>
      </c>
      <c r="AT2" s="2" t="n">
        <v>46692</v>
      </c>
      <c r="AU2" s="2" t="n">
        <v>46722</v>
      </c>
      <c r="AV2" s="2" t="n">
        <v>46753</v>
      </c>
      <c r="AW2" s="2" t="n">
        <v>46784</v>
      </c>
      <c r="AX2" s="2" t="n">
        <v>46813</v>
      </c>
    </row>
    <row r="4">
      <c r="H4" s="2" t="inlineStr">
        <is>
          <t>Cobertura</t>
        </is>
      </c>
      <c r="J4" s="2" t="n">
        <v>116.3548</v>
      </c>
      <c r="K4" s="2" t="n">
        <v>83.2</v>
      </c>
      <c r="L4" s="2" t="n">
        <v>1285.2918049</v>
      </c>
      <c r="O4" s="2" t="n">
        <v>11693</v>
      </c>
      <c r="P4" s="2" t="n">
        <v>116.3548</v>
      </c>
      <c r="S4" s="2" t="n">
        <v>48276.8</v>
      </c>
      <c r="T4" s="2" t="n">
        <v>184179.1024126577</v>
      </c>
      <c r="V4" s="2" t="n">
        <v>71710.45330074998</v>
      </c>
      <c r="W4" s="2" t="n">
        <v>35133.080125</v>
      </c>
      <c r="Y4" s="2" t="n">
        <v>1699.8751241115</v>
      </c>
      <c r="AA4" s="2" t="n">
        <v>340999.3109625191</v>
      </c>
      <c r="AX4" s="2" t="n">
        <v>340999.3109625191</v>
      </c>
    </row>
    <row r="5">
      <c r="H5" s="2" t="inlineStr">
        <is>
          <t>Fundo da caixa d'água</t>
        </is>
      </c>
      <c r="J5" s="2" t="n">
        <v>116.3548</v>
      </c>
      <c r="K5" s="2" t="n">
        <v>193.3</v>
      </c>
      <c r="L5" s="2" t="n">
        <v>1183.97366043</v>
      </c>
      <c r="O5" s="2" t="n">
        <v>18437</v>
      </c>
      <c r="P5" s="2" t="n">
        <v>116.3548</v>
      </c>
      <c r="S5" s="2" t="n">
        <v>112162.325</v>
      </c>
      <c r="T5" s="2" t="n">
        <v>169660.4656054679</v>
      </c>
      <c r="V5" s="2" t="n">
        <v>113069.83900675</v>
      </c>
      <c r="W5" s="2" t="n">
        <v>55396.271125</v>
      </c>
      <c r="Y5" s="2" t="n">
        <v>1699.8751241115</v>
      </c>
      <c r="AA5" s="2" t="n">
        <v>451988.7758613293</v>
      </c>
      <c r="AV5" s="2" t="n">
        <v>90397.75517226587</v>
      </c>
      <c r="AW5" s="2" t="n">
        <v>361591.0206890635</v>
      </c>
    </row>
    <row r="6">
      <c r="H6" s="2" t="inlineStr">
        <is>
          <t>Barrilete</t>
        </is>
      </c>
      <c r="J6" s="2" t="n">
        <v>560.3472</v>
      </c>
      <c r="K6" s="2" t="n">
        <v>50.7</v>
      </c>
      <c r="L6" s="2" t="n">
        <v>317.8990249999999</v>
      </c>
      <c r="O6" s="2" t="n">
        <v>4416</v>
      </c>
      <c r="P6" s="2" t="n">
        <v>560.3472</v>
      </c>
      <c r="S6" s="2" t="n">
        <v>29418.67499999999</v>
      </c>
      <c r="T6" s="2" t="n">
        <v>45554.13553493749</v>
      </c>
      <c r="V6" s="2" t="n">
        <v>27082.302384</v>
      </c>
      <c r="W6" s="2" t="n">
        <v>13268.424</v>
      </c>
      <c r="Y6" s="2" t="n">
        <v>8186.342687586</v>
      </c>
      <c r="AA6" s="2" t="n">
        <v>123509.8796065235</v>
      </c>
      <c r="AV6" s="2" t="n">
        <v>123509.8796065235</v>
      </c>
    </row>
    <row r="7">
      <c r="H7" s="2" t="inlineStr">
        <is>
          <t>31º Pavimento</t>
        </is>
      </c>
      <c r="J7" s="2" t="n">
        <v>590.5763000000001</v>
      </c>
      <c r="K7" s="2" t="n">
        <v>245.9</v>
      </c>
      <c r="L7" s="2" t="n">
        <v>1362.038475</v>
      </c>
      <c r="O7" s="2" t="n">
        <v>21909</v>
      </c>
      <c r="P7" s="2" t="n">
        <v>590.5763000000001</v>
      </c>
      <c r="S7" s="2" t="n">
        <v>157185.30455</v>
      </c>
      <c r="T7" s="2" t="n">
        <v>181559.7287175</v>
      </c>
      <c r="V7" s="2" t="n">
        <v>127358.11245</v>
      </c>
      <c r="W7" s="2" t="n">
        <v>61235.655</v>
      </c>
      <c r="Y7" s="2" t="n">
        <v>8026.020503444999</v>
      </c>
      <c r="AA7" s="2" t="n">
        <v>535364.821220945</v>
      </c>
      <c r="AU7" s="2" t="n">
        <v>374755.3748546615</v>
      </c>
      <c r="AV7" s="2" t="n">
        <v>160609.4463662835</v>
      </c>
    </row>
    <row r="8">
      <c r="H8" s="2" t="inlineStr">
        <is>
          <t>30º Pavimento</t>
        </is>
      </c>
      <c r="J8" s="2" t="n">
        <v>700.6245</v>
      </c>
      <c r="K8" s="2" t="n">
        <v>242.8</v>
      </c>
      <c r="L8" s="2" t="n">
        <v>1353.789475</v>
      </c>
      <c r="O8" s="2" t="n">
        <v>18519.25</v>
      </c>
      <c r="P8" s="2" t="n">
        <v>700.6245</v>
      </c>
      <c r="S8" s="2" t="n">
        <v>155203.7086</v>
      </c>
      <c r="T8" s="2" t="n">
        <v>180460.1370175</v>
      </c>
      <c r="V8" s="2" t="n">
        <v>107653.3262125</v>
      </c>
      <c r="W8" s="2" t="n">
        <v>51761.30375</v>
      </c>
      <c r="Y8" s="2" t="n">
        <v>9521.592048674998</v>
      </c>
      <c r="AA8" s="2" t="n">
        <v>504600.067628675</v>
      </c>
      <c r="AT8" s="2" t="n">
        <v>504600.067628675</v>
      </c>
    </row>
    <row r="9">
      <c r="H9" s="2" t="inlineStr">
        <is>
          <t>29º Pavimento</t>
        </is>
      </c>
      <c r="J9" s="2" t="n">
        <v>700.6245</v>
      </c>
      <c r="K9" s="2" t="n">
        <v>242.8</v>
      </c>
      <c r="L9" s="2" t="n">
        <v>1353.789475</v>
      </c>
      <c r="O9" s="2" t="n">
        <v>18519.25</v>
      </c>
      <c r="P9" s="2" t="n">
        <v>700.6245</v>
      </c>
      <c r="S9" s="2" t="n">
        <v>155203.7086</v>
      </c>
      <c r="T9" s="2" t="n">
        <v>180460.1370175</v>
      </c>
      <c r="V9" s="2" t="n">
        <v>107653.3262125</v>
      </c>
      <c r="W9" s="2" t="n">
        <v>51761.30375</v>
      </c>
      <c r="Y9" s="2" t="n">
        <v>9521.592048674998</v>
      </c>
      <c r="AA9" s="2" t="n">
        <v>504600.067628675</v>
      </c>
      <c r="AT9" s="2" t="n">
        <v>504600.067628675</v>
      </c>
    </row>
    <row r="10">
      <c r="H10" s="2" t="inlineStr">
        <is>
          <t>28º Pavimento</t>
        </is>
      </c>
      <c r="J10" s="2" t="n">
        <v>700.6245</v>
      </c>
      <c r="K10" s="2" t="n">
        <v>242.8</v>
      </c>
      <c r="L10" s="2" t="n">
        <v>1353.789475</v>
      </c>
      <c r="O10" s="2" t="n">
        <v>18519.25</v>
      </c>
      <c r="P10" s="2" t="n">
        <v>700.6245</v>
      </c>
      <c r="S10" s="2" t="n">
        <v>155203.7086</v>
      </c>
      <c r="T10" s="2" t="n">
        <v>180460.1370175</v>
      </c>
      <c r="V10" s="2" t="n">
        <v>107653.3262125</v>
      </c>
      <c r="W10" s="2" t="n">
        <v>51761.30375</v>
      </c>
      <c r="Y10" s="2" t="n">
        <v>9521.592048674998</v>
      </c>
      <c r="AA10" s="2" t="n">
        <v>504600.067628675</v>
      </c>
      <c r="AS10" s="2" t="n">
        <v>252300.0338143375</v>
      </c>
      <c r="AT10" s="2" t="n">
        <v>252300.0338143375</v>
      </c>
    </row>
    <row r="11">
      <c r="H11" s="2" t="inlineStr">
        <is>
          <t>27º Pavimento</t>
        </is>
      </c>
      <c r="J11" s="2" t="n">
        <v>700.6245</v>
      </c>
      <c r="K11" s="2" t="n">
        <v>242.8</v>
      </c>
      <c r="L11" s="2" t="n">
        <v>1353.789475</v>
      </c>
      <c r="O11" s="2" t="n">
        <v>18522.25</v>
      </c>
      <c r="P11" s="2" t="n">
        <v>700.6245</v>
      </c>
      <c r="S11" s="2" t="n">
        <v>155203.7086</v>
      </c>
      <c r="T11" s="2" t="n">
        <v>180460.1370175</v>
      </c>
      <c r="V11" s="2" t="n">
        <v>107670.7653625</v>
      </c>
      <c r="W11" s="2" t="n">
        <v>51769.68875</v>
      </c>
      <c r="Y11" s="2" t="n">
        <v>9521.592048674998</v>
      </c>
      <c r="AA11" s="2" t="n">
        <v>504625.891778675</v>
      </c>
      <c r="AS11" s="2" t="n">
        <v>504625.891778675</v>
      </c>
    </row>
    <row r="12">
      <c r="H12" s="2" t="inlineStr">
        <is>
          <t>26º Pavimento</t>
        </is>
      </c>
      <c r="J12" s="2" t="n">
        <v>700.6245</v>
      </c>
      <c r="K12" s="2" t="n">
        <v>242.8</v>
      </c>
      <c r="L12" s="2" t="n">
        <v>1353.789475</v>
      </c>
      <c r="O12" s="2" t="n">
        <v>18522.25</v>
      </c>
      <c r="P12" s="2" t="n">
        <v>700.6245</v>
      </c>
      <c r="S12" s="2" t="n">
        <v>155203.7086</v>
      </c>
      <c r="T12" s="2" t="n">
        <v>180460.1370175</v>
      </c>
      <c r="V12" s="2" t="n">
        <v>107670.7653625</v>
      </c>
      <c r="W12" s="2" t="n">
        <v>51769.68875</v>
      </c>
      <c r="Y12" s="2" t="n">
        <v>9521.592048674998</v>
      </c>
      <c r="AA12" s="2" t="n">
        <v>504625.891778675</v>
      </c>
      <c r="AS12" s="2" t="n">
        <v>504625.891778675</v>
      </c>
    </row>
    <row r="13">
      <c r="H13" s="2" t="inlineStr">
        <is>
          <t>25º Pavimento</t>
        </is>
      </c>
      <c r="J13" s="2" t="n">
        <v>700.6245</v>
      </c>
      <c r="K13" s="2" t="n">
        <v>242.8</v>
      </c>
      <c r="L13" s="2" t="n">
        <v>1353.789475</v>
      </c>
      <c r="O13" s="2" t="n">
        <v>18519.25</v>
      </c>
      <c r="P13" s="2" t="n">
        <v>700.6245</v>
      </c>
      <c r="S13" s="2" t="n">
        <v>155203.7086</v>
      </c>
      <c r="T13" s="2" t="n">
        <v>180460.1370175</v>
      </c>
      <c r="V13" s="2" t="n">
        <v>107653.3262125</v>
      </c>
      <c r="W13" s="2" t="n">
        <v>51761.30375</v>
      </c>
      <c r="Y13" s="2" t="n">
        <v>9521.592048674998</v>
      </c>
      <c r="AA13" s="2" t="n">
        <v>504600.067628675</v>
      </c>
      <c r="AR13" s="2" t="n">
        <v>504600.067628675</v>
      </c>
    </row>
    <row r="14">
      <c r="H14" s="2" t="inlineStr">
        <is>
          <t>24º Pavimento</t>
        </is>
      </c>
      <c r="J14" s="2" t="n">
        <v>700.6245</v>
      </c>
      <c r="K14" s="2" t="n">
        <v>242.8</v>
      </c>
      <c r="L14" s="2" t="n">
        <v>1353.789475</v>
      </c>
      <c r="O14" s="2" t="n">
        <v>18519.25</v>
      </c>
      <c r="P14" s="2" t="n">
        <v>700.6245</v>
      </c>
      <c r="S14" s="2" t="n">
        <v>155203.7086</v>
      </c>
      <c r="T14" s="2" t="n">
        <v>180460.1370175</v>
      </c>
      <c r="V14" s="2" t="n">
        <v>107653.3262125</v>
      </c>
      <c r="W14" s="2" t="n">
        <v>51761.30375</v>
      </c>
      <c r="Y14" s="2" t="n">
        <v>9521.592048674998</v>
      </c>
      <c r="AA14" s="2" t="n">
        <v>504600.067628675</v>
      </c>
      <c r="AR14" s="2" t="n">
        <v>504600.067628675</v>
      </c>
    </row>
    <row r="15">
      <c r="H15" s="2" t="inlineStr">
        <is>
          <t>23º Pavimento</t>
        </is>
      </c>
      <c r="J15" s="2" t="n">
        <v>700.6245</v>
      </c>
      <c r="K15" s="2" t="n">
        <v>242.8</v>
      </c>
      <c r="L15" s="2" t="n">
        <v>1353.789475</v>
      </c>
      <c r="O15" s="2" t="n">
        <v>18612.25</v>
      </c>
      <c r="P15" s="2" t="n">
        <v>700.6245</v>
      </c>
      <c r="S15" s="2" t="n">
        <v>155203.7086</v>
      </c>
      <c r="T15" s="2" t="n">
        <v>180460.1370175</v>
      </c>
      <c r="V15" s="2" t="n">
        <v>108193.9398625</v>
      </c>
      <c r="W15" s="2" t="n">
        <v>52021.23875</v>
      </c>
      <c r="Y15" s="2" t="n">
        <v>9521.592048674998</v>
      </c>
      <c r="AA15" s="2" t="n">
        <v>505400.616278675</v>
      </c>
      <c r="AQ15" s="2" t="n">
        <v>252700.3081393375</v>
      </c>
      <c r="AR15" s="2" t="n">
        <v>252700.3081393375</v>
      </c>
    </row>
    <row r="16">
      <c r="H16" s="2" t="inlineStr">
        <is>
          <t>22º Pavimento</t>
        </is>
      </c>
      <c r="J16" s="2" t="n">
        <v>700.6245</v>
      </c>
      <c r="K16" s="2" t="n">
        <v>242.8</v>
      </c>
      <c r="L16" s="2" t="n">
        <v>1353.789475</v>
      </c>
      <c r="O16" s="2" t="n">
        <v>18672.25</v>
      </c>
      <c r="P16" s="2" t="n">
        <v>700.6245</v>
      </c>
      <c r="S16" s="2" t="n">
        <v>155203.7086</v>
      </c>
      <c r="T16" s="2" t="n">
        <v>180460.1370175</v>
      </c>
      <c r="V16" s="2" t="n">
        <v>108542.7228625</v>
      </c>
      <c r="W16" s="2" t="n">
        <v>52188.93875</v>
      </c>
      <c r="Y16" s="2" t="n">
        <v>9521.592048674998</v>
      </c>
      <c r="AA16" s="2" t="n">
        <v>505917.099278675</v>
      </c>
      <c r="AQ16" s="2" t="n">
        <v>505917.099278675</v>
      </c>
    </row>
    <row r="17">
      <c r="H17" s="2" t="inlineStr">
        <is>
          <t>21º Pavimento</t>
        </is>
      </c>
      <c r="J17" s="2" t="n">
        <v>700.6245</v>
      </c>
      <c r="K17" s="2" t="n">
        <v>242.8</v>
      </c>
      <c r="L17" s="2" t="n">
        <v>1353.789475</v>
      </c>
      <c r="O17" s="2" t="n">
        <v>18849.25</v>
      </c>
      <c r="P17" s="2" t="n">
        <v>700.6245</v>
      </c>
      <c r="S17" s="2" t="n">
        <v>155203.7086</v>
      </c>
      <c r="T17" s="2" t="n">
        <v>180460.1370175</v>
      </c>
      <c r="V17" s="2" t="n">
        <v>109571.6327125</v>
      </c>
      <c r="W17" s="2" t="n">
        <v>52683.65375</v>
      </c>
      <c r="Y17" s="2" t="n">
        <v>9521.592048674998</v>
      </c>
      <c r="AA17" s="2" t="n">
        <v>507440.7241286749</v>
      </c>
      <c r="AQ17" s="2" t="n">
        <v>507440.7241286749</v>
      </c>
    </row>
    <row r="18">
      <c r="H18" s="2" t="inlineStr">
        <is>
          <t>20º Pavimento</t>
        </is>
      </c>
      <c r="J18" s="2" t="n">
        <v>700.6245</v>
      </c>
      <c r="K18" s="2" t="n">
        <v>242.8</v>
      </c>
      <c r="L18" s="2" t="n">
        <v>1353.789475</v>
      </c>
      <c r="O18" s="2" t="n">
        <v>19054.25</v>
      </c>
      <c r="P18" s="2" t="n">
        <v>700.6245</v>
      </c>
      <c r="S18" s="2" t="n">
        <v>155203.7086</v>
      </c>
      <c r="T18" s="2" t="n">
        <v>180460.1370175</v>
      </c>
      <c r="V18" s="2" t="n">
        <v>110763.3079625</v>
      </c>
      <c r="W18" s="2" t="n">
        <v>53256.62875</v>
      </c>
      <c r="Y18" s="2" t="n">
        <v>9521.592048674998</v>
      </c>
      <c r="AA18" s="2" t="n">
        <v>509205.3743786749</v>
      </c>
      <c r="AP18" s="2" t="n">
        <v>509205.3743786749</v>
      </c>
    </row>
    <row r="19">
      <c r="H19" s="2" t="inlineStr">
        <is>
          <t>19º Pavimento</t>
        </is>
      </c>
      <c r="J19" s="2" t="n">
        <v>700.6245</v>
      </c>
      <c r="K19" s="2" t="n">
        <v>242.8</v>
      </c>
      <c r="L19" s="2" t="n">
        <v>1353.789475</v>
      </c>
      <c r="O19" s="2" t="n">
        <v>19143.25</v>
      </c>
      <c r="P19" s="2" t="n">
        <v>700.6245</v>
      </c>
      <c r="S19" s="2" t="n">
        <v>155203.7086</v>
      </c>
      <c r="T19" s="2" t="n">
        <v>180460.1370175</v>
      </c>
      <c r="V19" s="2" t="n">
        <v>111280.6694125</v>
      </c>
      <c r="W19" s="2" t="n">
        <v>53505.38375</v>
      </c>
      <c r="Y19" s="2" t="n">
        <v>9521.592048674998</v>
      </c>
      <c r="AA19" s="2" t="n">
        <v>509971.4908286749</v>
      </c>
      <c r="AP19" s="2" t="n">
        <v>509971.4908286749</v>
      </c>
    </row>
    <row r="20">
      <c r="H20" s="2" t="inlineStr">
        <is>
          <t>18º Pavimento</t>
        </is>
      </c>
      <c r="J20" s="2" t="n">
        <v>700.6245</v>
      </c>
      <c r="K20" s="2" t="n">
        <v>242.8</v>
      </c>
      <c r="L20" s="2" t="n">
        <v>1353.789475</v>
      </c>
      <c r="O20" s="2" t="n">
        <v>19196.25</v>
      </c>
      <c r="P20" s="2" t="n">
        <v>700.6245</v>
      </c>
      <c r="S20" s="2" t="n">
        <v>155203.7086</v>
      </c>
      <c r="T20" s="2" t="n">
        <v>180460.1370175</v>
      </c>
      <c r="V20" s="2" t="n">
        <v>111588.7610625</v>
      </c>
      <c r="W20" s="2" t="n">
        <v>53653.51875</v>
      </c>
      <c r="Y20" s="2" t="n">
        <v>9521.592048674998</v>
      </c>
      <c r="AA20" s="2" t="n">
        <v>510427.717478675</v>
      </c>
      <c r="AO20" s="2" t="n">
        <v>255213.8587393375</v>
      </c>
      <c r="AP20" s="2" t="n">
        <v>255213.8587393375</v>
      </c>
    </row>
    <row r="21">
      <c r="H21" s="2" t="inlineStr">
        <is>
          <t>17º Pavimento</t>
        </is>
      </c>
      <c r="J21" s="2" t="n">
        <v>700.6245</v>
      </c>
      <c r="K21" s="2" t="n">
        <v>242.8</v>
      </c>
      <c r="L21" s="2" t="n">
        <v>1353.789475</v>
      </c>
      <c r="O21" s="2" t="n">
        <v>19494.25</v>
      </c>
      <c r="P21" s="2" t="n">
        <v>700.6245</v>
      </c>
      <c r="S21" s="2" t="n">
        <v>155203.7086</v>
      </c>
      <c r="T21" s="2" t="n">
        <v>180460.1370175</v>
      </c>
      <c r="V21" s="2" t="n">
        <v>113321.0499625</v>
      </c>
      <c r="W21" s="2" t="n">
        <v>54486.42875</v>
      </c>
      <c r="Y21" s="2" t="n">
        <v>9521.592048674998</v>
      </c>
      <c r="AA21" s="2" t="n">
        <v>512992.916378675</v>
      </c>
      <c r="AO21" s="2" t="n">
        <v>512992.916378675</v>
      </c>
    </row>
    <row r="22">
      <c r="H22" s="2" t="inlineStr">
        <is>
          <t>16º Pavimento</t>
        </is>
      </c>
      <c r="J22" s="2" t="n">
        <v>700.6245</v>
      </c>
      <c r="K22" s="2" t="n">
        <v>242.8</v>
      </c>
      <c r="L22" s="2" t="n">
        <v>1353.789475</v>
      </c>
      <c r="O22" s="2" t="n">
        <v>19774.25</v>
      </c>
      <c r="P22" s="2" t="n">
        <v>700.6245</v>
      </c>
      <c r="S22" s="2" t="n">
        <v>155203.7086</v>
      </c>
      <c r="T22" s="2" t="n">
        <v>180460.1370175</v>
      </c>
      <c r="V22" s="2" t="n">
        <v>114948.7039625</v>
      </c>
      <c r="W22" s="2" t="n">
        <v>55269.02875</v>
      </c>
      <c r="Y22" s="2" t="n">
        <v>9521.592048674998</v>
      </c>
      <c r="AA22" s="2" t="n">
        <v>515403.1703786749</v>
      </c>
      <c r="AO22" s="2" t="n">
        <v>515403.1703786749</v>
      </c>
    </row>
    <row r="23">
      <c r="H23" s="2" t="inlineStr">
        <is>
          <t>15º Pavimento</t>
        </is>
      </c>
      <c r="J23" s="2" t="n">
        <v>700.6245</v>
      </c>
      <c r="K23" s="2" t="n">
        <v>242.8</v>
      </c>
      <c r="L23" s="2" t="n">
        <v>1353.789475</v>
      </c>
      <c r="O23" s="2" t="n">
        <v>20369.25</v>
      </c>
      <c r="P23" s="2" t="n">
        <v>700.6245</v>
      </c>
      <c r="S23" s="2" t="n">
        <v>155203.7086</v>
      </c>
      <c r="T23" s="2" t="n">
        <v>180460.1370175</v>
      </c>
      <c r="V23" s="2" t="n">
        <v>118407.4687125</v>
      </c>
      <c r="W23" s="2" t="n">
        <v>56932.05375</v>
      </c>
      <c r="Y23" s="2" t="n">
        <v>9521.592048674998</v>
      </c>
      <c r="AA23" s="2" t="n">
        <v>520524.960128675</v>
      </c>
      <c r="AN23" s="2" t="n">
        <v>520524.960128675</v>
      </c>
    </row>
    <row r="24">
      <c r="H24" s="2" t="inlineStr">
        <is>
          <t>14º Pavimento</t>
        </is>
      </c>
      <c r="J24" s="2" t="n">
        <v>700.6245</v>
      </c>
      <c r="K24" s="2" t="n">
        <v>242.8</v>
      </c>
      <c r="L24" s="2" t="n">
        <v>1353.789475</v>
      </c>
      <c r="O24" s="2" t="n">
        <v>20869.25</v>
      </c>
      <c r="P24" s="2" t="n">
        <v>700.6245</v>
      </c>
      <c r="S24" s="2" t="n">
        <v>155203.7086</v>
      </c>
      <c r="T24" s="2" t="n">
        <v>180460.1370175</v>
      </c>
      <c r="V24" s="2" t="n">
        <v>121313.9937125</v>
      </c>
      <c r="W24" s="2" t="n">
        <v>58329.55375</v>
      </c>
      <c r="Y24" s="2" t="n">
        <v>9521.592048674998</v>
      </c>
      <c r="AA24" s="2" t="n">
        <v>524828.985128675</v>
      </c>
      <c r="AN24" s="2" t="n">
        <v>524828.985128675</v>
      </c>
    </row>
    <row r="25">
      <c r="H25" s="2" t="inlineStr">
        <is>
          <t>13º Pavimento</t>
        </is>
      </c>
      <c r="J25" s="2" t="n">
        <v>700.6245</v>
      </c>
      <c r="K25" s="2" t="n">
        <v>242.8</v>
      </c>
      <c r="L25" s="2" t="n">
        <v>1353.789475</v>
      </c>
      <c r="O25" s="2" t="n">
        <v>21241.25</v>
      </c>
      <c r="P25" s="2" t="n">
        <v>700.6245</v>
      </c>
      <c r="S25" s="2" t="n">
        <v>176838.47544</v>
      </c>
      <c r="T25" s="2" t="n">
        <v>180460.1370175</v>
      </c>
      <c r="V25" s="2" t="n">
        <v>123476.4483125</v>
      </c>
      <c r="W25" s="2" t="n">
        <v>59369.29375</v>
      </c>
      <c r="Y25" s="2" t="n">
        <v>9521.592048674998</v>
      </c>
      <c r="AA25" s="2" t="n">
        <v>549665.946568675</v>
      </c>
      <c r="AM25" s="2" t="n">
        <v>274832.9732843375</v>
      </c>
      <c r="AN25" s="2" t="n">
        <v>274832.9732843375</v>
      </c>
    </row>
    <row r="26">
      <c r="H26" s="2" t="inlineStr">
        <is>
          <t>12º Pavimento</t>
        </is>
      </c>
      <c r="J26" s="2" t="n">
        <v>700.6245</v>
      </c>
      <c r="K26" s="2" t="n">
        <v>242.8</v>
      </c>
      <c r="L26" s="2" t="n">
        <v>1353.789475</v>
      </c>
      <c r="O26" s="2" t="n">
        <v>21320.25</v>
      </c>
      <c r="P26" s="2" t="n">
        <v>700.6245</v>
      </c>
      <c r="S26" s="2" t="n">
        <v>176838.47544</v>
      </c>
      <c r="T26" s="2" t="n">
        <v>180460.1370175</v>
      </c>
      <c r="V26" s="2" t="n">
        <v>123935.6792625</v>
      </c>
      <c r="W26" s="2" t="n">
        <v>59590.09875</v>
      </c>
      <c r="Y26" s="2" t="n">
        <v>9521.592048674998</v>
      </c>
      <c r="AA26" s="2" t="n">
        <v>550345.982518675</v>
      </c>
      <c r="AM26" s="2" t="n">
        <v>550345.982518675</v>
      </c>
    </row>
    <row r="27">
      <c r="H27" s="2" t="inlineStr">
        <is>
          <t>11º Pavimento</t>
        </is>
      </c>
      <c r="J27" s="2" t="n">
        <v>700.6245</v>
      </c>
      <c r="K27" s="2" t="n">
        <v>242.8</v>
      </c>
      <c r="L27" s="2" t="n">
        <v>1353.789475</v>
      </c>
      <c r="O27" s="2" t="n">
        <v>21535.25</v>
      </c>
      <c r="P27" s="2" t="n">
        <v>700.6245</v>
      </c>
      <c r="S27" s="2" t="n">
        <v>176838.47544</v>
      </c>
      <c r="T27" s="2" t="n">
        <v>180460.1370175</v>
      </c>
      <c r="V27" s="2" t="n">
        <v>125185.4850125</v>
      </c>
      <c r="W27" s="2" t="n">
        <v>60191.02375</v>
      </c>
      <c r="Y27" s="2" t="n">
        <v>9521.592048674998</v>
      </c>
      <c r="AA27" s="2" t="n">
        <v>552196.713268675</v>
      </c>
      <c r="AM27" s="2" t="n">
        <v>552196.713268675</v>
      </c>
    </row>
    <row r="28">
      <c r="H28" s="2" t="inlineStr">
        <is>
          <t>10º Pavimento</t>
        </is>
      </c>
      <c r="J28" s="2" t="n">
        <v>700.6245</v>
      </c>
      <c r="K28" s="2" t="n">
        <v>242.8</v>
      </c>
      <c r="L28" s="2" t="n">
        <v>1353.789475</v>
      </c>
      <c r="O28" s="2" t="n">
        <v>22199.25</v>
      </c>
      <c r="P28" s="2" t="n">
        <v>700.6245</v>
      </c>
      <c r="S28" s="2" t="n">
        <v>176838.47544</v>
      </c>
      <c r="T28" s="2" t="n">
        <v>180460.1370175</v>
      </c>
      <c r="V28" s="2" t="n">
        <v>129045.3502125</v>
      </c>
      <c r="W28" s="2" t="n">
        <v>62046.90375</v>
      </c>
      <c r="Y28" s="2" t="n">
        <v>9521.592048674998</v>
      </c>
      <c r="AA28" s="2" t="n">
        <v>557912.4584686749</v>
      </c>
      <c r="AL28" s="2" t="n">
        <v>557912.4584686749</v>
      </c>
    </row>
    <row r="29">
      <c r="H29" s="2" t="inlineStr">
        <is>
          <t>9º Pavimento</t>
        </is>
      </c>
      <c r="J29" s="2" t="n">
        <v>700.6245</v>
      </c>
      <c r="K29" s="2" t="n">
        <v>242.8</v>
      </c>
      <c r="L29" s="2" t="n">
        <v>1353.789475</v>
      </c>
      <c r="O29" s="2" t="n">
        <v>22980.25</v>
      </c>
      <c r="P29" s="2" t="n">
        <v>700.6245</v>
      </c>
      <c r="S29" s="2" t="n">
        <v>176838.47544</v>
      </c>
      <c r="T29" s="2" t="n">
        <v>180460.1370175</v>
      </c>
      <c r="V29" s="2" t="n">
        <v>133585.3422625</v>
      </c>
      <c r="W29" s="2" t="n">
        <v>64229.79875</v>
      </c>
      <c r="Y29" s="2" t="n">
        <v>9521.592048674998</v>
      </c>
      <c r="AA29" s="2" t="n">
        <v>564635.3455186749</v>
      </c>
      <c r="AL29" s="2" t="n">
        <v>564635.3455186749</v>
      </c>
    </row>
    <row r="30">
      <c r="H30" s="2" t="inlineStr">
        <is>
          <t>8º Pavimento</t>
        </is>
      </c>
      <c r="J30" s="2" t="n">
        <v>700.6245</v>
      </c>
      <c r="K30" s="2" t="n">
        <v>242.8</v>
      </c>
      <c r="L30" s="2" t="n">
        <v>1353.789475</v>
      </c>
      <c r="O30" s="2" t="n">
        <v>26116.25</v>
      </c>
      <c r="P30" s="2" t="n">
        <v>700.6245</v>
      </c>
      <c r="S30" s="2" t="n">
        <v>176838.47544</v>
      </c>
      <c r="T30" s="2" t="n">
        <v>180460.1370175</v>
      </c>
      <c r="V30" s="2" t="n">
        <v>151815.0670625</v>
      </c>
      <c r="W30" s="2" t="n">
        <v>72994.91875</v>
      </c>
      <c r="Y30" s="2" t="n">
        <v>9521.592048674998</v>
      </c>
      <c r="AA30" s="2" t="n">
        <v>591630.190318675</v>
      </c>
      <c r="AK30" s="2" t="n">
        <v>473304.15225494</v>
      </c>
      <c r="AL30" s="2" t="n">
        <v>118326.038063735</v>
      </c>
    </row>
    <row r="31">
      <c r="H31" s="2" t="inlineStr">
        <is>
          <t>7º Pavimento</t>
        </is>
      </c>
      <c r="J31" s="2" t="n">
        <v>700.6245</v>
      </c>
      <c r="K31" s="2" t="n">
        <v>283</v>
      </c>
      <c r="L31" s="2" t="n">
        <v>2188.9150945775</v>
      </c>
      <c r="O31" s="2" t="n">
        <v>29864.25</v>
      </c>
      <c r="P31" s="2" t="n">
        <v>700.6245</v>
      </c>
      <c r="S31" s="2" t="n">
        <v>206117.3334</v>
      </c>
      <c r="T31" s="2" t="n">
        <v>291782.3821071807</v>
      </c>
      <c r="V31" s="2" t="n">
        <v>173602.3784625</v>
      </c>
      <c r="W31" s="2" t="n">
        <v>83470.57875</v>
      </c>
      <c r="Y31" s="2" t="n">
        <v>9521.592048674998</v>
      </c>
      <c r="AA31" s="2" t="n">
        <v>764494.2647683558</v>
      </c>
      <c r="AK31" s="2" t="n">
        <v>764494.2647683558</v>
      </c>
    </row>
    <row r="32">
      <c r="H32" s="2" t="inlineStr">
        <is>
          <t>6º Pavimento</t>
        </is>
      </c>
      <c r="J32" s="2" t="n">
        <v>700.6245</v>
      </c>
      <c r="K32" s="2" t="n">
        <v>651.8</v>
      </c>
      <c r="L32" s="2" t="n">
        <v>1867.22755</v>
      </c>
      <c r="M32" s="2" t="n">
        <v>1450.773</v>
      </c>
      <c r="N32" s="2" t="n">
        <v>8374</v>
      </c>
      <c r="O32" s="2" t="n">
        <v>73559</v>
      </c>
      <c r="Q32" s="2" t="n">
        <v>700.6245</v>
      </c>
      <c r="S32" s="2" t="n">
        <v>452127.5879999999</v>
      </c>
      <c r="T32" s="2" t="n">
        <v>248901.432415</v>
      </c>
      <c r="U32" s="2" t="n">
        <v>229258.403325</v>
      </c>
      <c r="V32" s="2" t="n">
        <v>427602.14495</v>
      </c>
      <c r="W32" s="2" t="n">
        <v>205597.405</v>
      </c>
      <c r="X32" s="2" t="n">
        <v>216454.1118129405</v>
      </c>
      <c r="Y32" s="2" t="n">
        <v>9521.592048674998</v>
      </c>
      <c r="AA32" s="2" t="n">
        <v>1789462.677551616</v>
      </c>
      <c r="AI32" s="2" t="n">
        <v>164630.5663347486</v>
      </c>
      <c r="AJ32" s="2" t="n">
        <v>1317044.530677989</v>
      </c>
      <c r="AK32" s="2" t="n">
        <v>164630.5663347486</v>
      </c>
      <c r="AP32" s="2" t="n">
        <v>143157.0142041293</v>
      </c>
    </row>
    <row r="33">
      <c r="H33" s="2" t="inlineStr">
        <is>
          <t>5º Pavimento</t>
        </is>
      </c>
      <c r="J33" s="2" t="n">
        <v>1832.3226</v>
      </c>
      <c r="K33" s="2" t="n">
        <v>595.9</v>
      </c>
      <c r="L33" s="2" t="n">
        <v>1293.453075</v>
      </c>
      <c r="M33" s="2" t="n">
        <v>1629.1093</v>
      </c>
      <c r="N33" s="2" t="n">
        <v>8420</v>
      </c>
      <c r="O33" s="2" t="n">
        <v>59883</v>
      </c>
      <c r="Q33" s="2" t="n">
        <v>1832.3226</v>
      </c>
      <c r="S33" s="2" t="n">
        <v>431640.165</v>
      </c>
      <c r="T33" s="2" t="n">
        <v>160388.1813</v>
      </c>
      <c r="U33" s="2" t="n">
        <v>239479.0671</v>
      </c>
      <c r="V33" s="2" t="n">
        <v>329955.33</v>
      </c>
      <c r="W33" s="2" t="n">
        <v>155695.8</v>
      </c>
      <c r="X33" s="2" t="n">
        <v>206296.8114424311</v>
      </c>
      <c r="Y33" s="2" t="n">
        <v>29270.4373737</v>
      </c>
      <c r="AA33" s="2" t="n">
        <v>1552725.792216131</v>
      </c>
      <c r="AI33" s="2" t="n">
        <v>698685.1504388406</v>
      </c>
      <c r="AJ33" s="2" t="n">
        <v>399867.2484</v>
      </c>
      <c r="AK33" s="2" t="n">
        <v>329955.33</v>
      </c>
      <c r="AP33" s="2" t="n">
        <v>124218.0633772905</v>
      </c>
    </row>
    <row r="34">
      <c r="H34" s="2" t="inlineStr">
        <is>
          <t>4º Pavimento</t>
        </is>
      </c>
      <c r="J34" s="2" t="n">
        <v>1832.3226</v>
      </c>
      <c r="K34" s="2" t="n">
        <v>599.5</v>
      </c>
      <c r="L34" s="2" t="n">
        <v>1248.109575</v>
      </c>
      <c r="M34" s="2" t="n">
        <v>1665.837</v>
      </c>
      <c r="N34" s="2" t="n">
        <v>8420</v>
      </c>
      <c r="O34" s="2" t="n">
        <v>59812.5</v>
      </c>
      <c r="Q34" s="2" t="n">
        <v>1832.3226</v>
      </c>
      <c r="S34" s="2" t="n">
        <v>434247.825</v>
      </c>
      <c r="T34" s="2" t="n">
        <v>154765.5873</v>
      </c>
      <c r="U34" s="2" t="n">
        <v>244878.039</v>
      </c>
      <c r="V34" s="2" t="n">
        <v>329566.875</v>
      </c>
      <c r="W34" s="2" t="n">
        <v>155512.5</v>
      </c>
      <c r="X34" s="2" t="n">
        <v>206296.8114424311</v>
      </c>
      <c r="Y34" s="2" t="n">
        <v>29270.4373737</v>
      </c>
      <c r="AA34" s="2" t="n">
        <v>1554538.075116131</v>
      </c>
      <c r="AH34" s="2" t="n">
        <v>1100608.15410684</v>
      </c>
      <c r="AI34" s="2" t="n">
        <v>329566.875</v>
      </c>
      <c r="AO34" s="2" t="n">
        <v>124363.0460092905</v>
      </c>
    </row>
    <row r="35">
      <c r="H35" s="2" t="inlineStr">
        <is>
          <t>3º Pavimento</t>
        </is>
      </c>
      <c r="J35" s="2" t="n">
        <v>1832.3226</v>
      </c>
      <c r="K35" s="2" t="n">
        <v>599.5</v>
      </c>
      <c r="L35" s="2" t="n">
        <v>1248.109575</v>
      </c>
      <c r="M35" s="2" t="n">
        <v>1665.837</v>
      </c>
      <c r="N35" s="2" t="n">
        <v>8420</v>
      </c>
      <c r="O35" s="2" t="n">
        <v>61071.5</v>
      </c>
      <c r="Q35" s="2" t="n">
        <v>1832.3226</v>
      </c>
      <c r="S35" s="2" t="n">
        <v>434247.825</v>
      </c>
      <c r="T35" s="2" t="n">
        <v>154765.5873</v>
      </c>
      <c r="U35" s="2" t="n">
        <v>244878.039</v>
      </c>
      <c r="V35" s="2" t="n">
        <v>336503.965</v>
      </c>
      <c r="W35" s="2" t="n">
        <v>158785.9</v>
      </c>
      <c r="X35" s="2" t="n">
        <v>206296.8114424311</v>
      </c>
      <c r="Y35" s="2" t="n">
        <v>29270.4373737</v>
      </c>
      <c r="AA35" s="2" t="n">
        <v>1564748.565116131</v>
      </c>
      <c r="AG35" s="2" t="n">
        <v>459834.3399534203</v>
      </c>
      <c r="AH35" s="2" t="n">
        <v>259950</v>
      </c>
      <c r="AI35" s="2" t="n">
        <v>719784.3399534203</v>
      </c>
      <c r="AO35" s="2" t="n">
        <v>125179.8852092905</v>
      </c>
    </row>
    <row r="36">
      <c r="H36" s="2" t="inlineStr">
        <is>
          <t>2º Pavimento</t>
        </is>
      </c>
      <c r="J36" s="2" t="n">
        <v>1832.3226</v>
      </c>
      <c r="K36" s="2" t="n">
        <v>601.8</v>
      </c>
      <c r="L36" s="2" t="n">
        <v>2283.92524872</v>
      </c>
      <c r="M36" s="2" t="n">
        <v>2080.60795356</v>
      </c>
      <c r="N36" s="2" t="n">
        <v>8420</v>
      </c>
      <c r="O36" s="2" t="n">
        <v>63866</v>
      </c>
      <c r="Q36" s="2" t="n">
        <v>1832.3226</v>
      </c>
      <c r="S36" s="2" t="n">
        <v>435913.83</v>
      </c>
      <c r="T36" s="2" t="n">
        <v>283206.73084128</v>
      </c>
      <c r="U36" s="2" t="n">
        <v>305849.36917332</v>
      </c>
      <c r="V36" s="2" t="n">
        <v>351901.66</v>
      </c>
      <c r="W36" s="2" t="n">
        <v>166051.6</v>
      </c>
      <c r="X36" s="2" t="n">
        <v>206296.8114424311</v>
      </c>
      <c r="Y36" s="2" t="n">
        <v>29270.4373737</v>
      </c>
      <c r="AA36" s="2" t="n">
        <v>1778490.438830731</v>
      </c>
      <c r="AF36" s="2" t="n">
        <v>327242.2407448546</v>
      </c>
      <c r="AG36" s="2" t="n">
        <v>1049018.962979418</v>
      </c>
      <c r="AH36" s="2" t="n">
        <v>259950</v>
      </c>
      <c r="AN36" s="2" t="n">
        <v>142279.2351064585</v>
      </c>
    </row>
    <row r="37">
      <c r="H37" s="2" t="inlineStr">
        <is>
          <t>Intermediário</t>
        </is>
      </c>
      <c r="J37" s="2" t="n">
        <v>241.235</v>
      </c>
      <c r="K37" s="2" t="n">
        <v>123.1</v>
      </c>
      <c r="L37" s="2" t="n">
        <v>767.8516999999999</v>
      </c>
      <c r="M37" s="2" t="n">
        <v>0</v>
      </c>
      <c r="O37" s="2" t="n">
        <v>20261</v>
      </c>
      <c r="Q37" s="2" t="n">
        <v>241.235</v>
      </c>
      <c r="S37" s="2" t="n">
        <v>82247.12306</v>
      </c>
      <c r="T37" s="2" t="n">
        <v>95213.61079999999</v>
      </c>
      <c r="U37" s="2" t="n">
        <v>0</v>
      </c>
      <c r="V37" s="2" t="n">
        <v>111638.11</v>
      </c>
      <c r="W37" s="2" t="n">
        <v>52678.6</v>
      </c>
      <c r="X37" s="2" t="n">
        <v>0</v>
      </c>
      <c r="Y37" s="2" t="n">
        <v>3853.6085075</v>
      </c>
      <c r="AA37" s="2" t="n">
        <v>345631.0523674999</v>
      </c>
      <c r="AF37" s="2" t="n">
        <v>241941.7366572499</v>
      </c>
      <c r="AG37" s="2" t="n">
        <v>103689.31571025</v>
      </c>
    </row>
    <row r="38">
      <c r="H38" s="2" t="inlineStr">
        <is>
          <t>Térreo</t>
        </is>
      </c>
      <c r="J38" s="2" t="n">
        <v>1832.3226</v>
      </c>
      <c r="K38" s="2" t="n">
        <v>839.9000000000001</v>
      </c>
      <c r="L38" s="2" t="n">
        <v>2722.676121225998</v>
      </c>
      <c r="M38" s="2" t="n">
        <v>2893.307860639999</v>
      </c>
      <c r="O38" s="2" t="n">
        <v>113712</v>
      </c>
      <c r="Q38" s="2" t="n">
        <v>1832.3226</v>
      </c>
      <c r="S38" s="2" t="n">
        <v>561164.5707400001</v>
      </c>
      <c r="T38" s="2" t="n">
        <v>337611.8390320238</v>
      </c>
      <c r="U38" s="2" t="n">
        <v>425316.2555140799</v>
      </c>
      <c r="V38" s="2" t="n">
        <v>626553.12</v>
      </c>
      <c r="W38" s="2" t="n">
        <v>295651.2</v>
      </c>
      <c r="X38" s="2" t="n">
        <v>0</v>
      </c>
      <c r="Y38" s="2" t="n">
        <v>29270.4373737</v>
      </c>
      <c r="AA38" s="2" t="n">
        <v>2275567.422659804</v>
      </c>
      <c r="AC38" s="2" t="n">
        <v>341589.550001</v>
      </c>
      <c r="AD38" s="2" t="n">
        <v>650557.023077</v>
      </c>
      <c r="AE38" s="2" t="n">
        <v>715326.3</v>
      </c>
      <c r="AF38" s="2" t="n">
        <v>340537.8073158234</v>
      </c>
      <c r="AN38" s="2" t="n">
        <v>227556.7422659804</v>
      </c>
    </row>
    <row r="39">
      <c r="H39" s="2" t="inlineStr">
        <is>
          <t>Subsolo</t>
        </is>
      </c>
      <c r="J39" s="2" t="n">
        <v>2837.0822</v>
      </c>
      <c r="AA39" s="2" t="n">
        <v>0</v>
      </c>
    </row>
    <row r="40">
      <c r="H40" s="2" t="inlineStr">
        <is>
          <t>Fundação</t>
        </is>
      </c>
      <c r="AA40" s="2" t="n">
        <v>0</v>
      </c>
    </row>
    <row r="42">
      <c r="K42" s="2" t="inlineStr">
        <is>
          <t>Valor de Orçamento</t>
        </is>
      </c>
    </row>
    <row r="43">
      <c r="H43" s="2" t="inlineStr">
        <is>
          <t>R$</t>
        </is>
      </c>
      <c r="K43" s="2" t="n">
        <v>25651081.59268831</v>
      </c>
      <c r="AA43" s="2" t="n">
        <v>25098272.88902724</v>
      </c>
      <c r="AC43" s="2" t="n">
        <v>341589.550001</v>
      </c>
      <c r="AD43" s="2" t="n">
        <v>650557.023077</v>
      </c>
      <c r="AE43" s="2" t="n">
        <v>715326.3</v>
      </c>
      <c r="AF43" s="2" t="n">
        <v>909721.7847179279</v>
      </c>
      <c r="AG43" s="2" t="n">
        <v>1612542.618643088</v>
      </c>
      <c r="AH43" s="2" t="n">
        <v>1620508.15410684</v>
      </c>
      <c r="AI43" s="2" t="n">
        <v>1912666.931727009</v>
      </c>
      <c r="AJ43" s="2" t="n">
        <v>1716911.779077989</v>
      </c>
      <c r="AK43" s="2" t="n">
        <v>1732384.313358044</v>
      </c>
      <c r="AL43" s="2" t="n">
        <v>1240873.842051085</v>
      </c>
      <c r="AM43" s="2" t="n">
        <v>1377375.669071687</v>
      </c>
      <c r="AN43" s="2" t="n">
        <v>1690022.895914126</v>
      </c>
      <c r="AO43" s="2" t="n">
        <v>1533152.876715268</v>
      </c>
      <c r="AP43" s="2" t="n">
        <v>1541765.801528107</v>
      </c>
      <c r="AQ43" s="2" t="n">
        <v>1266058.131546687</v>
      </c>
      <c r="AR43" s="2" t="n">
        <v>1261900.443396688</v>
      </c>
      <c r="AS43" s="2" t="n">
        <v>1261551.817371687</v>
      </c>
      <c r="AT43" s="2" t="n">
        <v>1261500.169071687</v>
      </c>
      <c r="AU43" s="2" t="n">
        <v>374755.3748546615</v>
      </c>
      <c r="AV43" s="2" t="n">
        <v>374517.0811450728</v>
      </c>
      <c r="AW43" s="2" t="n">
        <v>361591.0206890635</v>
      </c>
      <c r="AX43" s="2" t="n">
        <v>340999.3109625191</v>
      </c>
    </row>
    <row r="44">
      <c r="H44" s="2" t="inlineStr">
        <is>
          <t>INCC</t>
        </is>
      </c>
      <c r="K44" s="2" t="n">
        <v>21082.39919313976</v>
      </c>
      <c r="AA44" s="2" t="n">
        <v>20481.73155907488</v>
      </c>
      <c r="AC44" s="2" t="n">
        <v>278.7580443260068</v>
      </c>
      <c r="AD44" s="2" t="n">
        <v>530.8944710836806</v>
      </c>
      <c r="AE44" s="2" t="n">
        <v>583.7501774933532</v>
      </c>
      <c r="AF44" s="2" t="n">
        <v>742.3888277261167</v>
      </c>
      <c r="AG44" s="2" t="n">
        <v>1315.933777142682</v>
      </c>
      <c r="AH44" s="2" t="n">
        <v>1322.434143116637</v>
      </c>
      <c r="AI44" s="2" t="n">
        <v>1560.853642430467</v>
      </c>
      <c r="AJ44" s="2" t="n">
        <v>1401.105419690573</v>
      </c>
      <c r="AK44" s="2" t="n">
        <v>1413.731957582797</v>
      </c>
      <c r="AL44" s="2" t="n">
        <v>1012.629237236461</v>
      </c>
      <c r="AM44" s="2" t="n">
        <v>1124.023108468993</v>
      </c>
      <c r="AN44" s="2" t="n">
        <v>1379.162440214629</v>
      </c>
      <c r="AO44" s="2" t="n">
        <v>1251.14687368126</v>
      </c>
      <c r="AP44" s="2" t="n">
        <v>1258.175549109846</v>
      </c>
      <c r="AQ44" s="2" t="n">
        <v>1033.181163627399</v>
      </c>
      <c r="AR44" s="2" t="n">
        <v>1029.788234840181</v>
      </c>
      <c r="AS44" s="2" t="n">
        <v>1029.503734600258</v>
      </c>
      <c r="AT44" s="2" t="n">
        <v>1029.461586416566</v>
      </c>
      <c r="AU44" s="2" t="n">
        <v>305.8233935869501</v>
      </c>
      <c r="AV44" s="2" t="n">
        <v>305.6289312901383</v>
      </c>
      <c r="AW44" s="2" t="n">
        <v>295.0804723763736</v>
      </c>
      <c r="AX44" s="2" t="n">
        <v>278.2763730335117</v>
      </c>
    </row>
    <row r="45">
      <c r="A45" s="2" t="inlineStr">
        <is>
          <t>REAJUSTE</t>
        </is>
      </c>
      <c r="C45" s="2" t="n">
        <v>1.075</v>
      </c>
      <c r="D45" s="2" t="n">
        <v>1.075</v>
      </c>
      <c r="E45" s="2" t="n">
        <v>1.075</v>
      </c>
    </row>
    <row r="46">
      <c r="B46" s="2" t="n">
        <v>2025</v>
      </c>
      <c r="C46" s="2" t="n">
        <v>2026</v>
      </c>
      <c r="D46" s="2" t="n">
        <v>2027</v>
      </c>
      <c r="E46" s="2" t="n">
        <v>2028</v>
      </c>
    </row>
    <row r="47">
      <c r="A47" s="2" t="inlineStr">
        <is>
          <t>FORMA PLANA</t>
        </is>
      </c>
      <c r="B47" s="2" t="n">
        <v>119.8625</v>
      </c>
      <c r="C47" s="2" t="n">
        <v>124</v>
      </c>
      <c r="D47" s="2" t="n">
        <v>133.3</v>
      </c>
      <c r="E47" s="2" t="n">
        <v>143.2975</v>
      </c>
    </row>
    <row r="48">
      <c r="A48" s="2" t="inlineStr">
        <is>
          <t>FORMA NERVURADA</t>
        </is>
      </c>
      <c r="B48" s="2" t="n">
        <v>146.7375</v>
      </c>
      <c r="C48" s="2" t="n">
        <v>147</v>
      </c>
      <c r="D48" s="2" t="n">
        <v>158.025</v>
      </c>
      <c r="E48" s="2" t="n">
        <v>169.876875</v>
      </c>
      <c r="AF48" s="2" t="inlineStr">
        <is>
          <t>Porcentagem a ser executada depois</t>
        </is>
      </c>
      <c r="AG48" s="2" t="n">
        <v>0.1</v>
      </c>
    </row>
    <row r="49">
      <c r="A49" s="2" t="inlineStr">
        <is>
          <t>ARMAÇÃO - MDO</t>
        </is>
      </c>
      <c r="B49" s="2" t="n">
        <v>2.45</v>
      </c>
      <c r="C49" s="2" t="n">
        <v>2.6</v>
      </c>
      <c r="D49" s="2" t="n">
        <v>2.795</v>
      </c>
      <c r="E49" s="2" t="n">
        <v>3.004625</v>
      </c>
      <c r="AG49" s="2" t="n">
        <v>0.08</v>
      </c>
    </row>
    <row r="50">
      <c r="A50" s="2" t="inlineStr">
        <is>
          <t>SARRAFEAMENTO</t>
        </is>
      </c>
      <c r="B50" s="2" t="n">
        <v>9.199999999999999</v>
      </c>
      <c r="C50" s="2" t="n">
        <v>9.889999999999999</v>
      </c>
      <c r="D50" s="2" t="n">
        <v>10.63175</v>
      </c>
      <c r="E50" s="2" t="n">
        <v>11.42913125</v>
      </c>
    </row>
    <row r="51">
      <c r="A51" s="2" t="inlineStr">
        <is>
          <t>POLIMENTO</t>
        </is>
      </c>
      <c r="B51" s="2" t="n">
        <v>12.3</v>
      </c>
      <c r="C51" s="2" t="n">
        <v>13.2225</v>
      </c>
      <c r="D51" s="2" t="n">
        <v>14.2141875</v>
      </c>
      <c r="E51" s="2" t="n">
        <v>15.2802515625</v>
      </c>
    </row>
    <row r="52">
      <c r="A52" s="2" t="inlineStr">
        <is>
          <t>JUNTAS</t>
        </is>
      </c>
      <c r="B52" s="2" t="n">
        <v>2.56</v>
      </c>
      <c r="C52" s="2" t="n">
        <v>2.752</v>
      </c>
      <c r="D52" s="2" t="n">
        <v>2.9584</v>
      </c>
      <c r="E52" s="2" t="n">
        <v>3.180279999999999</v>
      </c>
    </row>
    <row r="53">
      <c r="A53" s="2" t="inlineStr">
        <is>
          <t>REAJUSTE</t>
        </is>
      </c>
      <c r="C53" s="2" t="n">
        <v>1.055</v>
      </c>
      <c r="D53" s="2" t="n">
        <v>1.055</v>
      </c>
      <c r="E53" s="2" t="n">
        <v>1.055</v>
      </c>
    </row>
    <row r="54">
      <c r="A54" s="2" t="inlineStr">
        <is>
          <t>ARMAÇÃO - MAT</t>
        </is>
      </c>
      <c r="B54" s="2" t="n">
        <v>5.55</v>
      </c>
      <c r="C54" s="2" t="n">
        <v>5.51</v>
      </c>
      <c r="D54" s="2" t="n">
        <v>5.81305</v>
      </c>
      <c r="E54" s="2" t="n">
        <v>6.132767749999999</v>
      </c>
    </row>
    <row r="55">
      <c r="A55" s="2" t="inlineStr">
        <is>
          <t>CONCRETO FCK 40</t>
        </is>
      </c>
      <c r="B55" s="2" t="n">
        <v>475</v>
      </c>
      <c r="C55" s="2" t="n">
        <v>490</v>
      </c>
      <c r="D55" s="2" t="n">
        <v>516.9499999999999</v>
      </c>
      <c r="E55" s="2" t="n">
        <v>545.3822499999999</v>
      </c>
    </row>
    <row r="56">
      <c r="A56" s="2" t="inlineStr">
        <is>
          <t>CONCRETO FCK 50</t>
        </is>
      </c>
      <c r="B56" s="2" t="n">
        <v>557</v>
      </c>
      <c r="C56" s="2" t="n">
        <v>608.1326</v>
      </c>
      <c r="D56" s="2" t="n">
        <v>641.579893</v>
      </c>
      <c r="E56" s="2" t="n">
        <v>676.866787115</v>
      </c>
    </row>
    <row r="57">
      <c r="A57" s="2" t="inlineStr">
        <is>
          <t>BOMBEAMENTO</t>
        </is>
      </c>
      <c r="B57" s="2" t="n">
        <v>50</v>
      </c>
      <c r="C57" s="2" t="n">
        <v>60</v>
      </c>
      <c r="D57" s="2" t="n">
        <v>63.3</v>
      </c>
      <c r="E57" s="2" t="n">
        <v>66.78149999999999</v>
      </c>
    </row>
    <row r="58">
      <c r="A58" s="2" t="inlineStr">
        <is>
          <t>CONCRETO APARENTE  - fck 40</t>
        </is>
      </c>
      <c r="B58" s="2" t="n">
        <v>502.0826885273328</v>
      </c>
      <c r="C58" s="2" t="n">
        <v>545.9</v>
      </c>
      <c r="D58" s="2" t="n">
        <v>575.9245</v>
      </c>
      <c r="E58" s="2" t="n">
        <v>607.6003474999999</v>
      </c>
    </row>
    <row r="59">
      <c r="A59" s="2" t="inlineStr">
        <is>
          <t>CONCRETO APARENTE  - fck 50</t>
        </is>
      </c>
      <c r="B59" s="2" t="n">
        <v>563.2624021203096</v>
      </c>
      <c r="C59" s="2" t="n">
        <v>630.36</v>
      </c>
      <c r="D59" s="2" t="n">
        <v>665.0298</v>
      </c>
      <c r="E59" s="2" t="n">
        <v>701.606439</v>
      </c>
    </row>
    <row r="60">
      <c r="A60" s="2" t="inlineStr">
        <is>
          <t>PROTENÇÃO</t>
        </is>
      </c>
      <c r="C60" s="2" t="n">
        <v>24.50080895990869</v>
      </c>
      <c r="D60" s="2" t="n">
        <v>25.84835345270366</v>
      </c>
    </row>
    <row r="61">
      <c r="A61" s="2" t="inlineStr">
        <is>
          <t>CONCRETO FCK 50 - piso polido</t>
        </is>
      </c>
      <c r="C61" s="2" t="n">
        <v>664.35</v>
      </c>
    </row>
    <row r="63">
      <c r="A63" s="2" t="inlineStr">
        <is>
          <t>CONSIDERAÇÕES</t>
        </is>
      </c>
    </row>
    <row r="64">
      <c r="A64" s="2" t="inlineStr">
        <is>
          <t>Horas trabalhadas por dia =</t>
        </is>
      </c>
      <c r="B64" s="2" t="n">
        <v>8</v>
      </c>
    </row>
    <row r="66">
      <c r="A66" s="2" t="inlineStr">
        <is>
          <t>Índice Kg/m³</t>
        </is>
      </c>
      <c r="B66" s="2" t="n">
        <v>95.44125526215076</v>
      </c>
    </row>
    <row r="68">
      <c r="A68" s="2" t="inlineStr">
        <is>
          <t>Qtt total de aço</t>
        </is>
      </c>
      <c r="B68" s="2" t="n">
        <v>997552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PL'!D28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HISTORICOS'!D22)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PL'!F28</f>
        <v/>
      </c>
      <c r="K5" s="60">
        <f>'VALOR POR PL'!G28</f>
        <v/>
      </c>
      <c r="L5" s="60">
        <f>'DADOS HISTORICOS'!$BZ$22</f>
        <v/>
      </c>
      <c r="M5" s="138">
        <f>'CP RESUMO'!D22</f>
        <v/>
      </c>
      <c r="N5" s="139" t="n">
        <v>0</v>
      </c>
      <c r="O5" s="138">
        <f>IF(B5&lt;='VALOR POR PL'!$P$5,'CP RESUMO'!D64,"")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HISTORICOS'!E22)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PL'!H28</f>
        <v/>
      </c>
      <c r="L6" s="49">
        <f>C6/IF(B6&lt;='VALOR POR PL'!$P$5,IFERROR(INDEX('"INCC-FGV"'!$B$2:$B$800,MATCH(B6,'"INCC-FGV"'!$A$2:$A$800,0)),$K$2),$K$2)</f>
        <v/>
      </c>
      <c r="M6" s="138">
        <f>'CP RESUMO'!E22</f>
        <v/>
      </c>
      <c r="N6" s="139">
        <f>MAX(0,M6-M5)</f>
        <v/>
      </c>
      <c r="O6" s="138">
        <f>IF(B6&lt;='VALOR POR PL'!$P$5,'CP RESUMO'!E64,"")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HISTORICOS'!F22)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RESUMO'!F22</f>
        <v/>
      </c>
      <c r="N7" s="139">
        <f>MAX(0,M7-M6)</f>
        <v/>
      </c>
      <c r="O7" s="138">
        <f>IF(B7&lt;='VALOR POR PL'!$P$5,'CP RESUMO'!F64,"")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HISTORICOS'!G22)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RESUMO'!G22</f>
        <v/>
      </c>
      <c r="N8" s="139">
        <f>MAX(0,M8-M7)</f>
        <v/>
      </c>
      <c r="O8" s="138">
        <f>IF(B8&lt;='VALOR POR PL'!$P$5,'CP RESUMO'!G64,"")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HISTORICOS'!H22)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RESUMO'!H22</f>
        <v/>
      </c>
      <c r="N9" s="139">
        <f>MAX(0,M9-M8)</f>
        <v/>
      </c>
      <c r="O9" s="138">
        <f>IF(B9&lt;='VALOR POR PL'!$P$5,'CP RESUMO'!H64,"")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HISTORICOS'!I22)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RESUMO'!I22</f>
        <v/>
      </c>
      <c r="N10" s="139">
        <f>MAX(0,M10-M9)</f>
        <v/>
      </c>
      <c r="O10" s="138">
        <f>IF(B10&lt;='VALOR POR PL'!$P$5,'CP RESUMO'!I64,"")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HISTORICOS'!J22)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RESUMO'!J22</f>
        <v/>
      </c>
      <c r="N11" s="139">
        <f>MAX(0,M11-M10)</f>
        <v/>
      </c>
      <c r="O11" s="138">
        <f>IF(B11&lt;='VALOR POR PL'!$P$5,'CP RESUMO'!J64,"")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HISTORICOS'!K22)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RESUMO'!K22</f>
        <v/>
      </c>
      <c r="N12" s="139">
        <f>MAX(0,M12-M11)</f>
        <v/>
      </c>
      <c r="O12" s="138">
        <f>IF(B12&lt;='VALOR POR PL'!$P$5,'CP RESUMO'!K64,"")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HISTORICOS'!L22)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PL'!I28</f>
        <v/>
      </c>
      <c r="L13" s="49">
        <f>C13/IF(B13&lt;='VALOR POR PL'!$P$5,IFERROR(INDEX('"INCC-FGV"'!$B$2:$B$800,MATCH(B13,'"INCC-FGV"'!$A$2:$A$800,0)),$K$2),$K$2)</f>
        <v/>
      </c>
      <c r="M13" s="138">
        <f>'CP RESUMO'!L22</f>
        <v/>
      </c>
      <c r="N13" s="139">
        <f>MAX(0,M13-M12)</f>
        <v/>
      </c>
      <c r="O13" s="138">
        <f>IF(B13&lt;='VALOR POR PL'!$P$5,'CP RESUMO'!L64,"")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HISTORICOS'!M22)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RESUMO'!$D$64:$BW$64,MATCH('VALOR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RESUMO'!M22</f>
        <v/>
      </c>
      <c r="N14" s="139">
        <f>MAX(0,M14-M13)</f>
        <v/>
      </c>
      <c r="O14" s="138">
        <f>IF(B14&lt;='VALOR POR PL'!$P$5,'CP RESUMO'!M64,"")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HISTORICOS'!N22)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RESUMO'!N22</f>
        <v/>
      </c>
      <c r="N15" s="139">
        <f>MAX(0,M15-M14)</f>
        <v/>
      </c>
      <c r="O15" s="138">
        <f>IF(B15&lt;='VALOR POR PL'!$P$5,'CP RESUMO'!N64,"")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HISTORICOS'!O22)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RESUMO'!O22</f>
        <v/>
      </c>
      <c r="N16" s="139">
        <f>MAX(0,M16-M15)</f>
        <v/>
      </c>
      <c r="O16" s="138">
        <f>IF(B16&lt;='VALOR POR PL'!$P$5,'CP RESUMO'!O64,"")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HISTORICOS'!P22)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RESUMO'!P22</f>
        <v/>
      </c>
      <c r="N17" s="139">
        <f>MAX(0,M17-M16)</f>
        <v/>
      </c>
      <c r="O17" s="138">
        <f>IF(B17&lt;='VALOR POR PL'!$P$5,'CP RESUMO'!P64,"")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HISTORICOS'!Q22)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RESUMO'!Q22</f>
        <v/>
      </c>
      <c r="N18" s="139">
        <f>MAX(0,M18-M17)</f>
        <v/>
      </c>
      <c r="O18" s="138">
        <f>IF(B18&lt;='VALOR POR PL'!$P$5,'CP RESUMO'!Q64,"")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HISTORICOS'!R22)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RESUMO'!R22</f>
        <v/>
      </c>
      <c r="N19" s="139">
        <f>MAX(0,M19-M18)</f>
        <v/>
      </c>
      <c r="O19" s="138">
        <f>IF(B19&lt;='VALOR POR PL'!$P$5,'CP RESUMO'!R64,"")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HISTORICOS'!S22)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RESUMO'!S22</f>
        <v/>
      </c>
      <c r="N20" s="139">
        <f>MAX(0,M20-M19)</f>
        <v/>
      </c>
      <c r="O20" s="138">
        <f>IF(B20&lt;='VALOR POR PL'!$P$5,'CP RESUMO'!S64,"")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HISTORICOS'!T22)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RESUMO'!T22</f>
        <v/>
      </c>
      <c r="N21" s="139">
        <f>MAX(0,M21-M20)</f>
        <v/>
      </c>
      <c r="O21" s="138">
        <f>IF(B21&lt;='VALOR POR PL'!$P$5,'CP RESUMO'!T64,"")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HISTORICOS'!U22)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RESUMO'!U22</f>
        <v/>
      </c>
      <c r="N22" s="139">
        <f>MAX(0,M22-M21)</f>
        <v/>
      </c>
      <c r="O22" s="138">
        <f>IF(B22&lt;='VALOR POR PL'!$P$5,'CP RESUMO'!U64,"")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HISTORICOS'!V22)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RESUMO'!V22</f>
        <v/>
      </c>
      <c r="N23" s="139">
        <f>MAX(0,M23-M22)</f>
        <v/>
      </c>
      <c r="O23" s="138">
        <f>IF(B23&lt;='VALOR POR PL'!$P$5,'CP RESUMO'!V64,"")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HISTORICOS'!W22)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RESUMO'!W22</f>
        <v/>
      </c>
      <c r="N24" s="139">
        <f>MAX(0,M24-M23)</f>
        <v/>
      </c>
      <c r="O24" s="138">
        <f>IF(B24&lt;='VALOR POR PL'!$P$5,'CP RESUMO'!W64,"")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HISTORICOS'!X22)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RESUMO'!X22</f>
        <v/>
      </c>
      <c r="N25" s="139">
        <f>MAX(0,M25-M24)</f>
        <v/>
      </c>
      <c r="O25" s="138">
        <f>IF(B25&lt;='VALOR POR PL'!$P$5,'CP RESUMO'!X64,"")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HISTORICOS'!Y22)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RESUMO'!Y22</f>
        <v/>
      </c>
      <c r="N26" s="139">
        <f>MAX(0,M26-M25)</f>
        <v/>
      </c>
      <c r="O26" s="138">
        <f>IF(B26&lt;='VALOR POR PL'!$P$5,'CP RESUMO'!Y64,"")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HISTORICOS'!Z22)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RESUMO'!Z22</f>
        <v/>
      </c>
      <c r="N27" s="139">
        <f>MAX(0,M27-M26)</f>
        <v/>
      </c>
      <c r="O27" s="138">
        <f>IF(B27&lt;='VALOR POR PL'!$P$5,'CP RESUMO'!Z64,"")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HISTORICOS'!AA22)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RESUMO'!AA22</f>
        <v/>
      </c>
      <c r="N28" s="139">
        <f>MAX(0,M28-M27)</f>
        <v/>
      </c>
      <c r="O28" s="138">
        <f>IF(B28&lt;='VALOR POR PL'!$P$5,'CP RESUMO'!AA64,"")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HISTORICOS'!AB22)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RESUMO'!AB22</f>
        <v/>
      </c>
      <c r="N29" s="139">
        <f>MAX(0,M29-M28)</f>
        <v/>
      </c>
      <c r="O29" s="138">
        <f>IF(B29&lt;='VALOR POR PL'!$P$5,'CP RESUMO'!AB64,"")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HISTORICOS'!AC22)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RESUMO'!AC22</f>
        <v/>
      </c>
      <c r="N30" s="139">
        <f>MAX(0,M30-M29)</f>
        <v/>
      </c>
      <c r="O30" s="138">
        <f>IF(B30&lt;='VALOR POR PL'!$P$5,'CP RESUMO'!AC64,"")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HISTORICOS'!AD22)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RESUMO'!AD22</f>
        <v/>
      </c>
      <c r="N31" s="139">
        <f>MAX(0,M31-M30)</f>
        <v/>
      </c>
      <c r="O31" s="138">
        <f>IF(B31&lt;='VALOR POR PL'!$P$5,'CP RESUMO'!AD64,"")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HISTORICOS'!AE22)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RESUMO'!AE22</f>
        <v/>
      </c>
      <c r="N32" s="139">
        <f>MAX(0,M32-M31)</f>
        <v/>
      </c>
      <c r="O32" s="138">
        <f>IF(B32&lt;='VALOR POR PL'!$P$5,'CP RESUMO'!AE64,"")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HISTORICOS'!AF22)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70130.98</v>
      </c>
      <c r="L33" s="49">
        <f>C33/IF(B33&lt;='VALOR POR PL'!$P$5,IFERROR(INDEX('"INCC-FGV"'!$B$2:$B$800,MATCH(B33,'"INCC-FGV"'!$A$2:$A$800,0)),$K$2),$K$2)</f>
        <v/>
      </c>
      <c r="M33" s="138">
        <f>'CP RESUMO'!AF22</f>
        <v/>
      </c>
      <c r="N33" s="139">
        <f>MAX(0,M33-M32)</f>
        <v/>
      </c>
      <c r="O33" s="138">
        <f>IF(B33&lt;='VALOR POR PL'!$P$5,'CP RESUMO'!AF64,"")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HISTORICOS'!AG22)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134575.67</v>
      </c>
      <c r="L34" s="49">
        <f>C34/IF(B34&lt;='VALOR POR PL'!$P$5,IFERROR(INDEX('"INCC-FGV"'!$B$2:$B$800,MATCH(B34,'"INCC-FGV"'!$A$2:$A$800,0)),$K$2),$K$2)</f>
        <v/>
      </c>
      <c r="M34" s="138">
        <f>'CP RESUMO'!AG22</f>
        <v/>
      </c>
      <c r="N34" s="139">
        <f>MAX(0,M34-M33)</f>
        <v/>
      </c>
      <c r="O34" s="138">
        <f>IF(B34&lt;='VALOR POR PL'!$P$5,'CP RESUMO'!AG64,"")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HISTORICOS'!AH22)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221133.72</v>
      </c>
      <c r="L35" s="49">
        <f>C35/IF(B35&lt;='VALOR POR PL'!$P$5,IFERROR(INDEX('"INCC-FGV"'!$B$2:$B$800,MATCH(B35,'"INCC-FGV"'!$A$2:$A$800,0)),$K$2),$K$2)</f>
        <v/>
      </c>
      <c r="M35" s="138">
        <f>'CP RESUMO'!AH22</f>
        <v/>
      </c>
      <c r="N35" s="139">
        <f>MAX(0,M35-M34)</f>
        <v/>
      </c>
      <c r="O35" s="138">
        <f>IF(B35&lt;='VALOR POR PL'!$P$5,'CP RESUMO'!AH64,"")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HISTORICOS'!AI22)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416363.21</v>
      </c>
      <c r="L36" s="49">
        <f>C36/IF(B36&lt;='VALOR POR PL'!$P$5,IFERROR(INDEX('"INCC-FGV"'!$B$2:$B$800,MATCH(B36,'"INCC-FGV"'!$A$2:$A$800,0)),$K$2),$K$2)</f>
        <v/>
      </c>
      <c r="M36" s="138">
        <f>'CP RESUMO'!AI22</f>
        <v/>
      </c>
      <c r="N36" s="139">
        <f>MAX(0,M36-M35)</f>
        <v/>
      </c>
      <c r="O36" s="138">
        <f>IF(B36&lt;='VALOR POR PL'!$P$5,'CP RESUMO'!AI64,"")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HISTORICOS'!AJ22)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387299.92</v>
      </c>
      <c r="L37" s="49">
        <f>C37/IF(B37&lt;='VALOR POR PL'!$P$5,IFERROR(INDEX('"INCC-FGV"'!$B$2:$B$800,MATCH(B37,'"INCC-FGV"'!$A$2:$A$800,0)),$K$2),$K$2)</f>
        <v/>
      </c>
      <c r="M37" s="138">
        <f>'CP RESUMO'!AJ22</f>
        <v/>
      </c>
      <c r="N37" s="139">
        <f>MAX(0,M37-M36)</f>
        <v/>
      </c>
      <c r="O37" s="138">
        <f>IF(B37&lt;='VALOR POR PL'!$P$5,'CP RESUMO'!AJ64,"")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HISTORICOS'!AK22)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545884.39</v>
      </c>
      <c r="L38" s="49">
        <f>C38/IF(B38&lt;='VALOR POR PL'!$P$5,IFERROR(INDEX('"INCC-FGV"'!$B$2:$B$800,MATCH(B38,'"INCC-FGV"'!$A$2:$A$800,0)),$K$2),$K$2)</f>
        <v/>
      </c>
      <c r="M38" s="138">
        <f>'CP RESUMO'!AK22</f>
        <v/>
      </c>
      <c r="N38" s="139">
        <f>MAX(0,M38-M37)</f>
        <v/>
      </c>
      <c r="O38" s="138">
        <f>IF(B38&lt;='VALOR POR PL'!$P$5,'CP RESUMO'!AK64,"")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HISTORICOS'!AL22)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564206.9</v>
      </c>
      <c r="L39" s="49">
        <f>C39/IF(B39&lt;='VALOR POR PL'!$P$5,IFERROR(INDEX('"INCC-FGV"'!$B$2:$B$800,MATCH(B39,'"INCC-FGV"'!$A$2:$A$800,0)),$K$2),$K$2)</f>
        <v/>
      </c>
      <c r="M39" s="138">
        <f>'CP RESUMO'!AL22</f>
        <v/>
      </c>
      <c r="N39" s="139">
        <f>MAX(0,M39-M38)</f>
        <v/>
      </c>
      <c r="O39" s="138">
        <f>IF(B39&lt;='VALOR POR PL'!$P$5,'CP RESUMO'!AL64,"")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HISTORICOS'!AM22)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634337.88</v>
      </c>
      <c r="L40" s="49">
        <f>C40/IF(B40&lt;='VALOR POR PL'!$P$5,IFERROR(INDEX('"INCC-FGV"'!$B$2:$B$800,MATCH(B40,'"INCC-FGV"'!$A$2:$A$800,0)),$K$2),$K$2)</f>
        <v/>
      </c>
      <c r="M40" s="138">
        <f>'CP RESUMO'!AM22</f>
        <v/>
      </c>
      <c r="N40" s="139">
        <f>MAX(0,M40-M39)</f>
        <v/>
      </c>
      <c r="O40" s="138">
        <f>IF(B40&lt;='VALOR POR PL'!$P$5,'CP RESUMO'!AM64,"")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HISTORICOS'!AN22)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680460.0600000001</v>
      </c>
      <c r="L41" s="49">
        <f>C41/IF(B41&lt;='VALOR POR PL'!$P$5,IFERROR(INDEX('"INCC-FGV"'!$B$2:$B$800,MATCH(B41,'"INCC-FGV"'!$A$2:$A$800,0)),$K$2),$K$2)</f>
        <v/>
      </c>
      <c r="M41" s="138">
        <f>'CP RESUMO'!AN22</f>
        <v/>
      </c>
      <c r="N41" s="139">
        <f>MAX(0,M41-M40)</f>
        <v/>
      </c>
      <c r="O41" s="138">
        <f>IF(B41&lt;='VALOR POR PL'!$P$5,'CP RESUMO'!AN64,"")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HISTORICOS'!AO22)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484598.76</v>
      </c>
      <c r="L42" s="49">
        <f>C42/IF(B42&lt;='VALOR POR PL'!$P$5,IFERROR(INDEX('"INCC-FGV"'!$B$2:$B$800,MATCH(B42,'"INCC-FGV"'!$A$2:$A$800,0)),$K$2),$K$2)</f>
        <v/>
      </c>
      <c r="M42" s="138">
        <f>'CP RESUMO'!AO22</f>
        <v/>
      </c>
      <c r="N42" s="139">
        <f>MAX(0,M42-M41)</f>
        <v/>
      </c>
      <c r="O42" s="138">
        <f>IF(B42&lt;='VALOR POR PL'!$P$5,'CP RESUMO'!AO64,"")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HISTORICOS'!AP22)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518716.54</v>
      </c>
      <c r="L43" s="49">
        <f>C43/IF(B43&lt;='VALOR POR PL'!$P$5,IFERROR(INDEX('"INCC-FGV"'!$B$2:$B$800,MATCH(B43,'"INCC-FGV"'!$A$2:$A$800,0)),$K$2),$K$2)</f>
        <v/>
      </c>
      <c r="M43" s="138">
        <f>'CP RESUMO'!AP22</f>
        <v/>
      </c>
      <c r="N43" s="139">
        <f>MAX(0,M43-M42)</f>
        <v/>
      </c>
      <c r="O43" s="138">
        <f>IF(B43&lt;='VALOR POR PL'!$P$5,'CP RESUMO'!AP64,"")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HISTORICOS'!AQ22)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434685.72</v>
      </c>
      <c r="L44" s="49">
        <f>C44/IF(B44&lt;='VALOR POR PL'!$P$5,IFERROR(INDEX('"INCC-FGV"'!$B$2:$B$800,MATCH(B44,'"INCC-FGV"'!$A$2:$A$800,0)),$K$2),$K$2)</f>
        <v/>
      </c>
      <c r="M44" s="138">
        <f>'CP RESUMO'!AQ22</f>
        <v/>
      </c>
      <c r="N44" s="139">
        <f>MAX(0,M44-M43)</f>
        <v/>
      </c>
      <c r="O44" s="138">
        <f>IF(B44&lt;='VALOR POR PL'!$P$5,'CP RESUMO'!AQ64,"")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HISTORICOS'!AR22)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521875.59</v>
      </c>
      <c r="L45" s="49">
        <f>C45/IF(B45&lt;='VALOR POR PL'!$P$5,IFERROR(INDEX('"INCC-FGV"'!$B$2:$B$800,MATCH(B45,'"INCC-FGV"'!$A$2:$A$800,0)),$K$2),$K$2)</f>
        <v/>
      </c>
      <c r="M45" s="138">
        <f>'CP RESUMO'!AR22</f>
        <v/>
      </c>
      <c r="N45" s="139">
        <f>MAX(0,M45-M44)</f>
        <v/>
      </c>
      <c r="O45" s="138">
        <f>IF(B45&lt;='VALOR POR PL'!$P$5,'CP RESUMO'!AR64,"")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HISTORICOS'!AS22)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272310.39</v>
      </c>
      <c r="L46" s="49">
        <f>C46/IF(B46&lt;='VALOR POR PL'!$P$5,IFERROR(INDEX('"INCC-FGV"'!$B$2:$B$800,MATCH(B46,'"INCC-FGV"'!$A$2:$A$800,0)),$K$2),$K$2)</f>
        <v/>
      </c>
      <c r="M46" s="138">
        <f>'CP RESUMO'!AS22</f>
        <v/>
      </c>
      <c r="N46" s="139">
        <f>MAX(0,M46-M45)</f>
        <v/>
      </c>
      <c r="O46" s="138">
        <f>IF(B46&lt;='VALOR POR PL'!$P$5,'CP RESUMO'!AS64,"")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HISTORICOS'!AT22)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237560.8</v>
      </c>
      <c r="L47" s="49">
        <f>C47/IF(B47&lt;='VALOR POR PL'!$P$5,IFERROR(INDEX('"INCC-FGV"'!$B$2:$B$800,MATCH(B47,'"INCC-FGV"'!$A$2:$A$800,0)),$K$2),$K$2)</f>
        <v/>
      </c>
      <c r="M47" s="138">
        <f>'CP RESUMO'!AT22</f>
        <v/>
      </c>
      <c r="N47" s="139">
        <f>MAX(0,M47-M46)</f>
        <v/>
      </c>
      <c r="O47" s="138">
        <f>IF(B47&lt;='VALOR POR PL'!$P$5,'CP RESUMO'!AT64,"")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HISTORICOS'!AU22)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69499.17</v>
      </c>
      <c r="L48" s="49">
        <f>C48/IF(B48&lt;='VALOR POR PL'!$P$5,IFERROR(INDEX('"INCC-FGV"'!$B$2:$B$800,MATCH(B48,'"INCC-FGV"'!$A$2:$A$800,0)),$K$2),$K$2)</f>
        <v/>
      </c>
      <c r="M48" s="138">
        <f>'CP RESUMO'!AU22</f>
        <v/>
      </c>
      <c r="N48" s="139">
        <f>MAX(0,M48-M47)</f>
        <v/>
      </c>
      <c r="O48" s="138">
        <f>IF(B48&lt;='VALOR POR PL'!$P$5,'CP RESUMO'!AU64,"")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HISTORICOS'!AV22)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51843.25</v>
      </c>
      <c r="L49" s="49">
        <f>C49/IF(B49&lt;='VALOR POR PL'!$P$5,IFERROR(INDEX('"INCC-FGV"'!$B$2:$B$800,MATCH(B49,'"INCC-FGV"'!$A$2:$A$800,0)),$K$2),$K$2)</f>
        <v/>
      </c>
      <c r="M49" s="138">
        <f>'CP RESUMO'!AV22</f>
        <v/>
      </c>
      <c r="N49" s="139">
        <f>MAX(0,M49-M48)</f>
        <v/>
      </c>
      <c r="O49" s="138">
        <f>IF(B49&lt;='VALOR POR PL'!$P$5,'CP RESUMO'!AV64,"")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HISTORICOS'!AW22)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RESUMO'!AW22</f>
        <v/>
      </c>
      <c r="N50" s="139">
        <f>MAX(0,M50-M49)</f>
        <v/>
      </c>
      <c r="O50" s="138">
        <f>IF(B50&lt;='VALOR POR PL'!$P$5,'CP RESUMO'!AW64,"")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HISTORICOS'!AX22)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RESUMO'!AX22</f>
        <v/>
      </c>
      <c r="N51" s="139">
        <f>MAX(0,M51-M50)</f>
        <v/>
      </c>
      <c r="O51" s="138">
        <f>IF(B51&lt;='VALOR POR PL'!$P$5,'CP RESUMO'!AX64,"")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HISTORICOS'!AY22)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RESUMO'!AY22</f>
        <v/>
      </c>
      <c r="N52" s="139">
        <f>MAX(0,M52-M51)</f>
        <v/>
      </c>
      <c r="O52" s="138">
        <f>IF(B52&lt;='VALOR POR PL'!$P$5,'CP RESUMO'!AY64,"")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HISTORICOS'!AZ22)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RESUMO'!AZ22</f>
        <v/>
      </c>
      <c r="N53" s="139">
        <f>MAX(0,M53-M52)</f>
        <v/>
      </c>
      <c r="O53" s="138">
        <f>IF(B53&lt;='VALOR POR PL'!$P$5,'CP RESUMO'!AZ64,"")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HISTORICOS'!BA22)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RESUMO'!BA22</f>
        <v/>
      </c>
      <c r="N54" s="139">
        <f>MAX(0,M54-M53)</f>
        <v/>
      </c>
      <c r="O54" s="138">
        <f>IF(B54&lt;='VALOR POR PL'!$P$5,'CP RESUMO'!BA64,"")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HISTORICOS'!BB22)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RESUMO'!BB22</f>
        <v/>
      </c>
      <c r="N55" s="139">
        <f>MAX(0,M55-M54)</f>
        <v/>
      </c>
      <c r="O55" s="138">
        <f>IF(B55&lt;='VALOR POR PL'!$P$5,'CP RESUMO'!BB64,"")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HISTORICOS'!BC22)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RESUMO'!BC22</f>
        <v/>
      </c>
      <c r="N56" s="139">
        <f>MAX(0,M56-M55)</f>
        <v/>
      </c>
      <c r="O56" s="138">
        <f>IF(B56&lt;='VALOR POR PL'!$P$5,'CP RESUMO'!BC64,"")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HISTORICOS'!BD22)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RESUMO'!BD22</f>
        <v/>
      </c>
      <c r="N57" s="139">
        <f>MAX(0,M57-M56)</f>
        <v/>
      </c>
      <c r="O57" s="138">
        <f>IF(B57&lt;='VALOR POR PL'!$P$5,'CP RESUMO'!BD64,"")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HISTORICOS'!BE22)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RESUMO'!BE22</f>
        <v/>
      </c>
      <c r="N58" s="139">
        <f>MAX(0,M58-M57)</f>
        <v/>
      </c>
      <c r="O58" s="138">
        <f>IF(B58&lt;='VALOR POR PL'!$P$5,'CP RESUMO'!BE64,"")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HISTORICOS'!BF22)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RESUMO'!BF22</f>
        <v/>
      </c>
      <c r="N59" s="139">
        <f>MAX(0,M59-M58)</f>
        <v/>
      </c>
      <c r="O59" s="138">
        <f>IF(B59&lt;='VALOR POR PL'!$P$5,'CP RESUMO'!BF64,"")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HISTORICOS'!BG22)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RESUMO'!BG22</f>
        <v/>
      </c>
      <c r="N60" s="139">
        <f>MAX(0,M60-M59)</f>
        <v/>
      </c>
      <c r="O60" s="138">
        <f>IF(B60&lt;='VALOR POR PL'!$P$5,'CP RESUMO'!BG64,"")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HISTORICOS'!BH22)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RESUMO'!BH22</f>
        <v/>
      </c>
      <c r="N61" s="139">
        <f>MAX(0,M61-M60)</f>
        <v/>
      </c>
      <c r="O61" s="138">
        <f>IF(B61&lt;='VALOR POR PL'!$P$5,'CP RESUMO'!BH64,"")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HISTORICOS'!BI22)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RESUMO'!BI22</f>
        <v/>
      </c>
      <c r="N62" s="139">
        <f>MAX(0,M62-M61)</f>
        <v/>
      </c>
      <c r="O62" s="138">
        <f>IF(B62&lt;='VALOR POR PL'!$P$5,'CP RESUMO'!BI64,"")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HISTORICOS'!BJ22)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RESUMO'!BJ22</f>
        <v/>
      </c>
      <c r="N63" s="139">
        <f>MAX(0,M63-M62)</f>
        <v/>
      </c>
      <c r="O63" s="138">
        <f>IF(B63&lt;='VALOR POR PL'!$P$5,'CP RESUMO'!BJ64,"")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HISTORICOS'!BK22)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RESUMO'!BK22</f>
        <v/>
      </c>
      <c r="N64" s="139">
        <f>MAX(0,M64-M63)</f>
        <v/>
      </c>
      <c r="O64" s="138">
        <f>IF(B64&lt;='VALOR POR PL'!$P$5,'CP RESUMO'!BK64,"")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HISTORICOS'!BL22)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RESUMO'!BL22</f>
        <v/>
      </c>
      <c r="N65" s="139">
        <f>MAX(0,M65-M64)</f>
        <v/>
      </c>
      <c r="O65" s="138">
        <f>IF(B65&lt;='VALOR POR PL'!$P$5,'CP RESUMO'!BL64,"")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HISTORICOS'!BM22)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RESUMO'!BM22</f>
        <v/>
      </c>
      <c r="N66" s="139">
        <f>MAX(0,M66-M65)</f>
        <v/>
      </c>
      <c r="O66" s="138">
        <f>IF(B66&lt;='VALOR POR PL'!$P$5,'CP RESUMO'!BM64,"")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HISTORICOS'!BN22)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RESUMO'!BN22</f>
        <v/>
      </c>
      <c r="N67" s="139">
        <f>MAX(0,M67-M66)</f>
        <v/>
      </c>
      <c r="O67" s="138">
        <f>IF(B67&lt;='VALOR POR PL'!$P$5,'CP RESUMO'!BN64,"")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HISTORICOS'!BO22)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RESUMO'!BO22</f>
        <v/>
      </c>
      <c r="N68" s="139">
        <f>MAX(0,M68-M67)</f>
        <v/>
      </c>
      <c r="O68" s="138">
        <f>IF(B68&lt;='VALOR POR PL'!$P$5,'CP RESUMO'!BO64,"")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HISTORICOS'!BP22)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RESUMO'!BP22</f>
        <v/>
      </c>
      <c r="N69" s="139">
        <f>MAX(0,M69-M68)</f>
        <v/>
      </c>
      <c r="O69" s="138">
        <f>IF(B69&lt;='VALOR POR PL'!$P$5,'CP RESUMO'!BP64,"")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HISTORICOS'!BQ22)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RESUMO'!BQ22</f>
        <v/>
      </c>
      <c r="N70" s="139">
        <f>MAX(0,M70-M69)</f>
        <v/>
      </c>
      <c r="O70" s="138">
        <f>IF(B70&lt;='VALOR POR PL'!$P$5,'CP RESUMO'!BQ64,"")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HISTORICOS'!BR22)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RESUMO'!BR22</f>
        <v/>
      </c>
      <c r="N71" s="139">
        <f>MAX(0,M71-M70)</f>
        <v/>
      </c>
      <c r="O71" s="138">
        <f>IF(B71&lt;='VALOR POR PL'!$P$5,'CP RESUMO'!BR64,"")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HISTORICOS'!BS22)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RESUMO'!BS22</f>
        <v/>
      </c>
      <c r="N72" s="139">
        <f>MAX(0,M72-M71)</f>
        <v/>
      </c>
      <c r="O72" s="138">
        <f>IF(B72&lt;='VALOR POR PL'!$P$5,'CP RESUMO'!BS64,"")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HISTORICOS'!BT22)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RESUMO'!BT22</f>
        <v/>
      </c>
      <c r="N73" s="139">
        <f>MAX(0,M73-M72)</f>
        <v/>
      </c>
      <c r="O73" s="138">
        <f>IF(B73&lt;='VALOR POR PL'!$P$5,'CP RESUMO'!BT64,"")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HISTORICOS'!BU22)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RESUMO'!BU22</f>
        <v/>
      </c>
      <c r="N74" s="139">
        <f>MAX(0,M74-M73)</f>
        <v/>
      </c>
      <c r="O74" s="138">
        <f>IF(B74&lt;='VALOR POR PL'!$P$5,'CP RESUMO'!BU64,"")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HISTORICOS'!BV22)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RESUMO'!BV22</f>
        <v/>
      </c>
      <c r="N75" s="139">
        <f>MAX(0,M75-M74)</f>
        <v/>
      </c>
      <c r="O75" s="138">
        <f>IF(B75&lt;='VALOR POR PL'!$P$5,'CP RESUMO'!BV64,"")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HISTORICOS'!BW22)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RESUMO'!BW22</f>
        <v/>
      </c>
      <c r="N76" s="139">
        <f>MAX(0,M76-M75)</f>
        <v/>
      </c>
      <c r="O76" s="138">
        <f>IF(B76&lt;='VALOR POR PL'!$P$5,'CP RESUMO'!BW64,"")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PL'!D29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HISTORICOS'!D23)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PL'!F29</f>
        <v/>
      </c>
      <c r="K5" s="60">
        <f>'VALOR POR PL'!G29</f>
        <v/>
      </c>
      <c r="L5" s="60">
        <f>'DADOS HISTORICOS'!$BZ$23</f>
        <v/>
      </c>
      <c r="M5" s="138">
        <f>'CP RESUMO'!D23</f>
        <v/>
      </c>
      <c r="N5" s="139" t="n">
        <v>0</v>
      </c>
      <c r="O5" s="138">
        <f>IF(B5&lt;='VALOR POR PL'!$P$5,'CP RESUMO'!D65,"")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HISTORICOS'!E23)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PL'!H29</f>
        <v/>
      </c>
      <c r="L6" s="49">
        <f>C6/IF(B6&lt;='VALOR POR PL'!$P$5,IFERROR(INDEX('"INCC-FGV"'!$B$2:$B$800,MATCH(B6,'"INCC-FGV"'!$A$2:$A$800,0)),$K$2),$K$2)</f>
        <v/>
      </c>
      <c r="M6" s="138">
        <f>'CP RESUMO'!E23</f>
        <v/>
      </c>
      <c r="N6" s="139">
        <f>MAX(0,M6-M5)</f>
        <v/>
      </c>
      <c r="O6" s="138">
        <f>IF(B6&lt;='VALOR POR PL'!$P$5,'CP RESUMO'!E65,"")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HISTORICOS'!F23)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RESUMO'!F23</f>
        <v/>
      </c>
      <c r="N7" s="139">
        <f>MAX(0,M7-M6)</f>
        <v/>
      </c>
      <c r="O7" s="138">
        <f>IF(B7&lt;='VALOR POR PL'!$P$5,'CP RESUMO'!F65,"")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HISTORICOS'!G23)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RESUMO'!G23</f>
        <v/>
      </c>
      <c r="N8" s="139">
        <f>MAX(0,M8-M7)</f>
        <v/>
      </c>
      <c r="O8" s="138">
        <f>IF(B8&lt;='VALOR POR PL'!$P$5,'CP RESUMO'!G65,"")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HISTORICOS'!H23)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RESUMO'!H23</f>
        <v/>
      </c>
      <c r="N9" s="139">
        <f>MAX(0,M9-M8)</f>
        <v/>
      </c>
      <c r="O9" s="138">
        <f>IF(B9&lt;='VALOR POR PL'!$P$5,'CP RESUMO'!H65,"")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HISTORICOS'!I23)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RESUMO'!I23</f>
        <v/>
      </c>
      <c r="N10" s="139">
        <f>MAX(0,M10-M9)</f>
        <v/>
      </c>
      <c r="O10" s="138">
        <f>IF(B10&lt;='VALOR POR PL'!$P$5,'CP RESUMO'!I65,"")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HISTORICOS'!J23)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RESUMO'!J23</f>
        <v/>
      </c>
      <c r="N11" s="139">
        <f>MAX(0,M11-M10)</f>
        <v/>
      </c>
      <c r="O11" s="138">
        <f>IF(B11&lt;='VALOR POR PL'!$P$5,'CP RESUMO'!J65,"")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HISTORICOS'!K23)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RESUMO'!K23</f>
        <v/>
      </c>
      <c r="N12" s="139">
        <f>MAX(0,M12-M11)</f>
        <v/>
      </c>
      <c r="O12" s="138">
        <f>IF(B12&lt;='VALOR POR PL'!$P$5,'CP RESUMO'!K65,"")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HISTORICOS'!L23)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PL'!I29</f>
        <v/>
      </c>
      <c r="L13" s="49">
        <f>C13/IF(B13&lt;='VALOR POR PL'!$P$5,IFERROR(INDEX('"INCC-FGV"'!$B$2:$B$800,MATCH(B13,'"INCC-FGV"'!$A$2:$A$800,0)),$K$2),$K$2)</f>
        <v/>
      </c>
      <c r="M13" s="138">
        <f>'CP RESUMO'!L23</f>
        <v/>
      </c>
      <c r="N13" s="139">
        <f>MAX(0,M13-M12)</f>
        <v/>
      </c>
      <c r="O13" s="138">
        <f>IF(B13&lt;='VALOR POR PL'!$P$5,'CP RESUMO'!L65,"")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HISTORICOS'!M23)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RESUMO'!$D$65:$BW$65,MATCH('VALOR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RESUMO'!M23</f>
        <v/>
      </c>
      <c r="N14" s="139">
        <f>MAX(0,M14-M13)</f>
        <v/>
      </c>
      <c r="O14" s="138">
        <f>IF(B14&lt;='VALOR POR PL'!$P$5,'CP RESUMO'!M65,"")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HISTORICOS'!N23)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RESUMO'!N23</f>
        <v/>
      </c>
      <c r="N15" s="139">
        <f>MAX(0,M15-M14)</f>
        <v/>
      </c>
      <c r="O15" s="138">
        <f>IF(B15&lt;='VALOR POR PL'!$P$5,'CP RESUMO'!N65,"")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HISTORICOS'!O23)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RESUMO'!O23</f>
        <v/>
      </c>
      <c r="N16" s="139">
        <f>MAX(0,M16-M15)</f>
        <v/>
      </c>
      <c r="O16" s="138">
        <f>IF(B16&lt;='VALOR POR PL'!$P$5,'CP RESUMO'!O65,"")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HISTORICOS'!P23)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RESUMO'!P23</f>
        <v/>
      </c>
      <c r="N17" s="139">
        <f>MAX(0,M17-M16)</f>
        <v/>
      </c>
      <c r="O17" s="138">
        <f>IF(B17&lt;='VALOR POR PL'!$P$5,'CP RESUMO'!P65,"")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HISTORICOS'!Q23)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RESUMO'!Q23</f>
        <v/>
      </c>
      <c r="N18" s="139">
        <f>MAX(0,M18-M17)</f>
        <v/>
      </c>
      <c r="O18" s="138">
        <f>IF(B18&lt;='VALOR POR PL'!$P$5,'CP RESUMO'!Q65,"")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HISTORICOS'!R23)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RESUMO'!R23</f>
        <v/>
      </c>
      <c r="N19" s="139">
        <f>MAX(0,M19-M18)</f>
        <v/>
      </c>
      <c r="O19" s="138">
        <f>IF(B19&lt;='VALOR POR PL'!$P$5,'CP RESUMO'!R65,"")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HISTORICOS'!S23)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RESUMO'!S23</f>
        <v/>
      </c>
      <c r="N20" s="139">
        <f>MAX(0,M20-M19)</f>
        <v/>
      </c>
      <c r="O20" s="138">
        <f>IF(B20&lt;='VALOR POR PL'!$P$5,'CP RESUMO'!S65,"")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HISTORICOS'!T23)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RESUMO'!T23</f>
        <v/>
      </c>
      <c r="N21" s="139">
        <f>MAX(0,M21-M20)</f>
        <v/>
      </c>
      <c r="O21" s="138">
        <f>IF(B21&lt;='VALOR POR PL'!$P$5,'CP RESUMO'!T65,"")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HISTORICOS'!U23)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RESUMO'!U23</f>
        <v/>
      </c>
      <c r="N22" s="139">
        <f>MAX(0,M22-M21)</f>
        <v/>
      </c>
      <c r="O22" s="138">
        <f>IF(B22&lt;='VALOR POR PL'!$P$5,'CP RESUMO'!U65,"")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HISTORICOS'!V23)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RESUMO'!V23</f>
        <v/>
      </c>
      <c r="N23" s="139">
        <f>MAX(0,M23-M22)</f>
        <v/>
      </c>
      <c r="O23" s="138">
        <f>IF(B23&lt;='VALOR POR PL'!$P$5,'CP RESUMO'!V65,"")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HISTORICOS'!W23)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RESUMO'!W23</f>
        <v/>
      </c>
      <c r="N24" s="139">
        <f>MAX(0,M24-M23)</f>
        <v/>
      </c>
      <c r="O24" s="138">
        <f>IF(B24&lt;='VALOR POR PL'!$P$5,'CP RESUMO'!W65,"")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HISTORICOS'!X23)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RESUMO'!X23</f>
        <v/>
      </c>
      <c r="N25" s="139">
        <f>MAX(0,M25-M24)</f>
        <v/>
      </c>
      <c r="O25" s="138">
        <f>IF(B25&lt;='VALOR POR PL'!$P$5,'CP RESUMO'!X65,"")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HISTORICOS'!Y23)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RESUMO'!Y23</f>
        <v/>
      </c>
      <c r="N26" s="139">
        <f>MAX(0,M26-M25)</f>
        <v/>
      </c>
      <c r="O26" s="138">
        <f>IF(B26&lt;='VALOR POR PL'!$P$5,'CP RESUMO'!Y65,"")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HISTORICOS'!Z23)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RESUMO'!Z23</f>
        <v/>
      </c>
      <c r="N27" s="139">
        <f>MAX(0,M27-M26)</f>
        <v/>
      </c>
      <c r="O27" s="138">
        <f>IF(B27&lt;='VALOR POR PL'!$P$5,'CP RESUMO'!Z65,"")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HISTORICOS'!AA23)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RESUMO'!AA23</f>
        <v/>
      </c>
      <c r="N28" s="139">
        <f>MAX(0,M28-M27)</f>
        <v/>
      </c>
      <c r="O28" s="138">
        <f>IF(B28&lt;='VALOR POR PL'!$P$5,'CP RESUMO'!AA65,"")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HISTORICOS'!AB23)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RESUMO'!AB23</f>
        <v/>
      </c>
      <c r="N29" s="139">
        <f>MAX(0,M29-M28)</f>
        <v/>
      </c>
      <c r="O29" s="138">
        <f>IF(B29&lt;='VALOR POR PL'!$P$5,'CP RESUMO'!AB65,"")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HISTORICOS'!AC23)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RESUMO'!AC23</f>
        <v/>
      </c>
      <c r="N30" s="139">
        <f>MAX(0,M30-M29)</f>
        <v/>
      </c>
      <c r="O30" s="138">
        <f>IF(B30&lt;='VALOR POR PL'!$P$5,'CP RESUMO'!AC65,"")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HISTORICOS'!AD23)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RESUMO'!AD23</f>
        <v/>
      </c>
      <c r="N31" s="139">
        <f>MAX(0,M31-M30)</f>
        <v/>
      </c>
      <c r="O31" s="138">
        <f>IF(B31&lt;='VALOR POR PL'!$P$5,'CP RESUMO'!AD65,"")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HISTORICOS'!AE23)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RESUMO'!AE23</f>
        <v/>
      </c>
      <c r="N32" s="139">
        <f>MAX(0,M32-M31)</f>
        <v/>
      </c>
      <c r="O32" s="138">
        <f>IF(B32&lt;='VALOR POR PL'!$P$5,'CP RESUMO'!AE65,"")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HISTORICOS'!AF23)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RESUMO'!AF23</f>
        <v/>
      </c>
      <c r="N33" s="139">
        <f>MAX(0,M33-M32)</f>
        <v/>
      </c>
      <c r="O33" s="138">
        <f>IF(B33&lt;='VALOR POR PL'!$P$5,'CP RESUMO'!AF65,"")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HISTORICOS'!AG23)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RESUMO'!AG23</f>
        <v/>
      </c>
      <c r="N34" s="139">
        <f>MAX(0,M34-M33)</f>
        <v/>
      </c>
      <c r="O34" s="138">
        <f>IF(B34&lt;='VALOR POR PL'!$P$5,'CP RESUMO'!AG65,"")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HISTORICOS'!AH23)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RESUMO'!AH23</f>
        <v/>
      </c>
      <c r="N35" s="139">
        <f>MAX(0,M35-M34)</f>
        <v/>
      </c>
      <c r="O35" s="138">
        <f>IF(B35&lt;='VALOR POR PL'!$P$5,'CP RESUMO'!AH65,"")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HISTORICOS'!AI23)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RESUMO'!AI23</f>
        <v/>
      </c>
      <c r="N36" s="139">
        <f>MAX(0,M36-M35)</f>
        <v/>
      </c>
      <c r="O36" s="138">
        <f>IF(B36&lt;='VALOR POR PL'!$P$5,'CP RESUMO'!AI65,"")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HISTORICOS'!AJ23)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RESUMO'!AJ23</f>
        <v/>
      </c>
      <c r="N37" s="139">
        <f>MAX(0,M37-M36)</f>
        <v/>
      </c>
      <c r="O37" s="138">
        <f>IF(B37&lt;='VALOR POR PL'!$P$5,'CP RESUMO'!AJ65,"")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HISTORICOS'!AK23)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166232.94</v>
      </c>
      <c r="L38" s="49">
        <f>C38/IF(B38&lt;='VALOR POR PL'!$P$5,IFERROR(INDEX('"INCC-FGV"'!$B$2:$B$800,MATCH(B38,'"INCC-FGV"'!$A$2:$A$800,0)),$K$2),$K$2)</f>
        <v/>
      </c>
      <c r="M38" s="138">
        <f>'CP RESUMO'!AK23</f>
        <v/>
      </c>
      <c r="N38" s="139">
        <f>MAX(0,M38-M37)</f>
        <v/>
      </c>
      <c r="O38" s="138">
        <f>IF(B38&lt;='VALOR POR PL'!$P$5,'CP RESUMO'!AK65,"")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HISTORICOS'!AL23)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232391.14</v>
      </c>
      <c r="L39" s="49">
        <f>C39/IF(B39&lt;='VALOR POR PL'!$P$5,IFERROR(INDEX('"INCC-FGV"'!$B$2:$B$800,MATCH(B39,'"INCC-FGV"'!$A$2:$A$800,0)),$K$2),$K$2)</f>
        <v/>
      </c>
      <c r="M39" s="138">
        <f>'CP RESUMO'!AL23</f>
        <v/>
      </c>
      <c r="N39" s="139">
        <f>MAX(0,M39-M38)</f>
        <v/>
      </c>
      <c r="O39" s="138">
        <f>IF(B39&lt;='VALOR POR PL'!$P$5,'CP RESUMO'!AL65,"")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HISTORICOS'!AM23)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221504.35</v>
      </c>
      <c r="L40" s="49">
        <f>C40/IF(B40&lt;='VALOR POR PL'!$P$5,IFERROR(INDEX('"INCC-FGV"'!$B$2:$B$800,MATCH(B40,'"INCC-FGV"'!$A$2:$A$800,0)),$K$2),$K$2)</f>
        <v/>
      </c>
      <c r="M40" s="138">
        <f>'CP RESUMO'!AM23</f>
        <v/>
      </c>
      <c r="N40" s="139">
        <f>MAX(0,M40-M39)</f>
        <v/>
      </c>
      <c r="O40" s="138">
        <f>IF(B40&lt;='VALOR POR PL'!$P$5,'CP RESUMO'!AM65,"")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HISTORICOS'!AN23)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421235.12</v>
      </c>
      <c r="L41" s="49">
        <f>C41/IF(B41&lt;='VALOR POR PL'!$P$5,IFERROR(INDEX('"INCC-FGV"'!$B$2:$B$800,MATCH(B41,'"INCC-FGV"'!$A$2:$A$800,0)),$K$2),$K$2)</f>
        <v/>
      </c>
      <c r="M41" s="138">
        <f>'CP RESUMO'!AN23</f>
        <v/>
      </c>
      <c r="N41" s="139">
        <f>MAX(0,M41-M40)</f>
        <v/>
      </c>
      <c r="O41" s="138">
        <f>IF(B41&lt;='VALOR POR PL'!$P$5,'CP RESUMO'!AN65,"")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HISTORICOS'!AO23)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177119.74</v>
      </c>
      <c r="L42" s="49">
        <f>C42/IF(B42&lt;='VALOR POR PL'!$P$5,IFERROR(INDEX('"INCC-FGV"'!$B$2:$B$800,MATCH(B42,'"INCC-FGV"'!$A$2:$A$800,0)),$K$2),$K$2)</f>
        <v/>
      </c>
      <c r="M42" s="138">
        <f>'CP RESUMO'!AO23</f>
        <v/>
      </c>
      <c r="N42" s="139">
        <f>MAX(0,M42-M41)</f>
        <v/>
      </c>
      <c r="O42" s="138">
        <f>IF(B42&lt;='VALOR POR PL'!$P$5,'CP RESUMO'!AO65,"")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HISTORICOS'!AP23)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332465.89</v>
      </c>
      <c r="L43" s="49">
        <f>C43/IF(B43&lt;='VALOR POR PL'!$P$5,IFERROR(INDEX('"INCC-FGV"'!$B$2:$B$800,MATCH(B43,'"INCC-FGV"'!$A$2:$A$800,0)),$K$2),$K$2)</f>
        <v/>
      </c>
      <c r="M43" s="138">
        <f>'CP RESUMO'!AP23</f>
        <v/>
      </c>
      <c r="N43" s="139">
        <f>MAX(0,M43-M42)</f>
        <v/>
      </c>
      <c r="O43" s="138">
        <f>IF(B43&lt;='VALOR POR PL'!$P$5,'CP RESUMO'!AP65,"")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HISTORICOS'!AQ23)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232391.14</v>
      </c>
      <c r="L44" s="49">
        <f>C44/IF(B44&lt;='VALOR POR PL'!$P$5,IFERROR(INDEX('"INCC-FGV"'!$B$2:$B$800,MATCH(B44,'"INCC-FGV"'!$A$2:$A$800,0)),$K$2),$K$2)</f>
        <v/>
      </c>
      <c r="M44" s="138">
        <f>'CP RESUMO'!AQ23</f>
        <v/>
      </c>
      <c r="N44" s="139">
        <f>MAX(0,M44-M43)</f>
        <v/>
      </c>
      <c r="O44" s="138">
        <f>IF(B44&lt;='VALOR POR PL'!$P$5,'CP RESUMO'!AQ65,"")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HISTORICOS'!AR23)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574068.9300000001</v>
      </c>
      <c r="L45" s="49">
        <f>C45/IF(B45&lt;='VALOR POR PL'!$P$5,IFERROR(INDEX('"INCC-FGV"'!$B$2:$B$800,MATCH(B45,'"INCC-FGV"'!$A$2:$A$800,0)),$K$2),$K$2)</f>
        <v/>
      </c>
      <c r="M45" s="138">
        <f>'CP RESUMO'!AR23</f>
        <v/>
      </c>
      <c r="N45" s="139">
        <f>MAX(0,M45-M44)</f>
        <v/>
      </c>
      <c r="O45" s="138">
        <f>IF(B45&lt;='VALOR POR PL'!$P$5,'CP RESUMO'!AR65,"")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HISTORICOS'!AS23)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359682.87</v>
      </c>
      <c r="L46" s="49">
        <f>C46/IF(B46&lt;='VALOR POR PL'!$P$5,IFERROR(INDEX('"INCC-FGV"'!$B$2:$B$800,MATCH(B46,'"INCC-FGV"'!$A$2:$A$800,0)),$K$2),$K$2)</f>
        <v/>
      </c>
      <c r="M46" s="138">
        <f>'CP RESUMO'!AS23</f>
        <v/>
      </c>
      <c r="N46" s="139">
        <f>MAX(0,M46-M45)</f>
        <v/>
      </c>
      <c r="O46" s="138">
        <f>IF(B46&lt;='VALOR POR PL'!$P$5,'CP RESUMO'!AS65,"")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HISTORICOS'!AT23)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430865.74</v>
      </c>
      <c r="L47" s="49">
        <f>C47/IF(B47&lt;='VALOR POR PL'!$P$5,IFERROR(INDEX('"INCC-FGV"'!$B$2:$B$800,MATCH(B47,'"INCC-FGV"'!$A$2:$A$800,0)),$K$2),$K$2)</f>
        <v/>
      </c>
      <c r="M47" s="138">
        <f>'CP RESUMO'!AT23</f>
        <v/>
      </c>
      <c r="N47" s="139">
        <f>MAX(0,M47-M46)</f>
        <v/>
      </c>
      <c r="O47" s="138">
        <f>IF(B47&lt;='VALOR POR PL'!$P$5,'CP RESUMO'!AT65,"")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HISTORICOS'!AU23)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621803.33</v>
      </c>
      <c r="L48" s="49">
        <f>C48/IF(B48&lt;='VALOR POR PL'!$P$5,IFERROR(INDEX('"INCC-FGV"'!$B$2:$B$800,MATCH(B48,'"INCC-FGV"'!$A$2:$A$800,0)),$K$2),$K$2)</f>
        <v/>
      </c>
      <c r="M48" s="138">
        <f>'CP RESUMO'!AU23</f>
        <v/>
      </c>
      <c r="N48" s="139">
        <f>MAX(0,M48-M47)</f>
        <v/>
      </c>
      <c r="O48" s="138">
        <f>IF(B48&lt;='VALOR POR PL'!$P$5,'CP RESUMO'!AU65,"")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HISTORICOS'!AV23)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317810.59</v>
      </c>
      <c r="L49" s="49">
        <f>C49/IF(B49&lt;='VALOR POR PL'!$P$5,IFERROR(INDEX('"INCC-FGV"'!$B$2:$B$800,MATCH(B49,'"INCC-FGV"'!$A$2:$A$800,0)),$K$2),$K$2)</f>
        <v/>
      </c>
      <c r="M49" s="138">
        <f>'CP RESUMO'!AV23</f>
        <v/>
      </c>
      <c r="N49" s="139">
        <f>MAX(0,M49-M48)</f>
        <v/>
      </c>
      <c r="O49" s="138">
        <f>IF(B49&lt;='VALOR POR PL'!$P$5,'CP RESUMO'!AV65,"")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HISTORICOS'!AW23)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40639.16</v>
      </c>
      <c r="L50" s="49">
        <f>C50/IF(B50&lt;='VALOR POR PL'!$P$5,IFERROR(INDEX('"INCC-FGV"'!$B$2:$B$800,MATCH(B50,'"INCC-FGV"'!$A$2:$A$800,0)),$K$2),$K$2)</f>
        <v/>
      </c>
      <c r="M50" s="138">
        <f>'CP RESUMO'!AW23</f>
        <v/>
      </c>
      <c r="N50" s="139">
        <f>MAX(0,M50-M49)</f>
        <v/>
      </c>
      <c r="O50" s="138">
        <f>IF(B50&lt;='VALOR POR PL'!$P$5,'CP RESUMO'!AW65,"")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HISTORICOS'!AX23)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10886.79</v>
      </c>
      <c r="L51" s="49">
        <f>C51/IF(B51&lt;='VALOR POR PL'!$P$5,IFERROR(INDEX('"INCC-FGV"'!$B$2:$B$800,MATCH(B51,'"INCC-FGV"'!$A$2:$A$800,0)),$K$2),$K$2)</f>
        <v/>
      </c>
      <c r="M51" s="138">
        <f>'CP RESUMO'!AX23</f>
        <v/>
      </c>
      <c r="N51" s="139">
        <f>MAX(0,M51-M50)</f>
        <v/>
      </c>
      <c r="O51" s="138">
        <f>IF(B51&lt;='VALOR POR PL'!$P$5,'CP RESUMO'!AX65,"")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HISTORICOS'!AY23)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RESUMO'!AY23</f>
        <v/>
      </c>
      <c r="N52" s="139">
        <f>MAX(0,M52-M51)</f>
        <v/>
      </c>
      <c r="O52" s="138">
        <f>IF(B52&lt;='VALOR POR PL'!$P$5,'CP RESUMO'!AY65,"")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HISTORICOS'!AZ23)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RESUMO'!AZ23</f>
        <v/>
      </c>
      <c r="N53" s="139">
        <f>MAX(0,M53-M52)</f>
        <v/>
      </c>
      <c r="O53" s="138">
        <f>IF(B53&lt;='VALOR POR PL'!$P$5,'CP RESUMO'!AZ65,"")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HISTORICOS'!BA23)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RESUMO'!BA23</f>
        <v/>
      </c>
      <c r="N54" s="139">
        <f>MAX(0,M54-M53)</f>
        <v/>
      </c>
      <c r="O54" s="138">
        <f>IF(B54&lt;='VALOR POR PL'!$P$5,'CP RESUMO'!BA65,"")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HISTORICOS'!BB23)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RESUMO'!BB23</f>
        <v/>
      </c>
      <c r="N55" s="139">
        <f>MAX(0,M55-M54)</f>
        <v/>
      </c>
      <c r="O55" s="138">
        <f>IF(B55&lt;='VALOR POR PL'!$P$5,'CP RESUMO'!BB65,"")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HISTORICOS'!BC23)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RESUMO'!BC23</f>
        <v/>
      </c>
      <c r="N56" s="139">
        <f>MAX(0,M56-M55)</f>
        <v/>
      </c>
      <c r="O56" s="138">
        <f>IF(B56&lt;='VALOR POR PL'!$P$5,'CP RESUMO'!BC65,"")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HISTORICOS'!BD23)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RESUMO'!BD23</f>
        <v/>
      </c>
      <c r="N57" s="139">
        <f>MAX(0,M57-M56)</f>
        <v/>
      </c>
      <c r="O57" s="138">
        <f>IF(B57&lt;='VALOR POR PL'!$P$5,'CP RESUMO'!BD65,"")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HISTORICOS'!BE23)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RESUMO'!BE23</f>
        <v/>
      </c>
      <c r="N58" s="139">
        <f>MAX(0,M58-M57)</f>
        <v/>
      </c>
      <c r="O58" s="138">
        <f>IF(B58&lt;='VALOR POR PL'!$P$5,'CP RESUMO'!BE65,"")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HISTORICOS'!BF23)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RESUMO'!BF23</f>
        <v/>
      </c>
      <c r="N59" s="139">
        <f>MAX(0,M59-M58)</f>
        <v/>
      </c>
      <c r="O59" s="138">
        <f>IF(B59&lt;='VALOR POR PL'!$P$5,'CP RESUMO'!BF65,"")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HISTORICOS'!BG23)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RESUMO'!BG23</f>
        <v/>
      </c>
      <c r="N60" s="139">
        <f>MAX(0,M60-M59)</f>
        <v/>
      </c>
      <c r="O60" s="138">
        <f>IF(B60&lt;='VALOR POR PL'!$P$5,'CP RESUMO'!BG65,"")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HISTORICOS'!BH23)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RESUMO'!BH23</f>
        <v/>
      </c>
      <c r="N61" s="139">
        <f>MAX(0,M61-M60)</f>
        <v/>
      </c>
      <c r="O61" s="138">
        <f>IF(B61&lt;='VALOR POR PL'!$P$5,'CP RESUMO'!BH65,"")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HISTORICOS'!BI23)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RESUMO'!BI23</f>
        <v/>
      </c>
      <c r="N62" s="139">
        <f>MAX(0,M62-M61)</f>
        <v/>
      </c>
      <c r="O62" s="138">
        <f>IF(B62&lt;='VALOR POR PL'!$P$5,'CP RESUMO'!BI65,"")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HISTORICOS'!BJ23)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RESUMO'!BJ23</f>
        <v/>
      </c>
      <c r="N63" s="139">
        <f>MAX(0,M63-M62)</f>
        <v/>
      </c>
      <c r="O63" s="138">
        <f>IF(B63&lt;='VALOR POR PL'!$P$5,'CP RESUMO'!BJ65,"")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HISTORICOS'!BK23)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RESUMO'!BK23</f>
        <v/>
      </c>
      <c r="N64" s="139">
        <f>MAX(0,M64-M63)</f>
        <v/>
      </c>
      <c r="O64" s="138">
        <f>IF(B64&lt;='VALOR POR PL'!$P$5,'CP RESUMO'!BK65,"")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HISTORICOS'!BL23)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RESUMO'!BL23</f>
        <v/>
      </c>
      <c r="N65" s="139">
        <f>MAX(0,M65-M64)</f>
        <v/>
      </c>
      <c r="O65" s="138">
        <f>IF(B65&lt;='VALOR POR PL'!$P$5,'CP RESUMO'!BL65,"")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HISTORICOS'!BM23)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RESUMO'!BM23</f>
        <v/>
      </c>
      <c r="N66" s="139">
        <f>MAX(0,M66-M65)</f>
        <v/>
      </c>
      <c r="O66" s="138">
        <f>IF(B66&lt;='VALOR POR PL'!$P$5,'CP RESUMO'!BM65,"")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HISTORICOS'!BN23)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RESUMO'!BN23</f>
        <v/>
      </c>
      <c r="N67" s="139">
        <f>MAX(0,M67-M66)</f>
        <v/>
      </c>
      <c r="O67" s="138">
        <f>IF(B67&lt;='VALOR POR PL'!$P$5,'CP RESUMO'!BN65,"")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HISTORICOS'!BO23)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RESUMO'!BO23</f>
        <v/>
      </c>
      <c r="N68" s="139">
        <f>MAX(0,M68-M67)</f>
        <v/>
      </c>
      <c r="O68" s="138">
        <f>IF(B68&lt;='VALOR POR PL'!$P$5,'CP RESUMO'!BO65,"")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HISTORICOS'!BP23)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RESUMO'!BP23</f>
        <v/>
      </c>
      <c r="N69" s="139">
        <f>MAX(0,M69-M68)</f>
        <v/>
      </c>
      <c r="O69" s="138">
        <f>IF(B69&lt;='VALOR POR PL'!$P$5,'CP RESUMO'!BP65,"")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HISTORICOS'!BQ23)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RESUMO'!BQ23</f>
        <v/>
      </c>
      <c r="N70" s="139">
        <f>MAX(0,M70-M69)</f>
        <v/>
      </c>
      <c r="O70" s="138">
        <f>IF(B70&lt;='VALOR POR PL'!$P$5,'CP RESUMO'!BQ65,"")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HISTORICOS'!BR23)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RESUMO'!BR23</f>
        <v/>
      </c>
      <c r="N71" s="139">
        <f>MAX(0,M71-M70)</f>
        <v/>
      </c>
      <c r="O71" s="138">
        <f>IF(B71&lt;='VALOR POR PL'!$P$5,'CP RESUMO'!BR65,"")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HISTORICOS'!BS23)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RESUMO'!BS23</f>
        <v/>
      </c>
      <c r="N72" s="139">
        <f>MAX(0,M72-M71)</f>
        <v/>
      </c>
      <c r="O72" s="138">
        <f>IF(B72&lt;='VALOR POR PL'!$P$5,'CP RESUMO'!BS65,"")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HISTORICOS'!BT23)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RESUMO'!BT23</f>
        <v/>
      </c>
      <c r="N73" s="139">
        <f>MAX(0,M73-M72)</f>
        <v/>
      </c>
      <c r="O73" s="138">
        <f>IF(B73&lt;='VALOR POR PL'!$P$5,'CP RESUMO'!BT65,"")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HISTORICOS'!BU23)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RESUMO'!BU23</f>
        <v/>
      </c>
      <c r="N74" s="139">
        <f>MAX(0,M74-M73)</f>
        <v/>
      </c>
      <c r="O74" s="138">
        <f>IF(B74&lt;='VALOR POR PL'!$P$5,'CP RESUMO'!BU65,"")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HISTORICOS'!BV23)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RESUMO'!BV23</f>
        <v/>
      </c>
      <c r="N75" s="139">
        <f>MAX(0,M75-M74)</f>
        <v/>
      </c>
      <c r="O75" s="138">
        <f>IF(B75&lt;='VALOR POR PL'!$P$5,'CP RESUMO'!BV65,"")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HISTORICOS'!BW23)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RESUMO'!BW23</f>
        <v/>
      </c>
      <c r="N76" s="139">
        <f>MAX(0,M76-M75)</f>
        <v/>
      </c>
      <c r="O76" s="138">
        <f>IF(B76&lt;='VALOR POR PL'!$P$5,'CP RESUMO'!BW65,"")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PL'!D30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HISTORICOS'!D24)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PL'!F30</f>
        <v/>
      </c>
      <c r="K5" s="60">
        <f>'VALOR POR PL'!G30</f>
        <v/>
      </c>
      <c r="L5" s="60">
        <f>'DADOS HISTORICOS'!$BZ$24</f>
        <v/>
      </c>
      <c r="M5" s="138">
        <f>'CP RESUMO'!D24</f>
        <v/>
      </c>
      <c r="N5" s="139" t="n">
        <v>0</v>
      </c>
      <c r="O5" s="138">
        <f>IF(B5&lt;='VALOR POR PL'!$P$5,'CP RESUMO'!D66,"")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HISTORICOS'!E24)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PL'!H30</f>
        <v/>
      </c>
      <c r="L6" s="49">
        <f>C6/IF(B6&lt;='VALOR POR PL'!$P$5,IFERROR(INDEX('"INCC-FGV"'!$B$2:$B$800,MATCH(B6,'"INCC-FGV"'!$A$2:$A$800,0)),$K$2),$K$2)</f>
        <v/>
      </c>
      <c r="M6" s="138">
        <f>'CP RESUMO'!E24</f>
        <v/>
      </c>
      <c r="N6" s="139">
        <f>MAX(0,M6-M5)</f>
        <v/>
      </c>
      <c r="O6" s="138">
        <f>IF(B6&lt;='VALOR POR PL'!$P$5,'CP RESUMO'!E66,"")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HISTORICOS'!F24)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RESUMO'!F24</f>
        <v/>
      </c>
      <c r="N7" s="139">
        <f>MAX(0,M7-M6)</f>
        <v/>
      </c>
      <c r="O7" s="138">
        <f>IF(B7&lt;='VALOR POR PL'!$P$5,'CP RESUMO'!F66,"")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HISTORICOS'!G24)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RESUMO'!G24</f>
        <v/>
      </c>
      <c r="N8" s="139">
        <f>MAX(0,M8-M7)</f>
        <v/>
      </c>
      <c r="O8" s="138">
        <f>IF(B8&lt;='VALOR POR PL'!$P$5,'CP RESUMO'!G66,"")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HISTORICOS'!H24)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RESUMO'!H24</f>
        <v/>
      </c>
      <c r="N9" s="139">
        <f>MAX(0,M9-M8)</f>
        <v/>
      </c>
      <c r="O9" s="138">
        <f>IF(B9&lt;='VALOR POR PL'!$P$5,'CP RESUMO'!H66,"")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HISTORICOS'!I24)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RESUMO'!I24</f>
        <v/>
      </c>
      <c r="N10" s="139">
        <f>MAX(0,M10-M9)</f>
        <v/>
      </c>
      <c r="O10" s="138">
        <f>IF(B10&lt;='VALOR POR PL'!$P$5,'CP RESUMO'!I66,"")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HISTORICOS'!J24)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RESUMO'!J24</f>
        <v/>
      </c>
      <c r="N11" s="139">
        <f>MAX(0,M11-M10)</f>
        <v/>
      </c>
      <c r="O11" s="138">
        <f>IF(B11&lt;='VALOR POR PL'!$P$5,'CP RESUMO'!J66,"")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HISTORICOS'!K24)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RESUMO'!K24</f>
        <v/>
      </c>
      <c r="N12" s="139">
        <f>MAX(0,M12-M11)</f>
        <v/>
      </c>
      <c r="O12" s="138">
        <f>IF(B12&lt;='VALOR POR PL'!$P$5,'CP RESUMO'!K66,"")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HISTORICOS'!L24)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PL'!I30</f>
        <v/>
      </c>
      <c r="L13" s="49">
        <f>C13/IF(B13&lt;='VALOR POR PL'!$P$5,IFERROR(INDEX('"INCC-FGV"'!$B$2:$B$800,MATCH(B13,'"INCC-FGV"'!$A$2:$A$800,0)),$K$2),$K$2)</f>
        <v/>
      </c>
      <c r="M13" s="138">
        <f>'CP RESUMO'!L24</f>
        <v/>
      </c>
      <c r="N13" s="139">
        <f>MAX(0,M13-M12)</f>
        <v/>
      </c>
      <c r="O13" s="138">
        <f>IF(B13&lt;='VALOR POR PL'!$P$5,'CP RESUMO'!L66,"")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HISTORICOS'!M24)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RESUMO'!$D$66:$BW$66,MATCH('VALOR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RESUMO'!M24</f>
        <v/>
      </c>
      <c r="N14" s="139">
        <f>MAX(0,M14-M13)</f>
        <v/>
      </c>
      <c r="O14" s="138">
        <f>IF(B14&lt;='VALOR POR PL'!$P$5,'CP RESUMO'!M66,"")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HISTORICOS'!N24)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RESUMO'!N24</f>
        <v/>
      </c>
      <c r="N15" s="139">
        <f>MAX(0,M15-M14)</f>
        <v/>
      </c>
      <c r="O15" s="138">
        <f>IF(B15&lt;='VALOR POR PL'!$P$5,'CP RESUMO'!N66,"")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HISTORICOS'!O24)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RESUMO'!O24</f>
        <v/>
      </c>
      <c r="N16" s="139">
        <f>MAX(0,M16-M15)</f>
        <v/>
      </c>
      <c r="O16" s="138">
        <f>IF(B16&lt;='VALOR POR PL'!$P$5,'CP RESUMO'!O66,"")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HISTORICOS'!P24)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RESUMO'!P24</f>
        <v/>
      </c>
      <c r="N17" s="139">
        <f>MAX(0,M17-M16)</f>
        <v/>
      </c>
      <c r="O17" s="138">
        <f>IF(B17&lt;='VALOR POR PL'!$P$5,'CP RESUMO'!P66,"")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HISTORICOS'!Q24)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RESUMO'!Q24</f>
        <v/>
      </c>
      <c r="N18" s="139">
        <f>MAX(0,M18-M17)</f>
        <v/>
      </c>
      <c r="O18" s="138">
        <f>IF(B18&lt;='VALOR POR PL'!$P$5,'CP RESUMO'!Q66,"")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HISTORICOS'!R24)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RESUMO'!R24</f>
        <v/>
      </c>
      <c r="N19" s="139">
        <f>MAX(0,M19-M18)</f>
        <v/>
      </c>
      <c r="O19" s="138">
        <f>IF(B19&lt;='VALOR POR PL'!$P$5,'CP RESUMO'!R66,"")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HISTORICOS'!S24)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RESUMO'!S24</f>
        <v/>
      </c>
      <c r="N20" s="139">
        <f>MAX(0,M20-M19)</f>
        <v/>
      </c>
      <c r="O20" s="138">
        <f>IF(B20&lt;='VALOR POR PL'!$P$5,'CP RESUMO'!S66,"")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HISTORICOS'!T24)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RESUMO'!T24</f>
        <v/>
      </c>
      <c r="N21" s="139">
        <f>MAX(0,M21-M20)</f>
        <v/>
      </c>
      <c r="O21" s="138">
        <f>IF(B21&lt;='VALOR POR PL'!$P$5,'CP RESUMO'!T66,"")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HISTORICOS'!U24)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RESUMO'!U24</f>
        <v/>
      </c>
      <c r="N22" s="139">
        <f>MAX(0,M22-M21)</f>
        <v/>
      </c>
      <c r="O22" s="138">
        <f>IF(B22&lt;='VALOR POR PL'!$P$5,'CP RESUMO'!U66,"")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HISTORICOS'!V24)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RESUMO'!V24</f>
        <v/>
      </c>
      <c r="N23" s="139">
        <f>MAX(0,M23-M22)</f>
        <v/>
      </c>
      <c r="O23" s="138">
        <f>IF(B23&lt;='VALOR POR PL'!$P$5,'CP RESUMO'!V66,"")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HISTORICOS'!W24)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inlineStr">
        <is>
          <t>Reorçamento: projeção da ANÁLISE IEC (coluna X) digitada = R$ 11.720.096 − 125.000; o fator da coluna W estava 1 (não atualizado). Usado X ÷ I = 0,9715.</t>
        </is>
      </c>
      <c r="L24" s="49">
        <f>C24/IF(B24&lt;='VALOR POR PL'!$P$5,IFERROR(INDEX('"INCC-FGV"'!$B$2:$B$800,MATCH(B24,'"INCC-FGV"'!$A$2:$A$800,0)),$K$2),$K$2)</f>
        <v/>
      </c>
      <c r="M24" s="138">
        <f>'CP RESUMO'!W24</f>
        <v/>
      </c>
      <c r="N24" s="139">
        <f>MAX(0,M24-M23)</f>
        <v/>
      </c>
      <c r="O24" s="138">
        <f>IF(B24&lt;='VALOR POR PL'!$P$5,'CP RESUMO'!W66,"")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HISTORICOS'!X24)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RESUMO'!X24</f>
        <v/>
      </c>
      <c r="N25" s="139">
        <f>MAX(0,M25-M24)</f>
        <v/>
      </c>
      <c r="O25" s="138">
        <f>IF(B25&lt;='VALOR POR PL'!$P$5,'CP RESUMO'!X66,"")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HISTORICOS'!Y24)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RESUMO'!Y24</f>
        <v/>
      </c>
      <c r="N26" s="139">
        <f>MAX(0,M26-M25)</f>
        <v/>
      </c>
      <c r="O26" s="138">
        <f>IF(B26&lt;='VALOR POR PL'!$P$5,'CP RESUMO'!Y66,"")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HISTORICOS'!Z24)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>
        <v>7000</v>
      </c>
      <c r="L27" s="49">
        <f>C27/IF(B27&lt;='VALOR POR PL'!$P$5,IFERROR(INDEX('"INCC-FGV"'!$B$2:$B$800,MATCH(B27,'"INCC-FGV"'!$A$2:$A$800,0)),$K$2),$K$2)</f>
        <v/>
      </c>
      <c r="M27" s="138">
        <f>'CP RESUMO'!Z24</f>
        <v/>
      </c>
      <c r="N27" s="139">
        <f>MAX(0,M27-M26)</f>
        <v/>
      </c>
      <c r="O27" s="138">
        <f>IF(B27&lt;='VALOR POR PL'!$P$5,'CP RESUMO'!Z66,"")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HISTORICOS'!AA24)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7000</v>
      </c>
      <c r="L28" s="49">
        <f>C28/IF(B28&lt;='VALOR POR PL'!$P$5,IFERROR(INDEX('"INCC-FGV"'!$B$2:$B$800,MATCH(B28,'"INCC-FGV"'!$A$2:$A$800,0)),$K$2),$K$2)</f>
        <v/>
      </c>
      <c r="M28" s="138">
        <f>'CP RESUMO'!AA24</f>
        <v/>
      </c>
      <c r="N28" s="139">
        <f>MAX(0,M28-M27)</f>
        <v/>
      </c>
      <c r="O28" s="138">
        <f>IF(B28&lt;='VALOR POR PL'!$P$5,'CP RESUMO'!AA66,"")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HISTORICOS'!AB24)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7000</v>
      </c>
      <c r="L29" s="49">
        <f>C29/IF(B29&lt;='VALOR POR PL'!$P$5,IFERROR(INDEX('"INCC-FGV"'!$B$2:$B$800,MATCH(B29,'"INCC-FGV"'!$A$2:$A$800,0)),$K$2),$K$2)</f>
        <v/>
      </c>
      <c r="M29" s="138">
        <f>'CP RESUMO'!AB24</f>
        <v/>
      </c>
      <c r="N29" s="139">
        <f>MAX(0,M29-M28)</f>
        <v/>
      </c>
      <c r="O29" s="138">
        <f>IF(B29&lt;='VALOR POR PL'!$P$5,'CP RESUMO'!AB66,"")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HISTORICOS'!AC24)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RESUMO'!AC24</f>
        <v/>
      </c>
      <c r="N30" s="139">
        <f>MAX(0,M30-M29)</f>
        <v/>
      </c>
      <c r="O30" s="138">
        <f>IF(B30&lt;='VALOR POR PL'!$P$5,'CP RESUMO'!AC66,"")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HISTORICOS'!AD24)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RESUMO'!AD24</f>
        <v/>
      </c>
      <c r="N31" s="139">
        <f>MAX(0,M31-M30)</f>
        <v/>
      </c>
      <c r="O31" s="138">
        <f>IF(B31&lt;='VALOR POR PL'!$P$5,'CP RESUMO'!AD66,"")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HISTORICOS'!AE24)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104809.94</v>
      </c>
      <c r="L32" s="49">
        <f>C32/IF(B32&lt;='VALOR POR PL'!$P$5,IFERROR(INDEX('"INCC-FGV"'!$B$2:$B$800,MATCH(B32,'"INCC-FGV"'!$A$2:$A$800,0)),$K$2),$K$2)</f>
        <v/>
      </c>
      <c r="M32" s="138">
        <f>'CP RESUMO'!AE24</f>
        <v/>
      </c>
      <c r="N32" s="139">
        <f>MAX(0,M32-M31)</f>
        <v/>
      </c>
      <c r="O32" s="138">
        <f>IF(B32&lt;='VALOR POR PL'!$P$5,'CP RESUMO'!AE66,"")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HISTORICOS'!AF24)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88705.57000000001</v>
      </c>
      <c r="L33" s="49">
        <f>C33/IF(B33&lt;='VALOR POR PL'!$P$5,IFERROR(INDEX('"INCC-FGV"'!$B$2:$B$800,MATCH(B33,'"INCC-FGV"'!$A$2:$A$800,0)),$K$2),$K$2)</f>
        <v/>
      </c>
      <c r="M33" s="138">
        <f>'CP RESUMO'!AF24</f>
        <v/>
      </c>
      <c r="N33" s="139">
        <f>MAX(0,M33-M32)</f>
        <v/>
      </c>
      <c r="O33" s="138">
        <f>IF(B33&lt;='VALOR POR PL'!$P$5,'CP RESUMO'!AF66,"")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HISTORICOS'!AG24)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55797.55</v>
      </c>
      <c r="L34" s="49">
        <f>C34/IF(B34&lt;='VALOR POR PL'!$P$5,IFERROR(INDEX('"INCC-FGV"'!$B$2:$B$800,MATCH(B34,'"INCC-FGV"'!$A$2:$A$800,0)),$K$2),$K$2)</f>
        <v/>
      </c>
      <c r="M34" s="138">
        <f>'CP RESUMO'!AG24</f>
        <v/>
      </c>
      <c r="N34" s="139">
        <f>MAX(0,M34-M33)</f>
        <v/>
      </c>
      <c r="O34" s="138">
        <f>IF(B34&lt;='VALOR POR PL'!$P$5,'CP RESUMO'!AG66,"")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HISTORICOS'!AH24)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82184.09</v>
      </c>
      <c r="L35" s="49">
        <f>C35/IF(B35&lt;='VALOR POR PL'!$P$5,IFERROR(INDEX('"INCC-FGV"'!$B$2:$B$800,MATCH(B35,'"INCC-FGV"'!$A$2:$A$800,0)),$K$2),$K$2)</f>
        <v/>
      </c>
      <c r="M35" s="138">
        <f>'CP RESUMO'!AH24</f>
        <v/>
      </c>
      <c r="N35" s="139">
        <f>MAX(0,M35-M34)</f>
        <v/>
      </c>
      <c r="O35" s="138">
        <f>IF(B35&lt;='VALOR POR PL'!$P$5,'CP RESUMO'!AH66,"")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HISTORICOS'!AI24)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81171.83</v>
      </c>
      <c r="L36" s="49">
        <f>C36/IF(B36&lt;='VALOR POR PL'!$P$5,IFERROR(INDEX('"INCC-FGV"'!$B$2:$B$800,MATCH(B36,'"INCC-FGV"'!$A$2:$A$800,0)),$K$2),$K$2)</f>
        <v/>
      </c>
      <c r="M36" s="138">
        <f>'CP RESUMO'!AI24</f>
        <v/>
      </c>
      <c r="N36" s="139">
        <f>MAX(0,M36-M35)</f>
        <v/>
      </c>
      <c r="O36" s="138">
        <f>IF(B36&lt;='VALOR POR PL'!$P$5,'CP RESUMO'!AI66,"")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HISTORICOS'!AJ24)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188717.89</v>
      </c>
      <c r="L37" s="49">
        <f>C37/IF(B37&lt;='VALOR POR PL'!$P$5,IFERROR(INDEX('"INCC-FGV"'!$B$2:$B$800,MATCH(B37,'"INCC-FGV"'!$A$2:$A$800,0)),$K$2),$K$2)</f>
        <v/>
      </c>
      <c r="M37" s="138">
        <f>'CP RESUMO'!AJ24</f>
        <v/>
      </c>
      <c r="N37" s="139">
        <f>MAX(0,M37-M36)</f>
        <v/>
      </c>
      <c r="O37" s="138">
        <f>IF(B37&lt;='VALOR POR PL'!$P$5,'CP RESUMO'!AJ66,"")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HISTORICOS'!AK24)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212785.42</v>
      </c>
      <c r="L38" s="49">
        <f>C38/IF(B38&lt;='VALOR POR PL'!$P$5,IFERROR(INDEX('"INCC-FGV"'!$B$2:$B$800,MATCH(B38,'"INCC-FGV"'!$A$2:$A$800,0)),$K$2),$K$2)</f>
        <v/>
      </c>
      <c r="M38" s="138">
        <f>'CP RESUMO'!AK24</f>
        <v/>
      </c>
      <c r="N38" s="139">
        <f>MAX(0,M38-M37)</f>
        <v/>
      </c>
      <c r="O38" s="138">
        <f>IF(B38&lt;='VALOR POR PL'!$P$5,'CP RESUMO'!AK66,"")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HISTORICOS'!AL24)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257411.13</v>
      </c>
      <c r="L39" s="49">
        <f>C39/IF(B39&lt;='VALOR POR PL'!$P$5,IFERROR(INDEX('"INCC-FGV"'!$B$2:$B$800,MATCH(B39,'"INCC-FGV"'!$A$2:$A$800,0)),$K$2),$K$2)</f>
        <v/>
      </c>
      <c r="M39" s="138">
        <f>'CP RESUMO'!AL24</f>
        <v/>
      </c>
      <c r="N39" s="139">
        <f>MAX(0,M39-M38)</f>
        <v/>
      </c>
      <c r="O39" s="138">
        <f>IF(B39&lt;='VALOR POR PL'!$P$5,'CP RESUMO'!AL66,"")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HISTORICOS'!AM24)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535693.4399999999</v>
      </c>
      <c r="L40" s="49">
        <f>C40/IF(B40&lt;='VALOR POR PL'!$P$5,IFERROR(INDEX('"INCC-FGV"'!$B$2:$B$800,MATCH(B40,'"INCC-FGV"'!$A$2:$A$800,0)),$K$2),$K$2)</f>
        <v/>
      </c>
      <c r="M40" s="138">
        <f>'CP RESUMO'!AM24</f>
        <v/>
      </c>
      <c r="N40" s="139">
        <f>MAX(0,M40-M39)</f>
        <v/>
      </c>
      <c r="O40" s="138">
        <f>IF(B40&lt;='VALOR POR PL'!$P$5,'CP RESUMO'!AM66,"")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HISTORICOS'!AN24)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467282.37</v>
      </c>
      <c r="L41" s="49">
        <f>C41/IF(B41&lt;='VALOR POR PL'!$P$5,IFERROR(INDEX('"INCC-FGV"'!$B$2:$B$800,MATCH(B41,'"INCC-FGV"'!$A$2:$A$800,0)),$K$2),$K$2)</f>
        <v/>
      </c>
      <c r="M41" s="138">
        <f>'CP RESUMO'!AN24</f>
        <v/>
      </c>
      <c r="N41" s="139">
        <f>MAX(0,M41-M40)</f>
        <v/>
      </c>
      <c r="O41" s="138">
        <f>IF(B41&lt;='VALOR POR PL'!$P$5,'CP RESUMO'!AN66,"")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HISTORICOS'!AO24)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626135.1800000001</v>
      </c>
      <c r="L42" s="49">
        <f>C42/IF(B42&lt;='VALOR POR PL'!$P$5,IFERROR(INDEX('"INCC-FGV"'!$B$2:$B$800,MATCH(B42,'"INCC-FGV"'!$A$2:$A$800,0)),$K$2),$K$2)</f>
        <v/>
      </c>
      <c r="M42" s="138">
        <f>'CP RESUMO'!AO24</f>
        <v/>
      </c>
      <c r="N42" s="139">
        <f>MAX(0,M42-M41)</f>
        <v/>
      </c>
      <c r="O42" s="138">
        <f>IF(B42&lt;='VALOR POR PL'!$P$5,'CP RESUMO'!AO66,"")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HISTORICOS'!AP24)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673675.08</v>
      </c>
      <c r="L43" s="49">
        <f>C43/IF(B43&lt;='VALOR POR PL'!$P$5,IFERROR(INDEX('"INCC-FGV"'!$B$2:$B$800,MATCH(B43,'"INCC-FGV"'!$A$2:$A$800,0)),$K$2),$K$2)</f>
        <v/>
      </c>
      <c r="M43" s="138">
        <f>'CP RESUMO'!AP24</f>
        <v/>
      </c>
      <c r="N43" s="139">
        <f>MAX(0,M43-M42)</f>
        <v/>
      </c>
      <c r="O43" s="138">
        <f>IF(B43&lt;='VALOR POR PL'!$P$5,'CP RESUMO'!AP66,"")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HISTORICOS'!AQ24)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1450546.51</v>
      </c>
      <c r="L44" s="49">
        <f>C44/IF(B44&lt;='VALOR POR PL'!$P$5,IFERROR(INDEX('"INCC-FGV"'!$B$2:$B$800,MATCH(B44,'"INCC-FGV"'!$A$2:$A$800,0)),$K$2),$K$2)</f>
        <v/>
      </c>
      <c r="M44" s="138">
        <f>'CP RESUMO'!AQ24</f>
        <v/>
      </c>
      <c r="N44" s="139">
        <f>MAX(0,M44-M43)</f>
        <v/>
      </c>
      <c r="O44" s="138">
        <f>IF(B44&lt;='VALOR POR PL'!$P$5,'CP RESUMO'!AQ66,"")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HISTORICOS'!AR24)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812816.23</v>
      </c>
      <c r="L45" s="49">
        <f>C45/IF(B45&lt;='VALOR POR PL'!$P$5,IFERROR(INDEX('"INCC-FGV"'!$B$2:$B$800,MATCH(B45,'"INCC-FGV"'!$A$2:$A$800,0)),$K$2),$K$2)</f>
        <v/>
      </c>
      <c r="M45" s="138">
        <f>'CP RESUMO'!AR24</f>
        <v/>
      </c>
      <c r="N45" s="139">
        <f>MAX(0,M45-M44)</f>
        <v/>
      </c>
      <c r="O45" s="138">
        <f>IF(B45&lt;='VALOR POR PL'!$P$5,'CP RESUMO'!AR66,"")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HISTORICOS'!AS24)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539171.96</v>
      </c>
      <c r="L46" s="49">
        <f>C46/IF(B46&lt;='VALOR POR PL'!$P$5,IFERROR(INDEX('"INCC-FGV"'!$B$2:$B$800,MATCH(B46,'"INCC-FGV"'!$A$2:$A$800,0)),$K$2),$K$2)</f>
        <v/>
      </c>
      <c r="M46" s="138">
        <f>'CP RESUMO'!AS24</f>
        <v/>
      </c>
      <c r="N46" s="139">
        <f>MAX(0,M46-M45)</f>
        <v/>
      </c>
      <c r="O46" s="138">
        <f>IF(B46&lt;='VALOR POR PL'!$P$5,'CP RESUMO'!AS66,"")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HISTORICOS'!AT24)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863834.65</v>
      </c>
      <c r="L47" s="49">
        <f>C47/IF(B47&lt;='VALOR POR PL'!$P$5,IFERROR(INDEX('"INCC-FGV"'!$B$2:$B$800,MATCH(B47,'"INCC-FGV"'!$A$2:$A$800,0)),$K$2),$K$2)</f>
        <v/>
      </c>
      <c r="M47" s="138">
        <f>'CP RESUMO'!AT24</f>
        <v/>
      </c>
      <c r="N47" s="139">
        <f>MAX(0,M47-M46)</f>
        <v/>
      </c>
      <c r="O47" s="138">
        <f>IF(B47&lt;='VALOR POR PL'!$P$5,'CP RESUMO'!AT66,"")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HISTORICOS'!AU24)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813975.74</v>
      </c>
      <c r="L48" s="49">
        <f>C48/IF(B48&lt;='VALOR POR PL'!$P$5,IFERROR(INDEX('"INCC-FGV"'!$B$2:$B$800,MATCH(B48,'"INCC-FGV"'!$A$2:$A$800,0)),$K$2),$K$2)</f>
        <v/>
      </c>
      <c r="M48" s="138">
        <f>'CP RESUMO'!AU24</f>
        <v/>
      </c>
      <c r="N48" s="139">
        <f>MAX(0,M48-M47)</f>
        <v/>
      </c>
      <c r="O48" s="138">
        <f>IF(B48&lt;='VALOR POR PL'!$P$5,'CP RESUMO'!AU66,"")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HISTORICOS'!AV24)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542650.49</v>
      </c>
      <c r="L49" s="49">
        <f>C49/IF(B49&lt;='VALOR POR PL'!$P$5,IFERROR(INDEX('"INCC-FGV"'!$B$2:$B$800,MATCH(B49,'"INCC-FGV"'!$A$2:$A$800,0)),$K$2),$K$2)</f>
        <v/>
      </c>
      <c r="M49" s="138">
        <f>'CP RESUMO'!AV24</f>
        <v/>
      </c>
      <c r="N49" s="139">
        <f>MAX(0,M49-M48)</f>
        <v/>
      </c>
      <c r="O49" s="138">
        <f>IF(B49&lt;='VALOR POR PL'!$P$5,'CP RESUMO'!AV66,"")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HISTORICOS'!AW24)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743245.65</v>
      </c>
      <c r="L50" s="49">
        <f>C50/IF(B50&lt;='VALOR POR PL'!$P$5,IFERROR(INDEX('"INCC-FGV"'!$B$2:$B$800,MATCH(B50,'"INCC-FGV"'!$A$2:$A$800,0)),$K$2),$K$2)</f>
        <v/>
      </c>
      <c r="M50" s="138">
        <f>'CP RESUMO'!AW24</f>
        <v/>
      </c>
      <c r="N50" s="139">
        <f>MAX(0,M50-M49)</f>
        <v/>
      </c>
      <c r="O50" s="138">
        <f>IF(B50&lt;='VALOR POR PL'!$P$5,'CP RESUMO'!AW66,"")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HISTORICOS'!AX24)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164650.36</v>
      </c>
      <c r="L51" s="49">
        <f>C51/IF(B51&lt;='VALOR POR PL'!$P$5,IFERROR(INDEX('"INCC-FGV"'!$B$2:$B$800,MATCH(B51,'"INCC-FGV"'!$A$2:$A$800,0)),$K$2),$K$2)</f>
        <v/>
      </c>
      <c r="M51" s="138">
        <f>'CP RESUMO'!AX24</f>
        <v/>
      </c>
      <c r="N51" s="139">
        <f>MAX(0,M51-M50)</f>
        <v/>
      </c>
      <c r="O51" s="138">
        <f>IF(B51&lt;='VALOR POR PL'!$P$5,'CP RESUMO'!AX66,"")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HISTORICOS'!AY24)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441773.16</v>
      </c>
      <c r="L52" s="49">
        <f>C52/IF(B52&lt;='VALOR POR PL'!$P$5,IFERROR(INDEX('"INCC-FGV"'!$B$2:$B$800,MATCH(B52,'"INCC-FGV"'!$A$2:$A$800,0)),$K$2),$K$2)</f>
        <v/>
      </c>
      <c r="M52" s="138">
        <f>'CP RESUMO'!AY24</f>
        <v/>
      </c>
      <c r="N52" s="139">
        <f>MAX(0,M52-M51)</f>
        <v/>
      </c>
      <c r="O52" s="138">
        <f>IF(B52&lt;='VALOR POR PL'!$P$5,'CP RESUMO'!AY66,"")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HISTORICOS'!AZ24)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288717.89</v>
      </c>
      <c r="L53" s="49">
        <f>C53/IF(B53&lt;='VALOR POR PL'!$P$5,IFERROR(INDEX('"INCC-FGV"'!$B$2:$B$800,MATCH(B53,'"INCC-FGV"'!$A$2:$A$800,0)),$K$2),$K$2)</f>
        <v/>
      </c>
      <c r="M53" s="138">
        <f>'CP RESUMO'!AZ24</f>
        <v/>
      </c>
      <c r="N53" s="139">
        <f>MAX(0,M53-M52)</f>
        <v/>
      </c>
      <c r="O53" s="138">
        <f>IF(B53&lt;='VALOR POR PL'!$P$5,'CP RESUMO'!AZ66,"")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HISTORICOS'!BA24)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154214.78</v>
      </c>
      <c r="L54" s="49">
        <f>C54/IF(B54&lt;='VALOR POR PL'!$P$5,IFERROR(INDEX('"INCC-FGV"'!$B$2:$B$800,MATCH(B54,'"INCC-FGV"'!$A$2:$A$800,0)),$K$2),$K$2)</f>
        <v/>
      </c>
      <c r="M54" s="138">
        <f>'CP RESUMO'!BA24</f>
        <v/>
      </c>
      <c r="N54" s="139">
        <f>MAX(0,M54-M53)</f>
        <v/>
      </c>
      <c r="O54" s="138">
        <f>IF(B54&lt;='VALOR POR PL'!$P$5,'CP RESUMO'!BA66,"")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HISTORICOS'!BB24)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336257.78</v>
      </c>
      <c r="L55" s="49">
        <f>C55/IF(B55&lt;='VALOR POR PL'!$P$5,IFERROR(INDEX('"INCC-FGV"'!$B$2:$B$800,MATCH(B55,'"INCC-FGV"'!$A$2:$A$800,0)),$K$2),$K$2)</f>
        <v/>
      </c>
      <c r="M55" s="138">
        <f>'CP RESUMO'!BB24</f>
        <v/>
      </c>
      <c r="N55" s="139">
        <f>MAX(0,M55-M54)</f>
        <v/>
      </c>
      <c r="O55" s="138">
        <f>IF(B55&lt;='VALOR POR PL'!$P$5,'CP RESUMO'!BB66,"")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HISTORICOS'!BC24)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721829.79</v>
      </c>
      <c r="L56" s="49">
        <f>C56/IF(B56&lt;='VALOR POR PL'!$P$5,IFERROR(INDEX('"INCC-FGV"'!$B$2:$B$800,MATCH(B56,'"INCC-FGV"'!$A$2:$A$800,0)),$K$2),$K$2)</f>
        <v/>
      </c>
      <c r="M56" s="138">
        <f>'CP RESUMO'!BC24</f>
        <v/>
      </c>
      <c r="N56" s="139">
        <f>MAX(0,M56-M55)</f>
        <v/>
      </c>
      <c r="O56" s="138">
        <f>IF(B56&lt;='VALOR POR PL'!$P$5,'CP RESUMO'!BC66,"")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HISTORICOS'!BD24)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RESUMO'!BD24</f>
        <v/>
      </c>
      <c r="N57" s="139">
        <f>MAX(0,M57-M56)</f>
        <v/>
      </c>
      <c r="O57" s="138">
        <f>IF(B57&lt;='VALOR POR PL'!$P$5,'CP RESUMO'!BD66,"")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HISTORICOS'!BE24)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RESUMO'!BE24</f>
        <v/>
      </c>
      <c r="N58" s="139">
        <f>MAX(0,M58-M57)</f>
        <v/>
      </c>
      <c r="O58" s="138">
        <f>IF(B58&lt;='VALOR POR PL'!$P$5,'CP RESUMO'!BE66,"")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HISTORICOS'!BF24)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RESUMO'!BF24</f>
        <v/>
      </c>
      <c r="N59" s="139">
        <f>MAX(0,M59-M58)</f>
        <v/>
      </c>
      <c r="O59" s="138">
        <f>IF(B59&lt;='VALOR POR PL'!$P$5,'CP RESUMO'!BF66,"")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HISTORICOS'!BG24)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RESUMO'!BG24</f>
        <v/>
      </c>
      <c r="N60" s="139">
        <f>MAX(0,M60-M59)</f>
        <v/>
      </c>
      <c r="O60" s="138">
        <f>IF(B60&lt;='VALOR POR PL'!$P$5,'CP RESUMO'!BG66,"")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HISTORICOS'!BH24)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RESUMO'!BH24</f>
        <v/>
      </c>
      <c r="N61" s="139">
        <f>MAX(0,M61-M60)</f>
        <v/>
      </c>
      <c r="O61" s="138">
        <f>IF(B61&lt;='VALOR POR PL'!$P$5,'CP RESUMO'!BH66,"")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HISTORICOS'!BI24)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RESUMO'!BI24</f>
        <v/>
      </c>
      <c r="N62" s="139">
        <f>MAX(0,M62-M61)</f>
        <v/>
      </c>
      <c r="O62" s="138">
        <f>IF(B62&lt;='VALOR POR PL'!$P$5,'CP RESUMO'!BI66,"")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HISTORICOS'!BJ24)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RESUMO'!BJ24</f>
        <v/>
      </c>
      <c r="N63" s="139">
        <f>MAX(0,M63-M62)</f>
        <v/>
      </c>
      <c r="O63" s="138">
        <f>IF(B63&lt;='VALOR POR PL'!$P$5,'CP RESUMO'!BJ66,"")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HISTORICOS'!BK24)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RESUMO'!BK24</f>
        <v/>
      </c>
      <c r="N64" s="139">
        <f>MAX(0,M64-M63)</f>
        <v/>
      </c>
      <c r="O64" s="138">
        <f>IF(B64&lt;='VALOR POR PL'!$P$5,'CP RESUMO'!BK66,"")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HISTORICOS'!BL24)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RESUMO'!BL24</f>
        <v/>
      </c>
      <c r="N65" s="139">
        <f>MAX(0,M65-M64)</f>
        <v/>
      </c>
      <c r="O65" s="138">
        <f>IF(B65&lt;='VALOR POR PL'!$P$5,'CP RESUMO'!BL66,"")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HISTORICOS'!BM24)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RESUMO'!BM24</f>
        <v/>
      </c>
      <c r="N66" s="139">
        <f>MAX(0,M66-M65)</f>
        <v/>
      </c>
      <c r="O66" s="138">
        <f>IF(B66&lt;='VALOR POR PL'!$P$5,'CP RESUMO'!BM66,"")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HISTORICOS'!BN24)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RESUMO'!BN24</f>
        <v/>
      </c>
      <c r="N67" s="139">
        <f>MAX(0,M67-M66)</f>
        <v/>
      </c>
      <c r="O67" s="138">
        <f>IF(B67&lt;='VALOR POR PL'!$P$5,'CP RESUMO'!BN66,"")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HISTORICOS'!BO24)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RESUMO'!BO24</f>
        <v/>
      </c>
      <c r="N68" s="139">
        <f>MAX(0,M68-M67)</f>
        <v/>
      </c>
      <c r="O68" s="138">
        <f>IF(B68&lt;='VALOR POR PL'!$P$5,'CP RESUMO'!BO66,"")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HISTORICOS'!BP24)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RESUMO'!BP24</f>
        <v/>
      </c>
      <c r="N69" s="139">
        <f>MAX(0,M69-M68)</f>
        <v/>
      </c>
      <c r="O69" s="138">
        <f>IF(B69&lt;='VALOR POR PL'!$P$5,'CP RESUMO'!BP66,"")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HISTORICOS'!BQ24)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RESUMO'!BQ24</f>
        <v/>
      </c>
      <c r="N70" s="139">
        <f>MAX(0,M70-M69)</f>
        <v/>
      </c>
      <c r="O70" s="138">
        <f>IF(B70&lt;='VALOR POR PL'!$P$5,'CP RESUMO'!BQ66,"")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HISTORICOS'!BR24)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RESUMO'!BR24</f>
        <v/>
      </c>
      <c r="N71" s="139">
        <f>MAX(0,M71-M70)</f>
        <v/>
      </c>
      <c r="O71" s="138">
        <f>IF(B71&lt;='VALOR POR PL'!$P$5,'CP RESUMO'!BR66,"")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HISTORICOS'!BS24)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RESUMO'!BS24</f>
        <v/>
      </c>
      <c r="N72" s="139">
        <f>MAX(0,M72-M71)</f>
        <v/>
      </c>
      <c r="O72" s="138">
        <f>IF(B72&lt;='VALOR POR PL'!$P$5,'CP RESUMO'!BS66,"")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HISTORICOS'!BT24)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RESUMO'!BT24</f>
        <v/>
      </c>
      <c r="N73" s="139">
        <f>MAX(0,M73-M72)</f>
        <v/>
      </c>
      <c r="O73" s="138">
        <f>IF(B73&lt;='VALOR POR PL'!$P$5,'CP RESUMO'!BT66,"")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HISTORICOS'!BU24)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RESUMO'!BU24</f>
        <v/>
      </c>
      <c r="N74" s="139">
        <f>MAX(0,M74-M73)</f>
        <v/>
      </c>
      <c r="O74" s="138">
        <f>IF(B74&lt;='VALOR POR PL'!$P$5,'CP RESUMO'!BU66,"")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HISTORICOS'!BV24)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RESUMO'!BV24</f>
        <v/>
      </c>
      <c r="N75" s="139">
        <f>MAX(0,M75-M74)</f>
        <v/>
      </c>
      <c r="O75" s="138">
        <f>IF(B75&lt;='VALOR POR PL'!$P$5,'CP RESUMO'!BV66,"")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HISTORICOS'!BW24)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RESUMO'!BW24</f>
        <v/>
      </c>
      <c r="N76" s="139">
        <f>MAX(0,M76-M75)</f>
        <v/>
      </c>
      <c r="O76" s="138">
        <f>IF(B76&lt;='VALOR POR PL'!$P$5,'CP RESUMO'!BW66,"")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PL'!D31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HISTORICOS'!D25)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PL'!F31</f>
        <v/>
      </c>
      <c r="K5" s="60">
        <f>'VALOR POR PL'!G31</f>
        <v/>
      </c>
      <c r="L5" s="60">
        <f>'DADOS HISTORICOS'!$BZ$25</f>
        <v/>
      </c>
      <c r="M5" s="138">
        <f>'CP RESUMO'!D25</f>
        <v/>
      </c>
      <c r="N5" s="139" t="n">
        <v>0</v>
      </c>
      <c r="O5" s="138">
        <f>IF(B5&lt;='VALOR POR PL'!$P$5,'CP RESUMO'!D67,"")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HISTORICOS'!E25)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PL'!H31</f>
        <v/>
      </c>
      <c r="L6" s="49">
        <f>C6/IF(B6&lt;='VALOR POR PL'!$P$5,IFERROR(INDEX('"INCC-FGV"'!$B$2:$B$800,MATCH(B6,'"INCC-FGV"'!$A$2:$A$800,0)),$K$2),$K$2)</f>
        <v/>
      </c>
      <c r="M6" s="138">
        <f>'CP RESUMO'!E25</f>
        <v/>
      </c>
      <c r="N6" s="139">
        <f>MAX(0,M6-M5)</f>
        <v/>
      </c>
      <c r="O6" s="138">
        <f>IF(B6&lt;='VALOR POR PL'!$P$5,'CP RESUMO'!E67,"")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HISTORICOS'!F25)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RESUMO'!F25</f>
        <v/>
      </c>
      <c r="N7" s="139">
        <f>MAX(0,M7-M6)</f>
        <v/>
      </c>
      <c r="O7" s="138">
        <f>IF(B7&lt;='VALOR POR PL'!$P$5,'CP RESUMO'!F67,"")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HISTORICOS'!G25)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RESUMO'!G25</f>
        <v/>
      </c>
      <c r="N8" s="139">
        <f>MAX(0,M8-M7)</f>
        <v/>
      </c>
      <c r="O8" s="138">
        <f>IF(B8&lt;='VALOR POR PL'!$P$5,'CP RESUMO'!G67,"")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HISTORICOS'!H25)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RESUMO'!H25</f>
        <v/>
      </c>
      <c r="N9" s="139">
        <f>MAX(0,M9-M8)</f>
        <v/>
      </c>
      <c r="O9" s="138">
        <f>IF(B9&lt;='VALOR POR PL'!$P$5,'CP RESUMO'!H67,"")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HISTORICOS'!I25)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RESUMO'!I25</f>
        <v/>
      </c>
      <c r="N10" s="139">
        <f>MAX(0,M10-M9)</f>
        <v/>
      </c>
      <c r="O10" s="138">
        <f>IF(B10&lt;='VALOR POR PL'!$P$5,'CP RESUMO'!I67,"")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HISTORICOS'!J25)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RESUMO'!J25</f>
        <v/>
      </c>
      <c r="N11" s="139">
        <f>MAX(0,M11-M10)</f>
        <v/>
      </c>
      <c r="O11" s="138">
        <f>IF(B11&lt;='VALOR POR PL'!$P$5,'CP RESUMO'!J67,"")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HISTORICOS'!K25)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RESUMO'!K25</f>
        <v/>
      </c>
      <c r="N12" s="139">
        <f>MAX(0,M12-M11)</f>
        <v/>
      </c>
      <c r="O12" s="138">
        <f>IF(B12&lt;='VALOR POR PL'!$P$5,'CP RESUMO'!K67,"")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HISTORICOS'!L25)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PL'!I31</f>
        <v/>
      </c>
      <c r="L13" s="49">
        <f>C13/IF(B13&lt;='VALOR POR PL'!$P$5,IFERROR(INDEX('"INCC-FGV"'!$B$2:$B$800,MATCH(B13,'"INCC-FGV"'!$A$2:$A$800,0)),$K$2),$K$2)</f>
        <v/>
      </c>
      <c r="M13" s="138">
        <f>'CP RESUMO'!L25</f>
        <v/>
      </c>
      <c r="N13" s="139">
        <f>MAX(0,M13-M12)</f>
        <v/>
      </c>
      <c r="O13" s="138">
        <f>IF(B13&lt;='VALOR POR PL'!$P$5,'CP RESUMO'!L67,"")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HISTORICOS'!M25)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RESUMO'!$D$67:$BW$67,MATCH('VALOR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RESUMO'!M25</f>
        <v/>
      </c>
      <c r="N14" s="139">
        <f>MAX(0,M14-M13)</f>
        <v/>
      </c>
      <c r="O14" s="138">
        <f>IF(B14&lt;='VALOR POR PL'!$P$5,'CP RESUMO'!M67,"")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HISTORICOS'!N25)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RESUMO'!N25</f>
        <v/>
      </c>
      <c r="N15" s="139">
        <f>MAX(0,M15-M14)</f>
        <v/>
      </c>
      <c r="O15" s="138">
        <f>IF(B15&lt;='VALOR POR PL'!$P$5,'CP RESUMO'!N67,"")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HISTORICOS'!O25)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RESUMO'!O25</f>
        <v/>
      </c>
      <c r="N16" s="139">
        <f>MAX(0,M16-M15)</f>
        <v/>
      </c>
      <c r="O16" s="138">
        <f>IF(B16&lt;='VALOR POR PL'!$P$5,'CP RESUMO'!O67,"")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HISTORICOS'!P25)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RESUMO'!P25</f>
        <v/>
      </c>
      <c r="N17" s="139">
        <f>MAX(0,M17-M16)</f>
        <v/>
      </c>
      <c r="O17" s="138">
        <f>IF(B17&lt;='VALOR POR PL'!$P$5,'CP RESUMO'!P67,"")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HISTORICOS'!Q25)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RESUMO'!Q25</f>
        <v/>
      </c>
      <c r="N18" s="139">
        <f>MAX(0,M18-M17)</f>
        <v/>
      </c>
      <c r="O18" s="138">
        <f>IF(B18&lt;='VALOR POR PL'!$P$5,'CP RESUMO'!Q67,"")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HISTORICOS'!R25)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RESUMO'!R25</f>
        <v/>
      </c>
      <c r="N19" s="139">
        <f>MAX(0,M19-M18)</f>
        <v/>
      </c>
      <c r="O19" s="138">
        <f>IF(B19&lt;='VALOR POR PL'!$P$5,'CP RESUMO'!R67,"")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HISTORICOS'!S25)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RESUMO'!S25</f>
        <v/>
      </c>
      <c r="N20" s="139">
        <f>MAX(0,M20-M19)</f>
        <v/>
      </c>
      <c r="O20" s="138">
        <f>IF(B20&lt;='VALOR POR PL'!$P$5,'CP RESUMO'!S67,"")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HISTORICOS'!T25)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RESUMO'!T25</f>
        <v/>
      </c>
      <c r="N21" s="139">
        <f>MAX(0,M21-M20)</f>
        <v/>
      </c>
      <c r="O21" s="138">
        <f>IF(B21&lt;='VALOR POR PL'!$P$5,'CP RESUMO'!T67,"")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HISTORICOS'!U25)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RESUMO'!U25</f>
        <v/>
      </c>
      <c r="N22" s="139">
        <f>MAX(0,M22-M21)</f>
        <v/>
      </c>
      <c r="O22" s="138">
        <f>IF(B22&lt;='VALOR POR PL'!$P$5,'CP RESUMO'!U67,"")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HISTORICOS'!V25)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RESUMO'!V25</f>
        <v/>
      </c>
      <c r="N23" s="139">
        <f>MAX(0,M23-M22)</f>
        <v/>
      </c>
      <c r="O23" s="138">
        <f>IF(B23&lt;='VALOR POR PL'!$P$5,'CP RESUMO'!V67,"")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HISTORICOS'!W25)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RESUMO'!W25</f>
        <v/>
      </c>
      <c r="N24" s="139">
        <f>MAX(0,M24-M23)</f>
        <v/>
      </c>
      <c r="O24" s="138">
        <f>IF(B24&lt;='VALOR POR PL'!$P$5,'CP RESUMO'!W67,"")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HISTORICOS'!X25)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RESUMO'!X25</f>
        <v/>
      </c>
      <c r="N25" s="139">
        <f>MAX(0,M25-M24)</f>
        <v/>
      </c>
      <c r="O25" s="138">
        <f>IF(B25&lt;='VALOR POR PL'!$P$5,'CP RESUMO'!X67,"")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HISTORICOS'!Y25)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RESUMO'!Y25</f>
        <v/>
      </c>
      <c r="N26" s="139">
        <f>MAX(0,M26-M25)</f>
        <v/>
      </c>
      <c r="O26" s="138">
        <f>IF(B26&lt;='VALOR POR PL'!$P$5,'CP RESUMO'!Y67,"")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HISTORICOS'!Z25)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RESUMO'!Z25</f>
        <v/>
      </c>
      <c r="N27" s="139">
        <f>MAX(0,M27-M26)</f>
        <v/>
      </c>
      <c r="O27" s="138">
        <f>IF(B27&lt;='VALOR POR PL'!$P$5,'CP RESUMO'!Z67,"")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HISTORICOS'!AA25)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>
        <v>150000</v>
      </c>
      <c r="L28" s="49">
        <f>C28/IF(B28&lt;='VALOR POR PL'!$P$5,IFERROR(INDEX('"INCC-FGV"'!$B$2:$B$800,MATCH(B28,'"INCC-FGV"'!$A$2:$A$800,0)),$K$2),$K$2)</f>
        <v/>
      </c>
      <c r="M28" s="138">
        <f>'CP RESUMO'!AA25</f>
        <v/>
      </c>
      <c r="N28" s="139">
        <f>MAX(0,M28-M27)</f>
        <v/>
      </c>
      <c r="O28" s="138">
        <f>IF(B28&lt;='VALOR POR PL'!$P$5,'CP RESUMO'!AA67,"")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HISTORICOS'!AB25)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>
        <v>50000</v>
      </c>
      <c r="L29" s="49">
        <f>C29/IF(B29&lt;='VALOR POR PL'!$P$5,IFERROR(INDEX('"INCC-FGV"'!$B$2:$B$800,MATCH(B29,'"INCC-FGV"'!$A$2:$A$800,0)),$K$2),$K$2)</f>
        <v/>
      </c>
      <c r="M29" s="138">
        <f>'CP RESUMO'!AB25</f>
        <v/>
      </c>
      <c r="N29" s="139">
        <f>MAX(0,M29-M28)</f>
        <v/>
      </c>
      <c r="O29" s="138">
        <f>IF(B29&lt;='VALOR POR PL'!$P$5,'CP RESUMO'!AB67,"")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HISTORICOS'!AC25)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>
        <v>50000</v>
      </c>
      <c r="L30" s="49">
        <f>C30/IF(B30&lt;='VALOR POR PL'!$P$5,IFERROR(INDEX('"INCC-FGV"'!$B$2:$B$800,MATCH(B30,'"INCC-FGV"'!$A$2:$A$800,0)),$K$2),$K$2)</f>
        <v/>
      </c>
      <c r="M30" s="138">
        <f>'CP RESUMO'!AC25</f>
        <v/>
      </c>
      <c r="N30" s="139">
        <f>MAX(0,M30-M29)</f>
        <v/>
      </c>
      <c r="O30" s="138">
        <f>IF(B30&lt;='VALOR POR PL'!$P$5,'CP RESUMO'!AC67,"")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HISTORICOS'!AD25)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>
        <v>70000</v>
      </c>
      <c r="L31" s="49">
        <f>C31/IF(B31&lt;='VALOR POR PL'!$P$5,IFERROR(INDEX('"INCC-FGV"'!$B$2:$B$800,MATCH(B31,'"INCC-FGV"'!$A$2:$A$800,0)),$K$2),$K$2)</f>
        <v/>
      </c>
      <c r="M31" s="138">
        <f>'CP RESUMO'!AD25</f>
        <v/>
      </c>
      <c r="N31" s="139">
        <f>MAX(0,M31-M30)</f>
        <v/>
      </c>
      <c r="O31" s="138">
        <f>IF(B31&lt;='VALOR POR PL'!$P$5,'CP RESUMO'!AD67,"")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HISTORICOS'!AE25)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>
        <v>120258.03</v>
      </c>
      <c r="L32" s="49">
        <f>C32/IF(B32&lt;='VALOR POR PL'!$P$5,IFERROR(INDEX('"INCC-FGV"'!$B$2:$B$800,MATCH(B32,'"INCC-FGV"'!$A$2:$A$800,0)),$K$2),$K$2)</f>
        <v/>
      </c>
      <c r="M32" s="138">
        <f>'CP RESUMO'!AE25</f>
        <v/>
      </c>
      <c r="N32" s="139">
        <f>MAX(0,M32-M31)</f>
        <v/>
      </c>
      <c r="O32" s="138">
        <f>IF(B32&lt;='VALOR POR PL'!$P$5,'CP RESUMO'!AE67,"")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HISTORICOS'!AF25)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120258.03</v>
      </c>
      <c r="L33" s="49">
        <f>C33/IF(B33&lt;='VALOR POR PL'!$P$5,IFERROR(INDEX('"INCC-FGV"'!$B$2:$B$800,MATCH(B33,'"INCC-FGV"'!$A$2:$A$800,0)),$K$2),$K$2)</f>
        <v/>
      </c>
      <c r="M33" s="138">
        <f>'CP RESUMO'!AF25</f>
        <v/>
      </c>
      <c r="N33" s="139">
        <f>MAX(0,M33-M32)</f>
        <v/>
      </c>
      <c r="O33" s="138">
        <f>IF(B33&lt;='VALOR POR PL'!$P$5,'CP RESUMO'!AF67,"")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HISTORICOS'!AG25)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87246.02</v>
      </c>
      <c r="L34" s="49">
        <f>C34/IF(B34&lt;='VALOR POR PL'!$P$5,IFERROR(INDEX('"INCC-FGV"'!$B$2:$B$800,MATCH(B34,'"INCC-FGV"'!$A$2:$A$800,0)),$K$2),$K$2)</f>
        <v/>
      </c>
      <c r="M34" s="138">
        <f>'CP RESUMO'!AG25</f>
        <v/>
      </c>
      <c r="N34" s="139">
        <f>MAX(0,M34-M33)</f>
        <v/>
      </c>
      <c r="O34" s="138">
        <f>IF(B34&lt;='VALOR POR PL'!$P$5,'CP RESUMO'!AG67,"")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HISTORICOS'!AH25)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3930</v>
      </c>
      <c r="L35" s="49">
        <f>C35/IF(B35&lt;='VALOR POR PL'!$P$5,IFERROR(INDEX('"INCC-FGV"'!$B$2:$B$800,MATCH(B35,'"INCC-FGV"'!$A$2:$A$800,0)),$K$2),$K$2)</f>
        <v/>
      </c>
      <c r="M35" s="138">
        <f>'CP RESUMO'!AH25</f>
        <v/>
      </c>
      <c r="N35" s="139">
        <f>MAX(0,M35-M34)</f>
        <v/>
      </c>
      <c r="O35" s="138">
        <f>IF(B35&lt;='VALOR POR PL'!$P$5,'CP RESUMO'!AH67,"")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HISTORICOS'!AI25)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89604.02</v>
      </c>
      <c r="L36" s="49">
        <f>C36/IF(B36&lt;='VALOR POR PL'!$P$5,IFERROR(INDEX('"INCC-FGV"'!$B$2:$B$800,MATCH(B36,'"INCC-FGV"'!$A$2:$A$800,0)),$K$2),$K$2)</f>
        <v/>
      </c>
      <c r="M36" s="138">
        <f>'CP RESUMO'!AI25</f>
        <v/>
      </c>
      <c r="N36" s="139">
        <f>MAX(0,M36-M35)</f>
        <v/>
      </c>
      <c r="O36" s="138">
        <f>IF(B36&lt;='VALOR POR PL'!$P$5,'CP RESUMO'!AI67,"")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HISTORICOS'!AJ25)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109254.03</v>
      </c>
      <c r="L37" s="49">
        <f>C37/IF(B37&lt;='VALOR POR PL'!$P$5,IFERROR(INDEX('"INCC-FGV"'!$B$2:$B$800,MATCH(B37,'"INCC-FGV"'!$A$2:$A$800,0)),$K$2),$K$2)</f>
        <v/>
      </c>
      <c r="M37" s="138">
        <f>'CP RESUMO'!AJ25</f>
        <v/>
      </c>
      <c r="N37" s="139">
        <f>MAX(0,M37-M36)</f>
        <v/>
      </c>
      <c r="O37" s="138">
        <f>IF(B37&lt;='VALOR POR PL'!$P$5,'CP RESUMO'!AJ67,"")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HISTORICOS'!AK25)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195714.05</v>
      </c>
      <c r="L38" s="49">
        <f>C38/IF(B38&lt;='VALOR POR PL'!$P$5,IFERROR(INDEX('"INCC-FGV"'!$B$2:$B$800,MATCH(B38,'"INCC-FGV"'!$A$2:$A$800,0)),$K$2),$K$2)</f>
        <v/>
      </c>
      <c r="M38" s="138">
        <f>'CP RESUMO'!AK25</f>
        <v/>
      </c>
      <c r="N38" s="139">
        <f>MAX(0,M38-M37)</f>
        <v/>
      </c>
      <c r="O38" s="138">
        <f>IF(B38&lt;='VALOR POR PL'!$P$5,'CP RESUMO'!AK67,"")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HISTORICOS'!AL25)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279816.06</v>
      </c>
      <c r="L39" s="49">
        <f>C39/IF(B39&lt;='VALOR POR PL'!$P$5,IFERROR(INDEX('"INCC-FGV"'!$B$2:$B$800,MATCH(B39,'"INCC-FGV"'!$A$2:$A$800,0)),$K$2),$K$2)</f>
        <v/>
      </c>
      <c r="M39" s="138">
        <f>'CP RESUMO'!AL25</f>
        <v/>
      </c>
      <c r="N39" s="139">
        <f>MAX(0,M39-M38)</f>
        <v/>
      </c>
      <c r="O39" s="138">
        <f>IF(B39&lt;='VALOR POR PL'!$P$5,'CP RESUMO'!AL67,"")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HISTORICOS'!AM25)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174492.04</v>
      </c>
      <c r="L40" s="49">
        <f>C40/IF(B40&lt;='VALOR POR PL'!$P$5,IFERROR(INDEX('"INCC-FGV"'!$B$2:$B$800,MATCH(B40,'"INCC-FGV"'!$A$2:$A$800,0)),$K$2),$K$2)</f>
        <v/>
      </c>
      <c r="M40" s="138">
        <f>'CP RESUMO'!AM25</f>
        <v/>
      </c>
      <c r="N40" s="139">
        <f>MAX(0,M40-M39)</f>
        <v/>
      </c>
      <c r="O40" s="138">
        <f>IF(B40&lt;='VALOR POR PL'!$P$5,'CP RESUMO'!AM67,"")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HISTORICOS'!AN25)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363132.08</v>
      </c>
      <c r="L41" s="49">
        <f>C41/IF(B41&lt;='VALOR POR PL'!$P$5,IFERROR(INDEX('"INCC-FGV"'!$B$2:$B$800,MATCH(B41,'"INCC-FGV"'!$A$2:$A$800,0)),$K$2),$K$2)</f>
        <v/>
      </c>
      <c r="M41" s="138">
        <f>'CP RESUMO'!AN25</f>
        <v/>
      </c>
      <c r="N41" s="139">
        <f>MAX(0,M41-M40)</f>
        <v/>
      </c>
      <c r="O41" s="138">
        <f>IF(B41&lt;='VALOR POR PL'!$P$5,'CP RESUMO'!AN67,"")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HISTORICOS'!AO25)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316758.07</v>
      </c>
      <c r="L42" s="49">
        <f>C42/IF(B42&lt;='VALOR POR PL'!$P$5,IFERROR(INDEX('"INCC-FGV"'!$B$2:$B$800,MATCH(B42,'"INCC-FGV"'!$A$2:$A$800,0)),$K$2),$K$2)</f>
        <v/>
      </c>
      <c r="M42" s="138">
        <f>'CP RESUMO'!AO25</f>
        <v/>
      </c>
      <c r="N42" s="139">
        <f>MAX(0,M42-M41)</f>
        <v/>
      </c>
      <c r="O42" s="138">
        <f>IF(B42&lt;='VALOR POR PL'!$P$5,'CP RESUMO'!AO67,"")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HISTORICOS'!AP25)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424440.1</v>
      </c>
      <c r="L43" s="49">
        <f>C43/IF(B43&lt;='VALOR POR PL'!$P$5,IFERROR(INDEX('"INCC-FGV"'!$B$2:$B$800,MATCH(B43,'"INCC-FGV"'!$A$2:$A$800,0)),$K$2),$K$2)</f>
        <v/>
      </c>
      <c r="M43" s="138">
        <f>'CP RESUMO'!AP25</f>
        <v/>
      </c>
      <c r="N43" s="139">
        <f>MAX(0,M43-M42)</f>
        <v/>
      </c>
      <c r="O43" s="138">
        <f>IF(B43&lt;='VALOR POR PL'!$P$5,'CP RESUMO'!AP67,"")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HISTORICOS'!AQ25)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456666.11</v>
      </c>
      <c r="L44" s="49">
        <f>C44/IF(B44&lt;='VALOR POR PL'!$P$5,IFERROR(INDEX('"INCC-FGV"'!$B$2:$B$800,MATCH(B44,'"INCC-FGV"'!$A$2:$A$800,0)),$K$2),$K$2)</f>
        <v/>
      </c>
      <c r="M44" s="138">
        <f>'CP RESUMO'!AQ25</f>
        <v/>
      </c>
      <c r="N44" s="139">
        <f>MAX(0,M44-M43)</f>
        <v/>
      </c>
      <c r="O44" s="138">
        <f>IF(B44&lt;='VALOR POR PL'!$P$5,'CP RESUMO'!AQ67,"")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HISTORICOS'!AR25)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983286.23</v>
      </c>
      <c r="L45" s="49">
        <f>C45/IF(B45&lt;='VALOR POR PL'!$P$5,IFERROR(INDEX('"INCC-FGV"'!$B$2:$B$800,MATCH(B45,'"INCC-FGV"'!$A$2:$A$800,0)),$K$2),$K$2)</f>
        <v/>
      </c>
      <c r="M45" s="138">
        <f>'CP RESUMO'!AR25</f>
        <v/>
      </c>
      <c r="N45" s="139">
        <f>MAX(0,M45-M44)</f>
        <v/>
      </c>
      <c r="O45" s="138">
        <f>IF(B45&lt;='VALOR POR PL'!$P$5,'CP RESUMO'!AR67,"")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HISTORICOS'!AS25)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550986.13</v>
      </c>
      <c r="L46" s="49">
        <f>C46/IF(B46&lt;='VALOR POR PL'!$P$5,IFERROR(INDEX('"INCC-FGV"'!$B$2:$B$800,MATCH(B46,'"INCC-FGV"'!$A$2:$A$800,0)),$K$2),$K$2)</f>
        <v/>
      </c>
      <c r="M46" s="138">
        <f>'CP RESUMO'!AS25</f>
        <v/>
      </c>
      <c r="N46" s="139">
        <f>MAX(0,M46-M45)</f>
        <v/>
      </c>
      <c r="O46" s="138">
        <f>IF(B46&lt;='VALOR POR PL'!$P$5,'CP RESUMO'!AS67,"")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HISTORICOS'!AT25)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365490.08</v>
      </c>
      <c r="L47" s="49">
        <f>C47/IF(B47&lt;='VALOR POR PL'!$P$5,IFERROR(INDEX('"INCC-FGV"'!$B$2:$B$800,MATCH(B47,'"INCC-FGV"'!$A$2:$A$800,0)),$K$2),$K$2)</f>
        <v/>
      </c>
      <c r="M47" s="138">
        <f>'CP RESUMO'!AT25</f>
        <v/>
      </c>
      <c r="N47" s="139">
        <f>MAX(0,M47-M46)</f>
        <v/>
      </c>
      <c r="O47" s="138">
        <f>IF(B47&lt;='VALOR POR PL'!$P$5,'CP RESUMO'!AT67,"")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HISTORICOS'!AU25)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585570.13</v>
      </c>
      <c r="L48" s="49">
        <f>C48/IF(B48&lt;='VALOR POR PL'!$P$5,IFERROR(INDEX('"INCC-FGV"'!$B$2:$B$800,MATCH(B48,'"INCC-FGV"'!$A$2:$A$800,0)),$K$2),$K$2)</f>
        <v/>
      </c>
      <c r="M48" s="138">
        <f>'CP RESUMO'!AU25</f>
        <v/>
      </c>
      <c r="N48" s="139">
        <f>MAX(0,M48-M47)</f>
        <v/>
      </c>
      <c r="O48" s="138">
        <f>IF(B48&lt;='VALOR POR PL'!$P$5,'CP RESUMO'!AU67,"")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HISTORICOS'!AV25)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551772.13</v>
      </c>
      <c r="L49" s="49">
        <f>C49/IF(B49&lt;='VALOR POR PL'!$P$5,IFERROR(INDEX('"INCC-FGV"'!$B$2:$B$800,MATCH(B49,'"INCC-FGV"'!$A$2:$A$800,0)),$K$2),$K$2)</f>
        <v/>
      </c>
      <c r="M49" s="138">
        <f>'CP RESUMO'!AV25</f>
        <v/>
      </c>
      <c r="N49" s="139">
        <f>MAX(0,M49-M48)</f>
        <v/>
      </c>
      <c r="O49" s="138">
        <f>IF(B49&lt;='VALOR POR PL'!$P$5,'CP RESUMO'!AV67,"")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HISTORICOS'!AW25)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367848.08</v>
      </c>
      <c r="L50" s="49">
        <f>C50/IF(B50&lt;='VALOR POR PL'!$P$5,IFERROR(INDEX('"INCC-FGV"'!$B$2:$B$800,MATCH(B50,'"INCC-FGV"'!$A$2:$A$800,0)),$K$2),$K$2)</f>
        <v/>
      </c>
      <c r="M50" s="138">
        <f>'CP RESUMO'!AW25</f>
        <v/>
      </c>
      <c r="N50" s="139">
        <f>MAX(0,M50-M49)</f>
        <v/>
      </c>
      <c r="O50" s="138">
        <f>IF(B50&lt;='VALOR POR PL'!$P$5,'CP RESUMO'!AW67,"")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HISTORICOS'!AX25)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503826.12</v>
      </c>
      <c r="L51" s="49">
        <f>C51/IF(B51&lt;='VALOR POR PL'!$P$5,IFERROR(INDEX('"INCC-FGV"'!$B$2:$B$800,MATCH(B51,'"INCC-FGV"'!$A$2:$A$800,0)),$K$2),$K$2)</f>
        <v/>
      </c>
      <c r="M51" s="138">
        <f>'CP RESUMO'!AX25</f>
        <v/>
      </c>
      <c r="N51" s="139">
        <f>MAX(0,M51-M50)</f>
        <v/>
      </c>
      <c r="O51" s="138">
        <f>IF(B51&lt;='VALOR POR PL'!$P$5,'CP RESUMO'!AX67,"")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HISTORICOS'!AY25)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111612.03</v>
      </c>
      <c r="L52" s="49">
        <f>C52/IF(B52&lt;='VALOR POR PL'!$P$5,IFERROR(INDEX('"INCC-FGV"'!$B$2:$B$800,MATCH(B52,'"INCC-FGV"'!$A$2:$A$800,0)),$K$2),$K$2)</f>
        <v/>
      </c>
      <c r="M52" s="138">
        <f>'CP RESUMO'!AY25</f>
        <v/>
      </c>
      <c r="N52" s="139">
        <f>MAX(0,M52-M51)</f>
        <v/>
      </c>
      <c r="O52" s="138">
        <f>IF(B52&lt;='VALOR POR PL'!$P$5,'CP RESUMO'!AY67,"")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HISTORICOS'!AZ25)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299466.07</v>
      </c>
      <c r="L53" s="49">
        <f>C53/IF(B53&lt;='VALOR POR PL'!$P$5,IFERROR(INDEX('"INCC-FGV"'!$B$2:$B$800,MATCH(B53,'"INCC-FGV"'!$A$2:$A$800,0)),$K$2),$K$2)</f>
        <v/>
      </c>
      <c r="M53" s="138">
        <f>'CP RESUMO'!AZ25</f>
        <v/>
      </c>
      <c r="N53" s="139">
        <f>MAX(0,M53-M52)</f>
        <v/>
      </c>
      <c r="O53" s="138">
        <f>IF(B53&lt;='VALOR POR PL'!$P$5,'CP RESUMO'!AZ67,"")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HISTORICOS'!BA25)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195714.05</v>
      </c>
      <c r="L54" s="49">
        <f>C54/IF(B54&lt;='VALOR POR PL'!$P$5,IFERROR(INDEX('"INCC-FGV"'!$B$2:$B$800,MATCH(B54,'"INCC-FGV"'!$A$2:$A$800,0)),$K$2),$K$2)</f>
        <v/>
      </c>
      <c r="M54" s="138">
        <f>'CP RESUMO'!BA25</f>
        <v/>
      </c>
      <c r="N54" s="139">
        <f>MAX(0,M54-M53)</f>
        <v/>
      </c>
      <c r="O54" s="138">
        <f>IF(B54&lt;='VALOR POR PL'!$P$5,'CP RESUMO'!BA67,"")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HISTORICOS'!BB25)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104538.02</v>
      </c>
      <c r="L55" s="49">
        <f>C55/IF(B55&lt;='VALOR POR PL'!$P$5,IFERROR(INDEX('"INCC-FGV"'!$B$2:$B$800,MATCH(B55,'"INCC-FGV"'!$A$2:$A$800,0)),$K$2),$K$2)</f>
        <v/>
      </c>
      <c r="M55" s="138">
        <f>'CP RESUMO'!BB25</f>
        <v/>
      </c>
      <c r="N55" s="139">
        <f>MAX(0,M55-M54)</f>
        <v/>
      </c>
      <c r="O55" s="138">
        <f>IF(B55&lt;='VALOR POR PL'!$P$5,'CP RESUMO'!BB67,"")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HISTORICOS'!BC25)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60047.36</v>
      </c>
      <c r="L56" s="49">
        <f>C56/IF(B56&lt;='VALOR POR PL'!$P$5,IFERROR(INDEX('"INCC-FGV"'!$B$2:$B$800,MATCH(B56,'"INCC-FGV"'!$A$2:$A$800,0)),$K$2),$K$2)</f>
        <v/>
      </c>
      <c r="M56" s="138">
        <f>'CP RESUMO'!BC25</f>
        <v/>
      </c>
      <c r="N56" s="139">
        <f>MAX(0,M56-M55)</f>
        <v/>
      </c>
      <c r="O56" s="138">
        <f>IF(B56&lt;='VALOR POR PL'!$P$5,'CP RESUMO'!BC67,"")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HISTORICOS'!BD25)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RESUMO'!BD25</f>
        <v/>
      </c>
      <c r="N57" s="139">
        <f>MAX(0,M57-M56)</f>
        <v/>
      </c>
      <c r="O57" s="138">
        <f>IF(B57&lt;='VALOR POR PL'!$P$5,'CP RESUMO'!BD67,"")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HISTORICOS'!BE25)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RESUMO'!BE25</f>
        <v/>
      </c>
      <c r="N58" s="139">
        <f>MAX(0,M58-M57)</f>
        <v/>
      </c>
      <c r="O58" s="138">
        <f>IF(B58&lt;='VALOR POR PL'!$P$5,'CP RESUMO'!BE67,"")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HISTORICOS'!BF25)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RESUMO'!BF25</f>
        <v/>
      </c>
      <c r="N59" s="139">
        <f>MAX(0,M59-M58)</f>
        <v/>
      </c>
      <c r="O59" s="138">
        <f>IF(B59&lt;='VALOR POR PL'!$P$5,'CP RESUMO'!BF67,"")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HISTORICOS'!BG25)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RESUMO'!BG25</f>
        <v/>
      </c>
      <c r="N60" s="139">
        <f>MAX(0,M60-M59)</f>
        <v/>
      </c>
      <c r="O60" s="138">
        <f>IF(B60&lt;='VALOR POR PL'!$P$5,'CP RESUMO'!BG67,"")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HISTORICOS'!BH25)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RESUMO'!BH25</f>
        <v/>
      </c>
      <c r="N61" s="139">
        <f>MAX(0,M61-M60)</f>
        <v/>
      </c>
      <c r="O61" s="138">
        <f>IF(B61&lt;='VALOR POR PL'!$P$5,'CP RESUMO'!BH67,"")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HISTORICOS'!BI25)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RESUMO'!BI25</f>
        <v/>
      </c>
      <c r="N62" s="139">
        <f>MAX(0,M62-M61)</f>
        <v/>
      </c>
      <c r="O62" s="138">
        <f>IF(B62&lt;='VALOR POR PL'!$P$5,'CP RESUMO'!BI67,"")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HISTORICOS'!BJ25)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RESUMO'!BJ25</f>
        <v/>
      </c>
      <c r="N63" s="139">
        <f>MAX(0,M63-M62)</f>
        <v/>
      </c>
      <c r="O63" s="138">
        <f>IF(B63&lt;='VALOR POR PL'!$P$5,'CP RESUMO'!BJ67,"")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HISTORICOS'!BK25)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RESUMO'!BK25</f>
        <v/>
      </c>
      <c r="N64" s="139">
        <f>MAX(0,M64-M63)</f>
        <v/>
      </c>
      <c r="O64" s="138">
        <f>IF(B64&lt;='VALOR POR PL'!$P$5,'CP RESUMO'!BK67,"")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HISTORICOS'!BL25)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RESUMO'!BL25</f>
        <v/>
      </c>
      <c r="N65" s="139">
        <f>MAX(0,M65-M64)</f>
        <v/>
      </c>
      <c r="O65" s="138">
        <f>IF(B65&lt;='VALOR POR PL'!$P$5,'CP RESUMO'!BL67,"")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HISTORICOS'!BM25)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RESUMO'!BM25</f>
        <v/>
      </c>
      <c r="N66" s="139">
        <f>MAX(0,M66-M65)</f>
        <v/>
      </c>
      <c r="O66" s="138">
        <f>IF(B66&lt;='VALOR POR PL'!$P$5,'CP RESUMO'!BM67,"")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HISTORICOS'!BN25)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RESUMO'!BN25</f>
        <v/>
      </c>
      <c r="N67" s="139">
        <f>MAX(0,M67-M66)</f>
        <v/>
      </c>
      <c r="O67" s="138">
        <f>IF(B67&lt;='VALOR POR PL'!$P$5,'CP RESUMO'!BN67,"")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HISTORICOS'!BO25)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RESUMO'!BO25</f>
        <v/>
      </c>
      <c r="N68" s="139">
        <f>MAX(0,M68-M67)</f>
        <v/>
      </c>
      <c r="O68" s="138">
        <f>IF(B68&lt;='VALOR POR PL'!$P$5,'CP RESUMO'!BO67,"")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HISTORICOS'!BP25)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RESUMO'!BP25</f>
        <v/>
      </c>
      <c r="N69" s="139">
        <f>MAX(0,M69-M68)</f>
        <v/>
      </c>
      <c r="O69" s="138">
        <f>IF(B69&lt;='VALOR POR PL'!$P$5,'CP RESUMO'!BP67,"")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HISTORICOS'!BQ25)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RESUMO'!BQ25</f>
        <v/>
      </c>
      <c r="N70" s="139">
        <f>MAX(0,M70-M69)</f>
        <v/>
      </c>
      <c r="O70" s="138">
        <f>IF(B70&lt;='VALOR POR PL'!$P$5,'CP RESUMO'!BQ67,"")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HISTORICOS'!BR25)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RESUMO'!BR25</f>
        <v/>
      </c>
      <c r="N71" s="139">
        <f>MAX(0,M71-M70)</f>
        <v/>
      </c>
      <c r="O71" s="138">
        <f>IF(B71&lt;='VALOR POR PL'!$P$5,'CP RESUMO'!BR67,"")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HISTORICOS'!BS25)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RESUMO'!BS25</f>
        <v/>
      </c>
      <c r="N72" s="139">
        <f>MAX(0,M72-M71)</f>
        <v/>
      </c>
      <c r="O72" s="138">
        <f>IF(B72&lt;='VALOR POR PL'!$P$5,'CP RESUMO'!BS67,"")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HISTORICOS'!BT25)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RESUMO'!BT25</f>
        <v/>
      </c>
      <c r="N73" s="139">
        <f>MAX(0,M73-M72)</f>
        <v/>
      </c>
      <c r="O73" s="138">
        <f>IF(B73&lt;='VALOR POR PL'!$P$5,'CP RESUMO'!BT67,"")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HISTORICOS'!BU25)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RESUMO'!BU25</f>
        <v/>
      </c>
      <c r="N74" s="139">
        <f>MAX(0,M74-M73)</f>
        <v/>
      </c>
      <c r="O74" s="138">
        <f>IF(B74&lt;='VALOR POR PL'!$P$5,'CP RESUMO'!BU67,"")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HISTORICOS'!BV25)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RESUMO'!BV25</f>
        <v/>
      </c>
      <c r="N75" s="139">
        <f>MAX(0,M75-M74)</f>
        <v/>
      </c>
      <c r="O75" s="138">
        <f>IF(B75&lt;='VALOR POR PL'!$P$5,'CP RESUMO'!BV67,"")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HISTORICOS'!BW25)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RESUMO'!BW25</f>
        <v/>
      </c>
      <c r="N76" s="139">
        <f>MAX(0,M76-M75)</f>
        <v/>
      </c>
      <c r="O76" s="138">
        <f>IF(B76&lt;='VALOR POR PL'!$P$5,'CP RESUMO'!BW67,"")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PL'!D32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HISTORICOS'!D26)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PL'!F32</f>
        <v/>
      </c>
      <c r="K5" s="60">
        <f>'VALOR POR PL'!G32</f>
        <v/>
      </c>
      <c r="L5" s="60">
        <f>'DADOS HISTORICOS'!$BZ$26</f>
        <v/>
      </c>
      <c r="M5" s="138">
        <f>'CP RESUMO'!D26</f>
        <v/>
      </c>
      <c r="N5" s="139" t="n">
        <v>0</v>
      </c>
      <c r="O5" s="138">
        <f>IF(B5&lt;='VALOR POR PL'!$P$5,'CP RESUMO'!D68,"")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HISTORICOS'!E26)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PL'!H32</f>
        <v/>
      </c>
      <c r="L6" s="49">
        <f>C6/IF(B6&lt;='VALOR POR PL'!$P$5,IFERROR(INDEX('"INCC-FGV"'!$B$2:$B$800,MATCH(B6,'"INCC-FGV"'!$A$2:$A$800,0)),$K$2),$K$2)</f>
        <v/>
      </c>
      <c r="M6" s="138">
        <f>'CP RESUMO'!E26</f>
        <v/>
      </c>
      <c r="N6" s="139">
        <f>MAX(0,M6-M5)</f>
        <v/>
      </c>
      <c r="O6" s="138">
        <f>IF(B6&lt;='VALOR POR PL'!$P$5,'CP RESUMO'!E68,"")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HISTORICOS'!F26)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RESUMO'!F26</f>
        <v/>
      </c>
      <c r="N7" s="139">
        <f>MAX(0,M7-M6)</f>
        <v/>
      </c>
      <c r="O7" s="138">
        <f>IF(B7&lt;='VALOR POR PL'!$P$5,'CP RESUMO'!F68,"")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HISTORICOS'!G26)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RESUMO'!G26</f>
        <v/>
      </c>
      <c r="N8" s="139">
        <f>MAX(0,M8-M7)</f>
        <v/>
      </c>
      <c r="O8" s="138">
        <f>IF(B8&lt;='VALOR POR PL'!$P$5,'CP RESUMO'!G68,"")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HISTORICOS'!H26)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RESUMO'!H26</f>
        <v/>
      </c>
      <c r="N9" s="139">
        <f>MAX(0,M9-M8)</f>
        <v/>
      </c>
      <c r="O9" s="138">
        <f>IF(B9&lt;='VALOR POR PL'!$P$5,'CP RESUMO'!H68,"")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HISTORICOS'!I26)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RESUMO'!I26</f>
        <v/>
      </c>
      <c r="N10" s="139">
        <f>MAX(0,M10-M9)</f>
        <v/>
      </c>
      <c r="O10" s="138">
        <f>IF(B10&lt;='VALOR POR PL'!$P$5,'CP RESUMO'!I68,"")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HISTORICOS'!J26)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RESUMO'!J26</f>
        <v/>
      </c>
      <c r="N11" s="139">
        <f>MAX(0,M11-M10)</f>
        <v/>
      </c>
      <c r="O11" s="138">
        <f>IF(B11&lt;='VALOR POR PL'!$P$5,'CP RESUMO'!J68,"")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HISTORICOS'!K26)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RESUMO'!K26</f>
        <v/>
      </c>
      <c r="N12" s="139">
        <f>MAX(0,M12-M11)</f>
        <v/>
      </c>
      <c r="O12" s="138">
        <f>IF(B12&lt;='VALOR POR PL'!$P$5,'CP RESUMO'!K68,"")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HISTORICOS'!L26)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PL'!I32</f>
        <v/>
      </c>
      <c r="L13" s="49">
        <f>C13/IF(B13&lt;='VALOR POR PL'!$P$5,IFERROR(INDEX('"INCC-FGV"'!$B$2:$B$800,MATCH(B13,'"INCC-FGV"'!$A$2:$A$800,0)),$K$2),$K$2)</f>
        <v/>
      </c>
      <c r="M13" s="138">
        <f>'CP RESUMO'!L26</f>
        <v/>
      </c>
      <c r="N13" s="139">
        <f>MAX(0,M13-M12)</f>
        <v/>
      </c>
      <c r="O13" s="138">
        <f>IF(B13&lt;='VALOR POR PL'!$P$5,'CP RESUMO'!L68,"")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HISTORICOS'!M26)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RESUMO'!$D$68:$BW$68,MATCH('VALOR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RESUMO'!M26</f>
        <v/>
      </c>
      <c r="N14" s="139">
        <f>MAX(0,M14-M13)</f>
        <v/>
      </c>
      <c r="O14" s="138">
        <f>IF(B14&lt;='VALOR POR PL'!$P$5,'CP RESUMO'!M68,"")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HISTORICOS'!N26)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RESUMO'!N26</f>
        <v/>
      </c>
      <c r="N15" s="139">
        <f>MAX(0,M15-M14)</f>
        <v/>
      </c>
      <c r="O15" s="138">
        <f>IF(B15&lt;='VALOR POR PL'!$P$5,'CP RESUMO'!N68,"")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HISTORICOS'!O26)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RESUMO'!O26</f>
        <v/>
      </c>
      <c r="N16" s="139">
        <f>MAX(0,M16-M15)</f>
        <v/>
      </c>
      <c r="O16" s="138">
        <f>IF(B16&lt;='VALOR POR PL'!$P$5,'CP RESUMO'!O68,"")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HISTORICOS'!P26)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RESUMO'!P26</f>
        <v/>
      </c>
      <c r="N17" s="139">
        <f>MAX(0,M17-M16)</f>
        <v/>
      </c>
      <c r="O17" s="138">
        <f>IF(B17&lt;='VALOR POR PL'!$P$5,'CP RESUMO'!P68,"")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HISTORICOS'!Q26)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RESUMO'!Q26</f>
        <v/>
      </c>
      <c r="N18" s="139">
        <f>MAX(0,M18-M17)</f>
        <v/>
      </c>
      <c r="O18" s="138">
        <f>IF(B18&lt;='VALOR POR PL'!$P$5,'CP RESUMO'!Q68,"")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HISTORICOS'!R26)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RESUMO'!R26</f>
        <v/>
      </c>
      <c r="N19" s="139">
        <f>MAX(0,M19-M18)</f>
        <v/>
      </c>
      <c r="O19" s="138">
        <f>IF(B19&lt;='VALOR POR PL'!$P$5,'CP RESUMO'!R68,"")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HISTORICOS'!S26)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RESUMO'!S26</f>
        <v/>
      </c>
      <c r="N20" s="139">
        <f>MAX(0,M20-M19)</f>
        <v/>
      </c>
      <c r="O20" s="138">
        <f>IF(B20&lt;='VALOR POR PL'!$P$5,'CP RESUMO'!S68,"")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HISTORICOS'!T26)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RESUMO'!T26</f>
        <v/>
      </c>
      <c r="N21" s="139">
        <f>MAX(0,M21-M20)</f>
        <v/>
      </c>
      <c r="O21" s="138">
        <f>IF(B21&lt;='VALOR POR PL'!$P$5,'CP RESUMO'!T68,"")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HISTORICOS'!U26)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RESUMO'!U26</f>
        <v/>
      </c>
      <c r="N22" s="139">
        <f>MAX(0,M22-M21)</f>
        <v/>
      </c>
      <c r="O22" s="138">
        <f>IF(B22&lt;='VALOR POR PL'!$P$5,'CP RESUMO'!U68,"")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HISTORICOS'!V26)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RESUMO'!V26</f>
        <v/>
      </c>
      <c r="N23" s="139">
        <f>MAX(0,M23-M22)</f>
        <v/>
      </c>
      <c r="O23" s="138">
        <f>IF(B23&lt;='VALOR POR PL'!$P$5,'CP RESUMO'!V68,"")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HISTORICOS'!W26)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RESUMO'!W26</f>
        <v/>
      </c>
      <c r="N24" s="139">
        <f>MAX(0,M24-M23)</f>
        <v/>
      </c>
      <c r="O24" s="138">
        <f>IF(B24&lt;='VALOR POR PL'!$P$5,'CP RESUMO'!W68,"")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HISTORICOS'!X26)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RESUMO'!X26</f>
        <v/>
      </c>
      <c r="N25" s="139">
        <f>MAX(0,M25-M24)</f>
        <v/>
      </c>
      <c r="O25" s="138">
        <f>IF(B25&lt;='VALOR POR PL'!$P$5,'CP RESUMO'!X68,"")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HISTORICOS'!Y26)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RESUMO'!Y26</f>
        <v/>
      </c>
      <c r="N26" s="139">
        <f>MAX(0,M26-M25)</f>
        <v/>
      </c>
      <c r="O26" s="138">
        <f>IF(B26&lt;='VALOR POR PL'!$P$5,'CP RESUMO'!Y68,"")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HISTORICOS'!Z26)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RESUMO'!Z26</f>
        <v/>
      </c>
      <c r="N27" s="139">
        <f>MAX(0,M27-M26)</f>
        <v/>
      </c>
      <c r="O27" s="138">
        <f>IF(B27&lt;='VALOR POR PL'!$P$5,'CP RESUMO'!Z68,"")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HISTORICOS'!AA26)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RESUMO'!AA26</f>
        <v/>
      </c>
      <c r="N28" s="139">
        <f>MAX(0,M28-M27)</f>
        <v/>
      </c>
      <c r="O28" s="138">
        <f>IF(B28&lt;='VALOR POR PL'!$P$5,'CP RESUMO'!AA68,"")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HISTORICOS'!AB26)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RESUMO'!AB26</f>
        <v/>
      </c>
      <c r="N29" s="139">
        <f>MAX(0,M29-M28)</f>
        <v/>
      </c>
      <c r="O29" s="138">
        <f>IF(B29&lt;='VALOR POR PL'!$P$5,'CP RESUMO'!AB68,"")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HISTORICOS'!AC26)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RESUMO'!AC26</f>
        <v/>
      </c>
      <c r="N30" s="139">
        <f>MAX(0,M30-M29)</f>
        <v/>
      </c>
      <c r="O30" s="138">
        <f>IF(B30&lt;='VALOR POR PL'!$P$5,'CP RESUMO'!AC68,"")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HISTORICOS'!AD26)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RESUMO'!AD26</f>
        <v/>
      </c>
      <c r="N31" s="139">
        <f>MAX(0,M31-M30)</f>
        <v/>
      </c>
      <c r="O31" s="138">
        <f>IF(B31&lt;='VALOR POR PL'!$P$5,'CP RESUMO'!AD68,"")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HISTORICOS'!AE26)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RESUMO'!AE26</f>
        <v/>
      </c>
      <c r="N32" s="139">
        <f>MAX(0,M32-M31)</f>
        <v/>
      </c>
      <c r="O32" s="138">
        <f>IF(B32&lt;='VALOR POR PL'!$P$5,'CP RESUMO'!AE68,"")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HISTORICOS'!AF26)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4858.59</v>
      </c>
      <c r="L33" s="49">
        <f>C33/IF(B33&lt;='VALOR POR PL'!$P$5,IFERROR(INDEX('"INCC-FGV"'!$B$2:$B$800,MATCH(B33,'"INCC-FGV"'!$A$2:$A$800,0)),$K$2),$K$2)</f>
        <v/>
      </c>
      <c r="M33" s="138">
        <f>'CP RESUMO'!AF26</f>
        <v/>
      </c>
      <c r="N33" s="139">
        <f>MAX(0,M33-M32)</f>
        <v/>
      </c>
      <c r="O33" s="138">
        <f>IF(B33&lt;='VALOR POR PL'!$P$5,'CP RESUMO'!AF68,"")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HISTORICOS'!AG26)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51303.46</v>
      </c>
      <c r="L34" s="49">
        <f>C34/IF(B34&lt;='VALOR POR PL'!$P$5,IFERROR(INDEX('"INCC-FGV"'!$B$2:$B$800,MATCH(B34,'"INCC-FGV"'!$A$2:$A$800,0)),$K$2),$K$2)</f>
        <v/>
      </c>
      <c r="M34" s="138">
        <f>'CP RESUMO'!AG26</f>
        <v/>
      </c>
      <c r="N34" s="139">
        <f>MAX(0,M34-M33)</f>
        <v/>
      </c>
      <c r="O34" s="138">
        <f>IF(B34&lt;='VALOR POR PL'!$P$5,'CP RESUMO'!AG68,"")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HISTORICOS'!AH26)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48915.33</v>
      </c>
      <c r="L35" s="49">
        <f>C35/IF(B35&lt;='VALOR POR PL'!$P$5,IFERROR(INDEX('"INCC-FGV"'!$B$2:$B$800,MATCH(B35,'"INCC-FGV"'!$A$2:$A$800,0)),$K$2),$K$2)</f>
        <v/>
      </c>
      <c r="M35" s="138">
        <f>'CP RESUMO'!AH26</f>
        <v/>
      </c>
      <c r="N35" s="139">
        <f>MAX(0,M35-M34)</f>
        <v/>
      </c>
      <c r="O35" s="138">
        <f>IF(B35&lt;='VALOR POR PL'!$P$5,'CP RESUMO'!AH68,"")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HISTORICOS'!AI26)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53691.58</v>
      </c>
      <c r="L36" s="49">
        <f>C36/IF(B36&lt;='VALOR POR PL'!$P$5,IFERROR(INDEX('"INCC-FGV"'!$B$2:$B$800,MATCH(B36,'"INCC-FGV"'!$A$2:$A$800,0)),$K$2),$K$2)</f>
        <v/>
      </c>
      <c r="M36" s="138">
        <f>'CP RESUMO'!AI26</f>
        <v/>
      </c>
      <c r="N36" s="139">
        <f>MAX(0,M36-M35)</f>
        <v/>
      </c>
      <c r="O36" s="138">
        <f>IF(B36&lt;='VALOR POR PL'!$P$5,'CP RESUMO'!AI68,"")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HISTORICOS'!AJ26)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57973.73</v>
      </c>
      <c r="L37" s="49">
        <f>C37/IF(B37&lt;='VALOR POR PL'!$P$5,IFERROR(INDEX('"INCC-FGV"'!$B$2:$B$800,MATCH(B37,'"INCC-FGV"'!$A$2:$A$800,0)),$K$2),$K$2)</f>
        <v/>
      </c>
      <c r="M37" s="138">
        <f>'CP RESUMO'!AJ26</f>
        <v/>
      </c>
      <c r="N37" s="139">
        <f>MAX(0,M37-M36)</f>
        <v/>
      </c>
      <c r="O37" s="138">
        <f>IF(B37&lt;='VALOR POR PL'!$P$5,'CP RESUMO'!AJ68,"")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HISTORICOS'!AK26)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62667.62</v>
      </c>
      <c r="L38" s="49">
        <f>C38/IF(B38&lt;='VALOR POR PL'!$P$5,IFERROR(INDEX('"INCC-FGV"'!$B$2:$B$800,MATCH(B38,'"INCC-FGV"'!$A$2:$A$800,0)),$K$2),$K$2)</f>
        <v/>
      </c>
      <c r="M38" s="138">
        <f>'CP RESUMO'!AK26</f>
        <v/>
      </c>
      <c r="N38" s="139">
        <f>MAX(0,M38-M37)</f>
        <v/>
      </c>
      <c r="O38" s="138">
        <f>IF(B38&lt;='VALOR POR PL'!$P$5,'CP RESUMO'!AK68,"")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HISTORICOS'!AL26)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58632.52</v>
      </c>
      <c r="L39" s="49">
        <f>C39/IF(B39&lt;='VALOR POR PL'!$P$5,IFERROR(INDEX('"INCC-FGV"'!$B$2:$B$800,MATCH(B39,'"INCC-FGV"'!$A$2:$A$800,0)),$K$2),$K$2)</f>
        <v/>
      </c>
      <c r="M39" s="138">
        <f>'CP RESUMO'!AL26</f>
        <v/>
      </c>
      <c r="N39" s="139">
        <f>MAX(0,M39-M38)</f>
        <v/>
      </c>
      <c r="O39" s="138">
        <f>IF(B39&lt;='VALOR POR PL'!$P$5,'CP RESUMO'!AL68,"")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HISTORICOS'!AM26)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70490.78</v>
      </c>
      <c r="L40" s="49">
        <f>C40/IF(B40&lt;='VALOR POR PL'!$P$5,IFERROR(INDEX('"INCC-FGV"'!$B$2:$B$800,MATCH(B40,'"INCC-FGV"'!$A$2:$A$800,0)),$K$2),$K$2)</f>
        <v/>
      </c>
      <c r="M40" s="138">
        <f>'CP RESUMO'!AM26</f>
        <v/>
      </c>
      <c r="N40" s="139">
        <f>MAX(0,M40-M39)</f>
        <v/>
      </c>
      <c r="O40" s="138">
        <f>IF(B40&lt;='VALOR POR PL'!$P$5,'CP RESUMO'!AM68,"")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HISTORICOS'!AN26)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67773.27</v>
      </c>
      <c r="L41" s="49">
        <f>C41/IF(B41&lt;='VALOR POR PL'!$P$5,IFERROR(INDEX('"INCC-FGV"'!$B$2:$B$800,MATCH(B41,'"INCC-FGV"'!$A$2:$A$800,0)),$K$2),$K$2)</f>
        <v/>
      </c>
      <c r="M41" s="138">
        <f>'CP RESUMO'!AN26</f>
        <v/>
      </c>
      <c r="N41" s="139">
        <f>MAX(0,M41-M40)</f>
        <v/>
      </c>
      <c r="O41" s="138">
        <f>IF(B41&lt;='VALOR POR PL'!$P$5,'CP RESUMO'!AN68,"")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HISTORICOS'!AO26)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60444.2</v>
      </c>
      <c r="L42" s="49">
        <f>C42/IF(B42&lt;='VALOR POR PL'!$P$5,IFERROR(INDEX('"INCC-FGV"'!$B$2:$B$800,MATCH(B42,'"INCC-FGV"'!$A$2:$A$800,0)),$K$2),$K$2)</f>
        <v/>
      </c>
      <c r="M42" s="138">
        <f>'CP RESUMO'!AO26</f>
        <v/>
      </c>
      <c r="N42" s="139">
        <f>MAX(0,M42-M41)</f>
        <v/>
      </c>
      <c r="O42" s="138">
        <f>IF(B42&lt;='VALOR POR PL'!$P$5,'CP RESUMO'!AO68,"")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HISTORICOS'!AP26)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60526.55</v>
      </c>
      <c r="L43" s="49">
        <f>C43/IF(B43&lt;='VALOR POR PL'!$P$5,IFERROR(INDEX('"INCC-FGV"'!$B$2:$B$800,MATCH(B43,'"INCC-FGV"'!$A$2:$A$800,0)),$K$2),$K$2)</f>
        <v/>
      </c>
      <c r="M43" s="138">
        <f>'CP RESUMO'!AP26</f>
        <v/>
      </c>
      <c r="N43" s="139">
        <f>MAX(0,M43-M42)</f>
        <v/>
      </c>
      <c r="O43" s="138">
        <f>IF(B43&lt;='VALOR POR PL'!$P$5,'CP RESUMO'!AP68,"")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HISTORICOS'!AQ26)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68349.71000000001</v>
      </c>
      <c r="L44" s="49">
        <f>C44/IF(B44&lt;='VALOR POR PL'!$P$5,IFERROR(INDEX('"INCC-FGV"'!$B$2:$B$800,MATCH(B44,'"INCC-FGV"'!$A$2:$A$800,0)),$K$2),$K$2)</f>
        <v/>
      </c>
      <c r="M44" s="138">
        <f>'CP RESUMO'!AQ26</f>
        <v/>
      </c>
      <c r="N44" s="139">
        <f>MAX(0,M44-M43)</f>
        <v/>
      </c>
      <c r="O44" s="138">
        <f>IF(B44&lt;='VALOR POR PL'!$P$5,'CP RESUMO'!AQ68,"")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HISTORICOS'!AR26)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85807.71000000001</v>
      </c>
      <c r="L45" s="49">
        <f>C45/IF(B45&lt;='VALOR POR PL'!$P$5,IFERROR(INDEX('"INCC-FGV"'!$B$2:$B$800,MATCH(B45,'"INCC-FGV"'!$A$2:$A$800,0)),$K$2),$K$2)</f>
        <v/>
      </c>
      <c r="M45" s="138">
        <f>'CP RESUMO'!AR26</f>
        <v/>
      </c>
      <c r="N45" s="139">
        <f>MAX(0,M45-M44)</f>
        <v/>
      </c>
      <c r="O45" s="138">
        <f>IF(B45&lt;='VALOR POR PL'!$P$5,'CP RESUMO'!AR68,"")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HISTORICOS'!AS26)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33186.67</v>
      </c>
      <c r="L46" s="49">
        <f>C46/IF(B46&lt;='VALOR POR PL'!$P$5,IFERROR(INDEX('"INCC-FGV"'!$B$2:$B$800,MATCH(B46,'"INCC-FGV"'!$A$2:$A$800,0)),$K$2),$K$2)</f>
        <v/>
      </c>
      <c r="M46" s="138">
        <f>'CP RESUMO'!AS26</f>
        <v/>
      </c>
      <c r="N46" s="139">
        <f>MAX(0,M46-M45)</f>
        <v/>
      </c>
      <c r="O46" s="138">
        <f>IF(B46&lt;='VALOR POR PL'!$P$5,'CP RESUMO'!AS68,"")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HISTORICOS'!AT26)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7905.51</v>
      </c>
      <c r="L47" s="49">
        <f>C47/IF(B47&lt;='VALOR POR PL'!$P$5,IFERROR(INDEX('"INCC-FGV"'!$B$2:$B$800,MATCH(B47,'"INCC-FGV"'!$A$2:$A$800,0)),$K$2),$K$2)</f>
        <v/>
      </c>
      <c r="M47" s="138">
        <f>'CP RESUMO'!AT26</f>
        <v/>
      </c>
      <c r="N47" s="139">
        <f>MAX(0,M47-M46)</f>
        <v/>
      </c>
      <c r="O47" s="138">
        <f>IF(B47&lt;='VALOR POR PL'!$P$5,'CP RESUMO'!AT68,"")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HISTORICOS'!AU26)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15234.57</v>
      </c>
      <c r="L48" s="49">
        <f>C48/IF(B48&lt;='VALOR POR PL'!$P$5,IFERROR(INDEX('"INCC-FGV"'!$B$2:$B$800,MATCH(B48,'"INCC-FGV"'!$A$2:$A$800,0)),$K$2),$K$2)</f>
        <v/>
      </c>
      <c r="M48" s="138">
        <f>'CP RESUMO'!AU26</f>
        <v/>
      </c>
      <c r="N48" s="139">
        <f>MAX(0,M48-M47)</f>
        <v/>
      </c>
      <c r="O48" s="138">
        <f>IF(B48&lt;='VALOR POR PL'!$P$5,'CP RESUMO'!AU68,"")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HISTORICOS'!AV26)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2305.77</v>
      </c>
      <c r="L49" s="49">
        <f>C49/IF(B49&lt;='VALOR POR PL'!$P$5,IFERROR(INDEX('"INCC-FGV"'!$B$2:$B$800,MATCH(B49,'"INCC-FGV"'!$A$2:$A$800,0)),$K$2),$K$2)</f>
        <v/>
      </c>
      <c r="M49" s="138">
        <f>'CP RESUMO'!AV26</f>
        <v/>
      </c>
      <c r="N49" s="139">
        <f>MAX(0,M49-M48)</f>
        <v/>
      </c>
      <c r="O49" s="138">
        <f>IF(B49&lt;='VALOR POR PL'!$P$5,'CP RESUMO'!AV68,"")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HISTORICOS'!AW26)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2305.77</v>
      </c>
      <c r="L50" s="49">
        <f>C50/IF(B50&lt;='VALOR POR PL'!$P$5,IFERROR(INDEX('"INCC-FGV"'!$B$2:$B$800,MATCH(B50,'"INCC-FGV"'!$A$2:$A$800,0)),$K$2),$K$2)</f>
        <v/>
      </c>
      <c r="M50" s="138">
        <f>'CP RESUMO'!AW26</f>
        <v/>
      </c>
      <c r="N50" s="139">
        <f>MAX(0,M50-M49)</f>
        <v/>
      </c>
      <c r="O50" s="138">
        <f>IF(B50&lt;='VALOR POR PL'!$P$5,'CP RESUMO'!AW68,"")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HISTORICOS'!AX26)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2223.42</v>
      </c>
      <c r="L51" s="49">
        <f>C51/IF(B51&lt;='VALOR POR PL'!$P$5,IFERROR(INDEX('"INCC-FGV"'!$B$2:$B$800,MATCH(B51,'"INCC-FGV"'!$A$2:$A$800,0)),$K$2),$K$2)</f>
        <v/>
      </c>
      <c r="M51" s="138">
        <f>'CP RESUMO'!AX26</f>
        <v/>
      </c>
      <c r="N51" s="139">
        <f>MAX(0,M51-M50)</f>
        <v/>
      </c>
      <c r="O51" s="138">
        <f>IF(B51&lt;='VALOR POR PL'!$P$5,'CP RESUMO'!AX68,"")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HISTORICOS'!AY26)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2305.77</v>
      </c>
      <c r="L52" s="49">
        <f>C52/IF(B52&lt;='VALOR POR PL'!$P$5,IFERROR(INDEX('"INCC-FGV"'!$B$2:$B$800,MATCH(B52,'"INCC-FGV"'!$A$2:$A$800,0)),$K$2),$K$2)</f>
        <v/>
      </c>
      <c r="M52" s="138">
        <f>'CP RESUMO'!AY26</f>
        <v/>
      </c>
      <c r="N52" s="139">
        <f>MAX(0,M52-M51)</f>
        <v/>
      </c>
      <c r="O52" s="138">
        <f>IF(B52&lt;='VALOR POR PL'!$P$5,'CP RESUMO'!AY68,"")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HISTORICOS'!AZ26)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2223.42</v>
      </c>
      <c r="L53" s="49">
        <f>C53/IF(B53&lt;='VALOR POR PL'!$P$5,IFERROR(INDEX('"INCC-FGV"'!$B$2:$B$800,MATCH(B53,'"INCC-FGV"'!$A$2:$A$800,0)),$K$2),$K$2)</f>
        <v/>
      </c>
      <c r="M53" s="138">
        <f>'CP RESUMO'!AZ26</f>
        <v/>
      </c>
      <c r="N53" s="139">
        <f>MAX(0,M53-M52)</f>
        <v/>
      </c>
      <c r="O53" s="138">
        <f>IF(B53&lt;='VALOR POR PL'!$P$5,'CP RESUMO'!AZ68,"")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HISTORICOS'!BA26)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1894.03</v>
      </c>
      <c r="L54" s="49">
        <f>C54/IF(B54&lt;='VALOR POR PL'!$P$5,IFERROR(INDEX('"INCC-FGV"'!$B$2:$B$800,MATCH(B54,'"INCC-FGV"'!$A$2:$A$800,0)),$K$2),$K$2)</f>
        <v/>
      </c>
      <c r="M54" s="138">
        <f>'CP RESUMO'!BA26</f>
        <v/>
      </c>
      <c r="N54" s="139">
        <f>MAX(0,M54-M53)</f>
        <v/>
      </c>
      <c r="O54" s="138">
        <f>IF(B54&lt;='VALOR POR PL'!$P$5,'CP RESUMO'!BA68,"")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HISTORICOS'!BB26)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2141.08</v>
      </c>
      <c r="L55" s="49">
        <f>C55/IF(B55&lt;='VALOR POR PL'!$P$5,IFERROR(INDEX('"INCC-FGV"'!$B$2:$B$800,MATCH(B55,'"INCC-FGV"'!$A$2:$A$800,0)),$K$2),$K$2)</f>
        <v/>
      </c>
      <c r="M55" s="138">
        <f>'CP RESUMO'!BB26</f>
        <v/>
      </c>
      <c r="N55" s="139">
        <f>MAX(0,M55-M54)</f>
        <v/>
      </c>
      <c r="O55" s="138">
        <f>IF(B55&lt;='VALOR POR PL'!$P$5,'CP RESUMO'!BB68,"")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HISTORICOS'!BC26)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329.4</v>
      </c>
      <c r="L56" s="49">
        <f>C56/IF(B56&lt;='VALOR POR PL'!$P$5,IFERROR(INDEX('"INCC-FGV"'!$B$2:$B$800,MATCH(B56,'"INCC-FGV"'!$A$2:$A$800,0)),$K$2),$K$2)</f>
        <v/>
      </c>
      <c r="M56" s="138">
        <f>'CP RESUMO'!BC26</f>
        <v/>
      </c>
      <c r="N56" s="139">
        <f>MAX(0,M56-M55)</f>
        <v/>
      </c>
      <c r="O56" s="138">
        <f>IF(B56&lt;='VALOR POR PL'!$P$5,'CP RESUMO'!BC68,"")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HISTORICOS'!BD26)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RESUMO'!BD26</f>
        <v/>
      </c>
      <c r="N57" s="139">
        <f>MAX(0,M57-M56)</f>
        <v/>
      </c>
      <c r="O57" s="138">
        <f>IF(B57&lt;='VALOR POR PL'!$P$5,'CP RESUMO'!BD68,"")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HISTORICOS'!BE26)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RESUMO'!BE26</f>
        <v/>
      </c>
      <c r="N58" s="139">
        <f>MAX(0,M58-M57)</f>
        <v/>
      </c>
      <c r="O58" s="138">
        <f>IF(B58&lt;='VALOR POR PL'!$P$5,'CP RESUMO'!BE68,"")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HISTORICOS'!BF26)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RESUMO'!BF26</f>
        <v/>
      </c>
      <c r="N59" s="139">
        <f>MAX(0,M59-M58)</f>
        <v/>
      </c>
      <c r="O59" s="138">
        <f>IF(B59&lt;='VALOR POR PL'!$P$5,'CP RESUMO'!BF68,"")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HISTORICOS'!BG26)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RESUMO'!BG26</f>
        <v/>
      </c>
      <c r="N60" s="139">
        <f>MAX(0,M60-M59)</f>
        <v/>
      </c>
      <c r="O60" s="138">
        <f>IF(B60&lt;='VALOR POR PL'!$P$5,'CP RESUMO'!BG68,"")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HISTORICOS'!BH26)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RESUMO'!BH26</f>
        <v/>
      </c>
      <c r="N61" s="139">
        <f>MAX(0,M61-M60)</f>
        <v/>
      </c>
      <c r="O61" s="138">
        <f>IF(B61&lt;='VALOR POR PL'!$P$5,'CP RESUMO'!BH68,"")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HISTORICOS'!BI26)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RESUMO'!BI26</f>
        <v/>
      </c>
      <c r="N62" s="139">
        <f>MAX(0,M62-M61)</f>
        <v/>
      </c>
      <c r="O62" s="138">
        <f>IF(B62&lt;='VALOR POR PL'!$P$5,'CP RESUMO'!BI68,"")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HISTORICOS'!BJ26)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RESUMO'!BJ26</f>
        <v/>
      </c>
      <c r="N63" s="139">
        <f>MAX(0,M63-M62)</f>
        <v/>
      </c>
      <c r="O63" s="138">
        <f>IF(B63&lt;='VALOR POR PL'!$P$5,'CP RESUMO'!BJ68,"")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HISTORICOS'!BK26)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RESUMO'!BK26</f>
        <v/>
      </c>
      <c r="N64" s="139">
        <f>MAX(0,M64-M63)</f>
        <v/>
      </c>
      <c r="O64" s="138">
        <f>IF(B64&lt;='VALOR POR PL'!$P$5,'CP RESUMO'!BK68,"")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HISTORICOS'!BL26)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RESUMO'!BL26</f>
        <v/>
      </c>
      <c r="N65" s="139">
        <f>MAX(0,M65-M64)</f>
        <v/>
      </c>
      <c r="O65" s="138">
        <f>IF(B65&lt;='VALOR POR PL'!$P$5,'CP RESUMO'!BL68,"")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HISTORICOS'!BM26)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RESUMO'!BM26</f>
        <v/>
      </c>
      <c r="N66" s="139">
        <f>MAX(0,M66-M65)</f>
        <v/>
      </c>
      <c r="O66" s="138">
        <f>IF(B66&lt;='VALOR POR PL'!$P$5,'CP RESUMO'!BM68,"")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HISTORICOS'!BN26)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RESUMO'!BN26</f>
        <v/>
      </c>
      <c r="N67" s="139">
        <f>MAX(0,M67-M66)</f>
        <v/>
      </c>
      <c r="O67" s="138">
        <f>IF(B67&lt;='VALOR POR PL'!$P$5,'CP RESUMO'!BN68,"")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HISTORICOS'!BO26)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RESUMO'!BO26</f>
        <v/>
      </c>
      <c r="N68" s="139">
        <f>MAX(0,M68-M67)</f>
        <v/>
      </c>
      <c r="O68" s="138">
        <f>IF(B68&lt;='VALOR POR PL'!$P$5,'CP RESUMO'!BO68,"")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HISTORICOS'!BP26)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RESUMO'!BP26</f>
        <v/>
      </c>
      <c r="N69" s="139">
        <f>MAX(0,M69-M68)</f>
        <v/>
      </c>
      <c r="O69" s="138">
        <f>IF(B69&lt;='VALOR POR PL'!$P$5,'CP RESUMO'!BP68,"")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HISTORICOS'!BQ26)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RESUMO'!BQ26</f>
        <v/>
      </c>
      <c r="N70" s="139">
        <f>MAX(0,M70-M69)</f>
        <v/>
      </c>
      <c r="O70" s="138">
        <f>IF(B70&lt;='VALOR POR PL'!$P$5,'CP RESUMO'!BQ68,"")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HISTORICOS'!BR26)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RESUMO'!BR26</f>
        <v/>
      </c>
      <c r="N71" s="139">
        <f>MAX(0,M71-M70)</f>
        <v/>
      </c>
      <c r="O71" s="138">
        <f>IF(B71&lt;='VALOR POR PL'!$P$5,'CP RESUMO'!BR68,"")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HISTORICOS'!BS26)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RESUMO'!BS26</f>
        <v/>
      </c>
      <c r="N72" s="139">
        <f>MAX(0,M72-M71)</f>
        <v/>
      </c>
      <c r="O72" s="138">
        <f>IF(B72&lt;='VALOR POR PL'!$P$5,'CP RESUMO'!BS68,"")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HISTORICOS'!BT26)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RESUMO'!BT26</f>
        <v/>
      </c>
      <c r="N73" s="139">
        <f>MAX(0,M73-M72)</f>
        <v/>
      </c>
      <c r="O73" s="138">
        <f>IF(B73&lt;='VALOR POR PL'!$P$5,'CP RESUMO'!BT68,"")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HISTORICOS'!BU26)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RESUMO'!BU26</f>
        <v/>
      </c>
      <c r="N74" s="139">
        <f>MAX(0,M74-M73)</f>
        <v/>
      </c>
      <c r="O74" s="138">
        <f>IF(B74&lt;='VALOR POR PL'!$P$5,'CP RESUMO'!BU68,"")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HISTORICOS'!BV26)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RESUMO'!BV26</f>
        <v/>
      </c>
      <c r="N75" s="139">
        <f>MAX(0,M75-M74)</f>
        <v/>
      </c>
      <c r="O75" s="138">
        <f>IF(B75&lt;='VALOR POR PL'!$P$5,'CP RESUMO'!BV68,"")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HISTORICOS'!BW26)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RESUMO'!BW26</f>
        <v/>
      </c>
      <c r="N76" s="139">
        <f>MAX(0,M76-M75)</f>
        <v/>
      </c>
      <c r="O76" s="138">
        <f>IF(B76&lt;='VALOR POR PL'!$P$5,'CP RESUMO'!BW68,"")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PL'!D33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HISTORICOS'!D27)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PL'!F33</f>
        <v/>
      </c>
      <c r="K5" s="60">
        <f>'VALOR POR PL'!G33</f>
        <v/>
      </c>
      <c r="L5" s="60">
        <f>'DADOS HISTORICOS'!$BZ$27</f>
        <v/>
      </c>
      <c r="M5" s="138">
        <f>'CP RESUMO'!D27</f>
        <v/>
      </c>
      <c r="N5" s="139" t="n">
        <v>0</v>
      </c>
      <c r="O5" s="138">
        <f>IF(B5&lt;='VALOR POR PL'!$P$5,'CP RESUMO'!D69,"")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HISTORICOS'!E27)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PL'!H33</f>
        <v/>
      </c>
      <c r="L6" s="49">
        <f>C6/IF(B6&lt;='VALOR POR PL'!$P$5,IFERROR(INDEX('"INCC-FGV"'!$B$2:$B$800,MATCH(B6,'"INCC-FGV"'!$A$2:$A$800,0)),$K$2),$K$2)</f>
        <v/>
      </c>
      <c r="M6" s="138">
        <f>'CP RESUMO'!E27</f>
        <v/>
      </c>
      <c r="N6" s="139">
        <f>MAX(0,M6-M5)</f>
        <v/>
      </c>
      <c r="O6" s="138">
        <f>IF(B6&lt;='VALOR POR PL'!$P$5,'CP RESUMO'!E69,"")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HISTORICOS'!F27)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RESUMO'!F27</f>
        <v/>
      </c>
      <c r="N7" s="139">
        <f>MAX(0,M7-M6)</f>
        <v/>
      </c>
      <c r="O7" s="138">
        <f>IF(B7&lt;='VALOR POR PL'!$P$5,'CP RESUMO'!F69,"")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HISTORICOS'!G27)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RESUMO'!G27</f>
        <v/>
      </c>
      <c r="N8" s="139">
        <f>MAX(0,M8-M7)</f>
        <v/>
      </c>
      <c r="O8" s="138">
        <f>IF(B8&lt;='VALOR POR PL'!$P$5,'CP RESUMO'!G69,"")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HISTORICOS'!H27)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RESUMO'!H27</f>
        <v/>
      </c>
      <c r="N9" s="139">
        <f>MAX(0,M9-M8)</f>
        <v/>
      </c>
      <c r="O9" s="138">
        <f>IF(B9&lt;='VALOR POR PL'!$P$5,'CP RESUMO'!H69,"")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HISTORICOS'!I27)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RESUMO'!I27</f>
        <v/>
      </c>
      <c r="N10" s="139">
        <f>MAX(0,M10-M9)</f>
        <v/>
      </c>
      <c r="O10" s="138">
        <f>IF(B10&lt;='VALOR POR PL'!$P$5,'CP RESUMO'!I69,"")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HISTORICOS'!J27)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RESUMO'!J27</f>
        <v/>
      </c>
      <c r="N11" s="139">
        <f>MAX(0,M11-M10)</f>
        <v/>
      </c>
      <c r="O11" s="138">
        <f>IF(B11&lt;='VALOR POR PL'!$P$5,'CP RESUMO'!J69,"")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HISTORICOS'!K27)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RESUMO'!K27</f>
        <v/>
      </c>
      <c r="N12" s="139">
        <f>MAX(0,M12-M11)</f>
        <v/>
      </c>
      <c r="O12" s="138">
        <f>IF(B12&lt;='VALOR POR PL'!$P$5,'CP RESUMO'!K69,"")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HISTORICOS'!L27)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PL'!I33</f>
        <v/>
      </c>
      <c r="L13" s="49">
        <f>C13/IF(B13&lt;='VALOR POR PL'!$P$5,IFERROR(INDEX('"INCC-FGV"'!$B$2:$B$800,MATCH(B13,'"INCC-FGV"'!$A$2:$A$800,0)),$K$2),$K$2)</f>
        <v/>
      </c>
      <c r="M13" s="138">
        <f>'CP RESUMO'!L27</f>
        <v/>
      </c>
      <c r="N13" s="139">
        <f>MAX(0,M13-M12)</f>
        <v/>
      </c>
      <c r="O13" s="138">
        <f>IF(B13&lt;='VALOR POR PL'!$P$5,'CP RESUMO'!L69,"")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HISTORICOS'!M27)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RESUMO'!$D$69:$BW$69,MATCH('VALOR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RESUMO'!M27</f>
        <v/>
      </c>
      <c r="N14" s="139">
        <f>MAX(0,M14-M13)</f>
        <v/>
      </c>
      <c r="O14" s="138">
        <f>IF(B14&lt;='VALOR POR PL'!$P$5,'CP RESUMO'!M69,"")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HISTORICOS'!N27)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RESUMO'!N27</f>
        <v/>
      </c>
      <c r="N15" s="139">
        <f>MAX(0,M15-M14)</f>
        <v/>
      </c>
      <c r="O15" s="138">
        <f>IF(B15&lt;='VALOR POR PL'!$P$5,'CP RESUMO'!N69,"")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HISTORICOS'!O27)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RESUMO'!O27</f>
        <v/>
      </c>
      <c r="N16" s="139">
        <f>MAX(0,M16-M15)</f>
        <v/>
      </c>
      <c r="O16" s="138">
        <f>IF(B16&lt;='VALOR POR PL'!$P$5,'CP RESUMO'!O69,"")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HISTORICOS'!P27)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RESUMO'!P27</f>
        <v/>
      </c>
      <c r="N17" s="139">
        <f>MAX(0,M17-M16)</f>
        <v/>
      </c>
      <c r="O17" s="138">
        <f>IF(B17&lt;='VALOR POR PL'!$P$5,'CP RESUMO'!P69,"")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HISTORICOS'!Q27)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RESUMO'!Q27</f>
        <v/>
      </c>
      <c r="N18" s="139">
        <f>MAX(0,M18-M17)</f>
        <v/>
      </c>
      <c r="O18" s="138">
        <f>IF(B18&lt;='VALOR POR PL'!$P$5,'CP RESUMO'!Q69,"")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HISTORICOS'!R27)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RESUMO'!R27</f>
        <v/>
      </c>
      <c r="N19" s="139">
        <f>MAX(0,M19-M18)</f>
        <v/>
      </c>
      <c r="O19" s="138">
        <f>IF(B19&lt;='VALOR POR PL'!$P$5,'CP RESUMO'!R69,"")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HISTORICOS'!S27)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RESUMO'!S27</f>
        <v/>
      </c>
      <c r="N20" s="139">
        <f>MAX(0,M20-M19)</f>
        <v/>
      </c>
      <c r="O20" s="138">
        <f>IF(B20&lt;='VALOR POR PL'!$P$5,'CP RESUMO'!S69,"")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HISTORICOS'!T27)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RESUMO'!T27</f>
        <v/>
      </c>
      <c r="N21" s="139">
        <f>MAX(0,M21-M20)</f>
        <v/>
      </c>
      <c r="O21" s="138">
        <f>IF(B21&lt;='VALOR POR PL'!$P$5,'CP RESUMO'!T69,"")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HISTORICOS'!U27)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RESUMO'!U27</f>
        <v/>
      </c>
      <c r="N22" s="139">
        <f>MAX(0,M22-M21)</f>
        <v/>
      </c>
      <c r="O22" s="138">
        <f>IF(B22&lt;='VALOR POR PL'!$P$5,'CP RESUMO'!U69,"")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HISTORICOS'!V27)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RESUMO'!V27</f>
        <v/>
      </c>
      <c r="N23" s="139">
        <f>MAX(0,M23-M22)</f>
        <v/>
      </c>
      <c r="O23" s="138">
        <f>IF(B23&lt;='VALOR POR PL'!$P$5,'CP RESUMO'!V69,"")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HISTORICOS'!W27)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RESUMO'!W27</f>
        <v/>
      </c>
      <c r="N24" s="139">
        <f>MAX(0,M24-M23)</f>
        <v/>
      </c>
      <c r="O24" s="138">
        <f>IF(B24&lt;='VALOR POR PL'!$P$5,'CP RESUMO'!W69,"")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HISTORICOS'!X27)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RESUMO'!X27</f>
        <v/>
      </c>
      <c r="N25" s="139">
        <f>MAX(0,M25-M24)</f>
        <v/>
      </c>
      <c r="O25" s="138">
        <f>IF(B25&lt;='VALOR POR PL'!$P$5,'CP RESUMO'!X69,"")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HISTORICOS'!Y27)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RESUMO'!Y27</f>
        <v/>
      </c>
      <c r="N26" s="139">
        <f>MAX(0,M26-M25)</f>
        <v/>
      </c>
      <c r="O26" s="138">
        <f>IF(B26&lt;='VALOR POR PL'!$P$5,'CP RESUMO'!Y69,"")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HISTORICOS'!Z27)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RESUMO'!Z27</f>
        <v/>
      </c>
      <c r="N27" s="139">
        <f>MAX(0,M27-M26)</f>
        <v/>
      </c>
      <c r="O27" s="138">
        <f>IF(B27&lt;='VALOR POR PL'!$P$5,'CP RESUMO'!Z69,"")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HISTORICOS'!AA27)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RESUMO'!AA27</f>
        <v/>
      </c>
      <c r="N28" s="139">
        <f>MAX(0,M28-M27)</f>
        <v/>
      </c>
      <c r="O28" s="138">
        <f>IF(B28&lt;='VALOR POR PL'!$P$5,'CP RESUMO'!AA69,"")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HISTORICOS'!AB27)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RESUMO'!AB27</f>
        <v/>
      </c>
      <c r="N29" s="139">
        <f>MAX(0,M29-M28)</f>
        <v/>
      </c>
      <c r="O29" s="138">
        <f>IF(B29&lt;='VALOR POR PL'!$P$5,'CP RESUMO'!AB69,"")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HISTORICOS'!AC27)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RESUMO'!AC27</f>
        <v/>
      </c>
      <c r="N30" s="139">
        <f>MAX(0,M30-M29)</f>
        <v/>
      </c>
      <c r="O30" s="138">
        <f>IF(B30&lt;='VALOR POR PL'!$P$5,'CP RESUMO'!AC69,"")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HISTORICOS'!AD27)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RESUMO'!AD27</f>
        <v/>
      </c>
      <c r="N31" s="139">
        <f>MAX(0,M31-M30)</f>
        <v/>
      </c>
      <c r="O31" s="138">
        <f>IF(B31&lt;='VALOR POR PL'!$P$5,'CP RESUMO'!AD69,"")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HISTORICOS'!AE27)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RESUMO'!AE27</f>
        <v/>
      </c>
      <c r="N32" s="139">
        <f>MAX(0,M32-M31)</f>
        <v/>
      </c>
      <c r="O32" s="138">
        <f>IF(B32&lt;='VALOR POR PL'!$P$5,'CP RESUMO'!AE69,"")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HISTORICOS'!AF27)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RESUMO'!AF27</f>
        <v/>
      </c>
      <c r="N33" s="139">
        <f>MAX(0,M33-M32)</f>
        <v/>
      </c>
      <c r="O33" s="138">
        <f>IF(B33&lt;='VALOR POR PL'!$P$5,'CP RESUMO'!AF69,"")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HISTORICOS'!AG27)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RESUMO'!AG27</f>
        <v/>
      </c>
      <c r="N34" s="139">
        <f>MAX(0,M34-M33)</f>
        <v/>
      </c>
      <c r="O34" s="138">
        <f>IF(B34&lt;='VALOR POR PL'!$P$5,'CP RESUMO'!AG69,"")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HISTORICOS'!AH27)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RESUMO'!AH27</f>
        <v/>
      </c>
      <c r="N35" s="139">
        <f>MAX(0,M35-M34)</f>
        <v/>
      </c>
      <c r="O35" s="138">
        <f>IF(B35&lt;='VALOR POR PL'!$P$5,'CP RESUMO'!AH69,"")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HISTORICOS'!AI27)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15275.52</v>
      </c>
      <c r="L36" s="49">
        <f>C36/IF(B36&lt;='VALOR POR PL'!$P$5,IFERROR(INDEX('"INCC-FGV"'!$B$2:$B$800,MATCH(B36,'"INCC-FGV"'!$A$2:$A$800,0)),$K$2),$K$2)</f>
        <v/>
      </c>
      <c r="M36" s="138">
        <f>'CP RESUMO'!AI27</f>
        <v/>
      </c>
      <c r="N36" s="139">
        <f>MAX(0,M36-M35)</f>
        <v/>
      </c>
      <c r="O36" s="138">
        <f>IF(B36&lt;='VALOR POR PL'!$P$5,'CP RESUMO'!AI69,"")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HISTORICOS'!AJ27)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96462.07000000001</v>
      </c>
      <c r="L37" s="49">
        <f>C37/IF(B37&lt;='VALOR POR PL'!$P$5,IFERROR(INDEX('"INCC-FGV"'!$B$2:$B$800,MATCH(B37,'"INCC-FGV"'!$A$2:$A$800,0)),$K$2),$K$2)</f>
        <v/>
      </c>
      <c r="M37" s="138">
        <f>'CP RESUMO'!AJ27</f>
        <v/>
      </c>
      <c r="N37" s="139">
        <f>MAX(0,M37-M36)</f>
        <v/>
      </c>
      <c r="O37" s="138">
        <f>IF(B37&lt;='VALOR POR PL'!$P$5,'CP RESUMO'!AJ69,"")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HISTORICOS'!AK27)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145117.42</v>
      </c>
      <c r="L38" s="49">
        <f>C38/IF(B38&lt;='VALOR POR PL'!$P$5,IFERROR(INDEX('"INCC-FGV"'!$B$2:$B$800,MATCH(B38,'"INCC-FGV"'!$A$2:$A$800,0)),$K$2),$K$2)</f>
        <v/>
      </c>
      <c r="M38" s="138">
        <f>'CP RESUMO'!AK27</f>
        <v/>
      </c>
      <c r="N38" s="139">
        <f>MAX(0,M38-M37)</f>
        <v/>
      </c>
      <c r="O38" s="138">
        <f>IF(B38&lt;='VALOR POR PL'!$P$5,'CP RESUMO'!AK69,"")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HISTORICOS'!AL27)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138894.06</v>
      </c>
      <c r="L39" s="49">
        <f>C39/IF(B39&lt;='VALOR POR PL'!$P$5,IFERROR(INDEX('"INCC-FGV"'!$B$2:$B$800,MATCH(B39,'"INCC-FGV"'!$A$2:$A$800,0)),$K$2),$K$2)</f>
        <v/>
      </c>
      <c r="M39" s="138">
        <f>'CP RESUMO'!AL27</f>
        <v/>
      </c>
      <c r="N39" s="139">
        <f>MAX(0,M39-M38)</f>
        <v/>
      </c>
      <c r="O39" s="138">
        <f>IF(B39&lt;='VALOR POR PL'!$P$5,'CP RESUMO'!AL69,"")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HISTORICOS'!AM27)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143703.02</v>
      </c>
      <c r="L40" s="49">
        <f>C40/IF(B40&lt;='VALOR POR PL'!$P$5,IFERROR(INDEX('"INCC-FGV"'!$B$2:$B$800,MATCH(B40,'"INCC-FGV"'!$A$2:$A$800,0)),$K$2),$K$2)</f>
        <v/>
      </c>
      <c r="M40" s="138">
        <f>'CP RESUMO'!AM27</f>
        <v/>
      </c>
      <c r="N40" s="139">
        <f>MAX(0,M40-M39)</f>
        <v/>
      </c>
      <c r="O40" s="138">
        <f>IF(B40&lt;='VALOR POR PL'!$P$5,'CP RESUMO'!AM69,"")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HISTORICOS'!AN27)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242711.01</v>
      </c>
      <c r="L41" s="49">
        <f>C41/IF(B41&lt;='VALOR POR PL'!$P$5,IFERROR(INDEX('"INCC-FGV"'!$B$2:$B$800,MATCH(B41,'"INCC-FGV"'!$A$2:$A$800,0)),$K$2),$K$2)</f>
        <v/>
      </c>
      <c r="M41" s="138">
        <f>'CP RESUMO'!AN27</f>
        <v/>
      </c>
      <c r="N41" s="139">
        <f>MAX(0,M41-M40)</f>
        <v/>
      </c>
      <c r="O41" s="138">
        <f>IF(B41&lt;='VALOR POR PL'!$P$5,'CP RESUMO'!AN69,"")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HISTORICOS'!AO27)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167182.06</v>
      </c>
      <c r="L42" s="49">
        <f>C42/IF(B42&lt;='VALOR POR PL'!$P$5,IFERROR(INDEX('"INCC-FGV"'!$B$2:$B$800,MATCH(B42,'"INCC-FGV"'!$A$2:$A$800,0)),$K$2),$K$2)</f>
        <v/>
      </c>
      <c r="M42" s="138">
        <f>'CP RESUMO'!AO27</f>
        <v/>
      </c>
      <c r="N42" s="139">
        <f>MAX(0,M42-M41)</f>
        <v/>
      </c>
      <c r="O42" s="138">
        <f>IF(B42&lt;='VALOR POR PL'!$P$5,'CP RESUMO'!AO69,"")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HISTORICOS'!AP27)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140591.34</v>
      </c>
      <c r="L43" s="49">
        <f>C43/IF(B43&lt;='VALOR POR PL'!$P$5,IFERROR(INDEX('"INCC-FGV"'!$B$2:$B$800,MATCH(B43,'"INCC-FGV"'!$A$2:$A$800,0)),$K$2),$K$2)</f>
        <v/>
      </c>
      <c r="M43" s="138">
        <f>'CP RESUMO'!AP27</f>
        <v/>
      </c>
      <c r="N43" s="139">
        <f>MAX(0,M43-M42)</f>
        <v/>
      </c>
      <c r="O43" s="138">
        <f>IF(B43&lt;='VALOR POR PL'!$P$5,'CP RESUMO'!AP69,"")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HISTORICOS'!AQ27)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140025.58</v>
      </c>
      <c r="L44" s="49">
        <f>C44/IF(B44&lt;='VALOR POR PL'!$P$5,IFERROR(INDEX('"INCC-FGV"'!$B$2:$B$800,MATCH(B44,'"INCC-FGV"'!$A$2:$A$800,0)),$K$2),$K$2)</f>
        <v/>
      </c>
      <c r="M44" s="138">
        <f>'CP RESUMO'!AQ27</f>
        <v/>
      </c>
      <c r="N44" s="139">
        <f>MAX(0,M44-M43)</f>
        <v/>
      </c>
      <c r="O44" s="138">
        <f>IF(B44&lt;='VALOR POR PL'!$P$5,'CP RESUMO'!AQ69,"")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HISTORICOS'!AR27)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216403.17</v>
      </c>
      <c r="L45" s="49">
        <f>C45/IF(B45&lt;='VALOR POR PL'!$P$5,IFERROR(INDEX('"INCC-FGV"'!$B$2:$B$800,MATCH(B45,'"INCC-FGV"'!$A$2:$A$800,0)),$K$2),$K$2)</f>
        <v/>
      </c>
      <c r="M45" s="138">
        <f>'CP RESUMO'!AR27</f>
        <v/>
      </c>
      <c r="N45" s="139">
        <f>MAX(0,M45-M44)</f>
        <v/>
      </c>
      <c r="O45" s="138">
        <f>IF(B45&lt;='VALOR POR PL'!$P$5,'CP RESUMO'!AR69,"")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HISTORICOS'!AS27)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153320.94</v>
      </c>
      <c r="L46" s="49">
        <f>C46/IF(B46&lt;='VALOR POR PL'!$P$5,IFERROR(INDEX('"INCC-FGV"'!$B$2:$B$800,MATCH(B46,'"INCC-FGV"'!$A$2:$A$800,0)),$K$2),$K$2)</f>
        <v/>
      </c>
      <c r="M46" s="138">
        <f>'CP RESUMO'!AS27</f>
        <v/>
      </c>
      <c r="N46" s="139">
        <f>MAX(0,M46-M45)</f>
        <v/>
      </c>
      <c r="O46" s="138">
        <f>IF(B46&lt;='VALOR POR PL'!$P$5,'CP RESUMO'!AS69,"")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HISTORICOS'!AT27)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121072.63</v>
      </c>
      <c r="L47" s="49">
        <f>C47/IF(B47&lt;='VALOR POR PL'!$P$5,IFERROR(INDEX('"INCC-FGV"'!$B$2:$B$800,MATCH(B47,'"INCC-FGV"'!$A$2:$A$800,0)),$K$2),$K$2)</f>
        <v/>
      </c>
      <c r="M47" s="138">
        <f>'CP RESUMO'!AT27</f>
        <v/>
      </c>
      <c r="N47" s="139">
        <f>MAX(0,M47-M46)</f>
        <v/>
      </c>
      <c r="O47" s="138">
        <f>IF(B47&lt;='VALOR POR PL'!$P$5,'CP RESUMO'!AT69,"")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HISTORICOS'!AU27)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186135.02</v>
      </c>
      <c r="L48" s="49">
        <f>C48/IF(B48&lt;='VALOR POR PL'!$P$5,IFERROR(INDEX('"INCC-FGV"'!$B$2:$B$800,MATCH(B48,'"INCC-FGV"'!$A$2:$A$800,0)),$K$2),$K$2)</f>
        <v/>
      </c>
      <c r="M48" s="138">
        <f>'CP RESUMO'!AU27</f>
        <v/>
      </c>
      <c r="N48" s="139">
        <f>MAX(0,M48-M47)</f>
        <v/>
      </c>
      <c r="O48" s="138">
        <f>IF(B48&lt;='VALOR POR PL'!$P$5,'CP RESUMO'!AU69,"")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HISTORICOS'!AV27)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138328.3</v>
      </c>
      <c r="L49" s="49">
        <f>C49/IF(B49&lt;='VALOR POR PL'!$P$5,IFERROR(INDEX('"INCC-FGV"'!$B$2:$B$800,MATCH(B49,'"INCC-FGV"'!$A$2:$A$800,0)),$K$2),$K$2)</f>
        <v/>
      </c>
      <c r="M49" s="138">
        <f>'CP RESUMO'!AV27</f>
        <v/>
      </c>
      <c r="N49" s="139">
        <f>MAX(0,M49-M48)</f>
        <v/>
      </c>
      <c r="O49" s="138">
        <f>IF(B49&lt;='VALOR POR PL'!$P$5,'CP RESUMO'!AV69,"")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HISTORICOS'!AW27)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273262.05</v>
      </c>
      <c r="L50" s="49">
        <f>C50/IF(B50&lt;='VALOR POR PL'!$P$5,IFERROR(INDEX('"INCC-FGV"'!$B$2:$B$800,MATCH(B50,'"INCC-FGV"'!$A$2:$A$800,0)),$K$2),$K$2)</f>
        <v/>
      </c>
      <c r="M50" s="138">
        <f>'CP RESUMO'!AW27</f>
        <v/>
      </c>
      <c r="N50" s="139">
        <f>MAX(0,M50-M49)</f>
        <v/>
      </c>
      <c r="O50" s="138">
        <f>IF(B50&lt;='VALOR POR PL'!$P$5,'CP RESUMO'!AW69,"")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HISTORICOS'!AX27)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155018.22</v>
      </c>
      <c r="L51" s="49">
        <f>C51/IF(B51&lt;='VALOR POR PL'!$P$5,IFERROR(INDEX('"INCC-FGV"'!$B$2:$B$800,MATCH(B51,'"INCC-FGV"'!$A$2:$A$800,0)),$K$2),$K$2)</f>
        <v/>
      </c>
      <c r="M51" s="138">
        <f>'CP RESUMO'!AX27</f>
        <v/>
      </c>
      <c r="N51" s="139">
        <f>MAX(0,M51-M50)</f>
        <v/>
      </c>
      <c r="O51" s="138">
        <f>IF(B51&lt;='VALOR POR PL'!$P$5,'CP RESUMO'!AX69,"")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HISTORICOS'!AY27)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40451.84</v>
      </c>
      <c r="L52" s="49">
        <f>C52/IF(B52&lt;='VALOR POR PL'!$P$5,IFERROR(INDEX('"INCC-FGV"'!$B$2:$B$800,MATCH(B52,'"INCC-FGV"'!$A$2:$A$800,0)),$K$2),$K$2)</f>
        <v/>
      </c>
      <c r="M52" s="138">
        <f>'CP RESUMO'!AY27</f>
        <v/>
      </c>
      <c r="N52" s="139">
        <f>MAX(0,M52-M51)</f>
        <v/>
      </c>
      <c r="O52" s="138">
        <f>IF(B52&lt;='VALOR POR PL'!$P$5,'CP RESUMO'!AY69,"")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HISTORICOS'!AZ27)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79489.27</v>
      </c>
      <c r="L53" s="49">
        <f>C53/IF(B53&lt;='VALOR POR PL'!$P$5,IFERROR(INDEX('"INCC-FGV"'!$B$2:$B$800,MATCH(B53,'"INCC-FGV"'!$A$2:$A$800,0)),$K$2),$K$2)</f>
        <v/>
      </c>
      <c r="M53" s="138">
        <f>'CP RESUMO'!AZ27</f>
        <v/>
      </c>
      <c r="N53" s="139">
        <f>MAX(0,M53-M52)</f>
        <v/>
      </c>
      <c r="O53" s="138">
        <f>IF(B53&lt;='VALOR POR PL'!$P$5,'CP RESUMO'!AZ69,"")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HISTORICOS'!BA27)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44129.27</v>
      </c>
      <c r="L54" s="49">
        <f>C54/IF(B54&lt;='VALOR POR PL'!$P$5,IFERROR(INDEX('"INCC-FGV"'!$B$2:$B$800,MATCH(B54,'"INCC-FGV"'!$A$2:$A$800,0)),$K$2),$K$2)</f>
        <v/>
      </c>
      <c r="M54" s="138">
        <f>'CP RESUMO'!BA27</f>
        <v/>
      </c>
      <c r="N54" s="139">
        <f>MAX(0,M54-M53)</f>
        <v/>
      </c>
      <c r="O54" s="138">
        <f>IF(B54&lt;='VALOR POR PL'!$P$5,'CP RESUMO'!BA69,"")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HISTORICOS'!BB27)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95896.31</v>
      </c>
      <c r="L55" s="49">
        <f>C55/IF(B55&lt;='VALOR POR PL'!$P$5,IFERROR(INDEX('"INCC-FGV"'!$B$2:$B$800,MATCH(B55,'"INCC-FGV"'!$A$2:$A$800,0)),$K$2),$K$2)</f>
        <v/>
      </c>
      <c r="M55" s="138">
        <f>'CP RESUMO'!BB27</f>
        <v/>
      </c>
      <c r="N55" s="139">
        <f>MAX(0,M55-M54)</f>
        <v/>
      </c>
      <c r="O55" s="138">
        <f>IF(B55&lt;='VALOR POR PL'!$P$5,'CP RESUMO'!BB69,"")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HISTORICOS'!BC27)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68174.07000000001</v>
      </c>
      <c r="L56" s="49">
        <f>C56/IF(B56&lt;='VALOR POR PL'!$P$5,IFERROR(INDEX('"INCC-FGV"'!$B$2:$B$800,MATCH(B56,'"INCC-FGV"'!$A$2:$A$800,0)),$K$2),$K$2)</f>
        <v/>
      </c>
      <c r="M56" s="138">
        <f>'CP RESUMO'!BC27</f>
        <v/>
      </c>
      <c r="N56" s="139">
        <f>MAX(0,M56-M55)</f>
        <v/>
      </c>
      <c r="O56" s="138">
        <f>IF(B56&lt;='VALOR POR PL'!$P$5,'CP RESUMO'!BC69,"")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HISTORICOS'!BD27)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>
        <v>27156.48</v>
      </c>
      <c r="L57" s="49">
        <f>C57/IF(B57&lt;='VALOR POR PL'!$P$5,IFERROR(INDEX('"INCC-FGV"'!$B$2:$B$800,MATCH(B57,'"INCC-FGV"'!$A$2:$A$800,0)),$K$2),$K$2)</f>
        <v/>
      </c>
      <c r="M57" s="138">
        <f>'CP RESUMO'!BD27</f>
        <v/>
      </c>
      <c r="N57" s="139">
        <f>MAX(0,M57-M56)</f>
        <v/>
      </c>
      <c r="O57" s="138">
        <f>IF(B57&lt;='VALOR POR PL'!$P$5,'CP RESUMO'!BD69,"")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HISTORICOS'!BE27)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RESUMO'!BE27</f>
        <v/>
      </c>
      <c r="N58" s="139">
        <f>MAX(0,M58-M57)</f>
        <v/>
      </c>
      <c r="O58" s="138">
        <f>IF(B58&lt;='VALOR POR PL'!$P$5,'CP RESUMO'!BE69,"")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HISTORICOS'!BF27)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RESUMO'!BF27</f>
        <v/>
      </c>
      <c r="N59" s="139">
        <f>MAX(0,M59-M58)</f>
        <v/>
      </c>
      <c r="O59" s="138">
        <f>IF(B59&lt;='VALOR POR PL'!$P$5,'CP RESUMO'!BF69,"")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HISTORICOS'!BG27)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RESUMO'!BG27</f>
        <v/>
      </c>
      <c r="N60" s="139">
        <f>MAX(0,M60-M59)</f>
        <v/>
      </c>
      <c r="O60" s="138">
        <f>IF(B60&lt;='VALOR POR PL'!$P$5,'CP RESUMO'!BG69,"")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HISTORICOS'!BH27)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RESUMO'!BH27</f>
        <v/>
      </c>
      <c r="N61" s="139">
        <f>MAX(0,M61-M60)</f>
        <v/>
      </c>
      <c r="O61" s="138">
        <f>IF(B61&lt;='VALOR POR PL'!$P$5,'CP RESUMO'!BH69,"")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HISTORICOS'!BI27)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RESUMO'!BI27</f>
        <v/>
      </c>
      <c r="N62" s="139">
        <f>MAX(0,M62-M61)</f>
        <v/>
      </c>
      <c r="O62" s="138">
        <f>IF(B62&lt;='VALOR POR PL'!$P$5,'CP RESUMO'!BI69,"")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HISTORICOS'!BJ27)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RESUMO'!BJ27</f>
        <v/>
      </c>
      <c r="N63" s="139">
        <f>MAX(0,M63-M62)</f>
        <v/>
      </c>
      <c r="O63" s="138">
        <f>IF(B63&lt;='VALOR POR PL'!$P$5,'CP RESUMO'!BJ69,"")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HISTORICOS'!BK27)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RESUMO'!BK27</f>
        <v/>
      </c>
      <c r="N64" s="139">
        <f>MAX(0,M64-M63)</f>
        <v/>
      </c>
      <c r="O64" s="138">
        <f>IF(B64&lt;='VALOR POR PL'!$P$5,'CP RESUMO'!BK69,"")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HISTORICOS'!BL27)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RESUMO'!BL27</f>
        <v/>
      </c>
      <c r="N65" s="139">
        <f>MAX(0,M65-M64)</f>
        <v/>
      </c>
      <c r="O65" s="138">
        <f>IF(B65&lt;='VALOR POR PL'!$P$5,'CP RESUMO'!BL69,"")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HISTORICOS'!BM27)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RESUMO'!BM27</f>
        <v/>
      </c>
      <c r="N66" s="139">
        <f>MAX(0,M66-M65)</f>
        <v/>
      </c>
      <c r="O66" s="138">
        <f>IF(B66&lt;='VALOR POR PL'!$P$5,'CP RESUMO'!BM69,"")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HISTORICOS'!BN27)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RESUMO'!BN27</f>
        <v/>
      </c>
      <c r="N67" s="139">
        <f>MAX(0,M67-M66)</f>
        <v/>
      </c>
      <c r="O67" s="138">
        <f>IF(B67&lt;='VALOR POR PL'!$P$5,'CP RESUMO'!BN69,"")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HISTORICOS'!BO27)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RESUMO'!BO27</f>
        <v/>
      </c>
      <c r="N68" s="139">
        <f>MAX(0,M68-M67)</f>
        <v/>
      </c>
      <c r="O68" s="138">
        <f>IF(B68&lt;='VALOR POR PL'!$P$5,'CP RESUMO'!BO69,"")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HISTORICOS'!BP27)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RESUMO'!BP27</f>
        <v/>
      </c>
      <c r="N69" s="139">
        <f>MAX(0,M69-M68)</f>
        <v/>
      </c>
      <c r="O69" s="138">
        <f>IF(B69&lt;='VALOR POR PL'!$P$5,'CP RESUMO'!BP69,"")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HISTORICOS'!BQ27)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RESUMO'!BQ27</f>
        <v/>
      </c>
      <c r="N70" s="139">
        <f>MAX(0,M70-M69)</f>
        <v/>
      </c>
      <c r="O70" s="138">
        <f>IF(B70&lt;='VALOR POR PL'!$P$5,'CP RESUMO'!BQ69,"")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HISTORICOS'!BR27)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RESUMO'!BR27</f>
        <v/>
      </c>
      <c r="N71" s="139">
        <f>MAX(0,M71-M70)</f>
        <v/>
      </c>
      <c r="O71" s="138">
        <f>IF(B71&lt;='VALOR POR PL'!$P$5,'CP RESUMO'!BR69,"")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HISTORICOS'!BS27)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RESUMO'!BS27</f>
        <v/>
      </c>
      <c r="N72" s="139">
        <f>MAX(0,M72-M71)</f>
        <v/>
      </c>
      <c r="O72" s="138">
        <f>IF(B72&lt;='VALOR POR PL'!$P$5,'CP RESUMO'!BS69,"")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HISTORICOS'!BT27)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RESUMO'!BT27</f>
        <v/>
      </c>
      <c r="N73" s="139">
        <f>MAX(0,M73-M72)</f>
        <v/>
      </c>
      <c r="O73" s="138">
        <f>IF(B73&lt;='VALOR POR PL'!$P$5,'CP RESUMO'!BT69,"")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HISTORICOS'!BU27)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RESUMO'!BU27</f>
        <v/>
      </c>
      <c r="N74" s="139">
        <f>MAX(0,M74-M73)</f>
        <v/>
      </c>
      <c r="O74" s="138">
        <f>IF(B74&lt;='VALOR POR PL'!$P$5,'CP RESUMO'!BU69,"")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HISTORICOS'!BV27)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RESUMO'!BV27</f>
        <v/>
      </c>
      <c r="N75" s="139">
        <f>MAX(0,M75-M74)</f>
        <v/>
      </c>
      <c r="O75" s="138">
        <f>IF(B75&lt;='VALOR POR PL'!$P$5,'CP RESUMO'!BV69,"")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HISTORICOS'!BW27)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RESUMO'!BW27</f>
        <v/>
      </c>
      <c r="N76" s="139">
        <f>MAX(0,M76-M75)</f>
        <v/>
      </c>
      <c r="O76" s="138">
        <f>IF(B76&lt;='VALOR POR PL'!$P$5,'CP RESUMO'!BW69,"")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PL'!D34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HISTORICOS'!D28)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PL'!F34</f>
        <v/>
      </c>
      <c r="K5" s="60">
        <f>'VALOR POR PL'!G34</f>
        <v/>
      </c>
      <c r="L5" s="60">
        <f>'DADOS HISTORICOS'!$BZ$28</f>
        <v/>
      </c>
      <c r="M5" s="138">
        <f>'CP RESUMO'!D28</f>
        <v/>
      </c>
      <c r="N5" s="139" t="n">
        <v>0</v>
      </c>
      <c r="O5" s="138">
        <f>IF(B5&lt;='VALOR POR PL'!$P$5,'CP RESUMO'!D70,"")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HISTORICOS'!E28)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PL'!H34</f>
        <v/>
      </c>
      <c r="L6" s="49">
        <f>C6/IF(B6&lt;='VALOR POR PL'!$P$5,IFERROR(INDEX('"INCC-FGV"'!$B$2:$B$800,MATCH(B6,'"INCC-FGV"'!$A$2:$A$800,0)),$K$2),$K$2)</f>
        <v/>
      </c>
      <c r="M6" s="138">
        <f>'CP RESUMO'!E28</f>
        <v/>
      </c>
      <c r="N6" s="139">
        <f>MAX(0,M6-M5)</f>
        <v/>
      </c>
      <c r="O6" s="138">
        <f>IF(B6&lt;='VALOR POR PL'!$P$5,'CP RESUMO'!E70,"")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HISTORICOS'!F28)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RESUMO'!F28</f>
        <v/>
      </c>
      <c r="N7" s="139">
        <f>MAX(0,M7-M6)</f>
        <v/>
      </c>
      <c r="O7" s="138">
        <f>IF(B7&lt;='VALOR POR PL'!$P$5,'CP RESUMO'!F70,"")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HISTORICOS'!G28)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RESUMO'!G28</f>
        <v/>
      </c>
      <c r="N8" s="139">
        <f>MAX(0,M8-M7)</f>
        <v/>
      </c>
      <c r="O8" s="138">
        <f>IF(B8&lt;='VALOR POR PL'!$P$5,'CP RESUMO'!G70,"")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HISTORICOS'!H28)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RESUMO'!H28</f>
        <v/>
      </c>
      <c r="N9" s="139">
        <f>MAX(0,M9-M8)</f>
        <v/>
      </c>
      <c r="O9" s="138">
        <f>IF(B9&lt;='VALOR POR PL'!$P$5,'CP RESUMO'!H70,"")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HISTORICOS'!I28)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RESUMO'!I28</f>
        <v/>
      </c>
      <c r="N10" s="139">
        <f>MAX(0,M10-M9)</f>
        <v/>
      </c>
      <c r="O10" s="138">
        <f>IF(B10&lt;='VALOR POR PL'!$P$5,'CP RESUMO'!I70,"")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HISTORICOS'!J28)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RESUMO'!J28</f>
        <v/>
      </c>
      <c r="N11" s="139">
        <f>MAX(0,M11-M10)</f>
        <v/>
      </c>
      <c r="O11" s="138">
        <f>IF(B11&lt;='VALOR POR PL'!$P$5,'CP RESUMO'!J70,"")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HISTORICOS'!K28)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RESUMO'!K28</f>
        <v/>
      </c>
      <c r="N12" s="139">
        <f>MAX(0,M12-M11)</f>
        <v/>
      </c>
      <c r="O12" s="138">
        <f>IF(B12&lt;='VALOR POR PL'!$P$5,'CP RESUMO'!K70,"")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HISTORICOS'!L28)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PL'!I34</f>
        <v/>
      </c>
      <c r="L13" s="49">
        <f>C13/IF(B13&lt;='VALOR POR PL'!$P$5,IFERROR(INDEX('"INCC-FGV"'!$B$2:$B$800,MATCH(B13,'"INCC-FGV"'!$A$2:$A$800,0)),$K$2),$K$2)</f>
        <v/>
      </c>
      <c r="M13" s="138">
        <f>'CP RESUMO'!L28</f>
        <v/>
      </c>
      <c r="N13" s="139">
        <f>MAX(0,M13-M12)</f>
        <v/>
      </c>
      <c r="O13" s="138">
        <f>IF(B13&lt;='VALOR POR PL'!$P$5,'CP RESUMO'!L70,"")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HISTORICOS'!M28)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RESUMO'!$D$70:$BW$70,MATCH('VALOR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RESUMO'!M28</f>
        <v/>
      </c>
      <c r="N14" s="139">
        <f>MAX(0,M14-M13)</f>
        <v/>
      </c>
      <c r="O14" s="138">
        <f>IF(B14&lt;='VALOR POR PL'!$P$5,'CP RESUMO'!M70,"")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HISTORICOS'!N28)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PREVISÃO INFORMADA</t>
        </is>
      </c>
      <c r="L15" s="49">
        <f>C15/IF(B15&lt;='VALOR POR PL'!$P$5,IFERROR(INDEX('"INCC-FGV"'!$B$2:$B$800,MATCH(B15,'"INCC-FGV"'!$A$2:$A$800,0)),$K$2),$K$2)</f>
        <v/>
      </c>
      <c r="M15" s="138">
        <f>'CP RESUMO'!N28</f>
        <v/>
      </c>
      <c r="N15" s="139">
        <f>MAX(0,M15-M14)</f>
        <v/>
      </c>
      <c r="O15" s="138">
        <f>IF(B15&lt;='VALOR POR PL'!$P$5,'CP RESUMO'!N70,"")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HISTORICOS'!O28)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RESUMO'!O28</f>
        <v/>
      </c>
      <c r="N16" s="139">
        <f>MAX(0,M16-M15)</f>
        <v/>
      </c>
      <c r="O16" s="138">
        <f>IF(B16&lt;='VALOR POR PL'!$P$5,'CP RESUMO'!O70,"")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HISTORICOS'!P28)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RESUMO'!P28</f>
        <v/>
      </c>
      <c r="N17" s="139">
        <f>MAX(0,M17-M16)</f>
        <v/>
      </c>
      <c r="O17" s="138">
        <f>IF(B17&lt;='VALOR POR PL'!$P$5,'CP RESUMO'!P70,"")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HISTORICOS'!Q28)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RESUMO'!Q28</f>
        <v/>
      </c>
      <c r="N18" s="139">
        <f>MAX(0,M18-M17)</f>
        <v/>
      </c>
      <c r="O18" s="138">
        <f>IF(B18&lt;='VALOR POR PL'!$P$5,'CP RESUMO'!Q70,"")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HISTORICOS'!R28)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RESUMO'!R28</f>
        <v/>
      </c>
      <c r="N19" s="139">
        <f>MAX(0,M19-M18)</f>
        <v/>
      </c>
      <c r="O19" s="138">
        <f>IF(B19&lt;='VALOR POR PL'!$P$5,'CP RESUMO'!R70,"")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HISTORICOS'!S28)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RESUMO'!S28</f>
        <v/>
      </c>
      <c r="N20" s="139">
        <f>MAX(0,M20-M19)</f>
        <v/>
      </c>
      <c r="O20" s="138">
        <f>IF(B20&lt;='VALOR POR PL'!$P$5,'CP RESUMO'!S70,"")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HISTORICOS'!T28)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RESUMO'!T28</f>
        <v/>
      </c>
      <c r="N21" s="139">
        <f>MAX(0,M21-M20)</f>
        <v/>
      </c>
      <c r="O21" s="138">
        <f>IF(B21&lt;='VALOR POR PL'!$P$5,'CP RESUMO'!T70,"")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HISTORICOS'!U28)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RESUMO'!U28</f>
        <v/>
      </c>
      <c r="N22" s="139">
        <f>MAX(0,M22-M21)</f>
        <v/>
      </c>
      <c r="O22" s="138">
        <f>IF(B22&lt;='VALOR POR PL'!$P$5,'CP RESUMO'!U70,"")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HISTORICOS'!V28)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RESUMO'!V28</f>
        <v/>
      </c>
      <c r="N23" s="139">
        <f>MAX(0,M23-M22)</f>
        <v/>
      </c>
      <c r="O23" s="138">
        <f>IF(B23&lt;='VALOR POR PL'!$P$5,'CP RESUMO'!V70,"")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HISTORICOS'!W28)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inlineStr">
        <is>
          <t>Previsão informada mantida (decisão do usuário). Premissa: pedido 1 ano antes, 12 pagamentos.</t>
        </is>
      </c>
      <c r="L24" s="49">
        <f>C24/IF(B24&lt;='VALOR POR PL'!$P$5,IFERROR(INDEX('"INCC-FGV"'!$B$2:$B$800,MATCH(B24,'"INCC-FGV"'!$A$2:$A$800,0)),$K$2),$K$2)</f>
        <v/>
      </c>
      <c r="M24" s="138">
        <f>'CP RESUMO'!W28</f>
        <v/>
      </c>
      <c r="N24" s="139">
        <f>MAX(0,M24-M23)</f>
        <v/>
      </c>
      <c r="O24" s="138">
        <f>IF(B24&lt;='VALOR POR PL'!$P$5,'CP RESUMO'!W70,"")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HISTORICOS'!X28)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RESUMO'!X28</f>
        <v/>
      </c>
      <c r="N25" s="139">
        <f>MAX(0,M25-M24)</f>
        <v/>
      </c>
      <c r="O25" s="138">
        <f>IF(B25&lt;='VALOR POR PL'!$P$5,'CP RESUMO'!X70,"")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HISTORICOS'!Y28)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RESUMO'!Y28</f>
        <v/>
      </c>
      <c r="N26" s="139">
        <f>MAX(0,M26-M25)</f>
        <v/>
      </c>
      <c r="O26" s="138">
        <f>IF(B26&lt;='VALOR POR PL'!$P$5,'CP RESUMO'!Y70,"")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HISTORICOS'!Z28)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RESUMO'!Z28</f>
        <v/>
      </c>
      <c r="N27" s="139">
        <f>MAX(0,M27-M26)</f>
        <v/>
      </c>
      <c r="O27" s="138">
        <f>IF(B27&lt;='VALOR POR PL'!$P$5,'CP RESUMO'!Z70,"")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HISTORICOS'!AA28)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RESUMO'!AA28</f>
        <v/>
      </c>
      <c r="N28" s="139">
        <f>MAX(0,M28-M27)</f>
        <v/>
      </c>
      <c r="O28" s="138">
        <f>IF(B28&lt;='VALOR POR PL'!$P$5,'CP RESUMO'!AA70,"")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HISTORICOS'!AB28)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RESUMO'!AB28</f>
        <v/>
      </c>
      <c r="N29" s="139">
        <f>MAX(0,M29-M28)</f>
        <v/>
      </c>
      <c r="O29" s="138">
        <f>IF(B29&lt;='VALOR POR PL'!$P$5,'CP RESUMO'!AB70,"")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HISTORICOS'!AC28)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RESUMO'!AC28</f>
        <v/>
      </c>
      <c r="N30" s="139">
        <f>MAX(0,M30-M29)</f>
        <v/>
      </c>
      <c r="O30" s="138">
        <f>IF(B30&lt;='VALOR POR PL'!$P$5,'CP RESUMO'!AC70,"")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HISTORICOS'!AD28)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RESUMO'!AD28</f>
        <v/>
      </c>
      <c r="N31" s="139">
        <f>MAX(0,M31-M30)</f>
        <v/>
      </c>
      <c r="O31" s="138">
        <f>IF(B31&lt;='VALOR POR PL'!$P$5,'CP RESUMO'!AD70,"")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HISTORICOS'!AE28)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RESUMO'!AE28</f>
        <v/>
      </c>
      <c r="N32" s="139">
        <f>MAX(0,M32-M31)</f>
        <v/>
      </c>
      <c r="O32" s="138">
        <f>IF(B32&lt;='VALOR POR PL'!$P$5,'CP RESUMO'!AE70,"")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HISTORICOS'!AF28)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RESUMO'!AF28</f>
        <v/>
      </c>
      <c r="N33" s="139">
        <f>MAX(0,M33-M32)</f>
        <v/>
      </c>
      <c r="O33" s="138">
        <f>IF(B33&lt;='VALOR POR PL'!$P$5,'CP RESUMO'!AF70,"")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HISTORICOS'!AG28)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RESUMO'!AG28</f>
        <v/>
      </c>
      <c r="N34" s="139">
        <f>MAX(0,M34-M33)</f>
        <v/>
      </c>
      <c r="O34" s="138">
        <f>IF(B34&lt;='VALOR POR PL'!$P$5,'CP RESUMO'!AG70,"")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HISTORICOS'!AH28)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RESUMO'!AH28</f>
        <v/>
      </c>
      <c r="N35" s="139">
        <f>MAX(0,M35-M34)</f>
        <v/>
      </c>
      <c r="O35" s="138">
        <f>IF(B35&lt;='VALOR POR PL'!$P$5,'CP RESUMO'!AH70,"")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HISTORICOS'!AI28)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RESUMO'!AI28</f>
        <v/>
      </c>
      <c r="N36" s="139">
        <f>MAX(0,M36-M35)</f>
        <v/>
      </c>
      <c r="O36" s="138">
        <f>IF(B36&lt;='VALOR POR PL'!$P$5,'CP RESUMO'!AI70,"")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HISTORICOS'!AJ28)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305454.55</v>
      </c>
      <c r="L37" s="49">
        <f>C37/IF(B37&lt;='VALOR POR PL'!$P$5,IFERROR(INDEX('"INCC-FGV"'!$B$2:$B$800,MATCH(B37,'"INCC-FGV"'!$A$2:$A$800,0)),$K$2),$K$2)</f>
        <v/>
      </c>
      <c r="M37" s="138">
        <f>'CP RESUMO'!AJ28</f>
        <v/>
      </c>
      <c r="N37" s="139">
        <f>MAX(0,M37-M36)</f>
        <v/>
      </c>
      <c r="O37" s="138">
        <f>IF(B37&lt;='VALOR POR PL'!$P$5,'CP RESUMO'!AJ70,"")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HISTORICOS'!AK28)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305454.55</v>
      </c>
      <c r="L38" s="49">
        <f>C38/IF(B38&lt;='VALOR POR PL'!$P$5,IFERROR(INDEX('"INCC-FGV"'!$B$2:$B$800,MATCH(B38,'"INCC-FGV"'!$A$2:$A$800,0)),$K$2),$K$2)</f>
        <v/>
      </c>
      <c r="M38" s="138">
        <f>'CP RESUMO'!AK28</f>
        <v/>
      </c>
      <c r="N38" s="139">
        <f>MAX(0,M38-M37)</f>
        <v/>
      </c>
      <c r="O38" s="138">
        <f>IF(B38&lt;='VALOR POR PL'!$P$5,'CP RESUMO'!AK70,"")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HISTORICOS'!AL28)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305454.55</v>
      </c>
      <c r="L39" s="49">
        <f>C39/IF(B39&lt;='VALOR POR PL'!$P$5,IFERROR(INDEX('"INCC-FGV"'!$B$2:$B$800,MATCH(B39,'"INCC-FGV"'!$A$2:$A$800,0)),$K$2),$K$2)</f>
        <v/>
      </c>
      <c r="M39" s="138">
        <f>'CP RESUMO'!AL28</f>
        <v/>
      </c>
      <c r="N39" s="139">
        <f>MAX(0,M39-M38)</f>
        <v/>
      </c>
      <c r="O39" s="138">
        <f>IF(B39&lt;='VALOR POR PL'!$P$5,'CP RESUMO'!AL70,"")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HISTORICOS'!AM28)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305454.55</v>
      </c>
      <c r="L40" s="49">
        <f>C40/IF(B40&lt;='VALOR POR PL'!$P$5,IFERROR(INDEX('"INCC-FGV"'!$B$2:$B$800,MATCH(B40,'"INCC-FGV"'!$A$2:$A$800,0)),$K$2),$K$2)</f>
        <v/>
      </c>
      <c r="M40" s="138">
        <f>'CP RESUMO'!AM28</f>
        <v/>
      </c>
      <c r="N40" s="139">
        <f>MAX(0,M40-M39)</f>
        <v/>
      </c>
      <c r="O40" s="138">
        <f>IF(B40&lt;='VALOR POR PL'!$P$5,'CP RESUMO'!AM70,"")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HISTORICOS'!AN28)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305454.55</v>
      </c>
      <c r="L41" s="49">
        <f>C41/IF(B41&lt;='VALOR POR PL'!$P$5,IFERROR(INDEX('"INCC-FGV"'!$B$2:$B$800,MATCH(B41,'"INCC-FGV"'!$A$2:$A$800,0)),$K$2),$K$2)</f>
        <v/>
      </c>
      <c r="M41" s="138">
        <f>'CP RESUMO'!AN28</f>
        <v/>
      </c>
      <c r="N41" s="139">
        <f>MAX(0,M41-M40)</f>
        <v/>
      </c>
      <c r="O41" s="138">
        <f>IF(B41&lt;='VALOR POR PL'!$P$5,'CP RESUMO'!AN70,"")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HISTORICOS'!AO28)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305454.55</v>
      </c>
      <c r="L42" s="49">
        <f>C42/IF(B42&lt;='VALOR POR PL'!$P$5,IFERROR(INDEX('"INCC-FGV"'!$B$2:$B$800,MATCH(B42,'"INCC-FGV"'!$A$2:$A$800,0)),$K$2),$K$2)</f>
        <v/>
      </c>
      <c r="M42" s="138">
        <f>'CP RESUMO'!AO28</f>
        <v/>
      </c>
      <c r="N42" s="139">
        <f>MAX(0,M42-M41)</f>
        <v/>
      </c>
      <c r="O42" s="138">
        <f>IF(B42&lt;='VALOR POR PL'!$P$5,'CP RESUMO'!AO70,"")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HISTORICOS'!AP28)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305454.55</v>
      </c>
      <c r="L43" s="49">
        <f>C43/IF(B43&lt;='VALOR POR PL'!$P$5,IFERROR(INDEX('"INCC-FGV"'!$B$2:$B$800,MATCH(B43,'"INCC-FGV"'!$A$2:$A$800,0)),$K$2),$K$2)</f>
        <v/>
      </c>
      <c r="M43" s="138">
        <f>'CP RESUMO'!AP28</f>
        <v/>
      </c>
      <c r="N43" s="139">
        <f>MAX(0,M43-M42)</f>
        <v/>
      </c>
      <c r="O43" s="138">
        <f>IF(B43&lt;='VALOR POR PL'!$P$5,'CP RESUMO'!AP70,"")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HISTORICOS'!AQ28)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312051.99</v>
      </c>
      <c r="L44" s="49">
        <f>C44/IF(B44&lt;='VALOR POR PL'!$P$5,IFERROR(INDEX('"INCC-FGV"'!$B$2:$B$800,MATCH(B44,'"INCC-FGV"'!$A$2:$A$800,0)),$K$2),$K$2)</f>
        <v/>
      </c>
      <c r="M44" s="138">
        <f>'CP RESUMO'!AQ28</f>
        <v/>
      </c>
      <c r="N44" s="139">
        <f>MAX(0,M44-M43)</f>
        <v/>
      </c>
      <c r="O44" s="138">
        <f>IF(B44&lt;='VALOR POR PL'!$P$5,'CP RESUMO'!AQ70,"")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HISTORICOS'!AR28)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312051.99</v>
      </c>
      <c r="L45" s="49">
        <f>C45/IF(B45&lt;='VALOR POR PL'!$P$5,IFERROR(INDEX('"INCC-FGV"'!$B$2:$B$800,MATCH(B45,'"INCC-FGV"'!$A$2:$A$800,0)),$K$2),$K$2)</f>
        <v/>
      </c>
      <c r="M45" s="138">
        <f>'CP RESUMO'!AR28</f>
        <v/>
      </c>
      <c r="N45" s="139">
        <f>MAX(0,M45-M44)</f>
        <v/>
      </c>
      <c r="O45" s="138">
        <f>IF(B45&lt;='VALOR POR PL'!$P$5,'CP RESUMO'!AR70,"")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HISTORICOS'!AS28)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312051.99</v>
      </c>
      <c r="L46" s="49">
        <f>C46/IF(B46&lt;='VALOR POR PL'!$P$5,IFERROR(INDEX('"INCC-FGV"'!$B$2:$B$800,MATCH(B46,'"INCC-FGV"'!$A$2:$A$800,0)),$K$2),$K$2)</f>
        <v/>
      </c>
      <c r="M46" s="138">
        <f>'CP RESUMO'!AS28</f>
        <v/>
      </c>
      <c r="N46" s="139">
        <f>MAX(0,M46-M45)</f>
        <v/>
      </c>
      <c r="O46" s="138">
        <f>IF(B46&lt;='VALOR POR PL'!$P$5,'CP RESUMO'!AS70,"")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HISTORICOS'!AT28)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305454.55</v>
      </c>
      <c r="L47" s="49">
        <f>C47/IF(B47&lt;='VALOR POR PL'!$P$5,IFERROR(INDEX('"INCC-FGV"'!$B$2:$B$800,MATCH(B47,'"INCC-FGV"'!$A$2:$A$800,0)),$K$2),$K$2)</f>
        <v/>
      </c>
      <c r="M47" s="138">
        <f>'CP RESUMO'!AT28</f>
        <v/>
      </c>
      <c r="N47" s="139">
        <f>MAX(0,M47-M46)</f>
        <v/>
      </c>
      <c r="O47" s="138">
        <f>IF(B47&lt;='VALOR POR PL'!$P$5,'CP RESUMO'!AT70,"")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HISTORICOS'!AU28)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RESUMO'!AU28</f>
        <v/>
      </c>
      <c r="N48" s="139">
        <f>MAX(0,M48-M47)</f>
        <v/>
      </c>
      <c r="O48" s="138">
        <f>IF(B48&lt;='VALOR POR PL'!$P$5,'CP RESUMO'!AU70,"")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HISTORICOS'!AV28)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RESUMO'!AV28</f>
        <v/>
      </c>
      <c r="N49" s="139">
        <f>MAX(0,M49-M48)</f>
        <v/>
      </c>
      <c r="O49" s="138">
        <f>IF(B49&lt;='VALOR POR PL'!$P$5,'CP RESUMO'!AV70,"")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HISTORICOS'!AW28)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30009.97</v>
      </c>
      <c r="L50" s="49">
        <f>C50/IF(B50&lt;='VALOR POR PL'!$P$5,IFERROR(INDEX('"INCC-FGV"'!$B$2:$B$800,MATCH(B50,'"INCC-FGV"'!$A$2:$A$800,0)),$K$2),$K$2)</f>
        <v/>
      </c>
      <c r="M50" s="138">
        <f>'CP RESUMO'!AW28</f>
        <v/>
      </c>
      <c r="N50" s="139">
        <f>MAX(0,M50-M49)</f>
        <v/>
      </c>
      <c r="O50" s="138">
        <f>IF(B50&lt;='VALOR POR PL'!$P$5,'CP RESUMO'!AW70,"")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HISTORICOS'!AX28)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RESUMO'!AX28</f>
        <v/>
      </c>
      <c r="N51" s="139">
        <f>MAX(0,M51-M50)</f>
        <v/>
      </c>
      <c r="O51" s="138">
        <f>IF(B51&lt;='VALOR POR PL'!$P$5,'CP RESUMO'!AX70,"")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HISTORICOS'!AY28)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RESUMO'!AY28</f>
        <v/>
      </c>
      <c r="N52" s="139">
        <f>MAX(0,M52-M51)</f>
        <v/>
      </c>
      <c r="O52" s="138">
        <f>IF(B52&lt;='VALOR POR PL'!$P$5,'CP RESUMO'!AY70,"")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HISTORICOS'!AZ28)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RESUMO'!AZ28</f>
        <v/>
      </c>
      <c r="N53" s="139">
        <f>MAX(0,M53-M52)</f>
        <v/>
      </c>
      <c r="O53" s="138">
        <f>IF(B53&lt;='VALOR POR PL'!$P$5,'CP RESUMO'!AZ70,"")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HISTORICOS'!BA28)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RESUMO'!BA28</f>
        <v/>
      </c>
      <c r="N54" s="139">
        <f>MAX(0,M54-M53)</f>
        <v/>
      </c>
      <c r="O54" s="138">
        <f>IF(B54&lt;='VALOR POR PL'!$P$5,'CP RESUMO'!BA70,"")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HISTORICOS'!BB28)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RESUMO'!BB28</f>
        <v/>
      </c>
      <c r="N55" s="139">
        <f>MAX(0,M55-M54)</f>
        <v/>
      </c>
      <c r="O55" s="138">
        <f>IF(B55&lt;='VALOR POR PL'!$P$5,'CP RESUMO'!BB70,"")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HISTORICOS'!BC28)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RESUMO'!BC28</f>
        <v/>
      </c>
      <c r="N56" s="139">
        <f>MAX(0,M56-M55)</f>
        <v/>
      </c>
      <c r="O56" s="138">
        <f>IF(B56&lt;='VALOR POR PL'!$P$5,'CP RESUMO'!BC70,"")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HISTORICOS'!BD28)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RESUMO'!BD28</f>
        <v/>
      </c>
      <c r="N57" s="139">
        <f>MAX(0,M57-M56)</f>
        <v/>
      </c>
      <c r="O57" s="138">
        <f>IF(B57&lt;='VALOR POR PL'!$P$5,'CP RESUMO'!BD70,"")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HISTORICOS'!BE28)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RESUMO'!BE28</f>
        <v/>
      </c>
      <c r="N58" s="139">
        <f>MAX(0,M58-M57)</f>
        <v/>
      </c>
      <c r="O58" s="138">
        <f>IF(B58&lt;='VALOR POR PL'!$P$5,'CP RESUMO'!BE70,"")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HISTORICOS'!BF28)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RESUMO'!BF28</f>
        <v/>
      </c>
      <c r="N59" s="139">
        <f>MAX(0,M59-M58)</f>
        <v/>
      </c>
      <c r="O59" s="138">
        <f>IF(B59&lt;='VALOR POR PL'!$P$5,'CP RESUMO'!BF70,"")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HISTORICOS'!BG28)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RESUMO'!BG28</f>
        <v/>
      </c>
      <c r="N60" s="139">
        <f>MAX(0,M60-M59)</f>
        <v/>
      </c>
      <c r="O60" s="138">
        <f>IF(B60&lt;='VALOR POR PL'!$P$5,'CP RESUMO'!BG70,"")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HISTORICOS'!BH28)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RESUMO'!BH28</f>
        <v/>
      </c>
      <c r="N61" s="139">
        <f>MAX(0,M61-M60)</f>
        <v/>
      </c>
      <c r="O61" s="138">
        <f>IF(B61&lt;='VALOR POR PL'!$P$5,'CP RESUMO'!BH70,"")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HISTORICOS'!BI28)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RESUMO'!BI28</f>
        <v/>
      </c>
      <c r="N62" s="139">
        <f>MAX(0,M62-M61)</f>
        <v/>
      </c>
      <c r="O62" s="138">
        <f>IF(B62&lt;='VALOR POR PL'!$P$5,'CP RESUMO'!BI70,"")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HISTORICOS'!BJ28)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RESUMO'!BJ28</f>
        <v/>
      </c>
      <c r="N63" s="139">
        <f>MAX(0,M63-M62)</f>
        <v/>
      </c>
      <c r="O63" s="138">
        <f>IF(B63&lt;='VALOR POR PL'!$P$5,'CP RESUMO'!BJ70,"")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HISTORICOS'!BK28)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RESUMO'!BK28</f>
        <v/>
      </c>
      <c r="N64" s="139">
        <f>MAX(0,M64-M63)</f>
        <v/>
      </c>
      <c r="O64" s="138">
        <f>IF(B64&lt;='VALOR POR PL'!$P$5,'CP RESUMO'!BK70,"")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HISTORICOS'!BL28)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RESUMO'!BL28</f>
        <v/>
      </c>
      <c r="N65" s="139">
        <f>MAX(0,M65-M64)</f>
        <v/>
      </c>
      <c r="O65" s="138">
        <f>IF(B65&lt;='VALOR POR PL'!$P$5,'CP RESUMO'!BL70,"")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HISTORICOS'!BM28)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RESUMO'!BM28</f>
        <v/>
      </c>
      <c r="N66" s="139">
        <f>MAX(0,M66-M65)</f>
        <v/>
      </c>
      <c r="O66" s="138">
        <f>IF(B66&lt;='VALOR POR PL'!$P$5,'CP RESUMO'!BM70,"")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HISTORICOS'!BN28)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RESUMO'!BN28</f>
        <v/>
      </c>
      <c r="N67" s="139">
        <f>MAX(0,M67-M66)</f>
        <v/>
      </c>
      <c r="O67" s="138">
        <f>IF(B67&lt;='VALOR POR PL'!$P$5,'CP RESUMO'!BN70,"")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HISTORICOS'!BO28)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RESUMO'!BO28</f>
        <v/>
      </c>
      <c r="N68" s="139">
        <f>MAX(0,M68-M67)</f>
        <v/>
      </c>
      <c r="O68" s="138">
        <f>IF(B68&lt;='VALOR POR PL'!$P$5,'CP RESUMO'!BO70,"")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HISTORICOS'!BP28)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RESUMO'!BP28</f>
        <v/>
      </c>
      <c r="N69" s="139">
        <f>MAX(0,M69-M68)</f>
        <v/>
      </c>
      <c r="O69" s="138">
        <f>IF(B69&lt;='VALOR POR PL'!$P$5,'CP RESUMO'!BP70,"")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HISTORICOS'!BQ28)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RESUMO'!BQ28</f>
        <v/>
      </c>
      <c r="N70" s="139">
        <f>MAX(0,M70-M69)</f>
        <v/>
      </c>
      <c r="O70" s="138">
        <f>IF(B70&lt;='VALOR POR PL'!$P$5,'CP RESUMO'!BQ70,"")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HISTORICOS'!BR28)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RESUMO'!BR28</f>
        <v/>
      </c>
      <c r="N71" s="139">
        <f>MAX(0,M71-M70)</f>
        <v/>
      </c>
      <c r="O71" s="138">
        <f>IF(B71&lt;='VALOR POR PL'!$P$5,'CP RESUMO'!BR70,"")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HISTORICOS'!BS28)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RESUMO'!BS28</f>
        <v/>
      </c>
      <c r="N72" s="139">
        <f>MAX(0,M72-M71)</f>
        <v/>
      </c>
      <c r="O72" s="138">
        <f>IF(B72&lt;='VALOR POR PL'!$P$5,'CP RESUMO'!BS70,"")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HISTORICOS'!BT28)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RESUMO'!BT28</f>
        <v/>
      </c>
      <c r="N73" s="139">
        <f>MAX(0,M73-M72)</f>
        <v/>
      </c>
      <c r="O73" s="138">
        <f>IF(B73&lt;='VALOR POR PL'!$P$5,'CP RESUMO'!BT70,"")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HISTORICOS'!BU28)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RESUMO'!BU28</f>
        <v/>
      </c>
      <c r="N74" s="139">
        <f>MAX(0,M74-M73)</f>
        <v/>
      </c>
      <c r="O74" s="138">
        <f>IF(B74&lt;='VALOR POR PL'!$P$5,'CP RESUMO'!BU70,"")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HISTORICOS'!BV28)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RESUMO'!BV28</f>
        <v/>
      </c>
      <c r="N75" s="139">
        <f>MAX(0,M75-M74)</f>
        <v/>
      </c>
      <c r="O75" s="138">
        <f>IF(B75&lt;='VALOR POR PL'!$P$5,'CP RESUMO'!BV70,"")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HISTORICOS'!BW28)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RESUMO'!BW28</f>
        <v/>
      </c>
      <c r="N76" s="139">
        <f>MAX(0,M76-M75)</f>
        <v/>
      </c>
      <c r="O76" s="138">
        <f>IF(B76&lt;='VALOR POR PL'!$P$5,'CP RESUMO'!BW70,"")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PL'!D35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HISTORICOS'!D29)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PL'!F35</f>
        <v/>
      </c>
      <c r="K5" s="60">
        <f>'VALOR POR PL'!G35</f>
        <v/>
      </c>
      <c r="L5" s="60">
        <f>'DADOS HISTORICOS'!$BZ$29</f>
        <v/>
      </c>
      <c r="M5" s="138">
        <f>'CP RESUMO'!D29</f>
        <v/>
      </c>
      <c r="N5" s="139" t="n">
        <v>0</v>
      </c>
      <c r="O5" s="138">
        <f>IF(B5&lt;='VALOR POR PL'!$P$5,'CP RESUMO'!D71,"")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HISTORICOS'!E29)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PL'!H35</f>
        <v/>
      </c>
      <c r="L6" s="49">
        <f>C6/IF(B6&lt;='VALOR POR PL'!$P$5,IFERROR(INDEX('"INCC-FGV"'!$B$2:$B$800,MATCH(B6,'"INCC-FGV"'!$A$2:$A$800,0)),$K$2),$K$2)</f>
        <v/>
      </c>
      <c r="M6" s="138">
        <f>'CP RESUMO'!E29</f>
        <v/>
      </c>
      <c r="N6" s="139">
        <f>MAX(0,M6-M5)</f>
        <v/>
      </c>
      <c r="O6" s="138">
        <f>IF(B6&lt;='VALOR POR PL'!$P$5,'CP RESUMO'!E71,"")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HISTORICOS'!F29)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RESUMO'!F29</f>
        <v/>
      </c>
      <c r="N7" s="139">
        <f>MAX(0,M7-M6)</f>
        <v/>
      </c>
      <c r="O7" s="138">
        <f>IF(B7&lt;='VALOR POR PL'!$P$5,'CP RESUMO'!F71,"")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HISTORICOS'!G29)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RESUMO'!G29</f>
        <v/>
      </c>
      <c r="N8" s="139">
        <f>MAX(0,M8-M7)</f>
        <v/>
      </c>
      <c r="O8" s="138">
        <f>IF(B8&lt;='VALOR POR PL'!$P$5,'CP RESUMO'!G71,"")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HISTORICOS'!H29)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RESUMO'!H29</f>
        <v/>
      </c>
      <c r="N9" s="139">
        <f>MAX(0,M9-M8)</f>
        <v/>
      </c>
      <c r="O9" s="138">
        <f>IF(B9&lt;='VALOR POR PL'!$P$5,'CP RESUMO'!H71,"")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HISTORICOS'!I29)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RESUMO'!I29</f>
        <v/>
      </c>
      <c r="N10" s="139">
        <f>MAX(0,M10-M9)</f>
        <v/>
      </c>
      <c r="O10" s="138">
        <f>IF(B10&lt;='VALOR POR PL'!$P$5,'CP RESUMO'!I71,"")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HISTORICOS'!J29)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RESUMO'!J29</f>
        <v/>
      </c>
      <c r="N11" s="139">
        <f>MAX(0,M11-M10)</f>
        <v/>
      </c>
      <c r="O11" s="138">
        <f>IF(B11&lt;='VALOR POR PL'!$P$5,'CP RESUMO'!J71,"")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HISTORICOS'!K29)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RESUMO'!K29</f>
        <v/>
      </c>
      <c r="N12" s="139">
        <f>MAX(0,M12-M11)</f>
        <v/>
      </c>
      <c r="O12" s="138">
        <f>IF(B12&lt;='VALOR POR PL'!$P$5,'CP RESUMO'!K71,"")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HISTORICOS'!L29)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PL'!I35</f>
        <v/>
      </c>
      <c r="L13" s="49">
        <f>C13/IF(B13&lt;='VALOR POR PL'!$P$5,IFERROR(INDEX('"INCC-FGV"'!$B$2:$B$800,MATCH(B13,'"INCC-FGV"'!$A$2:$A$800,0)),$K$2),$K$2)</f>
        <v/>
      </c>
      <c r="M13" s="138">
        <f>'CP RESUMO'!L29</f>
        <v/>
      </c>
      <c r="N13" s="139">
        <f>MAX(0,M13-M12)</f>
        <v/>
      </c>
      <c r="O13" s="138">
        <f>IF(B13&lt;='VALOR POR PL'!$P$5,'CP RESUMO'!L71,"")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HISTORICOS'!M29)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RESUMO'!$D$71:$BW$71,MATCH('VALOR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RESUMO'!M29</f>
        <v/>
      </c>
      <c r="N14" s="139">
        <f>MAX(0,M14-M13)</f>
        <v/>
      </c>
      <c r="O14" s="138">
        <f>IF(B14&lt;='VALOR POR PL'!$P$5,'CP RESUMO'!M71,"")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HISTORICOS'!N29)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PREVISÃO INFORMADA</t>
        </is>
      </c>
      <c r="L15" s="49">
        <f>C15/IF(B15&lt;='VALOR POR PL'!$P$5,IFERROR(INDEX('"INCC-FGV"'!$B$2:$B$800,MATCH(B15,'"INCC-FGV"'!$A$2:$A$800,0)),$K$2),$K$2)</f>
        <v/>
      </c>
      <c r="M15" s="138">
        <f>'CP RESUMO'!N29</f>
        <v/>
      </c>
      <c r="N15" s="139">
        <f>MAX(0,M15-M14)</f>
        <v/>
      </c>
      <c r="O15" s="138">
        <f>IF(B15&lt;='VALOR POR PL'!$P$5,'CP RESUMO'!N71,"")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HISTORICOS'!O29)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RESUMO'!O29</f>
        <v/>
      </c>
      <c r="N16" s="139">
        <f>MAX(0,M16-M15)</f>
        <v/>
      </c>
      <c r="O16" s="138">
        <f>IF(B16&lt;='VALOR POR PL'!$P$5,'CP RESUMO'!O71,"")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HISTORICOS'!P29)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RESUMO'!P29</f>
        <v/>
      </c>
      <c r="N17" s="139">
        <f>MAX(0,M17-M16)</f>
        <v/>
      </c>
      <c r="O17" s="138">
        <f>IF(B17&lt;='VALOR POR PL'!$P$5,'CP RESUMO'!P71,"")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HISTORICOS'!Q29)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RESUMO'!Q29</f>
        <v/>
      </c>
      <c r="N18" s="139">
        <f>MAX(0,M18-M17)</f>
        <v/>
      </c>
      <c r="O18" s="138">
        <f>IF(B18&lt;='VALOR POR PL'!$P$5,'CP RESUMO'!Q71,"")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HISTORICOS'!R29)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RESUMO'!R29</f>
        <v/>
      </c>
      <c r="N19" s="139">
        <f>MAX(0,M19-M18)</f>
        <v/>
      </c>
      <c r="O19" s="138">
        <f>IF(B19&lt;='VALOR POR PL'!$P$5,'CP RESUMO'!R71,"")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HISTORICOS'!S29)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RESUMO'!S29</f>
        <v/>
      </c>
      <c r="N20" s="139">
        <f>MAX(0,M20-M19)</f>
        <v/>
      </c>
      <c r="O20" s="138">
        <f>IF(B20&lt;='VALOR POR PL'!$P$5,'CP RESUMO'!S71,"")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HISTORICOS'!T29)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RESUMO'!T29</f>
        <v/>
      </c>
      <c r="N21" s="139">
        <f>MAX(0,M21-M20)</f>
        <v/>
      </c>
      <c r="O21" s="138">
        <f>IF(B21&lt;='VALOR POR PL'!$P$5,'CP RESUMO'!T71,"")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HISTORICOS'!U29)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RESUMO'!U29</f>
        <v/>
      </c>
      <c r="N22" s="139">
        <f>MAX(0,M22-M21)</f>
        <v/>
      </c>
      <c r="O22" s="138">
        <f>IF(B22&lt;='VALOR POR PL'!$P$5,'CP RESUMO'!U71,"")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HISTORICOS'!V29)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RESUMO'!V29</f>
        <v/>
      </c>
      <c r="N23" s="139">
        <f>MAX(0,M23-M22)</f>
        <v/>
      </c>
      <c r="O23" s="138">
        <f>IF(B23&lt;='VALOR POR PL'!$P$5,'CP RESUMO'!V71,"")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HISTORICOS'!W29)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inlineStr">
        <is>
          <t>Previsão informada mantida (decisão do usuário). Premissa: 60% em 10 pagamentos + 40% por medição direta.</t>
        </is>
      </c>
      <c r="L24" s="49">
        <f>C24/IF(B24&lt;='VALOR POR PL'!$P$5,IFERROR(INDEX('"INCC-FGV"'!$B$2:$B$800,MATCH(B24,'"INCC-FGV"'!$A$2:$A$800,0)),$K$2),$K$2)</f>
        <v/>
      </c>
      <c r="M24" s="138">
        <f>'CP RESUMO'!W29</f>
        <v/>
      </c>
      <c r="N24" s="139">
        <f>MAX(0,M24-M23)</f>
        <v/>
      </c>
      <c r="O24" s="138">
        <f>IF(B24&lt;='VALOR POR PL'!$P$5,'CP RESUMO'!W71,"")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HISTORICOS'!X29)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RESUMO'!X29</f>
        <v/>
      </c>
      <c r="N25" s="139">
        <f>MAX(0,M25-M24)</f>
        <v/>
      </c>
      <c r="O25" s="138">
        <f>IF(B25&lt;='VALOR POR PL'!$P$5,'CP RESUMO'!X71,"")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HISTORICOS'!Y29)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RESUMO'!Y29</f>
        <v/>
      </c>
      <c r="N26" s="139">
        <f>MAX(0,M26-M25)</f>
        <v/>
      </c>
      <c r="O26" s="138">
        <f>IF(B26&lt;='VALOR POR PL'!$P$5,'CP RESUMO'!Y71,"")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HISTORICOS'!Z29)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RESUMO'!Z29</f>
        <v/>
      </c>
      <c r="N27" s="139">
        <f>MAX(0,M27-M26)</f>
        <v/>
      </c>
      <c r="O27" s="138">
        <f>IF(B27&lt;='VALOR POR PL'!$P$5,'CP RESUMO'!Z71,"")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HISTORICOS'!AA29)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RESUMO'!AA29</f>
        <v/>
      </c>
      <c r="N28" s="139">
        <f>MAX(0,M28-M27)</f>
        <v/>
      </c>
      <c r="O28" s="138">
        <f>IF(B28&lt;='VALOR POR PL'!$P$5,'CP RESUMO'!AA71,"")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HISTORICOS'!AB29)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RESUMO'!AB29</f>
        <v/>
      </c>
      <c r="N29" s="139">
        <f>MAX(0,M29-M28)</f>
        <v/>
      </c>
      <c r="O29" s="138">
        <f>IF(B29&lt;='VALOR POR PL'!$P$5,'CP RESUMO'!AB71,"")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HISTORICOS'!AC29)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RESUMO'!AC29</f>
        <v/>
      </c>
      <c r="N30" s="139">
        <f>MAX(0,M30-M29)</f>
        <v/>
      </c>
      <c r="O30" s="138">
        <f>IF(B30&lt;='VALOR POR PL'!$P$5,'CP RESUMO'!AC71,"")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HISTORICOS'!AD29)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RESUMO'!AD29</f>
        <v/>
      </c>
      <c r="N31" s="139">
        <f>MAX(0,M31-M30)</f>
        <v/>
      </c>
      <c r="O31" s="138">
        <f>IF(B31&lt;='VALOR POR PL'!$P$5,'CP RESUMO'!AD71,"")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HISTORICOS'!AE29)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RESUMO'!AE29</f>
        <v/>
      </c>
      <c r="N32" s="139">
        <f>MAX(0,M32-M31)</f>
        <v/>
      </c>
      <c r="O32" s="138">
        <f>IF(B32&lt;='VALOR POR PL'!$P$5,'CP RESUMO'!AE71,"")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HISTORICOS'!AF29)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RESUMO'!AF29</f>
        <v/>
      </c>
      <c r="N33" s="139">
        <f>MAX(0,M33-M32)</f>
        <v/>
      </c>
      <c r="O33" s="138">
        <f>IF(B33&lt;='VALOR POR PL'!$P$5,'CP RESUMO'!AF71,"")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HISTORICOS'!AG29)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RESUMO'!AG29</f>
        <v/>
      </c>
      <c r="N34" s="139">
        <f>MAX(0,M34-M33)</f>
        <v/>
      </c>
      <c r="O34" s="138">
        <f>IF(B34&lt;='VALOR POR PL'!$P$5,'CP RESUMO'!AG71,"")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HISTORICOS'!AH29)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783232</v>
      </c>
      <c r="L35" s="49">
        <f>C35/IF(B35&lt;='VALOR POR PL'!$P$5,IFERROR(INDEX('"INCC-FGV"'!$B$2:$B$800,MATCH(B35,'"INCC-FGV"'!$A$2:$A$800,0)),$K$2),$K$2)</f>
        <v/>
      </c>
      <c r="M35" s="138">
        <f>'CP RESUMO'!AH29</f>
        <v/>
      </c>
      <c r="N35" s="139">
        <f>MAX(0,M35-M34)</f>
        <v/>
      </c>
      <c r="O35" s="138">
        <f>IF(B35&lt;='VALOR POR PL'!$P$5,'CP RESUMO'!AH71,"")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HISTORICOS'!AI29)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939878.4</v>
      </c>
      <c r="L36" s="49">
        <f>C36/IF(B36&lt;='VALOR POR PL'!$P$5,IFERROR(INDEX('"INCC-FGV"'!$B$2:$B$800,MATCH(B36,'"INCC-FGV"'!$A$2:$A$800,0)),$K$2),$K$2)</f>
        <v/>
      </c>
      <c r="M36" s="138">
        <f>'CP RESUMO'!AI29</f>
        <v/>
      </c>
      <c r="N36" s="139">
        <f>MAX(0,M36-M35)</f>
        <v/>
      </c>
      <c r="O36" s="138">
        <f>IF(B36&lt;='VALOR POR PL'!$P$5,'CP RESUMO'!AI71,"")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HISTORICOS'!AJ29)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939878.4</v>
      </c>
      <c r="L37" s="49">
        <f>C37/IF(B37&lt;='VALOR POR PL'!$P$5,IFERROR(INDEX('"INCC-FGV"'!$B$2:$B$800,MATCH(B37,'"INCC-FGV"'!$A$2:$A$800,0)),$K$2),$K$2)</f>
        <v/>
      </c>
      <c r="M37" s="138">
        <f>'CP RESUMO'!AJ29</f>
        <v/>
      </c>
      <c r="N37" s="139">
        <f>MAX(0,M37-M36)</f>
        <v/>
      </c>
      <c r="O37" s="138">
        <f>IF(B37&lt;='VALOR POR PL'!$P$5,'CP RESUMO'!AJ71,"")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HISTORICOS'!AK29)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156646.4</v>
      </c>
      <c r="L38" s="49">
        <f>C38/IF(B38&lt;='VALOR POR PL'!$P$5,IFERROR(INDEX('"INCC-FGV"'!$B$2:$B$800,MATCH(B38,'"INCC-FGV"'!$A$2:$A$800,0)),$K$2),$K$2)</f>
        <v/>
      </c>
      <c r="M38" s="138">
        <f>'CP RESUMO'!AK29</f>
        <v/>
      </c>
      <c r="N38" s="139">
        <f>MAX(0,M38-M37)</f>
        <v/>
      </c>
      <c r="O38" s="138">
        <f>IF(B38&lt;='VALOR POR PL'!$P$5,'CP RESUMO'!AK71,"")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HISTORICOS'!AL29)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RESUMO'!AL29</f>
        <v/>
      </c>
      <c r="N39" s="139">
        <f>MAX(0,M39-M38)</f>
        <v/>
      </c>
      <c r="O39" s="138">
        <f>IF(B39&lt;='VALOR POR PL'!$P$5,'CP RESUMO'!AL71,"")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HISTORICOS'!AM29)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RESUMO'!AM29</f>
        <v/>
      </c>
      <c r="N40" s="139">
        <f>MAX(0,M40-M39)</f>
        <v/>
      </c>
      <c r="O40" s="138">
        <f>IF(B40&lt;='VALOR POR PL'!$P$5,'CP RESUMO'!AM71,"")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HISTORICOS'!AN29)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RESUMO'!AN29</f>
        <v/>
      </c>
      <c r="N41" s="139">
        <f>MAX(0,M41-M40)</f>
        <v/>
      </c>
      <c r="O41" s="138">
        <f>IF(B41&lt;='VALOR POR PL'!$P$5,'CP RESUMO'!AN71,"")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HISTORICOS'!AO29)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1409305.4</v>
      </c>
      <c r="L42" s="49">
        <f>C42/IF(B42&lt;='VALOR POR PL'!$P$5,IFERROR(INDEX('"INCC-FGV"'!$B$2:$B$800,MATCH(B42,'"INCC-FGV"'!$A$2:$A$800,0)),$K$2),$K$2)</f>
        <v/>
      </c>
      <c r="M42" s="138">
        <f>'CP RESUMO'!AO29</f>
        <v/>
      </c>
      <c r="N42" s="139">
        <f>MAX(0,M42-M41)</f>
        <v/>
      </c>
      <c r="O42" s="138">
        <f>IF(B42&lt;='VALOR POR PL'!$P$5,'CP RESUMO'!AO71,"")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HISTORICOS'!AP29)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1625374.99</v>
      </c>
      <c r="L43" s="49">
        <f>C43/IF(B43&lt;='VALOR POR PL'!$P$5,IFERROR(INDEX('"INCC-FGV"'!$B$2:$B$800,MATCH(B43,'"INCC-FGV"'!$A$2:$A$800,0)),$K$2),$K$2)</f>
        <v/>
      </c>
      <c r="M43" s="138">
        <f>'CP RESUMO'!AP29</f>
        <v/>
      </c>
      <c r="N43" s="139">
        <f>MAX(0,M43-M42)</f>
        <v/>
      </c>
      <c r="O43" s="138">
        <f>IF(B43&lt;='VALOR POR PL'!$P$5,'CP RESUMO'!AP71,"")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HISTORICOS'!AQ29)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1625374.99</v>
      </c>
      <c r="L44" s="49">
        <f>C44/IF(B44&lt;='VALOR POR PL'!$P$5,IFERROR(INDEX('"INCC-FGV"'!$B$2:$B$800,MATCH(B44,'"INCC-FGV"'!$A$2:$A$800,0)),$K$2),$K$2)</f>
        <v/>
      </c>
      <c r="M44" s="138">
        <f>'CP RESUMO'!AQ29</f>
        <v/>
      </c>
      <c r="N44" s="139">
        <f>MAX(0,M44-M43)</f>
        <v/>
      </c>
      <c r="O44" s="138">
        <f>IF(B44&lt;='VALOR POR PL'!$P$5,'CP RESUMO'!AQ71,"")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HISTORICOS'!AR29)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545027.03</v>
      </c>
      <c r="L45" s="49">
        <f>C45/IF(B45&lt;='VALOR POR PL'!$P$5,IFERROR(INDEX('"INCC-FGV"'!$B$2:$B$800,MATCH(B45,'"INCC-FGV"'!$A$2:$A$800,0)),$K$2),$K$2)</f>
        <v/>
      </c>
      <c r="M45" s="138">
        <f>'CP RESUMO'!AR29</f>
        <v/>
      </c>
      <c r="N45" s="139">
        <f>MAX(0,M45-M44)</f>
        <v/>
      </c>
      <c r="O45" s="138">
        <f>IF(B45&lt;='VALOR POR PL'!$P$5,'CP RESUMO'!AR71,"")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HISTORICOS'!AS29)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93987.84</v>
      </c>
      <c r="L46" s="49">
        <f>C46/IF(B46&lt;='VALOR POR PL'!$P$5,IFERROR(INDEX('"INCC-FGV"'!$B$2:$B$800,MATCH(B46,'"INCC-FGV"'!$A$2:$A$800,0)),$K$2),$K$2)</f>
        <v/>
      </c>
      <c r="M46" s="138">
        <f>'CP RESUMO'!AS29</f>
        <v/>
      </c>
      <c r="N46" s="139">
        <f>MAX(0,M46-M45)</f>
        <v/>
      </c>
      <c r="O46" s="138">
        <f>IF(B46&lt;='VALOR POR PL'!$P$5,'CP RESUMO'!AS71,"")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HISTORICOS'!AT29)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418092.23</v>
      </c>
      <c r="L47" s="49">
        <f>C47/IF(B47&lt;='VALOR POR PL'!$P$5,IFERROR(INDEX('"INCC-FGV"'!$B$2:$B$800,MATCH(B47,'"INCC-FGV"'!$A$2:$A$800,0)),$K$2),$K$2)</f>
        <v/>
      </c>
      <c r="M47" s="138">
        <f>'CP RESUMO'!AT29</f>
        <v/>
      </c>
      <c r="N47" s="139">
        <f>MAX(0,M47-M46)</f>
        <v/>
      </c>
      <c r="O47" s="138">
        <f>IF(B47&lt;='VALOR POR PL'!$P$5,'CP RESUMO'!AT71,"")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HISTORICOS'!AU29)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547733.98</v>
      </c>
      <c r="L48" s="49">
        <f>C48/IF(B48&lt;='VALOR POR PL'!$P$5,IFERROR(INDEX('"INCC-FGV"'!$B$2:$B$800,MATCH(B48,'"INCC-FGV"'!$A$2:$A$800,0)),$K$2),$K$2)</f>
        <v/>
      </c>
      <c r="M48" s="138">
        <f>'CP RESUMO'!AU29</f>
        <v/>
      </c>
      <c r="N48" s="139">
        <f>MAX(0,M48-M47)</f>
        <v/>
      </c>
      <c r="O48" s="138">
        <f>IF(B48&lt;='VALOR POR PL'!$P$5,'CP RESUMO'!AU71,"")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HISTORICOS'!AV29)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547733.98</v>
      </c>
      <c r="L49" s="49">
        <f>C49/IF(B49&lt;='VALOR POR PL'!$P$5,IFERROR(INDEX('"INCC-FGV"'!$B$2:$B$800,MATCH(B49,'"INCC-FGV"'!$A$2:$A$800,0)),$K$2),$K$2)</f>
        <v/>
      </c>
      <c r="M49" s="138">
        <f>'CP RESUMO'!AV29</f>
        <v/>
      </c>
      <c r="N49" s="139">
        <f>MAX(0,M49-M48)</f>
        <v/>
      </c>
      <c r="O49" s="138">
        <f>IF(B49&lt;='VALOR POR PL'!$P$5,'CP RESUMO'!AV71,"")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HISTORICOS'!AW29)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547733.98</v>
      </c>
      <c r="L50" s="49">
        <f>C50/IF(B50&lt;='VALOR POR PL'!$P$5,IFERROR(INDEX('"INCC-FGV"'!$B$2:$B$800,MATCH(B50,'"INCC-FGV"'!$A$2:$A$800,0)),$K$2),$K$2)</f>
        <v/>
      </c>
      <c r="M50" s="138">
        <f>'CP RESUMO'!AW29</f>
        <v/>
      </c>
      <c r="N50" s="139">
        <f>MAX(0,M50-M49)</f>
        <v/>
      </c>
      <c r="O50" s="138">
        <f>IF(B50&lt;='VALOR POR PL'!$P$5,'CP RESUMO'!AW71,"")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HISTORICOS'!AX29)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223629.59</v>
      </c>
      <c r="L51" s="49">
        <f>C51/IF(B51&lt;='VALOR POR PL'!$P$5,IFERROR(INDEX('"INCC-FGV"'!$B$2:$B$800,MATCH(B51,'"INCC-FGV"'!$A$2:$A$800,0)),$K$2),$K$2)</f>
        <v/>
      </c>
      <c r="M51" s="138">
        <f>'CP RESUMO'!AX29</f>
        <v/>
      </c>
      <c r="N51" s="139">
        <f>MAX(0,M51-M50)</f>
        <v/>
      </c>
      <c r="O51" s="138">
        <f>IF(B51&lt;='VALOR POR PL'!$P$5,'CP RESUMO'!AX71,"")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HISTORICOS'!AY29)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129641.75</v>
      </c>
      <c r="L52" s="49">
        <f>C52/IF(B52&lt;='VALOR POR PL'!$P$5,IFERROR(INDEX('"INCC-FGV"'!$B$2:$B$800,MATCH(B52,'"INCC-FGV"'!$A$2:$A$800,0)),$K$2),$K$2)</f>
        <v/>
      </c>
      <c r="M52" s="138">
        <f>'CP RESUMO'!AY29</f>
        <v/>
      </c>
      <c r="N52" s="139">
        <f>MAX(0,M52-M51)</f>
        <v/>
      </c>
      <c r="O52" s="138">
        <f>IF(B52&lt;='VALOR POR PL'!$P$5,'CP RESUMO'!AY71,"")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HISTORICOS'!AZ29)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129641.75</v>
      </c>
      <c r="L53" s="49">
        <f>C53/IF(B53&lt;='VALOR POR PL'!$P$5,IFERROR(INDEX('"INCC-FGV"'!$B$2:$B$800,MATCH(B53,'"INCC-FGV"'!$A$2:$A$800,0)),$K$2),$K$2)</f>
        <v/>
      </c>
      <c r="M53" s="138">
        <f>'CP RESUMO'!AZ29</f>
        <v/>
      </c>
      <c r="N53" s="139">
        <f>MAX(0,M53-M52)</f>
        <v/>
      </c>
      <c r="O53" s="138">
        <f>IF(B53&lt;='VALOR POR PL'!$P$5,'CP RESUMO'!AZ71,"")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HISTORICOS'!BA29)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129641.75</v>
      </c>
      <c r="L54" s="49">
        <f>C54/IF(B54&lt;='VALOR POR PL'!$P$5,IFERROR(INDEX('"INCC-FGV"'!$B$2:$B$800,MATCH(B54,'"INCC-FGV"'!$A$2:$A$800,0)),$K$2),$K$2)</f>
        <v/>
      </c>
      <c r="M54" s="138">
        <f>'CP RESUMO'!BA29</f>
        <v/>
      </c>
      <c r="N54" s="139">
        <f>MAX(0,M54-M53)</f>
        <v/>
      </c>
      <c r="O54" s="138">
        <f>IF(B54&lt;='VALOR POR PL'!$P$5,'CP RESUMO'!BA71,"")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HISTORICOS'!BB29)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129641.75</v>
      </c>
      <c r="L55" s="49">
        <f>C55/IF(B55&lt;='VALOR POR PL'!$P$5,IFERROR(INDEX('"INCC-FGV"'!$B$2:$B$800,MATCH(B55,'"INCC-FGV"'!$A$2:$A$800,0)),$K$2),$K$2)</f>
        <v/>
      </c>
      <c r="M55" s="138">
        <f>'CP RESUMO'!BB29</f>
        <v/>
      </c>
      <c r="N55" s="139">
        <f>MAX(0,M55-M54)</f>
        <v/>
      </c>
      <c r="O55" s="138">
        <f>IF(B55&lt;='VALOR POR PL'!$P$5,'CP RESUMO'!BB71,"")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HISTORICOS'!BC29)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129641.75</v>
      </c>
      <c r="L56" s="49">
        <f>C56/IF(B56&lt;='VALOR POR PL'!$P$5,IFERROR(INDEX('"INCC-FGV"'!$B$2:$B$800,MATCH(B56,'"INCC-FGV"'!$A$2:$A$800,0)),$K$2),$K$2)</f>
        <v/>
      </c>
      <c r="M56" s="138">
        <f>'CP RESUMO'!BC29</f>
        <v/>
      </c>
      <c r="N56" s="139">
        <f>MAX(0,M56-M55)</f>
        <v/>
      </c>
      <c r="O56" s="138">
        <f>IF(B56&lt;='VALOR POR PL'!$P$5,'CP RESUMO'!BC71,"")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HISTORICOS'!BD29)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>
        <v>129641.75</v>
      </c>
      <c r="L57" s="49">
        <f>C57/IF(B57&lt;='VALOR POR PL'!$P$5,IFERROR(INDEX('"INCC-FGV"'!$B$2:$B$800,MATCH(B57,'"INCC-FGV"'!$A$2:$A$800,0)),$K$2),$K$2)</f>
        <v/>
      </c>
      <c r="M57" s="138">
        <f>'CP RESUMO'!BD29</f>
        <v/>
      </c>
      <c r="N57" s="139">
        <f>MAX(0,M57-M56)</f>
        <v/>
      </c>
      <c r="O57" s="138">
        <f>IF(B57&lt;='VALOR POR PL'!$P$5,'CP RESUMO'!BD71,"")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HISTORICOS'!BE29)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RESUMO'!BE29</f>
        <v/>
      </c>
      <c r="N58" s="139">
        <f>MAX(0,M58-M57)</f>
        <v/>
      </c>
      <c r="O58" s="138">
        <f>IF(B58&lt;='VALOR POR PL'!$P$5,'CP RESUMO'!BE71,"")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HISTORICOS'!BF29)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>
        <v>599883.0699999999</v>
      </c>
      <c r="L59" s="49">
        <f>C59/IF(B59&lt;='VALOR POR PL'!$P$5,IFERROR(INDEX('"INCC-FGV"'!$B$2:$B$800,MATCH(B59,'"INCC-FGV"'!$A$2:$A$800,0)),$K$2),$K$2)</f>
        <v/>
      </c>
      <c r="M59" s="138">
        <f>'CP RESUMO'!BF29</f>
        <v/>
      </c>
      <c r="N59" s="139">
        <f>MAX(0,M59-M58)</f>
        <v/>
      </c>
      <c r="O59" s="138">
        <f>IF(B59&lt;='VALOR POR PL'!$P$5,'CP RESUMO'!BF71,"")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HISTORICOS'!BG29)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RESUMO'!BG29</f>
        <v/>
      </c>
      <c r="N60" s="139">
        <f>MAX(0,M60-M59)</f>
        <v/>
      </c>
      <c r="O60" s="138">
        <f>IF(B60&lt;='VALOR POR PL'!$P$5,'CP RESUMO'!BG71,"")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HISTORICOS'!BH29)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RESUMO'!BH29</f>
        <v/>
      </c>
      <c r="N61" s="139">
        <f>MAX(0,M61-M60)</f>
        <v/>
      </c>
      <c r="O61" s="138">
        <f>IF(B61&lt;='VALOR POR PL'!$P$5,'CP RESUMO'!BH71,"")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HISTORICOS'!BI29)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RESUMO'!BI29</f>
        <v/>
      </c>
      <c r="N62" s="139">
        <f>MAX(0,M62-M61)</f>
        <v/>
      </c>
      <c r="O62" s="138">
        <f>IF(B62&lt;='VALOR POR PL'!$P$5,'CP RESUMO'!BI71,"")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HISTORICOS'!BJ29)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RESUMO'!BJ29</f>
        <v/>
      </c>
      <c r="N63" s="139">
        <f>MAX(0,M63-M62)</f>
        <v/>
      </c>
      <c r="O63" s="138">
        <f>IF(B63&lt;='VALOR POR PL'!$P$5,'CP RESUMO'!BJ71,"")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HISTORICOS'!BK29)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RESUMO'!BK29</f>
        <v/>
      </c>
      <c r="N64" s="139">
        <f>MAX(0,M64-M63)</f>
        <v/>
      </c>
      <c r="O64" s="138">
        <f>IF(B64&lt;='VALOR POR PL'!$P$5,'CP RESUMO'!BK71,"")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HISTORICOS'!BL29)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RESUMO'!BL29</f>
        <v/>
      </c>
      <c r="N65" s="139">
        <f>MAX(0,M65-M64)</f>
        <v/>
      </c>
      <c r="O65" s="138">
        <f>IF(B65&lt;='VALOR POR PL'!$P$5,'CP RESUMO'!BL71,"")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HISTORICOS'!BM29)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RESUMO'!BM29</f>
        <v/>
      </c>
      <c r="N66" s="139">
        <f>MAX(0,M66-M65)</f>
        <v/>
      </c>
      <c r="O66" s="138">
        <f>IF(B66&lt;='VALOR POR PL'!$P$5,'CP RESUMO'!BM71,"")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HISTORICOS'!BN29)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RESUMO'!BN29</f>
        <v/>
      </c>
      <c r="N67" s="139">
        <f>MAX(0,M67-M66)</f>
        <v/>
      </c>
      <c r="O67" s="138">
        <f>IF(B67&lt;='VALOR POR PL'!$P$5,'CP RESUMO'!BN71,"")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HISTORICOS'!BO29)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RESUMO'!BO29</f>
        <v/>
      </c>
      <c r="N68" s="139">
        <f>MAX(0,M68-M67)</f>
        <v/>
      </c>
      <c r="O68" s="138">
        <f>IF(B68&lt;='VALOR POR PL'!$P$5,'CP RESUMO'!BO71,"")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HISTORICOS'!BP29)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RESUMO'!BP29</f>
        <v/>
      </c>
      <c r="N69" s="139">
        <f>MAX(0,M69-M68)</f>
        <v/>
      </c>
      <c r="O69" s="138">
        <f>IF(B69&lt;='VALOR POR PL'!$P$5,'CP RESUMO'!BP71,"")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HISTORICOS'!BQ29)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RESUMO'!BQ29</f>
        <v/>
      </c>
      <c r="N70" s="139">
        <f>MAX(0,M70-M69)</f>
        <v/>
      </c>
      <c r="O70" s="138">
        <f>IF(B70&lt;='VALOR POR PL'!$P$5,'CP RESUMO'!BQ71,"")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HISTORICOS'!BR29)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RESUMO'!BR29</f>
        <v/>
      </c>
      <c r="N71" s="139">
        <f>MAX(0,M71-M70)</f>
        <v/>
      </c>
      <c r="O71" s="138">
        <f>IF(B71&lt;='VALOR POR PL'!$P$5,'CP RESUMO'!BR71,"")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HISTORICOS'!BS29)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RESUMO'!BS29</f>
        <v/>
      </c>
      <c r="N72" s="139">
        <f>MAX(0,M72-M71)</f>
        <v/>
      </c>
      <c r="O72" s="138">
        <f>IF(B72&lt;='VALOR POR PL'!$P$5,'CP RESUMO'!BS71,"")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HISTORICOS'!BT29)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RESUMO'!BT29</f>
        <v/>
      </c>
      <c r="N73" s="139">
        <f>MAX(0,M73-M72)</f>
        <v/>
      </c>
      <c r="O73" s="138">
        <f>IF(B73&lt;='VALOR POR PL'!$P$5,'CP RESUMO'!BT71,"")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HISTORICOS'!BU29)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RESUMO'!BU29</f>
        <v/>
      </c>
      <c r="N74" s="139">
        <f>MAX(0,M74-M73)</f>
        <v/>
      </c>
      <c r="O74" s="138">
        <f>IF(B74&lt;='VALOR POR PL'!$P$5,'CP RESUMO'!BU71,"")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HISTORICOS'!BV29)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RESUMO'!BV29</f>
        <v/>
      </c>
      <c r="N75" s="139">
        <f>MAX(0,M75-M74)</f>
        <v/>
      </c>
      <c r="O75" s="138">
        <f>IF(B75&lt;='VALOR POR PL'!$P$5,'CP RESUMO'!BV71,"")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HISTORICOS'!BW29)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RESUMO'!BW29</f>
        <v/>
      </c>
      <c r="N76" s="139">
        <f>MAX(0,M76-M75)</f>
        <v/>
      </c>
      <c r="O76" s="138">
        <f>IF(B76&lt;='VALOR POR PL'!$P$5,'CP RESUMO'!BW71,"")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PL'!D36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HISTORICOS'!D30)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PL'!F36</f>
        <v/>
      </c>
      <c r="K5" s="60">
        <f>'VALOR POR PL'!G36</f>
        <v/>
      </c>
      <c r="L5" s="60">
        <f>'DADOS HISTORICOS'!$BZ$30</f>
        <v/>
      </c>
      <c r="M5" s="138">
        <f>'CP RESUMO'!D30</f>
        <v/>
      </c>
      <c r="N5" s="139" t="n">
        <v>0</v>
      </c>
      <c r="O5" s="138">
        <f>IF(B5&lt;='VALOR POR PL'!$P$5,'CP RESUMO'!D72,"")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HISTORICOS'!E30)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PL'!H36</f>
        <v/>
      </c>
      <c r="L6" s="49">
        <f>C6/IF(B6&lt;='VALOR POR PL'!$P$5,IFERROR(INDEX('"INCC-FGV"'!$B$2:$B$800,MATCH(B6,'"INCC-FGV"'!$A$2:$A$800,0)),$K$2),$K$2)</f>
        <v/>
      </c>
      <c r="M6" s="138">
        <f>'CP RESUMO'!E30</f>
        <v/>
      </c>
      <c r="N6" s="139">
        <f>MAX(0,M6-M5)</f>
        <v/>
      </c>
      <c r="O6" s="138">
        <f>IF(B6&lt;='VALOR POR PL'!$P$5,'CP RESUMO'!E72,"")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HISTORICOS'!F30)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RESUMO'!F30</f>
        <v/>
      </c>
      <c r="N7" s="139">
        <f>MAX(0,M7-M6)</f>
        <v/>
      </c>
      <c r="O7" s="138">
        <f>IF(B7&lt;='VALOR POR PL'!$P$5,'CP RESUMO'!F72,"")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HISTORICOS'!G30)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RESUMO'!G30</f>
        <v/>
      </c>
      <c r="N8" s="139">
        <f>MAX(0,M8-M7)</f>
        <v/>
      </c>
      <c r="O8" s="138">
        <f>IF(B8&lt;='VALOR POR PL'!$P$5,'CP RESUMO'!G72,"")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HISTORICOS'!H30)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RESUMO'!H30</f>
        <v/>
      </c>
      <c r="N9" s="139">
        <f>MAX(0,M9-M8)</f>
        <v/>
      </c>
      <c r="O9" s="138">
        <f>IF(B9&lt;='VALOR POR PL'!$P$5,'CP RESUMO'!H72,"")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HISTORICOS'!I30)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RESUMO'!I30</f>
        <v/>
      </c>
      <c r="N10" s="139">
        <f>MAX(0,M10-M9)</f>
        <v/>
      </c>
      <c r="O10" s="138">
        <f>IF(B10&lt;='VALOR POR PL'!$P$5,'CP RESUMO'!I72,"")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HISTORICOS'!J30)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RESUMO'!J30</f>
        <v/>
      </c>
      <c r="N11" s="139">
        <f>MAX(0,M11-M10)</f>
        <v/>
      </c>
      <c r="O11" s="138">
        <f>IF(B11&lt;='VALOR POR PL'!$P$5,'CP RESUMO'!J72,"")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HISTORICOS'!K30)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RESUMO'!K30</f>
        <v/>
      </c>
      <c r="N12" s="139">
        <f>MAX(0,M12-M11)</f>
        <v/>
      </c>
      <c r="O12" s="138">
        <f>IF(B12&lt;='VALOR POR PL'!$P$5,'CP RESUMO'!K72,"")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HISTORICOS'!L30)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PL'!I36</f>
        <v/>
      </c>
      <c r="L13" s="49">
        <f>C13/IF(B13&lt;='VALOR POR PL'!$P$5,IFERROR(INDEX('"INCC-FGV"'!$B$2:$B$800,MATCH(B13,'"INCC-FGV"'!$A$2:$A$800,0)),$K$2),$K$2)</f>
        <v/>
      </c>
      <c r="M13" s="138">
        <f>'CP RESUMO'!L30</f>
        <v/>
      </c>
      <c r="N13" s="139">
        <f>MAX(0,M13-M12)</f>
        <v/>
      </c>
      <c r="O13" s="138">
        <f>IF(B13&lt;='VALOR POR PL'!$P$5,'CP RESUMO'!L72,"")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HISTORICOS'!M30)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RESUMO'!$D$72:$BW$72,MATCH('VALOR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RESUMO'!M30</f>
        <v/>
      </c>
      <c r="N14" s="139">
        <f>MAX(0,M14-M13)</f>
        <v/>
      </c>
      <c r="O14" s="138">
        <f>IF(B14&lt;='VALOR POR PL'!$P$5,'CP RESUMO'!M72,"")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HISTORICOS'!N30)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RESUMO'!N30</f>
        <v/>
      </c>
      <c r="N15" s="139">
        <f>MAX(0,M15-M14)</f>
        <v/>
      </c>
      <c r="O15" s="138">
        <f>IF(B15&lt;='VALOR POR PL'!$P$5,'CP RESUMO'!N72,"")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HISTORICOS'!O30)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RESUMO'!O30</f>
        <v/>
      </c>
      <c r="N16" s="139">
        <f>MAX(0,M16-M15)</f>
        <v/>
      </c>
      <c r="O16" s="138">
        <f>IF(B16&lt;='VALOR POR PL'!$P$5,'CP RESUMO'!O72,"")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HISTORICOS'!P30)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RESUMO'!P30</f>
        <v/>
      </c>
      <c r="N17" s="139">
        <f>MAX(0,M17-M16)</f>
        <v/>
      </c>
      <c r="O17" s="138">
        <f>IF(B17&lt;='VALOR POR PL'!$P$5,'CP RESUMO'!P72,"")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HISTORICOS'!Q30)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RESUMO'!Q30</f>
        <v/>
      </c>
      <c r="N18" s="139">
        <f>MAX(0,M18-M17)</f>
        <v/>
      </c>
      <c r="O18" s="138">
        <f>IF(B18&lt;='VALOR POR PL'!$P$5,'CP RESUMO'!Q72,"")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HISTORICOS'!R30)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RESUMO'!R30</f>
        <v/>
      </c>
      <c r="N19" s="139">
        <f>MAX(0,M19-M18)</f>
        <v/>
      </c>
      <c r="O19" s="138">
        <f>IF(B19&lt;='VALOR POR PL'!$P$5,'CP RESUMO'!R72,"")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HISTORICOS'!S30)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RESUMO'!S30</f>
        <v/>
      </c>
      <c r="N20" s="139">
        <f>MAX(0,M20-M19)</f>
        <v/>
      </c>
      <c r="O20" s="138">
        <f>IF(B20&lt;='VALOR POR PL'!$P$5,'CP RESUMO'!S72,"")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HISTORICOS'!T30)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RESUMO'!T30</f>
        <v/>
      </c>
      <c r="N21" s="139">
        <f>MAX(0,M21-M20)</f>
        <v/>
      </c>
      <c r="O21" s="138">
        <f>IF(B21&lt;='VALOR POR PL'!$P$5,'CP RESUMO'!T72,"")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HISTORICOS'!U30)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RESUMO'!U30</f>
        <v/>
      </c>
      <c r="N22" s="139">
        <f>MAX(0,M22-M21)</f>
        <v/>
      </c>
      <c r="O22" s="138">
        <f>IF(B22&lt;='VALOR POR PL'!$P$5,'CP RESUMO'!U72,"")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HISTORICOS'!V30)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RESUMO'!V30</f>
        <v/>
      </c>
      <c r="N23" s="139">
        <f>MAX(0,M23-M22)</f>
        <v/>
      </c>
      <c r="O23" s="138">
        <f>IF(B23&lt;='VALOR POR PL'!$P$5,'CP RESUMO'!V72,"")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HISTORICOS'!W30)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RESUMO'!W30</f>
        <v/>
      </c>
      <c r="N24" s="139">
        <f>MAX(0,M24-M23)</f>
        <v/>
      </c>
      <c r="O24" s="138">
        <f>IF(B24&lt;='VALOR POR PL'!$P$5,'CP RESUMO'!W72,"")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HISTORICOS'!X30)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RESUMO'!X30</f>
        <v/>
      </c>
      <c r="N25" s="139">
        <f>MAX(0,M25-M24)</f>
        <v/>
      </c>
      <c r="O25" s="138">
        <f>IF(B25&lt;='VALOR POR PL'!$P$5,'CP RESUMO'!X72,"")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HISTORICOS'!Y30)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RESUMO'!Y30</f>
        <v/>
      </c>
      <c r="N26" s="139">
        <f>MAX(0,M26-M25)</f>
        <v/>
      </c>
      <c r="O26" s="138">
        <f>IF(B26&lt;='VALOR POR PL'!$P$5,'CP RESUMO'!Y72,"")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HISTORICOS'!Z30)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RESUMO'!Z30</f>
        <v/>
      </c>
      <c r="N27" s="139">
        <f>MAX(0,M27-M26)</f>
        <v/>
      </c>
      <c r="O27" s="138">
        <f>IF(B27&lt;='VALOR POR PL'!$P$5,'CP RESUMO'!Z72,"")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HISTORICOS'!AA30)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RESUMO'!AA30</f>
        <v/>
      </c>
      <c r="N28" s="139">
        <f>MAX(0,M28-M27)</f>
        <v/>
      </c>
      <c r="O28" s="138">
        <f>IF(B28&lt;='VALOR POR PL'!$P$5,'CP RESUMO'!AA72,"")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HISTORICOS'!AB30)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RESUMO'!AB30</f>
        <v/>
      </c>
      <c r="N29" s="139">
        <f>MAX(0,M29-M28)</f>
        <v/>
      </c>
      <c r="O29" s="138">
        <f>IF(B29&lt;='VALOR POR PL'!$P$5,'CP RESUMO'!AB72,"")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HISTORICOS'!AC30)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RESUMO'!AC30</f>
        <v/>
      </c>
      <c r="N30" s="139">
        <f>MAX(0,M30-M29)</f>
        <v/>
      </c>
      <c r="O30" s="138">
        <f>IF(B30&lt;='VALOR POR PL'!$P$5,'CP RESUMO'!AC72,"")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HISTORICOS'!AD30)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RESUMO'!AD30</f>
        <v/>
      </c>
      <c r="N31" s="139">
        <f>MAX(0,M31-M30)</f>
        <v/>
      </c>
      <c r="O31" s="138">
        <f>IF(B31&lt;='VALOR POR PL'!$P$5,'CP RESUMO'!AD72,"")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HISTORICOS'!AE30)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RESUMO'!AE30</f>
        <v/>
      </c>
      <c r="N32" s="139">
        <f>MAX(0,M32-M31)</f>
        <v/>
      </c>
      <c r="O32" s="138">
        <f>IF(B32&lt;='VALOR POR PL'!$P$5,'CP RESUMO'!AE72,"")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HISTORICOS'!AF30)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RESUMO'!AF30</f>
        <v/>
      </c>
      <c r="N33" s="139">
        <f>MAX(0,M33-M32)</f>
        <v/>
      </c>
      <c r="O33" s="138">
        <f>IF(B33&lt;='VALOR POR PL'!$P$5,'CP RESUMO'!AF72,"")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HISTORICOS'!AG30)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RESUMO'!AG30</f>
        <v/>
      </c>
      <c r="N34" s="139">
        <f>MAX(0,M34-M33)</f>
        <v/>
      </c>
      <c r="O34" s="138">
        <f>IF(B34&lt;='VALOR POR PL'!$P$5,'CP RESUMO'!AG72,"")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HISTORICOS'!AH30)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RESUMO'!AH30</f>
        <v/>
      </c>
      <c r="N35" s="139">
        <f>MAX(0,M35-M34)</f>
        <v/>
      </c>
      <c r="O35" s="138">
        <f>IF(B35&lt;='VALOR POR PL'!$P$5,'CP RESUMO'!AH72,"")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HISTORICOS'!AI30)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RESUMO'!AI30</f>
        <v/>
      </c>
      <c r="N36" s="139">
        <f>MAX(0,M36-M35)</f>
        <v/>
      </c>
      <c r="O36" s="138">
        <f>IF(B36&lt;='VALOR POR PL'!$P$5,'CP RESUMO'!AI72,"")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HISTORICOS'!AJ30)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RESUMO'!AJ30</f>
        <v/>
      </c>
      <c r="N37" s="139">
        <f>MAX(0,M37-M36)</f>
        <v/>
      </c>
      <c r="O37" s="138">
        <f>IF(B37&lt;='VALOR POR PL'!$P$5,'CP RESUMO'!AJ72,"")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HISTORICOS'!AK30)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27010.22</v>
      </c>
      <c r="L38" s="49">
        <f>C38/IF(B38&lt;='VALOR POR PL'!$P$5,IFERROR(INDEX('"INCC-FGV"'!$B$2:$B$800,MATCH(B38,'"INCC-FGV"'!$A$2:$A$800,0)),$K$2),$K$2)</f>
        <v/>
      </c>
      <c r="M38" s="138">
        <f>'CP RESUMO'!AK30</f>
        <v/>
      </c>
      <c r="N38" s="139">
        <f>MAX(0,M38-M37)</f>
        <v/>
      </c>
      <c r="O38" s="138">
        <f>IF(B38&lt;='VALOR POR PL'!$P$5,'CP RESUMO'!AK72,"")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HISTORICOS'!AL30)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26959.35</v>
      </c>
      <c r="L39" s="49">
        <f>C39/IF(B39&lt;='VALOR POR PL'!$P$5,IFERROR(INDEX('"INCC-FGV"'!$B$2:$B$800,MATCH(B39,'"INCC-FGV"'!$A$2:$A$800,0)),$K$2),$K$2)</f>
        <v/>
      </c>
      <c r="M39" s="138">
        <f>'CP RESUMO'!AL30</f>
        <v/>
      </c>
      <c r="N39" s="139">
        <f>MAX(0,M39-M38)</f>
        <v/>
      </c>
      <c r="O39" s="138">
        <f>IF(B39&lt;='VALOR POR PL'!$P$5,'CP RESUMO'!AL72,"")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HISTORICOS'!AM30)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RESUMO'!AM30</f>
        <v/>
      </c>
      <c r="N40" s="139">
        <f>MAX(0,M40-M39)</f>
        <v/>
      </c>
      <c r="O40" s="138">
        <f>IF(B40&lt;='VALOR POR PL'!$P$5,'CP RESUMO'!AM72,"")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HISTORICOS'!AN30)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27010.22</v>
      </c>
      <c r="L41" s="49">
        <f>C41/IF(B41&lt;='VALOR POR PL'!$P$5,IFERROR(INDEX('"INCC-FGV"'!$B$2:$B$800,MATCH(B41,'"INCC-FGV"'!$A$2:$A$800,0)),$K$2),$K$2)</f>
        <v/>
      </c>
      <c r="M41" s="138">
        <f>'CP RESUMO'!AN30</f>
        <v/>
      </c>
      <c r="N41" s="139">
        <f>MAX(0,M41-M40)</f>
        <v/>
      </c>
      <c r="O41" s="138">
        <f>IF(B41&lt;='VALOR POR PL'!$P$5,'CP RESUMO'!AN72,"")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HISTORICOS'!AO30)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RESUMO'!AO30</f>
        <v/>
      </c>
      <c r="N42" s="139">
        <f>MAX(0,M42-M41)</f>
        <v/>
      </c>
      <c r="O42" s="138">
        <f>IF(B42&lt;='VALOR POR PL'!$P$5,'CP RESUMO'!AO72,"")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HISTORICOS'!AP30)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26959.35</v>
      </c>
      <c r="L43" s="49">
        <f>C43/IF(B43&lt;='VALOR POR PL'!$P$5,IFERROR(INDEX('"INCC-FGV"'!$B$2:$B$800,MATCH(B43,'"INCC-FGV"'!$A$2:$A$800,0)),$K$2),$K$2)</f>
        <v/>
      </c>
      <c r="M43" s="138">
        <f>'CP RESUMO'!AP30</f>
        <v/>
      </c>
      <c r="N43" s="139">
        <f>MAX(0,M43-M42)</f>
        <v/>
      </c>
      <c r="O43" s="138">
        <f>IF(B43&lt;='VALOR POR PL'!$P$5,'CP RESUMO'!AP72,"")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HISTORICOS'!AQ30)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22076.15</v>
      </c>
      <c r="L44" s="49">
        <f>C44/IF(B44&lt;='VALOR POR PL'!$P$5,IFERROR(INDEX('"INCC-FGV"'!$B$2:$B$800,MATCH(B44,'"INCC-FGV"'!$A$2:$A$800,0)),$K$2),$K$2)</f>
        <v/>
      </c>
      <c r="M44" s="138">
        <f>'CP RESUMO'!AQ30</f>
        <v/>
      </c>
      <c r="N44" s="139">
        <f>MAX(0,M44-M43)</f>
        <v/>
      </c>
      <c r="O44" s="138">
        <f>IF(B44&lt;='VALOR POR PL'!$P$5,'CP RESUMO'!AQ72,"")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HISTORICOS'!AR30)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102649.01</v>
      </c>
      <c r="L45" s="49">
        <f>C45/IF(B45&lt;='VALOR POR PL'!$P$5,IFERROR(INDEX('"INCC-FGV"'!$B$2:$B$800,MATCH(B45,'"INCC-FGV"'!$A$2:$A$800,0)),$K$2),$K$2)</f>
        <v/>
      </c>
      <c r="M45" s="138">
        <f>'CP RESUMO'!AR30</f>
        <v/>
      </c>
      <c r="N45" s="139">
        <f>MAX(0,M45-M44)</f>
        <v/>
      </c>
      <c r="O45" s="138">
        <f>IF(B45&lt;='VALOR POR PL'!$P$5,'CP RESUMO'!AR72,"")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HISTORICOS'!AS30)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59259.71</v>
      </c>
      <c r="L46" s="49">
        <f>C46/IF(B46&lt;='VALOR POR PL'!$P$5,IFERROR(INDEX('"INCC-FGV"'!$B$2:$B$800,MATCH(B46,'"INCC-FGV"'!$A$2:$A$800,0)),$K$2),$K$2)</f>
        <v/>
      </c>
      <c r="M46" s="138">
        <f>'CP RESUMO'!AS30</f>
        <v/>
      </c>
      <c r="N46" s="139">
        <f>MAX(0,M46-M45)</f>
        <v/>
      </c>
      <c r="O46" s="138">
        <f>IF(B46&lt;='VALOR POR PL'!$P$5,'CP RESUMO'!AS72,"")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HISTORICOS'!AT30)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24365.15</v>
      </c>
      <c r="L47" s="49">
        <f>C47/IF(B47&lt;='VALOR POR PL'!$P$5,IFERROR(INDEX('"INCC-FGV"'!$B$2:$B$800,MATCH(B47,'"INCC-FGV"'!$A$2:$A$800,0)),$K$2),$K$2)</f>
        <v/>
      </c>
      <c r="M47" s="138">
        <f>'CP RESUMO'!AT30</f>
        <v/>
      </c>
      <c r="N47" s="139">
        <f>MAX(0,M47-M46)</f>
        <v/>
      </c>
      <c r="O47" s="138">
        <f>IF(B47&lt;='VALOR POR PL'!$P$5,'CP RESUMO'!AT72,"")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HISTORICOS'!AU30)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38709.56</v>
      </c>
      <c r="L48" s="49">
        <f>C48/IF(B48&lt;='VALOR POR PL'!$P$5,IFERROR(INDEX('"INCC-FGV"'!$B$2:$B$800,MATCH(B48,'"INCC-FGV"'!$A$2:$A$800,0)),$K$2),$K$2)</f>
        <v/>
      </c>
      <c r="M48" s="138">
        <f>'CP RESUMO'!AU30</f>
        <v/>
      </c>
      <c r="N48" s="139">
        <f>MAX(0,M48-M47)</f>
        <v/>
      </c>
      <c r="O48" s="138">
        <f>IF(B48&lt;='VALOR POR PL'!$P$5,'CP RESUMO'!AU72,"")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HISTORICOS'!AV30)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24263.42</v>
      </c>
      <c r="L49" s="49">
        <f>C49/IF(B49&lt;='VALOR POR PL'!$P$5,IFERROR(INDEX('"INCC-FGV"'!$B$2:$B$800,MATCH(B49,'"INCC-FGV"'!$A$2:$A$800,0)),$K$2),$K$2)</f>
        <v/>
      </c>
      <c r="M49" s="138">
        <f>'CP RESUMO'!AV30</f>
        <v/>
      </c>
      <c r="N49" s="139">
        <f>MAX(0,M49-M48)</f>
        <v/>
      </c>
      <c r="O49" s="138">
        <f>IF(B49&lt;='VALOR POR PL'!$P$5,'CP RESUMO'!AV72,"")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HISTORICOS'!AW30)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8647.34</v>
      </c>
      <c r="L50" s="49">
        <f>C50/IF(B50&lt;='VALOR POR PL'!$P$5,IFERROR(INDEX('"INCC-FGV"'!$B$2:$B$800,MATCH(B50,'"INCC-FGV"'!$A$2:$A$800,0)),$K$2),$K$2)</f>
        <v/>
      </c>
      <c r="M50" s="138">
        <f>'CP RESUMO'!AW30</f>
        <v/>
      </c>
      <c r="N50" s="139">
        <f>MAX(0,M50-M49)</f>
        <v/>
      </c>
      <c r="O50" s="138">
        <f>IF(B50&lt;='VALOR POR PL'!$P$5,'CP RESUMO'!AW72,"")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HISTORICOS'!AX30)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8189.54</v>
      </c>
      <c r="L51" s="49">
        <f>C51/IF(B51&lt;='VALOR POR PL'!$P$5,IFERROR(INDEX('"INCC-FGV"'!$B$2:$B$800,MATCH(B51,'"INCC-FGV"'!$A$2:$A$800,0)),$K$2),$K$2)</f>
        <v/>
      </c>
      <c r="M51" s="138">
        <f>'CP RESUMO'!AX30</f>
        <v/>
      </c>
      <c r="N51" s="139">
        <f>MAX(0,M51-M50)</f>
        <v/>
      </c>
      <c r="O51" s="138">
        <f>IF(B51&lt;='VALOR POR PL'!$P$5,'CP RESUMO'!AX72,"")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HISTORICOS'!AY30)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8342.139999999999</v>
      </c>
      <c r="L52" s="49">
        <f>C52/IF(B52&lt;='VALOR POR PL'!$P$5,IFERROR(INDEX('"INCC-FGV"'!$B$2:$B$800,MATCH(B52,'"INCC-FGV"'!$A$2:$A$800,0)),$K$2),$K$2)</f>
        <v/>
      </c>
      <c r="M52" s="138">
        <f>'CP RESUMO'!AY30</f>
        <v/>
      </c>
      <c r="N52" s="139">
        <f>MAX(0,M52-M51)</f>
        <v/>
      </c>
      <c r="O52" s="138">
        <f>IF(B52&lt;='VALOR POR PL'!$P$5,'CP RESUMO'!AY72,"")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HISTORICOS'!AZ30)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24619.49</v>
      </c>
      <c r="L53" s="49">
        <f>C53/IF(B53&lt;='VALOR POR PL'!$P$5,IFERROR(INDEX('"INCC-FGV"'!$B$2:$B$800,MATCH(B53,'"INCC-FGV"'!$A$2:$A$800,0)),$K$2),$K$2)</f>
        <v/>
      </c>
      <c r="M53" s="138">
        <f>'CP RESUMO'!AZ30</f>
        <v/>
      </c>
      <c r="N53" s="139">
        <f>MAX(0,M53-M52)</f>
        <v/>
      </c>
      <c r="O53" s="138">
        <f>IF(B53&lt;='VALOR POR PL'!$P$5,'CP RESUMO'!AZ72,"")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HISTORICOS'!BA30)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75130.12</v>
      </c>
      <c r="L54" s="49">
        <f>C54/IF(B54&lt;='VALOR POR PL'!$P$5,IFERROR(INDEX('"INCC-FGV"'!$B$2:$B$800,MATCH(B54,'"INCC-FGV"'!$A$2:$A$800,0)),$K$2),$K$2)</f>
        <v/>
      </c>
      <c r="M54" s="138">
        <f>'CP RESUMO'!BA30</f>
        <v/>
      </c>
      <c r="N54" s="139">
        <f>MAX(0,M54-M53)</f>
        <v/>
      </c>
      <c r="O54" s="138">
        <f>IF(B54&lt;='VALOR POR PL'!$P$5,'CP RESUMO'!BA72,"")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HISTORICOS'!BB30)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4323.67</v>
      </c>
      <c r="L55" s="49">
        <f>C55/IF(B55&lt;='VALOR POR PL'!$P$5,IFERROR(INDEX('"INCC-FGV"'!$B$2:$B$800,MATCH(B55,'"INCC-FGV"'!$A$2:$A$800,0)),$K$2),$K$2)</f>
        <v/>
      </c>
      <c r="M55" s="138">
        <f>'CP RESUMO'!BB30</f>
        <v/>
      </c>
      <c r="N55" s="139">
        <f>MAX(0,M55-M54)</f>
        <v/>
      </c>
      <c r="O55" s="138">
        <f>IF(B55&lt;='VALOR POR PL'!$P$5,'CP RESUMO'!BB72,"")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HISTORICOS'!BC30)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152.6</v>
      </c>
      <c r="L56" s="49">
        <f>C56/IF(B56&lt;='VALOR POR PL'!$P$5,IFERROR(INDEX('"INCC-FGV"'!$B$2:$B$800,MATCH(B56,'"INCC-FGV"'!$A$2:$A$800,0)),$K$2),$K$2)</f>
        <v/>
      </c>
      <c r="M56" s="138">
        <f>'CP RESUMO'!BC30</f>
        <v/>
      </c>
      <c r="N56" s="139">
        <f>MAX(0,M56-M55)</f>
        <v/>
      </c>
      <c r="O56" s="138">
        <f>IF(B56&lt;='VALOR POR PL'!$P$5,'CP RESUMO'!BC72,"")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HISTORICOS'!BD30)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RESUMO'!BD30</f>
        <v/>
      </c>
      <c r="N57" s="139">
        <f>MAX(0,M57-M56)</f>
        <v/>
      </c>
      <c r="O57" s="138">
        <f>IF(B57&lt;='VALOR POR PL'!$P$5,'CP RESUMO'!BD72,"")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HISTORICOS'!BE30)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RESUMO'!BE30</f>
        <v/>
      </c>
      <c r="N58" s="139">
        <f>MAX(0,M58-M57)</f>
        <v/>
      </c>
      <c r="O58" s="138">
        <f>IF(B58&lt;='VALOR POR PL'!$P$5,'CP RESUMO'!BE72,"")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HISTORICOS'!BF30)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RESUMO'!BF30</f>
        <v/>
      </c>
      <c r="N59" s="139">
        <f>MAX(0,M59-M58)</f>
        <v/>
      </c>
      <c r="O59" s="138">
        <f>IF(B59&lt;='VALOR POR PL'!$P$5,'CP RESUMO'!BF72,"")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HISTORICOS'!BG30)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RESUMO'!BG30</f>
        <v/>
      </c>
      <c r="N60" s="139">
        <f>MAX(0,M60-M59)</f>
        <v/>
      </c>
      <c r="O60" s="138">
        <f>IF(B60&lt;='VALOR POR PL'!$P$5,'CP RESUMO'!BG72,"")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HISTORICOS'!BH30)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RESUMO'!BH30</f>
        <v/>
      </c>
      <c r="N61" s="139">
        <f>MAX(0,M61-M60)</f>
        <v/>
      </c>
      <c r="O61" s="138">
        <f>IF(B61&lt;='VALOR POR PL'!$P$5,'CP RESUMO'!BH72,"")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HISTORICOS'!BI30)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RESUMO'!BI30</f>
        <v/>
      </c>
      <c r="N62" s="139">
        <f>MAX(0,M62-M61)</f>
        <v/>
      </c>
      <c r="O62" s="138">
        <f>IF(B62&lt;='VALOR POR PL'!$P$5,'CP RESUMO'!BI72,"")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HISTORICOS'!BJ30)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RESUMO'!BJ30</f>
        <v/>
      </c>
      <c r="N63" s="139">
        <f>MAX(0,M63-M62)</f>
        <v/>
      </c>
      <c r="O63" s="138">
        <f>IF(B63&lt;='VALOR POR PL'!$P$5,'CP RESUMO'!BJ72,"")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HISTORICOS'!BK30)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RESUMO'!BK30</f>
        <v/>
      </c>
      <c r="N64" s="139">
        <f>MAX(0,M64-M63)</f>
        <v/>
      </c>
      <c r="O64" s="138">
        <f>IF(B64&lt;='VALOR POR PL'!$P$5,'CP RESUMO'!BK72,"")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HISTORICOS'!BL30)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RESUMO'!BL30</f>
        <v/>
      </c>
      <c r="N65" s="139">
        <f>MAX(0,M65-M64)</f>
        <v/>
      </c>
      <c r="O65" s="138">
        <f>IF(B65&lt;='VALOR POR PL'!$P$5,'CP RESUMO'!BL72,"")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HISTORICOS'!BM30)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RESUMO'!BM30</f>
        <v/>
      </c>
      <c r="N66" s="139">
        <f>MAX(0,M66-M65)</f>
        <v/>
      </c>
      <c r="O66" s="138">
        <f>IF(B66&lt;='VALOR POR PL'!$P$5,'CP RESUMO'!BM72,"")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HISTORICOS'!BN30)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RESUMO'!BN30</f>
        <v/>
      </c>
      <c r="N67" s="139">
        <f>MAX(0,M67-M66)</f>
        <v/>
      </c>
      <c r="O67" s="138">
        <f>IF(B67&lt;='VALOR POR PL'!$P$5,'CP RESUMO'!BN72,"")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HISTORICOS'!BO30)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RESUMO'!BO30</f>
        <v/>
      </c>
      <c r="N68" s="139">
        <f>MAX(0,M68-M67)</f>
        <v/>
      </c>
      <c r="O68" s="138">
        <f>IF(B68&lt;='VALOR POR PL'!$P$5,'CP RESUMO'!BO72,"")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HISTORICOS'!BP30)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RESUMO'!BP30</f>
        <v/>
      </c>
      <c r="N69" s="139">
        <f>MAX(0,M69-M68)</f>
        <v/>
      </c>
      <c r="O69" s="138">
        <f>IF(B69&lt;='VALOR POR PL'!$P$5,'CP RESUMO'!BP72,"")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HISTORICOS'!BQ30)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RESUMO'!BQ30</f>
        <v/>
      </c>
      <c r="N70" s="139">
        <f>MAX(0,M70-M69)</f>
        <v/>
      </c>
      <c r="O70" s="138">
        <f>IF(B70&lt;='VALOR POR PL'!$P$5,'CP RESUMO'!BQ72,"")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HISTORICOS'!BR30)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RESUMO'!BR30</f>
        <v/>
      </c>
      <c r="N71" s="139">
        <f>MAX(0,M71-M70)</f>
        <v/>
      </c>
      <c r="O71" s="138">
        <f>IF(B71&lt;='VALOR POR PL'!$P$5,'CP RESUMO'!BR72,"")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HISTORICOS'!BS30)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RESUMO'!BS30</f>
        <v/>
      </c>
      <c r="N72" s="139">
        <f>MAX(0,M72-M71)</f>
        <v/>
      </c>
      <c r="O72" s="138">
        <f>IF(B72&lt;='VALOR POR PL'!$P$5,'CP RESUMO'!BS72,"")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HISTORICOS'!BT30)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RESUMO'!BT30</f>
        <v/>
      </c>
      <c r="N73" s="139">
        <f>MAX(0,M73-M72)</f>
        <v/>
      </c>
      <c r="O73" s="138">
        <f>IF(B73&lt;='VALOR POR PL'!$P$5,'CP RESUMO'!BT72,"")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HISTORICOS'!BU30)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RESUMO'!BU30</f>
        <v/>
      </c>
      <c r="N74" s="139">
        <f>MAX(0,M74-M73)</f>
        <v/>
      </c>
      <c r="O74" s="138">
        <f>IF(B74&lt;='VALOR POR PL'!$P$5,'CP RESUMO'!BU72,"")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HISTORICOS'!BV30)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RESUMO'!BV30</f>
        <v/>
      </c>
      <c r="N75" s="139">
        <f>MAX(0,M75-M74)</f>
        <v/>
      </c>
      <c r="O75" s="138">
        <f>IF(B75&lt;='VALOR POR PL'!$P$5,'CP RESUMO'!BV72,"")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HISTORICOS'!BW30)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RESUMO'!BW30</f>
        <v/>
      </c>
      <c r="N76" s="139">
        <f>MAX(0,M76-M75)</f>
        <v/>
      </c>
      <c r="O76" s="138">
        <f>IF(B76&lt;='VALOR POR PL'!$P$5,'CP RESUMO'!BW72,"")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PL'!D37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HISTORICOS'!D31)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PL'!F37</f>
        <v/>
      </c>
      <c r="K5" s="60">
        <f>'VALOR POR PL'!G37</f>
        <v/>
      </c>
      <c r="L5" s="60">
        <f>'DADOS HISTORICOS'!$BZ$31</f>
        <v/>
      </c>
      <c r="M5" s="138">
        <f>'CP RESUMO'!D31</f>
        <v/>
      </c>
      <c r="N5" s="139" t="n">
        <v>0</v>
      </c>
      <c r="O5" s="138">
        <f>IF(B5&lt;='VALOR POR PL'!$P$5,'CP RESUMO'!D73,"")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HISTORICOS'!E31)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PL'!H37</f>
        <v/>
      </c>
      <c r="L6" s="49">
        <f>C6/IF(B6&lt;='VALOR POR PL'!$P$5,IFERROR(INDEX('"INCC-FGV"'!$B$2:$B$800,MATCH(B6,'"INCC-FGV"'!$A$2:$A$800,0)),$K$2),$K$2)</f>
        <v/>
      </c>
      <c r="M6" s="138">
        <f>'CP RESUMO'!E31</f>
        <v/>
      </c>
      <c r="N6" s="139">
        <f>MAX(0,M6-M5)</f>
        <v/>
      </c>
      <c r="O6" s="138">
        <f>IF(B6&lt;='VALOR POR PL'!$P$5,'CP RESUMO'!E73,"")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HISTORICOS'!F31)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RESUMO'!F31</f>
        <v/>
      </c>
      <c r="N7" s="139">
        <f>MAX(0,M7-M6)</f>
        <v/>
      </c>
      <c r="O7" s="138">
        <f>IF(B7&lt;='VALOR POR PL'!$P$5,'CP RESUMO'!F73,"")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HISTORICOS'!G31)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RESUMO'!G31</f>
        <v/>
      </c>
      <c r="N8" s="139">
        <f>MAX(0,M8-M7)</f>
        <v/>
      </c>
      <c r="O8" s="138">
        <f>IF(B8&lt;='VALOR POR PL'!$P$5,'CP RESUMO'!G73,"")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HISTORICOS'!H31)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RESUMO'!H31</f>
        <v/>
      </c>
      <c r="N9" s="139">
        <f>MAX(0,M9-M8)</f>
        <v/>
      </c>
      <c r="O9" s="138">
        <f>IF(B9&lt;='VALOR POR PL'!$P$5,'CP RESUMO'!H73,"")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HISTORICOS'!I31)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RESUMO'!I31</f>
        <v/>
      </c>
      <c r="N10" s="139">
        <f>MAX(0,M10-M9)</f>
        <v/>
      </c>
      <c r="O10" s="138">
        <f>IF(B10&lt;='VALOR POR PL'!$P$5,'CP RESUMO'!I73,"")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HISTORICOS'!J31)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RESUMO'!J31</f>
        <v/>
      </c>
      <c r="N11" s="139">
        <f>MAX(0,M11-M10)</f>
        <v/>
      </c>
      <c r="O11" s="138">
        <f>IF(B11&lt;='VALOR POR PL'!$P$5,'CP RESUMO'!J73,"")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HISTORICOS'!K31)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RESUMO'!K31</f>
        <v/>
      </c>
      <c r="N12" s="139">
        <f>MAX(0,M12-M11)</f>
        <v/>
      </c>
      <c r="O12" s="138">
        <f>IF(B12&lt;='VALOR POR PL'!$P$5,'CP RESUMO'!K73,"")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HISTORICOS'!L31)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PL'!I37</f>
        <v/>
      </c>
      <c r="L13" s="49">
        <f>C13/IF(B13&lt;='VALOR POR PL'!$P$5,IFERROR(INDEX('"INCC-FGV"'!$B$2:$B$800,MATCH(B13,'"INCC-FGV"'!$A$2:$A$800,0)),$K$2),$K$2)</f>
        <v/>
      </c>
      <c r="M13" s="138">
        <f>'CP RESUMO'!L31</f>
        <v/>
      </c>
      <c r="N13" s="139">
        <f>MAX(0,M13-M12)</f>
        <v/>
      </c>
      <c r="O13" s="138">
        <f>IF(B13&lt;='VALOR POR PL'!$P$5,'CP RESUMO'!L73,"")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HISTORICOS'!M31)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RESUMO'!$D$73:$BW$73,MATCH('VALOR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RESUMO'!M31</f>
        <v/>
      </c>
      <c r="N14" s="139">
        <f>MAX(0,M14-M13)</f>
        <v/>
      </c>
      <c r="O14" s="138">
        <f>IF(B14&lt;='VALOR POR PL'!$P$5,'CP RESUMO'!M73,"")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HISTORICOS'!N31)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RESUMO'!N31</f>
        <v/>
      </c>
      <c r="N15" s="139">
        <f>MAX(0,M15-M14)</f>
        <v/>
      </c>
      <c r="O15" s="138">
        <f>IF(B15&lt;='VALOR POR PL'!$P$5,'CP RESUMO'!N73,"")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HISTORICOS'!O31)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RESUMO'!O31</f>
        <v/>
      </c>
      <c r="N16" s="139">
        <f>MAX(0,M16-M15)</f>
        <v/>
      </c>
      <c r="O16" s="138">
        <f>IF(B16&lt;='VALOR POR PL'!$P$5,'CP RESUMO'!O73,"")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HISTORICOS'!P31)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RESUMO'!P31</f>
        <v/>
      </c>
      <c r="N17" s="139">
        <f>MAX(0,M17-M16)</f>
        <v/>
      </c>
      <c r="O17" s="138">
        <f>IF(B17&lt;='VALOR POR PL'!$P$5,'CP RESUMO'!P73,"")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HISTORICOS'!Q31)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RESUMO'!Q31</f>
        <v/>
      </c>
      <c r="N18" s="139">
        <f>MAX(0,M18-M17)</f>
        <v/>
      </c>
      <c r="O18" s="138">
        <f>IF(B18&lt;='VALOR POR PL'!$P$5,'CP RESUMO'!Q73,"")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HISTORICOS'!R31)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RESUMO'!R31</f>
        <v/>
      </c>
      <c r="N19" s="139">
        <f>MAX(0,M19-M18)</f>
        <v/>
      </c>
      <c r="O19" s="138">
        <f>IF(B19&lt;='VALOR POR PL'!$P$5,'CP RESUMO'!R73,"")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HISTORICOS'!S31)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RESUMO'!S31</f>
        <v/>
      </c>
      <c r="N20" s="139">
        <f>MAX(0,M20-M19)</f>
        <v/>
      </c>
      <c r="O20" s="138">
        <f>IF(B20&lt;='VALOR POR PL'!$P$5,'CP RESUMO'!S73,"")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HISTORICOS'!T31)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RESUMO'!T31</f>
        <v/>
      </c>
      <c r="N21" s="139">
        <f>MAX(0,M21-M20)</f>
        <v/>
      </c>
      <c r="O21" s="138">
        <f>IF(B21&lt;='VALOR POR PL'!$P$5,'CP RESUMO'!T73,"")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HISTORICOS'!U31)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RESUMO'!U31</f>
        <v/>
      </c>
      <c r="N22" s="139">
        <f>MAX(0,M22-M21)</f>
        <v/>
      </c>
      <c r="O22" s="138">
        <f>IF(B22&lt;='VALOR POR PL'!$P$5,'CP RESUMO'!U73,"")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HISTORICOS'!V31)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RESUMO'!V31</f>
        <v/>
      </c>
      <c r="N23" s="139">
        <f>MAX(0,M23-M22)</f>
        <v/>
      </c>
      <c r="O23" s="138">
        <f>IF(B23&lt;='VALOR POR PL'!$P$5,'CP RESUMO'!V73,"")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HISTORICOS'!W31)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RESUMO'!W31</f>
        <v/>
      </c>
      <c r="N24" s="139">
        <f>MAX(0,M24-M23)</f>
        <v/>
      </c>
      <c r="O24" s="138">
        <f>IF(B24&lt;='VALOR POR PL'!$P$5,'CP RESUMO'!W73,"")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HISTORICOS'!X31)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RESUMO'!X31</f>
        <v/>
      </c>
      <c r="N25" s="139">
        <f>MAX(0,M25-M24)</f>
        <v/>
      </c>
      <c r="O25" s="138">
        <f>IF(B25&lt;='VALOR POR PL'!$P$5,'CP RESUMO'!X73,"")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HISTORICOS'!Y31)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RESUMO'!Y31</f>
        <v/>
      </c>
      <c r="N26" s="139">
        <f>MAX(0,M26-M25)</f>
        <v/>
      </c>
      <c r="O26" s="138">
        <f>IF(B26&lt;='VALOR POR PL'!$P$5,'CP RESUMO'!Y73,"")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HISTORICOS'!Z31)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RESUMO'!Z31</f>
        <v/>
      </c>
      <c r="N27" s="139">
        <f>MAX(0,M27-M26)</f>
        <v/>
      </c>
      <c r="O27" s="138">
        <f>IF(B27&lt;='VALOR POR PL'!$P$5,'CP RESUMO'!Z73,"")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HISTORICOS'!AA31)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RESUMO'!AA31</f>
        <v/>
      </c>
      <c r="N28" s="139">
        <f>MAX(0,M28-M27)</f>
        <v/>
      </c>
      <c r="O28" s="138">
        <f>IF(B28&lt;='VALOR POR PL'!$P$5,'CP RESUMO'!AA73,"")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HISTORICOS'!AB31)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RESUMO'!AB31</f>
        <v/>
      </c>
      <c r="N29" s="139">
        <f>MAX(0,M29-M28)</f>
        <v/>
      </c>
      <c r="O29" s="138">
        <f>IF(B29&lt;='VALOR POR PL'!$P$5,'CP RESUMO'!AB73,"")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HISTORICOS'!AC31)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RESUMO'!AC31</f>
        <v/>
      </c>
      <c r="N30" s="139">
        <f>MAX(0,M30-M29)</f>
        <v/>
      </c>
      <c r="O30" s="138">
        <f>IF(B30&lt;='VALOR POR PL'!$P$5,'CP RESUMO'!AC73,"")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HISTORICOS'!AD31)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RESUMO'!AD31</f>
        <v/>
      </c>
      <c r="N31" s="139">
        <f>MAX(0,M31-M30)</f>
        <v/>
      </c>
      <c r="O31" s="138">
        <f>IF(B31&lt;='VALOR POR PL'!$P$5,'CP RESUMO'!AD73,"")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HISTORICOS'!AE31)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RESUMO'!AE31</f>
        <v/>
      </c>
      <c r="N32" s="139">
        <f>MAX(0,M32-M31)</f>
        <v/>
      </c>
      <c r="O32" s="138">
        <f>IF(B32&lt;='VALOR POR PL'!$P$5,'CP RESUMO'!AE73,"")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HISTORICOS'!AF31)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RESUMO'!AF31</f>
        <v/>
      </c>
      <c r="N33" s="139">
        <f>MAX(0,M33-M32)</f>
        <v/>
      </c>
      <c r="O33" s="138">
        <f>IF(B33&lt;='VALOR POR PL'!$P$5,'CP RESUMO'!AF73,"")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HISTORICOS'!AG31)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RESUMO'!AG31</f>
        <v/>
      </c>
      <c r="N34" s="139">
        <f>MAX(0,M34-M33)</f>
        <v/>
      </c>
      <c r="O34" s="138">
        <f>IF(B34&lt;='VALOR POR PL'!$P$5,'CP RESUMO'!AG73,"")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HISTORICOS'!AH31)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RESUMO'!AH31</f>
        <v/>
      </c>
      <c r="N35" s="139">
        <f>MAX(0,M35-M34)</f>
        <v/>
      </c>
      <c r="O35" s="138">
        <f>IF(B35&lt;='VALOR POR PL'!$P$5,'CP RESUMO'!AH73,"")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HISTORICOS'!AI31)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RESUMO'!AI31</f>
        <v/>
      </c>
      <c r="N36" s="139">
        <f>MAX(0,M36-M35)</f>
        <v/>
      </c>
      <c r="O36" s="138">
        <f>IF(B36&lt;='VALOR POR PL'!$P$5,'CP RESUMO'!AI73,"")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HISTORICOS'!AJ31)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RESUMO'!AJ31</f>
        <v/>
      </c>
      <c r="N37" s="139">
        <f>MAX(0,M37-M36)</f>
        <v/>
      </c>
      <c r="O37" s="138">
        <f>IF(B37&lt;='VALOR POR PL'!$P$5,'CP RESUMO'!AJ73,"")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HISTORICOS'!AK31)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RESUMO'!AK31</f>
        <v/>
      </c>
      <c r="N38" s="139">
        <f>MAX(0,M38-M37)</f>
        <v/>
      </c>
      <c r="O38" s="138">
        <f>IF(B38&lt;='VALOR POR PL'!$P$5,'CP RESUMO'!AK73,"")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HISTORICOS'!AL31)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RESUMO'!AL31</f>
        <v/>
      </c>
      <c r="N39" s="139">
        <f>MAX(0,M39-M38)</f>
        <v/>
      </c>
      <c r="O39" s="138">
        <f>IF(B39&lt;='VALOR POR PL'!$P$5,'CP RESUMO'!AL73,"")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HISTORICOS'!AM31)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RESUMO'!AM31</f>
        <v/>
      </c>
      <c r="N40" s="139">
        <f>MAX(0,M40-M39)</f>
        <v/>
      </c>
      <c r="O40" s="138">
        <f>IF(B40&lt;='VALOR POR PL'!$P$5,'CP RESUMO'!AM73,"")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HISTORICOS'!AN31)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RESUMO'!AN31</f>
        <v/>
      </c>
      <c r="N41" s="139">
        <f>MAX(0,M41-M40)</f>
        <v/>
      </c>
      <c r="O41" s="138">
        <f>IF(B41&lt;='VALOR POR PL'!$P$5,'CP RESUMO'!AN73,"")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HISTORICOS'!AO31)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RESUMO'!AO31</f>
        <v/>
      </c>
      <c r="N42" s="139">
        <f>MAX(0,M42-M41)</f>
        <v/>
      </c>
      <c r="O42" s="138">
        <f>IF(B42&lt;='VALOR POR PL'!$P$5,'CP RESUMO'!AO73,"")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HISTORICOS'!AP31)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RESUMO'!AP31</f>
        <v/>
      </c>
      <c r="N43" s="139">
        <f>MAX(0,M43-M42)</f>
        <v/>
      </c>
      <c r="O43" s="138">
        <f>IF(B43&lt;='VALOR POR PL'!$P$5,'CP RESUMO'!AP73,"")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HISTORICOS'!AQ31)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207362.53</v>
      </c>
      <c r="L44" s="49">
        <f>C44/IF(B44&lt;='VALOR POR PL'!$P$5,IFERROR(INDEX('"INCC-FGV"'!$B$2:$B$800,MATCH(B44,'"INCC-FGV"'!$A$2:$A$800,0)),$K$2),$K$2)</f>
        <v/>
      </c>
      <c r="M44" s="138">
        <f>'CP RESUMO'!AQ31</f>
        <v/>
      </c>
      <c r="N44" s="139">
        <f>MAX(0,M44-M43)</f>
        <v/>
      </c>
      <c r="O44" s="138">
        <f>IF(B44&lt;='VALOR POR PL'!$P$5,'CP RESUMO'!AQ73,"")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HISTORICOS'!AR31)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274182.83</v>
      </c>
      <c r="L45" s="49">
        <f>C45/IF(B45&lt;='VALOR POR PL'!$P$5,IFERROR(INDEX('"INCC-FGV"'!$B$2:$B$800,MATCH(B45,'"INCC-FGV"'!$A$2:$A$800,0)),$K$2),$K$2)</f>
        <v/>
      </c>
      <c r="M45" s="138">
        <f>'CP RESUMO'!AR31</f>
        <v/>
      </c>
      <c r="N45" s="139">
        <f>MAX(0,M45-M44)</f>
        <v/>
      </c>
      <c r="O45" s="138">
        <f>IF(B45&lt;='VALOR POR PL'!$P$5,'CP RESUMO'!AR73,"")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HISTORICOS'!AS31)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231518.22</v>
      </c>
      <c r="L46" s="49">
        <f>C46/IF(B46&lt;='VALOR POR PL'!$P$5,IFERROR(INDEX('"INCC-FGV"'!$B$2:$B$800,MATCH(B46,'"INCC-FGV"'!$A$2:$A$800,0)),$K$2),$K$2)</f>
        <v/>
      </c>
      <c r="M46" s="138">
        <f>'CP RESUMO'!AS31</f>
        <v/>
      </c>
      <c r="N46" s="139">
        <f>MAX(0,M46-M45)</f>
        <v/>
      </c>
      <c r="O46" s="138">
        <f>IF(B46&lt;='VALOR POR PL'!$P$5,'CP RESUMO'!AS73,"")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HISTORICOS'!AT31)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300534.5</v>
      </c>
      <c r="L47" s="49">
        <f>C47/IF(B47&lt;='VALOR POR PL'!$P$5,IFERROR(INDEX('"INCC-FGV"'!$B$2:$B$800,MATCH(B47,'"INCC-FGV"'!$A$2:$A$800,0)),$K$2),$K$2)</f>
        <v/>
      </c>
      <c r="M47" s="138">
        <f>'CP RESUMO'!AT31</f>
        <v/>
      </c>
      <c r="N47" s="139">
        <f>MAX(0,M47-M46)</f>
        <v/>
      </c>
      <c r="O47" s="138">
        <f>IF(B47&lt;='VALOR POR PL'!$P$5,'CP RESUMO'!AT73,"")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HISTORICOS'!AU31)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282966.72</v>
      </c>
      <c r="L48" s="49">
        <f>C48/IF(B48&lt;='VALOR POR PL'!$P$5,IFERROR(INDEX('"INCC-FGV"'!$B$2:$B$800,MATCH(B48,'"INCC-FGV"'!$A$2:$A$800,0)),$K$2),$K$2)</f>
        <v/>
      </c>
      <c r="M48" s="138">
        <f>'CP RESUMO'!AU31</f>
        <v/>
      </c>
      <c r="N48" s="139">
        <f>MAX(0,M48-M47)</f>
        <v/>
      </c>
      <c r="O48" s="138">
        <f>IF(B48&lt;='VALOR POR PL'!$P$5,'CP RESUMO'!AU73,"")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HISTORICOS'!AV31)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275123.96</v>
      </c>
      <c r="L49" s="49">
        <f>C49/IF(B49&lt;='VALOR POR PL'!$P$5,IFERROR(INDEX('"INCC-FGV"'!$B$2:$B$800,MATCH(B49,'"INCC-FGV"'!$A$2:$A$800,0)),$K$2),$K$2)</f>
        <v/>
      </c>
      <c r="M49" s="138">
        <f>'CP RESUMO'!AV31</f>
        <v/>
      </c>
      <c r="N49" s="139">
        <f>MAX(0,M49-M48)</f>
        <v/>
      </c>
      <c r="O49" s="138">
        <f>IF(B49&lt;='VALOR POR PL'!$P$5,'CP RESUMO'!AV73,"")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HISTORICOS'!AW31)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299279.65</v>
      </c>
      <c r="L50" s="49">
        <f>C50/IF(B50&lt;='VALOR POR PL'!$P$5,IFERROR(INDEX('"INCC-FGV"'!$B$2:$B$800,MATCH(B50,'"INCC-FGV"'!$A$2:$A$800,0)),$K$2),$K$2)</f>
        <v/>
      </c>
      <c r="M50" s="138">
        <f>'CP RESUMO'!AW31</f>
        <v/>
      </c>
      <c r="N50" s="139">
        <f>MAX(0,M50-M49)</f>
        <v/>
      </c>
      <c r="O50" s="138">
        <f>IF(B50&lt;='VALOR POR PL'!$P$5,'CP RESUMO'!AW73,"")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HISTORICOS'!AX31)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238419.85</v>
      </c>
      <c r="L51" s="49">
        <f>C51/IF(B51&lt;='VALOR POR PL'!$P$5,IFERROR(INDEX('"INCC-FGV"'!$B$2:$B$800,MATCH(B51,'"INCC-FGV"'!$A$2:$A$800,0)),$K$2),$K$2)</f>
        <v/>
      </c>
      <c r="M51" s="138">
        <f>'CP RESUMO'!AX31</f>
        <v/>
      </c>
      <c r="N51" s="139">
        <f>MAX(0,M51-M50)</f>
        <v/>
      </c>
      <c r="O51" s="138">
        <f>IF(B51&lt;='VALOR POR PL'!$P$5,'CP RESUMO'!AX73,"")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HISTORICOS'!AY31)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250027.13</v>
      </c>
      <c r="L52" s="49">
        <f>C52/IF(B52&lt;='VALOR POR PL'!$P$5,IFERROR(INDEX('"INCC-FGV"'!$B$2:$B$800,MATCH(B52,'"INCC-FGV"'!$A$2:$A$800,0)),$K$2),$K$2)</f>
        <v/>
      </c>
      <c r="M52" s="138">
        <f>'CP RESUMO'!AY31</f>
        <v/>
      </c>
      <c r="N52" s="139">
        <f>MAX(0,M52-M51)</f>
        <v/>
      </c>
      <c r="O52" s="138">
        <f>IF(B52&lt;='VALOR POR PL'!$P$5,'CP RESUMO'!AY73,"")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HISTORICOS'!AZ31)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300220.78</v>
      </c>
      <c r="L53" s="49">
        <f>C53/IF(B53&lt;='VALOR POR PL'!$P$5,IFERROR(INDEX('"INCC-FGV"'!$B$2:$B$800,MATCH(B53,'"INCC-FGV"'!$A$2:$A$800,0)),$K$2),$K$2)</f>
        <v/>
      </c>
      <c r="M53" s="138">
        <f>'CP RESUMO'!AZ31</f>
        <v/>
      </c>
      <c r="N53" s="139">
        <f>MAX(0,M53-M52)</f>
        <v/>
      </c>
      <c r="O53" s="138">
        <f>IF(B53&lt;='VALOR POR PL'!$P$5,'CP RESUMO'!AZ73,"")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HISTORICOS'!BA31)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356374.93</v>
      </c>
      <c r="L54" s="49">
        <f>C54/IF(B54&lt;='VALOR POR PL'!$P$5,IFERROR(INDEX('"INCC-FGV"'!$B$2:$B$800,MATCH(B54,'"INCC-FGV"'!$A$2:$A$800,0)),$K$2),$K$2)</f>
        <v/>
      </c>
      <c r="M54" s="138">
        <f>'CP RESUMO'!BA31</f>
        <v/>
      </c>
      <c r="N54" s="139">
        <f>MAX(0,M54-M53)</f>
        <v/>
      </c>
      <c r="O54" s="138">
        <f>IF(B54&lt;='VALOR POR PL'!$P$5,'CP RESUMO'!BA73,"")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HISTORICOS'!BB31)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121092.19</v>
      </c>
      <c r="L55" s="49">
        <f>C55/IF(B55&lt;='VALOR POR PL'!$P$5,IFERROR(INDEX('"INCC-FGV"'!$B$2:$B$800,MATCH(B55,'"INCC-FGV"'!$A$2:$A$800,0)),$K$2),$K$2)</f>
        <v/>
      </c>
      <c r="M55" s="138">
        <f>'CP RESUMO'!BB31</f>
        <v/>
      </c>
      <c r="N55" s="139">
        <f>MAX(0,M55-M54)</f>
        <v/>
      </c>
      <c r="O55" s="138">
        <f>IF(B55&lt;='VALOR POR PL'!$P$5,'CP RESUMO'!BB73,"")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HISTORICOS'!BC31)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RESUMO'!BC31</f>
        <v/>
      </c>
      <c r="N56" s="139">
        <f>MAX(0,M56-M55)</f>
        <v/>
      </c>
      <c r="O56" s="138">
        <f>IF(B56&lt;='VALOR POR PL'!$P$5,'CP RESUMO'!BC73,"")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HISTORICOS'!BD31)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RESUMO'!BD31</f>
        <v/>
      </c>
      <c r="N57" s="139">
        <f>MAX(0,M57-M56)</f>
        <v/>
      </c>
      <c r="O57" s="138">
        <f>IF(B57&lt;='VALOR POR PL'!$P$5,'CP RESUMO'!BD73,"")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HISTORICOS'!BE31)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RESUMO'!BE31</f>
        <v/>
      </c>
      <c r="N58" s="139">
        <f>MAX(0,M58-M57)</f>
        <v/>
      </c>
      <c r="O58" s="138">
        <f>IF(B58&lt;='VALOR POR PL'!$P$5,'CP RESUMO'!BE73,"")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HISTORICOS'!BF31)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RESUMO'!BF31</f>
        <v/>
      </c>
      <c r="N59" s="139">
        <f>MAX(0,M59-M58)</f>
        <v/>
      </c>
      <c r="O59" s="138">
        <f>IF(B59&lt;='VALOR POR PL'!$P$5,'CP RESUMO'!BF73,"")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HISTORICOS'!BG31)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RESUMO'!BG31</f>
        <v/>
      </c>
      <c r="N60" s="139">
        <f>MAX(0,M60-M59)</f>
        <v/>
      </c>
      <c r="O60" s="138">
        <f>IF(B60&lt;='VALOR POR PL'!$P$5,'CP RESUMO'!BG73,"")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HISTORICOS'!BH31)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RESUMO'!BH31</f>
        <v/>
      </c>
      <c r="N61" s="139">
        <f>MAX(0,M61-M60)</f>
        <v/>
      </c>
      <c r="O61" s="138">
        <f>IF(B61&lt;='VALOR POR PL'!$P$5,'CP RESUMO'!BH73,"")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HISTORICOS'!BI31)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RESUMO'!BI31</f>
        <v/>
      </c>
      <c r="N62" s="139">
        <f>MAX(0,M62-M61)</f>
        <v/>
      </c>
      <c r="O62" s="138">
        <f>IF(B62&lt;='VALOR POR PL'!$P$5,'CP RESUMO'!BI73,"")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HISTORICOS'!BJ31)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RESUMO'!BJ31</f>
        <v/>
      </c>
      <c r="N63" s="139">
        <f>MAX(0,M63-M62)</f>
        <v/>
      </c>
      <c r="O63" s="138">
        <f>IF(B63&lt;='VALOR POR PL'!$P$5,'CP RESUMO'!BJ73,"")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HISTORICOS'!BK31)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RESUMO'!BK31</f>
        <v/>
      </c>
      <c r="N64" s="139">
        <f>MAX(0,M64-M63)</f>
        <v/>
      </c>
      <c r="O64" s="138">
        <f>IF(B64&lt;='VALOR POR PL'!$P$5,'CP RESUMO'!BK73,"")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HISTORICOS'!BL31)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RESUMO'!BL31</f>
        <v/>
      </c>
      <c r="N65" s="139">
        <f>MAX(0,M65-M64)</f>
        <v/>
      </c>
      <c r="O65" s="138">
        <f>IF(B65&lt;='VALOR POR PL'!$P$5,'CP RESUMO'!BL73,"")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HISTORICOS'!BM31)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RESUMO'!BM31</f>
        <v/>
      </c>
      <c r="N66" s="139">
        <f>MAX(0,M66-M65)</f>
        <v/>
      </c>
      <c r="O66" s="138">
        <f>IF(B66&lt;='VALOR POR PL'!$P$5,'CP RESUMO'!BM73,"")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HISTORICOS'!BN31)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RESUMO'!BN31</f>
        <v/>
      </c>
      <c r="N67" s="139">
        <f>MAX(0,M67-M66)</f>
        <v/>
      </c>
      <c r="O67" s="138">
        <f>IF(B67&lt;='VALOR POR PL'!$P$5,'CP RESUMO'!BN73,"")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HISTORICOS'!BO31)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RESUMO'!BO31</f>
        <v/>
      </c>
      <c r="N68" s="139">
        <f>MAX(0,M68-M67)</f>
        <v/>
      </c>
      <c r="O68" s="138">
        <f>IF(B68&lt;='VALOR POR PL'!$P$5,'CP RESUMO'!BO73,"")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HISTORICOS'!BP31)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RESUMO'!BP31</f>
        <v/>
      </c>
      <c r="N69" s="139">
        <f>MAX(0,M69-M68)</f>
        <v/>
      </c>
      <c r="O69" s="138">
        <f>IF(B69&lt;='VALOR POR PL'!$P$5,'CP RESUMO'!BP73,"")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HISTORICOS'!BQ31)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RESUMO'!BQ31</f>
        <v/>
      </c>
      <c r="N70" s="139">
        <f>MAX(0,M70-M69)</f>
        <v/>
      </c>
      <c r="O70" s="138">
        <f>IF(B70&lt;='VALOR POR PL'!$P$5,'CP RESUMO'!BQ73,"")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HISTORICOS'!BR31)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RESUMO'!BR31</f>
        <v/>
      </c>
      <c r="N71" s="139">
        <f>MAX(0,M71-M70)</f>
        <v/>
      </c>
      <c r="O71" s="138">
        <f>IF(B71&lt;='VALOR POR PL'!$P$5,'CP RESUMO'!BR73,"")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HISTORICOS'!BS31)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RESUMO'!BS31</f>
        <v/>
      </c>
      <c r="N72" s="139">
        <f>MAX(0,M72-M71)</f>
        <v/>
      </c>
      <c r="O72" s="138">
        <f>IF(B72&lt;='VALOR POR PL'!$P$5,'CP RESUMO'!BS73,"")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HISTORICOS'!BT31)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RESUMO'!BT31</f>
        <v/>
      </c>
      <c r="N73" s="139">
        <f>MAX(0,M73-M72)</f>
        <v/>
      </c>
      <c r="O73" s="138">
        <f>IF(B73&lt;='VALOR POR PL'!$P$5,'CP RESUMO'!BT73,"")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HISTORICOS'!BU31)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RESUMO'!BU31</f>
        <v/>
      </c>
      <c r="N74" s="139">
        <f>MAX(0,M74-M73)</f>
        <v/>
      </c>
      <c r="O74" s="138">
        <f>IF(B74&lt;='VALOR POR PL'!$P$5,'CP RESUMO'!BU73,"")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HISTORICOS'!BV31)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RESUMO'!BV31</f>
        <v/>
      </c>
      <c r="N75" s="139">
        <f>MAX(0,M75-M74)</f>
        <v/>
      </c>
      <c r="O75" s="138">
        <f>IF(B75&lt;='VALOR POR PL'!$P$5,'CP RESUMO'!BV73,"")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HISTORICOS'!BW31)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RESUMO'!BW31</f>
        <v/>
      </c>
      <c r="N76" s="139">
        <f>MAX(0,M76-M75)</f>
        <v/>
      </c>
      <c r="O76" s="138">
        <f>IF(B76&lt;='VALOR POR PL'!$P$5,'CP RESUMO'!BW73,"")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PL'!D38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HISTORICOS'!D32)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PL'!F38</f>
        <v/>
      </c>
      <c r="K5" s="60">
        <f>'VALOR POR PL'!G38</f>
        <v/>
      </c>
      <c r="L5" s="60">
        <f>'DADOS HISTORICOS'!$BZ$32</f>
        <v/>
      </c>
      <c r="M5" s="138">
        <f>'CP RESUMO'!D32</f>
        <v/>
      </c>
      <c r="N5" s="139" t="n">
        <v>0</v>
      </c>
      <c r="O5" s="138">
        <f>IF(B5&lt;='VALOR POR PL'!$P$5,'CP RESUMO'!D74,"")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HISTORICOS'!E32)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PL'!H38</f>
        <v/>
      </c>
      <c r="L6" s="49">
        <f>C6/IF(B6&lt;='VALOR POR PL'!$P$5,IFERROR(INDEX('"INCC-FGV"'!$B$2:$B$800,MATCH(B6,'"INCC-FGV"'!$A$2:$A$800,0)),$K$2),$K$2)</f>
        <v/>
      </c>
      <c r="M6" s="138">
        <f>'CP RESUMO'!E32</f>
        <v/>
      </c>
      <c r="N6" s="139">
        <f>MAX(0,M6-M5)</f>
        <v/>
      </c>
      <c r="O6" s="138">
        <f>IF(B6&lt;='VALOR POR PL'!$P$5,'CP RESUMO'!E74,"")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HISTORICOS'!F32)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RESUMO'!F32</f>
        <v/>
      </c>
      <c r="N7" s="139">
        <f>MAX(0,M7-M6)</f>
        <v/>
      </c>
      <c r="O7" s="138">
        <f>IF(B7&lt;='VALOR POR PL'!$P$5,'CP RESUMO'!F74,"")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HISTORICOS'!G32)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RESUMO'!G32</f>
        <v/>
      </c>
      <c r="N8" s="139">
        <f>MAX(0,M8-M7)</f>
        <v/>
      </c>
      <c r="O8" s="138">
        <f>IF(B8&lt;='VALOR POR PL'!$P$5,'CP RESUMO'!G74,"")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HISTORICOS'!H32)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RESUMO'!H32</f>
        <v/>
      </c>
      <c r="N9" s="139">
        <f>MAX(0,M9-M8)</f>
        <v/>
      </c>
      <c r="O9" s="138">
        <f>IF(B9&lt;='VALOR POR PL'!$P$5,'CP RESUMO'!H74,"")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HISTORICOS'!I32)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RESUMO'!I32</f>
        <v/>
      </c>
      <c r="N10" s="139">
        <f>MAX(0,M10-M9)</f>
        <v/>
      </c>
      <c r="O10" s="138">
        <f>IF(B10&lt;='VALOR POR PL'!$P$5,'CP RESUMO'!I74,"")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HISTORICOS'!J32)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RESUMO'!J32</f>
        <v/>
      </c>
      <c r="N11" s="139">
        <f>MAX(0,M11-M10)</f>
        <v/>
      </c>
      <c r="O11" s="138">
        <f>IF(B11&lt;='VALOR POR PL'!$P$5,'CP RESUMO'!J74,"")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HISTORICOS'!K32)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RESUMO'!K32</f>
        <v/>
      </c>
      <c r="N12" s="139">
        <f>MAX(0,M12-M11)</f>
        <v/>
      </c>
      <c r="O12" s="138">
        <f>IF(B12&lt;='VALOR POR PL'!$P$5,'CP RESUMO'!K74,"")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HISTORICOS'!L32)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PL'!I38</f>
        <v/>
      </c>
      <c r="L13" s="49">
        <f>C13/IF(B13&lt;='VALOR POR PL'!$P$5,IFERROR(INDEX('"INCC-FGV"'!$B$2:$B$800,MATCH(B13,'"INCC-FGV"'!$A$2:$A$800,0)),$K$2),$K$2)</f>
        <v/>
      </c>
      <c r="M13" s="138">
        <f>'CP RESUMO'!L32</f>
        <v/>
      </c>
      <c r="N13" s="139">
        <f>MAX(0,M13-M12)</f>
        <v/>
      </c>
      <c r="O13" s="138">
        <f>IF(B13&lt;='VALOR POR PL'!$P$5,'CP RESUMO'!L74,"")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HISTORICOS'!M32)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RESUMO'!$D$74:$BW$74,MATCH('VALOR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RESUMO'!M32</f>
        <v/>
      </c>
      <c r="N14" s="139">
        <f>MAX(0,M14-M13)</f>
        <v/>
      </c>
      <c r="O14" s="138">
        <f>IF(B14&lt;='VALOR POR PL'!$P$5,'CP RESUMO'!M74,"")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HISTORICOS'!N32)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RESUMO'!N32</f>
        <v/>
      </c>
      <c r="N15" s="139">
        <f>MAX(0,M15-M14)</f>
        <v/>
      </c>
      <c r="O15" s="138">
        <f>IF(B15&lt;='VALOR POR PL'!$P$5,'CP RESUMO'!N74,"")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HISTORICOS'!O32)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RESUMO'!O32</f>
        <v/>
      </c>
      <c r="N16" s="139">
        <f>MAX(0,M16-M15)</f>
        <v/>
      </c>
      <c r="O16" s="138">
        <f>IF(B16&lt;='VALOR POR PL'!$P$5,'CP RESUMO'!O74,"")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HISTORICOS'!P32)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RESUMO'!P32</f>
        <v/>
      </c>
      <c r="N17" s="139">
        <f>MAX(0,M17-M16)</f>
        <v/>
      </c>
      <c r="O17" s="138">
        <f>IF(B17&lt;='VALOR POR PL'!$P$5,'CP RESUMO'!P74,"")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HISTORICOS'!Q32)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RESUMO'!Q32</f>
        <v/>
      </c>
      <c r="N18" s="139">
        <f>MAX(0,M18-M17)</f>
        <v/>
      </c>
      <c r="O18" s="138">
        <f>IF(B18&lt;='VALOR POR PL'!$P$5,'CP RESUMO'!Q74,"")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HISTORICOS'!R32)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RESUMO'!R32</f>
        <v/>
      </c>
      <c r="N19" s="139">
        <f>MAX(0,M19-M18)</f>
        <v/>
      </c>
      <c r="O19" s="138">
        <f>IF(B19&lt;='VALOR POR PL'!$P$5,'CP RESUMO'!R74,"")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HISTORICOS'!S32)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RESUMO'!S32</f>
        <v/>
      </c>
      <c r="N20" s="139">
        <f>MAX(0,M20-M19)</f>
        <v/>
      </c>
      <c r="O20" s="138">
        <f>IF(B20&lt;='VALOR POR PL'!$P$5,'CP RESUMO'!S74,"")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HISTORICOS'!T32)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RESUMO'!T32</f>
        <v/>
      </c>
      <c r="N21" s="139">
        <f>MAX(0,M21-M20)</f>
        <v/>
      </c>
      <c r="O21" s="138">
        <f>IF(B21&lt;='VALOR POR PL'!$P$5,'CP RESUMO'!T74,"")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HISTORICOS'!U32)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RESUMO'!U32</f>
        <v/>
      </c>
      <c r="N22" s="139">
        <f>MAX(0,M22-M21)</f>
        <v/>
      </c>
      <c r="O22" s="138">
        <f>IF(B22&lt;='VALOR POR PL'!$P$5,'CP RESUMO'!U74,"")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HISTORICOS'!V32)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RESUMO'!V32</f>
        <v/>
      </c>
      <c r="N23" s="139">
        <f>MAX(0,M23-M22)</f>
        <v/>
      </c>
      <c r="O23" s="138">
        <f>IF(B23&lt;='VALOR POR PL'!$P$5,'CP RESUMO'!V74,"")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HISTORICOS'!W32)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RESUMO'!W32</f>
        <v/>
      </c>
      <c r="N24" s="139">
        <f>MAX(0,M24-M23)</f>
        <v/>
      </c>
      <c r="O24" s="138">
        <f>IF(B24&lt;='VALOR POR PL'!$P$5,'CP RESUMO'!W74,"")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HISTORICOS'!X32)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RESUMO'!X32</f>
        <v/>
      </c>
      <c r="N25" s="139">
        <f>MAX(0,M25-M24)</f>
        <v/>
      </c>
      <c r="O25" s="138">
        <f>IF(B25&lt;='VALOR POR PL'!$P$5,'CP RESUMO'!X74,"")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HISTORICOS'!Y32)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RESUMO'!Y32</f>
        <v/>
      </c>
      <c r="N26" s="139">
        <f>MAX(0,M26-M25)</f>
        <v/>
      </c>
      <c r="O26" s="138">
        <f>IF(B26&lt;='VALOR POR PL'!$P$5,'CP RESUMO'!Y74,"")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HISTORICOS'!Z32)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RESUMO'!Z32</f>
        <v/>
      </c>
      <c r="N27" s="139">
        <f>MAX(0,M27-M26)</f>
        <v/>
      </c>
      <c r="O27" s="138">
        <f>IF(B27&lt;='VALOR POR PL'!$P$5,'CP RESUMO'!Z74,"")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HISTORICOS'!AA32)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RESUMO'!AA32</f>
        <v/>
      </c>
      <c r="N28" s="139">
        <f>MAX(0,M28-M27)</f>
        <v/>
      </c>
      <c r="O28" s="138">
        <f>IF(B28&lt;='VALOR POR PL'!$P$5,'CP RESUMO'!AA74,"")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HISTORICOS'!AB32)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RESUMO'!AB32</f>
        <v/>
      </c>
      <c r="N29" s="139">
        <f>MAX(0,M29-M28)</f>
        <v/>
      </c>
      <c r="O29" s="138">
        <f>IF(B29&lt;='VALOR POR PL'!$P$5,'CP RESUMO'!AB74,"")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HISTORICOS'!AC32)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RESUMO'!AC32</f>
        <v/>
      </c>
      <c r="N30" s="139">
        <f>MAX(0,M30-M29)</f>
        <v/>
      </c>
      <c r="O30" s="138">
        <f>IF(B30&lt;='VALOR POR PL'!$P$5,'CP RESUMO'!AC74,"")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HISTORICOS'!AD32)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RESUMO'!AD32</f>
        <v/>
      </c>
      <c r="N31" s="139">
        <f>MAX(0,M31-M30)</f>
        <v/>
      </c>
      <c r="O31" s="138">
        <f>IF(B31&lt;='VALOR POR PL'!$P$5,'CP RESUMO'!AD74,"")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HISTORICOS'!AE32)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RESUMO'!AE32</f>
        <v/>
      </c>
      <c r="N32" s="139">
        <f>MAX(0,M32-M31)</f>
        <v/>
      </c>
      <c r="O32" s="138">
        <f>IF(B32&lt;='VALOR POR PL'!$P$5,'CP RESUMO'!AE74,"")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HISTORICOS'!AF32)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RESUMO'!AF32</f>
        <v/>
      </c>
      <c r="N33" s="139">
        <f>MAX(0,M33-M32)</f>
        <v/>
      </c>
      <c r="O33" s="138">
        <f>IF(B33&lt;='VALOR POR PL'!$P$5,'CP RESUMO'!AF74,"")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HISTORICOS'!AG32)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1847.8</v>
      </c>
      <c r="L34" s="49">
        <f>C34/IF(B34&lt;='VALOR POR PL'!$P$5,IFERROR(INDEX('"INCC-FGV"'!$B$2:$B$800,MATCH(B34,'"INCC-FGV"'!$A$2:$A$800,0)),$K$2),$K$2)</f>
        <v/>
      </c>
      <c r="M34" s="138">
        <f>'CP RESUMO'!AG32</f>
        <v/>
      </c>
      <c r="N34" s="139">
        <f>MAX(0,M34-M33)</f>
        <v/>
      </c>
      <c r="O34" s="138">
        <f>IF(B34&lt;='VALOR POR PL'!$P$5,'CP RESUMO'!AG74,"")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HISTORICOS'!AH32)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3811.1</v>
      </c>
      <c r="L35" s="49">
        <f>C35/IF(B35&lt;='VALOR POR PL'!$P$5,IFERROR(INDEX('"INCC-FGV"'!$B$2:$B$800,MATCH(B35,'"INCC-FGV"'!$A$2:$A$800,0)),$K$2),$K$2)</f>
        <v/>
      </c>
      <c r="M35" s="138">
        <f>'CP RESUMO'!AH32</f>
        <v/>
      </c>
      <c r="N35" s="139">
        <f>MAX(0,M35-M34)</f>
        <v/>
      </c>
      <c r="O35" s="138">
        <f>IF(B35&lt;='VALOR POR PL'!$P$5,'CP RESUMO'!AH74,"")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HISTORICOS'!AI32)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32567.54</v>
      </c>
      <c r="L36" s="49">
        <f>C36/IF(B36&lt;='VALOR POR PL'!$P$5,IFERROR(INDEX('"INCC-FGV"'!$B$2:$B$800,MATCH(B36,'"INCC-FGV"'!$A$2:$A$800,0)),$K$2),$K$2)</f>
        <v/>
      </c>
      <c r="M36" s="138">
        <f>'CP RESUMO'!AI32</f>
        <v/>
      </c>
      <c r="N36" s="139">
        <f>MAX(0,M36-M35)</f>
        <v/>
      </c>
      <c r="O36" s="138">
        <f>IF(B36&lt;='VALOR POR PL'!$P$5,'CP RESUMO'!AI74,"")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HISTORICOS'!AJ32)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96547.75</v>
      </c>
      <c r="L37" s="49">
        <f>C37/IF(B37&lt;='VALOR POR PL'!$P$5,IFERROR(INDEX('"INCC-FGV"'!$B$2:$B$800,MATCH(B37,'"INCC-FGV"'!$A$2:$A$800,0)),$K$2),$K$2)</f>
        <v/>
      </c>
      <c r="M37" s="138">
        <f>'CP RESUMO'!AJ32</f>
        <v/>
      </c>
      <c r="N37" s="139">
        <f>MAX(0,M37-M36)</f>
        <v/>
      </c>
      <c r="O37" s="138">
        <f>IF(B37&lt;='VALOR POR PL'!$P$5,'CP RESUMO'!AJ74,"")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HISTORICOS'!AK32)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87886.17</v>
      </c>
      <c r="L38" s="49">
        <f>C38/IF(B38&lt;='VALOR POR PL'!$P$5,IFERROR(INDEX('"INCC-FGV"'!$B$2:$B$800,MATCH(B38,'"INCC-FGV"'!$A$2:$A$800,0)),$K$2),$K$2)</f>
        <v/>
      </c>
      <c r="M38" s="138">
        <f>'CP RESUMO'!AK32</f>
        <v/>
      </c>
      <c r="N38" s="139">
        <f>MAX(0,M38-M37)</f>
        <v/>
      </c>
      <c r="O38" s="138">
        <f>IF(B38&lt;='VALOR POR PL'!$P$5,'CP RESUMO'!AK74,"")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HISTORICOS'!AL32)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95970.31</v>
      </c>
      <c r="L39" s="49">
        <f>C39/IF(B39&lt;='VALOR POR PL'!$P$5,IFERROR(INDEX('"INCC-FGV"'!$B$2:$B$800,MATCH(B39,'"INCC-FGV"'!$A$2:$A$800,0)),$K$2),$K$2)</f>
        <v/>
      </c>
      <c r="M39" s="138">
        <f>'CP RESUMO'!AL32</f>
        <v/>
      </c>
      <c r="N39" s="139">
        <f>MAX(0,M39-M38)</f>
        <v/>
      </c>
      <c r="O39" s="138">
        <f>IF(B39&lt;='VALOR POR PL'!$P$5,'CP RESUMO'!AL74,"")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HISTORICOS'!AM32)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93083.11</v>
      </c>
      <c r="L40" s="49">
        <f>C40/IF(B40&lt;='VALOR POR PL'!$P$5,IFERROR(INDEX('"INCC-FGV"'!$B$2:$B$800,MATCH(B40,'"INCC-FGV"'!$A$2:$A$800,0)),$K$2),$K$2)</f>
        <v/>
      </c>
      <c r="M40" s="138">
        <f>'CP RESUMO'!AM32</f>
        <v/>
      </c>
      <c r="N40" s="139">
        <f>MAX(0,M40-M39)</f>
        <v/>
      </c>
      <c r="O40" s="138">
        <f>IF(B40&lt;='VALOR POR PL'!$P$5,'CP RESUMO'!AM74,"")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HISTORICOS'!AN32)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121493.1</v>
      </c>
      <c r="L41" s="49">
        <f>C41/IF(B41&lt;='VALOR POR PL'!$P$5,IFERROR(INDEX('"INCC-FGV"'!$B$2:$B$800,MATCH(B41,'"INCC-FGV"'!$A$2:$A$800,0)),$K$2),$K$2)</f>
        <v/>
      </c>
      <c r="M41" s="138">
        <f>'CP RESUMO'!AN32</f>
        <v/>
      </c>
      <c r="N41" s="139">
        <f>MAX(0,M41-M40)</f>
        <v/>
      </c>
      <c r="O41" s="138">
        <f>IF(B41&lt;='VALOR POR PL'!$P$5,'CP RESUMO'!AN74,"")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HISTORICOS'!AO32)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175887.82</v>
      </c>
      <c r="L42" s="49">
        <f>C42/IF(B42&lt;='VALOR POR PL'!$P$5,IFERROR(INDEX('"INCC-FGV"'!$B$2:$B$800,MATCH(B42,'"INCC-FGV"'!$A$2:$A$800,0)),$K$2),$K$2)</f>
        <v/>
      </c>
      <c r="M42" s="138">
        <f>'CP RESUMO'!AO32</f>
        <v/>
      </c>
      <c r="N42" s="139">
        <f>MAX(0,M42-M41)</f>
        <v/>
      </c>
      <c r="O42" s="138">
        <f>IF(B42&lt;='VALOR POR PL'!$P$5,'CP RESUMO'!AO74,"")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HISTORICOS'!AP32)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88579.09</v>
      </c>
      <c r="L43" s="49">
        <f>C43/IF(B43&lt;='VALOR POR PL'!$P$5,IFERROR(INDEX('"INCC-FGV"'!$B$2:$B$800,MATCH(B43,'"INCC-FGV"'!$A$2:$A$800,0)),$K$2),$K$2)</f>
        <v/>
      </c>
      <c r="M43" s="138">
        <f>'CP RESUMO'!AP32</f>
        <v/>
      </c>
      <c r="N43" s="139">
        <f>MAX(0,M43-M42)</f>
        <v/>
      </c>
      <c r="O43" s="138">
        <f>IF(B43&lt;='VALOR POR PL'!$P$5,'CP RESUMO'!AP74,"")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HISTORICOS'!AQ32)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99896.89</v>
      </c>
      <c r="L44" s="49">
        <f>C44/IF(B44&lt;='VALOR POR PL'!$P$5,IFERROR(INDEX('"INCC-FGV"'!$B$2:$B$800,MATCH(B44,'"INCC-FGV"'!$A$2:$A$800,0)),$K$2),$K$2)</f>
        <v/>
      </c>
      <c r="M44" s="138">
        <f>'CP RESUMO'!AQ32</f>
        <v/>
      </c>
      <c r="N44" s="139">
        <f>MAX(0,M44-M43)</f>
        <v/>
      </c>
      <c r="O44" s="138">
        <f>IF(B44&lt;='VALOR POR PL'!$P$5,'CP RESUMO'!AQ74,"")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HISTORICOS'!AR32)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87539.7</v>
      </c>
      <c r="L45" s="49">
        <f>C45/IF(B45&lt;='VALOR POR PL'!$P$5,IFERROR(INDEX('"INCC-FGV"'!$B$2:$B$800,MATCH(B45,'"INCC-FGV"'!$A$2:$A$800,0)),$K$2),$K$2)</f>
        <v/>
      </c>
      <c r="M45" s="138">
        <f>'CP RESUMO'!AR32</f>
        <v/>
      </c>
      <c r="N45" s="139">
        <f>MAX(0,M45-M44)</f>
        <v/>
      </c>
      <c r="O45" s="138">
        <f>IF(B45&lt;='VALOR POR PL'!$P$5,'CP RESUMO'!AR74,"")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HISTORICOS'!AS32)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65712.52</v>
      </c>
      <c r="L46" s="49">
        <f>C46/IF(B46&lt;='VALOR POR PL'!$P$5,IFERROR(INDEX('"INCC-FGV"'!$B$2:$B$800,MATCH(B46,'"INCC-FGV"'!$A$2:$A$800,0)),$K$2),$K$2)</f>
        <v/>
      </c>
      <c r="M46" s="138">
        <f>'CP RESUMO'!AS32</f>
        <v/>
      </c>
      <c r="N46" s="139">
        <f>MAX(0,M46-M45)</f>
        <v/>
      </c>
      <c r="O46" s="138">
        <f>IF(B46&lt;='VALOR POR PL'!$P$5,'CP RESUMO'!AS74,"")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HISTORICOS'!AT32)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36840.59</v>
      </c>
      <c r="L47" s="49">
        <f>C47/IF(B47&lt;='VALOR POR PL'!$P$5,IFERROR(INDEX('"INCC-FGV"'!$B$2:$B$800,MATCH(B47,'"INCC-FGV"'!$A$2:$A$800,0)),$K$2),$K$2)</f>
        <v/>
      </c>
      <c r="M47" s="138">
        <f>'CP RESUMO'!AT32</f>
        <v/>
      </c>
      <c r="N47" s="139">
        <f>MAX(0,M47-M46)</f>
        <v/>
      </c>
      <c r="O47" s="138">
        <f>IF(B47&lt;='VALOR POR PL'!$P$5,'CP RESUMO'!AT74,"")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HISTORICOS'!AU32)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9123.530000000001</v>
      </c>
      <c r="L48" s="49">
        <f>C48/IF(B48&lt;='VALOR POR PL'!$P$5,IFERROR(INDEX('"INCC-FGV"'!$B$2:$B$800,MATCH(B48,'"INCC-FGV"'!$A$2:$A$800,0)),$K$2),$K$2)</f>
        <v/>
      </c>
      <c r="M48" s="138">
        <f>'CP RESUMO'!AU32</f>
        <v/>
      </c>
      <c r="N48" s="139">
        <f>MAX(0,M48-M47)</f>
        <v/>
      </c>
      <c r="O48" s="138">
        <f>IF(B48&lt;='VALOR POR PL'!$P$5,'CP RESUMO'!AU74,"")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HISTORICOS'!AV32)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49775.21</v>
      </c>
      <c r="L49" s="49">
        <f>C49/IF(B49&lt;='VALOR POR PL'!$P$5,IFERROR(INDEX('"INCC-FGV"'!$B$2:$B$800,MATCH(B49,'"INCC-FGV"'!$A$2:$A$800,0)),$K$2),$K$2)</f>
        <v/>
      </c>
      <c r="M49" s="138">
        <f>'CP RESUMO'!AV32</f>
        <v/>
      </c>
      <c r="N49" s="139">
        <f>MAX(0,M49-M48)</f>
        <v/>
      </c>
      <c r="O49" s="138">
        <f>IF(B49&lt;='VALOR POR PL'!$P$5,'CP RESUMO'!AV74,"")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HISTORICOS'!AW32)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8315.120000000001</v>
      </c>
      <c r="L50" s="49">
        <f>C50/IF(B50&lt;='VALOR POR PL'!$P$5,IFERROR(INDEX('"INCC-FGV"'!$B$2:$B$800,MATCH(B50,'"INCC-FGV"'!$A$2:$A$800,0)),$K$2),$K$2)</f>
        <v/>
      </c>
      <c r="M50" s="138">
        <f>'CP RESUMO'!AW32</f>
        <v/>
      </c>
      <c r="N50" s="139">
        <f>MAX(0,M50-M49)</f>
        <v/>
      </c>
      <c r="O50" s="138">
        <f>IF(B50&lt;='VALOR POR PL'!$P$5,'CP RESUMO'!AW74,"")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HISTORICOS'!AX32)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RESUMO'!AX32</f>
        <v/>
      </c>
      <c r="N51" s="139">
        <f>MAX(0,M51-M50)</f>
        <v/>
      </c>
      <c r="O51" s="138">
        <f>IF(B51&lt;='VALOR POR PL'!$P$5,'CP RESUMO'!AX74,"")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HISTORICOS'!AY32)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RESUMO'!AY32</f>
        <v/>
      </c>
      <c r="N52" s="139">
        <f>MAX(0,M52-M51)</f>
        <v/>
      </c>
      <c r="O52" s="138">
        <f>IF(B52&lt;='VALOR POR PL'!$P$5,'CP RESUMO'!AY74,"")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HISTORICOS'!AZ32)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RESUMO'!AZ32</f>
        <v/>
      </c>
      <c r="N53" s="139">
        <f>MAX(0,M53-M52)</f>
        <v/>
      </c>
      <c r="O53" s="138">
        <f>IF(B53&lt;='VALOR POR PL'!$P$5,'CP RESUMO'!AZ74,"")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HISTORICOS'!BA32)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RESUMO'!BA32</f>
        <v/>
      </c>
      <c r="N54" s="139">
        <f>MAX(0,M54-M53)</f>
        <v/>
      </c>
      <c r="O54" s="138">
        <f>IF(B54&lt;='VALOR POR PL'!$P$5,'CP RESUMO'!BA74,"")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HISTORICOS'!BB32)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RESUMO'!BB32</f>
        <v/>
      </c>
      <c r="N55" s="139">
        <f>MAX(0,M55-M54)</f>
        <v/>
      </c>
      <c r="O55" s="138">
        <f>IF(B55&lt;='VALOR POR PL'!$P$5,'CP RESUMO'!BB74,"")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HISTORICOS'!BC32)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RESUMO'!BC32</f>
        <v/>
      </c>
      <c r="N56" s="139">
        <f>MAX(0,M56-M55)</f>
        <v/>
      </c>
      <c r="O56" s="138">
        <f>IF(B56&lt;='VALOR POR PL'!$P$5,'CP RESUMO'!BC74,"")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HISTORICOS'!BD32)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RESUMO'!BD32</f>
        <v/>
      </c>
      <c r="N57" s="139">
        <f>MAX(0,M57-M56)</f>
        <v/>
      </c>
      <c r="O57" s="138">
        <f>IF(B57&lt;='VALOR POR PL'!$P$5,'CP RESUMO'!BD74,"")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HISTORICOS'!BE32)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RESUMO'!BE32</f>
        <v/>
      </c>
      <c r="N58" s="139">
        <f>MAX(0,M58-M57)</f>
        <v/>
      </c>
      <c r="O58" s="138">
        <f>IF(B58&lt;='VALOR POR PL'!$P$5,'CP RESUMO'!BE74,"")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HISTORICOS'!BF32)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RESUMO'!BF32</f>
        <v/>
      </c>
      <c r="N59" s="139">
        <f>MAX(0,M59-M58)</f>
        <v/>
      </c>
      <c r="O59" s="138">
        <f>IF(B59&lt;='VALOR POR PL'!$P$5,'CP RESUMO'!BF74,"")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HISTORICOS'!BG32)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RESUMO'!BG32</f>
        <v/>
      </c>
      <c r="N60" s="139">
        <f>MAX(0,M60-M59)</f>
        <v/>
      </c>
      <c r="O60" s="138">
        <f>IF(B60&lt;='VALOR POR PL'!$P$5,'CP RESUMO'!BG74,"")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HISTORICOS'!BH32)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RESUMO'!BH32</f>
        <v/>
      </c>
      <c r="N61" s="139">
        <f>MAX(0,M61-M60)</f>
        <v/>
      </c>
      <c r="O61" s="138">
        <f>IF(B61&lt;='VALOR POR PL'!$P$5,'CP RESUMO'!BH74,"")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HISTORICOS'!BI32)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RESUMO'!BI32</f>
        <v/>
      </c>
      <c r="N62" s="139">
        <f>MAX(0,M62-M61)</f>
        <v/>
      </c>
      <c r="O62" s="138">
        <f>IF(B62&lt;='VALOR POR PL'!$P$5,'CP RESUMO'!BI74,"")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HISTORICOS'!BJ32)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RESUMO'!BJ32</f>
        <v/>
      </c>
      <c r="N63" s="139">
        <f>MAX(0,M63-M62)</f>
        <v/>
      </c>
      <c r="O63" s="138">
        <f>IF(B63&lt;='VALOR POR PL'!$P$5,'CP RESUMO'!BJ74,"")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HISTORICOS'!BK32)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RESUMO'!BK32</f>
        <v/>
      </c>
      <c r="N64" s="139">
        <f>MAX(0,M64-M63)</f>
        <v/>
      </c>
      <c r="O64" s="138">
        <f>IF(B64&lt;='VALOR POR PL'!$P$5,'CP RESUMO'!BK74,"")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HISTORICOS'!BL32)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RESUMO'!BL32</f>
        <v/>
      </c>
      <c r="N65" s="139">
        <f>MAX(0,M65-M64)</f>
        <v/>
      </c>
      <c r="O65" s="138">
        <f>IF(B65&lt;='VALOR POR PL'!$P$5,'CP RESUMO'!BL74,"")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HISTORICOS'!BM32)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RESUMO'!BM32</f>
        <v/>
      </c>
      <c r="N66" s="139">
        <f>MAX(0,M66-M65)</f>
        <v/>
      </c>
      <c r="O66" s="138">
        <f>IF(B66&lt;='VALOR POR PL'!$P$5,'CP RESUMO'!BM74,"")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HISTORICOS'!BN32)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RESUMO'!BN32</f>
        <v/>
      </c>
      <c r="N67" s="139">
        <f>MAX(0,M67-M66)</f>
        <v/>
      </c>
      <c r="O67" s="138">
        <f>IF(B67&lt;='VALOR POR PL'!$P$5,'CP RESUMO'!BN74,"")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HISTORICOS'!BO32)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RESUMO'!BO32</f>
        <v/>
      </c>
      <c r="N68" s="139">
        <f>MAX(0,M68-M67)</f>
        <v/>
      </c>
      <c r="O68" s="138">
        <f>IF(B68&lt;='VALOR POR PL'!$P$5,'CP RESUMO'!BO74,"")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HISTORICOS'!BP32)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RESUMO'!BP32</f>
        <v/>
      </c>
      <c r="N69" s="139">
        <f>MAX(0,M69-M68)</f>
        <v/>
      </c>
      <c r="O69" s="138">
        <f>IF(B69&lt;='VALOR POR PL'!$P$5,'CP RESUMO'!BP74,"")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HISTORICOS'!BQ32)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RESUMO'!BQ32</f>
        <v/>
      </c>
      <c r="N70" s="139">
        <f>MAX(0,M70-M69)</f>
        <v/>
      </c>
      <c r="O70" s="138">
        <f>IF(B70&lt;='VALOR POR PL'!$P$5,'CP RESUMO'!BQ74,"")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HISTORICOS'!BR32)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RESUMO'!BR32</f>
        <v/>
      </c>
      <c r="N71" s="139">
        <f>MAX(0,M71-M70)</f>
        <v/>
      </c>
      <c r="O71" s="138">
        <f>IF(B71&lt;='VALOR POR PL'!$P$5,'CP RESUMO'!BR74,"")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HISTORICOS'!BS32)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RESUMO'!BS32</f>
        <v/>
      </c>
      <c r="N72" s="139">
        <f>MAX(0,M72-M71)</f>
        <v/>
      </c>
      <c r="O72" s="138">
        <f>IF(B72&lt;='VALOR POR PL'!$P$5,'CP RESUMO'!BS74,"")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HISTORICOS'!BT32)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RESUMO'!BT32</f>
        <v/>
      </c>
      <c r="N73" s="139">
        <f>MAX(0,M73-M72)</f>
        <v/>
      </c>
      <c r="O73" s="138">
        <f>IF(B73&lt;='VALOR POR PL'!$P$5,'CP RESUMO'!BT74,"")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HISTORICOS'!BU32)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RESUMO'!BU32</f>
        <v/>
      </c>
      <c r="N74" s="139">
        <f>MAX(0,M74-M73)</f>
        <v/>
      </c>
      <c r="O74" s="138">
        <f>IF(B74&lt;='VALOR POR PL'!$P$5,'CP RESUMO'!BU74,"")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HISTORICOS'!BV32)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RESUMO'!BV32</f>
        <v/>
      </c>
      <c r="N75" s="139">
        <f>MAX(0,M75-M74)</f>
        <v/>
      </c>
      <c r="O75" s="138">
        <f>IF(B75&lt;='VALOR POR PL'!$P$5,'CP RESUMO'!BV74,"")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HISTORICOS'!BW32)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RESUMO'!BW32</f>
        <v/>
      </c>
      <c r="N76" s="139">
        <f>MAX(0,M76-M75)</f>
        <v/>
      </c>
      <c r="O76" s="138">
        <f>IF(B76&lt;='VALOR POR PL'!$P$5,'CP RESUMO'!BW74,"")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PL'!D39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HISTORICOS'!D33)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PL'!F39</f>
        <v/>
      </c>
      <c r="K5" s="60">
        <f>'VALOR POR PL'!G39</f>
        <v/>
      </c>
      <c r="L5" s="60">
        <f>'DADOS HISTORICOS'!$BZ$33</f>
        <v/>
      </c>
      <c r="M5" s="138">
        <f>'CP RESUMO'!D33</f>
        <v/>
      </c>
      <c r="N5" s="139" t="n">
        <v>0</v>
      </c>
      <c r="O5" s="138">
        <f>IF(B5&lt;='VALOR POR PL'!$P$5,'CP RESUMO'!D75,"")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HISTORICOS'!E33)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PL'!H39</f>
        <v/>
      </c>
      <c r="L6" s="49">
        <f>C6/IF(B6&lt;='VALOR POR PL'!$P$5,IFERROR(INDEX('"INCC-FGV"'!$B$2:$B$800,MATCH(B6,'"INCC-FGV"'!$A$2:$A$800,0)),$K$2),$K$2)</f>
        <v/>
      </c>
      <c r="M6" s="138">
        <f>'CP RESUMO'!E33</f>
        <v/>
      </c>
      <c r="N6" s="139">
        <f>MAX(0,M6-M5)</f>
        <v/>
      </c>
      <c r="O6" s="138">
        <f>IF(B6&lt;='VALOR POR PL'!$P$5,'CP RESUMO'!E75,"")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HISTORICOS'!F33)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RESUMO'!F33</f>
        <v/>
      </c>
      <c r="N7" s="139">
        <f>MAX(0,M7-M6)</f>
        <v/>
      </c>
      <c r="O7" s="138">
        <f>IF(B7&lt;='VALOR POR PL'!$P$5,'CP RESUMO'!F75,"")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HISTORICOS'!G33)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RESUMO'!G33</f>
        <v/>
      </c>
      <c r="N8" s="139">
        <f>MAX(0,M8-M7)</f>
        <v/>
      </c>
      <c r="O8" s="138">
        <f>IF(B8&lt;='VALOR POR PL'!$P$5,'CP RESUMO'!G75,"")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HISTORICOS'!H33)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RESUMO'!H33</f>
        <v/>
      </c>
      <c r="N9" s="139">
        <f>MAX(0,M9-M8)</f>
        <v/>
      </c>
      <c r="O9" s="138">
        <f>IF(B9&lt;='VALOR POR PL'!$P$5,'CP RESUMO'!H75,"")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HISTORICOS'!I33)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RESUMO'!I33</f>
        <v/>
      </c>
      <c r="N10" s="139">
        <f>MAX(0,M10-M9)</f>
        <v/>
      </c>
      <c r="O10" s="138">
        <f>IF(B10&lt;='VALOR POR PL'!$P$5,'CP RESUMO'!I75,"")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HISTORICOS'!J33)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RESUMO'!J33</f>
        <v/>
      </c>
      <c r="N11" s="139">
        <f>MAX(0,M11-M10)</f>
        <v/>
      </c>
      <c r="O11" s="138">
        <f>IF(B11&lt;='VALOR POR PL'!$P$5,'CP RESUMO'!J75,"")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HISTORICOS'!K33)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RESUMO'!K33</f>
        <v/>
      </c>
      <c r="N12" s="139">
        <f>MAX(0,M12-M11)</f>
        <v/>
      </c>
      <c r="O12" s="138">
        <f>IF(B12&lt;='VALOR POR PL'!$P$5,'CP RESUMO'!K75,"")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HISTORICOS'!L33)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PL'!I39</f>
        <v/>
      </c>
      <c r="L13" s="49">
        <f>C13/IF(B13&lt;='VALOR POR PL'!$P$5,IFERROR(INDEX('"INCC-FGV"'!$B$2:$B$800,MATCH(B13,'"INCC-FGV"'!$A$2:$A$800,0)),$K$2),$K$2)</f>
        <v/>
      </c>
      <c r="M13" s="138">
        <f>'CP RESUMO'!L33</f>
        <v/>
      </c>
      <c r="N13" s="139">
        <f>MAX(0,M13-M12)</f>
        <v/>
      </c>
      <c r="O13" s="138">
        <f>IF(B13&lt;='VALOR POR PL'!$P$5,'CP RESUMO'!L75,"")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HISTORICOS'!M33)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RESUMO'!$D$75:$BW$75,MATCH('VALOR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RESUMO'!M33</f>
        <v/>
      </c>
      <c r="N14" s="139">
        <f>MAX(0,M14-M13)</f>
        <v/>
      </c>
      <c r="O14" s="138">
        <f>IF(B14&lt;='VALOR POR PL'!$P$5,'CP RESUMO'!M75,"")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HISTORICOS'!N33)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RESUMO'!N33</f>
        <v/>
      </c>
      <c r="N15" s="139">
        <f>MAX(0,M15-M14)</f>
        <v/>
      </c>
      <c r="O15" s="138">
        <f>IF(B15&lt;='VALOR POR PL'!$P$5,'CP RESUMO'!N75,"")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HISTORICOS'!O33)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RESUMO'!O33</f>
        <v/>
      </c>
      <c r="N16" s="139">
        <f>MAX(0,M16-M15)</f>
        <v/>
      </c>
      <c r="O16" s="138">
        <f>IF(B16&lt;='VALOR POR PL'!$P$5,'CP RESUMO'!O75,"")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HISTORICOS'!P33)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RESUMO'!P33</f>
        <v/>
      </c>
      <c r="N17" s="139">
        <f>MAX(0,M17-M16)</f>
        <v/>
      </c>
      <c r="O17" s="138">
        <f>IF(B17&lt;='VALOR POR PL'!$P$5,'CP RESUMO'!P75,"")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HISTORICOS'!Q33)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RESUMO'!Q33</f>
        <v/>
      </c>
      <c r="N18" s="139">
        <f>MAX(0,M18-M17)</f>
        <v/>
      </c>
      <c r="O18" s="138">
        <f>IF(B18&lt;='VALOR POR PL'!$P$5,'CP RESUMO'!Q75,"")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HISTORICOS'!R33)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RESUMO'!R33</f>
        <v/>
      </c>
      <c r="N19" s="139">
        <f>MAX(0,M19-M18)</f>
        <v/>
      </c>
      <c r="O19" s="138">
        <f>IF(B19&lt;='VALOR POR PL'!$P$5,'CP RESUMO'!R75,"")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HISTORICOS'!S33)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RESUMO'!S33</f>
        <v/>
      </c>
      <c r="N20" s="139">
        <f>MAX(0,M20-M19)</f>
        <v/>
      </c>
      <c r="O20" s="138">
        <f>IF(B20&lt;='VALOR POR PL'!$P$5,'CP RESUMO'!S75,"")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HISTORICOS'!T33)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RESUMO'!T33</f>
        <v/>
      </c>
      <c r="N21" s="139">
        <f>MAX(0,M21-M20)</f>
        <v/>
      </c>
      <c r="O21" s="138">
        <f>IF(B21&lt;='VALOR POR PL'!$P$5,'CP RESUMO'!T75,"")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HISTORICOS'!U33)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RESUMO'!U33</f>
        <v/>
      </c>
      <c r="N22" s="139">
        <f>MAX(0,M22-M21)</f>
        <v/>
      </c>
      <c r="O22" s="138">
        <f>IF(B22&lt;='VALOR POR PL'!$P$5,'CP RESUMO'!U75,"")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HISTORICOS'!V33)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RESUMO'!V33</f>
        <v/>
      </c>
      <c r="N23" s="139">
        <f>MAX(0,M23-M22)</f>
        <v/>
      </c>
      <c r="O23" s="138">
        <f>IF(B23&lt;='VALOR POR PL'!$P$5,'CP RESUMO'!V75,"")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HISTORICOS'!W33)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RESUMO'!W33</f>
        <v/>
      </c>
      <c r="N24" s="139">
        <f>MAX(0,M24-M23)</f>
        <v/>
      </c>
      <c r="O24" s="138">
        <f>IF(B24&lt;='VALOR POR PL'!$P$5,'CP RESUMO'!W75,"")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HISTORICOS'!X33)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RESUMO'!X33</f>
        <v/>
      </c>
      <c r="N25" s="139">
        <f>MAX(0,M25-M24)</f>
        <v/>
      </c>
      <c r="O25" s="138">
        <f>IF(B25&lt;='VALOR POR PL'!$P$5,'CP RESUMO'!X75,"")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HISTORICOS'!Y33)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RESUMO'!Y33</f>
        <v/>
      </c>
      <c r="N26" s="139">
        <f>MAX(0,M26-M25)</f>
        <v/>
      </c>
      <c r="O26" s="138">
        <f>IF(B26&lt;='VALOR POR PL'!$P$5,'CP RESUMO'!Y75,"")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HISTORICOS'!Z33)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RESUMO'!Z33</f>
        <v/>
      </c>
      <c r="N27" s="139">
        <f>MAX(0,M27-M26)</f>
        <v/>
      </c>
      <c r="O27" s="138">
        <f>IF(B27&lt;='VALOR POR PL'!$P$5,'CP RESUMO'!Z75,"")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HISTORICOS'!AA33)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RESUMO'!AA33</f>
        <v/>
      </c>
      <c r="N28" s="139">
        <f>MAX(0,M28-M27)</f>
        <v/>
      </c>
      <c r="O28" s="138">
        <f>IF(B28&lt;='VALOR POR PL'!$P$5,'CP RESUMO'!AA75,"")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HISTORICOS'!AB33)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RESUMO'!AB33</f>
        <v/>
      </c>
      <c r="N29" s="139">
        <f>MAX(0,M29-M28)</f>
        <v/>
      </c>
      <c r="O29" s="138">
        <f>IF(B29&lt;='VALOR POR PL'!$P$5,'CP RESUMO'!AB75,"")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HISTORICOS'!AC33)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RESUMO'!AC33</f>
        <v/>
      </c>
      <c r="N30" s="139">
        <f>MAX(0,M30-M29)</f>
        <v/>
      </c>
      <c r="O30" s="138">
        <f>IF(B30&lt;='VALOR POR PL'!$P$5,'CP RESUMO'!AC75,"")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HISTORICOS'!AD33)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RESUMO'!AD33</f>
        <v/>
      </c>
      <c r="N31" s="139">
        <f>MAX(0,M31-M30)</f>
        <v/>
      </c>
      <c r="O31" s="138">
        <f>IF(B31&lt;='VALOR POR PL'!$P$5,'CP RESUMO'!AD75,"")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HISTORICOS'!AE33)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RESUMO'!AE33</f>
        <v/>
      </c>
      <c r="N32" s="139">
        <f>MAX(0,M32-M31)</f>
        <v/>
      </c>
      <c r="O32" s="138">
        <f>IF(B32&lt;='VALOR POR PL'!$P$5,'CP RESUMO'!AE75,"")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HISTORICOS'!AF33)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RESUMO'!AF33</f>
        <v/>
      </c>
      <c r="N33" s="139">
        <f>MAX(0,M33-M32)</f>
        <v/>
      </c>
      <c r="O33" s="138">
        <f>IF(B33&lt;='VALOR POR PL'!$P$5,'CP RESUMO'!AF75,"")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HISTORICOS'!AG33)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6102.57</v>
      </c>
      <c r="L34" s="49">
        <f>C34/IF(B34&lt;='VALOR POR PL'!$P$5,IFERROR(INDEX('"INCC-FGV"'!$B$2:$B$800,MATCH(B34,'"INCC-FGV"'!$A$2:$A$800,0)),$K$2),$K$2)</f>
        <v/>
      </c>
      <c r="M34" s="138">
        <f>'CP RESUMO'!AG33</f>
        <v/>
      </c>
      <c r="N34" s="139">
        <f>MAX(0,M34-M33)</f>
        <v/>
      </c>
      <c r="O34" s="138">
        <f>IF(B34&lt;='VALOR POR PL'!$P$5,'CP RESUMO'!AG75,"")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HISTORICOS'!AH33)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31574.17</v>
      </c>
      <c r="L35" s="49">
        <f>C35/IF(B35&lt;='VALOR POR PL'!$P$5,IFERROR(INDEX('"INCC-FGV"'!$B$2:$B$800,MATCH(B35,'"INCC-FGV"'!$A$2:$A$800,0)),$K$2),$K$2)</f>
        <v/>
      </c>
      <c r="M35" s="138">
        <f>'CP RESUMO'!AH33</f>
        <v/>
      </c>
      <c r="N35" s="139">
        <f>MAX(0,M35-M34)</f>
        <v/>
      </c>
      <c r="O35" s="138">
        <f>IF(B35&lt;='VALOR POR PL'!$P$5,'CP RESUMO'!AH75,"")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HISTORICOS'!AI33)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161320.12</v>
      </c>
      <c r="L36" s="49">
        <f>C36/IF(B36&lt;='VALOR POR PL'!$P$5,IFERROR(INDEX('"INCC-FGV"'!$B$2:$B$800,MATCH(B36,'"INCC-FGV"'!$A$2:$A$800,0)),$K$2),$K$2)</f>
        <v/>
      </c>
      <c r="M36" s="138">
        <f>'CP RESUMO'!AI33</f>
        <v/>
      </c>
      <c r="N36" s="139">
        <f>MAX(0,M36-M35)</f>
        <v/>
      </c>
      <c r="O36" s="138">
        <f>IF(B36&lt;='VALOR POR PL'!$P$5,'CP RESUMO'!AI75,"")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HISTORICOS'!AJ33)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184934.41</v>
      </c>
      <c r="L37" s="49">
        <f>C37/IF(B37&lt;='VALOR POR PL'!$P$5,IFERROR(INDEX('"INCC-FGV"'!$B$2:$B$800,MATCH(B37,'"INCC-FGV"'!$A$2:$A$800,0)),$K$2),$K$2)</f>
        <v/>
      </c>
      <c r="M37" s="138">
        <f>'CP RESUMO'!AJ33</f>
        <v/>
      </c>
      <c r="N37" s="139">
        <f>MAX(0,M37-M36)</f>
        <v/>
      </c>
      <c r="O37" s="138">
        <f>IF(B37&lt;='VALOR POR PL'!$P$5,'CP RESUMO'!AJ75,"")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HISTORICOS'!AK33)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161850.78</v>
      </c>
      <c r="L38" s="49">
        <f>C38/IF(B38&lt;='VALOR POR PL'!$P$5,IFERROR(INDEX('"INCC-FGV"'!$B$2:$B$800,MATCH(B38,'"INCC-FGV"'!$A$2:$A$800,0)),$K$2),$K$2)</f>
        <v/>
      </c>
      <c r="M38" s="138">
        <f>'CP RESUMO'!AK33</f>
        <v/>
      </c>
      <c r="N38" s="139">
        <f>MAX(0,M38-M37)</f>
        <v/>
      </c>
      <c r="O38" s="138">
        <f>IF(B38&lt;='VALOR POR PL'!$P$5,'CP RESUMO'!AK75,"")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HISTORICOS'!AL33)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268513.09</v>
      </c>
      <c r="L39" s="49">
        <f>C39/IF(B39&lt;='VALOR POR PL'!$P$5,IFERROR(INDEX('"INCC-FGV"'!$B$2:$B$800,MATCH(B39,'"INCC-FGV"'!$A$2:$A$800,0)),$K$2),$K$2)</f>
        <v/>
      </c>
      <c r="M39" s="138">
        <f>'CP RESUMO'!AL33</f>
        <v/>
      </c>
      <c r="N39" s="139">
        <f>MAX(0,M39-M38)</f>
        <v/>
      </c>
      <c r="O39" s="138">
        <f>IF(B39&lt;='VALOR POR PL'!$P$5,'CP RESUMO'!AL75,"")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HISTORICOS'!AM33)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315741.68</v>
      </c>
      <c r="L40" s="49">
        <f>C40/IF(B40&lt;='VALOR POR PL'!$P$5,IFERROR(INDEX('"INCC-FGV"'!$B$2:$B$800,MATCH(B40,'"INCC-FGV"'!$A$2:$A$800,0)),$K$2),$K$2)</f>
        <v/>
      </c>
      <c r="M40" s="138">
        <f>'CP RESUMO'!AM33</f>
        <v/>
      </c>
      <c r="N40" s="139">
        <f>MAX(0,M40-M39)</f>
        <v/>
      </c>
      <c r="O40" s="138">
        <f>IF(B40&lt;='VALOR POR PL'!$P$5,'CP RESUMO'!AM75,"")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HISTORICOS'!AN33)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238796.23</v>
      </c>
      <c r="L41" s="49">
        <f>C41/IF(B41&lt;='VALOR POR PL'!$P$5,IFERROR(INDEX('"INCC-FGV"'!$B$2:$B$800,MATCH(B41,'"INCC-FGV"'!$A$2:$A$800,0)),$K$2),$K$2)</f>
        <v/>
      </c>
      <c r="M41" s="138">
        <f>'CP RESUMO'!AN33</f>
        <v/>
      </c>
      <c r="N41" s="139">
        <f>MAX(0,M41-M40)</f>
        <v/>
      </c>
      <c r="O41" s="138">
        <f>IF(B41&lt;='VALOR POR PL'!$P$5,'CP RESUMO'!AN75,"")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HISTORICOS'!AO33)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170871.97</v>
      </c>
      <c r="L42" s="49">
        <f>C42/IF(B42&lt;='VALOR POR PL'!$P$5,IFERROR(INDEX('"INCC-FGV"'!$B$2:$B$800,MATCH(B42,'"INCC-FGV"'!$A$2:$A$800,0)),$K$2),$K$2)</f>
        <v/>
      </c>
      <c r="M42" s="138">
        <f>'CP RESUMO'!AO33</f>
        <v/>
      </c>
      <c r="N42" s="139">
        <f>MAX(0,M42-M41)</f>
        <v/>
      </c>
      <c r="O42" s="138">
        <f>IF(B42&lt;='VALOR POR PL'!$P$5,'CP RESUMO'!AO75,"")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HISTORICOS'!AP33)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244898.8</v>
      </c>
      <c r="L43" s="49">
        <f>C43/IF(B43&lt;='VALOR POR PL'!$P$5,IFERROR(INDEX('"INCC-FGV"'!$B$2:$B$800,MATCH(B43,'"INCC-FGV"'!$A$2:$A$800,0)),$K$2),$K$2)</f>
        <v/>
      </c>
      <c r="M43" s="138">
        <f>'CP RESUMO'!AP33</f>
        <v/>
      </c>
      <c r="N43" s="139">
        <f>MAX(0,M43-M42)</f>
        <v/>
      </c>
      <c r="O43" s="138">
        <f>IF(B43&lt;='VALOR POR PL'!$P$5,'CP RESUMO'!AP75,"")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HISTORICOS'!AQ33)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238000.24</v>
      </c>
      <c r="L44" s="49">
        <f>C44/IF(B44&lt;='VALOR POR PL'!$P$5,IFERROR(INDEX('"INCC-FGV"'!$B$2:$B$800,MATCH(B44,'"INCC-FGV"'!$A$2:$A$800,0)),$K$2),$K$2)</f>
        <v/>
      </c>
      <c r="M44" s="138">
        <f>'CP RESUMO'!AQ33</f>
        <v/>
      </c>
      <c r="N44" s="139">
        <f>MAX(0,M44-M43)</f>
        <v/>
      </c>
      <c r="O44" s="138">
        <f>IF(B44&lt;='VALOR POR PL'!$P$5,'CP RESUMO'!AQ75,"")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HISTORICOS'!AR33)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223937.79</v>
      </c>
      <c r="L45" s="49">
        <f>C45/IF(B45&lt;='VALOR POR PL'!$P$5,IFERROR(INDEX('"INCC-FGV"'!$B$2:$B$800,MATCH(B45,'"INCC-FGV"'!$A$2:$A$800,0)),$K$2),$K$2)</f>
        <v/>
      </c>
      <c r="M45" s="138">
        <f>'CP RESUMO'!AR33</f>
        <v/>
      </c>
      <c r="N45" s="139">
        <f>MAX(0,M45-M44)</f>
        <v/>
      </c>
      <c r="O45" s="138">
        <f>IF(B45&lt;='VALOR POR PL'!$P$5,'CP RESUMO'!AR75,"")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HISTORICOS'!AS33)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109846.26</v>
      </c>
      <c r="L46" s="49">
        <f>C46/IF(B46&lt;='VALOR POR PL'!$P$5,IFERROR(INDEX('"INCC-FGV"'!$B$2:$B$800,MATCH(B46,'"INCC-FGV"'!$A$2:$A$800,0)),$K$2),$K$2)</f>
        <v/>
      </c>
      <c r="M46" s="138">
        <f>'CP RESUMO'!AS33</f>
        <v/>
      </c>
      <c r="N46" s="139">
        <f>MAX(0,M46-M45)</f>
        <v/>
      </c>
      <c r="O46" s="138">
        <f>IF(B46&lt;='VALOR POR PL'!$P$5,'CP RESUMO'!AS75,"")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HISTORICOS'!AT33)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205099.43</v>
      </c>
      <c r="L47" s="49">
        <f>C47/IF(B47&lt;='VALOR POR PL'!$P$5,IFERROR(INDEX('"INCC-FGV"'!$B$2:$B$800,MATCH(B47,'"INCC-FGV"'!$A$2:$A$800,0)),$K$2),$K$2)</f>
        <v/>
      </c>
      <c r="M47" s="138">
        <f>'CP RESUMO'!AT33</f>
        <v/>
      </c>
      <c r="N47" s="139">
        <f>MAX(0,M47-M46)</f>
        <v/>
      </c>
      <c r="O47" s="138">
        <f>IF(B47&lt;='VALOR POR PL'!$P$5,'CP RESUMO'!AT75,"")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HISTORICOS'!AU33)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91803.88</v>
      </c>
      <c r="L48" s="49">
        <f>C48/IF(B48&lt;='VALOR POR PL'!$P$5,IFERROR(INDEX('"INCC-FGV"'!$B$2:$B$800,MATCH(B48,'"INCC-FGV"'!$A$2:$A$800,0)),$K$2),$K$2)</f>
        <v/>
      </c>
      <c r="M48" s="138">
        <f>'CP RESUMO'!AU33</f>
        <v/>
      </c>
      <c r="N48" s="139">
        <f>MAX(0,M48-M47)</f>
        <v/>
      </c>
      <c r="O48" s="138">
        <f>IF(B48&lt;='VALOR POR PL'!$P$5,'CP RESUMO'!AU75,"")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HISTORICOS'!AV33)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RESUMO'!AV33</f>
        <v/>
      </c>
      <c r="N49" s="139">
        <f>MAX(0,M49-M48)</f>
        <v/>
      </c>
      <c r="O49" s="138">
        <f>IF(B49&lt;='VALOR POR PL'!$P$5,'CP RESUMO'!AV75,"")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HISTORICOS'!AW33)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RESUMO'!AW33</f>
        <v/>
      </c>
      <c r="N50" s="139">
        <f>MAX(0,M50-M49)</f>
        <v/>
      </c>
      <c r="O50" s="138">
        <f>IF(B50&lt;='VALOR POR PL'!$P$5,'CP RESUMO'!AW75,"")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HISTORICOS'!AX33)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RESUMO'!AX33</f>
        <v/>
      </c>
      <c r="N51" s="139">
        <f>MAX(0,M51-M50)</f>
        <v/>
      </c>
      <c r="O51" s="138">
        <f>IF(B51&lt;='VALOR POR PL'!$P$5,'CP RESUMO'!AX75,"")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HISTORICOS'!AY33)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RESUMO'!AY33</f>
        <v/>
      </c>
      <c r="N52" s="139">
        <f>MAX(0,M52-M51)</f>
        <v/>
      </c>
      <c r="O52" s="138">
        <f>IF(B52&lt;='VALOR POR PL'!$P$5,'CP RESUMO'!AY75,"")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HISTORICOS'!AZ33)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RESUMO'!AZ33</f>
        <v/>
      </c>
      <c r="N53" s="139">
        <f>MAX(0,M53-M52)</f>
        <v/>
      </c>
      <c r="O53" s="138">
        <f>IF(B53&lt;='VALOR POR PL'!$P$5,'CP RESUMO'!AZ75,"")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HISTORICOS'!BA33)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RESUMO'!BA33</f>
        <v/>
      </c>
      <c r="N54" s="139">
        <f>MAX(0,M54-M53)</f>
        <v/>
      </c>
      <c r="O54" s="138">
        <f>IF(B54&lt;='VALOR POR PL'!$P$5,'CP RESUMO'!BA75,"")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HISTORICOS'!BB33)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RESUMO'!BB33</f>
        <v/>
      </c>
      <c r="N55" s="139">
        <f>MAX(0,M55-M54)</f>
        <v/>
      </c>
      <c r="O55" s="138">
        <f>IF(B55&lt;='VALOR POR PL'!$P$5,'CP RESUMO'!BB75,"")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HISTORICOS'!BC33)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RESUMO'!BC33</f>
        <v/>
      </c>
      <c r="N56" s="139">
        <f>MAX(0,M56-M55)</f>
        <v/>
      </c>
      <c r="O56" s="138">
        <f>IF(B56&lt;='VALOR POR PL'!$P$5,'CP RESUMO'!BC75,"")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HISTORICOS'!BD33)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RESUMO'!BD33</f>
        <v/>
      </c>
      <c r="N57" s="139">
        <f>MAX(0,M57-M56)</f>
        <v/>
      </c>
      <c r="O57" s="138">
        <f>IF(B57&lt;='VALOR POR PL'!$P$5,'CP RESUMO'!BD75,"")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HISTORICOS'!BE33)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RESUMO'!BE33</f>
        <v/>
      </c>
      <c r="N58" s="139">
        <f>MAX(0,M58-M57)</f>
        <v/>
      </c>
      <c r="O58" s="138">
        <f>IF(B58&lt;='VALOR POR PL'!$P$5,'CP RESUMO'!BE75,"")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HISTORICOS'!BF33)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RESUMO'!BF33</f>
        <v/>
      </c>
      <c r="N59" s="139">
        <f>MAX(0,M59-M58)</f>
        <v/>
      </c>
      <c r="O59" s="138">
        <f>IF(B59&lt;='VALOR POR PL'!$P$5,'CP RESUMO'!BF75,"")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HISTORICOS'!BG33)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RESUMO'!BG33</f>
        <v/>
      </c>
      <c r="N60" s="139">
        <f>MAX(0,M60-M59)</f>
        <v/>
      </c>
      <c r="O60" s="138">
        <f>IF(B60&lt;='VALOR POR PL'!$P$5,'CP RESUMO'!BG75,"")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HISTORICOS'!BH33)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RESUMO'!BH33</f>
        <v/>
      </c>
      <c r="N61" s="139">
        <f>MAX(0,M61-M60)</f>
        <v/>
      </c>
      <c r="O61" s="138">
        <f>IF(B61&lt;='VALOR POR PL'!$P$5,'CP RESUMO'!BH75,"")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HISTORICOS'!BI33)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RESUMO'!BI33</f>
        <v/>
      </c>
      <c r="N62" s="139">
        <f>MAX(0,M62-M61)</f>
        <v/>
      </c>
      <c r="O62" s="138">
        <f>IF(B62&lt;='VALOR POR PL'!$P$5,'CP RESUMO'!BI75,"")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HISTORICOS'!BJ33)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RESUMO'!BJ33</f>
        <v/>
      </c>
      <c r="N63" s="139">
        <f>MAX(0,M63-M62)</f>
        <v/>
      </c>
      <c r="O63" s="138">
        <f>IF(B63&lt;='VALOR POR PL'!$P$5,'CP RESUMO'!BJ75,"")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HISTORICOS'!BK33)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RESUMO'!BK33</f>
        <v/>
      </c>
      <c r="N64" s="139">
        <f>MAX(0,M64-M63)</f>
        <v/>
      </c>
      <c r="O64" s="138">
        <f>IF(B64&lt;='VALOR POR PL'!$P$5,'CP RESUMO'!BK75,"")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HISTORICOS'!BL33)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RESUMO'!BL33</f>
        <v/>
      </c>
      <c r="N65" s="139">
        <f>MAX(0,M65-M64)</f>
        <v/>
      </c>
      <c r="O65" s="138">
        <f>IF(B65&lt;='VALOR POR PL'!$P$5,'CP RESUMO'!BL75,"")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HISTORICOS'!BM33)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RESUMO'!BM33</f>
        <v/>
      </c>
      <c r="N66" s="139">
        <f>MAX(0,M66-M65)</f>
        <v/>
      </c>
      <c r="O66" s="138">
        <f>IF(B66&lt;='VALOR POR PL'!$P$5,'CP RESUMO'!BM75,"")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HISTORICOS'!BN33)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RESUMO'!BN33</f>
        <v/>
      </c>
      <c r="N67" s="139">
        <f>MAX(0,M67-M66)</f>
        <v/>
      </c>
      <c r="O67" s="138">
        <f>IF(B67&lt;='VALOR POR PL'!$P$5,'CP RESUMO'!BN75,"")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HISTORICOS'!BO33)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RESUMO'!BO33</f>
        <v/>
      </c>
      <c r="N68" s="139">
        <f>MAX(0,M68-M67)</f>
        <v/>
      </c>
      <c r="O68" s="138">
        <f>IF(B68&lt;='VALOR POR PL'!$P$5,'CP RESUMO'!BO75,"")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HISTORICOS'!BP33)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RESUMO'!BP33</f>
        <v/>
      </c>
      <c r="N69" s="139">
        <f>MAX(0,M69-M68)</f>
        <v/>
      </c>
      <c r="O69" s="138">
        <f>IF(B69&lt;='VALOR POR PL'!$P$5,'CP RESUMO'!BP75,"")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HISTORICOS'!BQ33)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RESUMO'!BQ33</f>
        <v/>
      </c>
      <c r="N70" s="139">
        <f>MAX(0,M70-M69)</f>
        <v/>
      </c>
      <c r="O70" s="138">
        <f>IF(B70&lt;='VALOR POR PL'!$P$5,'CP RESUMO'!BQ75,"")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HISTORICOS'!BR33)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RESUMO'!BR33</f>
        <v/>
      </c>
      <c r="N71" s="139">
        <f>MAX(0,M71-M70)</f>
        <v/>
      </c>
      <c r="O71" s="138">
        <f>IF(B71&lt;='VALOR POR PL'!$P$5,'CP RESUMO'!BR75,"")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HISTORICOS'!BS33)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RESUMO'!BS33</f>
        <v/>
      </c>
      <c r="N72" s="139">
        <f>MAX(0,M72-M71)</f>
        <v/>
      </c>
      <c r="O72" s="138">
        <f>IF(B72&lt;='VALOR POR PL'!$P$5,'CP RESUMO'!BS75,"")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HISTORICOS'!BT33)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RESUMO'!BT33</f>
        <v/>
      </c>
      <c r="N73" s="139">
        <f>MAX(0,M73-M72)</f>
        <v/>
      </c>
      <c r="O73" s="138">
        <f>IF(B73&lt;='VALOR POR PL'!$P$5,'CP RESUMO'!BT75,"")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HISTORICOS'!BU33)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RESUMO'!BU33</f>
        <v/>
      </c>
      <c r="N74" s="139">
        <f>MAX(0,M74-M73)</f>
        <v/>
      </c>
      <c r="O74" s="138">
        <f>IF(B74&lt;='VALOR POR PL'!$P$5,'CP RESUMO'!BU75,"")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HISTORICOS'!BV33)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RESUMO'!BV33</f>
        <v/>
      </c>
      <c r="N75" s="139">
        <f>MAX(0,M75-M74)</f>
        <v/>
      </c>
      <c r="O75" s="138">
        <f>IF(B75&lt;='VALOR POR PL'!$P$5,'CP RESUMO'!BV75,"")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HISTORICOS'!BW33)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RESUMO'!BW33</f>
        <v/>
      </c>
      <c r="N76" s="139">
        <f>MAX(0,M76-M75)</f>
        <v/>
      </c>
      <c r="O76" s="138">
        <f>IF(B76&lt;='VALOR POR PL'!$P$5,'CP RESUMO'!BW75,"")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PL'!D40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HISTORICOS'!D34)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PL'!F40</f>
        <v/>
      </c>
      <c r="K5" s="60">
        <f>'VALOR POR PL'!G40</f>
        <v/>
      </c>
      <c r="L5" s="60">
        <f>'DADOS HISTORICOS'!$BZ$34</f>
        <v/>
      </c>
      <c r="M5" s="138">
        <f>'CP RESUMO'!D34</f>
        <v/>
      </c>
      <c r="N5" s="139" t="n">
        <v>0</v>
      </c>
      <c r="O5" s="138">
        <f>IF(B5&lt;='VALOR POR PL'!$P$5,'CP RESUMO'!D76,"")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HISTORICOS'!E34)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PL'!H40</f>
        <v/>
      </c>
      <c r="L6" s="49">
        <f>C6/IF(B6&lt;='VALOR POR PL'!$P$5,IFERROR(INDEX('"INCC-FGV"'!$B$2:$B$800,MATCH(B6,'"INCC-FGV"'!$A$2:$A$800,0)),$K$2),$K$2)</f>
        <v/>
      </c>
      <c r="M6" s="138">
        <f>'CP RESUMO'!E34</f>
        <v/>
      </c>
      <c r="N6" s="139">
        <f>MAX(0,M6-M5)</f>
        <v/>
      </c>
      <c r="O6" s="138">
        <f>IF(B6&lt;='VALOR POR PL'!$P$5,'CP RESUMO'!E76,"")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HISTORICOS'!F34)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RESUMO'!F34</f>
        <v/>
      </c>
      <c r="N7" s="139">
        <f>MAX(0,M7-M6)</f>
        <v/>
      </c>
      <c r="O7" s="138">
        <f>IF(B7&lt;='VALOR POR PL'!$P$5,'CP RESUMO'!F76,"")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HISTORICOS'!G34)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RESUMO'!G34</f>
        <v/>
      </c>
      <c r="N8" s="139">
        <f>MAX(0,M8-M7)</f>
        <v/>
      </c>
      <c r="O8" s="138">
        <f>IF(B8&lt;='VALOR POR PL'!$P$5,'CP RESUMO'!G76,"")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HISTORICOS'!H34)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RESUMO'!H34</f>
        <v/>
      </c>
      <c r="N9" s="139">
        <f>MAX(0,M9-M8)</f>
        <v/>
      </c>
      <c r="O9" s="138">
        <f>IF(B9&lt;='VALOR POR PL'!$P$5,'CP RESUMO'!H76,"")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HISTORICOS'!I34)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RESUMO'!I34</f>
        <v/>
      </c>
      <c r="N10" s="139">
        <f>MAX(0,M10-M9)</f>
        <v/>
      </c>
      <c r="O10" s="138">
        <f>IF(B10&lt;='VALOR POR PL'!$P$5,'CP RESUMO'!I76,"")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HISTORICOS'!J34)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RESUMO'!J34</f>
        <v/>
      </c>
      <c r="N11" s="139">
        <f>MAX(0,M11-M10)</f>
        <v/>
      </c>
      <c r="O11" s="138">
        <f>IF(B11&lt;='VALOR POR PL'!$P$5,'CP RESUMO'!J76,"")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HISTORICOS'!K34)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RESUMO'!K34</f>
        <v/>
      </c>
      <c r="N12" s="139">
        <f>MAX(0,M12-M11)</f>
        <v/>
      </c>
      <c r="O12" s="138">
        <f>IF(B12&lt;='VALOR POR PL'!$P$5,'CP RESUMO'!K76,"")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HISTORICOS'!L34)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PL'!I40</f>
        <v/>
      </c>
      <c r="L13" s="49">
        <f>C13/IF(B13&lt;='VALOR POR PL'!$P$5,IFERROR(INDEX('"INCC-FGV"'!$B$2:$B$800,MATCH(B13,'"INCC-FGV"'!$A$2:$A$800,0)),$K$2),$K$2)</f>
        <v/>
      </c>
      <c r="M13" s="138">
        <f>'CP RESUMO'!L34</f>
        <v/>
      </c>
      <c r="N13" s="139">
        <f>MAX(0,M13-M12)</f>
        <v/>
      </c>
      <c r="O13" s="138">
        <f>IF(B13&lt;='VALOR POR PL'!$P$5,'CP RESUMO'!L76,"")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HISTORICOS'!M34)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RESUMO'!$D$76:$BW$76,MATCH('VALOR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RESUMO'!M34</f>
        <v/>
      </c>
      <c r="N14" s="139">
        <f>MAX(0,M14-M13)</f>
        <v/>
      </c>
      <c r="O14" s="138">
        <f>IF(B14&lt;='VALOR POR PL'!$P$5,'CP RESUMO'!M76,"")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HISTORICOS'!N34)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RESUMO'!N34</f>
        <v/>
      </c>
      <c r="N15" s="139">
        <f>MAX(0,M15-M14)</f>
        <v/>
      </c>
      <c r="O15" s="138">
        <f>IF(B15&lt;='VALOR POR PL'!$P$5,'CP RESUMO'!N76,"")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HISTORICOS'!O34)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RESUMO'!O34</f>
        <v/>
      </c>
      <c r="N16" s="139">
        <f>MAX(0,M16-M15)</f>
        <v/>
      </c>
      <c r="O16" s="138">
        <f>IF(B16&lt;='VALOR POR PL'!$P$5,'CP RESUMO'!O76,"")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HISTORICOS'!P34)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RESUMO'!P34</f>
        <v/>
      </c>
      <c r="N17" s="139">
        <f>MAX(0,M17-M16)</f>
        <v/>
      </c>
      <c r="O17" s="138">
        <f>IF(B17&lt;='VALOR POR PL'!$P$5,'CP RESUMO'!P76,"")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HISTORICOS'!Q34)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RESUMO'!Q34</f>
        <v/>
      </c>
      <c r="N18" s="139">
        <f>MAX(0,M18-M17)</f>
        <v/>
      </c>
      <c r="O18" s="138">
        <f>IF(B18&lt;='VALOR POR PL'!$P$5,'CP RESUMO'!Q76,"")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HISTORICOS'!R34)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RESUMO'!R34</f>
        <v/>
      </c>
      <c r="N19" s="139">
        <f>MAX(0,M19-M18)</f>
        <v/>
      </c>
      <c r="O19" s="138">
        <f>IF(B19&lt;='VALOR POR PL'!$P$5,'CP RESUMO'!R76,"")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HISTORICOS'!S34)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RESUMO'!S34</f>
        <v/>
      </c>
      <c r="N20" s="139">
        <f>MAX(0,M20-M19)</f>
        <v/>
      </c>
      <c r="O20" s="138">
        <f>IF(B20&lt;='VALOR POR PL'!$P$5,'CP RESUMO'!S76,"")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HISTORICOS'!T34)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RESUMO'!T34</f>
        <v/>
      </c>
      <c r="N21" s="139">
        <f>MAX(0,M21-M20)</f>
        <v/>
      </c>
      <c r="O21" s="138">
        <f>IF(B21&lt;='VALOR POR PL'!$P$5,'CP RESUMO'!T76,"")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HISTORICOS'!U34)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RESUMO'!U34</f>
        <v/>
      </c>
      <c r="N22" s="139">
        <f>MAX(0,M22-M21)</f>
        <v/>
      </c>
      <c r="O22" s="138">
        <f>IF(B22&lt;='VALOR POR PL'!$P$5,'CP RESUMO'!U76,"")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HISTORICOS'!V34)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RESUMO'!V34</f>
        <v/>
      </c>
      <c r="N23" s="139">
        <f>MAX(0,M23-M22)</f>
        <v/>
      </c>
      <c r="O23" s="138">
        <f>IF(B23&lt;='VALOR POR PL'!$P$5,'CP RESUMO'!V76,"")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HISTORICOS'!W34)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RESUMO'!W34</f>
        <v/>
      </c>
      <c r="N24" s="139">
        <f>MAX(0,M24-M23)</f>
        <v/>
      </c>
      <c r="O24" s="138">
        <f>IF(B24&lt;='VALOR POR PL'!$P$5,'CP RESUMO'!W76,"")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HISTORICOS'!X34)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RESUMO'!X34</f>
        <v/>
      </c>
      <c r="N25" s="139">
        <f>MAX(0,M25-M24)</f>
        <v/>
      </c>
      <c r="O25" s="138">
        <f>IF(B25&lt;='VALOR POR PL'!$P$5,'CP RESUMO'!X76,"")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HISTORICOS'!Y34)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RESUMO'!Y34</f>
        <v/>
      </c>
      <c r="N26" s="139">
        <f>MAX(0,M26-M25)</f>
        <v/>
      </c>
      <c r="O26" s="138">
        <f>IF(B26&lt;='VALOR POR PL'!$P$5,'CP RESUMO'!Y76,"")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HISTORICOS'!Z34)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RESUMO'!Z34</f>
        <v/>
      </c>
      <c r="N27" s="139">
        <f>MAX(0,M27-M26)</f>
        <v/>
      </c>
      <c r="O27" s="138">
        <f>IF(B27&lt;='VALOR POR PL'!$P$5,'CP RESUMO'!Z76,"")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HISTORICOS'!AA34)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RESUMO'!AA34</f>
        <v/>
      </c>
      <c r="N28" s="139">
        <f>MAX(0,M28-M27)</f>
        <v/>
      </c>
      <c r="O28" s="138">
        <f>IF(B28&lt;='VALOR POR PL'!$P$5,'CP RESUMO'!AA76,"")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HISTORICOS'!AB34)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RESUMO'!AB34</f>
        <v/>
      </c>
      <c r="N29" s="139">
        <f>MAX(0,M29-M28)</f>
        <v/>
      </c>
      <c r="O29" s="138">
        <f>IF(B29&lt;='VALOR POR PL'!$P$5,'CP RESUMO'!AB76,"")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HISTORICOS'!AC34)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RESUMO'!AC34</f>
        <v/>
      </c>
      <c r="N30" s="139">
        <f>MAX(0,M30-M29)</f>
        <v/>
      </c>
      <c r="O30" s="138">
        <f>IF(B30&lt;='VALOR POR PL'!$P$5,'CP RESUMO'!AC76,"")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HISTORICOS'!AD34)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RESUMO'!AD34</f>
        <v/>
      </c>
      <c r="N31" s="139">
        <f>MAX(0,M31-M30)</f>
        <v/>
      </c>
      <c r="O31" s="138">
        <f>IF(B31&lt;='VALOR POR PL'!$P$5,'CP RESUMO'!AD76,"")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HISTORICOS'!AE34)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RESUMO'!AE34</f>
        <v/>
      </c>
      <c r="N32" s="139">
        <f>MAX(0,M32-M31)</f>
        <v/>
      </c>
      <c r="O32" s="138">
        <f>IF(B32&lt;='VALOR POR PL'!$P$5,'CP RESUMO'!AE76,"")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HISTORICOS'!AF34)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RESUMO'!AF34</f>
        <v/>
      </c>
      <c r="N33" s="139">
        <f>MAX(0,M33-M32)</f>
        <v/>
      </c>
      <c r="O33" s="138">
        <f>IF(B33&lt;='VALOR POR PL'!$P$5,'CP RESUMO'!AF76,"")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HISTORICOS'!AG34)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RESUMO'!AG34</f>
        <v/>
      </c>
      <c r="N34" s="139">
        <f>MAX(0,M34-M33)</f>
        <v/>
      </c>
      <c r="O34" s="138">
        <f>IF(B34&lt;='VALOR POR PL'!$P$5,'CP RESUMO'!AG76,"")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HISTORICOS'!AH34)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RESUMO'!AH34</f>
        <v/>
      </c>
      <c r="N35" s="139">
        <f>MAX(0,M35-M34)</f>
        <v/>
      </c>
      <c r="O35" s="138">
        <f>IF(B35&lt;='VALOR POR PL'!$P$5,'CP RESUMO'!AH76,"")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HISTORICOS'!AI34)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RESUMO'!AI34</f>
        <v/>
      </c>
      <c r="N36" s="139">
        <f>MAX(0,M36-M35)</f>
        <v/>
      </c>
      <c r="O36" s="138">
        <f>IF(B36&lt;='VALOR POR PL'!$P$5,'CP RESUMO'!AI76,"")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HISTORICOS'!AJ34)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RESUMO'!AJ34</f>
        <v/>
      </c>
      <c r="N37" s="139">
        <f>MAX(0,M37-M36)</f>
        <v/>
      </c>
      <c r="O37" s="138">
        <f>IF(B37&lt;='VALOR POR PL'!$P$5,'CP RESUMO'!AJ76,"")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HISTORICOS'!AK34)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52610.11</v>
      </c>
      <c r="L38" s="49">
        <f>C38/IF(B38&lt;='VALOR POR PL'!$P$5,IFERROR(INDEX('"INCC-FGV"'!$B$2:$B$800,MATCH(B38,'"INCC-FGV"'!$A$2:$A$800,0)),$K$2),$K$2)</f>
        <v/>
      </c>
      <c r="M38" s="138">
        <f>'CP RESUMO'!AK34</f>
        <v/>
      </c>
      <c r="N38" s="139">
        <f>MAX(0,M38-M37)</f>
        <v/>
      </c>
      <c r="O38" s="138">
        <f>IF(B38&lt;='VALOR POR PL'!$P$5,'CP RESUMO'!AK76,"")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HISTORICOS'!AL34)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438417.58</v>
      </c>
      <c r="L39" s="49">
        <f>C39/IF(B39&lt;='VALOR POR PL'!$P$5,IFERROR(INDEX('"INCC-FGV"'!$B$2:$B$800,MATCH(B39,'"INCC-FGV"'!$A$2:$A$800,0)),$K$2),$K$2)</f>
        <v/>
      </c>
      <c r="M39" s="138">
        <f>'CP RESUMO'!AL34</f>
        <v/>
      </c>
      <c r="N39" s="139">
        <f>MAX(0,M39-M38)</f>
        <v/>
      </c>
      <c r="O39" s="138">
        <f>IF(B39&lt;='VALOR POR PL'!$P$5,'CP RESUMO'!AL76,"")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HISTORICOS'!AM34)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592959.78</v>
      </c>
      <c r="L40" s="49">
        <f>C40/IF(B40&lt;='VALOR POR PL'!$P$5,IFERROR(INDEX('"INCC-FGV"'!$B$2:$B$800,MATCH(B40,'"INCC-FGV"'!$A$2:$A$800,0)),$K$2),$K$2)</f>
        <v/>
      </c>
      <c r="M40" s="138">
        <f>'CP RESUMO'!AM34</f>
        <v/>
      </c>
      <c r="N40" s="139">
        <f>MAX(0,M40-M39)</f>
        <v/>
      </c>
      <c r="O40" s="138">
        <f>IF(B40&lt;='VALOR POR PL'!$P$5,'CP RESUMO'!AM76,"")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HISTORICOS'!AN34)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625841.1</v>
      </c>
      <c r="L41" s="49">
        <f>C41/IF(B41&lt;='VALOR POR PL'!$P$5,IFERROR(INDEX('"INCC-FGV"'!$B$2:$B$800,MATCH(B41,'"INCC-FGV"'!$A$2:$A$800,0)),$K$2),$K$2)</f>
        <v/>
      </c>
      <c r="M41" s="138">
        <f>'CP RESUMO'!AN34</f>
        <v/>
      </c>
      <c r="N41" s="139">
        <f>MAX(0,M41-M40)</f>
        <v/>
      </c>
      <c r="O41" s="138">
        <f>IF(B41&lt;='VALOR POR PL'!$P$5,'CP RESUMO'!AN76,"")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HISTORICOS'!AO34)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431841.32</v>
      </c>
      <c r="L42" s="49">
        <f>C42/IF(B42&lt;='VALOR POR PL'!$P$5,IFERROR(INDEX('"INCC-FGV"'!$B$2:$B$800,MATCH(B42,'"INCC-FGV"'!$A$2:$A$800,0)),$K$2),$K$2)</f>
        <v/>
      </c>
      <c r="M42" s="138">
        <f>'CP RESUMO'!AO34</f>
        <v/>
      </c>
      <c r="N42" s="139">
        <f>MAX(0,M42-M41)</f>
        <v/>
      </c>
      <c r="O42" s="138">
        <f>IF(B42&lt;='VALOR POR PL'!$P$5,'CP RESUMO'!AO76,"")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HISTORICOS'!AP34)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607208.35</v>
      </c>
      <c r="L43" s="49">
        <f>C43/IF(B43&lt;='VALOR POR PL'!$P$5,IFERROR(INDEX('"INCC-FGV"'!$B$2:$B$800,MATCH(B43,'"INCC-FGV"'!$A$2:$A$800,0)),$K$2),$K$2)</f>
        <v/>
      </c>
      <c r="M43" s="138">
        <f>'CP RESUMO'!AP34</f>
        <v/>
      </c>
      <c r="N43" s="139">
        <f>MAX(0,M43-M42)</f>
        <v/>
      </c>
      <c r="O43" s="138">
        <f>IF(B43&lt;='VALOR POR PL'!$P$5,'CP RESUMO'!AP76,"")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HISTORICOS'!AQ34)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773807.03</v>
      </c>
      <c r="L44" s="49">
        <f>C44/IF(B44&lt;='VALOR POR PL'!$P$5,IFERROR(INDEX('"INCC-FGV"'!$B$2:$B$800,MATCH(B44,'"INCC-FGV"'!$A$2:$A$800,0)),$K$2),$K$2)</f>
        <v/>
      </c>
      <c r="M44" s="138">
        <f>'CP RESUMO'!AQ34</f>
        <v/>
      </c>
      <c r="N44" s="139">
        <f>MAX(0,M44-M43)</f>
        <v/>
      </c>
      <c r="O44" s="138">
        <f>IF(B44&lt;='VALOR POR PL'!$P$5,'CP RESUMO'!AQ76,"")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HISTORICOS'!AR34)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887795.61</v>
      </c>
      <c r="L45" s="49">
        <f>C45/IF(B45&lt;='VALOR POR PL'!$P$5,IFERROR(INDEX('"INCC-FGV"'!$B$2:$B$800,MATCH(B45,'"INCC-FGV"'!$A$2:$A$800,0)),$K$2),$K$2)</f>
        <v/>
      </c>
      <c r="M45" s="138">
        <f>'CP RESUMO'!AR34</f>
        <v/>
      </c>
      <c r="N45" s="139">
        <f>MAX(0,M45-M44)</f>
        <v/>
      </c>
      <c r="O45" s="138">
        <f>IF(B45&lt;='VALOR POR PL'!$P$5,'CP RESUMO'!AR76,"")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HISTORICOS'!AS34)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788055.61</v>
      </c>
      <c r="L46" s="49">
        <f>C46/IF(B46&lt;='VALOR POR PL'!$P$5,IFERROR(INDEX('"INCC-FGV"'!$B$2:$B$800,MATCH(B46,'"INCC-FGV"'!$A$2:$A$800,0)),$K$2),$K$2)</f>
        <v/>
      </c>
      <c r="M46" s="138">
        <f>'CP RESUMO'!AS34</f>
        <v/>
      </c>
      <c r="N46" s="139">
        <f>MAX(0,M46-M45)</f>
        <v/>
      </c>
      <c r="O46" s="138">
        <f>IF(B46&lt;='VALOR POR PL'!$P$5,'CP RESUMO'!AS76,"")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HISTORICOS'!AT34)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839569.67</v>
      </c>
      <c r="L47" s="49">
        <f>C47/IF(B47&lt;='VALOR POR PL'!$P$5,IFERROR(INDEX('"INCC-FGV"'!$B$2:$B$800,MATCH(B47,'"INCC-FGV"'!$A$2:$A$800,0)),$K$2),$K$2)</f>
        <v/>
      </c>
      <c r="M47" s="138">
        <f>'CP RESUMO'!AT34</f>
        <v/>
      </c>
      <c r="N47" s="139">
        <f>MAX(0,M47-M46)</f>
        <v/>
      </c>
      <c r="O47" s="138">
        <f>IF(B47&lt;='VALOR POR PL'!$P$5,'CP RESUMO'!AT76,"")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HISTORICOS'!AU34)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905332.3100000001</v>
      </c>
      <c r="L48" s="49">
        <f>C48/IF(B48&lt;='VALOR POR PL'!$P$5,IFERROR(INDEX('"INCC-FGV"'!$B$2:$B$800,MATCH(B48,'"INCC-FGV"'!$A$2:$A$800,0)),$K$2),$K$2)</f>
        <v/>
      </c>
      <c r="M48" s="138">
        <f>'CP RESUMO'!AU34</f>
        <v/>
      </c>
      <c r="N48" s="139">
        <f>MAX(0,M48-M47)</f>
        <v/>
      </c>
      <c r="O48" s="138">
        <f>IF(B48&lt;='VALOR POR PL'!$P$5,'CP RESUMO'!AU76,"")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HISTORICOS'!AV34)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708044.4</v>
      </c>
      <c r="L49" s="49">
        <f>C49/IF(B49&lt;='VALOR POR PL'!$P$5,IFERROR(INDEX('"INCC-FGV"'!$B$2:$B$800,MATCH(B49,'"INCC-FGV"'!$A$2:$A$800,0)),$K$2),$K$2)</f>
        <v/>
      </c>
      <c r="M49" s="138">
        <f>'CP RESUMO'!AV34</f>
        <v/>
      </c>
      <c r="N49" s="139">
        <f>MAX(0,M49-M48)</f>
        <v/>
      </c>
      <c r="O49" s="138">
        <f>IF(B49&lt;='VALOR POR PL'!$P$5,'CP RESUMO'!AV76,"")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HISTORICOS'!AW34)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574327.03</v>
      </c>
      <c r="L50" s="49">
        <f>C50/IF(B50&lt;='VALOR POR PL'!$P$5,IFERROR(INDEX('"INCC-FGV"'!$B$2:$B$800,MATCH(B50,'"INCC-FGV"'!$A$2:$A$800,0)),$K$2),$K$2)</f>
        <v/>
      </c>
      <c r="M50" s="138">
        <f>'CP RESUMO'!AW34</f>
        <v/>
      </c>
      <c r="N50" s="139">
        <f>MAX(0,M50-M49)</f>
        <v/>
      </c>
      <c r="O50" s="138">
        <f>IF(B50&lt;='VALOR POR PL'!$P$5,'CP RESUMO'!AW76,"")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HISTORICOS'!AX34)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584191.4300000001</v>
      </c>
      <c r="L51" s="49">
        <f>C51/IF(B51&lt;='VALOR POR PL'!$P$5,IFERROR(INDEX('"INCC-FGV"'!$B$2:$B$800,MATCH(B51,'"INCC-FGV"'!$A$2:$A$800,0)),$K$2),$K$2)</f>
        <v/>
      </c>
      <c r="M51" s="138">
        <f>'CP RESUMO'!AX34</f>
        <v/>
      </c>
      <c r="N51" s="139">
        <f>MAX(0,M51-M50)</f>
        <v/>
      </c>
      <c r="O51" s="138">
        <f>IF(B51&lt;='VALOR POR PL'!$P$5,'CP RESUMO'!AX76,"")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HISTORICOS'!AY34)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486643.52</v>
      </c>
      <c r="L52" s="49">
        <f>C52/IF(B52&lt;='VALOR POR PL'!$P$5,IFERROR(INDEX('"INCC-FGV"'!$B$2:$B$800,MATCH(B52,'"INCC-FGV"'!$A$2:$A$800,0)),$K$2),$K$2)</f>
        <v/>
      </c>
      <c r="M52" s="138">
        <f>'CP RESUMO'!AY34</f>
        <v/>
      </c>
      <c r="N52" s="139">
        <f>MAX(0,M52-M51)</f>
        <v/>
      </c>
      <c r="O52" s="138">
        <f>IF(B52&lt;='VALOR POR PL'!$P$5,'CP RESUMO'!AY76,"")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HISTORICOS'!AZ34)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562270.55</v>
      </c>
      <c r="L53" s="49">
        <f>C53/IF(B53&lt;='VALOR POR PL'!$P$5,IFERROR(INDEX('"INCC-FGV"'!$B$2:$B$800,MATCH(B53,'"INCC-FGV"'!$A$2:$A$800,0)),$K$2),$K$2)</f>
        <v/>
      </c>
      <c r="M53" s="138">
        <f>'CP RESUMO'!AZ34</f>
        <v/>
      </c>
      <c r="N53" s="139">
        <f>MAX(0,M53-M52)</f>
        <v/>
      </c>
      <c r="O53" s="138">
        <f>IF(B53&lt;='VALOR POR PL'!$P$5,'CP RESUMO'!AZ76,"")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HISTORICOS'!BA34)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516236.7</v>
      </c>
      <c r="L54" s="49">
        <f>C54/IF(B54&lt;='VALOR POR PL'!$P$5,IFERROR(INDEX('"INCC-FGV"'!$B$2:$B$800,MATCH(B54,'"INCC-FGV"'!$A$2:$A$800,0)),$K$2),$K$2)</f>
        <v/>
      </c>
      <c r="M54" s="138">
        <f>'CP RESUMO'!BA34</f>
        <v/>
      </c>
      <c r="N54" s="139">
        <f>MAX(0,M54-M53)</f>
        <v/>
      </c>
      <c r="O54" s="138">
        <f>IF(B54&lt;='VALOR POR PL'!$P$5,'CP RESUMO'!BA76,"")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HISTORICOS'!BB34)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416496.7</v>
      </c>
      <c r="L55" s="49">
        <f>C55/IF(B55&lt;='VALOR POR PL'!$P$5,IFERROR(INDEX('"INCC-FGV"'!$B$2:$B$800,MATCH(B55,'"INCC-FGV"'!$A$2:$A$800,0)),$K$2),$K$2)</f>
        <v/>
      </c>
      <c r="M55" s="138">
        <f>'CP RESUMO'!BB34</f>
        <v/>
      </c>
      <c r="N55" s="139">
        <f>MAX(0,M55-M54)</f>
        <v/>
      </c>
      <c r="O55" s="138">
        <f>IF(B55&lt;='VALOR POR PL'!$P$5,'CP RESUMO'!BB76,"")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HISTORICOS'!BC34)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160196.29</v>
      </c>
      <c r="L56" s="49">
        <f>C56/IF(B56&lt;='VALOR POR PL'!$P$5,IFERROR(INDEX('"INCC-FGV"'!$B$2:$B$800,MATCH(B56,'"INCC-FGV"'!$A$2:$A$800,0)),$K$2),$K$2)</f>
        <v/>
      </c>
      <c r="M56" s="138">
        <f>'CP RESUMO'!BC34</f>
        <v/>
      </c>
      <c r="N56" s="139">
        <f>MAX(0,M56-M55)</f>
        <v/>
      </c>
      <c r="O56" s="138">
        <f>IF(B56&lt;='VALOR POR PL'!$P$5,'CP RESUMO'!BC76,"")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HISTORICOS'!BD34)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RESUMO'!BD34</f>
        <v/>
      </c>
      <c r="N57" s="139">
        <f>MAX(0,M57-M56)</f>
        <v/>
      </c>
      <c r="O57" s="138">
        <f>IF(B57&lt;='VALOR POR PL'!$P$5,'CP RESUMO'!BD76,"")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HISTORICOS'!BE34)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RESUMO'!BE34</f>
        <v/>
      </c>
      <c r="N58" s="139">
        <f>MAX(0,M58-M57)</f>
        <v/>
      </c>
      <c r="O58" s="138">
        <f>IF(B58&lt;='VALOR POR PL'!$P$5,'CP RESUMO'!BE76,"")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HISTORICOS'!BF34)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RESUMO'!BF34</f>
        <v/>
      </c>
      <c r="N59" s="139">
        <f>MAX(0,M59-M58)</f>
        <v/>
      </c>
      <c r="O59" s="138">
        <f>IF(B59&lt;='VALOR POR PL'!$P$5,'CP RESUMO'!BF76,"")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HISTORICOS'!BG34)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RESUMO'!BG34</f>
        <v/>
      </c>
      <c r="N60" s="139">
        <f>MAX(0,M60-M59)</f>
        <v/>
      </c>
      <c r="O60" s="138">
        <f>IF(B60&lt;='VALOR POR PL'!$P$5,'CP RESUMO'!BG76,"")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HISTORICOS'!BH34)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RESUMO'!BH34</f>
        <v/>
      </c>
      <c r="N61" s="139">
        <f>MAX(0,M61-M60)</f>
        <v/>
      </c>
      <c r="O61" s="138">
        <f>IF(B61&lt;='VALOR POR PL'!$P$5,'CP RESUMO'!BH76,"")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HISTORICOS'!BI34)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RESUMO'!BI34</f>
        <v/>
      </c>
      <c r="N62" s="139">
        <f>MAX(0,M62-M61)</f>
        <v/>
      </c>
      <c r="O62" s="138">
        <f>IF(B62&lt;='VALOR POR PL'!$P$5,'CP RESUMO'!BI76,"")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HISTORICOS'!BJ34)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RESUMO'!BJ34</f>
        <v/>
      </c>
      <c r="N63" s="139">
        <f>MAX(0,M63-M62)</f>
        <v/>
      </c>
      <c r="O63" s="138">
        <f>IF(B63&lt;='VALOR POR PL'!$P$5,'CP RESUMO'!BJ76,"")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HISTORICOS'!BK34)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RESUMO'!BK34</f>
        <v/>
      </c>
      <c r="N64" s="139">
        <f>MAX(0,M64-M63)</f>
        <v/>
      </c>
      <c r="O64" s="138">
        <f>IF(B64&lt;='VALOR POR PL'!$P$5,'CP RESUMO'!BK76,"")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HISTORICOS'!BL34)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RESUMO'!BL34</f>
        <v/>
      </c>
      <c r="N65" s="139">
        <f>MAX(0,M65-M64)</f>
        <v/>
      </c>
      <c r="O65" s="138">
        <f>IF(B65&lt;='VALOR POR PL'!$P$5,'CP RESUMO'!BL76,"")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HISTORICOS'!BM34)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RESUMO'!BM34</f>
        <v/>
      </c>
      <c r="N66" s="139">
        <f>MAX(0,M66-M65)</f>
        <v/>
      </c>
      <c r="O66" s="138">
        <f>IF(B66&lt;='VALOR POR PL'!$P$5,'CP RESUMO'!BM76,"")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HISTORICOS'!BN34)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RESUMO'!BN34</f>
        <v/>
      </c>
      <c r="N67" s="139">
        <f>MAX(0,M67-M66)</f>
        <v/>
      </c>
      <c r="O67" s="138">
        <f>IF(B67&lt;='VALOR POR PL'!$P$5,'CP RESUMO'!BN76,"")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HISTORICOS'!BO34)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RESUMO'!BO34</f>
        <v/>
      </c>
      <c r="N68" s="139">
        <f>MAX(0,M68-M67)</f>
        <v/>
      </c>
      <c r="O68" s="138">
        <f>IF(B68&lt;='VALOR POR PL'!$P$5,'CP RESUMO'!BO76,"")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HISTORICOS'!BP34)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RESUMO'!BP34</f>
        <v/>
      </c>
      <c r="N69" s="139">
        <f>MAX(0,M69-M68)</f>
        <v/>
      </c>
      <c r="O69" s="138">
        <f>IF(B69&lt;='VALOR POR PL'!$P$5,'CP RESUMO'!BP76,"")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HISTORICOS'!BQ34)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RESUMO'!BQ34</f>
        <v/>
      </c>
      <c r="N70" s="139">
        <f>MAX(0,M70-M69)</f>
        <v/>
      </c>
      <c r="O70" s="138">
        <f>IF(B70&lt;='VALOR POR PL'!$P$5,'CP RESUMO'!BQ76,"")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HISTORICOS'!BR34)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RESUMO'!BR34</f>
        <v/>
      </c>
      <c r="N71" s="139">
        <f>MAX(0,M71-M70)</f>
        <v/>
      </c>
      <c r="O71" s="138">
        <f>IF(B71&lt;='VALOR POR PL'!$P$5,'CP RESUMO'!BR76,"")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HISTORICOS'!BS34)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RESUMO'!BS34</f>
        <v/>
      </c>
      <c r="N72" s="139">
        <f>MAX(0,M72-M71)</f>
        <v/>
      </c>
      <c r="O72" s="138">
        <f>IF(B72&lt;='VALOR POR PL'!$P$5,'CP RESUMO'!BS76,"")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HISTORICOS'!BT34)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RESUMO'!BT34</f>
        <v/>
      </c>
      <c r="N73" s="139">
        <f>MAX(0,M73-M72)</f>
        <v/>
      </c>
      <c r="O73" s="138">
        <f>IF(B73&lt;='VALOR POR PL'!$P$5,'CP RESUMO'!BT76,"")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HISTORICOS'!BU34)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RESUMO'!BU34</f>
        <v/>
      </c>
      <c r="N74" s="139">
        <f>MAX(0,M74-M73)</f>
        <v/>
      </c>
      <c r="O74" s="138">
        <f>IF(B74&lt;='VALOR POR PL'!$P$5,'CP RESUMO'!BU76,"")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HISTORICOS'!BV34)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RESUMO'!BV34</f>
        <v/>
      </c>
      <c r="N75" s="139">
        <f>MAX(0,M75-M74)</f>
        <v/>
      </c>
      <c r="O75" s="138">
        <f>IF(B75&lt;='VALOR POR PL'!$P$5,'CP RESUMO'!BV76,"")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HISTORICOS'!BW34)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RESUMO'!BW34</f>
        <v/>
      </c>
      <c r="N76" s="139">
        <f>MAX(0,M76-M75)</f>
        <v/>
      </c>
      <c r="O76" s="138">
        <f>IF(B76&lt;='VALOR POR PL'!$P$5,'CP RESUMO'!BW76,"")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PL'!D41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HISTORICOS'!D35)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PL'!F41</f>
        <v/>
      </c>
      <c r="K5" s="60">
        <f>'VALOR POR PL'!G41</f>
        <v/>
      </c>
      <c r="L5" s="60">
        <f>'DADOS HISTORICOS'!$BZ$35</f>
        <v/>
      </c>
      <c r="M5" s="138">
        <f>'CP RESUMO'!D35</f>
        <v/>
      </c>
      <c r="N5" s="139" t="n">
        <v>0</v>
      </c>
      <c r="O5" s="138">
        <f>IF(B5&lt;='VALOR POR PL'!$P$5,'CP RESUMO'!D77,"")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HISTORICOS'!E35)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PL'!H41</f>
        <v/>
      </c>
      <c r="L6" s="49">
        <f>C6/IF(B6&lt;='VALOR POR PL'!$P$5,IFERROR(INDEX('"INCC-FGV"'!$B$2:$B$800,MATCH(B6,'"INCC-FGV"'!$A$2:$A$800,0)),$K$2),$K$2)</f>
        <v/>
      </c>
      <c r="M6" s="138">
        <f>'CP RESUMO'!E35</f>
        <v/>
      </c>
      <c r="N6" s="139">
        <f>MAX(0,M6-M5)</f>
        <v/>
      </c>
      <c r="O6" s="138">
        <f>IF(B6&lt;='VALOR POR PL'!$P$5,'CP RESUMO'!E77,"")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HISTORICOS'!F35)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RESUMO'!F35</f>
        <v/>
      </c>
      <c r="N7" s="139">
        <f>MAX(0,M7-M6)</f>
        <v/>
      </c>
      <c r="O7" s="138">
        <f>IF(B7&lt;='VALOR POR PL'!$P$5,'CP RESUMO'!F77,"")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HISTORICOS'!G35)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RESUMO'!G35</f>
        <v/>
      </c>
      <c r="N8" s="139">
        <f>MAX(0,M8-M7)</f>
        <v/>
      </c>
      <c r="O8" s="138">
        <f>IF(B8&lt;='VALOR POR PL'!$P$5,'CP RESUMO'!G77,"")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HISTORICOS'!H35)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RESUMO'!H35</f>
        <v/>
      </c>
      <c r="N9" s="139">
        <f>MAX(0,M9-M8)</f>
        <v/>
      </c>
      <c r="O9" s="138">
        <f>IF(B9&lt;='VALOR POR PL'!$P$5,'CP RESUMO'!H77,"")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HISTORICOS'!I35)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RESUMO'!I35</f>
        <v/>
      </c>
      <c r="N10" s="139">
        <f>MAX(0,M10-M9)</f>
        <v/>
      </c>
      <c r="O10" s="138">
        <f>IF(B10&lt;='VALOR POR PL'!$P$5,'CP RESUMO'!I77,"")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HISTORICOS'!J35)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RESUMO'!J35</f>
        <v/>
      </c>
      <c r="N11" s="139">
        <f>MAX(0,M11-M10)</f>
        <v/>
      </c>
      <c r="O11" s="138">
        <f>IF(B11&lt;='VALOR POR PL'!$P$5,'CP RESUMO'!J77,"")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HISTORICOS'!K35)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RESUMO'!K35</f>
        <v/>
      </c>
      <c r="N12" s="139">
        <f>MAX(0,M12-M11)</f>
        <v/>
      </c>
      <c r="O12" s="138">
        <f>IF(B12&lt;='VALOR POR PL'!$P$5,'CP RESUMO'!K77,"")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HISTORICOS'!L35)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PL'!I41</f>
        <v/>
      </c>
      <c r="L13" s="49">
        <f>C13/IF(B13&lt;='VALOR POR PL'!$P$5,IFERROR(INDEX('"INCC-FGV"'!$B$2:$B$800,MATCH(B13,'"INCC-FGV"'!$A$2:$A$800,0)),$K$2),$K$2)</f>
        <v/>
      </c>
      <c r="M13" s="138">
        <f>'CP RESUMO'!L35</f>
        <v/>
      </c>
      <c r="N13" s="139">
        <f>MAX(0,M13-M12)</f>
        <v/>
      </c>
      <c r="O13" s="138">
        <f>IF(B13&lt;='VALOR POR PL'!$P$5,'CP RESUMO'!L77,"")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HISTORICOS'!M35)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RESUMO'!$D$77:$BW$77,MATCH('VALOR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RESUMO'!M35</f>
        <v/>
      </c>
      <c r="N14" s="139">
        <f>MAX(0,M14-M13)</f>
        <v/>
      </c>
      <c r="O14" s="138">
        <f>IF(B14&lt;='VALOR POR PL'!$P$5,'CP RESUMO'!M77,"")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HISTORICOS'!N35)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RESUMO'!N35</f>
        <v/>
      </c>
      <c r="N15" s="139">
        <f>MAX(0,M15-M14)</f>
        <v/>
      </c>
      <c r="O15" s="138">
        <f>IF(B15&lt;='VALOR POR PL'!$P$5,'CP RESUMO'!N77,"")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HISTORICOS'!O35)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RESUMO'!O35</f>
        <v/>
      </c>
      <c r="N16" s="139">
        <f>MAX(0,M16-M15)</f>
        <v/>
      </c>
      <c r="O16" s="138">
        <f>IF(B16&lt;='VALOR POR PL'!$P$5,'CP RESUMO'!O77,"")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HISTORICOS'!P35)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RESUMO'!P35</f>
        <v/>
      </c>
      <c r="N17" s="139">
        <f>MAX(0,M17-M16)</f>
        <v/>
      </c>
      <c r="O17" s="138">
        <f>IF(B17&lt;='VALOR POR PL'!$P$5,'CP RESUMO'!P77,"")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HISTORICOS'!Q35)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RESUMO'!Q35</f>
        <v/>
      </c>
      <c r="N18" s="139">
        <f>MAX(0,M18-M17)</f>
        <v/>
      </c>
      <c r="O18" s="138">
        <f>IF(B18&lt;='VALOR POR PL'!$P$5,'CP RESUMO'!Q77,"")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HISTORICOS'!R35)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RESUMO'!R35</f>
        <v/>
      </c>
      <c r="N19" s="139">
        <f>MAX(0,M19-M18)</f>
        <v/>
      </c>
      <c r="O19" s="138">
        <f>IF(B19&lt;='VALOR POR PL'!$P$5,'CP RESUMO'!R77,"")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HISTORICOS'!S35)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RESUMO'!S35</f>
        <v/>
      </c>
      <c r="N20" s="139">
        <f>MAX(0,M20-M19)</f>
        <v/>
      </c>
      <c r="O20" s="138">
        <f>IF(B20&lt;='VALOR POR PL'!$P$5,'CP RESUMO'!S77,"")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HISTORICOS'!T35)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RESUMO'!T35</f>
        <v/>
      </c>
      <c r="N21" s="139">
        <f>MAX(0,M21-M20)</f>
        <v/>
      </c>
      <c r="O21" s="138">
        <f>IF(B21&lt;='VALOR POR PL'!$P$5,'CP RESUMO'!T77,"")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HISTORICOS'!U35)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RESUMO'!U35</f>
        <v/>
      </c>
      <c r="N22" s="139">
        <f>MAX(0,M22-M21)</f>
        <v/>
      </c>
      <c r="O22" s="138">
        <f>IF(B22&lt;='VALOR POR PL'!$P$5,'CP RESUMO'!U77,"")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HISTORICOS'!V35)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RESUMO'!V35</f>
        <v/>
      </c>
      <c r="N23" s="139">
        <f>MAX(0,M23-M22)</f>
        <v/>
      </c>
      <c r="O23" s="138">
        <f>IF(B23&lt;='VALOR POR PL'!$P$5,'CP RESUMO'!V77,"")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HISTORICOS'!W35)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RESUMO'!W35</f>
        <v/>
      </c>
      <c r="N24" s="139">
        <f>MAX(0,M24-M23)</f>
        <v/>
      </c>
      <c r="O24" s="138">
        <f>IF(B24&lt;='VALOR POR PL'!$P$5,'CP RESUMO'!W77,"")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HISTORICOS'!X35)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RESUMO'!X35</f>
        <v/>
      </c>
      <c r="N25" s="139">
        <f>MAX(0,M25-M24)</f>
        <v/>
      </c>
      <c r="O25" s="138">
        <f>IF(B25&lt;='VALOR POR PL'!$P$5,'CP RESUMO'!X77,"")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HISTORICOS'!Y35)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RESUMO'!Y35</f>
        <v/>
      </c>
      <c r="N26" s="139">
        <f>MAX(0,M26-M25)</f>
        <v/>
      </c>
      <c r="O26" s="138">
        <f>IF(B26&lt;='VALOR POR PL'!$P$5,'CP RESUMO'!Y77,"")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HISTORICOS'!Z35)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RESUMO'!Z35</f>
        <v/>
      </c>
      <c r="N27" s="139">
        <f>MAX(0,M27-M26)</f>
        <v/>
      </c>
      <c r="O27" s="138">
        <f>IF(B27&lt;='VALOR POR PL'!$P$5,'CP RESUMO'!Z77,"")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HISTORICOS'!AA35)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RESUMO'!AA35</f>
        <v/>
      </c>
      <c r="N28" s="139">
        <f>MAX(0,M28-M27)</f>
        <v/>
      </c>
      <c r="O28" s="138">
        <f>IF(B28&lt;='VALOR POR PL'!$P$5,'CP RESUMO'!AA77,"")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HISTORICOS'!AB35)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RESUMO'!AB35</f>
        <v/>
      </c>
      <c r="N29" s="139">
        <f>MAX(0,M29-M28)</f>
        <v/>
      </c>
      <c r="O29" s="138">
        <f>IF(B29&lt;='VALOR POR PL'!$P$5,'CP RESUMO'!AB77,"")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HISTORICOS'!AC35)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RESUMO'!AC35</f>
        <v/>
      </c>
      <c r="N30" s="139">
        <f>MAX(0,M30-M29)</f>
        <v/>
      </c>
      <c r="O30" s="138">
        <f>IF(B30&lt;='VALOR POR PL'!$P$5,'CP RESUMO'!AC77,"")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HISTORICOS'!AD35)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RESUMO'!AD35</f>
        <v/>
      </c>
      <c r="N31" s="139">
        <f>MAX(0,M31-M30)</f>
        <v/>
      </c>
      <c r="O31" s="138">
        <f>IF(B31&lt;='VALOR POR PL'!$P$5,'CP RESUMO'!AD77,"")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HISTORICOS'!AE35)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RESUMO'!AE35</f>
        <v/>
      </c>
      <c r="N32" s="139">
        <f>MAX(0,M32-M31)</f>
        <v/>
      </c>
      <c r="O32" s="138">
        <f>IF(B32&lt;='VALOR POR PL'!$P$5,'CP RESUMO'!AE77,"")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HISTORICOS'!AF35)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RESUMO'!AF35</f>
        <v/>
      </c>
      <c r="N33" s="139">
        <f>MAX(0,M33-M32)</f>
        <v/>
      </c>
      <c r="O33" s="138">
        <f>IF(B33&lt;='VALOR POR PL'!$P$5,'CP RESUMO'!AF77,"")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HISTORICOS'!AG35)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RESUMO'!AG35</f>
        <v/>
      </c>
      <c r="N34" s="139">
        <f>MAX(0,M34-M33)</f>
        <v/>
      </c>
      <c r="O34" s="138">
        <f>IF(B34&lt;='VALOR POR PL'!$P$5,'CP RESUMO'!AG77,"")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HISTORICOS'!AH35)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RESUMO'!AH35</f>
        <v/>
      </c>
      <c r="N35" s="139">
        <f>MAX(0,M35-M34)</f>
        <v/>
      </c>
      <c r="O35" s="138">
        <f>IF(B35&lt;='VALOR POR PL'!$P$5,'CP RESUMO'!AH77,"")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HISTORICOS'!AI35)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RESUMO'!AI35</f>
        <v/>
      </c>
      <c r="N36" s="139">
        <f>MAX(0,M36-M35)</f>
        <v/>
      </c>
      <c r="O36" s="138">
        <f>IF(B36&lt;='VALOR POR PL'!$P$5,'CP RESUMO'!AI77,"")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HISTORICOS'!AJ35)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RESUMO'!AJ35</f>
        <v/>
      </c>
      <c r="N37" s="139">
        <f>MAX(0,M37-M36)</f>
        <v/>
      </c>
      <c r="O37" s="138">
        <f>IF(B37&lt;='VALOR POR PL'!$P$5,'CP RESUMO'!AJ77,"")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HISTORICOS'!AK35)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RESUMO'!AK35</f>
        <v/>
      </c>
      <c r="N38" s="139">
        <f>MAX(0,M38-M37)</f>
        <v/>
      </c>
      <c r="O38" s="138">
        <f>IF(B38&lt;='VALOR POR PL'!$P$5,'CP RESUMO'!AK77,"")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HISTORICOS'!AL35)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RESUMO'!AL35</f>
        <v/>
      </c>
      <c r="N39" s="139">
        <f>MAX(0,M39-M38)</f>
        <v/>
      </c>
      <c r="O39" s="138">
        <f>IF(B39&lt;='VALOR POR PL'!$P$5,'CP RESUMO'!AL77,"")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HISTORICOS'!AM35)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RESUMO'!AM35</f>
        <v/>
      </c>
      <c r="N40" s="139">
        <f>MAX(0,M40-M39)</f>
        <v/>
      </c>
      <c r="O40" s="138">
        <f>IF(B40&lt;='VALOR POR PL'!$P$5,'CP RESUMO'!AM77,"")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HISTORICOS'!AN35)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RESUMO'!AN35</f>
        <v/>
      </c>
      <c r="N41" s="139">
        <f>MAX(0,M41-M40)</f>
        <v/>
      </c>
      <c r="O41" s="138">
        <f>IF(B41&lt;='VALOR POR PL'!$P$5,'CP RESUMO'!AN77,"")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HISTORICOS'!AO35)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17063.53</v>
      </c>
      <c r="L42" s="49">
        <f>C42/IF(B42&lt;='VALOR POR PL'!$P$5,IFERROR(INDEX('"INCC-FGV"'!$B$2:$B$800,MATCH(B42,'"INCC-FGV"'!$A$2:$A$800,0)),$K$2),$K$2)</f>
        <v/>
      </c>
      <c r="M42" s="138">
        <f>'CP RESUMO'!AO35</f>
        <v/>
      </c>
      <c r="N42" s="139">
        <f>MAX(0,M42-M41)</f>
        <v/>
      </c>
      <c r="O42" s="138">
        <f>IF(B42&lt;='VALOR POR PL'!$P$5,'CP RESUMO'!AO77,"")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HISTORICOS'!AP35)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35839.05</v>
      </c>
      <c r="L43" s="49">
        <f>C43/IF(B43&lt;='VALOR POR PL'!$P$5,IFERROR(INDEX('"INCC-FGV"'!$B$2:$B$800,MATCH(B43,'"INCC-FGV"'!$A$2:$A$800,0)),$K$2),$K$2)</f>
        <v/>
      </c>
      <c r="M43" s="138">
        <f>'CP RESUMO'!AP35</f>
        <v/>
      </c>
      <c r="N43" s="139">
        <f>MAX(0,M43-M42)</f>
        <v/>
      </c>
      <c r="O43" s="138">
        <f>IF(B43&lt;='VALOR POR PL'!$P$5,'CP RESUMO'!AP77,"")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HISTORICOS'!AQ35)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35839.05</v>
      </c>
      <c r="L44" s="49">
        <f>C44/IF(B44&lt;='VALOR POR PL'!$P$5,IFERROR(INDEX('"INCC-FGV"'!$B$2:$B$800,MATCH(B44,'"INCC-FGV"'!$A$2:$A$800,0)),$K$2),$K$2)</f>
        <v/>
      </c>
      <c r="M44" s="138">
        <f>'CP RESUMO'!AQ35</f>
        <v/>
      </c>
      <c r="N44" s="139">
        <f>MAX(0,M44-M43)</f>
        <v/>
      </c>
      <c r="O44" s="138">
        <f>IF(B44&lt;='VALOR POR PL'!$P$5,'CP RESUMO'!AQ77,"")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HISTORICOS'!AR35)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23888.95</v>
      </c>
      <c r="L45" s="49">
        <f>C45/IF(B45&lt;='VALOR POR PL'!$P$5,IFERROR(INDEX('"INCC-FGV"'!$B$2:$B$800,MATCH(B45,'"INCC-FGV"'!$A$2:$A$800,0)),$K$2),$K$2)</f>
        <v/>
      </c>
      <c r="M45" s="138">
        <f>'CP RESUMO'!AR35</f>
        <v/>
      </c>
      <c r="N45" s="139">
        <f>MAX(0,M45-M44)</f>
        <v/>
      </c>
      <c r="O45" s="138">
        <f>IF(B45&lt;='VALOR POR PL'!$P$5,'CP RESUMO'!AR77,"")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HISTORICOS'!AS35)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RESUMO'!AS35</f>
        <v/>
      </c>
      <c r="N46" s="139">
        <f>MAX(0,M46-M45)</f>
        <v/>
      </c>
      <c r="O46" s="138">
        <f>IF(B46&lt;='VALOR POR PL'!$P$5,'CP RESUMO'!AS77,"")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HISTORICOS'!AT35)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RESUMO'!AT35</f>
        <v/>
      </c>
      <c r="N47" s="139">
        <f>MAX(0,M47-M46)</f>
        <v/>
      </c>
      <c r="O47" s="138">
        <f>IF(B47&lt;='VALOR POR PL'!$P$5,'CP RESUMO'!AT77,"")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HISTORICOS'!AU35)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RESUMO'!AU35</f>
        <v/>
      </c>
      <c r="N48" s="139">
        <f>MAX(0,M48-M47)</f>
        <v/>
      </c>
      <c r="O48" s="138">
        <f>IF(B48&lt;='VALOR POR PL'!$P$5,'CP RESUMO'!AU77,"")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HISTORICOS'!AV35)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RESUMO'!AV35</f>
        <v/>
      </c>
      <c r="N49" s="139">
        <f>MAX(0,M49-M48)</f>
        <v/>
      </c>
      <c r="O49" s="138">
        <f>IF(B49&lt;='VALOR POR PL'!$P$5,'CP RESUMO'!AV77,"")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HISTORICOS'!AW35)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/>
      <c r="L50" s="49">
        <f>C50/IF(B50&lt;='VALOR POR PL'!$P$5,IFERROR(INDEX('"INCC-FGV"'!$B$2:$B$800,MATCH(B50,'"INCC-FGV"'!$A$2:$A$800,0)),$K$2),$K$2)</f>
        <v/>
      </c>
      <c r="M50" s="138">
        <f>'CP RESUMO'!AW35</f>
        <v/>
      </c>
      <c r="N50" s="139">
        <f>MAX(0,M50-M49)</f>
        <v/>
      </c>
      <c r="O50" s="138">
        <f>IF(B50&lt;='VALOR POR PL'!$P$5,'CP RESUMO'!AW77,"")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HISTORICOS'!AX35)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/>
      <c r="L51" s="49">
        <f>C51/IF(B51&lt;='VALOR POR PL'!$P$5,IFERROR(INDEX('"INCC-FGV"'!$B$2:$B$800,MATCH(B51,'"INCC-FGV"'!$A$2:$A$800,0)),$K$2),$K$2)</f>
        <v/>
      </c>
      <c r="M51" s="138">
        <f>'CP RESUMO'!AX35</f>
        <v/>
      </c>
      <c r="N51" s="139">
        <f>MAX(0,M51-M50)</f>
        <v/>
      </c>
      <c r="O51" s="138">
        <f>IF(B51&lt;='VALOR POR PL'!$P$5,'CP RESUMO'!AX77,"")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HISTORICOS'!AY35)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/>
      <c r="L52" s="49">
        <f>C52/IF(B52&lt;='VALOR POR PL'!$P$5,IFERROR(INDEX('"INCC-FGV"'!$B$2:$B$800,MATCH(B52,'"INCC-FGV"'!$A$2:$A$800,0)),$K$2),$K$2)</f>
        <v/>
      </c>
      <c r="M52" s="138">
        <f>'CP RESUMO'!AY35</f>
        <v/>
      </c>
      <c r="N52" s="139">
        <f>MAX(0,M52-M51)</f>
        <v/>
      </c>
      <c r="O52" s="138">
        <f>IF(B52&lt;='VALOR POR PL'!$P$5,'CP RESUMO'!AY77,"")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HISTORICOS'!AZ35)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/>
      <c r="L53" s="49">
        <f>C53/IF(B53&lt;='VALOR POR PL'!$P$5,IFERROR(INDEX('"INCC-FGV"'!$B$2:$B$800,MATCH(B53,'"INCC-FGV"'!$A$2:$A$800,0)),$K$2),$K$2)</f>
        <v/>
      </c>
      <c r="M53" s="138">
        <f>'CP RESUMO'!AZ35</f>
        <v/>
      </c>
      <c r="N53" s="139">
        <f>MAX(0,M53-M52)</f>
        <v/>
      </c>
      <c r="O53" s="138">
        <f>IF(B53&lt;='VALOR POR PL'!$P$5,'CP RESUMO'!AZ77,"")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HISTORICOS'!BA35)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RESUMO'!BA35</f>
        <v/>
      </c>
      <c r="N54" s="139">
        <f>MAX(0,M54-M53)</f>
        <v/>
      </c>
      <c r="O54" s="138">
        <f>IF(B54&lt;='VALOR POR PL'!$P$5,'CP RESUMO'!BA77,"")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HISTORICOS'!BB35)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RESUMO'!BB35</f>
        <v/>
      </c>
      <c r="N55" s="139">
        <f>MAX(0,M55-M54)</f>
        <v/>
      </c>
      <c r="O55" s="138">
        <f>IF(B55&lt;='VALOR POR PL'!$P$5,'CP RESUMO'!BB77,"")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HISTORICOS'!BC35)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RESUMO'!BC35</f>
        <v/>
      </c>
      <c r="N56" s="139">
        <f>MAX(0,M56-M55)</f>
        <v/>
      </c>
      <c r="O56" s="138">
        <f>IF(B56&lt;='VALOR POR PL'!$P$5,'CP RESUMO'!BC77,"")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HISTORICOS'!BD35)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RESUMO'!BD35</f>
        <v/>
      </c>
      <c r="N57" s="139">
        <f>MAX(0,M57-M56)</f>
        <v/>
      </c>
      <c r="O57" s="138">
        <f>IF(B57&lt;='VALOR POR PL'!$P$5,'CP RESUMO'!BD77,"")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HISTORICOS'!BE35)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RESUMO'!BE35</f>
        <v/>
      </c>
      <c r="N58" s="139">
        <f>MAX(0,M58-M57)</f>
        <v/>
      </c>
      <c r="O58" s="138">
        <f>IF(B58&lt;='VALOR POR PL'!$P$5,'CP RESUMO'!BE77,"")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HISTORICOS'!BF35)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RESUMO'!BF35</f>
        <v/>
      </c>
      <c r="N59" s="139">
        <f>MAX(0,M59-M58)</f>
        <v/>
      </c>
      <c r="O59" s="138">
        <f>IF(B59&lt;='VALOR POR PL'!$P$5,'CP RESUMO'!BF77,"")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HISTORICOS'!BG35)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RESUMO'!BG35</f>
        <v/>
      </c>
      <c r="N60" s="139">
        <f>MAX(0,M60-M59)</f>
        <v/>
      </c>
      <c r="O60" s="138">
        <f>IF(B60&lt;='VALOR POR PL'!$P$5,'CP RESUMO'!BG77,"")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HISTORICOS'!BH35)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RESUMO'!BH35</f>
        <v/>
      </c>
      <c r="N61" s="139">
        <f>MAX(0,M61-M60)</f>
        <v/>
      </c>
      <c r="O61" s="138">
        <f>IF(B61&lt;='VALOR POR PL'!$P$5,'CP RESUMO'!BH77,"")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HISTORICOS'!BI35)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RESUMO'!BI35</f>
        <v/>
      </c>
      <c r="N62" s="139">
        <f>MAX(0,M62-M61)</f>
        <v/>
      </c>
      <c r="O62" s="138">
        <f>IF(B62&lt;='VALOR POR PL'!$P$5,'CP RESUMO'!BI77,"")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HISTORICOS'!BJ35)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RESUMO'!BJ35</f>
        <v/>
      </c>
      <c r="N63" s="139">
        <f>MAX(0,M63-M62)</f>
        <v/>
      </c>
      <c r="O63" s="138">
        <f>IF(B63&lt;='VALOR POR PL'!$P$5,'CP RESUMO'!BJ77,"")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HISTORICOS'!BK35)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RESUMO'!BK35</f>
        <v/>
      </c>
      <c r="N64" s="139">
        <f>MAX(0,M64-M63)</f>
        <v/>
      </c>
      <c r="O64" s="138">
        <f>IF(B64&lt;='VALOR POR PL'!$P$5,'CP RESUMO'!BK77,"")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HISTORICOS'!BL35)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RESUMO'!BL35</f>
        <v/>
      </c>
      <c r="N65" s="139">
        <f>MAX(0,M65-M64)</f>
        <v/>
      </c>
      <c r="O65" s="138">
        <f>IF(B65&lt;='VALOR POR PL'!$P$5,'CP RESUMO'!BL77,"")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HISTORICOS'!BM35)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RESUMO'!BM35</f>
        <v/>
      </c>
      <c r="N66" s="139">
        <f>MAX(0,M66-M65)</f>
        <v/>
      </c>
      <c r="O66" s="138">
        <f>IF(B66&lt;='VALOR POR PL'!$P$5,'CP RESUMO'!BM77,"")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HISTORICOS'!BN35)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RESUMO'!BN35</f>
        <v/>
      </c>
      <c r="N67" s="139">
        <f>MAX(0,M67-M66)</f>
        <v/>
      </c>
      <c r="O67" s="138">
        <f>IF(B67&lt;='VALOR POR PL'!$P$5,'CP RESUMO'!BN77,"")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HISTORICOS'!BO35)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RESUMO'!BO35</f>
        <v/>
      </c>
      <c r="N68" s="139">
        <f>MAX(0,M68-M67)</f>
        <v/>
      </c>
      <c r="O68" s="138">
        <f>IF(B68&lt;='VALOR POR PL'!$P$5,'CP RESUMO'!BO77,"")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HISTORICOS'!BP35)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RESUMO'!BP35</f>
        <v/>
      </c>
      <c r="N69" s="139">
        <f>MAX(0,M69-M68)</f>
        <v/>
      </c>
      <c r="O69" s="138">
        <f>IF(B69&lt;='VALOR POR PL'!$P$5,'CP RESUMO'!BP77,"")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HISTORICOS'!BQ35)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RESUMO'!BQ35</f>
        <v/>
      </c>
      <c r="N70" s="139">
        <f>MAX(0,M70-M69)</f>
        <v/>
      </c>
      <c r="O70" s="138">
        <f>IF(B70&lt;='VALOR POR PL'!$P$5,'CP RESUMO'!BQ77,"")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HISTORICOS'!BR35)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RESUMO'!BR35</f>
        <v/>
      </c>
      <c r="N71" s="139">
        <f>MAX(0,M71-M70)</f>
        <v/>
      </c>
      <c r="O71" s="138">
        <f>IF(B71&lt;='VALOR POR PL'!$P$5,'CP RESUMO'!BR77,"")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HISTORICOS'!BS35)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RESUMO'!BS35</f>
        <v/>
      </c>
      <c r="N72" s="139">
        <f>MAX(0,M72-M71)</f>
        <v/>
      </c>
      <c r="O72" s="138">
        <f>IF(B72&lt;='VALOR POR PL'!$P$5,'CP RESUMO'!BS77,"")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HISTORICOS'!BT35)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RESUMO'!BT35</f>
        <v/>
      </c>
      <c r="N73" s="139">
        <f>MAX(0,M73-M72)</f>
        <v/>
      </c>
      <c r="O73" s="138">
        <f>IF(B73&lt;='VALOR POR PL'!$P$5,'CP RESUMO'!BT77,"")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HISTORICOS'!BU35)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RESUMO'!BU35</f>
        <v/>
      </c>
      <c r="N74" s="139">
        <f>MAX(0,M74-M73)</f>
        <v/>
      </c>
      <c r="O74" s="138">
        <f>IF(B74&lt;='VALOR POR PL'!$P$5,'CP RESUMO'!BU77,"")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HISTORICOS'!BV35)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RESUMO'!BV35</f>
        <v/>
      </c>
      <c r="N75" s="139">
        <f>MAX(0,M75-M74)</f>
        <v/>
      </c>
      <c r="O75" s="138">
        <f>IF(B75&lt;='VALOR POR PL'!$P$5,'CP RESUMO'!BV77,"")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HISTORICOS'!BW35)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RESUMO'!BW35</f>
        <v/>
      </c>
      <c r="N76" s="139">
        <f>MAX(0,M76-M75)</f>
        <v/>
      </c>
      <c r="O76" s="138">
        <f>IF(B76&lt;='VALOR POR PL'!$P$5,'CP RESUMO'!BW77,"")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PL'!D42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HISTORICOS'!D36)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PL'!F42</f>
        <v/>
      </c>
      <c r="K5" s="60">
        <f>'VALOR POR PL'!G42</f>
        <v/>
      </c>
      <c r="L5" s="60">
        <f>'DADOS HISTORICOS'!$BZ$36</f>
        <v/>
      </c>
      <c r="M5" s="138">
        <f>'CP RESUMO'!D36</f>
        <v/>
      </c>
      <c r="N5" s="139" t="n">
        <v>0</v>
      </c>
      <c r="O5" s="138">
        <f>IF(B5&lt;='VALOR POR PL'!$P$5,'CP RESUMO'!D78,"")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HISTORICOS'!E36)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PL'!H42</f>
        <v/>
      </c>
      <c r="L6" s="49">
        <f>C6/IF(B6&lt;='VALOR POR PL'!$P$5,IFERROR(INDEX('"INCC-FGV"'!$B$2:$B$800,MATCH(B6,'"INCC-FGV"'!$A$2:$A$800,0)),$K$2),$K$2)</f>
        <v/>
      </c>
      <c r="M6" s="138">
        <f>'CP RESUMO'!E36</f>
        <v/>
      </c>
      <c r="N6" s="139">
        <f>MAX(0,M6-M5)</f>
        <v/>
      </c>
      <c r="O6" s="138">
        <f>IF(B6&lt;='VALOR POR PL'!$P$5,'CP RESUMO'!E78,"")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HISTORICOS'!F36)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RESUMO'!F36</f>
        <v/>
      </c>
      <c r="N7" s="139">
        <f>MAX(0,M7-M6)</f>
        <v/>
      </c>
      <c r="O7" s="138">
        <f>IF(B7&lt;='VALOR POR PL'!$P$5,'CP RESUMO'!F78,"")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HISTORICOS'!G36)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RESUMO'!G36</f>
        <v/>
      </c>
      <c r="N8" s="139">
        <f>MAX(0,M8-M7)</f>
        <v/>
      </c>
      <c r="O8" s="138">
        <f>IF(B8&lt;='VALOR POR PL'!$P$5,'CP RESUMO'!G78,"")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HISTORICOS'!H36)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RESUMO'!H36</f>
        <v/>
      </c>
      <c r="N9" s="139">
        <f>MAX(0,M9-M8)</f>
        <v/>
      </c>
      <c r="O9" s="138">
        <f>IF(B9&lt;='VALOR POR PL'!$P$5,'CP RESUMO'!H78,"")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HISTORICOS'!I36)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RESUMO'!I36</f>
        <v/>
      </c>
      <c r="N10" s="139">
        <f>MAX(0,M10-M9)</f>
        <v/>
      </c>
      <c r="O10" s="138">
        <f>IF(B10&lt;='VALOR POR PL'!$P$5,'CP RESUMO'!I78,"")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HISTORICOS'!J36)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RESUMO'!J36</f>
        <v/>
      </c>
      <c r="N11" s="139">
        <f>MAX(0,M11-M10)</f>
        <v/>
      </c>
      <c r="O11" s="138">
        <f>IF(B11&lt;='VALOR POR PL'!$P$5,'CP RESUMO'!J78,"")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HISTORICOS'!K36)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RESUMO'!K36</f>
        <v/>
      </c>
      <c r="N12" s="139">
        <f>MAX(0,M12-M11)</f>
        <v/>
      </c>
      <c r="O12" s="138">
        <f>IF(B12&lt;='VALOR POR PL'!$P$5,'CP RESUMO'!K78,"")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HISTORICOS'!L36)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PL'!I42</f>
        <v/>
      </c>
      <c r="L13" s="49">
        <f>C13/IF(B13&lt;='VALOR POR PL'!$P$5,IFERROR(INDEX('"INCC-FGV"'!$B$2:$B$800,MATCH(B13,'"INCC-FGV"'!$A$2:$A$800,0)),$K$2),$K$2)</f>
        <v/>
      </c>
      <c r="M13" s="138">
        <f>'CP RESUMO'!L36</f>
        <v/>
      </c>
      <c r="N13" s="139">
        <f>MAX(0,M13-M12)</f>
        <v/>
      </c>
      <c r="O13" s="138">
        <f>IF(B13&lt;='VALOR POR PL'!$P$5,'CP RESUMO'!L78,"")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HISTORICOS'!M36)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RESUMO'!$D$78:$BW$78,MATCH('VALOR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RESUMO'!M36</f>
        <v/>
      </c>
      <c r="N14" s="139">
        <f>MAX(0,M14-M13)</f>
        <v/>
      </c>
      <c r="O14" s="138">
        <f>IF(B14&lt;='VALOR POR PL'!$P$5,'CP RESUMO'!M78,"")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HISTORICOS'!N36)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RESUMO'!N36</f>
        <v/>
      </c>
      <c r="N15" s="139">
        <f>MAX(0,M15-M14)</f>
        <v/>
      </c>
      <c r="O15" s="138">
        <f>IF(B15&lt;='VALOR POR PL'!$P$5,'CP RESUMO'!N78,"")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HISTORICOS'!O36)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RESUMO'!O36</f>
        <v/>
      </c>
      <c r="N16" s="139">
        <f>MAX(0,M16-M15)</f>
        <v/>
      </c>
      <c r="O16" s="138">
        <f>IF(B16&lt;='VALOR POR PL'!$P$5,'CP RESUMO'!O78,"")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HISTORICOS'!P36)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RESUMO'!P36</f>
        <v/>
      </c>
      <c r="N17" s="139">
        <f>MAX(0,M17-M16)</f>
        <v/>
      </c>
      <c r="O17" s="138">
        <f>IF(B17&lt;='VALOR POR PL'!$P$5,'CP RESUMO'!P78,"")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HISTORICOS'!Q36)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RESUMO'!Q36</f>
        <v/>
      </c>
      <c r="N18" s="139">
        <f>MAX(0,M18-M17)</f>
        <v/>
      </c>
      <c r="O18" s="138">
        <f>IF(B18&lt;='VALOR POR PL'!$P$5,'CP RESUMO'!Q78,"")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HISTORICOS'!R36)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RESUMO'!R36</f>
        <v/>
      </c>
      <c r="N19" s="139">
        <f>MAX(0,M19-M18)</f>
        <v/>
      </c>
      <c r="O19" s="138">
        <f>IF(B19&lt;='VALOR POR PL'!$P$5,'CP RESUMO'!R78,"")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HISTORICOS'!S36)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RESUMO'!S36</f>
        <v/>
      </c>
      <c r="N20" s="139">
        <f>MAX(0,M20-M19)</f>
        <v/>
      </c>
      <c r="O20" s="138">
        <f>IF(B20&lt;='VALOR POR PL'!$P$5,'CP RESUMO'!S78,"")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HISTORICOS'!T36)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RESUMO'!T36</f>
        <v/>
      </c>
      <c r="N21" s="139">
        <f>MAX(0,M21-M20)</f>
        <v/>
      </c>
      <c r="O21" s="138">
        <f>IF(B21&lt;='VALOR POR PL'!$P$5,'CP RESUMO'!T78,"")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HISTORICOS'!U36)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RESUMO'!U36</f>
        <v/>
      </c>
      <c r="N22" s="139">
        <f>MAX(0,M22-M21)</f>
        <v/>
      </c>
      <c r="O22" s="138">
        <f>IF(B22&lt;='VALOR POR PL'!$P$5,'CP RESUMO'!U78,"")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HISTORICOS'!V36)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RESUMO'!V36</f>
        <v/>
      </c>
      <c r="N23" s="139">
        <f>MAX(0,M23-M22)</f>
        <v/>
      </c>
      <c r="O23" s="138">
        <f>IF(B23&lt;='VALOR POR PL'!$P$5,'CP RESUMO'!V78,"")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HISTORICOS'!W36)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RESUMO'!W36</f>
        <v/>
      </c>
      <c r="N24" s="139">
        <f>MAX(0,M24-M23)</f>
        <v/>
      </c>
      <c r="O24" s="138">
        <f>IF(B24&lt;='VALOR POR PL'!$P$5,'CP RESUMO'!W78,"")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HISTORICOS'!X36)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RESUMO'!X36</f>
        <v/>
      </c>
      <c r="N25" s="139">
        <f>MAX(0,M25-M24)</f>
        <v/>
      </c>
      <c r="O25" s="138">
        <f>IF(B25&lt;='VALOR POR PL'!$P$5,'CP RESUMO'!X78,"")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HISTORICOS'!Y36)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RESUMO'!Y36</f>
        <v/>
      </c>
      <c r="N26" s="139">
        <f>MAX(0,M26-M25)</f>
        <v/>
      </c>
      <c r="O26" s="138">
        <f>IF(B26&lt;='VALOR POR PL'!$P$5,'CP RESUMO'!Y78,"")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HISTORICOS'!Z36)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RESUMO'!Z36</f>
        <v/>
      </c>
      <c r="N27" s="139">
        <f>MAX(0,M27-M26)</f>
        <v/>
      </c>
      <c r="O27" s="138">
        <f>IF(B27&lt;='VALOR POR PL'!$P$5,'CP RESUMO'!Z78,"")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HISTORICOS'!AA36)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RESUMO'!AA36</f>
        <v/>
      </c>
      <c r="N28" s="139">
        <f>MAX(0,M28-M27)</f>
        <v/>
      </c>
      <c r="O28" s="138">
        <f>IF(B28&lt;='VALOR POR PL'!$P$5,'CP RESUMO'!AA78,"")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HISTORICOS'!AB36)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RESUMO'!AB36</f>
        <v/>
      </c>
      <c r="N29" s="139">
        <f>MAX(0,M29-M28)</f>
        <v/>
      </c>
      <c r="O29" s="138">
        <f>IF(B29&lt;='VALOR POR PL'!$P$5,'CP RESUMO'!AB78,"")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HISTORICOS'!AC36)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RESUMO'!AC36</f>
        <v/>
      </c>
      <c r="N30" s="139">
        <f>MAX(0,M30-M29)</f>
        <v/>
      </c>
      <c r="O30" s="138">
        <f>IF(B30&lt;='VALOR POR PL'!$P$5,'CP RESUMO'!AC78,"")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HISTORICOS'!AD36)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RESUMO'!AD36</f>
        <v/>
      </c>
      <c r="N31" s="139">
        <f>MAX(0,M31-M30)</f>
        <v/>
      </c>
      <c r="O31" s="138">
        <f>IF(B31&lt;='VALOR POR PL'!$P$5,'CP RESUMO'!AD78,"")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HISTORICOS'!AE36)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RESUMO'!AE36</f>
        <v/>
      </c>
      <c r="N32" s="139">
        <f>MAX(0,M32-M31)</f>
        <v/>
      </c>
      <c r="O32" s="138">
        <f>IF(B32&lt;='VALOR POR PL'!$P$5,'CP RESUMO'!AE78,"")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HISTORICOS'!AF36)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RESUMO'!AF36</f>
        <v/>
      </c>
      <c r="N33" s="139">
        <f>MAX(0,M33-M32)</f>
        <v/>
      </c>
      <c r="O33" s="138">
        <f>IF(B33&lt;='VALOR POR PL'!$P$5,'CP RESUMO'!AF78,"")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HISTORICOS'!AG36)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RESUMO'!AG36</f>
        <v/>
      </c>
      <c r="N34" s="139">
        <f>MAX(0,M34-M33)</f>
        <v/>
      </c>
      <c r="O34" s="138">
        <f>IF(B34&lt;='VALOR POR PL'!$P$5,'CP RESUMO'!AG78,"")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HISTORICOS'!AH36)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RESUMO'!AH36</f>
        <v/>
      </c>
      <c r="N35" s="139">
        <f>MAX(0,M35-M34)</f>
        <v/>
      </c>
      <c r="O35" s="138">
        <f>IF(B35&lt;='VALOR POR PL'!$P$5,'CP RESUMO'!AH78,"")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HISTORICOS'!AI36)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RESUMO'!AI36</f>
        <v/>
      </c>
      <c r="N36" s="139">
        <f>MAX(0,M36-M35)</f>
        <v/>
      </c>
      <c r="O36" s="138">
        <f>IF(B36&lt;='VALOR POR PL'!$P$5,'CP RESUMO'!AI78,"")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HISTORICOS'!AJ36)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RESUMO'!AJ36</f>
        <v/>
      </c>
      <c r="N37" s="139">
        <f>MAX(0,M37-M36)</f>
        <v/>
      </c>
      <c r="O37" s="138">
        <f>IF(B37&lt;='VALOR POR PL'!$P$5,'CP RESUMO'!AJ78,"")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HISTORICOS'!AK36)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124648.41</v>
      </c>
      <c r="L38" s="49">
        <f>C38/IF(B38&lt;='VALOR POR PL'!$P$5,IFERROR(INDEX('"INCC-FGV"'!$B$2:$B$800,MATCH(B38,'"INCC-FGV"'!$A$2:$A$800,0)),$K$2),$K$2)</f>
        <v/>
      </c>
      <c r="M38" s="138">
        <f>'CP RESUMO'!AK36</f>
        <v/>
      </c>
      <c r="N38" s="139">
        <f>MAX(0,M38-M37)</f>
        <v/>
      </c>
      <c r="O38" s="138">
        <f>IF(B38&lt;='VALOR POR PL'!$P$5,'CP RESUMO'!AK78,"")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HISTORICOS'!AL36)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342516.77</v>
      </c>
      <c r="L39" s="49">
        <f>C39/IF(B39&lt;='VALOR POR PL'!$P$5,IFERROR(INDEX('"INCC-FGV"'!$B$2:$B$800,MATCH(B39,'"INCC-FGV"'!$A$2:$A$800,0)),$K$2),$K$2)</f>
        <v/>
      </c>
      <c r="M39" s="138">
        <f>'CP RESUMO'!AL36</f>
        <v/>
      </c>
      <c r="N39" s="139">
        <f>MAX(0,M39-M38)</f>
        <v/>
      </c>
      <c r="O39" s="138">
        <f>IF(B39&lt;='VALOR POR PL'!$P$5,'CP RESUMO'!AL78,"")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HISTORICOS'!AM36)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420821.54</v>
      </c>
      <c r="L40" s="49">
        <f>C40/IF(B40&lt;='VALOR POR PL'!$P$5,IFERROR(INDEX('"INCC-FGV"'!$B$2:$B$800,MATCH(B40,'"INCC-FGV"'!$A$2:$A$800,0)),$K$2),$K$2)</f>
        <v/>
      </c>
      <c r="M40" s="138">
        <f>'CP RESUMO'!AM36</f>
        <v/>
      </c>
      <c r="N40" s="139">
        <f>MAX(0,M40-M39)</f>
        <v/>
      </c>
      <c r="O40" s="138">
        <f>IF(B40&lt;='VALOR POR PL'!$P$5,'CP RESUMO'!AM78,"")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HISTORICOS'!AN36)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361160.76</v>
      </c>
      <c r="L41" s="49">
        <f>C41/IF(B41&lt;='VALOR POR PL'!$P$5,IFERROR(INDEX('"INCC-FGV"'!$B$2:$B$800,MATCH(B41,'"INCC-FGV"'!$A$2:$A$800,0)),$K$2),$K$2)</f>
        <v/>
      </c>
      <c r="M41" s="138">
        <f>'CP RESUMO'!AN36</f>
        <v/>
      </c>
      <c r="N41" s="139">
        <f>MAX(0,M41-M40)</f>
        <v/>
      </c>
      <c r="O41" s="138">
        <f>IF(B41&lt;='VALOR POR PL'!$P$5,'CP RESUMO'!AN78,"")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HISTORICOS'!AO36)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278594.51</v>
      </c>
      <c r="L42" s="49">
        <f>C42/IF(B42&lt;='VALOR POR PL'!$P$5,IFERROR(INDEX('"INCC-FGV"'!$B$2:$B$800,MATCH(B42,'"INCC-FGV"'!$A$2:$A$800,0)),$K$2),$K$2)</f>
        <v/>
      </c>
      <c r="M42" s="138">
        <f>'CP RESUMO'!AO36</f>
        <v/>
      </c>
      <c r="N42" s="139">
        <f>MAX(0,M42-M41)</f>
        <v/>
      </c>
      <c r="O42" s="138">
        <f>IF(B42&lt;='VALOR POR PL'!$P$5,'CP RESUMO'!AO78,"")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HISTORICOS'!AP36)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267408.12</v>
      </c>
      <c r="L43" s="49">
        <f>C43/IF(B43&lt;='VALOR POR PL'!$P$5,IFERROR(INDEX('"INCC-FGV"'!$B$2:$B$800,MATCH(B43,'"INCC-FGV"'!$A$2:$A$800,0)),$K$2),$K$2)</f>
        <v/>
      </c>
      <c r="M43" s="138">
        <f>'CP RESUMO'!AP36</f>
        <v/>
      </c>
      <c r="N43" s="139">
        <f>MAX(0,M43-M42)</f>
        <v/>
      </c>
      <c r="O43" s="138">
        <f>IF(B43&lt;='VALOR POR PL'!$P$5,'CP RESUMO'!AP78,"")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HISTORICOS'!AQ36)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422419.6</v>
      </c>
      <c r="L44" s="49">
        <f>C44/IF(B44&lt;='VALOR POR PL'!$P$5,IFERROR(INDEX('"INCC-FGV"'!$B$2:$B$800,MATCH(B44,'"INCC-FGV"'!$A$2:$A$800,0)),$K$2),$K$2)</f>
        <v/>
      </c>
      <c r="M44" s="138">
        <f>'CP RESUMO'!AQ36</f>
        <v/>
      </c>
      <c r="N44" s="139">
        <f>MAX(0,M44-M43)</f>
        <v/>
      </c>
      <c r="O44" s="138">
        <f>IF(B44&lt;='VALOR POR PL'!$P$5,'CP RESUMO'!AQ78,"")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HISTORICOS'!AR36)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359562.71</v>
      </c>
      <c r="L45" s="49">
        <f>C45/IF(B45&lt;='VALOR POR PL'!$P$5,IFERROR(INDEX('"INCC-FGV"'!$B$2:$B$800,MATCH(B45,'"INCC-FGV"'!$A$2:$A$800,0)),$K$2),$K$2)</f>
        <v/>
      </c>
      <c r="M45" s="138">
        <f>'CP RESUMO'!AR36</f>
        <v/>
      </c>
      <c r="N45" s="139">
        <f>MAX(0,M45-M44)</f>
        <v/>
      </c>
      <c r="O45" s="138">
        <f>IF(B45&lt;='VALOR POR PL'!$P$5,'CP RESUMO'!AR78,"")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HISTORICOS'!AS36)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299369.25</v>
      </c>
      <c r="L46" s="49">
        <f>C46/IF(B46&lt;='VALOR POR PL'!$P$5,IFERROR(INDEX('"INCC-FGV"'!$B$2:$B$800,MATCH(B46,'"INCC-FGV"'!$A$2:$A$800,0)),$K$2),$K$2)</f>
        <v/>
      </c>
      <c r="M46" s="138">
        <f>'CP RESUMO'!AS36</f>
        <v/>
      </c>
      <c r="N46" s="139">
        <f>MAX(0,M46-M45)</f>
        <v/>
      </c>
      <c r="O46" s="138">
        <f>IF(B46&lt;='VALOR POR PL'!$P$5,'CP RESUMO'!AS78,"")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HISTORICOS'!AT36)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266342.75</v>
      </c>
      <c r="L47" s="49">
        <f>C47/IF(B47&lt;='VALOR POR PL'!$P$5,IFERROR(INDEX('"INCC-FGV"'!$B$2:$B$800,MATCH(B47,'"INCC-FGV"'!$A$2:$A$800,0)),$K$2),$K$2)</f>
        <v/>
      </c>
      <c r="M47" s="138">
        <f>'CP RESUMO'!AT36</f>
        <v/>
      </c>
      <c r="N47" s="139">
        <f>MAX(0,M47-M46)</f>
        <v/>
      </c>
      <c r="O47" s="138">
        <f>IF(B47&lt;='VALOR POR PL'!$P$5,'CP RESUMO'!AT78,"")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HISTORICOS'!AU36)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314817.13</v>
      </c>
      <c r="L48" s="49">
        <f>C48/IF(B48&lt;='VALOR POR PL'!$P$5,IFERROR(INDEX('"INCC-FGV"'!$B$2:$B$800,MATCH(B48,'"INCC-FGV"'!$A$2:$A$800,0)),$K$2),$K$2)</f>
        <v/>
      </c>
      <c r="M48" s="138">
        <f>'CP RESUMO'!AU36</f>
        <v/>
      </c>
      <c r="N48" s="139">
        <f>MAX(0,M48-M47)</f>
        <v/>
      </c>
      <c r="O48" s="138">
        <f>IF(B48&lt;='VALOR POR PL'!$P$5,'CP RESUMO'!AU78,"")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HISTORICOS'!AV36)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406971.72</v>
      </c>
      <c r="L49" s="49">
        <f>C49/IF(B49&lt;='VALOR POR PL'!$P$5,IFERROR(INDEX('"INCC-FGV"'!$B$2:$B$800,MATCH(B49,'"INCC-FGV"'!$A$2:$A$800,0)),$K$2),$K$2)</f>
        <v/>
      </c>
      <c r="M49" s="138">
        <f>'CP RESUMO'!AV36</f>
        <v/>
      </c>
      <c r="N49" s="139">
        <f>MAX(0,M49-M48)</f>
        <v/>
      </c>
      <c r="O49" s="138">
        <f>IF(B49&lt;='VALOR POR PL'!$P$5,'CP RESUMO'!AV78,"")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HISTORICOS'!AW36)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621643.97</v>
      </c>
      <c r="L50" s="49">
        <f>C50/IF(B50&lt;='VALOR POR PL'!$P$5,IFERROR(INDEX('"INCC-FGV"'!$B$2:$B$800,MATCH(B50,'"INCC-FGV"'!$A$2:$A$800,0)),$K$2),$K$2)</f>
        <v/>
      </c>
      <c r="M50" s="138">
        <f>'CP RESUMO'!AW36</f>
        <v/>
      </c>
      <c r="N50" s="139">
        <f>MAX(0,M50-M49)</f>
        <v/>
      </c>
      <c r="O50" s="138">
        <f>IF(B50&lt;='VALOR POR PL'!$P$5,'CP RESUMO'!AW78,"")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HISTORICOS'!AX36)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275931.09</v>
      </c>
      <c r="L51" s="49">
        <f>C51/IF(B51&lt;='VALOR POR PL'!$P$5,IFERROR(INDEX('"INCC-FGV"'!$B$2:$B$800,MATCH(B51,'"INCC-FGV"'!$A$2:$A$800,0)),$K$2),$K$2)</f>
        <v/>
      </c>
      <c r="M51" s="138">
        <f>'CP RESUMO'!AX36</f>
        <v/>
      </c>
      <c r="N51" s="139">
        <f>MAX(0,M51-M50)</f>
        <v/>
      </c>
      <c r="O51" s="138">
        <f>IF(B51&lt;='VALOR POR PL'!$P$5,'CP RESUMO'!AX78,"")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HISTORICOS'!AY36)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254090.98</v>
      </c>
      <c r="L52" s="49">
        <f>C52/IF(B52&lt;='VALOR POR PL'!$P$5,IFERROR(INDEX('"INCC-FGV"'!$B$2:$B$800,MATCH(B52,'"INCC-FGV"'!$A$2:$A$800,0)),$K$2),$K$2)</f>
        <v/>
      </c>
      <c r="M52" s="138">
        <f>'CP RESUMO'!AY36</f>
        <v/>
      </c>
      <c r="N52" s="139">
        <f>MAX(0,M52-M51)</f>
        <v/>
      </c>
      <c r="O52" s="138">
        <f>IF(B52&lt;='VALOR POR PL'!$P$5,'CP RESUMO'!AY78,"")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HISTORICOS'!AZ36)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176851.58</v>
      </c>
      <c r="L53" s="49">
        <f>C53/IF(B53&lt;='VALOR POR PL'!$P$5,IFERROR(INDEX('"INCC-FGV"'!$B$2:$B$800,MATCH(B53,'"INCC-FGV"'!$A$2:$A$800,0)),$K$2),$K$2)</f>
        <v/>
      </c>
      <c r="M53" s="138">
        <f>'CP RESUMO'!AZ36</f>
        <v/>
      </c>
      <c r="N53" s="139">
        <f>MAX(0,M53-M52)</f>
        <v/>
      </c>
      <c r="O53" s="138">
        <f>IF(B53&lt;='VALOR POR PL'!$P$5,'CP RESUMO'!AZ78,"")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HISTORICOS'!BA36)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113994.7</v>
      </c>
      <c r="L54" s="49">
        <f>C54/IF(B54&lt;='VALOR POR PL'!$P$5,IFERROR(INDEX('"INCC-FGV"'!$B$2:$B$800,MATCH(B54,'"INCC-FGV"'!$A$2:$A$800,0)),$K$2),$K$2)</f>
        <v/>
      </c>
      <c r="M54" s="138">
        <f>'CP RESUMO'!BA36</f>
        <v/>
      </c>
      <c r="N54" s="139">
        <f>MAX(0,M54-M53)</f>
        <v/>
      </c>
      <c r="O54" s="138">
        <f>IF(B54&lt;='VALOR POR PL'!$P$5,'CP RESUMO'!BA78,"")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HISTORICOS'!BB36)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10653.71</v>
      </c>
      <c r="L55" s="49">
        <f>C55/IF(B55&lt;='VALOR POR PL'!$P$5,IFERROR(INDEX('"INCC-FGV"'!$B$2:$B$800,MATCH(B55,'"INCC-FGV"'!$A$2:$A$800,0)),$K$2),$K$2)</f>
        <v/>
      </c>
      <c r="M55" s="138">
        <f>'CP RESUMO'!BB36</f>
        <v/>
      </c>
      <c r="N55" s="139">
        <f>MAX(0,M55-M54)</f>
        <v/>
      </c>
      <c r="O55" s="138">
        <f>IF(B55&lt;='VALOR POR PL'!$P$5,'CP RESUMO'!BB78,"")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HISTORICOS'!BC36)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9055.65</v>
      </c>
      <c r="L56" s="49">
        <f>C56/IF(B56&lt;='VALOR POR PL'!$P$5,IFERROR(INDEX('"INCC-FGV"'!$B$2:$B$800,MATCH(B56,'"INCC-FGV"'!$A$2:$A$800,0)),$K$2),$K$2)</f>
        <v/>
      </c>
      <c r="M56" s="138">
        <f>'CP RESUMO'!BC36</f>
        <v/>
      </c>
      <c r="N56" s="139">
        <f>MAX(0,M56-M55)</f>
        <v/>
      </c>
      <c r="O56" s="138">
        <f>IF(B56&lt;='VALOR POR PL'!$P$5,'CP RESUMO'!BC78,"")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HISTORICOS'!BD36)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RESUMO'!BD36</f>
        <v/>
      </c>
      <c r="N57" s="139">
        <f>MAX(0,M57-M56)</f>
        <v/>
      </c>
      <c r="O57" s="138">
        <f>IF(B57&lt;='VALOR POR PL'!$P$5,'CP RESUMO'!BD78,"")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HISTORICOS'!BE36)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RESUMO'!BE36</f>
        <v/>
      </c>
      <c r="N58" s="139">
        <f>MAX(0,M58-M57)</f>
        <v/>
      </c>
      <c r="O58" s="138">
        <f>IF(B58&lt;='VALOR POR PL'!$P$5,'CP RESUMO'!BE78,"")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HISTORICOS'!BF36)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RESUMO'!BF36</f>
        <v/>
      </c>
      <c r="N59" s="139">
        <f>MAX(0,M59-M58)</f>
        <v/>
      </c>
      <c r="O59" s="138">
        <f>IF(B59&lt;='VALOR POR PL'!$P$5,'CP RESUMO'!BF78,"")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HISTORICOS'!BG36)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RESUMO'!BG36</f>
        <v/>
      </c>
      <c r="N60" s="139">
        <f>MAX(0,M60-M59)</f>
        <v/>
      </c>
      <c r="O60" s="138">
        <f>IF(B60&lt;='VALOR POR PL'!$P$5,'CP RESUMO'!BG78,"")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HISTORICOS'!BH36)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RESUMO'!BH36</f>
        <v/>
      </c>
      <c r="N61" s="139">
        <f>MAX(0,M61-M60)</f>
        <v/>
      </c>
      <c r="O61" s="138">
        <f>IF(B61&lt;='VALOR POR PL'!$P$5,'CP RESUMO'!BH78,"")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HISTORICOS'!BI36)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RESUMO'!BI36</f>
        <v/>
      </c>
      <c r="N62" s="139">
        <f>MAX(0,M62-M61)</f>
        <v/>
      </c>
      <c r="O62" s="138">
        <f>IF(B62&lt;='VALOR POR PL'!$P$5,'CP RESUMO'!BI78,"")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HISTORICOS'!BJ36)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RESUMO'!BJ36</f>
        <v/>
      </c>
      <c r="N63" s="139">
        <f>MAX(0,M63-M62)</f>
        <v/>
      </c>
      <c r="O63" s="138">
        <f>IF(B63&lt;='VALOR POR PL'!$P$5,'CP RESUMO'!BJ78,"")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HISTORICOS'!BK36)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RESUMO'!BK36</f>
        <v/>
      </c>
      <c r="N64" s="139">
        <f>MAX(0,M64-M63)</f>
        <v/>
      </c>
      <c r="O64" s="138">
        <f>IF(B64&lt;='VALOR POR PL'!$P$5,'CP RESUMO'!BK78,"")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HISTORICOS'!BL36)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RESUMO'!BL36</f>
        <v/>
      </c>
      <c r="N65" s="139">
        <f>MAX(0,M65-M64)</f>
        <v/>
      </c>
      <c r="O65" s="138">
        <f>IF(B65&lt;='VALOR POR PL'!$P$5,'CP RESUMO'!BL78,"")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HISTORICOS'!BM36)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RESUMO'!BM36</f>
        <v/>
      </c>
      <c r="N66" s="139">
        <f>MAX(0,M66-M65)</f>
        <v/>
      </c>
      <c r="O66" s="138">
        <f>IF(B66&lt;='VALOR POR PL'!$P$5,'CP RESUMO'!BM78,"")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HISTORICOS'!BN36)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RESUMO'!BN36</f>
        <v/>
      </c>
      <c r="N67" s="139">
        <f>MAX(0,M67-M66)</f>
        <v/>
      </c>
      <c r="O67" s="138">
        <f>IF(B67&lt;='VALOR POR PL'!$P$5,'CP RESUMO'!BN78,"")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HISTORICOS'!BO36)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RESUMO'!BO36</f>
        <v/>
      </c>
      <c r="N68" s="139">
        <f>MAX(0,M68-M67)</f>
        <v/>
      </c>
      <c r="O68" s="138">
        <f>IF(B68&lt;='VALOR POR PL'!$P$5,'CP RESUMO'!BO78,"")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HISTORICOS'!BP36)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RESUMO'!BP36</f>
        <v/>
      </c>
      <c r="N69" s="139">
        <f>MAX(0,M69-M68)</f>
        <v/>
      </c>
      <c r="O69" s="138">
        <f>IF(B69&lt;='VALOR POR PL'!$P$5,'CP RESUMO'!BP78,"")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HISTORICOS'!BQ36)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RESUMO'!BQ36</f>
        <v/>
      </c>
      <c r="N70" s="139">
        <f>MAX(0,M70-M69)</f>
        <v/>
      </c>
      <c r="O70" s="138">
        <f>IF(B70&lt;='VALOR POR PL'!$P$5,'CP RESUMO'!BQ78,"")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HISTORICOS'!BR36)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RESUMO'!BR36</f>
        <v/>
      </c>
      <c r="N71" s="139">
        <f>MAX(0,M71-M70)</f>
        <v/>
      </c>
      <c r="O71" s="138">
        <f>IF(B71&lt;='VALOR POR PL'!$P$5,'CP RESUMO'!BR78,"")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HISTORICOS'!BS36)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RESUMO'!BS36</f>
        <v/>
      </c>
      <c r="N72" s="139">
        <f>MAX(0,M72-M71)</f>
        <v/>
      </c>
      <c r="O72" s="138">
        <f>IF(B72&lt;='VALOR POR PL'!$P$5,'CP RESUMO'!BS78,"")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HISTORICOS'!BT36)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RESUMO'!BT36</f>
        <v/>
      </c>
      <c r="N73" s="139">
        <f>MAX(0,M73-M72)</f>
        <v/>
      </c>
      <c r="O73" s="138">
        <f>IF(B73&lt;='VALOR POR PL'!$P$5,'CP RESUMO'!BT78,"")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HISTORICOS'!BU36)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RESUMO'!BU36</f>
        <v/>
      </c>
      <c r="N74" s="139">
        <f>MAX(0,M74-M73)</f>
        <v/>
      </c>
      <c r="O74" s="138">
        <f>IF(B74&lt;='VALOR POR PL'!$P$5,'CP RESUMO'!BU78,"")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HISTORICOS'!BV36)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RESUMO'!BV36</f>
        <v/>
      </c>
      <c r="N75" s="139">
        <f>MAX(0,M75-M74)</f>
        <v/>
      </c>
      <c r="O75" s="138">
        <f>IF(B75&lt;='VALOR POR PL'!$P$5,'CP RESUMO'!BV78,"")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HISTORICOS'!BW36)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RESUMO'!BW36</f>
        <v/>
      </c>
      <c r="N76" s="139">
        <f>MAX(0,M76-M75)</f>
        <v/>
      </c>
      <c r="O76" s="138">
        <f>IF(B76&lt;='VALOR POR PL'!$P$5,'CP RESUMO'!BW78,"")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PL'!D43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HISTORICOS'!D37)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PL'!F43</f>
        <v/>
      </c>
      <c r="K5" s="60">
        <f>'VALOR POR PL'!G43</f>
        <v/>
      </c>
      <c r="L5" s="60">
        <f>'DADOS HISTORICOS'!$BZ$37</f>
        <v/>
      </c>
      <c r="M5" s="138">
        <f>'CP RESUMO'!D37</f>
        <v/>
      </c>
      <c r="N5" s="139" t="n">
        <v>0</v>
      </c>
      <c r="O5" s="138">
        <f>IF(B5&lt;='VALOR POR PL'!$P$5,'CP RESUMO'!D79,"")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HISTORICOS'!E37)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PL'!H43</f>
        <v/>
      </c>
      <c r="L6" s="49">
        <f>C6/IF(B6&lt;='VALOR POR PL'!$P$5,IFERROR(INDEX('"INCC-FGV"'!$B$2:$B$800,MATCH(B6,'"INCC-FGV"'!$A$2:$A$800,0)),$K$2),$K$2)</f>
        <v/>
      </c>
      <c r="M6" s="138">
        <f>'CP RESUMO'!E37</f>
        <v/>
      </c>
      <c r="N6" s="139">
        <f>MAX(0,M6-M5)</f>
        <v/>
      </c>
      <c r="O6" s="138">
        <f>IF(B6&lt;='VALOR POR PL'!$P$5,'CP RESUMO'!E79,"")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HISTORICOS'!F37)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RESUMO'!F37</f>
        <v/>
      </c>
      <c r="N7" s="139">
        <f>MAX(0,M7-M6)</f>
        <v/>
      </c>
      <c r="O7" s="138">
        <f>IF(B7&lt;='VALOR POR PL'!$P$5,'CP RESUMO'!F79,"")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HISTORICOS'!G37)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RESUMO'!G37</f>
        <v/>
      </c>
      <c r="N8" s="139">
        <f>MAX(0,M8-M7)</f>
        <v/>
      </c>
      <c r="O8" s="138">
        <f>IF(B8&lt;='VALOR POR PL'!$P$5,'CP RESUMO'!G79,"")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HISTORICOS'!H37)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RESUMO'!H37</f>
        <v/>
      </c>
      <c r="N9" s="139">
        <f>MAX(0,M9-M8)</f>
        <v/>
      </c>
      <c r="O9" s="138">
        <f>IF(B9&lt;='VALOR POR PL'!$P$5,'CP RESUMO'!H79,"")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HISTORICOS'!I37)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RESUMO'!I37</f>
        <v/>
      </c>
      <c r="N10" s="139">
        <f>MAX(0,M10-M9)</f>
        <v/>
      </c>
      <c r="O10" s="138">
        <f>IF(B10&lt;='VALOR POR PL'!$P$5,'CP RESUMO'!I79,"")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HISTORICOS'!J37)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RESUMO'!J37</f>
        <v/>
      </c>
      <c r="N11" s="139">
        <f>MAX(0,M11-M10)</f>
        <v/>
      </c>
      <c r="O11" s="138">
        <f>IF(B11&lt;='VALOR POR PL'!$P$5,'CP RESUMO'!J79,"")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HISTORICOS'!K37)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RESUMO'!K37</f>
        <v/>
      </c>
      <c r="N12" s="139">
        <f>MAX(0,M12-M11)</f>
        <v/>
      </c>
      <c r="O12" s="138">
        <f>IF(B12&lt;='VALOR POR PL'!$P$5,'CP RESUMO'!K79,"")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HISTORICOS'!L37)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PL'!I43</f>
        <v/>
      </c>
      <c r="L13" s="49">
        <f>C13/IF(B13&lt;='VALOR POR PL'!$P$5,IFERROR(INDEX('"INCC-FGV"'!$B$2:$B$800,MATCH(B13,'"INCC-FGV"'!$A$2:$A$800,0)),$K$2),$K$2)</f>
        <v/>
      </c>
      <c r="M13" s="138">
        <f>'CP RESUMO'!L37</f>
        <v/>
      </c>
      <c r="N13" s="139">
        <f>MAX(0,M13-M12)</f>
        <v/>
      </c>
      <c r="O13" s="138">
        <f>IF(B13&lt;='VALOR POR PL'!$P$5,'CP RESUMO'!L79,"")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HISTORICOS'!M37)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RESUMO'!$D$79:$BW$79,MATCH('VALOR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RESUMO'!M37</f>
        <v/>
      </c>
      <c r="N14" s="139">
        <f>MAX(0,M14-M13)</f>
        <v/>
      </c>
      <c r="O14" s="138">
        <f>IF(B14&lt;='VALOR POR PL'!$P$5,'CP RESUMO'!M79,"")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HISTORICOS'!N37)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RESUMO'!N37</f>
        <v/>
      </c>
      <c r="N15" s="139">
        <f>MAX(0,M15-M14)</f>
        <v/>
      </c>
      <c r="O15" s="138">
        <f>IF(B15&lt;='VALOR POR PL'!$P$5,'CP RESUMO'!N79,"")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HISTORICOS'!O37)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RESUMO'!O37</f>
        <v/>
      </c>
      <c r="N16" s="139">
        <f>MAX(0,M16-M15)</f>
        <v/>
      </c>
      <c r="O16" s="138">
        <f>IF(B16&lt;='VALOR POR PL'!$P$5,'CP RESUMO'!O79,"")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HISTORICOS'!P37)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RESUMO'!P37</f>
        <v/>
      </c>
      <c r="N17" s="139">
        <f>MAX(0,M17-M16)</f>
        <v/>
      </c>
      <c r="O17" s="138">
        <f>IF(B17&lt;='VALOR POR PL'!$P$5,'CP RESUMO'!P79,"")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HISTORICOS'!Q37)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RESUMO'!Q37</f>
        <v/>
      </c>
      <c r="N18" s="139">
        <f>MAX(0,M18-M17)</f>
        <v/>
      </c>
      <c r="O18" s="138">
        <f>IF(B18&lt;='VALOR POR PL'!$P$5,'CP RESUMO'!Q79,"")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HISTORICOS'!R37)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RESUMO'!R37</f>
        <v/>
      </c>
      <c r="N19" s="139">
        <f>MAX(0,M19-M18)</f>
        <v/>
      </c>
      <c r="O19" s="138">
        <f>IF(B19&lt;='VALOR POR PL'!$P$5,'CP RESUMO'!R79,"")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HISTORICOS'!S37)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RESUMO'!S37</f>
        <v/>
      </c>
      <c r="N20" s="139">
        <f>MAX(0,M20-M19)</f>
        <v/>
      </c>
      <c r="O20" s="138">
        <f>IF(B20&lt;='VALOR POR PL'!$P$5,'CP RESUMO'!S79,"")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HISTORICOS'!T37)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RESUMO'!T37</f>
        <v/>
      </c>
      <c r="N21" s="139">
        <f>MAX(0,M21-M20)</f>
        <v/>
      </c>
      <c r="O21" s="138">
        <f>IF(B21&lt;='VALOR POR PL'!$P$5,'CP RESUMO'!T79,"")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HISTORICOS'!U37)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RESUMO'!U37</f>
        <v/>
      </c>
      <c r="N22" s="139">
        <f>MAX(0,M22-M21)</f>
        <v/>
      </c>
      <c r="O22" s="138">
        <f>IF(B22&lt;='VALOR POR PL'!$P$5,'CP RESUMO'!U79,"")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HISTORICOS'!V37)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RESUMO'!V37</f>
        <v/>
      </c>
      <c r="N23" s="139">
        <f>MAX(0,M23-M22)</f>
        <v/>
      </c>
      <c r="O23" s="138">
        <f>IF(B23&lt;='VALOR POR PL'!$P$5,'CP RESUMO'!V79,"")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HISTORICOS'!W37)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RESUMO'!W37</f>
        <v/>
      </c>
      <c r="N24" s="139">
        <f>MAX(0,M24-M23)</f>
        <v/>
      </c>
      <c r="O24" s="138">
        <f>IF(B24&lt;='VALOR POR PL'!$P$5,'CP RESUMO'!W79,"")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HISTORICOS'!X37)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RESUMO'!X37</f>
        <v/>
      </c>
      <c r="N25" s="139">
        <f>MAX(0,M25-M24)</f>
        <v/>
      </c>
      <c r="O25" s="138">
        <f>IF(B25&lt;='VALOR POR PL'!$P$5,'CP RESUMO'!X79,"")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HISTORICOS'!Y37)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RESUMO'!Y37</f>
        <v/>
      </c>
      <c r="N26" s="139">
        <f>MAX(0,M26-M25)</f>
        <v/>
      </c>
      <c r="O26" s="138">
        <f>IF(B26&lt;='VALOR POR PL'!$P$5,'CP RESUMO'!Y79,"")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HISTORICOS'!Z37)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RESUMO'!Z37</f>
        <v/>
      </c>
      <c r="N27" s="139">
        <f>MAX(0,M27-M26)</f>
        <v/>
      </c>
      <c r="O27" s="138">
        <f>IF(B27&lt;='VALOR POR PL'!$P$5,'CP RESUMO'!Z79,"")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HISTORICOS'!AA37)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RESUMO'!AA37</f>
        <v/>
      </c>
      <c r="N28" s="139">
        <f>MAX(0,M28-M27)</f>
        <v/>
      </c>
      <c r="O28" s="138">
        <f>IF(B28&lt;='VALOR POR PL'!$P$5,'CP RESUMO'!AA79,"")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HISTORICOS'!AB37)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RESUMO'!AB37</f>
        <v/>
      </c>
      <c r="N29" s="139">
        <f>MAX(0,M29-M28)</f>
        <v/>
      </c>
      <c r="O29" s="138">
        <f>IF(B29&lt;='VALOR POR PL'!$P$5,'CP RESUMO'!AB79,"")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HISTORICOS'!AC37)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RESUMO'!AC37</f>
        <v/>
      </c>
      <c r="N30" s="139">
        <f>MAX(0,M30-M29)</f>
        <v/>
      </c>
      <c r="O30" s="138">
        <f>IF(B30&lt;='VALOR POR PL'!$P$5,'CP RESUMO'!AC79,"")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HISTORICOS'!AD37)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RESUMO'!AD37</f>
        <v/>
      </c>
      <c r="N31" s="139">
        <f>MAX(0,M31-M30)</f>
        <v/>
      </c>
      <c r="O31" s="138">
        <f>IF(B31&lt;='VALOR POR PL'!$P$5,'CP RESUMO'!AD79,"")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HISTORICOS'!AE37)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RESUMO'!AE37</f>
        <v/>
      </c>
      <c r="N32" s="139">
        <f>MAX(0,M32-M31)</f>
        <v/>
      </c>
      <c r="O32" s="138">
        <f>IF(B32&lt;='VALOR POR PL'!$P$5,'CP RESUMO'!AE79,"")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HISTORICOS'!AF37)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RESUMO'!AF37</f>
        <v/>
      </c>
      <c r="N33" s="139">
        <f>MAX(0,M33-M32)</f>
        <v/>
      </c>
      <c r="O33" s="138">
        <f>IF(B33&lt;='VALOR POR PL'!$P$5,'CP RESUMO'!AF79,"")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HISTORICOS'!AG37)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RESUMO'!AG37</f>
        <v/>
      </c>
      <c r="N34" s="139">
        <f>MAX(0,M34-M33)</f>
        <v/>
      </c>
      <c r="O34" s="138">
        <f>IF(B34&lt;='VALOR POR PL'!$P$5,'CP RESUMO'!AG79,"")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HISTORICOS'!AH37)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RESUMO'!AH37</f>
        <v/>
      </c>
      <c r="N35" s="139">
        <f>MAX(0,M35-M34)</f>
        <v/>
      </c>
      <c r="O35" s="138">
        <f>IF(B35&lt;='VALOR POR PL'!$P$5,'CP RESUMO'!AH79,"")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HISTORICOS'!AI37)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RESUMO'!AI37</f>
        <v/>
      </c>
      <c r="N36" s="139">
        <f>MAX(0,M36-M35)</f>
        <v/>
      </c>
      <c r="O36" s="138">
        <f>IF(B36&lt;='VALOR POR PL'!$P$5,'CP RESUMO'!AI79,"")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HISTORICOS'!AJ37)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RESUMO'!AJ37</f>
        <v/>
      </c>
      <c r="N37" s="139">
        <f>MAX(0,M37-M36)</f>
        <v/>
      </c>
      <c r="O37" s="138">
        <f>IF(B37&lt;='VALOR POR PL'!$P$5,'CP RESUMO'!AJ79,"")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HISTORICOS'!AK37)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RESUMO'!AK37</f>
        <v/>
      </c>
      <c r="N38" s="139">
        <f>MAX(0,M38-M37)</f>
        <v/>
      </c>
      <c r="O38" s="138">
        <f>IF(B38&lt;='VALOR POR PL'!$P$5,'CP RESUMO'!AK79,"")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HISTORICOS'!AL37)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RESUMO'!AL37</f>
        <v/>
      </c>
      <c r="N39" s="139">
        <f>MAX(0,M39-M38)</f>
        <v/>
      </c>
      <c r="O39" s="138">
        <f>IF(B39&lt;='VALOR POR PL'!$P$5,'CP RESUMO'!AL79,"")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HISTORICOS'!AM37)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69290.32000000001</v>
      </c>
      <c r="L40" s="49">
        <f>C40/IF(B40&lt;='VALOR POR PL'!$P$5,IFERROR(INDEX('"INCC-FGV"'!$B$2:$B$800,MATCH(B40,'"INCC-FGV"'!$A$2:$A$800,0)),$K$2),$K$2)</f>
        <v/>
      </c>
      <c r="M40" s="138">
        <f>'CP RESUMO'!AM37</f>
        <v/>
      </c>
      <c r="N40" s="139">
        <f>MAX(0,M40-M39)</f>
        <v/>
      </c>
      <c r="O40" s="138">
        <f>IF(B40&lt;='VALOR POR PL'!$P$5,'CP RESUMO'!AM79,"")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HISTORICOS'!AN37)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132168.16</v>
      </c>
      <c r="L41" s="49">
        <f>C41/IF(B41&lt;='VALOR POR PL'!$P$5,IFERROR(INDEX('"INCC-FGV"'!$B$2:$B$800,MATCH(B41,'"INCC-FGV"'!$A$2:$A$800,0)),$K$2),$K$2)</f>
        <v/>
      </c>
      <c r="M41" s="138">
        <f>'CP RESUMO'!AN37</f>
        <v/>
      </c>
      <c r="N41" s="139">
        <f>MAX(0,M41-M40)</f>
        <v/>
      </c>
      <c r="O41" s="138">
        <f>IF(B41&lt;='VALOR POR PL'!$P$5,'CP RESUMO'!AN79,"")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HISTORICOS'!AO37)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113999.49</v>
      </c>
      <c r="L42" s="49">
        <f>C42/IF(B42&lt;='VALOR POR PL'!$P$5,IFERROR(INDEX('"INCC-FGV"'!$B$2:$B$800,MATCH(B42,'"INCC-FGV"'!$A$2:$A$800,0)),$K$2),$K$2)</f>
        <v/>
      </c>
      <c r="M42" s="138">
        <f>'CP RESUMO'!AO37</f>
        <v/>
      </c>
      <c r="N42" s="139">
        <f>MAX(0,M42-M41)</f>
        <v/>
      </c>
      <c r="O42" s="138">
        <f>IF(B42&lt;='VALOR POR PL'!$P$5,'CP RESUMO'!AO79,"")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HISTORICOS'!AP37)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155680.56</v>
      </c>
      <c r="L43" s="49">
        <f>C43/IF(B43&lt;='VALOR POR PL'!$P$5,IFERROR(INDEX('"INCC-FGV"'!$B$2:$B$800,MATCH(B43,'"INCC-FGV"'!$A$2:$A$800,0)),$K$2),$K$2)</f>
        <v/>
      </c>
      <c r="M43" s="138">
        <f>'CP RESUMO'!AP37</f>
        <v/>
      </c>
      <c r="N43" s="139">
        <f>MAX(0,M43-M42)</f>
        <v/>
      </c>
      <c r="O43" s="138">
        <f>IF(B43&lt;='VALOR POR PL'!$P$5,'CP RESUMO'!AP79,"")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HISTORICOS'!AQ37)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148199.34</v>
      </c>
      <c r="L44" s="49">
        <f>C44/IF(B44&lt;='VALOR POR PL'!$P$5,IFERROR(INDEX('"INCC-FGV"'!$B$2:$B$800,MATCH(B44,'"INCC-FGV"'!$A$2:$A$800,0)),$K$2),$K$2)</f>
        <v/>
      </c>
      <c r="M44" s="138">
        <f>'CP RESUMO'!AQ37</f>
        <v/>
      </c>
      <c r="N44" s="139">
        <f>MAX(0,M44-M43)</f>
        <v/>
      </c>
      <c r="O44" s="138">
        <f>IF(B44&lt;='VALOR POR PL'!$P$5,'CP RESUMO'!AQ79,"")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HISTORICOS'!AR37)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290876.84</v>
      </c>
      <c r="L45" s="49">
        <f>C45/IF(B45&lt;='VALOR POR PL'!$P$5,IFERROR(INDEX('"INCC-FGV"'!$B$2:$B$800,MATCH(B45,'"INCC-FGV"'!$A$2:$A$800,0)),$K$2),$K$2)</f>
        <v/>
      </c>
      <c r="M45" s="138">
        <f>'CP RESUMO'!AR37</f>
        <v/>
      </c>
      <c r="N45" s="139">
        <f>MAX(0,M45-M44)</f>
        <v/>
      </c>
      <c r="O45" s="138">
        <f>IF(B45&lt;='VALOR POR PL'!$P$5,'CP RESUMO'!AR79,"")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HISTORICOS'!AS37)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198252.25</v>
      </c>
      <c r="L46" s="49">
        <f>C46/IF(B46&lt;='VALOR POR PL'!$P$5,IFERROR(INDEX('"INCC-FGV"'!$B$2:$B$800,MATCH(B46,'"INCC-FGV"'!$A$2:$A$800,0)),$K$2),$K$2)</f>
        <v/>
      </c>
      <c r="M46" s="138">
        <f>'CP RESUMO'!AS37</f>
        <v/>
      </c>
      <c r="N46" s="139">
        <f>MAX(0,M46-M45)</f>
        <v/>
      </c>
      <c r="O46" s="138">
        <f>IF(B46&lt;='VALOR POR PL'!$P$5,'CP RESUMO'!AS79,"")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HISTORICOS'!AT37)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153008.7</v>
      </c>
      <c r="L47" s="49">
        <f>C47/IF(B47&lt;='VALOR POR PL'!$P$5,IFERROR(INDEX('"INCC-FGV"'!$B$2:$B$800,MATCH(B47,'"INCC-FGV"'!$A$2:$A$800,0)),$K$2),$K$2)</f>
        <v/>
      </c>
      <c r="M47" s="138">
        <f>'CP RESUMO'!AT37</f>
        <v/>
      </c>
      <c r="N47" s="139">
        <f>MAX(0,M47-M46)</f>
        <v/>
      </c>
      <c r="O47" s="138">
        <f>IF(B47&lt;='VALOR POR PL'!$P$5,'CP RESUMO'!AT79,"")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HISTORICOS'!AU37)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144814.98</v>
      </c>
      <c r="L48" s="49">
        <f>C48/IF(B48&lt;='VALOR POR PL'!$P$5,IFERROR(INDEX('"INCC-FGV"'!$B$2:$B$800,MATCH(B48,'"INCC-FGV"'!$A$2:$A$800,0)),$K$2),$K$2)</f>
        <v/>
      </c>
      <c r="M48" s="138">
        <f>'CP RESUMO'!AU37</f>
        <v/>
      </c>
      <c r="N48" s="139">
        <f>MAX(0,M48-M47)</f>
        <v/>
      </c>
      <c r="O48" s="138">
        <f>IF(B48&lt;='VALOR POR PL'!$P$5,'CP RESUMO'!AU79,"")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HISTORICOS'!AV37)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139827.51</v>
      </c>
      <c r="L49" s="49">
        <f>C49/IF(B49&lt;='VALOR POR PL'!$P$5,IFERROR(INDEX('"INCC-FGV"'!$B$2:$B$800,MATCH(B49,'"INCC-FGV"'!$A$2:$A$800,0)),$K$2),$K$2)</f>
        <v/>
      </c>
      <c r="M49" s="138">
        <f>'CP RESUMO'!AV37</f>
        <v/>
      </c>
      <c r="N49" s="139">
        <f>MAX(0,M49-M48)</f>
        <v/>
      </c>
      <c r="O49" s="138">
        <f>IF(B49&lt;='VALOR POR PL'!$P$5,'CP RESUMO'!AV79,"")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HISTORICOS'!AW37)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132524.41</v>
      </c>
      <c r="L50" s="49">
        <f>C50/IF(B50&lt;='VALOR POR PL'!$P$5,IFERROR(INDEX('"INCC-FGV"'!$B$2:$B$800,MATCH(B50,'"INCC-FGV"'!$A$2:$A$800,0)),$K$2),$K$2)</f>
        <v/>
      </c>
      <c r="M50" s="138">
        <f>'CP RESUMO'!AW37</f>
        <v/>
      </c>
      <c r="N50" s="139">
        <f>MAX(0,M50-M49)</f>
        <v/>
      </c>
      <c r="O50" s="138">
        <f>IF(B50&lt;='VALOR POR PL'!$P$5,'CP RESUMO'!AW79,"")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HISTORICOS'!AX37)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29746.74</v>
      </c>
      <c r="L51" s="49">
        <f>C51/IF(B51&lt;='VALOR POR PL'!$P$5,IFERROR(INDEX('"INCC-FGV"'!$B$2:$B$800,MATCH(B51,'"INCC-FGV"'!$A$2:$A$800,0)),$K$2),$K$2)</f>
        <v/>
      </c>
      <c r="M51" s="138">
        <f>'CP RESUMO'!AX37</f>
        <v/>
      </c>
      <c r="N51" s="139">
        <f>MAX(0,M51-M50)</f>
        <v/>
      </c>
      <c r="O51" s="138">
        <f>IF(B51&lt;='VALOR POR PL'!$P$5,'CP RESUMO'!AX79,"")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HISTORICOS'!AY37)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56643.5</v>
      </c>
      <c r="L52" s="49">
        <f>C52/IF(B52&lt;='VALOR POR PL'!$P$5,IFERROR(INDEX('"INCC-FGV"'!$B$2:$B$800,MATCH(B52,'"INCC-FGV"'!$A$2:$A$800,0)),$K$2),$K$2)</f>
        <v/>
      </c>
      <c r="M52" s="138">
        <f>'CP RESUMO'!AY37</f>
        <v/>
      </c>
      <c r="N52" s="139">
        <f>MAX(0,M52-M51)</f>
        <v/>
      </c>
      <c r="O52" s="138">
        <f>IF(B52&lt;='VALOR POR PL'!$P$5,'CP RESUMO'!AY79,"")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HISTORICOS'!AZ37)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16209.3</v>
      </c>
      <c r="L53" s="49">
        <f>C53/IF(B53&lt;='VALOR POR PL'!$P$5,IFERROR(INDEX('"INCC-FGV"'!$B$2:$B$800,MATCH(B53,'"INCC-FGV"'!$A$2:$A$800,0)),$K$2),$K$2)</f>
        <v/>
      </c>
      <c r="M53" s="138">
        <f>'CP RESUMO'!AZ37</f>
        <v/>
      </c>
      <c r="N53" s="139">
        <f>MAX(0,M53-M52)</f>
        <v/>
      </c>
      <c r="O53" s="138">
        <f>IF(B53&lt;='VALOR POR PL'!$P$5,'CP RESUMO'!AZ79,"")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HISTORICOS'!BA37)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/>
      <c r="L54" s="49">
        <f>C54/IF(B54&lt;='VALOR POR PL'!$P$5,IFERROR(INDEX('"INCC-FGV"'!$B$2:$B$800,MATCH(B54,'"INCC-FGV"'!$A$2:$A$800,0)),$K$2),$K$2)</f>
        <v/>
      </c>
      <c r="M54" s="138">
        <f>'CP RESUMO'!BA37</f>
        <v/>
      </c>
      <c r="N54" s="139">
        <f>MAX(0,M54-M53)</f>
        <v/>
      </c>
      <c r="O54" s="138">
        <f>IF(B54&lt;='VALOR POR PL'!$P$5,'CP RESUMO'!BA79,"")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HISTORICOS'!BB37)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RESUMO'!BB37</f>
        <v/>
      </c>
      <c r="N55" s="139">
        <f>MAX(0,M55-M54)</f>
        <v/>
      </c>
      <c r="O55" s="138">
        <f>IF(B55&lt;='VALOR POR PL'!$P$5,'CP RESUMO'!BB79,"")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HISTORICOS'!BC37)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RESUMO'!BC37</f>
        <v/>
      </c>
      <c r="N56" s="139">
        <f>MAX(0,M56-M55)</f>
        <v/>
      </c>
      <c r="O56" s="138">
        <f>IF(B56&lt;='VALOR POR PL'!$P$5,'CP RESUMO'!BC79,"")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HISTORICOS'!BD37)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RESUMO'!BD37</f>
        <v/>
      </c>
      <c r="N57" s="139">
        <f>MAX(0,M57-M56)</f>
        <v/>
      </c>
      <c r="O57" s="138">
        <f>IF(B57&lt;='VALOR POR PL'!$P$5,'CP RESUMO'!BD79,"")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HISTORICOS'!BE37)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RESUMO'!BE37</f>
        <v/>
      </c>
      <c r="N58" s="139">
        <f>MAX(0,M58-M57)</f>
        <v/>
      </c>
      <c r="O58" s="138">
        <f>IF(B58&lt;='VALOR POR PL'!$P$5,'CP RESUMO'!BE79,"")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HISTORICOS'!BF37)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RESUMO'!BF37</f>
        <v/>
      </c>
      <c r="N59" s="139">
        <f>MAX(0,M59-M58)</f>
        <v/>
      </c>
      <c r="O59" s="138">
        <f>IF(B59&lt;='VALOR POR PL'!$P$5,'CP RESUMO'!BF79,"")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HISTORICOS'!BG37)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RESUMO'!BG37</f>
        <v/>
      </c>
      <c r="N60" s="139">
        <f>MAX(0,M60-M59)</f>
        <v/>
      </c>
      <c r="O60" s="138">
        <f>IF(B60&lt;='VALOR POR PL'!$P$5,'CP RESUMO'!BG79,"")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HISTORICOS'!BH37)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RESUMO'!BH37</f>
        <v/>
      </c>
      <c r="N61" s="139">
        <f>MAX(0,M61-M60)</f>
        <v/>
      </c>
      <c r="O61" s="138">
        <f>IF(B61&lt;='VALOR POR PL'!$P$5,'CP RESUMO'!BH79,"")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HISTORICOS'!BI37)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RESUMO'!BI37</f>
        <v/>
      </c>
      <c r="N62" s="139">
        <f>MAX(0,M62-M61)</f>
        <v/>
      </c>
      <c r="O62" s="138">
        <f>IF(B62&lt;='VALOR POR PL'!$P$5,'CP RESUMO'!BI79,"")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HISTORICOS'!BJ37)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RESUMO'!BJ37</f>
        <v/>
      </c>
      <c r="N63" s="139">
        <f>MAX(0,M63-M62)</f>
        <v/>
      </c>
      <c r="O63" s="138">
        <f>IF(B63&lt;='VALOR POR PL'!$P$5,'CP RESUMO'!BJ79,"")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HISTORICOS'!BK37)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RESUMO'!BK37</f>
        <v/>
      </c>
      <c r="N64" s="139">
        <f>MAX(0,M64-M63)</f>
        <v/>
      </c>
      <c r="O64" s="138">
        <f>IF(B64&lt;='VALOR POR PL'!$P$5,'CP RESUMO'!BK79,"")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HISTORICOS'!BL37)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RESUMO'!BL37</f>
        <v/>
      </c>
      <c r="N65" s="139">
        <f>MAX(0,M65-M64)</f>
        <v/>
      </c>
      <c r="O65" s="138">
        <f>IF(B65&lt;='VALOR POR PL'!$P$5,'CP RESUMO'!BL79,"")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HISTORICOS'!BM37)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RESUMO'!BM37</f>
        <v/>
      </c>
      <c r="N66" s="139">
        <f>MAX(0,M66-M65)</f>
        <v/>
      </c>
      <c r="O66" s="138">
        <f>IF(B66&lt;='VALOR POR PL'!$P$5,'CP RESUMO'!BM79,"")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HISTORICOS'!BN37)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RESUMO'!BN37</f>
        <v/>
      </c>
      <c r="N67" s="139">
        <f>MAX(0,M67-M66)</f>
        <v/>
      </c>
      <c r="O67" s="138">
        <f>IF(B67&lt;='VALOR POR PL'!$P$5,'CP RESUMO'!BN79,"")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HISTORICOS'!BO37)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RESUMO'!BO37</f>
        <v/>
      </c>
      <c r="N68" s="139">
        <f>MAX(0,M68-M67)</f>
        <v/>
      </c>
      <c r="O68" s="138">
        <f>IF(B68&lt;='VALOR POR PL'!$P$5,'CP RESUMO'!BO79,"")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HISTORICOS'!BP37)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RESUMO'!BP37</f>
        <v/>
      </c>
      <c r="N69" s="139">
        <f>MAX(0,M69-M68)</f>
        <v/>
      </c>
      <c r="O69" s="138">
        <f>IF(B69&lt;='VALOR POR PL'!$P$5,'CP RESUMO'!BP79,"")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HISTORICOS'!BQ37)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RESUMO'!BQ37</f>
        <v/>
      </c>
      <c r="N70" s="139">
        <f>MAX(0,M70-M69)</f>
        <v/>
      </c>
      <c r="O70" s="138">
        <f>IF(B70&lt;='VALOR POR PL'!$P$5,'CP RESUMO'!BQ79,"")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HISTORICOS'!BR37)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RESUMO'!BR37</f>
        <v/>
      </c>
      <c r="N71" s="139">
        <f>MAX(0,M71-M70)</f>
        <v/>
      </c>
      <c r="O71" s="138">
        <f>IF(B71&lt;='VALOR POR PL'!$P$5,'CP RESUMO'!BR79,"")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HISTORICOS'!BS37)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RESUMO'!BS37</f>
        <v/>
      </c>
      <c r="N72" s="139">
        <f>MAX(0,M72-M71)</f>
        <v/>
      </c>
      <c r="O72" s="138">
        <f>IF(B72&lt;='VALOR POR PL'!$P$5,'CP RESUMO'!BS79,"")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HISTORICOS'!BT37)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RESUMO'!BT37</f>
        <v/>
      </c>
      <c r="N73" s="139">
        <f>MAX(0,M73-M72)</f>
        <v/>
      </c>
      <c r="O73" s="138">
        <f>IF(B73&lt;='VALOR POR PL'!$P$5,'CP RESUMO'!BT79,"")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HISTORICOS'!BU37)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RESUMO'!BU37</f>
        <v/>
      </c>
      <c r="N74" s="139">
        <f>MAX(0,M74-M73)</f>
        <v/>
      </c>
      <c r="O74" s="138">
        <f>IF(B74&lt;='VALOR POR PL'!$P$5,'CP RESUMO'!BU79,"")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HISTORICOS'!BV37)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RESUMO'!BV37</f>
        <v/>
      </c>
      <c r="N75" s="139">
        <f>MAX(0,M75-M74)</f>
        <v/>
      </c>
      <c r="O75" s="138">
        <f>IF(B75&lt;='VALOR POR PL'!$P$5,'CP RESUMO'!BV79,"")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HISTORICOS'!BW37)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RESUMO'!BW37</f>
        <v/>
      </c>
      <c r="N76" s="139">
        <f>MAX(0,M76-M75)</f>
        <v/>
      </c>
      <c r="O76" s="138">
        <f>IF(B76&lt;='VALOR POR PL'!$P$5,'CP RESUMO'!BW79,"")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2:U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2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B2" s="118">
        <f>'VALOR POR PL'!D44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  <c r="R4" s="58" t="inlineStr">
        <is>
          <t>MDO
(R$)</t>
        </is>
      </c>
      <c r="S4" s="58" t="inlineStr">
        <is>
          <t>MATERIAL
peso (pagamento
do pedido)</t>
        </is>
      </c>
      <c r="T4" s="58" t="inlineStr">
        <is>
          <t>MATERIAL
peso ajustado
(só futuro)</t>
        </is>
      </c>
      <c r="U4" s="58" t="inlineStr">
        <is>
          <t>MATERIAL
(R$)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HISTORICOS'!D38)</f>
        <v/>
      </c>
      <c r="D5" s="49">
        <f>IF(B5&lt;='VALOR POR PL'!$P$5,0,IF($K$16="MDO PREVISION + MATERIAL PREMISSA",R5+U5,IF($K$17&gt;0,$K$18*P5/$K$17,0)))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PL'!F44</f>
        <v/>
      </c>
      <c r="K5" s="60">
        <f>'VALOR POR PL'!G44</f>
        <v/>
      </c>
      <c r="L5" s="60">
        <f>'DADOS HISTORICOS'!$BZ$38</f>
        <v/>
      </c>
      <c r="M5" s="138">
        <f>'CP RESUMO'!D38</f>
        <v/>
      </c>
      <c r="N5" s="139" t="n">
        <v>0</v>
      </c>
      <c r="O5" s="138">
        <f>IF(B5&lt;='VALOR POR PL'!$P$5,'CP RESUMO'!D80,"")</f>
        <v/>
      </c>
      <c r="P5" s="72">
        <f>IF(B5&lt;='VALOR POR PL'!$P$5,0,IF(OR($K$16="CURVA PREVISION",$K$16="MDO PREVISION + MATERIAL PREMISSA"),N5,IF($K$16="PREVISÃO INFORMADA",MAX(0,H5),0)))</f>
        <v/>
      </c>
      <c r="R5" s="49">
        <f>IF(OR(B5&lt;='VALOR POR PL'!$P$5,$K$12=0),0,$K$18*$K$26*N5/$K$12)</f>
        <v/>
      </c>
      <c r="S5" s="139">
        <f>(IF(AND(1+$K$33&gt;=1,1+$K$33&lt;=72),INDEX($N$5:$N$76,1+$K$33),0)+IF(AND(1+$K$34&gt;=1,1+$K$34&lt;=72),INDEX($N$5:$N$76,1+$K$34),0)+IF(AND(1+$K$35&gt;=1,1+$K$35&lt;=72),INDEX($N$5:$N$76,1+$K$35),0))/3</f>
        <v/>
      </c>
      <c r="T5" s="139">
        <f>IF(B5&lt;='VALOR POR PL'!$P$5,0,S5+IF(B5=DATE(YEAR('VALOR POR PL'!$P$5),MONTH('VALOR POR PL'!$P$5)+1,1),SUMPRODUCT((B5:B76&lt;='VALOR POR PL'!$P$5)*S5:S76),0))</f>
        <v/>
      </c>
      <c r="U5" s="49">
        <f>IF($K$32=0,0,$K$18*$K$27*T5/$K$32)</f>
        <v/>
      </c>
    </row>
    <row r="6">
      <c r="B6" s="140">
        <f>DATE(YEAR(B5),MONTH(B5)+1,1)</f>
        <v/>
      </c>
      <c r="C6" s="60">
        <f>IF(AND($K$22="NÃO",B6&gt;'VALOR POR PL'!$P$5),0,'DADOS HISTORICOS'!E38)</f>
        <v/>
      </c>
      <c r="D6" s="49">
        <f>IF(B6&lt;='VALOR POR PL'!$P$5,0,IF($K$16="MDO PREVISION + MATERIAL PREMISSA",R6+U6,IF($K$17&gt;0,$K$18*P6/$K$17,0)))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PL'!H44</f>
        <v/>
      </c>
      <c r="L6" s="49">
        <f>C6/IF(B6&lt;='VALOR POR PL'!$P$5,IFERROR(INDEX('"INCC-FGV"'!$B$2:$B$800,MATCH(B6,'"INCC-FGV"'!$A$2:$A$800,0)),$K$2),$K$2)</f>
        <v/>
      </c>
      <c r="M6" s="138">
        <f>'CP RESUMO'!E38</f>
        <v/>
      </c>
      <c r="N6" s="139">
        <f>MAX(0,M6-M5)</f>
        <v/>
      </c>
      <c r="O6" s="138">
        <f>IF(B6&lt;='VALOR POR PL'!$P$5,'CP RESUMO'!E80,"")</f>
        <v/>
      </c>
      <c r="P6" s="72">
        <f>IF(B6&lt;='VALOR POR PL'!$P$5,0,IF(OR($K$16="CURVA PREVISION",$K$16="MDO PREVISION + MATERIAL PREMISSA"),N6,IF($K$16="PREVISÃO INFORMADA",MAX(0,H6),0)))</f>
        <v/>
      </c>
      <c r="R6" s="49">
        <f>IF(OR(B6&lt;='VALOR POR PL'!$P$5,$K$12=0),0,$K$18*$K$26*N6/$K$12)</f>
        <v/>
      </c>
      <c r="S6" s="139">
        <f>(IF(AND(2+$K$33&gt;=1,2+$K$33&lt;=72),INDEX($N$5:$N$76,2+$K$33),0)+IF(AND(2+$K$34&gt;=1,2+$K$34&lt;=72),INDEX($N$5:$N$76,2+$K$34),0)+IF(AND(2+$K$35&gt;=1,2+$K$35&lt;=72),INDEX($N$5:$N$76,2+$K$35),0))/3</f>
        <v/>
      </c>
      <c r="T6" s="139">
        <f>IF(B6&lt;='VALOR POR PL'!$P$5,0,S6+IF(B6=DATE(YEAR('VALOR POR PL'!$P$5),MONTH('VALOR POR PL'!$P$5)+1,1),SUMPRODUCT((B5:B76&lt;='VALOR POR PL'!$P$5)*S5:S76),0))</f>
        <v/>
      </c>
      <c r="U6" s="49">
        <f>IF($K$32=0,0,$K$18*$K$27*T6/$K$32)</f>
        <v/>
      </c>
    </row>
    <row r="7">
      <c r="B7" s="140">
        <f>DATE(YEAR(B6),MONTH(B6)+1,1)</f>
        <v/>
      </c>
      <c r="C7" s="60">
        <f>IF(AND($K$22="NÃO",B7&gt;'VALOR POR PL'!$P$5),0,'DADOS HISTORICOS'!F38)</f>
        <v/>
      </c>
      <c r="D7" s="49">
        <f>IF(B7&lt;='VALOR POR PL'!$P$5,0,IF($K$16="MDO PREVISION + MATERIAL PREMISSA",R7+U7,IF($K$17&gt;0,$K$18*P7/$K$17,0)))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RESUMO'!F38</f>
        <v/>
      </c>
      <c r="N7" s="139">
        <f>MAX(0,M7-M6)</f>
        <v/>
      </c>
      <c r="O7" s="138">
        <f>IF(B7&lt;='VALOR POR PL'!$P$5,'CP RESUMO'!F80,"")</f>
        <v/>
      </c>
      <c r="P7" s="72">
        <f>IF(B7&lt;='VALOR POR PL'!$P$5,0,IF(OR($K$16="CURVA PREVISION",$K$16="MDO PREVISION + MATERIAL PREMISSA"),N7,IF($K$16="PREVISÃO INFORMADA",MAX(0,H7),0)))</f>
        <v/>
      </c>
      <c r="R7" s="49">
        <f>IF(OR(B7&lt;='VALOR POR PL'!$P$5,$K$12=0),0,$K$18*$K$26*N7/$K$12)</f>
        <v/>
      </c>
      <c r="S7" s="139">
        <f>(IF(AND(3+$K$33&gt;=1,3+$K$33&lt;=72),INDEX($N$5:$N$76,3+$K$33),0)+IF(AND(3+$K$34&gt;=1,3+$K$34&lt;=72),INDEX($N$5:$N$76,3+$K$34),0)+IF(AND(3+$K$35&gt;=1,3+$K$35&lt;=72),INDEX($N$5:$N$76,3+$K$35),0))/3</f>
        <v/>
      </c>
      <c r="T7" s="139">
        <f>IF(B7&lt;='VALOR POR PL'!$P$5,0,S7+IF(B7=DATE(YEAR('VALOR POR PL'!$P$5),MONTH('VALOR POR PL'!$P$5)+1,1),SUMPRODUCT((B5:B76&lt;='VALOR POR PL'!$P$5)*S5:S76),0))</f>
        <v/>
      </c>
      <c r="U7" s="49">
        <f>IF($K$32=0,0,$K$18*$K$27*T7/$K$32)</f>
        <v/>
      </c>
    </row>
    <row r="8">
      <c r="B8" s="140">
        <f>DATE(YEAR(B7),MONTH(B7)+1,1)</f>
        <v/>
      </c>
      <c r="C8" s="60">
        <f>IF(AND($K$22="NÃO",B8&gt;'VALOR POR PL'!$P$5),0,'DADOS HISTORICOS'!G38)</f>
        <v/>
      </c>
      <c r="D8" s="49">
        <f>IF(B8&lt;='VALOR POR PL'!$P$5,0,IF($K$16="MDO PREVISION + MATERIAL PREMISSA",R8+U8,IF($K$17&gt;0,$K$18*P8/$K$17,0)))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RESUMO'!G38</f>
        <v/>
      </c>
      <c r="N8" s="139">
        <f>MAX(0,M8-M7)</f>
        <v/>
      </c>
      <c r="O8" s="138">
        <f>IF(B8&lt;='VALOR POR PL'!$P$5,'CP RESUMO'!G80,"")</f>
        <v/>
      </c>
      <c r="P8" s="72">
        <f>IF(B8&lt;='VALOR POR PL'!$P$5,0,IF(OR($K$16="CURVA PREVISION",$K$16="MDO PREVISION + MATERIAL PREMISSA"),N8,IF($K$16="PREVISÃO INFORMADA",MAX(0,H8),0)))</f>
        <v/>
      </c>
      <c r="R8" s="49">
        <f>IF(OR(B8&lt;='VALOR POR PL'!$P$5,$K$12=0),0,$K$18*$K$26*N8/$K$12)</f>
        <v/>
      </c>
      <c r="S8" s="139">
        <f>(IF(AND(4+$K$33&gt;=1,4+$K$33&lt;=72),INDEX($N$5:$N$76,4+$K$33),0)+IF(AND(4+$K$34&gt;=1,4+$K$34&lt;=72),INDEX($N$5:$N$76,4+$K$34),0)+IF(AND(4+$K$35&gt;=1,4+$K$35&lt;=72),INDEX($N$5:$N$76,4+$K$35),0))/3</f>
        <v/>
      </c>
      <c r="T8" s="139">
        <f>IF(B8&lt;='VALOR POR PL'!$P$5,0,S8+IF(B8=DATE(YEAR('VALOR POR PL'!$P$5),MONTH('VALOR POR PL'!$P$5)+1,1),SUMPRODUCT((B5:B76&lt;='VALOR POR PL'!$P$5)*S5:S76),0))</f>
        <v/>
      </c>
      <c r="U8" s="49">
        <f>IF($K$32=0,0,$K$18*$K$27*T8/$K$32)</f>
        <v/>
      </c>
    </row>
    <row r="9">
      <c r="B9" s="140">
        <f>DATE(YEAR(B8),MONTH(B8)+1,1)</f>
        <v/>
      </c>
      <c r="C9" s="60">
        <f>IF(AND($K$22="NÃO",B9&gt;'VALOR POR PL'!$P$5),0,'DADOS HISTORICOS'!H38)</f>
        <v/>
      </c>
      <c r="D9" s="49">
        <f>IF(B9&lt;='VALOR POR PL'!$P$5,0,IF($K$16="MDO PREVISION + MATERIAL PREMISSA",R9+U9,IF($K$17&gt;0,$K$18*P9/$K$17,0)))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RESUMO'!H38</f>
        <v/>
      </c>
      <c r="N9" s="139">
        <f>MAX(0,M9-M8)</f>
        <v/>
      </c>
      <c r="O9" s="138">
        <f>IF(B9&lt;='VALOR POR PL'!$P$5,'CP RESUMO'!H80,"")</f>
        <v/>
      </c>
      <c r="P9" s="72">
        <f>IF(B9&lt;='VALOR POR PL'!$P$5,0,IF(OR($K$16="CURVA PREVISION",$K$16="MDO PREVISION + MATERIAL PREMISSA"),N9,IF($K$16="PREVISÃO INFORMADA",MAX(0,H9),0)))</f>
        <v/>
      </c>
      <c r="R9" s="49">
        <f>IF(OR(B9&lt;='VALOR POR PL'!$P$5,$K$12=0),0,$K$18*$K$26*N9/$K$12)</f>
        <v/>
      </c>
      <c r="S9" s="139">
        <f>(IF(AND(5+$K$33&gt;=1,5+$K$33&lt;=72),INDEX($N$5:$N$76,5+$K$33),0)+IF(AND(5+$K$34&gt;=1,5+$K$34&lt;=72),INDEX($N$5:$N$76,5+$K$34),0)+IF(AND(5+$K$35&gt;=1,5+$K$35&lt;=72),INDEX($N$5:$N$76,5+$K$35),0))/3</f>
        <v/>
      </c>
      <c r="T9" s="139">
        <f>IF(B9&lt;='VALOR POR PL'!$P$5,0,S9+IF(B9=DATE(YEAR('VALOR POR PL'!$P$5),MONTH('VALOR POR PL'!$P$5)+1,1),SUMPRODUCT((B5:B76&lt;='VALOR POR PL'!$P$5)*S5:S76),0))</f>
        <v/>
      </c>
      <c r="U9" s="49">
        <f>IF($K$32=0,0,$K$18*$K$27*T9/$K$32)</f>
        <v/>
      </c>
    </row>
    <row r="10">
      <c r="B10" s="140">
        <f>DATE(YEAR(B9),MONTH(B9)+1,1)</f>
        <v/>
      </c>
      <c r="C10" s="60">
        <f>IF(AND($K$22="NÃO",B10&gt;'VALOR POR PL'!$P$5),0,'DADOS HISTORICOS'!I38)</f>
        <v/>
      </c>
      <c r="D10" s="49">
        <f>IF(B10&lt;='VALOR POR PL'!$P$5,0,IF($K$16="MDO PREVISION + MATERIAL PREMISSA",R10+U10,IF($K$17&gt;0,$K$18*P10/$K$17,0)))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RESUMO'!I38</f>
        <v/>
      </c>
      <c r="N10" s="139">
        <f>MAX(0,M10-M9)</f>
        <v/>
      </c>
      <c r="O10" s="138">
        <f>IF(B10&lt;='VALOR POR PL'!$P$5,'CP RESUMO'!I80,"")</f>
        <v/>
      </c>
      <c r="P10" s="72">
        <f>IF(B10&lt;='VALOR POR PL'!$P$5,0,IF(OR($K$16="CURVA PREVISION",$K$16="MDO PREVISION + MATERIAL PREMISSA"),N10,IF($K$16="PREVISÃO INFORMADA",MAX(0,H10),0)))</f>
        <v/>
      </c>
      <c r="R10" s="49">
        <f>IF(OR(B10&lt;='VALOR POR PL'!$P$5,$K$12=0),0,$K$18*$K$26*N10/$K$12)</f>
        <v/>
      </c>
      <c r="S10" s="139">
        <f>(IF(AND(6+$K$33&gt;=1,6+$K$33&lt;=72),INDEX($N$5:$N$76,6+$K$33),0)+IF(AND(6+$K$34&gt;=1,6+$K$34&lt;=72),INDEX($N$5:$N$76,6+$K$34),0)+IF(AND(6+$K$35&gt;=1,6+$K$35&lt;=72),INDEX($N$5:$N$76,6+$K$35),0))/3</f>
        <v/>
      </c>
      <c r="T10" s="139">
        <f>IF(B10&lt;='VALOR POR PL'!$P$5,0,S10+IF(B10=DATE(YEAR('VALOR POR PL'!$P$5),MONTH('VALOR POR PL'!$P$5)+1,1),SUMPRODUCT((B5:B76&lt;='VALOR POR PL'!$P$5)*S5:S76),0))</f>
        <v/>
      </c>
      <c r="U10" s="49">
        <f>IF($K$32=0,0,$K$18*$K$27*T10/$K$32)</f>
        <v/>
      </c>
    </row>
    <row r="11">
      <c r="B11" s="140">
        <f>DATE(YEAR(B10),MONTH(B10)+1,1)</f>
        <v/>
      </c>
      <c r="C11" s="60">
        <f>IF(AND($K$22="NÃO",B11&gt;'VALOR POR PL'!$P$5),0,'DADOS HISTORICOS'!J38)</f>
        <v/>
      </c>
      <c r="D11" s="49">
        <f>IF(B11&lt;='VALOR POR PL'!$P$5,0,IF($K$16="MDO PREVISION + MATERIAL PREMISSA",R11+U11,IF($K$17&gt;0,$K$18*P11/$K$17,0)))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RESUMO'!J38</f>
        <v/>
      </c>
      <c r="N11" s="139">
        <f>MAX(0,M11-M10)</f>
        <v/>
      </c>
      <c r="O11" s="138">
        <f>IF(B11&lt;='VALOR POR PL'!$P$5,'CP RESUMO'!J80,"")</f>
        <v/>
      </c>
      <c r="P11" s="72">
        <f>IF(B11&lt;='VALOR POR PL'!$P$5,0,IF(OR($K$16="CURVA PREVISION",$K$16="MDO PREVISION + MATERIAL PREMISSA"),N11,IF($K$16="PREVISÃO INFORMADA",MAX(0,H11),0)))</f>
        <v/>
      </c>
      <c r="R11" s="49">
        <f>IF(OR(B11&lt;='VALOR POR PL'!$P$5,$K$12=0),0,$K$18*$K$26*N11/$K$12)</f>
        <v/>
      </c>
      <c r="S11" s="139">
        <f>(IF(AND(7+$K$33&gt;=1,7+$K$33&lt;=72),INDEX($N$5:$N$76,7+$K$33),0)+IF(AND(7+$K$34&gt;=1,7+$K$34&lt;=72),INDEX($N$5:$N$76,7+$K$34),0)+IF(AND(7+$K$35&gt;=1,7+$K$35&lt;=72),INDEX($N$5:$N$76,7+$K$35),0))/3</f>
        <v/>
      </c>
      <c r="T11" s="139">
        <f>IF(B11&lt;='VALOR POR PL'!$P$5,0,S11+IF(B11=DATE(YEAR('VALOR POR PL'!$P$5),MONTH('VALOR POR PL'!$P$5)+1,1),SUMPRODUCT((B5:B76&lt;='VALOR POR PL'!$P$5)*S5:S76),0))</f>
        <v/>
      </c>
      <c r="U11" s="49">
        <f>IF($K$32=0,0,$K$18*$K$27*T11/$K$32)</f>
        <v/>
      </c>
    </row>
    <row r="12">
      <c r="B12" s="140">
        <f>DATE(YEAR(B11),MONTH(B11)+1,1)</f>
        <v/>
      </c>
      <c r="C12" s="60">
        <f>IF(AND($K$22="NÃO",B12&gt;'VALOR POR PL'!$P$5),0,'DADOS HISTORICOS'!K38)</f>
        <v/>
      </c>
      <c r="D12" s="49">
        <f>IF(B12&lt;='VALOR POR PL'!$P$5,0,IF($K$16="MDO PREVISION + MATERIAL PREMISSA",R12+U12,IF($K$17&gt;0,$K$18*P12/$K$17,0)))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RESUMO'!K38</f>
        <v/>
      </c>
      <c r="N12" s="139">
        <f>MAX(0,M12-M11)</f>
        <v/>
      </c>
      <c r="O12" s="138">
        <f>IF(B12&lt;='VALOR POR PL'!$P$5,'CP RESUMO'!K80,"")</f>
        <v/>
      </c>
      <c r="P12" s="72">
        <f>IF(B12&lt;='VALOR POR PL'!$P$5,0,IF(OR($K$16="CURVA PREVISION",$K$16="MDO PREVISION + MATERIAL PREMISSA"),N12,IF($K$16="PREVISÃO INFORMADA",MAX(0,H12),0)))</f>
        <v/>
      </c>
      <c r="R12" s="49">
        <f>IF(OR(B12&lt;='VALOR POR PL'!$P$5,$K$12=0),0,$K$18*$K$26*N12/$K$12)</f>
        <v/>
      </c>
      <c r="S12" s="139">
        <f>(IF(AND(8+$K$33&gt;=1,8+$K$33&lt;=72),INDEX($N$5:$N$76,8+$K$33),0)+IF(AND(8+$K$34&gt;=1,8+$K$34&lt;=72),INDEX($N$5:$N$76,8+$K$34),0)+IF(AND(8+$K$35&gt;=1,8+$K$35&lt;=72),INDEX($N$5:$N$76,8+$K$35),0))/3</f>
        <v/>
      </c>
      <c r="T12" s="139">
        <f>IF(B12&lt;='VALOR POR PL'!$P$5,0,S12+IF(B12=DATE(YEAR('VALOR POR PL'!$P$5),MONTH('VALOR POR PL'!$P$5)+1,1),SUMPRODUCT((B5:B76&lt;='VALOR POR PL'!$P$5)*S5:S76),0))</f>
        <v/>
      </c>
      <c r="U12" s="49">
        <f>IF($K$32=0,0,$K$18*$K$27*T12/$K$32)</f>
        <v/>
      </c>
    </row>
    <row r="13">
      <c r="B13" s="140">
        <f>DATE(YEAR(B12),MONTH(B12)+1,1)</f>
        <v/>
      </c>
      <c r="C13" s="60">
        <f>IF(AND($K$22="NÃO",B13&gt;'VALOR POR PL'!$P$5),0,'DADOS HISTORICOS'!L38)</f>
        <v/>
      </c>
      <c r="D13" s="49">
        <f>IF(B13&lt;='VALOR POR PL'!$P$5,0,IF($K$16="MDO PREVISION + MATERIAL PREMISSA",R13+U13,IF($K$17&gt;0,$K$18*P13/$K$17,0)))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PL'!I44</f>
        <v/>
      </c>
      <c r="L13" s="49">
        <f>C13/IF(B13&lt;='VALOR POR PL'!$P$5,IFERROR(INDEX('"INCC-FGV"'!$B$2:$B$800,MATCH(B13,'"INCC-FGV"'!$A$2:$A$800,0)),$K$2),$K$2)</f>
        <v/>
      </c>
      <c r="M13" s="138">
        <f>'CP RESUMO'!L38</f>
        <v/>
      </c>
      <c r="N13" s="139">
        <f>MAX(0,M13-M12)</f>
        <v/>
      </c>
      <c r="O13" s="138">
        <f>IF(B13&lt;='VALOR POR PL'!$P$5,'CP RESUMO'!L80,"")</f>
        <v/>
      </c>
      <c r="P13" s="72">
        <f>IF(B13&lt;='VALOR POR PL'!$P$5,0,IF(OR($K$16="CURVA PREVISION",$K$16="MDO PREVISION + MATERIAL PREMISSA"),N13,IF($K$16="PREVISÃO INFORMADA",MAX(0,H13),0)))</f>
        <v/>
      </c>
      <c r="R13" s="49">
        <f>IF(OR(B13&lt;='VALOR POR PL'!$P$5,$K$12=0),0,$K$18*$K$26*N13/$K$12)</f>
        <v/>
      </c>
      <c r="S13" s="139">
        <f>(IF(AND(9+$K$33&gt;=1,9+$K$33&lt;=72),INDEX($N$5:$N$76,9+$K$33),0)+IF(AND(9+$K$34&gt;=1,9+$K$34&lt;=72),INDEX($N$5:$N$76,9+$K$34),0)+IF(AND(9+$K$35&gt;=1,9+$K$35&lt;=72),INDEX($N$5:$N$76,9+$K$35),0))/3</f>
        <v/>
      </c>
      <c r="T13" s="139">
        <f>IF(B13&lt;='VALOR POR PL'!$P$5,0,S13+IF(B13=DATE(YEAR('VALOR POR PL'!$P$5),MONTH('VALOR POR PL'!$P$5)+1,1),SUMPRODUCT((B5:B76&lt;='VALOR POR PL'!$P$5)*S5:S76),0))</f>
        <v/>
      </c>
      <c r="U13" s="49">
        <f>IF($K$32=0,0,$K$18*$K$27*T13/$K$32)</f>
        <v/>
      </c>
    </row>
    <row r="14">
      <c r="B14" s="140">
        <f>DATE(YEAR(B13),MONTH(B13)+1,1)</f>
        <v/>
      </c>
      <c r="C14" s="60">
        <f>IF(AND($K$22="NÃO",B14&gt;'VALOR POR PL'!$P$5),0,'DADOS HISTORICOS'!M38)</f>
        <v/>
      </c>
      <c r="D14" s="49">
        <f>IF(B14&lt;='VALOR POR PL'!$P$5,0,IF($K$16="MDO PREVISION + MATERIAL PREMISSA",R14+U14,IF($K$17&gt;0,$K$18*P14/$K$17,0)))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RESUMO'!$D$80:$BW$80,MATCH('VALOR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RESUMO'!M38</f>
        <v/>
      </c>
      <c r="N14" s="139">
        <f>MAX(0,M14-M13)</f>
        <v/>
      </c>
      <c r="O14" s="138">
        <f>IF(B14&lt;='VALOR POR PL'!$P$5,'CP RESUMO'!M80,"")</f>
        <v/>
      </c>
      <c r="P14" s="72">
        <f>IF(B14&lt;='VALOR POR PL'!$P$5,0,IF(OR($K$16="CURVA PREVISION",$K$16="MDO PREVISION + MATERIAL PREMISSA"),N14,IF($K$16="PREVISÃO INFORMADA",MAX(0,H14),0)))</f>
        <v/>
      </c>
      <c r="R14" s="49">
        <f>IF(OR(B14&lt;='VALOR POR PL'!$P$5,$K$12=0),0,$K$18*$K$26*N14/$K$12)</f>
        <v/>
      </c>
      <c r="S14" s="139">
        <f>(IF(AND(10+$K$33&gt;=1,10+$K$33&lt;=72),INDEX($N$5:$N$76,10+$K$33),0)+IF(AND(10+$K$34&gt;=1,10+$K$34&lt;=72),INDEX($N$5:$N$76,10+$K$34),0)+IF(AND(10+$K$35&gt;=1,10+$K$35&lt;=72),INDEX($N$5:$N$76,10+$K$35),0))/3</f>
        <v/>
      </c>
      <c r="T14" s="139">
        <f>IF(B14&lt;='VALOR POR PL'!$P$5,0,S14+IF(B14=DATE(YEAR('VALOR POR PL'!$P$5),MONTH('VALOR POR PL'!$P$5)+1,1),SUMPRODUCT((B5:B76&lt;='VALOR POR PL'!$P$5)*S5:S76),0))</f>
        <v/>
      </c>
      <c r="U14" s="49">
        <f>IF($K$32=0,0,$K$18*$K$27*T14/$K$32)</f>
        <v/>
      </c>
    </row>
    <row r="15">
      <c r="B15" s="140">
        <f>DATE(YEAR(B14),MONTH(B14)+1,1)</f>
        <v/>
      </c>
      <c r="C15" s="60">
        <f>IF(AND($K$22="NÃO",B15&gt;'VALOR POR PL'!$P$5),0,'DADOS HISTORICOS'!N38)</f>
        <v/>
      </c>
      <c r="D15" s="49">
        <f>IF(B15&lt;='VALOR POR PL'!$P$5,0,IF($K$16="MDO PREVISION + MATERIAL PREMISSA",R15+U15,IF($K$17&gt;0,$K$18*P15/$K$17,0)))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MDO PREVISION + MATERIAL PREMISSA</t>
        </is>
      </c>
      <c r="L15" s="49">
        <f>C15/IF(B15&lt;='VALOR POR PL'!$P$5,IFERROR(INDEX('"INCC-FGV"'!$B$2:$B$800,MATCH(B15,'"INCC-FGV"'!$A$2:$A$800,0)),$K$2),$K$2)</f>
        <v/>
      </c>
      <c r="M15" s="138">
        <f>'CP RESUMO'!N38</f>
        <v/>
      </c>
      <c r="N15" s="139">
        <f>MAX(0,M15-M14)</f>
        <v/>
      </c>
      <c r="O15" s="138">
        <f>IF(B15&lt;='VALOR POR PL'!$P$5,'CP RESUMO'!N80,"")</f>
        <v/>
      </c>
      <c r="P15" s="72">
        <f>IF(B15&lt;='VALOR POR PL'!$P$5,0,IF(OR($K$16="CURVA PREVISION",$K$16="MDO PREVISION + MATERIAL PREMISSA"),N15,IF($K$16="PREVISÃO INFORMADA",MAX(0,H15),0)))</f>
        <v/>
      </c>
      <c r="R15" s="49">
        <f>IF(OR(B15&lt;='VALOR POR PL'!$P$5,$K$12=0),0,$K$18*$K$26*N15/$K$12)</f>
        <v/>
      </c>
      <c r="S15" s="139">
        <f>(IF(AND(11+$K$33&gt;=1,11+$K$33&lt;=72),INDEX($N$5:$N$76,11+$K$33),0)+IF(AND(11+$K$34&gt;=1,11+$K$34&lt;=72),INDEX($N$5:$N$76,11+$K$34),0)+IF(AND(11+$K$35&gt;=1,11+$K$35&lt;=72),INDEX($N$5:$N$76,11+$K$35),0))/3</f>
        <v/>
      </c>
      <c r="T15" s="139">
        <f>IF(B15&lt;='VALOR POR PL'!$P$5,0,S15+IF(B15=DATE(YEAR('VALOR POR PL'!$P$5),MONTH('VALOR POR PL'!$P$5)+1,1),SUMPRODUCT((B5:B76&lt;='VALOR POR PL'!$P$5)*S5:S76),0))</f>
        <v/>
      </c>
      <c r="U15" s="49">
        <f>IF($K$32=0,0,$K$18*$K$27*T15/$K$32)</f>
        <v/>
      </c>
    </row>
    <row r="16">
      <c r="B16" s="140">
        <f>DATE(YEAR(B15),MONTH(B15)+1,1)</f>
        <v/>
      </c>
      <c r="C16" s="60">
        <f>IF(AND($K$22="NÃO",B16&gt;'VALOR POR PL'!$P$5),0,'DADOS HISTORICOS'!O38)</f>
        <v/>
      </c>
      <c r="D16" s="49">
        <f>IF(B16&lt;='VALOR POR PL'!$P$5,0,IF($K$16="MDO PREVISION + MATERIAL PREMISSA",R16+U16,IF($K$17&gt;0,$K$18*P16/$K$17,0)))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IF(K15="MDO PREVISION + MATERIAL PREMISSA",IF(AND(K12&gt;0,K32&gt;0),"MDO PREVISION + MATERIAL PREMISSA",IF(K11&gt;0,"PREVISÃO INFORMADA","SEM CURVA")),IF(K15="CURVA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CURVA"))))))</f>
        <v/>
      </c>
      <c r="L16" s="49">
        <f>C16/IF(B16&lt;='VALOR POR PL'!$P$5,IFERROR(INDEX('"INCC-FGV"'!$B$2:$B$800,MATCH(B16,'"INCC-FGV"'!$A$2:$A$800,0)),$K$2),$K$2)</f>
        <v/>
      </c>
      <c r="M16" s="138">
        <f>'CP RESUMO'!O38</f>
        <v/>
      </c>
      <c r="N16" s="139">
        <f>MAX(0,M16-M15)</f>
        <v/>
      </c>
      <c r="O16" s="138">
        <f>IF(B16&lt;='VALOR POR PL'!$P$5,'CP RESUMO'!O80,"")</f>
        <v/>
      </c>
      <c r="P16" s="72">
        <f>IF(B16&lt;='VALOR POR PL'!$P$5,0,IF(OR($K$16="CURVA PREVISION",$K$16="MDO PREVISION + MATERIAL PREMISSA"),N16,IF($K$16="PREVISÃO INFORMADA",MAX(0,H16),0)))</f>
        <v/>
      </c>
      <c r="R16" s="49">
        <f>IF(OR(B16&lt;='VALOR POR PL'!$P$5,$K$12=0),0,$K$18*$K$26*N16/$K$12)</f>
        <v/>
      </c>
      <c r="S16" s="139">
        <f>(IF(AND(12+$K$33&gt;=1,12+$K$33&lt;=72),INDEX($N$5:$N$76,12+$K$33),0)+IF(AND(12+$K$34&gt;=1,12+$K$34&lt;=72),INDEX($N$5:$N$76,12+$K$34),0)+IF(AND(12+$K$35&gt;=1,12+$K$35&lt;=72),INDEX($N$5:$N$76,12+$K$35),0))/3</f>
        <v/>
      </c>
      <c r="T16" s="139">
        <f>IF(B16&lt;='VALOR POR PL'!$P$5,0,S16+IF(B16=DATE(YEAR('VALOR POR PL'!$P$5),MONTH('VALOR POR PL'!$P$5)+1,1),SUMPRODUCT((B5:B76&lt;='VALOR POR PL'!$P$5)*S5:S76),0))</f>
        <v/>
      </c>
      <c r="U16" s="49">
        <f>IF($K$32=0,0,$K$18*$K$27*T16/$K$32)</f>
        <v/>
      </c>
    </row>
    <row r="17">
      <c r="B17" s="140">
        <f>DATE(YEAR(B16),MONTH(B16)+1,1)</f>
        <v/>
      </c>
      <c r="C17" s="60">
        <f>IF(AND($K$22="NÃO",B17&gt;'VALOR POR PL'!$P$5),0,'DADOS HISTORICOS'!P38)</f>
        <v/>
      </c>
      <c r="D17" s="49">
        <f>IF(B17&lt;='VALOR POR PL'!$P$5,0,IF($K$16="MDO PREVISION + MATERIAL PREMISSA",R17+U17,IF($K$17&gt;0,$K$18*P17/$K$17,0)))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RESUMO'!P38</f>
        <v/>
      </c>
      <c r="N17" s="139">
        <f>MAX(0,M17-M16)</f>
        <v/>
      </c>
      <c r="O17" s="138">
        <f>IF(B17&lt;='VALOR POR PL'!$P$5,'CP RESUMO'!P80,"")</f>
        <v/>
      </c>
      <c r="P17" s="72">
        <f>IF(B17&lt;='VALOR POR PL'!$P$5,0,IF(OR($K$16="CURVA PREVISION",$K$16="MDO PREVISION + MATERIAL PREMISSA"),N17,IF($K$16="PREVISÃO INFORMADA",MAX(0,H17),0)))</f>
        <v/>
      </c>
      <c r="R17" s="49">
        <f>IF(OR(B17&lt;='VALOR POR PL'!$P$5,$K$12=0),0,$K$18*$K$26*N17/$K$12)</f>
        <v/>
      </c>
      <c r="S17" s="139">
        <f>(IF(AND(13+$K$33&gt;=1,13+$K$33&lt;=72),INDEX($N$5:$N$76,13+$K$33),0)+IF(AND(13+$K$34&gt;=1,13+$K$34&lt;=72),INDEX($N$5:$N$76,13+$K$34),0)+IF(AND(13+$K$35&gt;=1,13+$K$35&lt;=72),INDEX($N$5:$N$76,13+$K$35),0))/3</f>
        <v/>
      </c>
      <c r="T17" s="139">
        <f>IF(B17&lt;='VALOR POR PL'!$P$5,0,S17+IF(B17=DATE(YEAR('VALOR POR PL'!$P$5),MONTH('VALOR POR PL'!$P$5)+1,1),SUMPRODUCT((B5:B76&lt;='VALOR POR PL'!$P$5)*S5:S76),0))</f>
        <v/>
      </c>
      <c r="U17" s="49">
        <f>IF($K$32=0,0,$K$18*$K$27*T17/$K$32)</f>
        <v/>
      </c>
    </row>
    <row r="18">
      <c r="B18" s="140">
        <f>DATE(YEAR(B17),MONTH(B17)+1,1)</f>
        <v/>
      </c>
      <c r="C18" s="60">
        <f>IF(AND($K$22="NÃO",B18&gt;'VALOR POR PL'!$P$5),0,'DADOS HISTORICOS'!Q38)</f>
        <v/>
      </c>
      <c r="D18" s="49">
        <f>IF(B18&lt;='VALOR POR PL'!$P$5,0,IF($K$16="MDO PREVISION + MATERIAL PREMISSA",R18+U18,IF($K$17&gt;0,$K$18*P18/$K$17,0)))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RESUMO'!Q38</f>
        <v/>
      </c>
      <c r="N18" s="139">
        <f>MAX(0,M18-M17)</f>
        <v/>
      </c>
      <c r="O18" s="138">
        <f>IF(B18&lt;='VALOR POR PL'!$P$5,'CP RESUMO'!Q80,"")</f>
        <v/>
      </c>
      <c r="P18" s="72">
        <f>IF(B18&lt;='VALOR POR PL'!$P$5,0,IF(OR($K$16="CURVA PREVISION",$K$16="MDO PREVISION + MATERIAL PREMISSA"),N18,IF($K$16="PREVISÃO INFORMADA",MAX(0,H18),0)))</f>
        <v/>
      </c>
      <c r="R18" s="49">
        <f>IF(OR(B18&lt;='VALOR POR PL'!$P$5,$K$12=0),0,$K$18*$K$26*N18/$K$12)</f>
        <v/>
      </c>
      <c r="S18" s="139">
        <f>(IF(AND(14+$K$33&gt;=1,14+$K$33&lt;=72),INDEX($N$5:$N$76,14+$K$33),0)+IF(AND(14+$K$34&gt;=1,14+$K$34&lt;=72),INDEX($N$5:$N$76,14+$K$34),0)+IF(AND(14+$K$35&gt;=1,14+$K$35&lt;=72),INDEX($N$5:$N$76,14+$K$35),0))/3</f>
        <v/>
      </c>
      <c r="T18" s="139">
        <f>IF(B18&lt;='VALOR POR PL'!$P$5,0,S18+IF(B18=DATE(YEAR('VALOR POR PL'!$P$5),MONTH('VALOR POR PL'!$P$5)+1,1),SUMPRODUCT((B5:B76&lt;='VALOR POR PL'!$P$5)*S5:S76),0))</f>
        <v/>
      </c>
      <c r="U18" s="49">
        <f>IF($K$32=0,0,$K$18*$K$27*T18/$K$32)</f>
        <v/>
      </c>
    </row>
    <row r="19">
      <c r="B19" s="140">
        <f>DATE(YEAR(B18),MONTH(B18)+1,1)</f>
        <v/>
      </c>
      <c r="C19" s="60">
        <f>IF(AND($K$22="NÃO",B19&gt;'VALOR POR PL'!$P$5),0,'DADOS HISTORICOS'!R38)</f>
        <v/>
      </c>
      <c r="D19" s="49">
        <f>IF(B19&lt;='VALOR POR PL'!$P$5,0,IF($K$16="MDO PREVISION + MATERIAL PREMISSA",R19+U19,IF($K$17&gt;0,$K$18*P19/$K$17,0)))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RESUMO'!R38</f>
        <v/>
      </c>
      <c r="N19" s="139">
        <f>MAX(0,M19-M18)</f>
        <v/>
      </c>
      <c r="O19" s="138">
        <f>IF(B19&lt;='VALOR POR PL'!$P$5,'CP RESUMO'!R80,"")</f>
        <v/>
      </c>
      <c r="P19" s="72">
        <f>IF(B19&lt;='VALOR POR PL'!$P$5,0,IF(OR($K$16="CURVA PREVISION",$K$16="MDO PREVISION + MATERIAL PREMISSA"),N19,IF($K$16="PREVISÃO INFORMADA",MAX(0,H19),0)))</f>
        <v/>
      </c>
      <c r="R19" s="49">
        <f>IF(OR(B19&lt;='VALOR POR PL'!$P$5,$K$12=0),0,$K$18*$K$26*N19/$K$12)</f>
        <v/>
      </c>
      <c r="S19" s="139">
        <f>(IF(AND(15+$K$33&gt;=1,15+$K$33&lt;=72),INDEX($N$5:$N$76,15+$K$33),0)+IF(AND(15+$K$34&gt;=1,15+$K$34&lt;=72),INDEX($N$5:$N$76,15+$K$34),0)+IF(AND(15+$K$35&gt;=1,15+$K$35&lt;=72),INDEX($N$5:$N$76,15+$K$35),0))/3</f>
        <v/>
      </c>
      <c r="T19" s="139">
        <f>IF(B19&lt;='VALOR POR PL'!$P$5,0,S19+IF(B19=DATE(YEAR('VALOR POR PL'!$P$5),MONTH('VALOR POR PL'!$P$5)+1,1),SUMPRODUCT((B5:B76&lt;='VALOR POR PL'!$P$5)*S5:S76),0))</f>
        <v/>
      </c>
      <c r="U19" s="49">
        <f>IF($K$32=0,0,$K$18*$K$27*T19/$K$32)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HISTORICOS'!S38)</f>
        <v/>
      </c>
      <c r="D20" s="49">
        <f>IF(B20&lt;='VALOR POR PL'!$P$5,0,IF($K$16="MDO PREVISION + MATERIAL PREMISSA",R20+U20,IF($K$17&gt;0,$K$18*P20/$K$17,0)))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RESUMO'!S38</f>
        <v/>
      </c>
      <c r="N20" s="139">
        <f>MAX(0,M20-M19)</f>
        <v/>
      </c>
      <c r="O20" s="138">
        <f>IF(B20&lt;='VALOR POR PL'!$P$5,'CP RESUMO'!S80,"")</f>
        <v/>
      </c>
      <c r="P20" s="72">
        <f>IF(B20&lt;='VALOR POR PL'!$P$5,0,IF(OR($K$16="CURVA PREVISION",$K$16="MDO PREVISION + MATERIAL PREMISSA"),N20,IF($K$16="PREVISÃO INFORMADA",MAX(0,H20),0)))</f>
        <v/>
      </c>
      <c r="R20" s="49">
        <f>IF(OR(B20&lt;='VALOR POR PL'!$P$5,$K$12=0),0,$K$18*$K$26*N20/$K$12)</f>
        <v/>
      </c>
      <c r="S20" s="139">
        <f>(IF(AND(16+$K$33&gt;=1,16+$K$33&lt;=72),INDEX($N$5:$N$76,16+$K$33),0)+IF(AND(16+$K$34&gt;=1,16+$K$34&lt;=72),INDEX($N$5:$N$76,16+$K$34),0)+IF(AND(16+$K$35&gt;=1,16+$K$35&lt;=72),INDEX($N$5:$N$76,16+$K$35),0))/3</f>
        <v/>
      </c>
      <c r="T20" s="139">
        <f>IF(B20&lt;='VALOR POR PL'!$P$5,0,S20+IF(B20=DATE(YEAR('VALOR POR PL'!$P$5),MONTH('VALOR POR PL'!$P$5)+1,1),SUMPRODUCT((B5:B76&lt;='VALOR POR PL'!$P$5)*S5:S76),0))</f>
        <v/>
      </c>
      <c r="U20" s="49">
        <f>IF($K$32=0,0,$K$18*$K$27*T20/$K$32)</f>
        <v/>
      </c>
    </row>
    <row r="21">
      <c r="B21" s="140">
        <f>DATE(YEAR(B20),MONTH(B20)+1,1)</f>
        <v/>
      </c>
      <c r="C21" s="60">
        <f>IF(AND($K$22="NÃO",B21&gt;'VALOR POR PL'!$P$5),0,'DADOS HISTORICOS'!T38)</f>
        <v/>
      </c>
      <c r="D21" s="49">
        <f>IF(B21&lt;='VALOR POR PL'!$P$5,0,IF($K$16="MDO PREVISION + MATERIAL PREMISSA",R21+U21,IF($K$17&gt;0,$K$18*P21/$K$17,0)))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RESUMO'!T38</f>
        <v/>
      </c>
      <c r="N21" s="139">
        <f>MAX(0,M21-M20)</f>
        <v/>
      </c>
      <c r="O21" s="138">
        <f>IF(B21&lt;='VALOR POR PL'!$P$5,'CP RESUMO'!T80,"")</f>
        <v/>
      </c>
      <c r="P21" s="72">
        <f>IF(B21&lt;='VALOR POR PL'!$P$5,0,IF(OR($K$16="CURVA PREVISION",$K$16="MDO PREVISION + MATERIAL PREMISSA"),N21,IF($K$16="PREVISÃO INFORMADA",MAX(0,H21),0)))</f>
        <v/>
      </c>
      <c r="R21" s="49">
        <f>IF(OR(B21&lt;='VALOR POR PL'!$P$5,$K$12=0),0,$K$18*$K$26*N21/$K$12)</f>
        <v/>
      </c>
      <c r="S21" s="139">
        <f>(IF(AND(17+$K$33&gt;=1,17+$K$33&lt;=72),INDEX($N$5:$N$76,17+$K$33),0)+IF(AND(17+$K$34&gt;=1,17+$K$34&lt;=72),INDEX($N$5:$N$76,17+$K$34),0)+IF(AND(17+$K$35&gt;=1,17+$K$35&lt;=72),INDEX($N$5:$N$76,17+$K$35),0))/3</f>
        <v/>
      </c>
      <c r="T21" s="139">
        <f>IF(B21&lt;='VALOR POR PL'!$P$5,0,S21+IF(B21=DATE(YEAR('VALOR POR PL'!$P$5),MONTH('VALOR POR PL'!$P$5)+1,1),SUMPRODUCT((B5:B76&lt;='VALOR POR PL'!$P$5)*S5:S76),0))</f>
        <v/>
      </c>
      <c r="U21" s="49">
        <f>IF($K$32=0,0,$K$18*$K$27*T21/$K$32)</f>
        <v/>
      </c>
    </row>
    <row r="22">
      <c r="B22" s="140">
        <f>DATE(YEAR(B21),MONTH(B21)+1,1)</f>
        <v/>
      </c>
      <c r="C22" s="60">
        <f>IF(AND($K$22="NÃO",B22&gt;'VALOR POR PL'!$P$5),0,'DADOS HISTORICOS'!U38)</f>
        <v/>
      </c>
      <c r="D22" s="49">
        <f>IF(B22&lt;='VALOR POR PL'!$P$5,0,IF($K$16="MDO PREVISION + MATERIAL PREMISSA",R22+U22,IF($K$17&gt;0,$K$18*P22/$K$17,0)))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RESUMO'!U38</f>
        <v/>
      </c>
      <c r="N22" s="139">
        <f>MAX(0,M22-M21)</f>
        <v/>
      </c>
      <c r="O22" s="138">
        <f>IF(B22&lt;='VALOR POR PL'!$P$5,'CP RESUMO'!U80,"")</f>
        <v/>
      </c>
      <c r="P22" s="72">
        <f>IF(B22&lt;='VALOR POR PL'!$P$5,0,IF(OR($K$16="CURVA PREVISION",$K$16="MDO PREVISION + MATERIAL PREMISSA"),N22,IF($K$16="PREVISÃO INFORMADA",MAX(0,H22),0)))</f>
        <v/>
      </c>
      <c r="R22" s="49">
        <f>IF(OR(B22&lt;='VALOR POR PL'!$P$5,$K$12=0),0,$K$18*$K$26*N22/$K$12)</f>
        <v/>
      </c>
      <c r="S22" s="139">
        <f>(IF(AND(18+$K$33&gt;=1,18+$K$33&lt;=72),INDEX($N$5:$N$76,18+$K$33),0)+IF(AND(18+$K$34&gt;=1,18+$K$34&lt;=72),INDEX($N$5:$N$76,18+$K$34),0)+IF(AND(18+$K$35&gt;=1,18+$K$35&lt;=72),INDEX($N$5:$N$76,18+$K$35),0))/3</f>
        <v/>
      </c>
      <c r="T22" s="139">
        <f>IF(B22&lt;='VALOR POR PL'!$P$5,0,S22+IF(B22=DATE(YEAR('VALOR POR PL'!$P$5),MONTH('VALOR POR PL'!$P$5)+1,1),SUMPRODUCT((B5:B76&lt;='VALOR POR PL'!$P$5)*S5:S76),0))</f>
        <v/>
      </c>
      <c r="U22" s="49">
        <f>IF($K$32=0,0,$K$18*$K$27*T22/$K$32)</f>
        <v/>
      </c>
    </row>
    <row r="23">
      <c r="B23" s="140">
        <f>DATE(YEAR(B22),MONTH(B22)+1,1)</f>
        <v/>
      </c>
      <c r="C23" s="60">
        <f>IF(AND($K$22="NÃO",B23&gt;'VALOR POR PL'!$P$5),0,'DADOS HISTORICOS'!V38)</f>
        <v/>
      </c>
      <c r="D23" s="49">
        <f>IF(B23&lt;='VALOR POR PL'!$P$5,0,IF($K$16="MDO PREVISION + MATERIAL PREMISSA",R23+U23,IF($K$17&gt;0,$K$18*P23/$K$17,0)))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RESUMO'!V38</f>
        <v/>
      </c>
      <c r="N23" s="139">
        <f>MAX(0,M23-M22)</f>
        <v/>
      </c>
      <c r="O23" s="138">
        <f>IF(B23&lt;='VALOR POR PL'!$P$5,'CP RESUMO'!V80,"")</f>
        <v/>
      </c>
      <c r="P23" s="72">
        <f>IF(B23&lt;='VALOR POR PL'!$P$5,0,IF(OR($K$16="CURVA PREVISION",$K$16="MDO PREVISION + MATERIAL PREMISSA"),N23,IF($K$16="PREVISÃO INFORMADA",MAX(0,H23),0)))</f>
        <v/>
      </c>
      <c r="R23" s="49">
        <f>IF(OR(B23&lt;='VALOR POR PL'!$P$5,$K$12=0),0,$K$18*$K$26*N23/$K$12)</f>
        <v/>
      </c>
      <c r="S23" s="139">
        <f>(IF(AND(19+$K$33&gt;=1,19+$K$33&lt;=72),INDEX($N$5:$N$76,19+$K$33),0)+IF(AND(19+$K$34&gt;=1,19+$K$34&lt;=72),INDEX($N$5:$N$76,19+$K$34),0)+IF(AND(19+$K$35&gt;=1,19+$K$35&lt;=72),INDEX($N$5:$N$76,19+$K$35),0))/3</f>
        <v/>
      </c>
      <c r="T23" s="139">
        <f>IF(B23&lt;='VALOR POR PL'!$P$5,0,S23+IF(B23=DATE(YEAR('VALOR POR PL'!$P$5),MONTH('VALOR POR PL'!$P$5)+1,1),SUMPRODUCT((B5:B76&lt;='VALOR POR PL'!$P$5)*S5:S76),0))</f>
        <v/>
      </c>
      <c r="U23" s="49">
        <f>IF($K$32=0,0,$K$18*$K$27*T23/$K$32)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HISTORICOS'!W38)</f>
        <v/>
      </c>
      <c r="D24" s="49">
        <f>IF(B24&lt;='VALOR POR PL'!$P$5,0,IF($K$16="MDO PREVISION + MATERIAL PREMISSA",R24+U24,IF($K$17&gt;0,$K$18*P24/$K$17,0)))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inlineStr">
        <is>
          <t>Saldo dividido: MDO segue a curva do Prevision; material segue a premissa (pedido antecipado, pagamento 28/56/84 dias).</t>
        </is>
      </c>
      <c r="L24" s="49">
        <f>C24/IF(B24&lt;='VALOR POR PL'!$P$5,IFERROR(INDEX('"INCC-FGV"'!$B$2:$B$800,MATCH(B24,'"INCC-FGV"'!$A$2:$A$800,0)),$K$2),$K$2)</f>
        <v/>
      </c>
      <c r="M24" s="138">
        <f>'CP RESUMO'!W38</f>
        <v/>
      </c>
      <c r="N24" s="139">
        <f>MAX(0,M24-M23)</f>
        <v/>
      </c>
      <c r="O24" s="138">
        <f>IF(B24&lt;='VALOR POR PL'!$P$5,'CP RESUMO'!W80,"")</f>
        <v/>
      </c>
      <c r="P24" s="72">
        <f>IF(B24&lt;='VALOR POR PL'!$P$5,0,IF(OR($K$16="CURVA PREVISION",$K$16="MDO PREVISION + MATERIAL PREMISSA"),N24,IF($K$16="PREVISÃO INFORMADA",MAX(0,H24),0)))</f>
        <v/>
      </c>
      <c r="R24" s="49">
        <f>IF(OR(B24&lt;='VALOR POR PL'!$P$5,$K$12=0),0,$K$18*$K$26*N24/$K$12)</f>
        <v/>
      </c>
      <c r="S24" s="139">
        <f>(IF(AND(20+$K$33&gt;=1,20+$K$33&lt;=72),INDEX($N$5:$N$76,20+$K$33),0)+IF(AND(20+$K$34&gt;=1,20+$K$34&lt;=72),INDEX($N$5:$N$76,20+$K$34),0)+IF(AND(20+$K$35&gt;=1,20+$K$35&lt;=72),INDEX($N$5:$N$76,20+$K$35),0))/3</f>
        <v/>
      </c>
      <c r="T24" s="139">
        <f>IF(B24&lt;='VALOR POR PL'!$P$5,0,S24+IF(B24=DATE(YEAR('VALOR POR PL'!$P$5),MONTH('VALOR POR PL'!$P$5)+1,1),SUMPRODUCT((B5:B76&lt;='VALOR POR PL'!$P$5)*S5:S76),0))</f>
        <v/>
      </c>
      <c r="U24" s="49">
        <f>IF($K$32=0,0,$K$18*$K$27*T24/$K$32)</f>
        <v/>
      </c>
    </row>
    <row r="25">
      <c r="B25" s="140">
        <f>DATE(YEAR(B24),MONTH(B24)+1,1)</f>
        <v/>
      </c>
      <c r="C25" s="60">
        <f>IF(AND($K$22="NÃO",B25&gt;'VALOR POR PL'!$P$5),0,'DADOS HISTORICOS'!X38)</f>
        <v/>
      </c>
      <c r="D25" s="49">
        <f>IF(B25&lt;='VALOR POR PL'!$P$5,0,IF($K$16="MDO PREVISION + MATERIAL PREMISSA",R25+U25,IF($K$17&gt;0,$K$18*P25/$K$17,0)))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I25" s="66" t="inlineStr">
        <is>
          <t>DIVISÃO MDO × MATERIAL</t>
        </is>
      </c>
      <c r="J25" s="67" t="n"/>
      <c r="K25" s="68" t="n"/>
      <c r="L25" s="49">
        <f>C25/IF(B25&lt;='VALOR POR PL'!$P$5,IFERROR(INDEX('"INCC-FGV"'!$B$2:$B$800,MATCH(B25,'"INCC-FGV"'!$A$2:$A$800,0)),$K$2),$K$2)</f>
        <v/>
      </c>
      <c r="M25" s="138">
        <f>'CP RESUMO'!X38</f>
        <v/>
      </c>
      <c r="N25" s="139">
        <f>MAX(0,M25-M24)</f>
        <v/>
      </c>
      <c r="O25" s="138">
        <f>IF(B25&lt;='VALOR POR PL'!$P$5,'CP RESUMO'!X80,"")</f>
        <v/>
      </c>
      <c r="P25" s="72">
        <f>IF(B25&lt;='VALOR POR PL'!$P$5,0,IF(OR($K$16="CURVA PREVISION",$K$16="MDO PREVISION + MATERIAL PREMISSA"),N25,IF($K$16="PREVISÃO INFORMADA",MAX(0,H25),0)))</f>
        <v/>
      </c>
      <c r="R25" s="49">
        <f>IF(OR(B25&lt;='VALOR POR PL'!$P$5,$K$12=0),0,$K$18*$K$26*N25/$K$12)</f>
        <v/>
      </c>
      <c r="S25" s="139">
        <f>(IF(AND(21+$K$33&gt;=1,21+$K$33&lt;=72),INDEX($N$5:$N$76,21+$K$33),0)+IF(AND(21+$K$34&gt;=1,21+$K$34&lt;=72),INDEX($N$5:$N$76,21+$K$34),0)+IF(AND(21+$K$35&gt;=1,21+$K$35&lt;=72),INDEX($N$5:$N$76,21+$K$35),0))/3</f>
        <v/>
      </c>
      <c r="T25" s="139">
        <f>IF(B25&lt;='VALOR POR PL'!$P$5,0,S25+IF(B25=DATE(YEAR('VALOR POR PL'!$P$5),MONTH('VALOR POR PL'!$P$5)+1,1),SUMPRODUCT((B5:B76&lt;='VALOR POR PL'!$P$5)*S5:S76),0))</f>
        <v/>
      </c>
      <c r="U25" s="49">
        <f>IF($K$32=0,0,$K$18*$K$27*T25/$K$32)</f>
        <v/>
      </c>
    </row>
    <row r="26">
      <c r="B26" s="140">
        <f>DATE(YEAR(B25),MONTH(B25)+1,1)</f>
        <v/>
      </c>
      <c r="C26" s="60">
        <f>IF(AND($K$22="NÃO",B26&gt;'VALOR POR PL'!$P$5),0,'DADOS HISTORICOS'!Y38)</f>
        <v/>
      </c>
      <c r="D26" s="49">
        <f>IF(B26&lt;='VALOR POR PL'!$P$5,0,IF($K$16="MDO PREVISION + MATERIAL PREMISSA",R26+U26,IF($K$17&gt;0,$K$18*P26/$K$17,0)))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I26" s="46" t="inlineStr">
        <is>
          <t>% MÃO DE OBRA (segue a curva do Prevision)</t>
        </is>
      </c>
      <c r="K26" s="55" t="n">
        <v>0.4</v>
      </c>
      <c r="L26" s="49">
        <f>C26/IF(B26&lt;='VALOR POR PL'!$P$5,IFERROR(INDEX('"INCC-FGV"'!$B$2:$B$800,MATCH(B26,'"INCC-FGV"'!$A$2:$A$800,0)),$K$2),$K$2)</f>
        <v/>
      </c>
      <c r="M26" s="138">
        <f>'CP RESUMO'!Y38</f>
        <v/>
      </c>
      <c r="N26" s="139">
        <f>MAX(0,M26-M25)</f>
        <v/>
      </c>
      <c r="O26" s="138">
        <f>IF(B26&lt;='VALOR POR PL'!$P$5,'CP RESUMO'!Y80,"")</f>
        <v/>
      </c>
      <c r="P26" s="72">
        <f>IF(B26&lt;='VALOR POR PL'!$P$5,0,IF(OR($K$16="CURVA PREVISION",$K$16="MDO PREVISION + MATERIAL PREMISSA"),N26,IF($K$16="PREVISÃO INFORMADA",MAX(0,H26),0)))</f>
        <v/>
      </c>
      <c r="R26" s="49">
        <f>IF(OR(B26&lt;='VALOR POR PL'!$P$5,$K$12=0),0,$K$18*$K$26*N26/$K$12)</f>
        <v/>
      </c>
      <c r="S26" s="139">
        <f>(IF(AND(22+$K$33&gt;=1,22+$K$33&lt;=72),INDEX($N$5:$N$76,22+$K$33),0)+IF(AND(22+$K$34&gt;=1,22+$K$34&lt;=72),INDEX($N$5:$N$76,22+$K$34),0)+IF(AND(22+$K$35&gt;=1,22+$K$35&lt;=72),INDEX($N$5:$N$76,22+$K$35),0))/3</f>
        <v/>
      </c>
      <c r="T26" s="139">
        <f>IF(B26&lt;='VALOR POR PL'!$P$5,0,S26+IF(B26=DATE(YEAR('VALOR POR PL'!$P$5),MONTH('VALOR POR PL'!$P$5)+1,1),SUMPRODUCT((B5:B76&lt;='VALOR POR PL'!$P$5)*S5:S76),0))</f>
        <v/>
      </c>
      <c r="U26" s="49">
        <f>IF($K$32=0,0,$K$18*$K$27*T26/$K$32)</f>
        <v/>
      </c>
    </row>
    <row r="27">
      <c r="B27" s="140">
        <f>DATE(YEAR(B26),MONTH(B26)+1,1)</f>
        <v/>
      </c>
      <c r="C27" s="60">
        <f>IF(AND($K$22="NÃO",B27&gt;'VALOR POR PL'!$P$5),0,'DADOS HISTORICOS'!Z38)</f>
        <v/>
      </c>
      <c r="D27" s="49">
        <f>IF(B27&lt;='VALOR POR PL'!$P$5,0,IF($K$16="MDO PREVISION + MATERIAL PREMISSA",R27+U27,IF($K$17&gt;0,$K$18*P27/$K$17,0)))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I27" s="46" t="inlineStr">
        <is>
          <t>% MATERIAL (segue a premissa)</t>
        </is>
      </c>
      <c r="K27" s="146">
        <f>1-K26</f>
        <v/>
      </c>
      <c r="L27" s="49">
        <f>C27/IF(B27&lt;='VALOR POR PL'!$P$5,IFERROR(INDEX('"INCC-FGV"'!$B$2:$B$800,MATCH(B27,'"INCC-FGV"'!$A$2:$A$800,0)),$K$2),$K$2)</f>
        <v/>
      </c>
      <c r="M27" s="138">
        <f>'CP RESUMO'!Z38</f>
        <v/>
      </c>
      <c r="N27" s="139">
        <f>MAX(0,M27-M26)</f>
        <v/>
      </c>
      <c r="O27" s="138">
        <f>IF(B27&lt;='VALOR POR PL'!$P$5,'CP RESUMO'!Z80,"")</f>
        <v/>
      </c>
      <c r="P27" s="72">
        <f>IF(B27&lt;='VALOR POR PL'!$P$5,0,IF(OR($K$16="CURVA PREVISION",$K$16="MDO PREVISION + MATERIAL PREMISSA"),N27,IF($K$16="PREVISÃO INFORMADA",MAX(0,H27),0)))</f>
        <v/>
      </c>
      <c r="R27" s="49">
        <f>IF(OR(B27&lt;='VALOR POR PL'!$P$5,$K$12=0),0,$K$18*$K$26*N27/$K$12)</f>
        <v/>
      </c>
      <c r="S27" s="139">
        <f>(IF(AND(23+$K$33&gt;=1,23+$K$33&lt;=72),INDEX($N$5:$N$76,23+$K$33),0)+IF(AND(23+$K$34&gt;=1,23+$K$34&lt;=72),INDEX($N$5:$N$76,23+$K$34),0)+IF(AND(23+$K$35&gt;=1,23+$K$35&lt;=72),INDEX($N$5:$N$76,23+$K$35),0))/3</f>
        <v/>
      </c>
      <c r="T27" s="139">
        <f>IF(B27&lt;='VALOR POR PL'!$P$5,0,S27+IF(B27=DATE(YEAR('VALOR POR PL'!$P$5),MONTH('VALOR POR PL'!$P$5)+1,1),SUMPRODUCT((B5:B76&lt;='VALOR POR PL'!$P$5)*S5:S76),0))</f>
        <v/>
      </c>
      <c r="U27" s="49">
        <f>IF($K$32=0,0,$K$18*$K$27*T27/$K$32)</f>
        <v/>
      </c>
    </row>
    <row r="28">
      <c r="B28" s="140">
        <f>DATE(YEAR(B27),MONTH(B27)+1,1)</f>
        <v/>
      </c>
      <c r="C28" s="60">
        <f>IF(AND($K$22="NÃO",B28&gt;'VALOR POR PL'!$P$5),0,'DADOS HISTORICOS'!AA38)</f>
        <v/>
      </c>
      <c r="D28" s="49">
        <f>IF(B28&lt;='VALOR POR PL'!$P$5,0,IF($K$16="MDO PREVISION + MATERIAL PREMISSA",R28+U28,IF($K$17&gt;0,$K$18*P28/$K$17,0)))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I28" s="46" t="inlineStr">
        <is>
          <t>ANTECEDÊNCIA DO PEDIDO (dias antes da instalação)</t>
        </is>
      </c>
      <c r="K28" s="147" t="n">
        <v>180</v>
      </c>
      <c r="L28" s="49">
        <f>C28/IF(B28&lt;='VALOR POR PL'!$P$5,IFERROR(INDEX('"INCC-FGV"'!$B$2:$B$800,MATCH(B28,'"INCC-FGV"'!$A$2:$A$800,0)),$K$2),$K$2)</f>
        <v/>
      </c>
      <c r="M28" s="138">
        <f>'CP RESUMO'!AA38</f>
        <v/>
      </c>
      <c r="N28" s="139">
        <f>MAX(0,M28-M27)</f>
        <v/>
      </c>
      <c r="O28" s="138">
        <f>IF(B28&lt;='VALOR POR PL'!$P$5,'CP RESUMO'!AA80,"")</f>
        <v/>
      </c>
      <c r="P28" s="72">
        <f>IF(B28&lt;='VALOR POR PL'!$P$5,0,IF(OR($K$16="CURVA PREVISION",$K$16="MDO PREVISION + MATERIAL PREMISSA"),N28,IF($K$16="PREVISÃO INFORMADA",MAX(0,H28),0)))</f>
        <v/>
      </c>
      <c r="R28" s="49">
        <f>IF(OR(B28&lt;='VALOR POR PL'!$P$5,$K$12=0),0,$K$18*$K$26*N28/$K$12)</f>
        <v/>
      </c>
      <c r="S28" s="139">
        <f>(IF(AND(24+$K$33&gt;=1,24+$K$33&lt;=72),INDEX($N$5:$N$76,24+$K$33),0)+IF(AND(24+$K$34&gt;=1,24+$K$34&lt;=72),INDEX($N$5:$N$76,24+$K$34),0)+IF(AND(24+$K$35&gt;=1,24+$K$35&lt;=72),INDEX($N$5:$N$76,24+$K$35),0))/3</f>
        <v/>
      </c>
      <c r="T28" s="139">
        <f>IF(B28&lt;='VALOR POR PL'!$P$5,0,S28+IF(B28=DATE(YEAR('VALOR POR PL'!$P$5),MONTH('VALOR POR PL'!$P$5)+1,1),SUMPRODUCT((B5:B76&lt;='VALOR POR PL'!$P$5)*S5:S76),0))</f>
        <v/>
      </c>
      <c r="U28" s="49">
        <f>IF($K$32=0,0,$K$18*$K$27*T28/$K$32)</f>
        <v/>
      </c>
    </row>
    <row r="29">
      <c r="B29" s="140">
        <f>DATE(YEAR(B28),MONTH(B28)+1,1)</f>
        <v/>
      </c>
      <c r="C29" s="60">
        <f>IF(AND($K$22="NÃO",B29&gt;'VALOR POR PL'!$P$5),0,'DADOS HISTORICOS'!AB38)</f>
        <v/>
      </c>
      <c r="D29" s="49">
        <f>IF(B29&lt;='VALOR POR PL'!$P$5,0,IF($K$16="MDO PREVISION + MATERIAL PREMISSA",R29+U29,IF($K$17&gt;0,$K$18*P29/$K$17,0)))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I29" s="46" t="inlineStr">
        <is>
          <t>1ª PARCELA (dias após o pedido)</t>
        </is>
      </c>
      <c r="K29" s="147" t="n">
        <v>28</v>
      </c>
      <c r="L29" s="49">
        <f>C29/IF(B29&lt;='VALOR POR PL'!$P$5,IFERROR(INDEX('"INCC-FGV"'!$B$2:$B$800,MATCH(B29,'"INCC-FGV"'!$A$2:$A$800,0)),$K$2),$K$2)</f>
        <v/>
      </c>
      <c r="M29" s="138">
        <f>'CP RESUMO'!AB38</f>
        <v/>
      </c>
      <c r="N29" s="139">
        <f>MAX(0,M29-M28)</f>
        <v/>
      </c>
      <c r="O29" s="138">
        <f>IF(B29&lt;='VALOR POR PL'!$P$5,'CP RESUMO'!AB80,"")</f>
        <v/>
      </c>
      <c r="P29" s="72">
        <f>IF(B29&lt;='VALOR POR PL'!$P$5,0,IF(OR($K$16="CURVA PREVISION",$K$16="MDO PREVISION + MATERIAL PREMISSA"),N29,IF($K$16="PREVISÃO INFORMADA",MAX(0,H29),0)))</f>
        <v/>
      </c>
      <c r="R29" s="49">
        <f>IF(OR(B29&lt;='VALOR POR PL'!$P$5,$K$12=0),0,$K$18*$K$26*N29/$K$12)</f>
        <v/>
      </c>
      <c r="S29" s="139">
        <f>(IF(AND(25+$K$33&gt;=1,25+$K$33&lt;=72),INDEX($N$5:$N$76,25+$K$33),0)+IF(AND(25+$K$34&gt;=1,25+$K$34&lt;=72),INDEX($N$5:$N$76,25+$K$34),0)+IF(AND(25+$K$35&gt;=1,25+$K$35&lt;=72),INDEX($N$5:$N$76,25+$K$35),0))/3</f>
        <v/>
      </c>
      <c r="T29" s="139">
        <f>IF(B29&lt;='VALOR POR PL'!$P$5,0,S29+IF(B29=DATE(YEAR('VALOR POR PL'!$P$5),MONTH('VALOR POR PL'!$P$5)+1,1),SUMPRODUCT((B5:B76&lt;='VALOR POR PL'!$P$5)*S5:S76),0))</f>
        <v/>
      </c>
      <c r="U29" s="49">
        <f>IF($K$32=0,0,$K$18*$K$27*T29/$K$32)</f>
        <v/>
      </c>
    </row>
    <row r="30">
      <c r="B30" s="140">
        <f>DATE(YEAR(B29),MONTH(B29)+1,1)</f>
        <v/>
      </c>
      <c r="C30" s="60">
        <f>IF(AND($K$22="NÃO",B30&gt;'VALOR POR PL'!$P$5),0,'DADOS HISTORICOS'!AC38)</f>
        <v/>
      </c>
      <c r="D30" s="49">
        <f>IF(B30&lt;='VALOR POR PL'!$P$5,0,IF($K$16="MDO PREVISION + MATERIAL PREMISSA",R30+U30,IF($K$17&gt;0,$K$18*P30/$K$17,0)))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I30" s="46" t="inlineStr">
        <is>
          <t>2ª PARCELA (dias após o pedido)</t>
        </is>
      </c>
      <c r="K30" s="147" t="n">
        <v>56</v>
      </c>
      <c r="L30" s="49">
        <f>C30/IF(B30&lt;='VALOR POR PL'!$P$5,IFERROR(INDEX('"INCC-FGV"'!$B$2:$B$800,MATCH(B30,'"INCC-FGV"'!$A$2:$A$800,0)),$K$2),$K$2)</f>
        <v/>
      </c>
      <c r="M30" s="138">
        <f>'CP RESUMO'!AC38</f>
        <v/>
      </c>
      <c r="N30" s="139">
        <f>MAX(0,M30-M29)</f>
        <v/>
      </c>
      <c r="O30" s="138">
        <f>IF(B30&lt;='VALOR POR PL'!$P$5,'CP RESUMO'!AC80,"")</f>
        <v/>
      </c>
      <c r="P30" s="72">
        <f>IF(B30&lt;='VALOR POR PL'!$P$5,0,IF(OR($K$16="CURVA PREVISION",$K$16="MDO PREVISION + MATERIAL PREMISSA"),N30,IF($K$16="PREVISÃO INFORMADA",MAX(0,H30),0)))</f>
        <v/>
      </c>
      <c r="R30" s="49">
        <f>IF(OR(B30&lt;='VALOR POR PL'!$P$5,$K$12=0),0,$K$18*$K$26*N30/$K$12)</f>
        <v/>
      </c>
      <c r="S30" s="139">
        <f>(IF(AND(26+$K$33&gt;=1,26+$K$33&lt;=72),INDEX($N$5:$N$76,26+$K$33),0)+IF(AND(26+$K$34&gt;=1,26+$K$34&lt;=72),INDEX($N$5:$N$76,26+$K$34),0)+IF(AND(26+$K$35&gt;=1,26+$K$35&lt;=72),INDEX($N$5:$N$76,26+$K$35),0))/3</f>
        <v/>
      </c>
      <c r="T30" s="139">
        <f>IF(B30&lt;='VALOR POR PL'!$P$5,0,S30+IF(B30=DATE(YEAR('VALOR POR PL'!$P$5),MONTH('VALOR POR PL'!$P$5)+1,1),SUMPRODUCT((B5:B76&lt;='VALOR POR PL'!$P$5)*S5:S76),0))</f>
        <v/>
      </c>
      <c r="U30" s="49">
        <f>IF($K$32=0,0,$K$18*$K$27*T30/$K$32)</f>
        <v/>
      </c>
    </row>
    <row r="31">
      <c r="B31" s="140">
        <f>DATE(YEAR(B30),MONTH(B30)+1,1)</f>
        <v/>
      </c>
      <c r="C31" s="60">
        <f>IF(AND($K$22="NÃO",B31&gt;'VALOR POR PL'!$P$5),0,'DADOS HISTORICOS'!AD38)</f>
        <v/>
      </c>
      <c r="D31" s="49">
        <f>IF(B31&lt;='VALOR POR PL'!$P$5,0,IF($K$16="MDO PREVISION + MATERIAL PREMISSA",R31+U31,IF($K$17&gt;0,$K$18*P31/$K$17,0)))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I31" s="46" t="inlineStr">
        <is>
          <t>3ª PARCELA (dias após o pedido)</t>
        </is>
      </c>
      <c r="K31" s="147" t="n">
        <v>84</v>
      </c>
      <c r="L31" s="49">
        <f>C31/IF(B31&lt;='VALOR POR PL'!$P$5,IFERROR(INDEX('"INCC-FGV"'!$B$2:$B$800,MATCH(B31,'"INCC-FGV"'!$A$2:$A$800,0)),$K$2),$K$2)</f>
        <v/>
      </c>
      <c r="M31" s="138">
        <f>'CP RESUMO'!AD38</f>
        <v/>
      </c>
      <c r="N31" s="139">
        <f>MAX(0,M31-M30)</f>
        <v/>
      </c>
      <c r="O31" s="138">
        <f>IF(B31&lt;='VALOR POR PL'!$P$5,'CP RESUMO'!AD80,"")</f>
        <v/>
      </c>
      <c r="P31" s="72">
        <f>IF(B31&lt;='VALOR POR PL'!$P$5,0,IF(OR($K$16="CURVA PREVISION",$K$16="MDO PREVISION + MATERIAL PREMISSA"),N31,IF($K$16="PREVISÃO INFORMADA",MAX(0,H31),0)))</f>
        <v/>
      </c>
      <c r="R31" s="49">
        <f>IF(OR(B31&lt;='VALOR POR PL'!$P$5,$K$12=0),0,$K$18*$K$26*N31/$K$12)</f>
        <v/>
      </c>
      <c r="S31" s="139">
        <f>(IF(AND(27+$K$33&gt;=1,27+$K$33&lt;=72),INDEX($N$5:$N$76,27+$K$33),0)+IF(AND(27+$K$34&gt;=1,27+$K$34&lt;=72),INDEX($N$5:$N$76,27+$K$34),0)+IF(AND(27+$K$35&gt;=1,27+$K$35&lt;=72),INDEX($N$5:$N$76,27+$K$35),0))/3</f>
        <v/>
      </c>
      <c r="T31" s="139">
        <f>IF(B31&lt;='VALOR POR PL'!$P$5,0,S31+IF(B31=DATE(YEAR('VALOR POR PL'!$P$5),MONTH('VALOR POR PL'!$P$5)+1,1),SUMPRODUCT((B5:B76&lt;='VALOR POR PL'!$P$5)*S5:S76),0))</f>
        <v/>
      </c>
      <c r="U31" s="49">
        <f>IF($K$32=0,0,$K$18*$K$27*T31/$K$32)</f>
        <v/>
      </c>
    </row>
    <row r="32">
      <c r="B32" s="140">
        <f>DATE(YEAR(B31),MONTH(B31)+1,1)</f>
        <v/>
      </c>
      <c r="C32" s="60">
        <f>IF(AND($K$22="NÃO",B32&gt;'VALOR POR PL'!$P$5),0,'DADOS HISTORICOS'!AE38)</f>
        <v/>
      </c>
      <c r="D32" s="49">
        <f>IF(B32&lt;='VALOR POR PL'!$P$5,0,IF($K$16="MDO PREVISION + MATERIAL PREMISSA",R32+U32,IF($K$17&gt;0,$K$18*P32/$K$17,0)))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I32" s="46" t="inlineStr">
        <is>
          <t>Σ PESOS DO MATERIAL (meses futuros)</t>
        </is>
      </c>
      <c r="K32" s="139">
        <f>SUM(T5:T76)</f>
        <v/>
      </c>
      <c r="L32" s="49">
        <f>C32/IF(B32&lt;='VALOR POR PL'!$P$5,IFERROR(INDEX('"INCC-FGV"'!$B$2:$B$800,MATCH(B32,'"INCC-FGV"'!$A$2:$A$800,0)),$K$2),$K$2)</f>
        <v/>
      </c>
      <c r="M32" s="138">
        <f>'CP RESUMO'!AE38</f>
        <v/>
      </c>
      <c r="N32" s="139">
        <f>MAX(0,M32-M31)</f>
        <v/>
      </c>
      <c r="O32" s="138">
        <f>IF(B32&lt;='VALOR POR PL'!$P$5,'CP RESUMO'!AE80,"")</f>
        <v/>
      </c>
      <c r="P32" s="72">
        <f>IF(B32&lt;='VALOR POR PL'!$P$5,0,IF(OR($K$16="CURVA PREVISION",$K$16="MDO PREVISION + MATERIAL PREMISSA"),N32,IF($K$16="PREVISÃO INFORMADA",MAX(0,H32),0)))</f>
        <v/>
      </c>
      <c r="R32" s="49">
        <f>IF(OR(B32&lt;='VALOR POR PL'!$P$5,$K$12=0),0,$K$18*$K$26*N32/$K$12)</f>
        <v/>
      </c>
      <c r="S32" s="139">
        <f>(IF(AND(28+$K$33&gt;=1,28+$K$33&lt;=72),INDEX($N$5:$N$76,28+$K$33),0)+IF(AND(28+$K$34&gt;=1,28+$K$34&lt;=72),INDEX($N$5:$N$76,28+$K$34),0)+IF(AND(28+$K$35&gt;=1,28+$K$35&lt;=72),INDEX($N$5:$N$76,28+$K$35),0))/3</f>
        <v/>
      </c>
      <c r="T32" s="139">
        <f>IF(B32&lt;='VALOR POR PL'!$P$5,0,S32+IF(B32=DATE(YEAR('VALOR POR PL'!$P$5),MONTH('VALOR POR PL'!$P$5)+1,1),SUMPRODUCT((B5:B76&lt;='VALOR POR PL'!$P$5)*S5:S76),0))</f>
        <v/>
      </c>
      <c r="U32" s="49">
        <f>IF($K$32=0,0,$K$18*$K$27*T32/$K$32)</f>
        <v/>
      </c>
    </row>
    <row r="33">
      <c r="B33" s="140">
        <f>DATE(YEAR(B32),MONTH(B32)+1,1)</f>
        <v/>
      </c>
      <c r="C33" s="60">
        <f>IF(AND($K$22="NÃO",B33&gt;'VALOR POR PL'!$P$5),0,'DADOS HISTORICOS'!AF38)</f>
        <v/>
      </c>
      <c r="D33" s="49">
        <f>IF(B33&lt;='VALOR POR PL'!$P$5,0,IF($K$16="MDO PREVISION + MATERIAL PREMISSA",R33+U33,IF($K$17&gt;0,$K$18*P33/$K$17,0)))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I33" s="46" t="inlineStr">
        <is>
          <t>Parcela 1 paga X meses antes da instalação</t>
        </is>
      </c>
      <c r="K33" s="69">
        <f>ROUND((K28-K29)/30,0)</f>
        <v/>
      </c>
      <c r="L33" s="49">
        <f>C33/IF(B33&lt;='VALOR POR PL'!$P$5,IFERROR(INDEX('"INCC-FGV"'!$B$2:$B$800,MATCH(B33,'"INCC-FGV"'!$A$2:$A$800,0)),$K$2),$K$2)</f>
        <v/>
      </c>
      <c r="M33" s="138">
        <f>'CP RESUMO'!AF38</f>
        <v/>
      </c>
      <c r="N33" s="139">
        <f>MAX(0,M33-M32)</f>
        <v/>
      </c>
      <c r="O33" s="138">
        <f>IF(B33&lt;='VALOR POR PL'!$P$5,'CP RESUMO'!AF80,"")</f>
        <v/>
      </c>
      <c r="P33" s="72">
        <f>IF(B33&lt;='VALOR POR PL'!$P$5,0,IF(OR($K$16="CURVA PREVISION",$K$16="MDO PREVISION + MATERIAL PREMISSA"),N33,IF($K$16="PREVISÃO INFORMADA",MAX(0,H33),0)))</f>
        <v/>
      </c>
      <c r="R33" s="49">
        <f>IF(OR(B33&lt;='VALOR POR PL'!$P$5,$K$12=0),0,$K$18*$K$26*N33/$K$12)</f>
        <v/>
      </c>
      <c r="S33" s="139">
        <f>(IF(AND(29+$K$33&gt;=1,29+$K$33&lt;=72),INDEX($N$5:$N$76,29+$K$33),0)+IF(AND(29+$K$34&gt;=1,29+$K$34&lt;=72),INDEX($N$5:$N$76,29+$K$34),0)+IF(AND(29+$K$35&gt;=1,29+$K$35&lt;=72),INDEX($N$5:$N$76,29+$K$35),0))/3</f>
        <v/>
      </c>
      <c r="T33" s="139">
        <f>IF(B33&lt;='VALOR POR PL'!$P$5,0,S33+IF(B33=DATE(YEAR('VALOR POR PL'!$P$5),MONTH('VALOR POR PL'!$P$5)+1,1),SUMPRODUCT((B5:B76&lt;='VALOR POR PL'!$P$5)*S5:S76),0))</f>
        <v/>
      </c>
      <c r="U33" s="49">
        <f>IF($K$32=0,0,$K$18*$K$27*T33/$K$32)</f>
        <v/>
      </c>
    </row>
    <row r="34">
      <c r="B34" s="140">
        <f>DATE(YEAR(B33),MONTH(B33)+1,1)</f>
        <v/>
      </c>
      <c r="C34" s="60">
        <f>IF(AND($K$22="NÃO",B34&gt;'VALOR POR PL'!$P$5),0,'DADOS HISTORICOS'!AG38)</f>
        <v/>
      </c>
      <c r="D34" s="49">
        <f>IF(B34&lt;='VALOR POR PL'!$P$5,0,IF($K$16="MDO PREVISION + MATERIAL PREMISSA",R34+U34,IF($K$17&gt;0,$K$18*P34/$K$17,0)))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I34" s="46" t="inlineStr">
        <is>
          <t>Parcela 2 paga X meses antes da instalação</t>
        </is>
      </c>
      <c r="K34" s="69">
        <f>ROUND((K28-K30)/30,0)</f>
        <v/>
      </c>
      <c r="L34" s="49">
        <f>C34/IF(B34&lt;='VALOR POR PL'!$P$5,IFERROR(INDEX('"INCC-FGV"'!$B$2:$B$800,MATCH(B34,'"INCC-FGV"'!$A$2:$A$800,0)),$K$2),$K$2)</f>
        <v/>
      </c>
      <c r="M34" s="138">
        <f>'CP RESUMO'!AG38</f>
        <v/>
      </c>
      <c r="N34" s="139">
        <f>MAX(0,M34-M33)</f>
        <v/>
      </c>
      <c r="O34" s="138">
        <f>IF(B34&lt;='VALOR POR PL'!$P$5,'CP RESUMO'!AG80,"")</f>
        <v/>
      </c>
      <c r="P34" s="72">
        <f>IF(B34&lt;='VALOR POR PL'!$P$5,0,IF(OR($K$16="CURVA PREVISION",$K$16="MDO PREVISION + MATERIAL PREMISSA"),N34,IF($K$16="PREVISÃO INFORMADA",MAX(0,H34),0)))</f>
        <v/>
      </c>
      <c r="R34" s="49">
        <f>IF(OR(B34&lt;='VALOR POR PL'!$P$5,$K$12=0),0,$K$18*$K$26*N34/$K$12)</f>
        <v/>
      </c>
      <c r="S34" s="139">
        <f>(IF(AND(30+$K$33&gt;=1,30+$K$33&lt;=72),INDEX($N$5:$N$76,30+$K$33),0)+IF(AND(30+$K$34&gt;=1,30+$K$34&lt;=72),INDEX($N$5:$N$76,30+$K$34),0)+IF(AND(30+$K$35&gt;=1,30+$K$35&lt;=72),INDEX($N$5:$N$76,30+$K$35),0))/3</f>
        <v/>
      </c>
      <c r="T34" s="139">
        <f>IF(B34&lt;='VALOR POR PL'!$P$5,0,S34+IF(B34=DATE(YEAR('VALOR POR PL'!$P$5),MONTH('VALOR POR PL'!$P$5)+1,1),SUMPRODUCT((B5:B76&lt;='VALOR POR PL'!$P$5)*S5:S76),0))</f>
        <v/>
      </c>
      <c r="U34" s="49">
        <f>IF($K$32=0,0,$K$18*$K$27*T34/$K$32)</f>
        <v/>
      </c>
    </row>
    <row r="35">
      <c r="B35" s="140">
        <f>DATE(YEAR(B34),MONTH(B34)+1,1)</f>
        <v/>
      </c>
      <c r="C35" s="60">
        <f>IF(AND($K$22="NÃO",B35&gt;'VALOR POR PL'!$P$5),0,'DADOS HISTORICOS'!AH38)</f>
        <v/>
      </c>
      <c r="D35" s="49">
        <f>IF(B35&lt;='VALOR POR PL'!$P$5,0,IF($K$16="MDO PREVISION + MATERIAL PREMISSA",R35+U35,IF($K$17&gt;0,$K$18*P35/$K$17,0)))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I35" s="46" t="inlineStr">
        <is>
          <t>Parcela 3 paga X meses antes da instalação</t>
        </is>
      </c>
      <c r="K35" s="69">
        <f>ROUND((K28-K31)/30,0)</f>
        <v/>
      </c>
      <c r="L35" s="49">
        <f>C35/IF(B35&lt;='VALOR POR PL'!$P$5,IFERROR(INDEX('"INCC-FGV"'!$B$2:$B$800,MATCH(B35,'"INCC-FGV"'!$A$2:$A$800,0)),$K$2),$K$2)</f>
        <v/>
      </c>
      <c r="M35" s="138">
        <f>'CP RESUMO'!AH38</f>
        <v/>
      </c>
      <c r="N35" s="139">
        <f>MAX(0,M35-M34)</f>
        <v/>
      </c>
      <c r="O35" s="138">
        <f>IF(B35&lt;='VALOR POR PL'!$P$5,'CP RESUMO'!AH80,"")</f>
        <v/>
      </c>
      <c r="P35" s="72">
        <f>IF(B35&lt;='VALOR POR PL'!$P$5,0,IF(OR($K$16="CURVA PREVISION",$K$16="MDO PREVISION + MATERIAL PREMISSA"),N35,IF($K$16="PREVISÃO INFORMADA",MAX(0,H35),0)))</f>
        <v/>
      </c>
      <c r="R35" s="49">
        <f>IF(OR(B35&lt;='VALOR POR PL'!$P$5,$K$12=0),0,$K$18*$K$26*N35/$K$12)</f>
        <v/>
      </c>
      <c r="S35" s="139">
        <f>(IF(AND(31+$K$33&gt;=1,31+$K$33&lt;=72),INDEX($N$5:$N$76,31+$K$33),0)+IF(AND(31+$K$34&gt;=1,31+$K$34&lt;=72),INDEX($N$5:$N$76,31+$K$34),0)+IF(AND(31+$K$35&gt;=1,31+$K$35&lt;=72),INDEX($N$5:$N$76,31+$K$35),0))/3</f>
        <v/>
      </c>
      <c r="T35" s="139">
        <f>IF(B35&lt;='VALOR POR PL'!$P$5,0,S35+IF(B35=DATE(YEAR('VALOR POR PL'!$P$5),MONTH('VALOR POR PL'!$P$5)+1,1),SUMPRODUCT((B5:B76&lt;='VALOR POR PL'!$P$5)*S5:S76),0))</f>
        <v/>
      </c>
      <c r="U35" s="49">
        <f>IF($K$32=0,0,$K$18*$K$27*T35/$K$32)</f>
        <v/>
      </c>
    </row>
    <row r="36">
      <c r="B36" s="140">
        <f>DATE(YEAR(B35),MONTH(B35)+1,1)</f>
        <v/>
      </c>
      <c r="C36" s="60">
        <f>IF(AND($K$22="NÃO",B36&gt;'VALOR POR PL'!$P$5),0,'DADOS HISTORICOS'!AI38)</f>
        <v/>
      </c>
      <c r="D36" s="49">
        <f>IF(B36&lt;='VALOR POR PL'!$P$5,0,IF($K$16="MDO PREVISION + MATERIAL PREMISSA",R36+U36,IF($K$17&gt;0,$K$18*P36/$K$17,0)))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I36" s="46" t="inlineStr">
        <is>
          <t>MDO no fluxo (R$)</t>
        </is>
      </c>
      <c r="K36" s="49">
        <f>SUM(R5:R76)</f>
        <v/>
      </c>
      <c r="L36" s="49">
        <f>C36/IF(B36&lt;='VALOR POR PL'!$P$5,IFERROR(INDEX('"INCC-FGV"'!$B$2:$B$800,MATCH(B36,'"INCC-FGV"'!$A$2:$A$800,0)),$K$2),$K$2)</f>
        <v/>
      </c>
      <c r="M36" s="138">
        <f>'CP RESUMO'!AI38</f>
        <v/>
      </c>
      <c r="N36" s="139">
        <f>MAX(0,M36-M35)</f>
        <v/>
      </c>
      <c r="O36" s="138">
        <f>IF(B36&lt;='VALOR POR PL'!$P$5,'CP RESUMO'!AI80,"")</f>
        <v/>
      </c>
      <c r="P36" s="72">
        <f>IF(B36&lt;='VALOR POR PL'!$P$5,0,IF(OR($K$16="CURVA PREVISION",$K$16="MDO PREVISION + MATERIAL PREMISSA"),N36,IF($K$16="PREVISÃO INFORMADA",MAX(0,H36),0)))</f>
        <v/>
      </c>
      <c r="R36" s="49">
        <f>IF(OR(B36&lt;='VALOR POR PL'!$P$5,$K$12=0),0,$K$18*$K$26*N36/$K$12)</f>
        <v/>
      </c>
      <c r="S36" s="139">
        <f>(IF(AND(32+$K$33&gt;=1,32+$K$33&lt;=72),INDEX($N$5:$N$76,32+$K$33),0)+IF(AND(32+$K$34&gt;=1,32+$K$34&lt;=72),INDEX($N$5:$N$76,32+$K$34),0)+IF(AND(32+$K$35&gt;=1,32+$K$35&lt;=72),INDEX($N$5:$N$76,32+$K$35),0))/3</f>
        <v/>
      </c>
      <c r="T36" s="139">
        <f>IF(B36&lt;='VALOR POR PL'!$P$5,0,S36+IF(B36=DATE(YEAR('VALOR POR PL'!$P$5),MONTH('VALOR POR PL'!$P$5)+1,1),SUMPRODUCT((B5:B76&lt;='VALOR POR PL'!$P$5)*S5:S76),0))</f>
        <v/>
      </c>
      <c r="U36" s="49">
        <f>IF($K$32=0,0,$K$18*$K$27*T36/$K$32)</f>
        <v/>
      </c>
    </row>
    <row r="37">
      <c r="B37" s="140">
        <f>DATE(YEAR(B36),MONTH(B36)+1,1)</f>
        <v/>
      </c>
      <c r="C37" s="60">
        <f>IF(AND($K$22="NÃO",B37&gt;'VALOR POR PL'!$P$5),0,'DADOS HISTORICOS'!AJ38)</f>
        <v/>
      </c>
      <c r="D37" s="49">
        <f>IF(B37&lt;='VALOR POR PL'!$P$5,0,IF($K$16="MDO PREVISION + MATERIAL PREMISSA",R37+U37,IF($K$17&gt;0,$K$18*P37/$K$17,0)))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I37" s="46" t="inlineStr">
        <is>
          <t>MATERIAL no fluxo (R$)</t>
        </is>
      </c>
      <c r="K37" s="49">
        <f>SUM(U5:U76)</f>
        <v/>
      </c>
      <c r="L37" s="49">
        <f>C37/IF(B37&lt;='VALOR POR PL'!$P$5,IFERROR(INDEX('"INCC-FGV"'!$B$2:$B$800,MATCH(B37,'"INCC-FGV"'!$A$2:$A$800,0)),$K$2),$K$2)</f>
        <v/>
      </c>
      <c r="M37" s="138">
        <f>'CP RESUMO'!AJ38</f>
        <v/>
      </c>
      <c r="N37" s="139">
        <f>MAX(0,M37-M36)</f>
        <v/>
      </c>
      <c r="O37" s="138">
        <f>IF(B37&lt;='VALOR POR PL'!$P$5,'CP RESUMO'!AJ80,"")</f>
        <v/>
      </c>
      <c r="P37" s="72">
        <f>IF(B37&lt;='VALOR POR PL'!$P$5,0,IF(OR($K$16="CURVA PREVISION",$K$16="MDO PREVISION + MATERIAL PREMISSA"),N37,IF($K$16="PREVISÃO INFORMADA",MAX(0,H37),0)))</f>
        <v/>
      </c>
      <c r="R37" s="49">
        <f>IF(OR(B37&lt;='VALOR POR PL'!$P$5,$K$12=0),0,$K$18*$K$26*N37/$K$12)</f>
        <v/>
      </c>
      <c r="S37" s="139">
        <f>(IF(AND(33+$K$33&gt;=1,33+$K$33&lt;=72),INDEX($N$5:$N$76,33+$K$33),0)+IF(AND(33+$K$34&gt;=1,33+$K$34&lt;=72),INDEX($N$5:$N$76,33+$K$34),0)+IF(AND(33+$K$35&gt;=1,33+$K$35&lt;=72),INDEX($N$5:$N$76,33+$K$35),0))/3</f>
        <v/>
      </c>
      <c r="T37" s="139">
        <f>IF(B37&lt;='VALOR POR PL'!$P$5,0,S37+IF(B37=DATE(YEAR('VALOR POR PL'!$P$5),MONTH('VALOR POR PL'!$P$5)+1,1),SUMPRODUCT((B5:B76&lt;='VALOR POR PL'!$P$5)*S5:S76),0))</f>
        <v/>
      </c>
      <c r="U37" s="49">
        <f>IF($K$32=0,0,$K$18*$K$27*T37/$K$32)</f>
        <v/>
      </c>
    </row>
    <row r="38">
      <c r="B38" s="140">
        <f>DATE(YEAR(B37),MONTH(B37)+1,1)</f>
        <v/>
      </c>
      <c r="C38" s="60">
        <f>IF(AND($K$22="NÃO",B38&gt;'VALOR POR PL'!$P$5),0,'DADOS HISTORICOS'!AK38)</f>
        <v/>
      </c>
      <c r="D38" s="49">
        <f>IF(B38&lt;='VALOR POR PL'!$P$5,0,IF($K$16="MDO PREVISION + MATERIAL PREMISSA",R38+U38,IF($K$17&gt;0,$K$18*P38/$K$17,0)))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RESUMO'!AK38</f>
        <v/>
      </c>
      <c r="N38" s="139">
        <f>MAX(0,M38-M37)</f>
        <v/>
      </c>
      <c r="O38" s="138">
        <f>IF(B38&lt;='VALOR POR PL'!$P$5,'CP RESUMO'!AK80,"")</f>
        <v/>
      </c>
      <c r="P38" s="72">
        <f>IF(B38&lt;='VALOR POR PL'!$P$5,0,IF(OR($K$16="CURVA PREVISION",$K$16="MDO PREVISION + MATERIAL PREMISSA"),N38,IF($K$16="PREVISÃO INFORMADA",MAX(0,H38),0)))</f>
        <v/>
      </c>
      <c r="R38" s="49">
        <f>IF(OR(B38&lt;='VALOR POR PL'!$P$5,$K$12=0),0,$K$18*$K$26*N38/$K$12)</f>
        <v/>
      </c>
      <c r="S38" s="139">
        <f>(IF(AND(34+$K$33&gt;=1,34+$K$33&lt;=72),INDEX($N$5:$N$76,34+$K$33),0)+IF(AND(34+$K$34&gt;=1,34+$K$34&lt;=72),INDEX($N$5:$N$76,34+$K$34),0)+IF(AND(34+$K$35&gt;=1,34+$K$35&lt;=72),INDEX($N$5:$N$76,34+$K$35),0))/3</f>
        <v/>
      </c>
      <c r="T38" s="139">
        <f>IF(B38&lt;='VALOR POR PL'!$P$5,0,S38+IF(B38=DATE(YEAR('VALOR POR PL'!$P$5),MONTH('VALOR POR PL'!$P$5)+1,1),SUMPRODUCT((B5:B76&lt;='VALOR POR PL'!$P$5)*S5:S76),0))</f>
        <v/>
      </c>
      <c r="U38" s="49">
        <f>IF($K$32=0,0,$K$18*$K$27*T38/$K$32)</f>
        <v/>
      </c>
    </row>
    <row r="39">
      <c r="B39" s="140">
        <f>DATE(YEAR(B38),MONTH(B38)+1,1)</f>
        <v/>
      </c>
      <c r="C39" s="60">
        <f>IF(AND($K$22="NÃO",B39&gt;'VALOR POR PL'!$P$5),0,'DADOS HISTORICOS'!AL38)</f>
        <v/>
      </c>
      <c r="D39" s="49">
        <f>IF(B39&lt;='VALOR POR PL'!$P$5,0,IF($K$16="MDO PREVISION + MATERIAL PREMISSA",R39+U39,IF($K$17&gt;0,$K$18*P39/$K$17,0)))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RESUMO'!AL38</f>
        <v/>
      </c>
      <c r="N39" s="139">
        <f>MAX(0,M39-M38)</f>
        <v/>
      </c>
      <c r="O39" s="138">
        <f>IF(B39&lt;='VALOR POR PL'!$P$5,'CP RESUMO'!AL80,"")</f>
        <v/>
      </c>
      <c r="P39" s="72">
        <f>IF(B39&lt;='VALOR POR PL'!$P$5,0,IF(OR($K$16="CURVA PREVISION",$K$16="MDO PREVISION + MATERIAL PREMISSA"),N39,IF($K$16="PREVISÃO INFORMADA",MAX(0,H39),0)))</f>
        <v/>
      </c>
      <c r="R39" s="49">
        <f>IF(OR(B39&lt;='VALOR POR PL'!$P$5,$K$12=0),0,$K$18*$K$26*N39/$K$12)</f>
        <v/>
      </c>
      <c r="S39" s="139">
        <f>(IF(AND(35+$K$33&gt;=1,35+$K$33&lt;=72),INDEX($N$5:$N$76,35+$K$33),0)+IF(AND(35+$K$34&gt;=1,35+$K$34&lt;=72),INDEX($N$5:$N$76,35+$K$34),0)+IF(AND(35+$K$35&gt;=1,35+$K$35&lt;=72),INDEX($N$5:$N$76,35+$K$35),0))/3</f>
        <v/>
      </c>
      <c r="T39" s="139">
        <f>IF(B39&lt;='VALOR POR PL'!$P$5,0,S39+IF(B39=DATE(YEAR('VALOR POR PL'!$P$5),MONTH('VALOR POR PL'!$P$5)+1,1),SUMPRODUCT((B5:B76&lt;='VALOR POR PL'!$P$5)*S5:S76),0))</f>
        <v/>
      </c>
      <c r="U39" s="49">
        <f>IF($K$32=0,0,$K$18*$K$27*T39/$K$32)</f>
        <v/>
      </c>
    </row>
    <row r="40">
      <c r="B40" s="140">
        <f>DATE(YEAR(B39),MONTH(B39)+1,1)</f>
        <v/>
      </c>
      <c r="C40" s="60">
        <f>IF(AND($K$22="NÃO",B40&gt;'VALOR POR PL'!$P$5),0,'DADOS HISTORICOS'!AM38)</f>
        <v/>
      </c>
      <c r="D40" s="49">
        <f>IF(B40&lt;='VALOR POR PL'!$P$5,0,IF($K$16="MDO PREVISION + MATERIAL PREMISSA",R40+U40,IF($K$17&gt;0,$K$18*P40/$K$17,0)))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RESUMO'!AM38</f>
        <v/>
      </c>
      <c r="N40" s="139">
        <f>MAX(0,M40-M39)</f>
        <v/>
      </c>
      <c r="O40" s="138">
        <f>IF(B40&lt;='VALOR POR PL'!$P$5,'CP RESUMO'!AM80,"")</f>
        <v/>
      </c>
      <c r="P40" s="72">
        <f>IF(B40&lt;='VALOR POR PL'!$P$5,0,IF(OR($K$16="CURVA PREVISION",$K$16="MDO PREVISION + MATERIAL PREMISSA"),N40,IF($K$16="PREVISÃO INFORMADA",MAX(0,H40),0)))</f>
        <v/>
      </c>
      <c r="R40" s="49">
        <f>IF(OR(B40&lt;='VALOR POR PL'!$P$5,$K$12=0),0,$K$18*$K$26*N40/$K$12)</f>
        <v/>
      </c>
      <c r="S40" s="139">
        <f>(IF(AND(36+$K$33&gt;=1,36+$K$33&lt;=72),INDEX($N$5:$N$76,36+$K$33),0)+IF(AND(36+$K$34&gt;=1,36+$K$34&lt;=72),INDEX($N$5:$N$76,36+$K$34),0)+IF(AND(36+$K$35&gt;=1,36+$K$35&lt;=72),INDEX($N$5:$N$76,36+$K$35),0))/3</f>
        <v/>
      </c>
      <c r="T40" s="139">
        <f>IF(B40&lt;='VALOR POR PL'!$P$5,0,S40+IF(B40=DATE(YEAR('VALOR POR PL'!$P$5),MONTH('VALOR POR PL'!$P$5)+1,1),SUMPRODUCT((B5:B76&lt;='VALOR POR PL'!$P$5)*S5:S76),0))</f>
        <v/>
      </c>
      <c r="U40" s="49">
        <f>IF($K$32=0,0,$K$18*$K$27*T40/$K$32)</f>
        <v/>
      </c>
    </row>
    <row r="41">
      <c r="B41" s="140">
        <f>DATE(YEAR(B40),MONTH(B40)+1,1)</f>
        <v/>
      </c>
      <c r="C41" s="60">
        <f>IF(AND($K$22="NÃO",B41&gt;'VALOR POR PL'!$P$5),0,'DADOS HISTORICOS'!AN38)</f>
        <v/>
      </c>
      <c r="D41" s="49">
        <f>IF(B41&lt;='VALOR POR PL'!$P$5,0,IF($K$16="MDO PREVISION + MATERIAL PREMISSA",R41+U41,IF($K$17&gt;0,$K$18*P41/$K$17,0)))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RESUMO'!AN38</f>
        <v/>
      </c>
      <c r="N41" s="139">
        <f>MAX(0,M41-M40)</f>
        <v/>
      </c>
      <c r="O41" s="138">
        <f>IF(B41&lt;='VALOR POR PL'!$P$5,'CP RESUMO'!AN80,"")</f>
        <v/>
      </c>
      <c r="P41" s="72">
        <f>IF(B41&lt;='VALOR POR PL'!$P$5,0,IF(OR($K$16="CURVA PREVISION",$K$16="MDO PREVISION + MATERIAL PREMISSA"),N41,IF($K$16="PREVISÃO INFORMADA",MAX(0,H41),0)))</f>
        <v/>
      </c>
      <c r="R41" s="49">
        <f>IF(OR(B41&lt;='VALOR POR PL'!$P$5,$K$12=0),0,$K$18*$K$26*N41/$K$12)</f>
        <v/>
      </c>
      <c r="S41" s="139">
        <f>(IF(AND(37+$K$33&gt;=1,37+$K$33&lt;=72),INDEX($N$5:$N$76,37+$K$33),0)+IF(AND(37+$K$34&gt;=1,37+$K$34&lt;=72),INDEX($N$5:$N$76,37+$K$34),0)+IF(AND(37+$K$35&gt;=1,37+$K$35&lt;=72),INDEX($N$5:$N$76,37+$K$35),0))/3</f>
        <v/>
      </c>
      <c r="T41" s="139">
        <f>IF(B41&lt;='VALOR POR PL'!$P$5,0,S41+IF(B41=DATE(YEAR('VALOR POR PL'!$P$5),MONTH('VALOR POR PL'!$P$5)+1,1),SUMPRODUCT((B5:B76&lt;='VALOR POR PL'!$P$5)*S5:S76),0))</f>
        <v/>
      </c>
      <c r="U41" s="49">
        <f>IF($K$32=0,0,$K$18*$K$27*T41/$K$32)</f>
        <v/>
      </c>
    </row>
    <row r="42">
      <c r="B42" s="140">
        <f>DATE(YEAR(B41),MONTH(B41)+1,1)</f>
        <v/>
      </c>
      <c r="C42" s="60">
        <f>IF(AND($K$22="NÃO",B42&gt;'VALOR POR PL'!$P$5),0,'DADOS HISTORICOS'!AO38)</f>
        <v/>
      </c>
      <c r="D42" s="49">
        <f>IF(B42&lt;='VALOR POR PL'!$P$5,0,IF($K$16="MDO PREVISION + MATERIAL PREMISSA",R42+U42,IF($K$17&gt;0,$K$18*P42/$K$17,0)))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RESUMO'!AO38</f>
        <v/>
      </c>
      <c r="N42" s="139">
        <f>MAX(0,M42-M41)</f>
        <v/>
      </c>
      <c r="O42" s="138">
        <f>IF(B42&lt;='VALOR POR PL'!$P$5,'CP RESUMO'!AO80,"")</f>
        <v/>
      </c>
      <c r="P42" s="72">
        <f>IF(B42&lt;='VALOR POR PL'!$P$5,0,IF(OR($K$16="CURVA PREVISION",$K$16="MDO PREVISION + MATERIAL PREMISSA"),N42,IF($K$16="PREVISÃO INFORMADA",MAX(0,H42),0)))</f>
        <v/>
      </c>
      <c r="R42" s="49">
        <f>IF(OR(B42&lt;='VALOR POR PL'!$P$5,$K$12=0),0,$K$18*$K$26*N42/$K$12)</f>
        <v/>
      </c>
      <c r="S42" s="139">
        <f>(IF(AND(38+$K$33&gt;=1,38+$K$33&lt;=72),INDEX($N$5:$N$76,38+$K$33),0)+IF(AND(38+$K$34&gt;=1,38+$K$34&lt;=72),INDEX($N$5:$N$76,38+$K$34),0)+IF(AND(38+$K$35&gt;=1,38+$K$35&lt;=72),INDEX($N$5:$N$76,38+$K$35),0))/3</f>
        <v/>
      </c>
      <c r="T42" s="139">
        <f>IF(B42&lt;='VALOR POR PL'!$P$5,0,S42+IF(B42=DATE(YEAR('VALOR POR PL'!$P$5),MONTH('VALOR POR PL'!$P$5)+1,1),SUMPRODUCT((B5:B76&lt;='VALOR POR PL'!$P$5)*S5:S76),0))</f>
        <v/>
      </c>
      <c r="U42" s="49">
        <f>IF($K$32=0,0,$K$18*$K$27*T42/$K$32)</f>
        <v/>
      </c>
    </row>
    <row r="43">
      <c r="B43" s="140">
        <f>DATE(YEAR(B42),MONTH(B42)+1,1)</f>
        <v/>
      </c>
      <c r="C43" s="60">
        <f>IF(AND($K$22="NÃO",B43&gt;'VALOR POR PL'!$P$5),0,'DADOS HISTORICOS'!AP38)</f>
        <v/>
      </c>
      <c r="D43" s="49">
        <f>IF(B43&lt;='VALOR POR PL'!$P$5,0,IF($K$16="MDO PREVISION + MATERIAL PREMISSA",R43+U43,IF($K$17&gt;0,$K$18*P43/$K$17,0)))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RESUMO'!AP38</f>
        <v/>
      </c>
      <c r="N43" s="139">
        <f>MAX(0,M43-M42)</f>
        <v/>
      </c>
      <c r="O43" s="138">
        <f>IF(B43&lt;='VALOR POR PL'!$P$5,'CP RESUMO'!AP80,"")</f>
        <v/>
      </c>
      <c r="P43" s="72">
        <f>IF(B43&lt;='VALOR POR PL'!$P$5,0,IF(OR($K$16="CURVA PREVISION",$K$16="MDO PREVISION + MATERIAL PREMISSA"),N43,IF($K$16="PREVISÃO INFORMADA",MAX(0,H43),0)))</f>
        <v/>
      </c>
      <c r="R43" s="49">
        <f>IF(OR(B43&lt;='VALOR POR PL'!$P$5,$K$12=0),0,$K$18*$K$26*N43/$K$12)</f>
        <v/>
      </c>
      <c r="S43" s="139">
        <f>(IF(AND(39+$K$33&gt;=1,39+$K$33&lt;=72),INDEX($N$5:$N$76,39+$K$33),0)+IF(AND(39+$K$34&gt;=1,39+$K$34&lt;=72),INDEX($N$5:$N$76,39+$K$34),0)+IF(AND(39+$K$35&gt;=1,39+$K$35&lt;=72),INDEX($N$5:$N$76,39+$K$35),0))/3</f>
        <v/>
      </c>
      <c r="T43" s="139">
        <f>IF(B43&lt;='VALOR POR PL'!$P$5,0,S43+IF(B43=DATE(YEAR('VALOR POR PL'!$P$5),MONTH('VALOR POR PL'!$P$5)+1,1),SUMPRODUCT((B5:B76&lt;='VALOR POR PL'!$P$5)*S5:S76),0))</f>
        <v/>
      </c>
      <c r="U43" s="49">
        <f>IF($K$32=0,0,$K$18*$K$27*T43/$K$32)</f>
        <v/>
      </c>
    </row>
    <row r="44">
      <c r="B44" s="140">
        <f>DATE(YEAR(B43),MONTH(B43)+1,1)</f>
        <v/>
      </c>
      <c r="C44" s="60">
        <f>IF(AND($K$22="NÃO",B44&gt;'VALOR POR PL'!$P$5),0,'DADOS HISTORICOS'!AQ38)</f>
        <v/>
      </c>
      <c r="D44" s="49">
        <f>IF(B44&lt;='VALOR POR PL'!$P$5,0,IF($K$16="MDO PREVISION + MATERIAL PREMISSA",R44+U44,IF($K$17&gt;0,$K$18*P44/$K$17,0)))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/>
      <c r="L44" s="49">
        <f>C44/IF(B44&lt;='VALOR POR PL'!$P$5,IFERROR(INDEX('"INCC-FGV"'!$B$2:$B$800,MATCH(B44,'"INCC-FGV"'!$A$2:$A$800,0)),$K$2),$K$2)</f>
        <v/>
      </c>
      <c r="M44" s="138">
        <f>'CP RESUMO'!AQ38</f>
        <v/>
      </c>
      <c r="N44" s="139">
        <f>MAX(0,M44-M43)</f>
        <v/>
      </c>
      <c r="O44" s="138">
        <f>IF(B44&lt;='VALOR POR PL'!$P$5,'CP RESUMO'!AQ80,"")</f>
        <v/>
      </c>
      <c r="P44" s="72">
        <f>IF(B44&lt;='VALOR POR PL'!$P$5,0,IF(OR($K$16="CURVA PREVISION",$K$16="MDO PREVISION + MATERIAL PREMISSA"),N44,IF($K$16="PREVISÃO INFORMADA",MAX(0,H44),0)))</f>
        <v/>
      </c>
      <c r="R44" s="49">
        <f>IF(OR(B44&lt;='VALOR POR PL'!$P$5,$K$12=0),0,$K$18*$K$26*N44/$K$12)</f>
        <v/>
      </c>
      <c r="S44" s="139">
        <f>(IF(AND(40+$K$33&gt;=1,40+$K$33&lt;=72),INDEX($N$5:$N$76,40+$K$33),0)+IF(AND(40+$K$34&gt;=1,40+$K$34&lt;=72),INDEX($N$5:$N$76,40+$K$34),0)+IF(AND(40+$K$35&gt;=1,40+$K$35&lt;=72),INDEX($N$5:$N$76,40+$K$35),0))/3</f>
        <v/>
      </c>
      <c r="T44" s="139">
        <f>IF(B44&lt;='VALOR POR PL'!$P$5,0,S44+IF(B44=DATE(YEAR('VALOR POR PL'!$P$5),MONTH('VALOR POR PL'!$P$5)+1,1),SUMPRODUCT((B5:B76&lt;='VALOR POR PL'!$P$5)*S5:S76),0))</f>
        <v/>
      </c>
      <c r="U44" s="49">
        <f>IF($K$32=0,0,$K$18*$K$27*T44/$K$32)</f>
        <v/>
      </c>
    </row>
    <row r="45">
      <c r="B45" s="140">
        <f>DATE(YEAR(B44),MONTH(B44)+1,1)</f>
        <v/>
      </c>
      <c r="C45" s="60">
        <f>IF(AND($K$22="NÃO",B45&gt;'VALOR POR PL'!$P$5),0,'DADOS HISTORICOS'!AR38)</f>
        <v/>
      </c>
      <c r="D45" s="49">
        <f>IF(B45&lt;='VALOR POR PL'!$P$5,0,IF($K$16="MDO PREVISION + MATERIAL PREMISSA",R45+U45,IF($K$17&gt;0,$K$18*P45/$K$17,0)))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204179.37</v>
      </c>
      <c r="L45" s="49">
        <f>C45/IF(B45&lt;='VALOR POR PL'!$P$5,IFERROR(INDEX('"INCC-FGV"'!$B$2:$B$800,MATCH(B45,'"INCC-FGV"'!$A$2:$A$800,0)),$K$2),$K$2)</f>
        <v/>
      </c>
      <c r="M45" s="138">
        <f>'CP RESUMO'!AR38</f>
        <v/>
      </c>
      <c r="N45" s="139">
        <f>MAX(0,M45-M44)</f>
        <v/>
      </c>
      <c r="O45" s="138">
        <f>IF(B45&lt;='VALOR POR PL'!$P$5,'CP RESUMO'!AR80,"")</f>
        <v/>
      </c>
      <c r="P45" s="72">
        <f>IF(B45&lt;='VALOR POR PL'!$P$5,0,IF(OR($K$16="CURVA PREVISION",$K$16="MDO PREVISION + MATERIAL PREMISSA"),N45,IF($K$16="PREVISÃO INFORMADA",MAX(0,H45),0)))</f>
        <v/>
      </c>
      <c r="R45" s="49">
        <f>IF(OR(B45&lt;='VALOR POR PL'!$P$5,$K$12=0),0,$K$18*$K$26*N45/$K$12)</f>
        <v/>
      </c>
      <c r="S45" s="139">
        <f>(IF(AND(41+$K$33&gt;=1,41+$K$33&lt;=72),INDEX($N$5:$N$76,41+$K$33),0)+IF(AND(41+$K$34&gt;=1,41+$K$34&lt;=72),INDEX($N$5:$N$76,41+$K$34),0)+IF(AND(41+$K$35&gt;=1,41+$K$35&lt;=72),INDEX($N$5:$N$76,41+$K$35),0))/3</f>
        <v/>
      </c>
      <c r="T45" s="139">
        <f>IF(B45&lt;='VALOR POR PL'!$P$5,0,S45+IF(B45=DATE(YEAR('VALOR POR PL'!$P$5),MONTH('VALOR POR PL'!$P$5)+1,1),SUMPRODUCT((B5:B76&lt;='VALOR POR PL'!$P$5)*S5:S76),0))</f>
        <v/>
      </c>
      <c r="U45" s="49">
        <f>IF($K$32=0,0,$K$18*$K$27*T45/$K$32)</f>
        <v/>
      </c>
    </row>
    <row r="46">
      <c r="B46" s="140">
        <f>DATE(YEAR(B45),MONTH(B45)+1,1)</f>
        <v/>
      </c>
      <c r="C46" s="60">
        <f>IF(AND($K$22="NÃO",B46&gt;'VALOR POR PL'!$P$5),0,'DADOS HISTORICOS'!AS38)</f>
        <v/>
      </c>
      <c r="D46" s="49">
        <f>IF(B46&lt;='VALOR POR PL'!$P$5,0,IF($K$16="MDO PREVISION + MATERIAL PREMISSA",R46+U46,IF($K$17&gt;0,$K$18*P46/$K$17,0)))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174146.64</v>
      </c>
      <c r="L46" s="49">
        <f>C46/IF(B46&lt;='VALOR POR PL'!$P$5,IFERROR(INDEX('"INCC-FGV"'!$B$2:$B$800,MATCH(B46,'"INCC-FGV"'!$A$2:$A$800,0)),$K$2),$K$2)</f>
        <v/>
      </c>
      <c r="M46" s="138">
        <f>'CP RESUMO'!AS38</f>
        <v/>
      </c>
      <c r="N46" s="139">
        <f>MAX(0,M46-M45)</f>
        <v/>
      </c>
      <c r="O46" s="138">
        <f>IF(B46&lt;='VALOR POR PL'!$P$5,'CP RESUMO'!AS80,"")</f>
        <v/>
      </c>
      <c r="P46" s="72">
        <f>IF(B46&lt;='VALOR POR PL'!$P$5,0,IF(OR($K$16="CURVA PREVISION",$K$16="MDO PREVISION + MATERIAL PREMISSA"),N46,IF($K$16="PREVISÃO INFORMADA",MAX(0,H46),0)))</f>
        <v/>
      </c>
      <c r="R46" s="49">
        <f>IF(OR(B46&lt;='VALOR POR PL'!$P$5,$K$12=0),0,$K$18*$K$26*N46/$K$12)</f>
        <v/>
      </c>
      <c r="S46" s="139">
        <f>(IF(AND(42+$K$33&gt;=1,42+$K$33&lt;=72),INDEX($N$5:$N$76,42+$K$33),0)+IF(AND(42+$K$34&gt;=1,42+$K$34&lt;=72),INDEX($N$5:$N$76,42+$K$34),0)+IF(AND(42+$K$35&gt;=1,42+$K$35&lt;=72),INDEX($N$5:$N$76,42+$K$35),0))/3</f>
        <v/>
      </c>
      <c r="T46" s="139">
        <f>IF(B46&lt;='VALOR POR PL'!$P$5,0,S46+IF(B46=DATE(YEAR('VALOR POR PL'!$P$5),MONTH('VALOR POR PL'!$P$5)+1,1),SUMPRODUCT((B5:B76&lt;='VALOR POR PL'!$P$5)*S5:S76),0))</f>
        <v/>
      </c>
      <c r="U46" s="49">
        <f>IF($K$32=0,0,$K$18*$K$27*T46/$K$32)</f>
        <v/>
      </c>
    </row>
    <row r="47">
      <c r="B47" s="140">
        <f>DATE(YEAR(B46),MONTH(B46)+1,1)</f>
        <v/>
      </c>
      <c r="C47" s="60">
        <f>IF(AND($K$22="NÃO",B47&gt;'VALOR POR PL'!$P$5),0,'DADOS HISTORICOS'!AT38)</f>
        <v/>
      </c>
      <c r="D47" s="49">
        <f>IF(B47&lt;='VALOR POR PL'!$P$5,0,IF($K$16="MDO PREVISION + MATERIAL PREMISSA",R47+U47,IF($K$17&gt;0,$K$18*P47/$K$17,0)))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227082.03</v>
      </c>
      <c r="L47" s="49">
        <f>C47/IF(B47&lt;='VALOR POR PL'!$P$5,IFERROR(INDEX('"INCC-FGV"'!$B$2:$B$800,MATCH(B47,'"INCC-FGV"'!$A$2:$A$800,0)),$K$2),$K$2)</f>
        <v/>
      </c>
      <c r="M47" s="138">
        <f>'CP RESUMO'!AT38</f>
        <v/>
      </c>
      <c r="N47" s="139">
        <f>MAX(0,M47-M46)</f>
        <v/>
      </c>
      <c r="O47" s="138">
        <f>IF(B47&lt;='VALOR POR PL'!$P$5,'CP RESUMO'!AT80,"")</f>
        <v/>
      </c>
      <c r="P47" s="72">
        <f>IF(B47&lt;='VALOR POR PL'!$P$5,0,IF(OR($K$16="CURVA PREVISION",$K$16="MDO PREVISION + MATERIAL PREMISSA"),N47,IF($K$16="PREVISÃO INFORMADA",MAX(0,H47),0)))</f>
        <v/>
      </c>
      <c r="R47" s="49">
        <f>IF(OR(B47&lt;='VALOR POR PL'!$P$5,$K$12=0),0,$K$18*$K$26*N47/$K$12)</f>
        <v/>
      </c>
      <c r="S47" s="139">
        <f>(IF(AND(43+$K$33&gt;=1,43+$K$33&lt;=72),INDEX($N$5:$N$76,43+$K$33),0)+IF(AND(43+$K$34&gt;=1,43+$K$34&lt;=72),INDEX($N$5:$N$76,43+$K$34),0)+IF(AND(43+$K$35&gt;=1,43+$K$35&lt;=72),INDEX($N$5:$N$76,43+$K$35),0))/3</f>
        <v/>
      </c>
      <c r="T47" s="139">
        <f>IF(B47&lt;='VALOR POR PL'!$P$5,0,S47+IF(B47=DATE(YEAR('VALOR POR PL'!$P$5),MONTH('VALOR POR PL'!$P$5)+1,1),SUMPRODUCT((B5:B76&lt;='VALOR POR PL'!$P$5)*S5:S76),0))</f>
        <v/>
      </c>
      <c r="U47" s="49">
        <f>IF($K$32=0,0,$K$18*$K$27*T47/$K$32)</f>
        <v/>
      </c>
    </row>
    <row r="48">
      <c r="B48" s="140">
        <f>DATE(YEAR(B47),MONTH(B47)+1,1)</f>
        <v/>
      </c>
      <c r="C48" s="60">
        <f>IF(AND($K$22="NÃO",B48&gt;'VALOR POR PL'!$P$5),0,'DADOS HISTORICOS'!AU38)</f>
        <v/>
      </c>
      <c r="D48" s="49">
        <f>IF(B48&lt;='VALOR POR PL'!$P$5,0,IF($K$16="MDO PREVISION + MATERIAL PREMISSA",R48+U48,IF($K$17&gt;0,$K$18*P48/$K$17,0)))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213686.14</v>
      </c>
      <c r="L48" s="49">
        <f>C48/IF(B48&lt;='VALOR POR PL'!$P$5,IFERROR(INDEX('"INCC-FGV"'!$B$2:$B$800,MATCH(B48,'"INCC-FGV"'!$A$2:$A$800,0)),$K$2),$K$2)</f>
        <v/>
      </c>
      <c r="M48" s="138">
        <f>'CP RESUMO'!AU38</f>
        <v/>
      </c>
      <c r="N48" s="139">
        <f>MAX(0,M48-M47)</f>
        <v/>
      </c>
      <c r="O48" s="138">
        <f>IF(B48&lt;='VALOR POR PL'!$P$5,'CP RESUMO'!AU80,"")</f>
        <v/>
      </c>
      <c r="P48" s="72">
        <f>IF(B48&lt;='VALOR POR PL'!$P$5,0,IF(OR($K$16="CURVA PREVISION",$K$16="MDO PREVISION + MATERIAL PREMISSA"),N48,IF($K$16="PREVISÃO INFORMADA",MAX(0,H48),0)))</f>
        <v/>
      </c>
      <c r="R48" s="49">
        <f>IF(OR(B48&lt;='VALOR POR PL'!$P$5,$K$12=0),0,$K$18*$K$26*N48/$K$12)</f>
        <v/>
      </c>
      <c r="S48" s="139">
        <f>(IF(AND(44+$K$33&gt;=1,44+$K$33&lt;=72),INDEX($N$5:$N$76,44+$K$33),0)+IF(AND(44+$K$34&gt;=1,44+$K$34&lt;=72),INDEX($N$5:$N$76,44+$K$34),0)+IF(AND(44+$K$35&gt;=1,44+$K$35&lt;=72),INDEX($N$5:$N$76,44+$K$35),0))/3</f>
        <v/>
      </c>
      <c r="T48" s="139">
        <f>IF(B48&lt;='VALOR POR PL'!$P$5,0,S48+IF(B48=DATE(YEAR('VALOR POR PL'!$P$5),MONTH('VALOR POR PL'!$P$5)+1,1),SUMPRODUCT((B5:B76&lt;='VALOR POR PL'!$P$5)*S5:S76),0))</f>
        <v/>
      </c>
      <c r="U48" s="49">
        <f>IF($K$32=0,0,$K$18*$K$27*T48/$K$32)</f>
        <v/>
      </c>
    </row>
    <row r="49">
      <c r="B49" s="140">
        <f>DATE(YEAR(B48),MONTH(B48)+1,1)</f>
        <v/>
      </c>
      <c r="C49" s="60">
        <f>IF(AND($K$22="NÃO",B49&gt;'VALOR POR PL'!$P$5),0,'DADOS HISTORICOS'!AV38)</f>
        <v/>
      </c>
      <c r="D49" s="49">
        <f>IF(B49&lt;='VALOR POR PL'!$P$5,0,IF($K$16="MDO PREVISION + MATERIAL PREMISSA",R49+U49,IF($K$17&gt;0,$K$18*P49/$K$17,0)))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207420.32</v>
      </c>
      <c r="L49" s="49">
        <f>C49/IF(B49&lt;='VALOR POR PL'!$P$5,IFERROR(INDEX('"INCC-FGV"'!$B$2:$B$800,MATCH(B49,'"INCC-FGV"'!$A$2:$A$800,0)),$K$2),$K$2)</f>
        <v/>
      </c>
      <c r="M49" s="138">
        <f>'CP RESUMO'!AV38</f>
        <v/>
      </c>
      <c r="N49" s="139">
        <f>MAX(0,M49-M48)</f>
        <v/>
      </c>
      <c r="O49" s="138">
        <f>IF(B49&lt;='VALOR POR PL'!$P$5,'CP RESUMO'!AV80,"")</f>
        <v/>
      </c>
      <c r="P49" s="72">
        <f>IF(B49&lt;='VALOR POR PL'!$P$5,0,IF(OR($K$16="CURVA PREVISION",$K$16="MDO PREVISION + MATERIAL PREMISSA"),N49,IF($K$16="PREVISÃO INFORMADA",MAX(0,H49),0)))</f>
        <v/>
      </c>
      <c r="R49" s="49">
        <f>IF(OR(B49&lt;='VALOR POR PL'!$P$5,$K$12=0),0,$K$18*$K$26*N49/$K$12)</f>
        <v/>
      </c>
      <c r="S49" s="139">
        <f>(IF(AND(45+$K$33&gt;=1,45+$K$33&lt;=72),INDEX($N$5:$N$76,45+$K$33),0)+IF(AND(45+$K$34&gt;=1,45+$K$34&lt;=72),INDEX($N$5:$N$76,45+$K$34),0)+IF(AND(45+$K$35&gt;=1,45+$K$35&lt;=72),INDEX($N$5:$N$76,45+$K$35),0))/3</f>
        <v/>
      </c>
      <c r="T49" s="139">
        <f>IF(B49&lt;='VALOR POR PL'!$P$5,0,S49+IF(B49=DATE(YEAR('VALOR POR PL'!$P$5),MONTH('VALOR POR PL'!$P$5)+1,1),SUMPRODUCT((B5:B76&lt;='VALOR POR PL'!$P$5)*S5:S76),0))</f>
        <v/>
      </c>
      <c r="U49" s="49">
        <f>IF($K$32=0,0,$K$18*$K$27*T49/$K$32)</f>
        <v/>
      </c>
    </row>
    <row r="50">
      <c r="B50" s="140">
        <f>DATE(YEAR(B49),MONTH(B49)+1,1)</f>
        <v/>
      </c>
      <c r="C50" s="60">
        <f>IF(AND($K$22="NÃO",B50&gt;'VALOR POR PL'!$P$5),0,'DADOS HISTORICOS'!AW38)</f>
        <v/>
      </c>
      <c r="D50" s="49">
        <f>IF(B50&lt;='VALOR POR PL'!$P$5,0,IF($K$16="MDO PREVISION + MATERIAL PREMISSA",R50+U50,IF($K$17&gt;0,$K$18*P50/$K$17,0)))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226001.72</v>
      </c>
      <c r="L50" s="49">
        <f>C50/IF(B50&lt;='VALOR POR PL'!$P$5,IFERROR(INDEX('"INCC-FGV"'!$B$2:$B$800,MATCH(B50,'"INCC-FGV"'!$A$2:$A$800,0)),$K$2),$K$2)</f>
        <v/>
      </c>
      <c r="M50" s="138">
        <f>'CP RESUMO'!AW38</f>
        <v/>
      </c>
      <c r="N50" s="139">
        <f>MAX(0,M50-M49)</f>
        <v/>
      </c>
      <c r="O50" s="138">
        <f>IF(B50&lt;='VALOR POR PL'!$P$5,'CP RESUMO'!AW80,"")</f>
        <v/>
      </c>
      <c r="P50" s="72">
        <f>IF(B50&lt;='VALOR POR PL'!$P$5,0,IF(OR($K$16="CURVA PREVISION",$K$16="MDO PREVISION + MATERIAL PREMISSA"),N50,IF($K$16="PREVISÃO INFORMADA",MAX(0,H50),0)))</f>
        <v/>
      </c>
      <c r="R50" s="49">
        <f>IF(OR(B50&lt;='VALOR POR PL'!$P$5,$K$12=0),0,$K$18*$K$26*N50/$K$12)</f>
        <v/>
      </c>
      <c r="S50" s="139">
        <f>(IF(AND(46+$K$33&gt;=1,46+$K$33&lt;=72),INDEX($N$5:$N$76,46+$K$33),0)+IF(AND(46+$K$34&gt;=1,46+$K$34&lt;=72),INDEX($N$5:$N$76,46+$K$34),0)+IF(AND(46+$K$35&gt;=1,46+$K$35&lt;=72),INDEX($N$5:$N$76,46+$K$35),0))/3</f>
        <v/>
      </c>
      <c r="T50" s="139">
        <f>IF(B50&lt;='VALOR POR PL'!$P$5,0,S50+IF(B50=DATE(YEAR('VALOR POR PL'!$P$5),MONTH('VALOR POR PL'!$P$5)+1,1),SUMPRODUCT((B5:B76&lt;='VALOR POR PL'!$P$5)*S5:S76),0))</f>
        <v/>
      </c>
      <c r="U50" s="49">
        <f>IF($K$32=0,0,$K$18*$K$27*T50/$K$32)</f>
        <v/>
      </c>
    </row>
    <row r="51">
      <c r="B51" s="140">
        <f>DATE(YEAR(B50),MONTH(B50)+1,1)</f>
        <v/>
      </c>
      <c r="C51" s="60">
        <f>IF(AND($K$22="NÃO",B51&gt;'VALOR POR PL'!$P$5),0,'DADOS HISTORICOS'!AX38)</f>
        <v/>
      </c>
      <c r="D51" s="49">
        <f>IF(B51&lt;='VALOR POR PL'!$P$5,0,IF($K$16="MDO PREVISION + MATERIAL PREMISSA",R51+U51,IF($K$17&gt;0,$K$18*P51/$K$17,0)))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177603.65</v>
      </c>
      <c r="L51" s="49">
        <f>C51/IF(B51&lt;='VALOR POR PL'!$P$5,IFERROR(INDEX('"INCC-FGV"'!$B$2:$B$800,MATCH(B51,'"INCC-FGV"'!$A$2:$A$800,0)),$K$2),$K$2)</f>
        <v/>
      </c>
      <c r="M51" s="138">
        <f>'CP RESUMO'!AX38</f>
        <v/>
      </c>
      <c r="N51" s="139">
        <f>MAX(0,M51-M50)</f>
        <v/>
      </c>
      <c r="O51" s="138">
        <f>IF(B51&lt;='VALOR POR PL'!$P$5,'CP RESUMO'!AX80,"")</f>
        <v/>
      </c>
      <c r="P51" s="72">
        <f>IF(B51&lt;='VALOR POR PL'!$P$5,0,IF(OR($K$16="CURVA PREVISION",$K$16="MDO PREVISION + MATERIAL PREMISSA"),N51,IF($K$16="PREVISÃO INFORMADA",MAX(0,H51),0)))</f>
        <v/>
      </c>
      <c r="R51" s="49">
        <f>IF(OR(B51&lt;='VALOR POR PL'!$P$5,$K$12=0),0,$K$18*$K$26*N51/$K$12)</f>
        <v/>
      </c>
      <c r="S51" s="139">
        <f>(IF(AND(47+$K$33&gt;=1,47+$K$33&lt;=72),INDEX($N$5:$N$76,47+$K$33),0)+IF(AND(47+$K$34&gt;=1,47+$K$34&lt;=72),INDEX($N$5:$N$76,47+$K$34),0)+IF(AND(47+$K$35&gt;=1,47+$K$35&lt;=72),INDEX($N$5:$N$76,47+$K$35),0))/3</f>
        <v/>
      </c>
      <c r="T51" s="139">
        <f>IF(B51&lt;='VALOR POR PL'!$P$5,0,S51+IF(B51=DATE(YEAR('VALOR POR PL'!$P$5),MONTH('VALOR POR PL'!$P$5)+1,1),SUMPRODUCT((B5:B76&lt;='VALOR POR PL'!$P$5)*S5:S76),0))</f>
        <v/>
      </c>
      <c r="U51" s="49">
        <f>IF($K$32=0,0,$K$18*$K$27*T51/$K$32)</f>
        <v/>
      </c>
    </row>
    <row r="52">
      <c r="B52" s="140">
        <f>DATE(YEAR(B51),MONTH(B51)+1,1)</f>
        <v/>
      </c>
      <c r="C52" s="60">
        <f>IF(AND($K$22="NÃO",B52&gt;'VALOR POR PL'!$P$5),0,'DADOS HISTORICOS'!AY38)</f>
        <v/>
      </c>
      <c r="D52" s="49">
        <f>IF(B52&lt;='VALOR POR PL'!$P$5,0,IF($K$16="MDO PREVISION + MATERIAL PREMISSA",R52+U52,IF($K$17&gt;0,$K$18*P52/$K$17,0)))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186894.35</v>
      </c>
      <c r="L52" s="49">
        <f>C52/IF(B52&lt;='VALOR POR PL'!$P$5,IFERROR(INDEX('"INCC-FGV"'!$B$2:$B$800,MATCH(B52,'"INCC-FGV"'!$A$2:$A$800,0)),$K$2),$K$2)</f>
        <v/>
      </c>
      <c r="M52" s="138">
        <f>'CP RESUMO'!AY38</f>
        <v/>
      </c>
      <c r="N52" s="139">
        <f>MAX(0,M52-M51)</f>
        <v/>
      </c>
      <c r="O52" s="138">
        <f>IF(B52&lt;='VALOR POR PL'!$P$5,'CP RESUMO'!AY80,"")</f>
        <v/>
      </c>
      <c r="P52" s="72">
        <f>IF(B52&lt;='VALOR POR PL'!$P$5,0,IF(OR($K$16="CURVA PREVISION",$K$16="MDO PREVISION + MATERIAL PREMISSA"),N52,IF($K$16="PREVISÃO INFORMADA",MAX(0,H52),0)))</f>
        <v/>
      </c>
      <c r="R52" s="49">
        <f>IF(OR(B52&lt;='VALOR POR PL'!$P$5,$K$12=0),0,$K$18*$K$26*N52/$K$12)</f>
        <v/>
      </c>
      <c r="S52" s="139">
        <f>(IF(AND(48+$K$33&gt;=1,48+$K$33&lt;=72),INDEX($N$5:$N$76,48+$K$33),0)+IF(AND(48+$K$34&gt;=1,48+$K$34&lt;=72),INDEX($N$5:$N$76,48+$K$34),0)+IF(AND(48+$K$35&gt;=1,48+$K$35&lt;=72),INDEX($N$5:$N$76,48+$K$35),0))/3</f>
        <v/>
      </c>
      <c r="T52" s="139">
        <f>IF(B52&lt;='VALOR POR PL'!$P$5,0,S52+IF(B52=DATE(YEAR('VALOR POR PL'!$P$5),MONTH('VALOR POR PL'!$P$5)+1,1),SUMPRODUCT((B5:B76&lt;='VALOR POR PL'!$P$5)*S5:S76),0))</f>
        <v/>
      </c>
      <c r="U52" s="49">
        <f>IF($K$32=0,0,$K$18*$K$27*T52/$K$32)</f>
        <v/>
      </c>
    </row>
    <row r="53">
      <c r="B53" s="140">
        <f>DATE(YEAR(B52),MONTH(B52)+1,1)</f>
        <v/>
      </c>
      <c r="C53" s="60">
        <f>IF(AND($K$22="NÃO",B53&gt;'VALOR POR PL'!$P$5),0,'DADOS HISTORICOS'!AZ38)</f>
        <v/>
      </c>
      <c r="D53" s="49">
        <f>IF(B53&lt;='VALOR POR PL'!$P$5,0,IF($K$16="MDO PREVISION + MATERIAL PREMISSA",R53+U53,IF($K$17&gt;0,$K$18*P53/$K$17,0)))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176091.21</v>
      </c>
      <c r="L53" s="49">
        <f>C53/IF(B53&lt;='VALOR POR PL'!$P$5,IFERROR(INDEX('"INCC-FGV"'!$B$2:$B$800,MATCH(B53,'"INCC-FGV"'!$A$2:$A$800,0)),$K$2),$K$2)</f>
        <v/>
      </c>
      <c r="M53" s="138">
        <f>'CP RESUMO'!AZ38</f>
        <v/>
      </c>
      <c r="N53" s="139">
        <f>MAX(0,M53-M52)</f>
        <v/>
      </c>
      <c r="O53" s="138">
        <f>IF(B53&lt;='VALOR POR PL'!$P$5,'CP RESUMO'!AZ80,"")</f>
        <v/>
      </c>
      <c r="P53" s="72">
        <f>IF(B53&lt;='VALOR POR PL'!$P$5,0,IF(OR($K$16="CURVA PREVISION",$K$16="MDO PREVISION + MATERIAL PREMISSA"),N53,IF($K$16="PREVISÃO INFORMADA",MAX(0,H53),0)))</f>
        <v/>
      </c>
      <c r="R53" s="49">
        <f>IF(OR(B53&lt;='VALOR POR PL'!$P$5,$K$12=0),0,$K$18*$K$26*N53/$K$12)</f>
        <v/>
      </c>
      <c r="S53" s="139">
        <f>(IF(AND(49+$K$33&gt;=1,49+$K$33&lt;=72),INDEX($N$5:$N$76,49+$K$33),0)+IF(AND(49+$K$34&gt;=1,49+$K$34&lt;=72),INDEX($N$5:$N$76,49+$K$34),0)+IF(AND(49+$K$35&gt;=1,49+$K$35&lt;=72),INDEX($N$5:$N$76,49+$K$35),0))/3</f>
        <v/>
      </c>
      <c r="T53" s="139">
        <f>IF(B53&lt;='VALOR POR PL'!$P$5,0,S53+IF(B53=DATE(YEAR('VALOR POR PL'!$P$5),MONTH('VALOR POR PL'!$P$5)+1,1),SUMPRODUCT((B5:B76&lt;='VALOR POR PL'!$P$5)*S5:S76),0))</f>
        <v/>
      </c>
      <c r="U53" s="49">
        <f>IF($K$32=0,0,$K$18*$K$27*T53/$K$32)</f>
        <v/>
      </c>
    </row>
    <row r="54">
      <c r="B54" s="140">
        <f>DATE(YEAR(B53),MONTH(B53)+1,1)</f>
        <v/>
      </c>
      <c r="C54" s="60">
        <f>IF(AND($K$22="NÃO",B54&gt;'VALOR POR PL'!$P$5),0,'DADOS HISTORICOS'!BA38)</f>
        <v/>
      </c>
      <c r="D54" s="49">
        <f>IF(B54&lt;='VALOR POR PL'!$P$5,0,IF($K$16="MDO PREVISION + MATERIAL PREMISSA",R54+U54,IF($K$17&gt;0,$K$18*P54/$K$17,0)))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151676.11</v>
      </c>
      <c r="L54" s="49">
        <f>C54/IF(B54&lt;='VALOR POR PL'!$P$5,IFERROR(INDEX('"INCC-FGV"'!$B$2:$B$800,MATCH(B54,'"INCC-FGV"'!$A$2:$A$800,0)),$K$2),$K$2)</f>
        <v/>
      </c>
      <c r="M54" s="138">
        <f>'CP RESUMO'!BA38</f>
        <v/>
      </c>
      <c r="N54" s="139">
        <f>MAX(0,M54-M53)</f>
        <v/>
      </c>
      <c r="O54" s="138">
        <f>IF(B54&lt;='VALOR POR PL'!$P$5,'CP RESUMO'!BA80,"")</f>
        <v/>
      </c>
      <c r="P54" s="72">
        <f>IF(B54&lt;='VALOR POR PL'!$P$5,0,IF(OR($K$16="CURVA PREVISION",$K$16="MDO PREVISION + MATERIAL PREMISSA"),N54,IF($K$16="PREVISÃO INFORMADA",MAX(0,H54),0)))</f>
        <v/>
      </c>
      <c r="R54" s="49">
        <f>IF(OR(B54&lt;='VALOR POR PL'!$P$5,$K$12=0),0,$K$18*$K$26*N54/$K$12)</f>
        <v/>
      </c>
      <c r="S54" s="139">
        <f>(IF(AND(50+$K$33&gt;=1,50+$K$33&lt;=72),INDEX($N$5:$N$76,50+$K$33),0)+IF(AND(50+$K$34&gt;=1,50+$K$34&lt;=72),INDEX($N$5:$N$76,50+$K$34),0)+IF(AND(50+$K$35&gt;=1,50+$K$35&lt;=72),INDEX($N$5:$N$76,50+$K$35),0))/3</f>
        <v/>
      </c>
      <c r="T54" s="139">
        <f>IF(B54&lt;='VALOR POR PL'!$P$5,0,S54+IF(B54=DATE(YEAR('VALOR POR PL'!$P$5),MONTH('VALOR POR PL'!$P$5)+1,1),SUMPRODUCT((B5:B76&lt;='VALOR POR PL'!$P$5)*S5:S76),0))</f>
        <v/>
      </c>
      <c r="U54" s="49">
        <f>IF($K$32=0,0,$K$18*$K$27*T54/$K$32)</f>
        <v/>
      </c>
    </row>
    <row r="55">
      <c r="B55" s="140">
        <f>DATE(YEAR(B54),MONTH(B54)+1,1)</f>
        <v/>
      </c>
      <c r="C55" s="60">
        <f>IF(AND($K$22="NÃO",B55&gt;'VALOR POR PL'!$P$5),0,'DADOS HISTORICOS'!BB38)</f>
        <v/>
      </c>
      <c r="D55" s="49">
        <f>IF(B55&lt;='VALOR POR PL'!$P$5,0,IF($K$16="MDO PREVISION + MATERIAL PREMISSA",R55+U55,IF($K$17&gt;0,$K$18*P55/$K$17,0)))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187326.47</v>
      </c>
      <c r="L55" s="49">
        <f>C55/IF(B55&lt;='VALOR POR PL'!$P$5,IFERROR(INDEX('"INCC-FGV"'!$B$2:$B$800,MATCH(B55,'"INCC-FGV"'!$A$2:$A$800,0)),$K$2),$K$2)</f>
        <v/>
      </c>
      <c r="M55" s="138">
        <f>'CP RESUMO'!BB38</f>
        <v/>
      </c>
      <c r="N55" s="139">
        <f>MAX(0,M55-M54)</f>
        <v/>
      </c>
      <c r="O55" s="138">
        <f>IF(B55&lt;='VALOR POR PL'!$P$5,'CP RESUMO'!BB80,"")</f>
        <v/>
      </c>
      <c r="P55" s="72">
        <f>IF(B55&lt;='VALOR POR PL'!$P$5,0,IF(OR($K$16="CURVA PREVISION",$K$16="MDO PREVISION + MATERIAL PREMISSA"),N55,IF($K$16="PREVISÃO INFORMADA",MAX(0,H55),0)))</f>
        <v/>
      </c>
      <c r="R55" s="49">
        <f>IF(OR(B55&lt;='VALOR POR PL'!$P$5,$K$12=0),0,$K$18*$K$26*N55/$K$12)</f>
        <v/>
      </c>
      <c r="S55" s="139">
        <f>(IF(AND(51+$K$33&gt;=1,51+$K$33&lt;=72),INDEX($N$5:$N$76,51+$K$33),0)+IF(AND(51+$K$34&gt;=1,51+$K$34&lt;=72),INDEX($N$5:$N$76,51+$K$34),0)+IF(AND(51+$K$35&gt;=1,51+$K$35&lt;=72),INDEX($N$5:$N$76,51+$K$35),0))/3</f>
        <v/>
      </c>
      <c r="T55" s="139">
        <f>IF(B55&lt;='VALOR POR PL'!$P$5,0,S55+IF(B55=DATE(YEAR('VALOR POR PL'!$P$5),MONTH('VALOR POR PL'!$P$5)+1,1),SUMPRODUCT((B5:B76&lt;='VALOR POR PL'!$P$5)*S5:S76),0))</f>
        <v/>
      </c>
      <c r="U55" s="49">
        <f>IF($K$32=0,0,$K$18*$K$27*T55/$K$32)</f>
        <v/>
      </c>
    </row>
    <row r="56">
      <c r="B56" s="140">
        <f>DATE(YEAR(B55),MONTH(B55)+1,1)</f>
        <v/>
      </c>
      <c r="C56" s="60">
        <f>IF(AND($K$22="NÃO",B56&gt;'VALOR POR PL'!$P$5),0,'DADOS HISTORICOS'!BC38)</f>
        <v/>
      </c>
      <c r="D56" s="49">
        <f>IF(B56&lt;='VALOR POR PL'!$P$5,0,IF($K$16="MDO PREVISION + MATERIAL PREMISSA",R56+U56,IF($K$17&gt;0,$K$18*P56/$K$17,0)))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28520.29</v>
      </c>
      <c r="L56" s="49">
        <f>C56/IF(B56&lt;='VALOR POR PL'!$P$5,IFERROR(INDEX('"INCC-FGV"'!$B$2:$B$800,MATCH(B56,'"INCC-FGV"'!$A$2:$A$800,0)),$K$2),$K$2)</f>
        <v/>
      </c>
      <c r="M56" s="138">
        <f>'CP RESUMO'!BC38</f>
        <v/>
      </c>
      <c r="N56" s="139">
        <f>MAX(0,M56-M55)</f>
        <v/>
      </c>
      <c r="O56" s="138">
        <f>IF(B56&lt;='VALOR POR PL'!$P$5,'CP RESUMO'!BC80,"")</f>
        <v/>
      </c>
      <c r="P56" s="72">
        <f>IF(B56&lt;='VALOR POR PL'!$P$5,0,IF(OR($K$16="CURVA PREVISION",$K$16="MDO PREVISION + MATERIAL PREMISSA"),N56,IF($K$16="PREVISÃO INFORMADA",MAX(0,H56),0)))</f>
        <v/>
      </c>
      <c r="R56" s="49">
        <f>IF(OR(B56&lt;='VALOR POR PL'!$P$5,$K$12=0),0,$K$18*$K$26*N56/$K$12)</f>
        <v/>
      </c>
      <c r="S56" s="139">
        <f>(IF(AND(52+$K$33&gt;=1,52+$K$33&lt;=72),INDEX($N$5:$N$76,52+$K$33),0)+IF(AND(52+$K$34&gt;=1,52+$K$34&lt;=72),INDEX($N$5:$N$76,52+$K$34),0)+IF(AND(52+$K$35&gt;=1,52+$K$35&lt;=72),INDEX($N$5:$N$76,52+$K$35),0))/3</f>
        <v/>
      </c>
      <c r="T56" s="139">
        <f>IF(B56&lt;='VALOR POR PL'!$P$5,0,S56+IF(B56=DATE(YEAR('VALOR POR PL'!$P$5),MONTH('VALOR POR PL'!$P$5)+1,1),SUMPRODUCT((B5:B76&lt;='VALOR POR PL'!$P$5)*S5:S76),0))</f>
        <v/>
      </c>
      <c r="U56" s="49">
        <f>IF($K$32=0,0,$K$18*$K$27*T56/$K$32)</f>
        <v/>
      </c>
    </row>
    <row r="57">
      <c r="B57" s="140">
        <f>DATE(YEAR(B56),MONTH(B56)+1,1)</f>
        <v/>
      </c>
      <c r="C57" s="60">
        <f>IF(AND($K$22="NÃO",B57&gt;'VALOR POR PL'!$P$5),0,'DADOS HISTORICOS'!BD38)</f>
        <v/>
      </c>
      <c r="D57" s="49">
        <f>IF(B57&lt;='VALOR POR PL'!$P$5,0,IF($K$16="MDO PREVISION + MATERIAL PREMISSA",R57+U57,IF($K$17&gt;0,$K$18*P57/$K$17,0)))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RESUMO'!BD38</f>
        <v/>
      </c>
      <c r="N57" s="139">
        <f>MAX(0,M57-M56)</f>
        <v/>
      </c>
      <c r="O57" s="138">
        <f>IF(B57&lt;='VALOR POR PL'!$P$5,'CP RESUMO'!BD80,"")</f>
        <v/>
      </c>
      <c r="P57" s="72">
        <f>IF(B57&lt;='VALOR POR PL'!$P$5,0,IF(OR($K$16="CURVA PREVISION",$K$16="MDO PREVISION + MATERIAL PREMISSA"),N57,IF($K$16="PREVISÃO INFORMADA",MAX(0,H57),0)))</f>
        <v/>
      </c>
      <c r="R57" s="49">
        <f>IF(OR(B57&lt;='VALOR POR PL'!$P$5,$K$12=0),0,$K$18*$K$26*N57/$K$12)</f>
        <v/>
      </c>
      <c r="S57" s="139">
        <f>(IF(AND(53+$K$33&gt;=1,53+$K$33&lt;=72),INDEX($N$5:$N$76,53+$K$33),0)+IF(AND(53+$K$34&gt;=1,53+$K$34&lt;=72),INDEX($N$5:$N$76,53+$K$34),0)+IF(AND(53+$K$35&gt;=1,53+$K$35&lt;=72),INDEX($N$5:$N$76,53+$K$35),0))/3</f>
        <v/>
      </c>
      <c r="T57" s="139">
        <f>IF(B57&lt;='VALOR POR PL'!$P$5,0,S57+IF(B57=DATE(YEAR('VALOR POR PL'!$P$5),MONTH('VALOR POR PL'!$P$5)+1,1),SUMPRODUCT((B5:B76&lt;='VALOR POR PL'!$P$5)*S5:S76),0))</f>
        <v/>
      </c>
      <c r="U57" s="49">
        <f>IF($K$32=0,0,$K$18*$K$27*T57/$K$32)</f>
        <v/>
      </c>
    </row>
    <row r="58">
      <c r="B58" s="140">
        <f>DATE(YEAR(B57),MONTH(B57)+1,1)</f>
        <v/>
      </c>
      <c r="C58" s="60">
        <f>IF(AND($K$22="NÃO",B58&gt;'VALOR POR PL'!$P$5),0,'DADOS HISTORICOS'!BE38)</f>
        <v/>
      </c>
      <c r="D58" s="49">
        <f>IF(B58&lt;='VALOR POR PL'!$P$5,0,IF($K$16="MDO PREVISION + MATERIAL PREMISSA",R58+U58,IF($K$17&gt;0,$K$18*P58/$K$17,0)))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RESUMO'!BE38</f>
        <v/>
      </c>
      <c r="N58" s="139">
        <f>MAX(0,M58-M57)</f>
        <v/>
      </c>
      <c r="O58" s="138">
        <f>IF(B58&lt;='VALOR POR PL'!$P$5,'CP RESUMO'!BE80,"")</f>
        <v/>
      </c>
      <c r="P58" s="72">
        <f>IF(B58&lt;='VALOR POR PL'!$P$5,0,IF(OR($K$16="CURVA PREVISION",$K$16="MDO PREVISION + MATERIAL PREMISSA"),N58,IF($K$16="PREVISÃO INFORMADA",MAX(0,H58),0)))</f>
        <v/>
      </c>
      <c r="R58" s="49">
        <f>IF(OR(B58&lt;='VALOR POR PL'!$P$5,$K$12=0),0,$K$18*$K$26*N58/$K$12)</f>
        <v/>
      </c>
      <c r="S58" s="139">
        <f>(IF(AND(54+$K$33&gt;=1,54+$K$33&lt;=72),INDEX($N$5:$N$76,54+$K$33),0)+IF(AND(54+$K$34&gt;=1,54+$K$34&lt;=72),INDEX($N$5:$N$76,54+$K$34),0)+IF(AND(54+$K$35&gt;=1,54+$K$35&lt;=72),INDEX($N$5:$N$76,54+$K$35),0))/3</f>
        <v/>
      </c>
      <c r="T58" s="139">
        <f>IF(B58&lt;='VALOR POR PL'!$P$5,0,S58+IF(B58=DATE(YEAR('VALOR POR PL'!$P$5),MONTH('VALOR POR PL'!$P$5)+1,1),SUMPRODUCT((B5:B76&lt;='VALOR POR PL'!$P$5)*S5:S76),0))</f>
        <v/>
      </c>
      <c r="U58" s="49">
        <f>IF($K$32=0,0,$K$18*$K$27*T58/$K$32)</f>
        <v/>
      </c>
    </row>
    <row r="59">
      <c r="B59" s="140">
        <f>DATE(YEAR(B58),MONTH(B58)+1,1)</f>
        <v/>
      </c>
      <c r="C59" s="60">
        <f>IF(AND($K$22="NÃO",B59&gt;'VALOR POR PL'!$P$5),0,'DADOS HISTORICOS'!BF38)</f>
        <v/>
      </c>
      <c r="D59" s="49">
        <f>IF(B59&lt;='VALOR POR PL'!$P$5,0,IF($K$16="MDO PREVISION + MATERIAL PREMISSA",R59+U59,IF($K$17&gt;0,$K$18*P59/$K$17,0)))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RESUMO'!BF38</f>
        <v/>
      </c>
      <c r="N59" s="139">
        <f>MAX(0,M59-M58)</f>
        <v/>
      </c>
      <c r="O59" s="138">
        <f>IF(B59&lt;='VALOR POR PL'!$P$5,'CP RESUMO'!BF80,"")</f>
        <v/>
      </c>
      <c r="P59" s="72">
        <f>IF(B59&lt;='VALOR POR PL'!$P$5,0,IF(OR($K$16="CURVA PREVISION",$K$16="MDO PREVISION + MATERIAL PREMISSA"),N59,IF($K$16="PREVISÃO INFORMADA",MAX(0,H59),0)))</f>
        <v/>
      </c>
      <c r="R59" s="49">
        <f>IF(OR(B59&lt;='VALOR POR PL'!$P$5,$K$12=0),0,$K$18*$K$26*N59/$K$12)</f>
        <v/>
      </c>
      <c r="S59" s="139">
        <f>(IF(AND(55+$K$33&gt;=1,55+$K$33&lt;=72),INDEX($N$5:$N$76,55+$K$33),0)+IF(AND(55+$K$34&gt;=1,55+$K$34&lt;=72),INDEX($N$5:$N$76,55+$K$34),0)+IF(AND(55+$K$35&gt;=1,55+$K$35&lt;=72),INDEX($N$5:$N$76,55+$K$35),0))/3</f>
        <v/>
      </c>
      <c r="T59" s="139">
        <f>IF(B59&lt;='VALOR POR PL'!$P$5,0,S59+IF(B59=DATE(YEAR('VALOR POR PL'!$P$5),MONTH('VALOR POR PL'!$P$5)+1,1),SUMPRODUCT((B5:B76&lt;='VALOR POR PL'!$P$5)*S5:S76),0))</f>
        <v/>
      </c>
      <c r="U59" s="49">
        <f>IF($K$32=0,0,$K$18*$K$27*T59/$K$32)</f>
        <v/>
      </c>
    </row>
    <row r="60">
      <c r="B60" s="140">
        <f>DATE(YEAR(B59),MONTH(B59)+1,1)</f>
        <v/>
      </c>
      <c r="C60" s="60">
        <f>IF(AND($K$22="NÃO",B60&gt;'VALOR POR PL'!$P$5),0,'DADOS HISTORICOS'!BG38)</f>
        <v/>
      </c>
      <c r="D60" s="49">
        <f>IF(B60&lt;='VALOR POR PL'!$P$5,0,IF($K$16="MDO PREVISION + MATERIAL PREMISSA",R60+U60,IF($K$17&gt;0,$K$18*P60/$K$17,0)))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RESUMO'!BG38</f>
        <v/>
      </c>
      <c r="N60" s="139">
        <f>MAX(0,M60-M59)</f>
        <v/>
      </c>
      <c r="O60" s="138">
        <f>IF(B60&lt;='VALOR POR PL'!$P$5,'CP RESUMO'!BG80,"")</f>
        <v/>
      </c>
      <c r="P60" s="72">
        <f>IF(B60&lt;='VALOR POR PL'!$P$5,0,IF(OR($K$16="CURVA PREVISION",$K$16="MDO PREVISION + MATERIAL PREMISSA"),N60,IF($K$16="PREVISÃO INFORMADA",MAX(0,H60),0)))</f>
        <v/>
      </c>
      <c r="R60" s="49">
        <f>IF(OR(B60&lt;='VALOR POR PL'!$P$5,$K$12=0),0,$K$18*$K$26*N60/$K$12)</f>
        <v/>
      </c>
      <c r="S60" s="139">
        <f>(IF(AND(56+$K$33&gt;=1,56+$K$33&lt;=72),INDEX($N$5:$N$76,56+$K$33),0)+IF(AND(56+$K$34&gt;=1,56+$K$34&lt;=72),INDEX($N$5:$N$76,56+$K$34),0)+IF(AND(56+$K$35&gt;=1,56+$K$35&lt;=72),INDEX($N$5:$N$76,56+$K$35),0))/3</f>
        <v/>
      </c>
      <c r="T60" s="139">
        <f>IF(B60&lt;='VALOR POR PL'!$P$5,0,S60+IF(B60=DATE(YEAR('VALOR POR PL'!$P$5),MONTH('VALOR POR PL'!$P$5)+1,1),SUMPRODUCT((B5:B76&lt;='VALOR POR PL'!$P$5)*S5:S76),0))</f>
        <v/>
      </c>
      <c r="U60" s="49">
        <f>IF($K$32=0,0,$K$18*$K$27*T60/$K$32)</f>
        <v/>
      </c>
    </row>
    <row r="61">
      <c r="B61" s="140">
        <f>DATE(YEAR(B60),MONTH(B60)+1,1)</f>
        <v/>
      </c>
      <c r="C61" s="60">
        <f>IF(AND($K$22="NÃO",B61&gt;'VALOR POR PL'!$P$5),0,'DADOS HISTORICOS'!BH38)</f>
        <v/>
      </c>
      <c r="D61" s="49">
        <f>IF(B61&lt;='VALOR POR PL'!$P$5,0,IF($K$16="MDO PREVISION + MATERIAL PREMISSA",R61+U61,IF($K$17&gt;0,$K$18*P61/$K$17,0)))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RESUMO'!BH38</f>
        <v/>
      </c>
      <c r="N61" s="139">
        <f>MAX(0,M61-M60)</f>
        <v/>
      </c>
      <c r="O61" s="138">
        <f>IF(B61&lt;='VALOR POR PL'!$P$5,'CP RESUMO'!BH80,"")</f>
        <v/>
      </c>
      <c r="P61" s="72">
        <f>IF(B61&lt;='VALOR POR PL'!$P$5,0,IF(OR($K$16="CURVA PREVISION",$K$16="MDO PREVISION + MATERIAL PREMISSA"),N61,IF($K$16="PREVISÃO INFORMADA",MAX(0,H61),0)))</f>
        <v/>
      </c>
      <c r="R61" s="49">
        <f>IF(OR(B61&lt;='VALOR POR PL'!$P$5,$K$12=0),0,$K$18*$K$26*N61/$K$12)</f>
        <v/>
      </c>
      <c r="S61" s="139">
        <f>(IF(AND(57+$K$33&gt;=1,57+$K$33&lt;=72),INDEX($N$5:$N$76,57+$K$33),0)+IF(AND(57+$K$34&gt;=1,57+$K$34&lt;=72),INDEX($N$5:$N$76,57+$K$34),0)+IF(AND(57+$K$35&gt;=1,57+$K$35&lt;=72),INDEX($N$5:$N$76,57+$K$35),0))/3</f>
        <v/>
      </c>
      <c r="T61" s="139">
        <f>IF(B61&lt;='VALOR POR PL'!$P$5,0,S61+IF(B61=DATE(YEAR('VALOR POR PL'!$P$5),MONTH('VALOR POR PL'!$P$5)+1,1),SUMPRODUCT((B5:B76&lt;='VALOR POR PL'!$P$5)*S5:S76),0))</f>
        <v/>
      </c>
      <c r="U61" s="49">
        <f>IF($K$32=0,0,$K$18*$K$27*T61/$K$32)</f>
        <v/>
      </c>
    </row>
    <row r="62">
      <c r="B62" s="140">
        <f>DATE(YEAR(B61),MONTH(B61)+1,1)</f>
        <v/>
      </c>
      <c r="C62" s="60">
        <f>IF(AND($K$22="NÃO",B62&gt;'VALOR POR PL'!$P$5),0,'DADOS HISTORICOS'!BI38)</f>
        <v/>
      </c>
      <c r="D62" s="49">
        <f>IF(B62&lt;='VALOR POR PL'!$P$5,0,IF($K$16="MDO PREVISION + MATERIAL PREMISSA",R62+U62,IF($K$17&gt;0,$K$18*P62/$K$17,0)))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RESUMO'!BI38</f>
        <v/>
      </c>
      <c r="N62" s="139">
        <f>MAX(0,M62-M61)</f>
        <v/>
      </c>
      <c r="O62" s="138">
        <f>IF(B62&lt;='VALOR POR PL'!$P$5,'CP RESUMO'!BI80,"")</f>
        <v/>
      </c>
      <c r="P62" s="72">
        <f>IF(B62&lt;='VALOR POR PL'!$P$5,0,IF(OR($K$16="CURVA PREVISION",$K$16="MDO PREVISION + MATERIAL PREMISSA"),N62,IF($K$16="PREVISÃO INFORMADA",MAX(0,H62),0)))</f>
        <v/>
      </c>
      <c r="R62" s="49">
        <f>IF(OR(B62&lt;='VALOR POR PL'!$P$5,$K$12=0),0,$K$18*$K$26*N62/$K$12)</f>
        <v/>
      </c>
      <c r="S62" s="139">
        <f>(IF(AND(58+$K$33&gt;=1,58+$K$33&lt;=72),INDEX($N$5:$N$76,58+$K$33),0)+IF(AND(58+$K$34&gt;=1,58+$K$34&lt;=72),INDEX($N$5:$N$76,58+$K$34),0)+IF(AND(58+$K$35&gt;=1,58+$K$35&lt;=72),INDEX($N$5:$N$76,58+$K$35),0))/3</f>
        <v/>
      </c>
      <c r="T62" s="139">
        <f>IF(B62&lt;='VALOR POR PL'!$P$5,0,S62+IF(B62=DATE(YEAR('VALOR POR PL'!$P$5),MONTH('VALOR POR PL'!$P$5)+1,1),SUMPRODUCT((B5:B76&lt;='VALOR POR PL'!$P$5)*S5:S76),0))</f>
        <v/>
      </c>
      <c r="U62" s="49">
        <f>IF($K$32=0,0,$K$18*$K$27*T62/$K$32)</f>
        <v/>
      </c>
    </row>
    <row r="63">
      <c r="B63" s="140">
        <f>DATE(YEAR(B62),MONTH(B62)+1,1)</f>
        <v/>
      </c>
      <c r="C63" s="60">
        <f>IF(AND($K$22="NÃO",B63&gt;'VALOR POR PL'!$P$5),0,'DADOS HISTORICOS'!BJ38)</f>
        <v/>
      </c>
      <c r="D63" s="49">
        <f>IF(B63&lt;='VALOR POR PL'!$P$5,0,IF($K$16="MDO PREVISION + MATERIAL PREMISSA",R63+U63,IF($K$17&gt;0,$K$18*P63/$K$17,0)))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RESUMO'!BJ38</f>
        <v/>
      </c>
      <c r="N63" s="139">
        <f>MAX(0,M63-M62)</f>
        <v/>
      </c>
      <c r="O63" s="138">
        <f>IF(B63&lt;='VALOR POR PL'!$P$5,'CP RESUMO'!BJ80,"")</f>
        <v/>
      </c>
      <c r="P63" s="72">
        <f>IF(B63&lt;='VALOR POR PL'!$P$5,0,IF(OR($K$16="CURVA PREVISION",$K$16="MDO PREVISION + MATERIAL PREMISSA"),N63,IF($K$16="PREVISÃO INFORMADA",MAX(0,H63),0)))</f>
        <v/>
      </c>
      <c r="R63" s="49">
        <f>IF(OR(B63&lt;='VALOR POR PL'!$P$5,$K$12=0),0,$K$18*$K$26*N63/$K$12)</f>
        <v/>
      </c>
      <c r="S63" s="139">
        <f>(IF(AND(59+$K$33&gt;=1,59+$K$33&lt;=72),INDEX($N$5:$N$76,59+$K$33),0)+IF(AND(59+$K$34&gt;=1,59+$K$34&lt;=72),INDEX($N$5:$N$76,59+$K$34),0)+IF(AND(59+$K$35&gt;=1,59+$K$35&lt;=72),INDEX($N$5:$N$76,59+$K$35),0))/3</f>
        <v/>
      </c>
      <c r="T63" s="139">
        <f>IF(B63&lt;='VALOR POR PL'!$P$5,0,S63+IF(B63=DATE(YEAR('VALOR POR PL'!$P$5),MONTH('VALOR POR PL'!$P$5)+1,1),SUMPRODUCT((B5:B76&lt;='VALOR POR PL'!$P$5)*S5:S76),0))</f>
        <v/>
      </c>
      <c r="U63" s="49">
        <f>IF($K$32=0,0,$K$18*$K$27*T63/$K$32)</f>
        <v/>
      </c>
    </row>
    <row r="64">
      <c r="B64" s="140">
        <f>DATE(YEAR(B63),MONTH(B63)+1,1)</f>
        <v/>
      </c>
      <c r="C64" s="60">
        <f>IF(AND($K$22="NÃO",B64&gt;'VALOR POR PL'!$P$5),0,'DADOS HISTORICOS'!BK38)</f>
        <v/>
      </c>
      <c r="D64" s="49">
        <f>IF(B64&lt;='VALOR POR PL'!$P$5,0,IF($K$16="MDO PREVISION + MATERIAL PREMISSA",R64+U64,IF($K$17&gt;0,$K$18*P64/$K$17,0)))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RESUMO'!BK38</f>
        <v/>
      </c>
      <c r="N64" s="139">
        <f>MAX(0,M64-M63)</f>
        <v/>
      </c>
      <c r="O64" s="138">
        <f>IF(B64&lt;='VALOR POR PL'!$P$5,'CP RESUMO'!BK80,"")</f>
        <v/>
      </c>
      <c r="P64" s="72">
        <f>IF(B64&lt;='VALOR POR PL'!$P$5,0,IF(OR($K$16="CURVA PREVISION",$K$16="MDO PREVISION + MATERIAL PREMISSA"),N64,IF($K$16="PREVISÃO INFORMADA",MAX(0,H64),0)))</f>
        <v/>
      </c>
      <c r="R64" s="49">
        <f>IF(OR(B64&lt;='VALOR POR PL'!$P$5,$K$12=0),0,$K$18*$K$26*N64/$K$12)</f>
        <v/>
      </c>
      <c r="S64" s="139">
        <f>(IF(AND(60+$K$33&gt;=1,60+$K$33&lt;=72),INDEX($N$5:$N$76,60+$K$33),0)+IF(AND(60+$K$34&gt;=1,60+$K$34&lt;=72),INDEX($N$5:$N$76,60+$K$34),0)+IF(AND(60+$K$35&gt;=1,60+$K$35&lt;=72),INDEX($N$5:$N$76,60+$K$35),0))/3</f>
        <v/>
      </c>
      <c r="T64" s="139">
        <f>IF(B64&lt;='VALOR POR PL'!$P$5,0,S64+IF(B64=DATE(YEAR('VALOR POR PL'!$P$5),MONTH('VALOR POR PL'!$P$5)+1,1),SUMPRODUCT((B5:B76&lt;='VALOR POR PL'!$P$5)*S5:S76),0))</f>
        <v/>
      </c>
      <c r="U64" s="49">
        <f>IF($K$32=0,0,$K$18*$K$27*T64/$K$32)</f>
        <v/>
      </c>
    </row>
    <row r="65">
      <c r="B65" s="140">
        <f>DATE(YEAR(B64),MONTH(B64)+1,1)</f>
        <v/>
      </c>
      <c r="C65" s="60">
        <f>IF(AND($K$22="NÃO",B65&gt;'VALOR POR PL'!$P$5),0,'DADOS HISTORICOS'!BL38)</f>
        <v/>
      </c>
      <c r="D65" s="49">
        <f>IF(B65&lt;='VALOR POR PL'!$P$5,0,IF($K$16="MDO PREVISION + MATERIAL PREMISSA",R65+U65,IF($K$17&gt;0,$K$18*P65/$K$17,0)))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RESUMO'!BL38</f>
        <v/>
      </c>
      <c r="N65" s="139">
        <f>MAX(0,M65-M64)</f>
        <v/>
      </c>
      <c r="O65" s="138">
        <f>IF(B65&lt;='VALOR POR PL'!$P$5,'CP RESUMO'!BL80,"")</f>
        <v/>
      </c>
      <c r="P65" s="72">
        <f>IF(B65&lt;='VALOR POR PL'!$P$5,0,IF(OR($K$16="CURVA PREVISION",$K$16="MDO PREVISION + MATERIAL PREMISSA"),N65,IF($K$16="PREVISÃO INFORMADA",MAX(0,H65),0)))</f>
        <v/>
      </c>
      <c r="R65" s="49">
        <f>IF(OR(B65&lt;='VALOR POR PL'!$P$5,$K$12=0),0,$K$18*$K$26*N65/$K$12)</f>
        <v/>
      </c>
      <c r="S65" s="139">
        <f>(IF(AND(61+$K$33&gt;=1,61+$K$33&lt;=72),INDEX($N$5:$N$76,61+$K$33),0)+IF(AND(61+$K$34&gt;=1,61+$K$34&lt;=72),INDEX($N$5:$N$76,61+$K$34),0)+IF(AND(61+$K$35&gt;=1,61+$K$35&lt;=72),INDEX($N$5:$N$76,61+$K$35),0))/3</f>
        <v/>
      </c>
      <c r="T65" s="139">
        <f>IF(B65&lt;='VALOR POR PL'!$P$5,0,S65+IF(B65=DATE(YEAR('VALOR POR PL'!$P$5),MONTH('VALOR POR PL'!$P$5)+1,1),SUMPRODUCT((B5:B76&lt;='VALOR POR PL'!$P$5)*S5:S76),0))</f>
        <v/>
      </c>
      <c r="U65" s="49">
        <f>IF($K$32=0,0,$K$18*$K$27*T65/$K$32)</f>
        <v/>
      </c>
    </row>
    <row r="66">
      <c r="B66" s="140">
        <f>DATE(YEAR(B65),MONTH(B65)+1,1)</f>
        <v/>
      </c>
      <c r="C66" s="60">
        <f>IF(AND($K$22="NÃO",B66&gt;'VALOR POR PL'!$P$5),0,'DADOS HISTORICOS'!BM38)</f>
        <v/>
      </c>
      <c r="D66" s="49">
        <f>IF(B66&lt;='VALOR POR PL'!$P$5,0,IF($K$16="MDO PREVISION + MATERIAL PREMISSA",R66+U66,IF($K$17&gt;0,$K$18*P66/$K$17,0)))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RESUMO'!BM38</f>
        <v/>
      </c>
      <c r="N66" s="139">
        <f>MAX(0,M66-M65)</f>
        <v/>
      </c>
      <c r="O66" s="138">
        <f>IF(B66&lt;='VALOR POR PL'!$P$5,'CP RESUMO'!BM80,"")</f>
        <v/>
      </c>
      <c r="P66" s="72">
        <f>IF(B66&lt;='VALOR POR PL'!$P$5,0,IF(OR($K$16="CURVA PREVISION",$K$16="MDO PREVISION + MATERIAL PREMISSA"),N66,IF($K$16="PREVISÃO INFORMADA",MAX(0,H66),0)))</f>
        <v/>
      </c>
      <c r="R66" s="49">
        <f>IF(OR(B66&lt;='VALOR POR PL'!$P$5,$K$12=0),0,$K$18*$K$26*N66/$K$12)</f>
        <v/>
      </c>
      <c r="S66" s="139">
        <f>(IF(AND(62+$K$33&gt;=1,62+$K$33&lt;=72),INDEX($N$5:$N$76,62+$K$33),0)+IF(AND(62+$K$34&gt;=1,62+$K$34&lt;=72),INDEX($N$5:$N$76,62+$K$34),0)+IF(AND(62+$K$35&gt;=1,62+$K$35&lt;=72),INDEX($N$5:$N$76,62+$K$35),0))/3</f>
        <v/>
      </c>
      <c r="T66" s="139">
        <f>IF(B66&lt;='VALOR POR PL'!$P$5,0,S66+IF(B66=DATE(YEAR('VALOR POR PL'!$P$5),MONTH('VALOR POR PL'!$P$5)+1,1),SUMPRODUCT((B5:B76&lt;='VALOR POR PL'!$P$5)*S5:S76),0))</f>
        <v/>
      </c>
      <c r="U66" s="49">
        <f>IF($K$32=0,0,$K$18*$K$27*T66/$K$32)</f>
        <v/>
      </c>
    </row>
    <row r="67">
      <c r="B67" s="140">
        <f>DATE(YEAR(B66),MONTH(B66)+1,1)</f>
        <v/>
      </c>
      <c r="C67" s="60">
        <f>IF(AND($K$22="NÃO",B67&gt;'VALOR POR PL'!$P$5),0,'DADOS HISTORICOS'!BN38)</f>
        <v/>
      </c>
      <c r="D67" s="49">
        <f>IF(B67&lt;='VALOR POR PL'!$P$5,0,IF($K$16="MDO PREVISION + MATERIAL PREMISSA",R67+U67,IF($K$17&gt;0,$K$18*P67/$K$17,0)))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RESUMO'!BN38</f>
        <v/>
      </c>
      <c r="N67" s="139">
        <f>MAX(0,M67-M66)</f>
        <v/>
      </c>
      <c r="O67" s="138">
        <f>IF(B67&lt;='VALOR POR PL'!$P$5,'CP RESUMO'!BN80,"")</f>
        <v/>
      </c>
      <c r="P67" s="72">
        <f>IF(B67&lt;='VALOR POR PL'!$P$5,0,IF(OR($K$16="CURVA PREVISION",$K$16="MDO PREVISION + MATERIAL PREMISSA"),N67,IF($K$16="PREVISÃO INFORMADA",MAX(0,H67),0)))</f>
        <v/>
      </c>
      <c r="R67" s="49">
        <f>IF(OR(B67&lt;='VALOR POR PL'!$P$5,$K$12=0),0,$K$18*$K$26*N67/$K$12)</f>
        <v/>
      </c>
      <c r="S67" s="139">
        <f>(IF(AND(63+$K$33&gt;=1,63+$K$33&lt;=72),INDEX($N$5:$N$76,63+$K$33),0)+IF(AND(63+$K$34&gt;=1,63+$K$34&lt;=72),INDEX($N$5:$N$76,63+$K$34),0)+IF(AND(63+$K$35&gt;=1,63+$K$35&lt;=72),INDEX($N$5:$N$76,63+$K$35),0))/3</f>
        <v/>
      </c>
      <c r="T67" s="139">
        <f>IF(B67&lt;='VALOR POR PL'!$P$5,0,S67+IF(B67=DATE(YEAR('VALOR POR PL'!$P$5),MONTH('VALOR POR PL'!$P$5)+1,1),SUMPRODUCT((B5:B76&lt;='VALOR POR PL'!$P$5)*S5:S76),0))</f>
        <v/>
      </c>
      <c r="U67" s="49">
        <f>IF($K$32=0,0,$K$18*$K$27*T67/$K$32)</f>
        <v/>
      </c>
    </row>
    <row r="68">
      <c r="B68" s="140">
        <f>DATE(YEAR(B67),MONTH(B67)+1,1)</f>
        <v/>
      </c>
      <c r="C68" s="60">
        <f>IF(AND($K$22="NÃO",B68&gt;'VALOR POR PL'!$P$5),0,'DADOS HISTORICOS'!BO38)</f>
        <v/>
      </c>
      <c r="D68" s="49">
        <f>IF(B68&lt;='VALOR POR PL'!$P$5,0,IF($K$16="MDO PREVISION + MATERIAL PREMISSA",R68+U68,IF($K$17&gt;0,$K$18*P68/$K$17,0)))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RESUMO'!BO38</f>
        <v/>
      </c>
      <c r="N68" s="139">
        <f>MAX(0,M68-M67)</f>
        <v/>
      </c>
      <c r="O68" s="138">
        <f>IF(B68&lt;='VALOR POR PL'!$P$5,'CP RESUMO'!BO80,"")</f>
        <v/>
      </c>
      <c r="P68" s="72">
        <f>IF(B68&lt;='VALOR POR PL'!$P$5,0,IF(OR($K$16="CURVA PREVISION",$K$16="MDO PREVISION + MATERIAL PREMISSA"),N68,IF($K$16="PREVISÃO INFORMADA",MAX(0,H68),0)))</f>
        <v/>
      </c>
      <c r="R68" s="49">
        <f>IF(OR(B68&lt;='VALOR POR PL'!$P$5,$K$12=0),0,$K$18*$K$26*N68/$K$12)</f>
        <v/>
      </c>
      <c r="S68" s="139">
        <f>(IF(AND(64+$K$33&gt;=1,64+$K$33&lt;=72),INDEX($N$5:$N$76,64+$K$33),0)+IF(AND(64+$K$34&gt;=1,64+$K$34&lt;=72),INDEX($N$5:$N$76,64+$K$34),0)+IF(AND(64+$K$35&gt;=1,64+$K$35&lt;=72),INDEX($N$5:$N$76,64+$K$35),0))/3</f>
        <v/>
      </c>
      <c r="T68" s="139">
        <f>IF(B68&lt;='VALOR POR PL'!$P$5,0,S68+IF(B68=DATE(YEAR('VALOR POR PL'!$P$5),MONTH('VALOR POR PL'!$P$5)+1,1),SUMPRODUCT((B5:B76&lt;='VALOR POR PL'!$P$5)*S5:S76),0))</f>
        <v/>
      </c>
      <c r="U68" s="49">
        <f>IF($K$32=0,0,$K$18*$K$27*T68/$K$32)</f>
        <v/>
      </c>
    </row>
    <row r="69">
      <c r="B69" s="140">
        <f>DATE(YEAR(B68),MONTH(B68)+1,1)</f>
        <v/>
      </c>
      <c r="C69" s="60">
        <f>IF(AND($K$22="NÃO",B69&gt;'VALOR POR PL'!$P$5),0,'DADOS HISTORICOS'!BP38)</f>
        <v/>
      </c>
      <c r="D69" s="49">
        <f>IF(B69&lt;='VALOR POR PL'!$P$5,0,IF($K$16="MDO PREVISION + MATERIAL PREMISSA",R69+U69,IF($K$17&gt;0,$K$18*P69/$K$17,0)))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RESUMO'!BP38</f>
        <v/>
      </c>
      <c r="N69" s="139">
        <f>MAX(0,M69-M68)</f>
        <v/>
      </c>
      <c r="O69" s="138">
        <f>IF(B69&lt;='VALOR POR PL'!$P$5,'CP RESUMO'!BP80,"")</f>
        <v/>
      </c>
      <c r="P69" s="72">
        <f>IF(B69&lt;='VALOR POR PL'!$P$5,0,IF(OR($K$16="CURVA PREVISION",$K$16="MDO PREVISION + MATERIAL PREMISSA"),N69,IF($K$16="PREVISÃO INFORMADA",MAX(0,H69),0)))</f>
        <v/>
      </c>
      <c r="R69" s="49">
        <f>IF(OR(B69&lt;='VALOR POR PL'!$P$5,$K$12=0),0,$K$18*$K$26*N69/$K$12)</f>
        <v/>
      </c>
      <c r="S69" s="139">
        <f>(IF(AND(65+$K$33&gt;=1,65+$K$33&lt;=72),INDEX($N$5:$N$76,65+$K$33),0)+IF(AND(65+$K$34&gt;=1,65+$K$34&lt;=72),INDEX($N$5:$N$76,65+$K$34),0)+IF(AND(65+$K$35&gt;=1,65+$K$35&lt;=72),INDEX($N$5:$N$76,65+$K$35),0))/3</f>
        <v/>
      </c>
      <c r="T69" s="139">
        <f>IF(B69&lt;='VALOR POR PL'!$P$5,0,S69+IF(B69=DATE(YEAR('VALOR POR PL'!$P$5),MONTH('VALOR POR PL'!$P$5)+1,1),SUMPRODUCT((B5:B76&lt;='VALOR POR PL'!$P$5)*S5:S76),0))</f>
        <v/>
      </c>
      <c r="U69" s="49">
        <f>IF($K$32=0,0,$K$18*$K$27*T69/$K$32)</f>
        <v/>
      </c>
    </row>
    <row r="70">
      <c r="B70" s="140">
        <f>DATE(YEAR(B69),MONTH(B69)+1,1)</f>
        <v/>
      </c>
      <c r="C70" s="60">
        <f>IF(AND($K$22="NÃO",B70&gt;'VALOR POR PL'!$P$5),0,'DADOS HISTORICOS'!BQ38)</f>
        <v/>
      </c>
      <c r="D70" s="49">
        <f>IF(B70&lt;='VALOR POR PL'!$P$5,0,IF($K$16="MDO PREVISION + MATERIAL PREMISSA",R70+U70,IF($K$17&gt;0,$K$18*P70/$K$17,0)))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RESUMO'!BQ38</f>
        <v/>
      </c>
      <c r="N70" s="139">
        <f>MAX(0,M70-M69)</f>
        <v/>
      </c>
      <c r="O70" s="138">
        <f>IF(B70&lt;='VALOR POR PL'!$P$5,'CP RESUMO'!BQ80,"")</f>
        <v/>
      </c>
      <c r="P70" s="72">
        <f>IF(B70&lt;='VALOR POR PL'!$P$5,0,IF(OR($K$16="CURVA PREVISION",$K$16="MDO PREVISION + MATERIAL PREMISSA"),N70,IF($K$16="PREVISÃO INFORMADA",MAX(0,H70),0)))</f>
        <v/>
      </c>
      <c r="R70" s="49">
        <f>IF(OR(B70&lt;='VALOR POR PL'!$P$5,$K$12=0),0,$K$18*$K$26*N70/$K$12)</f>
        <v/>
      </c>
      <c r="S70" s="139">
        <f>(IF(AND(66+$K$33&gt;=1,66+$K$33&lt;=72),INDEX($N$5:$N$76,66+$K$33),0)+IF(AND(66+$K$34&gt;=1,66+$K$34&lt;=72),INDEX($N$5:$N$76,66+$K$34),0)+IF(AND(66+$K$35&gt;=1,66+$K$35&lt;=72),INDEX($N$5:$N$76,66+$K$35),0))/3</f>
        <v/>
      </c>
      <c r="T70" s="139">
        <f>IF(B70&lt;='VALOR POR PL'!$P$5,0,S70+IF(B70=DATE(YEAR('VALOR POR PL'!$P$5),MONTH('VALOR POR PL'!$P$5)+1,1),SUMPRODUCT((B5:B76&lt;='VALOR POR PL'!$P$5)*S5:S76),0))</f>
        <v/>
      </c>
      <c r="U70" s="49">
        <f>IF($K$32=0,0,$K$18*$K$27*T70/$K$32)</f>
        <v/>
      </c>
    </row>
    <row r="71">
      <c r="B71" s="140">
        <f>DATE(YEAR(B70),MONTH(B70)+1,1)</f>
        <v/>
      </c>
      <c r="C71" s="60">
        <f>IF(AND($K$22="NÃO",B71&gt;'VALOR POR PL'!$P$5),0,'DADOS HISTORICOS'!BR38)</f>
        <v/>
      </c>
      <c r="D71" s="49">
        <f>IF(B71&lt;='VALOR POR PL'!$P$5,0,IF($K$16="MDO PREVISION + MATERIAL PREMISSA",R71+U71,IF($K$17&gt;0,$K$18*P71/$K$17,0)))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RESUMO'!BR38</f>
        <v/>
      </c>
      <c r="N71" s="139">
        <f>MAX(0,M71-M70)</f>
        <v/>
      </c>
      <c r="O71" s="138">
        <f>IF(B71&lt;='VALOR POR PL'!$P$5,'CP RESUMO'!BR80,"")</f>
        <v/>
      </c>
      <c r="P71" s="72">
        <f>IF(B71&lt;='VALOR POR PL'!$P$5,0,IF(OR($K$16="CURVA PREVISION",$K$16="MDO PREVISION + MATERIAL PREMISSA"),N71,IF($K$16="PREVISÃO INFORMADA",MAX(0,H71),0)))</f>
        <v/>
      </c>
      <c r="R71" s="49">
        <f>IF(OR(B71&lt;='VALOR POR PL'!$P$5,$K$12=0),0,$K$18*$K$26*N71/$K$12)</f>
        <v/>
      </c>
      <c r="S71" s="139">
        <f>(IF(AND(67+$K$33&gt;=1,67+$K$33&lt;=72),INDEX($N$5:$N$76,67+$K$33),0)+IF(AND(67+$K$34&gt;=1,67+$K$34&lt;=72),INDEX($N$5:$N$76,67+$K$34),0)+IF(AND(67+$K$35&gt;=1,67+$K$35&lt;=72),INDEX($N$5:$N$76,67+$K$35),0))/3</f>
        <v/>
      </c>
      <c r="T71" s="139">
        <f>IF(B71&lt;='VALOR POR PL'!$P$5,0,S71+IF(B71=DATE(YEAR('VALOR POR PL'!$P$5),MONTH('VALOR POR PL'!$P$5)+1,1),SUMPRODUCT((B5:B76&lt;='VALOR POR PL'!$P$5)*S5:S76),0))</f>
        <v/>
      </c>
      <c r="U71" s="49">
        <f>IF($K$32=0,0,$K$18*$K$27*T71/$K$32)</f>
        <v/>
      </c>
    </row>
    <row r="72">
      <c r="B72" s="140">
        <f>DATE(YEAR(B71),MONTH(B71)+1,1)</f>
        <v/>
      </c>
      <c r="C72" s="60">
        <f>IF(AND($K$22="NÃO",B72&gt;'VALOR POR PL'!$P$5),0,'DADOS HISTORICOS'!BS38)</f>
        <v/>
      </c>
      <c r="D72" s="49">
        <f>IF(B72&lt;='VALOR POR PL'!$P$5,0,IF($K$16="MDO PREVISION + MATERIAL PREMISSA",R72+U72,IF($K$17&gt;0,$K$18*P72/$K$17,0)))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RESUMO'!BS38</f>
        <v/>
      </c>
      <c r="N72" s="139">
        <f>MAX(0,M72-M71)</f>
        <v/>
      </c>
      <c r="O72" s="138">
        <f>IF(B72&lt;='VALOR POR PL'!$P$5,'CP RESUMO'!BS80,"")</f>
        <v/>
      </c>
      <c r="P72" s="72">
        <f>IF(B72&lt;='VALOR POR PL'!$P$5,0,IF(OR($K$16="CURVA PREVISION",$K$16="MDO PREVISION + MATERIAL PREMISSA"),N72,IF($K$16="PREVISÃO INFORMADA",MAX(0,H72),0)))</f>
        <v/>
      </c>
      <c r="R72" s="49">
        <f>IF(OR(B72&lt;='VALOR POR PL'!$P$5,$K$12=0),0,$K$18*$K$26*N72/$K$12)</f>
        <v/>
      </c>
      <c r="S72" s="139">
        <f>(IF(AND(68+$K$33&gt;=1,68+$K$33&lt;=72),INDEX($N$5:$N$76,68+$K$33),0)+IF(AND(68+$K$34&gt;=1,68+$K$34&lt;=72),INDEX($N$5:$N$76,68+$K$34),0)+IF(AND(68+$K$35&gt;=1,68+$K$35&lt;=72),INDEX($N$5:$N$76,68+$K$35),0))/3</f>
        <v/>
      </c>
      <c r="T72" s="139">
        <f>IF(B72&lt;='VALOR POR PL'!$P$5,0,S72+IF(B72=DATE(YEAR('VALOR POR PL'!$P$5),MONTH('VALOR POR PL'!$P$5)+1,1),SUMPRODUCT((B5:B76&lt;='VALOR POR PL'!$P$5)*S5:S76),0))</f>
        <v/>
      </c>
      <c r="U72" s="49">
        <f>IF($K$32=0,0,$K$18*$K$27*T72/$K$32)</f>
        <v/>
      </c>
    </row>
    <row r="73">
      <c r="B73" s="140">
        <f>DATE(YEAR(B72),MONTH(B72)+1,1)</f>
        <v/>
      </c>
      <c r="C73" s="60">
        <f>IF(AND($K$22="NÃO",B73&gt;'VALOR POR PL'!$P$5),0,'DADOS HISTORICOS'!BT38)</f>
        <v/>
      </c>
      <c r="D73" s="49">
        <f>IF(B73&lt;='VALOR POR PL'!$P$5,0,IF($K$16="MDO PREVISION + MATERIAL PREMISSA",R73+U73,IF($K$17&gt;0,$K$18*P73/$K$17,0)))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RESUMO'!BT38</f>
        <v/>
      </c>
      <c r="N73" s="139">
        <f>MAX(0,M73-M72)</f>
        <v/>
      </c>
      <c r="O73" s="138">
        <f>IF(B73&lt;='VALOR POR PL'!$P$5,'CP RESUMO'!BT80,"")</f>
        <v/>
      </c>
      <c r="P73" s="72">
        <f>IF(B73&lt;='VALOR POR PL'!$P$5,0,IF(OR($K$16="CURVA PREVISION",$K$16="MDO PREVISION + MATERIAL PREMISSA"),N73,IF($K$16="PREVISÃO INFORMADA",MAX(0,H73),0)))</f>
        <v/>
      </c>
      <c r="R73" s="49">
        <f>IF(OR(B73&lt;='VALOR POR PL'!$P$5,$K$12=0),0,$K$18*$K$26*N73/$K$12)</f>
        <v/>
      </c>
      <c r="S73" s="139">
        <f>(IF(AND(69+$K$33&gt;=1,69+$K$33&lt;=72),INDEX($N$5:$N$76,69+$K$33),0)+IF(AND(69+$K$34&gt;=1,69+$K$34&lt;=72),INDEX($N$5:$N$76,69+$K$34),0)+IF(AND(69+$K$35&gt;=1,69+$K$35&lt;=72),INDEX($N$5:$N$76,69+$K$35),0))/3</f>
        <v/>
      </c>
      <c r="T73" s="139">
        <f>IF(B73&lt;='VALOR POR PL'!$P$5,0,S73+IF(B73=DATE(YEAR('VALOR POR PL'!$P$5),MONTH('VALOR POR PL'!$P$5)+1,1),SUMPRODUCT((B5:B76&lt;='VALOR POR PL'!$P$5)*S5:S76),0))</f>
        <v/>
      </c>
      <c r="U73" s="49">
        <f>IF($K$32=0,0,$K$18*$K$27*T73/$K$32)</f>
        <v/>
      </c>
    </row>
    <row r="74">
      <c r="B74" s="140">
        <f>DATE(YEAR(B73),MONTH(B73)+1,1)</f>
        <v/>
      </c>
      <c r="C74" s="60">
        <f>IF(AND($K$22="NÃO",B74&gt;'VALOR POR PL'!$P$5),0,'DADOS HISTORICOS'!BU38)</f>
        <v/>
      </c>
      <c r="D74" s="49">
        <f>IF(B74&lt;='VALOR POR PL'!$P$5,0,IF($K$16="MDO PREVISION + MATERIAL PREMISSA",R74+U74,IF($K$17&gt;0,$K$18*P74/$K$17,0)))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RESUMO'!BU38</f>
        <v/>
      </c>
      <c r="N74" s="139">
        <f>MAX(0,M74-M73)</f>
        <v/>
      </c>
      <c r="O74" s="138">
        <f>IF(B74&lt;='VALOR POR PL'!$P$5,'CP RESUMO'!BU80,"")</f>
        <v/>
      </c>
      <c r="P74" s="72">
        <f>IF(B74&lt;='VALOR POR PL'!$P$5,0,IF(OR($K$16="CURVA PREVISION",$K$16="MDO PREVISION + MATERIAL PREMISSA"),N74,IF($K$16="PREVISÃO INFORMADA",MAX(0,H74),0)))</f>
        <v/>
      </c>
      <c r="R74" s="49">
        <f>IF(OR(B74&lt;='VALOR POR PL'!$P$5,$K$12=0),0,$K$18*$K$26*N74/$K$12)</f>
        <v/>
      </c>
      <c r="S74" s="139">
        <f>(IF(AND(70+$K$33&gt;=1,70+$K$33&lt;=72),INDEX($N$5:$N$76,70+$K$33),0)+IF(AND(70+$K$34&gt;=1,70+$K$34&lt;=72),INDEX($N$5:$N$76,70+$K$34),0)+IF(AND(70+$K$35&gt;=1,70+$K$35&lt;=72),INDEX($N$5:$N$76,70+$K$35),0))/3</f>
        <v/>
      </c>
      <c r="T74" s="139">
        <f>IF(B74&lt;='VALOR POR PL'!$P$5,0,S74+IF(B74=DATE(YEAR('VALOR POR PL'!$P$5),MONTH('VALOR POR PL'!$P$5)+1,1),SUMPRODUCT((B5:B76&lt;='VALOR POR PL'!$P$5)*S5:S76),0))</f>
        <v/>
      </c>
      <c r="U74" s="49">
        <f>IF($K$32=0,0,$K$18*$K$27*T74/$K$32)</f>
        <v/>
      </c>
    </row>
    <row r="75">
      <c r="B75" s="140">
        <f>DATE(YEAR(B74),MONTH(B74)+1,1)</f>
        <v/>
      </c>
      <c r="C75" s="60">
        <f>IF(AND($K$22="NÃO",B75&gt;'VALOR POR PL'!$P$5),0,'DADOS HISTORICOS'!BV38)</f>
        <v/>
      </c>
      <c r="D75" s="49">
        <f>IF(B75&lt;='VALOR POR PL'!$P$5,0,IF($K$16="MDO PREVISION + MATERIAL PREMISSA",R75+U75,IF($K$17&gt;0,$K$18*P75/$K$17,0)))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RESUMO'!BV38</f>
        <v/>
      </c>
      <c r="N75" s="139">
        <f>MAX(0,M75-M74)</f>
        <v/>
      </c>
      <c r="O75" s="138">
        <f>IF(B75&lt;='VALOR POR PL'!$P$5,'CP RESUMO'!BV80,"")</f>
        <v/>
      </c>
      <c r="P75" s="72">
        <f>IF(B75&lt;='VALOR POR PL'!$P$5,0,IF(OR($K$16="CURVA PREVISION",$K$16="MDO PREVISION + MATERIAL PREMISSA"),N75,IF($K$16="PREVISÃO INFORMADA",MAX(0,H75),0)))</f>
        <v/>
      </c>
      <c r="R75" s="49">
        <f>IF(OR(B75&lt;='VALOR POR PL'!$P$5,$K$12=0),0,$K$18*$K$26*N75/$K$12)</f>
        <v/>
      </c>
      <c r="S75" s="139">
        <f>(IF(AND(71+$K$33&gt;=1,71+$K$33&lt;=72),INDEX($N$5:$N$76,71+$K$33),0)+IF(AND(71+$K$34&gt;=1,71+$K$34&lt;=72),INDEX($N$5:$N$76,71+$K$34),0)+IF(AND(71+$K$35&gt;=1,71+$K$35&lt;=72),INDEX($N$5:$N$76,71+$K$35),0))/3</f>
        <v/>
      </c>
      <c r="T75" s="139">
        <f>IF(B75&lt;='VALOR POR PL'!$P$5,0,S75+IF(B75=DATE(YEAR('VALOR POR PL'!$P$5),MONTH('VALOR POR PL'!$P$5)+1,1),SUMPRODUCT((B5:B76&lt;='VALOR POR PL'!$P$5)*S5:S76),0))</f>
        <v/>
      </c>
      <c r="U75" s="49">
        <f>IF($K$32=0,0,$K$18*$K$27*T75/$K$32)</f>
        <v/>
      </c>
    </row>
    <row r="76">
      <c r="B76" s="140">
        <f>DATE(YEAR(B75),MONTH(B75)+1,1)</f>
        <v/>
      </c>
      <c r="C76" s="60">
        <f>IF(AND($K$22="NÃO",B76&gt;'VALOR POR PL'!$P$5),0,'DADOS HISTORICOS'!BW38)</f>
        <v/>
      </c>
      <c r="D76" s="49">
        <f>IF(B76&lt;='VALOR POR PL'!$P$5,0,IF($K$16="MDO PREVISION + MATERIAL PREMISSA",R76+U76,IF($K$17&gt;0,$K$18*P76/$K$17,0)))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RESUMO'!BW38</f>
        <v/>
      </c>
      <c r="N76" s="139">
        <f>MAX(0,M76-M75)</f>
        <v/>
      </c>
      <c r="O76" s="138">
        <f>IF(B76&lt;='VALOR POR PL'!$P$5,'CP RESUMO'!BW80,"")</f>
        <v/>
      </c>
      <c r="P76" s="72">
        <f>IF(B76&lt;='VALOR POR PL'!$P$5,0,IF(OR($K$16="CURVA PREVISION",$K$16="MDO PREVISION + MATERIAL PREMISSA"),N76,IF($K$16="PREVISÃO INFORMADA",MAX(0,H76),0)))</f>
        <v/>
      </c>
      <c r="R76" s="49">
        <f>IF(OR(B76&lt;='VALOR POR PL'!$P$5,$K$12=0),0,$K$18*$K$26*N76/$K$12)</f>
        <v/>
      </c>
      <c r="S76" s="139">
        <f>(IF(AND(72+$K$33&gt;=1,72+$K$33&lt;=72),INDEX($N$5:$N$76,72+$K$33),0)+IF(AND(72+$K$34&gt;=1,72+$K$34&lt;=72),INDEX($N$5:$N$76,72+$K$34),0)+IF(AND(72+$K$35&gt;=1,72+$K$35&lt;=72),INDEX($N$5:$N$76,72+$K$35),0))/3</f>
        <v/>
      </c>
      <c r="T76" s="139">
        <f>IF(B76&lt;='VALOR POR PL'!$P$5,0,S76+IF(B76=DATE(YEAR('VALOR POR PL'!$P$5),MONTH('VALOR POR PL'!$P$5)+1,1),SUMPRODUCT((B5:B76&lt;='VALOR POR PL'!$P$5)*S5:S76),0))</f>
        <v/>
      </c>
      <c r="U76" s="49">
        <f>IF($K$32=0,0,$K$18*$K$27*T76/$K$32)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  <c r="R78" s="65">
        <f>SUM(R5:R76)</f>
        <v/>
      </c>
      <c r="U78" s="65">
        <f>SUM(U5:U76)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3">
    <mergeCell ref="I24:K24"/>
    <mergeCell ref="K20:K21"/>
    <mergeCell ref="I25:K25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INFORMADA,MDO PREVISION + MATERIAL PREMISSA"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PL'!D45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HISTORICOS'!D39)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PL'!F45</f>
        <v/>
      </c>
      <c r="K5" s="60">
        <f>'VALOR POR PL'!G45</f>
        <v/>
      </c>
      <c r="L5" s="60">
        <f>'DADOS HISTORICOS'!$BZ$39</f>
        <v/>
      </c>
      <c r="M5" s="138">
        <f>'CP RESUMO'!D39</f>
        <v/>
      </c>
      <c r="N5" s="139" t="n">
        <v>0</v>
      </c>
      <c r="O5" s="138">
        <f>IF(B5&lt;='VALOR POR PL'!$P$5,'CP RESUMO'!D81,"")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HISTORICOS'!E39)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PL'!H45</f>
        <v/>
      </c>
      <c r="L6" s="49">
        <f>C6/IF(B6&lt;='VALOR POR PL'!$P$5,IFERROR(INDEX('"INCC-FGV"'!$B$2:$B$800,MATCH(B6,'"INCC-FGV"'!$A$2:$A$800,0)),$K$2),$K$2)</f>
        <v/>
      </c>
      <c r="M6" s="138">
        <f>'CP RESUMO'!E39</f>
        <v/>
      </c>
      <c r="N6" s="139">
        <f>MAX(0,M6-M5)</f>
        <v/>
      </c>
      <c r="O6" s="138">
        <f>IF(B6&lt;='VALOR POR PL'!$P$5,'CP RESUMO'!E81,"")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HISTORICOS'!F39)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RESUMO'!F39</f>
        <v/>
      </c>
      <c r="N7" s="139">
        <f>MAX(0,M7-M6)</f>
        <v/>
      </c>
      <c r="O7" s="138">
        <f>IF(B7&lt;='VALOR POR PL'!$P$5,'CP RESUMO'!F81,"")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HISTORICOS'!G39)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RESUMO'!G39</f>
        <v/>
      </c>
      <c r="N8" s="139">
        <f>MAX(0,M8-M7)</f>
        <v/>
      </c>
      <c r="O8" s="138">
        <f>IF(B8&lt;='VALOR POR PL'!$P$5,'CP RESUMO'!G81,"")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HISTORICOS'!H39)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RESUMO'!H39</f>
        <v/>
      </c>
      <c r="N9" s="139">
        <f>MAX(0,M9-M8)</f>
        <v/>
      </c>
      <c r="O9" s="138">
        <f>IF(B9&lt;='VALOR POR PL'!$P$5,'CP RESUMO'!H81,"")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HISTORICOS'!I39)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RESUMO'!I39</f>
        <v/>
      </c>
      <c r="N10" s="139">
        <f>MAX(0,M10-M9)</f>
        <v/>
      </c>
      <c r="O10" s="138">
        <f>IF(B10&lt;='VALOR POR PL'!$P$5,'CP RESUMO'!I81,"")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HISTORICOS'!J39)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RESUMO'!J39</f>
        <v/>
      </c>
      <c r="N11" s="139">
        <f>MAX(0,M11-M10)</f>
        <v/>
      </c>
      <c r="O11" s="138">
        <f>IF(B11&lt;='VALOR POR PL'!$P$5,'CP RESUMO'!J81,"")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HISTORICOS'!K39)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RESUMO'!K39</f>
        <v/>
      </c>
      <c r="N12" s="139">
        <f>MAX(0,M12-M11)</f>
        <v/>
      </c>
      <c r="O12" s="138">
        <f>IF(B12&lt;='VALOR POR PL'!$P$5,'CP RESUMO'!K81,"")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HISTORICOS'!L39)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PL'!I45</f>
        <v/>
      </c>
      <c r="L13" s="49">
        <f>C13/IF(B13&lt;='VALOR POR PL'!$P$5,IFERROR(INDEX('"INCC-FGV"'!$B$2:$B$800,MATCH(B13,'"INCC-FGV"'!$A$2:$A$800,0)),$K$2),$K$2)</f>
        <v/>
      </c>
      <c r="M13" s="138">
        <f>'CP RESUMO'!L39</f>
        <v/>
      </c>
      <c r="N13" s="139">
        <f>MAX(0,M13-M12)</f>
        <v/>
      </c>
      <c r="O13" s="138">
        <f>IF(B13&lt;='VALOR POR PL'!$P$5,'CP RESUMO'!L81,"")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HISTORICOS'!M39)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RESUMO'!$D$81:$BW$81,MATCH('VALOR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RESUMO'!M39</f>
        <v/>
      </c>
      <c r="N14" s="139">
        <f>MAX(0,M14-M13)</f>
        <v/>
      </c>
      <c r="O14" s="138">
        <f>IF(B14&lt;='VALOR POR PL'!$P$5,'CP RESUMO'!M81,"")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HISTORICOS'!N39)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RESUMO'!N39</f>
        <v/>
      </c>
      <c r="N15" s="139">
        <f>MAX(0,M15-M14)</f>
        <v/>
      </c>
      <c r="O15" s="138">
        <f>IF(B15&lt;='VALOR POR PL'!$P$5,'CP RESUMO'!N81,"")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HISTORICOS'!O39)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RESUMO'!O39</f>
        <v/>
      </c>
      <c r="N16" s="139">
        <f>MAX(0,M16-M15)</f>
        <v/>
      </c>
      <c r="O16" s="138">
        <f>IF(B16&lt;='VALOR POR PL'!$P$5,'CP RESUMO'!O81,"")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HISTORICOS'!P39)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RESUMO'!P39</f>
        <v/>
      </c>
      <c r="N17" s="139">
        <f>MAX(0,M17-M16)</f>
        <v/>
      </c>
      <c r="O17" s="138">
        <f>IF(B17&lt;='VALOR POR PL'!$P$5,'CP RESUMO'!P81,"")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HISTORICOS'!Q39)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RESUMO'!Q39</f>
        <v/>
      </c>
      <c r="N18" s="139">
        <f>MAX(0,M18-M17)</f>
        <v/>
      </c>
      <c r="O18" s="138">
        <f>IF(B18&lt;='VALOR POR PL'!$P$5,'CP RESUMO'!Q81,"")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HISTORICOS'!R39)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RESUMO'!R39</f>
        <v/>
      </c>
      <c r="N19" s="139">
        <f>MAX(0,M19-M18)</f>
        <v/>
      </c>
      <c r="O19" s="138">
        <f>IF(B19&lt;='VALOR POR PL'!$P$5,'CP RESUMO'!R81,"")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HISTORICOS'!S39)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RESUMO'!S39</f>
        <v/>
      </c>
      <c r="N20" s="139">
        <f>MAX(0,M20-M19)</f>
        <v/>
      </c>
      <c r="O20" s="138">
        <f>IF(B20&lt;='VALOR POR PL'!$P$5,'CP RESUMO'!S81,"")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HISTORICOS'!T39)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RESUMO'!T39</f>
        <v/>
      </c>
      <c r="N21" s="139">
        <f>MAX(0,M21-M20)</f>
        <v/>
      </c>
      <c r="O21" s="138">
        <f>IF(B21&lt;='VALOR POR PL'!$P$5,'CP RESUMO'!T81,"")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HISTORICOS'!U39)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RESUMO'!U39</f>
        <v/>
      </c>
      <c r="N22" s="139">
        <f>MAX(0,M22-M21)</f>
        <v/>
      </c>
      <c r="O22" s="138">
        <f>IF(B22&lt;='VALOR POR PL'!$P$5,'CP RESUMO'!U81,"")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HISTORICOS'!V39)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RESUMO'!V39</f>
        <v/>
      </c>
      <c r="N23" s="139">
        <f>MAX(0,M23-M22)</f>
        <v/>
      </c>
      <c r="O23" s="138">
        <f>IF(B23&lt;='VALOR POR PL'!$P$5,'CP RESUMO'!V81,"")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HISTORICOS'!W39)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RESUMO'!W39</f>
        <v/>
      </c>
      <c r="N24" s="139">
        <f>MAX(0,M24-M23)</f>
        <v/>
      </c>
      <c r="O24" s="138">
        <f>IF(B24&lt;='VALOR POR PL'!$P$5,'CP RESUMO'!W81,"")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HISTORICOS'!X39)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RESUMO'!X39</f>
        <v/>
      </c>
      <c r="N25" s="139">
        <f>MAX(0,M25-M24)</f>
        <v/>
      </c>
      <c r="O25" s="138">
        <f>IF(B25&lt;='VALOR POR PL'!$P$5,'CP RESUMO'!X81,"")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HISTORICOS'!Y39)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RESUMO'!Y39</f>
        <v/>
      </c>
      <c r="N26" s="139">
        <f>MAX(0,M26-M25)</f>
        <v/>
      </c>
      <c r="O26" s="138">
        <f>IF(B26&lt;='VALOR POR PL'!$P$5,'CP RESUMO'!Y81,"")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HISTORICOS'!Z39)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RESUMO'!Z39</f>
        <v/>
      </c>
      <c r="N27" s="139">
        <f>MAX(0,M27-M26)</f>
        <v/>
      </c>
      <c r="O27" s="138">
        <f>IF(B27&lt;='VALOR POR PL'!$P$5,'CP RESUMO'!Z81,"")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HISTORICOS'!AA39)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RESUMO'!AA39</f>
        <v/>
      </c>
      <c r="N28" s="139">
        <f>MAX(0,M28-M27)</f>
        <v/>
      </c>
      <c r="O28" s="138">
        <f>IF(B28&lt;='VALOR POR PL'!$P$5,'CP RESUMO'!AA81,"")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HISTORICOS'!AB39)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RESUMO'!AB39</f>
        <v/>
      </c>
      <c r="N29" s="139">
        <f>MAX(0,M29-M28)</f>
        <v/>
      </c>
      <c r="O29" s="138">
        <f>IF(B29&lt;='VALOR POR PL'!$P$5,'CP RESUMO'!AB81,"")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HISTORICOS'!AC39)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RESUMO'!AC39</f>
        <v/>
      </c>
      <c r="N30" s="139">
        <f>MAX(0,M30-M29)</f>
        <v/>
      </c>
      <c r="O30" s="138">
        <f>IF(B30&lt;='VALOR POR PL'!$P$5,'CP RESUMO'!AC81,"")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HISTORICOS'!AD39)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RESUMO'!AD39</f>
        <v/>
      </c>
      <c r="N31" s="139">
        <f>MAX(0,M31-M30)</f>
        <v/>
      </c>
      <c r="O31" s="138">
        <f>IF(B31&lt;='VALOR POR PL'!$P$5,'CP RESUMO'!AD81,"")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HISTORICOS'!AE39)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RESUMO'!AE39</f>
        <v/>
      </c>
      <c r="N32" s="139">
        <f>MAX(0,M32-M31)</f>
        <v/>
      </c>
      <c r="O32" s="138">
        <f>IF(B32&lt;='VALOR POR PL'!$P$5,'CP RESUMO'!AE81,"")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HISTORICOS'!AF39)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>
        <v>6143.06</v>
      </c>
      <c r="L33" s="49">
        <f>C33/IF(B33&lt;='VALOR POR PL'!$P$5,IFERROR(INDEX('"INCC-FGV"'!$B$2:$B$800,MATCH(B33,'"INCC-FGV"'!$A$2:$A$800,0)),$K$2),$K$2)</f>
        <v/>
      </c>
      <c r="M33" s="138">
        <f>'CP RESUMO'!AF39</f>
        <v/>
      </c>
      <c r="N33" s="139">
        <f>MAX(0,M33-M32)</f>
        <v/>
      </c>
      <c r="O33" s="138">
        <f>IF(B33&lt;='VALOR POR PL'!$P$5,'CP RESUMO'!AF81,"")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HISTORICOS'!AG39)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>
        <v>11788.04</v>
      </c>
      <c r="L34" s="49">
        <f>C34/IF(B34&lt;='VALOR POR PL'!$P$5,IFERROR(INDEX('"INCC-FGV"'!$B$2:$B$800,MATCH(B34,'"INCC-FGV"'!$A$2:$A$800,0)),$K$2),$K$2)</f>
        <v/>
      </c>
      <c r="M34" s="138">
        <f>'CP RESUMO'!AG39</f>
        <v/>
      </c>
      <c r="N34" s="139">
        <f>MAX(0,M34-M33)</f>
        <v/>
      </c>
      <c r="O34" s="138">
        <f>IF(B34&lt;='VALOR POR PL'!$P$5,'CP RESUMO'!AG81,"")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HISTORICOS'!AH39)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>
        <v>19370.02</v>
      </c>
      <c r="L35" s="49">
        <f>C35/IF(B35&lt;='VALOR POR PL'!$P$5,IFERROR(INDEX('"INCC-FGV"'!$B$2:$B$800,MATCH(B35,'"INCC-FGV"'!$A$2:$A$800,0)),$K$2),$K$2)</f>
        <v/>
      </c>
      <c r="M35" s="138">
        <f>'CP RESUMO'!AH39</f>
        <v/>
      </c>
      <c r="N35" s="139">
        <f>MAX(0,M35-M34)</f>
        <v/>
      </c>
      <c r="O35" s="138">
        <f>IF(B35&lt;='VALOR POR PL'!$P$5,'CP RESUMO'!AH81,"")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HISTORICOS'!AI39)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>
        <v>36470.97</v>
      </c>
      <c r="L36" s="49">
        <f>C36/IF(B36&lt;='VALOR POR PL'!$P$5,IFERROR(INDEX('"INCC-FGV"'!$B$2:$B$800,MATCH(B36,'"INCC-FGV"'!$A$2:$A$800,0)),$K$2),$K$2)</f>
        <v/>
      </c>
      <c r="M36" s="138">
        <f>'CP RESUMO'!AI39</f>
        <v/>
      </c>
      <c r="N36" s="139">
        <f>MAX(0,M36-M35)</f>
        <v/>
      </c>
      <c r="O36" s="138">
        <f>IF(B36&lt;='VALOR POR PL'!$P$5,'CP RESUMO'!AI81,"")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HISTORICOS'!AJ39)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>
        <v>33925.2</v>
      </c>
      <c r="L37" s="49">
        <f>C37/IF(B37&lt;='VALOR POR PL'!$P$5,IFERROR(INDEX('"INCC-FGV"'!$B$2:$B$800,MATCH(B37,'"INCC-FGV"'!$A$2:$A$800,0)),$K$2),$K$2)</f>
        <v/>
      </c>
      <c r="M37" s="138">
        <f>'CP RESUMO'!AJ39</f>
        <v/>
      </c>
      <c r="N37" s="139">
        <f>MAX(0,M37-M36)</f>
        <v/>
      </c>
      <c r="O37" s="138">
        <f>IF(B37&lt;='VALOR POR PL'!$P$5,'CP RESUMO'!AJ81,"")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HISTORICOS'!AK39)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>
        <v>47816.27</v>
      </c>
      <c r="L38" s="49">
        <f>C38/IF(B38&lt;='VALOR POR PL'!$P$5,IFERROR(INDEX('"INCC-FGV"'!$B$2:$B$800,MATCH(B38,'"INCC-FGV"'!$A$2:$A$800,0)),$K$2),$K$2)</f>
        <v/>
      </c>
      <c r="M38" s="138">
        <f>'CP RESUMO'!AK39</f>
        <v/>
      </c>
      <c r="N38" s="139">
        <f>MAX(0,M38-M37)</f>
        <v/>
      </c>
      <c r="O38" s="138">
        <f>IF(B38&lt;='VALOR POR PL'!$P$5,'CP RESUMO'!AK81,"")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HISTORICOS'!AL39)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>
        <v>49421.21</v>
      </c>
      <c r="L39" s="49">
        <f>C39/IF(B39&lt;='VALOR POR PL'!$P$5,IFERROR(INDEX('"INCC-FGV"'!$B$2:$B$800,MATCH(B39,'"INCC-FGV"'!$A$2:$A$800,0)),$K$2),$K$2)</f>
        <v/>
      </c>
      <c r="M39" s="138">
        <f>'CP RESUMO'!AL39</f>
        <v/>
      </c>
      <c r="N39" s="139">
        <f>MAX(0,M39-M38)</f>
        <v/>
      </c>
      <c r="O39" s="138">
        <f>IF(B39&lt;='VALOR POR PL'!$P$5,'CP RESUMO'!AL81,"")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HISTORICOS'!AM39)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>
        <v>55564.28</v>
      </c>
      <c r="L40" s="49">
        <f>C40/IF(B40&lt;='VALOR POR PL'!$P$5,IFERROR(INDEX('"INCC-FGV"'!$B$2:$B$800,MATCH(B40,'"INCC-FGV"'!$A$2:$A$800,0)),$K$2),$K$2)</f>
        <v/>
      </c>
      <c r="M40" s="138">
        <f>'CP RESUMO'!AM39</f>
        <v/>
      </c>
      <c r="N40" s="139">
        <f>MAX(0,M40-M39)</f>
        <v/>
      </c>
      <c r="O40" s="138">
        <f>IF(B40&lt;='VALOR POR PL'!$P$5,'CP RESUMO'!AM81,"")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HISTORICOS'!AN39)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>
        <v>120000</v>
      </c>
      <c r="L41" s="49">
        <f>C41/IF(B41&lt;='VALOR POR PL'!$P$5,IFERROR(INDEX('"INCC-FGV"'!$B$2:$B$800,MATCH(B41,'"INCC-FGV"'!$A$2:$A$800,0)),$K$2),$K$2)</f>
        <v/>
      </c>
      <c r="M41" s="138">
        <f>'CP RESUMO'!AN39</f>
        <v/>
      </c>
      <c r="N41" s="139">
        <f>MAX(0,M41-M40)</f>
        <v/>
      </c>
      <c r="O41" s="138">
        <f>IF(B41&lt;='VALOR POR PL'!$P$5,'CP RESUMO'!AN81,"")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HISTORICOS'!AO39)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>
        <v>297136.05</v>
      </c>
      <c r="L42" s="49">
        <f>C42/IF(B42&lt;='VALOR POR PL'!$P$5,IFERROR(INDEX('"INCC-FGV"'!$B$2:$B$800,MATCH(B42,'"INCC-FGV"'!$A$2:$A$800,0)),$K$2),$K$2)</f>
        <v/>
      </c>
      <c r="M42" s="138">
        <f>'CP RESUMO'!AO39</f>
        <v/>
      </c>
      <c r="N42" s="139">
        <f>MAX(0,M42-M41)</f>
        <v/>
      </c>
      <c r="O42" s="138">
        <f>IF(B42&lt;='VALOR POR PL'!$P$5,'CP RESUMO'!AO81,"")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HISTORICOS'!AP39)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>
        <v>318055.67</v>
      </c>
      <c r="L43" s="49">
        <f>C43/IF(B43&lt;='VALOR POR PL'!$P$5,IFERROR(INDEX('"INCC-FGV"'!$B$2:$B$800,MATCH(B43,'"INCC-FGV"'!$A$2:$A$800,0)),$K$2),$K$2)</f>
        <v/>
      </c>
      <c r="M43" s="138">
        <f>'CP RESUMO'!AP39</f>
        <v/>
      </c>
      <c r="N43" s="139">
        <f>MAX(0,M43-M42)</f>
        <v/>
      </c>
      <c r="O43" s="138">
        <f>IF(B43&lt;='VALOR POR PL'!$P$5,'CP RESUMO'!AP81,"")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HISTORICOS'!AQ39)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>
        <v>266531.43</v>
      </c>
      <c r="L44" s="49">
        <f>C44/IF(B44&lt;='VALOR POR PL'!$P$5,IFERROR(INDEX('"INCC-FGV"'!$B$2:$B$800,MATCH(B44,'"INCC-FGV"'!$A$2:$A$800,0)),$K$2),$K$2)</f>
        <v/>
      </c>
      <c r="M44" s="138">
        <f>'CP RESUMO'!AQ39</f>
        <v/>
      </c>
      <c r="N44" s="139">
        <f>MAX(0,M44-M43)</f>
        <v/>
      </c>
      <c r="O44" s="138">
        <f>IF(B44&lt;='VALOR POR PL'!$P$5,'CP RESUMO'!AQ81,"")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HISTORICOS'!AR39)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319992.67</v>
      </c>
      <c r="L45" s="49">
        <f>C45/IF(B45&lt;='VALOR POR PL'!$P$5,IFERROR(INDEX('"INCC-FGV"'!$B$2:$B$800,MATCH(B45,'"INCC-FGV"'!$A$2:$A$800,0)),$K$2),$K$2)</f>
        <v/>
      </c>
      <c r="M45" s="138">
        <f>'CP RESUMO'!AR39</f>
        <v/>
      </c>
      <c r="N45" s="139">
        <f>MAX(0,M45-M44)</f>
        <v/>
      </c>
      <c r="O45" s="138">
        <f>IF(B45&lt;='VALOR POR PL'!$P$5,'CP RESUMO'!AR81,"")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HISTORICOS'!AS39)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166969.54</v>
      </c>
      <c r="L46" s="49">
        <f>C46/IF(B46&lt;='VALOR POR PL'!$P$5,IFERROR(INDEX('"INCC-FGV"'!$B$2:$B$800,MATCH(B46,'"INCC-FGV"'!$A$2:$A$800,0)),$K$2),$K$2)</f>
        <v/>
      </c>
      <c r="M46" s="138">
        <f>'CP RESUMO'!AS39</f>
        <v/>
      </c>
      <c r="N46" s="139">
        <f>MAX(0,M46-M45)</f>
        <v/>
      </c>
      <c r="O46" s="138">
        <f>IF(B46&lt;='VALOR POR PL'!$P$5,'CP RESUMO'!AS81,"")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HISTORICOS'!AT39)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158467.79</v>
      </c>
      <c r="L47" s="49">
        <f>C47/IF(B47&lt;='VALOR POR PL'!$P$5,IFERROR(INDEX('"INCC-FGV"'!$B$2:$B$800,MATCH(B47,'"INCC-FGV"'!$A$2:$A$800,0)),$K$2),$K$2)</f>
        <v/>
      </c>
      <c r="M47" s="138">
        <f>'CP RESUMO'!AT39</f>
        <v/>
      </c>
      <c r="N47" s="139">
        <f>MAX(0,M47-M46)</f>
        <v/>
      </c>
      <c r="O47" s="138">
        <f>IF(B47&lt;='VALOR POR PL'!$P$5,'CP RESUMO'!AT81,"")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HISTORICOS'!AU39)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158467.79</v>
      </c>
      <c r="L48" s="49">
        <f>C48/IF(B48&lt;='VALOR POR PL'!$P$5,IFERROR(INDEX('"INCC-FGV"'!$B$2:$B$800,MATCH(B48,'"INCC-FGV"'!$A$2:$A$800,0)),$K$2),$K$2)</f>
        <v/>
      </c>
      <c r="M48" s="138">
        <f>'CP RESUMO'!AU39</f>
        <v/>
      </c>
      <c r="N48" s="139">
        <f>MAX(0,M48-M47)</f>
        <v/>
      </c>
      <c r="O48" s="138">
        <f>IF(B48&lt;='VALOR POR PL'!$P$5,'CP RESUMO'!AU81,"")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HISTORICOS'!AV39)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158467.79</v>
      </c>
      <c r="L49" s="49">
        <f>C49/IF(B49&lt;='VALOR POR PL'!$P$5,IFERROR(INDEX('"INCC-FGV"'!$B$2:$B$800,MATCH(B49,'"INCC-FGV"'!$A$2:$A$800,0)),$K$2),$K$2)</f>
        <v/>
      </c>
      <c r="M49" s="138">
        <f>'CP RESUMO'!AV39</f>
        <v/>
      </c>
      <c r="N49" s="139">
        <f>MAX(0,M49-M48)</f>
        <v/>
      </c>
      <c r="O49" s="138">
        <f>IF(B49&lt;='VALOR POR PL'!$P$5,'CP RESUMO'!AV81,"")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HISTORICOS'!AW39)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158467.79</v>
      </c>
      <c r="L50" s="49">
        <f>C50/IF(B50&lt;='VALOR POR PL'!$P$5,IFERROR(INDEX('"INCC-FGV"'!$B$2:$B$800,MATCH(B50,'"INCC-FGV"'!$A$2:$A$800,0)),$K$2),$K$2)</f>
        <v/>
      </c>
      <c r="M50" s="138">
        <f>'CP RESUMO'!AW39</f>
        <v/>
      </c>
      <c r="N50" s="139">
        <f>MAX(0,M50-M49)</f>
        <v/>
      </c>
      <c r="O50" s="138">
        <f>IF(B50&lt;='VALOR POR PL'!$P$5,'CP RESUMO'!AW81,"")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HISTORICOS'!AX39)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158467.79</v>
      </c>
      <c r="L51" s="49">
        <f>C51/IF(B51&lt;='VALOR POR PL'!$P$5,IFERROR(INDEX('"INCC-FGV"'!$B$2:$B$800,MATCH(B51,'"INCC-FGV"'!$A$2:$A$800,0)),$K$2),$K$2)</f>
        <v/>
      </c>
      <c r="M51" s="138">
        <f>'CP RESUMO'!AX39</f>
        <v/>
      </c>
      <c r="N51" s="139">
        <f>MAX(0,M51-M50)</f>
        <v/>
      </c>
      <c r="O51" s="138">
        <f>IF(B51&lt;='VALOR POR PL'!$P$5,'CP RESUMO'!AX81,"")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HISTORICOS'!AY39)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158467.79</v>
      </c>
      <c r="L52" s="49">
        <f>C52/IF(B52&lt;='VALOR POR PL'!$P$5,IFERROR(INDEX('"INCC-FGV"'!$B$2:$B$800,MATCH(B52,'"INCC-FGV"'!$A$2:$A$800,0)),$K$2),$K$2)</f>
        <v/>
      </c>
      <c r="M52" s="138">
        <f>'CP RESUMO'!AY39</f>
        <v/>
      </c>
      <c r="N52" s="139">
        <f>MAX(0,M52-M51)</f>
        <v/>
      </c>
      <c r="O52" s="138">
        <f>IF(B52&lt;='VALOR POR PL'!$P$5,'CP RESUMO'!AY81,"")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HISTORICOS'!AZ39)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158467.79</v>
      </c>
      <c r="L53" s="49">
        <f>C53/IF(B53&lt;='VALOR POR PL'!$P$5,IFERROR(INDEX('"INCC-FGV"'!$B$2:$B$800,MATCH(B53,'"INCC-FGV"'!$A$2:$A$800,0)),$K$2),$K$2)</f>
        <v/>
      </c>
      <c r="M53" s="138">
        <f>'CP RESUMO'!AZ39</f>
        <v/>
      </c>
      <c r="N53" s="139">
        <f>MAX(0,M53-M52)</f>
        <v/>
      </c>
      <c r="O53" s="138">
        <f>IF(B53&lt;='VALOR POR PL'!$P$5,'CP RESUMO'!AZ81,"")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HISTORICOS'!BA39)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158467.79</v>
      </c>
      <c r="L54" s="49">
        <f>C54/IF(B54&lt;='VALOR POR PL'!$P$5,IFERROR(INDEX('"INCC-FGV"'!$B$2:$B$800,MATCH(B54,'"INCC-FGV"'!$A$2:$A$800,0)),$K$2),$K$2)</f>
        <v/>
      </c>
      <c r="M54" s="138">
        <f>'CP RESUMO'!BA39</f>
        <v/>
      </c>
      <c r="N54" s="139">
        <f>MAX(0,M54-M53)</f>
        <v/>
      </c>
      <c r="O54" s="138">
        <f>IF(B54&lt;='VALOR POR PL'!$P$5,'CP RESUMO'!BA81,"")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HISTORICOS'!BB39)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158467.79</v>
      </c>
      <c r="L55" s="49">
        <f>C55/IF(B55&lt;='VALOR POR PL'!$P$5,IFERROR(INDEX('"INCC-FGV"'!$B$2:$B$800,MATCH(B55,'"INCC-FGV"'!$A$2:$A$800,0)),$K$2),$K$2)</f>
        <v/>
      </c>
      <c r="M55" s="138">
        <f>'CP RESUMO'!BB39</f>
        <v/>
      </c>
      <c r="N55" s="139">
        <f>MAX(0,M55-M54)</f>
        <v/>
      </c>
      <c r="O55" s="138">
        <f>IF(B55&lt;='VALOR POR PL'!$P$5,'CP RESUMO'!BB81,"")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HISTORICOS'!BC39)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158467.79</v>
      </c>
      <c r="L56" s="49">
        <f>C56/IF(B56&lt;='VALOR POR PL'!$P$5,IFERROR(INDEX('"INCC-FGV"'!$B$2:$B$800,MATCH(B56,'"INCC-FGV"'!$A$2:$A$800,0)),$K$2),$K$2)</f>
        <v/>
      </c>
      <c r="M56" s="138">
        <f>'CP RESUMO'!BC39</f>
        <v/>
      </c>
      <c r="N56" s="139">
        <f>MAX(0,M56-M55)</f>
        <v/>
      </c>
      <c r="O56" s="138">
        <f>IF(B56&lt;='VALOR POR PL'!$P$5,'CP RESUMO'!BC81,"")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HISTORICOS'!BD39)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>
        <v>158467.79</v>
      </c>
      <c r="L57" s="49">
        <f>C57/IF(B57&lt;='VALOR POR PL'!$P$5,IFERROR(INDEX('"INCC-FGV"'!$B$2:$B$800,MATCH(B57,'"INCC-FGV"'!$A$2:$A$800,0)),$K$2),$K$2)</f>
        <v/>
      </c>
      <c r="M57" s="138">
        <f>'CP RESUMO'!BD39</f>
        <v/>
      </c>
      <c r="N57" s="139">
        <f>MAX(0,M57-M56)</f>
        <v/>
      </c>
      <c r="O57" s="138">
        <f>IF(B57&lt;='VALOR POR PL'!$P$5,'CP RESUMO'!BD81,"")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HISTORICOS'!BE39)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>
        <v>267371.55</v>
      </c>
      <c r="L58" s="49">
        <f>C58/IF(B58&lt;='VALOR POR PL'!$P$5,IFERROR(INDEX('"INCC-FGV"'!$B$2:$B$800,MATCH(B58,'"INCC-FGV"'!$A$2:$A$800,0)),$K$2),$K$2)</f>
        <v/>
      </c>
      <c r="M58" s="138">
        <f>'CP RESUMO'!BE39</f>
        <v/>
      </c>
      <c r="N58" s="139">
        <f>MAX(0,M58-M57)</f>
        <v/>
      </c>
      <c r="O58" s="138">
        <f>IF(B58&lt;='VALOR POR PL'!$P$5,'CP RESUMO'!BE81,"")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HISTORICOS'!BF39)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RESUMO'!BF39</f>
        <v/>
      </c>
      <c r="N59" s="139">
        <f>MAX(0,M59-M58)</f>
        <v/>
      </c>
      <c r="O59" s="138">
        <f>IF(B59&lt;='VALOR POR PL'!$P$5,'CP RESUMO'!BF81,"")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HISTORICOS'!BG39)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RESUMO'!BG39</f>
        <v/>
      </c>
      <c r="N60" s="139">
        <f>MAX(0,M60-M59)</f>
        <v/>
      </c>
      <c r="O60" s="138">
        <f>IF(B60&lt;='VALOR POR PL'!$P$5,'CP RESUMO'!BG81,"")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HISTORICOS'!BH39)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RESUMO'!BH39</f>
        <v/>
      </c>
      <c r="N61" s="139">
        <f>MAX(0,M61-M60)</f>
        <v/>
      </c>
      <c r="O61" s="138">
        <f>IF(B61&lt;='VALOR POR PL'!$P$5,'CP RESUMO'!BH81,"")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HISTORICOS'!BI39)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RESUMO'!BI39</f>
        <v/>
      </c>
      <c r="N62" s="139">
        <f>MAX(0,M62-M61)</f>
        <v/>
      </c>
      <c r="O62" s="138">
        <f>IF(B62&lt;='VALOR POR PL'!$P$5,'CP RESUMO'!BI81,"")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HISTORICOS'!BJ39)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RESUMO'!BJ39</f>
        <v/>
      </c>
      <c r="N63" s="139">
        <f>MAX(0,M63-M62)</f>
        <v/>
      </c>
      <c r="O63" s="138">
        <f>IF(B63&lt;='VALOR POR PL'!$P$5,'CP RESUMO'!BJ81,"")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HISTORICOS'!BK39)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RESUMO'!BK39</f>
        <v/>
      </c>
      <c r="N64" s="139">
        <f>MAX(0,M64-M63)</f>
        <v/>
      </c>
      <c r="O64" s="138">
        <f>IF(B64&lt;='VALOR POR PL'!$P$5,'CP RESUMO'!BK81,"")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HISTORICOS'!BL39)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RESUMO'!BL39</f>
        <v/>
      </c>
      <c r="N65" s="139">
        <f>MAX(0,M65-M64)</f>
        <v/>
      </c>
      <c r="O65" s="138">
        <f>IF(B65&lt;='VALOR POR PL'!$P$5,'CP RESUMO'!BL81,"")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HISTORICOS'!BM39)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RESUMO'!BM39</f>
        <v/>
      </c>
      <c r="N66" s="139">
        <f>MAX(0,M66-M65)</f>
        <v/>
      </c>
      <c r="O66" s="138">
        <f>IF(B66&lt;='VALOR POR PL'!$P$5,'CP RESUMO'!BM81,"")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HISTORICOS'!BN39)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RESUMO'!BN39</f>
        <v/>
      </c>
      <c r="N67" s="139">
        <f>MAX(0,M67-M66)</f>
        <v/>
      </c>
      <c r="O67" s="138">
        <f>IF(B67&lt;='VALOR POR PL'!$P$5,'CP RESUMO'!BN81,"")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HISTORICOS'!BO39)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RESUMO'!BO39</f>
        <v/>
      </c>
      <c r="N68" s="139">
        <f>MAX(0,M68-M67)</f>
        <v/>
      </c>
      <c r="O68" s="138">
        <f>IF(B68&lt;='VALOR POR PL'!$P$5,'CP RESUMO'!BO81,"")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HISTORICOS'!BP39)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RESUMO'!BP39</f>
        <v/>
      </c>
      <c r="N69" s="139">
        <f>MAX(0,M69-M68)</f>
        <v/>
      </c>
      <c r="O69" s="138">
        <f>IF(B69&lt;='VALOR POR PL'!$P$5,'CP RESUMO'!BP81,"")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HISTORICOS'!BQ39)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RESUMO'!BQ39</f>
        <v/>
      </c>
      <c r="N70" s="139">
        <f>MAX(0,M70-M69)</f>
        <v/>
      </c>
      <c r="O70" s="138">
        <f>IF(B70&lt;='VALOR POR PL'!$P$5,'CP RESUMO'!BQ81,"")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HISTORICOS'!BR39)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RESUMO'!BR39</f>
        <v/>
      </c>
      <c r="N71" s="139">
        <f>MAX(0,M71-M70)</f>
        <v/>
      </c>
      <c r="O71" s="138">
        <f>IF(B71&lt;='VALOR POR PL'!$P$5,'CP RESUMO'!BR81,"")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HISTORICOS'!BS39)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RESUMO'!BS39</f>
        <v/>
      </c>
      <c r="N72" s="139">
        <f>MAX(0,M72-M71)</f>
        <v/>
      </c>
      <c r="O72" s="138">
        <f>IF(B72&lt;='VALOR POR PL'!$P$5,'CP RESUMO'!BS81,"")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HISTORICOS'!BT39)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RESUMO'!BT39</f>
        <v/>
      </c>
      <c r="N73" s="139">
        <f>MAX(0,M73-M72)</f>
        <v/>
      </c>
      <c r="O73" s="138">
        <f>IF(B73&lt;='VALOR POR PL'!$P$5,'CP RESUMO'!BT81,"")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HISTORICOS'!BU39)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RESUMO'!BU39</f>
        <v/>
      </c>
      <c r="N74" s="139">
        <f>MAX(0,M74-M73)</f>
        <v/>
      </c>
      <c r="O74" s="138">
        <f>IF(B74&lt;='VALOR POR PL'!$P$5,'CP RESUMO'!BU81,"")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HISTORICOS'!BV39)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RESUMO'!BV39</f>
        <v/>
      </c>
      <c r="N75" s="139">
        <f>MAX(0,M75-M74)</f>
        <v/>
      </c>
      <c r="O75" s="138">
        <f>IF(B75&lt;='VALOR POR PL'!$P$5,'CP RESUMO'!BV81,"")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HISTORICOS'!BW39)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RESUMO'!BW39</f>
        <v/>
      </c>
      <c r="N76" s="139">
        <f>MAX(0,M76-M75)</f>
        <v/>
      </c>
      <c r="O76" s="138">
        <f>IF(B76&lt;='VALOR POR PL'!$P$5,'CP RESUMO'!BW81,"")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PL'!D46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HISTORICOS'!D40)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PL'!F46</f>
        <v/>
      </c>
      <c r="K5" s="60">
        <f>'VALOR POR PL'!G46</f>
        <v/>
      </c>
      <c r="L5" s="60">
        <f>'DADOS HISTORICOS'!$BZ$40</f>
        <v/>
      </c>
      <c r="M5" s="138">
        <f>'CP RESUMO'!D40</f>
        <v/>
      </c>
      <c r="N5" s="139" t="n">
        <v>0</v>
      </c>
      <c r="O5" s="138">
        <f>IF(B5&lt;='VALOR POR PL'!$P$5,'CP RESUMO'!D82,"")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HISTORICOS'!E40)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PL'!H46</f>
        <v/>
      </c>
      <c r="L6" s="49">
        <f>C6/IF(B6&lt;='VALOR POR PL'!$P$5,IFERROR(INDEX('"INCC-FGV"'!$B$2:$B$800,MATCH(B6,'"INCC-FGV"'!$A$2:$A$800,0)),$K$2),$K$2)</f>
        <v/>
      </c>
      <c r="M6" s="138">
        <f>'CP RESUMO'!E40</f>
        <v/>
      </c>
      <c r="N6" s="139">
        <f>MAX(0,M6-M5)</f>
        <v/>
      </c>
      <c r="O6" s="138">
        <f>IF(B6&lt;='VALOR POR PL'!$P$5,'CP RESUMO'!E82,"")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HISTORICOS'!F40)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RESUMO'!F40</f>
        <v/>
      </c>
      <c r="N7" s="139">
        <f>MAX(0,M7-M6)</f>
        <v/>
      </c>
      <c r="O7" s="138">
        <f>IF(B7&lt;='VALOR POR PL'!$P$5,'CP RESUMO'!F82,"")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HISTORICOS'!G40)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RESUMO'!G40</f>
        <v/>
      </c>
      <c r="N8" s="139">
        <f>MAX(0,M8-M7)</f>
        <v/>
      </c>
      <c r="O8" s="138">
        <f>IF(B8&lt;='VALOR POR PL'!$P$5,'CP RESUMO'!G82,"")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HISTORICOS'!H40)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RESUMO'!H40</f>
        <v/>
      </c>
      <c r="N9" s="139">
        <f>MAX(0,M9-M8)</f>
        <v/>
      </c>
      <c r="O9" s="138">
        <f>IF(B9&lt;='VALOR POR PL'!$P$5,'CP RESUMO'!H82,"")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HISTORICOS'!I40)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RESUMO'!I40</f>
        <v/>
      </c>
      <c r="N10" s="139">
        <f>MAX(0,M10-M9)</f>
        <v/>
      </c>
      <c r="O10" s="138">
        <f>IF(B10&lt;='VALOR POR PL'!$P$5,'CP RESUMO'!I82,"")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HISTORICOS'!J40)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RESUMO'!J40</f>
        <v/>
      </c>
      <c r="N11" s="139">
        <f>MAX(0,M11-M10)</f>
        <v/>
      </c>
      <c r="O11" s="138">
        <f>IF(B11&lt;='VALOR POR PL'!$P$5,'CP RESUMO'!J82,"")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HISTORICOS'!K40)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RESUMO'!K40</f>
        <v/>
      </c>
      <c r="N12" s="139">
        <f>MAX(0,M12-M11)</f>
        <v/>
      </c>
      <c r="O12" s="138">
        <f>IF(B12&lt;='VALOR POR PL'!$P$5,'CP RESUMO'!K82,"")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HISTORICOS'!L40)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PL'!I46</f>
        <v/>
      </c>
      <c r="L13" s="49">
        <f>C13/IF(B13&lt;='VALOR POR PL'!$P$5,IFERROR(INDEX('"INCC-FGV"'!$B$2:$B$800,MATCH(B13,'"INCC-FGV"'!$A$2:$A$800,0)),$K$2),$K$2)</f>
        <v/>
      </c>
      <c r="M13" s="138">
        <f>'CP RESUMO'!L40</f>
        <v/>
      </c>
      <c r="N13" s="139">
        <f>MAX(0,M13-M12)</f>
        <v/>
      </c>
      <c r="O13" s="138">
        <f>IF(B13&lt;='VALOR POR PL'!$P$5,'CP RESUMO'!L82,"")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HISTORICOS'!M40)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RESUMO'!$D$82:$BW$82,MATCH('VALOR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RESUMO'!M40</f>
        <v/>
      </c>
      <c r="N14" s="139">
        <f>MAX(0,M14-M13)</f>
        <v/>
      </c>
      <c r="O14" s="138">
        <f>IF(B14&lt;='VALOR POR PL'!$P$5,'CP RESUMO'!M82,"")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HISTORICOS'!N40)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RESUMO'!N40</f>
        <v/>
      </c>
      <c r="N15" s="139">
        <f>MAX(0,M15-M14)</f>
        <v/>
      </c>
      <c r="O15" s="138">
        <f>IF(B15&lt;='VALOR POR PL'!$P$5,'CP RESUMO'!N82,"")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HISTORICOS'!O40)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RESUMO'!O40</f>
        <v/>
      </c>
      <c r="N16" s="139">
        <f>MAX(0,M16-M15)</f>
        <v/>
      </c>
      <c r="O16" s="138">
        <f>IF(B16&lt;='VALOR POR PL'!$P$5,'CP RESUMO'!O82,"")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HISTORICOS'!P40)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RESUMO'!P40</f>
        <v/>
      </c>
      <c r="N17" s="139">
        <f>MAX(0,M17-M16)</f>
        <v/>
      </c>
      <c r="O17" s="138">
        <f>IF(B17&lt;='VALOR POR PL'!$P$5,'CP RESUMO'!P82,"")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HISTORICOS'!Q40)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RESUMO'!Q40</f>
        <v/>
      </c>
      <c r="N18" s="139">
        <f>MAX(0,M18-M17)</f>
        <v/>
      </c>
      <c r="O18" s="138">
        <f>IF(B18&lt;='VALOR POR PL'!$P$5,'CP RESUMO'!Q82,"")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HISTORICOS'!R40)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RESUMO'!R40</f>
        <v/>
      </c>
      <c r="N19" s="139">
        <f>MAX(0,M19-M18)</f>
        <v/>
      </c>
      <c r="O19" s="138">
        <f>IF(B19&lt;='VALOR POR PL'!$P$5,'CP RESUMO'!R82,"")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HISTORICOS'!S40)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RESUMO'!S40</f>
        <v/>
      </c>
      <c r="N20" s="139">
        <f>MAX(0,M20-M19)</f>
        <v/>
      </c>
      <c r="O20" s="138">
        <f>IF(B20&lt;='VALOR POR PL'!$P$5,'CP RESUMO'!S82,"")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HISTORICOS'!T40)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RESUMO'!T40</f>
        <v/>
      </c>
      <c r="N21" s="139">
        <f>MAX(0,M21-M20)</f>
        <v/>
      </c>
      <c r="O21" s="138">
        <f>IF(B21&lt;='VALOR POR PL'!$P$5,'CP RESUMO'!T82,"")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HISTORICOS'!U40)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RESUMO'!U40</f>
        <v/>
      </c>
      <c r="N22" s="139">
        <f>MAX(0,M22-M21)</f>
        <v/>
      </c>
      <c r="O22" s="138">
        <f>IF(B22&lt;='VALOR POR PL'!$P$5,'CP RESUMO'!U82,"")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HISTORICOS'!V40)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RESUMO'!V40</f>
        <v/>
      </c>
      <c r="N23" s="139">
        <f>MAX(0,M23-M22)</f>
        <v/>
      </c>
      <c r="O23" s="138">
        <f>IF(B23&lt;='VALOR POR PL'!$P$5,'CP RESUMO'!V82,"")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HISTORICOS'!W40)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RESUMO'!W40</f>
        <v/>
      </c>
      <c r="N24" s="139">
        <f>MAX(0,M24-M23)</f>
        <v/>
      </c>
      <c r="O24" s="138">
        <f>IF(B24&lt;='VALOR POR PL'!$P$5,'CP RESUMO'!W82,"")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HISTORICOS'!X40)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RESUMO'!X40</f>
        <v/>
      </c>
      <c r="N25" s="139">
        <f>MAX(0,M25-M24)</f>
        <v/>
      </c>
      <c r="O25" s="138">
        <f>IF(B25&lt;='VALOR POR PL'!$P$5,'CP RESUMO'!X82,"")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HISTORICOS'!Y40)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RESUMO'!Y40</f>
        <v/>
      </c>
      <c r="N26" s="139">
        <f>MAX(0,M26-M25)</f>
        <v/>
      </c>
      <c r="O26" s="138">
        <f>IF(B26&lt;='VALOR POR PL'!$P$5,'CP RESUMO'!Y82,"")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HISTORICOS'!Z40)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RESUMO'!Z40</f>
        <v/>
      </c>
      <c r="N27" s="139">
        <f>MAX(0,M27-M26)</f>
        <v/>
      </c>
      <c r="O27" s="138">
        <f>IF(B27&lt;='VALOR POR PL'!$P$5,'CP RESUMO'!Z82,"")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HISTORICOS'!AA40)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RESUMO'!AA40</f>
        <v/>
      </c>
      <c r="N28" s="139">
        <f>MAX(0,M28-M27)</f>
        <v/>
      </c>
      <c r="O28" s="138">
        <f>IF(B28&lt;='VALOR POR PL'!$P$5,'CP RESUMO'!AA82,"")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HISTORICOS'!AB40)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RESUMO'!AB40</f>
        <v/>
      </c>
      <c r="N29" s="139">
        <f>MAX(0,M29-M28)</f>
        <v/>
      </c>
      <c r="O29" s="138">
        <f>IF(B29&lt;='VALOR POR PL'!$P$5,'CP RESUMO'!AB82,"")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HISTORICOS'!AC40)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RESUMO'!AC40</f>
        <v/>
      </c>
      <c r="N30" s="139">
        <f>MAX(0,M30-M29)</f>
        <v/>
      </c>
      <c r="O30" s="138">
        <f>IF(B30&lt;='VALOR POR PL'!$P$5,'CP RESUMO'!AC82,"")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HISTORICOS'!AD40)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RESUMO'!AD40</f>
        <v/>
      </c>
      <c r="N31" s="139">
        <f>MAX(0,M31-M30)</f>
        <v/>
      </c>
      <c r="O31" s="138">
        <f>IF(B31&lt;='VALOR POR PL'!$P$5,'CP RESUMO'!AD82,"")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HISTORICOS'!AE40)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RESUMO'!AE40</f>
        <v/>
      </c>
      <c r="N32" s="139">
        <f>MAX(0,M32-M31)</f>
        <v/>
      </c>
      <c r="O32" s="138">
        <f>IF(B32&lt;='VALOR POR PL'!$P$5,'CP RESUMO'!AE82,"")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HISTORICOS'!AF40)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RESUMO'!AF40</f>
        <v/>
      </c>
      <c r="N33" s="139">
        <f>MAX(0,M33-M32)</f>
        <v/>
      </c>
      <c r="O33" s="138">
        <f>IF(B33&lt;='VALOR POR PL'!$P$5,'CP RESUMO'!AF82,"")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HISTORICOS'!AG40)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RESUMO'!AG40</f>
        <v/>
      </c>
      <c r="N34" s="139">
        <f>MAX(0,M34-M33)</f>
        <v/>
      </c>
      <c r="O34" s="138">
        <f>IF(B34&lt;='VALOR POR PL'!$P$5,'CP RESUMO'!AG82,"")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HISTORICOS'!AH40)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RESUMO'!AH40</f>
        <v/>
      </c>
      <c r="N35" s="139">
        <f>MAX(0,M35-M34)</f>
        <v/>
      </c>
      <c r="O35" s="138">
        <f>IF(B35&lt;='VALOR POR PL'!$P$5,'CP RESUMO'!AH82,"")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HISTORICOS'!AI40)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RESUMO'!AI40</f>
        <v/>
      </c>
      <c r="N36" s="139">
        <f>MAX(0,M36-M35)</f>
        <v/>
      </c>
      <c r="O36" s="138">
        <f>IF(B36&lt;='VALOR POR PL'!$P$5,'CP RESUMO'!AI82,"")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HISTORICOS'!AJ40)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RESUMO'!AJ40</f>
        <v/>
      </c>
      <c r="N37" s="139">
        <f>MAX(0,M37-M36)</f>
        <v/>
      </c>
      <c r="O37" s="138">
        <f>IF(B37&lt;='VALOR POR PL'!$P$5,'CP RESUMO'!AJ82,"")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HISTORICOS'!AK40)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RESUMO'!AK40</f>
        <v/>
      </c>
      <c r="N38" s="139">
        <f>MAX(0,M38-M37)</f>
        <v/>
      </c>
      <c r="O38" s="138">
        <f>IF(B38&lt;='VALOR POR PL'!$P$5,'CP RESUMO'!AK82,"")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HISTORICOS'!AL40)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RESUMO'!AL40</f>
        <v/>
      </c>
      <c r="N39" s="139">
        <f>MAX(0,M39-M38)</f>
        <v/>
      </c>
      <c r="O39" s="138">
        <f>IF(B39&lt;='VALOR POR PL'!$P$5,'CP RESUMO'!AL82,"")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HISTORICOS'!AM40)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RESUMO'!AM40</f>
        <v/>
      </c>
      <c r="N40" s="139">
        <f>MAX(0,M40-M39)</f>
        <v/>
      </c>
      <c r="O40" s="138">
        <f>IF(B40&lt;='VALOR POR PL'!$P$5,'CP RESUMO'!AM82,"")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HISTORICOS'!AN40)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RESUMO'!AN40</f>
        <v/>
      </c>
      <c r="N41" s="139">
        <f>MAX(0,M41-M40)</f>
        <v/>
      </c>
      <c r="O41" s="138">
        <f>IF(B41&lt;='VALOR POR PL'!$P$5,'CP RESUMO'!AN82,"")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HISTORICOS'!AO40)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RESUMO'!AO40</f>
        <v/>
      </c>
      <c r="N42" s="139">
        <f>MAX(0,M42-M41)</f>
        <v/>
      </c>
      <c r="O42" s="138">
        <f>IF(B42&lt;='VALOR POR PL'!$P$5,'CP RESUMO'!AO82,"")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HISTORICOS'!AP40)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RESUMO'!AP40</f>
        <v/>
      </c>
      <c r="N43" s="139">
        <f>MAX(0,M43-M42)</f>
        <v/>
      </c>
      <c r="O43" s="138">
        <f>IF(B43&lt;='VALOR POR PL'!$P$5,'CP RESUMO'!AP82,"")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HISTORICOS'!AQ40)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/>
      <c r="L44" s="49">
        <f>C44/IF(B44&lt;='VALOR POR PL'!$P$5,IFERROR(INDEX('"INCC-FGV"'!$B$2:$B$800,MATCH(B44,'"INCC-FGV"'!$A$2:$A$800,0)),$K$2),$K$2)</f>
        <v/>
      </c>
      <c r="M44" s="138">
        <f>'CP RESUMO'!AQ40</f>
        <v/>
      </c>
      <c r="N44" s="139">
        <f>MAX(0,M44-M43)</f>
        <v/>
      </c>
      <c r="O44" s="138">
        <f>IF(B44&lt;='VALOR POR PL'!$P$5,'CP RESUMO'!AQ82,"")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HISTORICOS'!AR40)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/>
      <c r="L45" s="49">
        <f>C45/IF(B45&lt;='VALOR POR PL'!$P$5,IFERROR(INDEX('"INCC-FGV"'!$B$2:$B$800,MATCH(B45,'"INCC-FGV"'!$A$2:$A$800,0)),$K$2),$K$2)</f>
        <v/>
      </c>
      <c r="M45" s="138">
        <f>'CP RESUMO'!AR40</f>
        <v/>
      </c>
      <c r="N45" s="139">
        <f>MAX(0,M45-M44)</f>
        <v/>
      </c>
      <c r="O45" s="138">
        <f>IF(B45&lt;='VALOR POR PL'!$P$5,'CP RESUMO'!AR82,"")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HISTORICOS'!AS40)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/>
      <c r="L46" s="49">
        <f>C46/IF(B46&lt;='VALOR POR PL'!$P$5,IFERROR(INDEX('"INCC-FGV"'!$B$2:$B$800,MATCH(B46,'"INCC-FGV"'!$A$2:$A$800,0)),$K$2),$K$2)</f>
        <v/>
      </c>
      <c r="M46" s="138">
        <f>'CP RESUMO'!AS40</f>
        <v/>
      </c>
      <c r="N46" s="139">
        <f>MAX(0,M46-M45)</f>
        <v/>
      </c>
      <c r="O46" s="138">
        <f>IF(B46&lt;='VALOR POR PL'!$P$5,'CP RESUMO'!AS82,"")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HISTORICOS'!AT40)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/>
      <c r="L47" s="49">
        <f>C47/IF(B47&lt;='VALOR POR PL'!$P$5,IFERROR(INDEX('"INCC-FGV"'!$B$2:$B$800,MATCH(B47,'"INCC-FGV"'!$A$2:$A$800,0)),$K$2),$K$2)</f>
        <v/>
      </c>
      <c r="M47" s="138">
        <f>'CP RESUMO'!AT40</f>
        <v/>
      </c>
      <c r="N47" s="139">
        <f>MAX(0,M47-M46)</f>
        <v/>
      </c>
      <c r="O47" s="138">
        <f>IF(B47&lt;='VALOR POR PL'!$P$5,'CP RESUMO'!AT82,"")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HISTORICOS'!AU40)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/>
      <c r="L48" s="49">
        <f>C48/IF(B48&lt;='VALOR POR PL'!$P$5,IFERROR(INDEX('"INCC-FGV"'!$B$2:$B$800,MATCH(B48,'"INCC-FGV"'!$A$2:$A$800,0)),$K$2),$K$2)</f>
        <v/>
      </c>
      <c r="M48" s="138">
        <f>'CP RESUMO'!AU40</f>
        <v/>
      </c>
      <c r="N48" s="139">
        <f>MAX(0,M48-M47)</f>
        <v/>
      </c>
      <c r="O48" s="138">
        <f>IF(B48&lt;='VALOR POR PL'!$P$5,'CP RESUMO'!AU82,"")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HISTORICOS'!AV40)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/>
      <c r="L49" s="49">
        <f>C49/IF(B49&lt;='VALOR POR PL'!$P$5,IFERROR(INDEX('"INCC-FGV"'!$B$2:$B$800,MATCH(B49,'"INCC-FGV"'!$A$2:$A$800,0)),$K$2),$K$2)</f>
        <v/>
      </c>
      <c r="M49" s="138">
        <f>'CP RESUMO'!AV40</f>
        <v/>
      </c>
      <c r="N49" s="139">
        <f>MAX(0,M49-M48)</f>
        <v/>
      </c>
      <c r="O49" s="138">
        <f>IF(B49&lt;='VALOR POR PL'!$P$5,'CP RESUMO'!AV82,"")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HISTORICOS'!AW40)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377793.34</v>
      </c>
      <c r="L50" s="49">
        <f>C50/IF(B50&lt;='VALOR POR PL'!$P$5,IFERROR(INDEX('"INCC-FGV"'!$B$2:$B$800,MATCH(B50,'"INCC-FGV"'!$A$2:$A$800,0)),$K$2),$K$2)</f>
        <v/>
      </c>
      <c r="M50" s="138">
        <f>'CP RESUMO'!AW40</f>
        <v/>
      </c>
      <c r="N50" s="139">
        <f>MAX(0,M50-M49)</f>
        <v/>
      </c>
      <c r="O50" s="138">
        <f>IF(B50&lt;='VALOR POR PL'!$P$5,'CP RESUMO'!AW82,"")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HISTORICOS'!AX40)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346604.79</v>
      </c>
      <c r="L51" s="49">
        <f>C51/IF(B51&lt;='VALOR POR PL'!$P$5,IFERROR(INDEX('"INCC-FGV"'!$B$2:$B$800,MATCH(B51,'"INCC-FGV"'!$A$2:$A$800,0)),$K$2),$K$2)</f>
        <v/>
      </c>
      <c r="M51" s="138">
        <f>'CP RESUMO'!AX40</f>
        <v/>
      </c>
      <c r="N51" s="139">
        <f>MAX(0,M51-M50)</f>
        <v/>
      </c>
      <c r="O51" s="138">
        <f>IF(B51&lt;='VALOR POR PL'!$P$5,'CP RESUMO'!AX82,"")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HISTORICOS'!AY40)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267750.73</v>
      </c>
      <c r="L52" s="49">
        <f>C52/IF(B52&lt;='VALOR POR PL'!$P$5,IFERROR(INDEX('"INCC-FGV"'!$B$2:$B$800,MATCH(B52,'"INCC-FGV"'!$A$2:$A$800,0)),$K$2),$K$2)</f>
        <v/>
      </c>
      <c r="M52" s="138">
        <f>'CP RESUMO'!AY40</f>
        <v/>
      </c>
      <c r="N52" s="139">
        <f>MAX(0,M52-M51)</f>
        <v/>
      </c>
      <c r="O52" s="138">
        <f>IF(B52&lt;='VALOR POR PL'!$P$5,'CP RESUMO'!AY82,"")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HISTORICOS'!AZ40)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123341.88</v>
      </c>
      <c r="L53" s="49">
        <f>C53/IF(B53&lt;='VALOR POR PL'!$P$5,IFERROR(INDEX('"INCC-FGV"'!$B$2:$B$800,MATCH(B53,'"INCC-FGV"'!$A$2:$A$800,0)),$K$2),$K$2)</f>
        <v/>
      </c>
      <c r="M53" s="138">
        <f>'CP RESUMO'!AZ40</f>
        <v/>
      </c>
      <c r="N53" s="139">
        <f>MAX(0,M53-M52)</f>
        <v/>
      </c>
      <c r="O53" s="138">
        <f>IF(B53&lt;='VALOR POR PL'!$P$5,'CP RESUMO'!AZ82,"")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HISTORICOS'!BA40)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61435.55</v>
      </c>
      <c r="L54" s="49">
        <f>C54/IF(B54&lt;='VALOR POR PL'!$P$5,IFERROR(INDEX('"INCC-FGV"'!$B$2:$B$800,MATCH(B54,'"INCC-FGV"'!$A$2:$A$800,0)),$K$2),$K$2)</f>
        <v/>
      </c>
      <c r="M54" s="138">
        <f>'CP RESUMO'!BA40</f>
        <v/>
      </c>
      <c r="N54" s="139">
        <f>MAX(0,M54-M53)</f>
        <v/>
      </c>
      <c r="O54" s="138">
        <f>IF(B54&lt;='VALOR POR PL'!$P$5,'CP RESUMO'!BA82,"")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HISTORICOS'!BB40)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/>
      <c r="L55" s="49">
        <f>C55/IF(B55&lt;='VALOR POR PL'!$P$5,IFERROR(INDEX('"INCC-FGV"'!$B$2:$B$800,MATCH(B55,'"INCC-FGV"'!$A$2:$A$800,0)),$K$2),$K$2)</f>
        <v/>
      </c>
      <c r="M55" s="138">
        <f>'CP RESUMO'!BB40</f>
        <v/>
      </c>
      <c r="N55" s="139">
        <f>MAX(0,M55-M54)</f>
        <v/>
      </c>
      <c r="O55" s="138">
        <f>IF(B55&lt;='VALOR POR PL'!$P$5,'CP RESUMO'!BB82,"")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HISTORICOS'!BC40)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/>
      <c r="L56" s="49">
        <f>C56/IF(B56&lt;='VALOR POR PL'!$P$5,IFERROR(INDEX('"INCC-FGV"'!$B$2:$B$800,MATCH(B56,'"INCC-FGV"'!$A$2:$A$800,0)),$K$2),$K$2)</f>
        <v/>
      </c>
      <c r="M56" s="138">
        <f>'CP RESUMO'!BC40</f>
        <v/>
      </c>
      <c r="N56" s="139">
        <f>MAX(0,M56-M55)</f>
        <v/>
      </c>
      <c r="O56" s="138">
        <f>IF(B56&lt;='VALOR POR PL'!$P$5,'CP RESUMO'!BC82,"")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HISTORICOS'!BD40)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/>
      <c r="L57" s="49">
        <f>C57/IF(B57&lt;='VALOR POR PL'!$P$5,IFERROR(INDEX('"INCC-FGV"'!$B$2:$B$800,MATCH(B57,'"INCC-FGV"'!$A$2:$A$800,0)),$K$2),$K$2)</f>
        <v/>
      </c>
      <c r="M57" s="138">
        <f>'CP RESUMO'!BD40</f>
        <v/>
      </c>
      <c r="N57" s="139">
        <f>MAX(0,M57-M56)</f>
        <v/>
      </c>
      <c r="O57" s="138">
        <f>IF(B57&lt;='VALOR POR PL'!$P$5,'CP RESUMO'!BD82,"")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HISTORICOS'!BE40)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/>
      <c r="L58" s="49">
        <f>C58/IF(B58&lt;='VALOR POR PL'!$P$5,IFERROR(INDEX('"INCC-FGV"'!$B$2:$B$800,MATCH(B58,'"INCC-FGV"'!$A$2:$A$800,0)),$K$2),$K$2)</f>
        <v/>
      </c>
      <c r="M58" s="138">
        <f>'CP RESUMO'!BE40</f>
        <v/>
      </c>
      <c r="N58" s="139">
        <f>MAX(0,M58-M57)</f>
        <v/>
      </c>
      <c r="O58" s="138">
        <f>IF(B58&lt;='VALOR POR PL'!$P$5,'CP RESUMO'!BE82,"")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HISTORICOS'!BF40)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RESUMO'!BF40</f>
        <v/>
      </c>
      <c r="N59" s="139">
        <f>MAX(0,M59-M58)</f>
        <v/>
      </c>
      <c r="O59" s="138">
        <f>IF(B59&lt;='VALOR POR PL'!$P$5,'CP RESUMO'!BF82,"")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HISTORICOS'!BG40)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RESUMO'!BG40</f>
        <v/>
      </c>
      <c r="N60" s="139">
        <f>MAX(0,M60-M59)</f>
        <v/>
      </c>
      <c r="O60" s="138">
        <f>IF(B60&lt;='VALOR POR PL'!$P$5,'CP RESUMO'!BG82,"")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HISTORICOS'!BH40)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RESUMO'!BH40</f>
        <v/>
      </c>
      <c r="N61" s="139">
        <f>MAX(0,M61-M60)</f>
        <v/>
      </c>
      <c r="O61" s="138">
        <f>IF(B61&lt;='VALOR POR PL'!$P$5,'CP RESUMO'!BH82,"")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HISTORICOS'!BI40)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RESUMO'!BI40</f>
        <v/>
      </c>
      <c r="N62" s="139">
        <f>MAX(0,M62-M61)</f>
        <v/>
      </c>
      <c r="O62" s="138">
        <f>IF(B62&lt;='VALOR POR PL'!$P$5,'CP RESUMO'!BI82,"")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HISTORICOS'!BJ40)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RESUMO'!BJ40</f>
        <v/>
      </c>
      <c r="N63" s="139">
        <f>MAX(0,M63-M62)</f>
        <v/>
      </c>
      <c r="O63" s="138">
        <f>IF(B63&lt;='VALOR POR PL'!$P$5,'CP RESUMO'!BJ82,"")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HISTORICOS'!BK40)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RESUMO'!BK40</f>
        <v/>
      </c>
      <c r="N64" s="139">
        <f>MAX(0,M64-M63)</f>
        <v/>
      </c>
      <c r="O64" s="138">
        <f>IF(B64&lt;='VALOR POR PL'!$P$5,'CP RESUMO'!BK82,"")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HISTORICOS'!BL40)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RESUMO'!BL40</f>
        <v/>
      </c>
      <c r="N65" s="139">
        <f>MAX(0,M65-M64)</f>
        <v/>
      </c>
      <c r="O65" s="138">
        <f>IF(B65&lt;='VALOR POR PL'!$P$5,'CP RESUMO'!BL82,"")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HISTORICOS'!BM40)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RESUMO'!BM40</f>
        <v/>
      </c>
      <c r="N66" s="139">
        <f>MAX(0,M66-M65)</f>
        <v/>
      </c>
      <c r="O66" s="138">
        <f>IF(B66&lt;='VALOR POR PL'!$P$5,'CP RESUMO'!BM82,"")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HISTORICOS'!BN40)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RESUMO'!BN40</f>
        <v/>
      </c>
      <c r="N67" s="139">
        <f>MAX(0,M67-M66)</f>
        <v/>
      </c>
      <c r="O67" s="138">
        <f>IF(B67&lt;='VALOR POR PL'!$P$5,'CP RESUMO'!BN82,"")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HISTORICOS'!BO40)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RESUMO'!BO40</f>
        <v/>
      </c>
      <c r="N68" s="139">
        <f>MAX(0,M68-M67)</f>
        <v/>
      </c>
      <c r="O68" s="138">
        <f>IF(B68&lt;='VALOR POR PL'!$P$5,'CP RESUMO'!BO82,"")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HISTORICOS'!BP40)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RESUMO'!BP40</f>
        <v/>
      </c>
      <c r="N69" s="139">
        <f>MAX(0,M69-M68)</f>
        <v/>
      </c>
      <c r="O69" s="138">
        <f>IF(B69&lt;='VALOR POR PL'!$P$5,'CP RESUMO'!BP82,"")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HISTORICOS'!BQ40)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RESUMO'!BQ40</f>
        <v/>
      </c>
      <c r="N70" s="139">
        <f>MAX(0,M70-M69)</f>
        <v/>
      </c>
      <c r="O70" s="138">
        <f>IF(B70&lt;='VALOR POR PL'!$P$5,'CP RESUMO'!BQ82,"")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HISTORICOS'!BR40)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RESUMO'!BR40</f>
        <v/>
      </c>
      <c r="N71" s="139">
        <f>MAX(0,M71-M70)</f>
        <v/>
      </c>
      <c r="O71" s="138">
        <f>IF(B71&lt;='VALOR POR PL'!$P$5,'CP RESUMO'!BR82,"")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HISTORICOS'!BS40)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RESUMO'!BS40</f>
        <v/>
      </c>
      <c r="N72" s="139">
        <f>MAX(0,M72-M71)</f>
        <v/>
      </c>
      <c r="O72" s="138">
        <f>IF(B72&lt;='VALOR POR PL'!$P$5,'CP RESUMO'!BS82,"")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HISTORICOS'!BT40)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RESUMO'!BT40</f>
        <v/>
      </c>
      <c r="N73" s="139">
        <f>MAX(0,M73-M72)</f>
        <v/>
      </c>
      <c r="O73" s="138">
        <f>IF(B73&lt;='VALOR POR PL'!$P$5,'CP RESUMO'!BT82,"")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HISTORICOS'!BU40)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RESUMO'!BU40</f>
        <v/>
      </c>
      <c r="N74" s="139">
        <f>MAX(0,M74-M73)</f>
        <v/>
      </c>
      <c r="O74" s="138">
        <f>IF(B74&lt;='VALOR POR PL'!$P$5,'CP RESUMO'!BU82,"")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HISTORICOS'!BV40)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RESUMO'!BV40</f>
        <v/>
      </c>
      <c r="N75" s="139">
        <f>MAX(0,M75-M74)</f>
        <v/>
      </c>
      <c r="O75" s="138">
        <f>IF(B75&lt;='VALOR POR PL'!$P$5,'CP RESUMO'!BV82,"")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HISTORICOS'!BW40)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RESUMO'!BW40</f>
        <v/>
      </c>
      <c r="N76" s="139">
        <f>MAX(0,M76-M75)</f>
        <v/>
      </c>
      <c r="O76" s="138">
        <f>IF(B76&lt;='VALOR POR PL'!$P$5,'CP RESUMO'!BW82,"")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2:P80"/>
  <sheetViews>
    <sheetView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44" customWidth="1" min="9" max="9"/>
    <col width="15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2">
      <c r="B2" s="118">
        <f>'VALOR POR PL'!D47</f>
        <v/>
      </c>
      <c r="J2" s="3" t="inlineStr">
        <is>
          <t>INCC CORTE →</t>
        </is>
      </c>
      <c r="K2" s="56">
        <f>'VALOR POR PL'!$P$7</f>
        <v/>
      </c>
    </row>
    <row r="4" ht="58" customHeight="1">
      <c r="B4" s="58" t="inlineStr">
        <is>
          <t>ITEM</t>
        </is>
      </c>
      <c r="C4" s="58" t="inlineStr">
        <is>
          <t>INCORRIDO
(R$)</t>
        </is>
      </c>
      <c r="D4" s="58" t="inlineStr">
        <is>
          <t>PREVISÃO
(R$) — calculada</t>
        </is>
      </c>
      <c r="E4" s="58" t="inlineStr">
        <is>
          <t>INCC</t>
        </is>
      </c>
      <c r="F4" s="58" t="inlineStr">
        <is>
          <t>CURVA MÊS</t>
        </is>
      </c>
      <c r="G4" s="58" t="inlineStr">
        <is>
          <t>CURVA
ACUMULADA</t>
        </is>
      </c>
      <c r="H4" s="136" t="inlineStr">
        <is>
          <t>PREVISÃO INFORMADA
(R$ ou peso) ← digite</t>
        </is>
      </c>
      <c r="I4" s="58" t="inlineStr">
        <is>
          <t>ORIGEM</t>
        </is>
      </c>
      <c r="J4" s="58" t="inlineStr">
        <is>
          <t>VALOR R$</t>
        </is>
      </c>
      <c r="K4" s="58" t="inlineStr">
        <is>
          <t>INCC</t>
        </is>
      </c>
      <c r="L4" s="58" t="inlineStr">
        <is>
          <t>INCORRIDO
(INCC do mês)</t>
        </is>
      </c>
      <c r="M4" s="58" t="inlineStr">
        <is>
          <t>PREVISION
% PREVISTO
ACUMULADO</t>
        </is>
      </c>
      <c r="N4" s="58" t="inlineStr">
        <is>
          <t>PREVISION
% PREVISTO
NO MÊS</t>
        </is>
      </c>
      <c r="O4" s="58" t="inlineStr">
        <is>
          <t>PREVISION
% REALIZADO
ACUMULADO</t>
        </is>
      </c>
      <c r="P4" s="58" t="inlineStr">
        <is>
          <t>PESO USADO
(curva da
previsão)</t>
        </is>
      </c>
    </row>
    <row r="5">
      <c r="A5" s="123" t="inlineStr">
        <is>
          <t>Acu até →</t>
        </is>
      </c>
      <c r="B5" s="119">
        <f>'VALOR POR PL'!$P$6</f>
        <v/>
      </c>
      <c r="C5" s="60">
        <f>IF(AND($K$22="NÃO",B5&gt;'VALOR POR PL'!$P$5),0,'DADOS HISTORICOS'!D41)</f>
        <v/>
      </c>
      <c r="D5" s="49">
        <f>IF(B5&lt;='VALOR POR PL'!$P$5,0,IF($K$17&gt;0,$K$18*P5/$K$17,0))</f>
        <v/>
      </c>
      <c r="E5" s="49">
        <f>L5+D5/$K$2</f>
        <v/>
      </c>
      <c r="F5" s="117">
        <f>IF($K$9=0,0,E5/$K$9)</f>
        <v/>
      </c>
      <c r="G5" s="117">
        <f>F5</f>
        <v/>
      </c>
      <c r="H5" s="137" t="n"/>
      <c r="I5" s="46" t="inlineStr">
        <is>
          <t>VALOR ORÇADO (R$ base / INCC)</t>
        </is>
      </c>
      <c r="J5" s="60">
        <f>'VALOR POR PL'!F47</f>
        <v/>
      </c>
      <c r="K5" s="60">
        <f>'VALOR POR PL'!G47</f>
        <v/>
      </c>
      <c r="L5" s="60">
        <f>'DADOS HISTORICOS'!$BZ$41</f>
        <v/>
      </c>
      <c r="M5" s="138">
        <f>'CP RESUMO'!D41</f>
        <v/>
      </c>
      <c r="N5" s="139" t="n">
        <v>0</v>
      </c>
      <c r="O5" s="138">
        <f>IF(B5&lt;='VALOR POR PL'!$P$5,'CP RESUMO'!D83,"")</f>
        <v/>
      </c>
      <c r="P5" s="72">
        <f>IF(B5&lt;='VALOR POR PL'!$P$5,0,IF(OR($K$16="CURVA PREVISION",$K$16="MDO PREVISION + MATERIAL PREMISSA"),N5,IF($K$16="PREVISÃO INFORMADA",MAX(0,H5),0)))</f>
        <v/>
      </c>
    </row>
    <row r="6">
      <c r="B6" s="140">
        <f>DATE(YEAR(B5),MONTH(B5)+1,1)</f>
        <v/>
      </c>
      <c r="C6" s="60">
        <f>IF(AND($K$22="NÃO",B6&gt;'VALOR POR PL'!$P$5),0,'DADOS HISTORICOS'!E41)</f>
        <v/>
      </c>
      <c r="D6" s="49">
        <f>IF(B6&lt;='VALOR POR PL'!$P$5,0,IF($K$17&gt;0,$K$18*P6/$K$17,0))</f>
        <v/>
      </c>
      <c r="E6" s="49">
        <f>L6+D6/$K$2</f>
        <v/>
      </c>
      <c r="F6" s="117">
        <f>IF($K$9=0,0,E6/$K$9)</f>
        <v/>
      </c>
      <c r="G6" s="117">
        <f>G5+F6</f>
        <v/>
      </c>
      <c r="H6" s="137" t="n"/>
      <c r="I6" s="46" t="inlineStr">
        <is>
          <t>META DA DISTRIBUIÇÃO (INCC)</t>
        </is>
      </c>
      <c r="K6" s="56">
        <f>'VALOR POR PL'!H47</f>
        <v/>
      </c>
      <c r="L6" s="49">
        <f>C6/IF(B6&lt;='VALOR POR PL'!$P$5,IFERROR(INDEX('"INCC-FGV"'!$B$2:$B$800,MATCH(B6,'"INCC-FGV"'!$A$2:$A$800,0)),$K$2),$K$2)</f>
        <v/>
      </c>
      <c r="M6" s="138">
        <f>'CP RESUMO'!E41</f>
        <v/>
      </c>
      <c r="N6" s="139">
        <f>MAX(0,M6-M5)</f>
        <v/>
      </c>
      <c r="O6" s="138">
        <f>IF(B6&lt;='VALOR POR PL'!$P$5,'CP RESUMO'!E83,"")</f>
        <v/>
      </c>
      <c r="P6" s="72">
        <f>IF(B6&lt;='VALOR POR PL'!$P$5,0,IF(OR($K$16="CURVA PREVISION",$K$16="MDO PREVISION + MATERIAL PREMISSA"),N6,IF($K$16="PREVISÃO INFORMADA",MAX(0,H6),0)))</f>
        <v/>
      </c>
    </row>
    <row r="7">
      <c r="B7" s="140">
        <f>DATE(YEAR(B6),MONTH(B6)+1,1)</f>
        <v/>
      </c>
      <c r="C7" s="60">
        <f>IF(AND($K$22="NÃO",B7&gt;'VALOR POR PL'!$P$5),0,'DADOS HISTORICOS'!F41)</f>
        <v/>
      </c>
      <c r="D7" s="49">
        <f>IF(B7&lt;='VALOR POR PL'!$P$5,0,IF($K$17&gt;0,$K$18*P7/$K$17,0))</f>
        <v/>
      </c>
      <c r="E7" s="49">
        <f>L7+D7/$K$2</f>
        <v/>
      </c>
      <c r="F7" s="117">
        <f>IF($K$9=0,0,E7/$K$9)</f>
        <v/>
      </c>
      <c r="G7" s="117">
        <f>G6+F7</f>
        <v/>
      </c>
      <c r="H7" s="137" t="n"/>
      <c r="I7" s="46" t="inlineStr">
        <is>
          <t>PROJEÇÃO (R$) = incorrido + saldo INCC × INCC do corte</t>
        </is>
      </c>
      <c r="J7" s="49">
        <f>C78+D78</f>
        <v/>
      </c>
      <c r="L7" s="49">
        <f>C7/IF(B7&lt;='VALOR POR PL'!$P$5,IFERROR(INDEX('"INCC-FGV"'!$B$2:$B$800,MATCH(B7,'"INCC-FGV"'!$A$2:$A$800,0)),$K$2),$K$2)</f>
        <v/>
      </c>
      <c r="M7" s="138">
        <f>'CP RESUMO'!F41</f>
        <v/>
      </c>
      <c r="N7" s="139">
        <f>MAX(0,M7-M6)</f>
        <v/>
      </c>
      <c r="O7" s="138">
        <f>IF(B7&lt;='VALOR POR PL'!$P$5,'CP RESUMO'!F83,"")</f>
        <v/>
      </c>
      <c r="P7" s="72">
        <f>IF(B7&lt;='VALOR POR PL'!$P$5,0,IF(OR($K$16="CURVA PREVISION",$K$16="MDO PREVISION + MATERIAL PREMISSA"),N7,IF($K$16="PREVISÃO INFORMADA",MAX(0,H7),0)))</f>
        <v/>
      </c>
    </row>
    <row r="8">
      <c r="B8" s="140">
        <f>DATE(YEAR(B7),MONTH(B7)+1,1)</f>
        <v/>
      </c>
      <c r="C8" s="60">
        <f>IF(AND($K$22="NÃO",B8&gt;'VALOR POR PL'!$P$5),0,'DADOS HISTORICOS'!G41)</f>
        <v/>
      </c>
      <c r="D8" s="49">
        <f>IF(B8&lt;='VALOR POR PL'!$P$5,0,IF($K$17&gt;0,$K$18*P8/$K$17,0))</f>
        <v/>
      </c>
      <c r="E8" s="49">
        <f>L8+D8/$K$2</f>
        <v/>
      </c>
      <c r="F8" s="117">
        <f>IF($K$9=0,0,E8/$K$9)</f>
        <v/>
      </c>
      <c r="G8" s="117">
        <f>G7+F8</f>
        <v/>
      </c>
      <c r="H8" s="137" t="n"/>
      <c r="I8" s="46" t="inlineStr">
        <is>
          <t>INCORRIDO + COMPROMISSOS DO ERP (INCC)</t>
        </is>
      </c>
      <c r="K8" s="72">
        <f>SUM(L5:L76)</f>
        <v/>
      </c>
      <c r="L8" s="49">
        <f>C8/IF(B8&lt;='VALOR POR PL'!$P$5,IFERROR(INDEX('"INCC-FGV"'!$B$2:$B$800,MATCH(B8,'"INCC-FGV"'!$A$2:$A$800,0)),$K$2),$K$2)</f>
        <v/>
      </c>
      <c r="M8" s="138">
        <f>'CP RESUMO'!G41</f>
        <v/>
      </c>
      <c r="N8" s="139">
        <f>MAX(0,M8-M7)</f>
        <v/>
      </c>
      <c r="O8" s="138">
        <f>IF(B8&lt;='VALOR POR PL'!$P$5,'CP RESUMO'!G83,"")</f>
        <v/>
      </c>
      <c r="P8" s="72">
        <f>IF(B8&lt;='VALOR POR PL'!$P$5,0,IF(OR($K$16="CURVA PREVISION",$K$16="MDO PREVISION + MATERIAL PREMISSA"),N8,IF($K$16="PREVISÃO INFORMADA",MAX(0,H8),0)))</f>
        <v/>
      </c>
    </row>
    <row r="9">
      <c r="B9" s="140">
        <f>DATE(YEAR(B8),MONTH(B8)+1,1)</f>
        <v/>
      </c>
      <c r="C9" s="60">
        <f>IF(AND($K$22="NÃO",B9&gt;'VALOR POR PL'!$P$5),0,'DADOS HISTORICOS'!H41)</f>
        <v/>
      </c>
      <c r="D9" s="49">
        <f>IF(B9&lt;='VALOR POR PL'!$P$5,0,IF($K$17&gt;0,$K$18*P9/$K$17,0))</f>
        <v/>
      </c>
      <c r="E9" s="49">
        <f>L9+D9/$K$2</f>
        <v/>
      </c>
      <c r="F9" s="117">
        <f>IF($K$9=0,0,E9/$K$9)</f>
        <v/>
      </c>
      <c r="G9" s="117">
        <f>G8+F9</f>
        <v/>
      </c>
      <c r="H9" s="137" t="n"/>
      <c r="I9" s="46" t="inlineStr">
        <is>
          <t>TOTAL NO FLUXO</t>
        </is>
      </c>
      <c r="J9" s="49">
        <f>C78+D78</f>
        <v/>
      </c>
      <c r="K9" s="49">
        <f>E78</f>
        <v/>
      </c>
      <c r="L9" s="49">
        <f>C9/IF(B9&lt;='VALOR POR PL'!$P$5,IFERROR(INDEX('"INCC-FGV"'!$B$2:$B$800,MATCH(B9,'"INCC-FGV"'!$A$2:$A$800,0)),$K$2),$K$2)</f>
        <v/>
      </c>
      <c r="M9" s="138">
        <f>'CP RESUMO'!H41</f>
        <v/>
      </c>
      <c r="N9" s="139">
        <f>MAX(0,M9-M8)</f>
        <v/>
      </c>
      <c r="O9" s="138">
        <f>IF(B9&lt;='VALOR POR PL'!$P$5,'CP RESUMO'!H83,"")</f>
        <v/>
      </c>
      <c r="P9" s="72">
        <f>IF(B9&lt;='VALOR POR PL'!$P$5,0,IF(OR($K$16="CURVA PREVISION",$K$16="MDO PREVISION + MATERIAL PREMISSA"),N9,IF($K$16="PREVISÃO INFORMADA",MAX(0,H9),0)))</f>
        <v/>
      </c>
    </row>
    <row r="10">
      <c r="B10" s="140">
        <f>DATE(YEAR(B9),MONTH(B9)+1,1)</f>
        <v/>
      </c>
      <c r="C10" s="60">
        <f>IF(AND($K$22="NÃO",B10&gt;'VALOR POR PL'!$P$5),0,'DADOS HISTORICOS'!I41)</f>
        <v/>
      </c>
      <c r="D10" s="49">
        <f>IF(B10&lt;='VALOR POR PL'!$P$5,0,IF($K$17&gt;0,$K$18*P10/$K$17,0))</f>
        <v/>
      </c>
      <c r="E10" s="49">
        <f>L10+D10/$K$2</f>
        <v/>
      </c>
      <c r="F10" s="117">
        <f>IF($K$9=0,0,E10/$K$9)</f>
        <v/>
      </c>
      <c r="G10" s="117">
        <f>G9+F10</f>
        <v/>
      </c>
      <c r="H10" s="137" t="n"/>
      <c r="I10" s="46" t="inlineStr">
        <is>
          <t>SALDO A DISTRIBUIR (INCC)</t>
        </is>
      </c>
      <c r="K10" s="72">
        <f>K6-K8</f>
        <v/>
      </c>
      <c r="L10" s="49">
        <f>C10/IF(B10&lt;='VALOR POR PL'!$P$5,IFERROR(INDEX('"INCC-FGV"'!$B$2:$B$800,MATCH(B10,'"INCC-FGV"'!$A$2:$A$800,0)),$K$2),$K$2)</f>
        <v/>
      </c>
      <c r="M10" s="138">
        <f>'CP RESUMO'!I41</f>
        <v/>
      </c>
      <c r="N10" s="139">
        <f>MAX(0,M10-M9)</f>
        <v/>
      </c>
      <c r="O10" s="138">
        <f>IF(B10&lt;='VALOR POR PL'!$P$5,'CP RESUMO'!I83,"")</f>
        <v/>
      </c>
      <c r="P10" s="72">
        <f>IF(B10&lt;='VALOR POR PL'!$P$5,0,IF(OR($K$16="CURVA PREVISION",$K$16="MDO PREVISION + MATERIAL PREMISSA"),N10,IF($K$16="PREVISÃO INFORMADA",MAX(0,H10),0)))</f>
        <v/>
      </c>
    </row>
    <row r="11">
      <c r="B11" s="140">
        <f>DATE(YEAR(B10),MONTH(B10)+1,1)</f>
        <v/>
      </c>
      <c r="C11" s="60">
        <f>IF(AND($K$22="NÃO",B11&gt;'VALOR POR PL'!$P$5),0,'DADOS HISTORICOS'!J41)</f>
        <v/>
      </c>
      <c r="D11" s="49">
        <f>IF(B11&lt;='VALOR POR PL'!$P$5,0,IF($K$17&gt;0,$K$18*P11/$K$17,0))</f>
        <v/>
      </c>
      <c r="E11" s="49">
        <f>L11+D11/$K$2</f>
        <v/>
      </c>
      <c r="F11" s="117">
        <f>IF($K$9=0,0,E11/$K$9)</f>
        <v/>
      </c>
      <c r="G11" s="117">
        <f>G10+F11</f>
        <v/>
      </c>
      <c r="H11" s="137" t="n"/>
      <c r="I11" s="46" t="inlineStr">
        <is>
          <t>Σ PREVISÃO INFORMADA (meses futuros)</t>
        </is>
      </c>
      <c r="K11" s="60">
        <f>SUMPRODUCT((B5:B76&gt;'VALOR POR PL'!$P$5)*H5:H76)</f>
        <v/>
      </c>
      <c r="L11" s="49">
        <f>C11/IF(B11&lt;='VALOR POR PL'!$P$5,IFERROR(INDEX('"INCC-FGV"'!$B$2:$B$800,MATCH(B11,'"INCC-FGV"'!$A$2:$A$800,0)),$K$2),$K$2)</f>
        <v/>
      </c>
      <c r="M11" s="138">
        <f>'CP RESUMO'!J41</f>
        <v/>
      </c>
      <c r="N11" s="139">
        <f>MAX(0,M11-M10)</f>
        <v/>
      </c>
      <c r="O11" s="138">
        <f>IF(B11&lt;='VALOR POR PL'!$P$5,'CP RESUMO'!J83,"")</f>
        <v/>
      </c>
      <c r="P11" s="72">
        <f>IF(B11&lt;='VALOR POR PL'!$P$5,0,IF(OR($K$16="CURVA PREVISION",$K$16="MDO PREVISION + MATERIAL PREMISSA"),N11,IF($K$16="PREVISÃO INFORMADA",MAX(0,H11),0)))</f>
        <v/>
      </c>
    </row>
    <row r="12">
      <c r="B12" s="140">
        <f>DATE(YEAR(B11),MONTH(B11)+1,1)</f>
        <v/>
      </c>
      <c r="C12" s="60">
        <f>IF(AND($K$22="NÃO",B12&gt;'VALOR POR PL'!$P$5),0,'DADOS HISTORICOS'!K41)</f>
        <v/>
      </c>
      <c r="D12" s="49">
        <f>IF(B12&lt;='VALOR POR PL'!$P$5,0,IF($K$17&gt;0,$K$18*P12/$K$17,0))</f>
        <v/>
      </c>
      <c r="E12" s="49">
        <f>L12+D12/$K$2</f>
        <v/>
      </c>
      <c r="F12" s="117">
        <f>IF($K$9=0,0,E12/$K$9)</f>
        <v/>
      </c>
      <c r="G12" s="117">
        <f>G11+F12</f>
        <v/>
      </c>
      <c r="H12" s="137" t="n"/>
      <c r="I12" s="46" t="inlineStr">
        <is>
          <t>Σ CURVA PREVISION (meses futuros, %)</t>
        </is>
      </c>
      <c r="K12" s="138">
        <f>SUMPRODUCT((B5:B76&gt;'VALOR POR PL'!$P$5)*N5:N76)</f>
        <v/>
      </c>
      <c r="L12" s="49">
        <f>C12/IF(B12&lt;='VALOR POR PL'!$P$5,IFERROR(INDEX('"INCC-FGV"'!$B$2:$B$800,MATCH(B12,'"INCC-FGV"'!$A$2:$A$800,0)),$K$2),$K$2)</f>
        <v/>
      </c>
      <c r="M12" s="138">
        <f>'CP RESUMO'!K41</f>
        <v/>
      </c>
      <c r="N12" s="139">
        <f>MAX(0,M12-M11)</f>
        <v/>
      </c>
      <c r="O12" s="138">
        <f>IF(B12&lt;='VALOR POR PL'!$P$5,'CP RESUMO'!K83,"")</f>
        <v/>
      </c>
      <c r="P12" s="72">
        <f>IF(B12&lt;='VALOR POR PL'!$P$5,0,IF(OR($K$16="CURVA PREVISION",$K$16="MDO PREVISION + MATERIAL PREMISSA"),N12,IF($K$16="PREVISÃO INFORMADA",MAX(0,H12),0)))</f>
        <v/>
      </c>
    </row>
    <row r="13">
      <c r="B13" s="140">
        <f>DATE(YEAR(B12),MONTH(B12)+1,1)</f>
        <v/>
      </c>
      <c r="C13" s="60">
        <f>IF(AND($K$22="NÃO",B13&gt;'VALOR POR PL'!$P$5),0,'DADOS HISTORICOS'!L41)</f>
        <v/>
      </c>
      <c r="D13" s="49">
        <f>IF(B13&lt;='VALOR POR PL'!$P$5,0,IF($K$17&gt;0,$K$18*P13/$K$17,0))</f>
        <v/>
      </c>
      <c r="E13" s="49">
        <f>L13+D13/$K$2</f>
        <v/>
      </c>
      <c r="F13" s="117">
        <f>IF($K$9=0,0,E13/$K$9)</f>
        <v/>
      </c>
      <c r="G13" s="117">
        <f>G12+F13</f>
        <v/>
      </c>
      <c r="H13" s="137" t="n"/>
      <c r="I13" s="46" t="inlineStr">
        <is>
          <t>TIPO DO ITEM</t>
        </is>
      </c>
      <c r="K13" s="60">
        <f>'VALOR POR PL'!I47</f>
        <v/>
      </c>
      <c r="L13" s="49">
        <f>C13/IF(B13&lt;='VALOR POR PL'!$P$5,IFERROR(INDEX('"INCC-FGV"'!$B$2:$B$800,MATCH(B13,'"INCC-FGV"'!$A$2:$A$800,0)),$K$2),$K$2)</f>
        <v/>
      </c>
      <c r="M13" s="138">
        <f>'CP RESUMO'!L41</f>
        <v/>
      </c>
      <c r="N13" s="139">
        <f>MAX(0,M13-M12)</f>
        <v/>
      </c>
      <c r="O13" s="138">
        <f>IF(B13&lt;='VALOR POR PL'!$P$5,'CP RESUMO'!L83,"")</f>
        <v/>
      </c>
      <c r="P13" s="72">
        <f>IF(B13&lt;='VALOR POR PL'!$P$5,0,IF(OR($K$16="CURVA PREVISION",$K$16="MDO PREVISION + MATERIAL PREMISSA"),N13,IF($K$16="PREVISÃO INFORMADA",MAX(0,H13),0)))</f>
        <v/>
      </c>
    </row>
    <row r="14">
      <c r="B14" s="140">
        <f>DATE(YEAR(B13),MONTH(B13)+1,1)</f>
        <v/>
      </c>
      <c r="C14" s="60">
        <f>IF(AND($K$22="NÃO",B14&gt;'VALOR POR PL'!$P$5),0,'DADOS HISTORICOS'!M41)</f>
        <v/>
      </c>
      <c r="D14" s="49">
        <f>IF(B14&lt;='VALOR POR PL'!$P$5,0,IF($K$17&gt;0,$K$18*P14/$K$17,0))</f>
        <v/>
      </c>
      <c r="E14" s="49">
        <f>L14+D14/$K$2</f>
        <v/>
      </c>
      <c r="F14" s="117">
        <f>IF($K$9=0,0,E14/$K$9)</f>
        <v/>
      </c>
      <c r="G14" s="117">
        <f>G13+F14</f>
        <v/>
      </c>
      <c r="H14" s="137" t="n"/>
      <c r="I14" s="46" t="inlineStr">
        <is>
          <t>AVANÇO FÍSICO REALIZADO NO CORTE (Prevision)</t>
        </is>
      </c>
      <c r="K14" s="62">
        <f>IFERROR(INDEX('CP RESUMO'!$D$83:$BW$83,MATCH('VALOR POR PL'!$P$5,'CP RESUMO'!$D$4:$BW$4,0))/100,0)</f>
        <v/>
      </c>
      <c r="L14" s="49">
        <f>C14/IF(B14&lt;='VALOR POR PL'!$P$5,IFERROR(INDEX('"INCC-FGV"'!$B$2:$B$800,MATCH(B14,'"INCC-FGV"'!$A$2:$A$800,0)),$K$2),$K$2)</f>
        <v/>
      </c>
      <c r="M14" s="138">
        <f>'CP RESUMO'!M41</f>
        <v/>
      </c>
      <c r="N14" s="139">
        <f>MAX(0,M14-M13)</f>
        <v/>
      </c>
      <c r="O14" s="138">
        <f>IF(B14&lt;='VALOR POR PL'!$P$5,'CP RESUMO'!M83,"")</f>
        <v/>
      </c>
      <c r="P14" s="72">
        <f>IF(B14&lt;='VALOR POR PL'!$P$5,0,IF(OR($K$16="CURVA PREVISION",$K$16="MDO PREVISION + MATERIAL PREMISSA"),N14,IF($K$16="PREVISÃO INFORMADA",MAX(0,H14),0)))</f>
        <v/>
      </c>
    </row>
    <row r="15">
      <c r="B15" s="140">
        <f>DATE(YEAR(B14),MONTH(B14)+1,1)</f>
        <v/>
      </c>
      <c r="C15" s="60">
        <f>IF(AND($K$22="NÃO",B15&gt;'VALOR POR PL'!$P$5),0,'DADOS HISTORICOS'!N41)</f>
        <v/>
      </c>
      <c r="D15" s="49">
        <f>IF(B15&lt;='VALOR POR PL'!$P$5,0,IF($K$17&gt;0,$K$18*P15/$K$17,0))</f>
        <v/>
      </c>
      <c r="E15" s="49">
        <f>L15+D15/$K$2</f>
        <v/>
      </c>
      <c r="F15" s="117">
        <f>IF($K$9=0,0,E15/$K$9)</f>
        <v/>
      </c>
      <c r="G15" s="117">
        <f>G14+F15</f>
        <v/>
      </c>
      <c r="H15" s="137" t="n"/>
      <c r="I15" s="46" t="inlineStr">
        <is>
          <t>FORÇAR FONTE (opcional)</t>
        </is>
      </c>
      <c r="K15" s="73" t="inlineStr">
        <is>
          <t>AUTOMÁTICO</t>
        </is>
      </c>
      <c r="L15" s="49">
        <f>C15/IF(B15&lt;='VALOR POR PL'!$P$5,IFERROR(INDEX('"INCC-FGV"'!$B$2:$B$800,MATCH(B15,'"INCC-FGV"'!$A$2:$A$800,0)),$K$2),$K$2)</f>
        <v/>
      </c>
      <c r="M15" s="138">
        <f>'CP RESUMO'!N41</f>
        <v/>
      </c>
      <c r="N15" s="139">
        <f>MAX(0,M15-M14)</f>
        <v/>
      </c>
      <c r="O15" s="138">
        <f>IF(B15&lt;='VALOR POR PL'!$P$5,'CP RESUMO'!N83,"")</f>
        <v/>
      </c>
      <c r="P15" s="72">
        <f>IF(B15&lt;='VALOR POR PL'!$P$5,0,IF(OR($K$16="CURVA PREVISION",$K$16="MDO PREVISION + MATERIAL PREMISSA"),N15,IF($K$16="PREVISÃO INFORMADA",MAX(0,H15),0)))</f>
        <v/>
      </c>
    </row>
    <row r="16">
      <c r="B16" s="140">
        <f>DATE(YEAR(B15),MONTH(B15)+1,1)</f>
        <v/>
      </c>
      <c r="C16" s="60">
        <f>IF(AND($K$22="NÃO",B16&gt;'VALOR POR PL'!$P$5),0,'DADOS HISTORICOS'!O41)</f>
        <v/>
      </c>
      <c r="D16" s="49">
        <f>IF(B16&lt;='VALOR POR PL'!$P$5,0,IF($K$17&gt;0,$K$18*P16/$K$17,0))</f>
        <v/>
      </c>
      <c r="E16" s="49">
        <f>L16+D16/$K$2</f>
        <v/>
      </c>
      <c r="F16" s="117">
        <f>IF($K$9=0,0,E16/$K$9)</f>
        <v/>
      </c>
      <c r="G16" s="117">
        <f>G15+F16</f>
        <v/>
      </c>
      <c r="H16" s="137" t="n"/>
      <c r="I16" s="46" t="inlineStr">
        <is>
          <t>FONTE DA CURVA USADA</t>
        </is>
      </c>
      <c r="K16" s="60">
        <f>IF(K15="CURVA PREVISION",IF(K12&gt;0,"CURVA PREVISION","SEM CURVA"),IF(K15="PREVISÃO INFORMADA",IF(K11&gt;0,"PREVISÃO INFORMADA","SEM CURVA"),IF(AND(K13="DIRETO",K14&lt;IF('VALOR POR PL'!$K$8="PADRÃO",0,'VALOR POR PL'!$K$7),K12&gt;0),"CURVA PREVISION",IF(K11&gt;0,"PREVISÃO INFORMADA",IF(K12&gt;0,"CURVA PREVISION","SEM CURVA")))))</f>
        <v/>
      </c>
      <c r="L16" s="49">
        <f>C16/IF(B16&lt;='VALOR POR PL'!$P$5,IFERROR(INDEX('"INCC-FGV"'!$B$2:$B$800,MATCH(B16,'"INCC-FGV"'!$A$2:$A$800,0)),$K$2),$K$2)</f>
        <v/>
      </c>
      <c r="M16" s="138">
        <f>'CP RESUMO'!O41</f>
        <v/>
      </c>
      <c r="N16" s="139">
        <f>MAX(0,M16-M15)</f>
        <v/>
      </c>
      <c r="O16" s="138">
        <f>IF(B16&lt;='VALOR POR PL'!$P$5,'CP RESUMO'!O83,"")</f>
        <v/>
      </c>
      <c r="P16" s="72">
        <f>IF(B16&lt;='VALOR POR PL'!$P$5,0,IF(OR($K$16="CURVA PREVISION",$K$16="MDO PREVISION + MATERIAL PREMISSA"),N16,IF($K$16="PREVISÃO INFORMADA",MAX(0,H16),0)))</f>
        <v/>
      </c>
    </row>
    <row r="17">
      <c r="B17" s="140">
        <f>DATE(YEAR(B16),MONTH(B16)+1,1)</f>
        <v/>
      </c>
      <c r="C17" s="60">
        <f>IF(AND($K$22="NÃO",B17&gt;'VALOR POR PL'!$P$5),0,'DADOS HISTORICOS'!P41)</f>
        <v/>
      </c>
      <c r="D17" s="49">
        <f>IF(B17&lt;='VALOR POR PL'!$P$5,0,IF($K$17&gt;0,$K$18*P17/$K$17,0))</f>
        <v/>
      </c>
      <c r="E17" s="49">
        <f>L17+D17/$K$2</f>
        <v/>
      </c>
      <c r="F17" s="117">
        <f>IF($K$9=0,0,E17/$K$9)</f>
        <v/>
      </c>
      <c r="G17" s="117">
        <f>G16+F17</f>
        <v/>
      </c>
      <c r="H17" s="137" t="n"/>
      <c r="I17" s="46" t="inlineStr">
        <is>
          <t>Σ PESOS USADOS</t>
        </is>
      </c>
      <c r="K17" s="49">
        <f>SUM(P5:P76)</f>
        <v/>
      </c>
      <c r="L17" s="49">
        <f>C17/IF(B17&lt;='VALOR POR PL'!$P$5,IFERROR(INDEX('"INCC-FGV"'!$B$2:$B$800,MATCH(B17,'"INCC-FGV"'!$A$2:$A$800,0)),$K$2),$K$2)</f>
        <v/>
      </c>
      <c r="M17" s="138">
        <f>'CP RESUMO'!P41</f>
        <v/>
      </c>
      <c r="N17" s="139">
        <f>MAX(0,M17-M16)</f>
        <v/>
      </c>
      <c r="O17" s="138">
        <f>IF(B17&lt;='VALOR POR PL'!$P$5,'CP RESUMO'!P83,"")</f>
        <v/>
      </c>
      <c r="P17" s="72">
        <f>IF(B17&lt;='VALOR POR PL'!$P$5,0,IF(OR($K$16="CURVA PREVISION",$K$16="MDO PREVISION + MATERIAL PREMISSA"),N17,IF($K$16="PREVISÃO INFORMADA",MAX(0,H17),0)))</f>
        <v/>
      </c>
    </row>
    <row r="18">
      <c r="B18" s="140">
        <f>DATE(YEAR(B17),MONTH(B17)+1,1)</f>
        <v/>
      </c>
      <c r="C18" s="60">
        <f>IF(AND($K$22="NÃO",B18&gt;'VALOR POR PL'!$P$5),0,'DADOS HISTORICOS'!Q41)</f>
        <v/>
      </c>
      <c r="D18" s="49">
        <f>IF(B18&lt;='VALOR POR PL'!$P$5,0,IF($K$17&gt;0,$K$18*P18/$K$17,0))</f>
        <v/>
      </c>
      <c r="E18" s="49">
        <f>L18+D18/$K$2</f>
        <v/>
      </c>
      <c r="F18" s="117">
        <f>IF($K$9=0,0,E18/$K$9)</f>
        <v/>
      </c>
      <c r="G18" s="117">
        <f>G17+F18</f>
        <v/>
      </c>
      <c r="H18" s="137" t="n"/>
      <c r="I18" s="46" t="inlineStr">
        <is>
          <t>SALDO A DISTRIBUIR (R$) = saldo INCC × INCC do corte</t>
        </is>
      </c>
      <c r="K18" s="49">
        <f>MAX(0,K10)*$K$2</f>
        <v/>
      </c>
      <c r="L18" s="49">
        <f>C18/IF(B18&lt;='VALOR POR PL'!$P$5,IFERROR(INDEX('"INCC-FGV"'!$B$2:$B$800,MATCH(B18,'"INCC-FGV"'!$A$2:$A$800,0)),$K$2),$K$2)</f>
        <v/>
      </c>
      <c r="M18" s="138">
        <f>'CP RESUMO'!Q41</f>
        <v/>
      </c>
      <c r="N18" s="139">
        <f>MAX(0,M18-M17)</f>
        <v/>
      </c>
      <c r="O18" s="138">
        <f>IF(B18&lt;='VALOR POR PL'!$P$5,'CP RESUMO'!Q83,"")</f>
        <v/>
      </c>
      <c r="P18" s="72">
        <f>IF(B18&lt;='VALOR POR PL'!$P$5,0,IF(OR($K$16="CURVA PREVISION",$K$16="MDO PREVISION + MATERIAL PREMISSA"),N18,IF($K$16="PREVISÃO INFORMADA",MAX(0,H18),0)))</f>
        <v/>
      </c>
    </row>
    <row r="19">
      <c r="B19" s="140">
        <f>DATE(YEAR(B18),MONTH(B18)+1,1)</f>
        <v/>
      </c>
      <c r="C19" s="60">
        <f>IF(AND($K$22="NÃO",B19&gt;'VALOR POR PL'!$P$5),0,'DADOS HISTORICOS'!R41)</f>
        <v/>
      </c>
      <c r="D19" s="49">
        <f>IF(B19&lt;='VALOR POR PL'!$P$5,0,IF($K$17&gt;0,$K$18*P19/$K$17,0))</f>
        <v/>
      </c>
      <c r="E19" s="49">
        <f>L19+D19/$K$2</f>
        <v/>
      </c>
      <c r="F19" s="117">
        <f>IF($K$9=0,0,E19/$K$9)</f>
        <v/>
      </c>
      <c r="G19" s="117">
        <f>G18+F19</f>
        <v/>
      </c>
      <c r="H19" s="137" t="n"/>
      <c r="I19" s="46" t="inlineStr">
        <is>
          <t>AJUSTE APLICADO À PREVISÃO INFORMADA</t>
        </is>
      </c>
      <c r="K19" s="141">
        <f>IF(AND(K16="PREVISÃO INFORMADA",K11&gt;0),K18/K11-1,"")</f>
        <v/>
      </c>
      <c r="L19" s="49">
        <f>C19/IF(B19&lt;='VALOR POR PL'!$P$5,IFERROR(INDEX('"INCC-FGV"'!$B$2:$B$800,MATCH(B19,'"INCC-FGV"'!$A$2:$A$800,0)),$K$2),$K$2)</f>
        <v/>
      </c>
      <c r="M19" s="138">
        <f>'CP RESUMO'!R41</f>
        <v/>
      </c>
      <c r="N19" s="139">
        <f>MAX(0,M19-M18)</f>
        <v/>
      </c>
      <c r="O19" s="138">
        <f>IF(B19&lt;='VALOR POR PL'!$P$5,'CP RESUMO'!R83,"")</f>
        <v/>
      </c>
      <c r="P19" s="72">
        <f>IF(B19&lt;='VALOR POR PL'!$P$5,0,IF(OR($K$16="CURVA PREVISION",$K$16="MDO PREVISION + MATERIAL PREMISSA"),N19,IF($K$16="PREVISÃO INFORMADA",MAX(0,H19),0)))</f>
        <v/>
      </c>
    </row>
    <row r="20" ht="30" customHeight="1">
      <c r="B20" s="140">
        <f>DATE(YEAR(B19),MONTH(B19)+1,1)</f>
        <v/>
      </c>
      <c r="C20" s="60">
        <f>IF(AND($K$22="NÃO",B20&gt;'VALOR POR PL'!$P$5),0,'DADOS HISTORICOS'!S41)</f>
        <v/>
      </c>
      <c r="D20" s="49">
        <f>IF(B20&lt;='VALOR POR PL'!$P$5,0,IF($K$17&gt;0,$K$18*P20/$K$17,0))</f>
        <v/>
      </c>
      <c r="E20" s="49">
        <f>L20+D20/$K$2</f>
        <v/>
      </c>
      <c r="F20" s="117">
        <f>IF($K$9=0,0,E20/$K$9)</f>
        <v/>
      </c>
      <c r="G20" s="117">
        <f>G19+F20</f>
        <v/>
      </c>
      <c r="H20" s="137" t="n"/>
      <c r="I20" s="46" t="inlineStr">
        <is>
          <t>MOTIVO</t>
        </is>
      </c>
      <c r="K20" s="142">
        <f>IF(K15&lt;&gt;"AUTOMÁTICO","Fonte escolhida manualmente em K15 (ver observações)",IF(K16="CURVA PREVISION",IF(AND(K13="DIRETO",K14&lt;IF('VALOR POR PL'!$K$8="PADRÃO",0,'VALOR POR PL'!$K$7)),"Item direto com avanço físico abaixo de "&amp;TEXT('VALOR POR PL'!$K$7*100,"0")&amp;"%","Sem previsão informada na coluna H"),IF(K16="PREVISÃO INFORMADA",IF(K13="INDIRETO","Item indireto: usa a previsão informada",IF('VALOR POR PL'!$K$8="PADRÃO","Cenário padrão: usa a curva digitada","Avanço físico acima do limite: usa a previsão informada")),"Não há curva: preencha a coluna H ou revise o Prevision")))</f>
        <v/>
      </c>
      <c r="L20" s="49">
        <f>C20/IF(B20&lt;='VALOR POR PL'!$P$5,IFERROR(INDEX('"INCC-FGV"'!$B$2:$B$800,MATCH(B20,'"INCC-FGV"'!$A$2:$A$800,0)),$K$2),$K$2)</f>
        <v/>
      </c>
      <c r="M20" s="138">
        <f>'CP RESUMO'!S41</f>
        <v/>
      </c>
      <c r="N20" s="139">
        <f>MAX(0,M20-M19)</f>
        <v/>
      </c>
      <c r="O20" s="138">
        <f>IF(B20&lt;='VALOR POR PL'!$P$5,'CP RESUMO'!S83,"")</f>
        <v/>
      </c>
      <c r="P20" s="72">
        <f>IF(B20&lt;='VALOR POR PL'!$P$5,0,IF(OR($K$16="CURVA PREVISION",$K$16="MDO PREVISION + MATERIAL PREMISSA"),N20,IF($K$16="PREVISÃO INFORMADA",MAX(0,H20),0)))</f>
        <v/>
      </c>
    </row>
    <row r="21">
      <c r="B21" s="140">
        <f>DATE(YEAR(B20),MONTH(B20)+1,1)</f>
        <v/>
      </c>
      <c r="C21" s="60">
        <f>IF(AND($K$22="NÃO",B21&gt;'VALOR POR PL'!$P$5),0,'DADOS HISTORICOS'!T41)</f>
        <v/>
      </c>
      <c r="D21" s="49">
        <f>IF(B21&lt;='VALOR POR PL'!$P$5,0,IF($K$17&gt;0,$K$18*P21/$K$17,0))</f>
        <v/>
      </c>
      <c r="E21" s="49">
        <f>L21+D21/$K$2</f>
        <v/>
      </c>
      <c r="F21" s="117">
        <f>IF($K$9=0,0,E21/$K$9)</f>
        <v/>
      </c>
      <c r="G21" s="117">
        <f>G20+F21</f>
        <v/>
      </c>
      <c r="H21" s="137" t="n"/>
      <c r="K21" s="143" t="n"/>
      <c r="L21" s="49">
        <f>C21/IF(B21&lt;='VALOR POR PL'!$P$5,IFERROR(INDEX('"INCC-FGV"'!$B$2:$B$800,MATCH(B21,'"INCC-FGV"'!$A$2:$A$800,0)),$K$2),$K$2)</f>
        <v/>
      </c>
      <c r="M21" s="138">
        <f>'CP RESUMO'!T41</f>
        <v/>
      </c>
      <c r="N21" s="139">
        <f>MAX(0,M21-M20)</f>
        <v/>
      </c>
      <c r="O21" s="138">
        <f>IF(B21&lt;='VALOR POR PL'!$P$5,'CP RESUMO'!T83,"")</f>
        <v/>
      </c>
      <c r="P21" s="72">
        <f>IF(B21&lt;='VALOR POR PL'!$P$5,0,IF(OR($K$16="CURVA PREVISION",$K$16="MDO PREVISION + MATERIAL PREMISSA"),N21,IF($K$16="PREVISÃO INFORMADA",MAX(0,H21),0)))</f>
        <v/>
      </c>
    </row>
    <row r="22">
      <c r="B22" s="140">
        <f>DATE(YEAR(B21),MONTH(B21)+1,1)</f>
        <v/>
      </c>
      <c r="C22" s="60">
        <f>IF(AND($K$22="NÃO",B22&gt;'VALOR POR PL'!$P$5),0,'DADOS HISTORICOS'!U41)</f>
        <v/>
      </c>
      <c r="D22" s="49">
        <f>IF(B22&lt;='VALOR POR PL'!$P$5,0,IF($K$17&gt;0,$K$18*P22/$K$17,0))</f>
        <v/>
      </c>
      <c r="E22" s="49">
        <f>L22+D22/$K$2</f>
        <v/>
      </c>
      <c r="F22" s="117">
        <f>IF($K$9=0,0,E22/$K$9)</f>
        <v/>
      </c>
      <c r="G22" s="117">
        <f>G21+F22</f>
        <v/>
      </c>
      <c r="H22" s="137" t="n"/>
      <c r="I22" s="46" t="inlineStr">
        <is>
          <t>CONSIDERAR LANÇAMENTOS DO ERP APÓS O CORTE?</t>
        </is>
      </c>
      <c r="K22" s="57" t="inlineStr">
        <is>
          <t>SIM</t>
        </is>
      </c>
      <c r="L22" s="49">
        <f>C22/IF(B22&lt;='VALOR POR PL'!$P$5,IFERROR(INDEX('"INCC-FGV"'!$B$2:$B$800,MATCH(B22,'"INCC-FGV"'!$A$2:$A$800,0)),$K$2),$K$2)</f>
        <v/>
      </c>
      <c r="M22" s="138">
        <f>'CP RESUMO'!U41</f>
        <v/>
      </c>
      <c r="N22" s="139">
        <f>MAX(0,M22-M21)</f>
        <v/>
      </c>
      <c r="O22" s="138">
        <f>IF(B22&lt;='VALOR POR PL'!$P$5,'CP RESUMO'!U83,"")</f>
        <v/>
      </c>
      <c r="P22" s="72">
        <f>IF(B22&lt;='VALOR POR PL'!$P$5,0,IF(OR($K$16="CURVA PREVISION",$K$16="MDO PREVISION + MATERIAL PREMISSA"),N22,IF($K$16="PREVISÃO INFORMADA",MAX(0,H22),0)))</f>
        <v/>
      </c>
    </row>
    <row r="23">
      <c r="B23" s="140">
        <f>DATE(YEAR(B22),MONTH(B22)+1,1)</f>
        <v/>
      </c>
      <c r="C23" s="60">
        <f>IF(AND($K$22="NÃO",B23&gt;'VALOR POR PL'!$P$5),0,'DADOS HISTORICOS'!V41)</f>
        <v/>
      </c>
      <c r="D23" s="49">
        <f>IF(B23&lt;='VALOR POR PL'!$P$5,0,IF($K$17&gt;0,$K$18*P23/$K$17,0))</f>
        <v/>
      </c>
      <c r="E23" s="49">
        <f>L23+D23/$K$2</f>
        <v/>
      </c>
      <c r="F23" s="117">
        <f>IF($K$9=0,0,E23/$K$9)</f>
        <v/>
      </c>
      <c r="G23" s="117">
        <f>G22+F23</f>
        <v/>
      </c>
      <c r="H23" s="137" t="n"/>
      <c r="I23" s="3" t="inlineStr">
        <is>
          <t>Critério / observações:</t>
        </is>
      </c>
      <c r="L23" s="49">
        <f>C23/IF(B23&lt;='VALOR POR PL'!$P$5,IFERROR(INDEX('"INCC-FGV"'!$B$2:$B$800,MATCH(B23,'"INCC-FGV"'!$A$2:$A$800,0)),$K$2),$K$2)</f>
        <v/>
      </c>
      <c r="M23" s="138">
        <f>'CP RESUMO'!V41</f>
        <v/>
      </c>
      <c r="N23" s="139">
        <f>MAX(0,M23-M22)</f>
        <v/>
      </c>
      <c r="O23" s="138">
        <f>IF(B23&lt;='VALOR POR PL'!$P$5,'CP RESUMO'!V83,"")</f>
        <v/>
      </c>
      <c r="P23" s="72">
        <f>IF(B23&lt;='VALOR POR PL'!$P$5,0,IF(OR($K$16="CURVA PREVISION",$K$16="MDO PREVISION + MATERIAL PREMISSA"),N23,IF($K$16="PREVISÃO INFORMADA",MAX(0,H23),0)))</f>
        <v/>
      </c>
    </row>
    <row r="24" ht="45" customHeight="1">
      <c r="B24" s="140">
        <f>DATE(YEAR(B23),MONTH(B23)+1,1)</f>
        <v/>
      </c>
      <c r="C24" s="60">
        <f>IF(AND($K$22="NÃO",B24&gt;'VALOR POR PL'!$P$5),0,'DADOS HISTORICOS'!W41)</f>
        <v/>
      </c>
      <c r="D24" s="49">
        <f>IF(B24&lt;='VALOR POR PL'!$P$5,0,IF($K$17&gt;0,$K$18*P24/$K$17,0))</f>
        <v/>
      </c>
      <c r="E24" s="49">
        <f>L24+D24/$K$2</f>
        <v/>
      </c>
      <c r="F24" s="117">
        <f>IF($K$9=0,0,E24/$K$9)</f>
        <v/>
      </c>
      <c r="G24" s="117">
        <f>G23+F24</f>
        <v/>
      </c>
      <c r="H24" s="137" t="n"/>
      <c r="I24" s="144" t="n"/>
      <c r="L24" s="49">
        <f>C24/IF(B24&lt;='VALOR POR PL'!$P$5,IFERROR(INDEX('"INCC-FGV"'!$B$2:$B$800,MATCH(B24,'"INCC-FGV"'!$A$2:$A$800,0)),$K$2),$K$2)</f>
        <v/>
      </c>
      <c r="M24" s="138">
        <f>'CP RESUMO'!W41</f>
        <v/>
      </c>
      <c r="N24" s="139">
        <f>MAX(0,M24-M23)</f>
        <v/>
      </c>
      <c r="O24" s="138">
        <f>IF(B24&lt;='VALOR POR PL'!$P$5,'CP RESUMO'!W83,"")</f>
        <v/>
      </c>
      <c r="P24" s="72">
        <f>IF(B24&lt;='VALOR POR PL'!$P$5,0,IF(OR($K$16="CURVA PREVISION",$K$16="MDO PREVISION + MATERIAL PREMISSA"),N24,IF($K$16="PREVISÃO INFORMADA",MAX(0,H24),0)))</f>
        <v/>
      </c>
    </row>
    <row r="25">
      <c r="B25" s="140">
        <f>DATE(YEAR(B24),MONTH(B24)+1,1)</f>
        <v/>
      </c>
      <c r="C25" s="60">
        <f>IF(AND($K$22="NÃO",B25&gt;'VALOR POR PL'!$P$5),0,'DADOS HISTORICOS'!X41)</f>
        <v/>
      </c>
      <c r="D25" s="49">
        <f>IF(B25&lt;='VALOR POR PL'!$P$5,0,IF($K$17&gt;0,$K$18*P25/$K$17,0))</f>
        <v/>
      </c>
      <c r="E25" s="49">
        <f>L25+D25/$K$2</f>
        <v/>
      </c>
      <c r="F25" s="117">
        <f>IF($K$9=0,0,E25/$K$9)</f>
        <v/>
      </c>
      <c r="G25" s="117">
        <f>G24+F25</f>
        <v/>
      </c>
      <c r="H25" s="137" t="n"/>
      <c r="L25" s="49">
        <f>C25/IF(B25&lt;='VALOR POR PL'!$P$5,IFERROR(INDEX('"INCC-FGV"'!$B$2:$B$800,MATCH(B25,'"INCC-FGV"'!$A$2:$A$800,0)),$K$2),$K$2)</f>
        <v/>
      </c>
      <c r="M25" s="138">
        <f>'CP RESUMO'!X41</f>
        <v/>
      </c>
      <c r="N25" s="139">
        <f>MAX(0,M25-M24)</f>
        <v/>
      </c>
      <c r="O25" s="138">
        <f>IF(B25&lt;='VALOR POR PL'!$P$5,'CP RESUMO'!X83,"")</f>
        <v/>
      </c>
      <c r="P25" s="72">
        <f>IF(B25&lt;='VALOR POR PL'!$P$5,0,IF(OR($K$16="CURVA PREVISION",$K$16="MDO PREVISION + MATERIAL PREMISSA"),N25,IF($K$16="PREVISÃO INFORMADA",MAX(0,H25),0)))</f>
        <v/>
      </c>
    </row>
    <row r="26">
      <c r="B26" s="140">
        <f>DATE(YEAR(B25),MONTH(B25)+1,1)</f>
        <v/>
      </c>
      <c r="C26" s="60">
        <f>IF(AND($K$22="NÃO",B26&gt;'VALOR POR PL'!$P$5),0,'DADOS HISTORICOS'!Y41)</f>
        <v/>
      </c>
      <c r="D26" s="49">
        <f>IF(B26&lt;='VALOR POR PL'!$P$5,0,IF($K$17&gt;0,$K$18*P26/$K$17,0))</f>
        <v/>
      </c>
      <c r="E26" s="49">
        <f>L26+D26/$K$2</f>
        <v/>
      </c>
      <c r="F26" s="117">
        <f>IF($K$9=0,0,E26/$K$9)</f>
        <v/>
      </c>
      <c r="G26" s="117">
        <f>G25+F26</f>
        <v/>
      </c>
      <c r="H26" s="137" t="n"/>
      <c r="L26" s="49">
        <f>C26/IF(B26&lt;='VALOR POR PL'!$P$5,IFERROR(INDEX('"INCC-FGV"'!$B$2:$B$800,MATCH(B26,'"INCC-FGV"'!$A$2:$A$800,0)),$K$2),$K$2)</f>
        <v/>
      </c>
      <c r="M26" s="138">
        <f>'CP RESUMO'!Y41</f>
        <v/>
      </c>
      <c r="N26" s="139">
        <f>MAX(0,M26-M25)</f>
        <v/>
      </c>
      <c r="O26" s="138">
        <f>IF(B26&lt;='VALOR POR PL'!$P$5,'CP RESUMO'!Y83,"")</f>
        <v/>
      </c>
      <c r="P26" s="72">
        <f>IF(B26&lt;='VALOR POR PL'!$P$5,0,IF(OR($K$16="CURVA PREVISION",$K$16="MDO PREVISION + MATERIAL PREMISSA"),N26,IF($K$16="PREVISÃO INFORMADA",MAX(0,H26),0)))</f>
        <v/>
      </c>
    </row>
    <row r="27">
      <c r="B27" s="140">
        <f>DATE(YEAR(B26),MONTH(B26)+1,1)</f>
        <v/>
      </c>
      <c r="C27" s="60">
        <f>IF(AND($K$22="NÃO",B27&gt;'VALOR POR PL'!$P$5),0,'DADOS HISTORICOS'!Z41)</f>
        <v/>
      </c>
      <c r="D27" s="49">
        <f>IF(B27&lt;='VALOR POR PL'!$P$5,0,IF($K$17&gt;0,$K$18*P27/$K$17,0))</f>
        <v/>
      </c>
      <c r="E27" s="49">
        <f>L27+D27/$K$2</f>
        <v/>
      </c>
      <c r="F27" s="117">
        <f>IF($K$9=0,0,E27/$K$9)</f>
        <v/>
      </c>
      <c r="G27" s="117">
        <f>G26+F27</f>
        <v/>
      </c>
      <c r="H27" s="137" t="n"/>
      <c r="L27" s="49">
        <f>C27/IF(B27&lt;='VALOR POR PL'!$P$5,IFERROR(INDEX('"INCC-FGV"'!$B$2:$B$800,MATCH(B27,'"INCC-FGV"'!$A$2:$A$800,0)),$K$2),$K$2)</f>
        <v/>
      </c>
      <c r="M27" s="138">
        <f>'CP RESUMO'!Z41</f>
        <v/>
      </c>
      <c r="N27" s="139">
        <f>MAX(0,M27-M26)</f>
        <v/>
      </c>
      <c r="O27" s="138">
        <f>IF(B27&lt;='VALOR POR PL'!$P$5,'CP RESUMO'!Z83,"")</f>
        <v/>
      </c>
      <c r="P27" s="72">
        <f>IF(B27&lt;='VALOR POR PL'!$P$5,0,IF(OR($K$16="CURVA PREVISION",$K$16="MDO PREVISION + MATERIAL PREMISSA"),N27,IF($K$16="PREVISÃO INFORMADA",MAX(0,H27),0)))</f>
        <v/>
      </c>
    </row>
    <row r="28">
      <c r="B28" s="140">
        <f>DATE(YEAR(B27),MONTH(B27)+1,1)</f>
        <v/>
      </c>
      <c r="C28" s="60">
        <f>IF(AND($K$22="NÃO",B28&gt;'VALOR POR PL'!$P$5),0,'DADOS HISTORICOS'!AA41)</f>
        <v/>
      </c>
      <c r="D28" s="49">
        <f>IF(B28&lt;='VALOR POR PL'!$P$5,0,IF($K$17&gt;0,$K$18*P28/$K$17,0))</f>
        <v/>
      </c>
      <c r="E28" s="49">
        <f>L28+D28/$K$2</f>
        <v/>
      </c>
      <c r="F28" s="117">
        <f>IF($K$9=0,0,E28/$K$9)</f>
        <v/>
      </c>
      <c r="G28" s="117">
        <f>G27+F28</f>
        <v/>
      </c>
      <c r="H28" s="137" t="n"/>
      <c r="L28" s="49">
        <f>C28/IF(B28&lt;='VALOR POR PL'!$P$5,IFERROR(INDEX('"INCC-FGV"'!$B$2:$B$800,MATCH(B28,'"INCC-FGV"'!$A$2:$A$800,0)),$K$2),$K$2)</f>
        <v/>
      </c>
      <c r="M28" s="138">
        <f>'CP RESUMO'!AA41</f>
        <v/>
      </c>
      <c r="N28" s="139">
        <f>MAX(0,M28-M27)</f>
        <v/>
      </c>
      <c r="O28" s="138">
        <f>IF(B28&lt;='VALOR POR PL'!$P$5,'CP RESUMO'!AA83,"")</f>
        <v/>
      </c>
      <c r="P28" s="72">
        <f>IF(B28&lt;='VALOR POR PL'!$P$5,0,IF(OR($K$16="CURVA PREVISION",$K$16="MDO PREVISION + MATERIAL PREMISSA"),N28,IF($K$16="PREVISÃO INFORMADA",MAX(0,H28),0)))</f>
        <v/>
      </c>
    </row>
    <row r="29">
      <c r="B29" s="140">
        <f>DATE(YEAR(B28),MONTH(B28)+1,1)</f>
        <v/>
      </c>
      <c r="C29" s="60">
        <f>IF(AND($K$22="NÃO",B29&gt;'VALOR POR PL'!$P$5),0,'DADOS HISTORICOS'!AB41)</f>
        <v/>
      </c>
      <c r="D29" s="49">
        <f>IF(B29&lt;='VALOR POR PL'!$P$5,0,IF($K$17&gt;0,$K$18*P29/$K$17,0))</f>
        <v/>
      </c>
      <c r="E29" s="49">
        <f>L29+D29/$K$2</f>
        <v/>
      </c>
      <c r="F29" s="117">
        <f>IF($K$9=0,0,E29/$K$9)</f>
        <v/>
      </c>
      <c r="G29" s="117">
        <f>G28+F29</f>
        <v/>
      </c>
      <c r="H29" s="137" t="n"/>
      <c r="L29" s="49">
        <f>C29/IF(B29&lt;='VALOR POR PL'!$P$5,IFERROR(INDEX('"INCC-FGV"'!$B$2:$B$800,MATCH(B29,'"INCC-FGV"'!$A$2:$A$800,0)),$K$2),$K$2)</f>
        <v/>
      </c>
      <c r="M29" s="138">
        <f>'CP RESUMO'!AB41</f>
        <v/>
      </c>
      <c r="N29" s="139">
        <f>MAX(0,M29-M28)</f>
        <v/>
      </c>
      <c r="O29" s="138">
        <f>IF(B29&lt;='VALOR POR PL'!$P$5,'CP RESUMO'!AB83,"")</f>
        <v/>
      </c>
      <c r="P29" s="72">
        <f>IF(B29&lt;='VALOR POR PL'!$P$5,0,IF(OR($K$16="CURVA PREVISION",$K$16="MDO PREVISION + MATERIAL PREMISSA"),N29,IF($K$16="PREVISÃO INFORMADA",MAX(0,H29),0)))</f>
        <v/>
      </c>
    </row>
    <row r="30">
      <c r="B30" s="140">
        <f>DATE(YEAR(B29),MONTH(B29)+1,1)</f>
        <v/>
      </c>
      <c r="C30" s="60">
        <f>IF(AND($K$22="NÃO",B30&gt;'VALOR POR PL'!$P$5),0,'DADOS HISTORICOS'!AC41)</f>
        <v/>
      </c>
      <c r="D30" s="49">
        <f>IF(B30&lt;='VALOR POR PL'!$P$5,0,IF($K$17&gt;0,$K$18*P30/$K$17,0))</f>
        <v/>
      </c>
      <c r="E30" s="49">
        <f>L30+D30/$K$2</f>
        <v/>
      </c>
      <c r="F30" s="117">
        <f>IF($K$9=0,0,E30/$K$9)</f>
        <v/>
      </c>
      <c r="G30" s="117">
        <f>G29+F30</f>
        <v/>
      </c>
      <c r="H30" s="137" t="n"/>
      <c r="L30" s="49">
        <f>C30/IF(B30&lt;='VALOR POR PL'!$P$5,IFERROR(INDEX('"INCC-FGV"'!$B$2:$B$800,MATCH(B30,'"INCC-FGV"'!$A$2:$A$800,0)),$K$2),$K$2)</f>
        <v/>
      </c>
      <c r="M30" s="138">
        <f>'CP RESUMO'!AC41</f>
        <v/>
      </c>
      <c r="N30" s="139">
        <f>MAX(0,M30-M29)</f>
        <v/>
      </c>
      <c r="O30" s="138">
        <f>IF(B30&lt;='VALOR POR PL'!$P$5,'CP RESUMO'!AC83,"")</f>
        <v/>
      </c>
      <c r="P30" s="72">
        <f>IF(B30&lt;='VALOR POR PL'!$P$5,0,IF(OR($K$16="CURVA PREVISION",$K$16="MDO PREVISION + MATERIAL PREMISSA"),N30,IF($K$16="PREVISÃO INFORMADA",MAX(0,H30),0)))</f>
        <v/>
      </c>
    </row>
    <row r="31">
      <c r="B31" s="140">
        <f>DATE(YEAR(B30),MONTH(B30)+1,1)</f>
        <v/>
      </c>
      <c r="C31" s="60">
        <f>IF(AND($K$22="NÃO",B31&gt;'VALOR POR PL'!$P$5),0,'DADOS HISTORICOS'!AD41)</f>
        <v/>
      </c>
      <c r="D31" s="49">
        <f>IF(B31&lt;='VALOR POR PL'!$P$5,0,IF($K$17&gt;0,$K$18*P31/$K$17,0))</f>
        <v/>
      </c>
      <c r="E31" s="49">
        <f>L31+D31/$K$2</f>
        <v/>
      </c>
      <c r="F31" s="117">
        <f>IF($K$9=0,0,E31/$K$9)</f>
        <v/>
      </c>
      <c r="G31" s="117">
        <f>G30+F31</f>
        <v/>
      </c>
      <c r="H31" s="137" t="n"/>
      <c r="L31" s="49">
        <f>C31/IF(B31&lt;='VALOR POR PL'!$P$5,IFERROR(INDEX('"INCC-FGV"'!$B$2:$B$800,MATCH(B31,'"INCC-FGV"'!$A$2:$A$800,0)),$K$2),$K$2)</f>
        <v/>
      </c>
      <c r="M31" s="138">
        <f>'CP RESUMO'!AD41</f>
        <v/>
      </c>
      <c r="N31" s="139">
        <f>MAX(0,M31-M30)</f>
        <v/>
      </c>
      <c r="O31" s="138">
        <f>IF(B31&lt;='VALOR POR PL'!$P$5,'CP RESUMO'!AD83,"")</f>
        <v/>
      </c>
      <c r="P31" s="72">
        <f>IF(B31&lt;='VALOR POR PL'!$P$5,0,IF(OR($K$16="CURVA PREVISION",$K$16="MDO PREVISION + MATERIAL PREMISSA"),N31,IF($K$16="PREVISÃO INFORMADA",MAX(0,H31),0)))</f>
        <v/>
      </c>
    </row>
    <row r="32">
      <c r="B32" s="140">
        <f>DATE(YEAR(B31),MONTH(B31)+1,1)</f>
        <v/>
      </c>
      <c r="C32" s="60">
        <f>IF(AND($K$22="NÃO",B32&gt;'VALOR POR PL'!$P$5),0,'DADOS HISTORICOS'!AE41)</f>
        <v/>
      </c>
      <c r="D32" s="49">
        <f>IF(B32&lt;='VALOR POR PL'!$P$5,0,IF($K$17&gt;0,$K$18*P32/$K$17,0))</f>
        <v/>
      </c>
      <c r="E32" s="49">
        <f>L32+D32/$K$2</f>
        <v/>
      </c>
      <c r="F32" s="117">
        <f>IF($K$9=0,0,E32/$K$9)</f>
        <v/>
      </c>
      <c r="G32" s="117">
        <f>G31+F32</f>
        <v/>
      </c>
      <c r="H32" s="137" t="n"/>
      <c r="L32" s="49">
        <f>C32/IF(B32&lt;='VALOR POR PL'!$P$5,IFERROR(INDEX('"INCC-FGV"'!$B$2:$B$800,MATCH(B32,'"INCC-FGV"'!$A$2:$A$800,0)),$K$2),$K$2)</f>
        <v/>
      </c>
      <c r="M32" s="138">
        <f>'CP RESUMO'!AE41</f>
        <v/>
      </c>
      <c r="N32" s="139">
        <f>MAX(0,M32-M31)</f>
        <v/>
      </c>
      <c r="O32" s="138">
        <f>IF(B32&lt;='VALOR POR PL'!$P$5,'CP RESUMO'!AE83,"")</f>
        <v/>
      </c>
      <c r="P32" s="72">
        <f>IF(B32&lt;='VALOR POR PL'!$P$5,0,IF(OR($K$16="CURVA PREVISION",$K$16="MDO PREVISION + MATERIAL PREMISSA"),N32,IF($K$16="PREVISÃO INFORMADA",MAX(0,H32),0)))</f>
        <v/>
      </c>
    </row>
    <row r="33">
      <c r="B33" s="140">
        <f>DATE(YEAR(B32),MONTH(B32)+1,1)</f>
        <v/>
      </c>
      <c r="C33" s="60">
        <f>IF(AND($K$22="NÃO",B33&gt;'VALOR POR PL'!$P$5),0,'DADOS HISTORICOS'!AF41)</f>
        <v/>
      </c>
      <c r="D33" s="49">
        <f>IF(B33&lt;='VALOR POR PL'!$P$5,0,IF($K$17&gt;0,$K$18*P33/$K$17,0))</f>
        <v/>
      </c>
      <c r="E33" s="49">
        <f>L33+D33/$K$2</f>
        <v/>
      </c>
      <c r="F33" s="117">
        <f>IF($K$9=0,0,E33/$K$9)</f>
        <v/>
      </c>
      <c r="G33" s="117">
        <f>G32+F33</f>
        <v/>
      </c>
      <c r="H33" s="137" t="n"/>
      <c r="L33" s="49">
        <f>C33/IF(B33&lt;='VALOR POR PL'!$P$5,IFERROR(INDEX('"INCC-FGV"'!$B$2:$B$800,MATCH(B33,'"INCC-FGV"'!$A$2:$A$800,0)),$K$2),$K$2)</f>
        <v/>
      </c>
      <c r="M33" s="138">
        <f>'CP RESUMO'!AF41</f>
        <v/>
      </c>
      <c r="N33" s="139">
        <f>MAX(0,M33-M32)</f>
        <v/>
      </c>
      <c r="O33" s="138">
        <f>IF(B33&lt;='VALOR POR PL'!$P$5,'CP RESUMO'!AF83,"")</f>
        <v/>
      </c>
      <c r="P33" s="72">
        <f>IF(B33&lt;='VALOR POR PL'!$P$5,0,IF(OR($K$16="CURVA PREVISION",$K$16="MDO PREVISION + MATERIAL PREMISSA"),N33,IF($K$16="PREVISÃO INFORMADA",MAX(0,H33),0)))</f>
        <v/>
      </c>
    </row>
    <row r="34">
      <c r="B34" s="140">
        <f>DATE(YEAR(B33),MONTH(B33)+1,1)</f>
        <v/>
      </c>
      <c r="C34" s="60">
        <f>IF(AND($K$22="NÃO",B34&gt;'VALOR POR PL'!$P$5),0,'DADOS HISTORICOS'!AG41)</f>
        <v/>
      </c>
      <c r="D34" s="49">
        <f>IF(B34&lt;='VALOR POR PL'!$P$5,0,IF($K$17&gt;0,$K$18*P34/$K$17,0))</f>
        <v/>
      </c>
      <c r="E34" s="49">
        <f>L34+D34/$K$2</f>
        <v/>
      </c>
      <c r="F34" s="117">
        <f>IF($K$9=0,0,E34/$K$9)</f>
        <v/>
      </c>
      <c r="G34" s="117">
        <f>G33+F34</f>
        <v/>
      </c>
      <c r="H34" s="137" t="n"/>
      <c r="L34" s="49">
        <f>C34/IF(B34&lt;='VALOR POR PL'!$P$5,IFERROR(INDEX('"INCC-FGV"'!$B$2:$B$800,MATCH(B34,'"INCC-FGV"'!$A$2:$A$800,0)),$K$2),$K$2)</f>
        <v/>
      </c>
      <c r="M34" s="138">
        <f>'CP RESUMO'!AG41</f>
        <v/>
      </c>
      <c r="N34" s="139">
        <f>MAX(0,M34-M33)</f>
        <v/>
      </c>
      <c r="O34" s="138">
        <f>IF(B34&lt;='VALOR POR PL'!$P$5,'CP RESUMO'!AG83,"")</f>
        <v/>
      </c>
      <c r="P34" s="72">
        <f>IF(B34&lt;='VALOR POR PL'!$P$5,0,IF(OR($K$16="CURVA PREVISION",$K$16="MDO PREVISION + MATERIAL PREMISSA"),N34,IF($K$16="PREVISÃO INFORMADA",MAX(0,H34),0)))</f>
        <v/>
      </c>
    </row>
    <row r="35">
      <c r="B35" s="140">
        <f>DATE(YEAR(B34),MONTH(B34)+1,1)</f>
        <v/>
      </c>
      <c r="C35" s="60">
        <f>IF(AND($K$22="NÃO",B35&gt;'VALOR POR PL'!$P$5),0,'DADOS HISTORICOS'!AH41)</f>
        <v/>
      </c>
      <c r="D35" s="49">
        <f>IF(B35&lt;='VALOR POR PL'!$P$5,0,IF($K$17&gt;0,$K$18*P35/$K$17,0))</f>
        <v/>
      </c>
      <c r="E35" s="49">
        <f>L35+D35/$K$2</f>
        <v/>
      </c>
      <c r="F35" s="117">
        <f>IF($K$9=0,0,E35/$K$9)</f>
        <v/>
      </c>
      <c r="G35" s="117">
        <f>G34+F35</f>
        <v/>
      </c>
      <c r="H35" s="137" t="n"/>
      <c r="L35" s="49">
        <f>C35/IF(B35&lt;='VALOR POR PL'!$P$5,IFERROR(INDEX('"INCC-FGV"'!$B$2:$B$800,MATCH(B35,'"INCC-FGV"'!$A$2:$A$800,0)),$K$2),$K$2)</f>
        <v/>
      </c>
      <c r="M35" s="138">
        <f>'CP RESUMO'!AH41</f>
        <v/>
      </c>
      <c r="N35" s="139">
        <f>MAX(0,M35-M34)</f>
        <v/>
      </c>
      <c r="O35" s="138">
        <f>IF(B35&lt;='VALOR POR PL'!$P$5,'CP RESUMO'!AH83,"")</f>
        <v/>
      </c>
      <c r="P35" s="72">
        <f>IF(B35&lt;='VALOR POR PL'!$P$5,0,IF(OR($K$16="CURVA PREVISION",$K$16="MDO PREVISION + MATERIAL PREMISSA"),N35,IF($K$16="PREVISÃO INFORMADA",MAX(0,H35),0)))</f>
        <v/>
      </c>
    </row>
    <row r="36">
      <c r="B36" s="140">
        <f>DATE(YEAR(B35),MONTH(B35)+1,1)</f>
        <v/>
      </c>
      <c r="C36" s="60">
        <f>IF(AND($K$22="NÃO",B36&gt;'VALOR POR PL'!$P$5),0,'DADOS HISTORICOS'!AI41)</f>
        <v/>
      </c>
      <c r="D36" s="49">
        <f>IF(B36&lt;='VALOR POR PL'!$P$5,0,IF($K$17&gt;0,$K$18*P36/$K$17,0))</f>
        <v/>
      </c>
      <c r="E36" s="49">
        <f>L36+D36/$K$2</f>
        <v/>
      </c>
      <c r="F36" s="117">
        <f>IF($K$9=0,0,E36/$K$9)</f>
        <v/>
      </c>
      <c r="G36" s="117">
        <f>G35+F36</f>
        <v/>
      </c>
      <c r="H36" s="137" t="n"/>
      <c r="L36" s="49">
        <f>C36/IF(B36&lt;='VALOR POR PL'!$P$5,IFERROR(INDEX('"INCC-FGV"'!$B$2:$B$800,MATCH(B36,'"INCC-FGV"'!$A$2:$A$800,0)),$K$2),$K$2)</f>
        <v/>
      </c>
      <c r="M36" s="138">
        <f>'CP RESUMO'!AI41</f>
        <v/>
      </c>
      <c r="N36" s="139">
        <f>MAX(0,M36-M35)</f>
        <v/>
      </c>
      <c r="O36" s="138">
        <f>IF(B36&lt;='VALOR POR PL'!$P$5,'CP RESUMO'!AI83,"")</f>
        <v/>
      </c>
      <c r="P36" s="72">
        <f>IF(B36&lt;='VALOR POR PL'!$P$5,0,IF(OR($K$16="CURVA PREVISION",$K$16="MDO PREVISION + MATERIAL PREMISSA"),N36,IF($K$16="PREVISÃO INFORMADA",MAX(0,H36),0)))</f>
        <v/>
      </c>
    </row>
    <row r="37">
      <c r="B37" s="140">
        <f>DATE(YEAR(B36),MONTH(B36)+1,1)</f>
        <v/>
      </c>
      <c r="C37" s="60">
        <f>IF(AND($K$22="NÃO",B37&gt;'VALOR POR PL'!$P$5),0,'DADOS HISTORICOS'!AJ41)</f>
        <v/>
      </c>
      <c r="D37" s="49">
        <f>IF(B37&lt;='VALOR POR PL'!$P$5,0,IF($K$17&gt;0,$K$18*P37/$K$17,0))</f>
        <v/>
      </c>
      <c r="E37" s="49">
        <f>L37+D37/$K$2</f>
        <v/>
      </c>
      <c r="F37" s="117">
        <f>IF($K$9=0,0,E37/$K$9)</f>
        <v/>
      </c>
      <c r="G37" s="117">
        <f>G36+F37</f>
        <v/>
      </c>
      <c r="H37" s="137" t="n"/>
      <c r="L37" s="49">
        <f>C37/IF(B37&lt;='VALOR POR PL'!$P$5,IFERROR(INDEX('"INCC-FGV"'!$B$2:$B$800,MATCH(B37,'"INCC-FGV"'!$A$2:$A$800,0)),$K$2),$K$2)</f>
        <v/>
      </c>
      <c r="M37" s="138">
        <f>'CP RESUMO'!AJ41</f>
        <v/>
      </c>
      <c r="N37" s="139">
        <f>MAX(0,M37-M36)</f>
        <v/>
      </c>
      <c r="O37" s="138">
        <f>IF(B37&lt;='VALOR POR PL'!$P$5,'CP RESUMO'!AJ83,"")</f>
        <v/>
      </c>
      <c r="P37" s="72">
        <f>IF(B37&lt;='VALOR POR PL'!$P$5,0,IF(OR($K$16="CURVA PREVISION",$K$16="MDO PREVISION + MATERIAL PREMISSA"),N37,IF($K$16="PREVISÃO INFORMADA",MAX(0,H37),0)))</f>
        <v/>
      </c>
    </row>
    <row r="38">
      <c r="B38" s="140">
        <f>DATE(YEAR(B37),MONTH(B37)+1,1)</f>
        <v/>
      </c>
      <c r="C38" s="60">
        <f>IF(AND($K$22="NÃO",B38&gt;'VALOR POR PL'!$P$5),0,'DADOS HISTORICOS'!AK41)</f>
        <v/>
      </c>
      <c r="D38" s="49">
        <f>IF(B38&lt;='VALOR POR PL'!$P$5,0,IF($K$17&gt;0,$K$18*P38/$K$17,0))</f>
        <v/>
      </c>
      <c r="E38" s="49">
        <f>L38+D38/$K$2</f>
        <v/>
      </c>
      <c r="F38" s="117">
        <f>IF($K$9=0,0,E38/$K$9)</f>
        <v/>
      </c>
      <c r="G38" s="117">
        <f>G37+F38</f>
        <v/>
      </c>
      <c r="H38" s="137" t="n"/>
      <c r="L38" s="49">
        <f>C38/IF(B38&lt;='VALOR POR PL'!$P$5,IFERROR(INDEX('"INCC-FGV"'!$B$2:$B$800,MATCH(B38,'"INCC-FGV"'!$A$2:$A$800,0)),$K$2),$K$2)</f>
        <v/>
      </c>
      <c r="M38" s="138">
        <f>'CP RESUMO'!AK41</f>
        <v/>
      </c>
      <c r="N38" s="139">
        <f>MAX(0,M38-M37)</f>
        <v/>
      </c>
      <c r="O38" s="138">
        <f>IF(B38&lt;='VALOR POR PL'!$P$5,'CP RESUMO'!AK83,"")</f>
        <v/>
      </c>
      <c r="P38" s="72">
        <f>IF(B38&lt;='VALOR POR PL'!$P$5,0,IF(OR($K$16="CURVA PREVISION",$K$16="MDO PREVISION + MATERIAL PREMISSA"),N38,IF($K$16="PREVISÃO INFORMADA",MAX(0,H38),0)))</f>
        <v/>
      </c>
    </row>
    <row r="39">
      <c r="B39" s="140">
        <f>DATE(YEAR(B38),MONTH(B38)+1,1)</f>
        <v/>
      </c>
      <c r="C39" s="60">
        <f>IF(AND($K$22="NÃO",B39&gt;'VALOR POR PL'!$P$5),0,'DADOS HISTORICOS'!AL41)</f>
        <v/>
      </c>
      <c r="D39" s="49">
        <f>IF(B39&lt;='VALOR POR PL'!$P$5,0,IF($K$17&gt;0,$K$18*P39/$K$17,0))</f>
        <v/>
      </c>
      <c r="E39" s="49">
        <f>L39+D39/$K$2</f>
        <v/>
      </c>
      <c r="F39" s="117">
        <f>IF($K$9=0,0,E39/$K$9)</f>
        <v/>
      </c>
      <c r="G39" s="117">
        <f>G38+F39</f>
        <v/>
      </c>
      <c r="H39" s="137" t="n"/>
      <c r="L39" s="49">
        <f>C39/IF(B39&lt;='VALOR POR PL'!$P$5,IFERROR(INDEX('"INCC-FGV"'!$B$2:$B$800,MATCH(B39,'"INCC-FGV"'!$A$2:$A$800,0)),$K$2),$K$2)</f>
        <v/>
      </c>
      <c r="M39" s="138">
        <f>'CP RESUMO'!AL41</f>
        <v/>
      </c>
      <c r="N39" s="139">
        <f>MAX(0,M39-M38)</f>
        <v/>
      </c>
      <c r="O39" s="138">
        <f>IF(B39&lt;='VALOR POR PL'!$P$5,'CP RESUMO'!AL83,"")</f>
        <v/>
      </c>
      <c r="P39" s="72">
        <f>IF(B39&lt;='VALOR POR PL'!$P$5,0,IF(OR($K$16="CURVA PREVISION",$K$16="MDO PREVISION + MATERIAL PREMISSA"),N39,IF($K$16="PREVISÃO INFORMADA",MAX(0,H39),0)))</f>
        <v/>
      </c>
    </row>
    <row r="40">
      <c r="B40" s="140">
        <f>DATE(YEAR(B39),MONTH(B39)+1,1)</f>
        <v/>
      </c>
      <c r="C40" s="60">
        <f>IF(AND($K$22="NÃO",B40&gt;'VALOR POR PL'!$P$5),0,'DADOS HISTORICOS'!AM41)</f>
        <v/>
      </c>
      <c r="D40" s="49">
        <f>IF(B40&lt;='VALOR POR PL'!$P$5,0,IF($K$17&gt;0,$K$18*P40/$K$17,0))</f>
        <v/>
      </c>
      <c r="E40" s="49">
        <f>L40+D40/$K$2</f>
        <v/>
      </c>
      <c r="F40" s="117">
        <f>IF($K$9=0,0,E40/$K$9)</f>
        <v/>
      </c>
      <c r="G40" s="117">
        <f>G39+F40</f>
        <v/>
      </c>
      <c r="H40" s="137" t="n"/>
      <c r="L40" s="49">
        <f>C40/IF(B40&lt;='VALOR POR PL'!$P$5,IFERROR(INDEX('"INCC-FGV"'!$B$2:$B$800,MATCH(B40,'"INCC-FGV"'!$A$2:$A$800,0)),$K$2),$K$2)</f>
        <v/>
      </c>
      <c r="M40" s="138">
        <f>'CP RESUMO'!AM41</f>
        <v/>
      </c>
      <c r="N40" s="139">
        <f>MAX(0,M40-M39)</f>
        <v/>
      </c>
      <c r="O40" s="138">
        <f>IF(B40&lt;='VALOR POR PL'!$P$5,'CP RESUMO'!AM83,"")</f>
        <v/>
      </c>
      <c r="P40" s="72">
        <f>IF(B40&lt;='VALOR POR PL'!$P$5,0,IF(OR($K$16="CURVA PREVISION",$K$16="MDO PREVISION + MATERIAL PREMISSA"),N40,IF($K$16="PREVISÃO INFORMADA",MAX(0,H40),0)))</f>
        <v/>
      </c>
    </row>
    <row r="41">
      <c r="B41" s="140">
        <f>DATE(YEAR(B40),MONTH(B40)+1,1)</f>
        <v/>
      </c>
      <c r="C41" s="60">
        <f>IF(AND($K$22="NÃO",B41&gt;'VALOR POR PL'!$P$5),0,'DADOS HISTORICOS'!AN41)</f>
        <v/>
      </c>
      <c r="D41" s="49">
        <f>IF(B41&lt;='VALOR POR PL'!$P$5,0,IF($K$17&gt;0,$K$18*P41/$K$17,0))</f>
        <v/>
      </c>
      <c r="E41" s="49">
        <f>L41+D41/$K$2</f>
        <v/>
      </c>
      <c r="F41" s="117">
        <f>IF($K$9=0,0,E41/$K$9)</f>
        <v/>
      </c>
      <c r="G41" s="117">
        <f>G40+F41</f>
        <v/>
      </c>
      <c r="H41" s="137" t="n"/>
      <c r="L41" s="49">
        <f>C41/IF(B41&lt;='VALOR POR PL'!$P$5,IFERROR(INDEX('"INCC-FGV"'!$B$2:$B$800,MATCH(B41,'"INCC-FGV"'!$A$2:$A$800,0)),$K$2),$K$2)</f>
        <v/>
      </c>
      <c r="M41" s="138">
        <f>'CP RESUMO'!AN41</f>
        <v/>
      </c>
      <c r="N41" s="139">
        <f>MAX(0,M41-M40)</f>
        <v/>
      </c>
      <c r="O41" s="138">
        <f>IF(B41&lt;='VALOR POR PL'!$P$5,'CP RESUMO'!AN83,"")</f>
        <v/>
      </c>
      <c r="P41" s="72">
        <f>IF(B41&lt;='VALOR POR PL'!$P$5,0,IF(OR($K$16="CURVA PREVISION",$K$16="MDO PREVISION + MATERIAL PREMISSA"),N41,IF($K$16="PREVISÃO INFORMADA",MAX(0,H41),0)))</f>
        <v/>
      </c>
    </row>
    <row r="42">
      <c r="B42" s="140">
        <f>DATE(YEAR(B41),MONTH(B41)+1,1)</f>
        <v/>
      </c>
      <c r="C42" s="60">
        <f>IF(AND($K$22="NÃO",B42&gt;'VALOR POR PL'!$P$5),0,'DADOS HISTORICOS'!AO41)</f>
        <v/>
      </c>
      <c r="D42" s="49">
        <f>IF(B42&lt;='VALOR POR PL'!$P$5,0,IF($K$17&gt;0,$K$18*P42/$K$17,0))</f>
        <v/>
      </c>
      <c r="E42" s="49">
        <f>L42+D42/$K$2</f>
        <v/>
      </c>
      <c r="F42" s="117">
        <f>IF($K$9=0,0,E42/$K$9)</f>
        <v/>
      </c>
      <c r="G42" s="117">
        <f>G41+F42</f>
        <v/>
      </c>
      <c r="H42" s="137" t="n"/>
      <c r="L42" s="49">
        <f>C42/IF(B42&lt;='VALOR POR PL'!$P$5,IFERROR(INDEX('"INCC-FGV"'!$B$2:$B$800,MATCH(B42,'"INCC-FGV"'!$A$2:$A$800,0)),$K$2),$K$2)</f>
        <v/>
      </c>
      <c r="M42" s="138">
        <f>'CP RESUMO'!AO41</f>
        <v/>
      </c>
      <c r="N42" s="139">
        <f>MAX(0,M42-M41)</f>
        <v/>
      </c>
      <c r="O42" s="138">
        <f>IF(B42&lt;='VALOR POR PL'!$P$5,'CP RESUMO'!AO83,"")</f>
        <v/>
      </c>
      <c r="P42" s="72">
        <f>IF(B42&lt;='VALOR POR PL'!$P$5,0,IF(OR($K$16="CURVA PREVISION",$K$16="MDO PREVISION + MATERIAL PREMISSA"),N42,IF($K$16="PREVISÃO INFORMADA",MAX(0,H42),0)))</f>
        <v/>
      </c>
    </row>
    <row r="43">
      <c r="B43" s="140">
        <f>DATE(YEAR(B42),MONTH(B42)+1,1)</f>
        <v/>
      </c>
      <c r="C43" s="60">
        <f>IF(AND($K$22="NÃO",B43&gt;'VALOR POR PL'!$P$5),0,'DADOS HISTORICOS'!AP41)</f>
        <v/>
      </c>
      <c r="D43" s="49">
        <f>IF(B43&lt;='VALOR POR PL'!$P$5,0,IF($K$17&gt;0,$K$18*P43/$K$17,0))</f>
        <v/>
      </c>
      <c r="E43" s="49">
        <f>L43+D43/$K$2</f>
        <v/>
      </c>
      <c r="F43" s="117">
        <f>IF($K$9=0,0,E43/$K$9)</f>
        <v/>
      </c>
      <c r="G43" s="117">
        <f>G42+F43</f>
        <v/>
      </c>
      <c r="H43" s="137" t="n"/>
      <c r="L43" s="49">
        <f>C43/IF(B43&lt;='VALOR POR PL'!$P$5,IFERROR(INDEX('"INCC-FGV"'!$B$2:$B$800,MATCH(B43,'"INCC-FGV"'!$A$2:$A$800,0)),$K$2),$K$2)</f>
        <v/>
      </c>
      <c r="M43" s="138">
        <f>'CP RESUMO'!AP41</f>
        <v/>
      </c>
      <c r="N43" s="139">
        <f>MAX(0,M43-M42)</f>
        <v/>
      </c>
      <c r="O43" s="138">
        <f>IF(B43&lt;='VALOR POR PL'!$P$5,'CP RESUMO'!AP83,"")</f>
        <v/>
      </c>
      <c r="P43" s="72">
        <f>IF(B43&lt;='VALOR POR PL'!$P$5,0,IF(OR($K$16="CURVA PREVISION",$K$16="MDO PREVISION + MATERIAL PREMISSA"),N43,IF($K$16="PREVISÃO INFORMADA",MAX(0,H43),0)))</f>
        <v/>
      </c>
    </row>
    <row r="44">
      <c r="B44" s="140">
        <f>DATE(YEAR(B43),MONTH(B43)+1,1)</f>
        <v/>
      </c>
      <c r="C44" s="60">
        <f>IF(AND($K$22="NÃO",B44&gt;'VALOR POR PL'!$P$5),0,'DADOS HISTORICOS'!AQ41)</f>
        <v/>
      </c>
      <c r="D44" s="49">
        <f>IF(B44&lt;='VALOR POR PL'!$P$5,0,IF($K$17&gt;0,$K$18*P44/$K$17,0))</f>
        <v/>
      </c>
      <c r="E44" s="49">
        <f>L44+D44/$K$2</f>
        <v/>
      </c>
      <c r="F44" s="117">
        <f>IF($K$9=0,0,E44/$K$9)</f>
        <v/>
      </c>
      <c r="G44" s="117">
        <f>G43+F44</f>
        <v/>
      </c>
      <c r="H44" s="137" t="n"/>
      <c r="L44" s="49">
        <f>C44/IF(B44&lt;='VALOR POR PL'!$P$5,IFERROR(INDEX('"INCC-FGV"'!$B$2:$B$800,MATCH(B44,'"INCC-FGV"'!$A$2:$A$800,0)),$K$2),$K$2)</f>
        <v/>
      </c>
      <c r="M44" s="138">
        <f>'CP RESUMO'!AQ41</f>
        <v/>
      </c>
      <c r="N44" s="139">
        <f>MAX(0,M44-M43)</f>
        <v/>
      </c>
      <c r="O44" s="138">
        <f>IF(B44&lt;='VALOR POR PL'!$P$5,'CP RESUMO'!AQ83,"")</f>
        <v/>
      </c>
      <c r="P44" s="72">
        <f>IF(B44&lt;='VALOR POR PL'!$P$5,0,IF(OR($K$16="CURVA PREVISION",$K$16="MDO PREVISION + MATERIAL PREMISSA"),N44,IF($K$16="PREVISÃO INFORMADA",MAX(0,H44),0)))</f>
        <v/>
      </c>
    </row>
    <row r="45">
      <c r="B45" s="140">
        <f>DATE(YEAR(B44),MONTH(B44)+1,1)</f>
        <v/>
      </c>
      <c r="C45" s="60">
        <f>IF(AND($K$22="NÃO",B45&gt;'VALOR POR PL'!$P$5),0,'DADOS HISTORICOS'!AR41)</f>
        <v/>
      </c>
      <c r="D45" s="49">
        <f>IF(B45&lt;='VALOR POR PL'!$P$5,0,IF($K$17&gt;0,$K$18*P45/$K$17,0))</f>
        <v/>
      </c>
      <c r="E45" s="49">
        <f>L45+D45/$K$2</f>
        <v/>
      </c>
      <c r="F45" s="117">
        <f>IF($K$9=0,0,E45/$K$9)</f>
        <v/>
      </c>
      <c r="G45" s="117">
        <f>G44+F45</f>
        <v/>
      </c>
      <c r="H45" s="137" t="n">
        <v>19082.06</v>
      </c>
      <c r="L45" s="49">
        <f>C45/IF(B45&lt;='VALOR POR PL'!$P$5,IFERROR(INDEX('"INCC-FGV"'!$B$2:$B$800,MATCH(B45,'"INCC-FGV"'!$A$2:$A$800,0)),$K$2),$K$2)</f>
        <v/>
      </c>
      <c r="M45" s="138">
        <f>'CP RESUMO'!AR41</f>
        <v/>
      </c>
      <c r="N45" s="139">
        <f>MAX(0,M45-M44)</f>
        <v/>
      </c>
      <c r="O45" s="138">
        <f>IF(B45&lt;='VALOR POR PL'!$P$5,'CP RESUMO'!AR83,"")</f>
        <v/>
      </c>
      <c r="P45" s="72">
        <f>IF(B45&lt;='VALOR POR PL'!$P$5,0,IF(OR($K$16="CURVA PREVISION",$K$16="MDO PREVISION + MATERIAL PREMISSA"),N45,IF($K$16="PREVISÃO INFORMADA",MAX(0,H45),0)))</f>
        <v/>
      </c>
    </row>
    <row r="46">
      <c r="B46" s="140">
        <f>DATE(YEAR(B45),MONTH(B45)+1,1)</f>
        <v/>
      </c>
      <c r="C46" s="60">
        <f>IF(AND($K$22="NÃO",B46&gt;'VALOR POR PL'!$P$5),0,'DADOS HISTORICOS'!AS41)</f>
        <v/>
      </c>
      <c r="D46" s="49">
        <f>IF(B46&lt;='VALOR POR PL'!$P$5,0,IF($K$17&gt;0,$K$18*P46/$K$17,0))</f>
        <v/>
      </c>
      <c r="E46" s="49">
        <f>L46+D46/$K$2</f>
        <v/>
      </c>
      <c r="F46" s="117">
        <f>IF($K$9=0,0,E46/$K$9)</f>
        <v/>
      </c>
      <c r="G46" s="117">
        <f>G45+F46</f>
        <v/>
      </c>
      <c r="H46" s="137" t="n">
        <v>36106.25</v>
      </c>
      <c r="L46" s="49">
        <f>C46/IF(B46&lt;='VALOR POR PL'!$P$5,IFERROR(INDEX('"INCC-FGV"'!$B$2:$B$800,MATCH(B46,'"INCC-FGV"'!$A$2:$A$800,0)),$K$2),$K$2)</f>
        <v/>
      </c>
      <c r="M46" s="138">
        <f>'CP RESUMO'!AS41</f>
        <v/>
      </c>
      <c r="N46" s="139">
        <f>MAX(0,M46-M45)</f>
        <v/>
      </c>
      <c r="O46" s="138">
        <f>IF(B46&lt;='VALOR POR PL'!$P$5,'CP RESUMO'!AS83,"")</f>
        <v/>
      </c>
      <c r="P46" s="72">
        <f>IF(B46&lt;='VALOR POR PL'!$P$5,0,IF(OR($K$16="CURVA PREVISION",$K$16="MDO PREVISION + MATERIAL PREMISSA"),N46,IF($K$16="PREVISÃO INFORMADA",MAX(0,H46),0)))</f>
        <v/>
      </c>
    </row>
    <row r="47">
      <c r="B47" s="140">
        <f>DATE(YEAR(B46),MONTH(B46)+1,1)</f>
        <v/>
      </c>
      <c r="C47" s="60">
        <f>IF(AND($K$22="NÃO",B47&gt;'VALOR POR PL'!$P$5),0,'DADOS HISTORICOS'!AT41)</f>
        <v/>
      </c>
      <c r="D47" s="49">
        <f>IF(B47&lt;='VALOR POR PL'!$P$5,0,IF($K$17&gt;0,$K$18*P47/$K$17,0))</f>
        <v/>
      </c>
      <c r="E47" s="49">
        <f>L47+D47/$K$2</f>
        <v/>
      </c>
      <c r="F47" s="117">
        <f>IF($K$9=0,0,E47/$K$9)</f>
        <v/>
      </c>
      <c r="G47" s="117">
        <f>G46+F47</f>
        <v/>
      </c>
      <c r="H47" s="137" t="n">
        <v>66038.89</v>
      </c>
      <c r="L47" s="49">
        <f>C47/IF(B47&lt;='VALOR POR PL'!$P$5,IFERROR(INDEX('"INCC-FGV"'!$B$2:$B$800,MATCH(B47,'"INCC-FGV"'!$A$2:$A$800,0)),$K$2),$K$2)</f>
        <v/>
      </c>
      <c r="M47" s="138">
        <f>'CP RESUMO'!AT41</f>
        <v/>
      </c>
      <c r="N47" s="139">
        <f>MAX(0,M47-M46)</f>
        <v/>
      </c>
      <c r="O47" s="138">
        <f>IF(B47&lt;='VALOR POR PL'!$P$5,'CP RESUMO'!AT83,"")</f>
        <v/>
      </c>
      <c r="P47" s="72">
        <f>IF(B47&lt;='VALOR POR PL'!$P$5,0,IF(OR($K$16="CURVA PREVISION",$K$16="MDO PREVISION + MATERIAL PREMISSA"),N47,IF($K$16="PREVISÃO INFORMADA",MAX(0,H47),0)))</f>
        <v/>
      </c>
    </row>
    <row r="48">
      <c r="B48" s="140">
        <f>DATE(YEAR(B47),MONTH(B47)+1,1)</f>
        <v/>
      </c>
      <c r="C48" s="60">
        <f>IF(AND($K$22="NÃO",B48&gt;'VALOR POR PL'!$P$5),0,'DADOS HISTORICOS'!AU41)</f>
        <v/>
      </c>
      <c r="D48" s="49">
        <f>IF(B48&lt;='VALOR POR PL'!$P$5,0,IF($K$17&gt;0,$K$18*P48/$K$17,0))</f>
        <v/>
      </c>
      <c r="E48" s="49">
        <f>L48+D48/$K$2</f>
        <v/>
      </c>
      <c r="F48" s="117">
        <f>IF($K$9=0,0,E48/$K$9)</f>
        <v/>
      </c>
      <c r="G48" s="117">
        <f>G47+F48</f>
        <v/>
      </c>
      <c r="H48" s="137" t="n">
        <v>81005.21000000001</v>
      </c>
      <c r="L48" s="49">
        <f>C48/IF(B48&lt;='VALOR POR PL'!$P$5,IFERROR(INDEX('"INCC-FGV"'!$B$2:$B$800,MATCH(B48,'"INCC-FGV"'!$A$2:$A$800,0)),$K$2),$K$2)</f>
        <v/>
      </c>
      <c r="M48" s="138">
        <f>'CP RESUMO'!AU41</f>
        <v/>
      </c>
      <c r="N48" s="139">
        <f>MAX(0,M48-M47)</f>
        <v/>
      </c>
      <c r="O48" s="138">
        <f>IF(B48&lt;='VALOR POR PL'!$P$5,'CP RESUMO'!AU83,"")</f>
        <v/>
      </c>
      <c r="P48" s="72">
        <f>IF(B48&lt;='VALOR POR PL'!$P$5,0,IF(OR($K$16="CURVA PREVISION",$K$16="MDO PREVISION + MATERIAL PREMISSA"),N48,IF($K$16="PREVISÃO INFORMADA",MAX(0,H48),0)))</f>
        <v/>
      </c>
    </row>
    <row r="49">
      <c r="B49" s="140">
        <f>DATE(YEAR(B48),MONTH(B48)+1,1)</f>
        <v/>
      </c>
      <c r="C49" s="60">
        <f>IF(AND($K$22="NÃO",B49&gt;'VALOR POR PL'!$P$5),0,'DADOS HISTORICOS'!AV41)</f>
        <v/>
      </c>
      <c r="D49" s="49">
        <f>IF(B49&lt;='VALOR POR PL'!$P$5,0,IF($K$17&gt;0,$K$18*P49/$K$17,0))</f>
        <v/>
      </c>
      <c r="E49" s="49">
        <f>L49+D49/$K$2</f>
        <v/>
      </c>
      <c r="F49" s="117">
        <f>IF($K$9=0,0,E49/$K$9)</f>
        <v/>
      </c>
      <c r="G49" s="117">
        <f>G48+F49</f>
        <v/>
      </c>
      <c r="H49" s="137" t="n">
        <v>86430.5</v>
      </c>
      <c r="L49" s="49">
        <f>C49/IF(B49&lt;='VALOR POR PL'!$P$5,IFERROR(INDEX('"INCC-FGV"'!$B$2:$B$800,MATCH(B49,'"INCC-FGV"'!$A$2:$A$800,0)),$K$2),$K$2)</f>
        <v/>
      </c>
      <c r="M49" s="138">
        <f>'CP RESUMO'!AV41</f>
        <v/>
      </c>
      <c r="N49" s="139">
        <f>MAX(0,M49-M48)</f>
        <v/>
      </c>
      <c r="O49" s="138">
        <f>IF(B49&lt;='VALOR POR PL'!$P$5,'CP RESUMO'!AV83,"")</f>
        <v/>
      </c>
      <c r="P49" s="72">
        <f>IF(B49&lt;='VALOR POR PL'!$P$5,0,IF(OR($K$16="CURVA PREVISION",$K$16="MDO PREVISION + MATERIAL PREMISSA"),N49,IF($K$16="PREVISÃO INFORMADA",MAX(0,H49),0)))</f>
        <v/>
      </c>
    </row>
    <row r="50">
      <c r="B50" s="140">
        <f>DATE(YEAR(B49),MONTH(B49)+1,1)</f>
        <v/>
      </c>
      <c r="C50" s="60">
        <f>IF(AND($K$22="NÃO",B50&gt;'VALOR POR PL'!$P$5),0,'DADOS HISTORICOS'!AW41)</f>
        <v/>
      </c>
      <c r="D50" s="49">
        <f>IF(B50&lt;='VALOR POR PL'!$P$5,0,IF($K$17&gt;0,$K$18*P50/$K$17,0))</f>
        <v/>
      </c>
      <c r="E50" s="49">
        <f>L50+D50/$K$2</f>
        <v/>
      </c>
      <c r="F50" s="117">
        <f>IF($K$9=0,0,E50/$K$9)</f>
        <v/>
      </c>
      <c r="G50" s="117">
        <f>G49+F50</f>
        <v/>
      </c>
      <c r="H50" s="137" t="n">
        <v>83343.7</v>
      </c>
      <c r="L50" s="49">
        <f>C50/IF(B50&lt;='VALOR POR PL'!$P$5,IFERROR(INDEX('"INCC-FGV"'!$B$2:$B$800,MATCH(B50,'"INCC-FGV"'!$A$2:$A$800,0)),$K$2),$K$2)</f>
        <v/>
      </c>
      <c r="M50" s="138">
        <f>'CP RESUMO'!AW41</f>
        <v/>
      </c>
      <c r="N50" s="139">
        <f>MAX(0,M50-M49)</f>
        <v/>
      </c>
      <c r="O50" s="138">
        <f>IF(B50&lt;='VALOR POR PL'!$P$5,'CP RESUMO'!AW83,"")</f>
        <v/>
      </c>
      <c r="P50" s="72">
        <f>IF(B50&lt;='VALOR POR PL'!$P$5,0,IF(OR($K$16="CURVA PREVISION",$K$16="MDO PREVISION + MATERIAL PREMISSA"),N50,IF($K$16="PREVISÃO INFORMADA",MAX(0,H50),0)))</f>
        <v/>
      </c>
    </row>
    <row r="51">
      <c r="B51" s="140">
        <f>DATE(YEAR(B50),MONTH(B50)+1,1)</f>
        <v/>
      </c>
      <c r="C51" s="60">
        <f>IF(AND($K$22="NÃO",B51&gt;'VALOR POR PL'!$P$5),0,'DADOS HISTORICOS'!AX41)</f>
        <v/>
      </c>
      <c r="D51" s="49">
        <f>IF(B51&lt;='VALOR POR PL'!$P$5,0,IF($K$17&gt;0,$K$18*P51/$K$17,0))</f>
        <v/>
      </c>
      <c r="E51" s="49">
        <f>L51+D51/$K$2</f>
        <v/>
      </c>
      <c r="F51" s="117">
        <f>IF($K$9=0,0,E51/$K$9)</f>
        <v/>
      </c>
      <c r="G51" s="117">
        <f>G50+F51</f>
        <v/>
      </c>
      <c r="H51" s="137" t="n">
        <v>83437.24000000001</v>
      </c>
      <c r="L51" s="49">
        <f>C51/IF(B51&lt;='VALOR POR PL'!$P$5,IFERROR(INDEX('"INCC-FGV"'!$B$2:$B$800,MATCH(B51,'"INCC-FGV"'!$A$2:$A$800,0)),$K$2),$K$2)</f>
        <v/>
      </c>
      <c r="M51" s="138">
        <f>'CP RESUMO'!AX41</f>
        <v/>
      </c>
      <c r="N51" s="139">
        <f>MAX(0,M51-M50)</f>
        <v/>
      </c>
      <c r="O51" s="138">
        <f>IF(B51&lt;='VALOR POR PL'!$P$5,'CP RESUMO'!AX83,"")</f>
        <v/>
      </c>
      <c r="P51" s="72">
        <f>IF(B51&lt;='VALOR POR PL'!$P$5,0,IF(OR($K$16="CURVA PREVISION",$K$16="MDO PREVISION + MATERIAL PREMISSA"),N51,IF($K$16="PREVISÃO INFORMADA",MAX(0,H51),0)))</f>
        <v/>
      </c>
    </row>
    <row r="52">
      <c r="B52" s="140">
        <f>DATE(YEAR(B51),MONTH(B51)+1,1)</f>
        <v/>
      </c>
      <c r="C52" s="60">
        <f>IF(AND($K$22="NÃO",B52&gt;'VALOR POR PL'!$P$5),0,'DADOS HISTORICOS'!AY41)</f>
        <v/>
      </c>
      <c r="D52" s="49">
        <f>IF(B52&lt;='VALOR POR PL'!$P$5,0,IF($K$17&gt;0,$K$18*P52/$K$17,0))</f>
        <v/>
      </c>
      <c r="E52" s="49">
        <f>L52+D52/$K$2</f>
        <v/>
      </c>
      <c r="F52" s="117">
        <f>IF($K$9=0,0,E52/$K$9)</f>
        <v/>
      </c>
      <c r="G52" s="117">
        <f>G51+F52</f>
        <v/>
      </c>
      <c r="H52" s="137" t="n">
        <v>77824.87</v>
      </c>
      <c r="L52" s="49">
        <f>C52/IF(B52&lt;='VALOR POR PL'!$P$5,IFERROR(INDEX('"INCC-FGV"'!$B$2:$B$800,MATCH(B52,'"INCC-FGV"'!$A$2:$A$800,0)),$K$2),$K$2)</f>
        <v/>
      </c>
      <c r="M52" s="138">
        <f>'CP RESUMO'!AY41</f>
        <v/>
      </c>
      <c r="N52" s="139">
        <f>MAX(0,M52-M51)</f>
        <v/>
      </c>
      <c r="O52" s="138">
        <f>IF(B52&lt;='VALOR POR PL'!$P$5,'CP RESUMO'!AY83,"")</f>
        <v/>
      </c>
      <c r="P52" s="72">
        <f>IF(B52&lt;='VALOR POR PL'!$P$5,0,IF(OR($K$16="CURVA PREVISION",$K$16="MDO PREVISION + MATERIAL PREMISSA"),N52,IF($K$16="PREVISÃO INFORMADA",MAX(0,H52),0)))</f>
        <v/>
      </c>
    </row>
    <row r="53">
      <c r="B53" s="140">
        <f>DATE(YEAR(B52),MONTH(B52)+1,1)</f>
        <v/>
      </c>
      <c r="C53" s="60">
        <f>IF(AND($K$22="NÃO",B53&gt;'VALOR POR PL'!$P$5),0,'DADOS HISTORICOS'!AZ41)</f>
        <v/>
      </c>
      <c r="D53" s="49">
        <f>IF(B53&lt;='VALOR POR PL'!$P$5,0,IF($K$17&gt;0,$K$18*P53/$K$17,0))</f>
        <v/>
      </c>
      <c r="E53" s="49">
        <f>L53+D53/$K$2</f>
        <v/>
      </c>
      <c r="F53" s="117">
        <f>IF($K$9=0,0,E53/$K$9)</f>
        <v/>
      </c>
      <c r="G53" s="117">
        <f>G52+F53</f>
        <v/>
      </c>
      <c r="H53" s="137" t="n">
        <v>69219.23</v>
      </c>
      <c r="L53" s="49">
        <f>C53/IF(B53&lt;='VALOR POR PL'!$P$5,IFERROR(INDEX('"INCC-FGV"'!$B$2:$B$800,MATCH(B53,'"INCC-FGV"'!$A$2:$A$800,0)),$K$2),$K$2)</f>
        <v/>
      </c>
      <c r="M53" s="138">
        <f>'CP RESUMO'!AZ41</f>
        <v/>
      </c>
      <c r="N53" s="139">
        <f>MAX(0,M53-M52)</f>
        <v/>
      </c>
      <c r="O53" s="138">
        <f>IF(B53&lt;='VALOR POR PL'!$P$5,'CP RESUMO'!AZ83,"")</f>
        <v/>
      </c>
      <c r="P53" s="72">
        <f>IF(B53&lt;='VALOR POR PL'!$P$5,0,IF(OR($K$16="CURVA PREVISION",$K$16="MDO PREVISION + MATERIAL PREMISSA"),N53,IF($K$16="PREVISÃO INFORMADA",MAX(0,H53),0)))</f>
        <v/>
      </c>
    </row>
    <row r="54">
      <c r="B54" s="140">
        <f>DATE(YEAR(B53),MONTH(B53)+1,1)</f>
        <v/>
      </c>
      <c r="C54" s="60">
        <f>IF(AND($K$22="NÃO",B54&gt;'VALOR POR PL'!$P$5),0,'DADOS HISTORICOS'!BA41)</f>
        <v/>
      </c>
      <c r="D54" s="49">
        <f>IF(B54&lt;='VALOR POR PL'!$P$5,0,IF($K$17&gt;0,$K$18*P54/$K$17,0))</f>
        <v/>
      </c>
      <c r="E54" s="49">
        <f>L54+D54/$K$2</f>
        <v/>
      </c>
      <c r="F54" s="117">
        <f>IF($K$9=0,0,E54/$K$9)</f>
        <v/>
      </c>
      <c r="G54" s="117">
        <f>G53+F54</f>
        <v/>
      </c>
      <c r="H54" s="137" t="n">
        <v>55843.08</v>
      </c>
      <c r="L54" s="49">
        <f>C54/IF(B54&lt;='VALOR POR PL'!$P$5,IFERROR(INDEX('"INCC-FGV"'!$B$2:$B$800,MATCH(B54,'"INCC-FGV"'!$A$2:$A$800,0)),$K$2),$K$2)</f>
        <v/>
      </c>
      <c r="M54" s="138">
        <f>'CP RESUMO'!BA41</f>
        <v/>
      </c>
      <c r="N54" s="139">
        <f>MAX(0,M54-M53)</f>
        <v/>
      </c>
      <c r="O54" s="138">
        <f>IF(B54&lt;='VALOR POR PL'!$P$5,'CP RESUMO'!BA83,"")</f>
        <v/>
      </c>
      <c r="P54" s="72">
        <f>IF(B54&lt;='VALOR POR PL'!$P$5,0,IF(OR($K$16="CURVA PREVISION",$K$16="MDO PREVISION + MATERIAL PREMISSA"),N54,IF($K$16="PREVISÃO INFORMADA",MAX(0,H54),0)))</f>
        <v/>
      </c>
    </row>
    <row r="55">
      <c r="B55" s="140">
        <f>DATE(YEAR(B54),MONTH(B54)+1,1)</f>
        <v/>
      </c>
      <c r="C55" s="60">
        <f>IF(AND($K$22="NÃO",B55&gt;'VALOR POR PL'!$P$5),0,'DADOS HISTORICOS'!BB41)</f>
        <v/>
      </c>
      <c r="D55" s="49">
        <f>IF(B55&lt;='VALOR POR PL'!$P$5,0,IF($K$17&gt;0,$K$18*P55/$K$17,0))</f>
        <v/>
      </c>
      <c r="E55" s="49">
        <f>L55+D55/$K$2</f>
        <v/>
      </c>
      <c r="F55" s="117">
        <f>IF($K$9=0,0,E55/$K$9)</f>
        <v/>
      </c>
      <c r="G55" s="117">
        <f>G54+F55</f>
        <v/>
      </c>
      <c r="H55" s="137" t="n">
        <v>95784.45</v>
      </c>
      <c r="L55" s="49">
        <f>C55/IF(B55&lt;='VALOR POR PL'!$P$5,IFERROR(INDEX('"INCC-FGV"'!$B$2:$B$800,MATCH(B55,'"INCC-FGV"'!$A$2:$A$800,0)),$K$2),$K$2)</f>
        <v/>
      </c>
      <c r="M55" s="138">
        <f>'CP RESUMO'!BB41</f>
        <v/>
      </c>
      <c r="N55" s="139">
        <f>MAX(0,M55-M54)</f>
        <v/>
      </c>
      <c r="O55" s="138">
        <f>IF(B55&lt;='VALOR POR PL'!$P$5,'CP RESUMO'!BB83,"")</f>
        <v/>
      </c>
      <c r="P55" s="72">
        <f>IF(B55&lt;='VALOR POR PL'!$P$5,0,IF(OR($K$16="CURVA PREVISION",$K$16="MDO PREVISION + MATERIAL PREMISSA"),N55,IF($K$16="PREVISÃO INFORMADA",MAX(0,H55),0)))</f>
        <v/>
      </c>
    </row>
    <row r="56">
      <c r="B56" s="140">
        <f>DATE(YEAR(B55),MONTH(B55)+1,1)</f>
        <v/>
      </c>
      <c r="C56" s="60">
        <f>IF(AND($K$22="NÃO",B56&gt;'VALOR POR PL'!$P$5),0,'DADOS HISTORICOS'!BC41)</f>
        <v/>
      </c>
      <c r="D56" s="49">
        <f>IF(B56&lt;='VALOR POR PL'!$P$5,0,IF($K$17&gt;0,$K$18*P56/$K$17,0))</f>
        <v/>
      </c>
      <c r="E56" s="49">
        <f>L56+D56/$K$2</f>
        <v/>
      </c>
      <c r="F56" s="117">
        <f>IF($K$9=0,0,E56/$K$9)</f>
        <v/>
      </c>
      <c r="G56" s="117">
        <f>G55+F56</f>
        <v/>
      </c>
      <c r="H56" s="137" t="n">
        <v>86711.12</v>
      </c>
      <c r="L56" s="49">
        <f>C56/IF(B56&lt;='VALOR POR PL'!$P$5,IFERROR(INDEX('"INCC-FGV"'!$B$2:$B$800,MATCH(B56,'"INCC-FGV"'!$A$2:$A$800,0)),$K$2),$K$2)</f>
        <v/>
      </c>
      <c r="M56" s="138">
        <f>'CP RESUMO'!BC41</f>
        <v/>
      </c>
      <c r="N56" s="139">
        <f>MAX(0,M56-M55)</f>
        <v/>
      </c>
      <c r="O56" s="138">
        <f>IF(B56&lt;='VALOR POR PL'!$P$5,'CP RESUMO'!BC83,"")</f>
        <v/>
      </c>
      <c r="P56" s="72">
        <f>IF(B56&lt;='VALOR POR PL'!$P$5,0,IF(OR($K$16="CURVA PREVISION",$K$16="MDO PREVISION + MATERIAL PREMISSA"),N56,IF($K$16="PREVISÃO INFORMADA",MAX(0,H56),0)))</f>
        <v/>
      </c>
    </row>
    <row r="57">
      <c r="B57" s="140">
        <f>DATE(YEAR(B56),MONTH(B56)+1,1)</f>
        <v/>
      </c>
      <c r="C57" s="60">
        <f>IF(AND($K$22="NÃO",B57&gt;'VALOR POR PL'!$P$5),0,'DADOS HISTORICOS'!BD41)</f>
        <v/>
      </c>
      <c r="D57" s="49">
        <f>IF(B57&lt;='VALOR POR PL'!$P$5,0,IF($K$17&gt;0,$K$18*P57/$K$17,0))</f>
        <v/>
      </c>
      <c r="E57" s="49">
        <f>L57+D57/$K$2</f>
        <v/>
      </c>
      <c r="F57" s="117">
        <f>IF($K$9=0,0,E57/$K$9)</f>
        <v/>
      </c>
      <c r="G57" s="117">
        <f>G56+F57</f>
        <v/>
      </c>
      <c r="H57" s="137" t="n">
        <v>81940.60000000001</v>
      </c>
      <c r="L57" s="49">
        <f>C57/IF(B57&lt;='VALOR POR PL'!$P$5,IFERROR(INDEX('"INCC-FGV"'!$B$2:$B$800,MATCH(B57,'"INCC-FGV"'!$A$2:$A$800,0)),$K$2),$K$2)</f>
        <v/>
      </c>
      <c r="M57" s="138">
        <f>'CP RESUMO'!BD41</f>
        <v/>
      </c>
      <c r="N57" s="139">
        <f>MAX(0,M57-M56)</f>
        <v/>
      </c>
      <c r="O57" s="138">
        <f>IF(B57&lt;='VALOR POR PL'!$P$5,'CP RESUMO'!BD83,"")</f>
        <v/>
      </c>
      <c r="P57" s="72">
        <f>IF(B57&lt;='VALOR POR PL'!$P$5,0,IF(OR($K$16="CURVA PREVISION",$K$16="MDO PREVISION + MATERIAL PREMISSA"),N57,IF($K$16="PREVISÃO INFORMADA",MAX(0,H57),0)))</f>
        <v/>
      </c>
    </row>
    <row r="58">
      <c r="B58" s="140">
        <f>DATE(YEAR(B57),MONTH(B57)+1,1)</f>
        <v/>
      </c>
      <c r="C58" s="60">
        <f>IF(AND($K$22="NÃO",B58&gt;'VALOR POR PL'!$P$5),0,'DADOS HISTORICOS'!BE41)</f>
        <v/>
      </c>
      <c r="D58" s="49">
        <f>IF(B58&lt;='VALOR POR PL'!$P$5,0,IF($K$17&gt;0,$K$18*P58/$K$17,0))</f>
        <v/>
      </c>
      <c r="E58" s="49">
        <f>L58+D58/$K$2</f>
        <v/>
      </c>
      <c r="F58" s="117">
        <f>IF($K$9=0,0,E58/$K$9)</f>
        <v/>
      </c>
      <c r="G58" s="117">
        <f>G57+F58</f>
        <v/>
      </c>
      <c r="H58" s="137" t="n">
        <v>12160.14</v>
      </c>
      <c r="L58" s="49">
        <f>C58/IF(B58&lt;='VALOR POR PL'!$P$5,IFERROR(INDEX('"INCC-FGV"'!$B$2:$B$800,MATCH(B58,'"INCC-FGV"'!$A$2:$A$800,0)),$K$2),$K$2)</f>
        <v/>
      </c>
      <c r="M58" s="138">
        <f>'CP RESUMO'!BE41</f>
        <v/>
      </c>
      <c r="N58" s="139">
        <f>MAX(0,M58-M57)</f>
        <v/>
      </c>
      <c r="O58" s="138">
        <f>IF(B58&lt;='VALOR POR PL'!$P$5,'CP RESUMO'!BE83,"")</f>
        <v/>
      </c>
      <c r="P58" s="72">
        <f>IF(B58&lt;='VALOR POR PL'!$P$5,0,IF(OR($K$16="CURVA PREVISION",$K$16="MDO PREVISION + MATERIAL PREMISSA"),N58,IF($K$16="PREVISÃO INFORMADA",MAX(0,H58),0)))</f>
        <v/>
      </c>
    </row>
    <row r="59">
      <c r="B59" s="140">
        <f>DATE(YEAR(B58),MONTH(B58)+1,1)</f>
        <v/>
      </c>
      <c r="C59" s="60">
        <f>IF(AND($K$22="NÃO",B59&gt;'VALOR POR PL'!$P$5),0,'DADOS HISTORICOS'!BF41)</f>
        <v/>
      </c>
      <c r="D59" s="49">
        <f>IF(B59&lt;='VALOR POR PL'!$P$5,0,IF($K$17&gt;0,$K$18*P59/$K$17,0))</f>
        <v/>
      </c>
      <c r="E59" s="49">
        <f>L59+D59/$K$2</f>
        <v/>
      </c>
      <c r="F59" s="117">
        <f>IF($K$9=0,0,E59/$K$9)</f>
        <v/>
      </c>
      <c r="G59" s="117">
        <f>G58+F59</f>
        <v/>
      </c>
      <c r="H59" s="137" t="n"/>
      <c r="L59" s="49">
        <f>C59/IF(B59&lt;='VALOR POR PL'!$P$5,IFERROR(INDEX('"INCC-FGV"'!$B$2:$B$800,MATCH(B59,'"INCC-FGV"'!$A$2:$A$800,0)),$K$2),$K$2)</f>
        <v/>
      </c>
      <c r="M59" s="138">
        <f>'CP RESUMO'!BF41</f>
        <v/>
      </c>
      <c r="N59" s="139">
        <f>MAX(0,M59-M58)</f>
        <v/>
      </c>
      <c r="O59" s="138">
        <f>IF(B59&lt;='VALOR POR PL'!$P$5,'CP RESUMO'!BF83,"")</f>
        <v/>
      </c>
      <c r="P59" s="72">
        <f>IF(B59&lt;='VALOR POR PL'!$P$5,0,IF(OR($K$16="CURVA PREVISION",$K$16="MDO PREVISION + MATERIAL PREMISSA"),N59,IF($K$16="PREVISÃO INFORMADA",MAX(0,H59),0)))</f>
        <v/>
      </c>
    </row>
    <row r="60">
      <c r="B60" s="140">
        <f>DATE(YEAR(B59),MONTH(B59)+1,1)</f>
        <v/>
      </c>
      <c r="C60" s="60">
        <f>IF(AND($K$22="NÃO",B60&gt;'VALOR POR PL'!$P$5),0,'DADOS HISTORICOS'!BG41)</f>
        <v/>
      </c>
      <c r="D60" s="49">
        <f>IF(B60&lt;='VALOR POR PL'!$P$5,0,IF($K$17&gt;0,$K$18*P60/$K$17,0))</f>
        <v/>
      </c>
      <c r="E60" s="49">
        <f>L60+D60/$K$2</f>
        <v/>
      </c>
      <c r="F60" s="117">
        <f>IF($K$9=0,0,E60/$K$9)</f>
        <v/>
      </c>
      <c r="G60" s="117">
        <f>G59+F60</f>
        <v/>
      </c>
      <c r="H60" s="137" t="n"/>
      <c r="L60" s="49">
        <f>C60/IF(B60&lt;='VALOR POR PL'!$P$5,IFERROR(INDEX('"INCC-FGV"'!$B$2:$B$800,MATCH(B60,'"INCC-FGV"'!$A$2:$A$800,0)),$K$2),$K$2)</f>
        <v/>
      </c>
      <c r="M60" s="138">
        <f>'CP RESUMO'!BG41</f>
        <v/>
      </c>
      <c r="N60" s="139">
        <f>MAX(0,M60-M59)</f>
        <v/>
      </c>
      <c r="O60" s="138">
        <f>IF(B60&lt;='VALOR POR PL'!$P$5,'CP RESUMO'!BG83,"")</f>
        <v/>
      </c>
      <c r="P60" s="72">
        <f>IF(B60&lt;='VALOR POR PL'!$P$5,0,IF(OR($K$16="CURVA PREVISION",$K$16="MDO PREVISION + MATERIAL PREMISSA"),N60,IF($K$16="PREVISÃO INFORMADA",MAX(0,H60),0)))</f>
        <v/>
      </c>
    </row>
    <row r="61">
      <c r="B61" s="140">
        <f>DATE(YEAR(B60),MONTH(B60)+1,1)</f>
        <v/>
      </c>
      <c r="C61" s="60">
        <f>IF(AND($K$22="NÃO",B61&gt;'VALOR POR PL'!$P$5),0,'DADOS HISTORICOS'!BH41)</f>
        <v/>
      </c>
      <c r="D61" s="49">
        <f>IF(B61&lt;='VALOR POR PL'!$P$5,0,IF($K$17&gt;0,$K$18*P61/$K$17,0))</f>
        <v/>
      </c>
      <c r="E61" s="49">
        <f>L61+D61/$K$2</f>
        <v/>
      </c>
      <c r="F61" s="117">
        <f>IF($K$9=0,0,E61/$K$9)</f>
        <v/>
      </c>
      <c r="G61" s="117">
        <f>G60+F61</f>
        <v/>
      </c>
      <c r="H61" s="137" t="n"/>
      <c r="L61" s="49">
        <f>C61/IF(B61&lt;='VALOR POR PL'!$P$5,IFERROR(INDEX('"INCC-FGV"'!$B$2:$B$800,MATCH(B61,'"INCC-FGV"'!$A$2:$A$800,0)),$K$2),$K$2)</f>
        <v/>
      </c>
      <c r="M61" s="138">
        <f>'CP RESUMO'!BH41</f>
        <v/>
      </c>
      <c r="N61" s="139">
        <f>MAX(0,M61-M60)</f>
        <v/>
      </c>
      <c r="O61" s="138">
        <f>IF(B61&lt;='VALOR POR PL'!$P$5,'CP RESUMO'!BH83,"")</f>
        <v/>
      </c>
      <c r="P61" s="72">
        <f>IF(B61&lt;='VALOR POR PL'!$P$5,0,IF(OR($K$16="CURVA PREVISION",$K$16="MDO PREVISION + MATERIAL PREMISSA"),N61,IF($K$16="PREVISÃO INFORMADA",MAX(0,H61),0)))</f>
        <v/>
      </c>
    </row>
    <row r="62">
      <c r="B62" s="140">
        <f>DATE(YEAR(B61),MONTH(B61)+1,1)</f>
        <v/>
      </c>
      <c r="C62" s="60">
        <f>IF(AND($K$22="NÃO",B62&gt;'VALOR POR PL'!$P$5),0,'DADOS HISTORICOS'!BI41)</f>
        <v/>
      </c>
      <c r="D62" s="49">
        <f>IF(B62&lt;='VALOR POR PL'!$P$5,0,IF($K$17&gt;0,$K$18*P62/$K$17,0))</f>
        <v/>
      </c>
      <c r="E62" s="49">
        <f>L62+D62/$K$2</f>
        <v/>
      </c>
      <c r="F62" s="117">
        <f>IF($K$9=0,0,E62/$K$9)</f>
        <v/>
      </c>
      <c r="G62" s="117">
        <f>G61+F62</f>
        <v/>
      </c>
      <c r="H62" s="137" t="n"/>
      <c r="L62" s="49">
        <f>C62/IF(B62&lt;='VALOR POR PL'!$P$5,IFERROR(INDEX('"INCC-FGV"'!$B$2:$B$800,MATCH(B62,'"INCC-FGV"'!$A$2:$A$800,0)),$K$2),$K$2)</f>
        <v/>
      </c>
      <c r="M62" s="138">
        <f>'CP RESUMO'!BI41</f>
        <v/>
      </c>
      <c r="N62" s="139">
        <f>MAX(0,M62-M61)</f>
        <v/>
      </c>
      <c r="O62" s="138">
        <f>IF(B62&lt;='VALOR POR PL'!$P$5,'CP RESUMO'!BI83,"")</f>
        <v/>
      </c>
      <c r="P62" s="72">
        <f>IF(B62&lt;='VALOR POR PL'!$P$5,0,IF(OR($K$16="CURVA PREVISION",$K$16="MDO PREVISION + MATERIAL PREMISSA"),N62,IF($K$16="PREVISÃO INFORMADA",MAX(0,H62),0)))</f>
        <v/>
      </c>
    </row>
    <row r="63">
      <c r="B63" s="140">
        <f>DATE(YEAR(B62),MONTH(B62)+1,1)</f>
        <v/>
      </c>
      <c r="C63" s="60">
        <f>IF(AND($K$22="NÃO",B63&gt;'VALOR POR PL'!$P$5),0,'DADOS HISTORICOS'!BJ41)</f>
        <v/>
      </c>
      <c r="D63" s="49">
        <f>IF(B63&lt;='VALOR POR PL'!$P$5,0,IF($K$17&gt;0,$K$18*P63/$K$17,0))</f>
        <v/>
      </c>
      <c r="E63" s="49">
        <f>L63+D63/$K$2</f>
        <v/>
      </c>
      <c r="F63" s="117">
        <f>IF($K$9=0,0,E63/$K$9)</f>
        <v/>
      </c>
      <c r="G63" s="117">
        <f>G62+F63</f>
        <v/>
      </c>
      <c r="H63" s="137" t="n"/>
      <c r="L63" s="49">
        <f>C63/IF(B63&lt;='VALOR POR PL'!$P$5,IFERROR(INDEX('"INCC-FGV"'!$B$2:$B$800,MATCH(B63,'"INCC-FGV"'!$A$2:$A$800,0)),$K$2),$K$2)</f>
        <v/>
      </c>
      <c r="M63" s="138">
        <f>'CP RESUMO'!BJ41</f>
        <v/>
      </c>
      <c r="N63" s="139">
        <f>MAX(0,M63-M62)</f>
        <v/>
      </c>
      <c r="O63" s="138">
        <f>IF(B63&lt;='VALOR POR PL'!$P$5,'CP RESUMO'!BJ83,"")</f>
        <v/>
      </c>
      <c r="P63" s="72">
        <f>IF(B63&lt;='VALOR POR PL'!$P$5,0,IF(OR($K$16="CURVA PREVISION",$K$16="MDO PREVISION + MATERIAL PREMISSA"),N63,IF($K$16="PREVISÃO INFORMADA",MAX(0,H63),0)))</f>
        <v/>
      </c>
    </row>
    <row r="64">
      <c r="B64" s="140">
        <f>DATE(YEAR(B63),MONTH(B63)+1,1)</f>
        <v/>
      </c>
      <c r="C64" s="60">
        <f>IF(AND($K$22="NÃO",B64&gt;'VALOR POR PL'!$P$5),0,'DADOS HISTORICOS'!BK41)</f>
        <v/>
      </c>
      <c r="D64" s="49">
        <f>IF(B64&lt;='VALOR POR PL'!$P$5,0,IF($K$17&gt;0,$K$18*P64/$K$17,0))</f>
        <v/>
      </c>
      <c r="E64" s="49">
        <f>L64+D64/$K$2</f>
        <v/>
      </c>
      <c r="F64" s="117">
        <f>IF($K$9=0,0,E64/$K$9)</f>
        <v/>
      </c>
      <c r="G64" s="117">
        <f>G63+F64</f>
        <v/>
      </c>
      <c r="H64" s="137" t="n"/>
      <c r="L64" s="49">
        <f>C64/IF(B64&lt;='VALOR POR PL'!$P$5,IFERROR(INDEX('"INCC-FGV"'!$B$2:$B$800,MATCH(B64,'"INCC-FGV"'!$A$2:$A$800,0)),$K$2),$K$2)</f>
        <v/>
      </c>
      <c r="M64" s="138">
        <f>'CP RESUMO'!BK41</f>
        <v/>
      </c>
      <c r="N64" s="139">
        <f>MAX(0,M64-M63)</f>
        <v/>
      </c>
      <c r="O64" s="138">
        <f>IF(B64&lt;='VALOR POR PL'!$P$5,'CP RESUMO'!BK83,"")</f>
        <v/>
      </c>
      <c r="P64" s="72">
        <f>IF(B64&lt;='VALOR POR PL'!$P$5,0,IF(OR($K$16="CURVA PREVISION",$K$16="MDO PREVISION + MATERIAL PREMISSA"),N64,IF($K$16="PREVISÃO INFORMADA",MAX(0,H64),0)))</f>
        <v/>
      </c>
    </row>
    <row r="65">
      <c r="B65" s="140">
        <f>DATE(YEAR(B64),MONTH(B64)+1,1)</f>
        <v/>
      </c>
      <c r="C65" s="60">
        <f>IF(AND($K$22="NÃO",B65&gt;'VALOR POR PL'!$P$5),0,'DADOS HISTORICOS'!BL41)</f>
        <v/>
      </c>
      <c r="D65" s="49">
        <f>IF(B65&lt;='VALOR POR PL'!$P$5,0,IF($K$17&gt;0,$K$18*P65/$K$17,0))</f>
        <v/>
      </c>
      <c r="E65" s="49">
        <f>L65+D65/$K$2</f>
        <v/>
      </c>
      <c r="F65" s="117">
        <f>IF($K$9=0,0,E65/$K$9)</f>
        <v/>
      </c>
      <c r="G65" s="117">
        <f>G64+F65</f>
        <v/>
      </c>
      <c r="H65" s="137" t="n"/>
      <c r="L65" s="49">
        <f>C65/IF(B65&lt;='VALOR POR PL'!$P$5,IFERROR(INDEX('"INCC-FGV"'!$B$2:$B$800,MATCH(B65,'"INCC-FGV"'!$A$2:$A$800,0)),$K$2),$K$2)</f>
        <v/>
      </c>
      <c r="M65" s="138">
        <f>'CP RESUMO'!BL41</f>
        <v/>
      </c>
      <c r="N65" s="139">
        <f>MAX(0,M65-M64)</f>
        <v/>
      </c>
      <c r="O65" s="138">
        <f>IF(B65&lt;='VALOR POR PL'!$P$5,'CP RESUMO'!BL83,"")</f>
        <v/>
      </c>
      <c r="P65" s="72">
        <f>IF(B65&lt;='VALOR POR PL'!$P$5,0,IF(OR($K$16="CURVA PREVISION",$K$16="MDO PREVISION + MATERIAL PREMISSA"),N65,IF($K$16="PREVISÃO INFORMADA",MAX(0,H65),0)))</f>
        <v/>
      </c>
    </row>
    <row r="66">
      <c r="B66" s="140">
        <f>DATE(YEAR(B65),MONTH(B65)+1,1)</f>
        <v/>
      </c>
      <c r="C66" s="60">
        <f>IF(AND($K$22="NÃO",B66&gt;'VALOR POR PL'!$P$5),0,'DADOS HISTORICOS'!BM41)</f>
        <v/>
      </c>
      <c r="D66" s="49">
        <f>IF(B66&lt;='VALOR POR PL'!$P$5,0,IF($K$17&gt;0,$K$18*P66/$K$17,0))</f>
        <v/>
      </c>
      <c r="E66" s="49">
        <f>L66+D66/$K$2</f>
        <v/>
      </c>
      <c r="F66" s="117">
        <f>IF($K$9=0,0,E66/$K$9)</f>
        <v/>
      </c>
      <c r="G66" s="117">
        <f>G65+F66</f>
        <v/>
      </c>
      <c r="H66" s="137" t="n"/>
      <c r="L66" s="49">
        <f>C66/IF(B66&lt;='VALOR POR PL'!$P$5,IFERROR(INDEX('"INCC-FGV"'!$B$2:$B$800,MATCH(B66,'"INCC-FGV"'!$A$2:$A$800,0)),$K$2),$K$2)</f>
        <v/>
      </c>
      <c r="M66" s="138">
        <f>'CP RESUMO'!BM41</f>
        <v/>
      </c>
      <c r="N66" s="139">
        <f>MAX(0,M66-M65)</f>
        <v/>
      </c>
      <c r="O66" s="138">
        <f>IF(B66&lt;='VALOR POR PL'!$P$5,'CP RESUMO'!BM83,"")</f>
        <v/>
      </c>
      <c r="P66" s="72">
        <f>IF(B66&lt;='VALOR POR PL'!$P$5,0,IF(OR($K$16="CURVA PREVISION",$K$16="MDO PREVISION + MATERIAL PREMISSA"),N66,IF($K$16="PREVISÃO INFORMADA",MAX(0,H66),0)))</f>
        <v/>
      </c>
    </row>
    <row r="67">
      <c r="B67" s="140">
        <f>DATE(YEAR(B66),MONTH(B66)+1,1)</f>
        <v/>
      </c>
      <c r="C67" s="60">
        <f>IF(AND($K$22="NÃO",B67&gt;'VALOR POR PL'!$P$5),0,'DADOS HISTORICOS'!BN41)</f>
        <v/>
      </c>
      <c r="D67" s="49">
        <f>IF(B67&lt;='VALOR POR PL'!$P$5,0,IF($K$17&gt;0,$K$18*P67/$K$17,0))</f>
        <v/>
      </c>
      <c r="E67" s="49">
        <f>L67+D67/$K$2</f>
        <v/>
      </c>
      <c r="F67" s="117">
        <f>IF($K$9=0,0,E67/$K$9)</f>
        <v/>
      </c>
      <c r="G67" s="117">
        <f>G66+F67</f>
        <v/>
      </c>
      <c r="H67" s="137" t="n"/>
      <c r="L67" s="49">
        <f>C67/IF(B67&lt;='VALOR POR PL'!$P$5,IFERROR(INDEX('"INCC-FGV"'!$B$2:$B$800,MATCH(B67,'"INCC-FGV"'!$A$2:$A$800,0)),$K$2),$K$2)</f>
        <v/>
      </c>
      <c r="M67" s="138">
        <f>'CP RESUMO'!BN41</f>
        <v/>
      </c>
      <c r="N67" s="139">
        <f>MAX(0,M67-M66)</f>
        <v/>
      </c>
      <c r="O67" s="138">
        <f>IF(B67&lt;='VALOR POR PL'!$P$5,'CP RESUMO'!BN83,"")</f>
        <v/>
      </c>
      <c r="P67" s="72">
        <f>IF(B67&lt;='VALOR POR PL'!$P$5,0,IF(OR($K$16="CURVA PREVISION",$K$16="MDO PREVISION + MATERIAL PREMISSA"),N67,IF($K$16="PREVISÃO INFORMADA",MAX(0,H67),0)))</f>
        <v/>
      </c>
    </row>
    <row r="68">
      <c r="B68" s="140">
        <f>DATE(YEAR(B67),MONTH(B67)+1,1)</f>
        <v/>
      </c>
      <c r="C68" s="60">
        <f>IF(AND($K$22="NÃO",B68&gt;'VALOR POR PL'!$P$5),0,'DADOS HISTORICOS'!BO41)</f>
        <v/>
      </c>
      <c r="D68" s="49">
        <f>IF(B68&lt;='VALOR POR PL'!$P$5,0,IF($K$17&gt;0,$K$18*P68/$K$17,0))</f>
        <v/>
      </c>
      <c r="E68" s="49">
        <f>L68+D68/$K$2</f>
        <v/>
      </c>
      <c r="F68" s="117">
        <f>IF($K$9=0,0,E68/$K$9)</f>
        <v/>
      </c>
      <c r="G68" s="117">
        <f>G67+F68</f>
        <v/>
      </c>
      <c r="H68" s="137" t="n"/>
      <c r="L68" s="49">
        <f>C68/IF(B68&lt;='VALOR POR PL'!$P$5,IFERROR(INDEX('"INCC-FGV"'!$B$2:$B$800,MATCH(B68,'"INCC-FGV"'!$A$2:$A$800,0)),$K$2),$K$2)</f>
        <v/>
      </c>
      <c r="M68" s="138">
        <f>'CP RESUMO'!BO41</f>
        <v/>
      </c>
      <c r="N68" s="139">
        <f>MAX(0,M68-M67)</f>
        <v/>
      </c>
      <c r="O68" s="138">
        <f>IF(B68&lt;='VALOR POR PL'!$P$5,'CP RESUMO'!BO83,"")</f>
        <v/>
      </c>
      <c r="P68" s="72">
        <f>IF(B68&lt;='VALOR POR PL'!$P$5,0,IF(OR($K$16="CURVA PREVISION",$K$16="MDO PREVISION + MATERIAL PREMISSA"),N68,IF($K$16="PREVISÃO INFORMADA",MAX(0,H68),0)))</f>
        <v/>
      </c>
    </row>
    <row r="69">
      <c r="B69" s="140">
        <f>DATE(YEAR(B68),MONTH(B68)+1,1)</f>
        <v/>
      </c>
      <c r="C69" s="60">
        <f>IF(AND($K$22="NÃO",B69&gt;'VALOR POR PL'!$P$5),0,'DADOS HISTORICOS'!BP41)</f>
        <v/>
      </c>
      <c r="D69" s="49">
        <f>IF(B69&lt;='VALOR POR PL'!$P$5,0,IF($K$17&gt;0,$K$18*P69/$K$17,0))</f>
        <v/>
      </c>
      <c r="E69" s="49">
        <f>L69+D69/$K$2</f>
        <v/>
      </c>
      <c r="F69" s="117">
        <f>IF($K$9=0,0,E69/$K$9)</f>
        <v/>
      </c>
      <c r="G69" s="117">
        <f>G68+F69</f>
        <v/>
      </c>
      <c r="H69" s="137" t="n"/>
      <c r="L69" s="49">
        <f>C69/IF(B69&lt;='VALOR POR PL'!$P$5,IFERROR(INDEX('"INCC-FGV"'!$B$2:$B$800,MATCH(B69,'"INCC-FGV"'!$A$2:$A$800,0)),$K$2),$K$2)</f>
        <v/>
      </c>
      <c r="M69" s="138">
        <f>'CP RESUMO'!BP41</f>
        <v/>
      </c>
      <c r="N69" s="139">
        <f>MAX(0,M69-M68)</f>
        <v/>
      </c>
      <c r="O69" s="138">
        <f>IF(B69&lt;='VALOR POR PL'!$P$5,'CP RESUMO'!BP83,"")</f>
        <v/>
      </c>
      <c r="P69" s="72">
        <f>IF(B69&lt;='VALOR POR PL'!$P$5,0,IF(OR($K$16="CURVA PREVISION",$K$16="MDO PREVISION + MATERIAL PREMISSA"),N69,IF($K$16="PREVISÃO INFORMADA",MAX(0,H69),0)))</f>
        <v/>
      </c>
    </row>
    <row r="70">
      <c r="B70" s="140">
        <f>DATE(YEAR(B69),MONTH(B69)+1,1)</f>
        <v/>
      </c>
      <c r="C70" s="60">
        <f>IF(AND($K$22="NÃO",B70&gt;'VALOR POR PL'!$P$5),0,'DADOS HISTORICOS'!BQ41)</f>
        <v/>
      </c>
      <c r="D70" s="49">
        <f>IF(B70&lt;='VALOR POR PL'!$P$5,0,IF($K$17&gt;0,$K$18*P70/$K$17,0))</f>
        <v/>
      </c>
      <c r="E70" s="49">
        <f>L70+D70/$K$2</f>
        <v/>
      </c>
      <c r="F70" s="117">
        <f>IF($K$9=0,0,E70/$K$9)</f>
        <v/>
      </c>
      <c r="G70" s="117">
        <f>G69+F70</f>
        <v/>
      </c>
      <c r="H70" s="137" t="n"/>
      <c r="L70" s="49">
        <f>C70/IF(B70&lt;='VALOR POR PL'!$P$5,IFERROR(INDEX('"INCC-FGV"'!$B$2:$B$800,MATCH(B70,'"INCC-FGV"'!$A$2:$A$800,0)),$K$2),$K$2)</f>
        <v/>
      </c>
      <c r="M70" s="138">
        <f>'CP RESUMO'!BQ41</f>
        <v/>
      </c>
      <c r="N70" s="139">
        <f>MAX(0,M70-M69)</f>
        <v/>
      </c>
      <c r="O70" s="138">
        <f>IF(B70&lt;='VALOR POR PL'!$P$5,'CP RESUMO'!BQ83,"")</f>
        <v/>
      </c>
      <c r="P70" s="72">
        <f>IF(B70&lt;='VALOR POR PL'!$P$5,0,IF(OR($K$16="CURVA PREVISION",$K$16="MDO PREVISION + MATERIAL PREMISSA"),N70,IF($K$16="PREVISÃO INFORMADA",MAX(0,H70),0)))</f>
        <v/>
      </c>
    </row>
    <row r="71">
      <c r="B71" s="140">
        <f>DATE(YEAR(B70),MONTH(B70)+1,1)</f>
        <v/>
      </c>
      <c r="C71" s="60">
        <f>IF(AND($K$22="NÃO",B71&gt;'VALOR POR PL'!$P$5),0,'DADOS HISTORICOS'!BR41)</f>
        <v/>
      </c>
      <c r="D71" s="49">
        <f>IF(B71&lt;='VALOR POR PL'!$P$5,0,IF($K$17&gt;0,$K$18*P71/$K$17,0))</f>
        <v/>
      </c>
      <c r="E71" s="49">
        <f>L71+D71/$K$2</f>
        <v/>
      </c>
      <c r="F71" s="117">
        <f>IF($K$9=0,0,E71/$K$9)</f>
        <v/>
      </c>
      <c r="G71" s="117">
        <f>G70+F71</f>
        <v/>
      </c>
      <c r="H71" s="137" t="n"/>
      <c r="L71" s="49">
        <f>C71/IF(B71&lt;='VALOR POR PL'!$P$5,IFERROR(INDEX('"INCC-FGV"'!$B$2:$B$800,MATCH(B71,'"INCC-FGV"'!$A$2:$A$800,0)),$K$2),$K$2)</f>
        <v/>
      </c>
      <c r="M71" s="138">
        <f>'CP RESUMO'!BR41</f>
        <v/>
      </c>
      <c r="N71" s="139">
        <f>MAX(0,M71-M70)</f>
        <v/>
      </c>
      <c r="O71" s="138">
        <f>IF(B71&lt;='VALOR POR PL'!$P$5,'CP RESUMO'!BR83,"")</f>
        <v/>
      </c>
      <c r="P71" s="72">
        <f>IF(B71&lt;='VALOR POR PL'!$P$5,0,IF(OR($K$16="CURVA PREVISION",$K$16="MDO PREVISION + MATERIAL PREMISSA"),N71,IF($K$16="PREVISÃO INFORMADA",MAX(0,H71),0)))</f>
        <v/>
      </c>
    </row>
    <row r="72">
      <c r="B72" s="140">
        <f>DATE(YEAR(B71),MONTH(B71)+1,1)</f>
        <v/>
      </c>
      <c r="C72" s="60">
        <f>IF(AND($K$22="NÃO",B72&gt;'VALOR POR PL'!$P$5),0,'DADOS HISTORICOS'!BS41)</f>
        <v/>
      </c>
      <c r="D72" s="49">
        <f>IF(B72&lt;='VALOR POR PL'!$P$5,0,IF($K$17&gt;0,$K$18*P72/$K$17,0))</f>
        <v/>
      </c>
      <c r="E72" s="49">
        <f>L72+D72/$K$2</f>
        <v/>
      </c>
      <c r="F72" s="117">
        <f>IF($K$9=0,0,E72/$K$9)</f>
        <v/>
      </c>
      <c r="G72" s="117">
        <f>G71+F72</f>
        <v/>
      </c>
      <c r="H72" s="137" t="n"/>
      <c r="L72" s="49">
        <f>C72/IF(B72&lt;='VALOR POR PL'!$P$5,IFERROR(INDEX('"INCC-FGV"'!$B$2:$B$800,MATCH(B72,'"INCC-FGV"'!$A$2:$A$800,0)),$K$2),$K$2)</f>
        <v/>
      </c>
      <c r="M72" s="138">
        <f>'CP RESUMO'!BS41</f>
        <v/>
      </c>
      <c r="N72" s="139">
        <f>MAX(0,M72-M71)</f>
        <v/>
      </c>
      <c r="O72" s="138">
        <f>IF(B72&lt;='VALOR POR PL'!$P$5,'CP RESUMO'!BS83,"")</f>
        <v/>
      </c>
      <c r="P72" s="72">
        <f>IF(B72&lt;='VALOR POR PL'!$P$5,0,IF(OR($K$16="CURVA PREVISION",$K$16="MDO PREVISION + MATERIAL PREMISSA"),N72,IF($K$16="PREVISÃO INFORMADA",MAX(0,H72),0)))</f>
        <v/>
      </c>
    </row>
    <row r="73">
      <c r="B73" s="140">
        <f>DATE(YEAR(B72),MONTH(B72)+1,1)</f>
        <v/>
      </c>
      <c r="C73" s="60">
        <f>IF(AND($K$22="NÃO",B73&gt;'VALOR POR PL'!$P$5),0,'DADOS HISTORICOS'!BT41)</f>
        <v/>
      </c>
      <c r="D73" s="49">
        <f>IF(B73&lt;='VALOR POR PL'!$P$5,0,IF($K$17&gt;0,$K$18*P73/$K$17,0))</f>
        <v/>
      </c>
      <c r="E73" s="49">
        <f>L73+D73/$K$2</f>
        <v/>
      </c>
      <c r="F73" s="117">
        <f>IF($K$9=0,0,E73/$K$9)</f>
        <v/>
      </c>
      <c r="G73" s="117">
        <f>G72+F73</f>
        <v/>
      </c>
      <c r="H73" s="137" t="n"/>
      <c r="L73" s="49">
        <f>C73/IF(B73&lt;='VALOR POR PL'!$P$5,IFERROR(INDEX('"INCC-FGV"'!$B$2:$B$800,MATCH(B73,'"INCC-FGV"'!$A$2:$A$800,0)),$K$2),$K$2)</f>
        <v/>
      </c>
      <c r="M73" s="138">
        <f>'CP RESUMO'!BT41</f>
        <v/>
      </c>
      <c r="N73" s="139">
        <f>MAX(0,M73-M72)</f>
        <v/>
      </c>
      <c r="O73" s="138">
        <f>IF(B73&lt;='VALOR POR PL'!$P$5,'CP RESUMO'!BT83,"")</f>
        <v/>
      </c>
      <c r="P73" s="72">
        <f>IF(B73&lt;='VALOR POR PL'!$P$5,0,IF(OR($K$16="CURVA PREVISION",$K$16="MDO PREVISION + MATERIAL PREMISSA"),N73,IF($K$16="PREVISÃO INFORMADA",MAX(0,H73),0)))</f>
        <v/>
      </c>
    </row>
    <row r="74">
      <c r="B74" s="140">
        <f>DATE(YEAR(B73),MONTH(B73)+1,1)</f>
        <v/>
      </c>
      <c r="C74" s="60">
        <f>IF(AND($K$22="NÃO",B74&gt;'VALOR POR PL'!$P$5),0,'DADOS HISTORICOS'!BU41)</f>
        <v/>
      </c>
      <c r="D74" s="49">
        <f>IF(B74&lt;='VALOR POR PL'!$P$5,0,IF($K$17&gt;0,$K$18*P74/$K$17,0))</f>
        <v/>
      </c>
      <c r="E74" s="49">
        <f>L74+D74/$K$2</f>
        <v/>
      </c>
      <c r="F74" s="117">
        <f>IF($K$9=0,0,E74/$K$9)</f>
        <v/>
      </c>
      <c r="G74" s="117">
        <f>G73+F74</f>
        <v/>
      </c>
      <c r="H74" s="137" t="n"/>
      <c r="L74" s="49">
        <f>C74/IF(B74&lt;='VALOR POR PL'!$P$5,IFERROR(INDEX('"INCC-FGV"'!$B$2:$B$800,MATCH(B74,'"INCC-FGV"'!$A$2:$A$800,0)),$K$2),$K$2)</f>
        <v/>
      </c>
      <c r="M74" s="138">
        <f>'CP RESUMO'!BU41</f>
        <v/>
      </c>
      <c r="N74" s="139">
        <f>MAX(0,M74-M73)</f>
        <v/>
      </c>
      <c r="O74" s="138">
        <f>IF(B74&lt;='VALOR POR PL'!$P$5,'CP RESUMO'!BU83,"")</f>
        <v/>
      </c>
      <c r="P74" s="72">
        <f>IF(B74&lt;='VALOR POR PL'!$P$5,0,IF(OR($K$16="CURVA PREVISION",$K$16="MDO PREVISION + MATERIAL PREMISSA"),N74,IF($K$16="PREVISÃO INFORMADA",MAX(0,H74),0)))</f>
        <v/>
      </c>
    </row>
    <row r="75">
      <c r="B75" s="140">
        <f>DATE(YEAR(B74),MONTH(B74)+1,1)</f>
        <v/>
      </c>
      <c r="C75" s="60">
        <f>IF(AND($K$22="NÃO",B75&gt;'VALOR POR PL'!$P$5),0,'DADOS HISTORICOS'!BV41)</f>
        <v/>
      </c>
      <c r="D75" s="49">
        <f>IF(B75&lt;='VALOR POR PL'!$P$5,0,IF($K$17&gt;0,$K$18*P75/$K$17,0))</f>
        <v/>
      </c>
      <c r="E75" s="49">
        <f>L75+D75/$K$2</f>
        <v/>
      </c>
      <c r="F75" s="117">
        <f>IF($K$9=0,0,E75/$K$9)</f>
        <v/>
      </c>
      <c r="G75" s="117">
        <f>G74+F75</f>
        <v/>
      </c>
      <c r="H75" s="137" t="n"/>
      <c r="L75" s="49">
        <f>C75/IF(B75&lt;='VALOR POR PL'!$P$5,IFERROR(INDEX('"INCC-FGV"'!$B$2:$B$800,MATCH(B75,'"INCC-FGV"'!$A$2:$A$800,0)),$K$2),$K$2)</f>
        <v/>
      </c>
      <c r="M75" s="138">
        <f>'CP RESUMO'!BV41</f>
        <v/>
      </c>
      <c r="N75" s="139">
        <f>MAX(0,M75-M74)</f>
        <v/>
      </c>
      <c r="O75" s="138">
        <f>IF(B75&lt;='VALOR POR PL'!$P$5,'CP RESUMO'!BV83,"")</f>
        <v/>
      </c>
      <c r="P75" s="72">
        <f>IF(B75&lt;='VALOR POR PL'!$P$5,0,IF(OR($K$16="CURVA PREVISION",$K$16="MDO PREVISION + MATERIAL PREMISSA"),N75,IF($K$16="PREVISÃO INFORMADA",MAX(0,H75),0)))</f>
        <v/>
      </c>
    </row>
    <row r="76">
      <c r="B76" s="140">
        <f>DATE(YEAR(B75),MONTH(B75)+1,1)</f>
        <v/>
      </c>
      <c r="C76" s="60">
        <f>IF(AND($K$22="NÃO",B76&gt;'VALOR POR PL'!$P$5),0,'DADOS HISTORICOS'!BW41)</f>
        <v/>
      </c>
      <c r="D76" s="49">
        <f>IF(B76&lt;='VALOR POR PL'!$P$5,0,IF($K$17&gt;0,$K$18*P76/$K$17,0))</f>
        <v/>
      </c>
      <c r="E76" s="49">
        <f>L76+D76/$K$2</f>
        <v/>
      </c>
      <c r="F76" s="117">
        <f>IF($K$9=0,0,E76/$K$9)</f>
        <v/>
      </c>
      <c r="G76" s="117">
        <f>G75+F76</f>
        <v/>
      </c>
      <c r="H76" s="137" t="n"/>
      <c r="L76" s="49">
        <f>C76/IF(B76&lt;='VALOR POR PL'!$P$5,IFERROR(INDEX('"INCC-FGV"'!$B$2:$B$800,MATCH(B76,'"INCC-FGV"'!$A$2:$A$800,0)),$K$2),$K$2)</f>
        <v/>
      </c>
      <c r="M76" s="138">
        <f>'CP RESUMO'!BW41</f>
        <v/>
      </c>
      <c r="N76" s="139">
        <f>MAX(0,M76-M75)</f>
        <v/>
      </c>
      <c r="O76" s="138">
        <f>IF(B76&lt;='VALOR POR PL'!$P$5,'CP RESUMO'!BW83,"")</f>
        <v/>
      </c>
      <c r="P76" s="72">
        <f>IF(B76&lt;='VALOR POR PL'!$P$5,0,IF(OR($K$16="CURVA PREVISION",$K$16="MDO PREVISION + MATERIAL PREMISSA"),N76,IF($K$16="PREVISÃO INFORMADA",MAX(0,H76),0)))</f>
        <v/>
      </c>
    </row>
    <row r="78">
      <c r="B78" s="46" t="inlineStr">
        <is>
          <t>TOTAL</t>
        </is>
      </c>
      <c r="C78" s="65">
        <f>SUM(C5:C76)</f>
        <v/>
      </c>
      <c r="D78" s="65">
        <f>SUM(D5:D76)</f>
        <v/>
      </c>
      <c r="E78" s="65">
        <f>SUM(E5:E76)</f>
        <v/>
      </c>
      <c r="F78" s="145">
        <f>SUM(F5:F76)</f>
        <v/>
      </c>
      <c r="H78" s="65">
        <f>SUM(H5:H76)</f>
        <v/>
      </c>
      <c r="L78" s="65">
        <f>SUM(L5:L76)</f>
        <v/>
      </c>
    </row>
    <row r="80">
      <c r="B80" s="46" t="inlineStr">
        <is>
          <t>DIFERENÇA (fluxo em INCC − meta em INCC)</t>
        </is>
      </c>
      <c r="D80" s="76">
        <f>E78-K6</f>
        <v/>
      </c>
    </row>
  </sheetData>
  <mergeCells count="2">
    <mergeCell ref="I24:K24"/>
    <mergeCell ref="K20:K21"/>
  </mergeCells>
  <conditionalFormatting sqref="K16">
    <cfRule type="cellIs" priority="1" operator="equal" dxfId="3">
      <formula>"SEM CURVA"</formula>
    </cfRule>
    <cfRule type="cellIs" priority="2" operator="equal" dxfId="5">
      <formula>"CURVA PREVISION"</formula>
    </cfRule>
    <cfRule type="cellIs" priority="5" operator="equal" dxfId="5">
      <formula>"MDO PREVISION + MATERIAL PREMISSA"</formula>
    </cfRule>
  </conditionalFormatting>
  <conditionalFormatting sqref="H5:H76">
    <cfRule type="expression" priority="3" dxfId="9">
      <formula>$K$16&lt;&gt;"PREVISÃO INFORMADA"</formula>
    </cfRule>
    <cfRule type="expression" priority="6" dxfId="10">
      <formula>$K$16="PREVISÃO INFORMADA"</formula>
    </cfRule>
  </conditionalFormatting>
  <conditionalFormatting sqref="N5:N76">
    <cfRule type="expression" priority="4" dxfId="11">
      <formula>AND(OR($K$16="CURVA PREVISION",$K$16="MDO PREVISION + MATERIAL PREMISSA"),$B5&gt;'VALOR POR PL'!$P$5)</formula>
    </cfRule>
  </conditionalFormatting>
  <conditionalFormatting sqref="D80">
    <cfRule type="expression" priority="7" dxfId="3">
      <formula>ABS(D80)&gt;0.01</formula>
    </cfRule>
  </conditionalFormatting>
  <conditionalFormatting sqref="B5:H76">
    <cfRule type="expression" priority="8" dxfId="7">
      <formula>$B5&lt;='VALOR POR PL'!$P$5</formula>
    </cfRule>
  </conditionalFormatting>
  <dataValidations count="2">
    <dataValidation sqref="K15" showDropDown="0" showInputMessage="0" showErrorMessage="0" allowBlank="0" type="list">
      <formula1>"AUTOMÁTICO,CURVA PREVISION,PREVISÃO INFORMADA"</formula1>
    </dataValidation>
    <dataValidation sqref="K22" showDropDown="0" showInputMessage="0" showErrorMessage="0" allowBlank="0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2026-09-29T19:58:53Z</dcterms:created>
  <dcterms:modified xsi:type="dcterms:W3CDTF">2026-09-29T19:58:56Z</dcterms:modified>
</cp:coreProperties>
</file>